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lacement_Candidates_CLEAN" sheetId="1" r:id="rId4"/>
    <sheet state="visible" name="Replacement_Queue" sheetId="2" r:id="rId5"/>
    <sheet state="visible" name="Replacement_Candidates" sheetId="3" r:id="rId6"/>
    <sheet state="visible" name="README" sheetId="4" r:id="rId7"/>
    <sheet state="visible" name="Config" sheetId="5" r:id="rId8"/>
    <sheet state="visible" name="Services" sheetId="6" r:id="rId9"/>
    <sheet state="visible" name="Grinders" sheetId="7" r:id="rId10"/>
    <sheet state="visible" name="GrinderServices" sheetId="8" r:id="rId11"/>
    <sheet state="visible" name="Orders" sheetId="9" r:id="rId12"/>
    <sheet state="visible" name="Bids" sheetId="10" r:id="rId13"/>
    <sheet state="visible" name="Assignments" sheetId="11" r:id="rId14"/>
    <sheet state="visible" name="Queue_All" sheetId="12" r:id="rId15"/>
    <sheet state="visible" name="Queue_Service" sheetId="13" r:id="rId16"/>
    <sheet state="visible" name="Dashboard" sheetId="14" r:id="rId17"/>
    <sheet state="visible" name="Staff_WHY" sheetId="15" r:id="rId18"/>
    <sheet state="visible" name="Manager_Dashboard" sheetId="16" r:id="rId19"/>
    <sheet state="visible" name="Alerts" sheetId="17" r:id="rId20"/>
    <sheet state="visible" name="Grinder_Scorecards" sheetId="18" r:id="rId21"/>
    <sheet state="visible" name="Grinder_Lite_View" sheetId="19" r:id="rId22"/>
    <sheet state="visible" name="Strike_Log" sheetId="20" r:id="rId23"/>
    <sheet state="visible" name="Strike_Review_Queue" sheetId="21" r:id="rId24"/>
  </sheets>
  <definedNames>
    <definedName hidden="1" localSheetId="5" name="_xlnm._FilterDatabase">Services!$A$3:$E$63</definedName>
    <definedName hidden="1" localSheetId="6" name="_xlnm._FilterDatabase">Grinders!$A$3:$N$81</definedName>
    <definedName hidden="1" localSheetId="7" name="_xlnm._FilterDatabase">GrinderServices!$A$3:$F$500</definedName>
    <definedName hidden="1" localSheetId="8" name="_xlnm._FilterDatabase">Orders!$A$3:$J$303</definedName>
    <definedName hidden="1" localSheetId="9" name="_xlnm._FilterDatabase">Bids!$A$5:$G$205</definedName>
    <definedName hidden="1" localSheetId="10" name="_xlnm._FilterDatabase">Assignments!$A$5:$N$305</definedName>
    <definedName hidden="1" localSheetId="11" name="_xlnm._FilterDatabase">Queue_All!$A$5:$AD$205</definedName>
    <definedName hidden="1" localSheetId="12" name="_xlnm._FilterDatabase">Queue_Service!$A$6:$AF$206</definedName>
  </definedNames>
  <calcPr/>
  <extLst>
    <ext uri="GoogleSheetsCustomDataVersion2">
      <go:sheetsCustomData xmlns:go="http://customooxmlschemas.google.com/" r:id="rId25" roundtripDataChecksum="ZY7kiyzNWHqohss/0Vu5NRXxqEVvcUGFTQTg5oXwZWM="/>
    </ext>
  </extLst>
</workbook>
</file>

<file path=xl/sharedStrings.xml><?xml version="1.0" encoding="utf-8"?>
<sst xmlns="http://schemas.openxmlformats.org/spreadsheetml/2006/main" count="919" uniqueCount="434">
  <si>
    <t>EMERGENCY REPLACEMENT CANDIDATES — STAFF VIEW</t>
  </si>
  <si>
    <t>Auto-filtered. Emergency orders only. Sorted by Final Priority Score.</t>
  </si>
  <si>
    <t>Order ID</t>
  </si>
  <si>
    <t>Grinder Name</t>
  </si>
  <si>
    <t>Tier</t>
  </si>
  <si>
    <t>Effective Bid</t>
  </si>
  <si>
    <t>Delivery Days</t>
  </si>
  <si>
    <t>Margin%</t>
  </si>
  <si>
    <t>Final Score</t>
  </si>
  <si>
    <t>WHY</t>
  </si>
  <si>
    <t>Recommended</t>
  </si>
  <si>
    <t>EMERGENCY REPLACEMENT QUEUE (auto)</t>
  </si>
  <si>
    <t>(Shows only Queue_All rows where EmergencyFlag=1. If you see 'No emergency orders', there are none.)</t>
  </si>
  <si>
    <t>EMERGENCY REPLACEMENT CANDIDATES (Top 5 per order)</t>
  </si>
  <si>
    <t>Auto-built from Queue_All where EmergencyFlag=1. Shows top 5 grinders by FinalPriorityScore for each emergency order.</t>
  </si>
  <si>
    <t>Grinder Orders Priority Queue — Template</t>
  </si>
  <si>
    <t>Quick start</t>
  </si>
  <si>
    <t>1) Fill Services, Grinders, GrinderServices (eligibility).</t>
  </si>
  <si>
    <t>2) Log Orders. Enter Bids as they come in.</t>
  </si>
  <si>
    <t>3) Use Queue_All for global dispatch; Queue_Service for a specific service subset.</t>
  </si>
  <si>
    <t>4) Log awarded orders in Assignments to update load balancing and performance history.</t>
  </si>
  <si>
    <t>5) Tune weights + guardrails in Config (blue cells are inputs).</t>
  </si>
  <si>
    <t>Config / Tuning</t>
  </si>
  <si>
    <t>AsOfDate</t>
  </si>
  <si>
    <t>Weights (0–1, sum to 1.0)</t>
  </si>
  <si>
    <t>w/data</t>
  </si>
  <si>
    <t>ProfitWeight</t>
  </si>
  <si>
    <t>FairnessWeight</t>
  </si>
  <si>
    <t>TierWeight</t>
  </si>
  <si>
    <t>DeliveryWeight</t>
  </si>
  <si>
    <t>QualityWeight</t>
  </si>
  <si>
    <t>ReliabilityWeight</t>
  </si>
  <si>
    <t>RiskWeight</t>
  </si>
  <si>
    <t>TotalWeight</t>
  </si>
  <si>
    <t>Guardrails</t>
  </si>
  <si>
    <t>MinMarginPct</t>
  </si>
  <si>
    <t>TargetMarginPct</t>
  </si>
  <si>
    <t>OverCapacityDisqualify</t>
  </si>
  <si>
    <t>LateToleranceHours</t>
  </si>
  <si>
    <t>EarlyBonusHours</t>
  </si>
  <si>
    <t>EliteBonusPoints</t>
  </si>
  <si>
    <t>MaxFairnessIdleBonus</t>
  </si>
  <si>
    <t>IdleBonusFullAfterDays</t>
  </si>
  <si>
    <t>Fairness components</t>
  </si>
  <si>
    <t>Fair_LoadWeight</t>
  </si>
  <si>
    <t>Fair_Recent7dWeight</t>
  </si>
  <si>
    <t>Fair_IdleWeight</t>
  </si>
  <si>
    <t>Fair_TargetOrders7d</t>
  </si>
  <si>
    <t>Scale / Auto-Tuning Inputs</t>
  </si>
  <si>
    <t>DailyOrdersAssumption</t>
  </si>
  <si>
    <t>TotalGrinders</t>
  </si>
  <si>
    <t>EliteCount</t>
  </si>
  <si>
    <t>EliteShare</t>
  </si>
  <si>
    <t>WeeklyOrdersAssumption</t>
  </si>
  <si>
    <t>Auto_TargetOrders7d</t>
  </si>
  <si>
    <t>Auto_EliteBonusPoints</t>
  </si>
  <si>
    <t>LargeOrderThreshold</t>
  </si>
  <si>
    <t>LargeOrderEliteBonusPoints</t>
  </si>
  <si>
    <t>NewGrinderBonusPoints</t>
  </si>
  <si>
    <t>Strike3_HighValueThreshold</t>
  </si>
  <si>
    <t>Strike3_LockoutServices</t>
  </si>
  <si>
    <t>REP GRINDING,BADGE GRINDING,EVENT GRINDING</t>
  </si>
  <si>
    <t>Strike3_LockoutEnabled</t>
  </si>
  <si>
    <t>Y</t>
  </si>
  <si>
    <t>StrikeExpireEnabled</t>
  </si>
  <si>
    <t>StrikeExpireDays</t>
  </si>
  <si>
    <t>EmergencyReplacementEnabled</t>
  </si>
  <si>
    <t>EmergencyReplacementBoost</t>
  </si>
  <si>
    <t>Services</t>
  </si>
  <si>
    <t>Service Name</t>
  </si>
  <si>
    <t>Service Group</t>
  </si>
  <si>
    <t>Default Complexity (1-5)</t>
  </si>
  <si>
    <t>SLA_Days</t>
  </si>
  <si>
    <t>Notes</t>
  </si>
  <si>
    <t>Rep Grinding ⚡</t>
  </si>
  <si>
    <t>Rep</t>
  </si>
  <si>
    <t>—</t>
  </si>
  <si>
    <t>Badge Grinding 🎖️</t>
  </si>
  <si>
    <t>Badges</t>
  </si>
  <si>
    <t>Hot Zones 🔥</t>
  </si>
  <si>
    <t>MyPlayer Perks</t>
  </si>
  <si>
    <t>Build Specializations 🛠️</t>
  </si>
  <si>
    <t>Lifetime Challenges 🏆</t>
  </si>
  <si>
    <t>Plate Card Grinding 🃏</t>
  </si>
  <si>
    <t>VC Grinding 🪙</t>
  </si>
  <si>
    <t>VC</t>
  </si>
  <si>
    <t>Event Grinding 🏟️</t>
  </si>
  <si>
    <t>Events</t>
  </si>
  <si>
    <t>Bundle Order 🎁</t>
  </si>
  <si>
    <t>Bundle</t>
  </si>
  <si>
    <t>Season Pass Grinding 🎫</t>
  </si>
  <si>
    <t>Add-Ons ➕</t>
  </si>
  <si>
    <t>Other</t>
  </si>
  <si>
    <t>Grinders</t>
  </si>
  <si>
    <t>Grinder ID</t>
  </si>
  <si>
    <t>Grinder</t>
  </si>
  <si>
    <t>Capacity</t>
  </si>
  <si>
    <t>Active Orders</t>
  </si>
  <si>
    <t>Orders Assigned L-7D</t>
  </si>
  <si>
    <t>Last Assigned</t>
  </si>
  <si>
    <t>Days Since Last Assigned</t>
  </si>
  <si>
    <t>Utilization</t>
  </si>
  <si>
    <t>Avg Quality Rating (1-5)</t>
  </si>
  <si>
    <t>On Time Rate</t>
  </si>
  <si>
    <t>Cancel Rate</t>
  </si>
  <si>
    <t>Avg Turnaround Days</t>
  </si>
  <si>
    <t>Strikes(0-3)</t>
  </si>
  <si>
    <t>StrikePenalty</t>
  </si>
  <si>
    <t>AvgMargin%</t>
  </si>
  <si>
    <t>Reassignments_AsOriginal_30d</t>
  </si>
  <si>
    <t>Saves_AsReplacement_30d</t>
  </si>
  <si>
    <t>ReassignRate_30d</t>
  </si>
  <si>
    <t>NetReassignScore</t>
  </si>
  <si>
    <t>GRD-01</t>
  </si>
  <si>
    <t>7unds</t>
  </si>
  <si>
    <t>Regular</t>
  </si>
  <si>
    <t>-</t>
  </si>
  <si>
    <t>GRD-02</t>
  </si>
  <si>
    <t>8fy1</t>
  </si>
  <si>
    <t>GRD-03</t>
  </si>
  <si>
    <t>ahdedazs</t>
  </si>
  <si>
    <t>GRD-04</t>
  </si>
  <si>
    <t>andydpoy</t>
  </si>
  <si>
    <t>GRD-05</t>
  </si>
  <si>
    <t>anklesreborn</t>
  </si>
  <si>
    <t>GRD-06</t>
  </si>
  <si>
    <t>ant0513</t>
  </si>
  <si>
    <t>GRD-07</t>
  </si>
  <si>
    <t>asierxx</t>
  </si>
  <si>
    <t>GRD-08</t>
  </si>
  <si>
    <t>bigt20011_</t>
  </si>
  <si>
    <t>GRD-09</t>
  </si>
  <si>
    <t>boards4238</t>
  </si>
  <si>
    <t>GRD-10</t>
  </si>
  <si>
    <t>bumped240hz</t>
  </si>
  <si>
    <t>GRD-11</t>
  </si>
  <si>
    <t>bumpincombos</t>
  </si>
  <si>
    <t>GRD-12</t>
  </si>
  <si>
    <t>cerhzn</t>
  </si>
  <si>
    <t>GRD-13</t>
  </si>
  <si>
    <t>comptomuch</t>
  </si>
  <si>
    <t>Elite</t>
  </si>
  <si>
    <t>GRD-14</t>
  </si>
  <si>
    <t>crazyrunz</t>
  </si>
  <si>
    <t>GRD-15</t>
  </si>
  <si>
    <t>darts.7</t>
  </si>
  <si>
    <t>GRD-16</t>
  </si>
  <si>
    <t>773tc</t>
  </si>
  <si>
    <t>GRD-17</t>
  </si>
  <si>
    <t>drew___x</t>
  </si>
  <si>
    <t>GRD-18</t>
  </si>
  <si>
    <t>drilluh__</t>
  </si>
  <si>
    <t>GRD-19</t>
  </si>
  <si>
    <t>earns2490</t>
  </si>
  <si>
    <t>GRD-20</t>
  </si>
  <si>
    <t>egotito</t>
  </si>
  <si>
    <t>GRD-21</t>
  </si>
  <si>
    <t>flyestt</t>
  </si>
  <si>
    <t>GRD-22</t>
  </si>
  <si>
    <t>freeblessedtv</t>
  </si>
  <si>
    <t>GRD-23</t>
  </si>
  <si>
    <t>gamblynnn</t>
  </si>
  <si>
    <t>GRD-24</t>
  </si>
  <si>
    <t>gannon4868</t>
  </si>
  <si>
    <t>GRD-25</t>
  </si>
  <si>
    <t>gexism</t>
  </si>
  <si>
    <t>GRD-26</t>
  </si>
  <si>
    <t>gxufy</t>
  </si>
  <si>
    <t>GRD-27</t>
  </si>
  <si>
    <t>hemisssometimes</t>
  </si>
  <si>
    <t>GRD-28</t>
  </si>
  <si>
    <t>homiekirk</t>
  </si>
  <si>
    <t>GRD-29</t>
  </si>
  <si>
    <t>hoop7663</t>
  </si>
  <si>
    <t>GRD-30</t>
  </si>
  <si>
    <t>iiirxpctiii</t>
  </si>
  <si>
    <t>GRD-31</t>
  </si>
  <si>
    <t>plqytake</t>
  </si>
  <si>
    <t>GRD-32</t>
  </si>
  <si>
    <t>jalen7985</t>
  </si>
  <si>
    <t>GRD-33</t>
  </si>
  <si>
    <t>jwrldx</t>
  </si>
  <si>
    <t>GRD-34</t>
  </si>
  <si>
    <t>jitxx</t>
  </si>
  <si>
    <t>GRD-35</t>
  </si>
  <si>
    <t>GRD-36</t>
  </si>
  <si>
    <t>xoticashes</t>
  </si>
  <si>
    <t>GRD-37</t>
  </si>
  <si>
    <t>kolioh</t>
  </si>
  <si>
    <t>GRD-38</t>
  </si>
  <si>
    <t>korean_zombiie</t>
  </si>
  <si>
    <t>GRD-39</t>
  </si>
  <si>
    <t>savage_telly</t>
  </si>
  <si>
    <t>GRD-40</t>
  </si>
  <si>
    <t>notravelcalls</t>
  </si>
  <si>
    <t>GRD-41</t>
  </si>
  <si>
    <t>rookietolegend</t>
  </si>
  <si>
    <t>GRD-42</t>
  </si>
  <si>
    <t>nxsty4487</t>
  </si>
  <si>
    <t>GRD-43</t>
  </si>
  <si>
    <t>idk566784</t>
  </si>
  <si>
    <t>GRD-44</t>
  </si>
  <si>
    <t>plqckss</t>
  </si>
  <si>
    <t>GRD-45</t>
  </si>
  <si>
    <t>poprevails</t>
  </si>
  <si>
    <t>GRD-46</t>
  </si>
  <si>
    <t>pro5153</t>
  </si>
  <si>
    <t>GRD-47</t>
  </si>
  <si>
    <t>provoke.</t>
  </si>
  <si>
    <t>GRD-48</t>
  </si>
  <si>
    <t>qixoan</t>
  </si>
  <si>
    <t>GRD-49</t>
  </si>
  <si>
    <t>quickslippp</t>
  </si>
  <si>
    <t>GRD-50</t>
  </si>
  <si>
    <t>nodaysoffgrinder</t>
  </si>
  <si>
    <t>GRD-51</t>
  </si>
  <si>
    <t>xorula</t>
  </si>
  <si>
    <t>GRD-52</t>
  </si>
  <si>
    <t>plibert</t>
  </si>
  <si>
    <t>GRD-53</t>
  </si>
  <si>
    <t>stayrdr</t>
  </si>
  <si>
    <t>GRD-54</t>
  </si>
  <si>
    <t>llturboll</t>
  </si>
  <si>
    <t>GRD-55</t>
  </si>
  <si>
    <t>teardagoat</t>
  </si>
  <si>
    <t>GRD-56</t>
  </si>
  <si>
    <t>tengfg</t>
  </si>
  <si>
    <t>GRD-57</t>
  </si>
  <si>
    <t>thanksevan</t>
  </si>
  <si>
    <t>GRD-58</t>
  </si>
  <si>
    <t>tjack6291</t>
  </si>
  <si>
    <t>GRD-59</t>
  </si>
  <si>
    <t>twizz1of1</t>
  </si>
  <si>
    <t>GRD-60</t>
  </si>
  <si>
    <t>praisev6</t>
  </si>
  <si>
    <t>GRD-61</t>
  </si>
  <si>
    <t>llwocky</t>
  </si>
  <si>
    <t>GRD-62</t>
  </si>
  <si>
    <t>iiwolvezii</t>
  </si>
  <si>
    <t>GRD-63</t>
  </si>
  <si>
    <t>xwuco</t>
  </si>
  <si>
    <t>GRD-64</t>
  </si>
  <si>
    <t>xenon0038</t>
  </si>
  <si>
    <t>GRD-65</t>
  </si>
  <si>
    <t>xlabgoat</t>
  </si>
  <si>
    <t>GRD-66</t>
  </si>
  <si>
    <t>zb2kx</t>
  </si>
  <si>
    <t>GRD-67</t>
  </si>
  <si>
    <t>jkrpt</t>
  </si>
  <si>
    <t>GRD-68</t>
  </si>
  <si>
    <t>jumptv</t>
  </si>
  <si>
    <t>GRD-69</t>
  </si>
  <si>
    <t>keemsx</t>
  </si>
  <si>
    <t>GRD-70</t>
  </si>
  <si>
    <t>xbreezyy1</t>
  </si>
  <si>
    <t>GRD-71</t>
  </si>
  <si>
    <t>luvgill</t>
  </si>
  <si>
    <t>GRD-72</t>
  </si>
  <si>
    <t>philly223</t>
  </si>
  <si>
    <t>GRD-73</t>
  </si>
  <si>
    <t>tr6nd</t>
  </si>
  <si>
    <t>Grinder ↔ Service Eligibility</t>
  </si>
  <si>
    <t>Service</t>
  </si>
  <si>
    <t>Certified Level</t>
  </si>
  <si>
    <t>Active For Service (Y/N)</t>
  </si>
  <si>
    <t>Rep Grinding ⚡, Badge Grinding 🎖️, Hot Zones 🔥, Build Specializations 🛠️, Lifetime Challenges 🏆, Plate Card Grinding 🃏, Bundle Order 🎁, Season Pass Grinding 🎫, Add-Ons ➕, Event Grinding 🏟️, VC Grinding 🪙</t>
  </si>
  <si>
    <t>Standard</t>
  </si>
  <si>
    <t>Rep Grinding ⚡, Badge Grinding 🎖️, Hot Zones 🔥, Build Specializations 🛠️, Lifetime Challenges 🏆, Plate Card Grinding 🃏, Bundle Order 🎁, Season Pass Grinding 🎫, Add-Ons ➕, Event Grinding 🏟️</t>
  </si>
  <si>
    <t>Orders</t>
  </si>
  <si>
    <t>Bid Posted Date/Time</t>
  </si>
  <si>
    <t>Customer Price</t>
  </si>
  <si>
    <t>Order Due Date/Time</t>
  </si>
  <si>
    <t>Rush (Y/N)</t>
  </si>
  <si>
    <t>Complexity (1-5)</t>
  </si>
  <si>
    <t>Location</t>
  </si>
  <si>
    <t>Status</t>
  </si>
  <si>
    <t>Order #171</t>
  </si>
  <si>
    <t>N</t>
  </si>
  <si>
    <t>Open</t>
  </si>
  <si>
    <t>Bids</t>
  </si>
  <si>
    <t>BidID</t>
  </si>
  <si>
    <t>OrderID</t>
  </si>
  <si>
    <t>GrinderID</t>
  </si>
  <si>
    <t>BidAmount</t>
  </si>
  <si>
    <t>BidTime</t>
  </si>
  <si>
    <t>EstDeliveryDateTime</t>
  </si>
  <si>
    <t>CompanyCounterOffer</t>
  </si>
  <si>
    <t>CounterAccepted(Y/N)</t>
  </si>
  <si>
    <t>EffectiveBidAmount</t>
  </si>
  <si>
    <t>BidKey</t>
  </si>
  <si>
    <t>CounterStatus</t>
  </si>
  <si>
    <t>B2001</t>
  </si>
  <si>
    <t>O1001</t>
  </si>
  <si>
    <t>B2002</t>
  </si>
  <si>
    <t>G002</t>
  </si>
  <si>
    <t>B2003</t>
  </si>
  <si>
    <t>O1002</t>
  </si>
  <si>
    <t>G003</t>
  </si>
  <si>
    <t>B2004</t>
  </si>
  <si>
    <t>G001</t>
  </si>
  <si>
    <t>B2005</t>
  </si>
  <si>
    <t>O1003</t>
  </si>
  <si>
    <t>G004</t>
  </si>
  <si>
    <t>B2006</t>
  </si>
  <si>
    <t>Assignments (Awarded Orders)</t>
  </si>
  <si>
    <t>AssignmentID</t>
  </si>
  <si>
    <t>AssignedDateTime</t>
  </si>
  <si>
    <t>CustomerPrice</t>
  </si>
  <si>
    <t>Margin$</t>
  </si>
  <si>
    <t>DueDateTime</t>
  </si>
  <si>
    <t>DeliveredDateTime</t>
  </si>
  <si>
    <t>OnTime(Y/N)</t>
  </si>
  <si>
    <t>QualityRating(1-5)</t>
  </si>
  <si>
    <t>TurnaroundDays</t>
  </si>
  <si>
    <t>FinalBidAmount</t>
  </si>
  <si>
    <t>Reassigned(Y/N)</t>
  </si>
  <si>
    <t>ReplacementGrinderID</t>
  </si>
  <si>
    <t>ReassignReason</t>
  </si>
  <si>
    <t>OriginalCutKept$</t>
  </si>
  <si>
    <t>ReplacementCut$</t>
  </si>
  <si>
    <t>Deadline_Override1</t>
  </si>
  <si>
    <t>Deadline_Override2</t>
  </si>
  <si>
    <t>Deadline_Override3</t>
  </si>
  <si>
    <t>OriginalDeadline</t>
  </si>
  <si>
    <t>ActiveDeadline</t>
  </si>
  <si>
    <t>OnTimeFlag_Active</t>
  </si>
  <si>
    <t>TotalPayout$</t>
  </si>
  <si>
    <t>EffMargin$</t>
  </si>
  <si>
    <t>EffMargin%</t>
  </si>
  <si>
    <t>ReassignmentPenaltyPts</t>
  </si>
  <si>
    <t>ReplacementRewardPts</t>
  </si>
  <si>
    <t>NeedsReplacement</t>
  </si>
  <si>
    <t>a1</t>
  </si>
  <si>
    <t>Active</t>
  </si>
  <si>
    <t>Priority Queue — All Services</t>
  </si>
  <si>
    <t>QUEUE POSITION</t>
  </si>
  <si>
    <t>OrderStatus</t>
  </si>
  <si>
    <t>Rush</t>
  </si>
  <si>
    <t>Complexity</t>
  </si>
  <si>
    <t>GrinderName</t>
  </si>
  <si>
    <t>ActiveOrders</t>
  </si>
  <si>
    <t>OrdersAssigned7d</t>
  </si>
  <si>
    <t>DaysIdle</t>
  </si>
  <si>
    <t>FairnessScore</t>
  </si>
  <si>
    <t>ProfitScore</t>
  </si>
  <si>
    <t>TierScore</t>
  </si>
  <si>
    <t>DeliveryScore</t>
  </si>
  <si>
    <t>QualityScore</t>
  </si>
  <si>
    <t>ReliabilityScore</t>
  </si>
  <si>
    <t>RiskScore</t>
  </si>
  <si>
    <t>Eligible</t>
  </si>
  <si>
    <t>FinalPriorityScore</t>
  </si>
  <si>
    <t>RankWithinOrder</t>
  </si>
  <si>
    <t>WinnerFlag</t>
  </si>
  <si>
    <t>Why_Breakdown</t>
  </si>
  <si>
    <t>LifetimeAssigned</t>
  </si>
  <si>
    <t>NewGrinderBonus</t>
  </si>
  <si>
    <t>HighValueEliteBonus</t>
  </si>
  <si>
    <t>StrikeLockout</t>
  </si>
  <si>
    <t>CounterPending</t>
  </si>
  <si>
    <t>EmergencyFlag</t>
  </si>
  <si>
    <t>EmergencyBoost</t>
  </si>
  <si>
    <t>Priority Queue — Service Mode (full scoring)</t>
  </si>
  <si>
    <t>Pick a service in B4. This queue uses service-specific load for fairness, but still considers profit + timing + performance.</t>
  </si>
  <si>
    <t>SelectedService:</t>
  </si>
  <si>
    <t>ServiceMatch</t>
  </si>
  <si>
    <t>ActiveOrders_Total</t>
  </si>
  <si>
    <t>ActiveOrders_Service</t>
  </si>
  <si>
    <t>Util_Total</t>
  </si>
  <si>
    <t>Util_Service</t>
  </si>
  <si>
    <t>OrdersAssigned7d_Service</t>
  </si>
  <si>
    <t>DaysIdle_Service</t>
  </si>
  <si>
    <t>FairnessScore_Service</t>
  </si>
  <si>
    <t>Dashboard</t>
  </si>
  <si>
    <t>KPIs</t>
  </si>
  <si>
    <t>Open Orders</t>
  </si>
  <si>
    <t>Active Assignments</t>
  </si>
  <si>
    <t>Use filters/sorts in Queue sheets to dispatch quickly.</t>
  </si>
  <si>
    <t>WinnerGrinder</t>
  </si>
  <si>
    <t>WinnerTier</t>
  </si>
  <si>
    <t>WinnerBid</t>
  </si>
  <si>
    <t>WinnerMargin%</t>
  </si>
  <si>
    <t>WinnerActive/Cap</t>
  </si>
  <si>
    <t>WinnerAssigned7d</t>
  </si>
  <si>
    <t>WinnerEstDelivery</t>
  </si>
  <si>
    <t>WinnerScore</t>
  </si>
  <si>
    <t>WHY_Winner</t>
  </si>
  <si>
    <t>RunnerUpGrinder</t>
  </si>
  <si>
    <t>RunnerUpBid</t>
  </si>
  <si>
    <t>RunnerUpScore</t>
  </si>
  <si>
    <t>DeltaScore</t>
  </si>
  <si>
    <t>Metric</t>
  </si>
  <si>
    <t>Value</t>
  </si>
  <si>
    <t>As Of</t>
  </si>
  <si>
    <t>Total Active Orders</t>
  </si>
  <si>
    <t>Orders Assigned (Last 7 Days)</t>
  </si>
  <si>
    <t>Avg Company Margin % (All Assigned)</t>
  </si>
  <si>
    <t>Elite Avg Utilization</t>
  </si>
  <si>
    <t>Overall Avg Utilization</t>
  </si>
  <si>
    <t>Overloaded Grinders</t>
  </si>
  <si>
    <t>Starving Grinders</t>
  </si>
  <si>
    <t>Elite Underutilized (0 active)</t>
  </si>
  <si>
    <t>Pending Strike Appeals</t>
  </si>
  <si>
    <t>Reassigned Orders (30d)</t>
  </si>
  <si>
    <t>Pending Replacements</t>
  </si>
  <si>
    <t>Emergency Orders Needing Replacement</t>
  </si>
  <si>
    <t>DaysSinceLastAssign</t>
  </si>
  <si>
    <t>Heat</t>
  </si>
  <si>
    <t>OVERLOADED</t>
  </si>
  <si>
    <t>STARVING</t>
  </si>
  <si>
    <t>ELITE_UNDERUSED</t>
  </si>
  <si>
    <t>ALERT_SUMMARY</t>
  </si>
  <si>
    <t>LastAssigned</t>
  </si>
  <si>
    <t>AvgQualityRating(1-5)</t>
  </si>
  <si>
    <t>OnTimeRate</t>
  </si>
  <si>
    <t>CancelRate</t>
  </si>
  <si>
    <t>AvgTurnaroundDays</t>
  </si>
  <si>
    <t>LikelihoodToWin</t>
  </si>
  <si>
    <t>Date</t>
  </si>
  <si>
    <t>StrikeChange(+1/-1)</t>
  </si>
  <si>
    <t>TotalStrikesAfter</t>
  </si>
  <si>
    <t>Reason</t>
  </si>
  <si>
    <t>IssuedBy</t>
  </si>
  <si>
    <t>AppealStatus</t>
  </si>
  <si>
    <t>CountsNow</t>
  </si>
  <si>
    <t>LogID</t>
  </si>
  <si>
    <t>AppealStatus_Effective</t>
  </si>
  <si>
    <t>DecisionBy</t>
  </si>
  <si>
    <t>DecisionDate</t>
  </si>
  <si>
    <t>StrikeDate</t>
  </si>
  <si>
    <t>DaysPending</t>
  </si>
  <si>
    <t>SuggestedAction</t>
  </si>
  <si>
    <t>Decision</t>
  </si>
  <si>
    <t>DecisionNotes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</si>
</sst>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"/>
    <numFmt numFmtId="165" formatCode="mmmmyyyy"/>
    <numFmt numFmtId="166" formatCode="m/d/yyyy h:mm:ss am/pm"/>
    <numFmt numFmtId="167" formatCode="&quot;$&quot;#,##0.00"/>
    <numFmt numFmtId="168" formatCode="yyyy-mm-dd h:mm:ss"/>
    <numFmt numFmtId="169" formatCode="m/d"/>
  </numFmts>
  <fonts count="21">
    <font>
      <sz val="11.0"/>
      <color theme="1"/>
      <name val="Calibri"/>
      <scheme val="minor"/>
    </font>
    <font>
      <sz val="9.0"/>
      <color theme="1"/>
      <name val="Poppins"/>
    </font>
    <font>
      <b/>
      <sz val="9.0"/>
      <color rgb="FFFFFFFF"/>
      <name val="Poppins"/>
    </font>
    <font>
      <b/>
      <sz val="9.0"/>
      <color theme="1"/>
      <name val="Poppins"/>
    </font>
    <font>
      <b/>
      <sz val="20.0"/>
      <color rgb="FF1F4E79"/>
      <name val="Poppins"/>
    </font>
    <font>
      <b/>
      <sz val="12.0"/>
      <color rgb="FF1F4E79"/>
      <name val="Poppins"/>
    </font>
    <font>
      <sz val="9.0"/>
      <color rgb="FF0000FF"/>
      <name val="Poppins"/>
    </font>
    <font>
      <b/>
      <sz val="9.0"/>
      <color rgb="FF1F4E79"/>
      <name val="Poppins"/>
    </font>
    <font>
      <i/>
      <sz val="9.0"/>
      <color theme="1"/>
      <name val="Poppins"/>
    </font>
    <font>
      <b/>
      <sz val="20.0"/>
      <color rgb="FF1155CC"/>
      <name val="Poppins"/>
    </font>
    <font>
      <sz val="9.0"/>
      <color rgb="FF1155CC"/>
      <name val="Poppins"/>
    </font>
    <font>
      <sz val="11.0"/>
      <color theme="1"/>
      <name val="Calibri"/>
    </font>
    <font>
      <b/>
      <sz val="9.0"/>
      <color rgb="FF1155CC"/>
      <name val="Poppins"/>
    </font>
    <font>
      <b/>
      <sz val="16.0"/>
      <color rgb="FF1F4E79"/>
      <name val="Calibri"/>
    </font>
    <font>
      <b/>
      <color rgb="FFFFFFFF"/>
      <name val="Calibri"/>
    </font>
    <font>
      <color theme="1"/>
      <name val="Calibri"/>
      <scheme val="minor"/>
    </font>
    <font>
      <color theme="1"/>
      <name val="Calibri"/>
    </font>
    <font>
      <b/>
      <color theme="1"/>
      <name val="Calibri"/>
    </font>
    <font>
      <color rgb="FF0000FF"/>
      <name val="Calibri"/>
    </font>
    <font>
      <b/>
      <sz val="12.0"/>
      <color rgb="FF1F4E79"/>
      <name val="Calibri"/>
    </font>
    <font>
      <sz val="10.0"/>
      <color rgb="FF40404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DCFCE7"/>
        <bgColor rgb="FFDCFCE7"/>
      </patternFill>
    </fill>
    <fill>
      <patternFill patternType="solid">
        <fgColor rgb="FFEFEFEF"/>
        <bgColor rgb="FFEFEFEF"/>
      </patternFill>
    </fill>
    <fill>
      <patternFill patternType="solid">
        <fgColor rgb="FF1F4E79"/>
        <bgColor rgb="FF1F4E79"/>
      </patternFill>
    </fill>
    <fill>
      <patternFill patternType="solid">
        <fgColor rgb="FF111827"/>
        <bgColor rgb="FF111827"/>
      </patternFill>
    </fill>
    <fill>
      <patternFill patternType="solid">
        <fgColor rgb="FF2F5597"/>
        <bgColor rgb="FF2F5597"/>
      </patternFill>
    </fill>
  </fills>
  <borders count="5">
    <border/>
    <border>
      <left/>
      <right style="dotted">
        <color rgb="FFD9D9D9"/>
      </right>
      <top/>
      <bottom/>
    </border>
    <border>
      <right style="dotted">
        <color rgb="FFD9D9D9"/>
      </right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0" fillId="2" fontId="2" numFmtId="0" xfId="0" applyAlignment="1" applyFill="1" applyFont="1">
      <alignment horizontal="left" readingOrder="0" vertical="center"/>
    </xf>
    <xf borderId="0" fillId="2" fontId="2" numFmtId="0" xfId="0" applyAlignment="1" applyFont="1">
      <alignment horizontal="left" vertical="center"/>
    </xf>
    <xf borderId="0" fillId="3" fontId="3" numFmtId="0" xfId="0" applyAlignment="1" applyFill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6" numFmtId="164" xfId="0" applyAlignment="1" applyFont="1" applyNumberFormat="1">
      <alignment horizontal="left" vertical="center"/>
    </xf>
    <xf borderId="0" fillId="0" fontId="7" numFmtId="0" xfId="0" applyAlignment="1" applyFont="1">
      <alignment horizontal="left" vertical="center"/>
    </xf>
    <xf borderId="0" fillId="0" fontId="8" numFmtId="2" xfId="0" applyAlignment="1" applyFont="1" applyNumberFormat="1">
      <alignment horizontal="left" vertical="center"/>
    </xf>
    <xf borderId="0" fillId="0" fontId="6" numFmtId="2" xfId="0" applyAlignment="1" applyFont="1" applyNumberFormat="1">
      <alignment horizontal="left" vertical="center"/>
    </xf>
    <xf borderId="0" fillId="0" fontId="1" numFmtId="2" xfId="0" applyAlignment="1" applyFont="1" applyNumberFormat="1">
      <alignment horizontal="left" vertical="center"/>
    </xf>
    <xf borderId="0" fillId="0" fontId="6" numFmtId="1" xfId="0" applyAlignment="1" applyFont="1" applyNumberFormat="1">
      <alignment horizontal="left" vertical="center"/>
    </xf>
    <xf borderId="0" fillId="0" fontId="9" numFmtId="0" xfId="0" applyAlignment="1" applyFont="1">
      <alignment horizontal="left" vertical="center"/>
    </xf>
    <xf borderId="1" fillId="4" fontId="10" numFmtId="0" xfId="0" applyAlignment="1" applyBorder="1" applyFill="1" applyFont="1">
      <alignment horizontal="left" vertical="center"/>
    </xf>
    <xf borderId="2" fillId="4" fontId="10" numFmtId="0" xfId="0" applyAlignment="1" applyBorder="1" applyFont="1">
      <alignment horizontal="left" vertical="center"/>
    </xf>
    <xf borderId="3" fillId="4" fontId="10" numFmtId="0" xfId="0" applyAlignment="1" applyBorder="1" applyFont="1">
      <alignment horizontal="left" vertical="center"/>
    </xf>
    <xf borderId="0" fillId="0" fontId="1" numFmtId="0" xfId="0" applyFont="1"/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readingOrder="0"/>
    </xf>
    <xf borderId="0" fillId="0" fontId="11" numFmtId="0" xfId="0" applyFont="1"/>
    <xf borderId="1" fillId="4" fontId="12" numFmtId="0" xfId="0" applyAlignment="1" applyBorder="1" applyFont="1">
      <alignment horizontal="left" readingOrder="0" shrinkToFit="0" vertical="center" wrapText="0"/>
    </xf>
    <xf borderId="2" fillId="4" fontId="12" numFmtId="0" xfId="0" applyAlignment="1" applyBorder="1" applyFont="1">
      <alignment horizontal="left" readingOrder="0" shrinkToFit="0" vertical="center" wrapText="0"/>
    </xf>
    <xf borderId="2" fillId="4" fontId="12" numFmtId="0" xfId="0" applyAlignment="1" applyBorder="1" applyFont="1">
      <alignment horizontal="left" shrinkToFit="0" vertical="center" wrapText="0"/>
    </xf>
    <xf borderId="3" fillId="4" fontId="12" numFmtId="0" xfId="0" applyAlignment="1" applyBorder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readingOrder="0" vertical="center"/>
    </xf>
    <xf borderId="4" fillId="4" fontId="12" numFmtId="0" xfId="0" applyAlignment="1" applyBorder="1" applyFont="1">
      <alignment horizontal="left" shrinkToFit="0" vertical="center" wrapText="1"/>
    </xf>
    <xf borderId="4" fillId="4" fontId="12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vertical="center"/>
    </xf>
    <xf borderId="0" fillId="0" fontId="1" numFmtId="166" xfId="0" applyAlignment="1" applyFont="1" applyNumberFormat="1">
      <alignment horizontal="left" readingOrder="0" vertical="center"/>
    </xf>
    <xf borderId="0" fillId="0" fontId="1" numFmtId="167" xfId="0" applyAlignment="1" applyFont="1" applyNumberFormat="1">
      <alignment horizontal="left" readingOrder="0" vertical="center"/>
    </xf>
    <xf borderId="0" fillId="0" fontId="1" numFmtId="168" xfId="0" applyAlignment="1" applyFont="1" applyNumberFormat="1">
      <alignment horizontal="left" vertical="center"/>
    </xf>
    <xf borderId="0" fillId="0" fontId="13" numFmtId="0" xfId="0" applyFont="1"/>
    <xf borderId="4" fillId="5" fontId="14" numFmtId="0" xfId="0" applyAlignment="1" applyBorder="1" applyFill="1" applyFont="1">
      <alignment horizontal="center" shrinkToFit="0" vertical="center" wrapText="1"/>
    </xf>
    <xf borderId="0" fillId="0" fontId="15" numFmtId="0" xfId="0" applyFont="1"/>
    <xf borderId="0" fillId="0" fontId="16" numFmtId="0" xfId="0" applyFont="1"/>
    <xf borderId="0" fillId="0" fontId="11" numFmtId="168" xfId="0" applyFont="1" applyNumberFormat="1"/>
    <xf borderId="0" fillId="0" fontId="11" numFmtId="0" xfId="0" applyAlignment="1" applyFont="1">
      <alignment readingOrder="0"/>
    </xf>
    <xf borderId="0" fillId="0" fontId="11" numFmtId="169" xfId="0" applyAlignment="1" applyFont="1" applyNumberFormat="1">
      <alignment readingOrder="0"/>
    </xf>
    <xf borderId="0" fillId="0" fontId="16" numFmtId="0" xfId="0" applyAlignment="1" applyFont="1">
      <alignment readingOrder="0"/>
    </xf>
    <xf borderId="4" fillId="6" fontId="14" numFmtId="0" xfId="0" applyAlignment="1" applyBorder="1" applyFill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6" numFmtId="168" xfId="0" applyFont="1" applyNumberFormat="1"/>
    <xf borderId="0" fillId="0" fontId="16" numFmtId="1" xfId="0" applyFont="1" applyNumberFormat="1"/>
    <xf borderId="0" fillId="0" fontId="17" numFmtId="0" xfId="0" applyFont="1"/>
    <xf borderId="0" fillId="0" fontId="18" numFmtId="0" xfId="0" applyFont="1"/>
    <xf borderId="4" fillId="7" fontId="14" numFmtId="0" xfId="0" applyAlignment="1" applyBorder="1" applyFill="1" applyFont="1">
      <alignment horizontal="center" shrinkToFit="0" vertical="center" wrapText="1"/>
    </xf>
    <xf borderId="0" fillId="0" fontId="19" numFmtId="0" xfId="0" applyFont="1"/>
    <xf borderId="0" fillId="0" fontId="20" numFmtId="0" xfId="0" applyFont="1"/>
    <xf borderId="0" fillId="0" fontId="16" numFmtId="164" xfId="0" applyFont="1" applyNumberFormat="1"/>
    <xf borderId="0" fillId="0" fontId="16" numFmtId="0" xfId="0" applyAlignment="1" applyFont="1">
      <alignment horizontal="left"/>
    </xf>
    <xf borderId="0" fillId="0" fontId="11" numFmtId="0" xfId="0" applyAlignment="1" applyFont="1">
      <alignment horizontal="left"/>
    </xf>
    <xf borderId="0" fillId="0" fontId="16" numFmtId="164" xfId="0" applyAlignment="1" applyFont="1" applyNumberFormat="1">
      <alignment horizontal="left"/>
    </xf>
    <xf borderId="0" fillId="0" fontId="16" numFmtId="165" xfId="0" applyAlignment="1" applyFont="1" applyNumberFormat="1">
      <alignment horizontal="left"/>
    </xf>
    <xf borderId="0" fillId="0" fontId="16" numFmtId="165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18.0"/>
    <col customWidth="1" min="3" max="3" width="10.0"/>
    <col customWidth="1" min="4" max="5" width="14.0"/>
    <col customWidth="1" min="6" max="6" width="10.0"/>
    <col customWidth="1" min="7" max="7" width="12.0"/>
    <col customWidth="1" min="8" max="8" width="40.0"/>
    <col customWidth="1" min="9" max="9" width="42.43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/>
      <c r="B3" s="2"/>
      <c r="C3" s="2"/>
      <c r="D3" s="2"/>
      <c r="E3" s="2"/>
      <c r="F3" s="2"/>
      <c r="G3" s="2"/>
      <c r="H3" s="2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2</v>
      </c>
      <c r="B4" s="3" t="s">
        <v>3</v>
      </c>
      <c r="C4" s="4" t="s">
        <v>4</v>
      </c>
      <c r="D4" s="3" t="s">
        <v>5</v>
      </c>
      <c r="E4" s="3" t="s">
        <v>6</v>
      </c>
      <c r="F4" s="4" t="s">
        <v>7</v>
      </c>
      <c r="G4" s="3" t="s">
        <v>8</v>
      </c>
      <c r="H4" s="4" t="s">
        <v>9</v>
      </c>
      <c r="I4" s="4" t="s">
        <v>10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" t="str">
        <f>IFERROR(__xludf.DUMMYFUNCTION("LET(data,Queue_All!A6:AZ500,hdr,Queue_All!A5:AZ5,eflag,Queue_All!AN6:AN500,score,Queue_All!AC6:AC500,filtered,FILTER(data,eflag=1),sorted,SORTBY(filtered,score,-1),CHOOSECOLS(sorted,MATCH(""OrderID"",hdr,0),MATCH(""GrinderName"",hdr,0),MATCH(""Tier"",hdr,"&amp;"0),MATCH(""EffectiveBidAmount"",hdr,0),MATCH(""DeliveryDays"",hdr,0),MATCH(""Margin%"",hdr,0),MATCH(""FinalPriorityScore"",hdr,0),MATCH(""WHY"",hdr,0)))"),"#VALUE!")</f>
        <v>#VALUE!</v>
      </c>
      <c r="B5" s="5"/>
      <c r="C5" s="5"/>
      <c r="D5" s="5"/>
      <c r="E5" s="5"/>
      <c r="F5" s="5"/>
      <c r="G5" s="5"/>
      <c r="H5" s="5"/>
      <c r="I5" s="5" t="str">
        <f t="shared" ref="I5:I504" si="1">IF($A5="","",IF(ROW()=5,"✅ Recommended",""))</f>
        <v>#VALUE!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/>
      <c r="B6" s="2"/>
      <c r="C6" s="2"/>
      <c r="D6" s="2"/>
      <c r="E6" s="2"/>
      <c r="F6" s="2"/>
      <c r="G6" s="2"/>
      <c r="H6" s="2"/>
      <c r="I6" s="1" t="str">
        <f t="shared" si="1"/>
        <v/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/>
      <c r="B7" s="2"/>
      <c r="C7" s="2"/>
      <c r="D7" s="2"/>
      <c r="E7" s="2"/>
      <c r="F7" s="2"/>
      <c r="G7" s="2"/>
      <c r="H7" s="2"/>
      <c r="I7" s="1" t="str">
        <f t="shared" si="1"/>
        <v/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/>
      <c r="B8" s="2"/>
      <c r="C8" s="2"/>
      <c r="D8" s="2"/>
      <c r="E8" s="2"/>
      <c r="F8" s="2"/>
      <c r="G8" s="2"/>
      <c r="H8" s="2"/>
      <c r="I8" s="1" t="str">
        <f t="shared" si="1"/>
        <v/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/>
      <c r="B9" s="2"/>
      <c r="C9" s="2"/>
      <c r="D9" s="2"/>
      <c r="E9" s="2"/>
      <c r="F9" s="2"/>
      <c r="G9" s="2"/>
      <c r="H9" s="2"/>
      <c r="I9" s="1" t="str">
        <f t="shared" si="1"/>
        <v/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/>
      <c r="B10" s="2"/>
      <c r="C10" s="2"/>
      <c r="D10" s="2"/>
      <c r="E10" s="2"/>
      <c r="F10" s="2"/>
      <c r="G10" s="2"/>
      <c r="H10" s="2"/>
      <c r="I10" s="1" t="str">
        <f t="shared" si="1"/>
        <v/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/>
      <c r="B11" s="2"/>
      <c r="C11" s="2"/>
      <c r="D11" s="2"/>
      <c r="E11" s="2"/>
      <c r="F11" s="2"/>
      <c r="G11" s="2"/>
      <c r="H11" s="2"/>
      <c r="I11" s="1" t="str">
        <f t="shared" si="1"/>
        <v/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/>
      <c r="B12" s="2"/>
      <c r="C12" s="2"/>
      <c r="D12" s="2"/>
      <c r="E12" s="2"/>
      <c r="F12" s="2"/>
      <c r="G12" s="2"/>
      <c r="H12" s="2"/>
      <c r="I12" s="1" t="str">
        <f t="shared" si="1"/>
        <v/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/>
      <c r="B13" s="2"/>
      <c r="C13" s="2"/>
      <c r="D13" s="2"/>
      <c r="E13" s="2"/>
      <c r="F13" s="2"/>
      <c r="G13" s="2"/>
      <c r="H13" s="2"/>
      <c r="I13" s="1" t="str">
        <f t="shared" si="1"/>
        <v/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/>
      <c r="B14" s="2"/>
      <c r="C14" s="2"/>
      <c r="D14" s="2"/>
      <c r="E14" s="2"/>
      <c r="F14" s="2"/>
      <c r="G14" s="2"/>
      <c r="H14" s="2"/>
      <c r="I14" s="1" t="str">
        <f t="shared" si="1"/>
        <v/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/>
      <c r="B15" s="2"/>
      <c r="C15" s="2"/>
      <c r="D15" s="2"/>
      <c r="E15" s="2"/>
      <c r="F15" s="2"/>
      <c r="G15" s="2"/>
      <c r="H15" s="2"/>
      <c r="I15" s="1" t="str">
        <f t="shared" si="1"/>
        <v/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/>
      <c r="B16" s="2"/>
      <c r="C16" s="2"/>
      <c r="D16" s="2"/>
      <c r="E16" s="2"/>
      <c r="F16" s="2"/>
      <c r="G16" s="2"/>
      <c r="H16" s="2"/>
      <c r="I16" s="1" t="str">
        <f t="shared" si="1"/>
        <v/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/>
      <c r="B17" s="2"/>
      <c r="C17" s="2"/>
      <c r="D17" s="2"/>
      <c r="E17" s="2"/>
      <c r="F17" s="2"/>
      <c r="G17" s="2"/>
      <c r="H17" s="2"/>
      <c r="I17" s="1" t="str">
        <f t="shared" si="1"/>
        <v/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/>
      <c r="B18" s="2"/>
      <c r="C18" s="2"/>
      <c r="D18" s="2"/>
      <c r="E18" s="2"/>
      <c r="F18" s="2"/>
      <c r="G18" s="2"/>
      <c r="H18" s="2"/>
      <c r="I18" s="1" t="str">
        <f t="shared" si="1"/>
        <v/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/>
      <c r="B19" s="2"/>
      <c r="C19" s="2"/>
      <c r="D19" s="2"/>
      <c r="E19" s="2"/>
      <c r="F19" s="2"/>
      <c r="G19" s="2"/>
      <c r="H19" s="2"/>
      <c r="I19" s="1" t="str">
        <f t="shared" si="1"/>
        <v/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/>
      <c r="B20" s="2"/>
      <c r="C20" s="2"/>
      <c r="D20" s="2"/>
      <c r="E20" s="2"/>
      <c r="F20" s="2"/>
      <c r="G20" s="2"/>
      <c r="H20" s="2"/>
      <c r="I20" s="1" t="str">
        <f t="shared" si="1"/>
        <v/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1" t="str">
        <f t="shared" si="1"/>
        <v/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1" t="str">
        <f t="shared" si="1"/>
        <v/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1" t="str">
        <f t="shared" si="1"/>
        <v/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1" t="str">
        <f t="shared" si="1"/>
        <v/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1" t="str">
        <f t="shared" si="1"/>
        <v/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1" t="str">
        <f t="shared" si="1"/>
        <v/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1" t="str">
        <f t="shared" si="1"/>
        <v/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1" t="str">
        <f t="shared" si="1"/>
        <v/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1" t="str">
        <f t="shared" si="1"/>
        <v/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1" t="str">
        <f t="shared" si="1"/>
        <v/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1" t="str">
        <f t="shared" si="1"/>
        <v/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1" t="str">
        <f t="shared" si="1"/>
        <v/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1" t="str">
        <f t="shared" si="1"/>
        <v/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1" t="str">
        <f t="shared" si="1"/>
        <v/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1" t="str">
        <f t="shared" si="1"/>
        <v/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1" t="str">
        <f t="shared" si="1"/>
        <v/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1" t="str">
        <f t="shared" si="1"/>
        <v/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1" t="str">
        <f t="shared" si="1"/>
        <v/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1" t="str">
        <f t="shared" si="1"/>
        <v/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1" t="str">
        <f t="shared" si="1"/>
        <v/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1" t="str">
        <f t="shared" si="1"/>
        <v/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1" t="str">
        <f t="shared" si="1"/>
        <v/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1" t="str">
        <f t="shared" si="1"/>
        <v/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1" t="str">
        <f t="shared" si="1"/>
        <v/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1" t="str">
        <f t="shared" si="1"/>
        <v/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1" t="str">
        <f t="shared" si="1"/>
        <v/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1" t="str">
        <f t="shared" si="1"/>
        <v/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1" t="str">
        <f t="shared" si="1"/>
        <v/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1" t="str">
        <f t="shared" si="1"/>
        <v/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1" t="str">
        <f t="shared" si="1"/>
        <v/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1" t="str">
        <f t="shared" si="1"/>
        <v/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1" t="str">
        <f t="shared" si="1"/>
        <v/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1" t="str">
        <f t="shared" si="1"/>
        <v/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1" t="str">
        <f t="shared" si="1"/>
        <v/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1" t="str">
        <f t="shared" si="1"/>
        <v/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1" t="str">
        <f t="shared" si="1"/>
        <v/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1" t="str">
        <f t="shared" si="1"/>
        <v/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1" t="str">
        <f t="shared" si="1"/>
        <v/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1" t="str">
        <f t="shared" si="1"/>
        <v/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1" t="str">
        <f t="shared" si="1"/>
        <v/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1" t="str">
        <f t="shared" si="1"/>
        <v/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1" t="str">
        <f t="shared" si="1"/>
        <v/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1" t="str">
        <f t="shared" si="1"/>
        <v/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1" t="str">
        <f t="shared" si="1"/>
        <v/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1" t="str">
        <f t="shared" si="1"/>
        <v/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1" t="str">
        <f t="shared" si="1"/>
        <v/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1" t="str">
        <f t="shared" si="1"/>
        <v/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1" t="str">
        <f t="shared" si="1"/>
        <v/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1" t="str">
        <f t="shared" si="1"/>
        <v/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1" t="str">
        <f t="shared" si="1"/>
        <v/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1" t="str">
        <f t="shared" si="1"/>
        <v/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1" t="str">
        <f t="shared" si="1"/>
        <v/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1" t="str">
        <f t="shared" si="1"/>
        <v/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1" t="str">
        <f t="shared" si="1"/>
        <v/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1" t="str">
        <f t="shared" si="1"/>
        <v/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1" t="str">
        <f t="shared" si="1"/>
        <v/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1" t="str">
        <f t="shared" si="1"/>
        <v/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1" t="str">
        <f t="shared" si="1"/>
        <v/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1" t="str">
        <f t="shared" si="1"/>
        <v/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1" t="str">
        <f t="shared" si="1"/>
        <v/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1" t="str">
        <f t="shared" si="1"/>
        <v/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1" t="str">
        <f t="shared" si="1"/>
        <v/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1" t="str">
        <f t="shared" si="1"/>
        <v/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1" t="str">
        <f t="shared" si="1"/>
        <v/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1" t="str">
        <f t="shared" si="1"/>
        <v/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1" t="str">
        <f t="shared" si="1"/>
        <v/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1" t="str">
        <f t="shared" si="1"/>
        <v/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1" t="str">
        <f t="shared" si="1"/>
        <v/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1" t="str">
        <f t="shared" si="1"/>
        <v/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1" t="str">
        <f t="shared" si="1"/>
        <v/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1" t="str">
        <f t="shared" si="1"/>
        <v/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1" t="str">
        <f t="shared" si="1"/>
        <v/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1" t="str">
        <f t="shared" si="1"/>
        <v/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1" t="str">
        <f t="shared" si="1"/>
        <v/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1" t="str">
        <f t="shared" si="1"/>
        <v/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1" t="str">
        <f t="shared" si="1"/>
        <v/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1" t="str">
        <f t="shared" si="1"/>
        <v/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1" t="str">
        <f t="shared" si="1"/>
        <v/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1" t="str">
        <f t="shared" si="1"/>
        <v/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1" t="str">
        <f t="shared" si="1"/>
        <v/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1" t="str">
        <f t="shared" si="1"/>
        <v/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1" t="str">
        <f t="shared" si="1"/>
        <v/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1" t="str">
        <f t="shared" si="1"/>
        <v/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1" t="str">
        <f t="shared" si="1"/>
        <v/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1" t="str">
        <f t="shared" si="1"/>
        <v/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1" t="str">
        <f t="shared" si="1"/>
        <v/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1" t="str">
        <f t="shared" si="1"/>
        <v/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1" t="str">
        <f t="shared" si="1"/>
        <v/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1" t="str">
        <f t="shared" si="1"/>
        <v/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1" t="str">
        <f t="shared" si="1"/>
        <v/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1" t="str">
        <f t="shared" si="1"/>
        <v/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1" t="str">
        <f t="shared" si="1"/>
        <v/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1" t="str">
        <f t="shared" si="1"/>
        <v/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1" t="str">
        <f t="shared" si="1"/>
        <v/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1" t="str">
        <f t="shared" si="1"/>
        <v/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1" t="str">
        <f t="shared" si="1"/>
        <v/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1" t="str">
        <f t="shared" si="1"/>
        <v/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1" t="str">
        <f t="shared" si="1"/>
        <v/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1" t="str">
        <f t="shared" si="1"/>
        <v/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1" t="str">
        <f t="shared" si="1"/>
        <v/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1" t="str">
        <f t="shared" si="1"/>
        <v/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1" t="str">
        <f t="shared" si="1"/>
        <v/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1" t="str">
        <f t="shared" si="1"/>
        <v/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1" t="str">
        <f t="shared" si="1"/>
        <v/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1" t="str">
        <f t="shared" si="1"/>
        <v/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1" t="str">
        <f t="shared" si="1"/>
        <v/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1" t="str">
        <f t="shared" si="1"/>
        <v/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1" t="str">
        <f t="shared" si="1"/>
        <v/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1" t="str">
        <f t="shared" si="1"/>
        <v/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1" t="str">
        <f t="shared" si="1"/>
        <v/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1" t="str">
        <f t="shared" si="1"/>
        <v/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1" t="str">
        <f t="shared" si="1"/>
        <v/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1" t="str">
        <f t="shared" si="1"/>
        <v/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1" t="str">
        <f t="shared" si="1"/>
        <v/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1" t="str">
        <f t="shared" si="1"/>
        <v/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1" t="str">
        <f t="shared" si="1"/>
        <v/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1" t="str">
        <f t="shared" si="1"/>
        <v/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1" t="str">
        <f t="shared" si="1"/>
        <v/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1" t="str">
        <f t="shared" si="1"/>
        <v/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1" t="str">
        <f t="shared" si="1"/>
        <v/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1" t="str">
        <f t="shared" si="1"/>
        <v/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1" t="str">
        <f t="shared" si="1"/>
        <v/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1" t="str">
        <f t="shared" si="1"/>
        <v/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1" t="str">
        <f t="shared" si="1"/>
        <v/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1" t="str">
        <f t="shared" si="1"/>
        <v/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1" t="str">
        <f t="shared" si="1"/>
        <v/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1" t="str">
        <f t="shared" si="1"/>
        <v/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1" t="str">
        <f t="shared" si="1"/>
        <v/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1" t="str">
        <f t="shared" si="1"/>
        <v/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1" t="str">
        <f t="shared" si="1"/>
        <v/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1" t="str">
        <f t="shared" si="1"/>
        <v/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1" t="str">
        <f t="shared" si="1"/>
        <v/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1" t="str">
        <f t="shared" si="1"/>
        <v/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1" t="str">
        <f t="shared" si="1"/>
        <v/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1" t="str">
        <f t="shared" si="1"/>
        <v/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1" t="str">
        <f t="shared" si="1"/>
        <v/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1" t="str">
        <f t="shared" si="1"/>
        <v/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1" t="str">
        <f t="shared" si="1"/>
        <v/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1" t="str">
        <f t="shared" si="1"/>
        <v/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1" t="str">
        <f t="shared" si="1"/>
        <v/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1" t="str">
        <f t="shared" si="1"/>
        <v/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1" t="str">
        <f t="shared" si="1"/>
        <v/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1" t="str">
        <f t="shared" si="1"/>
        <v/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1" t="str">
        <f t="shared" si="1"/>
        <v/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1" t="str">
        <f t="shared" si="1"/>
        <v/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1" t="str">
        <f t="shared" si="1"/>
        <v/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1" t="str">
        <f t="shared" si="1"/>
        <v/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1" t="str">
        <f t="shared" si="1"/>
        <v/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1" t="str">
        <f t="shared" si="1"/>
        <v/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1" t="str">
        <f t="shared" si="1"/>
        <v/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1" t="str">
        <f t="shared" si="1"/>
        <v/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1" t="str">
        <f t="shared" si="1"/>
        <v/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1" t="str">
        <f t="shared" si="1"/>
        <v/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1" t="str">
        <f t="shared" si="1"/>
        <v/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1" t="str">
        <f t="shared" si="1"/>
        <v/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1" t="str">
        <f t="shared" si="1"/>
        <v/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1" t="str">
        <f t="shared" si="1"/>
        <v/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1" t="str">
        <f t="shared" si="1"/>
        <v/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1" t="str">
        <f t="shared" si="1"/>
        <v/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1" t="str">
        <f t="shared" si="1"/>
        <v/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1" t="str">
        <f t="shared" si="1"/>
        <v/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1" t="str">
        <f t="shared" si="1"/>
        <v/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1" t="str">
        <f t="shared" si="1"/>
        <v/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1" t="str">
        <f t="shared" si="1"/>
        <v/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1" t="str">
        <f t="shared" si="1"/>
        <v/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1" t="str">
        <f t="shared" si="1"/>
        <v/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1" t="str">
        <f t="shared" si="1"/>
        <v/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1" t="str">
        <f t="shared" si="1"/>
        <v/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1" t="str">
        <f t="shared" si="1"/>
        <v/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1" t="str">
        <f t="shared" si="1"/>
        <v/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1" t="str">
        <f t="shared" si="1"/>
        <v/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1" t="str">
        <f t="shared" si="1"/>
        <v/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1" t="str">
        <f t="shared" si="1"/>
        <v/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1" t="str">
        <f t="shared" si="1"/>
        <v/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1" t="str">
        <f t="shared" si="1"/>
        <v/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1" t="str">
        <f t="shared" si="1"/>
        <v/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1" t="str">
        <f t="shared" si="1"/>
        <v/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1" t="str">
        <f t="shared" si="1"/>
        <v/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1" t="str">
        <f t="shared" si="1"/>
        <v/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1" t="str">
        <f t="shared" si="1"/>
        <v/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1" t="str">
        <f t="shared" si="1"/>
        <v/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1" t="str">
        <f t="shared" si="1"/>
        <v/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1" t="str">
        <f t="shared" si="1"/>
        <v/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1" t="str">
        <f t="shared" si="1"/>
        <v/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1" t="str">
        <f t="shared" si="1"/>
        <v/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1" t="str">
        <f t="shared" si="1"/>
        <v/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1" t="str">
        <f t="shared" si="1"/>
        <v/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1" t="str">
        <f t="shared" si="1"/>
        <v/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1" t="str">
        <f t="shared" si="1"/>
        <v/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1" t="str">
        <f t="shared" si="1"/>
        <v/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1" t="str">
        <f t="shared" si="1"/>
        <v/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1" t="str">
        <f t="shared" si="1"/>
        <v/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1" t="str">
        <f t="shared" si="1"/>
        <v/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1" t="str">
        <f t="shared" si="1"/>
        <v/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1" t="str">
        <f t="shared" si="1"/>
        <v/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1" t="str">
        <f t="shared" si="1"/>
        <v/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1" t="str">
        <f t="shared" si="1"/>
        <v/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1" t="str">
        <f t="shared" si="1"/>
        <v/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1" t="str">
        <f t="shared" si="1"/>
        <v/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1" t="str">
        <f t="shared" si="1"/>
        <v/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1" t="str">
        <f t="shared" si="1"/>
        <v/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1" t="str">
        <f t="shared" si="1"/>
        <v/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1" t="str">
        <f t="shared" si="1"/>
        <v/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1" t="str">
        <f t="shared" si="1"/>
        <v/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1" t="str">
        <f t="shared" si="1"/>
        <v/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1" t="str">
        <f t="shared" si="1"/>
        <v/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1" t="str">
        <f t="shared" si="1"/>
        <v/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1" t="str">
        <f t="shared" si="1"/>
        <v/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1" t="str">
        <f t="shared" si="1"/>
        <v/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1" t="str">
        <f t="shared" si="1"/>
        <v/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1" t="str">
        <f t="shared" si="1"/>
        <v/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1" t="str">
        <f t="shared" si="1"/>
        <v/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1" t="str">
        <f t="shared" si="1"/>
        <v/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1" t="str">
        <f t="shared" si="1"/>
        <v/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1" t="str">
        <f t="shared" si="1"/>
        <v/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1" t="str">
        <f t="shared" si="1"/>
        <v/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1" t="str">
        <f t="shared" si="1"/>
        <v/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1" t="str">
        <f t="shared" si="1"/>
        <v/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1" t="str">
        <f t="shared" si="1"/>
        <v/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1" t="str">
        <f t="shared" si="1"/>
        <v/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1" t="str">
        <f t="shared" si="1"/>
        <v/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1" t="str">
        <f t="shared" si="1"/>
        <v/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1" t="str">
        <f t="shared" si="1"/>
        <v/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1" t="str">
        <f t="shared" si="1"/>
        <v/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1" t="str">
        <f t="shared" si="1"/>
        <v/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1" t="str">
        <f t="shared" si="1"/>
        <v/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1" t="str">
        <f t="shared" si="1"/>
        <v/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1" t="str">
        <f t="shared" si="1"/>
        <v/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1" t="str">
        <f t="shared" si="1"/>
        <v/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1" t="str">
        <f t="shared" si="1"/>
        <v/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1" t="str">
        <f t="shared" si="1"/>
        <v/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1" t="str">
        <f t="shared" si="1"/>
        <v/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1" t="str">
        <f t="shared" si="1"/>
        <v/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1" t="str">
        <f t="shared" si="1"/>
        <v/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1" t="str">
        <f t="shared" si="1"/>
        <v/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1" t="str">
        <f t="shared" si="1"/>
        <v/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1" t="str">
        <f t="shared" si="1"/>
        <v/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1" t="str">
        <f t="shared" si="1"/>
        <v/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1" t="str">
        <f t="shared" si="1"/>
        <v/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1" t="str">
        <f t="shared" si="1"/>
        <v/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1" t="str">
        <f t="shared" si="1"/>
        <v/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1" t="str">
        <f t="shared" si="1"/>
        <v/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1" t="str">
        <f t="shared" si="1"/>
        <v/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1" t="str">
        <f t="shared" si="1"/>
        <v/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1" t="str">
        <f t="shared" si="1"/>
        <v/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1" t="str">
        <f t="shared" si="1"/>
        <v/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1" t="str">
        <f t="shared" si="1"/>
        <v/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1" t="str">
        <f t="shared" si="1"/>
        <v/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1" t="str">
        <f t="shared" si="1"/>
        <v/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1" t="str">
        <f t="shared" si="1"/>
        <v/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1" t="str">
        <f t="shared" si="1"/>
        <v/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1" t="str">
        <f t="shared" si="1"/>
        <v/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1" t="str">
        <f t="shared" si="1"/>
        <v/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1" t="str">
        <f t="shared" si="1"/>
        <v/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1" t="str">
        <f t="shared" si="1"/>
        <v/>
      </c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1" t="str">
        <f t="shared" si="1"/>
        <v/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1" t="str">
        <f t="shared" si="1"/>
        <v/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1" t="str">
        <f t="shared" si="1"/>
        <v/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1" t="str">
        <f t="shared" si="1"/>
        <v/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1" t="str">
        <f t="shared" si="1"/>
        <v/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1" t="str">
        <f t="shared" si="1"/>
        <v/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1" t="str">
        <f t="shared" si="1"/>
        <v/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1" t="str">
        <f t="shared" si="1"/>
        <v/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1" t="str">
        <f t="shared" si="1"/>
        <v/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1" t="str">
        <f t="shared" si="1"/>
        <v/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1" t="str">
        <f t="shared" si="1"/>
        <v/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1" t="str">
        <f t="shared" si="1"/>
        <v/>
      </c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1" t="str">
        <f t="shared" si="1"/>
        <v/>
      </c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1" t="str">
        <f t="shared" si="1"/>
        <v/>
      </c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1" t="str">
        <f t="shared" si="1"/>
        <v/>
      </c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1" t="str">
        <f t="shared" si="1"/>
        <v/>
      </c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1" t="str">
        <f t="shared" si="1"/>
        <v/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1" t="str">
        <f t="shared" si="1"/>
        <v/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1" t="str">
        <f t="shared" si="1"/>
        <v/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1" t="str">
        <f t="shared" si="1"/>
        <v/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1" t="str">
        <f t="shared" si="1"/>
        <v/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1" t="str">
        <f t="shared" si="1"/>
        <v/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1" t="str">
        <f t="shared" si="1"/>
        <v/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1" t="str">
        <f t="shared" si="1"/>
        <v/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1" t="str">
        <f t="shared" si="1"/>
        <v/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1" t="str">
        <f t="shared" si="1"/>
        <v/>
      </c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1" t="str">
        <f t="shared" si="1"/>
        <v/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1" t="str">
        <f t="shared" si="1"/>
        <v/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1" t="str">
        <f t="shared" si="1"/>
        <v/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1" t="str">
        <f t="shared" si="1"/>
        <v/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1" t="str">
        <f t="shared" si="1"/>
        <v/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1" t="str">
        <f t="shared" si="1"/>
        <v/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1" t="str">
        <f t="shared" si="1"/>
        <v/>
      </c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1" t="str">
        <f t="shared" si="1"/>
        <v/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1" t="str">
        <f t="shared" si="1"/>
        <v/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1" t="str">
        <f t="shared" si="1"/>
        <v/>
      </c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1" t="str">
        <f t="shared" si="1"/>
        <v/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1" t="str">
        <f t="shared" si="1"/>
        <v/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1" t="str">
        <f t="shared" si="1"/>
        <v/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1" t="str">
        <f t="shared" si="1"/>
        <v/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1" t="str">
        <f t="shared" si="1"/>
        <v/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1" t="str">
        <f t="shared" si="1"/>
        <v/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1" t="str">
        <f t="shared" si="1"/>
        <v/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1" t="str">
        <f t="shared" si="1"/>
        <v/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1" t="str">
        <f t="shared" si="1"/>
        <v/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1" t="str">
        <f t="shared" si="1"/>
        <v/>
      </c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1" t="str">
        <f t="shared" si="1"/>
        <v/>
      </c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1" t="str">
        <f t="shared" si="1"/>
        <v/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1" t="str">
        <f t="shared" si="1"/>
        <v/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1" t="str">
        <f t="shared" si="1"/>
        <v/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1" t="str">
        <f t="shared" si="1"/>
        <v/>
      </c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1" t="str">
        <f t="shared" si="1"/>
        <v/>
      </c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1" t="str">
        <f t="shared" si="1"/>
        <v/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1" t="str">
        <f t="shared" si="1"/>
        <v/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1" t="str">
        <f t="shared" si="1"/>
        <v/>
      </c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1" t="str">
        <f t="shared" si="1"/>
        <v/>
      </c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1" t="str">
        <f t="shared" si="1"/>
        <v/>
      </c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1" t="str">
        <f t="shared" si="1"/>
        <v/>
      </c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1" t="str">
        <f t="shared" si="1"/>
        <v/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1" t="str">
        <f t="shared" si="1"/>
        <v/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1" t="str">
        <f t="shared" si="1"/>
        <v/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1" t="str">
        <f t="shared" si="1"/>
        <v/>
      </c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1" t="str">
        <f t="shared" si="1"/>
        <v/>
      </c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1" t="str">
        <f t="shared" si="1"/>
        <v/>
      </c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1" t="str">
        <f t="shared" si="1"/>
        <v/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1" t="str">
        <f t="shared" si="1"/>
        <v/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1" t="str">
        <f t="shared" si="1"/>
        <v/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1" t="str">
        <f t="shared" si="1"/>
        <v/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1" t="str">
        <f t="shared" si="1"/>
        <v/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1" t="str">
        <f t="shared" si="1"/>
        <v/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1" t="str">
        <f t="shared" si="1"/>
        <v/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1" t="str">
        <f t="shared" si="1"/>
        <v/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1" t="str">
        <f t="shared" si="1"/>
        <v/>
      </c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1" t="str">
        <f t="shared" si="1"/>
        <v/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1" t="str">
        <f t="shared" si="1"/>
        <v/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1" t="str">
        <f t="shared" si="1"/>
        <v/>
      </c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1" t="str">
        <f t="shared" si="1"/>
        <v/>
      </c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1" t="str">
        <f t="shared" si="1"/>
        <v/>
      </c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1" t="str">
        <f t="shared" si="1"/>
        <v/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1" t="str">
        <f t="shared" si="1"/>
        <v/>
      </c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1" t="str">
        <f t="shared" si="1"/>
        <v/>
      </c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1" t="str">
        <f t="shared" si="1"/>
        <v/>
      </c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1" t="str">
        <f t="shared" si="1"/>
        <v/>
      </c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1" t="str">
        <f t="shared" si="1"/>
        <v/>
      </c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1" t="str">
        <f t="shared" si="1"/>
        <v/>
      </c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1" t="str">
        <f t="shared" si="1"/>
        <v/>
      </c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1" t="str">
        <f t="shared" si="1"/>
        <v/>
      </c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1" t="str">
        <f t="shared" si="1"/>
        <v/>
      </c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1" t="str">
        <f t="shared" si="1"/>
        <v/>
      </c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1" t="str">
        <f t="shared" si="1"/>
        <v/>
      </c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1" t="str">
        <f t="shared" si="1"/>
        <v/>
      </c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1" t="str">
        <f t="shared" si="1"/>
        <v/>
      </c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1" t="str">
        <f t="shared" si="1"/>
        <v/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1" t="str">
        <f t="shared" si="1"/>
        <v/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1" t="str">
        <f t="shared" si="1"/>
        <v/>
      </c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1" t="str">
        <f t="shared" si="1"/>
        <v/>
      </c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1" t="str">
        <f t="shared" si="1"/>
        <v/>
      </c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1" t="str">
        <f t="shared" si="1"/>
        <v/>
      </c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1" t="str">
        <f t="shared" si="1"/>
        <v/>
      </c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1" t="str">
        <f t="shared" si="1"/>
        <v/>
      </c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1" t="str">
        <f t="shared" si="1"/>
        <v/>
      </c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1" t="str">
        <f t="shared" si="1"/>
        <v/>
      </c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1" t="str">
        <f t="shared" si="1"/>
        <v/>
      </c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1" t="str">
        <f t="shared" si="1"/>
        <v/>
      </c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1" t="str">
        <f t="shared" si="1"/>
        <v/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1" t="str">
        <f t="shared" si="1"/>
        <v/>
      </c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1" t="str">
        <f t="shared" si="1"/>
        <v/>
      </c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1" t="str">
        <f t="shared" si="1"/>
        <v/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1" t="str">
        <f t="shared" si="1"/>
        <v/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1" t="str">
        <f t="shared" si="1"/>
        <v/>
      </c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1" t="str">
        <f t="shared" si="1"/>
        <v/>
      </c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1" t="str">
        <f t="shared" si="1"/>
        <v/>
      </c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1" t="str">
        <f t="shared" si="1"/>
        <v/>
      </c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1" t="str">
        <f t="shared" si="1"/>
        <v/>
      </c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1" t="str">
        <f t="shared" si="1"/>
        <v/>
      </c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1" t="str">
        <f t="shared" si="1"/>
        <v/>
      </c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1" t="str">
        <f t="shared" si="1"/>
        <v/>
      </c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1" t="str">
        <f t="shared" si="1"/>
        <v/>
      </c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1" t="str">
        <f t="shared" si="1"/>
        <v/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1" t="str">
        <f t="shared" si="1"/>
        <v/>
      </c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1" t="str">
        <f t="shared" si="1"/>
        <v/>
      </c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1" t="str">
        <f t="shared" si="1"/>
        <v/>
      </c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1" t="str">
        <f t="shared" si="1"/>
        <v/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1" t="str">
        <f t="shared" si="1"/>
        <v/>
      </c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1" t="str">
        <f t="shared" si="1"/>
        <v/>
      </c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1" t="str">
        <f t="shared" si="1"/>
        <v/>
      </c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1" t="str">
        <f t="shared" si="1"/>
        <v/>
      </c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1" t="str">
        <f t="shared" si="1"/>
        <v/>
      </c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1" t="str">
        <f t="shared" si="1"/>
        <v/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1" t="str">
        <f t="shared" si="1"/>
        <v/>
      </c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1" t="str">
        <f t="shared" si="1"/>
        <v/>
      </c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1" t="str">
        <f t="shared" si="1"/>
        <v/>
      </c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1" t="str">
        <f t="shared" si="1"/>
        <v/>
      </c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1" t="str">
        <f t="shared" si="1"/>
        <v/>
      </c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1" t="str">
        <f t="shared" si="1"/>
        <v/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1" t="str">
        <f t="shared" si="1"/>
        <v/>
      </c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1" t="str">
        <f t="shared" si="1"/>
        <v/>
      </c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1" t="str">
        <f t="shared" si="1"/>
        <v/>
      </c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1" t="str">
        <f t="shared" si="1"/>
        <v/>
      </c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1" t="str">
        <f t="shared" si="1"/>
        <v/>
      </c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1" t="str">
        <f t="shared" si="1"/>
        <v/>
      </c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1" t="str">
        <f t="shared" si="1"/>
        <v/>
      </c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1" t="str">
        <f t="shared" si="1"/>
        <v/>
      </c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1" t="str">
        <f t="shared" si="1"/>
        <v/>
      </c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1" t="str">
        <f t="shared" si="1"/>
        <v/>
      </c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1" t="str">
        <f t="shared" si="1"/>
        <v/>
      </c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1" t="str">
        <f t="shared" si="1"/>
        <v/>
      </c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1" t="str">
        <f t="shared" si="1"/>
        <v/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1" t="str">
        <f t="shared" si="1"/>
        <v/>
      </c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1" t="str">
        <f t="shared" si="1"/>
        <v/>
      </c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1" t="str">
        <f t="shared" si="1"/>
        <v/>
      </c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1" t="str">
        <f t="shared" si="1"/>
        <v/>
      </c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1" t="str">
        <f t="shared" si="1"/>
        <v/>
      </c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1" t="str">
        <f t="shared" si="1"/>
        <v/>
      </c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1" t="str">
        <f t="shared" si="1"/>
        <v/>
      </c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1" t="str">
        <f t="shared" si="1"/>
        <v/>
      </c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1" t="str">
        <f t="shared" si="1"/>
        <v/>
      </c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1" t="str">
        <f t="shared" si="1"/>
        <v/>
      </c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1" t="str">
        <f t="shared" si="1"/>
        <v/>
      </c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1" t="str">
        <f t="shared" si="1"/>
        <v/>
      </c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1" t="str">
        <f t="shared" si="1"/>
        <v/>
      </c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1" t="str">
        <f t="shared" si="1"/>
        <v/>
      </c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1" t="str">
        <f t="shared" si="1"/>
        <v/>
      </c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1" t="str">
        <f t="shared" si="1"/>
        <v/>
      </c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1" t="str">
        <f t="shared" si="1"/>
        <v/>
      </c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1" t="str">
        <f t="shared" si="1"/>
        <v/>
      </c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1" t="str">
        <f t="shared" si="1"/>
        <v/>
      </c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1" t="str">
        <f t="shared" si="1"/>
        <v/>
      </c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1" t="str">
        <f t="shared" si="1"/>
        <v/>
      </c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1" t="str">
        <f t="shared" si="1"/>
        <v/>
      </c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1" t="str">
        <f t="shared" si="1"/>
        <v/>
      </c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1" t="str">
        <f t="shared" si="1"/>
        <v/>
      </c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1" t="str">
        <f t="shared" si="1"/>
        <v/>
      </c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1" t="str">
        <f t="shared" si="1"/>
        <v/>
      </c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1" t="str">
        <f t="shared" si="1"/>
        <v/>
      </c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1" t="str">
        <f t="shared" si="1"/>
        <v/>
      </c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1" t="str">
        <f t="shared" si="1"/>
        <v/>
      </c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1" t="str">
        <f t="shared" si="1"/>
        <v/>
      </c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1" t="str">
        <f t="shared" si="1"/>
        <v/>
      </c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1" t="str">
        <f t="shared" si="1"/>
        <v/>
      </c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1" t="str">
        <f t="shared" si="1"/>
        <v/>
      </c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1" t="str">
        <f t="shared" si="1"/>
        <v/>
      </c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1" t="str">
        <f t="shared" si="1"/>
        <v/>
      </c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1" t="str">
        <f t="shared" si="1"/>
        <v/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1" t="str">
        <f t="shared" si="1"/>
        <v/>
      </c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1" t="str">
        <f t="shared" si="1"/>
        <v/>
      </c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1" t="str">
        <f t="shared" si="1"/>
        <v/>
      </c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1" t="str">
        <f t="shared" si="1"/>
        <v/>
      </c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1" t="str">
        <f t="shared" si="1"/>
        <v/>
      </c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1" t="str">
        <f t="shared" si="1"/>
        <v/>
      </c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1" t="str">
        <f t="shared" si="1"/>
        <v/>
      </c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1" t="str">
        <f t="shared" si="1"/>
        <v/>
      </c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1" t="str">
        <f t="shared" si="1"/>
        <v/>
      </c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1" t="str">
        <f t="shared" si="1"/>
        <v/>
      </c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1" t="str">
        <f t="shared" si="1"/>
        <v/>
      </c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1" t="str">
        <f t="shared" si="1"/>
        <v/>
      </c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1" t="str">
        <f t="shared" si="1"/>
        <v/>
      </c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1" t="str">
        <f t="shared" si="1"/>
        <v/>
      </c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1" t="str">
        <f t="shared" si="1"/>
        <v/>
      </c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1" t="str">
        <f t="shared" si="1"/>
        <v/>
      </c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1" t="str">
        <f t="shared" si="1"/>
        <v/>
      </c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1" t="str">
        <f t="shared" si="1"/>
        <v/>
      </c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1" t="str">
        <f t="shared" si="1"/>
        <v/>
      </c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1" t="str">
        <f t="shared" si="1"/>
        <v/>
      </c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1" t="str">
        <f t="shared" si="1"/>
        <v/>
      </c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1" t="str">
        <f t="shared" si="1"/>
        <v/>
      </c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1" t="str">
        <f t="shared" si="1"/>
        <v/>
      </c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1" t="str">
        <f t="shared" si="1"/>
        <v/>
      </c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1" t="str">
        <f t="shared" si="1"/>
        <v/>
      </c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1" t="str">
        <f t="shared" si="1"/>
        <v/>
      </c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1" t="str">
        <f t="shared" si="1"/>
        <v/>
      </c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1" t="str">
        <f t="shared" si="1"/>
        <v/>
      </c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1" t="str">
        <f t="shared" si="1"/>
        <v/>
      </c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1" t="str">
        <f t="shared" si="1"/>
        <v/>
      </c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1" t="str">
        <f t="shared" si="1"/>
        <v/>
      </c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1" t="str">
        <f t="shared" si="1"/>
        <v/>
      </c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1" t="str">
        <f t="shared" si="1"/>
        <v/>
      </c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1" t="str">
        <f t="shared" si="1"/>
        <v/>
      </c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1" t="str">
        <f t="shared" si="1"/>
        <v/>
      </c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1" t="str">
        <f t="shared" si="1"/>
        <v/>
      </c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1" t="str">
        <f t="shared" si="1"/>
        <v/>
      </c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1" t="str">
        <f t="shared" si="1"/>
        <v/>
      </c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1" t="str">
        <f t="shared" si="1"/>
        <v/>
      </c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1" t="str">
        <f t="shared" si="1"/>
        <v/>
      </c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1" t="str">
        <f t="shared" si="1"/>
        <v/>
      </c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1" t="str">
        <f t="shared" si="1"/>
        <v/>
      </c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1" t="str">
        <f t="shared" si="1"/>
        <v/>
      </c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1" t="str">
        <f t="shared" si="1"/>
        <v/>
      </c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1" t="str">
        <f t="shared" si="1"/>
        <v/>
      </c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conditionalFormatting sqref="E5:E50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50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tr">
        <f>Queue_All!A5:AO5</f>
        <v>QUEUE POSITION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tr">
        <f>IFERROR(__xludf.DUMMYFUNCTION("LET(data,Queue_All!A6:AO500,flag,Queue_All!AN6:AN500,FILTER(data,flag=1,""No emergency orders""))"),"#N/A")</f>
        <v>#N/A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7.57"/>
    <col customWidth="1" min="2" max="51" width="8.71"/>
  </cols>
  <sheetData>
    <row r="1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>
      <c r="A2" s="1" t="s">
        <v>14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>
      <c r="A4" s="1" t="str">
        <f>IFERROR(__xludf.DUMMYFUNCTION("LET(
data,Queue_All!A6:CA500,
flag,Queue_All!AN6:AN500,
ordcol,Queue_All!C6:C500,
scorecol,Queue_All!AC6:AC500,
orders,UNIQUE(FILTER(ordcol,flag=1)),
header,Queue_All!A5:CA5,
REDUCE(header,orders,LAMBDA(acc,o,
LET(
rows,FILTER(data,(ordcol=o)*(flag=1),"""&amp;"""),
scores,FILTER(scorecol,(ordcol=o)*(flag=1),""""),
top,TAKE(SORTBY(rows,scores,-1),5),
VSTACK(acc,"""",HSTACK(""ORDER:"",o),top)
)
))
)"),"QUEUE POSITION")</f>
        <v>QUEUE POSITION</v>
      </c>
      <c r="B4" s="1" t="str">
        <f>IFERROR(__xludf.DUMMYFUNCTION("""COMPUTED_VALUE"""),"BidID")</f>
        <v>BidID</v>
      </c>
      <c r="C4" s="1" t="str">
        <f>IFERROR(__xludf.DUMMYFUNCTION("""COMPUTED_VALUE"""),"OrderID")</f>
        <v>OrderID</v>
      </c>
      <c r="D4" s="1" t="str">
        <f>IFERROR(__xludf.DUMMYFUNCTION("""COMPUTED_VALUE"""),"OrderStatus")</f>
        <v>OrderStatus</v>
      </c>
      <c r="E4" s="1" t="str">
        <f>IFERROR(__xludf.DUMMYFUNCTION("""COMPUTED_VALUE"""),"Service")</f>
        <v>Service</v>
      </c>
      <c r="F4" s="1" t="str">
        <f>IFERROR(__xludf.DUMMYFUNCTION("""COMPUTED_VALUE"""),"CustomerPrice")</f>
        <v>CustomerPrice</v>
      </c>
      <c r="G4" s="1" t="str">
        <f>IFERROR(__xludf.DUMMYFUNCTION("""COMPUTED_VALUE"""),"DueDateTime")</f>
        <v>DueDateTime</v>
      </c>
      <c r="H4" s="1" t="str">
        <f>IFERROR(__xludf.DUMMYFUNCTION("""COMPUTED_VALUE"""),"Rush")</f>
        <v>Rush</v>
      </c>
      <c r="I4" s="1" t="str">
        <f>IFERROR(__xludf.DUMMYFUNCTION("""COMPUTED_VALUE"""),"Complexity")</f>
        <v>Complexity</v>
      </c>
      <c r="J4" s="1" t="str">
        <f>IFERROR(__xludf.DUMMYFUNCTION("""COMPUTED_VALUE"""),"GrinderID")</f>
        <v>GrinderID</v>
      </c>
      <c r="K4" s="1" t="str">
        <f>IFERROR(__xludf.DUMMYFUNCTION("""COMPUTED_VALUE"""),"GrinderName")</f>
        <v>GrinderName</v>
      </c>
      <c r="L4" s="1" t="str">
        <f>IFERROR(__xludf.DUMMYFUNCTION("""COMPUTED_VALUE"""),"Tier")</f>
        <v>Tier</v>
      </c>
      <c r="M4" s="1" t="str">
        <f>IFERROR(__xludf.DUMMYFUNCTION("""COMPUTED_VALUE"""),"Capacity")</f>
        <v>Capacity</v>
      </c>
      <c r="N4" s="1" t="str">
        <f>IFERROR(__xludf.DUMMYFUNCTION("""COMPUTED_VALUE"""),"ActiveOrders")</f>
        <v>ActiveOrders</v>
      </c>
      <c r="O4" s="1" t="str">
        <f>IFERROR(__xludf.DUMMYFUNCTION("""COMPUTED_VALUE"""),"Utilization")</f>
        <v>Utilization</v>
      </c>
      <c r="P4" s="1" t="str">
        <f>IFERROR(__xludf.DUMMYFUNCTION("""COMPUTED_VALUE"""),"OrdersAssigned7d")</f>
        <v>OrdersAssigned7d</v>
      </c>
      <c r="Q4" s="1" t="str">
        <f>IFERROR(__xludf.DUMMYFUNCTION("""COMPUTED_VALUE"""),"DaysIdle")</f>
        <v>DaysIdle</v>
      </c>
      <c r="R4" s="1" t="str">
        <f>IFERROR(__xludf.DUMMYFUNCTION("""COMPUTED_VALUE"""),"FairnessScore")</f>
        <v>FairnessScore</v>
      </c>
      <c r="S4" s="1" t="str">
        <f>IFERROR(__xludf.DUMMYFUNCTION("""COMPUTED_VALUE"""),"BidAmount")</f>
        <v>BidAmount</v>
      </c>
      <c r="T4" s="1" t="str">
        <f>IFERROR(__xludf.DUMMYFUNCTION("""COMPUTED_VALUE"""),"EstDeliveryDateTime")</f>
        <v>EstDeliveryDateTime</v>
      </c>
      <c r="U4" s="1" t="str">
        <f>IFERROR(__xludf.DUMMYFUNCTION("""COMPUTED_VALUE"""),"Margin%")</f>
        <v>Margin%</v>
      </c>
      <c r="V4" s="1" t="str">
        <f>IFERROR(__xludf.DUMMYFUNCTION("""COMPUTED_VALUE"""),"ProfitScore")</f>
        <v>ProfitScore</v>
      </c>
      <c r="W4" s="1" t="str">
        <f>IFERROR(__xludf.DUMMYFUNCTION("""COMPUTED_VALUE"""),"TierScore")</f>
        <v>TierScore</v>
      </c>
      <c r="X4" s="1" t="str">
        <f>IFERROR(__xludf.DUMMYFUNCTION("""COMPUTED_VALUE"""),"DeliveryScore")</f>
        <v>DeliveryScore</v>
      </c>
      <c r="Y4" s="1" t="str">
        <f>IFERROR(__xludf.DUMMYFUNCTION("""COMPUTED_VALUE"""),"QualityScore")</f>
        <v>QualityScore</v>
      </c>
      <c r="Z4" s="1" t="str">
        <f>IFERROR(__xludf.DUMMYFUNCTION("""COMPUTED_VALUE"""),"ReliabilityScore")</f>
        <v>ReliabilityScore</v>
      </c>
      <c r="AA4" s="1" t="str">
        <f>IFERROR(__xludf.DUMMYFUNCTION("""COMPUTED_VALUE"""),"RiskScore")</f>
        <v>RiskScore</v>
      </c>
      <c r="AB4" s="1" t="str">
        <f>IFERROR(__xludf.DUMMYFUNCTION("""COMPUTED_VALUE"""),"Eligible")</f>
        <v>Eligible</v>
      </c>
      <c r="AC4" s="1" t="str">
        <f>IFERROR(__xludf.DUMMYFUNCTION("""COMPUTED_VALUE"""),"FinalPriorityScore")</f>
        <v>FinalPriorityScore</v>
      </c>
      <c r="AD4" s="1" t="str">
        <f>IFERROR(__xludf.DUMMYFUNCTION("""COMPUTED_VALUE"""),"RankWithinOrder")</f>
        <v>RankWithinOrder</v>
      </c>
      <c r="AE4" s="1" t="str">
        <f>IFERROR(__xludf.DUMMYFUNCTION("""COMPUTED_VALUE"""),"WinnerFlag")</f>
        <v>WinnerFlag</v>
      </c>
      <c r="AF4" s="1" t="str">
        <f>IFERROR(__xludf.DUMMYFUNCTION("""COMPUTED_VALUE"""),"Why_Breakdown")</f>
        <v>Why_Breakdown</v>
      </c>
      <c r="AG4" s="1" t="str">
        <f>IFERROR(__xludf.DUMMYFUNCTION("""COMPUTED_VALUE"""),"LifetimeAssigned")</f>
        <v>LifetimeAssigned</v>
      </c>
      <c r="AH4" s="1" t="str">
        <f>IFERROR(__xludf.DUMMYFUNCTION("""COMPUTED_VALUE"""),"NewGrinderBonus")</f>
        <v>NewGrinderBonus</v>
      </c>
      <c r="AI4" s="1" t="str">
        <f>IFERROR(__xludf.DUMMYFUNCTION("""COMPUTED_VALUE"""),"HighValueEliteBonus")</f>
        <v>HighValueEliteBonus</v>
      </c>
      <c r="AJ4" s="1"/>
      <c r="AK4" s="1" t="str">
        <f>IFERROR(__xludf.DUMMYFUNCTION("""COMPUTED_VALUE"""),"StrikePenalty")</f>
        <v>StrikePenalty</v>
      </c>
      <c r="AL4" s="1" t="str">
        <f>IFERROR(__xludf.DUMMYFUNCTION("""COMPUTED_VALUE"""),"StrikeLockout")</f>
        <v>StrikeLockout</v>
      </c>
      <c r="AM4" s="1" t="str">
        <f>IFERROR(__xludf.DUMMYFUNCTION("""COMPUTED_VALUE"""),"CounterPending")</f>
        <v>CounterPending</v>
      </c>
      <c r="AN4" s="1" t="str">
        <f>IFERROR(__xludf.DUMMYFUNCTION("""COMPUTED_VALUE"""),"EmergencyFlag")</f>
        <v>EmergencyFlag</v>
      </c>
      <c r="AO4" s="1" t="str">
        <f>IFERROR(__xludf.DUMMYFUNCTION("""COMPUTED_VALUE"""),"EmergencyBoost")</f>
        <v>EmergencyBoost</v>
      </c>
      <c r="AP4" s="1"/>
      <c r="AQ4" s="1"/>
      <c r="AR4" s="1"/>
      <c r="AS4" s="1"/>
      <c r="AT4" s="1"/>
      <c r="AU4" s="1"/>
      <c r="AV4" s="1"/>
      <c r="AW4" s="1"/>
      <c r="AX4" s="1"/>
      <c r="AY4" s="1"/>
    </row>
    <row r="5">
      <c r="A5" s="1" t="str">
        <f>IFERROR(__xludf.DUMMYFUNCTION("""COMPUTED_VALUE"""),"")</f>
        <v/>
      </c>
      <c r="B5" s="1" t="str">
        <f>IFERROR(__xludf.DUMMYFUNCTION("""COMPUTED_VALUE"""),"#N/A")</f>
        <v>#N/A</v>
      </c>
      <c r="C5" s="1" t="str">
        <f>IFERROR(__xludf.DUMMYFUNCTION("""COMPUTED_VALUE"""),"#N/A")</f>
        <v>#N/A</v>
      </c>
      <c r="D5" s="1" t="str">
        <f>IFERROR(__xludf.DUMMYFUNCTION("""COMPUTED_VALUE"""),"#N/A")</f>
        <v>#N/A</v>
      </c>
      <c r="E5" s="1" t="str">
        <f>IFERROR(__xludf.DUMMYFUNCTION("""COMPUTED_VALUE"""),"#N/A")</f>
        <v>#N/A</v>
      </c>
      <c r="F5" s="1" t="str">
        <f>IFERROR(__xludf.DUMMYFUNCTION("""COMPUTED_VALUE"""),"#N/A")</f>
        <v>#N/A</v>
      </c>
      <c r="G5" s="1" t="str">
        <f>IFERROR(__xludf.DUMMYFUNCTION("""COMPUTED_VALUE"""),"#N/A")</f>
        <v>#N/A</v>
      </c>
      <c r="H5" s="1" t="str">
        <f>IFERROR(__xludf.DUMMYFUNCTION("""COMPUTED_VALUE"""),"#N/A")</f>
        <v>#N/A</v>
      </c>
      <c r="I5" s="1" t="str">
        <f>IFERROR(__xludf.DUMMYFUNCTION("""COMPUTED_VALUE"""),"#N/A")</f>
        <v>#N/A</v>
      </c>
      <c r="J5" s="1" t="str">
        <f>IFERROR(__xludf.DUMMYFUNCTION("""COMPUTED_VALUE"""),"#N/A")</f>
        <v>#N/A</v>
      </c>
      <c r="K5" s="1" t="str">
        <f>IFERROR(__xludf.DUMMYFUNCTION("""COMPUTED_VALUE"""),"#N/A")</f>
        <v>#N/A</v>
      </c>
      <c r="L5" s="1" t="str">
        <f>IFERROR(__xludf.DUMMYFUNCTION("""COMPUTED_VALUE"""),"#N/A")</f>
        <v>#N/A</v>
      </c>
      <c r="M5" s="1" t="str">
        <f>IFERROR(__xludf.DUMMYFUNCTION("""COMPUTED_VALUE"""),"#N/A")</f>
        <v>#N/A</v>
      </c>
      <c r="N5" s="1" t="str">
        <f>IFERROR(__xludf.DUMMYFUNCTION("""COMPUTED_VALUE"""),"#N/A")</f>
        <v>#N/A</v>
      </c>
      <c r="O5" s="1" t="str">
        <f>IFERROR(__xludf.DUMMYFUNCTION("""COMPUTED_VALUE"""),"#N/A")</f>
        <v>#N/A</v>
      </c>
      <c r="P5" s="1" t="str">
        <f>IFERROR(__xludf.DUMMYFUNCTION("""COMPUTED_VALUE"""),"#N/A")</f>
        <v>#N/A</v>
      </c>
      <c r="Q5" s="1" t="str">
        <f>IFERROR(__xludf.DUMMYFUNCTION("""COMPUTED_VALUE"""),"#N/A")</f>
        <v>#N/A</v>
      </c>
      <c r="R5" s="1" t="str">
        <f>IFERROR(__xludf.DUMMYFUNCTION("""COMPUTED_VALUE"""),"#N/A")</f>
        <v>#N/A</v>
      </c>
      <c r="S5" s="1" t="str">
        <f>IFERROR(__xludf.DUMMYFUNCTION("""COMPUTED_VALUE"""),"#N/A")</f>
        <v>#N/A</v>
      </c>
      <c r="T5" s="1" t="str">
        <f>IFERROR(__xludf.DUMMYFUNCTION("""COMPUTED_VALUE"""),"#N/A")</f>
        <v>#N/A</v>
      </c>
      <c r="U5" s="1" t="str">
        <f>IFERROR(__xludf.DUMMYFUNCTION("""COMPUTED_VALUE"""),"#N/A")</f>
        <v>#N/A</v>
      </c>
      <c r="V5" s="1" t="str">
        <f>IFERROR(__xludf.DUMMYFUNCTION("""COMPUTED_VALUE"""),"#N/A")</f>
        <v>#N/A</v>
      </c>
      <c r="W5" s="1" t="str">
        <f>IFERROR(__xludf.DUMMYFUNCTION("""COMPUTED_VALUE"""),"#N/A")</f>
        <v>#N/A</v>
      </c>
      <c r="X5" s="1" t="str">
        <f>IFERROR(__xludf.DUMMYFUNCTION("""COMPUTED_VALUE"""),"#N/A")</f>
        <v>#N/A</v>
      </c>
      <c r="Y5" s="1" t="str">
        <f>IFERROR(__xludf.DUMMYFUNCTION("""COMPUTED_VALUE"""),"#N/A")</f>
        <v>#N/A</v>
      </c>
      <c r="Z5" s="1" t="str">
        <f>IFERROR(__xludf.DUMMYFUNCTION("""COMPUTED_VALUE"""),"#N/A")</f>
        <v>#N/A</v>
      </c>
      <c r="AA5" s="1" t="str">
        <f>IFERROR(__xludf.DUMMYFUNCTION("""COMPUTED_VALUE"""),"#N/A")</f>
        <v>#N/A</v>
      </c>
      <c r="AB5" s="1" t="str">
        <f>IFERROR(__xludf.DUMMYFUNCTION("""COMPUTED_VALUE"""),"#N/A")</f>
        <v>#N/A</v>
      </c>
      <c r="AC5" s="1" t="str">
        <f>IFERROR(__xludf.DUMMYFUNCTION("""COMPUTED_VALUE"""),"#N/A")</f>
        <v>#N/A</v>
      </c>
      <c r="AD5" s="1" t="str">
        <f>IFERROR(__xludf.DUMMYFUNCTION("""COMPUTED_VALUE"""),"#N/A")</f>
        <v>#N/A</v>
      </c>
      <c r="AE5" s="1" t="str">
        <f>IFERROR(__xludf.DUMMYFUNCTION("""COMPUTED_VALUE"""),"#N/A")</f>
        <v>#N/A</v>
      </c>
      <c r="AF5" s="1" t="str">
        <f>IFERROR(__xludf.DUMMYFUNCTION("""COMPUTED_VALUE"""),"#N/A")</f>
        <v>#N/A</v>
      </c>
      <c r="AG5" s="1" t="str">
        <f>IFERROR(__xludf.DUMMYFUNCTION("""COMPUTED_VALUE"""),"#N/A")</f>
        <v>#N/A</v>
      </c>
      <c r="AH5" s="1" t="str">
        <f>IFERROR(__xludf.DUMMYFUNCTION("""COMPUTED_VALUE"""),"#N/A")</f>
        <v>#N/A</v>
      </c>
      <c r="AI5" s="1" t="str">
        <f>IFERROR(__xludf.DUMMYFUNCTION("""COMPUTED_VALUE"""),"#N/A")</f>
        <v>#N/A</v>
      </c>
      <c r="AJ5" s="1" t="str">
        <f>IFERROR(__xludf.DUMMYFUNCTION("""COMPUTED_VALUE"""),"#N/A")</f>
        <v>#N/A</v>
      </c>
      <c r="AK5" s="1" t="str">
        <f>IFERROR(__xludf.DUMMYFUNCTION("""COMPUTED_VALUE"""),"#N/A")</f>
        <v>#N/A</v>
      </c>
      <c r="AL5" s="1" t="str">
        <f>IFERROR(__xludf.DUMMYFUNCTION("""COMPUTED_VALUE"""),"#N/A")</f>
        <v>#N/A</v>
      </c>
      <c r="AM5" s="1" t="str">
        <f>IFERROR(__xludf.DUMMYFUNCTION("""COMPUTED_VALUE"""),"#N/A")</f>
        <v>#N/A</v>
      </c>
      <c r="AN5" s="1" t="str">
        <f>IFERROR(__xludf.DUMMYFUNCTION("""COMPUTED_VALUE"""),"#N/A")</f>
        <v>#N/A</v>
      </c>
      <c r="AO5" s="1" t="str">
        <f>IFERROR(__xludf.DUMMYFUNCTION("""COMPUTED_VALUE"""),"#N/A")</f>
        <v>#N/A</v>
      </c>
      <c r="AP5" s="1"/>
      <c r="AQ5" s="1"/>
      <c r="AR5" s="1"/>
      <c r="AS5" s="1"/>
      <c r="AT5" s="1"/>
      <c r="AU5" s="1"/>
      <c r="AV5" s="1"/>
      <c r="AW5" s="1"/>
      <c r="AX5" s="1"/>
      <c r="AY5" s="1"/>
    </row>
    <row r="6">
      <c r="A6" s="1" t="str">
        <f>IFERROR(__xludf.DUMMYFUNCTION("""COMPUTED_VALUE"""),"ORDER:")</f>
        <v>ORDER:</v>
      </c>
      <c r="B6" s="1" t="str">
        <f>IFERROR(__xludf.DUMMYFUNCTION("""COMPUTED_VALUE"""),"#N/A")</f>
        <v>#N/A</v>
      </c>
      <c r="C6" s="1" t="str">
        <f>IFERROR(__xludf.DUMMYFUNCTION("""COMPUTED_VALUE"""),"#N/A")</f>
        <v>#N/A</v>
      </c>
      <c r="D6" s="1" t="str">
        <f>IFERROR(__xludf.DUMMYFUNCTION("""COMPUTED_VALUE"""),"#N/A")</f>
        <v>#N/A</v>
      </c>
      <c r="E6" s="1" t="str">
        <f>IFERROR(__xludf.DUMMYFUNCTION("""COMPUTED_VALUE"""),"#N/A")</f>
        <v>#N/A</v>
      </c>
      <c r="F6" s="1" t="str">
        <f>IFERROR(__xludf.DUMMYFUNCTION("""COMPUTED_VALUE"""),"#N/A")</f>
        <v>#N/A</v>
      </c>
      <c r="G6" s="1" t="str">
        <f>IFERROR(__xludf.DUMMYFUNCTION("""COMPUTED_VALUE"""),"#N/A")</f>
        <v>#N/A</v>
      </c>
      <c r="H6" s="1" t="str">
        <f>IFERROR(__xludf.DUMMYFUNCTION("""COMPUTED_VALUE"""),"#N/A")</f>
        <v>#N/A</v>
      </c>
      <c r="I6" s="1" t="str">
        <f>IFERROR(__xludf.DUMMYFUNCTION("""COMPUTED_VALUE"""),"#N/A")</f>
        <v>#N/A</v>
      </c>
      <c r="J6" s="1" t="str">
        <f>IFERROR(__xludf.DUMMYFUNCTION("""COMPUTED_VALUE"""),"#N/A")</f>
        <v>#N/A</v>
      </c>
      <c r="K6" s="1" t="str">
        <f>IFERROR(__xludf.DUMMYFUNCTION("""COMPUTED_VALUE"""),"#N/A")</f>
        <v>#N/A</v>
      </c>
      <c r="L6" s="1" t="str">
        <f>IFERROR(__xludf.DUMMYFUNCTION("""COMPUTED_VALUE"""),"#N/A")</f>
        <v>#N/A</v>
      </c>
      <c r="M6" s="1" t="str">
        <f>IFERROR(__xludf.DUMMYFUNCTION("""COMPUTED_VALUE"""),"#N/A")</f>
        <v>#N/A</v>
      </c>
      <c r="N6" s="1" t="str">
        <f>IFERROR(__xludf.DUMMYFUNCTION("""COMPUTED_VALUE"""),"#N/A")</f>
        <v>#N/A</v>
      </c>
      <c r="O6" s="1" t="str">
        <f>IFERROR(__xludf.DUMMYFUNCTION("""COMPUTED_VALUE"""),"#N/A")</f>
        <v>#N/A</v>
      </c>
      <c r="P6" s="1" t="str">
        <f>IFERROR(__xludf.DUMMYFUNCTION("""COMPUTED_VALUE"""),"#N/A")</f>
        <v>#N/A</v>
      </c>
      <c r="Q6" s="1" t="str">
        <f>IFERROR(__xludf.DUMMYFUNCTION("""COMPUTED_VALUE"""),"#N/A")</f>
        <v>#N/A</v>
      </c>
      <c r="R6" s="1" t="str">
        <f>IFERROR(__xludf.DUMMYFUNCTION("""COMPUTED_VALUE"""),"#N/A")</f>
        <v>#N/A</v>
      </c>
      <c r="S6" s="1" t="str">
        <f>IFERROR(__xludf.DUMMYFUNCTION("""COMPUTED_VALUE"""),"#N/A")</f>
        <v>#N/A</v>
      </c>
      <c r="T6" s="1" t="str">
        <f>IFERROR(__xludf.DUMMYFUNCTION("""COMPUTED_VALUE"""),"#N/A")</f>
        <v>#N/A</v>
      </c>
      <c r="U6" s="1" t="str">
        <f>IFERROR(__xludf.DUMMYFUNCTION("""COMPUTED_VALUE"""),"#N/A")</f>
        <v>#N/A</v>
      </c>
      <c r="V6" s="1" t="str">
        <f>IFERROR(__xludf.DUMMYFUNCTION("""COMPUTED_VALUE"""),"#N/A")</f>
        <v>#N/A</v>
      </c>
      <c r="W6" s="1" t="str">
        <f>IFERROR(__xludf.DUMMYFUNCTION("""COMPUTED_VALUE"""),"#N/A")</f>
        <v>#N/A</v>
      </c>
      <c r="X6" s="1" t="str">
        <f>IFERROR(__xludf.DUMMYFUNCTION("""COMPUTED_VALUE"""),"#N/A")</f>
        <v>#N/A</v>
      </c>
      <c r="Y6" s="1" t="str">
        <f>IFERROR(__xludf.DUMMYFUNCTION("""COMPUTED_VALUE"""),"#N/A")</f>
        <v>#N/A</v>
      </c>
      <c r="Z6" s="1" t="str">
        <f>IFERROR(__xludf.DUMMYFUNCTION("""COMPUTED_VALUE"""),"#N/A")</f>
        <v>#N/A</v>
      </c>
      <c r="AA6" s="1" t="str">
        <f>IFERROR(__xludf.DUMMYFUNCTION("""COMPUTED_VALUE"""),"#N/A")</f>
        <v>#N/A</v>
      </c>
      <c r="AB6" s="1" t="str">
        <f>IFERROR(__xludf.DUMMYFUNCTION("""COMPUTED_VALUE"""),"#N/A")</f>
        <v>#N/A</v>
      </c>
      <c r="AC6" s="1" t="str">
        <f>IFERROR(__xludf.DUMMYFUNCTION("""COMPUTED_VALUE"""),"#N/A")</f>
        <v>#N/A</v>
      </c>
      <c r="AD6" s="1" t="str">
        <f>IFERROR(__xludf.DUMMYFUNCTION("""COMPUTED_VALUE"""),"#N/A")</f>
        <v>#N/A</v>
      </c>
      <c r="AE6" s="1" t="str">
        <f>IFERROR(__xludf.DUMMYFUNCTION("""COMPUTED_VALUE"""),"#N/A")</f>
        <v>#N/A</v>
      </c>
      <c r="AF6" s="1" t="str">
        <f>IFERROR(__xludf.DUMMYFUNCTION("""COMPUTED_VALUE"""),"#N/A")</f>
        <v>#N/A</v>
      </c>
      <c r="AG6" s="1" t="str">
        <f>IFERROR(__xludf.DUMMYFUNCTION("""COMPUTED_VALUE"""),"#N/A")</f>
        <v>#N/A</v>
      </c>
      <c r="AH6" s="1" t="str">
        <f>IFERROR(__xludf.DUMMYFUNCTION("""COMPUTED_VALUE"""),"#N/A")</f>
        <v>#N/A</v>
      </c>
      <c r="AI6" s="1" t="str">
        <f>IFERROR(__xludf.DUMMYFUNCTION("""COMPUTED_VALUE"""),"#N/A")</f>
        <v>#N/A</v>
      </c>
      <c r="AJ6" s="1" t="str">
        <f>IFERROR(__xludf.DUMMYFUNCTION("""COMPUTED_VALUE"""),"#N/A")</f>
        <v>#N/A</v>
      </c>
      <c r="AK6" s="1" t="str">
        <f>IFERROR(__xludf.DUMMYFUNCTION("""COMPUTED_VALUE"""),"#N/A")</f>
        <v>#N/A</v>
      </c>
      <c r="AL6" s="1" t="str">
        <f>IFERROR(__xludf.DUMMYFUNCTION("""COMPUTED_VALUE"""),"#N/A")</f>
        <v>#N/A</v>
      </c>
      <c r="AM6" s="1" t="str">
        <f>IFERROR(__xludf.DUMMYFUNCTION("""COMPUTED_VALUE"""),"#N/A")</f>
        <v>#N/A</v>
      </c>
      <c r="AN6" s="1" t="str">
        <f>IFERROR(__xludf.DUMMYFUNCTION("""COMPUTED_VALUE"""),"#N/A")</f>
        <v>#N/A</v>
      </c>
      <c r="AO6" s="1" t="str">
        <f>IFERROR(__xludf.DUMMYFUNCTION("""COMPUTED_VALUE"""),"#N/A")</f>
        <v>#N/A</v>
      </c>
      <c r="AP6" s="1"/>
      <c r="AQ6" s="1"/>
      <c r="AR6" s="1"/>
      <c r="AS6" s="1"/>
      <c r="AT6" s="1"/>
      <c r="AU6" s="1"/>
      <c r="AV6" s="1"/>
      <c r="AW6" s="1"/>
      <c r="AX6" s="1"/>
      <c r="AY6" s="1"/>
    </row>
    <row r="7">
      <c r="A7" s="1" t="str">
        <f>IFERROR(__xludf.DUMMYFUNCTION("""COMPUTED_VALUE"""),"#NAME?")</f>
        <v>#NAME?</v>
      </c>
      <c r="B7" s="1" t="str">
        <f>IFERROR(__xludf.DUMMYFUNCTION("""COMPUTED_VALUE"""),"#N/A")</f>
        <v>#N/A</v>
      </c>
      <c r="C7" s="1" t="str">
        <f>IFERROR(__xludf.DUMMYFUNCTION("""COMPUTED_VALUE"""),"#N/A")</f>
        <v>#N/A</v>
      </c>
      <c r="D7" s="1" t="str">
        <f>IFERROR(__xludf.DUMMYFUNCTION("""COMPUTED_VALUE"""),"#N/A")</f>
        <v>#N/A</v>
      </c>
      <c r="E7" s="1" t="str">
        <f>IFERROR(__xludf.DUMMYFUNCTION("""COMPUTED_VALUE"""),"#N/A")</f>
        <v>#N/A</v>
      </c>
      <c r="F7" s="1" t="str">
        <f>IFERROR(__xludf.DUMMYFUNCTION("""COMPUTED_VALUE"""),"#N/A")</f>
        <v>#N/A</v>
      </c>
      <c r="G7" s="1" t="str">
        <f>IFERROR(__xludf.DUMMYFUNCTION("""COMPUTED_VALUE"""),"#N/A")</f>
        <v>#N/A</v>
      </c>
      <c r="H7" s="1" t="str">
        <f>IFERROR(__xludf.DUMMYFUNCTION("""COMPUTED_VALUE"""),"#N/A")</f>
        <v>#N/A</v>
      </c>
      <c r="I7" s="1" t="str">
        <f>IFERROR(__xludf.DUMMYFUNCTION("""COMPUTED_VALUE"""),"#N/A")</f>
        <v>#N/A</v>
      </c>
      <c r="J7" s="1" t="str">
        <f>IFERROR(__xludf.DUMMYFUNCTION("""COMPUTED_VALUE"""),"#N/A")</f>
        <v>#N/A</v>
      </c>
      <c r="K7" s="1" t="str">
        <f>IFERROR(__xludf.DUMMYFUNCTION("""COMPUTED_VALUE"""),"#N/A")</f>
        <v>#N/A</v>
      </c>
      <c r="L7" s="1" t="str">
        <f>IFERROR(__xludf.DUMMYFUNCTION("""COMPUTED_VALUE"""),"#N/A")</f>
        <v>#N/A</v>
      </c>
      <c r="M7" s="1" t="str">
        <f>IFERROR(__xludf.DUMMYFUNCTION("""COMPUTED_VALUE"""),"#N/A")</f>
        <v>#N/A</v>
      </c>
      <c r="N7" s="1" t="str">
        <f>IFERROR(__xludf.DUMMYFUNCTION("""COMPUTED_VALUE"""),"#N/A")</f>
        <v>#N/A</v>
      </c>
      <c r="O7" s="1" t="str">
        <f>IFERROR(__xludf.DUMMYFUNCTION("""COMPUTED_VALUE"""),"#N/A")</f>
        <v>#N/A</v>
      </c>
      <c r="P7" s="1" t="str">
        <f>IFERROR(__xludf.DUMMYFUNCTION("""COMPUTED_VALUE"""),"#N/A")</f>
        <v>#N/A</v>
      </c>
      <c r="Q7" s="1" t="str">
        <f>IFERROR(__xludf.DUMMYFUNCTION("""COMPUTED_VALUE"""),"#N/A")</f>
        <v>#N/A</v>
      </c>
      <c r="R7" s="1" t="str">
        <f>IFERROR(__xludf.DUMMYFUNCTION("""COMPUTED_VALUE"""),"#N/A")</f>
        <v>#N/A</v>
      </c>
      <c r="S7" s="1" t="str">
        <f>IFERROR(__xludf.DUMMYFUNCTION("""COMPUTED_VALUE"""),"#N/A")</f>
        <v>#N/A</v>
      </c>
      <c r="T7" s="1" t="str">
        <f>IFERROR(__xludf.DUMMYFUNCTION("""COMPUTED_VALUE"""),"#N/A")</f>
        <v>#N/A</v>
      </c>
      <c r="U7" s="1" t="str">
        <f>IFERROR(__xludf.DUMMYFUNCTION("""COMPUTED_VALUE"""),"#N/A")</f>
        <v>#N/A</v>
      </c>
      <c r="V7" s="1" t="str">
        <f>IFERROR(__xludf.DUMMYFUNCTION("""COMPUTED_VALUE"""),"#N/A")</f>
        <v>#N/A</v>
      </c>
      <c r="W7" s="1" t="str">
        <f>IFERROR(__xludf.DUMMYFUNCTION("""COMPUTED_VALUE"""),"#N/A")</f>
        <v>#N/A</v>
      </c>
      <c r="X7" s="1" t="str">
        <f>IFERROR(__xludf.DUMMYFUNCTION("""COMPUTED_VALUE"""),"#N/A")</f>
        <v>#N/A</v>
      </c>
      <c r="Y7" s="1" t="str">
        <f>IFERROR(__xludf.DUMMYFUNCTION("""COMPUTED_VALUE"""),"#N/A")</f>
        <v>#N/A</v>
      </c>
      <c r="Z7" s="1" t="str">
        <f>IFERROR(__xludf.DUMMYFUNCTION("""COMPUTED_VALUE"""),"#N/A")</f>
        <v>#N/A</v>
      </c>
      <c r="AA7" s="1" t="str">
        <f>IFERROR(__xludf.DUMMYFUNCTION("""COMPUTED_VALUE"""),"#N/A")</f>
        <v>#N/A</v>
      </c>
      <c r="AB7" s="1" t="str">
        <f>IFERROR(__xludf.DUMMYFUNCTION("""COMPUTED_VALUE"""),"#N/A")</f>
        <v>#N/A</v>
      </c>
      <c r="AC7" s="1" t="str">
        <f>IFERROR(__xludf.DUMMYFUNCTION("""COMPUTED_VALUE"""),"#N/A")</f>
        <v>#N/A</v>
      </c>
      <c r="AD7" s="1" t="str">
        <f>IFERROR(__xludf.DUMMYFUNCTION("""COMPUTED_VALUE"""),"#N/A")</f>
        <v>#N/A</v>
      </c>
      <c r="AE7" s="1" t="str">
        <f>IFERROR(__xludf.DUMMYFUNCTION("""COMPUTED_VALUE"""),"#N/A")</f>
        <v>#N/A</v>
      </c>
      <c r="AF7" s="1" t="str">
        <f>IFERROR(__xludf.DUMMYFUNCTION("""COMPUTED_VALUE"""),"#N/A")</f>
        <v>#N/A</v>
      </c>
      <c r="AG7" s="1" t="str">
        <f>IFERROR(__xludf.DUMMYFUNCTION("""COMPUTED_VALUE"""),"#N/A")</f>
        <v>#N/A</v>
      </c>
      <c r="AH7" s="1" t="str">
        <f>IFERROR(__xludf.DUMMYFUNCTION("""COMPUTED_VALUE"""),"#N/A")</f>
        <v>#N/A</v>
      </c>
      <c r="AI7" s="1" t="str">
        <f>IFERROR(__xludf.DUMMYFUNCTION("""COMPUTED_VALUE"""),"#N/A")</f>
        <v>#N/A</v>
      </c>
      <c r="AJ7" s="1" t="str">
        <f>IFERROR(__xludf.DUMMYFUNCTION("""COMPUTED_VALUE"""),"#N/A")</f>
        <v>#N/A</v>
      </c>
      <c r="AK7" s="1" t="str">
        <f>IFERROR(__xludf.DUMMYFUNCTION("""COMPUTED_VALUE"""),"#N/A")</f>
        <v>#N/A</v>
      </c>
      <c r="AL7" s="1" t="str">
        <f>IFERROR(__xludf.DUMMYFUNCTION("""COMPUTED_VALUE"""),"#N/A")</f>
        <v>#N/A</v>
      </c>
      <c r="AM7" s="1" t="str">
        <f>IFERROR(__xludf.DUMMYFUNCTION("""COMPUTED_VALUE"""),"#N/A")</f>
        <v>#N/A</v>
      </c>
      <c r="AN7" s="1" t="str">
        <f>IFERROR(__xludf.DUMMYFUNCTION("""COMPUTED_VALUE"""),"#N/A")</f>
        <v>#N/A</v>
      </c>
      <c r="AO7" s="1" t="str">
        <f>IFERROR(__xludf.DUMMYFUNCTION("""COMPUTED_VALUE"""),"#N/A")</f>
        <v>#N/A</v>
      </c>
      <c r="AP7" s="1"/>
      <c r="AQ7" s="1"/>
      <c r="AR7" s="1"/>
      <c r="AS7" s="1"/>
      <c r="AT7" s="1"/>
      <c r="AU7" s="1"/>
      <c r="AV7" s="1"/>
      <c r="AW7" s="1"/>
      <c r="AX7" s="1"/>
      <c r="AY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0.0"/>
    <col customWidth="1" min="2" max="6" width="8.71"/>
  </cols>
  <sheetData>
    <row r="1">
      <c r="A1" s="6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" t="s">
        <v>16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17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18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19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20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21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2"/>
      <c r="B222" s="2"/>
      <c r="C222" s="2"/>
      <c r="D222" s="2"/>
      <c r="E222" s="2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2"/>
      <c r="B223" s="2"/>
      <c r="C223" s="2"/>
      <c r="D223" s="2"/>
      <c r="E223" s="2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2"/>
      <c r="B224" s="2"/>
      <c r="C224" s="2"/>
      <c r="D224" s="2"/>
      <c r="E224" s="2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2"/>
      <c r="B225" s="2"/>
      <c r="C225" s="2"/>
      <c r="D225" s="2"/>
      <c r="E225" s="2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2"/>
      <c r="B226" s="2"/>
      <c r="C226" s="2"/>
      <c r="D226" s="2"/>
      <c r="E226" s="2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2"/>
      <c r="B227" s="2"/>
      <c r="C227" s="2"/>
      <c r="D227" s="2"/>
      <c r="E227" s="2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2"/>
      <c r="B228" s="2"/>
      <c r="C228" s="2"/>
      <c r="D228" s="2"/>
      <c r="E228" s="2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2"/>
      <c r="B229" s="2"/>
      <c r="C229" s="2"/>
      <c r="D229" s="2"/>
      <c r="E229" s="2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2"/>
      <c r="B230" s="2"/>
      <c r="C230" s="2"/>
      <c r="D230" s="2"/>
      <c r="E230" s="2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2"/>
      <c r="B231" s="2"/>
      <c r="C231" s="2"/>
      <c r="D231" s="2"/>
      <c r="E231" s="2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2"/>
      <c r="B232" s="2"/>
      <c r="C232" s="2"/>
      <c r="D232" s="2"/>
      <c r="E232" s="2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2"/>
      <c r="B233" s="2"/>
      <c r="C233" s="2"/>
      <c r="D233" s="2"/>
      <c r="E233" s="2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2"/>
      <c r="B234" s="2"/>
      <c r="C234" s="2"/>
      <c r="D234" s="2"/>
      <c r="E234" s="2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2"/>
      <c r="B235" s="2"/>
      <c r="C235" s="2"/>
      <c r="D235" s="2"/>
      <c r="E235" s="2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2"/>
      <c r="B236" s="2"/>
      <c r="C236" s="2"/>
      <c r="D236" s="2"/>
      <c r="E236" s="2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2"/>
      <c r="B237" s="2"/>
      <c r="C237" s="2"/>
      <c r="D237" s="2"/>
      <c r="E237" s="2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2"/>
      <c r="B238" s="2"/>
      <c r="C238" s="2"/>
      <c r="D238" s="2"/>
      <c r="E238" s="2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2"/>
      <c r="B239" s="2"/>
      <c r="C239" s="2"/>
      <c r="D239" s="2"/>
      <c r="E239" s="2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2"/>
      <c r="B240" s="2"/>
      <c r="C240" s="2"/>
      <c r="D240" s="2"/>
      <c r="E240" s="2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2"/>
      <c r="B241" s="2"/>
      <c r="C241" s="2"/>
      <c r="D241" s="2"/>
      <c r="E241" s="2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2"/>
      <c r="B242" s="2"/>
      <c r="C242" s="2"/>
      <c r="D242" s="2"/>
      <c r="E242" s="2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2"/>
      <c r="B243" s="2"/>
      <c r="C243" s="2"/>
      <c r="D243" s="2"/>
      <c r="E243" s="2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2"/>
      <c r="B244" s="2"/>
      <c r="C244" s="2"/>
      <c r="D244" s="2"/>
      <c r="E244" s="2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2"/>
      <c r="B245" s="2"/>
      <c r="C245" s="2"/>
      <c r="D245" s="2"/>
      <c r="E245" s="2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2"/>
      <c r="B246" s="2"/>
      <c r="C246" s="2"/>
      <c r="D246" s="2"/>
      <c r="E246" s="2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2"/>
      <c r="B247" s="2"/>
      <c r="C247" s="2"/>
      <c r="D247" s="2"/>
      <c r="E247" s="2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2"/>
      <c r="B248" s="2"/>
      <c r="C248" s="2"/>
      <c r="D248" s="2"/>
      <c r="E248" s="2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2"/>
      <c r="B249" s="2"/>
      <c r="C249" s="2"/>
      <c r="D249" s="2"/>
      <c r="E249" s="2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2"/>
      <c r="B250" s="2"/>
      <c r="C250" s="2"/>
      <c r="D250" s="2"/>
      <c r="E250" s="2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2"/>
      <c r="B251" s="2"/>
      <c r="C251" s="2"/>
      <c r="D251" s="2"/>
      <c r="E251" s="2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2"/>
      <c r="B252" s="2"/>
      <c r="C252" s="2"/>
      <c r="D252" s="2"/>
      <c r="E252" s="2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2"/>
      <c r="B253" s="2"/>
      <c r="C253" s="2"/>
      <c r="D253" s="2"/>
      <c r="E253" s="2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2"/>
      <c r="B254" s="2"/>
      <c r="C254" s="2"/>
      <c r="D254" s="2"/>
      <c r="E254" s="2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2"/>
      <c r="B255" s="2"/>
      <c r="C255" s="2"/>
      <c r="D255" s="2"/>
      <c r="E255" s="2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2"/>
      <c r="B256" s="2"/>
      <c r="C256" s="2"/>
      <c r="D256" s="2"/>
      <c r="E256" s="2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2"/>
      <c r="B257" s="2"/>
      <c r="C257" s="2"/>
      <c r="D257" s="2"/>
      <c r="E257" s="2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2"/>
      <c r="B258" s="2"/>
      <c r="C258" s="2"/>
      <c r="D258" s="2"/>
      <c r="E258" s="2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2"/>
      <c r="B259" s="2"/>
      <c r="C259" s="2"/>
      <c r="D259" s="2"/>
      <c r="E259" s="2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2"/>
      <c r="B260" s="2"/>
      <c r="C260" s="2"/>
      <c r="D260" s="2"/>
      <c r="E260" s="2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2"/>
      <c r="B261" s="2"/>
      <c r="C261" s="2"/>
      <c r="D261" s="2"/>
      <c r="E261" s="2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2"/>
      <c r="B262" s="2"/>
      <c r="C262" s="2"/>
      <c r="D262" s="2"/>
      <c r="E262" s="2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2"/>
      <c r="B263" s="2"/>
      <c r="C263" s="2"/>
      <c r="D263" s="2"/>
      <c r="E263" s="2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2"/>
      <c r="B264" s="2"/>
      <c r="C264" s="2"/>
      <c r="D264" s="2"/>
      <c r="E264" s="2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2"/>
      <c r="B265" s="2"/>
      <c r="C265" s="2"/>
      <c r="D265" s="2"/>
      <c r="E265" s="2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2"/>
      <c r="B266" s="2"/>
      <c r="C266" s="2"/>
      <c r="D266" s="2"/>
      <c r="E266" s="2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2"/>
      <c r="B267" s="2"/>
      <c r="C267" s="2"/>
      <c r="D267" s="2"/>
      <c r="E267" s="2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2"/>
      <c r="B268" s="2"/>
      <c r="C268" s="2"/>
      <c r="D268" s="2"/>
      <c r="E268" s="2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2"/>
      <c r="B269" s="2"/>
      <c r="C269" s="2"/>
      <c r="D269" s="2"/>
      <c r="E269" s="2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2"/>
      <c r="B270" s="2"/>
      <c r="C270" s="2"/>
      <c r="D270" s="2"/>
      <c r="E270" s="2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2"/>
      <c r="B271" s="2"/>
      <c r="C271" s="2"/>
      <c r="D271" s="2"/>
      <c r="E271" s="2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2"/>
      <c r="B272" s="2"/>
      <c r="C272" s="2"/>
      <c r="D272" s="2"/>
      <c r="E272" s="2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2"/>
      <c r="B273" s="2"/>
      <c r="C273" s="2"/>
      <c r="D273" s="2"/>
      <c r="E273" s="2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2"/>
      <c r="B274" s="2"/>
      <c r="C274" s="2"/>
      <c r="D274" s="2"/>
      <c r="E274" s="2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2"/>
      <c r="B275" s="2"/>
      <c r="C275" s="2"/>
      <c r="D275" s="2"/>
      <c r="E275" s="2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2"/>
      <c r="B276" s="2"/>
      <c r="C276" s="2"/>
      <c r="D276" s="2"/>
      <c r="E276" s="2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2"/>
      <c r="B277" s="2"/>
      <c r="C277" s="2"/>
      <c r="D277" s="2"/>
      <c r="E277" s="2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2"/>
      <c r="B278" s="2"/>
      <c r="C278" s="2"/>
      <c r="D278" s="2"/>
      <c r="E278" s="2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2"/>
      <c r="B279" s="2"/>
      <c r="C279" s="2"/>
      <c r="D279" s="2"/>
      <c r="E279" s="2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2"/>
      <c r="B280" s="2"/>
      <c r="C280" s="2"/>
      <c r="D280" s="2"/>
      <c r="E280" s="2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2"/>
      <c r="B281" s="2"/>
      <c r="C281" s="2"/>
      <c r="D281" s="2"/>
      <c r="E281" s="2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2"/>
      <c r="B282" s="2"/>
      <c r="C282" s="2"/>
      <c r="D282" s="2"/>
      <c r="E282" s="2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2"/>
      <c r="B283" s="2"/>
      <c r="C283" s="2"/>
      <c r="D283" s="2"/>
      <c r="E283" s="2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2"/>
      <c r="B284" s="2"/>
      <c r="C284" s="2"/>
      <c r="D284" s="2"/>
      <c r="E284" s="2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2"/>
      <c r="B285" s="2"/>
      <c r="C285" s="2"/>
      <c r="D285" s="2"/>
      <c r="E285" s="2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2"/>
      <c r="B286" s="2"/>
      <c r="C286" s="2"/>
      <c r="D286" s="2"/>
      <c r="E286" s="2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2"/>
      <c r="B287" s="2"/>
      <c r="C287" s="2"/>
      <c r="D287" s="2"/>
      <c r="E287" s="2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2"/>
      <c r="B288" s="2"/>
      <c r="C288" s="2"/>
      <c r="D288" s="2"/>
      <c r="E288" s="2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2"/>
      <c r="B289" s="2"/>
      <c r="C289" s="2"/>
      <c r="D289" s="2"/>
      <c r="E289" s="2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2"/>
      <c r="B290" s="2"/>
      <c r="C290" s="2"/>
      <c r="D290" s="2"/>
      <c r="E290" s="2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2"/>
      <c r="B291" s="2"/>
      <c r="C291" s="2"/>
      <c r="D291" s="2"/>
      <c r="E291" s="2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2"/>
      <c r="B292" s="2"/>
      <c r="C292" s="2"/>
      <c r="D292" s="2"/>
      <c r="E292" s="2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2"/>
      <c r="B293" s="2"/>
      <c r="C293" s="2"/>
      <c r="D293" s="2"/>
      <c r="E293" s="2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2"/>
      <c r="B294" s="2"/>
      <c r="C294" s="2"/>
      <c r="D294" s="2"/>
      <c r="E294" s="2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2"/>
      <c r="B295" s="2"/>
      <c r="C295" s="2"/>
      <c r="D295" s="2"/>
      <c r="E295" s="2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2"/>
      <c r="B296" s="2"/>
      <c r="C296" s="2"/>
      <c r="D296" s="2"/>
      <c r="E296" s="2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2"/>
      <c r="B297" s="2"/>
      <c r="C297" s="2"/>
      <c r="D297" s="2"/>
      <c r="E297" s="2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2"/>
      <c r="B298" s="2"/>
      <c r="C298" s="2"/>
      <c r="D298" s="2"/>
      <c r="E298" s="2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2"/>
      <c r="B299" s="2"/>
      <c r="C299" s="2"/>
      <c r="D299" s="2"/>
      <c r="E299" s="2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2"/>
      <c r="B300" s="2"/>
      <c r="C300" s="2"/>
      <c r="D300" s="2"/>
      <c r="E300" s="2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2"/>
      <c r="B301" s="2"/>
      <c r="C301" s="2"/>
      <c r="D301" s="2"/>
      <c r="E301" s="2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2"/>
      <c r="B302" s="2"/>
      <c r="C302" s="2"/>
      <c r="D302" s="2"/>
      <c r="E302" s="2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2"/>
      <c r="B303" s="2"/>
      <c r="C303" s="2"/>
      <c r="D303" s="2"/>
      <c r="E303" s="2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2"/>
      <c r="B304" s="2"/>
      <c r="C304" s="2"/>
      <c r="D304" s="2"/>
      <c r="E304" s="2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2"/>
      <c r="B305" s="2"/>
      <c r="C305" s="2"/>
      <c r="D305" s="2"/>
      <c r="E305" s="2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2"/>
      <c r="B306" s="2"/>
      <c r="C306" s="2"/>
      <c r="D306" s="2"/>
      <c r="E306" s="2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2"/>
      <c r="B307" s="2"/>
      <c r="C307" s="2"/>
      <c r="D307" s="2"/>
      <c r="E307" s="2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2"/>
      <c r="B308" s="2"/>
      <c r="C308" s="2"/>
      <c r="D308" s="2"/>
      <c r="E308" s="2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2"/>
      <c r="B309" s="2"/>
      <c r="C309" s="2"/>
      <c r="D309" s="2"/>
      <c r="E309" s="2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2"/>
      <c r="B310" s="2"/>
      <c r="C310" s="2"/>
      <c r="D310" s="2"/>
      <c r="E310" s="2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2"/>
      <c r="B311" s="2"/>
      <c r="C311" s="2"/>
      <c r="D311" s="2"/>
      <c r="E311" s="2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2"/>
      <c r="B312" s="2"/>
      <c r="C312" s="2"/>
      <c r="D312" s="2"/>
      <c r="E312" s="2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2"/>
      <c r="B313" s="2"/>
      <c r="C313" s="2"/>
      <c r="D313" s="2"/>
      <c r="E313" s="2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2"/>
      <c r="B314" s="2"/>
      <c r="C314" s="2"/>
      <c r="D314" s="2"/>
      <c r="E314" s="2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2"/>
      <c r="B315" s="2"/>
      <c r="C315" s="2"/>
      <c r="D315" s="2"/>
      <c r="E315" s="2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2"/>
      <c r="B316" s="2"/>
      <c r="C316" s="2"/>
      <c r="D316" s="2"/>
      <c r="E316" s="2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2"/>
      <c r="B317" s="2"/>
      <c r="C317" s="2"/>
      <c r="D317" s="2"/>
      <c r="E317" s="2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2"/>
      <c r="B318" s="2"/>
      <c r="C318" s="2"/>
      <c r="D318" s="2"/>
      <c r="E318" s="2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2"/>
      <c r="B319" s="2"/>
      <c r="C319" s="2"/>
      <c r="D319" s="2"/>
      <c r="E319" s="2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2"/>
      <c r="B320" s="2"/>
      <c r="C320" s="2"/>
      <c r="D320" s="2"/>
      <c r="E320" s="2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2"/>
      <c r="B321" s="2"/>
      <c r="C321" s="2"/>
      <c r="D321" s="2"/>
      <c r="E321" s="2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2"/>
      <c r="B322" s="2"/>
      <c r="C322" s="2"/>
      <c r="D322" s="2"/>
      <c r="E322" s="2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2"/>
      <c r="B323" s="2"/>
      <c r="C323" s="2"/>
      <c r="D323" s="2"/>
      <c r="E323" s="2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2"/>
      <c r="B324" s="2"/>
      <c r="C324" s="2"/>
      <c r="D324" s="2"/>
      <c r="E324" s="2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2"/>
      <c r="B325" s="2"/>
      <c r="C325" s="2"/>
      <c r="D325" s="2"/>
      <c r="E325" s="2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2"/>
      <c r="B326" s="2"/>
      <c r="C326" s="2"/>
      <c r="D326" s="2"/>
      <c r="E326" s="2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2"/>
      <c r="B327" s="2"/>
      <c r="C327" s="2"/>
      <c r="D327" s="2"/>
      <c r="E327" s="2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2"/>
      <c r="B328" s="2"/>
      <c r="C328" s="2"/>
      <c r="D328" s="2"/>
      <c r="E328" s="2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2"/>
      <c r="B329" s="2"/>
      <c r="C329" s="2"/>
      <c r="D329" s="2"/>
      <c r="E329" s="2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2"/>
      <c r="B330" s="2"/>
      <c r="C330" s="2"/>
      <c r="D330" s="2"/>
      <c r="E330" s="2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2"/>
      <c r="B331" s="2"/>
      <c r="C331" s="2"/>
      <c r="D331" s="2"/>
      <c r="E331" s="2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2"/>
      <c r="B332" s="2"/>
      <c r="C332" s="2"/>
      <c r="D332" s="2"/>
      <c r="E332" s="2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2"/>
      <c r="B333" s="2"/>
      <c r="C333" s="2"/>
      <c r="D333" s="2"/>
      <c r="E333" s="2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2"/>
      <c r="B334" s="2"/>
      <c r="C334" s="2"/>
      <c r="D334" s="2"/>
      <c r="E334" s="2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2"/>
      <c r="B335" s="2"/>
      <c r="C335" s="2"/>
      <c r="D335" s="2"/>
      <c r="E335" s="2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2"/>
      <c r="B336" s="2"/>
      <c r="C336" s="2"/>
      <c r="D336" s="2"/>
      <c r="E336" s="2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2"/>
      <c r="B337" s="2"/>
      <c r="C337" s="2"/>
      <c r="D337" s="2"/>
      <c r="E337" s="2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2"/>
      <c r="B338" s="2"/>
      <c r="C338" s="2"/>
      <c r="D338" s="2"/>
      <c r="E338" s="2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2"/>
      <c r="B339" s="2"/>
      <c r="C339" s="2"/>
      <c r="D339" s="2"/>
      <c r="E339" s="2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2"/>
      <c r="B340" s="2"/>
      <c r="C340" s="2"/>
      <c r="D340" s="2"/>
      <c r="E340" s="2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2"/>
      <c r="B341" s="2"/>
      <c r="C341" s="2"/>
      <c r="D341" s="2"/>
      <c r="E341" s="2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2"/>
      <c r="B342" s="2"/>
      <c r="C342" s="2"/>
      <c r="D342" s="2"/>
      <c r="E342" s="2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2"/>
      <c r="B343" s="2"/>
      <c r="C343" s="2"/>
      <c r="D343" s="2"/>
      <c r="E343" s="2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2"/>
      <c r="B344" s="2"/>
      <c r="C344" s="2"/>
      <c r="D344" s="2"/>
      <c r="E344" s="2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2"/>
      <c r="B345" s="2"/>
      <c r="C345" s="2"/>
      <c r="D345" s="2"/>
      <c r="E345" s="2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2"/>
      <c r="B346" s="2"/>
      <c r="C346" s="2"/>
      <c r="D346" s="2"/>
      <c r="E346" s="2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2"/>
      <c r="B347" s="2"/>
      <c r="C347" s="2"/>
      <c r="D347" s="2"/>
      <c r="E347" s="2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2"/>
      <c r="B348" s="2"/>
      <c r="C348" s="2"/>
      <c r="D348" s="2"/>
      <c r="E348" s="2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2"/>
      <c r="B349" s="2"/>
      <c r="C349" s="2"/>
      <c r="D349" s="2"/>
      <c r="E349" s="2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2"/>
      <c r="B350" s="2"/>
      <c r="C350" s="2"/>
      <c r="D350" s="2"/>
      <c r="E350" s="2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2"/>
      <c r="B351" s="2"/>
      <c r="C351" s="2"/>
      <c r="D351" s="2"/>
      <c r="E351" s="2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2"/>
      <c r="B352" s="2"/>
      <c r="C352" s="2"/>
      <c r="D352" s="2"/>
      <c r="E352" s="2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2"/>
      <c r="B353" s="2"/>
      <c r="C353" s="2"/>
      <c r="D353" s="2"/>
      <c r="E353" s="2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2"/>
      <c r="B354" s="2"/>
      <c r="C354" s="2"/>
      <c r="D354" s="2"/>
      <c r="E354" s="2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2"/>
      <c r="B355" s="2"/>
      <c r="C355" s="2"/>
      <c r="D355" s="2"/>
      <c r="E355" s="2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2"/>
      <c r="B356" s="2"/>
      <c r="C356" s="2"/>
      <c r="D356" s="2"/>
      <c r="E356" s="2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2"/>
      <c r="B357" s="2"/>
      <c r="C357" s="2"/>
      <c r="D357" s="2"/>
      <c r="E357" s="2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2"/>
      <c r="B358" s="2"/>
      <c r="C358" s="2"/>
      <c r="D358" s="2"/>
      <c r="E358" s="2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2"/>
      <c r="B359" s="2"/>
      <c r="C359" s="2"/>
      <c r="D359" s="2"/>
      <c r="E359" s="2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2"/>
      <c r="B360" s="2"/>
      <c r="C360" s="2"/>
      <c r="D360" s="2"/>
      <c r="E360" s="2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2"/>
      <c r="B361" s="2"/>
      <c r="C361" s="2"/>
      <c r="D361" s="2"/>
      <c r="E361" s="2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2"/>
      <c r="B362" s="2"/>
      <c r="C362" s="2"/>
      <c r="D362" s="2"/>
      <c r="E362" s="2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2"/>
      <c r="B363" s="2"/>
      <c r="C363" s="2"/>
      <c r="D363" s="2"/>
      <c r="E363" s="2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2"/>
      <c r="B364" s="2"/>
      <c r="C364" s="2"/>
      <c r="D364" s="2"/>
      <c r="E364" s="2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2"/>
      <c r="B365" s="2"/>
      <c r="C365" s="2"/>
      <c r="D365" s="2"/>
      <c r="E365" s="2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2"/>
      <c r="B366" s="2"/>
      <c r="C366" s="2"/>
      <c r="D366" s="2"/>
      <c r="E366" s="2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2"/>
      <c r="B367" s="2"/>
      <c r="C367" s="2"/>
      <c r="D367" s="2"/>
      <c r="E367" s="2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2"/>
      <c r="B368" s="2"/>
      <c r="C368" s="2"/>
      <c r="D368" s="2"/>
      <c r="E368" s="2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2"/>
      <c r="B369" s="2"/>
      <c r="C369" s="2"/>
      <c r="D369" s="2"/>
      <c r="E369" s="2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2"/>
      <c r="B370" s="2"/>
      <c r="C370" s="2"/>
      <c r="D370" s="2"/>
      <c r="E370" s="2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2"/>
      <c r="B371" s="2"/>
      <c r="C371" s="2"/>
      <c r="D371" s="2"/>
      <c r="E371" s="2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2"/>
      <c r="B372" s="2"/>
      <c r="C372" s="2"/>
      <c r="D372" s="2"/>
      <c r="E372" s="2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2"/>
      <c r="B373" s="2"/>
      <c r="C373" s="2"/>
      <c r="D373" s="2"/>
      <c r="E373" s="2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2"/>
      <c r="B374" s="2"/>
      <c r="C374" s="2"/>
      <c r="D374" s="2"/>
      <c r="E374" s="2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2"/>
      <c r="B375" s="2"/>
      <c r="C375" s="2"/>
      <c r="D375" s="2"/>
      <c r="E375" s="2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2"/>
      <c r="B376" s="2"/>
      <c r="C376" s="2"/>
      <c r="D376" s="2"/>
      <c r="E376" s="2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2"/>
      <c r="B377" s="2"/>
      <c r="C377" s="2"/>
      <c r="D377" s="2"/>
      <c r="E377" s="2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2"/>
      <c r="B378" s="2"/>
      <c r="C378" s="2"/>
      <c r="D378" s="2"/>
      <c r="E378" s="2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2"/>
      <c r="B379" s="2"/>
      <c r="C379" s="2"/>
      <c r="D379" s="2"/>
      <c r="E379" s="2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2"/>
      <c r="B380" s="2"/>
      <c r="C380" s="2"/>
      <c r="D380" s="2"/>
      <c r="E380" s="2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2"/>
      <c r="B381" s="2"/>
      <c r="C381" s="2"/>
      <c r="D381" s="2"/>
      <c r="E381" s="2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2"/>
      <c r="B382" s="2"/>
      <c r="C382" s="2"/>
      <c r="D382" s="2"/>
      <c r="E382" s="2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2"/>
      <c r="B383" s="2"/>
      <c r="C383" s="2"/>
      <c r="D383" s="2"/>
      <c r="E383" s="2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2"/>
      <c r="B384" s="2"/>
      <c r="C384" s="2"/>
      <c r="D384" s="2"/>
      <c r="E384" s="2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2"/>
      <c r="B385" s="2"/>
      <c r="C385" s="2"/>
      <c r="D385" s="2"/>
      <c r="E385" s="2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2"/>
      <c r="B386" s="2"/>
      <c r="C386" s="2"/>
      <c r="D386" s="2"/>
      <c r="E386" s="2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2"/>
      <c r="B387" s="2"/>
      <c r="C387" s="2"/>
      <c r="D387" s="2"/>
      <c r="E387" s="2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2"/>
      <c r="B388" s="2"/>
      <c r="C388" s="2"/>
      <c r="D388" s="2"/>
      <c r="E388" s="2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2"/>
      <c r="B389" s="2"/>
      <c r="C389" s="2"/>
      <c r="D389" s="2"/>
      <c r="E389" s="2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2"/>
      <c r="B390" s="2"/>
      <c r="C390" s="2"/>
      <c r="D390" s="2"/>
      <c r="E390" s="2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2"/>
      <c r="B391" s="2"/>
      <c r="C391" s="2"/>
      <c r="D391" s="2"/>
      <c r="E391" s="2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2"/>
      <c r="B392" s="2"/>
      <c r="C392" s="2"/>
      <c r="D392" s="2"/>
      <c r="E392" s="2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2"/>
      <c r="B393" s="2"/>
      <c r="C393" s="2"/>
      <c r="D393" s="2"/>
      <c r="E393" s="2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2"/>
      <c r="B394" s="2"/>
      <c r="C394" s="2"/>
      <c r="D394" s="2"/>
      <c r="E394" s="2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2"/>
      <c r="B395" s="2"/>
      <c r="C395" s="2"/>
      <c r="D395" s="2"/>
      <c r="E395" s="2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2"/>
      <c r="B396" s="2"/>
      <c r="C396" s="2"/>
      <c r="D396" s="2"/>
      <c r="E396" s="2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2"/>
      <c r="B397" s="2"/>
      <c r="C397" s="2"/>
      <c r="D397" s="2"/>
      <c r="E397" s="2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2"/>
      <c r="B398" s="2"/>
      <c r="C398" s="2"/>
      <c r="D398" s="2"/>
      <c r="E398" s="2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2"/>
      <c r="B399" s="2"/>
      <c r="C399" s="2"/>
      <c r="D399" s="2"/>
      <c r="E399" s="2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2"/>
      <c r="B400" s="2"/>
      <c r="C400" s="2"/>
      <c r="D400" s="2"/>
      <c r="E400" s="2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2"/>
      <c r="B401" s="2"/>
      <c r="C401" s="2"/>
      <c r="D401" s="2"/>
      <c r="E401" s="2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2"/>
      <c r="B402" s="2"/>
      <c r="C402" s="2"/>
      <c r="D402" s="2"/>
      <c r="E402" s="2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2"/>
      <c r="B403" s="2"/>
      <c r="C403" s="2"/>
      <c r="D403" s="2"/>
      <c r="E403" s="2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2"/>
      <c r="B404" s="2"/>
      <c r="C404" s="2"/>
      <c r="D404" s="2"/>
      <c r="E404" s="2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2"/>
      <c r="B405" s="2"/>
      <c r="C405" s="2"/>
      <c r="D405" s="2"/>
      <c r="E405" s="2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2"/>
      <c r="B406" s="2"/>
      <c r="C406" s="2"/>
      <c r="D406" s="2"/>
      <c r="E406" s="2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2"/>
      <c r="B407" s="2"/>
      <c r="C407" s="2"/>
      <c r="D407" s="2"/>
      <c r="E407" s="2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2"/>
      <c r="B408" s="2"/>
      <c r="C408" s="2"/>
      <c r="D408" s="2"/>
      <c r="E408" s="2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2"/>
      <c r="B409" s="2"/>
      <c r="C409" s="2"/>
      <c r="D409" s="2"/>
      <c r="E409" s="2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2"/>
      <c r="B410" s="2"/>
      <c r="C410" s="2"/>
      <c r="D410" s="2"/>
      <c r="E410" s="2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2"/>
      <c r="B411" s="2"/>
      <c r="C411" s="2"/>
      <c r="D411" s="2"/>
      <c r="E411" s="2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2"/>
      <c r="B412" s="2"/>
      <c r="C412" s="2"/>
      <c r="D412" s="2"/>
      <c r="E412" s="2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2"/>
      <c r="B413" s="2"/>
      <c r="C413" s="2"/>
      <c r="D413" s="2"/>
      <c r="E413" s="2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2"/>
      <c r="B414" s="2"/>
      <c r="C414" s="2"/>
      <c r="D414" s="2"/>
      <c r="E414" s="2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2"/>
      <c r="B415" s="2"/>
      <c r="C415" s="2"/>
      <c r="D415" s="2"/>
      <c r="E415" s="2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2"/>
      <c r="B416" s="2"/>
      <c r="C416" s="2"/>
      <c r="D416" s="2"/>
      <c r="E416" s="2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2"/>
      <c r="B417" s="2"/>
      <c r="C417" s="2"/>
      <c r="D417" s="2"/>
      <c r="E417" s="2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2"/>
      <c r="B418" s="2"/>
      <c r="C418" s="2"/>
      <c r="D418" s="2"/>
      <c r="E418" s="2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2"/>
      <c r="B419" s="2"/>
      <c r="C419" s="2"/>
      <c r="D419" s="2"/>
      <c r="E419" s="2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2"/>
      <c r="B420" s="2"/>
      <c r="C420" s="2"/>
      <c r="D420" s="2"/>
      <c r="E420" s="2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2"/>
      <c r="B421" s="2"/>
      <c r="C421" s="2"/>
      <c r="D421" s="2"/>
      <c r="E421" s="2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2"/>
      <c r="B422" s="2"/>
      <c r="C422" s="2"/>
      <c r="D422" s="2"/>
      <c r="E422" s="2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2"/>
      <c r="B423" s="2"/>
      <c r="C423" s="2"/>
      <c r="D423" s="2"/>
      <c r="E423" s="2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2"/>
      <c r="B424" s="2"/>
      <c r="C424" s="2"/>
      <c r="D424" s="2"/>
      <c r="E424" s="2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2"/>
      <c r="B425" s="2"/>
      <c r="C425" s="2"/>
      <c r="D425" s="2"/>
      <c r="E425" s="2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2"/>
      <c r="B426" s="2"/>
      <c r="C426" s="2"/>
      <c r="D426" s="2"/>
      <c r="E426" s="2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2"/>
      <c r="B427" s="2"/>
      <c r="C427" s="2"/>
      <c r="D427" s="2"/>
      <c r="E427" s="2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2"/>
      <c r="B428" s="2"/>
      <c r="C428" s="2"/>
      <c r="D428" s="2"/>
      <c r="E428" s="2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2"/>
      <c r="B429" s="2"/>
      <c r="C429" s="2"/>
      <c r="D429" s="2"/>
      <c r="E429" s="2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2"/>
      <c r="B430" s="2"/>
      <c r="C430" s="2"/>
      <c r="D430" s="2"/>
      <c r="E430" s="2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2"/>
      <c r="B431" s="2"/>
      <c r="C431" s="2"/>
      <c r="D431" s="2"/>
      <c r="E431" s="2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2"/>
      <c r="B432" s="2"/>
      <c r="C432" s="2"/>
      <c r="D432" s="2"/>
      <c r="E432" s="2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2"/>
      <c r="B433" s="2"/>
      <c r="C433" s="2"/>
      <c r="D433" s="2"/>
      <c r="E433" s="2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2"/>
      <c r="B434" s="2"/>
      <c r="C434" s="2"/>
      <c r="D434" s="2"/>
      <c r="E434" s="2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2"/>
      <c r="B435" s="2"/>
      <c r="C435" s="2"/>
      <c r="D435" s="2"/>
      <c r="E435" s="2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2"/>
      <c r="B436" s="2"/>
      <c r="C436" s="2"/>
      <c r="D436" s="2"/>
      <c r="E436" s="2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2"/>
      <c r="B437" s="2"/>
      <c r="C437" s="2"/>
      <c r="D437" s="2"/>
      <c r="E437" s="2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2"/>
      <c r="B438" s="2"/>
      <c r="C438" s="2"/>
      <c r="D438" s="2"/>
      <c r="E438" s="2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2"/>
      <c r="B439" s="2"/>
      <c r="C439" s="2"/>
      <c r="D439" s="2"/>
      <c r="E439" s="2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2"/>
      <c r="B440" s="2"/>
      <c r="C440" s="2"/>
      <c r="D440" s="2"/>
      <c r="E440" s="2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2"/>
      <c r="B441" s="2"/>
      <c r="C441" s="2"/>
      <c r="D441" s="2"/>
      <c r="E441" s="2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2"/>
      <c r="B442" s="2"/>
      <c r="C442" s="2"/>
      <c r="D442" s="2"/>
      <c r="E442" s="2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2"/>
      <c r="B443" s="2"/>
      <c r="C443" s="2"/>
      <c r="D443" s="2"/>
      <c r="E443" s="2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2"/>
      <c r="B444" s="2"/>
      <c r="C444" s="2"/>
      <c r="D444" s="2"/>
      <c r="E444" s="2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2"/>
      <c r="B445" s="2"/>
      <c r="C445" s="2"/>
      <c r="D445" s="2"/>
      <c r="E445" s="2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2"/>
      <c r="B446" s="2"/>
      <c r="C446" s="2"/>
      <c r="D446" s="2"/>
      <c r="E446" s="2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2"/>
      <c r="B447" s="2"/>
      <c r="C447" s="2"/>
      <c r="D447" s="2"/>
      <c r="E447" s="2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2"/>
      <c r="B448" s="2"/>
      <c r="C448" s="2"/>
      <c r="D448" s="2"/>
      <c r="E448" s="2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2"/>
      <c r="B449" s="2"/>
      <c r="C449" s="2"/>
      <c r="D449" s="2"/>
      <c r="E449" s="2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2"/>
      <c r="B450" s="2"/>
      <c r="C450" s="2"/>
      <c r="D450" s="2"/>
      <c r="E450" s="2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2"/>
      <c r="B451" s="2"/>
      <c r="C451" s="2"/>
      <c r="D451" s="2"/>
      <c r="E451" s="2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2"/>
      <c r="B452" s="2"/>
      <c r="C452" s="2"/>
      <c r="D452" s="2"/>
      <c r="E452" s="2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2"/>
      <c r="B453" s="2"/>
      <c r="C453" s="2"/>
      <c r="D453" s="2"/>
      <c r="E453" s="2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2"/>
      <c r="B454" s="2"/>
      <c r="C454" s="2"/>
      <c r="D454" s="2"/>
      <c r="E454" s="2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2"/>
      <c r="B455" s="2"/>
      <c r="C455" s="2"/>
      <c r="D455" s="2"/>
      <c r="E455" s="2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2"/>
      <c r="B456" s="2"/>
      <c r="C456" s="2"/>
      <c r="D456" s="2"/>
      <c r="E456" s="2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2"/>
      <c r="B457" s="2"/>
      <c r="C457" s="2"/>
      <c r="D457" s="2"/>
      <c r="E457" s="2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2"/>
      <c r="B458" s="2"/>
      <c r="C458" s="2"/>
      <c r="D458" s="2"/>
      <c r="E458" s="2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2"/>
      <c r="B459" s="2"/>
      <c r="C459" s="2"/>
      <c r="D459" s="2"/>
      <c r="E459" s="2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2"/>
      <c r="B460" s="2"/>
      <c r="C460" s="2"/>
      <c r="D460" s="2"/>
      <c r="E460" s="2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2"/>
      <c r="B461" s="2"/>
      <c r="C461" s="2"/>
      <c r="D461" s="2"/>
      <c r="E461" s="2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2"/>
      <c r="B462" s="2"/>
      <c r="C462" s="2"/>
      <c r="D462" s="2"/>
      <c r="E462" s="2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2"/>
      <c r="B463" s="2"/>
      <c r="C463" s="2"/>
      <c r="D463" s="2"/>
      <c r="E463" s="2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2"/>
      <c r="B464" s="2"/>
      <c r="C464" s="2"/>
      <c r="D464" s="2"/>
      <c r="E464" s="2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2"/>
      <c r="B465" s="2"/>
      <c r="C465" s="2"/>
      <c r="D465" s="2"/>
      <c r="E465" s="2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2"/>
      <c r="B466" s="2"/>
      <c r="C466" s="2"/>
      <c r="D466" s="2"/>
      <c r="E466" s="2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2"/>
      <c r="B467" s="2"/>
      <c r="C467" s="2"/>
      <c r="D467" s="2"/>
      <c r="E467" s="2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2"/>
      <c r="B468" s="2"/>
      <c r="C468" s="2"/>
      <c r="D468" s="2"/>
      <c r="E468" s="2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2"/>
      <c r="B469" s="2"/>
      <c r="C469" s="2"/>
      <c r="D469" s="2"/>
      <c r="E469" s="2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2"/>
      <c r="B470" s="2"/>
      <c r="C470" s="2"/>
      <c r="D470" s="2"/>
      <c r="E470" s="2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2"/>
      <c r="B471" s="2"/>
      <c r="C471" s="2"/>
      <c r="D471" s="2"/>
      <c r="E471" s="2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2"/>
      <c r="B472" s="2"/>
      <c r="C472" s="2"/>
      <c r="D472" s="2"/>
      <c r="E472" s="2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2"/>
      <c r="B473" s="2"/>
      <c r="C473" s="2"/>
      <c r="D473" s="2"/>
      <c r="E473" s="2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2"/>
      <c r="B474" s="2"/>
      <c r="C474" s="2"/>
      <c r="D474" s="2"/>
      <c r="E474" s="2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2"/>
      <c r="B475" s="2"/>
      <c r="C475" s="2"/>
      <c r="D475" s="2"/>
      <c r="E475" s="2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2"/>
      <c r="B476" s="2"/>
      <c r="C476" s="2"/>
      <c r="D476" s="2"/>
      <c r="E476" s="2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2"/>
      <c r="B477" s="2"/>
      <c r="C477" s="2"/>
      <c r="D477" s="2"/>
      <c r="E477" s="2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2"/>
      <c r="B478" s="2"/>
      <c r="C478" s="2"/>
      <c r="D478" s="2"/>
      <c r="E478" s="2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2"/>
      <c r="B479" s="2"/>
      <c r="C479" s="2"/>
      <c r="D479" s="2"/>
      <c r="E479" s="2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2"/>
      <c r="B480" s="2"/>
      <c r="C480" s="2"/>
      <c r="D480" s="2"/>
      <c r="E480" s="2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2"/>
      <c r="B481" s="2"/>
      <c r="C481" s="2"/>
      <c r="D481" s="2"/>
      <c r="E481" s="2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2"/>
      <c r="B482" s="2"/>
      <c r="C482" s="2"/>
      <c r="D482" s="2"/>
      <c r="E482" s="2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2"/>
      <c r="B483" s="2"/>
      <c r="C483" s="2"/>
      <c r="D483" s="2"/>
      <c r="E483" s="2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2"/>
      <c r="B484" s="2"/>
      <c r="C484" s="2"/>
      <c r="D484" s="2"/>
      <c r="E484" s="2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2"/>
      <c r="B485" s="2"/>
      <c r="C485" s="2"/>
      <c r="D485" s="2"/>
      <c r="E485" s="2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2"/>
      <c r="B486" s="2"/>
      <c r="C486" s="2"/>
      <c r="D486" s="2"/>
      <c r="E486" s="2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2"/>
      <c r="B487" s="2"/>
      <c r="C487" s="2"/>
      <c r="D487" s="2"/>
      <c r="E487" s="2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2"/>
      <c r="B488" s="2"/>
      <c r="C488" s="2"/>
      <c r="D488" s="2"/>
      <c r="E488" s="2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2"/>
      <c r="B489" s="2"/>
      <c r="C489" s="2"/>
      <c r="D489" s="2"/>
      <c r="E489" s="2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2"/>
      <c r="B490" s="2"/>
      <c r="C490" s="2"/>
      <c r="D490" s="2"/>
      <c r="E490" s="2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2"/>
      <c r="B491" s="2"/>
      <c r="C491" s="2"/>
      <c r="D491" s="2"/>
      <c r="E491" s="2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2"/>
      <c r="B492" s="2"/>
      <c r="C492" s="2"/>
      <c r="D492" s="2"/>
      <c r="E492" s="2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2"/>
      <c r="B493" s="2"/>
      <c r="C493" s="2"/>
      <c r="D493" s="2"/>
      <c r="E493" s="2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2"/>
      <c r="B494" s="2"/>
      <c r="C494" s="2"/>
      <c r="D494" s="2"/>
      <c r="E494" s="2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2"/>
      <c r="B495" s="2"/>
      <c r="C495" s="2"/>
      <c r="D495" s="2"/>
      <c r="E495" s="2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2"/>
      <c r="B496" s="2"/>
      <c r="C496" s="2"/>
      <c r="D496" s="2"/>
      <c r="E496" s="2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2"/>
      <c r="B497" s="2"/>
      <c r="C497" s="2"/>
      <c r="D497" s="2"/>
      <c r="E497" s="2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2"/>
      <c r="B498" s="2"/>
      <c r="C498" s="2"/>
      <c r="D498" s="2"/>
      <c r="E498" s="2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2"/>
      <c r="B499" s="2"/>
      <c r="C499" s="2"/>
      <c r="D499" s="2"/>
      <c r="E499" s="2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2"/>
      <c r="B500" s="2"/>
      <c r="C500" s="2"/>
      <c r="D500" s="2"/>
      <c r="E500" s="2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2"/>
      <c r="B501" s="2"/>
      <c r="C501" s="2"/>
      <c r="D501" s="2"/>
      <c r="E501" s="2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2"/>
      <c r="B502" s="2"/>
      <c r="C502" s="2"/>
      <c r="D502" s="2"/>
      <c r="E502" s="2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2"/>
      <c r="B503" s="2"/>
      <c r="C503" s="2"/>
      <c r="D503" s="2"/>
      <c r="E503" s="2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2"/>
      <c r="B504" s="2"/>
      <c r="C504" s="2"/>
      <c r="D504" s="2"/>
      <c r="E504" s="2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2"/>
      <c r="B505" s="2"/>
      <c r="C505" s="2"/>
      <c r="D505" s="2"/>
      <c r="E505" s="2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2"/>
      <c r="B506" s="2"/>
      <c r="C506" s="2"/>
      <c r="D506" s="2"/>
      <c r="E506" s="2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2"/>
      <c r="B507" s="2"/>
      <c r="C507" s="2"/>
      <c r="D507" s="2"/>
      <c r="E507" s="2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2"/>
      <c r="B508" s="2"/>
      <c r="C508" s="2"/>
      <c r="D508" s="2"/>
      <c r="E508" s="2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2"/>
      <c r="B509" s="2"/>
      <c r="C509" s="2"/>
      <c r="D509" s="2"/>
      <c r="E509" s="2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2"/>
      <c r="B510" s="2"/>
      <c r="C510" s="2"/>
      <c r="D510" s="2"/>
      <c r="E510" s="2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2"/>
      <c r="B511" s="2"/>
      <c r="C511" s="2"/>
      <c r="D511" s="2"/>
      <c r="E511" s="2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2"/>
      <c r="B512" s="2"/>
      <c r="C512" s="2"/>
      <c r="D512" s="2"/>
      <c r="E512" s="2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2"/>
      <c r="B513" s="2"/>
      <c r="C513" s="2"/>
      <c r="D513" s="2"/>
      <c r="E513" s="2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2"/>
      <c r="B514" s="2"/>
      <c r="C514" s="2"/>
      <c r="D514" s="2"/>
      <c r="E514" s="2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2"/>
      <c r="B515" s="2"/>
      <c r="C515" s="2"/>
      <c r="D515" s="2"/>
      <c r="E515" s="2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2"/>
      <c r="B516" s="2"/>
      <c r="C516" s="2"/>
      <c r="D516" s="2"/>
      <c r="E516" s="2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2"/>
      <c r="B517" s="2"/>
      <c r="C517" s="2"/>
      <c r="D517" s="2"/>
      <c r="E517" s="2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2"/>
      <c r="B518" s="2"/>
      <c r="C518" s="2"/>
      <c r="D518" s="2"/>
      <c r="E518" s="2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2"/>
      <c r="B519" s="2"/>
      <c r="C519" s="2"/>
      <c r="D519" s="2"/>
      <c r="E519" s="2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2"/>
      <c r="B520" s="2"/>
      <c r="C520" s="2"/>
      <c r="D520" s="2"/>
      <c r="E520" s="2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2"/>
      <c r="B521" s="2"/>
      <c r="C521" s="2"/>
      <c r="D521" s="2"/>
      <c r="E521" s="2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2"/>
      <c r="B522" s="2"/>
      <c r="C522" s="2"/>
      <c r="D522" s="2"/>
      <c r="E522" s="2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2"/>
      <c r="B523" s="2"/>
      <c r="C523" s="2"/>
      <c r="D523" s="2"/>
      <c r="E523" s="2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2"/>
      <c r="B524" s="2"/>
      <c r="C524" s="2"/>
      <c r="D524" s="2"/>
      <c r="E524" s="2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2"/>
      <c r="B525" s="2"/>
      <c r="C525" s="2"/>
      <c r="D525" s="2"/>
      <c r="E525" s="2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2"/>
      <c r="B526" s="2"/>
      <c r="C526" s="2"/>
      <c r="D526" s="2"/>
      <c r="E526" s="2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2"/>
      <c r="B527" s="2"/>
      <c r="C527" s="2"/>
      <c r="D527" s="2"/>
      <c r="E527" s="2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2"/>
      <c r="B528" s="2"/>
      <c r="C528" s="2"/>
      <c r="D528" s="2"/>
      <c r="E528" s="2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2"/>
      <c r="B529" s="2"/>
      <c r="C529" s="2"/>
      <c r="D529" s="2"/>
      <c r="E529" s="2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2"/>
      <c r="B530" s="2"/>
      <c r="C530" s="2"/>
      <c r="D530" s="2"/>
      <c r="E530" s="2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2"/>
      <c r="B531" s="2"/>
      <c r="C531" s="2"/>
      <c r="D531" s="2"/>
      <c r="E531" s="2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2"/>
      <c r="B532" s="2"/>
      <c r="C532" s="2"/>
      <c r="D532" s="2"/>
      <c r="E532" s="2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2"/>
      <c r="B533" s="2"/>
      <c r="C533" s="2"/>
      <c r="D533" s="2"/>
      <c r="E533" s="2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2"/>
      <c r="B534" s="2"/>
      <c r="C534" s="2"/>
      <c r="D534" s="2"/>
      <c r="E534" s="2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2"/>
      <c r="B535" s="2"/>
      <c r="C535" s="2"/>
      <c r="D535" s="2"/>
      <c r="E535" s="2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2"/>
      <c r="B536" s="2"/>
      <c r="C536" s="2"/>
      <c r="D536" s="2"/>
      <c r="E536" s="2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2"/>
      <c r="B537" s="2"/>
      <c r="C537" s="2"/>
      <c r="D537" s="2"/>
      <c r="E537" s="2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2"/>
      <c r="B538" s="2"/>
      <c r="C538" s="2"/>
      <c r="D538" s="2"/>
      <c r="E538" s="2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2"/>
      <c r="B539" s="2"/>
      <c r="C539" s="2"/>
      <c r="D539" s="2"/>
      <c r="E539" s="2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2"/>
      <c r="B540" s="2"/>
      <c r="C540" s="2"/>
      <c r="D540" s="2"/>
      <c r="E540" s="2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2"/>
      <c r="B541" s="2"/>
      <c r="C541" s="2"/>
      <c r="D541" s="2"/>
      <c r="E541" s="2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2"/>
      <c r="B542" s="2"/>
      <c r="C542" s="2"/>
      <c r="D542" s="2"/>
      <c r="E542" s="2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2"/>
      <c r="B543" s="2"/>
      <c r="C543" s="2"/>
      <c r="D543" s="2"/>
      <c r="E543" s="2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2"/>
      <c r="B544" s="2"/>
      <c r="C544" s="2"/>
      <c r="D544" s="2"/>
      <c r="E544" s="2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2"/>
      <c r="B545" s="2"/>
      <c r="C545" s="2"/>
      <c r="D545" s="2"/>
      <c r="E545" s="2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2"/>
      <c r="B546" s="2"/>
      <c r="C546" s="2"/>
      <c r="D546" s="2"/>
      <c r="E546" s="2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2"/>
      <c r="B547" s="2"/>
      <c r="C547" s="2"/>
      <c r="D547" s="2"/>
      <c r="E547" s="2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2"/>
      <c r="B548" s="2"/>
      <c r="C548" s="2"/>
      <c r="D548" s="2"/>
      <c r="E548" s="2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2"/>
      <c r="B549" s="2"/>
      <c r="C549" s="2"/>
      <c r="D549" s="2"/>
      <c r="E549" s="2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2"/>
      <c r="B550" s="2"/>
      <c r="C550" s="2"/>
      <c r="D550" s="2"/>
      <c r="E550" s="2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2"/>
      <c r="B551" s="2"/>
      <c r="C551" s="2"/>
      <c r="D551" s="2"/>
      <c r="E551" s="2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2"/>
      <c r="B552" s="2"/>
      <c r="C552" s="2"/>
      <c r="D552" s="2"/>
      <c r="E552" s="2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2"/>
      <c r="B553" s="2"/>
      <c r="C553" s="2"/>
      <c r="D553" s="2"/>
      <c r="E553" s="2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2"/>
      <c r="B554" s="2"/>
      <c r="C554" s="2"/>
      <c r="D554" s="2"/>
      <c r="E554" s="2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2"/>
      <c r="B555" s="2"/>
      <c r="C555" s="2"/>
      <c r="D555" s="2"/>
      <c r="E555" s="2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2"/>
      <c r="B556" s="2"/>
      <c r="C556" s="2"/>
      <c r="D556" s="2"/>
      <c r="E556" s="2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2"/>
      <c r="B557" s="2"/>
      <c r="C557" s="2"/>
      <c r="D557" s="2"/>
      <c r="E557" s="2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2"/>
      <c r="B558" s="2"/>
      <c r="C558" s="2"/>
      <c r="D558" s="2"/>
      <c r="E558" s="2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2"/>
      <c r="B559" s="2"/>
      <c r="C559" s="2"/>
      <c r="D559" s="2"/>
      <c r="E559" s="2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2"/>
      <c r="B560" s="2"/>
      <c r="C560" s="2"/>
      <c r="D560" s="2"/>
      <c r="E560" s="2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2"/>
      <c r="B561" s="2"/>
      <c r="C561" s="2"/>
      <c r="D561" s="2"/>
      <c r="E561" s="2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2"/>
      <c r="B562" s="2"/>
      <c r="C562" s="2"/>
      <c r="D562" s="2"/>
      <c r="E562" s="2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2"/>
      <c r="B563" s="2"/>
      <c r="C563" s="2"/>
      <c r="D563" s="2"/>
      <c r="E563" s="2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2"/>
      <c r="B564" s="2"/>
      <c r="C564" s="2"/>
      <c r="D564" s="2"/>
      <c r="E564" s="2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2"/>
      <c r="B565" s="2"/>
      <c r="C565" s="2"/>
      <c r="D565" s="2"/>
      <c r="E565" s="2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2"/>
      <c r="B566" s="2"/>
      <c r="C566" s="2"/>
      <c r="D566" s="2"/>
      <c r="E566" s="2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2"/>
      <c r="B567" s="2"/>
      <c r="C567" s="2"/>
      <c r="D567" s="2"/>
      <c r="E567" s="2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2"/>
      <c r="B568" s="2"/>
      <c r="C568" s="2"/>
      <c r="D568" s="2"/>
      <c r="E568" s="2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2"/>
      <c r="B569" s="2"/>
      <c r="C569" s="2"/>
      <c r="D569" s="2"/>
      <c r="E569" s="2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2"/>
      <c r="B570" s="2"/>
      <c r="C570" s="2"/>
      <c r="D570" s="2"/>
      <c r="E570" s="2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2"/>
      <c r="B571" s="2"/>
      <c r="C571" s="2"/>
      <c r="D571" s="2"/>
      <c r="E571" s="2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2"/>
      <c r="B572" s="2"/>
      <c r="C572" s="2"/>
      <c r="D572" s="2"/>
      <c r="E572" s="2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2"/>
      <c r="B573" s="2"/>
      <c r="C573" s="2"/>
      <c r="D573" s="2"/>
      <c r="E573" s="2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2"/>
      <c r="B574" s="2"/>
      <c r="C574" s="2"/>
      <c r="D574" s="2"/>
      <c r="E574" s="2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2"/>
      <c r="B575" s="2"/>
      <c r="C575" s="2"/>
      <c r="D575" s="2"/>
      <c r="E575" s="2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2"/>
      <c r="B576" s="2"/>
      <c r="C576" s="2"/>
      <c r="D576" s="2"/>
      <c r="E576" s="2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2"/>
      <c r="B577" s="2"/>
      <c r="C577" s="2"/>
      <c r="D577" s="2"/>
      <c r="E577" s="2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2"/>
      <c r="B578" s="2"/>
      <c r="C578" s="2"/>
      <c r="D578" s="2"/>
      <c r="E578" s="2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2"/>
      <c r="B579" s="2"/>
      <c r="C579" s="2"/>
      <c r="D579" s="2"/>
      <c r="E579" s="2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2"/>
      <c r="B580" s="2"/>
      <c r="C580" s="2"/>
      <c r="D580" s="2"/>
      <c r="E580" s="2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2"/>
      <c r="B581" s="2"/>
      <c r="C581" s="2"/>
      <c r="D581" s="2"/>
      <c r="E581" s="2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2"/>
      <c r="B582" s="2"/>
      <c r="C582" s="2"/>
      <c r="D582" s="2"/>
      <c r="E582" s="2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2"/>
      <c r="B583" s="2"/>
      <c r="C583" s="2"/>
      <c r="D583" s="2"/>
      <c r="E583" s="2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2"/>
      <c r="B584" s="2"/>
      <c r="C584" s="2"/>
      <c r="D584" s="2"/>
      <c r="E584" s="2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2"/>
      <c r="B585" s="2"/>
      <c r="C585" s="2"/>
      <c r="D585" s="2"/>
      <c r="E585" s="2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2"/>
      <c r="B586" s="2"/>
      <c r="C586" s="2"/>
      <c r="D586" s="2"/>
      <c r="E586" s="2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2"/>
      <c r="B587" s="2"/>
      <c r="C587" s="2"/>
      <c r="D587" s="2"/>
      <c r="E587" s="2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2"/>
      <c r="B588" s="2"/>
      <c r="C588" s="2"/>
      <c r="D588" s="2"/>
      <c r="E588" s="2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2"/>
      <c r="B589" s="2"/>
      <c r="C589" s="2"/>
      <c r="D589" s="2"/>
      <c r="E589" s="2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2"/>
      <c r="B590" s="2"/>
      <c r="C590" s="2"/>
      <c r="D590" s="2"/>
      <c r="E590" s="2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2"/>
      <c r="B591" s="2"/>
      <c r="C591" s="2"/>
      <c r="D591" s="2"/>
      <c r="E591" s="2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2"/>
      <c r="B592" s="2"/>
      <c r="C592" s="2"/>
      <c r="D592" s="2"/>
      <c r="E592" s="2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2"/>
      <c r="B593" s="2"/>
      <c r="C593" s="2"/>
      <c r="D593" s="2"/>
      <c r="E593" s="2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2"/>
      <c r="B594" s="2"/>
      <c r="C594" s="2"/>
      <c r="D594" s="2"/>
      <c r="E594" s="2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2"/>
      <c r="B595" s="2"/>
      <c r="C595" s="2"/>
      <c r="D595" s="2"/>
      <c r="E595" s="2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2"/>
      <c r="B596" s="2"/>
      <c r="C596" s="2"/>
      <c r="D596" s="2"/>
      <c r="E596" s="2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2"/>
      <c r="B597" s="2"/>
      <c r="C597" s="2"/>
      <c r="D597" s="2"/>
      <c r="E597" s="2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2"/>
      <c r="B598" s="2"/>
      <c r="C598" s="2"/>
      <c r="D598" s="2"/>
      <c r="E598" s="2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2"/>
      <c r="B599" s="2"/>
      <c r="C599" s="2"/>
      <c r="D599" s="2"/>
      <c r="E599" s="2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2"/>
      <c r="B600" s="2"/>
      <c r="C600" s="2"/>
      <c r="D600" s="2"/>
      <c r="E600" s="2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2"/>
      <c r="B601" s="2"/>
      <c r="C601" s="2"/>
      <c r="D601" s="2"/>
      <c r="E601" s="2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2"/>
      <c r="B602" s="2"/>
      <c r="C602" s="2"/>
      <c r="D602" s="2"/>
      <c r="E602" s="2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2"/>
      <c r="B603" s="2"/>
      <c r="C603" s="2"/>
      <c r="D603" s="2"/>
      <c r="E603" s="2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2"/>
      <c r="B604" s="2"/>
      <c r="C604" s="2"/>
      <c r="D604" s="2"/>
      <c r="E604" s="2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2"/>
      <c r="B605" s="2"/>
      <c r="C605" s="2"/>
      <c r="D605" s="2"/>
      <c r="E605" s="2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2"/>
      <c r="B606" s="2"/>
      <c r="C606" s="2"/>
      <c r="D606" s="2"/>
      <c r="E606" s="2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2"/>
      <c r="B607" s="2"/>
      <c r="C607" s="2"/>
      <c r="D607" s="2"/>
      <c r="E607" s="2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2"/>
      <c r="B608" s="2"/>
      <c r="C608" s="2"/>
      <c r="D608" s="2"/>
      <c r="E608" s="2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2"/>
      <c r="B609" s="2"/>
      <c r="C609" s="2"/>
      <c r="D609" s="2"/>
      <c r="E609" s="2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2"/>
      <c r="B610" s="2"/>
      <c r="C610" s="2"/>
      <c r="D610" s="2"/>
      <c r="E610" s="2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2"/>
      <c r="B611" s="2"/>
      <c r="C611" s="2"/>
      <c r="D611" s="2"/>
      <c r="E611" s="2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2"/>
      <c r="B612" s="2"/>
      <c r="C612" s="2"/>
      <c r="D612" s="2"/>
      <c r="E612" s="2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2"/>
      <c r="B613" s="2"/>
      <c r="C613" s="2"/>
      <c r="D613" s="2"/>
      <c r="E613" s="2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2"/>
      <c r="B614" s="2"/>
      <c r="C614" s="2"/>
      <c r="D614" s="2"/>
      <c r="E614" s="2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2"/>
      <c r="B615" s="2"/>
      <c r="C615" s="2"/>
      <c r="D615" s="2"/>
      <c r="E615" s="2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2"/>
      <c r="B616" s="2"/>
      <c r="C616" s="2"/>
      <c r="D616" s="2"/>
      <c r="E616" s="2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2"/>
      <c r="B617" s="2"/>
      <c r="C617" s="2"/>
      <c r="D617" s="2"/>
      <c r="E617" s="2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2"/>
      <c r="B618" s="2"/>
      <c r="C618" s="2"/>
      <c r="D618" s="2"/>
      <c r="E618" s="2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2"/>
      <c r="B619" s="2"/>
      <c r="C619" s="2"/>
      <c r="D619" s="2"/>
      <c r="E619" s="2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2"/>
      <c r="B620" s="2"/>
      <c r="C620" s="2"/>
      <c r="D620" s="2"/>
      <c r="E620" s="2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2"/>
      <c r="B621" s="2"/>
      <c r="C621" s="2"/>
      <c r="D621" s="2"/>
      <c r="E621" s="2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2"/>
      <c r="B622" s="2"/>
      <c r="C622" s="2"/>
      <c r="D622" s="2"/>
      <c r="E622" s="2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2"/>
      <c r="B623" s="2"/>
      <c r="C623" s="2"/>
      <c r="D623" s="2"/>
      <c r="E623" s="2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2"/>
      <c r="B624" s="2"/>
      <c r="C624" s="2"/>
      <c r="D624" s="2"/>
      <c r="E624" s="2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2"/>
      <c r="B625" s="2"/>
      <c r="C625" s="2"/>
      <c r="D625" s="2"/>
      <c r="E625" s="2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2"/>
      <c r="B626" s="2"/>
      <c r="C626" s="2"/>
      <c r="D626" s="2"/>
      <c r="E626" s="2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2"/>
      <c r="B627" s="2"/>
      <c r="C627" s="2"/>
      <c r="D627" s="2"/>
      <c r="E627" s="2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2"/>
      <c r="B628" s="2"/>
      <c r="C628" s="2"/>
      <c r="D628" s="2"/>
      <c r="E628" s="2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2"/>
      <c r="B629" s="2"/>
      <c r="C629" s="2"/>
      <c r="D629" s="2"/>
      <c r="E629" s="2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2"/>
      <c r="B630" s="2"/>
      <c r="C630" s="2"/>
      <c r="D630" s="2"/>
      <c r="E630" s="2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2"/>
      <c r="B631" s="2"/>
      <c r="C631" s="2"/>
      <c r="D631" s="2"/>
      <c r="E631" s="2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2"/>
      <c r="B632" s="2"/>
      <c r="C632" s="2"/>
      <c r="D632" s="2"/>
      <c r="E632" s="2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2"/>
      <c r="B633" s="2"/>
      <c r="C633" s="2"/>
      <c r="D633" s="2"/>
      <c r="E633" s="2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2"/>
      <c r="B634" s="2"/>
      <c r="C634" s="2"/>
      <c r="D634" s="2"/>
      <c r="E634" s="2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2"/>
      <c r="B635" s="2"/>
      <c r="C635" s="2"/>
      <c r="D635" s="2"/>
      <c r="E635" s="2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2"/>
      <c r="B636" s="2"/>
      <c r="C636" s="2"/>
      <c r="D636" s="2"/>
      <c r="E636" s="2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2"/>
      <c r="B637" s="2"/>
      <c r="C637" s="2"/>
      <c r="D637" s="2"/>
      <c r="E637" s="2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2"/>
      <c r="B638" s="2"/>
      <c r="C638" s="2"/>
      <c r="D638" s="2"/>
      <c r="E638" s="2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2"/>
      <c r="B639" s="2"/>
      <c r="C639" s="2"/>
      <c r="D639" s="2"/>
      <c r="E639" s="2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2"/>
      <c r="B640" s="2"/>
      <c r="C640" s="2"/>
      <c r="D640" s="2"/>
      <c r="E640" s="2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2"/>
      <c r="B641" s="2"/>
      <c r="C641" s="2"/>
      <c r="D641" s="2"/>
      <c r="E641" s="2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2"/>
      <c r="B642" s="2"/>
      <c r="C642" s="2"/>
      <c r="D642" s="2"/>
      <c r="E642" s="2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2"/>
      <c r="B643" s="2"/>
      <c r="C643" s="2"/>
      <c r="D643" s="2"/>
      <c r="E643" s="2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2"/>
      <c r="B644" s="2"/>
      <c r="C644" s="2"/>
      <c r="D644" s="2"/>
      <c r="E644" s="2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2"/>
      <c r="B645" s="2"/>
      <c r="C645" s="2"/>
      <c r="D645" s="2"/>
      <c r="E645" s="2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2"/>
      <c r="B646" s="2"/>
      <c r="C646" s="2"/>
      <c r="D646" s="2"/>
      <c r="E646" s="2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2"/>
      <c r="B647" s="2"/>
      <c r="C647" s="2"/>
      <c r="D647" s="2"/>
      <c r="E647" s="2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2"/>
      <c r="B648" s="2"/>
      <c r="C648" s="2"/>
      <c r="D648" s="2"/>
      <c r="E648" s="2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2"/>
      <c r="B649" s="2"/>
      <c r="C649" s="2"/>
      <c r="D649" s="2"/>
      <c r="E649" s="2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2"/>
      <c r="B650" s="2"/>
      <c r="C650" s="2"/>
      <c r="D650" s="2"/>
      <c r="E650" s="2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2"/>
      <c r="B651" s="2"/>
      <c r="C651" s="2"/>
      <c r="D651" s="2"/>
      <c r="E651" s="2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2"/>
      <c r="B652" s="2"/>
      <c r="C652" s="2"/>
      <c r="D652" s="2"/>
      <c r="E652" s="2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2"/>
      <c r="B653" s="2"/>
      <c r="C653" s="2"/>
      <c r="D653" s="2"/>
      <c r="E653" s="2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2"/>
      <c r="B654" s="2"/>
      <c r="C654" s="2"/>
      <c r="D654" s="2"/>
      <c r="E654" s="2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2"/>
      <c r="B655" s="2"/>
      <c r="C655" s="2"/>
      <c r="D655" s="2"/>
      <c r="E655" s="2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2"/>
      <c r="B656" s="2"/>
      <c r="C656" s="2"/>
      <c r="D656" s="2"/>
      <c r="E656" s="2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2"/>
      <c r="B657" s="2"/>
      <c r="C657" s="2"/>
      <c r="D657" s="2"/>
      <c r="E657" s="2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2"/>
      <c r="B658" s="2"/>
      <c r="C658" s="2"/>
      <c r="D658" s="2"/>
      <c r="E658" s="2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2"/>
      <c r="B659" s="2"/>
      <c r="C659" s="2"/>
      <c r="D659" s="2"/>
      <c r="E659" s="2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2"/>
      <c r="B660" s="2"/>
      <c r="C660" s="2"/>
      <c r="D660" s="2"/>
      <c r="E660" s="2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2"/>
      <c r="B661" s="2"/>
      <c r="C661" s="2"/>
      <c r="D661" s="2"/>
      <c r="E661" s="2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2"/>
      <c r="B662" s="2"/>
      <c r="C662" s="2"/>
      <c r="D662" s="2"/>
      <c r="E662" s="2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2"/>
      <c r="B663" s="2"/>
      <c r="C663" s="2"/>
      <c r="D663" s="2"/>
      <c r="E663" s="2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2"/>
      <c r="B664" s="2"/>
      <c r="C664" s="2"/>
      <c r="D664" s="2"/>
      <c r="E664" s="2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2"/>
      <c r="B665" s="2"/>
      <c r="C665" s="2"/>
      <c r="D665" s="2"/>
      <c r="E665" s="2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2"/>
      <c r="B666" s="2"/>
      <c r="C666" s="2"/>
      <c r="D666" s="2"/>
      <c r="E666" s="2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2"/>
      <c r="B667" s="2"/>
      <c r="C667" s="2"/>
      <c r="D667" s="2"/>
      <c r="E667" s="2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2"/>
      <c r="B668" s="2"/>
      <c r="C668" s="2"/>
      <c r="D668" s="2"/>
      <c r="E668" s="2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2"/>
      <c r="B669" s="2"/>
      <c r="C669" s="2"/>
      <c r="D669" s="2"/>
      <c r="E669" s="2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2"/>
      <c r="B670" s="2"/>
      <c r="C670" s="2"/>
      <c r="D670" s="2"/>
      <c r="E670" s="2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2"/>
      <c r="B671" s="2"/>
      <c r="C671" s="2"/>
      <c r="D671" s="2"/>
      <c r="E671" s="2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2"/>
      <c r="B672" s="2"/>
      <c r="C672" s="2"/>
      <c r="D672" s="2"/>
      <c r="E672" s="2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2"/>
      <c r="B673" s="2"/>
      <c r="C673" s="2"/>
      <c r="D673" s="2"/>
      <c r="E673" s="2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2"/>
      <c r="B674" s="2"/>
      <c r="C674" s="2"/>
      <c r="D674" s="2"/>
      <c r="E674" s="2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2"/>
      <c r="B675" s="2"/>
      <c r="C675" s="2"/>
      <c r="D675" s="2"/>
      <c r="E675" s="2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2"/>
      <c r="B676" s="2"/>
      <c r="C676" s="2"/>
      <c r="D676" s="2"/>
      <c r="E676" s="2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2"/>
      <c r="B677" s="2"/>
      <c r="C677" s="2"/>
      <c r="D677" s="2"/>
      <c r="E677" s="2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2"/>
      <c r="B678" s="2"/>
      <c r="C678" s="2"/>
      <c r="D678" s="2"/>
      <c r="E678" s="2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2"/>
      <c r="B679" s="2"/>
      <c r="C679" s="2"/>
      <c r="D679" s="2"/>
      <c r="E679" s="2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2"/>
      <c r="B680" s="2"/>
      <c r="C680" s="2"/>
      <c r="D680" s="2"/>
      <c r="E680" s="2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2"/>
      <c r="B681" s="2"/>
      <c r="C681" s="2"/>
      <c r="D681" s="2"/>
      <c r="E681" s="2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2"/>
      <c r="B682" s="2"/>
      <c r="C682" s="2"/>
      <c r="D682" s="2"/>
      <c r="E682" s="2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2"/>
      <c r="B683" s="2"/>
      <c r="C683" s="2"/>
      <c r="D683" s="2"/>
      <c r="E683" s="2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2"/>
      <c r="B684" s="2"/>
      <c r="C684" s="2"/>
      <c r="D684" s="2"/>
      <c r="E684" s="2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2"/>
      <c r="B685" s="2"/>
      <c r="C685" s="2"/>
      <c r="D685" s="2"/>
      <c r="E685" s="2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2"/>
      <c r="B686" s="2"/>
      <c r="C686" s="2"/>
      <c r="D686" s="2"/>
      <c r="E686" s="2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2"/>
      <c r="B687" s="2"/>
      <c r="C687" s="2"/>
      <c r="D687" s="2"/>
      <c r="E687" s="2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2"/>
      <c r="B688" s="2"/>
      <c r="C688" s="2"/>
      <c r="D688" s="2"/>
      <c r="E688" s="2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2"/>
      <c r="B689" s="2"/>
      <c r="C689" s="2"/>
      <c r="D689" s="2"/>
      <c r="E689" s="2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2"/>
      <c r="B690" s="2"/>
      <c r="C690" s="2"/>
      <c r="D690" s="2"/>
      <c r="E690" s="2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2"/>
      <c r="B691" s="2"/>
      <c r="C691" s="2"/>
      <c r="D691" s="2"/>
      <c r="E691" s="2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2"/>
      <c r="B692" s="2"/>
      <c r="C692" s="2"/>
      <c r="D692" s="2"/>
      <c r="E692" s="2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2"/>
      <c r="B693" s="2"/>
      <c r="C693" s="2"/>
      <c r="D693" s="2"/>
      <c r="E693" s="2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2"/>
      <c r="B694" s="2"/>
      <c r="C694" s="2"/>
      <c r="D694" s="2"/>
      <c r="E694" s="2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2"/>
      <c r="B695" s="2"/>
      <c r="C695" s="2"/>
      <c r="D695" s="2"/>
      <c r="E695" s="2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2"/>
      <c r="B696" s="2"/>
      <c r="C696" s="2"/>
      <c r="D696" s="2"/>
      <c r="E696" s="2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2"/>
      <c r="B697" s="2"/>
      <c r="C697" s="2"/>
      <c r="D697" s="2"/>
      <c r="E697" s="2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2"/>
      <c r="B698" s="2"/>
      <c r="C698" s="2"/>
      <c r="D698" s="2"/>
      <c r="E698" s="2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2"/>
      <c r="B699" s="2"/>
      <c r="C699" s="2"/>
      <c r="D699" s="2"/>
      <c r="E699" s="2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2"/>
      <c r="B700" s="2"/>
      <c r="C700" s="2"/>
      <c r="D700" s="2"/>
      <c r="E700" s="2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2"/>
      <c r="B701" s="2"/>
      <c r="C701" s="2"/>
      <c r="D701" s="2"/>
      <c r="E701" s="2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2"/>
      <c r="B702" s="2"/>
      <c r="C702" s="2"/>
      <c r="D702" s="2"/>
      <c r="E702" s="2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2"/>
      <c r="B703" s="2"/>
      <c r="C703" s="2"/>
      <c r="D703" s="2"/>
      <c r="E703" s="2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2"/>
      <c r="B704" s="2"/>
      <c r="C704" s="2"/>
      <c r="D704" s="2"/>
      <c r="E704" s="2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2"/>
      <c r="B705" s="2"/>
      <c r="C705" s="2"/>
      <c r="D705" s="2"/>
      <c r="E705" s="2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2"/>
      <c r="B706" s="2"/>
      <c r="C706" s="2"/>
      <c r="D706" s="2"/>
      <c r="E706" s="2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2"/>
      <c r="B707" s="2"/>
      <c r="C707" s="2"/>
      <c r="D707" s="2"/>
      <c r="E707" s="2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2"/>
      <c r="B708" s="2"/>
      <c r="C708" s="2"/>
      <c r="D708" s="2"/>
      <c r="E708" s="2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2"/>
      <c r="B709" s="2"/>
      <c r="C709" s="2"/>
      <c r="D709" s="2"/>
      <c r="E709" s="2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2"/>
      <c r="B710" s="2"/>
      <c r="C710" s="2"/>
      <c r="D710" s="2"/>
      <c r="E710" s="2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2"/>
      <c r="B711" s="2"/>
      <c r="C711" s="2"/>
      <c r="D711" s="2"/>
      <c r="E711" s="2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2"/>
      <c r="B712" s="2"/>
      <c r="C712" s="2"/>
      <c r="D712" s="2"/>
      <c r="E712" s="2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2"/>
      <c r="B713" s="2"/>
      <c r="C713" s="2"/>
      <c r="D713" s="2"/>
      <c r="E713" s="2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2"/>
      <c r="B714" s="2"/>
      <c r="C714" s="2"/>
      <c r="D714" s="2"/>
      <c r="E714" s="2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2"/>
      <c r="B715" s="2"/>
      <c r="C715" s="2"/>
      <c r="D715" s="2"/>
      <c r="E715" s="2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2"/>
      <c r="B716" s="2"/>
      <c r="C716" s="2"/>
      <c r="D716" s="2"/>
      <c r="E716" s="2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2"/>
      <c r="B717" s="2"/>
      <c r="C717" s="2"/>
      <c r="D717" s="2"/>
      <c r="E717" s="2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2"/>
      <c r="B718" s="2"/>
      <c r="C718" s="2"/>
      <c r="D718" s="2"/>
      <c r="E718" s="2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2"/>
      <c r="B719" s="2"/>
      <c r="C719" s="2"/>
      <c r="D719" s="2"/>
      <c r="E719" s="2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2"/>
      <c r="B720" s="2"/>
      <c r="C720" s="2"/>
      <c r="D720" s="2"/>
      <c r="E720" s="2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2"/>
      <c r="B721" s="2"/>
      <c r="C721" s="2"/>
      <c r="D721" s="2"/>
      <c r="E721" s="2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2"/>
      <c r="B722" s="2"/>
      <c r="C722" s="2"/>
      <c r="D722" s="2"/>
      <c r="E722" s="2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2"/>
      <c r="B723" s="2"/>
      <c r="C723" s="2"/>
      <c r="D723" s="2"/>
      <c r="E723" s="2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2"/>
      <c r="B724" s="2"/>
      <c r="C724" s="2"/>
      <c r="D724" s="2"/>
      <c r="E724" s="2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2"/>
      <c r="B725" s="2"/>
      <c r="C725" s="2"/>
      <c r="D725" s="2"/>
      <c r="E725" s="2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2"/>
      <c r="B726" s="2"/>
      <c r="C726" s="2"/>
      <c r="D726" s="2"/>
      <c r="E726" s="2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2"/>
      <c r="B727" s="2"/>
      <c r="C727" s="2"/>
      <c r="D727" s="2"/>
      <c r="E727" s="2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2"/>
      <c r="B728" s="2"/>
      <c r="C728" s="2"/>
      <c r="D728" s="2"/>
      <c r="E728" s="2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2"/>
      <c r="B729" s="2"/>
      <c r="C729" s="2"/>
      <c r="D729" s="2"/>
      <c r="E729" s="2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2"/>
      <c r="B730" s="2"/>
      <c r="C730" s="2"/>
      <c r="D730" s="2"/>
      <c r="E730" s="2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2"/>
      <c r="B731" s="2"/>
      <c r="C731" s="2"/>
      <c r="D731" s="2"/>
      <c r="E731" s="2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2"/>
      <c r="B732" s="2"/>
      <c r="C732" s="2"/>
      <c r="D732" s="2"/>
      <c r="E732" s="2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2"/>
      <c r="B733" s="2"/>
      <c r="C733" s="2"/>
      <c r="D733" s="2"/>
      <c r="E733" s="2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2"/>
      <c r="B734" s="2"/>
      <c r="C734" s="2"/>
      <c r="D734" s="2"/>
      <c r="E734" s="2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2"/>
      <c r="B735" s="2"/>
      <c r="C735" s="2"/>
      <c r="D735" s="2"/>
      <c r="E735" s="2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2"/>
      <c r="B736" s="2"/>
      <c r="C736" s="2"/>
      <c r="D736" s="2"/>
      <c r="E736" s="2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2"/>
      <c r="B737" s="2"/>
      <c r="C737" s="2"/>
      <c r="D737" s="2"/>
      <c r="E737" s="2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2"/>
      <c r="B738" s="2"/>
      <c r="C738" s="2"/>
      <c r="D738" s="2"/>
      <c r="E738" s="2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2"/>
      <c r="B739" s="2"/>
      <c r="C739" s="2"/>
      <c r="D739" s="2"/>
      <c r="E739" s="2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2"/>
      <c r="B740" s="2"/>
      <c r="C740" s="2"/>
      <c r="D740" s="2"/>
      <c r="E740" s="2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2"/>
      <c r="B741" s="2"/>
      <c r="C741" s="2"/>
      <c r="D741" s="2"/>
      <c r="E741" s="2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2"/>
      <c r="B742" s="2"/>
      <c r="C742" s="2"/>
      <c r="D742" s="2"/>
      <c r="E742" s="2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2"/>
      <c r="B743" s="2"/>
      <c r="C743" s="2"/>
      <c r="D743" s="2"/>
      <c r="E743" s="2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2"/>
      <c r="B744" s="2"/>
      <c r="C744" s="2"/>
      <c r="D744" s="2"/>
      <c r="E744" s="2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2"/>
      <c r="B745" s="2"/>
      <c r="C745" s="2"/>
      <c r="D745" s="2"/>
      <c r="E745" s="2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2"/>
      <c r="B746" s="2"/>
      <c r="C746" s="2"/>
      <c r="D746" s="2"/>
      <c r="E746" s="2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2"/>
      <c r="B747" s="2"/>
      <c r="C747" s="2"/>
      <c r="D747" s="2"/>
      <c r="E747" s="2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2"/>
      <c r="B748" s="2"/>
      <c r="C748" s="2"/>
      <c r="D748" s="2"/>
      <c r="E748" s="2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2"/>
      <c r="B749" s="2"/>
      <c r="C749" s="2"/>
      <c r="D749" s="2"/>
      <c r="E749" s="2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2"/>
      <c r="B750" s="2"/>
      <c r="C750" s="2"/>
      <c r="D750" s="2"/>
      <c r="E750" s="2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2"/>
      <c r="B751" s="2"/>
      <c r="C751" s="2"/>
      <c r="D751" s="2"/>
      <c r="E751" s="2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2"/>
      <c r="B752" s="2"/>
      <c r="C752" s="2"/>
      <c r="D752" s="2"/>
      <c r="E752" s="2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2"/>
      <c r="B753" s="2"/>
      <c r="C753" s="2"/>
      <c r="D753" s="2"/>
      <c r="E753" s="2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2"/>
      <c r="B754" s="2"/>
      <c r="C754" s="2"/>
      <c r="D754" s="2"/>
      <c r="E754" s="2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2"/>
      <c r="B755" s="2"/>
      <c r="C755" s="2"/>
      <c r="D755" s="2"/>
      <c r="E755" s="2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2"/>
      <c r="B756" s="2"/>
      <c r="C756" s="2"/>
      <c r="D756" s="2"/>
      <c r="E756" s="2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2"/>
      <c r="B757" s="2"/>
      <c r="C757" s="2"/>
      <c r="D757" s="2"/>
      <c r="E757" s="2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2"/>
      <c r="B758" s="2"/>
      <c r="C758" s="2"/>
      <c r="D758" s="2"/>
      <c r="E758" s="2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2"/>
      <c r="B759" s="2"/>
      <c r="C759" s="2"/>
      <c r="D759" s="2"/>
      <c r="E759" s="2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2"/>
      <c r="B760" s="2"/>
      <c r="C760" s="2"/>
      <c r="D760" s="2"/>
      <c r="E760" s="2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2"/>
      <c r="B761" s="2"/>
      <c r="C761" s="2"/>
      <c r="D761" s="2"/>
      <c r="E761" s="2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2"/>
      <c r="B762" s="2"/>
      <c r="C762" s="2"/>
      <c r="D762" s="2"/>
      <c r="E762" s="2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2"/>
      <c r="B763" s="2"/>
      <c r="C763" s="2"/>
      <c r="D763" s="2"/>
      <c r="E763" s="2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2"/>
      <c r="B764" s="2"/>
      <c r="C764" s="2"/>
      <c r="D764" s="2"/>
      <c r="E764" s="2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2"/>
      <c r="B765" s="2"/>
      <c r="C765" s="2"/>
      <c r="D765" s="2"/>
      <c r="E765" s="2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2"/>
      <c r="B766" s="2"/>
      <c r="C766" s="2"/>
      <c r="D766" s="2"/>
      <c r="E766" s="2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2"/>
      <c r="B767" s="2"/>
      <c r="C767" s="2"/>
      <c r="D767" s="2"/>
      <c r="E767" s="2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2"/>
      <c r="B768" s="2"/>
      <c r="C768" s="2"/>
      <c r="D768" s="2"/>
      <c r="E768" s="2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2"/>
      <c r="B769" s="2"/>
      <c r="C769" s="2"/>
      <c r="D769" s="2"/>
      <c r="E769" s="2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2"/>
      <c r="B770" s="2"/>
      <c r="C770" s="2"/>
      <c r="D770" s="2"/>
      <c r="E770" s="2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2"/>
      <c r="B771" s="2"/>
      <c r="C771" s="2"/>
      <c r="D771" s="2"/>
      <c r="E771" s="2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2"/>
      <c r="B772" s="2"/>
      <c r="C772" s="2"/>
      <c r="D772" s="2"/>
      <c r="E772" s="2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2"/>
      <c r="B773" s="2"/>
      <c r="C773" s="2"/>
      <c r="D773" s="2"/>
      <c r="E773" s="2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2"/>
      <c r="B774" s="2"/>
      <c r="C774" s="2"/>
      <c r="D774" s="2"/>
      <c r="E774" s="2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2"/>
      <c r="B775" s="2"/>
      <c r="C775" s="2"/>
      <c r="D775" s="2"/>
      <c r="E775" s="2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2"/>
      <c r="B776" s="2"/>
      <c r="C776" s="2"/>
      <c r="D776" s="2"/>
      <c r="E776" s="2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2"/>
      <c r="B777" s="2"/>
      <c r="C777" s="2"/>
      <c r="D777" s="2"/>
      <c r="E777" s="2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2"/>
      <c r="B778" s="2"/>
      <c r="C778" s="2"/>
      <c r="D778" s="2"/>
      <c r="E778" s="2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2"/>
      <c r="B779" s="2"/>
      <c r="C779" s="2"/>
      <c r="D779" s="2"/>
      <c r="E779" s="2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2"/>
      <c r="B780" s="2"/>
      <c r="C780" s="2"/>
      <c r="D780" s="2"/>
      <c r="E780" s="2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2"/>
      <c r="B781" s="2"/>
      <c r="C781" s="2"/>
      <c r="D781" s="2"/>
      <c r="E781" s="2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2"/>
      <c r="B782" s="2"/>
      <c r="C782" s="2"/>
      <c r="D782" s="2"/>
      <c r="E782" s="2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2"/>
      <c r="B783" s="2"/>
      <c r="C783" s="2"/>
      <c r="D783" s="2"/>
      <c r="E783" s="2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2"/>
      <c r="B784" s="2"/>
      <c r="C784" s="2"/>
      <c r="D784" s="2"/>
      <c r="E784" s="2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2"/>
      <c r="B785" s="2"/>
      <c r="C785" s="2"/>
      <c r="D785" s="2"/>
      <c r="E785" s="2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2"/>
      <c r="B786" s="2"/>
      <c r="C786" s="2"/>
      <c r="D786" s="2"/>
      <c r="E786" s="2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2"/>
      <c r="B787" s="2"/>
      <c r="C787" s="2"/>
      <c r="D787" s="2"/>
      <c r="E787" s="2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2"/>
      <c r="B788" s="2"/>
      <c r="C788" s="2"/>
      <c r="D788" s="2"/>
      <c r="E788" s="2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2"/>
      <c r="B789" s="2"/>
      <c r="C789" s="2"/>
      <c r="D789" s="2"/>
      <c r="E789" s="2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2"/>
      <c r="B790" s="2"/>
      <c r="C790" s="2"/>
      <c r="D790" s="2"/>
      <c r="E790" s="2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2"/>
      <c r="B791" s="2"/>
      <c r="C791" s="2"/>
      <c r="D791" s="2"/>
      <c r="E791" s="2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2"/>
      <c r="B792" s="2"/>
      <c r="C792" s="2"/>
      <c r="D792" s="2"/>
      <c r="E792" s="2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2"/>
      <c r="B793" s="2"/>
      <c r="C793" s="2"/>
      <c r="D793" s="2"/>
      <c r="E793" s="2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2"/>
      <c r="B794" s="2"/>
      <c r="C794" s="2"/>
      <c r="D794" s="2"/>
      <c r="E794" s="2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2"/>
      <c r="B795" s="2"/>
      <c r="C795" s="2"/>
      <c r="D795" s="2"/>
      <c r="E795" s="2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2"/>
      <c r="B796" s="2"/>
      <c r="C796" s="2"/>
      <c r="D796" s="2"/>
      <c r="E796" s="2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2"/>
      <c r="B797" s="2"/>
      <c r="C797" s="2"/>
      <c r="D797" s="2"/>
      <c r="E797" s="2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2"/>
      <c r="B798" s="2"/>
      <c r="C798" s="2"/>
      <c r="D798" s="2"/>
      <c r="E798" s="2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2"/>
      <c r="B799" s="2"/>
      <c r="C799" s="2"/>
      <c r="D799" s="2"/>
      <c r="E799" s="2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2"/>
      <c r="B800" s="2"/>
      <c r="C800" s="2"/>
      <c r="D800" s="2"/>
      <c r="E800" s="2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2"/>
      <c r="B801" s="2"/>
      <c r="C801" s="2"/>
      <c r="D801" s="2"/>
      <c r="E801" s="2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2"/>
      <c r="B802" s="2"/>
      <c r="C802" s="2"/>
      <c r="D802" s="2"/>
      <c r="E802" s="2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2"/>
      <c r="B803" s="2"/>
      <c r="C803" s="2"/>
      <c r="D803" s="2"/>
      <c r="E803" s="2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2"/>
      <c r="B804" s="2"/>
      <c r="C804" s="2"/>
      <c r="D804" s="2"/>
      <c r="E804" s="2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2"/>
      <c r="B805" s="2"/>
      <c r="C805" s="2"/>
      <c r="D805" s="2"/>
      <c r="E805" s="2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2"/>
      <c r="B806" s="2"/>
      <c r="C806" s="2"/>
      <c r="D806" s="2"/>
      <c r="E806" s="2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2"/>
      <c r="B807" s="2"/>
      <c r="C807" s="2"/>
      <c r="D807" s="2"/>
      <c r="E807" s="2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2"/>
      <c r="B808" s="2"/>
      <c r="C808" s="2"/>
      <c r="D808" s="2"/>
      <c r="E808" s="2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2"/>
      <c r="B809" s="2"/>
      <c r="C809" s="2"/>
      <c r="D809" s="2"/>
      <c r="E809" s="2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2"/>
      <c r="B810" s="2"/>
      <c r="C810" s="2"/>
      <c r="D810" s="2"/>
      <c r="E810" s="2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2"/>
      <c r="B811" s="2"/>
      <c r="C811" s="2"/>
      <c r="D811" s="2"/>
      <c r="E811" s="2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2"/>
      <c r="B812" s="2"/>
      <c r="C812" s="2"/>
      <c r="D812" s="2"/>
      <c r="E812" s="2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2"/>
      <c r="B813" s="2"/>
      <c r="C813" s="2"/>
      <c r="D813" s="2"/>
      <c r="E813" s="2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2"/>
      <c r="B814" s="2"/>
      <c r="C814" s="2"/>
      <c r="D814" s="2"/>
      <c r="E814" s="2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2"/>
      <c r="B815" s="2"/>
      <c r="C815" s="2"/>
      <c r="D815" s="2"/>
      <c r="E815" s="2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2"/>
      <c r="B816" s="2"/>
      <c r="C816" s="2"/>
      <c r="D816" s="2"/>
      <c r="E816" s="2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2"/>
      <c r="B817" s="2"/>
      <c r="C817" s="2"/>
      <c r="D817" s="2"/>
      <c r="E817" s="2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2"/>
      <c r="B818" s="2"/>
      <c r="C818" s="2"/>
      <c r="D818" s="2"/>
      <c r="E818" s="2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2"/>
      <c r="B819" s="2"/>
      <c r="C819" s="2"/>
      <c r="D819" s="2"/>
      <c r="E819" s="2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2"/>
      <c r="B820" s="2"/>
      <c r="C820" s="2"/>
      <c r="D820" s="2"/>
      <c r="E820" s="2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2"/>
      <c r="B821" s="2"/>
      <c r="C821" s="2"/>
      <c r="D821" s="2"/>
      <c r="E821" s="2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2"/>
      <c r="B822" s="2"/>
      <c r="C822" s="2"/>
      <c r="D822" s="2"/>
      <c r="E822" s="2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2"/>
      <c r="B823" s="2"/>
      <c r="C823" s="2"/>
      <c r="D823" s="2"/>
      <c r="E823" s="2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2"/>
      <c r="B824" s="2"/>
      <c r="C824" s="2"/>
      <c r="D824" s="2"/>
      <c r="E824" s="2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2"/>
      <c r="B825" s="2"/>
      <c r="C825" s="2"/>
      <c r="D825" s="2"/>
      <c r="E825" s="2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2"/>
      <c r="B826" s="2"/>
      <c r="C826" s="2"/>
      <c r="D826" s="2"/>
      <c r="E826" s="2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2"/>
      <c r="B827" s="2"/>
      <c r="C827" s="2"/>
      <c r="D827" s="2"/>
      <c r="E827" s="2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2"/>
      <c r="B828" s="2"/>
      <c r="C828" s="2"/>
      <c r="D828" s="2"/>
      <c r="E828" s="2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2"/>
      <c r="B829" s="2"/>
      <c r="C829" s="2"/>
      <c r="D829" s="2"/>
      <c r="E829" s="2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2"/>
      <c r="B830" s="2"/>
      <c r="C830" s="2"/>
      <c r="D830" s="2"/>
      <c r="E830" s="2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2"/>
      <c r="B831" s="2"/>
      <c r="C831" s="2"/>
      <c r="D831" s="2"/>
      <c r="E831" s="2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2"/>
      <c r="B832" s="2"/>
      <c r="C832" s="2"/>
      <c r="D832" s="2"/>
      <c r="E832" s="2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2"/>
      <c r="B833" s="2"/>
      <c r="C833" s="2"/>
      <c r="D833" s="2"/>
      <c r="E833" s="2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2"/>
      <c r="B834" s="2"/>
      <c r="C834" s="2"/>
      <c r="D834" s="2"/>
      <c r="E834" s="2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2"/>
      <c r="B835" s="2"/>
      <c r="C835" s="2"/>
      <c r="D835" s="2"/>
      <c r="E835" s="2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2"/>
      <c r="B836" s="2"/>
      <c r="C836" s="2"/>
      <c r="D836" s="2"/>
      <c r="E836" s="2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2"/>
      <c r="B837" s="2"/>
      <c r="C837" s="2"/>
      <c r="D837" s="2"/>
      <c r="E837" s="2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2"/>
      <c r="B838" s="2"/>
      <c r="C838" s="2"/>
      <c r="D838" s="2"/>
      <c r="E838" s="2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2"/>
      <c r="B839" s="2"/>
      <c r="C839" s="2"/>
      <c r="D839" s="2"/>
      <c r="E839" s="2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2"/>
      <c r="B840" s="2"/>
      <c r="C840" s="2"/>
      <c r="D840" s="2"/>
      <c r="E840" s="2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2"/>
      <c r="B841" s="2"/>
      <c r="C841" s="2"/>
      <c r="D841" s="2"/>
      <c r="E841" s="2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2"/>
      <c r="B842" s="2"/>
      <c r="C842" s="2"/>
      <c r="D842" s="2"/>
      <c r="E842" s="2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2"/>
      <c r="B843" s="2"/>
      <c r="C843" s="2"/>
      <c r="D843" s="2"/>
      <c r="E843" s="2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2"/>
      <c r="B844" s="2"/>
      <c r="C844" s="2"/>
      <c r="D844" s="2"/>
      <c r="E844" s="2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2"/>
      <c r="B845" s="2"/>
      <c r="C845" s="2"/>
      <c r="D845" s="2"/>
      <c r="E845" s="2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2"/>
      <c r="B846" s="2"/>
      <c r="C846" s="2"/>
      <c r="D846" s="2"/>
      <c r="E846" s="2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2"/>
      <c r="B847" s="2"/>
      <c r="C847" s="2"/>
      <c r="D847" s="2"/>
      <c r="E847" s="2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2"/>
      <c r="B848" s="2"/>
      <c r="C848" s="2"/>
      <c r="D848" s="2"/>
      <c r="E848" s="2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2"/>
      <c r="B849" s="2"/>
      <c r="C849" s="2"/>
      <c r="D849" s="2"/>
      <c r="E849" s="2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2"/>
      <c r="B850" s="2"/>
      <c r="C850" s="2"/>
      <c r="D850" s="2"/>
      <c r="E850" s="2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2"/>
      <c r="B851" s="2"/>
      <c r="C851" s="2"/>
      <c r="D851" s="2"/>
      <c r="E851" s="2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2"/>
      <c r="B852" s="2"/>
      <c r="C852" s="2"/>
      <c r="D852" s="2"/>
      <c r="E852" s="2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2"/>
      <c r="B853" s="2"/>
      <c r="C853" s="2"/>
      <c r="D853" s="2"/>
      <c r="E853" s="2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2"/>
      <c r="B854" s="2"/>
      <c r="C854" s="2"/>
      <c r="D854" s="2"/>
      <c r="E854" s="2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2"/>
      <c r="B855" s="2"/>
      <c r="C855" s="2"/>
      <c r="D855" s="2"/>
      <c r="E855" s="2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2"/>
      <c r="B856" s="2"/>
      <c r="C856" s="2"/>
      <c r="D856" s="2"/>
      <c r="E856" s="2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2"/>
      <c r="B857" s="2"/>
      <c r="C857" s="2"/>
      <c r="D857" s="2"/>
      <c r="E857" s="2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2"/>
      <c r="B858" s="2"/>
      <c r="C858" s="2"/>
      <c r="D858" s="2"/>
      <c r="E858" s="2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2"/>
      <c r="B859" s="2"/>
      <c r="C859" s="2"/>
      <c r="D859" s="2"/>
      <c r="E859" s="2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2"/>
      <c r="B860" s="2"/>
      <c r="C860" s="2"/>
      <c r="D860" s="2"/>
      <c r="E860" s="2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2"/>
      <c r="B861" s="2"/>
      <c r="C861" s="2"/>
      <c r="D861" s="2"/>
      <c r="E861" s="2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2"/>
      <c r="B862" s="2"/>
      <c r="C862" s="2"/>
      <c r="D862" s="2"/>
      <c r="E862" s="2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2"/>
      <c r="B863" s="2"/>
      <c r="C863" s="2"/>
      <c r="D863" s="2"/>
      <c r="E863" s="2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2"/>
      <c r="B864" s="2"/>
      <c r="C864" s="2"/>
      <c r="D864" s="2"/>
      <c r="E864" s="2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2"/>
      <c r="B865" s="2"/>
      <c r="C865" s="2"/>
      <c r="D865" s="2"/>
      <c r="E865" s="2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2"/>
      <c r="B866" s="2"/>
      <c r="C866" s="2"/>
      <c r="D866" s="2"/>
      <c r="E866" s="2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2"/>
      <c r="B867" s="2"/>
      <c r="C867" s="2"/>
      <c r="D867" s="2"/>
      <c r="E867" s="2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2"/>
      <c r="B868" s="2"/>
      <c r="C868" s="2"/>
      <c r="D868" s="2"/>
      <c r="E868" s="2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2"/>
      <c r="B869" s="2"/>
      <c r="C869" s="2"/>
      <c r="D869" s="2"/>
      <c r="E869" s="2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2"/>
      <c r="B870" s="2"/>
      <c r="C870" s="2"/>
      <c r="D870" s="2"/>
      <c r="E870" s="2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2"/>
      <c r="B871" s="2"/>
      <c r="C871" s="2"/>
      <c r="D871" s="2"/>
      <c r="E871" s="2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2"/>
      <c r="B872" s="2"/>
      <c r="C872" s="2"/>
      <c r="D872" s="2"/>
      <c r="E872" s="2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2"/>
      <c r="B873" s="2"/>
      <c r="C873" s="2"/>
      <c r="D873" s="2"/>
      <c r="E873" s="2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2"/>
      <c r="B874" s="2"/>
      <c r="C874" s="2"/>
      <c r="D874" s="2"/>
      <c r="E874" s="2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2"/>
      <c r="B875" s="2"/>
      <c r="C875" s="2"/>
      <c r="D875" s="2"/>
      <c r="E875" s="2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2"/>
      <c r="B876" s="2"/>
      <c r="C876" s="2"/>
      <c r="D876" s="2"/>
      <c r="E876" s="2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2"/>
      <c r="B877" s="2"/>
      <c r="C877" s="2"/>
      <c r="D877" s="2"/>
      <c r="E877" s="2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2"/>
      <c r="B878" s="2"/>
      <c r="C878" s="2"/>
      <c r="D878" s="2"/>
      <c r="E878" s="2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2"/>
      <c r="B879" s="2"/>
      <c r="C879" s="2"/>
      <c r="D879" s="2"/>
      <c r="E879" s="2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2"/>
      <c r="B880" s="2"/>
      <c r="C880" s="2"/>
      <c r="D880" s="2"/>
      <c r="E880" s="2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2"/>
      <c r="B881" s="2"/>
      <c r="C881" s="2"/>
      <c r="D881" s="2"/>
      <c r="E881" s="2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2"/>
      <c r="B882" s="2"/>
      <c r="C882" s="2"/>
      <c r="D882" s="2"/>
      <c r="E882" s="2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2"/>
      <c r="B883" s="2"/>
      <c r="C883" s="2"/>
      <c r="D883" s="2"/>
      <c r="E883" s="2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2"/>
      <c r="B884" s="2"/>
      <c r="C884" s="2"/>
      <c r="D884" s="2"/>
      <c r="E884" s="2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2"/>
      <c r="B885" s="2"/>
      <c r="C885" s="2"/>
      <c r="D885" s="2"/>
      <c r="E885" s="2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2"/>
      <c r="B886" s="2"/>
      <c r="C886" s="2"/>
      <c r="D886" s="2"/>
      <c r="E886" s="2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2"/>
      <c r="B887" s="2"/>
      <c r="C887" s="2"/>
      <c r="D887" s="2"/>
      <c r="E887" s="2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2"/>
      <c r="B888" s="2"/>
      <c r="C888" s="2"/>
      <c r="D888" s="2"/>
      <c r="E888" s="2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2"/>
      <c r="B889" s="2"/>
      <c r="C889" s="2"/>
      <c r="D889" s="2"/>
      <c r="E889" s="2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2"/>
      <c r="B890" s="2"/>
      <c r="C890" s="2"/>
      <c r="D890" s="2"/>
      <c r="E890" s="2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2"/>
      <c r="B891" s="2"/>
      <c r="C891" s="2"/>
      <c r="D891" s="2"/>
      <c r="E891" s="2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2"/>
      <c r="B892" s="2"/>
      <c r="C892" s="2"/>
      <c r="D892" s="2"/>
      <c r="E892" s="2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2"/>
      <c r="B893" s="2"/>
      <c r="C893" s="2"/>
      <c r="D893" s="2"/>
      <c r="E893" s="2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2"/>
      <c r="B894" s="2"/>
      <c r="C894" s="2"/>
      <c r="D894" s="2"/>
      <c r="E894" s="2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2"/>
      <c r="B895" s="2"/>
      <c r="C895" s="2"/>
      <c r="D895" s="2"/>
      <c r="E895" s="2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2"/>
      <c r="B896" s="2"/>
      <c r="C896" s="2"/>
      <c r="D896" s="2"/>
      <c r="E896" s="2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2"/>
      <c r="B897" s="2"/>
      <c r="C897" s="2"/>
      <c r="D897" s="2"/>
      <c r="E897" s="2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2"/>
      <c r="B898" s="2"/>
      <c r="C898" s="2"/>
      <c r="D898" s="2"/>
      <c r="E898" s="2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2"/>
      <c r="B899" s="2"/>
      <c r="C899" s="2"/>
      <c r="D899" s="2"/>
      <c r="E899" s="2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2"/>
      <c r="B900" s="2"/>
      <c r="C900" s="2"/>
      <c r="D900" s="2"/>
      <c r="E900" s="2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2"/>
      <c r="B901" s="2"/>
      <c r="C901" s="2"/>
      <c r="D901" s="2"/>
      <c r="E901" s="2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2"/>
      <c r="B902" s="2"/>
      <c r="C902" s="2"/>
      <c r="D902" s="2"/>
      <c r="E902" s="2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2"/>
      <c r="B903" s="2"/>
      <c r="C903" s="2"/>
      <c r="D903" s="2"/>
      <c r="E903" s="2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2"/>
      <c r="B904" s="2"/>
      <c r="C904" s="2"/>
      <c r="D904" s="2"/>
      <c r="E904" s="2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2"/>
      <c r="B905" s="2"/>
      <c r="C905" s="2"/>
      <c r="D905" s="2"/>
      <c r="E905" s="2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2"/>
      <c r="B906" s="2"/>
      <c r="C906" s="2"/>
      <c r="D906" s="2"/>
      <c r="E906" s="2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2"/>
      <c r="B907" s="2"/>
      <c r="C907" s="2"/>
      <c r="D907" s="2"/>
      <c r="E907" s="2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2"/>
      <c r="B908" s="2"/>
      <c r="C908" s="2"/>
      <c r="D908" s="2"/>
      <c r="E908" s="2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2"/>
      <c r="B909" s="2"/>
      <c r="C909" s="2"/>
      <c r="D909" s="2"/>
      <c r="E909" s="2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2"/>
      <c r="B910" s="2"/>
      <c r="C910" s="2"/>
      <c r="D910" s="2"/>
      <c r="E910" s="2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2"/>
      <c r="B911" s="2"/>
      <c r="C911" s="2"/>
      <c r="D911" s="2"/>
      <c r="E911" s="2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2"/>
      <c r="B912" s="2"/>
      <c r="C912" s="2"/>
      <c r="D912" s="2"/>
      <c r="E912" s="2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2"/>
      <c r="B913" s="2"/>
      <c r="C913" s="2"/>
      <c r="D913" s="2"/>
      <c r="E913" s="2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2"/>
      <c r="B914" s="2"/>
      <c r="C914" s="2"/>
      <c r="D914" s="2"/>
      <c r="E914" s="2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2"/>
      <c r="B915" s="2"/>
      <c r="C915" s="2"/>
      <c r="D915" s="2"/>
      <c r="E915" s="2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2"/>
      <c r="B916" s="2"/>
      <c r="C916" s="2"/>
      <c r="D916" s="2"/>
      <c r="E916" s="2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2"/>
      <c r="B917" s="2"/>
      <c r="C917" s="2"/>
      <c r="D917" s="2"/>
      <c r="E917" s="2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2"/>
      <c r="B918" s="2"/>
      <c r="C918" s="2"/>
      <c r="D918" s="2"/>
      <c r="E918" s="2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2"/>
      <c r="B919" s="2"/>
      <c r="C919" s="2"/>
      <c r="D919" s="2"/>
      <c r="E919" s="2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2"/>
      <c r="B920" s="2"/>
      <c r="C920" s="2"/>
      <c r="D920" s="2"/>
      <c r="E920" s="2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2"/>
      <c r="B921" s="2"/>
      <c r="C921" s="2"/>
      <c r="D921" s="2"/>
      <c r="E921" s="2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2"/>
      <c r="B922" s="2"/>
      <c r="C922" s="2"/>
      <c r="D922" s="2"/>
      <c r="E922" s="2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2"/>
      <c r="B923" s="2"/>
      <c r="C923" s="2"/>
      <c r="D923" s="2"/>
      <c r="E923" s="2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2"/>
      <c r="B924" s="2"/>
      <c r="C924" s="2"/>
      <c r="D924" s="2"/>
      <c r="E924" s="2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2"/>
      <c r="B925" s="2"/>
      <c r="C925" s="2"/>
      <c r="D925" s="2"/>
      <c r="E925" s="2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2"/>
      <c r="B926" s="2"/>
      <c r="C926" s="2"/>
      <c r="D926" s="2"/>
      <c r="E926" s="2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2"/>
      <c r="B927" s="2"/>
      <c r="C927" s="2"/>
      <c r="D927" s="2"/>
      <c r="E927" s="2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2"/>
      <c r="B928" s="2"/>
      <c r="C928" s="2"/>
      <c r="D928" s="2"/>
      <c r="E928" s="2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2"/>
      <c r="B929" s="2"/>
      <c r="C929" s="2"/>
      <c r="D929" s="2"/>
      <c r="E929" s="2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2"/>
      <c r="B930" s="2"/>
      <c r="C930" s="2"/>
      <c r="D930" s="2"/>
      <c r="E930" s="2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2"/>
      <c r="B931" s="2"/>
      <c r="C931" s="2"/>
      <c r="D931" s="2"/>
      <c r="E931" s="2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2"/>
      <c r="B932" s="2"/>
      <c r="C932" s="2"/>
      <c r="D932" s="2"/>
      <c r="E932" s="2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2"/>
      <c r="B933" s="2"/>
      <c r="C933" s="2"/>
      <c r="D933" s="2"/>
      <c r="E933" s="2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2"/>
      <c r="B934" s="2"/>
      <c r="C934" s="2"/>
      <c r="D934" s="2"/>
      <c r="E934" s="2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2"/>
      <c r="B935" s="2"/>
      <c r="C935" s="2"/>
      <c r="D935" s="2"/>
      <c r="E935" s="2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2"/>
      <c r="B936" s="2"/>
      <c r="C936" s="2"/>
      <c r="D936" s="2"/>
      <c r="E936" s="2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2"/>
      <c r="B937" s="2"/>
      <c r="C937" s="2"/>
      <c r="D937" s="2"/>
      <c r="E937" s="2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2"/>
      <c r="B938" s="2"/>
      <c r="C938" s="2"/>
      <c r="D938" s="2"/>
      <c r="E938" s="2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2"/>
      <c r="B939" s="2"/>
      <c r="C939" s="2"/>
      <c r="D939" s="2"/>
      <c r="E939" s="2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2"/>
      <c r="B940" s="2"/>
      <c r="C940" s="2"/>
      <c r="D940" s="2"/>
      <c r="E940" s="2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2"/>
      <c r="B941" s="2"/>
      <c r="C941" s="2"/>
      <c r="D941" s="2"/>
      <c r="E941" s="2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2"/>
      <c r="B942" s="2"/>
      <c r="C942" s="2"/>
      <c r="D942" s="2"/>
      <c r="E942" s="2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2"/>
      <c r="B943" s="2"/>
      <c r="C943" s="2"/>
      <c r="D943" s="2"/>
      <c r="E943" s="2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2"/>
      <c r="B944" s="2"/>
      <c r="C944" s="2"/>
      <c r="D944" s="2"/>
      <c r="E944" s="2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2"/>
      <c r="B945" s="2"/>
      <c r="C945" s="2"/>
      <c r="D945" s="2"/>
      <c r="E945" s="2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2"/>
      <c r="B946" s="2"/>
      <c r="C946" s="2"/>
      <c r="D946" s="2"/>
      <c r="E946" s="2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2"/>
      <c r="B947" s="2"/>
      <c r="C947" s="2"/>
      <c r="D947" s="2"/>
      <c r="E947" s="2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2"/>
      <c r="B948" s="2"/>
      <c r="C948" s="2"/>
      <c r="D948" s="2"/>
      <c r="E948" s="2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2"/>
      <c r="B949" s="2"/>
      <c r="C949" s="2"/>
      <c r="D949" s="2"/>
      <c r="E949" s="2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2"/>
      <c r="B950" s="2"/>
      <c r="C950" s="2"/>
      <c r="D950" s="2"/>
      <c r="E950" s="2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2"/>
      <c r="B951" s="2"/>
      <c r="C951" s="2"/>
      <c r="D951" s="2"/>
      <c r="E951" s="2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2"/>
      <c r="B952" s="2"/>
      <c r="C952" s="2"/>
      <c r="D952" s="2"/>
      <c r="E952" s="2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2"/>
      <c r="B953" s="2"/>
      <c r="C953" s="2"/>
      <c r="D953" s="2"/>
      <c r="E953" s="2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2"/>
      <c r="B954" s="2"/>
      <c r="C954" s="2"/>
      <c r="D954" s="2"/>
      <c r="E954" s="2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2"/>
      <c r="B955" s="2"/>
      <c r="C955" s="2"/>
      <c r="D955" s="2"/>
      <c r="E955" s="2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2"/>
      <c r="B956" s="2"/>
      <c r="C956" s="2"/>
      <c r="D956" s="2"/>
      <c r="E956" s="2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2"/>
      <c r="B957" s="2"/>
      <c r="C957" s="2"/>
      <c r="D957" s="2"/>
      <c r="E957" s="2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2"/>
      <c r="B958" s="2"/>
      <c r="C958" s="2"/>
      <c r="D958" s="2"/>
      <c r="E958" s="2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2"/>
      <c r="B959" s="2"/>
      <c r="C959" s="2"/>
      <c r="D959" s="2"/>
      <c r="E959" s="2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2"/>
      <c r="B960" s="2"/>
      <c r="C960" s="2"/>
      <c r="D960" s="2"/>
      <c r="E960" s="2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2"/>
      <c r="B961" s="2"/>
      <c r="C961" s="2"/>
      <c r="D961" s="2"/>
      <c r="E961" s="2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2"/>
      <c r="B962" s="2"/>
      <c r="C962" s="2"/>
      <c r="D962" s="2"/>
      <c r="E962" s="2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2"/>
      <c r="B963" s="2"/>
      <c r="C963" s="2"/>
      <c r="D963" s="2"/>
      <c r="E963" s="2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2"/>
      <c r="B964" s="2"/>
      <c r="C964" s="2"/>
      <c r="D964" s="2"/>
      <c r="E964" s="2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2"/>
      <c r="B965" s="2"/>
      <c r="C965" s="2"/>
      <c r="D965" s="2"/>
      <c r="E965" s="2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2"/>
      <c r="B966" s="2"/>
      <c r="C966" s="2"/>
      <c r="D966" s="2"/>
      <c r="E966" s="2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2"/>
      <c r="B967" s="2"/>
      <c r="C967" s="2"/>
      <c r="D967" s="2"/>
      <c r="E967" s="2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2"/>
      <c r="B968" s="2"/>
      <c r="C968" s="2"/>
      <c r="D968" s="2"/>
      <c r="E968" s="2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2"/>
      <c r="B969" s="2"/>
      <c r="C969" s="2"/>
      <c r="D969" s="2"/>
      <c r="E969" s="2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2"/>
      <c r="B970" s="2"/>
      <c r="C970" s="2"/>
      <c r="D970" s="2"/>
      <c r="E970" s="2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2"/>
      <c r="B971" s="2"/>
      <c r="C971" s="2"/>
      <c r="D971" s="2"/>
      <c r="E971" s="2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2"/>
      <c r="B972" s="2"/>
      <c r="C972" s="2"/>
      <c r="D972" s="2"/>
      <c r="E972" s="2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2"/>
      <c r="B973" s="2"/>
      <c r="C973" s="2"/>
      <c r="D973" s="2"/>
      <c r="E973" s="2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2"/>
      <c r="B974" s="2"/>
      <c r="C974" s="2"/>
      <c r="D974" s="2"/>
      <c r="E974" s="2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2"/>
      <c r="B975" s="2"/>
      <c r="C975" s="2"/>
      <c r="D975" s="2"/>
      <c r="E975" s="2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2"/>
      <c r="B976" s="2"/>
      <c r="C976" s="2"/>
      <c r="D976" s="2"/>
      <c r="E976" s="2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2"/>
      <c r="B977" s="2"/>
      <c r="C977" s="2"/>
      <c r="D977" s="2"/>
      <c r="E977" s="2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2"/>
      <c r="B978" s="2"/>
      <c r="C978" s="2"/>
      <c r="D978" s="2"/>
      <c r="E978" s="2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2"/>
      <c r="B979" s="2"/>
      <c r="C979" s="2"/>
      <c r="D979" s="2"/>
      <c r="E979" s="2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2"/>
      <c r="B980" s="2"/>
      <c r="C980" s="2"/>
      <c r="D980" s="2"/>
      <c r="E980" s="2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2"/>
      <c r="B981" s="2"/>
      <c r="C981" s="2"/>
      <c r="D981" s="2"/>
      <c r="E981" s="2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2"/>
      <c r="B982" s="2"/>
      <c r="C982" s="2"/>
      <c r="D982" s="2"/>
      <c r="E982" s="2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2"/>
      <c r="B983" s="2"/>
      <c r="C983" s="2"/>
      <c r="D983" s="2"/>
      <c r="E983" s="2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2"/>
      <c r="B984" s="2"/>
      <c r="C984" s="2"/>
      <c r="D984" s="2"/>
      <c r="E984" s="2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2"/>
      <c r="B985" s="2"/>
      <c r="C985" s="2"/>
      <c r="D985" s="2"/>
      <c r="E985" s="2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2"/>
      <c r="B986" s="2"/>
      <c r="C986" s="2"/>
      <c r="D986" s="2"/>
      <c r="E986" s="2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2"/>
      <c r="B987" s="2"/>
      <c r="C987" s="2"/>
      <c r="D987" s="2"/>
      <c r="E987" s="2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2"/>
      <c r="B988" s="2"/>
      <c r="C988" s="2"/>
      <c r="D988" s="2"/>
      <c r="E988" s="2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2"/>
      <c r="B989" s="2"/>
      <c r="C989" s="2"/>
      <c r="D989" s="2"/>
      <c r="E989" s="2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2"/>
      <c r="B990" s="2"/>
      <c r="C990" s="2"/>
      <c r="D990" s="2"/>
      <c r="E990" s="2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2"/>
      <c r="B991" s="2"/>
      <c r="C991" s="2"/>
      <c r="D991" s="2"/>
      <c r="E991" s="2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2"/>
      <c r="B992" s="2"/>
      <c r="C992" s="2"/>
      <c r="D992" s="2"/>
      <c r="E992" s="2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2"/>
      <c r="B993" s="2"/>
      <c r="C993" s="2"/>
      <c r="D993" s="2"/>
      <c r="E993" s="2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2"/>
      <c r="B994" s="2"/>
      <c r="C994" s="2"/>
      <c r="D994" s="2"/>
      <c r="E994" s="2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2"/>
      <c r="B995" s="2"/>
      <c r="C995" s="2"/>
      <c r="D995" s="2"/>
      <c r="E995" s="2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2"/>
      <c r="B996" s="2"/>
      <c r="C996" s="2"/>
      <c r="D996" s="2"/>
      <c r="E996" s="2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2"/>
      <c r="B997" s="2"/>
      <c r="C997" s="2"/>
      <c r="D997" s="2"/>
      <c r="E997" s="2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2"/>
      <c r="B998" s="2"/>
      <c r="C998" s="2"/>
      <c r="D998" s="2"/>
      <c r="E998" s="2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2"/>
      <c r="B999" s="2"/>
      <c r="C999" s="2"/>
      <c r="D999" s="2"/>
      <c r="E999" s="2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2"/>
      <c r="B1000" s="2"/>
      <c r="C1000" s="2"/>
      <c r="D1000" s="2"/>
      <c r="E1000" s="2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4.0"/>
    <col customWidth="1" min="3" max="3" width="8.71"/>
    <col customWidth="1" min="4" max="4" width="60.0"/>
    <col customWidth="1" min="5" max="6" width="8.71"/>
  </cols>
  <sheetData>
    <row r="1" ht="15.0" customHeight="1">
      <c r="A1" s="6" t="s">
        <v>22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 t="s">
        <v>23</v>
      </c>
      <c r="B3" s="9">
        <v>46071.0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 t="s">
        <v>24</v>
      </c>
      <c r="B5" s="2"/>
      <c r="C5" s="11" t="s">
        <v>25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26</v>
      </c>
      <c r="B6" s="12">
        <v>0.4</v>
      </c>
      <c r="C6" s="11">
        <v>0.33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27</v>
      </c>
      <c r="B7" s="12">
        <v>0.36</v>
      </c>
      <c r="C7" s="11">
        <v>0.27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28</v>
      </c>
      <c r="B8" s="12">
        <v>0.04</v>
      </c>
      <c r="C8" s="11">
        <v>0.05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29</v>
      </c>
      <c r="B9" s="12">
        <v>0.15</v>
      </c>
      <c r="C9" s="11">
        <v>0.13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30</v>
      </c>
      <c r="B10" s="12">
        <v>0.05</v>
      </c>
      <c r="C10" s="11">
        <v>0.07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31</v>
      </c>
      <c r="B11" s="12">
        <v>0.0</v>
      </c>
      <c r="C11" s="11">
        <v>0.1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32</v>
      </c>
      <c r="B12" s="12">
        <v>0.0</v>
      </c>
      <c r="C12" s="11">
        <v>0.05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 t="s">
        <v>33</v>
      </c>
      <c r="B13" s="13">
        <f t="shared" ref="B13:C13" si="1">SUM(B6:B12)</f>
        <v>1</v>
      </c>
      <c r="C13" s="11">
        <f t="shared" si="1"/>
        <v>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 t="s">
        <v>34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35</v>
      </c>
      <c r="B16" s="12">
        <v>0.25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36</v>
      </c>
      <c r="B17" s="12">
        <v>0.35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37</v>
      </c>
      <c r="B18" s="14">
        <v>1.0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38</v>
      </c>
      <c r="B19" s="14">
        <v>24.0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39</v>
      </c>
      <c r="B20" s="14">
        <v>24.0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40</v>
      </c>
      <c r="B21" s="14">
        <f>B39</f>
        <v>8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41</v>
      </c>
      <c r="B22" s="14">
        <v>15.0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42</v>
      </c>
      <c r="B23" s="14">
        <v>7.0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0" t="s">
        <v>43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44</v>
      </c>
      <c r="B27" s="12">
        <v>0.55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45</v>
      </c>
      <c r="B28" s="12">
        <v>0.3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46</v>
      </c>
      <c r="B29" s="12">
        <v>0.15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47</v>
      </c>
      <c r="B30" s="14">
        <f>B38</f>
        <v>1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48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49</v>
      </c>
      <c r="B33" s="2">
        <v>3.0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50</v>
      </c>
      <c r="B34" s="2">
        <f>COUNTA(Grinders!$A$4:$A$998)</f>
        <v>73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51</v>
      </c>
      <c r="B35" s="2">
        <f>COUNTIF(Grinders!$C$4:$C$998,"Elite")</f>
        <v>8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52</v>
      </c>
      <c r="B36" s="2">
        <f>IF(B34=0,0,B35/B34)</f>
        <v>0.1095890411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53</v>
      </c>
      <c r="B37" s="2">
        <f>B33*7</f>
        <v>21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54</v>
      </c>
      <c r="B38" s="2">
        <f>MAX(1,ROUND(B37/B34,0))</f>
        <v>1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55</v>
      </c>
      <c r="B39" s="2">
        <f>MAX(4,MIN(8,ROUND(9-8*B36,0)))</f>
        <v>8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">
        <v>56</v>
      </c>
      <c r="B41" s="2">
        <v>500.0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 t="s">
        <v>57</v>
      </c>
      <c r="B42" s="2">
        <v>2.0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 t="s">
        <v>58</v>
      </c>
      <c r="B43" s="2">
        <v>2.0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1" t="s">
        <v>59</v>
      </c>
      <c r="B1001" s="1">
        <v>500.0</v>
      </c>
      <c r="C1001" s="2"/>
      <c r="D1001" s="2"/>
      <c r="E1001" s="2"/>
      <c r="F1001" s="2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 t="s">
        <v>60</v>
      </c>
      <c r="B1002" s="1" t="s">
        <v>61</v>
      </c>
      <c r="C1002" s="2"/>
      <c r="D1002" s="2"/>
      <c r="E1002" s="2"/>
      <c r="F1002" s="2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 t="s">
        <v>62</v>
      </c>
      <c r="B1003" s="1" t="s">
        <v>63</v>
      </c>
      <c r="C1003" s="2"/>
      <c r="D1003" s="2"/>
      <c r="E1003" s="2"/>
      <c r="F1003" s="2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 t="s">
        <v>64</v>
      </c>
      <c r="B1004" s="1" t="s">
        <v>63</v>
      </c>
      <c r="C1004" s="2"/>
      <c r="D1004" s="2"/>
      <c r="E1004" s="2"/>
      <c r="F1004" s="2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 t="s">
        <v>65</v>
      </c>
      <c r="B1005" s="1">
        <v>30.0</v>
      </c>
      <c r="C1005" s="2"/>
      <c r="D1005" s="2"/>
      <c r="E1005" s="2"/>
      <c r="F1005" s="2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 t="s">
        <v>66</v>
      </c>
      <c r="B1006" s="1" t="s">
        <v>63</v>
      </c>
      <c r="C1006" s="2"/>
      <c r="D1006" s="2"/>
      <c r="E1006" s="2"/>
      <c r="F1006" s="2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 t="s">
        <v>67</v>
      </c>
      <c r="B1007" s="1">
        <v>0.12</v>
      </c>
      <c r="C1007" s="2"/>
      <c r="D1007" s="2"/>
      <c r="E1007" s="2"/>
      <c r="F1007" s="2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</sheetData>
  <mergeCells count="1">
    <mergeCell ref="A1:B2"/>
  </mergeCells>
  <conditionalFormatting sqref="B13">
    <cfRule type="expression" dxfId="0" priority="1">
      <formula>ABS(B13-1)&gt;0.001</formula>
    </cfRule>
  </conditionalFormatting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6.0"/>
    <col customWidth="1" min="2" max="2" width="16.0"/>
    <col customWidth="1" min="3" max="3" width="26.43"/>
    <col customWidth="1" min="4" max="4" width="13.71"/>
    <col customWidth="1" min="5" max="5" width="40.0"/>
    <col customWidth="1" min="6" max="6" width="8.71"/>
  </cols>
  <sheetData>
    <row r="1" ht="15.0" customHeight="1">
      <c r="A1" s="15" t="s">
        <v>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1.75" customHeight="1">
      <c r="A3" s="16" t="s">
        <v>69</v>
      </c>
      <c r="B3" s="17" t="s">
        <v>70</v>
      </c>
      <c r="C3" s="17" t="s">
        <v>71</v>
      </c>
      <c r="D3" s="17" t="s">
        <v>72</v>
      </c>
      <c r="E3" s="18" t="s">
        <v>73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9" t="s">
        <v>74</v>
      </c>
      <c r="B4" s="19" t="s">
        <v>75</v>
      </c>
      <c r="C4" s="20">
        <v>5.0</v>
      </c>
      <c r="D4" s="20">
        <v>7.0</v>
      </c>
      <c r="E4" s="20" t="s">
        <v>76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9" t="s">
        <v>77</v>
      </c>
      <c r="B5" s="19" t="s">
        <v>78</v>
      </c>
      <c r="C5" s="20">
        <v>2.0</v>
      </c>
      <c r="D5" s="20">
        <v>5.0</v>
      </c>
      <c r="E5" s="20" t="s">
        <v>76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1" t="s">
        <v>79</v>
      </c>
      <c r="B6" s="21" t="s">
        <v>80</v>
      </c>
      <c r="C6" s="20">
        <v>1.0</v>
      </c>
      <c r="D6" s="20">
        <v>1.0</v>
      </c>
      <c r="E6" s="20" t="s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9" t="s">
        <v>81</v>
      </c>
      <c r="B7" s="19" t="s">
        <v>80</v>
      </c>
      <c r="C7" s="2">
        <v>2.0</v>
      </c>
      <c r="D7" s="2">
        <v>10.0</v>
      </c>
      <c r="E7" s="20" t="s">
        <v>76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9" t="s">
        <v>82</v>
      </c>
      <c r="B8" s="19" t="s">
        <v>80</v>
      </c>
      <c r="C8" s="20">
        <v>5.0</v>
      </c>
      <c r="D8" s="20">
        <v>14.0</v>
      </c>
      <c r="E8" s="20" t="s">
        <v>76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9" t="s">
        <v>83</v>
      </c>
      <c r="B9" s="19" t="s">
        <v>80</v>
      </c>
      <c r="C9" s="20">
        <v>3.0</v>
      </c>
      <c r="D9" s="20">
        <v>2.0</v>
      </c>
      <c r="E9" s="20" t="s">
        <v>76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9" t="s">
        <v>84</v>
      </c>
      <c r="B10" s="19" t="s">
        <v>85</v>
      </c>
      <c r="C10" s="20">
        <v>1.0</v>
      </c>
      <c r="D10" s="20">
        <v>5.0</v>
      </c>
      <c r="E10" s="20" t="s">
        <v>76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9" t="s">
        <v>86</v>
      </c>
      <c r="B11" s="19" t="s">
        <v>87</v>
      </c>
      <c r="C11" s="20">
        <v>5.0</v>
      </c>
      <c r="D11" s="20">
        <v>3.0</v>
      </c>
      <c r="E11" s="20" t="s">
        <v>76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9" t="s">
        <v>88</v>
      </c>
      <c r="B12" s="19" t="s">
        <v>89</v>
      </c>
      <c r="C12" s="20">
        <v>5.0</v>
      </c>
      <c r="D12" s="20">
        <v>10.0</v>
      </c>
      <c r="E12" s="20" t="s">
        <v>76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1" t="s">
        <v>90</v>
      </c>
      <c r="B13" s="19" t="s">
        <v>80</v>
      </c>
      <c r="C13" s="20">
        <v>2.0</v>
      </c>
      <c r="D13" s="20">
        <v>7.0</v>
      </c>
      <c r="E13" s="20" t="s">
        <v>76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9" t="s">
        <v>91</v>
      </c>
      <c r="B14" s="21" t="s">
        <v>92</v>
      </c>
      <c r="C14" s="20">
        <v>1.0</v>
      </c>
      <c r="D14" s="20">
        <v>2.0</v>
      </c>
      <c r="E14" s="20" t="s">
        <v>76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9"/>
      <c r="B15" s="21"/>
      <c r="C15" s="2"/>
      <c r="D15" s="2"/>
      <c r="E15" s="2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9"/>
      <c r="B16" s="21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2"/>
      <c r="B221" s="22"/>
      <c r="C221" s="22"/>
      <c r="D221" s="22"/>
      <c r="E221" s="22"/>
      <c r="F221" s="22"/>
    </row>
    <row r="222" ht="15.75" customHeight="1">
      <c r="A222" s="22"/>
      <c r="B222" s="22"/>
      <c r="C222" s="22"/>
      <c r="D222" s="22"/>
      <c r="E222" s="22"/>
      <c r="F222" s="22"/>
    </row>
    <row r="223" ht="15.75" customHeight="1">
      <c r="A223" s="22"/>
      <c r="B223" s="22"/>
      <c r="C223" s="22"/>
      <c r="D223" s="22"/>
      <c r="E223" s="22"/>
      <c r="F223" s="22"/>
    </row>
    <row r="224" ht="15.75" customHeight="1">
      <c r="A224" s="22"/>
      <c r="B224" s="22"/>
      <c r="C224" s="22"/>
      <c r="D224" s="22"/>
      <c r="E224" s="22"/>
      <c r="F224" s="22"/>
    </row>
    <row r="225" ht="15.75" customHeight="1">
      <c r="A225" s="22"/>
      <c r="B225" s="22"/>
      <c r="C225" s="22"/>
      <c r="D225" s="22"/>
      <c r="E225" s="22"/>
      <c r="F225" s="22"/>
    </row>
    <row r="226" ht="15.75" customHeight="1">
      <c r="A226" s="22"/>
      <c r="B226" s="22"/>
      <c r="C226" s="22"/>
      <c r="D226" s="22"/>
      <c r="E226" s="22"/>
      <c r="F226" s="22"/>
    </row>
    <row r="227" ht="15.75" customHeight="1">
      <c r="A227" s="22"/>
      <c r="B227" s="22"/>
      <c r="C227" s="22"/>
      <c r="D227" s="22"/>
      <c r="E227" s="22"/>
      <c r="F227" s="22"/>
    </row>
    <row r="228" ht="15.75" customHeight="1">
      <c r="A228" s="22"/>
      <c r="B228" s="22"/>
      <c r="C228" s="22"/>
      <c r="D228" s="22"/>
      <c r="E228" s="22"/>
      <c r="F228" s="22"/>
    </row>
    <row r="229" ht="15.75" customHeight="1">
      <c r="A229" s="22"/>
      <c r="B229" s="22"/>
      <c r="C229" s="22"/>
      <c r="D229" s="22"/>
      <c r="E229" s="22"/>
      <c r="F229" s="22"/>
    </row>
    <row r="230" ht="15.75" customHeight="1">
      <c r="A230" s="22"/>
      <c r="B230" s="22"/>
      <c r="C230" s="22"/>
      <c r="D230" s="22"/>
      <c r="E230" s="22"/>
      <c r="F230" s="22"/>
    </row>
    <row r="231" ht="15.75" customHeight="1">
      <c r="A231" s="22"/>
      <c r="B231" s="22"/>
      <c r="C231" s="22"/>
      <c r="D231" s="22"/>
      <c r="E231" s="22"/>
      <c r="F231" s="22"/>
    </row>
    <row r="232" ht="15.75" customHeight="1">
      <c r="A232" s="22"/>
      <c r="B232" s="22"/>
      <c r="C232" s="22"/>
      <c r="D232" s="22"/>
      <c r="E232" s="22"/>
      <c r="F232" s="22"/>
    </row>
    <row r="233" ht="15.75" customHeight="1">
      <c r="A233" s="22"/>
      <c r="B233" s="22"/>
      <c r="C233" s="22"/>
      <c r="D233" s="22"/>
      <c r="E233" s="22"/>
      <c r="F233" s="22"/>
    </row>
    <row r="234" ht="15.75" customHeight="1">
      <c r="A234" s="22"/>
      <c r="B234" s="22"/>
      <c r="C234" s="22"/>
      <c r="D234" s="22"/>
      <c r="E234" s="22"/>
      <c r="F234" s="22"/>
    </row>
    <row r="235" ht="15.75" customHeight="1">
      <c r="A235" s="22"/>
      <c r="B235" s="22"/>
      <c r="C235" s="22"/>
      <c r="D235" s="22"/>
      <c r="E235" s="22"/>
      <c r="F235" s="22"/>
    </row>
    <row r="236" ht="15.75" customHeight="1">
      <c r="A236" s="22"/>
      <c r="B236" s="22"/>
      <c r="C236" s="22"/>
      <c r="D236" s="22"/>
      <c r="E236" s="22"/>
      <c r="F236" s="22"/>
    </row>
    <row r="237" ht="15.75" customHeight="1">
      <c r="A237" s="22"/>
      <c r="B237" s="22"/>
      <c r="C237" s="22"/>
      <c r="D237" s="22"/>
      <c r="E237" s="22"/>
      <c r="F237" s="22"/>
    </row>
    <row r="238" ht="15.75" customHeight="1">
      <c r="A238" s="22"/>
      <c r="B238" s="22"/>
      <c r="C238" s="22"/>
      <c r="D238" s="22"/>
      <c r="E238" s="22"/>
      <c r="F238" s="22"/>
    </row>
    <row r="239" ht="15.75" customHeight="1">
      <c r="A239" s="22"/>
      <c r="B239" s="22"/>
      <c r="C239" s="22"/>
      <c r="D239" s="22"/>
      <c r="E239" s="22"/>
      <c r="F239" s="22"/>
    </row>
    <row r="240" ht="15.75" customHeight="1">
      <c r="A240" s="22"/>
      <c r="B240" s="22"/>
      <c r="C240" s="22"/>
      <c r="D240" s="22"/>
      <c r="E240" s="22"/>
      <c r="F240" s="22"/>
    </row>
    <row r="241" ht="15.75" customHeight="1">
      <c r="A241" s="22"/>
      <c r="B241" s="22"/>
      <c r="C241" s="22"/>
      <c r="D241" s="22"/>
      <c r="E241" s="22"/>
      <c r="F241" s="22"/>
    </row>
    <row r="242" ht="15.75" customHeight="1">
      <c r="A242" s="22"/>
      <c r="B242" s="22"/>
      <c r="C242" s="22"/>
      <c r="D242" s="22"/>
      <c r="E242" s="22"/>
      <c r="F242" s="22"/>
    </row>
    <row r="243" ht="15.75" customHeight="1">
      <c r="A243" s="22"/>
      <c r="B243" s="22"/>
      <c r="C243" s="22"/>
      <c r="D243" s="22"/>
      <c r="E243" s="22"/>
      <c r="F243" s="22"/>
    </row>
    <row r="244" ht="15.75" customHeight="1">
      <c r="A244" s="22"/>
      <c r="B244" s="22"/>
      <c r="C244" s="22"/>
      <c r="D244" s="22"/>
      <c r="E244" s="22"/>
      <c r="F244" s="22"/>
    </row>
    <row r="245" ht="15.75" customHeight="1">
      <c r="A245" s="22"/>
      <c r="B245" s="22"/>
      <c r="C245" s="22"/>
      <c r="D245" s="22"/>
      <c r="E245" s="22"/>
      <c r="F245" s="22"/>
    </row>
    <row r="246" ht="15.75" customHeight="1">
      <c r="A246" s="22"/>
      <c r="B246" s="22"/>
      <c r="C246" s="22"/>
      <c r="D246" s="22"/>
      <c r="E246" s="22"/>
      <c r="F246" s="22"/>
    </row>
    <row r="247" ht="15.75" customHeight="1">
      <c r="A247" s="22"/>
      <c r="B247" s="22"/>
      <c r="C247" s="22"/>
      <c r="D247" s="22"/>
      <c r="E247" s="22"/>
      <c r="F247" s="22"/>
    </row>
    <row r="248" ht="15.75" customHeight="1">
      <c r="A248" s="22"/>
      <c r="B248" s="22"/>
      <c r="C248" s="22"/>
      <c r="D248" s="22"/>
      <c r="E248" s="22"/>
      <c r="F248" s="22"/>
    </row>
    <row r="249" ht="15.75" customHeight="1">
      <c r="A249" s="22"/>
      <c r="B249" s="22"/>
      <c r="C249" s="22"/>
      <c r="D249" s="22"/>
      <c r="E249" s="22"/>
      <c r="F249" s="22"/>
    </row>
    <row r="250" ht="15.75" customHeight="1">
      <c r="A250" s="22"/>
      <c r="B250" s="22"/>
      <c r="C250" s="22"/>
      <c r="D250" s="22"/>
      <c r="E250" s="22"/>
      <c r="F250" s="22"/>
    </row>
    <row r="251" ht="15.75" customHeight="1">
      <c r="A251" s="22"/>
      <c r="B251" s="22"/>
      <c r="C251" s="22"/>
      <c r="D251" s="22"/>
      <c r="E251" s="22"/>
      <c r="F251" s="22"/>
    </row>
    <row r="252" ht="15.75" customHeight="1">
      <c r="A252" s="22"/>
      <c r="B252" s="22"/>
      <c r="C252" s="22"/>
      <c r="D252" s="22"/>
      <c r="E252" s="22"/>
      <c r="F252" s="22"/>
    </row>
    <row r="253" ht="15.75" customHeight="1">
      <c r="A253" s="22"/>
      <c r="B253" s="22"/>
      <c r="C253" s="22"/>
      <c r="D253" s="22"/>
      <c r="E253" s="22"/>
      <c r="F253" s="22"/>
    </row>
    <row r="254" ht="15.75" customHeight="1">
      <c r="A254" s="22"/>
      <c r="B254" s="22"/>
      <c r="C254" s="22"/>
      <c r="D254" s="22"/>
      <c r="E254" s="22"/>
      <c r="F254" s="22"/>
    </row>
    <row r="255" ht="15.75" customHeight="1">
      <c r="A255" s="22"/>
      <c r="B255" s="22"/>
      <c r="C255" s="22"/>
      <c r="D255" s="22"/>
      <c r="E255" s="22"/>
      <c r="F255" s="22"/>
    </row>
    <row r="256" ht="15.75" customHeight="1">
      <c r="A256" s="22"/>
      <c r="B256" s="22"/>
      <c r="C256" s="22"/>
      <c r="D256" s="22"/>
      <c r="E256" s="22"/>
      <c r="F256" s="22"/>
    </row>
    <row r="257" ht="15.75" customHeight="1">
      <c r="A257" s="22"/>
      <c r="B257" s="22"/>
      <c r="C257" s="22"/>
      <c r="D257" s="22"/>
      <c r="E257" s="22"/>
      <c r="F257" s="22"/>
    </row>
    <row r="258" ht="15.75" customHeight="1">
      <c r="A258" s="22"/>
      <c r="B258" s="22"/>
      <c r="C258" s="22"/>
      <c r="D258" s="22"/>
      <c r="E258" s="22"/>
      <c r="F258" s="22"/>
    </row>
    <row r="259" ht="15.75" customHeight="1">
      <c r="A259" s="22"/>
      <c r="B259" s="22"/>
      <c r="C259" s="22"/>
      <c r="D259" s="22"/>
      <c r="E259" s="22"/>
      <c r="F259" s="22"/>
    </row>
    <row r="260" ht="15.75" customHeight="1">
      <c r="A260" s="22"/>
      <c r="B260" s="22"/>
      <c r="C260" s="22"/>
      <c r="D260" s="22"/>
      <c r="E260" s="22"/>
      <c r="F260" s="22"/>
    </row>
    <row r="261" ht="15.75" customHeight="1">
      <c r="A261" s="22"/>
      <c r="B261" s="22"/>
      <c r="C261" s="22"/>
      <c r="D261" s="22"/>
      <c r="E261" s="22"/>
      <c r="F261" s="22"/>
    </row>
    <row r="262" ht="15.75" customHeight="1">
      <c r="A262" s="22"/>
      <c r="B262" s="22"/>
      <c r="C262" s="22"/>
      <c r="D262" s="22"/>
      <c r="E262" s="22"/>
      <c r="F262" s="22"/>
    </row>
    <row r="263" ht="15.75" customHeight="1">
      <c r="A263" s="22"/>
      <c r="B263" s="22"/>
      <c r="C263" s="22"/>
      <c r="D263" s="22"/>
      <c r="E263" s="22"/>
      <c r="F263" s="22"/>
    </row>
    <row r="264" ht="15.75" customHeight="1">
      <c r="A264" s="22"/>
      <c r="B264" s="22"/>
      <c r="C264" s="22"/>
      <c r="D264" s="22"/>
      <c r="E264" s="22"/>
      <c r="F264" s="22"/>
    </row>
    <row r="265" ht="15.75" customHeight="1">
      <c r="A265" s="22"/>
      <c r="B265" s="22"/>
      <c r="C265" s="22"/>
      <c r="D265" s="22"/>
      <c r="E265" s="22"/>
      <c r="F265" s="22"/>
    </row>
    <row r="266" ht="15.75" customHeight="1">
      <c r="A266" s="22"/>
      <c r="B266" s="22"/>
      <c r="C266" s="22"/>
      <c r="D266" s="22"/>
      <c r="E266" s="22"/>
      <c r="F266" s="22"/>
    </row>
    <row r="267" ht="15.75" customHeight="1">
      <c r="A267" s="22"/>
      <c r="B267" s="22"/>
      <c r="C267" s="22"/>
      <c r="D267" s="22"/>
      <c r="E267" s="22"/>
      <c r="F267" s="22"/>
    </row>
    <row r="268" ht="15.75" customHeight="1">
      <c r="A268" s="22"/>
      <c r="B268" s="22"/>
      <c r="C268" s="22"/>
      <c r="D268" s="22"/>
      <c r="E268" s="22"/>
      <c r="F268" s="22"/>
    </row>
    <row r="269" ht="15.75" customHeight="1">
      <c r="A269" s="22"/>
      <c r="B269" s="22"/>
      <c r="C269" s="22"/>
      <c r="D269" s="22"/>
      <c r="E269" s="22"/>
      <c r="F269" s="22"/>
    </row>
    <row r="270" ht="15.75" customHeight="1">
      <c r="A270" s="22"/>
      <c r="B270" s="22"/>
      <c r="C270" s="22"/>
      <c r="D270" s="22"/>
      <c r="E270" s="22"/>
      <c r="F270" s="22"/>
    </row>
    <row r="271" ht="15.75" customHeight="1">
      <c r="A271" s="22"/>
      <c r="B271" s="22"/>
      <c r="C271" s="22"/>
      <c r="D271" s="22"/>
      <c r="E271" s="22"/>
      <c r="F271" s="22"/>
    </row>
    <row r="272" ht="15.75" customHeight="1">
      <c r="A272" s="22"/>
      <c r="B272" s="22"/>
      <c r="C272" s="22"/>
      <c r="D272" s="22"/>
      <c r="E272" s="22"/>
      <c r="F272" s="22"/>
    </row>
    <row r="273" ht="15.75" customHeight="1">
      <c r="A273" s="22"/>
      <c r="B273" s="22"/>
      <c r="C273" s="22"/>
      <c r="D273" s="22"/>
      <c r="E273" s="22"/>
      <c r="F273" s="22"/>
    </row>
    <row r="274" ht="15.75" customHeight="1">
      <c r="A274" s="22"/>
      <c r="B274" s="22"/>
      <c r="C274" s="22"/>
      <c r="D274" s="22"/>
      <c r="E274" s="22"/>
      <c r="F274" s="22"/>
    </row>
    <row r="275" ht="15.75" customHeight="1">
      <c r="A275" s="22"/>
      <c r="B275" s="22"/>
      <c r="C275" s="22"/>
      <c r="D275" s="22"/>
      <c r="E275" s="22"/>
      <c r="F275" s="22"/>
    </row>
    <row r="276" ht="15.75" customHeight="1">
      <c r="A276" s="22"/>
      <c r="B276" s="22"/>
      <c r="C276" s="22"/>
      <c r="D276" s="22"/>
      <c r="E276" s="22"/>
      <c r="F276" s="22"/>
    </row>
    <row r="277" ht="15.75" customHeight="1">
      <c r="A277" s="22"/>
      <c r="B277" s="22"/>
      <c r="C277" s="22"/>
      <c r="D277" s="22"/>
      <c r="E277" s="22"/>
      <c r="F277" s="22"/>
    </row>
    <row r="278" ht="15.75" customHeight="1">
      <c r="A278" s="22"/>
      <c r="B278" s="22"/>
      <c r="C278" s="22"/>
      <c r="D278" s="22"/>
      <c r="E278" s="22"/>
      <c r="F278" s="22"/>
    </row>
    <row r="279" ht="15.75" customHeight="1">
      <c r="A279" s="22"/>
      <c r="B279" s="22"/>
      <c r="C279" s="22"/>
      <c r="D279" s="22"/>
      <c r="E279" s="22"/>
      <c r="F279" s="22"/>
    </row>
    <row r="280" ht="15.75" customHeight="1">
      <c r="A280" s="22"/>
      <c r="B280" s="22"/>
      <c r="C280" s="22"/>
      <c r="D280" s="22"/>
      <c r="E280" s="22"/>
      <c r="F280" s="22"/>
    </row>
    <row r="281" ht="15.75" customHeight="1">
      <c r="A281" s="22"/>
      <c r="B281" s="22"/>
      <c r="C281" s="22"/>
      <c r="D281" s="22"/>
      <c r="E281" s="22"/>
      <c r="F281" s="22"/>
    </row>
    <row r="282" ht="15.75" customHeight="1">
      <c r="A282" s="22"/>
      <c r="B282" s="22"/>
      <c r="C282" s="22"/>
      <c r="D282" s="22"/>
      <c r="E282" s="22"/>
      <c r="F282" s="22"/>
    </row>
    <row r="283" ht="15.75" customHeight="1">
      <c r="A283" s="22"/>
      <c r="B283" s="22"/>
      <c r="C283" s="22"/>
      <c r="D283" s="22"/>
      <c r="E283" s="22"/>
      <c r="F283" s="22"/>
    </row>
    <row r="284" ht="15.75" customHeight="1">
      <c r="A284" s="22"/>
      <c r="B284" s="22"/>
      <c r="C284" s="22"/>
      <c r="D284" s="22"/>
      <c r="E284" s="22"/>
      <c r="F284" s="22"/>
    </row>
    <row r="285" ht="15.75" customHeight="1">
      <c r="A285" s="22"/>
      <c r="B285" s="22"/>
      <c r="C285" s="22"/>
      <c r="D285" s="22"/>
      <c r="E285" s="22"/>
      <c r="F285" s="22"/>
    </row>
    <row r="286" ht="15.75" customHeight="1">
      <c r="A286" s="22"/>
      <c r="B286" s="22"/>
      <c r="C286" s="22"/>
      <c r="D286" s="22"/>
      <c r="E286" s="22"/>
      <c r="F286" s="22"/>
    </row>
    <row r="287" ht="15.75" customHeight="1">
      <c r="A287" s="22"/>
      <c r="B287" s="22"/>
      <c r="C287" s="22"/>
      <c r="D287" s="22"/>
      <c r="E287" s="22"/>
      <c r="F287" s="22"/>
    </row>
    <row r="288" ht="15.75" customHeight="1">
      <c r="A288" s="22"/>
      <c r="B288" s="22"/>
      <c r="C288" s="22"/>
      <c r="D288" s="22"/>
      <c r="E288" s="22"/>
      <c r="F288" s="22"/>
    </row>
    <row r="289" ht="15.75" customHeight="1">
      <c r="A289" s="22"/>
      <c r="B289" s="22"/>
      <c r="C289" s="22"/>
      <c r="D289" s="22"/>
      <c r="E289" s="22"/>
      <c r="F289" s="22"/>
    </row>
    <row r="290" ht="15.75" customHeight="1">
      <c r="A290" s="22"/>
      <c r="B290" s="22"/>
      <c r="C290" s="22"/>
      <c r="D290" s="22"/>
      <c r="E290" s="22"/>
      <c r="F290" s="22"/>
    </row>
    <row r="291" ht="15.75" customHeight="1">
      <c r="A291" s="22"/>
      <c r="B291" s="22"/>
      <c r="C291" s="22"/>
      <c r="D291" s="22"/>
      <c r="E291" s="22"/>
      <c r="F291" s="22"/>
    </row>
    <row r="292" ht="15.75" customHeight="1">
      <c r="A292" s="22"/>
      <c r="B292" s="22"/>
      <c r="C292" s="22"/>
      <c r="D292" s="22"/>
      <c r="E292" s="22"/>
      <c r="F292" s="22"/>
    </row>
    <row r="293" ht="15.75" customHeight="1">
      <c r="A293" s="22"/>
      <c r="B293" s="22"/>
      <c r="C293" s="22"/>
      <c r="D293" s="22"/>
      <c r="E293" s="22"/>
      <c r="F293" s="22"/>
    </row>
    <row r="294" ht="15.75" customHeight="1">
      <c r="A294" s="22"/>
      <c r="B294" s="22"/>
      <c r="C294" s="22"/>
      <c r="D294" s="22"/>
      <c r="E294" s="22"/>
      <c r="F294" s="22"/>
    </row>
    <row r="295" ht="15.75" customHeight="1">
      <c r="A295" s="22"/>
      <c r="B295" s="22"/>
      <c r="C295" s="22"/>
      <c r="D295" s="22"/>
      <c r="E295" s="22"/>
      <c r="F295" s="22"/>
    </row>
    <row r="296" ht="15.75" customHeight="1">
      <c r="A296" s="22"/>
      <c r="B296" s="22"/>
      <c r="C296" s="22"/>
      <c r="D296" s="22"/>
      <c r="E296" s="22"/>
      <c r="F296" s="22"/>
    </row>
    <row r="297" ht="15.75" customHeight="1">
      <c r="A297" s="22"/>
      <c r="B297" s="22"/>
      <c r="C297" s="22"/>
      <c r="D297" s="22"/>
      <c r="E297" s="22"/>
      <c r="F297" s="22"/>
    </row>
    <row r="298" ht="15.75" customHeight="1">
      <c r="A298" s="22"/>
      <c r="B298" s="22"/>
      <c r="C298" s="22"/>
      <c r="D298" s="22"/>
      <c r="E298" s="22"/>
      <c r="F298" s="22"/>
    </row>
    <row r="299" ht="15.75" customHeight="1">
      <c r="A299" s="22"/>
      <c r="B299" s="22"/>
      <c r="C299" s="22"/>
      <c r="D299" s="22"/>
      <c r="E299" s="22"/>
      <c r="F299" s="22"/>
    </row>
    <row r="300" ht="15.75" customHeight="1">
      <c r="A300" s="22"/>
      <c r="B300" s="22"/>
      <c r="C300" s="22"/>
      <c r="D300" s="22"/>
      <c r="E300" s="22"/>
      <c r="F300" s="22"/>
    </row>
    <row r="301" ht="15.75" customHeight="1">
      <c r="A301" s="22"/>
      <c r="B301" s="22"/>
      <c r="C301" s="22"/>
      <c r="D301" s="22"/>
      <c r="E301" s="22"/>
      <c r="F301" s="22"/>
    </row>
    <row r="302" ht="15.75" customHeight="1">
      <c r="A302" s="22"/>
      <c r="B302" s="22"/>
      <c r="C302" s="22"/>
      <c r="D302" s="22"/>
      <c r="E302" s="22"/>
      <c r="F302" s="22"/>
    </row>
    <row r="303" ht="15.75" customHeight="1">
      <c r="A303" s="22"/>
      <c r="B303" s="22"/>
      <c r="C303" s="22"/>
      <c r="D303" s="22"/>
      <c r="E303" s="22"/>
      <c r="F303" s="22"/>
    </row>
    <row r="304" ht="15.75" customHeight="1">
      <c r="A304" s="22"/>
      <c r="B304" s="22"/>
      <c r="C304" s="22"/>
      <c r="D304" s="22"/>
      <c r="E304" s="22"/>
      <c r="F304" s="22"/>
    </row>
    <row r="305" ht="15.75" customHeight="1">
      <c r="A305" s="22"/>
      <c r="B305" s="22"/>
      <c r="C305" s="22"/>
      <c r="D305" s="22"/>
      <c r="E305" s="22"/>
      <c r="F305" s="22"/>
    </row>
    <row r="306" ht="15.75" customHeight="1">
      <c r="A306" s="22"/>
      <c r="B306" s="22"/>
      <c r="C306" s="22"/>
      <c r="D306" s="22"/>
      <c r="E306" s="22"/>
      <c r="F306" s="22"/>
    </row>
    <row r="307" ht="15.75" customHeight="1">
      <c r="A307" s="22"/>
      <c r="B307" s="22"/>
      <c r="C307" s="22"/>
      <c r="D307" s="22"/>
      <c r="E307" s="22"/>
      <c r="F307" s="22"/>
    </row>
    <row r="308" ht="15.75" customHeight="1">
      <c r="A308" s="22"/>
      <c r="B308" s="22"/>
      <c r="C308" s="22"/>
      <c r="D308" s="22"/>
      <c r="E308" s="22"/>
      <c r="F308" s="22"/>
    </row>
    <row r="309" ht="15.75" customHeight="1">
      <c r="A309" s="22"/>
      <c r="B309" s="22"/>
      <c r="C309" s="22"/>
      <c r="D309" s="22"/>
      <c r="E309" s="22"/>
      <c r="F309" s="22"/>
    </row>
    <row r="310" ht="15.75" customHeight="1">
      <c r="A310" s="22"/>
      <c r="B310" s="22"/>
      <c r="C310" s="22"/>
      <c r="D310" s="22"/>
      <c r="E310" s="22"/>
      <c r="F310" s="22"/>
    </row>
    <row r="311" ht="15.75" customHeight="1">
      <c r="A311" s="22"/>
      <c r="B311" s="22"/>
      <c r="C311" s="22"/>
      <c r="D311" s="22"/>
      <c r="E311" s="22"/>
      <c r="F311" s="22"/>
    </row>
    <row r="312" ht="15.75" customHeight="1">
      <c r="A312" s="22"/>
      <c r="B312" s="22"/>
      <c r="C312" s="22"/>
      <c r="D312" s="22"/>
      <c r="E312" s="22"/>
      <c r="F312" s="22"/>
    </row>
    <row r="313" ht="15.75" customHeight="1">
      <c r="A313" s="22"/>
      <c r="B313" s="22"/>
      <c r="C313" s="22"/>
      <c r="D313" s="22"/>
      <c r="E313" s="22"/>
      <c r="F313" s="22"/>
    </row>
    <row r="314" ht="15.75" customHeight="1">
      <c r="A314" s="22"/>
      <c r="B314" s="22"/>
      <c r="C314" s="22"/>
      <c r="D314" s="22"/>
      <c r="E314" s="22"/>
      <c r="F314" s="22"/>
    </row>
    <row r="315" ht="15.75" customHeight="1">
      <c r="A315" s="22"/>
      <c r="B315" s="22"/>
      <c r="C315" s="22"/>
      <c r="D315" s="22"/>
      <c r="E315" s="22"/>
      <c r="F315" s="22"/>
    </row>
    <row r="316" ht="15.75" customHeight="1">
      <c r="A316" s="22"/>
      <c r="B316" s="22"/>
      <c r="C316" s="22"/>
      <c r="D316" s="22"/>
      <c r="E316" s="22"/>
      <c r="F316" s="22"/>
    </row>
    <row r="317" ht="15.75" customHeight="1">
      <c r="A317" s="22"/>
      <c r="B317" s="22"/>
      <c r="C317" s="22"/>
      <c r="D317" s="22"/>
      <c r="E317" s="22"/>
      <c r="F317" s="22"/>
    </row>
    <row r="318" ht="15.75" customHeight="1">
      <c r="A318" s="22"/>
      <c r="B318" s="22"/>
      <c r="C318" s="22"/>
      <c r="D318" s="22"/>
      <c r="E318" s="22"/>
      <c r="F318" s="22"/>
    </row>
    <row r="319" ht="15.75" customHeight="1">
      <c r="A319" s="22"/>
      <c r="B319" s="22"/>
      <c r="C319" s="22"/>
      <c r="D319" s="22"/>
      <c r="E319" s="22"/>
      <c r="F319" s="22"/>
    </row>
    <row r="320" ht="15.75" customHeight="1">
      <c r="A320" s="22"/>
      <c r="B320" s="22"/>
      <c r="C320" s="22"/>
      <c r="D320" s="22"/>
      <c r="E320" s="22"/>
      <c r="F320" s="22"/>
    </row>
    <row r="321" ht="15.75" customHeight="1">
      <c r="A321" s="22"/>
      <c r="B321" s="22"/>
      <c r="C321" s="22"/>
      <c r="D321" s="22"/>
      <c r="E321" s="22"/>
      <c r="F321" s="22"/>
    </row>
    <row r="322" ht="15.75" customHeight="1">
      <c r="A322" s="22"/>
      <c r="B322" s="22"/>
      <c r="C322" s="22"/>
      <c r="D322" s="22"/>
      <c r="E322" s="22"/>
      <c r="F322" s="22"/>
    </row>
    <row r="323" ht="15.75" customHeight="1">
      <c r="A323" s="22"/>
      <c r="B323" s="22"/>
      <c r="C323" s="22"/>
      <c r="D323" s="22"/>
      <c r="E323" s="22"/>
      <c r="F323" s="22"/>
    </row>
    <row r="324" ht="15.75" customHeight="1">
      <c r="A324" s="22"/>
      <c r="B324" s="22"/>
      <c r="C324" s="22"/>
      <c r="D324" s="22"/>
      <c r="E324" s="22"/>
      <c r="F324" s="22"/>
    </row>
    <row r="325" ht="15.75" customHeight="1">
      <c r="A325" s="22"/>
      <c r="B325" s="22"/>
      <c r="C325" s="22"/>
      <c r="D325" s="22"/>
      <c r="E325" s="22"/>
      <c r="F325" s="22"/>
    </row>
    <row r="326" ht="15.75" customHeight="1">
      <c r="A326" s="22"/>
      <c r="B326" s="22"/>
      <c r="C326" s="22"/>
      <c r="D326" s="22"/>
      <c r="E326" s="22"/>
      <c r="F326" s="22"/>
    </row>
    <row r="327" ht="15.75" customHeight="1">
      <c r="A327" s="22"/>
      <c r="B327" s="22"/>
      <c r="C327" s="22"/>
      <c r="D327" s="22"/>
      <c r="E327" s="22"/>
      <c r="F327" s="22"/>
    </row>
    <row r="328" ht="15.75" customHeight="1">
      <c r="A328" s="22"/>
      <c r="B328" s="22"/>
      <c r="C328" s="22"/>
      <c r="D328" s="22"/>
      <c r="E328" s="22"/>
      <c r="F328" s="22"/>
    </row>
    <row r="329" ht="15.75" customHeight="1">
      <c r="A329" s="22"/>
      <c r="B329" s="22"/>
      <c r="C329" s="22"/>
      <c r="D329" s="22"/>
      <c r="E329" s="22"/>
      <c r="F329" s="22"/>
    </row>
    <row r="330" ht="15.75" customHeight="1">
      <c r="A330" s="22"/>
      <c r="B330" s="22"/>
      <c r="C330" s="22"/>
      <c r="D330" s="22"/>
      <c r="E330" s="22"/>
      <c r="F330" s="22"/>
    </row>
    <row r="331" ht="15.75" customHeight="1">
      <c r="A331" s="22"/>
      <c r="B331" s="22"/>
      <c r="C331" s="22"/>
      <c r="D331" s="22"/>
      <c r="E331" s="22"/>
      <c r="F331" s="22"/>
    </row>
    <row r="332" ht="15.75" customHeight="1">
      <c r="A332" s="22"/>
      <c r="B332" s="22"/>
      <c r="C332" s="22"/>
      <c r="D332" s="22"/>
      <c r="E332" s="22"/>
      <c r="F332" s="22"/>
    </row>
    <row r="333" ht="15.75" customHeight="1">
      <c r="A333" s="22"/>
      <c r="B333" s="22"/>
      <c r="C333" s="22"/>
      <c r="D333" s="22"/>
      <c r="E333" s="22"/>
      <c r="F333" s="22"/>
    </row>
    <row r="334" ht="15.75" customHeight="1">
      <c r="A334" s="22"/>
      <c r="B334" s="22"/>
      <c r="C334" s="22"/>
      <c r="D334" s="22"/>
      <c r="E334" s="22"/>
      <c r="F334" s="22"/>
    </row>
    <row r="335" ht="15.75" customHeight="1">
      <c r="A335" s="22"/>
      <c r="B335" s="22"/>
      <c r="C335" s="22"/>
      <c r="D335" s="22"/>
      <c r="E335" s="22"/>
      <c r="F335" s="22"/>
    </row>
    <row r="336" ht="15.75" customHeight="1">
      <c r="A336" s="22"/>
      <c r="B336" s="22"/>
      <c r="C336" s="22"/>
      <c r="D336" s="22"/>
      <c r="E336" s="22"/>
      <c r="F336" s="22"/>
    </row>
    <row r="337" ht="15.75" customHeight="1">
      <c r="A337" s="22"/>
      <c r="B337" s="22"/>
      <c r="C337" s="22"/>
      <c r="D337" s="22"/>
      <c r="E337" s="22"/>
      <c r="F337" s="22"/>
    </row>
    <row r="338" ht="15.75" customHeight="1">
      <c r="A338" s="22"/>
      <c r="B338" s="22"/>
      <c r="C338" s="22"/>
      <c r="D338" s="22"/>
      <c r="E338" s="22"/>
      <c r="F338" s="22"/>
    </row>
    <row r="339" ht="15.75" customHeight="1">
      <c r="A339" s="22"/>
      <c r="B339" s="22"/>
      <c r="C339" s="22"/>
      <c r="D339" s="22"/>
      <c r="E339" s="22"/>
      <c r="F339" s="22"/>
    </row>
    <row r="340" ht="15.75" customHeight="1">
      <c r="A340" s="22"/>
      <c r="B340" s="22"/>
      <c r="C340" s="22"/>
      <c r="D340" s="22"/>
      <c r="E340" s="22"/>
      <c r="F340" s="22"/>
    </row>
    <row r="341" ht="15.75" customHeight="1">
      <c r="A341" s="22"/>
      <c r="B341" s="22"/>
      <c r="C341" s="22"/>
      <c r="D341" s="22"/>
      <c r="E341" s="22"/>
      <c r="F341" s="22"/>
    </row>
    <row r="342" ht="15.75" customHeight="1">
      <c r="A342" s="22"/>
      <c r="B342" s="22"/>
      <c r="C342" s="22"/>
      <c r="D342" s="22"/>
      <c r="E342" s="22"/>
      <c r="F342" s="22"/>
    </row>
    <row r="343" ht="15.75" customHeight="1">
      <c r="A343" s="22"/>
      <c r="B343" s="22"/>
      <c r="C343" s="22"/>
      <c r="D343" s="22"/>
      <c r="E343" s="22"/>
      <c r="F343" s="22"/>
    </row>
    <row r="344" ht="15.75" customHeight="1">
      <c r="A344" s="22"/>
      <c r="B344" s="22"/>
      <c r="C344" s="22"/>
      <c r="D344" s="22"/>
      <c r="E344" s="22"/>
      <c r="F344" s="22"/>
    </row>
    <row r="345" ht="15.75" customHeight="1">
      <c r="A345" s="22"/>
      <c r="B345" s="22"/>
      <c r="C345" s="22"/>
      <c r="D345" s="22"/>
      <c r="E345" s="22"/>
      <c r="F345" s="22"/>
    </row>
    <row r="346" ht="15.75" customHeight="1">
      <c r="A346" s="22"/>
      <c r="B346" s="22"/>
      <c r="C346" s="22"/>
      <c r="D346" s="22"/>
      <c r="E346" s="22"/>
      <c r="F346" s="22"/>
    </row>
    <row r="347" ht="15.75" customHeight="1">
      <c r="A347" s="22"/>
      <c r="B347" s="22"/>
      <c r="C347" s="22"/>
      <c r="D347" s="22"/>
      <c r="E347" s="22"/>
      <c r="F347" s="22"/>
    </row>
    <row r="348" ht="15.75" customHeight="1">
      <c r="A348" s="22"/>
      <c r="B348" s="22"/>
      <c r="C348" s="22"/>
      <c r="D348" s="22"/>
      <c r="E348" s="22"/>
      <c r="F348" s="22"/>
    </row>
    <row r="349" ht="15.75" customHeight="1">
      <c r="A349" s="22"/>
      <c r="B349" s="22"/>
      <c r="C349" s="22"/>
      <c r="D349" s="22"/>
      <c r="E349" s="22"/>
      <c r="F349" s="22"/>
    </row>
    <row r="350" ht="15.75" customHeight="1">
      <c r="A350" s="22"/>
      <c r="B350" s="22"/>
      <c r="C350" s="22"/>
      <c r="D350" s="22"/>
      <c r="E350" s="22"/>
      <c r="F350" s="22"/>
    </row>
    <row r="351" ht="15.75" customHeight="1">
      <c r="A351" s="22"/>
      <c r="B351" s="22"/>
      <c r="C351" s="22"/>
      <c r="D351" s="22"/>
      <c r="E351" s="22"/>
      <c r="F351" s="22"/>
    </row>
    <row r="352" ht="15.75" customHeight="1">
      <c r="A352" s="22"/>
      <c r="B352" s="22"/>
      <c r="C352" s="22"/>
      <c r="D352" s="22"/>
      <c r="E352" s="22"/>
      <c r="F352" s="22"/>
    </row>
    <row r="353" ht="15.75" customHeight="1">
      <c r="A353" s="22"/>
      <c r="B353" s="22"/>
      <c r="C353" s="22"/>
      <c r="D353" s="22"/>
      <c r="E353" s="22"/>
      <c r="F353" s="22"/>
    </row>
    <row r="354" ht="15.75" customHeight="1">
      <c r="A354" s="22"/>
      <c r="B354" s="22"/>
      <c r="C354" s="22"/>
      <c r="D354" s="22"/>
      <c r="E354" s="22"/>
      <c r="F354" s="22"/>
    </row>
    <row r="355" ht="15.75" customHeight="1">
      <c r="A355" s="22"/>
      <c r="B355" s="22"/>
      <c r="C355" s="22"/>
      <c r="D355" s="22"/>
      <c r="E355" s="22"/>
      <c r="F355" s="22"/>
    </row>
    <row r="356" ht="15.75" customHeight="1">
      <c r="A356" s="22"/>
      <c r="B356" s="22"/>
      <c r="C356" s="22"/>
      <c r="D356" s="22"/>
      <c r="E356" s="22"/>
      <c r="F356" s="22"/>
    </row>
    <row r="357" ht="15.75" customHeight="1">
      <c r="A357" s="22"/>
      <c r="B357" s="22"/>
      <c r="C357" s="22"/>
      <c r="D357" s="22"/>
      <c r="E357" s="22"/>
      <c r="F357" s="22"/>
    </row>
    <row r="358" ht="15.75" customHeight="1">
      <c r="A358" s="22"/>
      <c r="B358" s="22"/>
      <c r="C358" s="22"/>
      <c r="D358" s="22"/>
      <c r="E358" s="22"/>
      <c r="F358" s="22"/>
    </row>
    <row r="359" ht="15.75" customHeight="1">
      <c r="A359" s="22"/>
      <c r="B359" s="22"/>
      <c r="C359" s="22"/>
      <c r="D359" s="22"/>
      <c r="E359" s="22"/>
      <c r="F359" s="22"/>
    </row>
    <row r="360" ht="15.75" customHeight="1">
      <c r="A360" s="22"/>
      <c r="B360" s="22"/>
      <c r="C360" s="22"/>
      <c r="D360" s="22"/>
      <c r="E360" s="22"/>
      <c r="F360" s="22"/>
    </row>
    <row r="361" ht="15.75" customHeight="1">
      <c r="A361" s="22"/>
      <c r="B361" s="22"/>
      <c r="C361" s="22"/>
      <c r="D361" s="22"/>
      <c r="E361" s="22"/>
      <c r="F361" s="22"/>
    </row>
    <row r="362" ht="15.75" customHeight="1">
      <c r="A362" s="22"/>
      <c r="B362" s="22"/>
      <c r="C362" s="22"/>
      <c r="D362" s="22"/>
      <c r="E362" s="22"/>
      <c r="F362" s="22"/>
    </row>
    <row r="363" ht="15.75" customHeight="1">
      <c r="A363" s="22"/>
      <c r="B363" s="22"/>
      <c r="C363" s="22"/>
      <c r="D363" s="22"/>
      <c r="E363" s="22"/>
      <c r="F363" s="22"/>
    </row>
    <row r="364" ht="15.75" customHeight="1">
      <c r="A364" s="22"/>
      <c r="B364" s="22"/>
      <c r="C364" s="22"/>
      <c r="D364" s="22"/>
      <c r="E364" s="22"/>
      <c r="F364" s="22"/>
    </row>
    <row r="365" ht="15.75" customHeight="1">
      <c r="A365" s="22"/>
      <c r="B365" s="22"/>
      <c r="C365" s="22"/>
      <c r="D365" s="22"/>
      <c r="E365" s="22"/>
      <c r="F365" s="22"/>
    </row>
    <row r="366" ht="15.75" customHeight="1">
      <c r="A366" s="22"/>
      <c r="B366" s="22"/>
      <c r="C366" s="22"/>
      <c r="D366" s="22"/>
      <c r="E366" s="22"/>
      <c r="F366" s="22"/>
    </row>
    <row r="367" ht="15.75" customHeight="1">
      <c r="A367" s="22"/>
      <c r="B367" s="22"/>
      <c r="C367" s="22"/>
      <c r="D367" s="22"/>
      <c r="E367" s="22"/>
      <c r="F367" s="22"/>
    </row>
    <row r="368" ht="15.75" customHeight="1">
      <c r="A368" s="22"/>
      <c r="B368" s="22"/>
      <c r="C368" s="22"/>
      <c r="D368" s="22"/>
      <c r="E368" s="22"/>
      <c r="F368" s="22"/>
    </row>
    <row r="369" ht="15.75" customHeight="1">
      <c r="A369" s="22"/>
      <c r="B369" s="22"/>
      <c r="C369" s="22"/>
      <c r="D369" s="22"/>
      <c r="E369" s="22"/>
      <c r="F369" s="22"/>
    </row>
    <row r="370" ht="15.75" customHeight="1">
      <c r="A370" s="22"/>
      <c r="B370" s="22"/>
      <c r="C370" s="22"/>
      <c r="D370" s="22"/>
      <c r="E370" s="22"/>
      <c r="F370" s="22"/>
    </row>
    <row r="371" ht="15.75" customHeight="1">
      <c r="A371" s="22"/>
      <c r="B371" s="22"/>
      <c r="C371" s="22"/>
      <c r="D371" s="22"/>
      <c r="E371" s="22"/>
      <c r="F371" s="22"/>
    </row>
    <row r="372" ht="15.75" customHeight="1">
      <c r="A372" s="22"/>
      <c r="B372" s="22"/>
      <c r="C372" s="22"/>
      <c r="D372" s="22"/>
      <c r="E372" s="22"/>
      <c r="F372" s="22"/>
    </row>
    <row r="373" ht="15.75" customHeight="1">
      <c r="A373" s="22"/>
      <c r="B373" s="22"/>
      <c r="C373" s="22"/>
      <c r="D373" s="22"/>
      <c r="E373" s="22"/>
      <c r="F373" s="22"/>
    </row>
    <row r="374" ht="15.75" customHeight="1">
      <c r="A374" s="22"/>
      <c r="B374" s="22"/>
      <c r="C374" s="22"/>
      <c r="D374" s="22"/>
      <c r="E374" s="22"/>
      <c r="F374" s="22"/>
    </row>
    <row r="375" ht="15.75" customHeight="1">
      <c r="A375" s="22"/>
      <c r="B375" s="22"/>
      <c r="C375" s="22"/>
      <c r="D375" s="22"/>
      <c r="E375" s="22"/>
      <c r="F375" s="22"/>
    </row>
    <row r="376" ht="15.75" customHeight="1">
      <c r="A376" s="22"/>
      <c r="B376" s="22"/>
      <c r="C376" s="22"/>
      <c r="D376" s="22"/>
      <c r="E376" s="22"/>
      <c r="F376" s="22"/>
    </row>
    <row r="377" ht="15.75" customHeight="1">
      <c r="A377" s="22"/>
      <c r="B377" s="22"/>
      <c r="C377" s="22"/>
      <c r="D377" s="22"/>
      <c r="E377" s="22"/>
      <c r="F377" s="22"/>
    </row>
    <row r="378" ht="15.75" customHeight="1">
      <c r="A378" s="22"/>
      <c r="B378" s="22"/>
      <c r="C378" s="22"/>
      <c r="D378" s="22"/>
      <c r="E378" s="22"/>
      <c r="F378" s="22"/>
    </row>
    <row r="379" ht="15.75" customHeight="1">
      <c r="A379" s="22"/>
      <c r="B379" s="22"/>
      <c r="C379" s="22"/>
      <c r="D379" s="22"/>
      <c r="E379" s="22"/>
      <c r="F379" s="22"/>
    </row>
    <row r="380" ht="15.75" customHeight="1">
      <c r="A380" s="22"/>
      <c r="B380" s="22"/>
      <c r="C380" s="22"/>
      <c r="D380" s="22"/>
      <c r="E380" s="22"/>
      <c r="F380" s="22"/>
    </row>
    <row r="381" ht="15.75" customHeight="1">
      <c r="A381" s="22"/>
      <c r="B381" s="22"/>
      <c r="C381" s="22"/>
      <c r="D381" s="22"/>
      <c r="E381" s="22"/>
      <c r="F381" s="22"/>
    </row>
    <row r="382" ht="15.75" customHeight="1">
      <c r="A382" s="22"/>
      <c r="B382" s="22"/>
      <c r="C382" s="22"/>
      <c r="D382" s="22"/>
      <c r="E382" s="22"/>
      <c r="F382" s="22"/>
    </row>
    <row r="383" ht="15.75" customHeight="1">
      <c r="A383" s="22"/>
      <c r="B383" s="22"/>
      <c r="C383" s="22"/>
      <c r="D383" s="22"/>
      <c r="E383" s="22"/>
      <c r="F383" s="22"/>
    </row>
    <row r="384" ht="15.75" customHeight="1">
      <c r="A384" s="22"/>
      <c r="B384" s="22"/>
      <c r="C384" s="22"/>
      <c r="D384" s="22"/>
      <c r="E384" s="22"/>
      <c r="F384" s="22"/>
    </row>
    <row r="385" ht="15.75" customHeight="1">
      <c r="A385" s="22"/>
      <c r="B385" s="22"/>
      <c r="C385" s="22"/>
      <c r="D385" s="22"/>
      <c r="E385" s="22"/>
      <c r="F385" s="22"/>
    </row>
    <row r="386" ht="15.75" customHeight="1">
      <c r="A386" s="22"/>
      <c r="B386" s="22"/>
      <c r="C386" s="22"/>
      <c r="D386" s="22"/>
      <c r="E386" s="22"/>
      <c r="F386" s="22"/>
    </row>
    <row r="387" ht="15.75" customHeight="1">
      <c r="A387" s="22"/>
      <c r="B387" s="22"/>
      <c r="C387" s="22"/>
      <c r="D387" s="22"/>
      <c r="E387" s="22"/>
      <c r="F387" s="22"/>
    </row>
    <row r="388" ht="15.75" customHeight="1">
      <c r="A388" s="22"/>
      <c r="B388" s="22"/>
      <c r="C388" s="22"/>
      <c r="D388" s="22"/>
      <c r="E388" s="22"/>
      <c r="F388" s="22"/>
    </row>
    <row r="389" ht="15.75" customHeight="1">
      <c r="A389" s="22"/>
      <c r="B389" s="22"/>
      <c r="C389" s="22"/>
      <c r="D389" s="22"/>
      <c r="E389" s="22"/>
      <c r="F389" s="22"/>
    </row>
    <row r="390" ht="15.75" customHeight="1">
      <c r="A390" s="22"/>
      <c r="B390" s="22"/>
      <c r="C390" s="22"/>
      <c r="D390" s="22"/>
      <c r="E390" s="22"/>
      <c r="F390" s="22"/>
    </row>
    <row r="391" ht="15.75" customHeight="1">
      <c r="A391" s="22"/>
      <c r="B391" s="22"/>
      <c r="C391" s="22"/>
      <c r="D391" s="22"/>
      <c r="E391" s="22"/>
      <c r="F391" s="22"/>
    </row>
    <row r="392" ht="15.75" customHeight="1">
      <c r="A392" s="22"/>
      <c r="B392" s="22"/>
      <c r="C392" s="22"/>
      <c r="D392" s="22"/>
      <c r="E392" s="22"/>
      <c r="F392" s="22"/>
    </row>
    <row r="393" ht="15.75" customHeight="1">
      <c r="A393" s="22"/>
      <c r="B393" s="22"/>
      <c r="C393" s="22"/>
      <c r="D393" s="22"/>
      <c r="E393" s="22"/>
      <c r="F393" s="22"/>
    </row>
    <row r="394" ht="15.75" customHeight="1">
      <c r="A394" s="22"/>
      <c r="B394" s="22"/>
      <c r="C394" s="22"/>
      <c r="D394" s="22"/>
      <c r="E394" s="22"/>
      <c r="F394" s="22"/>
    </row>
    <row r="395" ht="15.75" customHeight="1">
      <c r="A395" s="22"/>
      <c r="B395" s="22"/>
      <c r="C395" s="22"/>
      <c r="D395" s="22"/>
      <c r="E395" s="22"/>
      <c r="F395" s="22"/>
    </row>
    <row r="396" ht="15.75" customHeight="1">
      <c r="A396" s="22"/>
      <c r="B396" s="22"/>
      <c r="C396" s="22"/>
      <c r="D396" s="22"/>
      <c r="E396" s="22"/>
      <c r="F396" s="22"/>
    </row>
    <row r="397" ht="15.75" customHeight="1">
      <c r="A397" s="22"/>
      <c r="B397" s="22"/>
      <c r="C397" s="22"/>
      <c r="D397" s="22"/>
      <c r="E397" s="22"/>
      <c r="F397" s="22"/>
    </row>
    <row r="398" ht="15.75" customHeight="1">
      <c r="A398" s="22"/>
      <c r="B398" s="22"/>
      <c r="C398" s="22"/>
      <c r="D398" s="22"/>
      <c r="E398" s="22"/>
      <c r="F398" s="22"/>
    </row>
    <row r="399" ht="15.75" customHeight="1">
      <c r="A399" s="22"/>
      <c r="B399" s="22"/>
      <c r="C399" s="22"/>
      <c r="D399" s="22"/>
      <c r="E399" s="22"/>
      <c r="F399" s="22"/>
    </row>
    <row r="400" ht="15.75" customHeight="1">
      <c r="A400" s="22"/>
      <c r="B400" s="22"/>
      <c r="C400" s="22"/>
      <c r="D400" s="22"/>
      <c r="E400" s="22"/>
      <c r="F400" s="22"/>
    </row>
    <row r="401" ht="15.75" customHeight="1">
      <c r="A401" s="22"/>
      <c r="B401" s="22"/>
      <c r="C401" s="22"/>
      <c r="D401" s="22"/>
      <c r="E401" s="22"/>
      <c r="F401" s="22"/>
    </row>
    <row r="402" ht="15.75" customHeight="1">
      <c r="A402" s="22"/>
      <c r="B402" s="22"/>
      <c r="C402" s="22"/>
      <c r="D402" s="22"/>
      <c r="E402" s="22"/>
      <c r="F402" s="22"/>
    </row>
    <row r="403" ht="15.75" customHeight="1">
      <c r="A403" s="22"/>
      <c r="B403" s="22"/>
      <c r="C403" s="22"/>
      <c r="D403" s="22"/>
      <c r="E403" s="22"/>
      <c r="F403" s="22"/>
    </row>
    <row r="404" ht="15.75" customHeight="1">
      <c r="A404" s="22"/>
      <c r="B404" s="22"/>
      <c r="C404" s="22"/>
      <c r="D404" s="22"/>
      <c r="E404" s="22"/>
      <c r="F404" s="22"/>
    </row>
    <row r="405" ht="15.75" customHeight="1">
      <c r="A405" s="22"/>
      <c r="B405" s="22"/>
      <c r="C405" s="22"/>
      <c r="D405" s="22"/>
      <c r="E405" s="22"/>
      <c r="F405" s="22"/>
    </row>
    <row r="406" ht="15.75" customHeight="1">
      <c r="A406" s="22"/>
      <c r="B406" s="22"/>
      <c r="C406" s="22"/>
      <c r="D406" s="22"/>
      <c r="E406" s="22"/>
      <c r="F406" s="22"/>
    </row>
    <row r="407" ht="15.75" customHeight="1">
      <c r="A407" s="22"/>
      <c r="B407" s="22"/>
      <c r="C407" s="22"/>
      <c r="D407" s="22"/>
      <c r="E407" s="22"/>
      <c r="F407" s="22"/>
    </row>
    <row r="408" ht="15.75" customHeight="1">
      <c r="A408" s="22"/>
      <c r="B408" s="22"/>
      <c r="C408" s="22"/>
      <c r="D408" s="22"/>
      <c r="E408" s="22"/>
      <c r="F408" s="22"/>
    </row>
    <row r="409" ht="15.75" customHeight="1">
      <c r="A409" s="22"/>
      <c r="B409" s="22"/>
      <c r="C409" s="22"/>
      <c r="D409" s="22"/>
      <c r="E409" s="22"/>
      <c r="F409" s="22"/>
    </row>
    <row r="410" ht="15.75" customHeight="1">
      <c r="A410" s="22"/>
      <c r="B410" s="22"/>
      <c r="C410" s="22"/>
      <c r="D410" s="22"/>
      <c r="E410" s="22"/>
      <c r="F410" s="22"/>
    </row>
    <row r="411" ht="15.75" customHeight="1">
      <c r="A411" s="22"/>
      <c r="B411" s="22"/>
      <c r="C411" s="22"/>
      <c r="D411" s="22"/>
      <c r="E411" s="22"/>
      <c r="F411" s="22"/>
    </row>
    <row r="412" ht="15.75" customHeight="1">
      <c r="A412" s="22"/>
      <c r="B412" s="22"/>
      <c r="C412" s="22"/>
      <c r="D412" s="22"/>
      <c r="E412" s="22"/>
      <c r="F412" s="22"/>
    </row>
    <row r="413" ht="15.75" customHeight="1">
      <c r="A413" s="22"/>
      <c r="B413" s="22"/>
      <c r="C413" s="22"/>
      <c r="D413" s="22"/>
      <c r="E413" s="22"/>
      <c r="F413" s="22"/>
    </row>
    <row r="414" ht="15.75" customHeight="1">
      <c r="A414" s="22"/>
      <c r="B414" s="22"/>
      <c r="C414" s="22"/>
      <c r="D414" s="22"/>
      <c r="E414" s="22"/>
      <c r="F414" s="22"/>
    </row>
    <row r="415" ht="15.75" customHeight="1">
      <c r="A415" s="22"/>
      <c r="B415" s="22"/>
      <c r="C415" s="22"/>
      <c r="D415" s="22"/>
      <c r="E415" s="22"/>
      <c r="F415" s="22"/>
    </row>
    <row r="416" ht="15.75" customHeight="1">
      <c r="A416" s="22"/>
      <c r="B416" s="22"/>
      <c r="C416" s="22"/>
      <c r="D416" s="22"/>
      <c r="E416" s="22"/>
      <c r="F416" s="22"/>
    </row>
    <row r="417" ht="15.75" customHeight="1">
      <c r="A417" s="22"/>
      <c r="B417" s="22"/>
      <c r="C417" s="22"/>
      <c r="D417" s="22"/>
      <c r="E417" s="22"/>
      <c r="F417" s="22"/>
    </row>
    <row r="418" ht="15.75" customHeight="1">
      <c r="A418" s="22"/>
      <c r="B418" s="22"/>
      <c r="C418" s="22"/>
      <c r="D418" s="22"/>
      <c r="E418" s="22"/>
      <c r="F418" s="22"/>
    </row>
    <row r="419" ht="15.75" customHeight="1">
      <c r="A419" s="22"/>
      <c r="B419" s="22"/>
      <c r="C419" s="22"/>
      <c r="D419" s="22"/>
      <c r="E419" s="22"/>
      <c r="F419" s="22"/>
    </row>
    <row r="420" ht="15.75" customHeight="1">
      <c r="A420" s="22"/>
      <c r="B420" s="22"/>
      <c r="C420" s="22"/>
      <c r="D420" s="22"/>
      <c r="E420" s="22"/>
      <c r="F420" s="22"/>
    </row>
    <row r="421" ht="15.75" customHeight="1">
      <c r="A421" s="22"/>
      <c r="B421" s="22"/>
      <c r="C421" s="22"/>
      <c r="D421" s="22"/>
      <c r="E421" s="22"/>
      <c r="F421" s="22"/>
    </row>
    <row r="422" ht="15.75" customHeight="1">
      <c r="A422" s="22"/>
      <c r="B422" s="22"/>
      <c r="C422" s="22"/>
      <c r="D422" s="22"/>
      <c r="E422" s="22"/>
      <c r="F422" s="22"/>
    </row>
    <row r="423" ht="15.75" customHeight="1">
      <c r="A423" s="22"/>
      <c r="B423" s="22"/>
      <c r="C423" s="22"/>
      <c r="D423" s="22"/>
      <c r="E423" s="22"/>
      <c r="F423" s="22"/>
    </row>
    <row r="424" ht="15.75" customHeight="1">
      <c r="A424" s="22"/>
      <c r="B424" s="22"/>
      <c r="C424" s="22"/>
      <c r="D424" s="22"/>
      <c r="E424" s="22"/>
      <c r="F424" s="22"/>
    </row>
    <row r="425" ht="15.75" customHeight="1">
      <c r="A425" s="22"/>
      <c r="B425" s="22"/>
      <c r="C425" s="22"/>
      <c r="D425" s="22"/>
      <c r="E425" s="22"/>
      <c r="F425" s="22"/>
    </row>
    <row r="426" ht="15.75" customHeight="1">
      <c r="A426" s="22"/>
      <c r="B426" s="22"/>
      <c r="C426" s="22"/>
      <c r="D426" s="22"/>
      <c r="E426" s="22"/>
      <c r="F426" s="22"/>
    </row>
    <row r="427" ht="15.75" customHeight="1">
      <c r="A427" s="22"/>
      <c r="B427" s="22"/>
      <c r="C427" s="22"/>
      <c r="D427" s="22"/>
      <c r="E427" s="22"/>
      <c r="F427" s="22"/>
    </row>
    <row r="428" ht="15.75" customHeight="1">
      <c r="A428" s="22"/>
      <c r="B428" s="22"/>
      <c r="C428" s="22"/>
      <c r="D428" s="22"/>
      <c r="E428" s="22"/>
      <c r="F428" s="22"/>
    </row>
    <row r="429" ht="15.75" customHeight="1">
      <c r="A429" s="22"/>
      <c r="B429" s="22"/>
      <c r="C429" s="22"/>
      <c r="D429" s="22"/>
      <c r="E429" s="22"/>
      <c r="F429" s="22"/>
    </row>
    <row r="430" ht="15.75" customHeight="1">
      <c r="A430" s="22"/>
      <c r="B430" s="22"/>
      <c r="C430" s="22"/>
      <c r="D430" s="22"/>
      <c r="E430" s="22"/>
      <c r="F430" s="22"/>
    </row>
    <row r="431" ht="15.75" customHeight="1">
      <c r="A431" s="22"/>
      <c r="B431" s="22"/>
      <c r="C431" s="22"/>
      <c r="D431" s="22"/>
      <c r="E431" s="22"/>
      <c r="F431" s="22"/>
    </row>
    <row r="432" ht="15.75" customHeight="1">
      <c r="A432" s="22"/>
      <c r="B432" s="22"/>
      <c r="C432" s="22"/>
      <c r="D432" s="22"/>
      <c r="E432" s="22"/>
      <c r="F432" s="22"/>
    </row>
    <row r="433" ht="15.75" customHeight="1">
      <c r="A433" s="22"/>
      <c r="B433" s="22"/>
      <c r="C433" s="22"/>
      <c r="D433" s="22"/>
      <c r="E433" s="22"/>
      <c r="F433" s="22"/>
    </row>
    <row r="434" ht="15.75" customHeight="1">
      <c r="A434" s="22"/>
      <c r="B434" s="22"/>
      <c r="C434" s="22"/>
      <c r="D434" s="22"/>
      <c r="E434" s="22"/>
      <c r="F434" s="22"/>
    </row>
    <row r="435" ht="15.75" customHeight="1">
      <c r="A435" s="22"/>
      <c r="B435" s="22"/>
      <c r="C435" s="22"/>
      <c r="D435" s="22"/>
      <c r="E435" s="22"/>
      <c r="F435" s="22"/>
    </row>
    <row r="436" ht="15.75" customHeight="1">
      <c r="A436" s="22"/>
      <c r="B436" s="22"/>
      <c r="C436" s="22"/>
      <c r="D436" s="22"/>
      <c r="E436" s="22"/>
      <c r="F436" s="22"/>
    </row>
    <row r="437" ht="15.75" customHeight="1">
      <c r="A437" s="22"/>
      <c r="B437" s="22"/>
      <c r="C437" s="22"/>
      <c r="D437" s="22"/>
      <c r="E437" s="22"/>
      <c r="F437" s="22"/>
    </row>
    <row r="438" ht="15.75" customHeight="1">
      <c r="A438" s="22"/>
      <c r="B438" s="22"/>
      <c r="C438" s="22"/>
      <c r="D438" s="22"/>
      <c r="E438" s="22"/>
      <c r="F438" s="22"/>
    </row>
    <row r="439" ht="15.75" customHeight="1">
      <c r="A439" s="22"/>
      <c r="B439" s="22"/>
      <c r="C439" s="22"/>
      <c r="D439" s="22"/>
      <c r="E439" s="22"/>
      <c r="F439" s="22"/>
    </row>
    <row r="440" ht="15.75" customHeight="1">
      <c r="A440" s="22"/>
      <c r="B440" s="22"/>
      <c r="C440" s="22"/>
      <c r="D440" s="22"/>
      <c r="E440" s="22"/>
      <c r="F440" s="22"/>
    </row>
    <row r="441" ht="15.75" customHeight="1">
      <c r="A441" s="22"/>
      <c r="B441" s="22"/>
      <c r="C441" s="22"/>
      <c r="D441" s="22"/>
      <c r="E441" s="22"/>
      <c r="F441" s="22"/>
    </row>
    <row r="442" ht="15.75" customHeight="1">
      <c r="A442" s="22"/>
      <c r="B442" s="22"/>
      <c r="C442" s="22"/>
      <c r="D442" s="22"/>
      <c r="E442" s="22"/>
      <c r="F442" s="22"/>
    </row>
    <row r="443" ht="15.75" customHeight="1">
      <c r="A443" s="22"/>
      <c r="B443" s="22"/>
      <c r="C443" s="22"/>
      <c r="D443" s="22"/>
      <c r="E443" s="22"/>
      <c r="F443" s="22"/>
    </row>
    <row r="444" ht="15.75" customHeight="1">
      <c r="A444" s="22"/>
      <c r="B444" s="22"/>
      <c r="C444" s="22"/>
      <c r="D444" s="22"/>
      <c r="E444" s="22"/>
      <c r="F444" s="22"/>
    </row>
    <row r="445" ht="15.75" customHeight="1">
      <c r="A445" s="22"/>
      <c r="B445" s="22"/>
      <c r="C445" s="22"/>
      <c r="D445" s="22"/>
      <c r="E445" s="22"/>
      <c r="F445" s="22"/>
    </row>
    <row r="446" ht="15.75" customHeight="1">
      <c r="A446" s="22"/>
      <c r="B446" s="22"/>
      <c r="C446" s="22"/>
      <c r="D446" s="22"/>
      <c r="E446" s="22"/>
      <c r="F446" s="22"/>
    </row>
    <row r="447" ht="15.75" customHeight="1">
      <c r="A447" s="22"/>
      <c r="B447" s="22"/>
      <c r="C447" s="22"/>
      <c r="D447" s="22"/>
      <c r="E447" s="22"/>
      <c r="F447" s="22"/>
    </row>
    <row r="448" ht="15.75" customHeight="1">
      <c r="A448" s="22"/>
      <c r="B448" s="22"/>
      <c r="C448" s="22"/>
      <c r="D448" s="22"/>
      <c r="E448" s="22"/>
      <c r="F448" s="22"/>
    </row>
    <row r="449" ht="15.75" customHeight="1">
      <c r="A449" s="22"/>
      <c r="B449" s="22"/>
      <c r="C449" s="22"/>
      <c r="D449" s="22"/>
      <c r="E449" s="22"/>
      <c r="F449" s="22"/>
    </row>
    <row r="450" ht="15.75" customHeight="1">
      <c r="A450" s="22"/>
      <c r="B450" s="22"/>
      <c r="C450" s="22"/>
      <c r="D450" s="22"/>
      <c r="E450" s="22"/>
      <c r="F450" s="22"/>
    </row>
    <row r="451" ht="15.75" customHeight="1">
      <c r="A451" s="22"/>
      <c r="B451" s="22"/>
      <c r="C451" s="22"/>
      <c r="D451" s="22"/>
      <c r="E451" s="22"/>
      <c r="F451" s="22"/>
    </row>
    <row r="452" ht="15.75" customHeight="1">
      <c r="A452" s="22"/>
      <c r="B452" s="22"/>
      <c r="C452" s="22"/>
      <c r="D452" s="22"/>
      <c r="E452" s="22"/>
      <c r="F452" s="22"/>
    </row>
    <row r="453" ht="15.75" customHeight="1">
      <c r="A453" s="22"/>
      <c r="B453" s="22"/>
      <c r="C453" s="22"/>
      <c r="D453" s="22"/>
      <c r="E453" s="22"/>
      <c r="F453" s="22"/>
    </row>
    <row r="454" ht="15.75" customHeight="1">
      <c r="A454" s="22"/>
      <c r="B454" s="22"/>
      <c r="C454" s="22"/>
      <c r="D454" s="22"/>
      <c r="E454" s="22"/>
      <c r="F454" s="22"/>
    </row>
    <row r="455" ht="15.75" customHeight="1">
      <c r="A455" s="22"/>
      <c r="B455" s="22"/>
      <c r="C455" s="22"/>
      <c r="D455" s="22"/>
      <c r="E455" s="22"/>
      <c r="F455" s="22"/>
    </row>
    <row r="456" ht="15.75" customHeight="1">
      <c r="A456" s="22"/>
      <c r="B456" s="22"/>
      <c r="C456" s="22"/>
      <c r="D456" s="22"/>
      <c r="E456" s="22"/>
      <c r="F456" s="22"/>
    </row>
    <row r="457" ht="15.75" customHeight="1">
      <c r="A457" s="22"/>
      <c r="B457" s="22"/>
      <c r="C457" s="22"/>
      <c r="D457" s="22"/>
      <c r="E457" s="22"/>
      <c r="F457" s="22"/>
    </row>
    <row r="458" ht="15.75" customHeight="1">
      <c r="A458" s="22"/>
      <c r="B458" s="22"/>
      <c r="C458" s="22"/>
      <c r="D458" s="22"/>
      <c r="E458" s="22"/>
      <c r="F458" s="22"/>
    </row>
    <row r="459" ht="15.75" customHeight="1">
      <c r="A459" s="22"/>
      <c r="B459" s="22"/>
      <c r="C459" s="22"/>
      <c r="D459" s="22"/>
      <c r="E459" s="22"/>
      <c r="F459" s="22"/>
    </row>
    <row r="460" ht="15.75" customHeight="1">
      <c r="A460" s="22"/>
      <c r="B460" s="22"/>
      <c r="C460" s="22"/>
      <c r="D460" s="22"/>
      <c r="E460" s="22"/>
      <c r="F460" s="22"/>
    </row>
    <row r="461" ht="15.75" customHeight="1">
      <c r="A461" s="22"/>
      <c r="B461" s="22"/>
      <c r="C461" s="22"/>
      <c r="D461" s="22"/>
      <c r="E461" s="22"/>
      <c r="F461" s="22"/>
    </row>
    <row r="462" ht="15.75" customHeight="1">
      <c r="A462" s="22"/>
      <c r="B462" s="22"/>
      <c r="C462" s="22"/>
      <c r="D462" s="22"/>
      <c r="E462" s="22"/>
      <c r="F462" s="22"/>
    </row>
    <row r="463" ht="15.75" customHeight="1">
      <c r="A463" s="22"/>
      <c r="B463" s="22"/>
      <c r="C463" s="22"/>
      <c r="D463" s="22"/>
      <c r="E463" s="22"/>
      <c r="F463" s="22"/>
    </row>
    <row r="464" ht="15.75" customHeight="1">
      <c r="A464" s="22"/>
      <c r="B464" s="22"/>
      <c r="C464" s="22"/>
      <c r="D464" s="22"/>
      <c r="E464" s="22"/>
      <c r="F464" s="22"/>
    </row>
    <row r="465" ht="15.75" customHeight="1">
      <c r="A465" s="22"/>
      <c r="B465" s="22"/>
      <c r="C465" s="22"/>
      <c r="D465" s="22"/>
      <c r="E465" s="22"/>
      <c r="F465" s="22"/>
    </row>
    <row r="466" ht="15.75" customHeight="1">
      <c r="A466" s="22"/>
      <c r="B466" s="22"/>
      <c r="C466" s="22"/>
      <c r="D466" s="22"/>
      <c r="E466" s="22"/>
      <c r="F466" s="22"/>
    </row>
    <row r="467" ht="15.75" customHeight="1">
      <c r="A467" s="22"/>
      <c r="B467" s="22"/>
      <c r="C467" s="22"/>
      <c r="D467" s="22"/>
      <c r="E467" s="22"/>
      <c r="F467" s="22"/>
    </row>
    <row r="468" ht="15.75" customHeight="1">
      <c r="A468" s="22"/>
      <c r="B468" s="22"/>
      <c r="C468" s="22"/>
      <c r="D468" s="22"/>
      <c r="E468" s="22"/>
      <c r="F468" s="22"/>
    </row>
    <row r="469" ht="15.75" customHeight="1">
      <c r="A469" s="22"/>
      <c r="B469" s="22"/>
      <c r="C469" s="22"/>
      <c r="D469" s="22"/>
      <c r="E469" s="22"/>
      <c r="F469" s="22"/>
    </row>
    <row r="470" ht="15.75" customHeight="1">
      <c r="A470" s="22"/>
      <c r="B470" s="22"/>
      <c r="C470" s="22"/>
      <c r="D470" s="22"/>
      <c r="E470" s="22"/>
      <c r="F470" s="22"/>
    </row>
    <row r="471" ht="15.75" customHeight="1">
      <c r="A471" s="22"/>
      <c r="B471" s="22"/>
      <c r="C471" s="22"/>
      <c r="D471" s="22"/>
      <c r="E471" s="22"/>
      <c r="F471" s="22"/>
    </row>
    <row r="472" ht="15.75" customHeight="1">
      <c r="A472" s="22"/>
      <c r="B472" s="22"/>
      <c r="C472" s="22"/>
      <c r="D472" s="22"/>
      <c r="E472" s="22"/>
      <c r="F472" s="22"/>
    </row>
    <row r="473" ht="15.75" customHeight="1">
      <c r="A473" s="22"/>
      <c r="B473" s="22"/>
      <c r="C473" s="22"/>
      <c r="D473" s="22"/>
      <c r="E473" s="22"/>
      <c r="F473" s="22"/>
    </row>
    <row r="474" ht="15.75" customHeight="1">
      <c r="A474" s="22"/>
      <c r="B474" s="22"/>
      <c r="C474" s="22"/>
      <c r="D474" s="22"/>
      <c r="E474" s="22"/>
      <c r="F474" s="22"/>
    </row>
    <row r="475" ht="15.75" customHeight="1">
      <c r="A475" s="22"/>
      <c r="B475" s="22"/>
      <c r="C475" s="22"/>
      <c r="D475" s="22"/>
      <c r="E475" s="22"/>
      <c r="F475" s="22"/>
    </row>
    <row r="476" ht="15.75" customHeight="1">
      <c r="A476" s="22"/>
      <c r="B476" s="22"/>
      <c r="C476" s="22"/>
      <c r="D476" s="22"/>
      <c r="E476" s="22"/>
      <c r="F476" s="22"/>
    </row>
    <row r="477" ht="15.75" customHeight="1">
      <c r="A477" s="22"/>
      <c r="B477" s="22"/>
      <c r="C477" s="22"/>
      <c r="D477" s="22"/>
      <c r="E477" s="22"/>
      <c r="F477" s="22"/>
    </row>
    <row r="478" ht="15.75" customHeight="1">
      <c r="A478" s="22"/>
      <c r="B478" s="22"/>
      <c r="C478" s="22"/>
      <c r="D478" s="22"/>
      <c r="E478" s="22"/>
      <c r="F478" s="22"/>
    </row>
    <row r="479" ht="15.75" customHeight="1">
      <c r="A479" s="22"/>
      <c r="B479" s="22"/>
      <c r="C479" s="22"/>
      <c r="D479" s="22"/>
      <c r="E479" s="22"/>
      <c r="F479" s="22"/>
    </row>
    <row r="480" ht="15.75" customHeight="1">
      <c r="A480" s="22"/>
      <c r="B480" s="22"/>
      <c r="C480" s="22"/>
      <c r="D480" s="22"/>
      <c r="E480" s="22"/>
      <c r="F480" s="22"/>
    </row>
    <row r="481" ht="15.75" customHeight="1">
      <c r="A481" s="22"/>
      <c r="B481" s="22"/>
      <c r="C481" s="22"/>
      <c r="D481" s="22"/>
      <c r="E481" s="22"/>
      <c r="F481" s="22"/>
    </row>
    <row r="482" ht="15.75" customHeight="1">
      <c r="A482" s="22"/>
      <c r="B482" s="22"/>
      <c r="C482" s="22"/>
      <c r="D482" s="22"/>
      <c r="E482" s="22"/>
      <c r="F482" s="22"/>
    </row>
    <row r="483" ht="15.75" customHeight="1">
      <c r="A483" s="22"/>
      <c r="B483" s="22"/>
      <c r="C483" s="22"/>
      <c r="D483" s="22"/>
      <c r="E483" s="22"/>
      <c r="F483" s="22"/>
    </row>
    <row r="484" ht="15.75" customHeight="1">
      <c r="A484" s="22"/>
      <c r="B484" s="22"/>
      <c r="C484" s="22"/>
      <c r="D484" s="22"/>
      <c r="E484" s="22"/>
      <c r="F484" s="22"/>
    </row>
    <row r="485" ht="15.75" customHeight="1">
      <c r="A485" s="22"/>
      <c r="B485" s="22"/>
      <c r="C485" s="22"/>
      <c r="D485" s="22"/>
      <c r="E485" s="22"/>
      <c r="F485" s="22"/>
    </row>
    <row r="486" ht="15.75" customHeight="1">
      <c r="A486" s="22"/>
      <c r="B486" s="22"/>
      <c r="C486" s="22"/>
      <c r="D486" s="22"/>
      <c r="E486" s="22"/>
      <c r="F486" s="22"/>
    </row>
    <row r="487" ht="15.75" customHeight="1">
      <c r="A487" s="22"/>
      <c r="B487" s="22"/>
      <c r="C487" s="22"/>
      <c r="D487" s="22"/>
      <c r="E487" s="22"/>
      <c r="F487" s="22"/>
    </row>
    <row r="488" ht="15.75" customHeight="1">
      <c r="A488" s="22"/>
      <c r="B488" s="22"/>
      <c r="C488" s="22"/>
      <c r="D488" s="22"/>
      <c r="E488" s="22"/>
      <c r="F488" s="22"/>
    </row>
    <row r="489" ht="15.75" customHeight="1">
      <c r="A489" s="22"/>
      <c r="B489" s="22"/>
      <c r="C489" s="22"/>
      <c r="D489" s="22"/>
      <c r="E489" s="22"/>
      <c r="F489" s="22"/>
    </row>
    <row r="490" ht="15.75" customHeight="1">
      <c r="A490" s="22"/>
      <c r="B490" s="22"/>
      <c r="C490" s="22"/>
      <c r="D490" s="22"/>
      <c r="E490" s="22"/>
      <c r="F490" s="22"/>
    </row>
    <row r="491" ht="15.75" customHeight="1">
      <c r="A491" s="22"/>
      <c r="B491" s="22"/>
      <c r="C491" s="22"/>
      <c r="D491" s="22"/>
      <c r="E491" s="22"/>
      <c r="F491" s="22"/>
    </row>
    <row r="492" ht="15.75" customHeight="1">
      <c r="A492" s="22"/>
      <c r="B492" s="22"/>
      <c r="C492" s="22"/>
      <c r="D492" s="22"/>
      <c r="E492" s="22"/>
      <c r="F492" s="22"/>
    </row>
    <row r="493" ht="15.75" customHeight="1">
      <c r="A493" s="22"/>
      <c r="B493" s="22"/>
      <c r="C493" s="22"/>
      <c r="D493" s="22"/>
      <c r="E493" s="22"/>
      <c r="F493" s="22"/>
    </row>
    <row r="494" ht="15.75" customHeight="1">
      <c r="A494" s="22"/>
      <c r="B494" s="22"/>
      <c r="C494" s="22"/>
      <c r="D494" s="22"/>
      <c r="E494" s="22"/>
      <c r="F494" s="22"/>
    </row>
    <row r="495" ht="15.75" customHeight="1">
      <c r="A495" s="22"/>
      <c r="B495" s="22"/>
      <c r="C495" s="22"/>
      <c r="D495" s="22"/>
      <c r="E495" s="22"/>
      <c r="F495" s="22"/>
    </row>
    <row r="496" ht="15.75" customHeight="1">
      <c r="A496" s="22"/>
      <c r="B496" s="22"/>
      <c r="C496" s="22"/>
      <c r="D496" s="22"/>
      <c r="E496" s="22"/>
      <c r="F496" s="22"/>
    </row>
    <row r="497" ht="15.75" customHeight="1">
      <c r="A497" s="22"/>
      <c r="B497" s="22"/>
      <c r="C497" s="22"/>
      <c r="D497" s="22"/>
      <c r="E497" s="22"/>
      <c r="F497" s="22"/>
    </row>
    <row r="498" ht="15.75" customHeight="1">
      <c r="A498" s="22"/>
      <c r="B498" s="22"/>
      <c r="C498" s="22"/>
      <c r="D498" s="22"/>
      <c r="E498" s="22"/>
      <c r="F498" s="22"/>
    </row>
    <row r="499" ht="15.75" customHeight="1">
      <c r="A499" s="22"/>
      <c r="B499" s="22"/>
      <c r="C499" s="22"/>
      <c r="D499" s="22"/>
      <c r="E499" s="22"/>
      <c r="F499" s="22"/>
    </row>
    <row r="500" ht="15.75" customHeight="1">
      <c r="A500" s="22"/>
      <c r="B500" s="22"/>
      <c r="C500" s="22"/>
      <c r="D500" s="22"/>
      <c r="E500" s="22"/>
      <c r="F500" s="22"/>
    </row>
    <row r="501" ht="15.75" customHeight="1">
      <c r="A501" s="22"/>
      <c r="B501" s="22"/>
      <c r="C501" s="22"/>
      <c r="D501" s="22"/>
      <c r="E501" s="22"/>
      <c r="F501" s="22"/>
    </row>
    <row r="502" ht="15.75" customHeight="1">
      <c r="A502" s="22"/>
      <c r="B502" s="22"/>
      <c r="C502" s="22"/>
      <c r="D502" s="22"/>
      <c r="E502" s="22"/>
      <c r="F502" s="22"/>
    </row>
    <row r="503" ht="15.75" customHeight="1">
      <c r="A503" s="22"/>
      <c r="B503" s="22"/>
      <c r="C503" s="22"/>
      <c r="D503" s="22"/>
      <c r="E503" s="22"/>
      <c r="F503" s="22"/>
    </row>
    <row r="504" ht="15.75" customHeight="1">
      <c r="A504" s="22"/>
      <c r="B504" s="22"/>
      <c r="C504" s="22"/>
      <c r="D504" s="22"/>
      <c r="E504" s="22"/>
      <c r="F504" s="22"/>
    </row>
    <row r="505" ht="15.75" customHeight="1">
      <c r="A505" s="22"/>
      <c r="B505" s="22"/>
      <c r="C505" s="22"/>
      <c r="D505" s="22"/>
      <c r="E505" s="22"/>
      <c r="F505" s="22"/>
    </row>
    <row r="506" ht="15.75" customHeight="1">
      <c r="A506" s="22"/>
      <c r="B506" s="22"/>
      <c r="C506" s="22"/>
      <c r="D506" s="22"/>
      <c r="E506" s="22"/>
      <c r="F506" s="22"/>
    </row>
    <row r="507" ht="15.75" customHeight="1">
      <c r="A507" s="22"/>
      <c r="B507" s="22"/>
      <c r="C507" s="22"/>
      <c r="D507" s="22"/>
      <c r="E507" s="22"/>
      <c r="F507" s="22"/>
    </row>
    <row r="508" ht="15.75" customHeight="1">
      <c r="A508" s="22"/>
      <c r="B508" s="22"/>
      <c r="C508" s="22"/>
      <c r="D508" s="22"/>
      <c r="E508" s="22"/>
      <c r="F508" s="22"/>
    </row>
    <row r="509" ht="15.75" customHeight="1">
      <c r="A509" s="22"/>
      <c r="B509" s="22"/>
      <c r="C509" s="22"/>
      <c r="D509" s="22"/>
      <c r="E509" s="22"/>
      <c r="F509" s="22"/>
    </row>
    <row r="510" ht="15.75" customHeight="1">
      <c r="A510" s="22"/>
      <c r="B510" s="22"/>
      <c r="C510" s="22"/>
      <c r="D510" s="22"/>
      <c r="E510" s="22"/>
      <c r="F510" s="22"/>
    </row>
    <row r="511" ht="15.75" customHeight="1">
      <c r="A511" s="22"/>
      <c r="B511" s="22"/>
      <c r="C511" s="22"/>
      <c r="D511" s="22"/>
      <c r="E511" s="22"/>
      <c r="F511" s="22"/>
    </row>
    <row r="512" ht="15.75" customHeight="1">
      <c r="A512" s="22"/>
      <c r="B512" s="22"/>
      <c r="C512" s="22"/>
      <c r="D512" s="22"/>
      <c r="E512" s="22"/>
      <c r="F512" s="22"/>
    </row>
    <row r="513" ht="15.75" customHeight="1">
      <c r="A513" s="22"/>
      <c r="B513" s="22"/>
      <c r="C513" s="22"/>
      <c r="D513" s="22"/>
      <c r="E513" s="22"/>
      <c r="F513" s="22"/>
    </row>
    <row r="514" ht="15.75" customHeight="1">
      <c r="A514" s="22"/>
      <c r="B514" s="22"/>
      <c r="C514" s="22"/>
      <c r="D514" s="22"/>
      <c r="E514" s="22"/>
      <c r="F514" s="22"/>
    </row>
    <row r="515" ht="15.75" customHeight="1">
      <c r="A515" s="22"/>
      <c r="B515" s="22"/>
      <c r="C515" s="22"/>
      <c r="D515" s="22"/>
      <c r="E515" s="22"/>
      <c r="F515" s="22"/>
    </row>
    <row r="516" ht="15.75" customHeight="1">
      <c r="A516" s="22"/>
      <c r="B516" s="22"/>
      <c r="C516" s="22"/>
      <c r="D516" s="22"/>
      <c r="E516" s="22"/>
      <c r="F516" s="22"/>
    </row>
    <row r="517" ht="15.75" customHeight="1">
      <c r="A517" s="22"/>
      <c r="B517" s="22"/>
      <c r="C517" s="22"/>
      <c r="D517" s="22"/>
      <c r="E517" s="22"/>
      <c r="F517" s="22"/>
    </row>
    <row r="518" ht="15.75" customHeight="1">
      <c r="A518" s="22"/>
      <c r="B518" s="22"/>
      <c r="C518" s="22"/>
      <c r="D518" s="22"/>
      <c r="E518" s="22"/>
      <c r="F518" s="22"/>
    </row>
    <row r="519" ht="15.75" customHeight="1">
      <c r="A519" s="22"/>
      <c r="B519" s="22"/>
      <c r="C519" s="22"/>
      <c r="D519" s="22"/>
      <c r="E519" s="22"/>
      <c r="F519" s="22"/>
    </row>
    <row r="520" ht="15.75" customHeight="1">
      <c r="A520" s="22"/>
      <c r="B520" s="22"/>
      <c r="C520" s="22"/>
      <c r="D520" s="22"/>
      <c r="E520" s="22"/>
      <c r="F520" s="22"/>
    </row>
    <row r="521" ht="15.75" customHeight="1">
      <c r="A521" s="22"/>
      <c r="B521" s="22"/>
      <c r="C521" s="22"/>
      <c r="D521" s="22"/>
      <c r="E521" s="22"/>
      <c r="F521" s="22"/>
    </row>
    <row r="522" ht="15.75" customHeight="1">
      <c r="A522" s="22"/>
      <c r="B522" s="22"/>
      <c r="C522" s="22"/>
      <c r="D522" s="22"/>
      <c r="E522" s="22"/>
      <c r="F522" s="22"/>
    </row>
    <row r="523" ht="15.75" customHeight="1">
      <c r="A523" s="22"/>
      <c r="B523" s="22"/>
      <c r="C523" s="22"/>
      <c r="D523" s="22"/>
      <c r="E523" s="22"/>
      <c r="F523" s="22"/>
    </row>
    <row r="524" ht="15.75" customHeight="1">
      <c r="A524" s="22"/>
      <c r="B524" s="22"/>
      <c r="C524" s="22"/>
      <c r="D524" s="22"/>
      <c r="E524" s="22"/>
      <c r="F524" s="22"/>
    </row>
    <row r="525" ht="15.75" customHeight="1">
      <c r="A525" s="22"/>
      <c r="B525" s="22"/>
      <c r="C525" s="22"/>
      <c r="D525" s="22"/>
      <c r="E525" s="22"/>
      <c r="F525" s="22"/>
    </row>
    <row r="526" ht="15.75" customHeight="1">
      <c r="A526" s="22"/>
      <c r="B526" s="22"/>
      <c r="C526" s="22"/>
      <c r="D526" s="22"/>
      <c r="E526" s="22"/>
      <c r="F526" s="22"/>
    </row>
    <row r="527" ht="15.75" customHeight="1">
      <c r="A527" s="22"/>
      <c r="B527" s="22"/>
      <c r="C527" s="22"/>
      <c r="D527" s="22"/>
      <c r="E527" s="22"/>
      <c r="F527" s="22"/>
    </row>
    <row r="528" ht="15.75" customHeight="1">
      <c r="A528" s="22"/>
      <c r="B528" s="22"/>
      <c r="C528" s="22"/>
      <c r="D528" s="22"/>
      <c r="E528" s="22"/>
      <c r="F528" s="22"/>
    </row>
    <row r="529" ht="15.75" customHeight="1">
      <c r="A529" s="22"/>
      <c r="B529" s="22"/>
      <c r="C529" s="22"/>
      <c r="D529" s="22"/>
      <c r="E529" s="22"/>
      <c r="F529" s="22"/>
    </row>
    <row r="530" ht="15.75" customHeight="1">
      <c r="A530" s="22"/>
      <c r="B530" s="22"/>
      <c r="C530" s="22"/>
      <c r="D530" s="22"/>
      <c r="E530" s="22"/>
      <c r="F530" s="22"/>
    </row>
    <row r="531" ht="15.75" customHeight="1">
      <c r="A531" s="22"/>
      <c r="B531" s="22"/>
      <c r="C531" s="22"/>
      <c r="D531" s="22"/>
      <c r="E531" s="22"/>
      <c r="F531" s="22"/>
    </row>
    <row r="532" ht="15.75" customHeight="1">
      <c r="A532" s="22"/>
      <c r="B532" s="22"/>
      <c r="C532" s="22"/>
      <c r="D532" s="22"/>
      <c r="E532" s="22"/>
      <c r="F532" s="22"/>
    </row>
    <row r="533" ht="15.75" customHeight="1">
      <c r="A533" s="22"/>
      <c r="B533" s="22"/>
      <c r="C533" s="22"/>
      <c r="D533" s="22"/>
      <c r="E533" s="22"/>
      <c r="F533" s="22"/>
    </row>
    <row r="534" ht="15.75" customHeight="1">
      <c r="A534" s="22"/>
      <c r="B534" s="22"/>
      <c r="C534" s="22"/>
      <c r="D534" s="22"/>
      <c r="E534" s="22"/>
      <c r="F534" s="22"/>
    </row>
    <row r="535" ht="15.75" customHeight="1">
      <c r="A535" s="22"/>
      <c r="B535" s="22"/>
      <c r="C535" s="22"/>
      <c r="D535" s="22"/>
      <c r="E535" s="22"/>
      <c r="F535" s="22"/>
    </row>
    <row r="536" ht="15.75" customHeight="1">
      <c r="A536" s="22"/>
      <c r="B536" s="22"/>
      <c r="C536" s="22"/>
      <c r="D536" s="22"/>
      <c r="E536" s="22"/>
      <c r="F536" s="22"/>
    </row>
    <row r="537" ht="15.75" customHeight="1">
      <c r="A537" s="22"/>
      <c r="B537" s="22"/>
      <c r="C537" s="22"/>
      <c r="D537" s="22"/>
      <c r="E537" s="22"/>
      <c r="F537" s="22"/>
    </row>
    <row r="538" ht="15.75" customHeight="1">
      <c r="A538" s="22"/>
      <c r="B538" s="22"/>
      <c r="C538" s="22"/>
      <c r="D538" s="22"/>
      <c r="E538" s="22"/>
      <c r="F538" s="22"/>
    </row>
    <row r="539" ht="15.75" customHeight="1">
      <c r="A539" s="22"/>
      <c r="B539" s="22"/>
      <c r="C539" s="22"/>
      <c r="D539" s="22"/>
      <c r="E539" s="22"/>
      <c r="F539" s="22"/>
    </row>
    <row r="540" ht="15.75" customHeight="1">
      <c r="A540" s="22"/>
      <c r="B540" s="22"/>
      <c r="C540" s="22"/>
      <c r="D540" s="22"/>
      <c r="E540" s="22"/>
      <c r="F540" s="22"/>
    </row>
    <row r="541" ht="15.75" customHeight="1">
      <c r="A541" s="22"/>
      <c r="B541" s="22"/>
      <c r="C541" s="22"/>
      <c r="D541" s="22"/>
      <c r="E541" s="22"/>
      <c r="F541" s="22"/>
    </row>
    <row r="542" ht="15.75" customHeight="1">
      <c r="A542" s="22"/>
      <c r="B542" s="22"/>
      <c r="C542" s="22"/>
      <c r="D542" s="22"/>
      <c r="E542" s="22"/>
      <c r="F542" s="22"/>
    </row>
    <row r="543" ht="15.75" customHeight="1">
      <c r="A543" s="22"/>
      <c r="B543" s="22"/>
      <c r="C543" s="22"/>
      <c r="D543" s="22"/>
      <c r="E543" s="22"/>
      <c r="F543" s="22"/>
    </row>
    <row r="544" ht="15.75" customHeight="1">
      <c r="A544" s="22"/>
      <c r="B544" s="22"/>
      <c r="C544" s="22"/>
      <c r="D544" s="22"/>
      <c r="E544" s="22"/>
      <c r="F544" s="22"/>
    </row>
    <row r="545" ht="15.75" customHeight="1">
      <c r="A545" s="22"/>
      <c r="B545" s="22"/>
      <c r="C545" s="22"/>
      <c r="D545" s="22"/>
      <c r="E545" s="22"/>
      <c r="F545" s="22"/>
    </row>
    <row r="546" ht="15.75" customHeight="1">
      <c r="A546" s="22"/>
      <c r="B546" s="22"/>
      <c r="C546" s="22"/>
      <c r="D546" s="22"/>
      <c r="E546" s="22"/>
      <c r="F546" s="22"/>
    </row>
    <row r="547" ht="15.75" customHeight="1">
      <c r="A547" s="22"/>
      <c r="B547" s="22"/>
      <c r="C547" s="22"/>
      <c r="D547" s="22"/>
      <c r="E547" s="22"/>
      <c r="F547" s="22"/>
    </row>
    <row r="548" ht="15.75" customHeight="1">
      <c r="A548" s="22"/>
      <c r="B548" s="22"/>
      <c r="C548" s="22"/>
      <c r="D548" s="22"/>
      <c r="E548" s="22"/>
      <c r="F548" s="22"/>
    </row>
    <row r="549" ht="15.75" customHeight="1">
      <c r="A549" s="22"/>
      <c r="B549" s="22"/>
      <c r="C549" s="22"/>
      <c r="D549" s="22"/>
      <c r="E549" s="22"/>
      <c r="F549" s="22"/>
    </row>
    <row r="550" ht="15.75" customHeight="1">
      <c r="A550" s="22"/>
      <c r="B550" s="22"/>
      <c r="C550" s="22"/>
      <c r="D550" s="22"/>
      <c r="E550" s="22"/>
      <c r="F550" s="22"/>
    </row>
    <row r="551" ht="15.75" customHeight="1">
      <c r="A551" s="22"/>
      <c r="B551" s="22"/>
      <c r="C551" s="22"/>
      <c r="D551" s="22"/>
      <c r="E551" s="22"/>
      <c r="F551" s="22"/>
    </row>
    <row r="552" ht="15.75" customHeight="1">
      <c r="A552" s="22"/>
      <c r="B552" s="22"/>
      <c r="C552" s="22"/>
      <c r="D552" s="22"/>
      <c r="E552" s="22"/>
      <c r="F552" s="22"/>
    </row>
    <row r="553" ht="15.75" customHeight="1">
      <c r="A553" s="22"/>
      <c r="B553" s="22"/>
      <c r="C553" s="22"/>
      <c r="D553" s="22"/>
      <c r="E553" s="22"/>
      <c r="F553" s="22"/>
    </row>
    <row r="554" ht="15.75" customHeight="1">
      <c r="A554" s="22"/>
      <c r="B554" s="22"/>
      <c r="C554" s="22"/>
      <c r="D554" s="22"/>
      <c r="E554" s="22"/>
      <c r="F554" s="22"/>
    </row>
    <row r="555" ht="15.75" customHeight="1">
      <c r="A555" s="22"/>
      <c r="B555" s="22"/>
      <c r="C555" s="22"/>
      <c r="D555" s="22"/>
      <c r="E555" s="22"/>
      <c r="F555" s="22"/>
    </row>
    <row r="556" ht="15.75" customHeight="1">
      <c r="A556" s="22"/>
      <c r="B556" s="22"/>
      <c r="C556" s="22"/>
      <c r="D556" s="22"/>
      <c r="E556" s="22"/>
      <c r="F556" s="22"/>
    </row>
    <row r="557" ht="15.75" customHeight="1">
      <c r="A557" s="22"/>
      <c r="B557" s="22"/>
      <c r="C557" s="22"/>
      <c r="D557" s="22"/>
      <c r="E557" s="22"/>
      <c r="F557" s="22"/>
    </row>
    <row r="558" ht="15.75" customHeight="1">
      <c r="A558" s="22"/>
      <c r="B558" s="22"/>
      <c r="C558" s="22"/>
      <c r="D558" s="22"/>
      <c r="E558" s="22"/>
      <c r="F558" s="22"/>
    </row>
    <row r="559" ht="15.75" customHeight="1">
      <c r="A559" s="22"/>
      <c r="B559" s="22"/>
      <c r="C559" s="22"/>
      <c r="D559" s="22"/>
      <c r="E559" s="22"/>
      <c r="F559" s="22"/>
    </row>
    <row r="560" ht="15.75" customHeight="1">
      <c r="A560" s="22"/>
      <c r="B560" s="22"/>
      <c r="C560" s="22"/>
      <c r="D560" s="22"/>
      <c r="E560" s="22"/>
      <c r="F560" s="22"/>
    </row>
    <row r="561" ht="15.75" customHeight="1">
      <c r="A561" s="22"/>
      <c r="B561" s="22"/>
      <c r="C561" s="22"/>
      <c r="D561" s="22"/>
      <c r="E561" s="22"/>
      <c r="F561" s="22"/>
    </row>
    <row r="562" ht="15.75" customHeight="1">
      <c r="A562" s="22"/>
      <c r="B562" s="22"/>
      <c r="C562" s="22"/>
      <c r="D562" s="22"/>
      <c r="E562" s="22"/>
      <c r="F562" s="22"/>
    </row>
    <row r="563" ht="15.75" customHeight="1">
      <c r="A563" s="22"/>
      <c r="B563" s="22"/>
      <c r="C563" s="22"/>
      <c r="D563" s="22"/>
      <c r="E563" s="22"/>
      <c r="F563" s="22"/>
    </row>
    <row r="564" ht="15.75" customHeight="1">
      <c r="A564" s="22"/>
      <c r="B564" s="22"/>
      <c r="C564" s="22"/>
      <c r="D564" s="22"/>
      <c r="E564" s="22"/>
      <c r="F564" s="22"/>
    </row>
    <row r="565" ht="15.75" customHeight="1">
      <c r="A565" s="22"/>
      <c r="B565" s="22"/>
      <c r="C565" s="22"/>
      <c r="D565" s="22"/>
      <c r="E565" s="22"/>
      <c r="F565" s="22"/>
    </row>
    <row r="566" ht="15.75" customHeight="1">
      <c r="A566" s="22"/>
      <c r="B566" s="22"/>
      <c r="C566" s="22"/>
      <c r="D566" s="22"/>
      <c r="E566" s="22"/>
      <c r="F566" s="22"/>
    </row>
    <row r="567" ht="15.75" customHeight="1">
      <c r="A567" s="22"/>
      <c r="B567" s="22"/>
      <c r="C567" s="22"/>
      <c r="D567" s="22"/>
      <c r="E567" s="22"/>
      <c r="F567" s="22"/>
    </row>
    <row r="568" ht="15.75" customHeight="1">
      <c r="A568" s="22"/>
      <c r="B568" s="22"/>
      <c r="C568" s="22"/>
      <c r="D568" s="22"/>
      <c r="E568" s="22"/>
      <c r="F568" s="22"/>
    </row>
    <row r="569" ht="15.75" customHeight="1">
      <c r="A569" s="22"/>
      <c r="B569" s="22"/>
      <c r="C569" s="22"/>
      <c r="D569" s="22"/>
      <c r="E569" s="22"/>
      <c r="F569" s="22"/>
    </row>
    <row r="570" ht="15.75" customHeight="1">
      <c r="A570" s="22"/>
      <c r="B570" s="22"/>
      <c r="C570" s="22"/>
      <c r="D570" s="22"/>
      <c r="E570" s="22"/>
      <c r="F570" s="22"/>
    </row>
    <row r="571" ht="15.75" customHeight="1">
      <c r="A571" s="22"/>
      <c r="B571" s="22"/>
      <c r="C571" s="22"/>
      <c r="D571" s="22"/>
      <c r="E571" s="22"/>
      <c r="F571" s="22"/>
    </row>
    <row r="572" ht="15.75" customHeight="1">
      <c r="A572" s="22"/>
      <c r="B572" s="22"/>
      <c r="C572" s="22"/>
      <c r="D572" s="22"/>
      <c r="E572" s="22"/>
      <c r="F572" s="22"/>
    </row>
    <row r="573" ht="15.75" customHeight="1">
      <c r="A573" s="22"/>
      <c r="B573" s="22"/>
      <c r="C573" s="22"/>
      <c r="D573" s="22"/>
      <c r="E573" s="22"/>
      <c r="F573" s="22"/>
    </row>
    <row r="574" ht="15.75" customHeight="1">
      <c r="A574" s="22"/>
      <c r="B574" s="22"/>
      <c r="C574" s="22"/>
      <c r="D574" s="22"/>
      <c r="E574" s="22"/>
      <c r="F574" s="22"/>
    </row>
    <row r="575" ht="15.75" customHeight="1">
      <c r="A575" s="22"/>
      <c r="B575" s="22"/>
      <c r="C575" s="22"/>
      <c r="D575" s="22"/>
      <c r="E575" s="22"/>
      <c r="F575" s="22"/>
    </row>
    <row r="576" ht="15.75" customHeight="1">
      <c r="A576" s="22"/>
      <c r="B576" s="22"/>
      <c r="C576" s="22"/>
      <c r="D576" s="22"/>
      <c r="E576" s="22"/>
      <c r="F576" s="22"/>
    </row>
    <row r="577" ht="15.75" customHeight="1">
      <c r="A577" s="22"/>
      <c r="B577" s="22"/>
      <c r="C577" s="22"/>
      <c r="D577" s="22"/>
      <c r="E577" s="22"/>
      <c r="F577" s="22"/>
    </row>
    <row r="578" ht="15.75" customHeight="1">
      <c r="A578" s="22"/>
      <c r="B578" s="22"/>
      <c r="C578" s="22"/>
      <c r="D578" s="22"/>
      <c r="E578" s="22"/>
      <c r="F578" s="22"/>
    </row>
    <row r="579" ht="15.75" customHeight="1">
      <c r="A579" s="22"/>
      <c r="B579" s="22"/>
      <c r="C579" s="22"/>
      <c r="D579" s="22"/>
      <c r="E579" s="22"/>
      <c r="F579" s="22"/>
    </row>
    <row r="580" ht="15.75" customHeight="1">
      <c r="A580" s="22"/>
      <c r="B580" s="22"/>
      <c r="C580" s="22"/>
      <c r="D580" s="22"/>
      <c r="E580" s="22"/>
      <c r="F580" s="22"/>
    </row>
    <row r="581" ht="15.75" customHeight="1">
      <c r="A581" s="22"/>
      <c r="B581" s="22"/>
      <c r="C581" s="22"/>
      <c r="D581" s="22"/>
      <c r="E581" s="22"/>
      <c r="F581" s="22"/>
    </row>
    <row r="582" ht="15.75" customHeight="1">
      <c r="A582" s="22"/>
      <c r="B582" s="22"/>
      <c r="C582" s="22"/>
      <c r="D582" s="22"/>
      <c r="E582" s="22"/>
      <c r="F582" s="22"/>
    </row>
    <row r="583" ht="15.75" customHeight="1">
      <c r="A583" s="22"/>
      <c r="B583" s="22"/>
      <c r="C583" s="22"/>
      <c r="D583" s="22"/>
      <c r="E583" s="22"/>
      <c r="F583" s="22"/>
    </row>
    <row r="584" ht="15.75" customHeight="1">
      <c r="A584" s="22"/>
      <c r="B584" s="22"/>
      <c r="C584" s="22"/>
      <c r="D584" s="22"/>
      <c r="E584" s="22"/>
      <c r="F584" s="22"/>
    </row>
    <row r="585" ht="15.75" customHeight="1">
      <c r="A585" s="22"/>
      <c r="B585" s="22"/>
      <c r="C585" s="22"/>
      <c r="D585" s="22"/>
      <c r="E585" s="22"/>
      <c r="F585" s="22"/>
    </row>
    <row r="586" ht="15.75" customHeight="1">
      <c r="A586" s="22"/>
      <c r="B586" s="22"/>
      <c r="C586" s="22"/>
      <c r="D586" s="22"/>
      <c r="E586" s="22"/>
      <c r="F586" s="22"/>
    </row>
    <row r="587" ht="15.75" customHeight="1">
      <c r="A587" s="22"/>
      <c r="B587" s="22"/>
      <c r="C587" s="22"/>
      <c r="D587" s="22"/>
      <c r="E587" s="22"/>
      <c r="F587" s="22"/>
    </row>
    <row r="588" ht="15.75" customHeight="1">
      <c r="A588" s="22"/>
      <c r="B588" s="22"/>
      <c r="C588" s="22"/>
      <c r="D588" s="22"/>
      <c r="E588" s="22"/>
      <c r="F588" s="22"/>
    </row>
    <row r="589" ht="15.75" customHeight="1">
      <c r="A589" s="22"/>
      <c r="B589" s="22"/>
      <c r="C589" s="22"/>
      <c r="D589" s="22"/>
      <c r="E589" s="22"/>
      <c r="F589" s="22"/>
    </row>
    <row r="590" ht="15.75" customHeight="1">
      <c r="A590" s="22"/>
      <c r="B590" s="22"/>
      <c r="C590" s="22"/>
      <c r="D590" s="22"/>
      <c r="E590" s="22"/>
      <c r="F590" s="22"/>
    </row>
    <row r="591" ht="15.75" customHeight="1">
      <c r="A591" s="22"/>
      <c r="B591" s="22"/>
      <c r="C591" s="22"/>
      <c r="D591" s="22"/>
      <c r="E591" s="22"/>
      <c r="F591" s="22"/>
    </row>
    <row r="592" ht="15.75" customHeight="1">
      <c r="A592" s="22"/>
      <c r="B592" s="22"/>
      <c r="C592" s="22"/>
      <c r="D592" s="22"/>
      <c r="E592" s="22"/>
      <c r="F592" s="22"/>
    </row>
    <row r="593" ht="15.75" customHeight="1">
      <c r="A593" s="22"/>
      <c r="B593" s="22"/>
      <c r="C593" s="22"/>
      <c r="D593" s="22"/>
      <c r="E593" s="22"/>
      <c r="F593" s="22"/>
    </row>
    <row r="594" ht="15.75" customHeight="1">
      <c r="A594" s="22"/>
      <c r="B594" s="22"/>
      <c r="C594" s="22"/>
      <c r="D594" s="22"/>
      <c r="E594" s="22"/>
      <c r="F594" s="22"/>
    </row>
    <row r="595" ht="15.75" customHeight="1">
      <c r="A595" s="22"/>
      <c r="B595" s="22"/>
      <c r="C595" s="22"/>
      <c r="D595" s="22"/>
      <c r="E595" s="22"/>
      <c r="F595" s="22"/>
    </row>
    <row r="596" ht="15.75" customHeight="1">
      <c r="A596" s="22"/>
      <c r="B596" s="22"/>
      <c r="C596" s="22"/>
      <c r="D596" s="22"/>
      <c r="E596" s="22"/>
      <c r="F596" s="22"/>
    </row>
    <row r="597" ht="15.75" customHeight="1">
      <c r="A597" s="22"/>
      <c r="B597" s="22"/>
      <c r="C597" s="22"/>
      <c r="D597" s="22"/>
      <c r="E597" s="22"/>
      <c r="F597" s="22"/>
    </row>
    <row r="598" ht="15.75" customHeight="1">
      <c r="A598" s="22"/>
      <c r="B598" s="22"/>
      <c r="C598" s="22"/>
      <c r="D598" s="22"/>
      <c r="E598" s="22"/>
      <c r="F598" s="22"/>
    </row>
    <row r="599" ht="15.75" customHeight="1">
      <c r="A599" s="22"/>
      <c r="B599" s="22"/>
      <c r="C599" s="22"/>
      <c r="D599" s="22"/>
      <c r="E599" s="22"/>
      <c r="F599" s="22"/>
    </row>
    <row r="600" ht="15.75" customHeight="1">
      <c r="A600" s="22"/>
      <c r="B600" s="22"/>
      <c r="C600" s="22"/>
      <c r="D600" s="22"/>
      <c r="E600" s="22"/>
      <c r="F600" s="22"/>
    </row>
    <row r="601" ht="15.75" customHeight="1">
      <c r="A601" s="22"/>
      <c r="B601" s="22"/>
      <c r="C601" s="22"/>
      <c r="D601" s="22"/>
      <c r="E601" s="22"/>
      <c r="F601" s="22"/>
    </row>
    <row r="602" ht="15.75" customHeight="1">
      <c r="A602" s="22"/>
      <c r="B602" s="22"/>
      <c r="C602" s="22"/>
      <c r="D602" s="22"/>
      <c r="E602" s="22"/>
      <c r="F602" s="22"/>
    </row>
    <row r="603" ht="15.75" customHeight="1">
      <c r="A603" s="22"/>
      <c r="B603" s="22"/>
      <c r="C603" s="22"/>
      <c r="D603" s="22"/>
      <c r="E603" s="22"/>
      <c r="F603" s="22"/>
    </row>
    <row r="604" ht="15.75" customHeight="1">
      <c r="A604" s="22"/>
      <c r="B604" s="22"/>
      <c r="C604" s="22"/>
      <c r="D604" s="22"/>
      <c r="E604" s="22"/>
      <c r="F604" s="22"/>
    </row>
    <row r="605" ht="15.75" customHeight="1">
      <c r="A605" s="22"/>
      <c r="B605" s="22"/>
      <c r="C605" s="22"/>
      <c r="D605" s="22"/>
      <c r="E605" s="22"/>
      <c r="F605" s="22"/>
    </row>
    <row r="606" ht="15.75" customHeight="1">
      <c r="A606" s="22"/>
      <c r="B606" s="22"/>
      <c r="C606" s="22"/>
      <c r="D606" s="22"/>
      <c r="E606" s="22"/>
      <c r="F606" s="22"/>
    </row>
    <row r="607" ht="15.75" customHeight="1">
      <c r="A607" s="22"/>
      <c r="B607" s="22"/>
      <c r="C607" s="22"/>
      <c r="D607" s="22"/>
      <c r="E607" s="22"/>
      <c r="F607" s="22"/>
    </row>
    <row r="608" ht="15.75" customHeight="1">
      <c r="A608" s="22"/>
      <c r="B608" s="22"/>
      <c r="C608" s="22"/>
      <c r="D608" s="22"/>
      <c r="E608" s="22"/>
      <c r="F608" s="22"/>
    </row>
    <row r="609" ht="15.75" customHeight="1">
      <c r="A609" s="22"/>
      <c r="B609" s="22"/>
      <c r="C609" s="22"/>
      <c r="D609" s="22"/>
      <c r="E609" s="22"/>
      <c r="F609" s="22"/>
    </row>
    <row r="610" ht="15.75" customHeight="1">
      <c r="A610" s="22"/>
      <c r="B610" s="22"/>
      <c r="C610" s="22"/>
      <c r="D610" s="22"/>
      <c r="E610" s="22"/>
      <c r="F610" s="22"/>
    </row>
    <row r="611" ht="15.75" customHeight="1">
      <c r="A611" s="22"/>
      <c r="B611" s="22"/>
      <c r="C611" s="22"/>
      <c r="D611" s="22"/>
      <c r="E611" s="22"/>
      <c r="F611" s="22"/>
    </row>
    <row r="612" ht="15.75" customHeight="1">
      <c r="A612" s="22"/>
      <c r="B612" s="22"/>
      <c r="C612" s="22"/>
      <c r="D612" s="22"/>
      <c r="E612" s="22"/>
      <c r="F612" s="22"/>
    </row>
    <row r="613" ht="15.75" customHeight="1">
      <c r="A613" s="22"/>
      <c r="B613" s="22"/>
      <c r="C613" s="22"/>
      <c r="D613" s="22"/>
      <c r="E613" s="22"/>
      <c r="F613" s="22"/>
    </row>
    <row r="614" ht="15.75" customHeight="1">
      <c r="A614" s="22"/>
      <c r="B614" s="22"/>
      <c r="C614" s="22"/>
      <c r="D614" s="22"/>
      <c r="E614" s="22"/>
      <c r="F614" s="22"/>
    </row>
    <row r="615" ht="15.75" customHeight="1">
      <c r="A615" s="22"/>
      <c r="B615" s="22"/>
      <c r="C615" s="22"/>
      <c r="D615" s="22"/>
      <c r="E615" s="22"/>
      <c r="F615" s="22"/>
    </row>
    <row r="616" ht="15.75" customHeight="1">
      <c r="A616" s="22"/>
      <c r="B616" s="22"/>
      <c r="C616" s="22"/>
      <c r="D616" s="22"/>
      <c r="E616" s="22"/>
      <c r="F616" s="22"/>
    </row>
    <row r="617" ht="15.75" customHeight="1">
      <c r="A617" s="22"/>
      <c r="B617" s="22"/>
      <c r="C617" s="22"/>
      <c r="D617" s="22"/>
      <c r="E617" s="22"/>
      <c r="F617" s="22"/>
    </row>
    <row r="618" ht="15.75" customHeight="1">
      <c r="A618" s="22"/>
      <c r="B618" s="22"/>
      <c r="C618" s="22"/>
      <c r="D618" s="22"/>
      <c r="E618" s="22"/>
      <c r="F618" s="22"/>
    </row>
    <row r="619" ht="15.75" customHeight="1">
      <c r="A619" s="22"/>
      <c r="B619" s="22"/>
      <c r="C619" s="22"/>
      <c r="D619" s="22"/>
      <c r="E619" s="22"/>
      <c r="F619" s="22"/>
    </row>
    <row r="620" ht="15.75" customHeight="1">
      <c r="A620" s="22"/>
      <c r="B620" s="22"/>
      <c r="C620" s="22"/>
      <c r="D620" s="22"/>
      <c r="E620" s="22"/>
      <c r="F620" s="22"/>
    </row>
    <row r="621" ht="15.75" customHeight="1">
      <c r="A621" s="22"/>
      <c r="B621" s="22"/>
      <c r="C621" s="22"/>
      <c r="D621" s="22"/>
      <c r="E621" s="22"/>
      <c r="F621" s="22"/>
    </row>
    <row r="622" ht="15.75" customHeight="1">
      <c r="A622" s="22"/>
      <c r="B622" s="22"/>
      <c r="C622" s="22"/>
      <c r="D622" s="22"/>
      <c r="E622" s="22"/>
      <c r="F622" s="22"/>
    </row>
    <row r="623" ht="15.75" customHeight="1">
      <c r="A623" s="22"/>
      <c r="B623" s="22"/>
      <c r="C623" s="22"/>
      <c r="D623" s="22"/>
      <c r="E623" s="22"/>
      <c r="F623" s="22"/>
    </row>
    <row r="624" ht="15.75" customHeight="1">
      <c r="A624" s="22"/>
      <c r="B624" s="22"/>
      <c r="C624" s="22"/>
      <c r="D624" s="22"/>
      <c r="E624" s="22"/>
      <c r="F624" s="22"/>
    </row>
    <row r="625" ht="15.75" customHeight="1">
      <c r="A625" s="22"/>
      <c r="B625" s="22"/>
      <c r="C625" s="22"/>
      <c r="D625" s="22"/>
      <c r="E625" s="22"/>
      <c r="F625" s="22"/>
    </row>
    <row r="626" ht="15.75" customHeight="1">
      <c r="A626" s="22"/>
      <c r="B626" s="22"/>
      <c r="C626" s="22"/>
      <c r="D626" s="22"/>
      <c r="E626" s="22"/>
      <c r="F626" s="22"/>
    </row>
    <row r="627" ht="15.75" customHeight="1">
      <c r="A627" s="22"/>
      <c r="B627" s="22"/>
      <c r="C627" s="22"/>
      <c r="D627" s="22"/>
      <c r="E627" s="22"/>
      <c r="F627" s="22"/>
    </row>
    <row r="628" ht="15.75" customHeight="1">
      <c r="A628" s="22"/>
      <c r="B628" s="22"/>
      <c r="C628" s="22"/>
      <c r="D628" s="22"/>
      <c r="E628" s="22"/>
      <c r="F628" s="22"/>
    </row>
    <row r="629" ht="15.75" customHeight="1">
      <c r="A629" s="22"/>
      <c r="B629" s="22"/>
      <c r="C629" s="22"/>
      <c r="D629" s="22"/>
      <c r="E629" s="22"/>
      <c r="F629" s="22"/>
    </row>
    <row r="630" ht="15.75" customHeight="1">
      <c r="A630" s="22"/>
      <c r="B630" s="22"/>
      <c r="C630" s="22"/>
      <c r="D630" s="22"/>
      <c r="E630" s="22"/>
      <c r="F630" s="22"/>
    </row>
    <row r="631" ht="15.75" customHeight="1">
      <c r="A631" s="22"/>
      <c r="B631" s="22"/>
      <c r="C631" s="22"/>
      <c r="D631" s="22"/>
      <c r="E631" s="22"/>
      <c r="F631" s="22"/>
    </row>
    <row r="632" ht="15.75" customHeight="1">
      <c r="A632" s="22"/>
      <c r="B632" s="22"/>
      <c r="C632" s="22"/>
      <c r="D632" s="22"/>
      <c r="E632" s="22"/>
      <c r="F632" s="22"/>
    </row>
    <row r="633" ht="15.75" customHeight="1">
      <c r="A633" s="22"/>
      <c r="B633" s="22"/>
      <c r="C633" s="22"/>
      <c r="D633" s="22"/>
      <c r="E633" s="22"/>
      <c r="F633" s="22"/>
    </row>
    <row r="634" ht="15.75" customHeight="1">
      <c r="A634" s="22"/>
      <c r="B634" s="22"/>
      <c r="C634" s="22"/>
      <c r="D634" s="22"/>
      <c r="E634" s="22"/>
      <c r="F634" s="22"/>
    </row>
    <row r="635" ht="15.75" customHeight="1">
      <c r="A635" s="22"/>
      <c r="B635" s="22"/>
      <c r="C635" s="22"/>
      <c r="D635" s="22"/>
      <c r="E635" s="22"/>
      <c r="F635" s="22"/>
    </row>
    <row r="636" ht="15.75" customHeight="1">
      <c r="A636" s="22"/>
      <c r="B636" s="22"/>
      <c r="C636" s="22"/>
      <c r="D636" s="22"/>
      <c r="E636" s="22"/>
      <c r="F636" s="22"/>
    </row>
    <row r="637" ht="15.75" customHeight="1">
      <c r="A637" s="22"/>
      <c r="B637" s="22"/>
      <c r="C637" s="22"/>
      <c r="D637" s="22"/>
      <c r="E637" s="22"/>
      <c r="F637" s="22"/>
    </row>
    <row r="638" ht="15.75" customHeight="1">
      <c r="A638" s="22"/>
      <c r="B638" s="22"/>
      <c r="C638" s="22"/>
      <c r="D638" s="22"/>
      <c r="E638" s="22"/>
      <c r="F638" s="22"/>
    </row>
    <row r="639" ht="15.75" customHeight="1">
      <c r="A639" s="22"/>
      <c r="B639" s="22"/>
      <c r="C639" s="22"/>
      <c r="D639" s="22"/>
      <c r="E639" s="22"/>
      <c r="F639" s="22"/>
    </row>
    <row r="640" ht="15.75" customHeight="1">
      <c r="A640" s="22"/>
      <c r="B640" s="22"/>
      <c r="C640" s="22"/>
      <c r="D640" s="22"/>
      <c r="E640" s="22"/>
      <c r="F640" s="22"/>
    </row>
    <row r="641" ht="15.75" customHeight="1">
      <c r="A641" s="22"/>
      <c r="B641" s="22"/>
      <c r="C641" s="22"/>
      <c r="D641" s="22"/>
      <c r="E641" s="22"/>
      <c r="F641" s="22"/>
    </row>
    <row r="642" ht="15.75" customHeight="1">
      <c r="A642" s="22"/>
      <c r="B642" s="22"/>
      <c r="C642" s="22"/>
      <c r="D642" s="22"/>
      <c r="E642" s="22"/>
      <c r="F642" s="22"/>
    </row>
    <row r="643" ht="15.75" customHeight="1">
      <c r="A643" s="22"/>
      <c r="B643" s="22"/>
      <c r="C643" s="22"/>
      <c r="D643" s="22"/>
      <c r="E643" s="22"/>
      <c r="F643" s="22"/>
    </row>
    <row r="644" ht="15.75" customHeight="1">
      <c r="A644" s="22"/>
      <c r="B644" s="22"/>
      <c r="C644" s="22"/>
      <c r="D644" s="22"/>
      <c r="E644" s="22"/>
      <c r="F644" s="22"/>
    </row>
    <row r="645" ht="15.75" customHeight="1">
      <c r="A645" s="22"/>
      <c r="B645" s="22"/>
      <c r="C645" s="22"/>
      <c r="D645" s="22"/>
      <c r="E645" s="22"/>
      <c r="F645" s="22"/>
    </row>
    <row r="646" ht="15.75" customHeight="1">
      <c r="A646" s="22"/>
      <c r="B646" s="22"/>
      <c r="C646" s="22"/>
      <c r="D646" s="22"/>
      <c r="E646" s="22"/>
      <c r="F646" s="22"/>
    </row>
    <row r="647" ht="15.75" customHeight="1">
      <c r="A647" s="22"/>
      <c r="B647" s="22"/>
      <c r="C647" s="22"/>
      <c r="D647" s="22"/>
      <c r="E647" s="22"/>
      <c r="F647" s="22"/>
    </row>
    <row r="648" ht="15.75" customHeight="1">
      <c r="A648" s="22"/>
      <c r="B648" s="22"/>
      <c r="C648" s="22"/>
      <c r="D648" s="22"/>
      <c r="E648" s="22"/>
      <c r="F648" s="22"/>
    </row>
    <row r="649" ht="15.75" customHeight="1">
      <c r="A649" s="22"/>
      <c r="B649" s="22"/>
      <c r="C649" s="22"/>
      <c r="D649" s="22"/>
      <c r="E649" s="22"/>
      <c r="F649" s="22"/>
    </row>
    <row r="650" ht="15.75" customHeight="1">
      <c r="A650" s="22"/>
      <c r="B650" s="22"/>
      <c r="C650" s="22"/>
      <c r="D650" s="22"/>
      <c r="E650" s="22"/>
      <c r="F650" s="22"/>
    </row>
    <row r="651" ht="15.75" customHeight="1">
      <c r="A651" s="22"/>
      <c r="B651" s="22"/>
      <c r="C651" s="22"/>
      <c r="D651" s="22"/>
      <c r="E651" s="22"/>
      <c r="F651" s="22"/>
    </row>
    <row r="652" ht="15.75" customHeight="1">
      <c r="A652" s="22"/>
      <c r="B652" s="22"/>
      <c r="C652" s="22"/>
      <c r="D652" s="22"/>
      <c r="E652" s="22"/>
      <c r="F652" s="22"/>
    </row>
    <row r="653" ht="15.75" customHeight="1">
      <c r="A653" s="22"/>
      <c r="B653" s="22"/>
      <c r="C653" s="22"/>
      <c r="D653" s="22"/>
      <c r="E653" s="22"/>
      <c r="F653" s="22"/>
    </row>
    <row r="654" ht="15.75" customHeight="1">
      <c r="A654" s="22"/>
      <c r="B654" s="22"/>
      <c r="C654" s="22"/>
      <c r="D654" s="22"/>
      <c r="E654" s="22"/>
      <c r="F654" s="22"/>
    </row>
    <row r="655" ht="15.75" customHeight="1">
      <c r="A655" s="22"/>
      <c r="B655" s="22"/>
      <c r="C655" s="22"/>
      <c r="D655" s="22"/>
      <c r="E655" s="22"/>
      <c r="F655" s="22"/>
    </row>
    <row r="656" ht="15.75" customHeight="1">
      <c r="A656" s="22"/>
      <c r="B656" s="22"/>
      <c r="C656" s="22"/>
      <c r="D656" s="22"/>
      <c r="E656" s="22"/>
      <c r="F656" s="22"/>
    </row>
    <row r="657" ht="15.75" customHeight="1">
      <c r="A657" s="22"/>
      <c r="B657" s="22"/>
      <c r="C657" s="22"/>
      <c r="D657" s="22"/>
      <c r="E657" s="22"/>
      <c r="F657" s="22"/>
    </row>
    <row r="658" ht="15.75" customHeight="1">
      <c r="A658" s="22"/>
      <c r="B658" s="22"/>
      <c r="C658" s="22"/>
      <c r="D658" s="22"/>
      <c r="E658" s="22"/>
      <c r="F658" s="22"/>
    </row>
    <row r="659" ht="15.75" customHeight="1">
      <c r="A659" s="22"/>
      <c r="B659" s="22"/>
      <c r="C659" s="22"/>
      <c r="D659" s="22"/>
      <c r="E659" s="22"/>
      <c r="F659" s="22"/>
    </row>
    <row r="660" ht="15.75" customHeight="1">
      <c r="A660" s="22"/>
      <c r="B660" s="22"/>
      <c r="C660" s="22"/>
      <c r="D660" s="22"/>
      <c r="E660" s="22"/>
      <c r="F660" s="22"/>
    </row>
    <row r="661" ht="15.75" customHeight="1">
      <c r="A661" s="22"/>
      <c r="B661" s="22"/>
      <c r="C661" s="22"/>
      <c r="D661" s="22"/>
      <c r="E661" s="22"/>
      <c r="F661" s="22"/>
    </row>
    <row r="662" ht="15.75" customHeight="1">
      <c r="A662" s="22"/>
      <c r="B662" s="22"/>
      <c r="C662" s="22"/>
      <c r="D662" s="22"/>
      <c r="E662" s="22"/>
      <c r="F662" s="22"/>
    </row>
    <row r="663" ht="15.75" customHeight="1">
      <c r="A663" s="22"/>
      <c r="B663" s="22"/>
      <c r="C663" s="22"/>
      <c r="D663" s="22"/>
      <c r="E663" s="22"/>
      <c r="F663" s="22"/>
    </row>
    <row r="664" ht="15.75" customHeight="1">
      <c r="A664" s="22"/>
      <c r="B664" s="22"/>
      <c r="C664" s="22"/>
      <c r="D664" s="22"/>
      <c r="E664" s="22"/>
      <c r="F664" s="22"/>
    </row>
    <row r="665" ht="15.75" customHeight="1">
      <c r="A665" s="22"/>
      <c r="B665" s="22"/>
      <c r="C665" s="22"/>
      <c r="D665" s="22"/>
      <c r="E665" s="22"/>
      <c r="F665" s="22"/>
    </row>
    <row r="666" ht="15.75" customHeight="1">
      <c r="A666" s="22"/>
      <c r="B666" s="22"/>
      <c r="C666" s="22"/>
      <c r="D666" s="22"/>
      <c r="E666" s="22"/>
      <c r="F666" s="22"/>
    </row>
    <row r="667" ht="15.75" customHeight="1">
      <c r="A667" s="22"/>
      <c r="B667" s="22"/>
      <c r="C667" s="22"/>
      <c r="D667" s="22"/>
      <c r="E667" s="22"/>
      <c r="F667" s="22"/>
    </row>
    <row r="668" ht="15.75" customHeight="1">
      <c r="A668" s="22"/>
      <c r="B668" s="22"/>
      <c r="C668" s="22"/>
      <c r="D668" s="22"/>
      <c r="E668" s="22"/>
      <c r="F668" s="22"/>
    </row>
    <row r="669" ht="15.75" customHeight="1">
      <c r="A669" s="22"/>
      <c r="B669" s="22"/>
      <c r="C669" s="22"/>
      <c r="D669" s="22"/>
      <c r="E669" s="22"/>
      <c r="F669" s="22"/>
    </row>
    <row r="670" ht="15.75" customHeight="1">
      <c r="A670" s="22"/>
      <c r="B670" s="22"/>
      <c r="C670" s="22"/>
      <c r="D670" s="22"/>
      <c r="E670" s="22"/>
      <c r="F670" s="22"/>
    </row>
    <row r="671" ht="15.75" customHeight="1">
      <c r="A671" s="22"/>
      <c r="B671" s="22"/>
      <c r="C671" s="22"/>
      <c r="D671" s="22"/>
      <c r="E671" s="22"/>
      <c r="F671" s="22"/>
    </row>
    <row r="672" ht="15.75" customHeight="1">
      <c r="A672" s="22"/>
      <c r="B672" s="22"/>
      <c r="C672" s="22"/>
      <c r="D672" s="22"/>
      <c r="E672" s="22"/>
      <c r="F672" s="22"/>
    </row>
    <row r="673" ht="15.75" customHeight="1">
      <c r="A673" s="22"/>
      <c r="B673" s="22"/>
      <c r="C673" s="22"/>
      <c r="D673" s="22"/>
      <c r="E673" s="22"/>
      <c r="F673" s="22"/>
    </row>
    <row r="674" ht="15.75" customHeight="1">
      <c r="A674" s="22"/>
      <c r="B674" s="22"/>
      <c r="C674" s="22"/>
      <c r="D674" s="22"/>
      <c r="E674" s="22"/>
      <c r="F674" s="22"/>
    </row>
    <row r="675" ht="15.75" customHeight="1">
      <c r="A675" s="22"/>
      <c r="B675" s="22"/>
      <c r="C675" s="22"/>
      <c r="D675" s="22"/>
      <c r="E675" s="22"/>
      <c r="F675" s="22"/>
    </row>
    <row r="676" ht="15.75" customHeight="1">
      <c r="A676" s="22"/>
      <c r="B676" s="22"/>
      <c r="C676" s="22"/>
      <c r="D676" s="22"/>
      <c r="E676" s="22"/>
      <c r="F676" s="22"/>
    </row>
    <row r="677" ht="15.75" customHeight="1">
      <c r="A677" s="22"/>
      <c r="B677" s="22"/>
      <c r="C677" s="22"/>
      <c r="D677" s="22"/>
      <c r="E677" s="22"/>
      <c r="F677" s="22"/>
    </row>
    <row r="678" ht="15.75" customHeight="1">
      <c r="A678" s="22"/>
      <c r="B678" s="22"/>
      <c r="C678" s="22"/>
      <c r="D678" s="22"/>
      <c r="E678" s="22"/>
      <c r="F678" s="22"/>
    </row>
    <row r="679" ht="15.75" customHeight="1">
      <c r="A679" s="22"/>
      <c r="B679" s="22"/>
      <c r="C679" s="22"/>
      <c r="D679" s="22"/>
      <c r="E679" s="22"/>
      <c r="F679" s="22"/>
    </row>
    <row r="680" ht="15.75" customHeight="1">
      <c r="A680" s="22"/>
      <c r="B680" s="22"/>
      <c r="C680" s="22"/>
      <c r="D680" s="22"/>
      <c r="E680" s="22"/>
      <c r="F680" s="22"/>
    </row>
    <row r="681" ht="15.75" customHeight="1">
      <c r="A681" s="22"/>
      <c r="B681" s="22"/>
      <c r="C681" s="22"/>
      <c r="D681" s="22"/>
      <c r="E681" s="22"/>
      <c r="F681" s="22"/>
    </row>
    <row r="682" ht="15.75" customHeight="1">
      <c r="A682" s="22"/>
      <c r="B682" s="22"/>
      <c r="C682" s="22"/>
      <c r="D682" s="22"/>
      <c r="E682" s="22"/>
      <c r="F682" s="22"/>
    </row>
    <row r="683" ht="15.75" customHeight="1">
      <c r="A683" s="22"/>
      <c r="B683" s="22"/>
      <c r="C683" s="22"/>
      <c r="D683" s="22"/>
      <c r="E683" s="22"/>
      <c r="F683" s="22"/>
    </row>
    <row r="684" ht="15.75" customHeight="1">
      <c r="A684" s="22"/>
      <c r="B684" s="22"/>
      <c r="C684" s="22"/>
      <c r="D684" s="22"/>
      <c r="E684" s="22"/>
      <c r="F684" s="22"/>
    </row>
    <row r="685" ht="15.75" customHeight="1">
      <c r="A685" s="22"/>
      <c r="B685" s="22"/>
      <c r="C685" s="22"/>
      <c r="D685" s="22"/>
      <c r="E685" s="22"/>
      <c r="F685" s="22"/>
    </row>
    <row r="686" ht="15.75" customHeight="1">
      <c r="A686" s="22"/>
      <c r="B686" s="22"/>
      <c r="C686" s="22"/>
      <c r="D686" s="22"/>
      <c r="E686" s="22"/>
      <c r="F686" s="22"/>
    </row>
    <row r="687" ht="15.75" customHeight="1">
      <c r="A687" s="22"/>
      <c r="B687" s="22"/>
      <c r="C687" s="22"/>
      <c r="D687" s="22"/>
      <c r="E687" s="22"/>
      <c r="F687" s="22"/>
    </row>
    <row r="688" ht="15.75" customHeight="1">
      <c r="A688" s="22"/>
      <c r="B688" s="22"/>
      <c r="C688" s="22"/>
      <c r="D688" s="22"/>
      <c r="E688" s="22"/>
      <c r="F688" s="22"/>
    </row>
    <row r="689" ht="15.75" customHeight="1">
      <c r="A689" s="22"/>
      <c r="B689" s="22"/>
      <c r="C689" s="22"/>
      <c r="D689" s="22"/>
      <c r="E689" s="22"/>
      <c r="F689" s="22"/>
    </row>
    <row r="690" ht="15.75" customHeight="1">
      <c r="A690" s="22"/>
      <c r="B690" s="22"/>
      <c r="C690" s="22"/>
      <c r="D690" s="22"/>
      <c r="E690" s="22"/>
      <c r="F690" s="22"/>
    </row>
    <row r="691" ht="15.75" customHeight="1">
      <c r="A691" s="22"/>
      <c r="B691" s="22"/>
      <c r="C691" s="22"/>
      <c r="D691" s="22"/>
      <c r="E691" s="22"/>
      <c r="F691" s="22"/>
    </row>
    <row r="692" ht="15.75" customHeight="1">
      <c r="A692" s="22"/>
      <c r="B692" s="22"/>
      <c r="C692" s="22"/>
      <c r="D692" s="22"/>
      <c r="E692" s="22"/>
      <c r="F692" s="22"/>
    </row>
    <row r="693" ht="15.75" customHeight="1">
      <c r="A693" s="22"/>
      <c r="B693" s="22"/>
      <c r="C693" s="22"/>
      <c r="D693" s="22"/>
      <c r="E693" s="22"/>
      <c r="F693" s="22"/>
    </row>
    <row r="694" ht="15.75" customHeight="1">
      <c r="A694" s="22"/>
      <c r="B694" s="22"/>
      <c r="C694" s="22"/>
      <c r="D694" s="22"/>
      <c r="E694" s="22"/>
      <c r="F694" s="22"/>
    </row>
    <row r="695" ht="15.75" customHeight="1">
      <c r="A695" s="22"/>
      <c r="B695" s="22"/>
      <c r="C695" s="22"/>
      <c r="D695" s="22"/>
      <c r="E695" s="22"/>
      <c r="F695" s="22"/>
    </row>
    <row r="696" ht="15.75" customHeight="1">
      <c r="A696" s="22"/>
      <c r="B696" s="22"/>
      <c r="C696" s="22"/>
      <c r="D696" s="22"/>
      <c r="E696" s="22"/>
      <c r="F696" s="22"/>
    </row>
    <row r="697" ht="15.75" customHeight="1">
      <c r="A697" s="22"/>
      <c r="B697" s="22"/>
      <c r="C697" s="22"/>
      <c r="D697" s="22"/>
      <c r="E697" s="22"/>
      <c r="F697" s="22"/>
    </row>
    <row r="698" ht="15.75" customHeight="1">
      <c r="A698" s="22"/>
      <c r="B698" s="22"/>
      <c r="C698" s="22"/>
      <c r="D698" s="22"/>
      <c r="E698" s="22"/>
      <c r="F698" s="22"/>
    </row>
    <row r="699" ht="15.75" customHeight="1">
      <c r="A699" s="22"/>
      <c r="B699" s="22"/>
      <c r="C699" s="22"/>
      <c r="D699" s="22"/>
      <c r="E699" s="22"/>
      <c r="F699" s="22"/>
    </row>
    <row r="700" ht="15.75" customHeight="1">
      <c r="A700" s="22"/>
      <c r="B700" s="22"/>
      <c r="C700" s="22"/>
      <c r="D700" s="22"/>
      <c r="E700" s="22"/>
      <c r="F700" s="22"/>
    </row>
    <row r="701" ht="15.75" customHeight="1">
      <c r="A701" s="22"/>
      <c r="B701" s="22"/>
      <c r="C701" s="22"/>
      <c r="D701" s="22"/>
      <c r="E701" s="22"/>
      <c r="F701" s="22"/>
    </row>
    <row r="702" ht="15.75" customHeight="1">
      <c r="A702" s="22"/>
      <c r="B702" s="22"/>
      <c r="C702" s="22"/>
      <c r="D702" s="22"/>
      <c r="E702" s="22"/>
      <c r="F702" s="22"/>
    </row>
    <row r="703" ht="15.75" customHeight="1">
      <c r="A703" s="22"/>
      <c r="B703" s="22"/>
      <c r="C703" s="22"/>
      <c r="D703" s="22"/>
      <c r="E703" s="22"/>
      <c r="F703" s="22"/>
    </row>
    <row r="704" ht="15.75" customHeight="1">
      <c r="A704" s="22"/>
      <c r="B704" s="22"/>
      <c r="C704" s="22"/>
      <c r="D704" s="22"/>
      <c r="E704" s="22"/>
      <c r="F704" s="22"/>
    </row>
    <row r="705" ht="15.75" customHeight="1">
      <c r="A705" s="22"/>
      <c r="B705" s="22"/>
      <c r="C705" s="22"/>
      <c r="D705" s="22"/>
      <c r="E705" s="22"/>
      <c r="F705" s="22"/>
    </row>
    <row r="706" ht="15.75" customHeight="1">
      <c r="A706" s="22"/>
      <c r="B706" s="22"/>
      <c r="C706" s="22"/>
      <c r="D706" s="22"/>
      <c r="E706" s="22"/>
      <c r="F706" s="22"/>
    </row>
    <row r="707" ht="15.75" customHeight="1">
      <c r="A707" s="22"/>
      <c r="B707" s="22"/>
      <c r="C707" s="22"/>
      <c r="D707" s="22"/>
      <c r="E707" s="22"/>
      <c r="F707" s="22"/>
    </row>
    <row r="708" ht="15.75" customHeight="1">
      <c r="A708" s="22"/>
      <c r="B708" s="22"/>
      <c r="C708" s="22"/>
      <c r="D708" s="22"/>
      <c r="E708" s="22"/>
      <c r="F708" s="22"/>
    </row>
    <row r="709" ht="15.75" customHeight="1">
      <c r="A709" s="22"/>
      <c r="B709" s="22"/>
      <c r="C709" s="22"/>
      <c r="D709" s="22"/>
      <c r="E709" s="22"/>
      <c r="F709" s="22"/>
    </row>
    <row r="710" ht="15.75" customHeight="1">
      <c r="A710" s="22"/>
      <c r="B710" s="22"/>
      <c r="C710" s="22"/>
      <c r="D710" s="22"/>
      <c r="E710" s="22"/>
      <c r="F710" s="22"/>
    </row>
    <row r="711" ht="15.75" customHeight="1">
      <c r="A711" s="22"/>
      <c r="B711" s="22"/>
      <c r="C711" s="22"/>
      <c r="D711" s="22"/>
      <c r="E711" s="22"/>
      <c r="F711" s="22"/>
    </row>
    <row r="712" ht="15.75" customHeight="1">
      <c r="A712" s="22"/>
      <c r="B712" s="22"/>
      <c r="C712" s="22"/>
      <c r="D712" s="22"/>
      <c r="E712" s="22"/>
      <c r="F712" s="22"/>
    </row>
    <row r="713" ht="15.75" customHeight="1">
      <c r="A713" s="22"/>
      <c r="B713" s="22"/>
      <c r="C713" s="22"/>
      <c r="D713" s="22"/>
      <c r="E713" s="22"/>
      <c r="F713" s="22"/>
    </row>
    <row r="714" ht="15.75" customHeight="1">
      <c r="A714" s="22"/>
      <c r="B714" s="22"/>
      <c r="C714" s="22"/>
      <c r="D714" s="22"/>
      <c r="E714" s="22"/>
      <c r="F714" s="22"/>
    </row>
    <row r="715" ht="15.75" customHeight="1">
      <c r="A715" s="22"/>
      <c r="B715" s="22"/>
      <c r="C715" s="22"/>
      <c r="D715" s="22"/>
      <c r="E715" s="22"/>
      <c r="F715" s="22"/>
    </row>
    <row r="716" ht="15.75" customHeight="1">
      <c r="A716" s="22"/>
      <c r="B716" s="22"/>
      <c r="C716" s="22"/>
      <c r="D716" s="22"/>
      <c r="E716" s="22"/>
      <c r="F716" s="22"/>
    </row>
    <row r="717" ht="15.75" customHeight="1">
      <c r="A717" s="22"/>
      <c r="B717" s="22"/>
      <c r="C717" s="22"/>
      <c r="D717" s="22"/>
      <c r="E717" s="22"/>
      <c r="F717" s="22"/>
    </row>
    <row r="718" ht="15.75" customHeight="1">
      <c r="A718" s="22"/>
      <c r="B718" s="22"/>
      <c r="C718" s="22"/>
      <c r="D718" s="22"/>
      <c r="E718" s="22"/>
      <c r="F718" s="22"/>
    </row>
    <row r="719" ht="15.75" customHeight="1">
      <c r="A719" s="22"/>
      <c r="B719" s="22"/>
      <c r="C719" s="22"/>
      <c r="D719" s="22"/>
      <c r="E719" s="22"/>
      <c r="F719" s="22"/>
    </row>
    <row r="720" ht="15.75" customHeight="1">
      <c r="A720" s="22"/>
      <c r="B720" s="22"/>
      <c r="C720" s="22"/>
      <c r="D720" s="22"/>
      <c r="E720" s="22"/>
      <c r="F720" s="22"/>
    </row>
    <row r="721" ht="15.75" customHeight="1">
      <c r="A721" s="22"/>
      <c r="B721" s="22"/>
      <c r="C721" s="22"/>
      <c r="D721" s="22"/>
      <c r="E721" s="22"/>
      <c r="F721" s="22"/>
    </row>
    <row r="722" ht="15.75" customHeight="1">
      <c r="A722" s="22"/>
      <c r="B722" s="22"/>
      <c r="C722" s="22"/>
      <c r="D722" s="22"/>
      <c r="E722" s="22"/>
      <c r="F722" s="22"/>
    </row>
    <row r="723" ht="15.75" customHeight="1">
      <c r="A723" s="22"/>
      <c r="B723" s="22"/>
      <c r="C723" s="22"/>
      <c r="D723" s="22"/>
      <c r="E723" s="22"/>
      <c r="F723" s="22"/>
    </row>
    <row r="724" ht="15.75" customHeight="1">
      <c r="A724" s="22"/>
      <c r="B724" s="22"/>
      <c r="C724" s="22"/>
      <c r="D724" s="22"/>
      <c r="E724" s="22"/>
      <c r="F724" s="22"/>
    </row>
    <row r="725" ht="15.75" customHeight="1">
      <c r="A725" s="22"/>
      <c r="B725" s="22"/>
      <c r="C725" s="22"/>
      <c r="D725" s="22"/>
      <c r="E725" s="22"/>
      <c r="F725" s="22"/>
    </row>
    <row r="726" ht="15.75" customHeight="1">
      <c r="A726" s="22"/>
      <c r="B726" s="22"/>
      <c r="C726" s="22"/>
      <c r="D726" s="22"/>
      <c r="E726" s="22"/>
      <c r="F726" s="22"/>
    </row>
    <row r="727" ht="15.75" customHeight="1">
      <c r="A727" s="22"/>
      <c r="B727" s="22"/>
      <c r="C727" s="22"/>
      <c r="D727" s="22"/>
      <c r="E727" s="22"/>
      <c r="F727" s="22"/>
    </row>
    <row r="728" ht="15.75" customHeight="1">
      <c r="A728" s="22"/>
      <c r="B728" s="22"/>
      <c r="C728" s="22"/>
      <c r="D728" s="22"/>
      <c r="E728" s="22"/>
      <c r="F728" s="22"/>
    </row>
    <row r="729" ht="15.75" customHeight="1">
      <c r="A729" s="22"/>
      <c r="B729" s="22"/>
      <c r="C729" s="22"/>
      <c r="D729" s="22"/>
      <c r="E729" s="22"/>
      <c r="F729" s="22"/>
    </row>
    <row r="730" ht="15.75" customHeight="1">
      <c r="A730" s="22"/>
      <c r="B730" s="22"/>
      <c r="C730" s="22"/>
      <c r="D730" s="22"/>
      <c r="E730" s="22"/>
      <c r="F730" s="22"/>
    </row>
    <row r="731" ht="15.75" customHeight="1">
      <c r="A731" s="22"/>
      <c r="B731" s="22"/>
      <c r="C731" s="22"/>
      <c r="D731" s="22"/>
      <c r="E731" s="22"/>
      <c r="F731" s="22"/>
    </row>
    <row r="732" ht="15.75" customHeight="1">
      <c r="A732" s="22"/>
      <c r="B732" s="22"/>
      <c r="C732" s="22"/>
      <c r="D732" s="22"/>
      <c r="E732" s="22"/>
      <c r="F732" s="22"/>
    </row>
    <row r="733" ht="15.75" customHeight="1">
      <c r="A733" s="22"/>
      <c r="B733" s="22"/>
      <c r="C733" s="22"/>
      <c r="D733" s="22"/>
      <c r="E733" s="22"/>
      <c r="F733" s="22"/>
    </row>
    <row r="734" ht="15.75" customHeight="1">
      <c r="A734" s="22"/>
      <c r="B734" s="22"/>
      <c r="C734" s="22"/>
      <c r="D734" s="22"/>
      <c r="E734" s="22"/>
      <c r="F734" s="22"/>
    </row>
    <row r="735" ht="15.75" customHeight="1">
      <c r="A735" s="22"/>
      <c r="B735" s="22"/>
      <c r="C735" s="22"/>
      <c r="D735" s="22"/>
      <c r="E735" s="22"/>
      <c r="F735" s="22"/>
    </row>
    <row r="736" ht="15.75" customHeight="1">
      <c r="A736" s="22"/>
      <c r="B736" s="22"/>
      <c r="C736" s="22"/>
      <c r="D736" s="22"/>
      <c r="E736" s="22"/>
      <c r="F736" s="22"/>
    </row>
    <row r="737" ht="15.75" customHeight="1">
      <c r="A737" s="22"/>
      <c r="B737" s="22"/>
      <c r="C737" s="22"/>
      <c r="D737" s="22"/>
      <c r="E737" s="22"/>
      <c r="F737" s="22"/>
    </row>
    <row r="738" ht="15.75" customHeight="1">
      <c r="A738" s="22"/>
      <c r="B738" s="22"/>
      <c r="C738" s="22"/>
      <c r="D738" s="22"/>
      <c r="E738" s="22"/>
      <c r="F738" s="22"/>
    </row>
    <row r="739" ht="15.75" customHeight="1">
      <c r="A739" s="22"/>
      <c r="B739" s="22"/>
      <c r="C739" s="22"/>
      <c r="D739" s="22"/>
      <c r="E739" s="22"/>
      <c r="F739" s="22"/>
    </row>
    <row r="740" ht="15.75" customHeight="1">
      <c r="A740" s="22"/>
      <c r="B740" s="22"/>
      <c r="C740" s="22"/>
      <c r="D740" s="22"/>
      <c r="E740" s="22"/>
      <c r="F740" s="22"/>
    </row>
    <row r="741" ht="15.75" customHeight="1">
      <c r="A741" s="22"/>
      <c r="B741" s="22"/>
      <c r="C741" s="22"/>
      <c r="D741" s="22"/>
      <c r="E741" s="22"/>
      <c r="F741" s="22"/>
    </row>
    <row r="742" ht="15.75" customHeight="1">
      <c r="A742" s="22"/>
      <c r="B742" s="22"/>
      <c r="C742" s="22"/>
      <c r="D742" s="22"/>
      <c r="E742" s="22"/>
      <c r="F742" s="22"/>
    </row>
    <row r="743" ht="15.75" customHeight="1">
      <c r="A743" s="22"/>
      <c r="B743" s="22"/>
      <c r="C743" s="22"/>
      <c r="D743" s="22"/>
      <c r="E743" s="22"/>
      <c r="F743" s="22"/>
    </row>
    <row r="744" ht="15.75" customHeight="1">
      <c r="A744" s="22"/>
      <c r="B744" s="22"/>
      <c r="C744" s="22"/>
      <c r="D744" s="22"/>
      <c r="E744" s="22"/>
      <c r="F744" s="22"/>
    </row>
    <row r="745" ht="15.75" customHeight="1">
      <c r="A745" s="22"/>
      <c r="B745" s="22"/>
      <c r="C745" s="22"/>
      <c r="D745" s="22"/>
      <c r="E745" s="22"/>
      <c r="F745" s="22"/>
    </row>
    <row r="746" ht="15.75" customHeight="1">
      <c r="A746" s="22"/>
      <c r="B746" s="22"/>
      <c r="C746" s="22"/>
      <c r="D746" s="22"/>
      <c r="E746" s="22"/>
      <c r="F746" s="22"/>
    </row>
    <row r="747" ht="15.75" customHeight="1">
      <c r="A747" s="22"/>
      <c r="B747" s="22"/>
      <c r="C747" s="22"/>
      <c r="D747" s="22"/>
      <c r="E747" s="22"/>
      <c r="F747" s="22"/>
    </row>
    <row r="748" ht="15.75" customHeight="1">
      <c r="A748" s="22"/>
      <c r="B748" s="22"/>
      <c r="C748" s="22"/>
      <c r="D748" s="22"/>
      <c r="E748" s="22"/>
      <c r="F748" s="22"/>
    </row>
    <row r="749" ht="15.75" customHeight="1">
      <c r="A749" s="22"/>
      <c r="B749" s="22"/>
      <c r="C749" s="22"/>
      <c r="D749" s="22"/>
      <c r="E749" s="22"/>
      <c r="F749" s="22"/>
    </row>
    <row r="750" ht="15.75" customHeight="1">
      <c r="A750" s="22"/>
      <c r="B750" s="22"/>
      <c r="C750" s="22"/>
      <c r="D750" s="22"/>
      <c r="E750" s="22"/>
      <c r="F750" s="22"/>
    </row>
    <row r="751" ht="15.75" customHeight="1">
      <c r="A751" s="22"/>
      <c r="B751" s="22"/>
      <c r="C751" s="22"/>
      <c r="D751" s="22"/>
      <c r="E751" s="22"/>
      <c r="F751" s="22"/>
    </row>
    <row r="752" ht="15.75" customHeight="1">
      <c r="A752" s="22"/>
      <c r="B752" s="22"/>
      <c r="C752" s="22"/>
      <c r="D752" s="22"/>
      <c r="E752" s="22"/>
      <c r="F752" s="22"/>
    </row>
    <row r="753" ht="15.75" customHeight="1">
      <c r="A753" s="22"/>
      <c r="B753" s="22"/>
      <c r="C753" s="22"/>
      <c r="D753" s="22"/>
      <c r="E753" s="22"/>
      <c r="F753" s="22"/>
    </row>
    <row r="754" ht="15.75" customHeight="1">
      <c r="A754" s="22"/>
      <c r="B754" s="22"/>
      <c r="C754" s="22"/>
      <c r="D754" s="22"/>
      <c r="E754" s="22"/>
      <c r="F754" s="22"/>
    </row>
    <row r="755" ht="15.75" customHeight="1">
      <c r="A755" s="22"/>
      <c r="B755" s="22"/>
      <c r="C755" s="22"/>
      <c r="D755" s="22"/>
      <c r="E755" s="22"/>
      <c r="F755" s="22"/>
    </row>
    <row r="756" ht="15.75" customHeight="1">
      <c r="A756" s="22"/>
      <c r="B756" s="22"/>
      <c r="C756" s="22"/>
      <c r="D756" s="22"/>
      <c r="E756" s="22"/>
      <c r="F756" s="22"/>
    </row>
    <row r="757" ht="15.75" customHeight="1">
      <c r="A757" s="22"/>
      <c r="B757" s="22"/>
      <c r="C757" s="22"/>
      <c r="D757" s="22"/>
      <c r="E757" s="22"/>
      <c r="F757" s="22"/>
    </row>
    <row r="758" ht="15.75" customHeight="1">
      <c r="A758" s="22"/>
      <c r="B758" s="22"/>
      <c r="C758" s="22"/>
      <c r="D758" s="22"/>
      <c r="E758" s="22"/>
      <c r="F758" s="22"/>
    </row>
    <row r="759" ht="15.75" customHeight="1">
      <c r="A759" s="22"/>
      <c r="B759" s="22"/>
      <c r="C759" s="22"/>
      <c r="D759" s="22"/>
      <c r="E759" s="22"/>
      <c r="F759" s="22"/>
    </row>
    <row r="760" ht="15.75" customHeight="1">
      <c r="A760" s="22"/>
      <c r="B760" s="22"/>
      <c r="C760" s="22"/>
      <c r="D760" s="22"/>
      <c r="E760" s="22"/>
      <c r="F760" s="22"/>
    </row>
    <row r="761" ht="15.75" customHeight="1">
      <c r="A761" s="22"/>
      <c r="B761" s="22"/>
      <c r="C761" s="22"/>
      <c r="D761" s="22"/>
      <c r="E761" s="22"/>
      <c r="F761" s="22"/>
    </row>
    <row r="762" ht="15.75" customHeight="1">
      <c r="A762" s="22"/>
      <c r="B762" s="22"/>
      <c r="C762" s="22"/>
      <c r="D762" s="22"/>
      <c r="E762" s="22"/>
      <c r="F762" s="22"/>
    </row>
    <row r="763" ht="15.75" customHeight="1">
      <c r="A763" s="22"/>
      <c r="B763" s="22"/>
      <c r="C763" s="22"/>
      <c r="D763" s="22"/>
      <c r="E763" s="22"/>
      <c r="F763" s="22"/>
    </row>
    <row r="764" ht="15.75" customHeight="1">
      <c r="A764" s="22"/>
      <c r="B764" s="22"/>
      <c r="C764" s="22"/>
      <c r="D764" s="22"/>
      <c r="E764" s="22"/>
      <c r="F764" s="22"/>
    </row>
    <row r="765" ht="15.75" customHeight="1">
      <c r="A765" s="22"/>
      <c r="B765" s="22"/>
      <c r="C765" s="22"/>
      <c r="D765" s="22"/>
      <c r="E765" s="22"/>
      <c r="F765" s="22"/>
    </row>
    <row r="766" ht="15.75" customHeight="1">
      <c r="A766" s="22"/>
      <c r="B766" s="22"/>
      <c r="C766" s="22"/>
      <c r="D766" s="22"/>
      <c r="E766" s="22"/>
      <c r="F766" s="22"/>
    </row>
    <row r="767" ht="15.75" customHeight="1">
      <c r="A767" s="22"/>
      <c r="B767" s="22"/>
      <c r="C767" s="22"/>
      <c r="D767" s="22"/>
      <c r="E767" s="22"/>
      <c r="F767" s="22"/>
    </row>
    <row r="768" ht="15.75" customHeight="1">
      <c r="A768" s="22"/>
      <c r="B768" s="22"/>
      <c r="C768" s="22"/>
      <c r="D768" s="22"/>
      <c r="E768" s="22"/>
      <c r="F768" s="22"/>
    </row>
    <row r="769" ht="15.75" customHeight="1">
      <c r="A769" s="22"/>
      <c r="B769" s="22"/>
      <c r="C769" s="22"/>
      <c r="D769" s="22"/>
      <c r="E769" s="22"/>
      <c r="F769" s="22"/>
    </row>
    <row r="770" ht="15.75" customHeight="1">
      <c r="A770" s="22"/>
      <c r="B770" s="22"/>
      <c r="C770" s="22"/>
      <c r="D770" s="22"/>
      <c r="E770" s="22"/>
      <c r="F770" s="22"/>
    </row>
    <row r="771" ht="15.75" customHeight="1">
      <c r="A771" s="22"/>
      <c r="B771" s="22"/>
      <c r="C771" s="22"/>
      <c r="D771" s="22"/>
      <c r="E771" s="22"/>
      <c r="F771" s="22"/>
    </row>
    <row r="772" ht="15.75" customHeight="1">
      <c r="A772" s="22"/>
      <c r="B772" s="22"/>
      <c r="C772" s="22"/>
      <c r="D772" s="22"/>
      <c r="E772" s="22"/>
      <c r="F772" s="22"/>
    </row>
    <row r="773" ht="15.75" customHeight="1">
      <c r="A773" s="22"/>
      <c r="B773" s="22"/>
      <c r="C773" s="22"/>
      <c r="D773" s="22"/>
      <c r="E773" s="22"/>
      <c r="F773" s="22"/>
    </row>
    <row r="774" ht="15.75" customHeight="1">
      <c r="A774" s="22"/>
      <c r="B774" s="22"/>
      <c r="C774" s="22"/>
      <c r="D774" s="22"/>
      <c r="E774" s="22"/>
      <c r="F774" s="22"/>
    </row>
    <row r="775" ht="15.75" customHeight="1">
      <c r="A775" s="22"/>
      <c r="B775" s="22"/>
      <c r="C775" s="22"/>
      <c r="D775" s="22"/>
      <c r="E775" s="22"/>
      <c r="F775" s="22"/>
    </row>
    <row r="776" ht="15.75" customHeight="1">
      <c r="A776" s="22"/>
      <c r="B776" s="22"/>
      <c r="C776" s="22"/>
      <c r="D776" s="22"/>
      <c r="E776" s="22"/>
      <c r="F776" s="22"/>
    </row>
    <row r="777" ht="15.75" customHeight="1">
      <c r="A777" s="22"/>
      <c r="B777" s="22"/>
      <c r="C777" s="22"/>
      <c r="D777" s="22"/>
      <c r="E777" s="22"/>
      <c r="F777" s="22"/>
    </row>
    <row r="778" ht="15.75" customHeight="1">
      <c r="A778" s="22"/>
      <c r="B778" s="22"/>
      <c r="C778" s="22"/>
      <c r="D778" s="22"/>
      <c r="E778" s="22"/>
      <c r="F778" s="22"/>
    </row>
    <row r="779" ht="15.75" customHeight="1">
      <c r="A779" s="22"/>
      <c r="B779" s="22"/>
      <c r="C779" s="22"/>
      <c r="D779" s="22"/>
      <c r="E779" s="22"/>
      <c r="F779" s="22"/>
    </row>
    <row r="780" ht="15.75" customHeight="1">
      <c r="A780" s="22"/>
      <c r="B780" s="22"/>
      <c r="C780" s="22"/>
      <c r="D780" s="22"/>
      <c r="E780" s="22"/>
      <c r="F780" s="22"/>
    </row>
    <row r="781" ht="15.75" customHeight="1">
      <c r="A781" s="22"/>
      <c r="B781" s="22"/>
      <c r="C781" s="22"/>
      <c r="D781" s="22"/>
      <c r="E781" s="22"/>
      <c r="F781" s="22"/>
    </row>
    <row r="782" ht="15.75" customHeight="1">
      <c r="A782" s="22"/>
      <c r="B782" s="22"/>
      <c r="C782" s="22"/>
      <c r="D782" s="22"/>
      <c r="E782" s="22"/>
      <c r="F782" s="22"/>
    </row>
    <row r="783" ht="15.75" customHeight="1">
      <c r="A783" s="22"/>
      <c r="B783" s="22"/>
      <c r="C783" s="22"/>
      <c r="D783" s="22"/>
      <c r="E783" s="22"/>
      <c r="F783" s="22"/>
    </row>
    <row r="784" ht="15.75" customHeight="1">
      <c r="A784" s="22"/>
      <c r="B784" s="22"/>
      <c r="C784" s="22"/>
      <c r="D784" s="22"/>
      <c r="E784" s="22"/>
      <c r="F784" s="22"/>
    </row>
    <row r="785" ht="15.75" customHeight="1">
      <c r="A785" s="22"/>
      <c r="B785" s="22"/>
      <c r="C785" s="22"/>
      <c r="D785" s="22"/>
      <c r="E785" s="22"/>
      <c r="F785" s="22"/>
    </row>
    <row r="786" ht="15.75" customHeight="1">
      <c r="A786" s="22"/>
      <c r="B786" s="22"/>
      <c r="C786" s="22"/>
      <c r="D786" s="22"/>
      <c r="E786" s="22"/>
      <c r="F786" s="22"/>
    </row>
    <row r="787" ht="15.75" customHeight="1">
      <c r="A787" s="22"/>
      <c r="B787" s="22"/>
      <c r="C787" s="22"/>
      <c r="D787" s="22"/>
      <c r="E787" s="22"/>
      <c r="F787" s="22"/>
    </row>
    <row r="788" ht="15.75" customHeight="1">
      <c r="A788" s="22"/>
      <c r="B788" s="22"/>
      <c r="C788" s="22"/>
      <c r="D788" s="22"/>
      <c r="E788" s="22"/>
      <c r="F788" s="22"/>
    </row>
    <row r="789" ht="15.75" customHeight="1">
      <c r="A789" s="22"/>
      <c r="B789" s="22"/>
      <c r="C789" s="22"/>
      <c r="D789" s="22"/>
      <c r="E789" s="22"/>
      <c r="F789" s="22"/>
    </row>
    <row r="790" ht="15.75" customHeight="1">
      <c r="A790" s="22"/>
      <c r="B790" s="22"/>
      <c r="C790" s="22"/>
      <c r="D790" s="22"/>
      <c r="E790" s="22"/>
      <c r="F790" s="22"/>
    </row>
    <row r="791" ht="15.75" customHeight="1">
      <c r="A791" s="22"/>
      <c r="B791" s="22"/>
      <c r="C791" s="22"/>
      <c r="D791" s="22"/>
      <c r="E791" s="22"/>
      <c r="F791" s="22"/>
    </row>
    <row r="792" ht="15.75" customHeight="1">
      <c r="A792" s="22"/>
      <c r="B792" s="22"/>
      <c r="C792" s="22"/>
      <c r="D792" s="22"/>
      <c r="E792" s="22"/>
      <c r="F792" s="22"/>
    </row>
    <row r="793" ht="15.75" customHeight="1">
      <c r="A793" s="22"/>
      <c r="B793" s="22"/>
      <c r="C793" s="22"/>
      <c r="D793" s="22"/>
      <c r="E793" s="22"/>
      <c r="F793" s="22"/>
    </row>
    <row r="794" ht="15.75" customHeight="1">
      <c r="A794" s="22"/>
      <c r="B794" s="22"/>
      <c r="C794" s="22"/>
      <c r="D794" s="22"/>
      <c r="E794" s="22"/>
      <c r="F794" s="22"/>
    </row>
    <row r="795" ht="15.75" customHeight="1">
      <c r="A795" s="22"/>
      <c r="B795" s="22"/>
      <c r="C795" s="22"/>
      <c r="D795" s="22"/>
      <c r="E795" s="22"/>
      <c r="F795" s="22"/>
    </row>
    <row r="796" ht="15.75" customHeight="1">
      <c r="A796" s="22"/>
      <c r="B796" s="22"/>
      <c r="C796" s="22"/>
      <c r="D796" s="22"/>
      <c r="E796" s="22"/>
      <c r="F796" s="22"/>
    </row>
    <row r="797" ht="15.75" customHeight="1">
      <c r="A797" s="22"/>
      <c r="B797" s="22"/>
      <c r="C797" s="22"/>
      <c r="D797" s="22"/>
      <c r="E797" s="22"/>
      <c r="F797" s="22"/>
    </row>
    <row r="798" ht="15.75" customHeight="1">
      <c r="A798" s="22"/>
      <c r="B798" s="22"/>
      <c r="C798" s="22"/>
      <c r="D798" s="22"/>
      <c r="E798" s="22"/>
      <c r="F798" s="22"/>
    </row>
    <row r="799" ht="15.75" customHeight="1">
      <c r="A799" s="22"/>
      <c r="B799" s="22"/>
      <c r="C799" s="22"/>
      <c r="D799" s="22"/>
      <c r="E799" s="22"/>
      <c r="F799" s="22"/>
    </row>
    <row r="800" ht="15.75" customHeight="1">
      <c r="A800" s="22"/>
      <c r="B800" s="22"/>
      <c r="C800" s="22"/>
      <c r="D800" s="22"/>
      <c r="E800" s="22"/>
      <c r="F800" s="22"/>
    </row>
    <row r="801" ht="15.75" customHeight="1">
      <c r="A801" s="22"/>
      <c r="B801" s="22"/>
      <c r="C801" s="22"/>
      <c r="D801" s="22"/>
      <c r="E801" s="22"/>
      <c r="F801" s="22"/>
    </row>
    <row r="802" ht="15.75" customHeight="1">
      <c r="A802" s="22"/>
      <c r="B802" s="22"/>
      <c r="C802" s="22"/>
      <c r="D802" s="22"/>
      <c r="E802" s="22"/>
      <c r="F802" s="22"/>
    </row>
    <row r="803" ht="15.75" customHeight="1">
      <c r="A803" s="22"/>
      <c r="B803" s="22"/>
      <c r="C803" s="22"/>
      <c r="D803" s="22"/>
      <c r="E803" s="22"/>
      <c r="F803" s="22"/>
    </row>
    <row r="804" ht="15.75" customHeight="1">
      <c r="A804" s="22"/>
      <c r="B804" s="22"/>
      <c r="C804" s="22"/>
      <c r="D804" s="22"/>
      <c r="E804" s="22"/>
      <c r="F804" s="22"/>
    </row>
    <row r="805" ht="15.75" customHeight="1">
      <c r="A805" s="22"/>
      <c r="B805" s="22"/>
      <c r="C805" s="22"/>
      <c r="D805" s="22"/>
      <c r="E805" s="22"/>
      <c r="F805" s="22"/>
    </row>
    <row r="806" ht="15.75" customHeight="1">
      <c r="A806" s="22"/>
      <c r="B806" s="22"/>
      <c r="C806" s="22"/>
      <c r="D806" s="22"/>
      <c r="E806" s="22"/>
      <c r="F806" s="22"/>
    </row>
    <row r="807" ht="15.75" customHeight="1">
      <c r="A807" s="22"/>
      <c r="B807" s="22"/>
      <c r="C807" s="22"/>
      <c r="D807" s="22"/>
      <c r="E807" s="22"/>
      <c r="F807" s="22"/>
    </row>
    <row r="808" ht="15.75" customHeight="1">
      <c r="A808" s="22"/>
      <c r="B808" s="22"/>
      <c r="C808" s="22"/>
      <c r="D808" s="22"/>
      <c r="E808" s="22"/>
      <c r="F808" s="22"/>
    </row>
    <row r="809" ht="15.75" customHeight="1">
      <c r="A809" s="22"/>
      <c r="B809" s="22"/>
      <c r="C809" s="22"/>
      <c r="D809" s="22"/>
      <c r="E809" s="22"/>
      <c r="F809" s="22"/>
    </row>
    <row r="810" ht="15.75" customHeight="1">
      <c r="A810" s="22"/>
      <c r="B810" s="22"/>
      <c r="C810" s="22"/>
      <c r="D810" s="22"/>
      <c r="E810" s="22"/>
      <c r="F810" s="22"/>
    </row>
    <row r="811" ht="15.75" customHeight="1">
      <c r="A811" s="22"/>
      <c r="B811" s="22"/>
      <c r="C811" s="22"/>
      <c r="D811" s="22"/>
      <c r="E811" s="22"/>
      <c r="F811" s="22"/>
    </row>
    <row r="812" ht="15.75" customHeight="1">
      <c r="A812" s="22"/>
      <c r="B812" s="22"/>
      <c r="C812" s="22"/>
      <c r="D812" s="22"/>
      <c r="E812" s="22"/>
      <c r="F812" s="22"/>
    </row>
    <row r="813" ht="15.75" customHeight="1">
      <c r="A813" s="22"/>
      <c r="B813" s="22"/>
      <c r="C813" s="22"/>
      <c r="D813" s="22"/>
      <c r="E813" s="22"/>
      <c r="F813" s="22"/>
    </row>
    <row r="814" ht="15.75" customHeight="1">
      <c r="A814" s="22"/>
      <c r="B814" s="22"/>
      <c r="C814" s="22"/>
      <c r="D814" s="22"/>
      <c r="E814" s="22"/>
      <c r="F814" s="22"/>
    </row>
    <row r="815" ht="15.75" customHeight="1">
      <c r="A815" s="22"/>
      <c r="B815" s="22"/>
      <c r="C815" s="22"/>
      <c r="D815" s="22"/>
      <c r="E815" s="22"/>
      <c r="F815" s="22"/>
    </row>
    <row r="816" ht="15.75" customHeight="1">
      <c r="A816" s="22"/>
      <c r="B816" s="22"/>
      <c r="C816" s="22"/>
      <c r="D816" s="22"/>
      <c r="E816" s="22"/>
      <c r="F816" s="22"/>
    </row>
    <row r="817" ht="15.75" customHeight="1">
      <c r="A817" s="22"/>
      <c r="B817" s="22"/>
      <c r="C817" s="22"/>
      <c r="D817" s="22"/>
      <c r="E817" s="22"/>
      <c r="F817" s="22"/>
    </row>
    <row r="818" ht="15.75" customHeight="1">
      <c r="A818" s="22"/>
      <c r="B818" s="22"/>
      <c r="C818" s="22"/>
      <c r="D818" s="22"/>
      <c r="E818" s="22"/>
      <c r="F818" s="22"/>
    </row>
    <row r="819" ht="15.75" customHeight="1">
      <c r="A819" s="22"/>
      <c r="B819" s="22"/>
      <c r="C819" s="22"/>
      <c r="D819" s="22"/>
      <c r="E819" s="22"/>
      <c r="F819" s="22"/>
    </row>
    <row r="820" ht="15.75" customHeight="1">
      <c r="A820" s="22"/>
      <c r="B820" s="22"/>
      <c r="C820" s="22"/>
      <c r="D820" s="22"/>
      <c r="E820" s="22"/>
      <c r="F820" s="22"/>
    </row>
    <row r="821" ht="15.75" customHeight="1">
      <c r="A821" s="22"/>
      <c r="B821" s="22"/>
      <c r="C821" s="22"/>
      <c r="D821" s="22"/>
      <c r="E821" s="22"/>
      <c r="F821" s="22"/>
    </row>
    <row r="822" ht="15.75" customHeight="1">
      <c r="A822" s="22"/>
      <c r="B822" s="22"/>
      <c r="C822" s="22"/>
      <c r="D822" s="22"/>
      <c r="E822" s="22"/>
      <c r="F822" s="22"/>
    </row>
    <row r="823" ht="15.75" customHeight="1">
      <c r="A823" s="22"/>
      <c r="B823" s="22"/>
      <c r="C823" s="22"/>
      <c r="D823" s="22"/>
      <c r="E823" s="22"/>
      <c r="F823" s="22"/>
    </row>
    <row r="824" ht="15.75" customHeight="1">
      <c r="A824" s="22"/>
      <c r="B824" s="22"/>
      <c r="C824" s="22"/>
      <c r="D824" s="22"/>
      <c r="E824" s="22"/>
      <c r="F824" s="22"/>
    </row>
    <row r="825" ht="15.75" customHeight="1">
      <c r="A825" s="22"/>
      <c r="B825" s="22"/>
      <c r="C825" s="22"/>
      <c r="D825" s="22"/>
      <c r="E825" s="22"/>
      <c r="F825" s="22"/>
    </row>
    <row r="826" ht="15.75" customHeight="1">
      <c r="A826" s="22"/>
      <c r="B826" s="22"/>
      <c r="C826" s="22"/>
      <c r="D826" s="22"/>
      <c r="E826" s="22"/>
      <c r="F826" s="22"/>
    </row>
    <row r="827" ht="15.75" customHeight="1">
      <c r="A827" s="22"/>
      <c r="B827" s="22"/>
      <c r="C827" s="22"/>
      <c r="D827" s="22"/>
      <c r="E827" s="22"/>
      <c r="F827" s="22"/>
    </row>
    <row r="828" ht="15.75" customHeight="1">
      <c r="A828" s="22"/>
      <c r="B828" s="22"/>
      <c r="C828" s="22"/>
      <c r="D828" s="22"/>
      <c r="E828" s="22"/>
      <c r="F828" s="22"/>
    </row>
    <row r="829" ht="15.75" customHeight="1">
      <c r="A829" s="22"/>
      <c r="B829" s="22"/>
      <c r="C829" s="22"/>
      <c r="D829" s="22"/>
      <c r="E829" s="22"/>
      <c r="F829" s="22"/>
    </row>
    <row r="830" ht="15.75" customHeight="1">
      <c r="A830" s="22"/>
      <c r="B830" s="22"/>
      <c r="C830" s="22"/>
      <c r="D830" s="22"/>
      <c r="E830" s="22"/>
      <c r="F830" s="22"/>
    </row>
    <row r="831" ht="15.75" customHeight="1">
      <c r="A831" s="22"/>
      <c r="B831" s="22"/>
      <c r="C831" s="22"/>
      <c r="D831" s="22"/>
      <c r="E831" s="22"/>
      <c r="F831" s="22"/>
    </row>
    <row r="832" ht="15.75" customHeight="1">
      <c r="A832" s="22"/>
      <c r="B832" s="22"/>
      <c r="C832" s="22"/>
      <c r="D832" s="22"/>
      <c r="E832" s="22"/>
      <c r="F832" s="22"/>
    </row>
    <row r="833" ht="15.75" customHeight="1">
      <c r="A833" s="22"/>
      <c r="B833" s="22"/>
      <c r="C833" s="22"/>
      <c r="D833" s="22"/>
      <c r="E833" s="22"/>
      <c r="F833" s="22"/>
    </row>
    <row r="834" ht="15.75" customHeight="1">
      <c r="A834" s="22"/>
      <c r="B834" s="22"/>
      <c r="C834" s="22"/>
      <c r="D834" s="22"/>
      <c r="E834" s="22"/>
      <c r="F834" s="22"/>
    </row>
    <row r="835" ht="15.75" customHeight="1">
      <c r="A835" s="22"/>
      <c r="B835" s="22"/>
      <c r="C835" s="22"/>
      <c r="D835" s="22"/>
      <c r="E835" s="22"/>
      <c r="F835" s="22"/>
    </row>
    <row r="836" ht="15.75" customHeight="1">
      <c r="A836" s="22"/>
      <c r="B836" s="22"/>
      <c r="C836" s="22"/>
      <c r="D836" s="22"/>
      <c r="E836" s="22"/>
      <c r="F836" s="22"/>
    </row>
    <row r="837" ht="15.75" customHeight="1">
      <c r="A837" s="22"/>
      <c r="B837" s="22"/>
      <c r="C837" s="22"/>
      <c r="D837" s="22"/>
      <c r="E837" s="22"/>
      <c r="F837" s="22"/>
    </row>
    <row r="838" ht="15.75" customHeight="1">
      <c r="A838" s="22"/>
      <c r="B838" s="22"/>
      <c r="C838" s="22"/>
      <c r="D838" s="22"/>
      <c r="E838" s="22"/>
      <c r="F838" s="22"/>
    </row>
    <row r="839" ht="15.75" customHeight="1">
      <c r="A839" s="22"/>
      <c r="B839" s="22"/>
      <c r="C839" s="22"/>
      <c r="D839" s="22"/>
      <c r="E839" s="22"/>
      <c r="F839" s="22"/>
    </row>
    <row r="840" ht="15.75" customHeight="1">
      <c r="A840" s="22"/>
      <c r="B840" s="22"/>
      <c r="C840" s="22"/>
      <c r="D840" s="22"/>
      <c r="E840" s="22"/>
      <c r="F840" s="22"/>
    </row>
    <row r="841" ht="15.75" customHeight="1">
      <c r="A841" s="22"/>
      <c r="B841" s="22"/>
      <c r="C841" s="22"/>
      <c r="D841" s="22"/>
      <c r="E841" s="22"/>
      <c r="F841" s="22"/>
    </row>
    <row r="842" ht="15.75" customHeight="1">
      <c r="A842" s="22"/>
      <c r="B842" s="22"/>
      <c r="C842" s="22"/>
      <c r="D842" s="22"/>
      <c r="E842" s="22"/>
      <c r="F842" s="22"/>
    </row>
    <row r="843" ht="15.75" customHeight="1">
      <c r="A843" s="22"/>
      <c r="B843" s="22"/>
      <c r="C843" s="22"/>
      <c r="D843" s="22"/>
      <c r="E843" s="22"/>
      <c r="F843" s="22"/>
    </row>
    <row r="844" ht="15.75" customHeight="1">
      <c r="A844" s="22"/>
      <c r="B844" s="22"/>
      <c r="C844" s="22"/>
      <c r="D844" s="22"/>
      <c r="E844" s="22"/>
      <c r="F844" s="22"/>
    </row>
    <row r="845" ht="15.75" customHeight="1">
      <c r="A845" s="22"/>
      <c r="B845" s="22"/>
      <c r="C845" s="22"/>
      <c r="D845" s="22"/>
      <c r="E845" s="22"/>
      <c r="F845" s="22"/>
    </row>
    <row r="846" ht="15.75" customHeight="1">
      <c r="A846" s="22"/>
      <c r="B846" s="22"/>
      <c r="C846" s="22"/>
      <c r="D846" s="22"/>
      <c r="E846" s="22"/>
      <c r="F846" s="22"/>
    </row>
    <row r="847" ht="15.75" customHeight="1">
      <c r="A847" s="22"/>
      <c r="B847" s="22"/>
      <c r="C847" s="22"/>
      <c r="D847" s="22"/>
      <c r="E847" s="22"/>
      <c r="F847" s="22"/>
    </row>
    <row r="848" ht="15.75" customHeight="1">
      <c r="A848" s="22"/>
      <c r="B848" s="22"/>
      <c r="C848" s="22"/>
      <c r="D848" s="22"/>
      <c r="E848" s="22"/>
      <c r="F848" s="22"/>
    </row>
    <row r="849" ht="15.75" customHeight="1">
      <c r="A849" s="22"/>
      <c r="B849" s="22"/>
      <c r="C849" s="22"/>
      <c r="D849" s="22"/>
      <c r="E849" s="22"/>
      <c r="F849" s="22"/>
    </row>
    <row r="850" ht="15.75" customHeight="1">
      <c r="A850" s="22"/>
      <c r="B850" s="22"/>
      <c r="C850" s="22"/>
      <c r="D850" s="22"/>
      <c r="E850" s="22"/>
      <c r="F850" s="22"/>
    </row>
    <row r="851" ht="15.75" customHeight="1">
      <c r="A851" s="22"/>
      <c r="B851" s="22"/>
      <c r="C851" s="22"/>
      <c r="D851" s="22"/>
      <c r="E851" s="22"/>
      <c r="F851" s="22"/>
    </row>
    <row r="852" ht="15.75" customHeight="1">
      <c r="A852" s="22"/>
      <c r="B852" s="22"/>
      <c r="C852" s="22"/>
      <c r="D852" s="22"/>
      <c r="E852" s="22"/>
      <c r="F852" s="22"/>
    </row>
    <row r="853" ht="15.75" customHeight="1">
      <c r="A853" s="22"/>
      <c r="B853" s="22"/>
      <c r="C853" s="22"/>
      <c r="D853" s="22"/>
      <c r="E853" s="22"/>
      <c r="F853" s="22"/>
    </row>
    <row r="854" ht="15.75" customHeight="1">
      <c r="A854" s="22"/>
      <c r="B854" s="22"/>
      <c r="C854" s="22"/>
      <c r="D854" s="22"/>
      <c r="E854" s="22"/>
      <c r="F854" s="22"/>
    </row>
    <row r="855" ht="15.75" customHeight="1">
      <c r="A855" s="22"/>
      <c r="B855" s="22"/>
      <c r="C855" s="22"/>
      <c r="D855" s="22"/>
      <c r="E855" s="22"/>
      <c r="F855" s="22"/>
    </row>
    <row r="856" ht="15.75" customHeight="1">
      <c r="A856" s="22"/>
      <c r="B856" s="22"/>
      <c r="C856" s="22"/>
      <c r="D856" s="22"/>
      <c r="E856" s="22"/>
      <c r="F856" s="22"/>
    </row>
    <row r="857" ht="15.75" customHeight="1">
      <c r="A857" s="22"/>
      <c r="B857" s="22"/>
      <c r="C857" s="22"/>
      <c r="D857" s="22"/>
      <c r="E857" s="22"/>
      <c r="F857" s="22"/>
    </row>
    <row r="858" ht="15.75" customHeight="1">
      <c r="A858" s="22"/>
      <c r="B858" s="22"/>
      <c r="C858" s="22"/>
      <c r="D858" s="22"/>
      <c r="E858" s="22"/>
      <c r="F858" s="22"/>
    </row>
    <row r="859" ht="15.75" customHeight="1">
      <c r="A859" s="22"/>
      <c r="B859" s="22"/>
      <c r="C859" s="22"/>
      <c r="D859" s="22"/>
      <c r="E859" s="22"/>
      <c r="F859" s="22"/>
    </row>
    <row r="860" ht="15.75" customHeight="1">
      <c r="A860" s="22"/>
      <c r="B860" s="22"/>
      <c r="C860" s="22"/>
      <c r="D860" s="22"/>
      <c r="E860" s="22"/>
      <c r="F860" s="22"/>
    </row>
    <row r="861" ht="15.75" customHeight="1">
      <c r="A861" s="22"/>
      <c r="B861" s="22"/>
      <c r="C861" s="22"/>
      <c r="D861" s="22"/>
      <c r="E861" s="22"/>
      <c r="F861" s="22"/>
    </row>
    <row r="862" ht="15.75" customHeight="1">
      <c r="A862" s="22"/>
      <c r="B862" s="22"/>
      <c r="C862" s="22"/>
      <c r="D862" s="22"/>
      <c r="E862" s="22"/>
      <c r="F862" s="22"/>
    </row>
    <row r="863" ht="15.75" customHeight="1">
      <c r="A863" s="22"/>
      <c r="B863" s="22"/>
      <c r="C863" s="22"/>
      <c r="D863" s="22"/>
      <c r="E863" s="22"/>
      <c r="F863" s="22"/>
    </row>
    <row r="864" ht="15.75" customHeight="1">
      <c r="A864" s="22"/>
      <c r="B864" s="22"/>
      <c r="C864" s="22"/>
      <c r="D864" s="22"/>
      <c r="E864" s="22"/>
      <c r="F864" s="22"/>
    </row>
    <row r="865" ht="15.75" customHeight="1">
      <c r="A865" s="22"/>
      <c r="B865" s="22"/>
      <c r="C865" s="22"/>
      <c r="D865" s="22"/>
      <c r="E865" s="22"/>
      <c r="F865" s="22"/>
    </row>
    <row r="866" ht="15.75" customHeight="1">
      <c r="A866" s="22"/>
      <c r="B866" s="22"/>
      <c r="C866" s="22"/>
      <c r="D866" s="22"/>
      <c r="E866" s="22"/>
      <c r="F866" s="22"/>
    </row>
    <row r="867" ht="15.75" customHeight="1">
      <c r="A867" s="22"/>
      <c r="B867" s="22"/>
      <c r="C867" s="22"/>
      <c r="D867" s="22"/>
      <c r="E867" s="22"/>
      <c r="F867" s="22"/>
    </row>
    <row r="868" ht="15.75" customHeight="1">
      <c r="A868" s="22"/>
      <c r="B868" s="22"/>
      <c r="C868" s="22"/>
      <c r="D868" s="22"/>
      <c r="E868" s="22"/>
      <c r="F868" s="22"/>
    </row>
    <row r="869" ht="15.75" customHeight="1">
      <c r="A869" s="22"/>
      <c r="B869" s="22"/>
      <c r="C869" s="22"/>
      <c r="D869" s="22"/>
      <c r="E869" s="22"/>
      <c r="F869" s="22"/>
    </row>
    <row r="870" ht="15.75" customHeight="1">
      <c r="A870" s="22"/>
      <c r="B870" s="22"/>
      <c r="C870" s="22"/>
      <c r="D870" s="22"/>
      <c r="E870" s="22"/>
      <c r="F870" s="22"/>
    </row>
    <row r="871" ht="15.75" customHeight="1">
      <c r="A871" s="22"/>
      <c r="B871" s="22"/>
      <c r="C871" s="22"/>
      <c r="D871" s="22"/>
      <c r="E871" s="22"/>
      <c r="F871" s="22"/>
    </row>
    <row r="872" ht="15.75" customHeight="1">
      <c r="A872" s="22"/>
      <c r="B872" s="22"/>
      <c r="C872" s="22"/>
      <c r="D872" s="22"/>
      <c r="E872" s="22"/>
      <c r="F872" s="22"/>
    </row>
    <row r="873" ht="15.75" customHeight="1">
      <c r="A873" s="22"/>
      <c r="B873" s="22"/>
      <c r="C873" s="22"/>
      <c r="D873" s="22"/>
      <c r="E873" s="22"/>
      <c r="F873" s="22"/>
    </row>
    <row r="874" ht="15.75" customHeight="1">
      <c r="A874" s="22"/>
      <c r="B874" s="22"/>
      <c r="C874" s="22"/>
      <c r="D874" s="22"/>
      <c r="E874" s="22"/>
      <c r="F874" s="22"/>
    </row>
    <row r="875" ht="15.75" customHeight="1">
      <c r="A875" s="22"/>
      <c r="B875" s="22"/>
      <c r="C875" s="22"/>
      <c r="D875" s="22"/>
      <c r="E875" s="22"/>
      <c r="F875" s="22"/>
    </row>
    <row r="876" ht="15.75" customHeight="1">
      <c r="A876" s="22"/>
      <c r="B876" s="22"/>
      <c r="C876" s="22"/>
      <c r="D876" s="22"/>
      <c r="E876" s="22"/>
      <c r="F876" s="22"/>
    </row>
    <row r="877" ht="15.75" customHeight="1">
      <c r="A877" s="22"/>
      <c r="B877" s="22"/>
      <c r="C877" s="22"/>
      <c r="D877" s="22"/>
      <c r="E877" s="22"/>
      <c r="F877" s="22"/>
    </row>
    <row r="878" ht="15.75" customHeight="1">
      <c r="A878" s="22"/>
      <c r="B878" s="22"/>
      <c r="C878" s="22"/>
      <c r="D878" s="22"/>
      <c r="E878" s="22"/>
      <c r="F878" s="22"/>
    </row>
    <row r="879" ht="15.75" customHeight="1">
      <c r="A879" s="22"/>
      <c r="B879" s="22"/>
      <c r="C879" s="22"/>
      <c r="D879" s="22"/>
      <c r="E879" s="22"/>
      <c r="F879" s="22"/>
    </row>
    <row r="880" ht="15.75" customHeight="1">
      <c r="A880" s="22"/>
      <c r="B880" s="22"/>
      <c r="C880" s="22"/>
      <c r="D880" s="22"/>
      <c r="E880" s="22"/>
      <c r="F880" s="22"/>
    </row>
    <row r="881" ht="15.75" customHeight="1">
      <c r="A881" s="22"/>
      <c r="B881" s="22"/>
      <c r="C881" s="22"/>
      <c r="D881" s="22"/>
      <c r="E881" s="22"/>
      <c r="F881" s="22"/>
    </row>
    <row r="882" ht="15.75" customHeight="1">
      <c r="A882" s="22"/>
      <c r="B882" s="22"/>
      <c r="C882" s="22"/>
      <c r="D882" s="22"/>
      <c r="E882" s="22"/>
      <c r="F882" s="22"/>
    </row>
    <row r="883" ht="15.75" customHeight="1">
      <c r="A883" s="22"/>
      <c r="B883" s="22"/>
      <c r="C883" s="22"/>
      <c r="D883" s="22"/>
      <c r="E883" s="22"/>
      <c r="F883" s="22"/>
    </row>
    <row r="884" ht="15.75" customHeight="1">
      <c r="A884" s="22"/>
      <c r="B884" s="22"/>
      <c r="C884" s="22"/>
      <c r="D884" s="22"/>
      <c r="E884" s="22"/>
      <c r="F884" s="22"/>
    </row>
    <row r="885" ht="15.75" customHeight="1">
      <c r="A885" s="22"/>
      <c r="B885" s="22"/>
      <c r="C885" s="22"/>
      <c r="D885" s="22"/>
      <c r="E885" s="22"/>
      <c r="F885" s="22"/>
    </row>
    <row r="886" ht="15.75" customHeight="1">
      <c r="A886" s="22"/>
      <c r="B886" s="22"/>
      <c r="C886" s="22"/>
      <c r="D886" s="22"/>
      <c r="E886" s="22"/>
      <c r="F886" s="22"/>
    </row>
    <row r="887" ht="15.75" customHeight="1">
      <c r="A887" s="22"/>
      <c r="B887" s="22"/>
      <c r="C887" s="22"/>
      <c r="D887" s="22"/>
      <c r="E887" s="22"/>
      <c r="F887" s="22"/>
    </row>
    <row r="888" ht="15.75" customHeight="1">
      <c r="A888" s="22"/>
      <c r="B888" s="22"/>
      <c r="C888" s="22"/>
      <c r="D888" s="22"/>
      <c r="E888" s="22"/>
      <c r="F888" s="22"/>
    </row>
    <row r="889" ht="15.75" customHeight="1">
      <c r="A889" s="22"/>
      <c r="B889" s="22"/>
      <c r="C889" s="22"/>
      <c r="D889" s="22"/>
      <c r="E889" s="22"/>
      <c r="F889" s="22"/>
    </row>
    <row r="890" ht="15.75" customHeight="1">
      <c r="A890" s="22"/>
      <c r="B890" s="22"/>
      <c r="C890" s="22"/>
      <c r="D890" s="22"/>
      <c r="E890" s="22"/>
      <c r="F890" s="22"/>
    </row>
    <row r="891" ht="15.75" customHeight="1">
      <c r="A891" s="22"/>
      <c r="B891" s="22"/>
      <c r="C891" s="22"/>
      <c r="D891" s="22"/>
      <c r="E891" s="22"/>
      <c r="F891" s="22"/>
    </row>
    <row r="892" ht="15.75" customHeight="1">
      <c r="A892" s="22"/>
      <c r="B892" s="22"/>
      <c r="C892" s="22"/>
      <c r="D892" s="22"/>
      <c r="E892" s="22"/>
      <c r="F892" s="22"/>
    </row>
    <row r="893" ht="15.75" customHeight="1">
      <c r="A893" s="22"/>
      <c r="B893" s="22"/>
      <c r="C893" s="22"/>
      <c r="D893" s="22"/>
      <c r="E893" s="22"/>
      <c r="F893" s="22"/>
    </row>
    <row r="894" ht="15.75" customHeight="1">
      <c r="A894" s="22"/>
      <c r="B894" s="22"/>
      <c r="C894" s="22"/>
      <c r="D894" s="22"/>
      <c r="E894" s="22"/>
      <c r="F894" s="22"/>
    </row>
    <row r="895" ht="15.75" customHeight="1">
      <c r="A895" s="22"/>
      <c r="B895" s="22"/>
      <c r="C895" s="22"/>
      <c r="D895" s="22"/>
      <c r="E895" s="22"/>
      <c r="F895" s="22"/>
    </row>
    <row r="896" ht="15.75" customHeight="1">
      <c r="A896" s="22"/>
      <c r="B896" s="22"/>
      <c r="C896" s="22"/>
      <c r="D896" s="22"/>
      <c r="E896" s="22"/>
      <c r="F896" s="22"/>
    </row>
    <row r="897" ht="15.75" customHeight="1">
      <c r="A897" s="22"/>
      <c r="B897" s="22"/>
      <c r="C897" s="22"/>
      <c r="D897" s="22"/>
      <c r="E897" s="22"/>
      <c r="F897" s="22"/>
    </row>
    <row r="898" ht="15.75" customHeight="1">
      <c r="A898" s="22"/>
      <c r="B898" s="22"/>
      <c r="C898" s="22"/>
      <c r="D898" s="22"/>
      <c r="E898" s="22"/>
      <c r="F898" s="22"/>
    </row>
    <row r="899" ht="15.75" customHeight="1">
      <c r="A899" s="22"/>
      <c r="B899" s="22"/>
      <c r="C899" s="22"/>
      <c r="D899" s="22"/>
      <c r="E899" s="22"/>
      <c r="F899" s="22"/>
    </row>
    <row r="900" ht="15.75" customHeight="1">
      <c r="A900" s="22"/>
      <c r="B900" s="22"/>
      <c r="C900" s="22"/>
      <c r="D900" s="22"/>
      <c r="E900" s="22"/>
      <c r="F900" s="22"/>
    </row>
    <row r="901" ht="15.75" customHeight="1">
      <c r="A901" s="22"/>
      <c r="B901" s="22"/>
      <c r="C901" s="22"/>
      <c r="D901" s="22"/>
      <c r="E901" s="22"/>
      <c r="F901" s="22"/>
    </row>
    <row r="902" ht="15.75" customHeight="1">
      <c r="A902" s="22"/>
      <c r="B902" s="22"/>
      <c r="C902" s="22"/>
      <c r="D902" s="22"/>
      <c r="E902" s="22"/>
      <c r="F902" s="22"/>
    </row>
    <row r="903" ht="15.75" customHeight="1">
      <c r="A903" s="22"/>
      <c r="B903" s="22"/>
      <c r="C903" s="22"/>
      <c r="D903" s="22"/>
      <c r="E903" s="22"/>
      <c r="F903" s="22"/>
    </row>
    <row r="904" ht="15.75" customHeight="1">
      <c r="A904" s="22"/>
      <c r="B904" s="22"/>
      <c r="C904" s="22"/>
      <c r="D904" s="22"/>
      <c r="E904" s="22"/>
      <c r="F904" s="22"/>
    </row>
    <row r="905" ht="15.75" customHeight="1">
      <c r="A905" s="22"/>
      <c r="B905" s="22"/>
      <c r="C905" s="22"/>
      <c r="D905" s="22"/>
      <c r="E905" s="22"/>
      <c r="F905" s="22"/>
    </row>
    <row r="906" ht="15.75" customHeight="1">
      <c r="A906" s="22"/>
      <c r="B906" s="22"/>
      <c r="C906" s="22"/>
      <c r="D906" s="22"/>
      <c r="E906" s="22"/>
      <c r="F906" s="22"/>
    </row>
    <row r="907" ht="15.75" customHeight="1">
      <c r="A907" s="22"/>
      <c r="B907" s="22"/>
      <c r="C907" s="22"/>
      <c r="D907" s="22"/>
      <c r="E907" s="22"/>
      <c r="F907" s="22"/>
    </row>
    <row r="908" ht="15.75" customHeight="1">
      <c r="A908" s="22"/>
      <c r="B908" s="22"/>
      <c r="C908" s="22"/>
      <c r="D908" s="22"/>
      <c r="E908" s="22"/>
      <c r="F908" s="22"/>
    </row>
    <row r="909" ht="15.75" customHeight="1">
      <c r="A909" s="22"/>
      <c r="B909" s="22"/>
      <c r="C909" s="22"/>
      <c r="D909" s="22"/>
      <c r="E909" s="22"/>
      <c r="F909" s="22"/>
    </row>
    <row r="910" ht="15.75" customHeight="1">
      <c r="A910" s="22"/>
      <c r="B910" s="22"/>
      <c r="C910" s="22"/>
      <c r="D910" s="22"/>
      <c r="E910" s="22"/>
      <c r="F910" s="22"/>
    </row>
    <row r="911" ht="15.75" customHeight="1">
      <c r="A911" s="22"/>
      <c r="B911" s="22"/>
      <c r="C911" s="22"/>
      <c r="D911" s="22"/>
      <c r="E911" s="22"/>
      <c r="F911" s="22"/>
    </row>
    <row r="912" ht="15.75" customHeight="1">
      <c r="A912" s="22"/>
      <c r="B912" s="22"/>
      <c r="C912" s="22"/>
      <c r="D912" s="22"/>
      <c r="E912" s="22"/>
      <c r="F912" s="22"/>
    </row>
    <row r="913" ht="15.75" customHeight="1">
      <c r="A913" s="22"/>
      <c r="B913" s="22"/>
      <c r="C913" s="22"/>
      <c r="D913" s="22"/>
      <c r="E913" s="22"/>
      <c r="F913" s="22"/>
    </row>
    <row r="914" ht="15.75" customHeight="1">
      <c r="A914" s="22"/>
      <c r="B914" s="22"/>
      <c r="C914" s="22"/>
      <c r="D914" s="22"/>
      <c r="E914" s="22"/>
      <c r="F914" s="22"/>
    </row>
    <row r="915" ht="15.75" customHeight="1">
      <c r="A915" s="22"/>
      <c r="B915" s="22"/>
      <c r="C915" s="22"/>
      <c r="D915" s="22"/>
      <c r="E915" s="22"/>
      <c r="F915" s="22"/>
    </row>
    <row r="916" ht="15.75" customHeight="1">
      <c r="A916" s="22"/>
      <c r="B916" s="22"/>
      <c r="C916" s="22"/>
      <c r="D916" s="22"/>
      <c r="E916" s="22"/>
      <c r="F916" s="22"/>
    </row>
    <row r="917" ht="15.75" customHeight="1">
      <c r="A917" s="22"/>
      <c r="B917" s="22"/>
      <c r="C917" s="22"/>
      <c r="D917" s="22"/>
      <c r="E917" s="22"/>
      <c r="F917" s="22"/>
    </row>
    <row r="918" ht="15.75" customHeight="1">
      <c r="A918" s="22"/>
      <c r="B918" s="22"/>
      <c r="C918" s="22"/>
      <c r="D918" s="22"/>
      <c r="E918" s="22"/>
      <c r="F918" s="22"/>
    </row>
    <row r="919" ht="15.75" customHeight="1">
      <c r="A919" s="22"/>
      <c r="B919" s="22"/>
      <c r="C919" s="22"/>
      <c r="D919" s="22"/>
      <c r="E919" s="22"/>
      <c r="F919" s="22"/>
    </row>
    <row r="920" ht="15.75" customHeight="1">
      <c r="A920" s="22"/>
      <c r="B920" s="22"/>
      <c r="C920" s="22"/>
      <c r="D920" s="22"/>
      <c r="E920" s="22"/>
      <c r="F920" s="22"/>
    </row>
    <row r="921" ht="15.75" customHeight="1">
      <c r="A921" s="22"/>
      <c r="B921" s="22"/>
      <c r="C921" s="22"/>
      <c r="D921" s="22"/>
      <c r="E921" s="22"/>
      <c r="F921" s="22"/>
    </row>
    <row r="922" ht="15.75" customHeight="1">
      <c r="A922" s="22"/>
      <c r="B922" s="22"/>
      <c r="C922" s="22"/>
      <c r="D922" s="22"/>
      <c r="E922" s="22"/>
      <c r="F922" s="22"/>
    </row>
    <row r="923" ht="15.75" customHeight="1">
      <c r="A923" s="22"/>
      <c r="B923" s="22"/>
      <c r="C923" s="22"/>
      <c r="D923" s="22"/>
      <c r="E923" s="22"/>
      <c r="F923" s="22"/>
    </row>
    <row r="924" ht="15.75" customHeight="1">
      <c r="A924" s="22"/>
      <c r="B924" s="22"/>
      <c r="C924" s="22"/>
      <c r="D924" s="22"/>
      <c r="E924" s="22"/>
      <c r="F924" s="22"/>
    </row>
    <row r="925" ht="15.75" customHeight="1">
      <c r="A925" s="22"/>
      <c r="B925" s="22"/>
      <c r="C925" s="22"/>
      <c r="D925" s="22"/>
      <c r="E925" s="22"/>
      <c r="F925" s="22"/>
    </row>
    <row r="926" ht="15.75" customHeight="1">
      <c r="A926" s="22"/>
      <c r="B926" s="22"/>
      <c r="C926" s="22"/>
      <c r="D926" s="22"/>
      <c r="E926" s="22"/>
      <c r="F926" s="22"/>
    </row>
    <row r="927" ht="15.75" customHeight="1">
      <c r="A927" s="22"/>
      <c r="B927" s="22"/>
      <c r="C927" s="22"/>
      <c r="D927" s="22"/>
      <c r="E927" s="22"/>
      <c r="F927" s="22"/>
    </row>
    <row r="928" ht="15.75" customHeight="1">
      <c r="A928" s="22"/>
      <c r="B928" s="22"/>
      <c r="C928" s="22"/>
      <c r="D928" s="22"/>
      <c r="E928" s="22"/>
      <c r="F928" s="22"/>
    </row>
    <row r="929" ht="15.75" customHeight="1">
      <c r="A929" s="22"/>
      <c r="B929" s="22"/>
      <c r="C929" s="22"/>
      <c r="D929" s="22"/>
      <c r="E929" s="22"/>
      <c r="F929" s="22"/>
    </row>
    <row r="930" ht="15.75" customHeight="1">
      <c r="A930" s="22"/>
      <c r="B930" s="22"/>
      <c r="C930" s="22"/>
      <c r="D930" s="22"/>
      <c r="E930" s="22"/>
      <c r="F930" s="22"/>
    </row>
    <row r="931" ht="15.75" customHeight="1">
      <c r="A931" s="22"/>
      <c r="B931" s="22"/>
      <c r="C931" s="22"/>
      <c r="D931" s="22"/>
      <c r="E931" s="22"/>
      <c r="F931" s="22"/>
    </row>
    <row r="932" ht="15.75" customHeight="1">
      <c r="A932" s="22"/>
      <c r="B932" s="22"/>
      <c r="C932" s="22"/>
      <c r="D932" s="22"/>
      <c r="E932" s="22"/>
      <c r="F932" s="22"/>
    </row>
    <row r="933" ht="15.75" customHeight="1">
      <c r="A933" s="22"/>
      <c r="B933" s="22"/>
      <c r="C933" s="22"/>
      <c r="D933" s="22"/>
      <c r="E933" s="22"/>
      <c r="F933" s="22"/>
    </row>
    <row r="934" ht="15.75" customHeight="1">
      <c r="A934" s="22"/>
      <c r="B934" s="22"/>
      <c r="C934" s="22"/>
      <c r="D934" s="22"/>
      <c r="E934" s="22"/>
      <c r="F934" s="22"/>
    </row>
    <row r="935" ht="15.75" customHeight="1">
      <c r="A935" s="22"/>
      <c r="B935" s="22"/>
      <c r="C935" s="22"/>
      <c r="D935" s="22"/>
      <c r="E935" s="22"/>
      <c r="F935" s="22"/>
    </row>
    <row r="936" ht="15.75" customHeight="1">
      <c r="A936" s="22"/>
      <c r="B936" s="22"/>
      <c r="C936" s="22"/>
      <c r="D936" s="22"/>
      <c r="E936" s="22"/>
      <c r="F936" s="22"/>
    </row>
    <row r="937" ht="15.75" customHeight="1">
      <c r="A937" s="22"/>
      <c r="B937" s="22"/>
      <c r="C937" s="22"/>
      <c r="D937" s="22"/>
      <c r="E937" s="22"/>
      <c r="F937" s="22"/>
    </row>
    <row r="938" ht="15.75" customHeight="1">
      <c r="A938" s="22"/>
      <c r="B938" s="22"/>
      <c r="C938" s="22"/>
      <c r="D938" s="22"/>
      <c r="E938" s="22"/>
      <c r="F938" s="22"/>
    </row>
    <row r="939" ht="15.75" customHeight="1">
      <c r="A939" s="22"/>
      <c r="B939" s="22"/>
      <c r="C939" s="22"/>
      <c r="D939" s="22"/>
      <c r="E939" s="22"/>
      <c r="F939" s="22"/>
    </row>
    <row r="940" ht="15.75" customHeight="1">
      <c r="A940" s="22"/>
      <c r="B940" s="22"/>
      <c r="C940" s="22"/>
      <c r="D940" s="22"/>
      <c r="E940" s="22"/>
      <c r="F940" s="22"/>
    </row>
    <row r="941" ht="15.75" customHeight="1">
      <c r="A941" s="22"/>
      <c r="B941" s="22"/>
      <c r="C941" s="22"/>
      <c r="D941" s="22"/>
      <c r="E941" s="22"/>
      <c r="F941" s="22"/>
    </row>
    <row r="942" ht="15.75" customHeight="1">
      <c r="A942" s="22"/>
      <c r="B942" s="22"/>
      <c r="C942" s="22"/>
      <c r="D942" s="22"/>
      <c r="E942" s="22"/>
      <c r="F942" s="22"/>
    </row>
    <row r="943" ht="15.75" customHeight="1">
      <c r="A943" s="22"/>
      <c r="B943" s="22"/>
      <c r="C943" s="22"/>
      <c r="D943" s="22"/>
      <c r="E943" s="22"/>
      <c r="F943" s="22"/>
    </row>
    <row r="944" ht="15.75" customHeight="1">
      <c r="A944" s="22"/>
      <c r="B944" s="22"/>
      <c r="C944" s="22"/>
      <c r="D944" s="22"/>
      <c r="E944" s="22"/>
      <c r="F944" s="22"/>
    </row>
    <row r="945" ht="15.75" customHeight="1">
      <c r="A945" s="22"/>
      <c r="B945" s="22"/>
      <c r="C945" s="22"/>
      <c r="D945" s="22"/>
      <c r="E945" s="22"/>
      <c r="F945" s="22"/>
    </row>
    <row r="946" ht="15.75" customHeight="1">
      <c r="A946" s="22"/>
      <c r="B946" s="22"/>
      <c r="C946" s="22"/>
      <c r="D946" s="22"/>
      <c r="E946" s="22"/>
      <c r="F946" s="22"/>
    </row>
    <row r="947" ht="15.75" customHeight="1">
      <c r="A947" s="22"/>
      <c r="B947" s="22"/>
      <c r="C947" s="22"/>
      <c r="D947" s="22"/>
      <c r="E947" s="22"/>
      <c r="F947" s="22"/>
    </row>
    <row r="948" ht="15.75" customHeight="1">
      <c r="A948" s="22"/>
      <c r="B948" s="22"/>
      <c r="C948" s="22"/>
      <c r="D948" s="22"/>
      <c r="E948" s="22"/>
      <c r="F948" s="22"/>
    </row>
    <row r="949" ht="15.75" customHeight="1">
      <c r="A949" s="22"/>
      <c r="B949" s="22"/>
      <c r="C949" s="22"/>
      <c r="D949" s="22"/>
      <c r="E949" s="22"/>
      <c r="F949" s="22"/>
    </row>
    <row r="950" ht="15.75" customHeight="1">
      <c r="A950" s="22"/>
      <c r="B950" s="22"/>
      <c r="C950" s="22"/>
      <c r="D950" s="22"/>
      <c r="E950" s="22"/>
      <c r="F950" s="22"/>
    </row>
    <row r="951" ht="15.75" customHeight="1">
      <c r="A951" s="22"/>
      <c r="B951" s="22"/>
      <c r="C951" s="22"/>
      <c r="D951" s="22"/>
      <c r="E951" s="22"/>
      <c r="F951" s="22"/>
    </row>
    <row r="952" ht="15.75" customHeight="1">
      <c r="A952" s="22"/>
      <c r="B952" s="22"/>
      <c r="C952" s="22"/>
      <c r="D952" s="22"/>
      <c r="E952" s="22"/>
      <c r="F952" s="22"/>
    </row>
    <row r="953" ht="15.75" customHeight="1">
      <c r="A953" s="22"/>
      <c r="B953" s="22"/>
      <c r="C953" s="22"/>
      <c r="D953" s="22"/>
      <c r="E953" s="22"/>
      <c r="F953" s="22"/>
    </row>
    <row r="954" ht="15.75" customHeight="1">
      <c r="A954" s="22"/>
      <c r="B954" s="22"/>
      <c r="C954" s="22"/>
      <c r="D954" s="22"/>
      <c r="E954" s="22"/>
      <c r="F954" s="22"/>
    </row>
    <row r="955" ht="15.75" customHeight="1">
      <c r="A955" s="22"/>
      <c r="B955" s="22"/>
      <c r="C955" s="22"/>
      <c r="D955" s="22"/>
      <c r="E955" s="22"/>
      <c r="F955" s="22"/>
    </row>
    <row r="956" ht="15.75" customHeight="1">
      <c r="A956" s="22"/>
      <c r="B956" s="22"/>
      <c r="C956" s="22"/>
      <c r="D956" s="22"/>
      <c r="E956" s="22"/>
      <c r="F956" s="22"/>
    </row>
    <row r="957" ht="15.75" customHeight="1">
      <c r="A957" s="22"/>
      <c r="B957" s="22"/>
      <c r="C957" s="22"/>
      <c r="D957" s="22"/>
      <c r="E957" s="22"/>
      <c r="F957" s="22"/>
    </row>
    <row r="958" ht="15.75" customHeight="1">
      <c r="A958" s="22"/>
      <c r="B958" s="22"/>
      <c r="C958" s="22"/>
      <c r="D958" s="22"/>
      <c r="E958" s="22"/>
      <c r="F958" s="22"/>
    </row>
    <row r="959" ht="15.75" customHeight="1">
      <c r="A959" s="22"/>
      <c r="B959" s="22"/>
      <c r="C959" s="22"/>
      <c r="D959" s="22"/>
      <c r="E959" s="22"/>
      <c r="F959" s="22"/>
    </row>
    <row r="960" ht="15.75" customHeight="1">
      <c r="A960" s="22"/>
      <c r="B960" s="22"/>
      <c r="C960" s="22"/>
      <c r="D960" s="22"/>
      <c r="E960" s="22"/>
      <c r="F960" s="22"/>
    </row>
    <row r="961" ht="15.75" customHeight="1">
      <c r="A961" s="22"/>
      <c r="B961" s="22"/>
      <c r="C961" s="22"/>
      <c r="D961" s="22"/>
      <c r="E961" s="22"/>
      <c r="F961" s="22"/>
    </row>
    <row r="962" ht="15.75" customHeight="1">
      <c r="A962" s="22"/>
      <c r="B962" s="22"/>
      <c r="C962" s="22"/>
      <c r="D962" s="22"/>
      <c r="E962" s="22"/>
      <c r="F962" s="22"/>
    </row>
    <row r="963" ht="15.75" customHeight="1">
      <c r="A963" s="22"/>
      <c r="B963" s="22"/>
      <c r="C963" s="22"/>
      <c r="D963" s="22"/>
      <c r="E963" s="22"/>
      <c r="F963" s="22"/>
    </row>
    <row r="964" ht="15.75" customHeight="1">
      <c r="A964" s="22"/>
      <c r="B964" s="22"/>
      <c r="C964" s="22"/>
      <c r="D964" s="22"/>
      <c r="E964" s="22"/>
      <c r="F964" s="22"/>
    </row>
    <row r="965" ht="15.75" customHeight="1">
      <c r="A965" s="22"/>
      <c r="B965" s="22"/>
      <c r="C965" s="22"/>
      <c r="D965" s="22"/>
      <c r="E965" s="22"/>
      <c r="F965" s="22"/>
    </row>
    <row r="966" ht="15.75" customHeight="1">
      <c r="A966" s="22"/>
      <c r="B966" s="22"/>
      <c r="C966" s="22"/>
      <c r="D966" s="22"/>
      <c r="E966" s="22"/>
      <c r="F966" s="22"/>
    </row>
    <row r="967" ht="15.75" customHeight="1">
      <c r="A967" s="22"/>
      <c r="B967" s="22"/>
      <c r="C967" s="22"/>
      <c r="D967" s="22"/>
      <c r="E967" s="22"/>
      <c r="F967" s="22"/>
    </row>
    <row r="968" ht="15.75" customHeight="1">
      <c r="A968" s="22"/>
      <c r="B968" s="22"/>
      <c r="C968" s="22"/>
      <c r="D968" s="22"/>
      <c r="E968" s="22"/>
      <c r="F968" s="22"/>
    </row>
    <row r="969" ht="15.75" customHeight="1">
      <c r="A969" s="22"/>
      <c r="B969" s="22"/>
      <c r="C969" s="22"/>
      <c r="D969" s="22"/>
      <c r="E969" s="22"/>
      <c r="F969" s="22"/>
    </row>
    <row r="970" ht="15.75" customHeight="1">
      <c r="A970" s="22"/>
      <c r="B970" s="22"/>
      <c r="C970" s="22"/>
      <c r="D970" s="22"/>
      <c r="E970" s="22"/>
      <c r="F970" s="22"/>
    </row>
    <row r="971" ht="15.75" customHeight="1">
      <c r="A971" s="22"/>
      <c r="B971" s="22"/>
      <c r="C971" s="22"/>
      <c r="D971" s="22"/>
      <c r="E971" s="22"/>
      <c r="F971" s="22"/>
    </row>
    <row r="972" ht="15.75" customHeight="1">
      <c r="A972" s="22"/>
      <c r="B972" s="22"/>
      <c r="C972" s="22"/>
      <c r="D972" s="22"/>
      <c r="E972" s="22"/>
      <c r="F972" s="22"/>
    </row>
    <row r="973" ht="15.75" customHeight="1">
      <c r="A973" s="22"/>
      <c r="B973" s="22"/>
      <c r="C973" s="22"/>
      <c r="D973" s="22"/>
      <c r="E973" s="22"/>
      <c r="F973" s="22"/>
    </row>
    <row r="974" ht="15.75" customHeight="1">
      <c r="A974" s="22"/>
      <c r="B974" s="22"/>
      <c r="C974" s="22"/>
      <c r="D974" s="22"/>
      <c r="E974" s="22"/>
      <c r="F974" s="22"/>
    </row>
    <row r="975" ht="15.75" customHeight="1">
      <c r="A975" s="22"/>
      <c r="B975" s="22"/>
      <c r="C975" s="22"/>
      <c r="D975" s="22"/>
      <c r="E975" s="22"/>
      <c r="F975" s="22"/>
    </row>
    <row r="976" ht="15.75" customHeight="1">
      <c r="A976" s="22"/>
      <c r="B976" s="22"/>
      <c r="C976" s="22"/>
      <c r="D976" s="22"/>
      <c r="E976" s="22"/>
      <c r="F976" s="22"/>
    </row>
    <row r="977" ht="15.75" customHeight="1">
      <c r="A977" s="22"/>
      <c r="B977" s="22"/>
      <c r="C977" s="22"/>
      <c r="D977" s="22"/>
      <c r="E977" s="22"/>
      <c r="F977" s="22"/>
    </row>
    <row r="978" ht="15.75" customHeight="1">
      <c r="A978" s="22"/>
      <c r="B978" s="22"/>
      <c r="C978" s="22"/>
      <c r="D978" s="22"/>
      <c r="E978" s="22"/>
      <c r="F978" s="22"/>
    </row>
    <row r="979" ht="15.75" customHeight="1">
      <c r="A979" s="22"/>
      <c r="B979" s="22"/>
      <c r="C979" s="22"/>
      <c r="D979" s="22"/>
      <c r="E979" s="22"/>
      <c r="F979" s="22"/>
    </row>
    <row r="980" ht="15.75" customHeight="1">
      <c r="A980" s="22"/>
      <c r="B980" s="22"/>
      <c r="C980" s="22"/>
      <c r="D980" s="22"/>
      <c r="E980" s="22"/>
      <c r="F980" s="22"/>
    </row>
    <row r="981" ht="15.75" customHeight="1">
      <c r="A981" s="22"/>
      <c r="B981" s="22"/>
      <c r="C981" s="22"/>
      <c r="D981" s="22"/>
      <c r="E981" s="22"/>
      <c r="F981" s="22"/>
    </row>
    <row r="982" ht="15.75" customHeight="1">
      <c r="A982" s="22"/>
      <c r="B982" s="22"/>
      <c r="C982" s="22"/>
      <c r="D982" s="22"/>
      <c r="E982" s="22"/>
      <c r="F982" s="22"/>
    </row>
    <row r="983" ht="15.75" customHeight="1">
      <c r="A983" s="22"/>
      <c r="B983" s="22"/>
      <c r="C983" s="22"/>
      <c r="D983" s="22"/>
      <c r="E983" s="22"/>
      <c r="F983" s="22"/>
    </row>
    <row r="984" ht="15.75" customHeight="1">
      <c r="A984" s="22"/>
      <c r="B984" s="22"/>
      <c r="C984" s="22"/>
      <c r="D984" s="22"/>
      <c r="E984" s="22"/>
      <c r="F984" s="22"/>
    </row>
    <row r="985" ht="15.75" customHeight="1">
      <c r="A985" s="22"/>
      <c r="B985" s="22"/>
      <c r="C985" s="22"/>
      <c r="D985" s="22"/>
      <c r="E985" s="22"/>
      <c r="F985" s="22"/>
    </row>
    <row r="986" ht="15.75" customHeight="1">
      <c r="A986" s="22"/>
      <c r="B986" s="22"/>
      <c r="C986" s="22"/>
      <c r="D986" s="22"/>
      <c r="E986" s="22"/>
      <c r="F986" s="22"/>
    </row>
    <row r="987" ht="15.75" customHeight="1">
      <c r="A987" s="22"/>
      <c r="B987" s="22"/>
      <c r="C987" s="22"/>
      <c r="D987" s="22"/>
      <c r="E987" s="22"/>
      <c r="F987" s="22"/>
    </row>
    <row r="988" ht="15.75" customHeight="1">
      <c r="A988" s="22"/>
      <c r="B988" s="22"/>
      <c r="C988" s="22"/>
      <c r="D988" s="22"/>
      <c r="E988" s="22"/>
      <c r="F988" s="22"/>
    </row>
    <row r="989" ht="15.75" customHeight="1">
      <c r="A989" s="22"/>
      <c r="B989" s="22"/>
      <c r="C989" s="22"/>
      <c r="D989" s="22"/>
      <c r="E989" s="22"/>
      <c r="F989" s="22"/>
    </row>
    <row r="990" ht="15.75" customHeight="1">
      <c r="A990" s="22"/>
      <c r="B990" s="22"/>
      <c r="C990" s="22"/>
      <c r="D990" s="22"/>
      <c r="E990" s="22"/>
      <c r="F990" s="22"/>
    </row>
    <row r="991" ht="15.75" customHeight="1">
      <c r="A991" s="22"/>
      <c r="B991" s="22"/>
      <c r="C991" s="22"/>
      <c r="D991" s="22"/>
      <c r="E991" s="22"/>
      <c r="F991" s="22"/>
    </row>
    <row r="992" ht="15.75" customHeight="1">
      <c r="A992" s="22"/>
      <c r="B992" s="22"/>
      <c r="C992" s="22"/>
      <c r="D992" s="22"/>
      <c r="E992" s="22"/>
      <c r="F992" s="22"/>
    </row>
    <row r="993" ht="15.75" customHeight="1">
      <c r="A993" s="22"/>
      <c r="B993" s="22"/>
      <c r="C993" s="22"/>
      <c r="D993" s="22"/>
      <c r="E993" s="22"/>
      <c r="F993" s="22"/>
    </row>
    <row r="994" ht="15.75" customHeight="1">
      <c r="A994" s="22"/>
      <c r="B994" s="22"/>
      <c r="C994" s="22"/>
      <c r="D994" s="22"/>
      <c r="E994" s="22"/>
      <c r="F994" s="22"/>
    </row>
    <row r="995" ht="15.75" customHeight="1">
      <c r="A995" s="22"/>
      <c r="B995" s="22"/>
      <c r="C995" s="22"/>
      <c r="D995" s="22"/>
      <c r="E995" s="22"/>
      <c r="F995" s="22"/>
    </row>
    <row r="996" ht="15.75" customHeight="1">
      <c r="A996" s="22"/>
      <c r="B996" s="22"/>
      <c r="C996" s="22"/>
      <c r="D996" s="22"/>
      <c r="E996" s="22"/>
      <c r="F996" s="22"/>
    </row>
    <row r="997" ht="15.75" customHeight="1">
      <c r="A997" s="22"/>
      <c r="B997" s="22"/>
      <c r="C997" s="22"/>
      <c r="D997" s="22"/>
      <c r="E997" s="22"/>
      <c r="F997" s="22"/>
    </row>
    <row r="998" ht="15.75" customHeight="1">
      <c r="A998" s="22"/>
      <c r="B998" s="22"/>
      <c r="C998" s="22"/>
      <c r="D998" s="22"/>
      <c r="E998" s="22"/>
      <c r="F998" s="22"/>
    </row>
    <row r="999" ht="15.75" customHeight="1">
      <c r="A999" s="22"/>
      <c r="B999" s="22"/>
      <c r="C999" s="22"/>
      <c r="D999" s="22"/>
      <c r="E999" s="22"/>
      <c r="F999" s="22"/>
    </row>
    <row r="1000" ht="15.75" customHeight="1">
      <c r="A1000" s="22"/>
      <c r="B1000" s="22"/>
      <c r="C1000" s="22"/>
      <c r="D1000" s="22"/>
      <c r="E1000" s="22"/>
      <c r="F1000" s="22"/>
    </row>
  </sheetData>
  <autoFilter ref="$A$3:$E$63"/>
  <mergeCells count="1">
    <mergeCell ref="A1:A2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71"/>
    <col customWidth="1" min="2" max="2" width="22.0"/>
    <col customWidth="1" min="3" max="3" width="11.14"/>
    <col customWidth="1" min="4" max="4" width="12.0"/>
    <col customWidth="1" min="5" max="5" width="15.71"/>
    <col customWidth="1" min="6" max="6" width="23.14"/>
    <col customWidth="1" min="7" max="7" width="17.57"/>
    <col customWidth="1" min="8" max="8" width="26.0"/>
    <col customWidth="1" min="9" max="9" width="14.43"/>
    <col customWidth="1" min="10" max="10" width="24.71"/>
    <col customWidth="1" min="11" max="11" width="15.86"/>
    <col customWidth="1" min="12" max="12" width="14.86"/>
    <col customWidth="1" min="13" max="13" width="23.86"/>
    <col customWidth="1" min="14" max="14" width="42.71"/>
  </cols>
  <sheetData>
    <row r="1" ht="15.0" customHeight="1">
      <c r="A1" s="15" t="s">
        <v>93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"/>
      <c r="Q1" s="1"/>
      <c r="R1" s="1" t="str">
        <f>IF(A4="","",IFERROR(AVERAGEIFS(Assignments!$J:$J,Assignments!$B:$B,A4,Assignments!$E:$E,"Completed"),""))</f>
        <v/>
      </c>
      <c r="S1" s="1"/>
      <c r="T1" s="1"/>
      <c r="U1" s="1"/>
      <c r="V1" s="1"/>
    </row>
    <row r="2" ht="15.0" customHeight="1"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  <c r="Q2" s="1"/>
      <c r="R2" s="1"/>
      <c r="S2" s="1"/>
      <c r="T2" s="1"/>
      <c r="U2" s="1"/>
      <c r="V2" s="1"/>
    </row>
    <row r="3" ht="21.75" customHeight="1">
      <c r="A3" s="23" t="s">
        <v>94</v>
      </c>
      <c r="B3" s="24" t="s">
        <v>95</v>
      </c>
      <c r="C3" s="25" t="s">
        <v>4</v>
      </c>
      <c r="D3" s="25" t="s">
        <v>96</v>
      </c>
      <c r="E3" s="24" t="s">
        <v>97</v>
      </c>
      <c r="F3" s="24" t="s">
        <v>98</v>
      </c>
      <c r="G3" s="24" t="s">
        <v>99</v>
      </c>
      <c r="H3" s="24" t="s">
        <v>100</v>
      </c>
      <c r="I3" s="25" t="s">
        <v>101</v>
      </c>
      <c r="J3" s="24" t="s">
        <v>102</v>
      </c>
      <c r="K3" s="24" t="s">
        <v>103</v>
      </c>
      <c r="L3" s="24" t="s">
        <v>104</v>
      </c>
      <c r="M3" s="24" t="s">
        <v>105</v>
      </c>
      <c r="N3" s="26" t="s">
        <v>73</v>
      </c>
      <c r="O3" s="27"/>
      <c r="P3" s="28" t="s">
        <v>106</v>
      </c>
      <c r="Q3" s="28" t="s">
        <v>107</v>
      </c>
      <c r="R3" s="28" t="s">
        <v>108</v>
      </c>
      <c r="S3" s="28" t="s">
        <v>109</v>
      </c>
      <c r="T3" s="28" t="s">
        <v>110</v>
      </c>
      <c r="U3" s="28" t="s">
        <v>111</v>
      </c>
      <c r="V3" s="28" t="s">
        <v>112</v>
      </c>
    </row>
    <row r="4">
      <c r="A4" s="20" t="s">
        <v>113</v>
      </c>
      <c r="B4" s="20" t="s">
        <v>114</v>
      </c>
      <c r="C4" s="20" t="s">
        <v>115</v>
      </c>
      <c r="D4" s="20" t="str">
        <f t="shared" ref="D4:D76" si="1">IF($C4="Regular","3","5")</f>
        <v>3</v>
      </c>
      <c r="E4" s="2">
        <f>IF($A4="","",COUNTIFS(Assignments!$B$6:$B$305,$A4,Assignments!$E$6:$E$305,"Active"))</f>
        <v>1</v>
      </c>
      <c r="F4" s="2">
        <f>IF($A4="","",COUNTIFS(Assignments!$B$6:$B$305,$A4,Assignments!$D$6:$D$305,"&gt;="&amp;Config!$B$3-7,Assignments!$D$6:$D$305,"&lt;="&amp;Config!$B$3))</f>
        <v>0</v>
      </c>
      <c r="G4" s="2">
        <f>IF($A4="","",MAXIFS(Assignments!$D$6:$D$305,Assignments!$B$6:$B$305,$A4))</f>
        <v>46074</v>
      </c>
      <c r="H4" s="29">
        <f>IF($A4="","",IF($G4="","",Config!$B$3-$G4))</f>
        <v>-3</v>
      </c>
      <c r="I4" s="2">
        <f t="shared" ref="I4:I81" si="2">IF($A4="","",IF($D4=0,"",$E4/$D4))</f>
        <v>0.3333333333</v>
      </c>
      <c r="J4" s="2" t="str">
        <f>IF($A4="","",IFERROR(AVERAGEIFS(Assignments!$N$6:$N$1000,Assignments!$B$6:$B$1000,$A4,Assignments!$E$6:$E$1000,"Completed"),""))</f>
        <v/>
      </c>
      <c r="K4" s="2" t="str">
        <f>IF($A4="","",IFERROR(AVERAGEIFS(Assignments!$AO:$AO,Assignments!$B:$B,$A4,Assignments!$E:$E,"Completed"),""))</f>
        <v/>
      </c>
      <c r="L4" s="2">
        <f>IF($A4="","",IFERROR(COUNTIFS(Assignments!$B$6:$B$1000,$A4,Assignments!$E$6:$E$1000,"Cancelled")/MAX(1,COUNTIFS(Assignments!$B$6:$B$1000,$A4,Assignments!$E$6:$E$1000,"Completed")+COUNTIFS(Assignments!$B$6:$B$1000,$A4,Assignments!$E$6:$E$1000,"Cancelled")),""))</f>
        <v>0</v>
      </c>
      <c r="M4" s="2" t="str">
        <f>IF($A4="","",IFERROR(AVERAGEIFS(Assignments!$P$6:$P$1000,Assignments!$B$6:$B$1000,$A4,Assignments!$E$6:$E$1000,"Completed"),""))</f>
        <v/>
      </c>
      <c r="N4" s="20" t="s">
        <v>116</v>
      </c>
      <c r="O4" s="2"/>
      <c r="P4" s="1">
        <f>IF(A4="","",MAX(0,MIN(3,SUMIFS(Strike_Log!$C:$C,Strike_Log!$B:$B,A4,Strike_Log!$A:$A,"&gt;="&amp;IF(Config!$B$1004="Y",TODAY()-Config!$B$1005,DATE(1900,1,1)),Strike_Log!$I:$I,1))))</f>
        <v>0</v>
      </c>
      <c r="Q4" s="1">
        <f t="shared" ref="Q4:Q500" si="3">IF(P4="",0,CHOOSE(MIN(3,MAX(0,P4))+1,0,0.03,0.07,0.2))</f>
        <v>0</v>
      </c>
      <c r="S4" s="1">
        <f>IF(A4="","",COUNTIFS(Assignments!$B:$B,A4,Assignments!$AE:$AE, "Y",Assignments!$D:$D,"&gt;="&amp;TODAY()-30))</f>
        <v>0</v>
      </c>
      <c r="T4" s="1">
        <f>IF(A4="","",COUNTIFS(Assignments!$AF:$AF,A4,Assignments!$AE:$AE, "Y",Assignments!$D:$D,"&gt;="&amp;TODAY()-30))</f>
        <v>0</v>
      </c>
      <c r="U4" s="1">
        <f>IF(A4="","",IFERROR(S4/MAX(1,COUNTIFS(Assignments!$B:$B,A4,Assignments!$D:$D,"&gt;="&amp;TODAY()-30)),""))</f>
        <v>0</v>
      </c>
      <c r="V4" s="1">
        <f t="shared" ref="V4:V998" si="4">IF(A4="","",T4-S4)</f>
        <v>0</v>
      </c>
    </row>
    <row r="5">
      <c r="A5" s="20" t="s">
        <v>117</v>
      </c>
      <c r="B5" s="20" t="s">
        <v>118</v>
      </c>
      <c r="C5" s="20" t="s">
        <v>115</v>
      </c>
      <c r="D5" s="20" t="str">
        <f t="shared" si="1"/>
        <v>3</v>
      </c>
      <c r="E5" s="2">
        <f>IF($A5="","",COUNTIFS(Assignments!$B$6:$B$305,$A5,Assignments!$E$6:$E$305,"Active"))</f>
        <v>0</v>
      </c>
      <c r="F5" s="2">
        <f>IF($A5="","",COUNTIFS(Assignments!$B$6:$B$305,$A5,Assignments!$D$6:$D$305,"&gt;="&amp;Config!$B$3-7,Assignments!$D$6:$D$305,"&lt;="&amp;Config!$B$3))</f>
        <v>0</v>
      </c>
      <c r="G5" s="2">
        <f>IF($A5="","",MAXIFS(Assignments!$D$6:$D$305,Assignments!$B$6:$B$305,$A5))</f>
        <v>0</v>
      </c>
      <c r="H5" s="29">
        <f>IF($A5="","",IF($G5="","",Config!$B$3-$G5))</f>
        <v>46071</v>
      </c>
      <c r="I5" s="2">
        <f t="shared" si="2"/>
        <v>0</v>
      </c>
      <c r="J5" s="2" t="str">
        <f>IF($A5="","",IFERROR(AVERAGEIFS(Assignments!$N$6:$N$1000,Assignments!$B$6:$B$1000,$A5,Assignments!$E$6:$E$1000,"Completed"),""))</f>
        <v/>
      </c>
      <c r="K5" s="2" t="str">
        <f>IF($A5="","",IFERROR(AVERAGEIFS(Assignments!$AO:$AO,Assignments!$B:$B,$A5,Assignments!$E:$E,"Completed"),""))</f>
        <v/>
      </c>
      <c r="L5" s="2">
        <f>IF($A5="","",IFERROR(COUNTIFS(Assignments!$B$6:$B$1000,$A5,Assignments!$E$6:$E$1000,"Cancelled")/MAX(1,COUNTIFS(Assignments!$B$6:$B$1000,$A5,Assignments!$E$6:$E$1000,"Completed")+COUNTIFS(Assignments!$B$6:$B$1000,$A5,Assignments!$E$6:$E$1000,"Cancelled")),""))</f>
        <v>0</v>
      </c>
      <c r="M5" s="2" t="str">
        <f>IF($A5="","",IFERROR(AVERAGEIFS(Assignments!$P$6:$P$1000,Assignments!$B$6:$B$1000,$A5,Assignments!$E$6:$E$1000,"Completed"),""))</f>
        <v/>
      </c>
      <c r="N5" s="20" t="s">
        <v>116</v>
      </c>
      <c r="O5" s="2"/>
      <c r="P5" s="1">
        <f>IF(A5="","",MAX(0,MIN(3,SUMIFS(Strike_Log!$C:$C,Strike_Log!$B:$B,A5,Strike_Log!$A:$A,"&gt;="&amp;IF(Config!$B$1004="Y",TODAY()-Config!$B$1005,DATE(1900,1,1)),Strike_Log!$I:$I,1))))</f>
        <v>0</v>
      </c>
      <c r="Q5" s="1">
        <f t="shared" si="3"/>
        <v>0</v>
      </c>
      <c r="R5" s="1" t="str">
        <f>IF(A5="","",IFERROR(AVERAGEIFS(Assignments!$J:$J,Assignments!$B:$B,A5,Assignments!$E:$E,"Completed"),""))</f>
        <v/>
      </c>
      <c r="S5" s="1">
        <f>IF(A5="","",COUNTIFS(Assignments!$B:$B,A5,Assignments!$AE:$AE, "Y",Assignments!$D:$D,"&gt;="&amp;TODAY()-30))</f>
        <v>0</v>
      </c>
      <c r="T5" s="1">
        <f>IF(A5="","",COUNTIFS(Assignments!$AF:$AF,A5,Assignments!$AE:$AE, "Y",Assignments!$D:$D,"&gt;="&amp;TODAY()-30))</f>
        <v>0</v>
      </c>
      <c r="U5" s="1">
        <f>IF(A5="","",IFERROR(S5/MAX(1,COUNTIFS(Assignments!$B:$B,A5,Assignments!$D:$D,"&gt;="&amp;TODAY()-30)),""))</f>
        <v>0</v>
      </c>
      <c r="V5" s="1">
        <f t="shared" si="4"/>
        <v>0</v>
      </c>
    </row>
    <row r="6">
      <c r="A6" s="20" t="s">
        <v>119</v>
      </c>
      <c r="B6" s="20" t="s">
        <v>120</v>
      </c>
      <c r="C6" s="20" t="s">
        <v>115</v>
      </c>
      <c r="D6" s="20" t="str">
        <f t="shared" si="1"/>
        <v>3</v>
      </c>
      <c r="E6" s="2">
        <f>IF($A6="","",COUNTIFS(Assignments!$B$6:$B$305,$A6,Assignments!$E$6:$E$305,"Active"))</f>
        <v>0</v>
      </c>
      <c r="F6" s="2">
        <f>IF($A6="","",COUNTIFS(Assignments!$B$6:$B$305,$A6,Assignments!$D$6:$D$305,"&gt;="&amp;Config!$B$3-7,Assignments!$D$6:$D$305,"&lt;="&amp;Config!$B$3))</f>
        <v>0</v>
      </c>
      <c r="G6" s="2">
        <f>IF($A6="","",MAXIFS(Assignments!$D$6:$D$305,Assignments!$B$6:$B$305,$A6))</f>
        <v>0</v>
      </c>
      <c r="H6" s="29">
        <f>IF($A6="","",IF($G6="","",Config!$B$3-$G6))</f>
        <v>46071</v>
      </c>
      <c r="I6" s="2">
        <f t="shared" si="2"/>
        <v>0</v>
      </c>
      <c r="J6" s="2" t="str">
        <f>IF($A6="","",IFERROR(AVERAGEIFS(Assignments!$N$6:$N$1000,Assignments!$B$6:$B$1000,$A6,Assignments!$E$6:$E$1000,"Completed"),""))</f>
        <v/>
      </c>
      <c r="K6" s="2" t="str">
        <f>IF($A6="","",IFERROR(AVERAGEIFS(Assignments!$AO:$AO,Assignments!$B:$B,$A6,Assignments!$E:$E,"Completed"),""))</f>
        <v/>
      </c>
      <c r="L6" s="2">
        <f>IF($A6="","",IFERROR(COUNTIFS(Assignments!$B$6:$B$1000,$A6,Assignments!$E$6:$E$1000,"Cancelled")/MAX(1,COUNTIFS(Assignments!$B$6:$B$1000,$A6,Assignments!$E$6:$E$1000,"Completed")+COUNTIFS(Assignments!$B$6:$B$1000,$A6,Assignments!$E$6:$E$1000,"Cancelled")),""))</f>
        <v>0</v>
      </c>
      <c r="M6" s="2" t="str">
        <f>IF($A6="","",IFERROR(AVERAGEIFS(Assignments!$P$6:$P$1000,Assignments!$B$6:$B$1000,$A6,Assignments!$E$6:$E$1000,"Completed"),""))</f>
        <v/>
      </c>
      <c r="N6" s="20" t="s">
        <v>116</v>
      </c>
      <c r="O6" s="2"/>
      <c r="P6" s="1">
        <f>IF(A6="","",MAX(0,MIN(3,SUMIFS(Strike_Log!$C:$C,Strike_Log!$B:$B,A6,Strike_Log!$A:$A,"&gt;="&amp;IF(Config!$B$1004="Y",TODAY()-Config!$B$1005,DATE(1900,1,1)),Strike_Log!$I:$I,1))))</f>
        <v>0</v>
      </c>
      <c r="Q6" s="1">
        <f t="shared" si="3"/>
        <v>0</v>
      </c>
      <c r="R6" s="1" t="str">
        <f>IF(A6="","",IFERROR(AVERAGEIFS(Assignments!$J:$J,Assignments!$B:$B,A6,Assignments!$E:$E,"Completed"),""))</f>
        <v/>
      </c>
      <c r="S6" s="1">
        <f>IF(A6="","",COUNTIFS(Assignments!$B:$B,A6,Assignments!$AE:$AE, "Y",Assignments!$D:$D,"&gt;="&amp;TODAY()-30))</f>
        <v>0</v>
      </c>
      <c r="T6" s="1">
        <f>IF(A6="","",COUNTIFS(Assignments!$AF:$AF,A6,Assignments!$AE:$AE, "Y",Assignments!$D:$D,"&gt;="&amp;TODAY()-30))</f>
        <v>0</v>
      </c>
      <c r="U6" s="1">
        <f>IF(A6="","",IFERROR(S6/MAX(1,COUNTIFS(Assignments!$B:$B,A6,Assignments!$D:$D,"&gt;="&amp;TODAY()-30)),""))</f>
        <v>0</v>
      </c>
      <c r="V6" s="1">
        <f t="shared" si="4"/>
        <v>0</v>
      </c>
    </row>
    <row r="7">
      <c r="A7" s="20" t="s">
        <v>121</v>
      </c>
      <c r="B7" s="20" t="s">
        <v>122</v>
      </c>
      <c r="C7" s="20" t="s">
        <v>115</v>
      </c>
      <c r="D7" s="20" t="str">
        <f t="shared" si="1"/>
        <v>3</v>
      </c>
      <c r="E7" s="2">
        <f>IF($A7="","",COUNTIFS(Assignments!$B$6:$B$305,$A7,Assignments!$E$6:$E$305,"Active"))</f>
        <v>0</v>
      </c>
      <c r="F7" s="2">
        <f>IF($A7="","",COUNTIFS(Assignments!$B$6:$B$305,$A7,Assignments!$D$6:$D$305,"&gt;="&amp;Config!$B$3-7,Assignments!$D$6:$D$305,"&lt;="&amp;Config!$B$3))</f>
        <v>0</v>
      </c>
      <c r="G7" s="2">
        <f>IF($A7="","",MAXIFS(Assignments!$D$6:$D$305,Assignments!$B$6:$B$305,$A7))</f>
        <v>0</v>
      </c>
      <c r="H7" s="29">
        <f>IF($A7="","",IF($G7="","",Config!$B$3-$G7))</f>
        <v>46071</v>
      </c>
      <c r="I7" s="2">
        <f t="shared" si="2"/>
        <v>0</v>
      </c>
      <c r="J7" s="2" t="str">
        <f>IF($A7="","",IFERROR(AVERAGEIFS(Assignments!$N$6:$N$1000,Assignments!$B$6:$B$1000,$A7,Assignments!$E$6:$E$1000,"Completed"),""))</f>
        <v/>
      </c>
      <c r="K7" s="2" t="str">
        <f>IF($A7="","",IFERROR(AVERAGEIFS(Assignments!$AO:$AO,Assignments!$B:$B,$A7,Assignments!$E:$E,"Completed"),""))</f>
        <v/>
      </c>
      <c r="L7" s="2">
        <f>IF($A7="","",IFERROR(COUNTIFS(Assignments!$B$6:$B$1000,$A7,Assignments!$E$6:$E$1000,"Cancelled")/MAX(1,COUNTIFS(Assignments!$B$6:$B$1000,$A7,Assignments!$E$6:$E$1000,"Completed")+COUNTIFS(Assignments!$B$6:$B$1000,$A7,Assignments!$E$6:$E$1000,"Cancelled")),""))</f>
        <v>0</v>
      </c>
      <c r="M7" s="2" t="str">
        <f>IF($A7="","",IFERROR(AVERAGEIFS(Assignments!$P$6:$P$1000,Assignments!$B$6:$B$1000,$A7,Assignments!$E$6:$E$1000,"Completed"),""))</f>
        <v/>
      </c>
      <c r="N7" s="20" t="s">
        <v>116</v>
      </c>
      <c r="O7" s="2"/>
      <c r="P7" s="1">
        <f>IF(A7="","",MAX(0,MIN(3,SUMIFS(Strike_Log!$C:$C,Strike_Log!$B:$B,A7,Strike_Log!$A:$A,"&gt;="&amp;IF(Config!$B$1004="Y",TODAY()-Config!$B$1005,DATE(1900,1,1)),Strike_Log!$I:$I,1))))</f>
        <v>0</v>
      </c>
      <c r="Q7" s="1">
        <f t="shared" si="3"/>
        <v>0</v>
      </c>
      <c r="R7" s="1" t="str">
        <f>IF(A7="","",IFERROR(AVERAGEIFS(Assignments!$J:$J,Assignments!$B:$B,A7,Assignments!$E:$E,"Completed"),""))</f>
        <v/>
      </c>
      <c r="S7" s="1">
        <f>IF(A7="","",COUNTIFS(Assignments!$B:$B,A7,Assignments!$AE:$AE, "Y",Assignments!$D:$D,"&gt;="&amp;TODAY()-30))</f>
        <v>0</v>
      </c>
      <c r="T7" s="1">
        <f>IF(A7="","",COUNTIFS(Assignments!$AF:$AF,A7,Assignments!$AE:$AE, "Y",Assignments!$D:$D,"&gt;="&amp;TODAY()-30))</f>
        <v>0</v>
      </c>
      <c r="U7" s="1">
        <f>IF(A7="","",IFERROR(S7/MAX(1,COUNTIFS(Assignments!$B:$B,A7,Assignments!$D:$D,"&gt;="&amp;TODAY()-30)),""))</f>
        <v>0</v>
      </c>
      <c r="V7" s="1">
        <f t="shared" si="4"/>
        <v>0</v>
      </c>
    </row>
    <row r="8">
      <c r="A8" s="20" t="s">
        <v>123</v>
      </c>
      <c r="B8" s="20" t="s">
        <v>124</v>
      </c>
      <c r="C8" s="20" t="s">
        <v>115</v>
      </c>
      <c r="D8" s="20" t="str">
        <f t="shared" si="1"/>
        <v>3</v>
      </c>
      <c r="E8" s="2">
        <f>IF($A8="","",COUNTIFS(Assignments!$B$6:$B$305,$A8,Assignments!$E$6:$E$305,"Active"))</f>
        <v>0</v>
      </c>
      <c r="F8" s="2">
        <f>IF($A8="","",COUNTIFS(Assignments!$B$6:$B$305,$A8,Assignments!$D$6:$D$305,"&gt;="&amp;Config!$B$3-7,Assignments!$D$6:$D$305,"&lt;="&amp;Config!$B$3))</f>
        <v>0</v>
      </c>
      <c r="G8" s="2">
        <f>IF($A8="","",MAXIFS(Assignments!$D$6:$D$305,Assignments!$B$6:$B$305,$A8))</f>
        <v>0</v>
      </c>
      <c r="H8" s="29">
        <f>IF($A8="","",IF($G8="","",Config!$B$3-$G8))</f>
        <v>46071</v>
      </c>
      <c r="I8" s="2">
        <f t="shared" si="2"/>
        <v>0</v>
      </c>
      <c r="J8" s="2" t="str">
        <f>IF($A8="","",IFERROR(AVERAGEIFS(Assignments!$N$6:$N$1000,Assignments!$B$6:$B$1000,$A8,Assignments!$E$6:$E$1000,"Completed"),""))</f>
        <v/>
      </c>
      <c r="K8" s="2" t="str">
        <f>IF($A8="","",IFERROR(AVERAGEIFS(Assignments!$AO:$AO,Assignments!$B:$B,$A8,Assignments!$E:$E,"Completed"),""))</f>
        <v/>
      </c>
      <c r="L8" s="2">
        <f>IF($A8="","",IFERROR(COUNTIFS(Assignments!$B$6:$B$1000,$A8,Assignments!$E$6:$E$1000,"Cancelled")/MAX(1,COUNTIFS(Assignments!$B$6:$B$1000,$A8,Assignments!$E$6:$E$1000,"Completed")+COUNTIFS(Assignments!$B$6:$B$1000,$A8,Assignments!$E$6:$E$1000,"Cancelled")),""))</f>
        <v>0</v>
      </c>
      <c r="M8" s="2" t="str">
        <f>IF($A8="","",IFERROR(AVERAGEIFS(Assignments!$P$6:$P$1000,Assignments!$B$6:$B$1000,$A8,Assignments!$E$6:$E$1000,"Completed"),""))</f>
        <v/>
      </c>
      <c r="N8" s="20" t="s">
        <v>116</v>
      </c>
      <c r="O8" s="2"/>
      <c r="P8" s="1">
        <f>IF(A8="","",MAX(0,MIN(3,SUMIFS(Strike_Log!$C:$C,Strike_Log!$B:$B,A8,Strike_Log!$A:$A,"&gt;="&amp;IF(Config!$B$1004="Y",TODAY()-Config!$B$1005,DATE(1900,1,1)),Strike_Log!$I:$I,1))))</f>
        <v>0</v>
      </c>
      <c r="Q8" s="1">
        <f t="shared" si="3"/>
        <v>0</v>
      </c>
      <c r="R8" s="1" t="str">
        <f>IF(A8="","",IFERROR(AVERAGEIFS(Assignments!$J:$J,Assignments!$B:$B,A8,Assignments!$E:$E,"Completed"),""))</f>
        <v/>
      </c>
      <c r="S8" s="1">
        <f>IF(A8="","",COUNTIFS(Assignments!$B:$B,A8,Assignments!$AE:$AE, "Y",Assignments!$D:$D,"&gt;="&amp;TODAY()-30))</f>
        <v>0</v>
      </c>
      <c r="T8" s="1">
        <f>IF(A8="","",COUNTIFS(Assignments!$AF:$AF,A8,Assignments!$AE:$AE, "Y",Assignments!$D:$D,"&gt;="&amp;TODAY()-30))</f>
        <v>0</v>
      </c>
      <c r="U8" s="1">
        <f>IF(A8="","",IFERROR(S8/MAX(1,COUNTIFS(Assignments!$B:$B,A8,Assignments!$D:$D,"&gt;="&amp;TODAY()-30)),""))</f>
        <v>0</v>
      </c>
      <c r="V8" s="1">
        <f t="shared" si="4"/>
        <v>0</v>
      </c>
    </row>
    <row r="9">
      <c r="A9" s="20" t="s">
        <v>125</v>
      </c>
      <c r="B9" s="20" t="s">
        <v>126</v>
      </c>
      <c r="C9" s="20" t="s">
        <v>115</v>
      </c>
      <c r="D9" s="20" t="str">
        <f t="shared" si="1"/>
        <v>3</v>
      </c>
      <c r="E9" s="2">
        <f>IF($A9="","",COUNTIFS(Assignments!$B$6:$B$305,$A9,Assignments!$E$6:$E$305,"Active"))</f>
        <v>0</v>
      </c>
      <c r="F9" s="2">
        <f>IF($A9="","",COUNTIFS(Assignments!$B$6:$B$305,$A9,Assignments!$D$6:$D$305,"&gt;="&amp;Config!$B$3-7,Assignments!$D$6:$D$305,"&lt;="&amp;Config!$B$3))</f>
        <v>0</v>
      </c>
      <c r="G9" s="2">
        <f>IF($A9="","",MAXIFS(Assignments!$D$6:$D$305,Assignments!$B$6:$B$305,$A9))</f>
        <v>0</v>
      </c>
      <c r="H9" s="29">
        <f>IF($A9="","",IF($G9="","",Config!$B$3-$G9))</f>
        <v>46071</v>
      </c>
      <c r="I9" s="2">
        <f t="shared" si="2"/>
        <v>0</v>
      </c>
      <c r="J9" s="2" t="str">
        <f>IF($A9="","",IFERROR(AVERAGEIFS(Assignments!$N$6:$N$1000,Assignments!$B$6:$B$1000,$A9,Assignments!$E$6:$E$1000,"Completed"),""))</f>
        <v/>
      </c>
      <c r="K9" s="2" t="str">
        <f>IF($A9="","",IFERROR(AVERAGEIFS(Assignments!$AO:$AO,Assignments!$B:$B,$A9,Assignments!$E:$E,"Completed"),""))</f>
        <v/>
      </c>
      <c r="L9" s="2">
        <f>IF($A9="","",IFERROR(COUNTIFS(Assignments!$B$6:$B$1000,$A9,Assignments!$E$6:$E$1000,"Cancelled")/MAX(1,COUNTIFS(Assignments!$B$6:$B$1000,$A9,Assignments!$E$6:$E$1000,"Completed")+COUNTIFS(Assignments!$B$6:$B$1000,$A9,Assignments!$E$6:$E$1000,"Cancelled")),""))</f>
        <v>0</v>
      </c>
      <c r="M9" s="2" t="str">
        <f>IF($A9="","",IFERROR(AVERAGEIFS(Assignments!$P$6:$P$1000,Assignments!$B$6:$B$1000,$A9,Assignments!$E$6:$E$1000,"Completed"),""))</f>
        <v/>
      </c>
      <c r="N9" s="20" t="s">
        <v>116</v>
      </c>
      <c r="O9" s="2"/>
      <c r="P9" s="1">
        <f>IF(A9="","",MAX(0,MIN(3,SUMIFS(Strike_Log!$C:$C,Strike_Log!$B:$B,A9,Strike_Log!$A:$A,"&gt;="&amp;IF(Config!$B$1004="Y",TODAY()-Config!$B$1005,DATE(1900,1,1)),Strike_Log!$I:$I,1))))</f>
        <v>0</v>
      </c>
      <c r="Q9" s="1">
        <f t="shared" si="3"/>
        <v>0</v>
      </c>
      <c r="R9" s="1" t="str">
        <f>IF(A9="","",IFERROR(AVERAGEIFS(Assignments!$J:$J,Assignments!$B:$B,A9,Assignments!$E:$E,"Completed"),""))</f>
        <v/>
      </c>
      <c r="S9" s="1">
        <f>IF(A9="","",COUNTIFS(Assignments!$B:$B,A9,Assignments!$AE:$AE, "Y",Assignments!$D:$D,"&gt;="&amp;TODAY()-30))</f>
        <v>0</v>
      </c>
      <c r="T9" s="1">
        <f>IF(A9="","",COUNTIFS(Assignments!$AF:$AF,A9,Assignments!$AE:$AE, "Y",Assignments!$D:$D,"&gt;="&amp;TODAY()-30))</f>
        <v>0</v>
      </c>
      <c r="U9" s="1">
        <f>IF(A9="","",IFERROR(S9/MAX(1,COUNTIFS(Assignments!$B:$B,A9,Assignments!$D:$D,"&gt;="&amp;TODAY()-30)),""))</f>
        <v>0</v>
      </c>
      <c r="V9" s="1">
        <f t="shared" si="4"/>
        <v>0</v>
      </c>
    </row>
    <row r="10">
      <c r="A10" s="20" t="s">
        <v>127</v>
      </c>
      <c r="B10" s="20" t="s">
        <v>128</v>
      </c>
      <c r="C10" s="20" t="s">
        <v>115</v>
      </c>
      <c r="D10" s="20" t="str">
        <f t="shared" si="1"/>
        <v>3</v>
      </c>
      <c r="E10" s="2">
        <f>IF($A10="","",COUNTIFS(Assignments!$B$6:$B$305,$A10,Assignments!$E$6:$E$305,"Active"))</f>
        <v>0</v>
      </c>
      <c r="F10" s="2">
        <f>IF($A10="","",COUNTIFS(Assignments!$B$6:$B$305,$A10,Assignments!$D$6:$D$305,"&gt;="&amp;Config!$B$3-7,Assignments!$D$6:$D$305,"&lt;="&amp;Config!$B$3))</f>
        <v>0</v>
      </c>
      <c r="G10" s="2">
        <f>IF($A10="","",MAXIFS(Assignments!$D$6:$D$305,Assignments!$B$6:$B$305,$A10))</f>
        <v>0</v>
      </c>
      <c r="H10" s="29">
        <f>IF($A10="","",IF($G10="","",Config!$B$3-$G10))</f>
        <v>46071</v>
      </c>
      <c r="I10" s="2">
        <f t="shared" si="2"/>
        <v>0</v>
      </c>
      <c r="J10" s="2" t="str">
        <f>IF($A10="","",IFERROR(AVERAGEIFS(Assignments!$N$6:$N$1000,Assignments!$B$6:$B$1000,$A10,Assignments!$E$6:$E$1000,"Completed"),""))</f>
        <v/>
      </c>
      <c r="K10" s="2" t="str">
        <f>IF($A10="","",IFERROR(AVERAGEIFS(Assignments!$AO:$AO,Assignments!$B:$B,$A10,Assignments!$E:$E,"Completed"),""))</f>
        <v/>
      </c>
      <c r="L10" s="2">
        <f>IF($A10="","",IFERROR(COUNTIFS(Assignments!$B$6:$B$1000,$A10,Assignments!$E$6:$E$1000,"Cancelled")/MAX(1,COUNTIFS(Assignments!$B$6:$B$1000,$A10,Assignments!$E$6:$E$1000,"Completed")+COUNTIFS(Assignments!$B$6:$B$1000,$A10,Assignments!$E$6:$E$1000,"Cancelled")),""))</f>
        <v>0</v>
      </c>
      <c r="M10" s="2" t="str">
        <f>IF($A10="","",IFERROR(AVERAGEIFS(Assignments!$P$6:$P$1000,Assignments!$B$6:$B$1000,$A10,Assignments!$E$6:$E$1000,"Completed"),""))</f>
        <v/>
      </c>
      <c r="N10" s="20" t="s">
        <v>116</v>
      </c>
      <c r="O10" s="2"/>
      <c r="P10" s="1">
        <f>IF(A10="","",MAX(0,MIN(3,SUMIFS(Strike_Log!$C:$C,Strike_Log!$B:$B,A10,Strike_Log!$A:$A,"&gt;="&amp;IF(Config!$B$1004="Y",TODAY()-Config!$B$1005,DATE(1900,1,1)),Strike_Log!$I:$I,1))))</f>
        <v>0</v>
      </c>
      <c r="Q10" s="1">
        <f t="shared" si="3"/>
        <v>0</v>
      </c>
      <c r="R10" s="1" t="str">
        <f>IF(A10="","",IFERROR(AVERAGEIFS(Assignments!$J:$J,Assignments!$B:$B,A10,Assignments!$E:$E,"Completed"),""))</f>
        <v/>
      </c>
      <c r="S10" s="1">
        <f>IF(A10="","",COUNTIFS(Assignments!$B:$B,A10,Assignments!$AE:$AE, "Y",Assignments!$D:$D,"&gt;="&amp;TODAY()-30))</f>
        <v>0</v>
      </c>
      <c r="T10" s="1">
        <f>IF(A10="","",COUNTIFS(Assignments!$AF:$AF,A10,Assignments!$AE:$AE, "Y",Assignments!$D:$D,"&gt;="&amp;TODAY()-30))</f>
        <v>0</v>
      </c>
      <c r="U10" s="1">
        <f>IF(A10="","",IFERROR(S10/MAX(1,COUNTIFS(Assignments!$B:$B,A10,Assignments!$D:$D,"&gt;="&amp;TODAY()-30)),""))</f>
        <v>0</v>
      </c>
      <c r="V10" s="1">
        <f t="shared" si="4"/>
        <v>0</v>
      </c>
    </row>
    <row r="11">
      <c r="A11" s="20" t="s">
        <v>129</v>
      </c>
      <c r="B11" s="20" t="s">
        <v>130</v>
      </c>
      <c r="C11" s="20" t="s">
        <v>115</v>
      </c>
      <c r="D11" s="20" t="str">
        <f t="shared" si="1"/>
        <v>3</v>
      </c>
      <c r="E11" s="2">
        <f>IF($A11="","",COUNTIFS(Assignments!$B$6:$B$305,$A11,Assignments!$E$6:$E$305,"Active"))</f>
        <v>0</v>
      </c>
      <c r="F11" s="2">
        <f>IF($A11="","",COUNTIFS(Assignments!$B$6:$B$305,$A11,Assignments!$D$6:$D$305,"&gt;="&amp;Config!$B$3-7,Assignments!$D$6:$D$305,"&lt;="&amp;Config!$B$3))</f>
        <v>0</v>
      </c>
      <c r="G11" s="2">
        <f>IF($A11="","",MAXIFS(Assignments!$D$6:$D$305,Assignments!$B$6:$B$305,$A11))</f>
        <v>0</v>
      </c>
      <c r="H11" s="29">
        <f>IF($A11="","",IF($G11="","",Config!$B$3-$G11))</f>
        <v>46071</v>
      </c>
      <c r="I11" s="2">
        <f t="shared" si="2"/>
        <v>0</v>
      </c>
      <c r="J11" s="2" t="str">
        <f>IF($A11="","",IFERROR(AVERAGEIFS(Assignments!$N$6:$N$1000,Assignments!$B$6:$B$1000,$A11,Assignments!$E$6:$E$1000,"Completed"),""))</f>
        <v/>
      </c>
      <c r="K11" s="2" t="str">
        <f>IF($A11="","",IFERROR(AVERAGEIFS(Assignments!$AO:$AO,Assignments!$B:$B,$A11,Assignments!$E:$E,"Completed"),""))</f>
        <v/>
      </c>
      <c r="L11" s="2">
        <f>IF($A11="","",IFERROR(COUNTIFS(Assignments!$B$6:$B$1000,$A11,Assignments!$E$6:$E$1000,"Cancelled")/MAX(1,COUNTIFS(Assignments!$B$6:$B$1000,$A11,Assignments!$E$6:$E$1000,"Completed")+COUNTIFS(Assignments!$B$6:$B$1000,$A11,Assignments!$E$6:$E$1000,"Cancelled")),""))</f>
        <v>0</v>
      </c>
      <c r="M11" s="2" t="str">
        <f>IF($A11="","",IFERROR(AVERAGEIFS(Assignments!$P$6:$P$1000,Assignments!$B$6:$B$1000,$A11,Assignments!$E$6:$E$1000,"Completed"),""))</f>
        <v/>
      </c>
      <c r="N11" s="20" t="s">
        <v>116</v>
      </c>
      <c r="O11" s="2"/>
      <c r="P11" s="1">
        <f>IF(A11="","",MAX(0,MIN(3,SUMIFS(Strike_Log!$C:$C,Strike_Log!$B:$B,A11,Strike_Log!$A:$A,"&gt;="&amp;IF(Config!$B$1004="Y",TODAY()-Config!$B$1005,DATE(1900,1,1)),Strike_Log!$I:$I,1))))</f>
        <v>0</v>
      </c>
      <c r="Q11" s="1">
        <f t="shared" si="3"/>
        <v>0</v>
      </c>
      <c r="R11" s="1" t="str">
        <f>IF(A11="","",IFERROR(AVERAGEIFS(Assignments!$J:$J,Assignments!$B:$B,A11,Assignments!$E:$E,"Completed"),""))</f>
        <v/>
      </c>
      <c r="S11" s="1">
        <f>IF(A11="","",COUNTIFS(Assignments!$B:$B,A11,Assignments!$AE:$AE, "Y",Assignments!$D:$D,"&gt;="&amp;TODAY()-30))</f>
        <v>0</v>
      </c>
      <c r="T11" s="1">
        <f>IF(A11="","",COUNTIFS(Assignments!$AF:$AF,A11,Assignments!$AE:$AE, "Y",Assignments!$D:$D,"&gt;="&amp;TODAY()-30))</f>
        <v>0</v>
      </c>
      <c r="U11" s="1">
        <f>IF(A11="","",IFERROR(S11/MAX(1,COUNTIFS(Assignments!$B:$B,A11,Assignments!$D:$D,"&gt;="&amp;TODAY()-30)),""))</f>
        <v>0</v>
      </c>
      <c r="V11" s="1">
        <f t="shared" si="4"/>
        <v>0</v>
      </c>
    </row>
    <row r="12">
      <c r="A12" s="20" t="s">
        <v>131</v>
      </c>
      <c r="B12" s="20" t="s">
        <v>132</v>
      </c>
      <c r="C12" s="20" t="s">
        <v>115</v>
      </c>
      <c r="D12" s="20" t="str">
        <f t="shared" si="1"/>
        <v>3</v>
      </c>
      <c r="E12" s="2">
        <f>IF($A12="","",COUNTIFS(Assignments!$B$6:$B$305,$A12,Assignments!$E$6:$E$305,"Active"))</f>
        <v>0</v>
      </c>
      <c r="F12" s="2">
        <f>IF($A12="","",COUNTIFS(Assignments!$B$6:$B$305,$A12,Assignments!$D$6:$D$305,"&gt;="&amp;Config!$B$3-7,Assignments!$D$6:$D$305,"&lt;="&amp;Config!$B$3))</f>
        <v>0</v>
      </c>
      <c r="G12" s="2">
        <f>IF($A12="","",MAXIFS(Assignments!$D$6:$D$305,Assignments!$B$6:$B$305,$A12))</f>
        <v>0</v>
      </c>
      <c r="H12" s="29">
        <f>IF($A12="","",IF($G12="","",Config!$B$3-$G12))</f>
        <v>46071</v>
      </c>
      <c r="I12" s="2">
        <f t="shared" si="2"/>
        <v>0</v>
      </c>
      <c r="J12" s="2" t="str">
        <f>IF($A12="","",IFERROR(AVERAGEIFS(Assignments!$N$6:$N$1000,Assignments!$B$6:$B$1000,$A12,Assignments!$E$6:$E$1000,"Completed"),""))</f>
        <v/>
      </c>
      <c r="K12" s="2" t="str">
        <f>IF($A12="","",IFERROR(AVERAGEIFS(Assignments!$AO:$AO,Assignments!$B:$B,$A12,Assignments!$E:$E,"Completed"),""))</f>
        <v/>
      </c>
      <c r="L12" s="2">
        <f>IF($A12="","",IFERROR(COUNTIFS(Assignments!$B$6:$B$1000,$A12,Assignments!$E$6:$E$1000,"Cancelled")/MAX(1,COUNTIFS(Assignments!$B$6:$B$1000,$A12,Assignments!$E$6:$E$1000,"Completed")+COUNTIFS(Assignments!$B$6:$B$1000,$A12,Assignments!$E$6:$E$1000,"Cancelled")),""))</f>
        <v>0</v>
      </c>
      <c r="M12" s="2" t="str">
        <f>IF($A12="","",IFERROR(AVERAGEIFS(Assignments!$P$6:$P$1000,Assignments!$B$6:$B$1000,$A12,Assignments!$E$6:$E$1000,"Completed"),""))</f>
        <v/>
      </c>
      <c r="N12" s="20" t="s">
        <v>116</v>
      </c>
      <c r="O12" s="2"/>
      <c r="P12" s="1">
        <f>IF(A12="","",MAX(0,MIN(3,SUMIFS(Strike_Log!$C:$C,Strike_Log!$B:$B,A12,Strike_Log!$A:$A,"&gt;="&amp;IF(Config!$B$1004="Y",TODAY()-Config!$B$1005,DATE(1900,1,1)),Strike_Log!$I:$I,1))))</f>
        <v>0</v>
      </c>
      <c r="Q12" s="1">
        <f t="shared" si="3"/>
        <v>0</v>
      </c>
      <c r="R12" s="1" t="str">
        <f>IF(A12="","",IFERROR(AVERAGEIFS(Assignments!$J:$J,Assignments!$B:$B,A12,Assignments!$E:$E,"Completed"),""))</f>
        <v/>
      </c>
      <c r="S12" s="1">
        <f>IF(A12="","",COUNTIFS(Assignments!$B:$B,A12,Assignments!$AE:$AE, "Y",Assignments!$D:$D,"&gt;="&amp;TODAY()-30))</f>
        <v>0</v>
      </c>
      <c r="T12" s="1">
        <f>IF(A12="","",COUNTIFS(Assignments!$AF:$AF,A12,Assignments!$AE:$AE, "Y",Assignments!$D:$D,"&gt;="&amp;TODAY()-30))</f>
        <v>0</v>
      </c>
      <c r="U12" s="1">
        <f>IF(A12="","",IFERROR(S12/MAX(1,COUNTIFS(Assignments!$B:$B,A12,Assignments!$D:$D,"&gt;="&amp;TODAY()-30)),""))</f>
        <v>0</v>
      </c>
      <c r="V12" s="1">
        <f t="shared" si="4"/>
        <v>0</v>
      </c>
    </row>
    <row r="13">
      <c r="A13" s="20" t="s">
        <v>133</v>
      </c>
      <c r="B13" s="20" t="s">
        <v>134</v>
      </c>
      <c r="C13" s="20" t="s">
        <v>115</v>
      </c>
      <c r="D13" s="20" t="str">
        <f t="shared" si="1"/>
        <v>3</v>
      </c>
      <c r="E13" s="2">
        <f>IF($A13="","",COUNTIFS(Assignments!$B$6:$B$305,$A13,Assignments!$E$6:$E$305,"Active"))</f>
        <v>0</v>
      </c>
      <c r="F13" s="2">
        <f>IF($A13="","",COUNTIFS(Assignments!$B$6:$B$305,$A13,Assignments!$D$6:$D$305,"&gt;="&amp;Config!$B$3-7,Assignments!$D$6:$D$305,"&lt;="&amp;Config!$B$3))</f>
        <v>0</v>
      </c>
      <c r="G13" s="2">
        <f>IF($A13="","",MAXIFS(Assignments!$D$6:$D$305,Assignments!$B$6:$B$305,$A13))</f>
        <v>0</v>
      </c>
      <c r="H13" s="29">
        <f>IF($A13="","",IF($G13="","",Config!$B$3-$G13))</f>
        <v>46071</v>
      </c>
      <c r="I13" s="2">
        <f t="shared" si="2"/>
        <v>0</v>
      </c>
      <c r="J13" s="2" t="str">
        <f>IF($A13="","",IFERROR(AVERAGEIFS(Assignments!$N$6:$N$1000,Assignments!$B$6:$B$1000,$A13,Assignments!$E$6:$E$1000,"Completed"),""))</f>
        <v/>
      </c>
      <c r="K13" s="2" t="str">
        <f>IF($A13="","",IFERROR(AVERAGEIFS(Assignments!$AO:$AO,Assignments!$B:$B,$A13,Assignments!$E:$E,"Completed"),""))</f>
        <v/>
      </c>
      <c r="L13" s="2">
        <f>IF($A13="","",IFERROR(COUNTIFS(Assignments!$B$6:$B$1000,$A13,Assignments!$E$6:$E$1000,"Cancelled")/MAX(1,COUNTIFS(Assignments!$B$6:$B$1000,$A13,Assignments!$E$6:$E$1000,"Completed")+COUNTIFS(Assignments!$B$6:$B$1000,$A13,Assignments!$E$6:$E$1000,"Cancelled")),""))</f>
        <v>0</v>
      </c>
      <c r="M13" s="2" t="str">
        <f>IF($A13="","",IFERROR(AVERAGEIFS(Assignments!$P$6:$P$1000,Assignments!$B$6:$B$1000,$A13,Assignments!$E$6:$E$1000,"Completed"),""))</f>
        <v/>
      </c>
      <c r="N13" s="20" t="s">
        <v>116</v>
      </c>
      <c r="O13" s="2"/>
      <c r="P13" s="1">
        <f>IF(A13="","",MAX(0,MIN(3,SUMIFS(Strike_Log!$C:$C,Strike_Log!$B:$B,A13,Strike_Log!$A:$A,"&gt;="&amp;IF(Config!$B$1004="Y",TODAY()-Config!$B$1005,DATE(1900,1,1)),Strike_Log!$I:$I,1))))</f>
        <v>0</v>
      </c>
      <c r="Q13" s="1">
        <f t="shared" si="3"/>
        <v>0</v>
      </c>
      <c r="R13" s="1" t="str">
        <f>IF(A13="","",IFERROR(AVERAGEIFS(Assignments!$J:$J,Assignments!$B:$B,A13,Assignments!$E:$E,"Completed"),""))</f>
        <v/>
      </c>
      <c r="S13" s="1">
        <f>IF(A13="","",COUNTIFS(Assignments!$B:$B,A13,Assignments!$AE:$AE, "Y",Assignments!$D:$D,"&gt;="&amp;TODAY()-30))</f>
        <v>0</v>
      </c>
      <c r="T13" s="1">
        <f>IF(A13="","",COUNTIFS(Assignments!$AF:$AF,A13,Assignments!$AE:$AE, "Y",Assignments!$D:$D,"&gt;="&amp;TODAY()-30))</f>
        <v>0</v>
      </c>
      <c r="U13" s="1">
        <f>IF(A13="","",IFERROR(S13/MAX(1,COUNTIFS(Assignments!$B:$B,A13,Assignments!$D:$D,"&gt;="&amp;TODAY()-30)),""))</f>
        <v>0</v>
      </c>
      <c r="V13" s="1">
        <f t="shared" si="4"/>
        <v>0</v>
      </c>
    </row>
    <row r="14">
      <c r="A14" s="20" t="s">
        <v>135</v>
      </c>
      <c r="B14" s="20" t="s">
        <v>136</v>
      </c>
      <c r="C14" s="20" t="s">
        <v>115</v>
      </c>
      <c r="D14" s="20" t="str">
        <f t="shared" si="1"/>
        <v>3</v>
      </c>
      <c r="E14" s="2">
        <f>IF($A14="","",COUNTIFS(Assignments!$B$6:$B$305,$A14,Assignments!$E$6:$E$305,"Active"))</f>
        <v>0</v>
      </c>
      <c r="F14" s="2">
        <f>IF($A14="","",COUNTIFS(Assignments!$B$6:$B$305,$A14,Assignments!$D$6:$D$305,"&gt;="&amp;Config!$B$3-7,Assignments!$D$6:$D$305,"&lt;="&amp;Config!$B$3))</f>
        <v>0</v>
      </c>
      <c r="G14" s="2">
        <f>IF($A14="","",MAXIFS(Assignments!$D$6:$D$305,Assignments!$B$6:$B$305,$A14))</f>
        <v>0</v>
      </c>
      <c r="H14" s="29">
        <f>IF($A14="","",IF($G14="","",Config!$B$3-$G14))</f>
        <v>46071</v>
      </c>
      <c r="I14" s="2">
        <f t="shared" si="2"/>
        <v>0</v>
      </c>
      <c r="J14" s="2" t="str">
        <f>IF($A14="","",IFERROR(AVERAGEIFS(Assignments!$N$6:$N$1000,Assignments!$B$6:$B$1000,$A14,Assignments!$E$6:$E$1000,"Completed"),""))</f>
        <v/>
      </c>
      <c r="K14" s="2" t="str">
        <f>IF($A14="","",IFERROR(AVERAGEIFS(Assignments!$AO:$AO,Assignments!$B:$B,$A14,Assignments!$E:$E,"Completed"),""))</f>
        <v/>
      </c>
      <c r="L14" s="2">
        <f>IF($A14="","",IFERROR(COUNTIFS(Assignments!$B$6:$B$1000,$A14,Assignments!$E$6:$E$1000,"Cancelled")/MAX(1,COUNTIFS(Assignments!$B$6:$B$1000,$A14,Assignments!$E$6:$E$1000,"Completed")+COUNTIFS(Assignments!$B$6:$B$1000,$A14,Assignments!$E$6:$E$1000,"Cancelled")),""))</f>
        <v>0</v>
      </c>
      <c r="M14" s="2" t="str">
        <f>IF($A14="","",IFERROR(AVERAGEIFS(Assignments!$P$6:$P$1000,Assignments!$B$6:$B$1000,$A14,Assignments!$E$6:$E$1000,"Completed"),""))</f>
        <v/>
      </c>
      <c r="N14" s="20" t="s">
        <v>116</v>
      </c>
      <c r="O14" s="2"/>
      <c r="P14" s="1">
        <f>IF(A14="","",MAX(0,MIN(3,SUMIFS(Strike_Log!$C:$C,Strike_Log!$B:$B,A14,Strike_Log!$A:$A,"&gt;="&amp;IF(Config!$B$1004="Y",TODAY()-Config!$B$1005,DATE(1900,1,1)),Strike_Log!$I:$I,1))))</f>
        <v>0</v>
      </c>
      <c r="Q14" s="1">
        <f t="shared" si="3"/>
        <v>0</v>
      </c>
      <c r="R14" s="1" t="str">
        <f>IF(A14="","",IFERROR(AVERAGEIFS(Assignments!$J:$J,Assignments!$B:$B,A14,Assignments!$E:$E,"Completed"),""))</f>
        <v/>
      </c>
      <c r="S14" s="1">
        <f>IF(A14="","",COUNTIFS(Assignments!$B:$B,A14,Assignments!$AE:$AE, "Y",Assignments!$D:$D,"&gt;="&amp;TODAY()-30))</f>
        <v>0</v>
      </c>
      <c r="T14" s="1">
        <f>IF(A14="","",COUNTIFS(Assignments!$AF:$AF,A14,Assignments!$AE:$AE, "Y",Assignments!$D:$D,"&gt;="&amp;TODAY()-30))</f>
        <v>0</v>
      </c>
      <c r="U14" s="1">
        <f>IF(A14="","",IFERROR(S14/MAX(1,COUNTIFS(Assignments!$B:$B,A14,Assignments!$D:$D,"&gt;="&amp;TODAY()-30)),""))</f>
        <v>0</v>
      </c>
      <c r="V14" s="1">
        <f t="shared" si="4"/>
        <v>0</v>
      </c>
    </row>
    <row r="15">
      <c r="A15" s="20" t="s">
        <v>137</v>
      </c>
      <c r="B15" s="20" t="s">
        <v>138</v>
      </c>
      <c r="C15" s="20" t="s">
        <v>115</v>
      </c>
      <c r="D15" s="20" t="str">
        <f t="shared" si="1"/>
        <v>3</v>
      </c>
      <c r="E15" s="2">
        <f>IF($A15="","",COUNTIFS(Assignments!$B$6:$B$305,$A15,Assignments!$E$6:$E$305,"Active"))</f>
        <v>0</v>
      </c>
      <c r="F15" s="2">
        <f>IF($A15="","",COUNTIFS(Assignments!$B$6:$B$305,$A15,Assignments!$D$6:$D$305,"&gt;="&amp;Config!$B$3-7,Assignments!$D$6:$D$305,"&lt;="&amp;Config!$B$3))</f>
        <v>0</v>
      </c>
      <c r="G15" s="2">
        <f>IF($A15="","",MAXIFS(Assignments!$D$6:$D$305,Assignments!$B$6:$B$305,$A15))</f>
        <v>0</v>
      </c>
      <c r="H15" s="29">
        <f>IF($A15="","",IF($G15="","",Config!$B$3-$G15))</f>
        <v>46071</v>
      </c>
      <c r="I15" s="2">
        <f t="shared" si="2"/>
        <v>0</v>
      </c>
      <c r="J15" s="2" t="str">
        <f>IF($A15="","",IFERROR(AVERAGEIFS(Assignments!$N$6:$N$1000,Assignments!$B$6:$B$1000,$A15,Assignments!$E$6:$E$1000,"Completed"),""))</f>
        <v/>
      </c>
      <c r="K15" s="2" t="str">
        <f>IF($A15="","",IFERROR(AVERAGEIFS(Assignments!$AO:$AO,Assignments!$B:$B,$A15,Assignments!$E:$E,"Completed"),""))</f>
        <v/>
      </c>
      <c r="L15" s="2">
        <f>IF($A15="","",IFERROR(COUNTIFS(Assignments!$B$6:$B$1000,$A15,Assignments!$E$6:$E$1000,"Cancelled")/MAX(1,COUNTIFS(Assignments!$B$6:$B$1000,$A15,Assignments!$E$6:$E$1000,"Completed")+COUNTIFS(Assignments!$B$6:$B$1000,$A15,Assignments!$E$6:$E$1000,"Cancelled")),""))</f>
        <v>0</v>
      </c>
      <c r="M15" s="2" t="str">
        <f>IF($A15="","",IFERROR(AVERAGEIFS(Assignments!$P$6:$P$1000,Assignments!$B$6:$B$1000,$A15,Assignments!$E$6:$E$1000,"Completed"),""))</f>
        <v/>
      </c>
      <c r="N15" s="20" t="s">
        <v>116</v>
      </c>
      <c r="O15" s="2"/>
      <c r="P15" s="1">
        <f>IF(A15="","",MAX(0,MIN(3,SUMIFS(Strike_Log!$C:$C,Strike_Log!$B:$B,A15,Strike_Log!$A:$A,"&gt;="&amp;IF(Config!$B$1004="Y",TODAY()-Config!$B$1005,DATE(1900,1,1)),Strike_Log!$I:$I,1))))</f>
        <v>0</v>
      </c>
      <c r="Q15" s="1">
        <f t="shared" si="3"/>
        <v>0</v>
      </c>
      <c r="R15" s="1" t="str">
        <f>IF(A15="","",IFERROR(AVERAGEIFS(Assignments!$J:$J,Assignments!$B:$B,A15,Assignments!$E:$E,"Completed"),""))</f>
        <v/>
      </c>
      <c r="S15" s="1">
        <f>IF(A15="","",COUNTIFS(Assignments!$B:$B,A15,Assignments!$AE:$AE, "Y",Assignments!$D:$D,"&gt;="&amp;TODAY()-30))</f>
        <v>0</v>
      </c>
      <c r="T15" s="1">
        <f>IF(A15="","",COUNTIFS(Assignments!$AF:$AF,A15,Assignments!$AE:$AE, "Y",Assignments!$D:$D,"&gt;="&amp;TODAY()-30))</f>
        <v>0</v>
      </c>
      <c r="U15" s="1">
        <f>IF(A15="","",IFERROR(S15/MAX(1,COUNTIFS(Assignments!$B:$B,A15,Assignments!$D:$D,"&gt;="&amp;TODAY()-30)),""))</f>
        <v>0</v>
      </c>
      <c r="V15" s="1">
        <f t="shared" si="4"/>
        <v>0</v>
      </c>
    </row>
    <row r="16">
      <c r="A16" s="20" t="s">
        <v>139</v>
      </c>
      <c r="B16" s="20" t="s">
        <v>140</v>
      </c>
      <c r="C16" s="20" t="s">
        <v>141</v>
      </c>
      <c r="D16" s="20" t="str">
        <f t="shared" si="1"/>
        <v>5</v>
      </c>
      <c r="E16" s="2">
        <f>IF($A16="","",COUNTIFS(Assignments!$B$6:$B$305,$A16,Assignments!$E$6:$E$305,"Active"))</f>
        <v>0</v>
      </c>
      <c r="F16" s="2">
        <f>IF($A16="","",COUNTIFS(Assignments!$B$6:$B$305,$A16,Assignments!$D$6:$D$305,"&gt;="&amp;Config!$B$3-7,Assignments!$D$6:$D$305,"&lt;="&amp;Config!$B$3))</f>
        <v>0</v>
      </c>
      <c r="G16" s="2">
        <f>IF($A16="","",MAXIFS(Assignments!$D$6:$D$305,Assignments!$B$6:$B$305,$A16))</f>
        <v>0</v>
      </c>
      <c r="H16" s="29">
        <f>IF($A16="","",IF($G16="","",Config!$B$3-$G16))</f>
        <v>46071</v>
      </c>
      <c r="I16" s="2">
        <f t="shared" si="2"/>
        <v>0</v>
      </c>
      <c r="J16" s="2" t="str">
        <f>IF($A16="","",IFERROR(AVERAGEIFS(Assignments!$N$6:$N$1000,Assignments!$B$6:$B$1000,$A16,Assignments!$E$6:$E$1000,"Completed"),""))</f>
        <v/>
      </c>
      <c r="K16" s="2" t="str">
        <f>IF($A16="","",IFERROR(AVERAGEIFS(Assignments!$AO:$AO,Assignments!$B:$B,$A16,Assignments!$E:$E,"Completed"),""))</f>
        <v/>
      </c>
      <c r="L16" s="2">
        <f>IF($A16="","",IFERROR(COUNTIFS(Assignments!$B$6:$B$1000,$A16,Assignments!$E$6:$E$1000,"Cancelled")/MAX(1,COUNTIFS(Assignments!$B$6:$B$1000,$A16,Assignments!$E$6:$E$1000,"Completed")+COUNTIFS(Assignments!$B$6:$B$1000,$A16,Assignments!$E$6:$E$1000,"Cancelled")),""))</f>
        <v>0</v>
      </c>
      <c r="M16" s="2" t="str">
        <f>IF($A16="","",IFERROR(AVERAGEIFS(Assignments!$P$6:$P$1000,Assignments!$B$6:$B$1000,$A16,Assignments!$E$6:$E$1000,"Completed"),""))</f>
        <v/>
      </c>
      <c r="N16" s="20" t="s">
        <v>116</v>
      </c>
      <c r="O16" s="2"/>
      <c r="P16" s="1">
        <f>IF(A16="","",MAX(0,MIN(3,SUMIFS(Strike_Log!$C:$C,Strike_Log!$B:$B,A16,Strike_Log!$A:$A,"&gt;="&amp;IF(Config!$B$1004="Y",TODAY()-Config!$B$1005,DATE(1900,1,1)),Strike_Log!$I:$I,1))))</f>
        <v>0</v>
      </c>
      <c r="Q16" s="1">
        <f t="shared" si="3"/>
        <v>0</v>
      </c>
      <c r="R16" s="1" t="str">
        <f>IF(A16="","",IFERROR(AVERAGEIFS(Assignments!$J:$J,Assignments!$B:$B,A16,Assignments!$E:$E,"Completed"),""))</f>
        <v/>
      </c>
      <c r="S16" s="1">
        <f>IF(A16="","",COUNTIFS(Assignments!$B:$B,A16,Assignments!$AE:$AE, "Y",Assignments!$D:$D,"&gt;="&amp;TODAY()-30))</f>
        <v>0</v>
      </c>
      <c r="T16" s="1">
        <f>IF(A16="","",COUNTIFS(Assignments!$AF:$AF,A16,Assignments!$AE:$AE, "Y",Assignments!$D:$D,"&gt;="&amp;TODAY()-30))</f>
        <v>0</v>
      </c>
      <c r="U16" s="1">
        <f>IF(A16="","",IFERROR(S16/MAX(1,COUNTIFS(Assignments!$B:$B,A16,Assignments!$D:$D,"&gt;="&amp;TODAY()-30)),""))</f>
        <v>0</v>
      </c>
      <c r="V16" s="1">
        <f t="shared" si="4"/>
        <v>0</v>
      </c>
    </row>
    <row r="17">
      <c r="A17" s="20" t="s">
        <v>142</v>
      </c>
      <c r="B17" s="20" t="s">
        <v>143</v>
      </c>
      <c r="C17" s="20" t="s">
        <v>115</v>
      </c>
      <c r="D17" s="20" t="str">
        <f t="shared" si="1"/>
        <v>3</v>
      </c>
      <c r="E17" s="2">
        <f>IF($A17="","",COUNTIFS(Assignments!$B$6:$B$305,$A17,Assignments!$E$6:$E$305,"Active"))</f>
        <v>0</v>
      </c>
      <c r="F17" s="2">
        <f>IF($A17="","",COUNTIFS(Assignments!$B$6:$B$305,$A17,Assignments!$D$6:$D$305,"&gt;="&amp;Config!$B$3-7,Assignments!$D$6:$D$305,"&lt;="&amp;Config!$B$3))</f>
        <v>0</v>
      </c>
      <c r="G17" s="2">
        <f>IF($A17="","",MAXIFS(Assignments!$D$6:$D$305,Assignments!$B$6:$B$305,$A17))</f>
        <v>0</v>
      </c>
      <c r="H17" s="29">
        <f>IF($A17="","",IF($G17="","",Config!$B$3-$G17))</f>
        <v>46071</v>
      </c>
      <c r="I17" s="2">
        <f t="shared" si="2"/>
        <v>0</v>
      </c>
      <c r="J17" s="2" t="str">
        <f>IF($A17="","",IFERROR(AVERAGEIFS(Assignments!$N$6:$N$1000,Assignments!$B$6:$B$1000,$A17,Assignments!$E$6:$E$1000,"Completed"),""))</f>
        <v/>
      </c>
      <c r="K17" s="2" t="str">
        <f>IF($A17="","",IFERROR(AVERAGEIFS(Assignments!$AO:$AO,Assignments!$B:$B,$A17,Assignments!$E:$E,"Completed"),""))</f>
        <v/>
      </c>
      <c r="L17" s="2">
        <f>IF($A17="","",IFERROR(COUNTIFS(Assignments!$B$6:$B$1000,$A17,Assignments!$E$6:$E$1000,"Cancelled")/MAX(1,COUNTIFS(Assignments!$B$6:$B$1000,$A17,Assignments!$E$6:$E$1000,"Completed")+COUNTIFS(Assignments!$B$6:$B$1000,$A17,Assignments!$E$6:$E$1000,"Cancelled")),""))</f>
        <v>0</v>
      </c>
      <c r="M17" s="2" t="str">
        <f>IF($A17="","",IFERROR(AVERAGEIFS(Assignments!$P$6:$P$1000,Assignments!$B$6:$B$1000,$A17,Assignments!$E$6:$E$1000,"Completed"),""))</f>
        <v/>
      </c>
      <c r="N17" s="20" t="s">
        <v>116</v>
      </c>
      <c r="O17" s="2"/>
      <c r="P17" s="1">
        <f>IF(A17="","",MAX(0,MIN(3,SUMIFS(Strike_Log!$C:$C,Strike_Log!$B:$B,A17,Strike_Log!$A:$A,"&gt;="&amp;IF(Config!$B$1004="Y",TODAY()-Config!$B$1005,DATE(1900,1,1)),Strike_Log!$I:$I,1))))</f>
        <v>0</v>
      </c>
      <c r="Q17" s="1">
        <f t="shared" si="3"/>
        <v>0</v>
      </c>
      <c r="R17" s="1" t="str">
        <f>IF(A17="","",IFERROR(AVERAGEIFS(Assignments!$J:$J,Assignments!$B:$B,A17,Assignments!$E:$E,"Completed"),""))</f>
        <v/>
      </c>
      <c r="S17" s="1">
        <f>IF(A17="","",COUNTIFS(Assignments!$B:$B,A17,Assignments!$AE:$AE, "Y",Assignments!$D:$D,"&gt;="&amp;TODAY()-30))</f>
        <v>0</v>
      </c>
      <c r="T17" s="1">
        <f>IF(A17="","",COUNTIFS(Assignments!$AF:$AF,A17,Assignments!$AE:$AE, "Y",Assignments!$D:$D,"&gt;="&amp;TODAY()-30))</f>
        <v>0</v>
      </c>
      <c r="U17" s="1">
        <f>IF(A17="","",IFERROR(S17/MAX(1,COUNTIFS(Assignments!$B:$B,A17,Assignments!$D:$D,"&gt;="&amp;TODAY()-30)),""))</f>
        <v>0</v>
      </c>
      <c r="V17" s="1">
        <f t="shared" si="4"/>
        <v>0</v>
      </c>
    </row>
    <row r="18">
      <c r="A18" s="20" t="s">
        <v>144</v>
      </c>
      <c r="B18" s="20" t="s">
        <v>145</v>
      </c>
      <c r="C18" s="20" t="s">
        <v>115</v>
      </c>
      <c r="D18" s="20" t="str">
        <f t="shared" si="1"/>
        <v>3</v>
      </c>
      <c r="E18" s="2">
        <f>IF($A18="","",COUNTIFS(Assignments!$B$6:$B$305,$A18,Assignments!$E$6:$E$305,"Active"))</f>
        <v>0</v>
      </c>
      <c r="F18" s="2">
        <f>IF($A18="","",COUNTIFS(Assignments!$B$6:$B$305,$A18,Assignments!$D$6:$D$305,"&gt;="&amp;Config!$B$3-7,Assignments!$D$6:$D$305,"&lt;="&amp;Config!$B$3))</f>
        <v>0</v>
      </c>
      <c r="G18" s="2">
        <f>IF($A18="","",MAXIFS(Assignments!$D$6:$D$305,Assignments!$B$6:$B$305,$A18))</f>
        <v>0</v>
      </c>
      <c r="H18" s="29">
        <f>IF($A18="","",IF($G18="","",Config!$B$3-$G18))</f>
        <v>46071</v>
      </c>
      <c r="I18" s="2">
        <f t="shared" si="2"/>
        <v>0</v>
      </c>
      <c r="J18" s="2" t="str">
        <f>IF($A18="","",IFERROR(AVERAGEIFS(Assignments!$N$6:$N$1000,Assignments!$B$6:$B$1000,$A18,Assignments!$E$6:$E$1000,"Completed"),""))</f>
        <v/>
      </c>
      <c r="K18" s="2" t="str">
        <f>IF($A18="","",IFERROR(AVERAGEIFS(Assignments!$AO:$AO,Assignments!$B:$B,$A18,Assignments!$E:$E,"Completed"),""))</f>
        <v/>
      </c>
      <c r="L18" s="2">
        <f>IF($A18="","",IFERROR(COUNTIFS(Assignments!$B$6:$B$1000,$A18,Assignments!$E$6:$E$1000,"Cancelled")/MAX(1,COUNTIFS(Assignments!$B$6:$B$1000,$A18,Assignments!$E$6:$E$1000,"Completed")+COUNTIFS(Assignments!$B$6:$B$1000,$A18,Assignments!$E$6:$E$1000,"Cancelled")),""))</f>
        <v>0</v>
      </c>
      <c r="M18" s="2" t="str">
        <f>IF($A18="","",IFERROR(AVERAGEIFS(Assignments!$P$6:$P$1000,Assignments!$B$6:$B$1000,$A18,Assignments!$E$6:$E$1000,"Completed"),""))</f>
        <v/>
      </c>
      <c r="N18" s="20" t="s">
        <v>116</v>
      </c>
      <c r="O18" s="2"/>
      <c r="P18" s="1">
        <f>IF(A18="","",MAX(0,MIN(3,SUMIFS(Strike_Log!$C:$C,Strike_Log!$B:$B,A18,Strike_Log!$A:$A,"&gt;="&amp;IF(Config!$B$1004="Y",TODAY()-Config!$B$1005,DATE(1900,1,1)),Strike_Log!$I:$I,1))))</f>
        <v>0</v>
      </c>
      <c r="Q18" s="1">
        <f t="shared" si="3"/>
        <v>0</v>
      </c>
      <c r="R18" s="1" t="str">
        <f>IF(A18="","",IFERROR(AVERAGEIFS(Assignments!$J:$J,Assignments!$B:$B,A18,Assignments!$E:$E,"Completed"),""))</f>
        <v/>
      </c>
      <c r="S18" s="1">
        <f>IF(A18="","",COUNTIFS(Assignments!$B:$B,A18,Assignments!$AE:$AE, "Y",Assignments!$D:$D,"&gt;="&amp;TODAY()-30))</f>
        <v>0</v>
      </c>
      <c r="T18" s="1">
        <f>IF(A18="","",COUNTIFS(Assignments!$AF:$AF,A18,Assignments!$AE:$AE, "Y",Assignments!$D:$D,"&gt;="&amp;TODAY()-30))</f>
        <v>0</v>
      </c>
      <c r="U18" s="1">
        <f>IF(A18="","",IFERROR(S18/MAX(1,COUNTIFS(Assignments!$B:$B,A18,Assignments!$D:$D,"&gt;="&amp;TODAY()-30)),""))</f>
        <v>0</v>
      </c>
      <c r="V18" s="1">
        <f t="shared" si="4"/>
        <v>0</v>
      </c>
    </row>
    <row r="19">
      <c r="A19" s="20" t="s">
        <v>146</v>
      </c>
      <c r="B19" s="20" t="s">
        <v>147</v>
      </c>
      <c r="C19" s="20" t="s">
        <v>115</v>
      </c>
      <c r="D19" s="20" t="str">
        <f t="shared" si="1"/>
        <v>3</v>
      </c>
      <c r="E19" s="2">
        <f>IF($A19="","",COUNTIFS(Assignments!$B$6:$B$305,$A19,Assignments!$E$6:$E$305,"Active"))</f>
        <v>0</v>
      </c>
      <c r="F19" s="2">
        <f>IF($A19="","",COUNTIFS(Assignments!$B$6:$B$305,$A19,Assignments!$D$6:$D$305,"&gt;="&amp;Config!$B$3-7,Assignments!$D$6:$D$305,"&lt;="&amp;Config!$B$3))</f>
        <v>0</v>
      </c>
      <c r="G19" s="2">
        <f>IF($A19="","",MAXIFS(Assignments!$D$6:$D$305,Assignments!$B$6:$B$305,$A19))</f>
        <v>0</v>
      </c>
      <c r="H19" s="29">
        <f>IF($A19="","",IF($G19="","",Config!$B$3-$G19))</f>
        <v>46071</v>
      </c>
      <c r="I19" s="2">
        <f t="shared" si="2"/>
        <v>0</v>
      </c>
      <c r="J19" s="2" t="str">
        <f>IF($A19="","",IFERROR(AVERAGEIFS(Assignments!$N$6:$N$1000,Assignments!$B$6:$B$1000,$A19,Assignments!$E$6:$E$1000,"Completed"),""))</f>
        <v/>
      </c>
      <c r="K19" s="2" t="str">
        <f>IF($A19="","",IFERROR(AVERAGEIFS(Assignments!$AO:$AO,Assignments!$B:$B,$A19,Assignments!$E:$E,"Completed"),""))</f>
        <v/>
      </c>
      <c r="L19" s="2">
        <f>IF($A19="","",IFERROR(COUNTIFS(Assignments!$B$6:$B$1000,$A19,Assignments!$E$6:$E$1000,"Cancelled")/MAX(1,COUNTIFS(Assignments!$B$6:$B$1000,$A19,Assignments!$E$6:$E$1000,"Completed")+COUNTIFS(Assignments!$B$6:$B$1000,$A19,Assignments!$E$6:$E$1000,"Cancelled")),""))</f>
        <v>0</v>
      </c>
      <c r="M19" s="2" t="str">
        <f>IF($A19="","",IFERROR(AVERAGEIFS(Assignments!$P$6:$P$1000,Assignments!$B$6:$B$1000,$A19,Assignments!$E$6:$E$1000,"Completed"),""))</f>
        <v/>
      </c>
      <c r="N19" s="20" t="s">
        <v>116</v>
      </c>
      <c r="O19" s="2"/>
      <c r="P19" s="1">
        <f>IF(A19="","",MAX(0,MIN(3,SUMIFS(Strike_Log!$C:$C,Strike_Log!$B:$B,A19,Strike_Log!$A:$A,"&gt;="&amp;IF(Config!$B$1004="Y",TODAY()-Config!$B$1005,DATE(1900,1,1)),Strike_Log!$I:$I,1))))</f>
        <v>0</v>
      </c>
      <c r="Q19" s="1">
        <f t="shared" si="3"/>
        <v>0</v>
      </c>
      <c r="R19" s="1" t="str">
        <f>IF(A19="","",IFERROR(AVERAGEIFS(Assignments!$J:$J,Assignments!$B:$B,A19,Assignments!$E:$E,"Completed"),""))</f>
        <v/>
      </c>
      <c r="S19" s="1">
        <f>IF(A19="","",COUNTIFS(Assignments!$B:$B,A19,Assignments!$AE:$AE, "Y",Assignments!$D:$D,"&gt;="&amp;TODAY()-30))</f>
        <v>0</v>
      </c>
      <c r="T19" s="1">
        <f>IF(A19="","",COUNTIFS(Assignments!$AF:$AF,A19,Assignments!$AE:$AE, "Y",Assignments!$D:$D,"&gt;="&amp;TODAY()-30))</f>
        <v>0</v>
      </c>
      <c r="U19" s="1">
        <f>IF(A19="","",IFERROR(S19/MAX(1,COUNTIFS(Assignments!$B:$B,A19,Assignments!$D:$D,"&gt;="&amp;TODAY()-30)),""))</f>
        <v>0</v>
      </c>
      <c r="V19" s="1">
        <f t="shared" si="4"/>
        <v>0</v>
      </c>
    </row>
    <row r="20" ht="15.75" customHeight="1">
      <c r="A20" s="20" t="s">
        <v>148</v>
      </c>
      <c r="B20" s="20" t="s">
        <v>149</v>
      </c>
      <c r="C20" s="20" t="s">
        <v>115</v>
      </c>
      <c r="D20" s="20" t="str">
        <f t="shared" si="1"/>
        <v>3</v>
      </c>
      <c r="E20" s="2">
        <f>IF($A20="","",COUNTIFS(Assignments!$B$6:$B$305,$A20,Assignments!$E$6:$E$305,"Active"))</f>
        <v>0</v>
      </c>
      <c r="F20" s="2">
        <f>IF($A20="","",COUNTIFS(Assignments!$B$6:$B$305,$A20,Assignments!$D$6:$D$305,"&gt;="&amp;Config!$B$3-7,Assignments!$D$6:$D$305,"&lt;="&amp;Config!$B$3))</f>
        <v>0</v>
      </c>
      <c r="G20" s="2">
        <f>IF($A20="","",MAXIFS(Assignments!$D$6:$D$305,Assignments!$B$6:$B$305,$A20))</f>
        <v>0</v>
      </c>
      <c r="H20" s="29">
        <f>IF($A20="","",IF($G20="","",Config!$B$3-$G20))</f>
        <v>46071</v>
      </c>
      <c r="I20" s="2">
        <f t="shared" si="2"/>
        <v>0</v>
      </c>
      <c r="J20" s="2" t="str">
        <f>IF($A20="","",IFERROR(AVERAGEIFS(Assignments!$N$6:$N$1000,Assignments!$B$6:$B$1000,$A20,Assignments!$E$6:$E$1000,"Completed"),""))</f>
        <v/>
      </c>
      <c r="K20" s="2" t="str">
        <f>IF($A20="","",IFERROR(AVERAGEIFS(Assignments!$AO:$AO,Assignments!$B:$B,$A20,Assignments!$E:$E,"Completed"),""))</f>
        <v/>
      </c>
      <c r="L20" s="2">
        <f>IF($A20="","",IFERROR(COUNTIFS(Assignments!$B$6:$B$1000,$A20,Assignments!$E$6:$E$1000,"Cancelled")/MAX(1,COUNTIFS(Assignments!$B$6:$B$1000,$A20,Assignments!$E$6:$E$1000,"Completed")+COUNTIFS(Assignments!$B$6:$B$1000,$A20,Assignments!$E$6:$E$1000,"Cancelled")),""))</f>
        <v>0</v>
      </c>
      <c r="M20" s="2" t="str">
        <f>IF($A20="","",IFERROR(AVERAGEIFS(Assignments!$P$6:$P$1000,Assignments!$B$6:$B$1000,$A20,Assignments!$E$6:$E$1000,"Completed"),""))</f>
        <v/>
      </c>
      <c r="N20" s="20" t="s">
        <v>116</v>
      </c>
      <c r="O20" s="2"/>
      <c r="P20" s="1">
        <f>IF(A20="","",MAX(0,MIN(3,SUMIFS(Strike_Log!$C:$C,Strike_Log!$B:$B,A20,Strike_Log!$A:$A,"&gt;="&amp;IF(Config!$B$1004="Y",TODAY()-Config!$B$1005,DATE(1900,1,1)),Strike_Log!$I:$I,1))))</f>
        <v>0</v>
      </c>
      <c r="Q20" s="1">
        <f t="shared" si="3"/>
        <v>0</v>
      </c>
      <c r="R20" s="1" t="str">
        <f>IF(A20="","",IFERROR(AVERAGEIFS(Assignments!$J:$J,Assignments!$B:$B,A20,Assignments!$E:$E,"Completed"),""))</f>
        <v/>
      </c>
      <c r="S20" s="1">
        <f>IF(A20="","",COUNTIFS(Assignments!$B:$B,A20,Assignments!$AE:$AE, "Y",Assignments!$D:$D,"&gt;="&amp;TODAY()-30))</f>
        <v>0</v>
      </c>
      <c r="T20" s="1">
        <f>IF(A20="","",COUNTIFS(Assignments!$AF:$AF,A20,Assignments!$AE:$AE, "Y",Assignments!$D:$D,"&gt;="&amp;TODAY()-30))</f>
        <v>0</v>
      </c>
      <c r="U20" s="1">
        <f>IF(A20="","",IFERROR(S20/MAX(1,COUNTIFS(Assignments!$B:$B,A20,Assignments!$D:$D,"&gt;="&amp;TODAY()-30)),""))</f>
        <v>0</v>
      </c>
      <c r="V20" s="1">
        <f t="shared" si="4"/>
        <v>0</v>
      </c>
    </row>
    <row r="21" ht="15.75" customHeight="1">
      <c r="A21" s="20" t="s">
        <v>150</v>
      </c>
      <c r="B21" s="20" t="s">
        <v>151</v>
      </c>
      <c r="C21" s="20" t="s">
        <v>141</v>
      </c>
      <c r="D21" s="20" t="str">
        <f t="shared" si="1"/>
        <v>5</v>
      </c>
      <c r="E21" s="2">
        <f>IF($A21="","",COUNTIFS(Assignments!$B$6:$B$305,$A21,Assignments!$E$6:$E$305,"Active"))</f>
        <v>0</v>
      </c>
      <c r="F21" s="2">
        <f>IF($A21="","",COUNTIFS(Assignments!$B$6:$B$305,$A21,Assignments!$D$6:$D$305,"&gt;="&amp;Config!$B$3-7,Assignments!$D$6:$D$305,"&lt;="&amp;Config!$B$3))</f>
        <v>0</v>
      </c>
      <c r="G21" s="2">
        <f>IF($A21="","",MAXIFS(Assignments!$D$6:$D$305,Assignments!$B$6:$B$305,$A21))</f>
        <v>0</v>
      </c>
      <c r="H21" s="29">
        <f>IF($A21="","",IF($G21="","",Config!$B$3-$G21))</f>
        <v>46071</v>
      </c>
      <c r="I21" s="2">
        <f t="shared" si="2"/>
        <v>0</v>
      </c>
      <c r="J21" s="2" t="str">
        <f>IF($A21="","",IFERROR(AVERAGEIFS(Assignments!$N$6:$N$1000,Assignments!$B$6:$B$1000,$A21,Assignments!$E$6:$E$1000,"Completed"),""))</f>
        <v/>
      </c>
      <c r="K21" s="2" t="str">
        <f>IF($A21="","",IFERROR(AVERAGEIFS(Assignments!$AO:$AO,Assignments!$B:$B,$A21,Assignments!$E:$E,"Completed"),""))</f>
        <v/>
      </c>
      <c r="L21" s="2">
        <f>IF($A21="","",IFERROR(COUNTIFS(Assignments!$B$6:$B$1000,$A21,Assignments!$E$6:$E$1000,"Cancelled")/MAX(1,COUNTIFS(Assignments!$B$6:$B$1000,$A21,Assignments!$E$6:$E$1000,"Completed")+COUNTIFS(Assignments!$B$6:$B$1000,$A21,Assignments!$E$6:$E$1000,"Cancelled")),""))</f>
        <v>0</v>
      </c>
      <c r="M21" s="2" t="str">
        <f>IF($A21="","",IFERROR(AVERAGEIFS(Assignments!$P$6:$P$1000,Assignments!$B$6:$B$1000,$A21,Assignments!$E$6:$E$1000,"Completed"),""))</f>
        <v/>
      </c>
      <c r="N21" s="20" t="s">
        <v>116</v>
      </c>
      <c r="O21" s="2"/>
      <c r="P21" s="1">
        <f>IF(A21="","",MAX(0,MIN(3,SUMIFS(Strike_Log!$C:$C,Strike_Log!$B:$B,A21,Strike_Log!$A:$A,"&gt;="&amp;IF(Config!$B$1004="Y",TODAY()-Config!$B$1005,DATE(1900,1,1)),Strike_Log!$I:$I,1))))</f>
        <v>0</v>
      </c>
      <c r="Q21" s="1">
        <f t="shared" si="3"/>
        <v>0</v>
      </c>
      <c r="R21" s="1" t="str">
        <f>IF(A21="","",IFERROR(AVERAGEIFS(Assignments!$J:$J,Assignments!$B:$B,A21,Assignments!$E:$E,"Completed"),""))</f>
        <v/>
      </c>
      <c r="S21" s="1">
        <f>IF(A21="","",COUNTIFS(Assignments!$B:$B,A21,Assignments!$AE:$AE, "Y",Assignments!$D:$D,"&gt;="&amp;TODAY()-30))</f>
        <v>0</v>
      </c>
      <c r="T21" s="1">
        <f>IF(A21="","",COUNTIFS(Assignments!$AF:$AF,A21,Assignments!$AE:$AE, "Y",Assignments!$D:$D,"&gt;="&amp;TODAY()-30))</f>
        <v>0</v>
      </c>
      <c r="U21" s="1">
        <f>IF(A21="","",IFERROR(S21/MAX(1,COUNTIFS(Assignments!$B:$B,A21,Assignments!$D:$D,"&gt;="&amp;TODAY()-30)),""))</f>
        <v>0</v>
      </c>
      <c r="V21" s="1">
        <f t="shared" si="4"/>
        <v>0</v>
      </c>
    </row>
    <row r="22" ht="15.75" customHeight="1">
      <c r="A22" s="20" t="s">
        <v>152</v>
      </c>
      <c r="B22" s="20" t="s">
        <v>153</v>
      </c>
      <c r="C22" s="20" t="s">
        <v>115</v>
      </c>
      <c r="D22" s="20" t="str">
        <f t="shared" si="1"/>
        <v>3</v>
      </c>
      <c r="E22" s="2">
        <f>IF($A22="","",COUNTIFS(Assignments!$B$6:$B$305,$A22,Assignments!$E$6:$E$305,"Active"))</f>
        <v>0</v>
      </c>
      <c r="F22" s="2">
        <f>IF($A22="","",COUNTIFS(Assignments!$B$6:$B$305,$A22,Assignments!$D$6:$D$305,"&gt;="&amp;Config!$B$3-7,Assignments!$D$6:$D$305,"&lt;="&amp;Config!$B$3))</f>
        <v>0</v>
      </c>
      <c r="G22" s="2">
        <f>IF($A22="","",MAXIFS(Assignments!$D$6:$D$305,Assignments!$B$6:$B$305,$A22))</f>
        <v>0</v>
      </c>
      <c r="H22" s="29">
        <f>IF($A22="","",IF($G22="","",Config!$B$3-$G22))</f>
        <v>46071</v>
      </c>
      <c r="I22" s="2">
        <f t="shared" si="2"/>
        <v>0</v>
      </c>
      <c r="J22" s="2" t="str">
        <f>IF($A22="","",IFERROR(AVERAGEIFS(Assignments!$N$6:$N$1000,Assignments!$B$6:$B$1000,$A22,Assignments!$E$6:$E$1000,"Completed"),""))</f>
        <v/>
      </c>
      <c r="K22" s="2" t="str">
        <f>IF($A22="","",IFERROR(AVERAGEIFS(Assignments!$AO:$AO,Assignments!$B:$B,$A22,Assignments!$E:$E,"Completed"),""))</f>
        <v/>
      </c>
      <c r="L22" s="2">
        <f>IF($A22="","",IFERROR(COUNTIFS(Assignments!$B$6:$B$1000,$A22,Assignments!$E$6:$E$1000,"Cancelled")/MAX(1,COUNTIFS(Assignments!$B$6:$B$1000,$A22,Assignments!$E$6:$E$1000,"Completed")+COUNTIFS(Assignments!$B$6:$B$1000,$A22,Assignments!$E$6:$E$1000,"Cancelled")),""))</f>
        <v>0</v>
      </c>
      <c r="M22" s="2" t="str">
        <f>IF($A22="","",IFERROR(AVERAGEIFS(Assignments!$P$6:$P$1000,Assignments!$B$6:$B$1000,$A22,Assignments!$E$6:$E$1000,"Completed"),""))</f>
        <v/>
      </c>
      <c r="N22" s="20" t="s">
        <v>116</v>
      </c>
      <c r="O22" s="2"/>
      <c r="P22" s="1">
        <f>IF(A22="","",MAX(0,MIN(3,SUMIFS(Strike_Log!$C:$C,Strike_Log!$B:$B,A22,Strike_Log!$A:$A,"&gt;="&amp;IF(Config!$B$1004="Y",TODAY()-Config!$B$1005,DATE(1900,1,1)),Strike_Log!$I:$I,1))))</f>
        <v>0</v>
      </c>
      <c r="Q22" s="1">
        <f t="shared" si="3"/>
        <v>0</v>
      </c>
      <c r="R22" s="1" t="str">
        <f>IF(A22="","",IFERROR(AVERAGEIFS(Assignments!$J:$J,Assignments!$B:$B,A22,Assignments!$E:$E,"Completed"),""))</f>
        <v/>
      </c>
      <c r="S22" s="1">
        <f>IF(A22="","",COUNTIFS(Assignments!$B:$B,A22,Assignments!$AE:$AE, "Y",Assignments!$D:$D,"&gt;="&amp;TODAY()-30))</f>
        <v>0</v>
      </c>
      <c r="T22" s="1">
        <f>IF(A22="","",COUNTIFS(Assignments!$AF:$AF,A22,Assignments!$AE:$AE, "Y",Assignments!$D:$D,"&gt;="&amp;TODAY()-30))</f>
        <v>0</v>
      </c>
      <c r="U22" s="1">
        <f>IF(A22="","",IFERROR(S22/MAX(1,COUNTIFS(Assignments!$B:$B,A22,Assignments!$D:$D,"&gt;="&amp;TODAY()-30)),""))</f>
        <v>0</v>
      </c>
      <c r="V22" s="1">
        <f t="shared" si="4"/>
        <v>0</v>
      </c>
    </row>
    <row r="23" ht="15.75" customHeight="1">
      <c r="A23" s="20" t="s">
        <v>154</v>
      </c>
      <c r="B23" s="20" t="s">
        <v>155</v>
      </c>
      <c r="C23" s="20" t="s">
        <v>115</v>
      </c>
      <c r="D23" s="20" t="str">
        <f t="shared" si="1"/>
        <v>3</v>
      </c>
      <c r="E23" s="2">
        <f>IF($A23="","",COUNTIFS(Assignments!$B$6:$B$305,$A23,Assignments!$E$6:$E$305,"Active"))</f>
        <v>0</v>
      </c>
      <c r="F23" s="2">
        <f>IF($A23="","",COUNTIFS(Assignments!$B$6:$B$305,$A23,Assignments!$D$6:$D$305,"&gt;="&amp;Config!$B$3-7,Assignments!$D$6:$D$305,"&lt;="&amp;Config!$B$3))</f>
        <v>0</v>
      </c>
      <c r="G23" s="2">
        <f>IF($A23="","",MAXIFS(Assignments!$D$6:$D$305,Assignments!$B$6:$B$305,$A23))</f>
        <v>0</v>
      </c>
      <c r="H23" s="29">
        <f>IF($A23="","",IF($G23="","",Config!$B$3-$G23))</f>
        <v>46071</v>
      </c>
      <c r="I23" s="2">
        <f t="shared" si="2"/>
        <v>0</v>
      </c>
      <c r="J23" s="2" t="str">
        <f>IF($A23="","",IFERROR(AVERAGEIFS(Assignments!$N$6:$N$1000,Assignments!$B$6:$B$1000,$A23,Assignments!$E$6:$E$1000,"Completed"),""))</f>
        <v/>
      </c>
      <c r="K23" s="2" t="str">
        <f>IF($A23="","",IFERROR(AVERAGEIFS(Assignments!$AO:$AO,Assignments!$B:$B,$A23,Assignments!$E:$E,"Completed"),""))</f>
        <v/>
      </c>
      <c r="L23" s="2">
        <f>IF($A23="","",IFERROR(COUNTIFS(Assignments!$B$6:$B$1000,$A23,Assignments!$E$6:$E$1000,"Cancelled")/MAX(1,COUNTIFS(Assignments!$B$6:$B$1000,$A23,Assignments!$E$6:$E$1000,"Completed")+COUNTIFS(Assignments!$B$6:$B$1000,$A23,Assignments!$E$6:$E$1000,"Cancelled")),""))</f>
        <v>0</v>
      </c>
      <c r="M23" s="2" t="str">
        <f>IF($A23="","",IFERROR(AVERAGEIFS(Assignments!$P$6:$P$1000,Assignments!$B$6:$B$1000,$A23,Assignments!$E$6:$E$1000,"Completed"),""))</f>
        <v/>
      </c>
      <c r="N23" s="20" t="s">
        <v>116</v>
      </c>
      <c r="O23" s="2"/>
      <c r="P23" s="1">
        <f>IF(A23="","",MAX(0,MIN(3,SUMIFS(Strike_Log!$C:$C,Strike_Log!$B:$B,A23,Strike_Log!$A:$A,"&gt;="&amp;IF(Config!$B$1004="Y",TODAY()-Config!$B$1005,DATE(1900,1,1)),Strike_Log!$I:$I,1))))</f>
        <v>0</v>
      </c>
      <c r="Q23" s="1">
        <f t="shared" si="3"/>
        <v>0</v>
      </c>
      <c r="R23" s="1" t="str">
        <f>IF(A23="","",IFERROR(AVERAGEIFS(Assignments!$J:$J,Assignments!$B:$B,A23,Assignments!$E:$E,"Completed"),""))</f>
        <v/>
      </c>
      <c r="S23" s="1">
        <f>IF(A23="","",COUNTIFS(Assignments!$B:$B,A23,Assignments!$AE:$AE, "Y",Assignments!$D:$D,"&gt;="&amp;TODAY()-30))</f>
        <v>0</v>
      </c>
      <c r="T23" s="1">
        <f>IF(A23="","",COUNTIFS(Assignments!$AF:$AF,A23,Assignments!$AE:$AE, "Y",Assignments!$D:$D,"&gt;="&amp;TODAY()-30))</f>
        <v>0</v>
      </c>
      <c r="U23" s="1">
        <f>IF(A23="","",IFERROR(S23/MAX(1,COUNTIFS(Assignments!$B:$B,A23,Assignments!$D:$D,"&gt;="&amp;TODAY()-30)),""))</f>
        <v>0</v>
      </c>
      <c r="V23" s="1">
        <f t="shared" si="4"/>
        <v>0</v>
      </c>
    </row>
    <row r="24" ht="15.75" customHeight="1">
      <c r="A24" s="20" t="s">
        <v>156</v>
      </c>
      <c r="B24" s="20" t="s">
        <v>157</v>
      </c>
      <c r="C24" s="20" t="s">
        <v>115</v>
      </c>
      <c r="D24" s="20" t="str">
        <f t="shared" si="1"/>
        <v>3</v>
      </c>
      <c r="E24" s="2">
        <f>IF($A24="","",COUNTIFS(Assignments!$B$6:$B$305,$A24,Assignments!$E$6:$E$305,"Active"))</f>
        <v>0</v>
      </c>
      <c r="F24" s="2">
        <f>IF($A24="","",COUNTIFS(Assignments!$B$6:$B$305,$A24,Assignments!$D$6:$D$305,"&gt;="&amp;Config!$B$3-7,Assignments!$D$6:$D$305,"&lt;="&amp;Config!$B$3))</f>
        <v>0</v>
      </c>
      <c r="G24" s="2">
        <f>IF($A24="","",MAXIFS(Assignments!$D$6:$D$305,Assignments!$B$6:$B$305,$A24))</f>
        <v>0</v>
      </c>
      <c r="H24" s="29">
        <f>IF($A24="","",IF($G24="","",Config!$B$3-$G24))</f>
        <v>46071</v>
      </c>
      <c r="I24" s="2">
        <f t="shared" si="2"/>
        <v>0</v>
      </c>
      <c r="J24" s="2" t="str">
        <f>IF($A24="","",IFERROR(AVERAGEIFS(Assignments!$N$6:$N$1000,Assignments!$B$6:$B$1000,$A24,Assignments!$E$6:$E$1000,"Completed"),""))</f>
        <v/>
      </c>
      <c r="K24" s="2" t="str">
        <f>IF($A24="","",IFERROR(AVERAGEIFS(Assignments!$AO:$AO,Assignments!$B:$B,$A24,Assignments!$E:$E,"Completed"),""))</f>
        <v/>
      </c>
      <c r="L24" s="2">
        <f>IF($A24="","",IFERROR(COUNTIFS(Assignments!$B$6:$B$1000,$A24,Assignments!$E$6:$E$1000,"Cancelled")/MAX(1,COUNTIFS(Assignments!$B$6:$B$1000,$A24,Assignments!$E$6:$E$1000,"Completed")+COUNTIFS(Assignments!$B$6:$B$1000,$A24,Assignments!$E$6:$E$1000,"Cancelled")),""))</f>
        <v>0</v>
      </c>
      <c r="M24" s="2" t="str">
        <f>IF($A24="","",IFERROR(AVERAGEIFS(Assignments!$P$6:$P$1000,Assignments!$B$6:$B$1000,$A24,Assignments!$E$6:$E$1000,"Completed"),""))</f>
        <v/>
      </c>
      <c r="N24" s="20" t="s">
        <v>116</v>
      </c>
      <c r="O24" s="2"/>
      <c r="P24" s="1">
        <f>IF(A24="","",MAX(0,MIN(3,SUMIFS(Strike_Log!$C:$C,Strike_Log!$B:$B,A24,Strike_Log!$A:$A,"&gt;="&amp;IF(Config!$B$1004="Y",TODAY()-Config!$B$1005,DATE(1900,1,1)),Strike_Log!$I:$I,1))))</f>
        <v>0</v>
      </c>
      <c r="Q24" s="1">
        <f t="shared" si="3"/>
        <v>0</v>
      </c>
      <c r="R24" s="1" t="str">
        <f>IF(A24="","",IFERROR(AVERAGEIFS(Assignments!$J:$J,Assignments!$B:$B,A24,Assignments!$E:$E,"Completed"),""))</f>
        <v/>
      </c>
      <c r="S24" s="1">
        <f>IF(A24="","",COUNTIFS(Assignments!$B:$B,A24,Assignments!$AE:$AE, "Y",Assignments!$D:$D,"&gt;="&amp;TODAY()-30))</f>
        <v>0</v>
      </c>
      <c r="T24" s="1">
        <f>IF(A24="","",COUNTIFS(Assignments!$AF:$AF,A24,Assignments!$AE:$AE, "Y",Assignments!$D:$D,"&gt;="&amp;TODAY()-30))</f>
        <v>0</v>
      </c>
      <c r="U24" s="1">
        <f>IF(A24="","",IFERROR(S24/MAX(1,COUNTIFS(Assignments!$B:$B,A24,Assignments!$D:$D,"&gt;="&amp;TODAY()-30)),""))</f>
        <v>0</v>
      </c>
      <c r="V24" s="1">
        <f t="shared" si="4"/>
        <v>0</v>
      </c>
    </row>
    <row r="25" ht="15.75" customHeight="1">
      <c r="A25" s="20" t="s">
        <v>158</v>
      </c>
      <c r="B25" s="20" t="s">
        <v>159</v>
      </c>
      <c r="C25" s="20" t="s">
        <v>141</v>
      </c>
      <c r="D25" s="20" t="str">
        <f t="shared" si="1"/>
        <v>5</v>
      </c>
      <c r="E25" s="2">
        <f>IF($A25="","",COUNTIFS(Assignments!$B$6:$B$305,$A25,Assignments!$E$6:$E$305,"Active"))</f>
        <v>0</v>
      </c>
      <c r="F25" s="2">
        <f>IF($A25="","",COUNTIFS(Assignments!$B$6:$B$305,$A25,Assignments!$D$6:$D$305,"&gt;="&amp;Config!$B$3-7,Assignments!$D$6:$D$305,"&lt;="&amp;Config!$B$3))</f>
        <v>0</v>
      </c>
      <c r="G25" s="2">
        <f>IF($A25="","",MAXIFS(Assignments!$D$6:$D$305,Assignments!$B$6:$B$305,$A25))</f>
        <v>0</v>
      </c>
      <c r="H25" s="29">
        <f>IF($A25="","",IF($G25="","",Config!$B$3-$G25))</f>
        <v>46071</v>
      </c>
      <c r="I25" s="2">
        <f t="shared" si="2"/>
        <v>0</v>
      </c>
      <c r="J25" s="2" t="str">
        <f>IF($A25="","",IFERROR(AVERAGEIFS(Assignments!$N$6:$N$1000,Assignments!$B$6:$B$1000,$A25,Assignments!$E$6:$E$1000,"Completed"),""))</f>
        <v/>
      </c>
      <c r="K25" s="2" t="str">
        <f>IF($A25="","",IFERROR(AVERAGEIFS(Assignments!$AO:$AO,Assignments!$B:$B,$A25,Assignments!$E:$E,"Completed"),""))</f>
        <v/>
      </c>
      <c r="L25" s="2">
        <f>IF($A25="","",IFERROR(COUNTIFS(Assignments!$B$6:$B$1000,$A25,Assignments!$E$6:$E$1000,"Cancelled")/MAX(1,COUNTIFS(Assignments!$B$6:$B$1000,$A25,Assignments!$E$6:$E$1000,"Completed")+COUNTIFS(Assignments!$B$6:$B$1000,$A25,Assignments!$E$6:$E$1000,"Cancelled")),""))</f>
        <v>0</v>
      </c>
      <c r="M25" s="2" t="str">
        <f>IF($A25="","",IFERROR(AVERAGEIFS(Assignments!$P$6:$P$1000,Assignments!$B$6:$B$1000,$A25,Assignments!$E$6:$E$1000,"Completed"),""))</f>
        <v/>
      </c>
      <c r="N25" s="20" t="s">
        <v>116</v>
      </c>
      <c r="O25" s="2"/>
      <c r="P25" s="1">
        <f>IF(A25="","",MAX(0,MIN(3,SUMIFS(Strike_Log!$C:$C,Strike_Log!$B:$B,A25,Strike_Log!$A:$A,"&gt;="&amp;IF(Config!$B$1004="Y",TODAY()-Config!$B$1005,DATE(1900,1,1)),Strike_Log!$I:$I,1))))</f>
        <v>0</v>
      </c>
      <c r="Q25" s="1">
        <f t="shared" si="3"/>
        <v>0</v>
      </c>
      <c r="R25" s="1" t="str">
        <f>IF(A25="","",IFERROR(AVERAGEIFS(Assignments!$J:$J,Assignments!$B:$B,A25,Assignments!$E:$E,"Completed"),""))</f>
        <v/>
      </c>
      <c r="S25" s="1">
        <f>IF(A25="","",COUNTIFS(Assignments!$B:$B,A25,Assignments!$AE:$AE, "Y",Assignments!$D:$D,"&gt;="&amp;TODAY()-30))</f>
        <v>0</v>
      </c>
      <c r="T25" s="1">
        <f>IF(A25="","",COUNTIFS(Assignments!$AF:$AF,A25,Assignments!$AE:$AE, "Y",Assignments!$D:$D,"&gt;="&amp;TODAY()-30))</f>
        <v>0</v>
      </c>
      <c r="U25" s="1">
        <f>IF(A25="","",IFERROR(S25/MAX(1,COUNTIFS(Assignments!$B:$B,A25,Assignments!$D:$D,"&gt;="&amp;TODAY()-30)),""))</f>
        <v>0</v>
      </c>
      <c r="V25" s="1">
        <f t="shared" si="4"/>
        <v>0</v>
      </c>
    </row>
    <row r="26" ht="15.75" customHeight="1">
      <c r="A26" s="20" t="s">
        <v>160</v>
      </c>
      <c r="B26" s="20" t="s">
        <v>161</v>
      </c>
      <c r="C26" s="20" t="s">
        <v>115</v>
      </c>
      <c r="D26" s="20" t="str">
        <f t="shared" si="1"/>
        <v>3</v>
      </c>
      <c r="E26" s="2">
        <f>IF($A26="","",COUNTIFS(Assignments!$B$6:$B$305,$A26,Assignments!$E$6:$E$305,"Active"))</f>
        <v>0</v>
      </c>
      <c r="F26" s="2">
        <f>IF($A26="","",COUNTIFS(Assignments!$B$6:$B$305,$A26,Assignments!$D$6:$D$305,"&gt;="&amp;Config!$B$3-7,Assignments!$D$6:$D$305,"&lt;="&amp;Config!$B$3))</f>
        <v>0</v>
      </c>
      <c r="G26" s="2">
        <f>IF($A26="","",MAXIFS(Assignments!$D$6:$D$305,Assignments!$B$6:$B$305,$A26))</f>
        <v>0</v>
      </c>
      <c r="H26" s="29">
        <f>IF($A26="","",IF($G26="","",Config!$B$3-$G26))</f>
        <v>46071</v>
      </c>
      <c r="I26" s="2">
        <f t="shared" si="2"/>
        <v>0</v>
      </c>
      <c r="J26" s="2" t="str">
        <f>IF($A26="","",IFERROR(AVERAGEIFS(Assignments!$N$6:$N$1000,Assignments!$B$6:$B$1000,$A26,Assignments!$E$6:$E$1000,"Completed"),""))</f>
        <v/>
      </c>
      <c r="K26" s="2" t="str">
        <f>IF($A26="","",IFERROR(AVERAGEIFS(Assignments!$AO:$AO,Assignments!$B:$B,$A26,Assignments!$E:$E,"Completed"),""))</f>
        <v/>
      </c>
      <c r="L26" s="2">
        <f>IF($A26="","",IFERROR(COUNTIFS(Assignments!$B$6:$B$1000,$A26,Assignments!$E$6:$E$1000,"Cancelled")/MAX(1,COUNTIFS(Assignments!$B$6:$B$1000,$A26,Assignments!$E$6:$E$1000,"Completed")+COUNTIFS(Assignments!$B$6:$B$1000,$A26,Assignments!$E$6:$E$1000,"Cancelled")),""))</f>
        <v>0</v>
      </c>
      <c r="M26" s="2" t="str">
        <f>IF($A26="","",IFERROR(AVERAGEIFS(Assignments!$P$6:$P$1000,Assignments!$B$6:$B$1000,$A26,Assignments!$E$6:$E$1000,"Completed"),""))</f>
        <v/>
      </c>
      <c r="N26" s="20" t="s">
        <v>116</v>
      </c>
      <c r="O26" s="2"/>
      <c r="P26" s="1">
        <f>IF(A26="","",MAX(0,MIN(3,SUMIFS(Strike_Log!$C:$C,Strike_Log!$B:$B,A26,Strike_Log!$A:$A,"&gt;="&amp;IF(Config!$B$1004="Y",TODAY()-Config!$B$1005,DATE(1900,1,1)),Strike_Log!$I:$I,1))))</f>
        <v>0</v>
      </c>
      <c r="Q26" s="1">
        <f t="shared" si="3"/>
        <v>0</v>
      </c>
      <c r="R26" s="1" t="str">
        <f>IF(A26="","",IFERROR(AVERAGEIFS(Assignments!$J:$J,Assignments!$B:$B,A26,Assignments!$E:$E,"Completed"),""))</f>
        <v/>
      </c>
      <c r="S26" s="1">
        <f>IF(A26="","",COUNTIFS(Assignments!$B:$B,A26,Assignments!$AE:$AE, "Y",Assignments!$D:$D,"&gt;="&amp;TODAY()-30))</f>
        <v>0</v>
      </c>
      <c r="T26" s="1">
        <f>IF(A26="","",COUNTIFS(Assignments!$AF:$AF,A26,Assignments!$AE:$AE, "Y",Assignments!$D:$D,"&gt;="&amp;TODAY()-30))</f>
        <v>0</v>
      </c>
      <c r="U26" s="1">
        <f>IF(A26="","",IFERROR(S26/MAX(1,COUNTIFS(Assignments!$B:$B,A26,Assignments!$D:$D,"&gt;="&amp;TODAY()-30)),""))</f>
        <v>0</v>
      </c>
      <c r="V26" s="1">
        <f t="shared" si="4"/>
        <v>0</v>
      </c>
    </row>
    <row r="27" ht="15.75" customHeight="1">
      <c r="A27" s="20" t="s">
        <v>162</v>
      </c>
      <c r="B27" s="20" t="s">
        <v>163</v>
      </c>
      <c r="C27" s="20" t="s">
        <v>115</v>
      </c>
      <c r="D27" s="20" t="str">
        <f t="shared" si="1"/>
        <v>3</v>
      </c>
      <c r="E27" s="2">
        <f>IF($A27="","",COUNTIFS(Assignments!$B$6:$B$305,$A27,Assignments!$E$6:$E$305,"Active"))</f>
        <v>0</v>
      </c>
      <c r="F27" s="2">
        <f>IF($A27="","",COUNTIFS(Assignments!$B$6:$B$305,$A27,Assignments!$D$6:$D$305,"&gt;="&amp;Config!$B$3-7,Assignments!$D$6:$D$305,"&lt;="&amp;Config!$B$3))</f>
        <v>0</v>
      </c>
      <c r="G27" s="2">
        <f>IF($A27="","",MAXIFS(Assignments!$D$6:$D$305,Assignments!$B$6:$B$305,$A27))</f>
        <v>0</v>
      </c>
      <c r="H27" s="29">
        <f>IF($A27="","",IF($G27="","",Config!$B$3-$G27))</f>
        <v>46071</v>
      </c>
      <c r="I27" s="2">
        <f t="shared" si="2"/>
        <v>0</v>
      </c>
      <c r="J27" s="2" t="str">
        <f>IF($A27="","",IFERROR(AVERAGEIFS(Assignments!$N$6:$N$1000,Assignments!$B$6:$B$1000,$A27,Assignments!$E$6:$E$1000,"Completed"),""))</f>
        <v/>
      </c>
      <c r="K27" s="2" t="str">
        <f>IF($A27="","",IFERROR(AVERAGEIFS(Assignments!$AO:$AO,Assignments!$B:$B,$A27,Assignments!$E:$E,"Completed"),""))</f>
        <v/>
      </c>
      <c r="L27" s="2">
        <f>IF($A27="","",IFERROR(COUNTIFS(Assignments!$B$6:$B$1000,$A27,Assignments!$E$6:$E$1000,"Cancelled")/MAX(1,COUNTIFS(Assignments!$B$6:$B$1000,$A27,Assignments!$E$6:$E$1000,"Completed")+COUNTIFS(Assignments!$B$6:$B$1000,$A27,Assignments!$E$6:$E$1000,"Cancelled")),""))</f>
        <v>0</v>
      </c>
      <c r="M27" s="2" t="str">
        <f>IF($A27="","",IFERROR(AVERAGEIFS(Assignments!$P$6:$P$1000,Assignments!$B$6:$B$1000,$A27,Assignments!$E$6:$E$1000,"Completed"),""))</f>
        <v/>
      </c>
      <c r="N27" s="20" t="s">
        <v>116</v>
      </c>
      <c r="O27" s="2"/>
      <c r="P27" s="1">
        <f>IF(A27="","",MAX(0,MIN(3,SUMIFS(Strike_Log!$C:$C,Strike_Log!$B:$B,A27,Strike_Log!$A:$A,"&gt;="&amp;IF(Config!$B$1004="Y",TODAY()-Config!$B$1005,DATE(1900,1,1)),Strike_Log!$I:$I,1))))</f>
        <v>0</v>
      </c>
      <c r="Q27" s="1">
        <f t="shared" si="3"/>
        <v>0</v>
      </c>
      <c r="R27" s="1" t="str">
        <f>IF(A27="","",IFERROR(AVERAGEIFS(Assignments!$J:$J,Assignments!$B:$B,A27,Assignments!$E:$E,"Completed"),""))</f>
        <v/>
      </c>
      <c r="S27" s="1">
        <f>IF(A27="","",COUNTIFS(Assignments!$B:$B,A27,Assignments!$AE:$AE, "Y",Assignments!$D:$D,"&gt;="&amp;TODAY()-30))</f>
        <v>0</v>
      </c>
      <c r="T27" s="1">
        <f>IF(A27="","",COUNTIFS(Assignments!$AF:$AF,A27,Assignments!$AE:$AE, "Y",Assignments!$D:$D,"&gt;="&amp;TODAY()-30))</f>
        <v>0</v>
      </c>
      <c r="U27" s="1">
        <f>IF(A27="","",IFERROR(S27/MAX(1,COUNTIFS(Assignments!$B:$B,A27,Assignments!$D:$D,"&gt;="&amp;TODAY()-30)),""))</f>
        <v>0</v>
      </c>
      <c r="V27" s="1">
        <f t="shared" si="4"/>
        <v>0</v>
      </c>
    </row>
    <row r="28" ht="15.75" customHeight="1">
      <c r="A28" s="20" t="s">
        <v>164</v>
      </c>
      <c r="B28" s="20" t="s">
        <v>165</v>
      </c>
      <c r="C28" s="20" t="s">
        <v>115</v>
      </c>
      <c r="D28" s="20" t="str">
        <f t="shared" si="1"/>
        <v>3</v>
      </c>
      <c r="E28" s="2">
        <f>IF($A28="","",COUNTIFS(Assignments!$B$6:$B$305,$A28,Assignments!$E$6:$E$305,"Active"))</f>
        <v>0</v>
      </c>
      <c r="F28" s="2">
        <f>IF($A28="","",COUNTIFS(Assignments!$B$6:$B$305,$A28,Assignments!$D$6:$D$305,"&gt;="&amp;Config!$B$3-7,Assignments!$D$6:$D$305,"&lt;="&amp;Config!$B$3))</f>
        <v>0</v>
      </c>
      <c r="G28" s="2">
        <f>IF($A28="","",MAXIFS(Assignments!$D$6:$D$305,Assignments!$B$6:$B$305,$A28))</f>
        <v>0</v>
      </c>
      <c r="H28" s="29">
        <f>IF($A28="","",IF($G28="","",Config!$B$3-$G28))</f>
        <v>46071</v>
      </c>
      <c r="I28" s="2">
        <f t="shared" si="2"/>
        <v>0</v>
      </c>
      <c r="J28" s="2" t="str">
        <f>IF($A28="","",IFERROR(AVERAGEIFS(Assignments!$N$6:$N$1000,Assignments!$B$6:$B$1000,$A28,Assignments!$E$6:$E$1000,"Completed"),""))</f>
        <v/>
      </c>
      <c r="K28" s="2" t="str">
        <f>IF($A28="","",IFERROR(AVERAGEIFS(Assignments!$AO:$AO,Assignments!$B:$B,$A28,Assignments!$E:$E,"Completed"),""))</f>
        <v/>
      </c>
      <c r="L28" s="2">
        <f>IF($A28="","",IFERROR(COUNTIFS(Assignments!$B$6:$B$1000,$A28,Assignments!$E$6:$E$1000,"Cancelled")/MAX(1,COUNTIFS(Assignments!$B$6:$B$1000,$A28,Assignments!$E$6:$E$1000,"Completed")+COUNTIFS(Assignments!$B$6:$B$1000,$A28,Assignments!$E$6:$E$1000,"Cancelled")),""))</f>
        <v>0</v>
      </c>
      <c r="M28" s="2" t="str">
        <f>IF($A28="","",IFERROR(AVERAGEIFS(Assignments!$P$6:$P$1000,Assignments!$B$6:$B$1000,$A28,Assignments!$E$6:$E$1000,"Completed"),""))</f>
        <v/>
      </c>
      <c r="N28" s="20" t="s">
        <v>116</v>
      </c>
      <c r="O28" s="2"/>
      <c r="P28" s="1">
        <f>IF(A28="","",MAX(0,MIN(3,SUMIFS(Strike_Log!$C:$C,Strike_Log!$B:$B,A28,Strike_Log!$A:$A,"&gt;="&amp;IF(Config!$B$1004="Y",TODAY()-Config!$B$1005,DATE(1900,1,1)),Strike_Log!$I:$I,1))))</f>
        <v>0</v>
      </c>
      <c r="Q28" s="1">
        <f t="shared" si="3"/>
        <v>0</v>
      </c>
      <c r="R28" s="1" t="str">
        <f>IF(A28="","",IFERROR(AVERAGEIFS(Assignments!$J:$J,Assignments!$B:$B,A28,Assignments!$E:$E,"Completed"),""))</f>
        <v/>
      </c>
      <c r="S28" s="1">
        <f>IF(A28="","",COUNTIFS(Assignments!$B:$B,A28,Assignments!$AE:$AE, "Y",Assignments!$D:$D,"&gt;="&amp;TODAY()-30))</f>
        <v>0</v>
      </c>
      <c r="T28" s="1">
        <f>IF(A28="","",COUNTIFS(Assignments!$AF:$AF,A28,Assignments!$AE:$AE, "Y",Assignments!$D:$D,"&gt;="&amp;TODAY()-30))</f>
        <v>0</v>
      </c>
      <c r="U28" s="1">
        <f>IF(A28="","",IFERROR(S28/MAX(1,COUNTIFS(Assignments!$B:$B,A28,Assignments!$D:$D,"&gt;="&amp;TODAY()-30)),""))</f>
        <v>0</v>
      </c>
      <c r="V28" s="1">
        <f t="shared" si="4"/>
        <v>0</v>
      </c>
    </row>
    <row r="29" ht="15.75" customHeight="1">
      <c r="A29" s="20" t="s">
        <v>166</v>
      </c>
      <c r="B29" s="20" t="s">
        <v>167</v>
      </c>
      <c r="C29" s="20" t="s">
        <v>115</v>
      </c>
      <c r="D29" s="20" t="str">
        <f t="shared" si="1"/>
        <v>3</v>
      </c>
      <c r="E29" s="2">
        <f>IF($A29="","",COUNTIFS(Assignments!$B$6:$B$305,$A29,Assignments!$E$6:$E$305,"Active"))</f>
        <v>0</v>
      </c>
      <c r="F29" s="2">
        <f>IF($A29="","",COUNTIFS(Assignments!$B$6:$B$305,$A29,Assignments!$D$6:$D$305,"&gt;="&amp;Config!$B$3-7,Assignments!$D$6:$D$305,"&lt;="&amp;Config!$B$3))</f>
        <v>0</v>
      </c>
      <c r="G29" s="2">
        <f>IF($A29="","",MAXIFS(Assignments!$D$6:$D$305,Assignments!$B$6:$B$305,$A29))</f>
        <v>0</v>
      </c>
      <c r="H29" s="29">
        <f>IF($A29="","",IF($G29="","",Config!$B$3-$G29))</f>
        <v>46071</v>
      </c>
      <c r="I29" s="2">
        <f t="shared" si="2"/>
        <v>0</v>
      </c>
      <c r="J29" s="2" t="str">
        <f>IF($A29="","",IFERROR(AVERAGEIFS(Assignments!$N$6:$N$1000,Assignments!$B$6:$B$1000,$A29,Assignments!$E$6:$E$1000,"Completed"),""))</f>
        <v/>
      </c>
      <c r="K29" s="2" t="str">
        <f>IF($A29="","",IFERROR(AVERAGEIFS(Assignments!$AO:$AO,Assignments!$B:$B,$A29,Assignments!$E:$E,"Completed"),""))</f>
        <v/>
      </c>
      <c r="L29" s="2">
        <f>IF($A29="","",IFERROR(COUNTIFS(Assignments!$B$6:$B$1000,$A29,Assignments!$E$6:$E$1000,"Cancelled")/MAX(1,COUNTIFS(Assignments!$B$6:$B$1000,$A29,Assignments!$E$6:$E$1000,"Completed")+COUNTIFS(Assignments!$B$6:$B$1000,$A29,Assignments!$E$6:$E$1000,"Cancelled")),""))</f>
        <v>0</v>
      </c>
      <c r="M29" s="2" t="str">
        <f>IF($A29="","",IFERROR(AVERAGEIFS(Assignments!$P$6:$P$1000,Assignments!$B$6:$B$1000,$A29,Assignments!$E$6:$E$1000,"Completed"),""))</f>
        <v/>
      </c>
      <c r="N29" s="20" t="s">
        <v>116</v>
      </c>
      <c r="O29" s="2"/>
      <c r="P29" s="1">
        <f>IF(A29="","",MAX(0,MIN(3,SUMIFS(Strike_Log!$C:$C,Strike_Log!$B:$B,A29,Strike_Log!$A:$A,"&gt;="&amp;IF(Config!$B$1004="Y",TODAY()-Config!$B$1005,DATE(1900,1,1)),Strike_Log!$I:$I,1))))</f>
        <v>0</v>
      </c>
      <c r="Q29" s="1">
        <f t="shared" si="3"/>
        <v>0</v>
      </c>
      <c r="R29" s="1" t="str">
        <f>IF(A29="","",IFERROR(AVERAGEIFS(Assignments!$J:$J,Assignments!$B:$B,A29,Assignments!$E:$E,"Completed"),""))</f>
        <v/>
      </c>
      <c r="S29" s="1">
        <f>IF(A29="","",COUNTIFS(Assignments!$B:$B,A29,Assignments!$AE:$AE, "Y",Assignments!$D:$D,"&gt;="&amp;TODAY()-30))</f>
        <v>0</v>
      </c>
      <c r="T29" s="1">
        <f>IF(A29="","",COUNTIFS(Assignments!$AF:$AF,A29,Assignments!$AE:$AE, "Y",Assignments!$D:$D,"&gt;="&amp;TODAY()-30))</f>
        <v>0</v>
      </c>
      <c r="U29" s="1">
        <f>IF(A29="","",IFERROR(S29/MAX(1,COUNTIFS(Assignments!$B:$B,A29,Assignments!$D:$D,"&gt;="&amp;TODAY()-30)),""))</f>
        <v>0</v>
      </c>
      <c r="V29" s="1">
        <f t="shared" si="4"/>
        <v>0</v>
      </c>
    </row>
    <row r="30" ht="15.75" customHeight="1">
      <c r="A30" s="20" t="s">
        <v>168</v>
      </c>
      <c r="B30" s="20" t="s">
        <v>169</v>
      </c>
      <c r="C30" s="20" t="s">
        <v>115</v>
      </c>
      <c r="D30" s="20" t="str">
        <f t="shared" si="1"/>
        <v>3</v>
      </c>
      <c r="E30" s="2">
        <f>IF($A30="","",COUNTIFS(Assignments!$B$6:$B$305,$A30,Assignments!$E$6:$E$305,"Active"))</f>
        <v>0</v>
      </c>
      <c r="F30" s="2">
        <f>IF($A30="","",COUNTIFS(Assignments!$B$6:$B$305,$A30,Assignments!$D$6:$D$305,"&gt;="&amp;Config!$B$3-7,Assignments!$D$6:$D$305,"&lt;="&amp;Config!$B$3))</f>
        <v>0</v>
      </c>
      <c r="G30" s="2">
        <f>IF($A30="","",MAXIFS(Assignments!$D$6:$D$305,Assignments!$B$6:$B$305,$A30))</f>
        <v>0</v>
      </c>
      <c r="H30" s="29">
        <f>IF($A30="","",IF($G30="","",Config!$B$3-$G30))</f>
        <v>46071</v>
      </c>
      <c r="I30" s="2">
        <f t="shared" si="2"/>
        <v>0</v>
      </c>
      <c r="J30" s="2" t="str">
        <f>IF($A30="","",IFERROR(AVERAGEIFS(Assignments!$N$6:$N$1000,Assignments!$B$6:$B$1000,$A30,Assignments!$E$6:$E$1000,"Completed"),""))</f>
        <v/>
      </c>
      <c r="K30" s="2" t="str">
        <f>IF($A30="","",IFERROR(AVERAGEIFS(Assignments!$AO:$AO,Assignments!$B:$B,$A30,Assignments!$E:$E,"Completed"),""))</f>
        <v/>
      </c>
      <c r="L30" s="2">
        <f>IF($A30="","",IFERROR(COUNTIFS(Assignments!$B$6:$B$1000,$A30,Assignments!$E$6:$E$1000,"Cancelled")/MAX(1,COUNTIFS(Assignments!$B$6:$B$1000,$A30,Assignments!$E$6:$E$1000,"Completed")+COUNTIFS(Assignments!$B$6:$B$1000,$A30,Assignments!$E$6:$E$1000,"Cancelled")),""))</f>
        <v>0</v>
      </c>
      <c r="M30" s="2" t="str">
        <f>IF($A30="","",IFERROR(AVERAGEIFS(Assignments!$P$6:$P$1000,Assignments!$B$6:$B$1000,$A30,Assignments!$E$6:$E$1000,"Completed"),""))</f>
        <v/>
      </c>
      <c r="N30" s="20" t="s">
        <v>116</v>
      </c>
      <c r="O30" s="2"/>
      <c r="P30" s="1">
        <f>IF(A30="","",MAX(0,MIN(3,SUMIFS(Strike_Log!$C:$C,Strike_Log!$B:$B,A30,Strike_Log!$A:$A,"&gt;="&amp;IF(Config!$B$1004="Y",TODAY()-Config!$B$1005,DATE(1900,1,1)),Strike_Log!$I:$I,1))))</f>
        <v>0</v>
      </c>
      <c r="Q30" s="1">
        <f t="shared" si="3"/>
        <v>0</v>
      </c>
      <c r="R30" s="1" t="str">
        <f>IF(A30="","",IFERROR(AVERAGEIFS(Assignments!$J:$J,Assignments!$B:$B,A30,Assignments!$E:$E,"Completed"),""))</f>
        <v/>
      </c>
      <c r="S30" s="1">
        <f>IF(A30="","",COUNTIFS(Assignments!$B:$B,A30,Assignments!$AE:$AE, "Y",Assignments!$D:$D,"&gt;="&amp;TODAY()-30))</f>
        <v>0</v>
      </c>
      <c r="T30" s="1">
        <f>IF(A30="","",COUNTIFS(Assignments!$AF:$AF,A30,Assignments!$AE:$AE, "Y",Assignments!$D:$D,"&gt;="&amp;TODAY()-30))</f>
        <v>0</v>
      </c>
      <c r="U30" s="1">
        <f>IF(A30="","",IFERROR(S30/MAX(1,COUNTIFS(Assignments!$B:$B,A30,Assignments!$D:$D,"&gt;="&amp;TODAY()-30)),""))</f>
        <v>0</v>
      </c>
      <c r="V30" s="1">
        <f t="shared" si="4"/>
        <v>0</v>
      </c>
    </row>
    <row r="31" ht="15.75" customHeight="1">
      <c r="A31" s="20" t="s">
        <v>170</v>
      </c>
      <c r="B31" s="20" t="s">
        <v>171</v>
      </c>
      <c r="C31" s="20" t="s">
        <v>141</v>
      </c>
      <c r="D31" s="20" t="str">
        <f t="shared" si="1"/>
        <v>5</v>
      </c>
      <c r="E31" s="2">
        <f>IF($A31="","",COUNTIFS(Assignments!$B$6:$B$305,$A31,Assignments!$E$6:$E$305,"Active"))</f>
        <v>0</v>
      </c>
      <c r="F31" s="2">
        <f>IF($A31="","",COUNTIFS(Assignments!$B$6:$B$305,$A31,Assignments!$D$6:$D$305,"&gt;="&amp;Config!$B$3-7,Assignments!$D$6:$D$305,"&lt;="&amp;Config!$B$3))</f>
        <v>0</v>
      </c>
      <c r="G31" s="2">
        <f>IF($A31="","",MAXIFS(Assignments!$D$6:$D$305,Assignments!$B$6:$B$305,$A31))</f>
        <v>0</v>
      </c>
      <c r="H31" s="29">
        <f>IF($A31="","",IF($G31="","",Config!$B$3-$G31))</f>
        <v>46071</v>
      </c>
      <c r="I31" s="2">
        <f t="shared" si="2"/>
        <v>0</v>
      </c>
      <c r="J31" s="2" t="str">
        <f>IF($A31="","",IFERROR(AVERAGEIFS(Assignments!$N$6:$N$1000,Assignments!$B$6:$B$1000,$A31,Assignments!$E$6:$E$1000,"Completed"),""))</f>
        <v/>
      </c>
      <c r="K31" s="2" t="str">
        <f>IF($A31="","",IFERROR(AVERAGEIFS(Assignments!$AO:$AO,Assignments!$B:$B,$A31,Assignments!$E:$E,"Completed"),""))</f>
        <v/>
      </c>
      <c r="L31" s="2">
        <f>IF($A31="","",IFERROR(COUNTIFS(Assignments!$B$6:$B$1000,$A31,Assignments!$E$6:$E$1000,"Cancelled")/MAX(1,COUNTIFS(Assignments!$B$6:$B$1000,$A31,Assignments!$E$6:$E$1000,"Completed")+COUNTIFS(Assignments!$B$6:$B$1000,$A31,Assignments!$E$6:$E$1000,"Cancelled")),""))</f>
        <v>0</v>
      </c>
      <c r="M31" s="2" t="str">
        <f>IF($A31="","",IFERROR(AVERAGEIFS(Assignments!$P$6:$P$1000,Assignments!$B$6:$B$1000,$A31,Assignments!$E$6:$E$1000,"Completed"),""))</f>
        <v/>
      </c>
      <c r="N31" s="20" t="s">
        <v>116</v>
      </c>
      <c r="O31" s="2"/>
      <c r="P31" s="1">
        <f>IF(A31="","",MAX(0,MIN(3,SUMIFS(Strike_Log!$C:$C,Strike_Log!$B:$B,A31,Strike_Log!$A:$A,"&gt;="&amp;IF(Config!$B$1004="Y",TODAY()-Config!$B$1005,DATE(1900,1,1)),Strike_Log!$I:$I,1))))</f>
        <v>0</v>
      </c>
      <c r="Q31" s="1">
        <f t="shared" si="3"/>
        <v>0</v>
      </c>
      <c r="R31" s="1" t="str">
        <f>IF(A31="","",IFERROR(AVERAGEIFS(Assignments!$J:$J,Assignments!$B:$B,A31,Assignments!$E:$E,"Completed"),""))</f>
        <v/>
      </c>
      <c r="S31" s="1">
        <f>IF(A31="","",COUNTIFS(Assignments!$B:$B,A31,Assignments!$AE:$AE, "Y",Assignments!$D:$D,"&gt;="&amp;TODAY()-30))</f>
        <v>0</v>
      </c>
      <c r="T31" s="1">
        <f>IF(A31="","",COUNTIFS(Assignments!$AF:$AF,A31,Assignments!$AE:$AE, "Y",Assignments!$D:$D,"&gt;="&amp;TODAY()-30))</f>
        <v>0</v>
      </c>
      <c r="U31" s="1">
        <f>IF(A31="","",IFERROR(S31/MAX(1,COUNTIFS(Assignments!$B:$B,A31,Assignments!$D:$D,"&gt;="&amp;TODAY()-30)),""))</f>
        <v>0</v>
      </c>
      <c r="V31" s="1">
        <f t="shared" si="4"/>
        <v>0</v>
      </c>
    </row>
    <row r="32" ht="15.75" customHeight="1">
      <c r="A32" s="20" t="s">
        <v>172</v>
      </c>
      <c r="B32" s="20" t="s">
        <v>173</v>
      </c>
      <c r="C32" s="20" t="s">
        <v>115</v>
      </c>
      <c r="D32" s="20" t="str">
        <f t="shared" si="1"/>
        <v>3</v>
      </c>
      <c r="E32" s="2">
        <f>IF($A32="","",COUNTIFS(Assignments!$B$6:$B$305,$A32,Assignments!$E$6:$E$305,"Active"))</f>
        <v>0</v>
      </c>
      <c r="F32" s="2">
        <f>IF($A32="","",COUNTIFS(Assignments!$B$6:$B$305,$A32,Assignments!$D$6:$D$305,"&gt;="&amp;Config!$B$3-7,Assignments!$D$6:$D$305,"&lt;="&amp;Config!$B$3))</f>
        <v>0</v>
      </c>
      <c r="G32" s="2">
        <f>IF($A32="","",MAXIFS(Assignments!$D$6:$D$305,Assignments!$B$6:$B$305,$A32))</f>
        <v>0</v>
      </c>
      <c r="H32" s="29">
        <f>IF($A32="","",IF($G32="","",Config!$B$3-$G32))</f>
        <v>46071</v>
      </c>
      <c r="I32" s="2">
        <f t="shared" si="2"/>
        <v>0</v>
      </c>
      <c r="J32" s="2" t="str">
        <f>IF($A32="","",IFERROR(AVERAGEIFS(Assignments!$N$6:$N$1000,Assignments!$B$6:$B$1000,$A32,Assignments!$E$6:$E$1000,"Completed"),""))</f>
        <v/>
      </c>
      <c r="K32" s="2" t="str">
        <f>IF($A32="","",IFERROR(AVERAGEIFS(Assignments!$AO:$AO,Assignments!$B:$B,$A32,Assignments!$E:$E,"Completed"),""))</f>
        <v/>
      </c>
      <c r="L32" s="2">
        <f>IF($A32="","",IFERROR(COUNTIFS(Assignments!$B$6:$B$1000,$A32,Assignments!$E$6:$E$1000,"Cancelled")/MAX(1,COUNTIFS(Assignments!$B$6:$B$1000,$A32,Assignments!$E$6:$E$1000,"Completed")+COUNTIFS(Assignments!$B$6:$B$1000,$A32,Assignments!$E$6:$E$1000,"Cancelled")),""))</f>
        <v>0</v>
      </c>
      <c r="M32" s="2" t="str">
        <f>IF($A32="","",IFERROR(AVERAGEIFS(Assignments!$P$6:$P$1000,Assignments!$B$6:$B$1000,$A32,Assignments!$E$6:$E$1000,"Completed"),""))</f>
        <v/>
      </c>
      <c r="N32" s="20" t="s">
        <v>116</v>
      </c>
      <c r="O32" s="2"/>
      <c r="P32" s="1">
        <f>IF(A32="","",MAX(0,MIN(3,SUMIFS(Strike_Log!$C:$C,Strike_Log!$B:$B,A32,Strike_Log!$A:$A,"&gt;="&amp;IF(Config!$B$1004="Y",TODAY()-Config!$B$1005,DATE(1900,1,1)),Strike_Log!$I:$I,1))))</f>
        <v>0</v>
      </c>
      <c r="Q32" s="1">
        <f t="shared" si="3"/>
        <v>0</v>
      </c>
      <c r="R32" s="1" t="str">
        <f>IF(A32="","",IFERROR(AVERAGEIFS(Assignments!$J:$J,Assignments!$B:$B,A32,Assignments!$E:$E,"Completed"),""))</f>
        <v/>
      </c>
      <c r="S32" s="1">
        <f>IF(A32="","",COUNTIFS(Assignments!$B:$B,A32,Assignments!$AE:$AE, "Y",Assignments!$D:$D,"&gt;="&amp;TODAY()-30))</f>
        <v>0</v>
      </c>
      <c r="T32" s="1">
        <f>IF(A32="","",COUNTIFS(Assignments!$AF:$AF,A32,Assignments!$AE:$AE, "Y",Assignments!$D:$D,"&gt;="&amp;TODAY()-30))</f>
        <v>0</v>
      </c>
      <c r="U32" s="1">
        <f>IF(A32="","",IFERROR(S32/MAX(1,COUNTIFS(Assignments!$B:$B,A32,Assignments!$D:$D,"&gt;="&amp;TODAY()-30)),""))</f>
        <v>0</v>
      </c>
      <c r="V32" s="1">
        <f t="shared" si="4"/>
        <v>0</v>
      </c>
    </row>
    <row r="33" ht="15.75" customHeight="1">
      <c r="A33" s="20" t="s">
        <v>174</v>
      </c>
      <c r="B33" s="20" t="s">
        <v>175</v>
      </c>
      <c r="C33" s="20" t="s">
        <v>141</v>
      </c>
      <c r="D33" s="20" t="str">
        <f t="shared" si="1"/>
        <v>5</v>
      </c>
      <c r="E33" s="2">
        <f>IF($A33="","",COUNTIFS(Assignments!$B$6:$B$305,$A33,Assignments!$E$6:$E$305,"Active"))</f>
        <v>0</v>
      </c>
      <c r="F33" s="2">
        <f>IF($A33="","",COUNTIFS(Assignments!$B$6:$B$305,$A33,Assignments!$D$6:$D$305,"&gt;="&amp;Config!$B$3-7,Assignments!$D$6:$D$305,"&lt;="&amp;Config!$B$3))</f>
        <v>0</v>
      </c>
      <c r="G33" s="2">
        <f>IF($A33="","",MAXIFS(Assignments!$D$6:$D$305,Assignments!$B$6:$B$305,$A33))</f>
        <v>0</v>
      </c>
      <c r="H33" s="29">
        <f>IF($A33="","",IF($G33="","",Config!$B$3-$G33))</f>
        <v>46071</v>
      </c>
      <c r="I33" s="2">
        <f t="shared" si="2"/>
        <v>0</v>
      </c>
      <c r="J33" s="2" t="str">
        <f>IF($A33="","",IFERROR(AVERAGEIFS(Assignments!$N$6:$N$1000,Assignments!$B$6:$B$1000,$A33,Assignments!$E$6:$E$1000,"Completed"),""))</f>
        <v/>
      </c>
      <c r="K33" s="2" t="str">
        <f>IF($A33="","",IFERROR(AVERAGEIFS(Assignments!$AO:$AO,Assignments!$B:$B,$A33,Assignments!$E:$E,"Completed"),""))</f>
        <v/>
      </c>
      <c r="L33" s="2">
        <f>IF($A33="","",IFERROR(COUNTIFS(Assignments!$B$6:$B$1000,$A33,Assignments!$E$6:$E$1000,"Cancelled")/MAX(1,COUNTIFS(Assignments!$B$6:$B$1000,$A33,Assignments!$E$6:$E$1000,"Completed")+COUNTIFS(Assignments!$B$6:$B$1000,$A33,Assignments!$E$6:$E$1000,"Cancelled")),""))</f>
        <v>0</v>
      </c>
      <c r="M33" s="2" t="str">
        <f>IF($A33="","",IFERROR(AVERAGEIFS(Assignments!$P$6:$P$1000,Assignments!$B$6:$B$1000,$A33,Assignments!$E$6:$E$1000,"Completed"),""))</f>
        <v/>
      </c>
      <c r="N33" s="20" t="s">
        <v>116</v>
      </c>
      <c r="O33" s="2"/>
      <c r="P33" s="1">
        <f>IF(A33="","",MAX(0,MIN(3,SUMIFS(Strike_Log!$C:$C,Strike_Log!$B:$B,A33,Strike_Log!$A:$A,"&gt;="&amp;IF(Config!$B$1004="Y",TODAY()-Config!$B$1005,DATE(1900,1,1)),Strike_Log!$I:$I,1))))</f>
        <v>0</v>
      </c>
      <c r="Q33" s="1">
        <f t="shared" si="3"/>
        <v>0</v>
      </c>
      <c r="R33" s="1" t="str">
        <f>IF(A33="","",IFERROR(AVERAGEIFS(Assignments!$J:$J,Assignments!$B:$B,A33,Assignments!$E:$E,"Completed"),""))</f>
        <v/>
      </c>
      <c r="S33" s="1">
        <f>IF(A33="","",COUNTIFS(Assignments!$B:$B,A33,Assignments!$AE:$AE, "Y",Assignments!$D:$D,"&gt;="&amp;TODAY()-30))</f>
        <v>0</v>
      </c>
      <c r="T33" s="1">
        <f>IF(A33="","",COUNTIFS(Assignments!$AF:$AF,A33,Assignments!$AE:$AE, "Y",Assignments!$D:$D,"&gt;="&amp;TODAY()-30))</f>
        <v>0</v>
      </c>
      <c r="U33" s="1">
        <f>IF(A33="","",IFERROR(S33/MAX(1,COUNTIFS(Assignments!$B:$B,A33,Assignments!$D:$D,"&gt;="&amp;TODAY()-30)),""))</f>
        <v>0</v>
      </c>
      <c r="V33" s="1">
        <f t="shared" si="4"/>
        <v>0</v>
      </c>
    </row>
    <row r="34" ht="15.75" customHeight="1">
      <c r="A34" s="20" t="s">
        <v>176</v>
      </c>
      <c r="B34" s="20" t="s">
        <v>177</v>
      </c>
      <c r="C34" s="20" t="s">
        <v>115</v>
      </c>
      <c r="D34" s="20" t="str">
        <f t="shared" si="1"/>
        <v>3</v>
      </c>
      <c r="E34" s="2">
        <f>IF($A34="","",COUNTIFS(Assignments!$B$6:$B$305,$A34,Assignments!$E$6:$E$305,"Active"))</f>
        <v>0</v>
      </c>
      <c r="F34" s="2">
        <f>IF($A34="","",COUNTIFS(Assignments!$B$6:$B$305,$A34,Assignments!$D$6:$D$305,"&gt;="&amp;Config!$B$3-7,Assignments!$D$6:$D$305,"&lt;="&amp;Config!$B$3))</f>
        <v>0</v>
      </c>
      <c r="G34" s="2">
        <f>IF($A34="","",MAXIFS(Assignments!$D$6:$D$305,Assignments!$B$6:$B$305,$A34))</f>
        <v>0</v>
      </c>
      <c r="H34" s="29">
        <f>IF($A34="","",IF($G34="","",Config!$B$3-$G34))</f>
        <v>46071</v>
      </c>
      <c r="I34" s="2">
        <f t="shared" si="2"/>
        <v>0</v>
      </c>
      <c r="J34" s="2" t="str">
        <f>IF($A34="","",IFERROR(AVERAGEIFS(Assignments!$N$6:$N$1000,Assignments!$B$6:$B$1000,$A34,Assignments!$E$6:$E$1000,"Completed"),""))</f>
        <v/>
      </c>
      <c r="K34" s="2" t="str">
        <f>IF($A34="","",IFERROR(AVERAGEIFS(Assignments!$AO:$AO,Assignments!$B:$B,$A34,Assignments!$E:$E,"Completed"),""))</f>
        <v/>
      </c>
      <c r="L34" s="2">
        <f>IF($A34="","",IFERROR(COUNTIFS(Assignments!$B$6:$B$1000,$A34,Assignments!$E$6:$E$1000,"Cancelled")/MAX(1,COUNTIFS(Assignments!$B$6:$B$1000,$A34,Assignments!$E$6:$E$1000,"Completed")+COUNTIFS(Assignments!$B$6:$B$1000,$A34,Assignments!$E$6:$E$1000,"Cancelled")),""))</f>
        <v>0</v>
      </c>
      <c r="M34" s="2" t="str">
        <f>IF($A34="","",IFERROR(AVERAGEIFS(Assignments!$P$6:$P$1000,Assignments!$B$6:$B$1000,$A34,Assignments!$E$6:$E$1000,"Completed"),""))</f>
        <v/>
      </c>
      <c r="N34" s="20" t="s">
        <v>116</v>
      </c>
      <c r="O34" s="2"/>
      <c r="P34" s="1">
        <f>IF(A34="","",MAX(0,MIN(3,SUMIFS(Strike_Log!$C:$C,Strike_Log!$B:$B,A34,Strike_Log!$A:$A,"&gt;="&amp;IF(Config!$B$1004="Y",TODAY()-Config!$B$1005,DATE(1900,1,1)),Strike_Log!$I:$I,1))))</f>
        <v>0</v>
      </c>
      <c r="Q34" s="1">
        <f t="shared" si="3"/>
        <v>0</v>
      </c>
      <c r="R34" s="1" t="str">
        <f>IF(A34="","",IFERROR(AVERAGEIFS(Assignments!$J:$J,Assignments!$B:$B,A34,Assignments!$E:$E,"Completed"),""))</f>
        <v/>
      </c>
      <c r="S34" s="1">
        <f>IF(A34="","",COUNTIFS(Assignments!$B:$B,A34,Assignments!$AE:$AE, "Y",Assignments!$D:$D,"&gt;="&amp;TODAY()-30))</f>
        <v>0</v>
      </c>
      <c r="T34" s="1">
        <f>IF(A34="","",COUNTIFS(Assignments!$AF:$AF,A34,Assignments!$AE:$AE, "Y",Assignments!$D:$D,"&gt;="&amp;TODAY()-30))</f>
        <v>0</v>
      </c>
      <c r="U34" s="1">
        <f>IF(A34="","",IFERROR(S34/MAX(1,COUNTIFS(Assignments!$B:$B,A34,Assignments!$D:$D,"&gt;="&amp;TODAY()-30)),""))</f>
        <v>0</v>
      </c>
      <c r="V34" s="1">
        <f t="shared" si="4"/>
        <v>0</v>
      </c>
    </row>
    <row r="35" ht="15.75" customHeight="1">
      <c r="A35" s="20" t="s">
        <v>178</v>
      </c>
      <c r="B35" s="20" t="s">
        <v>179</v>
      </c>
      <c r="C35" s="20" t="s">
        <v>115</v>
      </c>
      <c r="D35" s="20" t="str">
        <f t="shared" si="1"/>
        <v>3</v>
      </c>
      <c r="E35" s="2">
        <f>IF($A35="","",COUNTIFS(Assignments!$B$6:$B$305,$A35,Assignments!$E$6:$E$305,"Active"))</f>
        <v>0</v>
      </c>
      <c r="F35" s="2">
        <f>IF($A35="","",COUNTIFS(Assignments!$B$6:$B$305,$A35,Assignments!$D$6:$D$305,"&gt;="&amp;Config!$B$3-7,Assignments!$D$6:$D$305,"&lt;="&amp;Config!$B$3))</f>
        <v>0</v>
      </c>
      <c r="G35" s="2">
        <f>IF($A35="","",MAXIFS(Assignments!$D$6:$D$305,Assignments!$B$6:$B$305,$A35))</f>
        <v>0</v>
      </c>
      <c r="H35" s="29">
        <f>IF($A35="","",IF($G35="","",Config!$B$3-$G35))</f>
        <v>46071</v>
      </c>
      <c r="I35" s="2">
        <f t="shared" si="2"/>
        <v>0</v>
      </c>
      <c r="J35" s="2" t="str">
        <f>IF($A35="","",IFERROR(AVERAGEIFS(Assignments!$N$6:$N$1000,Assignments!$B$6:$B$1000,$A35,Assignments!$E$6:$E$1000,"Completed"),""))</f>
        <v/>
      </c>
      <c r="K35" s="2" t="str">
        <f>IF($A35="","",IFERROR(AVERAGEIFS(Assignments!$AO:$AO,Assignments!$B:$B,$A35,Assignments!$E:$E,"Completed"),""))</f>
        <v/>
      </c>
      <c r="L35" s="2">
        <f>IF($A35="","",IFERROR(COUNTIFS(Assignments!$B$6:$B$1000,$A35,Assignments!$E$6:$E$1000,"Cancelled")/MAX(1,COUNTIFS(Assignments!$B$6:$B$1000,$A35,Assignments!$E$6:$E$1000,"Completed")+COUNTIFS(Assignments!$B$6:$B$1000,$A35,Assignments!$E$6:$E$1000,"Cancelled")),""))</f>
        <v>0</v>
      </c>
      <c r="M35" s="2" t="str">
        <f>IF($A35="","",IFERROR(AVERAGEIFS(Assignments!$P$6:$P$1000,Assignments!$B$6:$B$1000,$A35,Assignments!$E$6:$E$1000,"Completed"),""))</f>
        <v/>
      </c>
      <c r="N35" s="20" t="s">
        <v>116</v>
      </c>
      <c r="O35" s="2"/>
      <c r="P35" s="1">
        <f>IF(A35="","",MAX(0,MIN(3,SUMIFS(Strike_Log!$C:$C,Strike_Log!$B:$B,A35,Strike_Log!$A:$A,"&gt;="&amp;IF(Config!$B$1004="Y",TODAY()-Config!$B$1005,DATE(1900,1,1)),Strike_Log!$I:$I,1))))</f>
        <v>0</v>
      </c>
      <c r="Q35" s="1">
        <f t="shared" si="3"/>
        <v>0</v>
      </c>
      <c r="R35" s="1" t="str">
        <f>IF(A35="","",IFERROR(AVERAGEIFS(Assignments!$J:$J,Assignments!$B:$B,A35,Assignments!$E:$E,"Completed"),""))</f>
        <v/>
      </c>
      <c r="S35" s="1">
        <f>IF(A35="","",COUNTIFS(Assignments!$B:$B,A35,Assignments!$AE:$AE, "Y",Assignments!$D:$D,"&gt;="&amp;TODAY()-30))</f>
        <v>0</v>
      </c>
      <c r="T35" s="1">
        <f>IF(A35="","",COUNTIFS(Assignments!$AF:$AF,A35,Assignments!$AE:$AE, "Y",Assignments!$D:$D,"&gt;="&amp;TODAY()-30))</f>
        <v>0</v>
      </c>
      <c r="U35" s="1">
        <f>IF(A35="","",IFERROR(S35/MAX(1,COUNTIFS(Assignments!$B:$B,A35,Assignments!$D:$D,"&gt;="&amp;TODAY()-30)),""))</f>
        <v>0</v>
      </c>
      <c r="V35" s="1">
        <f t="shared" si="4"/>
        <v>0</v>
      </c>
    </row>
    <row r="36" ht="15.75" customHeight="1">
      <c r="A36" s="20" t="s">
        <v>180</v>
      </c>
      <c r="B36" s="20" t="s">
        <v>181</v>
      </c>
      <c r="C36" s="20" t="s">
        <v>115</v>
      </c>
      <c r="D36" s="20" t="str">
        <f t="shared" si="1"/>
        <v>3</v>
      </c>
      <c r="E36" s="2">
        <f>IF($A36="","",COUNTIFS(Assignments!$B$6:$B$305,$A36,Assignments!$E$6:$E$305,"Active"))</f>
        <v>0</v>
      </c>
      <c r="F36" s="2">
        <f>IF($A36="","",COUNTIFS(Assignments!$B$6:$B$305,$A36,Assignments!$D$6:$D$305,"&gt;="&amp;Config!$B$3-7,Assignments!$D$6:$D$305,"&lt;="&amp;Config!$B$3))</f>
        <v>0</v>
      </c>
      <c r="G36" s="2">
        <f>IF($A36="","",MAXIFS(Assignments!$D$6:$D$305,Assignments!$B$6:$B$305,$A36))</f>
        <v>0</v>
      </c>
      <c r="H36" s="29">
        <f>IF($A36="","",IF($G36="","",Config!$B$3-$G36))</f>
        <v>46071</v>
      </c>
      <c r="I36" s="2">
        <f t="shared" si="2"/>
        <v>0</v>
      </c>
      <c r="J36" s="2" t="str">
        <f>IF($A36="","",IFERROR(AVERAGEIFS(Assignments!$N$6:$N$1000,Assignments!$B$6:$B$1000,$A36,Assignments!$E$6:$E$1000,"Completed"),""))</f>
        <v/>
      </c>
      <c r="K36" s="2" t="str">
        <f>IF($A36="","",IFERROR(AVERAGEIFS(Assignments!$AO:$AO,Assignments!$B:$B,$A36,Assignments!$E:$E,"Completed"),""))</f>
        <v/>
      </c>
      <c r="L36" s="2">
        <f>IF($A36="","",IFERROR(COUNTIFS(Assignments!$B$6:$B$1000,$A36,Assignments!$E$6:$E$1000,"Cancelled")/MAX(1,COUNTIFS(Assignments!$B$6:$B$1000,$A36,Assignments!$E$6:$E$1000,"Completed")+COUNTIFS(Assignments!$B$6:$B$1000,$A36,Assignments!$E$6:$E$1000,"Cancelled")),""))</f>
        <v>0</v>
      </c>
      <c r="M36" s="2" t="str">
        <f>IF($A36="","",IFERROR(AVERAGEIFS(Assignments!$P$6:$P$1000,Assignments!$B$6:$B$1000,$A36,Assignments!$E$6:$E$1000,"Completed"),""))</f>
        <v/>
      </c>
      <c r="N36" s="20" t="s">
        <v>116</v>
      </c>
      <c r="O36" s="2"/>
      <c r="P36" s="1">
        <f>IF(A36="","",MAX(0,MIN(3,SUMIFS(Strike_Log!$C:$C,Strike_Log!$B:$B,A36,Strike_Log!$A:$A,"&gt;="&amp;IF(Config!$B$1004="Y",TODAY()-Config!$B$1005,DATE(1900,1,1)),Strike_Log!$I:$I,1))))</f>
        <v>0</v>
      </c>
      <c r="Q36" s="1">
        <f t="shared" si="3"/>
        <v>0</v>
      </c>
      <c r="R36" s="1" t="str">
        <f>IF(A36="","",IFERROR(AVERAGEIFS(Assignments!$J:$J,Assignments!$B:$B,A36,Assignments!$E:$E,"Completed"),""))</f>
        <v/>
      </c>
      <c r="S36" s="1">
        <f>IF(A36="","",COUNTIFS(Assignments!$B:$B,A36,Assignments!$AE:$AE, "Y",Assignments!$D:$D,"&gt;="&amp;TODAY()-30))</f>
        <v>0</v>
      </c>
      <c r="T36" s="1">
        <f>IF(A36="","",COUNTIFS(Assignments!$AF:$AF,A36,Assignments!$AE:$AE, "Y",Assignments!$D:$D,"&gt;="&amp;TODAY()-30))</f>
        <v>0</v>
      </c>
      <c r="U36" s="1">
        <f>IF(A36="","",IFERROR(S36/MAX(1,COUNTIFS(Assignments!$B:$B,A36,Assignments!$D:$D,"&gt;="&amp;TODAY()-30)),""))</f>
        <v>0</v>
      </c>
      <c r="V36" s="1">
        <f t="shared" si="4"/>
        <v>0</v>
      </c>
    </row>
    <row r="37" ht="15.75" customHeight="1">
      <c r="A37" s="20" t="s">
        <v>182</v>
      </c>
      <c r="B37" s="20" t="s">
        <v>183</v>
      </c>
      <c r="C37" s="20" t="s">
        <v>115</v>
      </c>
      <c r="D37" s="20" t="str">
        <f t="shared" si="1"/>
        <v>3</v>
      </c>
      <c r="E37" s="2">
        <f>IF($A37="","",COUNTIFS(Assignments!$B$6:$B$305,$A37,Assignments!$E$6:$E$305,"Active"))</f>
        <v>0</v>
      </c>
      <c r="F37" s="2">
        <f>IF($A37="","",COUNTIFS(Assignments!$B$6:$B$305,$A37,Assignments!$D$6:$D$305,"&gt;="&amp;Config!$B$3-7,Assignments!$D$6:$D$305,"&lt;="&amp;Config!$B$3))</f>
        <v>0</v>
      </c>
      <c r="G37" s="2">
        <f>IF($A37="","",MAXIFS(Assignments!$D$6:$D$305,Assignments!$B$6:$B$305,$A37))</f>
        <v>0</v>
      </c>
      <c r="H37" s="29">
        <f>IF($A37="","",IF($G37="","",Config!$B$3-$G37))</f>
        <v>46071</v>
      </c>
      <c r="I37" s="2">
        <f t="shared" si="2"/>
        <v>0</v>
      </c>
      <c r="J37" s="2" t="str">
        <f>IF($A37="","",IFERROR(AVERAGEIFS(Assignments!$N$6:$N$1000,Assignments!$B$6:$B$1000,$A37,Assignments!$E$6:$E$1000,"Completed"),""))</f>
        <v/>
      </c>
      <c r="K37" s="2" t="str">
        <f>IF($A37="","",IFERROR(AVERAGEIFS(Assignments!$AO:$AO,Assignments!$B:$B,$A37,Assignments!$E:$E,"Completed"),""))</f>
        <v/>
      </c>
      <c r="L37" s="2">
        <f>IF($A37="","",IFERROR(COUNTIFS(Assignments!$B$6:$B$1000,$A37,Assignments!$E$6:$E$1000,"Cancelled")/MAX(1,COUNTIFS(Assignments!$B$6:$B$1000,$A37,Assignments!$E$6:$E$1000,"Completed")+COUNTIFS(Assignments!$B$6:$B$1000,$A37,Assignments!$E$6:$E$1000,"Cancelled")),""))</f>
        <v>0</v>
      </c>
      <c r="M37" s="2" t="str">
        <f>IF($A37="","",IFERROR(AVERAGEIFS(Assignments!$P$6:$P$1000,Assignments!$B$6:$B$1000,$A37,Assignments!$E$6:$E$1000,"Completed"),""))</f>
        <v/>
      </c>
      <c r="N37" s="20" t="s">
        <v>116</v>
      </c>
      <c r="O37" s="2"/>
      <c r="P37" s="1">
        <f>IF(A37="","",MAX(0,MIN(3,SUMIFS(Strike_Log!$C:$C,Strike_Log!$B:$B,A37,Strike_Log!$A:$A,"&gt;="&amp;IF(Config!$B$1004="Y",TODAY()-Config!$B$1005,DATE(1900,1,1)),Strike_Log!$I:$I,1))))</f>
        <v>0</v>
      </c>
      <c r="Q37" s="1">
        <f t="shared" si="3"/>
        <v>0</v>
      </c>
      <c r="R37" s="1" t="str">
        <f>IF(A37="","",IFERROR(AVERAGEIFS(Assignments!$J:$J,Assignments!$B:$B,A37,Assignments!$E:$E,"Completed"),""))</f>
        <v/>
      </c>
      <c r="S37" s="1">
        <f>IF(A37="","",COUNTIFS(Assignments!$B:$B,A37,Assignments!$AE:$AE, "Y",Assignments!$D:$D,"&gt;="&amp;TODAY()-30))</f>
        <v>0</v>
      </c>
      <c r="T37" s="1">
        <f>IF(A37="","",COUNTIFS(Assignments!$AF:$AF,A37,Assignments!$AE:$AE, "Y",Assignments!$D:$D,"&gt;="&amp;TODAY()-30))</f>
        <v>0</v>
      </c>
      <c r="U37" s="1">
        <f>IF(A37="","",IFERROR(S37/MAX(1,COUNTIFS(Assignments!$B:$B,A37,Assignments!$D:$D,"&gt;="&amp;TODAY()-30)),""))</f>
        <v>0</v>
      </c>
      <c r="V37" s="1">
        <f t="shared" si="4"/>
        <v>0</v>
      </c>
    </row>
    <row r="38" ht="15.75" customHeight="1">
      <c r="A38" s="20" t="s">
        <v>184</v>
      </c>
      <c r="B38" s="30">
        <v>768288.0</v>
      </c>
      <c r="C38" s="20" t="s">
        <v>115</v>
      </c>
      <c r="D38" s="20" t="str">
        <f t="shared" si="1"/>
        <v>3</v>
      </c>
      <c r="E38" s="2">
        <f>IF($A38="","",COUNTIFS(Assignments!$B$6:$B$305,$A38,Assignments!$E$6:$E$305,"Active"))</f>
        <v>0</v>
      </c>
      <c r="F38" s="2">
        <f>IF($A38="","",COUNTIFS(Assignments!$B$6:$B$305,$A38,Assignments!$D$6:$D$305,"&gt;="&amp;Config!$B$3-7,Assignments!$D$6:$D$305,"&lt;="&amp;Config!$B$3))</f>
        <v>0</v>
      </c>
      <c r="G38" s="2">
        <f>IF($A38="","",MAXIFS(Assignments!$D$6:$D$305,Assignments!$B$6:$B$305,$A38))</f>
        <v>0</v>
      </c>
      <c r="H38" s="29">
        <f>IF($A38="","",IF($G38="","",Config!$B$3-$G38))</f>
        <v>46071</v>
      </c>
      <c r="I38" s="2">
        <f t="shared" si="2"/>
        <v>0</v>
      </c>
      <c r="J38" s="2" t="str">
        <f>IF($A38="","",IFERROR(AVERAGEIFS(Assignments!$N$6:$N$1000,Assignments!$B$6:$B$1000,$A38,Assignments!$E$6:$E$1000,"Completed"),""))</f>
        <v/>
      </c>
      <c r="K38" s="2" t="str">
        <f>IF($A38="","",IFERROR(AVERAGEIFS(Assignments!$AO:$AO,Assignments!$B:$B,$A38,Assignments!$E:$E,"Completed"),""))</f>
        <v/>
      </c>
      <c r="L38" s="2">
        <f>IF($A38="","",IFERROR(COUNTIFS(Assignments!$B$6:$B$1000,$A38,Assignments!$E$6:$E$1000,"Cancelled")/MAX(1,COUNTIFS(Assignments!$B$6:$B$1000,$A38,Assignments!$E$6:$E$1000,"Completed")+COUNTIFS(Assignments!$B$6:$B$1000,$A38,Assignments!$E$6:$E$1000,"Cancelled")),""))</f>
        <v>0</v>
      </c>
      <c r="M38" s="2" t="str">
        <f>IF($A38="","",IFERROR(AVERAGEIFS(Assignments!$P$6:$P$1000,Assignments!$B$6:$B$1000,$A38,Assignments!$E$6:$E$1000,"Completed"),""))</f>
        <v/>
      </c>
      <c r="N38" s="20" t="s">
        <v>116</v>
      </c>
      <c r="O38" s="2"/>
      <c r="P38" s="1">
        <f>IF(A38="","",MAX(0,MIN(3,SUMIFS(Strike_Log!$C:$C,Strike_Log!$B:$B,A38,Strike_Log!$A:$A,"&gt;="&amp;IF(Config!$B$1004="Y",TODAY()-Config!$B$1005,DATE(1900,1,1)),Strike_Log!$I:$I,1))))</f>
        <v>0</v>
      </c>
      <c r="Q38" s="1">
        <f t="shared" si="3"/>
        <v>0</v>
      </c>
      <c r="R38" s="1" t="str">
        <f>IF(A38="","",IFERROR(AVERAGEIFS(Assignments!$J:$J,Assignments!$B:$B,A38,Assignments!$E:$E,"Completed"),""))</f>
        <v/>
      </c>
      <c r="S38" s="1">
        <f>IF(A38="","",COUNTIFS(Assignments!$B:$B,A38,Assignments!$AE:$AE, "Y",Assignments!$D:$D,"&gt;="&amp;TODAY()-30))</f>
        <v>0</v>
      </c>
      <c r="T38" s="1">
        <f>IF(A38="","",COUNTIFS(Assignments!$AF:$AF,A38,Assignments!$AE:$AE, "Y",Assignments!$D:$D,"&gt;="&amp;TODAY()-30))</f>
        <v>0</v>
      </c>
      <c r="U38" s="1">
        <f>IF(A38="","",IFERROR(S38/MAX(1,COUNTIFS(Assignments!$B:$B,A38,Assignments!$D:$D,"&gt;="&amp;TODAY()-30)),""))</f>
        <v>0</v>
      </c>
      <c r="V38" s="1">
        <f t="shared" si="4"/>
        <v>0</v>
      </c>
    </row>
    <row r="39" ht="15.75" customHeight="1">
      <c r="A39" s="20" t="s">
        <v>185</v>
      </c>
      <c r="B39" s="20" t="s">
        <v>186</v>
      </c>
      <c r="C39" s="20" t="s">
        <v>115</v>
      </c>
      <c r="D39" s="20" t="str">
        <f t="shared" si="1"/>
        <v>3</v>
      </c>
      <c r="E39" s="2">
        <f>IF($A39="","",COUNTIFS(Assignments!$B$6:$B$305,$A39,Assignments!$E$6:$E$305,"Active"))</f>
        <v>0</v>
      </c>
      <c r="F39" s="2">
        <f>IF($A39="","",COUNTIFS(Assignments!$B$6:$B$305,$A39,Assignments!$D$6:$D$305,"&gt;="&amp;Config!$B$3-7,Assignments!$D$6:$D$305,"&lt;="&amp;Config!$B$3))</f>
        <v>0</v>
      </c>
      <c r="G39" s="2">
        <f>IF($A39="","",MAXIFS(Assignments!$D$6:$D$305,Assignments!$B$6:$B$305,$A39))</f>
        <v>0</v>
      </c>
      <c r="H39" s="29">
        <f>IF($A39="","",IF($G39="","",Config!$B$3-$G39))</f>
        <v>46071</v>
      </c>
      <c r="I39" s="2">
        <f t="shared" si="2"/>
        <v>0</v>
      </c>
      <c r="J39" s="2" t="str">
        <f>IF($A39="","",IFERROR(AVERAGEIFS(Assignments!$N$6:$N$1000,Assignments!$B$6:$B$1000,$A39,Assignments!$E$6:$E$1000,"Completed"),""))</f>
        <v/>
      </c>
      <c r="K39" s="2" t="str">
        <f>IF($A39="","",IFERROR(AVERAGEIFS(Assignments!$AO:$AO,Assignments!$B:$B,$A39,Assignments!$E:$E,"Completed"),""))</f>
        <v/>
      </c>
      <c r="L39" s="2">
        <f>IF($A39="","",IFERROR(COUNTIFS(Assignments!$B$6:$B$1000,$A39,Assignments!$E$6:$E$1000,"Cancelled")/MAX(1,COUNTIFS(Assignments!$B$6:$B$1000,$A39,Assignments!$E$6:$E$1000,"Completed")+COUNTIFS(Assignments!$B$6:$B$1000,$A39,Assignments!$E$6:$E$1000,"Cancelled")),""))</f>
        <v>0</v>
      </c>
      <c r="M39" s="2" t="str">
        <f>IF($A39="","",IFERROR(AVERAGEIFS(Assignments!$P$6:$P$1000,Assignments!$B$6:$B$1000,$A39,Assignments!$E$6:$E$1000,"Completed"),""))</f>
        <v/>
      </c>
      <c r="N39" s="20" t="s">
        <v>116</v>
      </c>
      <c r="O39" s="2"/>
      <c r="P39" s="1">
        <f>IF(A39="","",MAX(0,MIN(3,SUMIFS(Strike_Log!$C:$C,Strike_Log!$B:$B,A39,Strike_Log!$A:$A,"&gt;="&amp;IF(Config!$B$1004="Y",TODAY()-Config!$B$1005,DATE(1900,1,1)),Strike_Log!$I:$I,1))))</f>
        <v>0</v>
      </c>
      <c r="Q39" s="1">
        <f t="shared" si="3"/>
        <v>0</v>
      </c>
      <c r="R39" s="1" t="str">
        <f>IF(A39="","",IFERROR(AVERAGEIFS(Assignments!$J:$J,Assignments!$B:$B,A39,Assignments!$E:$E,"Completed"),""))</f>
        <v/>
      </c>
      <c r="S39" s="1">
        <f>IF(A39="","",COUNTIFS(Assignments!$B:$B,A39,Assignments!$AE:$AE, "Y",Assignments!$D:$D,"&gt;="&amp;TODAY()-30))</f>
        <v>0</v>
      </c>
      <c r="T39" s="1">
        <f>IF(A39="","",COUNTIFS(Assignments!$AF:$AF,A39,Assignments!$AE:$AE, "Y",Assignments!$D:$D,"&gt;="&amp;TODAY()-30))</f>
        <v>0</v>
      </c>
      <c r="U39" s="1">
        <f>IF(A39="","",IFERROR(S39/MAX(1,COUNTIFS(Assignments!$B:$B,A39,Assignments!$D:$D,"&gt;="&amp;TODAY()-30)),""))</f>
        <v>0</v>
      </c>
      <c r="V39" s="1">
        <f t="shared" si="4"/>
        <v>0</v>
      </c>
    </row>
    <row r="40" ht="15.75" customHeight="1">
      <c r="A40" s="20" t="s">
        <v>187</v>
      </c>
      <c r="B40" s="20" t="s">
        <v>188</v>
      </c>
      <c r="C40" s="20" t="s">
        <v>115</v>
      </c>
      <c r="D40" s="20" t="str">
        <f t="shared" si="1"/>
        <v>3</v>
      </c>
      <c r="E40" s="2">
        <f>IF($A40="","",COUNTIFS(Assignments!$B$6:$B$305,$A40,Assignments!$E$6:$E$305,"Active"))</f>
        <v>0</v>
      </c>
      <c r="F40" s="2">
        <f>IF($A40="","",COUNTIFS(Assignments!$B$6:$B$305,$A40,Assignments!$D$6:$D$305,"&gt;="&amp;Config!$B$3-7,Assignments!$D$6:$D$305,"&lt;="&amp;Config!$B$3))</f>
        <v>0</v>
      </c>
      <c r="G40" s="2">
        <f>IF($A40="","",MAXIFS(Assignments!$D$6:$D$305,Assignments!$B$6:$B$305,$A40))</f>
        <v>0</v>
      </c>
      <c r="H40" s="29">
        <f>IF($A40="","",IF($G40="","",Config!$B$3-$G40))</f>
        <v>46071</v>
      </c>
      <c r="I40" s="2">
        <f t="shared" si="2"/>
        <v>0</v>
      </c>
      <c r="J40" s="2" t="str">
        <f>IF($A40="","",IFERROR(AVERAGEIFS(Assignments!$N$6:$N$1000,Assignments!$B$6:$B$1000,$A40,Assignments!$E$6:$E$1000,"Completed"),""))</f>
        <v/>
      </c>
      <c r="K40" s="2" t="str">
        <f>IF($A40="","",IFERROR(AVERAGEIFS(Assignments!$AO:$AO,Assignments!$B:$B,$A40,Assignments!$E:$E,"Completed"),""))</f>
        <v/>
      </c>
      <c r="L40" s="2">
        <f>IF($A40="","",IFERROR(COUNTIFS(Assignments!$B$6:$B$1000,$A40,Assignments!$E$6:$E$1000,"Cancelled")/MAX(1,COUNTIFS(Assignments!$B$6:$B$1000,$A40,Assignments!$E$6:$E$1000,"Completed")+COUNTIFS(Assignments!$B$6:$B$1000,$A40,Assignments!$E$6:$E$1000,"Cancelled")),""))</f>
        <v>0</v>
      </c>
      <c r="M40" s="2" t="str">
        <f>IF($A40="","",IFERROR(AVERAGEIFS(Assignments!$P$6:$P$1000,Assignments!$B$6:$B$1000,$A40,Assignments!$E$6:$E$1000,"Completed"),""))</f>
        <v/>
      </c>
      <c r="N40" s="20" t="s">
        <v>116</v>
      </c>
      <c r="O40" s="2"/>
      <c r="P40" s="1">
        <f>IF(A40="","",MAX(0,MIN(3,SUMIFS(Strike_Log!$C:$C,Strike_Log!$B:$B,A40,Strike_Log!$A:$A,"&gt;="&amp;IF(Config!$B$1004="Y",TODAY()-Config!$B$1005,DATE(1900,1,1)),Strike_Log!$I:$I,1))))</f>
        <v>0</v>
      </c>
      <c r="Q40" s="1">
        <f t="shared" si="3"/>
        <v>0</v>
      </c>
      <c r="R40" s="1" t="str">
        <f>IF(A40="","",IFERROR(AVERAGEIFS(Assignments!$J:$J,Assignments!$B:$B,A40,Assignments!$E:$E,"Completed"),""))</f>
        <v/>
      </c>
      <c r="S40" s="1">
        <f>IF(A40="","",COUNTIFS(Assignments!$B:$B,A40,Assignments!$AE:$AE, "Y",Assignments!$D:$D,"&gt;="&amp;TODAY()-30))</f>
        <v>0</v>
      </c>
      <c r="T40" s="1">
        <f>IF(A40="","",COUNTIFS(Assignments!$AF:$AF,A40,Assignments!$AE:$AE, "Y",Assignments!$D:$D,"&gt;="&amp;TODAY()-30))</f>
        <v>0</v>
      </c>
      <c r="U40" s="1">
        <f>IF(A40="","",IFERROR(S40/MAX(1,COUNTIFS(Assignments!$B:$B,A40,Assignments!$D:$D,"&gt;="&amp;TODAY()-30)),""))</f>
        <v>0</v>
      </c>
      <c r="V40" s="1">
        <f t="shared" si="4"/>
        <v>0</v>
      </c>
    </row>
    <row r="41" ht="15.75" customHeight="1">
      <c r="A41" s="20" t="s">
        <v>189</v>
      </c>
      <c r="B41" s="20" t="s">
        <v>190</v>
      </c>
      <c r="C41" s="20" t="s">
        <v>115</v>
      </c>
      <c r="D41" s="20" t="str">
        <f t="shared" si="1"/>
        <v>3</v>
      </c>
      <c r="E41" s="2">
        <f>IF($A41="","",COUNTIFS(Assignments!$B$6:$B$305,$A41,Assignments!$E$6:$E$305,"Active"))</f>
        <v>0</v>
      </c>
      <c r="F41" s="2">
        <f>IF($A41="","",COUNTIFS(Assignments!$B$6:$B$305,$A41,Assignments!$D$6:$D$305,"&gt;="&amp;Config!$B$3-7,Assignments!$D$6:$D$305,"&lt;="&amp;Config!$B$3))</f>
        <v>0</v>
      </c>
      <c r="G41" s="2">
        <f>IF($A41="","",MAXIFS(Assignments!$D$6:$D$305,Assignments!$B$6:$B$305,$A41))</f>
        <v>0</v>
      </c>
      <c r="H41" s="29">
        <f>IF($A41="","",IF($G41="","",Config!$B$3-$G41))</f>
        <v>46071</v>
      </c>
      <c r="I41" s="2">
        <f t="shared" si="2"/>
        <v>0</v>
      </c>
      <c r="J41" s="2" t="str">
        <f>IF($A41="","",IFERROR(AVERAGEIFS(Assignments!$N$6:$N$1000,Assignments!$B$6:$B$1000,$A41,Assignments!$E$6:$E$1000,"Completed"),""))</f>
        <v/>
      </c>
      <c r="K41" s="2" t="str">
        <f>IF($A41="","",IFERROR(AVERAGEIFS(Assignments!$AO:$AO,Assignments!$B:$B,$A41,Assignments!$E:$E,"Completed"),""))</f>
        <v/>
      </c>
      <c r="L41" s="2">
        <f>IF($A41="","",IFERROR(COUNTIFS(Assignments!$B$6:$B$1000,$A41,Assignments!$E$6:$E$1000,"Cancelled")/MAX(1,COUNTIFS(Assignments!$B$6:$B$1000,$A41,Assignments!$E$6:$E$1000,"Completed")+COUNTIFS(Assignments!$B$6:$B$1000,$A41,Assignments!$E$6:$E$1000,"Cancelled")),""))</f>
        <v>0</v>
      </c>
      <c r="M41" s="2" t="str">
        <f>IF($A41="","",IFERROR(AVERAGEIFS(Assignments!$P$6:$P$1000,Assignments!$B$6:$B$1000,$A41,Assignments!$E$6:$E$1000,"Completed"),""))</f>
        <v/>
      </c>
      <c r="N41" s="20" t="s">
        <v>116</v>
      </c>
      <c r="O41" s="2"/>
      <c r="P41" s="1">
        <f>IF(A41="","",MAX(0,MIN(3,SUMIFS(Strike_Log!$C:$C,Strike_Log!$B:$B,A41,Strike_Log!$A:$A,"&gt;="&amp;IF(Config!$B$1004="Y",TODAY()-Config!$B$1005,DATE(1900,1,1)),Strike_Log!$I:$I,1))))</f>
        <v>0</v>
      </c>
      <c r="Q41" s="1">
        <f t="shared" si="3"/>
        <v>0</v>
      </c>
      <c r="R41" s="1" t="str">
        <f>IF(A41="","",IFERROR(AVERAGEIFS(Assignments!$J:$J,Assignments!$B:$B,A41,Assignments!$E:$E,"Completed"),""))</f>
        <v/>
      </c>
      <c r="S41" s="1">
        <f>IF(A41="","",COUNTIFS(Assignments!$B:$B,A41,Assignments!$AE:$AE, "Y",Assignments!$D:$D,"&gt;="&amp;TODAY()-30))</f>
        <v>0</v>
      </c>
      <c r="T41" s="1">
        <f>IF(A41="","",COUNTIFS(Assignments!$AF:$AF,A41,Assignments!$AE:$AE, "Y",Assignments!$D:$D,"&gt;="&amp;TODAY()-30))</f>
        <v>0</v>
      </c>
      <c r="U41" s="1">
        <f>IF(A41="","",IFERROR(S41/MAX(1,COUNTIFS(Assignments!$B:$B,A41,Assignments!$D:$D,"&gt;="&amp;TODAY()-30)),""))</f>
        <v>0</v>
      </c>
      <c r="V41" s="1">
        <f t="shared" si="4"/>
        <v>0</v>
      </c>
    </row>
    <row r="42" ht="15.75" customHeight="1">
      <c r="A42" s="20" t="s">
        <v>191</v>
      </c>
      <c r="B42" s="20" t="s">
        <v>192</v>
      </c>
      <c r="C42" s="20" t="s">
        <v>115</v>
      </c>
      <c r="D42" s="20" t="str">
        <f t="shared" si="1"/>
        <v>3</v>
      </c>
      <c r="E42" s="2">
        <f>IF($A42="","",COUNTIFS(Assignments!$B$6:$B$305,$A42,Assignments!$E$6:$E$305,"Active"))</f>
        <v>0</v>
      </c>
      <c r="F42" s="2">
        <f>IF($A42="","",COUNTIFS(Assignments!$B$6:$B$305,$A42,Assignments!$D$6:$D$305,"&gt;="&amp;Config!$B$3-7,Assignments!$D$6:$D$305,"&lt;="&amp;Config!$B$3))</f>
        <v>0</v>
      </c>
      <c r="G42" s="2">
        <f>IF($A42="","",MAXIFS(Assignments!$D$6:$D$305,Assignments!$B$6:$B$305,$A42))</f>
        <v>0</v>
      </c>
      <c r="H42" s="29">
        <f>IF($A42="","",IF($G42="","",Config!$B$3-$G42))</f>
        <v>46071</v>
      </c>
      <c r="I42" s="2">
        <f t="shared" si="2"/>
        <v>0</v>
      </c>
      <c r="J42" s="2" t="str">
        <f>IF($A42="","",IFERROR(AVERAGEIFS(Assignments!$N$6:$N$1000,Assignments!$B$6:$B$1000,$A42,Assignments!$E$6:$E$1000,"Completed"),""))</f>
        <v/>
      </c>
      <c r="K42" s="2" t="str">
        <f>IF($A42="","",IFERROR(AVERAGEIFS(Assignments!$AO:$AO,Assignments!$B:$B,$A42,Assignments!$E:$E,"Completed"),""))</f>
        <v/>
      </c>
      <c r="L42" s="2">
        <f>IF($A42="","",IFERROR(COUNTIFS(Assignments!$B$6:$B$1000,$A42,Assignments!$E$6:$E$1000,"Cancelled")/MAX(1,COUNTIFS(Assignments!$B$6:$B$1000,$A42,Assignments!$E$6:$E$1000,"Completed")+COUNTIFS(Assignments!$B$6:$B$1000,$A42,Assignments!$E$6:$E$1000,"Cancelled")),""))</f>
        <v>0</v>
      </c>
      <c r="M42" s="2" t="str">
        <f>IF($A42="","",IFERROR(AVERAGEIFS(Assignments!$P$6:$P$1000,Assignments!$B$6:$B$1000,$A42,Assignments!$E$6:$E$1000,"Completed"),""))</f>
        <v/>
      </c>
      <c r="N42" s="20" t="s">
        <v>116</v>
      </c>
      <c r="O42" s="2"/>
      <c r="P42" s="1">
        <f>IF(A42="","",MAX(0,MIN(3,SUMIFS(Strike_Log!$C:$C,Strike_Log!$B:$B,A42,Strike_Log!$A:$A,"&gt;="&amp;IF(Config!$B$1004="Y",TODAY()-Config!$B$1005,DATE(1900,1,1)),Strike_Log!$I:$I,1))))</f>
        <v>0</v>
      </c>
      <c r="Q42" s="1">
        <f t="shared" si="3"/>
        <v>0</v>
      </c>
      <c r="R42" s="1" t="str">
        <f>IF(A42="","",IFERROR(AVERAGEIFS(Assignments!$J:$J,Assignments!$B:$B,A42,Assignments!$E:$E,"Completed"),""))</f>
        <v/>
      </c>
      <c r="S42" s="1">
        <f>IF(A42="","",COUNTIFS(Assignments!$B:$B,A42,Assignments!$AE:$AE, "Y",Assignments!$D:$D,"&gt;="&amp;TODAY()-30))</f>
        <v>0</v>
      </c>
      <c r="T42" s="1">
        <f>IF(A42="","",COUNTIFS(Assignments!$AF:$AF,A42,Assignments!$AE:$AE, "Y",Assignments!$D:$D,"&gt;="&amp;TODAY()-30))</f>
        <v>0</v>
      </c>
      <c r="U42" s="1">
        <f>IF(A42="","",IFERROR(S42/MAX(1,COUNTIFS(Assignments!$B:$B,A42,Assignments!$D:$D,"&gt;="&amp;TODAY()-30)),""))</f>
        <v>0</v>
      </c>
      <c r="V42" s="1">
        <f t="shared" si="4"/>
        <v>0</v>
      </c>
    </row>
    <row r="43" ht="15.75" customHeight="1">
      <c r="A43" s="20" t="s">
        <v>193</v>
      </c>
      <c r="B43" s="20" t="s">
        <v>194</v>
      </c>
      <c r="C43" s="20" t="s">
        <v>115</v>
      </c>
      <c r="D43" s="20" t="str">
        <f t="shared" si="1"/>
        <v>3</v>
      </c>
      <c r="E43" s="2">
        <f>IF($A43="","",COUNTIFS(Assignments!$B$6:$B$305,$A43,Assignments!$E$6:$E$305,"Active"))</f>
        <v>0</v>
      </c>
      <c r="F43" s="2">
        <f>IF($A43="","",COUNTIFS(Assignments!$B$6:$B$305,$A43,Assignments!$D$6:$D$305,"&gt;="&amp;Config!$B$3-7,Assignments!$D$6:$D$305,"&lt;="&amp;Config!$B$3))</f>
        <v>0</v>
      </c>
      <c r="G43" s="2">
        <f>IF($A43="","",MAXIFS(Assignments!$D$6:$D$305,Assignments!$B$6:$B$305,$A43))</f>
        <v>0</v>
      </c>
      <c r="H43" s="29">
        <f>IF($A43="","",IF($G43="","",Config!$B$3-$G43))</f>
        <v>46071</v>
      </c>
      <c r="I43" s="2">
        <f t="shared" si="2"/>
        <v>0</v>
      </c>
      <c r="J43" s="2" t="str">
        <f>IF($A43="","",IFERROR(AVERAGEIFS(Assignments!$N$6:$N$1000,Assignments!$B$6:$B$1000,$A43,Assignments!$E$6:$E$1000,"Completed"),""))</f>
        <v/>
      </c>
      <c r="K43" s="2" t="str">
        <f>IF($A43="","",IFERROR(AVERAGEIFS(Assignments!$AO:$AO,Assignments!$B:$B,$A43,Assignments!$E:$E,"Completed"),""))</f>
        <v/>
      </c>
      <c r="L43" s="2">
        <f>IF($A43="","",IFERROR(COUNTIFS(Assignments!$B$6:$B$1000,$A43,Assignments!$E$6:$E$1000,"Cancelled")/MAX(1,COUNTIFS(Assignments!$B$6:$B$1000,$A43,Assignments!$E$6:$E$1000,"Completed")+COUNTIFS(Assignments!$B$6:$B$1000,$A43,Assignments!$E$6:$E$1000,"Cancelled")),""))</f>
        <v>0</v>
      </c>
      <c r="M43" s="2" t="str">
        <f>IF($A43="","",IFERROR(AVERAGEIFS(Assignments!$P$6:$P$1000,Assignments!$B$6:$B$1000,$A43,Assignments!$E$6:$E$1000,"Completed"),""))</f>
        <v/>
      </c>
      <c r="N43" s="20" t="s">
        <v>116</v>
      </c>
      <c r="O43" s="2"/>
      <c r="P43" s="1">
        <f>IF(A43="","",MAX(0,MIN(3,SUMIFS(Strike_Log!$C:$C,Strike_Log!$B:$B,A43,Strike_Log!$A:$A,"&gt;="&amp;IF(Config!$B$1004="Y",TODAY()-Config!$B$1005,DATE(1900,1,1)),Strike_Log!$I:$I,1))))</f>
        <v>0</v>
      </c>
      <c r="Q43" s="1">
        <f t="shared" si="3"/>
        <v>0</v>
      </c>
      <c r="R43" s="1" t="str">
        <f>IF(A43="","",IFERROR(AVERAGEIFS(Assignments!$J:$J,Assignments!$B:$B,A43,Assignments!$E:$E,"Completed"),""))</f>
        <v/>
      </c>
      <c r="S43" s="1">
        <f>IF(A43="","",COUNTIFS(Assignments!$B:$B,A43,Assignments!$AE:$AE, "Y",Assignments!$D:$D,"&gt;="&amp;TODAY()-30))</f>
        <v>0</v>
      </c>
      <c r="T43" s="1">
        <f>IF(A43="","",COUNTIFS(Assignments!$AF:$AF,A43,Assignments!$AE:$AE, "Y",Assignments!$D:$D,"&gt;="&amp;TODAY()-30))</f>
        <v>0</v>
      </c>
      <c r="U43" s="1">
        <f>IF(A43="","",IFERROR(S43/MAX(1,COUNTIFS(Assignments!$B:$B,A43,Assignments!$D:$D,"&gt;="&amp;TODAY()-30)),""))</f>
        <v>0</v>
      </c>
      <c r="V43" s="1">
        <f t="shared" si="4"/>
        <v>0</v>
      </c>
    </row>
    <row r="44" ht="15.75" customHeight="1">
      <c r="A44" s="20" t="s">
        <v>195</v>
      </c>
      <c r="B44" s="20" t="s">
        <v>196</v>
      </c>
      <c r="C44" s="20" t="s">
        <v>115</v>
      </c>
      <c r="D44" s="20" t="str">
        <f t="shared" si="1"/>
        <v>3</v>
      </c>
      <c r="E44" s="2">
        <f>IF($A44="","",COUNTIFS(Assignments!$B$6:$B$305,$A44,Assignments!$E$6:$E$305,"Active"))</f>
        <v>0</v>
      </c>
      <c r="F44" s="2">
        <f>IF($A44="","",COUNTIFS(Assignments!$B$6:$B$305,$A44,Assignments!$D$6:$D$305,"&gt;="&amp;Config!$B$3-7,Assignments!$D$6:$D$305,"&lt;="&amp;Config!$B$3))</f>
        <v>0</v>
      </c>
      <c r="G44" s="2">
        <f>IF($A44="","",MAXIFS(Assignments!$D$6:$D$305,Assignments!$B$6:$B$305,$A44))</f>
        <v>0</v>
      </c>
      <c r="H44" s="29">
        <f>IF($A44="","",IF($G44="","",Config!$B$3-$G44))</f>
        <v>46071</v>
      </c>
      <c r="I44" s="2">
        <f t="shared" si="2"/>
        <v>0</v>
      </c>
      <c r="J44" s="2" t="str">
        <f>IF($A44="","",IFERROR(AVERAGEIFS(Assignments!$N$6:$N$1000,Assignments!$B$6:$B$1000,$A44,Assignments!$E$6:$E$1000,"Completed"),""))</f>
        <v/>
      </c>
      <c r="K44" s="2" t="str">
        <f>IF($A44="","",IFERROR(AVERAGEIFS(Assignments!$AO:$AO,Assignments!$B:$B,$A44,Assignments!$E:$E,"Completed"),""))</f>
        <v/>
      </c>
      <c r="L44" s="2">
        <f>IF($A44="","",IFERROR(COUNTIFS(Assignments!$B$6:$B$1000,$A44,Assignments!$E$6:$E$1000,"Cancelled")/MAX(1,COUNTIFS(Assignments!$B$6:$B$1000,$A44,Assignments!$E$6:$E$1000,"Completed")+COUNTIFS(Assignments!$B$6:$B$1000,$A44,Assignments!$E$6:$E$1000,"Cancelled")),""))</f>
        <v>0</v>
      </c>
      <c r="M44" s="2" t="str">
        <f>IF($A44="","",IFERROR(AVERAGEIFS(Assignments!$P$6:$P$1000,Assignments!$B$6:$B$1000,$A44,Assignments!$E$6:$E$1000,"Completed"),""))</f>
        <v/>
      </c>
      <c r="N44" s="20" t="s">
        <v>116</v>
      </c>
      <c r="O44" s="2"/>
      <c r="P44" s="1">
        <f>IF(A44="","",MAX(0,MIN(3,SUMIFS(Strike_Log!$C:$C,Strike_Log!$B:$B,A44,Strike_Log!$A:$A,"&gt;="&amp;IF(Config!$B$1004="Y",TODAY()-Config!$B$1005,DATE(1900,1,1)),Strike_Log!$I:$I,1))))</f>
        <v>0</v>
      </c>
      <c r="Q44" s="1">
        <f t="shared" si="3"/>
        <v>0</v>
      </c>
      <c r="R44" s="1" t="str">
        <f>IF(A44="","",IFERROR(AVERAGEIFS(Assignments!$J:$J,Assignments!$B:$B,A44,Assignments!$E:$E,"Completed"),""))</f>
        <v/>
      </c>
      <c r="S44" s="1">
        <f>IF(A44="","",COUNTIFS(Assignments!$B:$B,A44,Assignments!$AE:$AE, "Y",Assignments!$D:$D,"&gt;="&amp;TODAY()-30))</f>
        <v>0</v>
      </c>
      <c r="T44" s="1">
        <f>IF(A44="","",COUNTIFS(Assignments!$AF:$AF,A44,Assignments!$AE:$AE, "Y",Assignments!$D:$D,"&gt;="&amp;TODAY()-30))</f>
        <v>0</v>
      </c>
      <c r="U44" s="1">
        <f>IF(A44="","",IFERROR(S44/MAX(1,COUNTIFS(Assignments!$B:$B,A44,Assignments!$D:$D,"&gt;="&amp;TODAY()-30)),""))</f>
        <v>0</v>
      </c>
      <c r="V44" s="1">
        <f t="shared" si="4"/>
        <v>0</v>
      </c>
    </row>
    <row r="45" ht="15.75" customHeight="1">
      <c r="A45" s="20" t="s">
        <v>197</v>
      </c>
      <c r="B45" s="20" t="s">
        <v>198</v>
      </c>
      <c r="C45" s="20" t="s">
        <v>115</v>
      </c>
      <c r="D45" s="20" t="str">
        <f t="shared" si="1"/>
        <v>3</v>
      </c>
      <c r="E45" s="2">
        <f>IF($A45="","",COUNTIFS(Assignments!$B$6:$B$305,$A45,Assignments!$E$6:$E$305,"Active"))</f>
        <v>0</v>
      </c>
      <c r="F45" s="2">
        <f>IF($A45="","",COUNTIFS(Assignments!$B$6:$B$305,$A45,Assignments!$D$6:$D$305,"&gt;="&amp;Config!$B$3-7,Assignments!$D$6:$D$305,"&lt;="&amp;Config!$B$3))</f>
        <v>0</v>
      </c>
      <c r="G45" s="2">
        <f>IF($A45="","",MAXIFS(Assignments!$D$6:$D$305,Assignments!$B$6:$B$305,$A45))</f>
        <v>0</v>
      </c>
      <c r="H45" s="29">
        <f>IF($A45="","",IF($G45="","",Config!$B$3-$G45))</f>
        <v>46071</v>
      </c>
      <c r="I45" s="2">
        <f t="shared" si="2"/>
        <v>0</v>
      </c>
      <c r="J45" s="2" t="str">
        <f>IF($A45="","",IFERROR(AVERAGEIFS(Assignments!$N$6:$N$1000,Assignments!$B$6:$B$1000,$A45,Assignments!$E$6:$E$1000,"Completed"),""))</f>
        <v/>
      </c>
      <c r="K45" s="2" t="str">
        <f>IF($A45="","",IFERROR(AVERAGEIFS(Assignments!$AO:$AO,Assignments!$B:$B,$A45,Assignments!$E:$E,"Completed"),""))</f>
        <v/>
      </c>
      <c r="L45" s="2">
        <f>IF($A45="","",IFERROR(COUNTIFS(Assignments!$B$6:$B$1000,$A45,Assignments!$E$6:$E$1000,"Cancelled")/MAX(1,COUNTIFS(Assignments!$B$6:$B$1000,$A45,Assignments!$E$6:$E$1000,"Completed")+COUNTIFS(Assignments!$B$6:$B$1000,$A45,Assignments!$E$6:$E$1000,"Cancelled")),""))</f>
        <v>0</v>
      </c>
      <c r="M45" s="2" t="str">
        <f>IF($A45="","",IFERROR(AVERAGEIFS(Assignments!$P$6:$P$1000,Assignments!$B$6:$B$1000,$A45,Assignments!$E$6:$E$1000,"Completed"),""))</f>
        <v/>
      </c>
      <c r="N45" s="20" t="s">
        <v>116</v>
      </c>
      <c r="O45" s="2"/>
      <c r="P45" s="1">
        <f>IF(A45="","",MAX(0,MIN(3,SUMIFS(Strike_Log!$C:$C,Strike_Log!$B:$B,A45,Strike_Log!$A:$A,"&gt;="&amp;IF(Config!$B$1004="Y",TODAY()-Config!$B$1005,DATE(1900,1,1)),Strike_Log!$I:$I,1))))</f>
        <v>0</v>
      </c>
      <c r="Q45" s="1">
        <f t="shared" si="3"/>
        <v>0</v>
      </c>
      <c r="R45" s="1" t="str">
        <f>IF(A45="","",IFERROR(AVERAGEIFS(Assignments!$J:$J,Assignments!$B:$B,A45,Assignments!$E:$E,"Completed"),""))</f>
        <v/>
      </c>
      <c r="S45" s="1">
        <f>IF(A45="","",COUNTIFS(Assignments!$B:$B,A45,Assignments!$AE:$AE, "Y",Assignments!$D:$D,"&gt;="&amp;TODAY()-30))</f>
        <v>0</v>
      </c>
      <c r="T45" s="1">
        <f>IF(A45="","",COUNTIFS(Assignments!$AF:$AF,A45,Assignments!$AE:$AE, "Y",Assignments!$D:$D,"&gt;="&amp;TODAY()-30))</f>
        <v>0</v>
      </c>
      <c r="U45" s="1">
        <f>IF(A45="","",IFERROR(S45/MAX(1,COUNTIFS(Assignments!$B:$B,A45,Assignments!$D:$D,"&gt;="&amp;TODAY()-30)),""))</f>
        <v>0</v>
      </c>
      <c r="V45" s="1">
        <f t="shared" si="4"/>
        <v>0</v>
      </c>
    </row>
    <row r="46" ht="15.75" customHeight="1">
      <c r="A46" s="20" t="s">
        <v>199</v>
      </c>
      <c r="B46" s="20" t="s">
        <v>200</v>
      </c>
      <c r="C46" s="20" t="s">
        <v>115</v>
      </c>
      <c r="D46" s="20" t="str">
        <f t="shared" si="1"/>
        <v>3</v>
      </c>
      <c r="E46" s="2">
        <f>IF($A46="","",COUNTIFS(Assignments!$B$6:$B$305,$A46,Assignments!$E$6:$E$305,"Active"))</f>
        <v>0</v>
      </c>
      <c r="F46" s="2">
        <f>IF($A46="","",COUNTIFS(Assignments!$B$6:$B$305,$A46,Assignments!$D$6:$D$305,"&gt;="&amp;Config!$B$3-7,Assignments!$D$6:$D$305,"&lt;="&amp;Config!$B$3))</f>
        <v>0</v>
      </c>
      <c r="G46" s="2">
        <f>IF($A46="","",MAXIFS(Assignments!$D$6:$D$305,Assignments!$B$6:$B$305,$A46))</f>
        <v>0</v>
      </c>
      <c r="H46" s="29">
        <f>IF($A46="","",IF($G46="","",Config!$B$3-$G46))</f>
        <v>46071</v>
      </c>
      <c r="I46" s="2">
        <f t="shared" si="2"/>
        <v>0</v>
      </c>
      <c r="J46" s="2" t="str">
        <f>IF($A46="","",IFERROR(AVERAGEIFS(Assignments!$N$6:$N$1000,Assignments!$B$6:$B$1000,$A46,Assignments!$E$6:$E$1000,"Completed"),""))</f>
        <v/>
      </c>
      <c r="K46" s="2" t="str">
        <f>IF($A46="","",IFERROR(AVERAGEIFS(Assignments!$AO:$AO,Assignments!$B:$B,$A46,Assignments!$E:$E,"Completed"),""))</f>
        <v/>
      </c>
      <c r="L46" s="2">
        <f>IF($A46="","",IFERROR(COUNTIFS(Assignments!$B$6:$B$1000,$A46,Assignments!$E$6:$E$1000,"Cancelled")/MAX(1,COUNTIFS(Assignments!$B$6:$B$1000,$A46,Assignments!$E$6:$E$1000,"Completed")+COUNTIFS(Assignments!$B$6:$B$1000,$A46,Assignments!$E$6:$E$1000,"Cancelled")),""))</f>
        <v>0</v>
      </c>
      <c r="M46" s="2" t="str">
        <f>IF($A46="","",IFERROR(AVERAGEIFS(Assignments!$P$6:$P$1000,Assignments!$B$6:$B$1000,$A46,Assignments!$E$6:$E$1000,"Completed"),""))</f>
        <v/>
      </c>
      <c r="N46" s="20" t="s">
        <v>116</v>
      </c>
      <c r="O46" s="2"/>
      <c r="P46" s="1">
        <f>IF(A46="","",MAX(0,MIN(3,SUMIFS(Strike_Log!$C:$C,Strike_Log!$B:$B,A46,Strike_Log!$A:$A,"&gt;="&amp;IF(Config!$B$1004="Y",TODAY()-Config!$B$1005,DATE(1900,1,1)),Strike_Log!$I:$I,1))))</f>
        <v>0</v>
      </c>
      <c r="Q46" s="1">
        <f t="shared" si="3"/>
        <v>0</v>
      </c>
      <c r="R46" s="1" t="str">
        <f>IF(A46="","",IFERROR(AVERAGEIFS(Assignments!$J:$J,Assignments!$B:$B,A46,Assignments!$E:$E,"Completed"),""))</f>
        <v/>
      </c>
      <c r="S46" s="1">
        <f>IF(A46="","",COUNTIFS(Assignments!$B:$B,A46,Assignments!$AE:$AE, "Y",Assignments!$D:$D,"&gt;="&amp;TODAY()-30))</f>
        <v>0</v>
      </c>
      <c r="T46" s="1">
        <f>IF(A46="","",COUNTIFS(Assignments!$AF:$AF,A46,Assignments!$AE:$AE, "Y",Assignments!$D:$D,"&gt;="&amp;TODAY()-30))</f>
        <v>0</v>
      </c>
      <c r="U46" s="1">
        <f>IF(A46="","",IFERROR(S46/MAX(1,COUNTIFS(Assignments!$B:$B,A46,Assignments!$D:$D,"&gt;="&amp;TODAY()-30)),""))</f>
        <v>0</v>
      </c>
      <c r="V46" s="1">
        <f t="shared" si="4"/>
        <v>0</v>
      </c>
    </row>
    <row r="47" ht="15.75" customHeight="1">
      <c r="A47" s="20" t="s">
        <v>201</v>
      </c>
      <c r="B47" s="20" t="s">
        <v>202</v>
      </c>
      <c r="C47" s="20" t="s">
        <v>141</v>
      </c>
      <c r="D47" s="20" t="str">
        <f t="shared" si="1"/>
        <v>5</v>
      </c>
      <c r="E47" s="2">
        <f>IF($A47="","",COUNTIFS(Assignments!$B$6:$B$305,$A47,Assignments!$E$6:$E$305,"Active"))</f>
        <v>0</v>
      </c>
      <c r="F47" s="2">
        <f>IF($A47="","",COUNTIFS(Assignments!$B$6:$B$305,$A47,Assignments!$D$6:$D$305,"&gt;="&amp;Config!$B$3-7,Assignments!$D$6:$D$305,"&lt;="&amp;Config!$B$3))</f>
        <v>0</v>
      </c>
      <c r="G47" s="2">
        <f>IF($A47="","",MAXIFS(Assignments!$D$6:$D$305,Assignments!$B$6:$B$305,$A47))</f>
        <v>0</v>
      </c>
      <c r="H47" s="29">
        <f>IF($A47="","",IF($G47="","",Config!$B$3-$G47))</f>
        <v>46071</v>
      </c>
      <c r="I47" s="2">
        <f t="shared" si="2"/>
        <v>0</v>
      </c>
      <c r="J47" s="2" t="str">
        <f>IF($A47="","",IFERROR(AVERAGEIFS(Assignments!$N$6:$N$1000,Assignments!$B$6:$B$1000,$A47,Assignments!$E$6:$E$1000,"Completed"),""))</f>
        <v/>
      </c>
      <c r="K47" s="2" t="str">
        <f>IF($A47="","",IFERROR(AVERAGEIFS(Assignments!$AO:$AO,Assignments!$B:$B,$A47,Assignments!$E:$E,"Completed"),""))</f>
        <v/>
      </c>
      <c r="L47" s="2">
        <f>IF($A47="","",IFERROR(COUNTIFS(Assignments!$B$6:$B$1000,$A47,Assignments!$E$6:$E$1000,"Cancelled")/MAX(1,COUNTIFS(Assignments!$B$6:$B$1000,$A47,Assignments!$E$6:$E$1000,"Completed")+COUNTIFS(Assignments!$B$6:$B$1000,$A47,Assignments!$E$6:$E$1000,"Cancelled")),""))</f>
        <v>0</v>
      </c>
      <c r="M47" s="2" t="str">
        <f>IF($A47="","",IFERROR(AVERAGEIFS(Assignments!$P$6:$P$1000,Assignments!$B$6:$B$1000,$A47,Assignments!$E$6:$E$1000,"Completed"),""))</f>
        <v/>
      </c>
      <c r="N47" s="20" t="s">
        <v>116</v>
      </c>
      <c r="O47" s="2"/>
      <c r="P47" s="1">
        <f>IF(A47="","",MAX(0,MIN(3,SUMIFS(Strike_Log!$C:$C,Strike_Log!$B:$B,A47,Strike_Log!$A:$A,"&gt;="&amp;IF(Config!$B$1004="Y",TODAY()-Config!$B$1005,DATE(1900,1,1)),Strike_Log!$I:$I,1))))</f>
        <v>0</v>
      </c>
      <c r="Q47" s="1">
        <f t="shared" si="3"/>
        <v>0</v>
      </c>
      <c r="R47" s="1" t="str">
        <f>IF(A47="","",IFERROR(AVERAGEIFS(Assignments!$J:$J,Assignments!$B:$B,A47,Assignments!$E:$E,"Completed"),""))</f>
        <v/>
      </c>
      <c r="S47" s="1">
        <f>IF(A47="","",COUNTIFS(Assignments!$B:$B,A47,Assignments!$AE:$AE, "Y",Assignments!$D:$D,"&gt;="&amp;TODAY()-30))</f>
        <v>0</v>
      </c>
      <c r="T47" s="1">
        <f>IF(A47="","",COUNTIFS(Assignments!$AF:$AF,A47,Assignments!$AE:$AE, "Y",Assignments!$D:$D,"&gt;="&amp;TODAY()-30))</f>
        <v>0</v>
      </c>
      <c r="U47" s="1">
        <f>IF(A47="","",IFERROR(S47/MAX(1,COUNTIFS(Assignments!$B:$B,A47,Assignments!$D:$D,"&gt;="&amp;TODAY()-30)),""))</f>
        <v>0</v>
      </c>
      <c r="V47" s="1">
        <f t="shared" si="4"/>
        <v>0</v>
      </c>
    </row>
    <row r="48" ht="15.75" customHeight="1">
      <c r="A48" s="20" t="s">
        <v>203</v>
      </c>
      <c r="B48" s="20" t="s">
        <v>204</v>
      </c>
      <c r="C48" s="20" t="s">
        <v>115</v>
      </c>
      <c r="D48" s="20" t="str">
        <f t="shared" si="1"/>
        <v>3</v>
      </c>
      <c r="E48" s="2">
        <f>IF($A48="","",COUNTIFS(Assignments!$B$6:$B$305,$A48,Assignments!$E$6:$E$305,"Active"))</f>
        <v>0</v>
      </c>
      <c r="F48" s="2">
        <f>IF($A48="","",COUNTIFS(Assignments!$B$6:$B$305,$A48,Assignments!$D$6:$D$305,"&gt;="&amp;Config!$B$3-7,Assignments!$D$6:$D$305,"&lt;="&amp;Config!$B$3))</f>
        <v>0</v>
      </c>
      <c r="G48" s="2">
        <f>IF($A48="","",MAXIFS(Assignments!$D$6:$D$305,Assignments!$B$6:$B$305,$A48))</f>
        <v>0</v>
      </c>
      <c r="H48" s="29">
        <f>IF($A48="","",IF($G48="","",Config!$B$3-$G48))</f>
        <v>46071</v>
      </c>
      <c r="I48" s="2">
        <f t="shared" si="2"/>
        <v>0</v>
      </c>
      <c r="J48" s="2" t="str">
        <f>IF($A48="","",IFERROR(AVERAGEIFS(Assignments!$N$6:$N$1000,Assignments!$B$6:$B$1000,$A48,Assignments!$E$6:$E$1000,"Completed"),""))</f>
        <v/>
      </c>
      <c r="K48" s="2" t="str">
        <f>IF($A48="","",IFERROR(AVERAGEIFS(Assignments!$AO:$AO,Assignments!$B:$B,$A48,Assignments!$E:$E,"Completed"),""))</f>
        <v/>
      </c>
      <c r="L48" s="2">
        <f>IF($A48="","",IFERROR(COUNTIFS(Assignments!$B$6:$B$1000,$A48,Assignments!$E$6:$E$1000,"Cancelled")/MAX(1,COUNTIFS(Assignments!$B$6:$B$1000,$A48,Assignments!$E$6:$E$1000,"Completed")+COUNTIFS(Assignments!$B$6:$B$1000,$A48,Assignments!$E$6:$E$1000,"Cancelled")),""))</f>
        <v>0</v>
      </c>
      <c r="M48" s="2" t="str">
        <f>IF($A48="","",IFERROR(AVERAGEIFS(Assignments!$P$6:$P$1000,Assignments!$B$6:$B$1000,$A48,Assignments!$E$6:$E$1000,"Completed"),""))</f>
        <v/>
      </c>
      <c r="N48" s="20" t="s">
        <v>116</v>
      </c>
      <c r="O48" s="2"/>
      <c r="P48" s="1">
        <f>IF(A48="","",MAX(0,MIN(3,SUMIFS(Strike_Log!$C:$C,Strike_Log!$B:$B,A48,Strike_Log!$A:$A,"&gt;="&amp;IF(Config!$B$1004="Y",TODAY()-Config!$B$1005,DATE(1900,1,1)),Strike_Log!$I:$I,1))))</f>
        <v>0</v>
      </c>
      <c r="Q48" s="1">
        <f t="shared" si="3"/>
        <v>0</v>
      </c>
      <c r="R48" s="1" t="str">
        <f>IF(A48="","",IFERROR(AVERAGEIFS(Assignments!$J:$J,Assignments!$B:$B,A48,Assignments!$E:$E,"Completed"),""))</f>
        <v/>
      </c>
      <c r="S48" s="1">
        <f>IF(A48="","",COUNTIFS(Assignments!$B:$B,A48,Assignments!$AE:$AE, "Y",Assignments!$D:$D,"&gt;="&amp;TODAY()-30))</f>
        <v>0</v>
      </c>
      <c r="T48" s="1">
        <f>IF(A48="","",COUNTIFS(Assignments!$AF:$AF,A48,Assignments!$AE:$AE, "Y",Assignments!$D:$D,"&gt;="&amp;TODAY()-30))</f>
        <v>0</v>
      </c>
      <c r="U48" s="1">
        <f>IF(A48="","",IFERROR(S48/MAX(1,COUNTIFS(Assignments!$B:$B,A48,Assignments!$D:$D,"&gt;="&amp;TODAY()-30)),""))</f>
        <v>0</v>
      </c>
      <c r="V48" s="1">
        <f t="shared" si="4"/>
        <v>0</v>
      </c>
    </row>
    <row r="49" ht="15.75" customHeight="1">
      <c r="A49" s="20" t="s">
        <v>205</v>
      </c>
      <c r="B49" s="20" t="s">
        <v>206</v>
      </c>
      <c r="C49" s="20" t="s">
        <v>115</v>
      </c>
      <c r="D49" s="20" t="str">
        <f t="shared" si="1"/>
        <v>3</v>
      </c>
      <c r="E49" s="2">
        <f>IF($A49="","",COUNTIFS(Assignments!$B$6:$B$305,$A49,Assignments!$E$6:$E$305,"Active"))</f>
        <v>0</v>
      </c>
      <c r="F49" s="2">
        <f>IF($A49="","",COUNTIFS(Assignments!$B$6:$B$305,$A49,Assignments!$D$6:$D$305,"&gt;="&amp;Config!$B$3-7,Assignments!$D$6:$D$305,"&lt;="&amp;Config!$B$3))</f>
        <v>0</v>
      </c>
      <c r="G49" s="2">
        <f>IF($A49="","",MAXIFS(Assignments!$D$6:$D$305,Assignments!$B$6:$B$305,$A49))</f>
        <v>0</v>
      </c>
      <c r="H49" s="29">
        <f>IF($A49="","",IF($G49="","",Config!$B$3-$G49))</f>
        <v>46071</v>
      </c>
      <c r="I49" s="2">
        <f t="shared" si="2"/>
        <v>0</v>
      </c>
      <c r="J49" s="2" t="str">
        <f>IF($A49="","",IFERROR(AVERAGEIFS(Assignments!$N$6:$N$1000,Assignments!$B$6:$B$1000,$A49,Assignments!$E$6:$E$1000,"Completed"),""))</f>
        <v/>
      </c>
      <c r="K49" s="2" t="str">
        <f>IF($A49="","",IFERROR(AVERAGEIFS(Assignments!$AO:$AO,Assignments!$B:$B,$A49,Assignments!$E:$E,"Completed"),""))</f>
        <v/>
      </c>
      <c r="L49" s="2">
        <f>IF($A49="","",IFERROR(COUNTIFS(Assignments!$B$6:$B$1000,$A49,Assignments!$E$6:$E$1000,"Cancelled")/MAX(1,COUNTIFS(Assignments!$B$6:$B$1000,$A49,Assignments!$E$6:$E$1000,"Completed")+COUNTIFS(Assignments!$B$6:$B$1000,$A49,Assignments!$E$6:$E$1000,"Cancelled")),""))</f>
        <v>0</v>
      </c>
      <c r="M49" s="2" t="str">
        <f>IF($A49="","",IFERROR(AVERAGEIFS(Assignments!$P$6:$P$1000,Assignments!$B$6:$B$1000,$A49,Assignments!$E$6:$E$1000,"Completed"),""))</f>
        <v/>
      </c>
      <c r="N49" s="20" t="s">
        <v>116</v>
      </c>
      <c r="O49" s="2"/>
      <c r="P49" s="1">
        <f>IF(A49="","",MAX(0,MIN(3,SUMIFS(Strike_Log!$C:$C,Strike_Log!$B:$B,A49,Strike_Log!$A:$A,"&gt;="&amp;IF(Config!$B$1004="Y",TODAY()-Config!$B$1005,DATE(1900,1,1)),Strike_Log!$I:$I,1))))</f>
        <v>0</v>
      </c>
      <c r="Q49" s="1">
        <f t="shared" si="3"/>
        <v>0</v>
      </c>
      <c r="R49" s="1" t="str">
        <f>IF(A49="","",IFERROR(AVERAGEIFS(Assignments!$J:$J,Assignments!$B:$B,A49,Assignments!$E:$E,"Completed"),""))</f>
        <v/>
      </c>
      <c r="S49" s="1">
        <f>IF(A49="","",COUNTIFS(Assignments!$B:$B,A49,Assignments!$AE:$AE, "Y",Assignments!$D:$D,"&gt;="&amp;TODAY()-30))</f>
        <v>0</v>
      </c>
      <c r="T49" s="1">
        <f>IF(A49="","",COUNTIFS(Assignments!$AF:$AF,A49,Assignments!$AE:$AE, "Y",Assignments!$D:$D,"&gt;="&amp;TODAY()-30))</f>
        <v>0</v>
      </c>
      <c r="U49" s="1">
        <f>IF(A49="","",IFERROR(S49/MAX(1,COUNTIFS(Assignments!$B:$B,A49,Assignments!$D:$D,"&gt;="&amp;TODAY()-30)),""))</f>
        <v>0</v>
      </c>
      <c r="V49" s="1">
        <f t="shared" si="4"/>
        <v>0</v>
      </c>
    </row>
    <row r="50" ht="15.75" customHeight="1">
      <c r="A50" s="20" t="s">
        <v>207</v>
      </c>
      <c r="B50" s="20" t="s">
        <v>208</v>
      </c>
      <c r="C50" s="20" t="s">
        <v>115</v>
      </c>
      <c r="D50" s="20" t="str">
        <f t="shared" si="1"/>
        <v>3</v>
      </c>
      <c r="E50" s="2">
        <f>IF($A50="","",COUNTIFS(Assignments!$B$6:$B$305,$A50,Assignments!$E$6:$E$305,"Active"))</f>
        <v>0</v>
      </c>
      <c r="F50" s="2">
        <f>IF($A50="","",COUNTIFS(Assignments!$B$6:$B$305,$A50,Assignments!$D$6:$D$305,"&gt;="&amp;Config!$B$3-7,Assignments!$D$6:$D$305,"&lt;="&amp;Config!$B$3))</f>
        <v>0</v>
      </c>
      <c r="G50" s="2">
        <f>IF($A50="","",MAXIFS(Assignments!$D$6:$D$305,Assignments!$B$6:$B$305,$A50))</f>
        <v>0</v>
      </c>
      <c r="H50" s="29">
        <f>IF($A50="","",IF($G50="","",Config!$B$3-$G50))</f>
        <v>46071</v>
      </c>
      <c r="I50" s="2">
        <f t="shared" si="2"/>
        <v>0</v>
      </c>
      <c r="J50" s="2" t="str">
        <f>IF($A50="","",IFERROR(AVERAGEIFS(Assignments!$N$6:$N$1000,Assignments!$B$6:$B$1000,$A50,Assignments!$E$6:$E$1000,"Completed"),""))</f>
        <v/>
      </c>
      <c r="K50" s="2" t="str">
        <f>IF($A50="","",IFERROR(AVERAGEIFS(Assignments!$AO:$AO,Assignments!$B:$B,$A50,Assignments!$E:$E,"Completed"),""))</f>
        <v/>
      </c>
      <c r="L50" s="2">
        <f>IF($A50="","",IFERROR(COUNTIFS(Assignments!$B$6:$B$1000,$A50,Assignments!$E$6:$E$1000,"Cancelled")/MAX(1,COUNTIFS(Assignments!$B$6:$B$1000,$A50,Assignments!$E$6:$E$1000,"Completed")+COUNTIFS(Assignments!$B$6:$B$1000,$A50,Assignments!$E$6:$E$1000,"Cancelled")),""))</f>
        <v>0</v>
      </c>
      <c r="M50" s="2" t="str">
        <f>IF($A50="","",IFERROR(AVERAGEIFS(Assignments!$P$6:$P$1000,Assignments!$B$6:$B$1000,$A50,Assignments!$E$6:$E$1000,"Completed"),""))</f>
        <v/>
      </c>
      <c r="N50" s="20" t="s">
        <v>116</v>
      </c>
      <c r="O50" s="2"/>
      <c r="P50" s="1">
        <f>IF(A50="","",MAX(0,MIN(3,SUMIFS(Strike_Log!$C:$C,Strike_Log!$B:$B,A50,Strike_Log!$A:$A,"&gt;="&amp;IF(Config!$B$1004="Y",TODAY()-Config!$B$1005,DATE(1900,1,1)),Strike_Log!$I:$I,1))))</f>
        <v>0</v>
      </c>
      <c r="Q50" s="1">
        <f t="shared" si="3"/>
        <v>0</v>
      </c>
      <c r="R50" s="1" t="str">
        <f>IF(A50="","",IFERROR(AVERAGEIFS(Assignments!$J:$J,Assignments!$B:$B,A50,Assignments!$E:$E,"Completed"),""))</f>
        <v/>
      </c>
      <c r="S50" s="1">
        <f>IF(A50="","",COUNTIFS(Assignments!$B:$B,A50,Assignments!$AE:$AE, "Y",Assignments!$D:$D,"&gt;="&amp;TODAY()-30))</f>
        <v>0</v>
      </c>
      <c r="T50" s="1">
        <f>IF(A50="","",COUNTIFS(Assignments!$AF:$AF,A50,Assignments!$AE:$AE, "Y",Assignments!$D:$D,"&gt;="&amp;TODAY()-30))</f>
        <v>0</v>
      </c>
      <c r="U50" s="1">
        <f>IF(A50="","",IFERROR(S50/MAX(1,COUNTIFS(Assignments!$B:$B,A50,Assignments!$D:$D,"&gt;="&amp;TODAY()-30)),""))</f>
        <v>0</v>
      </c>
      <c r="V50" s="1">
        <f t="shared" si="4"/>
        <v>0</v>
      </c>
    </row>
    <row r="51" ht="15.75" customHeight="1">
      <c r="A51" s="20" t="s">
        <v>209</v>
      </c>
      <c r="B51" s="20" t="s">
        <v>210</v>
      </c>
      <c r="C51" s="20" t="s">
        <v>115</v>
      </c>
      <c r="D51" s="20" t="str">
        <f t="shared" si="1"/>
        <v>3</v>
      </c>
      <c r="E51" s="2">
        <f>IF($A51="","",COUNTIFS(Assignments!$B$6:$B$305,$A51,Assignments!$E$6:$E$305,"Active"))</f>
        <v>0</v>
      </c>
      <c r="F51" s="2">
        <f>IF($A51="","",COUNTIFS(Assignments!$B$6:$B$305,$A51,Assignments!$D$6:$D$305,"&gt;="&amp;Config!$B$3-7,Assignments!$D$6:$D$305,"&lt;="&amp;Config!$B$3))</f>
        <v>0</v>
      </c>
      <c r="G51" s="2">
        <f>IF($A51="","",MAXIFS(Assignments!$D$6:$D$305,Assignments!$B$6:$B$305,$A51))</f>
        <v>0</v>
      </c>
      <c r="H51" s="29">
        <f>IF($A51="","",IF($G51="","",Config!$B$3-$G51))</f>
        <v>46071</v>
      </c>
      <c r="I51" s="2">
        <f t="shared" si="2"/>
        <v>0</v>
      </c>
      <c r="J51" s="2" t="str">
        <f>IF($A51="","",IFERROR(AVERAGEIFS(Assignments!$N$6:$N$1000,Assignments!$B$6:$B$1000,$A51,Assignments!$E$6:$E$1000,"Completed"),""))</f>
        <v/>
      </c>
      <c r="K51" s="2" t="str">
        <f>IF($A51="","",IFERROR(AVERAGEIFS(Assignments!$AO:$AO,Assignments!$B:$B,$A51,Assignments!$E:$E,"Completed"),""))</f>
        <v/>
      </c>
      <c r="L51" s="2">
        <f>IF($A51="","",IFERROR(COUNTIFS(Assignments!$B$6:$B$1000,$A51,Assignments!$E$6:$E$1000,"Cancelled")/MAX(1,COUNTIFS(Assignments!$B$6:$B$1000,$A51,Assignments!$E$6:$E$1000,"Completed")+COUNTIFS(Assignments!$B$6:$B$1000,$A51,Assignments!$E$6:$E$1000,"Cancelled")),""))</f>
        <v>0</v>
      </c>
      <c r="M51" s="2" t="str">
        <f>IF($A51="","",IFERROR(AVERAGEIFS(Assignments!$P$6:$P$1000,Assignments!$B$6:$B$1000,$A51,Assignments!$E$6:$E$1000,"Completed"),""))</f>
        <v/>
      </c>
      <c r="N51" s="20" t="s">
        <v>116</v>
      </c>
      <c r="O51" s="2"/>
      <c r="P51" s="1">
        <f>IF(A51="","",MAX(0,MIN(3,SUMIFS(Strike_Log!$C:$C,Strike_Log!$B:$B,A51,Strike_Log!$A:$A,"&gt;="&amp;IF(Config!$B$1004="Y",TODAY()-Config!$B$1005,DATE(1900,1,1)),Strike_Log!$I:$I,1))))</f>
        <v>0</v>
      </c>
      <c r="Q51" s="1">
        <f t="shared" si="3"/>
        <v>0</v>
      </c>
      <c r="R51" s="1" t="str">
        <f>IF(A51="","",IFERROR(AVERAGEIFS(Assignments!$J:$J,Assignments!$B:$B,A51,Assignments!$E:$E,"Completed"),""))</f>
        <v/>
      </c>
      <c r="S51" s="1">
        <f>IF(A51="","",COUNTIFS(Assignments!$B:$B,A51,Assignments!$AE:$AE, "Y",Assignments!$D:$D,"&gt;="&amp;TODAY()-30))</f>
        <v>0</v>
      </c>
      <c r="T51" s="1">
        <f>IF(A51="","",COUNTIFS(Assignments!$AF:$AF,A51,Assignments!$AE:$AE, "Y",Assignments!$D:$D,"&gt;="&amp;TODAY()-30))</f>
        <v>0</v>
      </c>
      <c r="U51" s="1">
        <f>IF(A51="","",IFERROR(S51/MAX(1,COUNTIFS(Assignments!$B:$B,A51,Assignments!$D:$D,"&gt;="&amp;TODAY()-30)),""))</f>
        <v>0</v>
      </c>
      <c r="V51" s="1">
        <f t="shared" si="4"/>
        <v>0</v>
      </c>
    </row>
    <row r="52" ht="15.75" customHeight="1">
      <c r="A52" s="20" t="s">
        <v>211</v>
      </c>
      <c r="B52" s="20" t="s">
        <v>212</v>
      </c>
      <c r="C52" s="20" t="s">
        <v>115</v>
      </c>
      <c r="D52" s="20" t="str">
        <f t="shared" si="1"/>
        <v>3</v>
      </c>
      <c r="E52" s="2">
        <f>IF($A52="","",COUNTIFS(Assignments!$B$6:$B$305,$A52,Assignments!$E$6:$E$305,"Active"))</f>
        <v>0</v>
      </c>
      <c r="F52" s="2">
        <f>IF($A52="","",COUNTIFS(Assignments!$B$6:$B$305,$A52,Assignments!$D$6:$D$305,"&gt;="&amp;Config!$B$3-7,Assignments!$D$6:$D$305,"&lt;="&amp;Config!$B$3))</f>
        <v>0</v>
      </c>
      <c r="G52" s="2">
        <f>IF($A52="","",MAXIFS(Assignments!$D$6:$D$305,Assignments!$B$6:$B$305,$A52))</f>
        <v>0</v>
      </c>
      <c r="H52" s="29">
        <f>IF($A52="","",IF($G52="","",Config!$B$3-$G52))</f>
        <v>46071</v>
      </c>
      <c r="I52" s="2">
        <f t="shared" si="2"/>
        <v>0</v>
      </c>
      <c r="J52" s="2" t="str">
        <f>IF($A52="","",IFERROR(AVERAGEIFS(Assignments!$N$6:$N$1000,Assignments!$B$6:$B$1000,$A52,Assignments!$E$6:$E$1000,"Completed"),""))</f>
        <v/>
      </c>
      <c r="K52" s="2" t="str">
        <f>IF($A52="","",IFERROR(AVERAGEIFS(Assignments!$AO:$AO,Assignments!$B:$B,$A52,Assignments!$E:$E,"Completed"),""))</f>
        <v/>
      </c>
      <c r="L52" s="2">
        <f>IF($A52="","",IFERROR(COUNTIFS(Assignments!$B$6:$B$1000,$A52,Assignments!$E$6:$E$1000,"Cancelled")/MAX(1,COUNTIFS(Assignments!$B$6:$B$1000,$A52,Assignments!$E$6:$E$1000,"Completed")+COUNTIFS(Assignments!$B$6:$B$1000,$A52,Assignments!$E$6:$E$1000,"Cancelled")),""))</f>
        <v>0</v>
      </c>
      <c r="M52" s="2" t="str">
        <f>IF($A52="","",IFERROR(AVERAGEIFS(Assignments!$P$6:$P$1000,Assignments!$B$6:$B$1000,$A52,Assignments!$E$6:$E$1000,"Completed"),""))</f>
        <v/>
      </c>
      <c r="N52" s="20" t="s">
        <v>116</v>
      </c>
      <c r="O52" s="2"/>
      <c r="P52" s="1">
        <f>IF(A52="","",MAX(0,MIN(3,SUMIFS(Strike_Log!$C:$C,Strike_Log!$B:$B,A52,Strike_Log!$A:$A,"&gt;="&amp;IF(Config!$B$1004="Y",TODAY()-Config!$B$1005,DATE(1900,1,1)),Strike_Log!$I:$I,1))))</f>
        <v>0</v>
      </c>
      <c r="Q52" s="1">
        <f t="shared" si="3"/>
        <v>0</v>
      </c>
      <c r="R52" s="1" t="str">
        <f>IF(A52="","",IFERROR(AVERAGEIFS(Assignments!$J:$J,Assignments!$B:$B,A52,Assignments!$E:$E,"Completed"),""))</f>
        <v/>
      </c>
      <c r="S52" s="1">
        <f>IF(A52="","",COUNTIFS(Assignments!$B:$B,A52,Assignments!$AE:$AE, "Y",Assignments!$D:$D,"&gt;="&amp;TODAY()-30))</f>
        <v>0</v>
      </c>
      <c r="T52" s="1">
        <f>IF(A52="","",COUNTIFS(Assignments!$AF:$AF,A52,Assignments!$AE:$AE, "Y",Assignments!$D:$D,"&gt;="&amp;TODAY()-30))</f>
        <v>0</v>
      </c>
      <c r="U52" s="1">
        <f>IF(A52="","",IFERROR(S52/MAX(1,COUNTIFS(Assignments!$B:$B,A52,Assignments!$D:$D,"&gt;="&amp;TODAY()-30)),""))</f>
        <v>0</v>
      </c>
      <c r="V52" s="1">
        <f t="shared" si="4"/>
        <v>0</v>
      </c>
    </row>
    <row r="53" ht="15.75" customHeight="1">
      <c r="A53" s="20" t="s">
        <v>213</v>
      </c>
      <c r="B53" s="20" t="s">
        <v>214</v>
      </c>
      <c r="C53" s="20" t="s">
        <v>141</v>
      </c>
      <c r="D53" s="20" t="str">
        <f t="shared" si="1"/>
        <v>5</v>
      </c>
      <c r="E53" s="2">
        <f>IF($A53="","",COUNTIFS(Assignments!$B$6:$B$305,$A53,Assignments!$E$6:$E$305,"Active"))</f>
        <v>0</v>
      </c>
      <c r="F53" s="2">
        <f>IF($A53="","",COUNTIFS(Assignments!$B$6:$B$305,$A53,Assignments!$D$6:$D$305,"&gt;="&amp;Config!$B$3-7,Assignments!$D$6:$D$305,"&lt;="&amp;Config!$B$3))</f>
        <v>0</v>
      </c>
      <c r="G53" s="2">
        <f>IF($A53="","",MAXIFS(Assignments!$D$6:$D$305,Assignments!$B$6:$B$305,$A53))</f>
        <v>0</v>
      </c>
      <c r="H53" s="29">
        <f>IF($A53="","",IF($G53="","",Config!$B$3-$G53))</f>
        <v>46071</v>
      </c>
      <c r="I53" s="2">
        <f t="shared" si="2"/>
        <v>0</v>
      </c>
      <c r="J53" s="2" t="str">
        <f>IF($A53="","",IFERROR(AVERAGEIFS(Assignments!$N$6:$N$1000,Assignments!$B$6:$B$1000,$A53,Assignments!$E$6:$E$1000,"Completed"),""))</f>
        <v/>
      </c>
      <c r="K53" s="2" t="str">
        <f>IF($A53="","",IFERROR(AVERAGEIFS(Assignments!$AO:$AO,Assignments!$B:$B,$A53,Assignments!$E:$E,"Completed"),""))</f>
        <v/>
      </c>
      <c r="L53" s="2">
        <f>IF($A53="","",IFERROR(COUNTIFS(Assignments!$B$6:$B$1000,$A53,Assignments!$E$6:$E$1000,"Cancelled")/MAX(1,COUNTIFS(Assignments!$B$6:$B$1000,$A53,Assignments!$E$6:$E$1000,"Completed")+COUNTIFS(Assignments!$B$6:$B$1000,$A53,Assignments!$E$6:$E$1000,"Cancelled")),""))</f>
        <v>0</v>
      </c>
      <c r="M53" s="2" t="str">
        <f>IF($A53="","",IFERROR(AVERAGEIFS(Assignments!$P$6:$P$1000,Assignments!$B$6:$B$1000,$A53,Assignments!$E$6:$E$1000,"Completed"),""))</f>
        <v/>
      </c>
      <c r="N53" s="20" t="s">
        <v>116</v>
      </c>
      <c r="O53" s="2"/>
      <c r="P53" s="1">
        <f>IF(A53="","",MAX(0,MIN(3,SUMIFS(Strike_Log!$C:$C,Strike_Log!$B:$B,A53,Strike_Log!$A:$A,"&gt;="&amp;IF(Config!$B$1004="Y",TODAY()-Config!$B$1005,DATE(1900,1,1)),Strike_Log!$I:$I,1))))</f>
        <v>0</v>
      </c>
      <c r="Q53" s="1">
        <f t="shared" si="3"/>
        <v>0</v>
      </c>
      <c r="R53" s="1" t="str">
        <f>IF(A53="","",IFERROR(AVERAGEIFS(Assignments!$J:$J,Assignments!$B:$B,A53,Assignments!$E:$E,"Completed"),""))</f>
        <v/>
      </c>
      <c r="S53" s="1">
        <f>IF(A53="","",COUNTIFS(Assignments!$B:$B,A53,Assignments!$AE:$AE, "Y",Assignments!$D:$D,"&gt;="&amp;TODAY()-30))</f>
        <v>0</v>
      </c>
      <c r="T53" s="1">
        <f>IF(A53="","",COUNTIFS(Assignments!$AF:$AF,A53,Assignments!$AE:$AE, "Y",Assignments!$D:$D,"&gt;="&amp;TODAY()-30))</f>
        <v>0</v>
      </c>
      <c r="U53" s="1">
        <f>IF(A53="","",IFERROR(S53/MAX(1,COUNTIFS(Assignments!$B:$B,A53,Assignments!$D:$D,"&gt;="&amp;TODAY()-30)),""))</f>
        <v>0</v>
      </c>
      <c r="V53" s="1">
        <f t="shared" si="4"/>
        <v>0</v>
      </c>
    </row>
    <row r="54" ht="15.75" customHeight="1">
      <c r="A54" s="20" t="s">
        <v>215</v>
      </c>
      <c r="B54" s="20" t="s">
        <v>216</v>
      </c>
      <c r="C54" s="20" t="s">
        <v>115</v>
      </c>
      <c r="D54" s="20" t="str">
        <f t="shared" si="1"/>
        <v>3</v>
      </c>
      <c r="E54" s="2">
        <f>IF($A54="","",COUNTIFS(Assignments!$B$6:$B$305,$A54,Assignments!$E$6:$E$305,"Active"))</f>
        <v>0</v>
      </c>
      <c r="F54" s="2">
        <f>IF($A54="","",COUNTIFS(Assignments!$B$6:$B$305,$A54,Assignments!$D$6:$D$305,"&gt;="&amp;Config!$B$3-7,Assignments!$D$6:$D$305,"&lt;="&amp;Config!$B$3))</f>
        <v>0</v>
      </c>
      <c r="G54" s="2">
        <f>IF($A54="","",MAXIFS(Assignments!$D$6:$D$305,Assignments!$B$6:$B$305,$A54))</f>
        <v>0</v>
      </c>
      <c r="H54" s="29">
        <f>IF($A54="","",IF($G54="","",Config!$B$3-$G54))</f>
        <v>46071</v>
      </c>
      <c r="I54" s="2">
        <f t="shared" si="2"/>
        <v>0</v>
      </c>
      <c r="J54" s="2" t="str">
        <f>IF($A54="","",IFERROR(AVERAGEIFS(Assignments!$N$6:$N$1000,Assignments!$B$6:$B$1000,$A54,Assignments!$E$6:$E$1000,"Completed"),""))</f>
        <v/>
      </c>
      <c r="K54" s="2" t="str">
        <f>IF($A54="","",IFERROR(AVERAGEIFS(Assignments!$AO:$AO,Assignments!$B:$B,$A54,Assignments!$E:$E,"Completed"),""))</f>
        <v/>
      </c>
      <c r="L54" s="2">
        <f>IF($A54="","",IFERROR(COUNTIFS(Assignments!$B$6:$B$1000,$A54,Assignments!$E$6:$E$1000,"Cancelled")/MAX(1,COUNTIFS(Assignments!$B$6:$B$1000,$A54,Assignments!$E$6:$E$1000,"Completed")+COUNTIFS(Assignments!$B$6:$B$1000,$A54,Assignments!$E$6:$E$1000,"Cancelled")),""))</f>
        <v>0</v>
      </c>
      <c r="M54" s="2" t="str">
        <f>IF($A54="","",IFERROR(AVERAGEIFS(Assignments!$P$6:$P$1000,Assignments!$B$6:$B$1000,$A54,Assignments!$E$6:$E$1000,"Completed"),""))</f>
        <v/>
      </c>
      <c r="N54" s="20" t="s">
        <v>116</v>
      </c>
      <c r="O54" s="2"/>
      <c r="P54" s="1">
        <f>IF(A54="","",MAX(0,MIN(3,SUMIFS(Strike_Log!$C:$C,Strike_Log!$B:$B,A54,Strike_Log!$A:$A,"&gt;="&amp;IF(Config!$B$1004="Y",TODAY()-Config!$B$1005,DATE(1900,1,1)),Strike_Log!$I:$I,1))))</f>
        <v>0</v>
      </c>
      <c r="Q54" s="1">
        <f t="shared" si="3"/>
        <v>0</v>
      </c>
      <c r="R54" s="1" t="str">
        <f>IF(A54="","",IFERROR(AVERAGEIFS(Assignments!$J:$J,Assignments!$B:$B,A54,Assignments!$E:$E,"Completed"),""))</f>
        <v/>
      </c>
      <c r="S54" s="1">
        <f>IF(A54="","",COUNTIFS(Assignments!$B:$B,A54,Assignments!$AE:$AE, "Y",Assignments!$D:$D,"&gt;="&amp;TODAY()-30))</f>
        <v>0</v>
      </c>
      <c r="T54" s="1">
        <f>IF(A54="","",COUNTIFS(Assignments!$AF:$AF,A54,Assignments!$AE:$AE, "Y",Assignments!$D:$D,"&gt;="&amp;TODAY()-30))</f>
        <v>0</v>
      </c>
      <c r="U54" s="1">
        <f>IF(A54="","",IFERROR(S54/MAX(1,COUNTIFS(Assignments!$B:$B,A54,Assignments!$D:$D,"&gt;="&amp;TODAY()-30)),""))</f>
        <v>0</v>
      </c>
      <c r="V54" s="1">
        <f t="shared" si="4"/>
        <v>0</v>
      </c>
    </row>
    <row r="55" ht="15.75" customHeight="1">
      <c r="A55" s="20" t="s">
        <v>217</v>
      </c>
      <c r="B55" s="20" t="s">
        <v>218</v>
      </c>
      <c r="C55" s="20" t="s">
        <v>115</v>
      </c>
      <c r="D55" s="20" t="str">
        <f t="shared" si="1"/>
        <v>3</v>
      </c>
      <c r="E55" s="2">
        <f>IF($A55="","",COUNTIFS(Assignments!$B$6:$B$305,$A55,Assignments!$E$6:$E$305,"Active"))</f>
        <v>0</v>
      </c>
      <c r="F55" s="2">
        <f>IF($A55="","",COUNTIFS(Assignments!$B$6:$B$305,$A55,Assignments!$D$6:$D$305,"&gt;="&amp;Config!$B$3-7,Assignments!$D$6:$D$305,"&lt;="&amp;Config!$B$3))</f>
        <v>0</v>
      </c>
      <c r="G55" s="2">
        <f>IF($A55="","",MAXIFS(Assignments!$D$6:$D$305,Assignments!$B$6:$B$305,$A55))</f>
        <v>0</v>
      </c>
      <c r="H55" s="29">
        <f>IF($A55="","",IF($G55="","",Config!$B$3-$G55))</f>
        <v>46071</v>
      </c>
      <c r="I55" s="2">
        <f t="shared" si="2"/>
        <v>0</v>
      </c>
      <c r="J55" s="2" t="str">
        <f>IF($A55="","",IFERROR(AVERAGEIFS(Assignments!$N$6:$N$1000,Assignments!$B$6:$B$1000,$A55,Assignments!$E$6:$E$1000,"Completed"),""))</f>
        <v/>
      </c>
      <c r="K55" s="2" t="str">
        <f>IF($A55="","",IFERROR(AVERAGEIFS(Assignments!$AO:$AO,Assignments!$B:$B,$A55,Assignments!$E:$E,"Completed"),""))</f>
        <v/>
      </c>
      <c r="L55" s="2">
        <f>IF($A55="","",IFERROR(COUNTIFS(Assignments!$B$6:$B$1000,$A55,Assignments!$E$6:$E$1000,"Cancelled")/MAX(1,COUNTIFS(Assignments!$B$6:$B$1000,$A55,Assignments!$E$6:$E$1000,"Completed")+COUNTIFS(Assignments!$B$6:$B$1000,$A55,Assignments!$E$6:$E$1000,"Cancelled")),""))</f>
        <v>0</v>
      </c>
      <c r="M55" s="2" t="str">
        <f>IF($A55="","",IFERROR(AVERAGEIFS(Assignments!$P$6:$P$1000,Assignments!$B$6:$B$1000,$A55,Assignments!$E$6:$E$1000,"Completed"),""))</f>
        <v/>
      </c>
      <c r="N55" s="20" t="s">
        <v>116</v>
      </c>
      <c r="O55" s="2"/>
      <c r="P55" s="1">
        <f>IF(A55="","",MAX(0,MIN(3,SUMIFS(Strike_Log!$C:$C,Strike_Log!$B:$B,A55,Strike_Log!$A:$A,"&gt;="&amp;IF(Config!$B$1004="Y",TODAY()-Config!$B$1005,DATE(1900,1,1)),Strike_Log!$I:$I,1))))</f>
        <v>0</v>
      </c>
      <c r="Q55" s="1">
        <f t="shared" si="3"/>
        <v>0</v>
      </c>
      <c r="R55" s="1" t="str">
        <f>IF(A55="","",IFERROR(AVERAGEIFS(Assignments!$J:$J,Assignments!$B:$B,A55,Assignments!$E:$E,"Completed"),""))</f>
        <v/>
      </c>
      <c r="S55" s="1">
        <f>IF(A55="","",COUNTIFS(Assignments!$B:$B,A55,Assignments!$AE:$AE, "Y",Assignments!$D:$D,"&gt;="&amp;TODAY()-30))</f>
        <v>0</v>
      </c>
      <c r="T55" s="1">
        <f>IF(A55="","",COUNTIFS(Assignments!$AF:$AF,A55,Assignments!$AE:$AE, "Y",Assignments!$D:$D,"&gt;="&amp;TODAY()-30))</f>
        <v>0</v>
      </c>
      <c r="U55" s="1">
        <f>IF(A55="","",IFERROR(S55/MAX(1,COUNTIFS(Assignments!$B:$B,A55,Assignments!$D:$D,"&gt;="&amp;TODAY()-30)),""))</f>
        <v>0</v>
      </c>
      <c r="V55" s="1">
        <f t="shared" si="4"/>
        <v>0</v>
      </c>
    </row>
    <row r="56" ht="15.75" customHeight="1">
      <c r="A56" s="20" t="s">
        <v>219</v>
      </c>
      <c r="B56" s="20" t="s">
        <v>220</v>
      </c>
      <c r="C56" s="20" t="s">
        <v>115</v>
      </c>
      <c r="D56" s="20" t="str">
        <f t="shared" si="1"/>
        <v>3</v>
      </c>
      <c r="E56" s="2">
        <f>IF($A56="","",COUNTIFS(Assignments!$B$6:$B$305,$A56,Assignments!$E$6:$E$305,"Active"))</f>
        <v>0</v>
      </c>
      <c r="F56" s="2">
        <f>IF($A56="","",COUNTIFS(Assignments!$B$6:$B$305,$A56,Assignments!$D$6:$D$305,"&gt;="&amp;Config!$B$3-7,Assignments!$D$6:$D$305,"&lt;="&amp;Config!$B$3))</f>
        <v>0</v>
      </c>
      <c r="G56" s="2">
        <f>IF($A56="","",MAXIFS(Assignments!$D$6:$D$305,Assignments!$B$6:$B$305,$A56))</f>
        <v>0</v>
      </c>
      <c r="H56" s="29">
        <f>IF($A56="","",IF($G56="","",Config!$B$3-$G56))</f>
        <v>46071</v>
      </c>
      <c r="I56" s="2">
        <f t="shared" si="2"/>
        <v>0</v>
      </c>
      <c r="J56" s="2" t="str">
        <f>IF($A56="","",IFERROR(AVERAGEIFS(Assignments!$N$6:$N$1000,Assignments!$B$6:$B$1000,$A56,Assignments!$E$6:$E$1000,"Completed"),""))</f>
        <v/>
      </c>
      <c r="K56" s="2" t="str">
        <f>IF($A56="","",IFERROR(AVERAGEIFS(Assignments!$AO:$AO,Assignments!$B:$B,$A56,Assignments!$E:$E,"Completed"),""))</f>
        <v/>
      </c>
      <c r="L56" s="2">
        <f>IF($A56="","",IFERROR(COUNTIFS(Assignments!$B$6:$B$1000,$A56,Assignments!$E$6:$E$1000,"Cancelled")/MAX(1,COUNTIFS(Assignments!$B$6:$B$1000,$A56,Assignments!$E$6:$E$1000,"Completed")+COUNTIFS(Assignments!$B$6:$B$1000,$A56,Assignments!$E$6:$E$1000,"Cancelled")),""))</f>
        <v>0</v>
      </c>
      <c r="M56" s="2" t="str">
        <f>IF($A56="","",IFERROR(AVERAGEIFS(Assignments!$P$6:$P$1000,Assignments!$B$6:$B$1000,$A56,Assignments!$E$6:$E$1000,"Completed"),""))</f>
        <v/>
      </c>
      <c r="N56" s="20" t="s">
        <v>116</v>
      </c>
      <c r="O56" s="2"/>
      <c r="P56" s="1">
        <f>IF(A56="","",MAX(0,MIN(3,SUMIFS(Strike_Log!$C:$C,Strike_Log!$B:$B,A56,Strike_Log!$A:$A,"&gt;="&amp;IF(Config!$B$1004="Y",TODAY()-Config!$B$1005,DATE(1900,1,1)),Strike_Log!$I:$I,1))))</f>
        <v>0</v>
      </c>
      <c r="Q56" s="1">
        <f t="shared" si="3"/>
        <v>0</v>
      </c>
      <c r="R56" s="1" t="str">
        <f>IF(A56="","",IFERROR(AVERAGEIFS(Assignments!$J:$J,Assignments!$B:$B,A56,Assignments!$E:$E,"Completed"),""))</f>
        <v/>
      </c>
      <c r="S56" s="1">
        <f>IF(A56="","",COUNTIFS(Assignments!$B:$B,A56,Assignments!$AE:$AE, "Y",Assignments!$D:$D,"&gt;="&amp;TODAY()-30))</f>
        <v>0</v>
      </c>
      <c r="T56" s="1">
        <f>IF(A56="","",COUNTIFS(Assignments!$AF:$AF,A56,Assignments!$AE:$AE, "Y",Assignments!$D:$D,"&gt;="&amp;TODAY()-30))</f>
        <v>0</v>
      </c>
      <c r="U56" s="1">
        <f>IF(A56="","",IFERROR(S56/MAX(1,COUNTIFS(Assignments!$B:$B,A56,Assignments!$D:$D,"&gt;="&amp;TODAY()-30)),""))</f>
        <v>0</v>
      </c>
      <c r="V56" s="1">
        <f t="shared" si="4"/>
        <v>0</v>
      </c>
    </row>
    <row r="57" ht="15.75" customHeight="1">
      <c r="A57" s="20" t="s">
        <v>221</v>
      </c>
      <c r="B57" s="20" t="s">
        <v>222</v>
      </c>
      <c r="C57" s="20" t="s">
        <v>115</v>
      </c>
      <c r="D57" s="20" t="str">
        <f t="shared" si="1"/>
        <v>3</v>
      </c>
      <c r="E57" s="2">
        <f>IF($A57="","",COUNTIFS(Assignments!$B$6:$B$305,$A57,Assignments!$E$6:$E$305,"Active"))</f>
        <v>0</v>
      </c>
      <c r="F57" s="2">
        <f>IF($A57="","",COUNTIFS(Assignments!$B$6:$B$305,$A57,Assignments!$D$6:$D$305,"&gt;="&amp;Config!$B$3-7,Assignments!$D$6:$D$305,"&lt;="&amp;Config!$B$3))</f>
        <v>0</v>
      </c>
      <c r="G57" s="2">
        <f>IF($A57="","",MAXIFS(Assignments!$D$6:$D$305,Assignments!$B$6:$B$305,$A57))</f>
        <v>0</v>
      </c>
      <c r="H57" s="29">
        <f>IF($A57="","",IF($G57="","",Config!$B$3-$G57))</f>
        <v>46071</v>
      </c>
      <c r="I57" s="2">
        <f t="shared" si="2"/>
        <v>0</v>
      </c>
      <c r="J57" s="2" t="str">
        <f>IF($A57="","",IFERROR(AVERAGEIFS(Assignments!$N$6:$N$1000,Assignments!$B$6:$B$1000,$A57,Assignments!$E$6:$E$1000,"Completed"),""))</f>
        <v/>
      </c>
      <c r="K57" s="2" t="str">
        <f>IF($A57="","",IFERROR(AVERAGEIFS(Assignments!$AO:$AO,Assignments!$B:$B,$A57,Assignments!$E:$E,"Completed"),""))</f>
        <v/>
      </c>
      <c r="L57" s="2">
        <f>IF($A57="","",IFERROR(COUNTIFS(Assignments!$B$6:$B$1000,$A57,Assignments!$E$6:$E$1000,"Cancelled")/MAX(1,COUNTIFS(Assignments!$B$6:$B$1000,$A57,Assignments!$E$6:$E$1000,"Completed")+COUNTIFS(Assignments!$B$6:$B$1000,$A57,Assignments!$E$6:$E$1000,"Cancelled")),""))</f>
        <v>0</v>
      </c>
      <c r="M57" s="2" t="str">
        <f>IF($A57="","",IFERROR(AVERAGEIFS(Assignments!$P$6:$P$1000,Assignments!$B$6:$B$1000,$A57,Assignments!$E$6:$E$1000,"Completed"),""))</f>
        <v/>
      </c>
      <c r="N57" s="20" t="s">
        <v>116</v>
      </c>
      <c r="O57" s="2"/>
      <c r="P57" s="1">
        <f>IF(A57="","",MAX(0,MIN(3,SUMIFS(Strike_Log!$C:$C,Strike_Log!$B:$B,A57,Strike_Log!$A:$A,"&gt;="&amp;IF(Config!$B$1004="Y",TODAY()-Config!$B$1005,DATE(1900,1,1)),Strike_Log!$I:$I,1))))</f>
        <v>0</v>
      </c>
      <c r="Q57" s="1">
        <f t="shared" si="3"/>
        <v>0</v>
      </c>
      <c r="R57" s="1" t="str">
        <f>IF(A57="","",IFERROR(AVERAGEIFS(Assignments!$J:$J,Assignments!$B:$B,A57,Assignments!$E:$E,"Completed"),""))</f>
        <v/>
      </c>
      <c r="S57" s="1">
        <f>IF(A57="","",COUNTIFS(Assignments!$B:$B,A57,Assignments!$AE:$AE, "Y",Assignments!$D:$D,"&gt;="&amp;TODAY()-30))</f>
        <v>0</v>
      </c>
      <c r="T57" s="1">
        <f>IF(A57="","",COUNTIFS(Assignments!$AF:$AF,A57,Assignments!$AE:$AE, "Y",Assignments!$D:$D,"&gt;="&amp;TODAY()-30))</f>
        <v>0</v>
      </c>
      <c r="U57" s="1">
        <f>IF(A57="","",IFERROR(S57/MAX(1,COUNTIFS(Assignments!$B:$B,A57,Assignments!$D:$D,"&gt;="&amp;TODAY()-30)),""))</f>
        <v>0</v>
      </c>
      <c r="V57" s="1">
        <f t="shared" si="4"/>
        <v>0</v>
      </c>
    </row>
    <row r="58" ht="15.75" customHeight="1">
      <c r="A58" s="20" t="s">
        <v>223</v>
      </c>
      <c r="B58" s="20" t="s">
        <v>224</v>
      </c>
      <c r="C58" s="20" t="s">
        <v>115</v>
      </c>
      <c r="D58" s="20" t="str">
        <f t="shared" si="1"/>
        <v>3</v>
      </c>
      <c r="E58" s="2">
        <f>IF($A58="","",COUNTIFS(Assignments!$B$6:$B$305,$A58,Assignments!$E$6:$E$305,"Active"))</f>
        <v>0</v>
      </c>
      <c r="F58" s="2">
        <f>IF($A58="","",COUNTIFS(Assignments!$B$6:$B$305,$A58,Assignments!$D$6:$D$305,"&gt;="&amp;Config!$B$3-7,Assignments!$D$6:$D$305,"&lt;="&amp;Config!$B$3))</f>
        <v>0</v>
      </c>
      <c r="G58" s="2">
        <f>IF($A58="","",MAXIFS(Assignments!$D$6:$D$305,Assignments!$B$6:$B$305,$A58))</f>
        <v>0</v>
      </c>
      <c r="H58" s="29">
        <f>IF($A58="","",IF($G58="","",Config!$B$3-$G58))</f>
        <v>46071</v>
      </c>
      <c r="I58" s="2">
        <f t="shared" si="2"/>
        <v>0</v>
      </c>
      <c r="J58" s="2" t="str">
        <f>IF($A58="","",IFERROR(AVERAGEIFS(Assignments!$N$6:$N$1000,Assignments!$B$6:$B$1000,$A58,Assignments!$E$6:$E$1000,"Completed"),""))</f>
        <v/>
      </c>
      <c r="K58" s="2" t="str">
        <f>IF($A58="","",IFERROR(AVERAGEIFS(Assignments!$AO:$AO,Assignments!$B:$B,$A58,Assignments!$E:$E,"Completed"),""))</f>
        <v/>
      </c>
      <c r="L58" s="2">
        <f>IF($A58="","",IFERROR(COUNTIFS(Assignments!$B$6:$B$1000,$A58,Assignments!$E$6:$E$1000,"Cancelled")/MAX(1,COUNTIFS(Assignments!$B$6:$B$1000,$A58,Assignments!$E$6:$E$1000,"Completed")+COUNTIFS(Assignments!$B$6:$B$1000,$A58,Assignments!$E$6:$E$1000,"Cancelled")),""))</f>
        <v>0</v>
      </c>
      <c r="M58" s="2" t="str">
        <f>IF($A58="","",IFERROR(AVERAGEIFS(Assignments!$P$6:$P$1000,Assignments!$B$6:$B$1000,$A58,Assignments!$E$6:$E$1000,"Completed"),""))</f>
        <v/>
      </c>
      <c r="N58" s="20" t="s">
        <v>116</v>
      </c>
      <c r="O58" s="2"/>
      <c r="P58" s="1">
        <f>IF(A58="","",MAX(0,MIN(3,SUMIFS(Strike_Log!$C:$C,Strike_Log!$B:$B,A58,Strike_Log!$A:$A,"&gt;="&amp;IF(Config!$B$1004="Y",TODAY()-Config!$B$1005,DATE(1900,1,1)),Strike_Log!$I:$I,1))))</f>
        <v>0</v>
      </c>
      <c r="Q58" s="1">
        <f t="shared" si="3"/>
        <v>0</v>
      </c>
      <c r="R58" s="1" t="str">
        <f>IF(A58="","",IFERROR(AVERAGEIFS(Assignments!$J:$J,Assignments!$B:$B,A58,Assignments!$E:$E,"Completed"),""))</f>
        <v/>
      </c>
      <c r="S58" s="1">
        <f>IF(A58="","",COUNTIFS(Assignments!$B:$B,A58,Assignments!$AE:$AE, "Y",Assignments!$D:$D,"&gt;="&amp;TODAY()-30))</f>
        <v>0</v>
      </c>
      <c r="T58" s="1">
        <f>IF(A58="","",COUNTIFS(Assignments!$AF:$AF,A58,Assignments!$AE:$AE, "Y",Assignments!$D:$D,"&gt;="&amp;TODAY()-30))</f>
        <v>0</v>
      </c>
      <c r="U58" s="1">
        <f>IF(A58="","",IFERROR(S58/MAX(1,COUNTIFS(Assignments!$B:$B,A58,Assignments!$D:$D,"&gt;="&amp;TODAY()-30)),""))</f>
        <v>0</v>
      </c>
      <c r="V58" s="1">
        <f t="shared" si="4"/>
        <v>0</v>
      </c>
    </row>
    <row r="59" ht="15.75" customHeight="1">
      <c r="A59" s="20" t="s">
        <v>225</v>
      </c>
      <c r="B59" s="20" t="s">
        <v>226</v>
      </c>
      <c r="C59" s="20" t="s">
        <v>115</v>
      </c>
      <c r="D59" s="20" t="str">
        <f t="shared" si="1"/>
        <v>3</v>
      </c>
      <c r="E59" s="2">
        <f>IF($A59="","",COUNTIFS(Assignments!$B$6:$B$305,$A59,Assignments!$E$6:$E$305,"Active"))</f>
        <v>0</v>
      </c>
      <c r="F59" s="2">
        <f>IF($A59="","",COUNTIFS(Assignments!$B$6:$B$305,$A59,Assignments!$D$6:$D$305,"&gt;="&amp;Config!$B$3-7,Assignments!$D$6:$D$305,"&lt;="&amp;Config!$B$3))</f>
        <v>0</v>
      </c>
      <c r="G59" s="2">
        <f>IF($A59="","",MAXIFS(Assignments!$D$6:$D$305,Assignments!$B$6:$B$305,$A59))</f>
        <v>0</v>
      </c>
      <c r="H59" s="29">
        <f>IF($A59="","",IF($G59="","",Config!$B$3-$G59))</f>
        <v>46071</v>
      </c>
      <c r="I59" s="2">
        <f t="shared" si="2"/>
        <v>0</v>
      </c>
      <c r="J59" s="2" t="str">
        <f>IF($A59="","",IFERROR(AVERAGEIFS(Assignments!$N$6:$N$1000,Assignments!$B$6:$B$1000,$A59,Assignments!$E$6:$E$1000,"Completed"),""))</f>
        <v/>
      </c>
      <c r="K59" s="2" t="str">
        <f>IF($A59="","",IFERROR(AVERAGEIFS(Assignments!$AO:$AO,Assignments!$B:$B,$A59,Assignments!$E:$E,"Completed"),""))</f>
        <v/>
      </c>
      <c r="L59" s="2">
        <f>IF($A59="","",IFERROR(COUNTIFS(Assignments!$B$6:$B$1000,$A59,Assignments!$E$6:$E$1000,"Cancelled")/MAX(1,COUNTIFS(Assignments!$B$6:$B$1000,$A59,Assignments!$E$6:$E$1000,"Completed")+COUNTIFS(Assignments!$B$6:$B$1000,$A59,Assignments!$E$6:$E$1000,"Cancelled")),""))</f>
        <v>0</v>
      </c>
      <c r="M59" s="2" t="str">
        <f>IF($A59="","",IFERROR(AVERAGEIFS(Assignments!$P$6:$P$1000,Assignments!$B$6:$B$1000,$A59,Assignments!$E$6:$E$1000,"Completed"),""))</f>
        <v/>
      </c>
      <c r="N59" s="20" t="s">
        <v>116</v>
      </c>
      <c r="O59" s="2"/>
      <c r="P59" s="1">
        <f>IF(A59="","",MAX(0,MIN(3,SUMIFS(Strike_Log!$C:$C,Strike_Log!$B:$B,A59,Strike_Log!$A:$A,"&gt;="&amp;IF(Config!$B$1004="Y",TODAY()-Config!$B$1005,DATE(1900,1,1)),Strike_Log!$I:$I,1))))</f>
        <v>0</v>
      </c>
      <c r="Q59" s="1">
        <f t="shared" si="3"/>
        <v>0</v>
      </c>
      <c r="R59" s="1" t="str">
        <f>IF(A59="","",IFERROR(AVERAGEIFS(Assignments!$J:$J,Assignments!$B:$B,A59,Assignments!$E:$E,"Completed"),""))</f>
        <v/>
      </c>
      <c r="S59" s="1">
        <f>IF(A59="","",COUNTIFS(Assignments!$B:$B,A59,Assignments!$AE:$AE, "Y",Assignments!$D:$D,"&gt;="&amp;TODAY()-30))</f>
        <v>0</v>
      </c>
      <c r="T59" s="1">
        <f>IF(A59="","",COUNTIFS(Assignments!$AF:$AF,A59,Assignments!$AE:$AE, "Y",Assignments!$D:$D,"&gt;="&amp;TODAY()-30))</f>
        <v>0</v>
      </c>
      <c r="U59" s="1">
        <f>IF(A59="","",IFERROR(S59/MAX(1,COUNTIFS(Assignments!$B:$B,A59,Assignments!$D:$D,"&gt;="&amp;TODAY()-30)),""))</f>
        <v>0</v>
      </c>
      <c r="V59" s="1">
        <f t="shared" si="4"/>
        <v>0</v>
      </c>
    </row>
    <row r="60" ht="15.75" customHeight="1">
      <c r="A60" s="20" t="s">
        <v>227</v>
      </c>
      <c r="B60" s="20" t="s">
        <v>228</v>
      </c>
      <c r="C60" s="20" t="s">
        <v>115</v>
      </c>
      <c r="D60" s="20" t="str">
        <f t="shared" si="1"/>
        <v>3</v>
      </c>
      <c r="E60" s="2">
        <f>IF($A60="","",COUNTIFS(Assignments!$B$6:$B$305,$A60,Assignments!$E$6:$E$305,"Active"))</f>
        <v>0</v>
      </c>
      <c r="F60" s="2">
        <f>IF($A60="","",COUNTIFS(Assignments!$B$6:$B$305,$A60,Assignments!$D$6:$D$305,"&gt;="&amp;Config!$B$3-7,Assignments!$D$6:$D$305,"&lt;="&amp;Config!$B$3))</f>
        <v>0</v>
      </c>
      <c r="G60" s="2">
        <f>IF($A60="","",MAXIFS(Assignments!$D$6:$D$305,Assignments!$B$6:$B$305,$A60))</f>
        <v>0</v>
      </c>
      <c r="H60" s="29">
        <f>IF($A60="","",IF($G60="","",Config!$B$3-$G60))</f>
        <v>46071</v>
      </c>
      <c r="I60" s="2">
        <f t="shared" si="2"/>
        <v>0</v>
      </c>
      <c r="J60" s="2" t="str">
        <f>IF($A60="","",IFERROR(AVERAGEIFS(Assignments!$N$6:$N$1000,Assignments!$B$6:$B$1000,$A60,Assignments!$E$6:$E$1000,"Completed"),""))</f>
        <v/>
      </c>
      <c r="K60" s="2" t="str">
        <f>IF($A60="","",IFERROR(AVERAGEIFS(Assignments!$AO:$AO,Assignments!$B:$B,$A60,Assignments!$E:$E,"Completed"),""))</f>
        <v/>
      </c>
      <c r="L60" s="2">
        <f>IF($A60="","",IFERROR(COUNTIFS(Assignments!$B$6:$B$1000,$A60,Assignments!$E$6:$E$1000,"Cancelled")/MAX(1,COUNTIFS(Assignments!$B$6:$B$1000,$A60,Assignments!$E$6:$E$1000,"Completed")+COUNTIFS(Assignments!$B$6:$B$1000,$A60,Assignments!$E$6:$E$1000,"Cancelled")),""))</f>
        <v>0</v>
      </c>
      <c r="M60" s="2" t="str">
        <f>IF($A60="","",IFERROR(AVERAGEIFS(Assignments!$P$6:$P$1000,Assignments!$B$6:$B$1000,$A60,Assignments!$E$6:$E$1000,"Completed"),""))</f>
        <v/>
      </c>
      <c r="N60" s="20" t="s">
        <v>116</v>
      </c>
      <c r="O60" s="2"/>
      <c r="P60" s="1">
        <f>IF(A60="","",MAX(0,MIN(3,SUMIFS(Strike_Log!$C:$C,Strike_Log!$B:$B,A60,Strike_Log!$A:$A,"&gt;="&amp;IF(Config!$B$1004="Y",TODAY()-Config!$B$1005,DATE(1900,1,1)),Strike_Log!$I:$I,1))))</f>
        <v>0</v>
      </c>
      <c r="Q60" s="1">
        <f t="shared" si="3"/>
        <v>0</v>
      </c>
      <c r="R60" s="1" t="str">
        <f>IF(A60="","",IFERROR(AVERAGEIFS(Assignments!$J:$J,Assignments!$B:$B,A60,Assignments!$E:$E,"Completed"),""))</f>
        <v/>
      </c>
      <c r="S60" s="1">
        <f>IF(A60="","",COUNTIFS(Assignments!$B:$B,A60,Assignments!$AE:$AE, "Y",Assignments!$D:$D,"&gt;="&amp;TODAY()-30))</f>
        <v>0</v>
      </c>
      <c r="T60" s="1">
        <f>IF(A60="","",COUNTIFS(Assignments!$AF:$AF,A60,Assignments!$AE:$AE, "Y",Assignments!$D:$D,"&gt;="&amp;TODAY()-30))</f>
        <v>0</v>
      </c>
      <c r="U60" s="1">
        <f>IF(A60="","",IFERROR(S60/MAX(1,COUNTIFS(Assignments!$B:$B,A60,Assignments!$D:$D,"&gt;="&amp;TODAY()-30)),""))</f>
        <v>0</v>
      </c>
      <c r="V60" s="1">
        <f t="shared" si="4"/>
        <v>0</v>
      </c>
    </row>
    <row r="61" ht="15.75" customHeight="1">
      <c r="A61" s="20" t="s">
        <v>229</v>
      </c>
      <c r="B61" s="20" t="s">
        <v>230</v>
      </c>
      <c r="C61" s="20" t="s">
        <v>115</v>
      </c>
      <c r="D61" s="20" t="str">
        <f t="shared" si="1"/>
        <v>3</v>
      </c>
      <c r="E61" s="2">
        <f>IF($A61="","",COUNTIFS(Assignments!$B$6:$B$305,$A61,Assignments!$E$6:$E$305,"Active"))</f>
        <v>0</v>
      </c>
      <c r="F61" s="2">
        <f>IF($A61="","",COUNTIFS(Assignments!$B$6:$B$305,$A61,Assignments!$D$6:$D$305,"&gt;="&amp;Config!$B$3-7,Assignments!$D$6:$D$305,"&lt;="&amp;Config!$B$3))</f>
        <v>0</v>
      </c>
      <c r="G61" s="2">
        <f>IF($A61="","",MAXIFS(Assignments!$D$6:$D$305,Assignments!$B$6:$B$305,$A61))</f>
        <v>0</v>
      </c>
      <c r="H61" s="29">
        <f>IF($A61="","",IF($G61="","",Config!$B$3-$G61))</f>
        <v>46071</v>
      </c>
      <c r="I61" s="2">
        <f t="shared" si="2"/>
        <v>0</v>
      </c>
      <c r="J61" s="2" t="str">
        <f>IF($A61="","",IFERROR(AVERAGEIFS(Assignments!$N$6:$N$1000,Assignments!$B$6:$B$1000,$A61,Assignments!$E$6:$E$1000,"Completed"),""))</f>
        <v/>
      </c>
      <c r="K61" s="2" t="str">
        <f>IF($A61="","",IFERROR(AVERAGEIFS(Assignments!$AO:$AO,Assignments!$B:$B,$A61,Assignments!$E:$E,"Completed"),""))</f>
        <v/>
      </c>
      <c r="L61" s="2">
        <f>IF($A61="","",IFERROR(COUNTIFS(Assignments!$B$6:$B$1000,$A61,Assignments!$E$6:$E$1000,"Cancelled")/MAX(1,COUNTIFS(Assignments!$B$6:$B$1000,$A61,Assignments!$E$6:$E$1000,"Completed")+COUNTIFS(Assignments!$B$6:$B$1000,$A61,Assignments!$E$6:$E$1000,"Cancelled")),""))</f>
        <v>0</v>
      </c>
      <c r="M61" s="2" t="str">
        <f>IF($A61="","",IFERROR(AVERAGEIFS(Assignments!$P$6:$P$1000,Assignments!$B$6:$B$1000,$A61,Assignments!$E$6:$E$1000,"Completed"),""))</f>
        <v/>
      </c>
      <c r="N61" s="20" t="s">
        <v>116</v>
      </c>
      <c r="O61" s="2"/>
      <c r="P61" s="1">
        <f>IF(A61="","",MAX(0,MIN(3,SUMIFS(Strike_Log!$C:$C,Strike_Log!$B:$B,A61,Strike_Log!$A:$A,"&gt;="&amp;IF(Config!$B$1004="Y",TODAY()-Config!$B$1005,DATE(1900,1,1)),Strike_Log!$I:$I,1))))</f>
        <v>0</v>
      </c>
      <c r="Q61" s="1">
        <f t="shared" si="3"/>
        <v>0</v>
      </c>
      <c r="R61" s="1" t="str">
        <f>IF(A61="","",IFERROR(AVERAGEIFS(Assignments!$J:$J,Assignments!$B:$B,A61,Assignments!$E:$E,"Completed"),""))</f>
        <v/>
      </c>
      <c r="S61" s="1">
        <f>IF(A61="","",COUNTIFS(Assignments!$B:$B,A61,Assignments!$AE:$AE, "Y",Assignments!$D:$D,"&gt;="&amp;TODAY()-30))</f>
        <v>0</v>
      </c>
      <c r="T61" s="1">
        <f>IF(A61="","",COUNTIFS(Assignments!$AF:$AF,A61,Assignments!$AE:$AE, "Y",Assignments!$D:$D,"&gt;="&amp;TODAY()-30))</f>
        <v>0</v>
      </c>
      <c r="U61" s="1">
        <f>IF(A61="","",IFERROR(S61/MAX(1,COUNTIFS(Assignments!$B:$B,A61,Assignments!$D:$D,"&gt;="&amp;TODAY()-30)),""))</f>
        <v>0</v>
      </c>
      <c r="V61" s="1">
        <f t="shared" si="4"/>
        <v>0</v>
      </c>
    </row>
    <row r="62" ht="15.75" customHeight="1">
      <c r="A62" s="20" t="s">
        <v>231</v>
      </c>
      <c r="B62" s="20" t="s">
        <v>232</v>
      </c>
      <c r="C62" s="20" t="s">
        <v>141</v>
      </c>
      <c r="D62" s="20" t="str">
        <f t="shared" si="1"/>
        <v>5</v>
      </c>
      <c r="E62" s="2">
        <f>IF($A62="","",COUNTIFS(Assignments!$B$6:$B$305,$A62,Assignments!$E$6:$E$305,"Active"))</f>
        <v>0</v>
      </c>
      <c r="F62" s="2">
        <f>IF($A62="","",COUNTIFS(Assignments!$B$6:$B$305,$A62,Assignments!$D$6:$D$305,"&gt;="&amp;Config!$B$3-7,Assignments!$D$6:$D$305,"&lt;="&amp;Config!$B$3))</f>
        <v>0</v>
      </c>
      <c r="G62" s="2">
        <f>IF($A62="","",MAXIFS(Assignments!$D$6:$D$305,Assignments!$B$6:$B$305,$A62))</f>
        <v>0</v>
      </c>
      <c r="H62" s="29">
        <f>IF($A62="","",IF($G62="","",Config!$B$3-$G62))</f>
        <v>46071</v>
      </c>
      <c r="I62" s="2">
        <f t="shared" si="2"/>
        <v>0</v>
      </c>
      <c r="J62" s="2" t="str">
        <f>IF($A62="","",IFERROR(AVERAGEIFS(Assignments!$N$6:$N$1000,Assignments!$B$6:$B$1000,$A62,Assignments!$E$6:$E$1000,"Completed"),""))</f>
        <v/>
      </c>
      <c r="K62" s="2" t="str">
        <f>IF($A62="","",IFERROR(AVERAGEIFS(Assignments!$AO:$AO,Assignments!$B:$B,$A62,Assignments!$E:$E,"Completed"),""))</f>
        <v/>
      </c>
      <c r="L62" s="2">
        <f>IF($A62="","",IFERROR(COUNTIFS(Assignments!$B$6:$B$1000,$A62,Assignments!$E$6:$E$1000,"Cancelled")/MAX(1,COUNTIFS(Assignments!$B$6:$B$1000,$A62,Assignments!$E$6:$E$1000,"Completed")+COUNTIFS(Assignments!$B$6:$B$1000,$A62,Assignments!$E$6:$E$1000,"Cancelled")),""))</f>
        <v>0</v>
      </c>
      <c r="M62" s="2" t="str">
        <f>IF($A62="","",IFERROR(AVERAGEIFS(Assignments!$P$6:$P$1000,Assignments!$B$6:$B$1000,$A62,Assignments!$E$6:$E$1000,"Completed"),""))</f>
        <v/>
      </c>
      <c r="N62" s="20" t="s">
        <v>116</v>
      </c>
      <c r="O62" s="2"/>
      <c r="P62" s="1">
        <f>IF(A62="","",MAX(0,MIN(3,SUMIFS(Strike_Log!$C:$C,Strike_Log!$B:$B,A62,Strike_Log!$A:$A,"&gt;="&amp;IF(Config!$B$1004="Y",TODAY()-Config!$B$1005,DATE(1900,1,1)),Strike_Log!$I:$I,1))))</f>
        <v>0</v>
      </c>
      <c r="Q62" s="1">
        <f t="shared" si="3"/>
        <v>0</v>
      </c>
      <c r="R62" s="1" t="str">
        <f>IF(A62="","",IFERROR(AVERAGEIFS(Assignments!$J:$J,Assignments!$B:$B,A62,Assignments!$E:$E,"Completed"),""))</f>
        <v/>
      </c>
      <c r="S62" s="1">
        <f>IF(A62="","",COUNTIFS(Assignments!$B:$B,A62,Assignments!$AE:$AE, "Y",Assignments!$D:$D,"&gt;="&amp;TODAY()-30))</f>
        <v>0</v>
      </c>
      <c r="T62" s="1">
        <f>IF(A62="","",COUNTIFS(Assignments!$AF:$AF,A62,Assignments!$AE:$AE, "Y",Assignments!$D:$D,"&gt;="&amp;TODAY()-30))</f>
        <v>0</v>
      </c>
      <c r="U62" s="1">
        <f>IF(A62="","",IFERROR(S62/MAX(1,COUNTIFS(Assignments!$B:$B,A62,Assignments!$D:$D,"&gt;="&amp;TODAY()-30)),""))</f>
        <v>0</v>
      </c>
      <c r="V62" s="1">
        <f t="shared" si="4"/>
        <v>0</v>
      </c>
    </row>
    <row r="63" ht="15.75" customHeight="1">
      <c r="A63" s="20" t="s">
        <v>233</v>
      </c>
      <c r="B63" s="20" t="s">
        <v>234</v>
      </c>
      <c r="C63" s="20" t="s">
        <v>115</v>
      </c>
      <c r="D63" s="20" t="str">
        <f t="shared" si="1"/>
        <v>3</v>
      </c>
      <c r="E63" s="2">
        <f>IF($A63="","",COUNTIFS(Assignments!$B$6:$B$305,$A63,Assignments!$E$6:$E$305,"Active"))</f>
        <v>0</v>
      </c>
      <c r="F63" s="2">
        <f>IF($A63="","",COUNTIFS(Assignments!$B$6:$B$305,$A63,Assignments!$D$6:$D$305,"&gt;="&amp;Config!$B$3-7,Assignments!$D$6:$D$305,"&lt;="&amp;Config!$B$3))</f>
        <v>0</v>
      </c>
      <c r="G63" s="2">
        <f>IF($A63="","",MAXIFS(Assignments!$D$6:$D$305,Assignments!$B$6:$B$305,$A63))</f>
        <v>0</v>
      </c>
      <c r="H63" s="29">
        <f>IF($A63="","",IF($G63="","",Config!$B$3-$G63))</f>
        <v>46071</v>
      </c>
      <c r="I63" s="2">
        <f t="shared" si="2"/>
        <v>0</v>
      </c>
      <c r="J63" s="2" t="str">
        <f>IF($A63="","",IFERROR(AVERAGEIFS(Assignments!$N$6:$N$1000,Assignments!$B$6:$B$1000,$A63,Assignments!$E$6:$E$1000,"Completed"),""))</f>
        <v/>
      </c>
      <c r="K63" s="2" t="str">
        <f>IF($A63="","",IFERROR(AVERAGEIFS(Assignments!$AO:$AO,Assignments!$B:$B,$A63,Assignments!$E:$E,"Completed"),""))</f>
        <v/>
      </c>
      <c r="L63" s="2">
        <f>IF($A63="","",IFERROR(COUNTIFS(Assignments!$B$6:$B$1000,$A63,Assignments!$E$6:$E$1000,"Cancelled")/MAX(1,COUNTIFS(Assignments!$B$6:$B$1000,$A63,Assignments!$E$6:$E$1000,"Completed")+COUNTIFS(Assignments!$B$6:$B$1000,$A63,Assignments!$E$6:$E$1000,"Cancelled")),""))</f>
        <v>0</v>
      </c>
      <c r="M63" s="2" t="str">
        <f>IF($A63="","",IFERROR(AVERAGEIFS(Assignments!$P$6:$P$1000,Assignments!$B$6:$B$1000,$A63,Assignments!$E$6:$E$1000,"Completed"),""))</f>
        <v/>
      </c>
      <c r="N63" s="20" t="s">
        <v>116</v>
      </c>
      <c r="O63" s="2"/>
      <c r="P63" s="1">
        <f>IF(A63="","",MAX(0,MIN(3,SUMIFS(Strike_Log!$C:$C,Strike_Log!$B:$B,A63,Strike_Log!$A:$A,"&gt;="&amp;IF(Config!$B$1004="Y",TODAY()-Config!$B$1005,DATE(1900,1,1)),Strike_Log!$I:$I,1))))</f>
        <v>0</v>
      </c>
      <c r="Q63" s="1">
        <f t="shared" si="3"/>
        <v>0</v>
      </c>
      <c r="R63" s="1" t="str">
        <f>IF(A63="","",IFERROR(AVERAGEIFS(Assignments!$J:$J,Assignments!$B:$B,A63,Assignments!$E:$E,"Completed"),""))</f>
        <v/>
      </c>
      <c r="S63" s="1">
        <f>IF(A63="","",COUNTIFS(Assignments!$B:$B,A63,Assignments!$AE:$AE, "Y",Assignments!$D:$D,"&gt;="&amp;TODAY()-30))</f>
        <v>0</v>
      </c>
      <c r="T63" s="1">
        <f>IF(A63="","",COUNTIFS(Assignments!$AF:$AF,A63,Assignments!$AE:$AE, "Y",Assignments!$D:$D,"&gt;="&amp;TODAY()-30))</f>
        <v>0</v>
      </c>
      <c r="U63" s="1">
        <f>IF(A63="","",IFERROR(S63/MAX(1,COUNTIFS(Assignments!$B:$B,A63,Assignments!$D:$D,"&gt;="&amp;TODAY()-30)),""))</f>
        <v>0</v>
      </c>
      <c r="V63" s="1">
        <f t="shared" si="4"/>
        <v>0</v>
      </c>
    </row>
    <row r="64" ht="15.75" customHeight="1">
      <c r="A64" s="20" t="s">
        <v>235</v>
      </c>
      <c r="B64" s="20" t="s">
        <v>236</v>
      </c>
      <c r="C64" s="20" t="s">
        <v>115</v>
      </c>
      <c r="D64" s="20" t="str">
        <f t="shared" si="1"/>
        <v>3</v>
      </c>
      <c r="E64" s="2">
        <f>IF($A64="","",COUNTIFS(Assignments!$B$6:$B$305,$A64,Assignments!$E$6:$E$305,"Active"))</f>
        <v>0</v>
      </c>
      <c r="F64" s="2">
        <f>IF($A64="","",COUNTIFS(Assignments!$B$6:$B$305,$A64,Assignments!$D$6:$D$305,"&gt;="&amp;Config!$B$3-7,Assignments!$D$6:$D$305,"&lt;="&amp;Config!$B$3))</f>
        <v>0</v>
      </c>
      <c r="G64" s="2">
        <f>IF($A64="","",MAXIFS(Assignments!$D$6:$D$305,Assignments!$B$6:$B$305,$A64))</f>
        <v>0</v>
      </c>
      <c r="H64" s="29">
        <f>IF($A64="","",IF($G64="","",Config!$B$3-$G64))</f>
        <v>46071</v>
      </c>
      <c r="I64" s="2">
        <f t="shared" si="2"/>
        <v>0</v>
      </c>
      <c r="J64" s="2" t="str">
        <f>IF($A64="","",IFERROR(AVERAGEIFS(Assignments!$N$6:$N$1000,Assignments!$B$6:$B$1000,$A64,Assignments!$E$6:$E$1000,"Completed"),""))</f>
        <v/>
      </c>
      <c r="K64" s="2" t="str">
        <f>IF($A64="","",IFERROR(AVERAGEIFS(Assignments!$AO:$AO,Assignments!$B:$B,$A64,Assignments!$E:$E,"Completed"),""))</f>
        <v/>
      </c>
      <c r="L64" s="2">
        <f>IF($A64="","",IFERROR(COUNTIFS(Assignments!$B$6:$B$1000,$A64,Assignments!$E$6:$E$1000,"Cancelled")/MAX(1,COUNTIFS(Assignments!$B$6:$B$1000,$A64,Assignments!$E$6:$E$1000,"Completed")+COUNTIFS(Assignments!$B$6:$B$1000,$A64,Assignments!$E$6:$E$1000,"Cancelled")),""))</f>
        <v>0</v>
      </c>
      <c r="M64" s="2" t="str">
        <f>IF($A64="","",IFERROR(AVERAGEIFS(Assignments!$P$6:$P$1000,Assignments!$B$6:$B$1000,$A64,Assignments!$E$6:$E$1000,"Completed"),""))</f>
        <v/>
      </c>
      <c r="N64" s="20" t="s">
        <v>116</v>
      </c>
      <c r="O64" s="2"/>
      <c r="P64" s="1">
        <f>IF(A64="","",MAX(0,MIN(3,SUMIFS(Strike_Log!$C:$C,Strike_Log!$B:$B,A64,Strike_Log!$A:$A,"&gt;="&amp;IF(Config!$B$1004="Y",TODAY()-Config!$B$1005,DATE(1900,1,1)),Strike_Log!$I:$I,1))))</f>
        <v>0</v>
      </c>
      <c r="Q64" s="1">
        <f t="shared" si="3"/>
        <v>0</v>
      </c>
      <c r="R64" s="1" t="str">
        <f>IF(A64="","",IFERROR(AVERAGEIFS(Assignments!$J:$J,Assignments!$B:$B,A64,Assignments!$E:$E,"Completed"),""))</f>
        <v/>
      </c>
      <c r="S64" s="1">
        <f>IF(A64="","",COUNTIFS(Assignments!$B:$B,A64,Assignments!$AE:$AE, "Y",Assignments!$D:$D,"&gt;="&amp;TODAY()-30))</f>
        <v>0</v>
      </c>
      <c r="T64" s="1">
        <f>IF(A64="","",COUNTIFS(Assignments!$AF:$AF,A64,Assignments!$AE:$AE, "Y",Assignments!$D:$D,"&gt;="&amp;TODAY()-30))</f>
        <v>0</v>
      </c>
      <c r="U64" s="1">
        <f>IF(A64="","",IFERROR(S64/MAX(1,COUNTIFS(Assignments!$B:$B,A64,Assignments!$D:$D,"&gt;="&amp;TODAY()-30)),""))</f>
        <v>0</v>
      </c>
      <c r="V64" s="1">
        <f t="shared" si="4"/>
        <v>0</v>
      </c>
    </row>
    <row r="65" ht="15.75" customHeight="1">
      <c r="A65" s="20" t="s">
        <v>237</v>
      </c>
      <c r="B65" s="20" t="s">
        <v>238</v>
      </c>
      <c r="C65" s="20" t="s">
        <v>115</v>
      </c>
      <c r="D65" s="20" t="str">
        <f t="shared" si="1"/>
        <v>3</v>
      </c>
      <c r="E65" s="2">
        <f>IF($A65="","",COUNTIFS(Assignments!$B$6:$B$305,$A65,Assignments!$E$6:$E$305,"Active"))</f>
        <v>0</v>
      </c>
      <c r="F65" s="2">
        <f>IF($A65="","",COUNTIFS(Assignments!$B$6:$B$305,$A65,Assignments!$D$6:$D$305,"&gt;="&amp;Config!$B$3-7,Assignments!$D$6:$D$305,"&lt;="&amp;Config!$B$3))</f>
        <v>0</v>
      </c>
      <c r="G65" s="2">
        <f>IF($A65="","",MAXIFS(Assignments!$D$6:$D$305,Assignments!$B$6:$B$305,$A65))</f>
        <v>0</v>
      </c>
      <c r="H65" s="29">
        <f>IF($A65="","",IF($G65="","",Config!$B$3-$G65))</f>
        <v>46071</v>
      </c>
      <c r="I65" s="2">
        <f t="shared" si="2"/>
        <v>0</v>
      </c>
      <c r="J65" s="2" t="str">
        <f>IF($A65="","",IFERROR(AVERAGEIFS(Assignments!$N$6:$N$1000,Assignments!$B$6:$B$1000,$A65,Assignments!$E$6:$E$1000,"Completed"),""))</f>
        <v/>
      </c>
      <c r="K65" s="2" t="str">
        <f>IF($A65="","",IFERROR(AVERAGEIFS(Assignments!$AO:$AO,Assignments!$B:$B,$A65,Assignments!$E:$E,"Completed"),""))</f>
        <v/>
      </c>
      <c r="L65" s="2">
        <f>IF($A65="","",IFERROR(COUNTIFS(Assignments!$B$6:$B$1000,$A65,Assignments!$E$6:$E$1000,"Cancelled")/MAX(1,COUNTIFS(Assignments!$B$6:$B$1000,$A65,Assignments!$E$6:$E$1000,"Completed")+COUNTIFS(Assignments!$B$6:$B$1000,$A65,Assignments!$E$6:$E$1000,"Cancelled")),""))</f>
        <v>0</v>
      </c>
      <c r="M65" s="2" t="str">
        <f>IF($A65="","",IFERROR(AVERAGEIFS(Assignments!$P$6:$P$1000,Assignments!$B$6:$B$1000,$A65,Assignments!$E$6:$E$1000,"Completed"),""))</f>
        <v/>
      </c>
      <c r="N65" s="20" t="s">
        <v>116</v>
      </c>
      <c r="O65" s="2"/>
      <c r="P65" s="1">
        <f>IF(A65="","",MAX(0,MIN(3,SUMIFS(Strike_Log!$C:$C,Strike_Log!$B:$B,A65,Strike_Log!$A:$A,"&gt;="&amp;IF(Config!$B$1004="Y",TODAY()-Config!$B$1005,DATE(1900,1,1)),Strike_Log!$I:$I,1))))</f>
        <v>0</v>
      </c>
      <c r="Q65" s="1">
        <f t="shared" si="3"/>
        <v>0</v>
      </c>
      <c r="R65" s="1" t="str">
        <f>IF(A65="","",IFERROR(AVERAGEIFS(Assignments!$J:$J,Assignments!$B:$B,A65,Assignments!$E:$E,"Completed"),""))</f>
        <v/>
      </c>
      <c r="S65" s="1">
        <f>IF(A65="","",COUNTIFS(Assignments!$B:$B,A65,Assignments!$AE:$AE, "Y",Assignments!$D:$D,"&gt;="&amp;TODAY()-30))</f>
        <v>0</v>
      </c>
      <c r="T65" s="1">
        <f>IF(A65="","",COUNTIFS(Assignments!$AF:$AF,A65,Assignments!$AE:$AE, "Y",Assignments!$D:$D,"&gt;="&amp;TODAY()-30))</f>
        <v>0</v>
      </c>
      <c r="U65" s="1">
        <f>IF(A65="","",IFERROR(S65/MAX(1,COUNTIFS(Assignments!$B:$B,A65,Assignments!$D:$D,"&gt;="&amp;TODAY()-30)),""))</f>
        <v>0</v>
      </c>
      <c r="V65" s="1">
        <f t="shared" si="4"/>
        <v>0</v>
      </c>
    </row>
    <row r="66" ht="15.75" customHeight="1">
      <c r="A66" s="20" t="s">
        <v>239</v>
      </c>
      <c r="B66" s="20" t="s">
        <v>240</v>
      </c>
      <c r="C66" s="20" t="s">
        <v>115</v>
      </c>
      <c r="D66" s="20" t="str">
        <f t="shared" si="1"/>
        <v>3</v>
      </c>
      <c r="E66" s="2">
        <f>IF($A66="","",COUNTIFS(Assignments!$B$6:$B$305,$A66,Assignments!$E$6:$E$305,"Active"))</f>
        <v>0</v>
      </c>
      <c r="F66" s="2">
        <f>IF($A66="","",COUNTIFS(Assignments!$B$6:$B$305,$A66,Assignments!$D$6:$D$305,"&gt;="&amp;Config!$B$3-7,Assignments!$D$6:$D$305,"&lt;="&amp;Config!$B$3))</f>
        <v>0</v>
      </c>
      <c r="G66" s="2">
        <f>IF($A66="","",MAXIFS(Assignments!$D$6:$D$305,Assignments!$B$6:$B$305,$A66))</f>
        <v>0</v>
      </c>
      <c r="H66" s="29">
        <f>IF($A66="","",IF($G66="","",Config!$B$3-$G66))</f>
        <v>46071</v>
      </c>
      <c r="I66" s="2">
        <f t="shared" si="2"/>
        <v>0</v>
      </c>
      <c r="J66" s="2" t="str">
        <f>IF($A66="","",IFERROR(AVERAGEIFS(Assignments!$N$6:$N$1000,Assignments!$B$6:$B$1000,$A66,Assignments!$E$6:$E$1000,"Completed"),""))</f>
        <v/>
      </c>
      <c r="K66" s="2" t="str">
        <f>IF($A66="","",IFERROR(AVERAGEIFS(Assignments!$AO:$AO,Assignments!$B:$B,$A66,Assignments!$E:$E,"Completed"),""))</f>
        <v/>
      </c>
      <c r="L66" s="2">
        <f>IF($A66="","",IFERROR(COUNTIFS(Assignments!$B$6:$B$1000,$A66,Assignments!$E$6:$E$1000,"Cancelled")/MAX(1,COUNTIFS(Assignments!$B$6:$B$1000,$A66,Assignments!$E$6:$E$1000,"Completed")+COUNTIFS(Assignments!$B$6:$B$1000,$A66,Assignments!$E$6:$E$1000,"Cancelled")),""))</f>
        <v>0</v>
      </c>
      <c r="M66" s="2" t="str">
        <f>IF($A66="","",IFERROR(AVERAGEIFS(Assignments!$P$6:$P$1000,Assignments!$B$6:$B$1000,$A66,Assignments!$E$6:$E$1000,"Completed"),""))</f>
        <v/>
      </c>
      <c r="N66" s="20" t="s">
        <v>116</v>
      </c>
      <c r="O66" s="2"/>
      <c r="P66" s="1">
        <f>IF(A66="","",MAX(0,MIN(3,SUMIFS(Strike_Log!$C:$C,Strike_Log!$B:$B,A66,Strike_Log!$A:$A,"&gt;="&amp;IF(Config!$B$1004="Y",TODAY()-Config!$B$1005,DATE(1900,1,1)),Strike_Log!$I:$I,1))))</f>
        <v>0</v>
      </c>
      <c r="Q66" s="1">
        <f t="shared" si="3"/>
        <v>0</v>
      </c>
      <c r="R66" s="1" t="str">
        <f>IF(A66="","",IFERROR(AVERAGEIFS(Assignments!$J:$J,Assignments!$B:$B,A66,Assignments!$E:$E,"Completed"),""))</f>
        <v/>
      </c>
      <c r="S66" s="1">
        <f>IF(A66="","",COUNTIFS(Assignments!$B:$B,A66,Assignments!$AE:$AE, "Y",Assignments!$D:$D,"&gt;="&amp;TODAY()-30))</f>
        <v>0</v>
      </c>
      <c r="T66" s="1">
        <f>IF(A66="","",COUNTIFS(Assignments!$AF:$AF,A66,Assignments!$AE:$AE, "Y",Assignments!$D:$D,"&gt;="&amp;TODAY()-30))</f>
        <v>0</v>
      </c>
      <c r="U66" s="1">
        <f>IF(A66="","",IFERROR(S66/MAX(1,COUNTIFS(Assignments!$B:$B,A66,Assignments!$D:$D,"&gt;="&amp;TODAY()-30)),""))</f>
        <v>0</v>
      </c>
      <c r="V66" s="1">
        <f t="shared" si="4"/>
        <v>0</v>
      </c>
    </row>
    <row r="67" ht="15.75" customHeight="1">
      <c r="A67" s="20" t="s">
        <v>241</v>
      </c>
      <c r="B67" s="20" t="s">
        <v>242</v>
      </c>
      <c r="C67" s="20" t="s">
        <v>115</v>
      </c>
      <c r="D67" s="20" t="str">
        <f t="shared" si="1"/>
        <v>3</v>
      </c>
      <c r="E67" s="2">
        <f>IF($A67="","",COUNTIFS(Assignments!$B$6:$B$305,$A67,Assignments!$E$6:$E$305,"Active"))</f>
        <v>0</v>
      </c>
      <c r="F67" s="2">
        <f>IF($A67="","",COUNTIFS(Assignments!$B$6:$B$305,$A67,Assignments!$D$6:$D$305,"&gt;="&amp;Config!$B$3-7,Assignments!$D$6:$D$305,"&lt;="&amp;Config!$B$3))</f>
        <v>0</v>
      </c>
      <c r="G67" s="2">
        <f>IF($A67="","",MAXIFS(Assignments!$D$6:$D$305,Assignments!$B$6:$B$305,$A67))</f>
        <v>0</v>
      </c>
      <c r="H67" s="29">
        <f>IF($A67="","",IF($G67="","",Config!$B$3-$G67))</f>
        <v>46071</v>
      </c>
      <c r="I67" s="2">
        <f t="shared" si="2"/>
        <v>0</v>
      </c>
      <c r="J67" s="2" t="str">
        <f>IF($A67="","",IFERROR(AVERAGEIFS(Assignments!$N$6:$N$1000,Assignments!$B$6:$B$1000,$A67,Assignments!$E$6:$E$1000,"Completed"),""))</f>
        <v/>
      </c>
      <c r="K67" s="2" t="str">
        <f>IF($A67="","",IFERROR(AVERAGEIFS(Assignments!$AO:$AO,Assignments!$B:$B,$A67,Assignments!$E:$E,"Completed"),""))</f>
        <v/>
      </c>
      <c r="L67" s="2">
        <f>IF($A67="","",IFERROR(COUNTIFS(Assignments!$B$6:$B$1000,$A67,Assignments!$E$6:$E$1000,"Cancelled")/MAX(1,COUNTIFS(Assignments!$B$6:$B$1000,$A67,Assignments!$E$6:$E$1000,"Completed")+COUNTIFS(Assignments!$B$6:$B$1000,$A67,Assignments!$E$6:$E$1000,"Cancelled")),""))</f>
        <v>0</v>
      </c>
      <c r="M67" s="2" t="str">
        <f>IF($A67="","",IFERROR(AVERAGEIFS(Assignments!$P$6:$P$1000,Assignments!$B$6:$B$1000,$A67,Assignments!$E$6:$E$1000,"Completed"),""))</f>
        <v/>
      </c>
      <c r="N67" s="20" t="s">
        <v>116</v>
      </c>
      <c r="O67" s="2"/>
      <c r="P67" s="1">
        <f>IF(A67="","",MAX(0,MIN(3,SUMIFS(Strike_Log!$C:$C,Strike_Log!$B:$B,A67,Strike_Log!$A:$A,"&gt;="&amp;IF(Config!$B$1004="Y",TODAY()-Config!$B$1005,DATE(1900,1,1)),Strike_Log!$I:$I,1))))</f>
        <v>0</v>
      </c>
      <c r="Q67" s="1">
        <f t="shared" si="3"/>
        <v>0</v>
      </c>
      <c r="R67" s="1" t="str">
        <f>IF(A67="","",IFERROR(AVERAGEIFS(Assignments!$J:$J,Assignments!$B:$B,A67,Assignments!$E:$E,"Completed"),""))</f>
        <v/>
      </c>
      <c r="S67" s="1">
        <f>IF(A67="","",COUNTIFS(Assignments!$B:$B,A67,Assignments!$AE:$AE, "Y",Assignments!$D:$D,"&gt;="&amp;TODAY()-30))</f>
        <v>0</v>
      </c>
      <c r="T67" s="1">
        <f>IF(A67="","",COUNTIFS(Assignments!$AF:$AF,A67,Assignments!$AE:$AE, "Y",Assignments!$D:$D,"&gt;="&amp;TODAY()-30))</f>
        <v>0</v>
      </c>
      <c r="U67" s="1">
        <f>IF(A67="","",IFERROR(S67/MAX(1,COUNTIFS(Assignments!$B:$B,A67,Assignments!$D:$D,"&gt;="&amp;TODAY()-30)),""))</f>
        <v>0</v>
      </c>
      <c r="V67" s="1">
        <f t="shared" si="4"/>
        <v>0</v>
      </c>
    </row>
    <row r="68" ht="15.75" customHeight="1">
      <c r="A68" s="20" t="s">
        <v>243</v>
      </c>
      <c r="B68" s="20" t="s">
        <v>244</v>
      </c>
      <c r="C68" s="20" t="s">
        <v>115</v>
      </c>
      <c r="D68" s="20" t="str">
        <f t="shared" si="1"/>
        <v>3</v>
      </c>
      <c r="E68" s="2">
        <f>IF($A68="","",COUNTIFS(Assignments!$B$6:$B$305,$A68,Assignments!$E$6:$E$305,"Active"))</f>
        <v>0</v>
      </c>
      <c r="F68" s="2">
        <f>IF($A68="","",COUNTIFS(Assignments!$B$6:$B$305,$A68,Assignments!$D$6:$D$305,"&gt;="&amp;Config!$B$3-7,Assignments!$D$6:$D$305,"&lt;="&amp;Config!$B$3))</f>
        <v>0</v>
      </c>
      <c r="G68" s="2">
        <f>IF($A68="","",MAXIFS(Assignments!$D$6:$D$305,Assignments!$B$6:$B$305,$A68))</f>
        <v>0</v>
      </c>
      <c r="H68" s="29">
        <f>IF($A68="","",IF($G68="","",Config!$B$3-$G68))</f>
        <v>46071</v>
      </c>
      <c r="I68" s="2">
        <f t="shared" si="2"/>
        <v>0</v>
      </c>
      <c r="J68" s="2" t="str">
        <f>IF($A68="","",IFERROR(AVERAGEIFS(Assignments!$N$6:$N$1000,Assignments!$B$6:$B$1000,$A68,Assignments!$E$6:$E$1000,"Completed"),""))</f>
        <v/>
      </c>
      <c r="K68" s="2" t="str">
        <f>IF($A68="","",IFERROR(AVERAGEIFS(Assignments!$AO:$AO,Assignments!$B:$B,$A68,Assignments!$E:$E,"Completed"),""))</f>
        <v/>
      </c>
      <c r="L68" s="2">
        <f>IF($A68="","",IFERROR(COUNTIFS(Assignments!$B$6:$B$1000,$A68,Assignments!$E$6:$E$1000,"Cancelled")/MAX(1,COUNTIFS(Assignments!$B$6:$B$1000,$A68,Assignments!$E$6:$E$1000,"Completed")+COUNTIFS(Assignments!$B$6:$B$1000,$A68,Assignments!$E$6:$E$1000,"Cancelled")),""))</f>
        <v>0</v>
      </c>
      <c r="M68" s="2" t="str">
        <f>IF($A68="","",IFERROR(AVERAGEIFS(Assignments!$P$6:$P$1000,Assignments!$B$6:$B$1000,$A68,Assignments!$E$6:$E$1000,"Completed"),""))</f>
        <v/>
      </c>
      <c r="N68" s="20" t="s">
        <v>116</v>
      </c>
      <c r="O68" s="2"/>
      <c r="P68" s="1">
        <f>IF(A68="","",MAX(0,MIN(3,SUMIFS(Strike_Log!$C:$C,Strike_Log!$B:$B,A68,Strike_Log!$A:$A,"&gt;="&amp;IF(Config!$B$1004="Y",TODAY()-Config!$B$1005,DATE(1900,1,1)),Strike_Log!$I:$I,1))))</f>
        <v>0</v>
      </c>
      <c r="Q68" s="1">
        <f t="shared" si="3"/>
        <v>0</v>
      </c>
      <c r="R68" s="1" t="str">
        <f>IF(A68="","",IFERROR(AVERAGEIFS(Assignments!$J:$J,Assignments!$B:$B,A68,Assignments!$E:$E,"Completed"),""))</f>
        <v/>
      </c>
      <c r="S68" s="1">
        <f>IF(A68="","",COUNTIFS(Assignments!$B:$B,A68,Assignments!$AE:$AE, "Y",Assignments!$D:$D,"&gt;="&amp;TODAY()-30))</f>
        <v>0</v>
      </c>
      <c r="T68" s="1">
        <f>IF(A68="","",COUNTIFS(Assignments!$AF:$AF,A68,Assignments!$AE:$AE, "Y",Assignments!$D:$D,"&gt;="&amp;TODAY()-30))</f>
        <v>0</v>
      </c>
      <c r="U68" s="1">
        <f>IF(A68="","",IFERROR(S68/MAX(1,COUNTIFS(Assignments!$B:$B,A68,Assignments!$D:$D,"&gt;="&amp;TODAY()-30)),""))</f>
        <v>0</v>
      </c>
      <c r="V68" s="1">
        <f t="shared" si="4"/>
        <v>0</v>
      </c>
    </row>
    <row r="69" ht="15.75" customHeight="1">
      <c r="A69" s="20" t="s">
        <v>245</v>
      </c>
      <c r="B69" s="20" t="s">
        <v>246</v>
      </c>
      <c r="C69" s="20" t="s">
        <v>115</v>
      </c>
      <c r="D69" s="20" t="str">
        <f t="shared" si="1"/>
        <v>3</v>
      </c>
      <c r="E69" s="2">
        <f>IF($A69="","",COUNTIFS(Assignments!$B$6:$B$305,$A69,Assignments!$E$6:$E$305,"Active"))</f>
        <v>0</v>
      </c>
      <c r="F69" s="2">
        <f>IF($A69="","",COUNTIFS(Assignments!$B$6:$B$305,$A69,Assignments!$D$6:$D$305,"&gt;="&amp;Config!$B$3-7,Assignments!$D$6:$D$305,"&lt;="&amp;Config!$B$3))</f>
        <v>0</v>
      </c>
      <c r="G69" s="2">
        <f>IF($A69="","",MAXIFS(Assignments!$D$6:$D$305,Assignments!$B$6:$B$305,$A69))</f>
        <v>0</v>
      </c>
      <c r="H69" s="29">
        <f>IF($A69="","",IF($G69="","",Config!$B$3-$G69))</f>
        <v>46071</v>
      </c>
      <c r="I69" s="2">
        <f t="shared" si="2"/>
        <v>0</v>
      </c>
      <c r="J69" s="2" t="str">
        <f>IF($A69="","",IFERROR(AVERAGEIFS(Assignments!$N$6:$N$1000,Assignments!$B$6:$B$1000,$A69,Assignments!$E$6:$E$1000,"Completed"),""))</f>
        <v/>
      </c>
      <c r="K69" s="2" t="str">
        <f>IF($A69="","",IFERROR(AVERAGEIFS(Assignments!$AO:$AO,Assignments!$B:$B,$A69,Assignments!$E:$E,"Completed"),""))</f>
        <v/>
      </c>
      <c r="L69" s="2">
        <f>IF($A69="","",IFERROR(COUNTIFS(Assignments!$B$6:$B$1000,$A69,Assignments!$E$6:$E$1000,"Cancelled")/MAX(1,COUNTIFS(Assignments!$B$6:$B$1000,$A69,Assignments!$E$6:$E$1000,"Completed")+COUNTIFS(Assignments!$B$6:$B$1000,$A69,Assignments!$E$6:$E$1000,"Cancelled")),""))</f>
        <v>0</v>
      </c>
      <c r="M69" s="2" t="str">
        <f>IF($A69="","",IFERROR(AVERAGEIFS(Assignments!$P$6:$P$1000,Assignments!$B$6:$B$1000,$A69,Assignments!$E$6:$E$1000,"Completed"),""))</f>
        <v/>
      </c>
      <c r="N69" s="20" t="s">
        <v>116</v>
      </c>
      <c r="O69" s="2"/>
      <c r="P69" s="1">
        <f>IF(A69="","",MAX(0,MIN(3,SUMIFS(Strike_Log!$C:$C,Strike_Log!$B:$B,A69,Strike_Log!$A:$A,"&gt;="&amp;IF(Config!$B$1004="Y",TODAY()-Config!$B$1005,DATE(1900,1,1)),Strike_Log!$I:$I,1))))</f>
        <v>0</v>
      </c>
      <c r="Q69" s="1">
        <f t="shared" si="3"/>
        <v>0</v>
      </c>
      <c r="R69" s="1" t="str">
        <f>IF(A69="","",IFERROR(AVERAGEIFS(Assignments!$J:$J,Assignments!$B:$B,A69,Assignments!$E:$E,"Completed"),""))</f>
        <v/>
      </c>
      <c r="S69" s="1">
        <f>IF(A69="","",COUNTIFS(Assignments!$B:$B,A69,Assignments!$AE:$AE, "Y",Assignments!$D:$D,"&gt;="&amp;TODAY()-30))</f>
        <v>0</v>
      </c>
      <c r="T69" s="1">
        <f>IF(A69="","",COUNTIFS(Assignments!$AF:$AF,A69,Assignments!$AE:$AE, "Y",Assignments!$D:$D,"&gt;="&amp;TODAY()-30))</f>
        <v>0</v>
      </c>
      <c r="U69" s="1">
        <f>IF(A69="","",IFERROR(S69/MAX(1,COUNTIFS(Assignments!$B:$B,A69,Assignments!$D:$D,"&gt;="&amp;TODAY()-30)),""))</f>
        <v>0</v>
      </c>
      <c r="V69" s="1">
        <f t="shared" si="4"/>
        <v>0</v>
      </c>
    </row>
    <row r="70" ht="15.75" customHeight="1">
      <c r="A70" s="20" t="s">
        <v>247</v>
      </c>
      <c r="B70" s="20" t="s">
        <v>248</v>
      </c>
      <c r="C70" s="20" t="s">
        <v>115</v>
      </c>
      <c r="D70" s="20" t="str">
        <f t="shared" si="1"/>
        <v>3</v>
      </c>
      <c r="E70" s="2">
        <f>IF($A70="","",COUNTIFS(Assignments!$B$6:$B$305,$A70,Assignments!$E$6:$E$305,"Active"))</f>
        <v>0</v>
      </c>
      <c r="F70" s="2">
        <f>IF($A70="","",COUNTIFS(Assignments!$B$6:$B$305,$A70,Assignments!$D$6:$D$305,"&gt;="&amp;Config!$B$3-7,Assignments!$D$6:$D$305,"&lt;="&amp;Config!$B$3))</f>
        <v>0</v>
      </c>
      <c r="G70" s="2">
        <f>IF($A70="","",MAXIFS(Assignments!$D$6:$D$305,Assignments!$B$6:$B$305,$A70))</f>
        <v>0</v>
      </c>
      <c r="H70" s="29">
        <f>IF($A70="","",IF($G70="","",Config!$B$3-$G70))</f>
        <v>46071</v>
      </c>
      <c r="I70" s="2">
        <f t="shared" si="2"/>
        <v>0</v>
      </c>
      <c r="J70" s="2" t="str">
        <f>IF($A70="","",IFERROR(AVERAGEIFS(Assignments!$N$6:$N$1000,Assignments!$B$6:$B$1000,$A70,Assignments!$E$6:$E$1000,"Completed"),""))</f>
        <v/>
      </c>
      <c r="K70" s="2" t="str">
        <f>IF($A70="","",IFERROR(AVERAGEIFS(Assignments!$AO:$AO,Assignments!$B:$B,$A70,Assignments!$E:$E,"Completed"),""))</f>
        <v/>
      </c>
      <c r="L70" s="2">
        <f>IF($A70="","",IFERROR(COUNTIFS(Assignments!$B$6:$B$1000,$A70,Assignments!$E$6:$E$1000,"Cancelled")/MAX(1,COUNTIFS(Assignments!$B$6:$B$1000,$A70,Assignments!$E$6:$E$1000,"Completed")+COUNTIFS(Assignments!$B$6:$B$1000,$A70,Assignments!$E$6:$E$1000,"Cancelled")),""))</f>
        <v>0</v>
      </c>
      <c r="M70" s="2" t="str">
        <f>IF($A70="","",IFERROR(AVERAGEIFS(Assignments!$P$6:$P$1000,Assignments!$B$6:$B$1000,$A70,Assignments!$E$6:$E$1000,"Completed"),""))</f>
        <v/>
      </c>
      <c r="N70" s="20" t="s">
        <v>116</v>
      </c>
      <c r="O70" s="2"/>
      <c r="P70" s="1">
        <f>IF(A70="","",MAX(0,MIN(3,SUMIFS(Strike_Log!$C:$C,Strike_Log!$B:$B,A70,Strike_Log!$A:$A,"&gt;="&amp;IF(Config!$B$1004="Y",TODAY()-Config!$B$1005,DATE(1900,1,1)),Strike_Log!$I:$I,1))))</f>
        <v>0</v>
      </c>
      <c r="Q70" s="1">
        <f t="shared" si="3"/>
        <v>0</v>
      </c>
      <c r="R70" s="1" t="str">
        <f>IF(A70="","",IFERROR(AVERAGEIFS(Assignments!$J:$J,Assignments!$B:$B,A70,Assignments!$E:$E,"Completed"),""))</f>
        <v/>
      </c>
      <c r="S70" s="1">
        <f>IF(A70="","",COUNTIFS(Assignments!$B:$B,A70,Assignments!$AE:$AE, "Y",Assignments!$D:$D,"&gt;="&amp;TODAY()-30))</f>
        <v>0</v>
      </c>
      <c r="T70" s="1">
        <f>IF(A70="","",COUNTIFS(Assignments!$AF:$AF,A70,Assignments!$AE:$AE, "Y",Assignments!$D:$D,"&gt;="&amp;TODAY()-30))</f>
        <v>0</v>
      </c>
      <c r="U70" s="1">
        <f>IF(A70="","",IFERROR(S70/MAX(1,COUNTIFS(Assignments!$B:$B,A70,Assignments!$D:$D,"&gt;="&amp;TODAY()-30)),""))</f>
        <v>0</v>
      </c>
      <c r="V70" s="1">
        <f t="shared" si="4"/>
        <v>0</v>
      </c>
    </row>
    <row r="71" ht="15.75" customHeight="1">
      <c r="A71" s="20" t="s">
        <v>249</v>
      </c>
      <c r="B71" s="20" t="s">
        <v>250</v>
      </c>
      <c r="C71" s="20" t="s">
        <v>115</v>
      </c>
      <c r="D71" s="20" t="str">
        <f t="shared" si="1"/>
        <v>3</v>
      </c>
      <c r="E71" s="2">
        <f>IF($A71="","",COUNTIFS(Assignments!$B$6:$B$305,$A71,Assignments!$E$6:$E$305,"Active"))</f>
        <v>0</v>
      </c>
      <c r="F71" s="2">
        <f>IF($A71="","",COUNTIFS(Assignments!$B$6:$B$305,$A71,Assignments!$D$6:$D$305,"&gt;="&amp;Config!$B$3-7,Assignments!$D$6:$D$305,"&lt;="&amp;Config!$B$3))</f>
        <v>0</v>
      </c>
      <c r="G71" s="2">
        <f>IF($A71="","",MAXIFS(Assignments!$D$6:$D$305,Assignments!$B$6:$B$305,$A71))</f>
        <v>0</v>
      </c>
      <c r="H71" s="29">
        <f>IF($A71="","",IF($G71="","",Config!$B$3-$G71))</f>
        <v>46071</v>
      </c>
      <c r="I71" s="2">
        <f t="shared" si="2"/>
        <v>0</v>
      </c>
      <c r="J71" s="2" t="str">
        <f>IF($A71="","",IFERROR(AVERAGEIFS(Assignments!$N$6:$N$1000,Assignments!$B$6:$B$1000,$A71,Assignments!$E$6:$E$1000,"Completed"),""))</f>
        <v/>
      </c>
      <c r="K71" s="2" t="str">
        <f>IF($A71="","",IFERROR(AVERAGEIFS(Assignments!$AO:$AO,Assignments!$B:$B,$A71,Assignments!$E:$E,"Completed"),""))</f>
        <v/>
      </c>
      <c r="L71" s="2">
        <f>IF($A71="","",IFERROR(COUNTIFS(Assignments!$B$6:$B$1000,$A71,Assignments!$E$6:$E$1000,"Cancelled")/MAX(1,COUNTIFS(Assignments!$B$6:$B$1000,$A71,Assignments!$E$6:$E$1000,"Completed")+COUNTIFS(Assignments!$B$6:$B$1000,$A71,Assignments!$E$6:$E$1000,"Cancelled")),""))</f>
        <v>0</v>
      </c>
      <c r="M71" s="2" t="str">
        <f>IF($A71="","",IFERROR(AVERAGEIFS(Assignments!$P$6:$P$1000,Assignments!$B$6:$B$1000,$A71,Assignments!$E$6:$E$1000,"Completed"),""))</f>
        <v/>
      </c>
      <c r="N71" s="20" t="s">
        <v>116</v>
      </c>
      <c r="O71" s="2"/>
      <c r="P71" s="1">
        <f>IF(A71="","",MAX(0,MIN(3,SUMIFS(Strike_Log!$C:$C,Strike_Log!$B:$B,A71,Strike_Log!$A:$A,"&gt;="&amp;IF(Config!$B$1004="Y",TODAY()-Config!$B$1005,DATE(1900,1,1)),Strike_Log!$I:$I,1))))</f>
        <v>0</v>
      </c>
      <c r="Q71" s="1">
        <f t="shared" si="3"/>
        <v>0</v>
      </c>
      <c r="R71" s="1" t="str">
        <f>IF(A71="","",IFERROR(AVERAGEIFS(Assignments!$J:$J,Assignments!$B:$B,A71,Assignments!$E:$E,"Completed"),""))</f>
        <v/>
      </c>
      <c r="S71" s="1">
        <f>IF(A71="","",COUNTIFS(Assignments!$B:$B,A71,Assignments!$AE:$AE, "Y",Assignments!$D:$D,"&gt;="&amp;TODAY()-30))</f>
        <v>0</v>
      </c>
      <c r="T71" s="1">
        <f>IF(A71="","",COUNTIFS(Assignments!$AF:$AF,A71,Assignments!$AE:$AE, "Y",Assignments!$D:$D,"&gt;="&amp;TODAY()-30))</f>
        <v>0</v>
      </c>
      <c r="U71" s="1">
        <f>IF(A71="","",IFERROR(S71/MAX(1,COUNTIFS(Assignments!$B:$B,A71,Assignments!$D:$D,"&gt;="&amp;TODAY()-30)),""))</f>
        <v>0</v>
      </c>
      <c r="V71" s="1">
        <f t="shared" si="4"/>
        <v>0</v>
      </c>
    </row>
    <row r="72" ht="15.75" customHeight="1">
      <c r="A72" s="20" t="s">
        <v>251</v>
      </c>
      <c r="B72" s="20" t="s">
        <v>252</v>
      </c>
      <c r="C72" s="20" t="s">
        <v>115</v>
      </c>
      <c r="D72" s="20" t="str">
        <f t="shared" si="1"/>
        <v>3</v>
      </c>
      <c r="E72" s="2">
        <f>IF($A72="","",COUNTIFS(Assignments!$B$6:$B$305,$A72,Assignments!$E$6:$E$305,"Active"))</f>
        <v>0</v>
      </c>
      <c r="F72" s="2">
        <f>IF($A72="","",COUNTIFS(Assignments!$B$6:$B$305,$A72,Assignments!$D$6:$D$305,"&gt;="&amp;Config!$B$3-7,Assignments!$D$6:$D$305,"&lt;="&amp;Config!$B$3))</f>
        <v>0</v>
      </c>
      <c r="G72" s="2">
        <f>IF($A72="","",MAXIFS(Assignments!$D$6:$D$305,Assignments!$B$6:$B$305,$A72))</f>
        <v>0</v>
      </c>
      <c r="H72" s="29">
        <f>IF($A72="","",IF($G72="","",Config!$B$3-$G72))</f>
        <v>46071</v>
      </c>
      <c r="I72" s="2">
        <f t="shared" si="2"/>
        <v>0</v>
      </c>
      <c r="J72" s="2" t="str">
        <f>IF($A72="","",IFERROR(AVERAGEIFS(Assignments!$N$6:$N$1000,Assignments!$B$6:$B$1000,$A72,Assignments!$E$6:$E$1000,"Completed"),""))</f>
        <v/>
      </c>
      <c r="K72" s="2" t="str">
        <f>IF($A72="","",IFERROR(AVERAGEIFS(Assignments!$AO:$AO,Assignments!$B:$B,$A72,Assignments!$E:$E,"Completed"),""))</f>
        <v/>
      </c>
      <c r="L72" s="2">
        <f>IF($A72="","",IFERROR(COUNTIFS(Assignments!$B$6:$B$1000,$A72,Assignments!$E$6:$E$1000,"Cancelled")/MAX(1,COUNTIFS(Assignments!$B$6:$B$1000,$A72,Assignments!$E$6:$E$1000,"Completed")+COUNTIFS(Assignments!$B$6:$B$1000,$A72,Assignments!$E$6:$E$1000,"Cancelled")),""))</f>
        <v>0</v>
      </c>
      <c r="M72" s="2" t="str">
        <f>IF($A72="","",IFERROR(AVERAGEIFS(Assignments!$P$6:$P$1000,Assignments!$B$6:$B$1000,$A72,Assignments!$E$6:$E$1000,"Completed"),""))</f>
        <v/>
      </c>
      <c r="N72" s="20" t="s">
        <v>116</v>
      </c>
      <c r="O72" s="2"/>
      <c r="P72" s="1">
        <f>IF(A72="","",MAX(0,MIN(3,SUMIFS(Strike_Log!$C:$C,Strike_Log!$B:$B,A72,Strike_Log!$A:$A,"&gt;="&amp;IF(Config!$B$1004="Y",TODAY()-Config!$B$1005,DATE(1900,1,1)),Strike_Log!$I:$I,1))))</f>
        <v>0</v>
      </c>
      <c r="Q72" s="1">
        <f t="shared" si="3"/>
        <v>0</v>
      </c>
      <c r="R72" s="1" t="str">
        <f>IF(A72="","",IFERROR(AVERAGEIFS(Assignments!$J:$J,Assignments!$B:$B,A72,Assignments!$E:$E,"Completed"),""))</f>
        <v/>
      </c>
      <c r="S72" s="1">
        <f>IF(A72="","",COUNTIFS(Assignments!$B:$B,A72,Assignments!$AE:$AE, "Y",Assignments!$D:$D,"&gt;="&amp;TODAY()-30))</f>
        <v>0</v>
      </c>
      <c r="T72" s="1">
        <f>IF(A72="","",COUNTIFS(Assignments!$AF:$AF,A72,Assignments!$AE:$AE, "Y",Assignments!$D:$D,"&gt;="&amp;TODAY()-30))</f>
        <v>0</v>
      </c>
      <c r="U72" s="1">
        <f>IF(A72="","",IFERROR(S72/MAX(1,COUNTIFS(Assignments!$B:$B,A72,Assignments!$D:$D,"&gt;="&amp;TODAY()-30)),""))</f>
        <v>0</v>
      </c>
      <c r="V72" s="1">
        <f t="shared" si="4"/>
        <v>0</v>
      </c>
    </row>
    <row r="73" ht="15.75" customHeight="1">
      <c r="A73" s="20" t="s">
        <v>253</v>
      </c>
      <c r="B73" s="20" t="s">
        <v>254</v>
      </c>
      <c r="C73" s="20" t="s">
        <v>115</v>
      </c>
      <c r="D73" s="20" t="str">
        <f t="shared" si="1"/>
        <v>3</v>
      </c>
      <c r="E73" s="2">
        <f>IF($A73="","",COUNTIFS(Assignments!$B$6:$B$305,$A73,Assignments!$E$6:$E$305,"Active"))</f>
        <v>0</v>
      </c>
      <c r="F73" s="2">
        <f>IF($A73="","",COUNTIFS(Assignments!$B$6:$B$305,$A73,Assignments!$D$6:$D$305,"&gt;="&amp;Config!$B$3-7,Assignments!$D$6:$D$305,"&lt;="&amp;Config!$B$3))</f>
        <v>0</v>
      </c>
      <c r="G73" s="2">
        <f>IF($A73="","",MAXIFS(Assignments!$D$6:$D$305,Assignments!$B$6:$B$305,$A73))</f>
        <v>0</v>
      </c>
      <c r="H73" s="29">
        <f>IF($A73="","",IF($G73="","",Config!$B$3-$G73))</f>
        <v>46071</v>
      </c>
      <c r="I73" s="2">
        <f t="shared" si="2"/>
        <v>0</v>
      </c>
      <c r="J73" s="2" t="str">
        <f>IF($A73="","",IFERROR(AVERAGEIFS(Assignments!$N$6:$N$1000,Assignments!$B$6:$B$1000,$A73,Assignments!$E$6:$E$1000,"Completed"),""))</f>
        <v/>
      </c>
      <c r="K73" s="2" t="str">
        <f>IF($A73="","",IFERROR(AVERAGEIFS(Assignments!$AO:$AO,Assignments!$B:$B,$A73,Assignments!$E:$E,"Completed"),""))</f>
        <v/>
      </c>
      <c r="L73" s="2">
        <f>IF($A73="","",IFERROR(COUNTIFS(Assignments!$B$6:$B$1000,$A73,Assignments!$E$6:$E$1000,"Cancelled")/MAX(1,COUNTIFS(Assignments!$B$6:$B$1000,$A73,Assignments!$E$6:$E$1000,"Completed")+COUNTIFS(Assignments!$B$6:$B$1000,$A73,Assignments!$E$6:$E$1000,"Cancelled")),""))</f>
        <v>0</v>
      </c>
      <c r="M73" s="2" t="str">
        <f>IF($A73="","",IFERROR(AVERAGEIFS(Assignments!$P$6:$P$1000,Assignments!$B$6:$B$1000,$A73,Assignments!$E$6:$E$1000,"Completed"),""))</f>
        <v/>
      </c>
      <c r="N73" s="20" t="s">
        <v>116</v>
      </c>
      <c r="O73" s="2"/>
      <c r="P73" s="1">
        <f>IF(A73="","",MAX(0,MIN(3,SUMIFS(Strike_Log!$C:$C,Strike_Log!$B:$B,A73,Strike_Log!$A:$A,"&gt;="&amp;IF(Config!$B$1004="Y",TODAY()-Config!$B$1005,DATE(1900,1,1)),Strike_Log!$I:$I,1))))</f>
        <v>0</v>
      </c>
      <c r="Q73" s="1">
        <f t="shared" si="3"/>
        <v>0</v>
      </c>
      <c r="R73" s="1" t="str">
        <f>IF(A73="","",IFERROR(AVERAGEIFS(Assignments!$J:$J,Assignments!$B:$B,A73,Assignments!$E:$E,"Completed"),""))</f>
        <v/>
      </c>
      <c r="S73" s="1">
        <f>IF(A73="","",COUNTIFS(Assignments!$B:$B,A73,Assignments!$AE:$AE, "Y",Assignments!$D:$D,"&gt;="&amp;TODAY()-30))</f>
        <v>0</v>
      </c>
      <c r="T73" s="1">
        <f>IF(A73="","",COUNTIFS(Assignments!$AF:$AF,A73,Assignments!$AE:$AE, "Y",Assignments!$D:$D,"&gt;="&amp;TODAY()-30))</f>
        <v>0</v>
      </c>
      <c r="U73" s="1">
        <f>IF(A73="","",IFERROR(S73/MAX(1,COUNTIFS(Assignments!$B:$B,A73,Assignments!$D:$D,"&gt;="&amp;TODAY()-30)),""))</f>
        <v>0</v>
      </c>
      <c r="V73" s="1">
        <f t="shared" si="4"/>
        <v>0</v>
      </c>
    </row>
    <row r="74" ht="15.75" customHeight="1">
      <c r="A74" s="20" t="s">
        <v>255</v>
      </c>
      <c r="B74" s="20" t="s">
        <v>256</v>
      </c>
      <c r="C74" s="20" t="s">
        <v>115</v>
      </c>
      <c r="D74" s="20" t="str">
        <f t="shared" si="1"/>
        <v>3</v>
      </c>
      <c r="E74" s="2">
        <f>IF($A74="","",COUNTIFS(Assignments!$B$6:$B$305,$A74,Assignments!$E$6:$E$305,"Active"))</f>
        <v>0</v>
      </c>
      <c r="F74" s="2">
        <f>IF($A74="","",COUNTIFS(Assignments!$B$6:$B$305,$A74,Assignments!$D$6:$D$305,"&gt;="&amp;Config!$B$3-7,Assignments!$D$6:$D$305,"&lt;="&amp;Config!$B$3))</f>
        <v>0</v>
      </c>
      <c r="G74" s="2">
        <f>IF($A74="","",MAXIFS(Assignments!$D$6:$D$305,Assignments!$B$6:$B$305,$A74))</f>
        <v>0</v>
      </c>
      <c r="H74" s="29">
        <f>IF($A74="","",IF($G74="","",Config!$B$3-$G74))</f>
        <v>46071</v>
      </c>
      <c r="I74" s="2">
        <f t="shared" si="2"/>
        <v>0</v>
      </c>
      <c r="J74" s="2" t="str">
        <f>IF($A74="","",IFERROR(AVERAGEIFS(Assignments!$N$6:$N$1000,Assignments!$B$6:$B$1000,$A74,Assignments!$E$6:$E$1000,"Completed"),""))</f>
        <v/>
      </c>
      <c r="K74" s="2" t="str">
        <f>IF($A74="","",IFERROR(AVERAGEIFS(Assignments!$AO:$AO,Assignments!$B:$B,$A74,Assignments!$E:$E,"Completed"),""))</f>
        <v/>
      </c>
      <c r="L74" s="2">
        <f>IF($A74="","",IFERROR(COUNTIFS(Assignments!$B$6:$B$1000,$A74,Assignments!$E$6:$E$1000,"Cancelled")/MAX(1,COUNTIFS(Assignments!$B$6:$B$1000,$A74,Assignments!$E$6:$E$1000,"Completed")+COUNTIFS(Assignments!$B$6:$B$1000,$A74,Assignments!$E$6:$E$1000,"Cancelled")),""))</f>
        <v>0</v>
      </c>
      <c r="M74" s="2" t="str">
        <f>IF($A74="","",IFERROR(AVERAGEIFS(Assignments!$P$6:$P$1000,Assignments!$B$6:$B$1000,$A74,Assignments!$E$6:$E$1000,"Completed"),""))</f>
        <v/>
      </c>
      <c r="N74" s="20" t="s">
        <v>116</v>
      </c>
      <c r="O74" s="2"/>
      <c r="P74" s="1">
        <f>IF(A74="","",MAX(0,MIN(3,SUMIFS(Strike_Log!$C:$C,Strike_Log!$B:$B,A74,Strike_Log!$A:$A,"&gt;="&amp;IF(Config!$B$1004="Y",TODAY()-Config!$B$1005,DATE(1900,1,1)),Strike_Log!$I:$I,1))))</f>
        <v>0</v>
      </c>
      <c r="Q74" s="1">
        <f t="shared" si="3"/>
        <v>0</v>
      </c>
      <c r="R74" s="1" t="str">
        <f>IF(A74="","",IFERROR(AVERAGEIFS(Assignments!$J:$J,Assignments!$B:$B,A74,Assignments!$E:$E,"Completed"),""))</f>
        <v/>
      </c>
      <c r="S74" s="1">
        <f>IF(A74="","",COUNTIFS(Assignments!$B:$B,A74,Assignments!$AE:$AE, "Y",Assignments!$D:$D,"&gt;="&amp;TODAY()-30))</f>
        <v>0</v>
      </c>
      <c r="T74" s="1">
        <f>IF(A74="","",COUNTIFS(Assignments!$AF:$AF,A74,Assignments!$AE:$AE, "Y",Assignments!$D:$D,"&gt;="&amp;TODAY()-30))</f>
        <v>0</v>
      </c>
      <c r="U74" s="1">
        <f>IF(A74="","",IFERROR(S74/MAX(1,COUNTIFS(Assignments!$B:$B,A74,Assignments!$D:$D,"&gt;="&amp;TODAY()-30)),""))</f>
        <v>0</v>
      </c>
      <c r="V74" s="1">
        <f t="shared" si="4"/>
        <v>0</v>
      </c>
    </row>
    <row r="75" ht="15.75" customHeight="1">
      <c r="A75" s="20" t="s">
        <v>257</v>
      </c>
      <c r="B75" s="20" t="s">
        <v>258</v>
      </c>
      <c r="C75" s="20" t="s">
        <v>115</v>
      </c>
      <c r="D75" s="20" t="str">
        <f t="shared" si="1"/>
        <v>3</v>
      </c>
      <c r="E75" s="2">
        <f>IF($A75="","",COUNTIFS(Assignments!$B$6:$B$305,$A75,Assignments!$E$6:$E$305,"Active"))</f>
        <v>0</v>
      </c>
      <c r="F75" s="2">
        <f>IF($A75="","",COUNTIFS(Assignments!$B$6:$B$305,$A75,Assignments!$D$6:$D$305,"&gt;="&amp;Config!$B$3-7,Assignments!$D$6:$D$305,"&lt;="&amp;Config!$B$3))</f>
        <v>0</v>
      </c>
      <c r="G75" s="2">
        <f>IF($A75="","",MAXIFS(Assignments!$D$6:$D$305,Assignments!$B$6:$B$305,$A75))</f>
        <v>0</v>
      </c>
      <c r="H75" s="29">
        <f>IF($A75="","",IF($G75="","",Config!$B$3-$G75))</f>
        <v>46071</v>
      </c>
      <c r="I75" s="2">
        <f t="shared" si="2"/>
        <v>0</v>
      </c>
      <c r="J75" s="2" t="str">
        <f>IF($A75="","",IFERROR(AVERAGEIFS(Assignments!$N$6:$N$1000,Assignments!$B$6:$B$1000,$A75,Assignments!$E$6:$E$1000,"Completed"),""))</f>
        <v/>
      </c>
      <c r="K75" s="2" t="str">
        <f>IF($A75="","",IFERROR(AVERAGEIFS(Assignments!$AO:$AO,Assignments!$B:$B,$A75,Assignments!$E:$E,"Completed"),""))</f>
        <v/>
      </c>
      <c r="L75" s="2">
        <f>IF($A75="","",IFERROR(COUNTIFS(Assignments!$B$6:$B$1000,$A75,Assignments!$E$6:$E$1000,"Cancelled")/MAX(1,COUNTIFS(Assignments!$B$6:$B$1000,$A75,Assignments!$E$6:$E$1000,"Completed")+COUNTIFS(Assignments!$B$6:$B$1000,$A75,Assignments!$E$6:$E$1000,"Cancelled")),""))</f>
        <v>0</v>
      </c>
      <c r="M75" s="2" t="str">
        <f>IF($A75="","",IFERROR(AVERAGEIFS(Assignments!$P$6:$P$1000,Assignments!$B$6:$B$1000,$A75,Assignments!$E$6:$E$1000,"Completed"),""))</f>
        <v/>
      </c>
      <c r="N75" s="20" t="s">
        <v>116</v>
      </c>
      <c r="O75" s="2"/>
      <c r="P75" s="1">
        <f>IF(A75="","",MAX(0,MIN(3,SUMIFS(Strike_Log!$C:$C,Strike_Log!$B:$B,A75,Strike_Log!$A:$A,"&gt;="&amp;IF(Config!$B$1004="Y",TODAY()-Config!$B$1005,DATE(1900,1,1)),Strike_Log!$I:$I,1))))</f>
        <v>0</v>
      </c>
      <c r="Q75" s="1">
        <f t="shared" si="3"/>
        <v>0</v>
      </c>
      <c r="R75" s="1" t="str">
        <f>IF(A75="","",IFERROR(AVERAGEIFS(Assignments!$J:$J,Assignments!$B:$B,A75,Assignments!$E:$E,"Completed"),""))</f>
        <v/>
      </c>
      <c r="S75" s="1">
        <f>IF(A75="","",COUNTIFS(Assignments!$B:$B,A75,Assignments!$AE:$AE, "Y",Assignments!$D:$D,"&gt;="&amp;TODAY()-30))</f>
        <v>0</v>
      </c>
      <c r="T75" s="1">
        <f>IF(A75="","",COUNTIFS(Assignments!$AF:$AF,A75,Assignments!$AE:$AE, "Y",Assignments!$D:$D,"&gt;="&amp;TODAY()-30))</f>
        <v>0</v>
      </c>
      <c r="U75" s="1">
        <f>IF(A75="","",IFERROR(S75/MAX(1,COUNTIFS(Assignments!$B:$B,A75,Assignments!$D:$D,"&gt;="&amp;TODAY()-30)),""))</f>
        <v>0</v>
      </c>
      <c r="V75" s="1">
        <f t="shared" si="4"/>
        <v>0</v>
      </c>
    </row>
    <row r="76" ht="15.75" customHeight="1">
      <c r="A76" s="20" t="s">
        <v>259</v>
      </c>
      <c r="B76" s="20" t="s">
        <v>260</v>
      </c>
      <c r="C76" s="20" t="s">
        <v>115</v>
      </c>
      <c r="D76" s="20" t="str">
        <f t="shared" si="1"/>
        <v>3</v>
      </c>
      <c r="E76" s="2">
        <f>IF($A76="","",COUNTIFS(Assignments!$B$6:$B$305,$A76,Assignments!$E$6:$E$305,"Active"))</f>
        <v>0</v>
      </c>
      <c r="F76" s="2">
        <f>IF($A76="","",COUNTIFS(Assignments!$B$6:$B$305,$A76,Assignments!$D$6:$D$305,"&gt;="&amp;Config!$B$3-7,Assignments!$D$6:$D$305,"&lt;="&amp;Config!$B$3))</f>
        <v>0</v>
      </c>
      <c r="G76" s="2">
        <f>IF($A76="","",MAXIFS(Assignments!$D$6:$D$305,Assignments!$B$6:$B$305,$A76))</f>
        <v>0</v>
      </c>
      <c r="H76" s="29">
        <f>IF($A76="","",IF($G76="","",Config!$B$3-$G76))</f>
        <v>46071</v>
      </c>
      <c r="I76" s="2">
        <f t="shared" si="2"/>
        <v>0</v>
      </c>
      <c r="J76" s="2" t="str">
        <f>IF($A76="","",IFERROR(AVERAGEIFS(Assignments!$N$6:$N$1000,Assignments!$B$6:$B$1000,$A76,Assignments!$E$6:$E$1000,"Completed"),""))</f>
        <v/>
      </c>
      <c r="K76" s="2" t="str">
        <f>IF($A76="","",IFERROR(AVERAGEIFS(Assignments!$AO:$AO,Assignments!$B:$B,$A76,Assignments!$E:$E,"Completed"),""))</f>
        <v/>
      </c>
      <c r="L76" s="2">
        <f>IF($A76="","",IFERROR(COUNTIFS(Assignments!$B$6:$B$1000,$A76,Assignments!$E$6:$E$1000,"Cancelled")/MAX(1,COUNTIFS(Assignments!$B$6:$B$1000,$A76,Assignments!$E$6:$E$1000,"Completed")+COUNTIFS(Assignments!$B$6:$B$1000,$A76,Assignments!$E$6:$E$1000,"Cancelled")),""))</f>
        <v>0</v>
      </c>
      <c r="M76" s="2" t="str">
        <f>IF($A76="","",IFERROR(AVERAGEIFS(Assignments!$P$6:$P$1000,Assignments!$B$6:$B$1000,$A76,Assignments!$E$6:$E$1000,"Completed"),""))</f>
        <v/>
      </c>
      <c r="N76" s="20" t="s">
        <v>116</v>
      </c>
      <c r="O76" s="2"/>
      <c r="P76" s="1">
        <f>IF(A76="","",MAX(0,MIN(3,SUMIFS(Strike_Log!$C:$C,Strike_Log!$B:$B,A76,Strike_Log!$A:$A,"&gt;="&amp;IF(Config!$B$1004="Y",TODAY()-Config!$B$1005,DATE(1900,1,1)),Strike_Log!$I:$I,1))))</f>
        <v>0</v>
      </c>
      <c r="Q76" s="1">
        <f t="shared" si="3"/>
        <v>0</v>
      </c>
      <c r="R76" s="1" t="str">
        <f>IF(A76="","",IFERROR(AVERAGEIFS(Assignments!$J:$J,Assignments!$B:$B,A76,Assignments!$E:$E,"Completed"),""))</f>
        <v/>
      </c>
      <c r="S76" s="1">
        <f>IF(A76="","",COUNTIFS(Assignments!$B:$B,A76,Assignments!$AE:$AE, "Y",Assignments!$D:$D,"&gt;="&amp;TODAY()-30))</f>
        <v>0</v>
      </c>
      <c r="T76" s="1">
        <f>IF(A76="","",COUNTIFS(Assignments!$AF:$AF,A76,Assignments!$AE:$AE, "Y",Assignments!$D:$D,"&gt;="&amp;TODAY()-30))</f>
        <v>0</v>
      </c>
      <c r="U76" s="1">
        <f>IF(A76="","",IFERROR(S76/MAX(1,COUNTIFS(Assignments!$B:$B,A76,Assignments!$D:$D,"&gt;="&amp;TODAY()-30)),""))</f>
        <v>0</v>
      </c>
      <c r="V76" s="1">
        <f t="shared" si="4"/>
        <v>0</v>
      </c>
    </row>
    <row r="77" ht="15.75" customHeight="1">
      <c r="A77" s="2"/>
      <c r="B77" s="2"/>
      <c r="C77" s="2"/>
      <c r="D77" s="2"/>
      <c r="E77" s="2" t="str">
        <f>IF($A77="","",COUNTIFS(Assignments!$B$6:$B$305,$A77,Assignments!$E$6:$E$305,"Active"))</f>
        <v/>
      </c>
      <c r="F77" s="2" t="str">
        <f>IF($A77="","",COUNTIFS(Assignments!$B$6:$B$305,$A77,Assignments!$D$6:$D$305,"&gt;="&amp;Config!$B$3-7,Assignments!$D$6:$D$305,"&lt;="&amp;Config!$B$3))</f>
        <v/>
      </c>
      <c r="G77" s="2" t="str">
        <f>IF($A77="","",MAXIFS(Assignments!$D$6:$D$305,Assignments!$B$6:$B$305,$A77))</f>
        <v/>
      </c>
      <c r="H77" s="2" t="str">
        <f>IF($A77="","",IF($G77="","",Config!$B$3-$G77))</f>
        <v/>
      </c>
      <c r="I77" s="2" t="str">
        <f t="shared" si="2"/>
        <v/>
      </c>
      <c r="J77" s="2" t="str">
        <f>IF($A77="","",IFERROR(AVERAGEIFS(Assignments!$N$6:$N$1000,Assignments!$B$6:$B$1000,$A77,Assignments!$E$6:$E$1000,"Completed"),""))</f>
        <v/>
      </c>
      <c r="K77" s="2" t="str">
        <f>IF(A77="","",IFERROR(AVERAGEIFS(Assignments!$AO:$AO,Assignments!$B:$B,A77,Assignments!$E:$E,"Completed"),""))</f>
        <v/>
      </c>
      <c r="L77" s="2" t="str">
        <f>IF($A77="","",IFERROR(COUNTIFS(Assignments!$B$6:$B$1000,$A77,Assignments!$E$6:$E$1000,"Cancelled")/MAX(1,COUNTIFS(Assignments!$B$6:$B$1000,$A77,Assignments!$E$6:$E$1000,"Completed")+COUNTIFS(Assignments!$B$6:$B$1000,$A77,Assignments!$E$6:$E$1000,"Cancelled")),""))</f>
        <v/>
      </c>
      <c r="M77" s="2" t="str">
        <f>IF($A77="","",IFERROR(AVERAGEIFS(Assignments!$P$6:$P$1000,Assignments!$B$6:$B$1000,$A77,Assignments!$E$6:$E$1000,"Completed"),""))</f>
        <v/>
      </c>
      <c r="N77" s="2"/>
      <c r="O77" s="2"/>
      <c r="P77" s="1" t="str">
        <f>IF(A77="","",MAX(0,MIN(3,SUMIFS(Strike_Log!$C:$C,Strike_Log!$B:$B,A77,Strike_Log!$A:$A,"&gt;="&amp;IF(Config!$B$1004="Y",TODAY()-Config!$B$1005,DATE(1900,1,1)),Strike_Log!$I:$I,1))))</f>
        <v/>
      </c>
      <c r="Q77" s="1">
        <f t="shared" si="3"/>
        <v>0</v>
      </c>
      <c r="R77" s="1" t="str">
        <f>IF(A77="","",IFERROR(AVERAGEIFS(Assignments!$J:$J,Assignments!$B:$B,A77,Assignments!$E:$E,"Completed"),""))</f>
        <v/>
      </c>
      <c r="S77" s="1" t="str">
        <f>IF(A77="","",COUNTIFS(Assignments!$B:$B,A77,Assignments!$AE:$AE, "Y",Assignments!$D:$D,"&gt;="&amp;TODAY()-30))</f>
        <v/>
      </c>
      <c r="T77" s="1" t="str">
        <f>IF(A77="","",COUNTIFS(Assignments!$AF:$AF,A77,Assignments!$AE:$AE, "Y",Assignments!$D:$D,"&gt;="&amp;TODAY()-30))</f>
        <v/>
      </c>
      <c r="U77" s="1" t="str">
        <f>IF(A77="","",IFERROR(S77/MAX(1,COUNTIFS(Assignments!$B:$B,A77,Assignments!$D:$D,"&gt;="&amp;TODAY()-30)),""))</f>
        <v/>
      </c>
      <c r="V77" s="1" t="str">
        <f t="shared" si="4"/>
        <v/>
      </c>
    </row>
    <row r="78" ht="15.75" customHeight="1">
      <c r="A78" s="2"/>
      <c r="B78" s="2"/>
      <c r="C78" s="2"/>
      <c r="D78" s="2"/>
      <c r="E78" s="2" t="str">
        <f>IF($A78="","",COUNTIFS(Assignments!$B$6:$B$305,$A78,Assignments!$E$6:$E$305,"Active"))</f>
        <v/>
      </c>
      <c r="F78" s="2" t="str">
        <f>IF($A78="","",COUNTIFS(Assignments!$B$6:$B$305,$A78,Assignments!$D$6:$D$305,"&gt;="&amp;Config!$B$3-7,Assignments!$D$6:$D$305,"&lt;="&amp;Config!$B$3))</f>
        <v/>
      </c>
      <c r="G78" s="2" t="str">
        <f>IF($A78="","",MAXIFS(Assignments!$D$6:$D$305,Assignments!$B$6:$B$305,$A78))</f>
        <v/>
      </c>
      <c r="H78" s="2" t="str">
        <f>IF($A78="","",IF($G78="","",Config!$B$3-$G78))</f>
        <v/>
      </c>
      <c r="I78" s="2" t="str">
        <f t="shared" si="2"/>
        <v/>
      </c>
      <c r="J78" s="2" t="str">
        <f>IF($A78="","",IFERROR(AVERAGEIFS(Assignments!$N$6:$N$1000,Assignments!$B$6:$B$1000,$A78,Assignments!$E$6:$E$1000,"Completed"),""))</f>
        <v/>
      </c>
      <c r="K78" s="2" t="str">
        <f>IF(A78="","",IFERROR(AVERAGEIFS(Assignments!$AO:$AO,Assignments!$B:$B,A78,Assignments!$E:$E,"Completed"),""))</f>
        <v/>
      </c>
      <c r="L78" s="2" t="str">
        <f>IF($A78="","",IFERROR(COUNTIFS(Assignments!$B$6:$B$1000,$A78,Assignments!$E$6:$E$1000,"Cancelled")/MAX(1,COUNTIFS(Assignments!$B$6:$B$1000,$A78,Assignments!$E$6:$E$1000,"Completed")+COUNTIFS(Assignments!$B$6:$B$1000,$A78,Assignments!$E$6:$E$1000,"Cancelled")),""))</f>
        <v/>
      </c>
      <c r="M78" s="2" t="str">
        <f>IF($A78="","",IFERROR(AVERAGEIFS(Assignments!$P$6:$P$1000,Assignments!$B$6:$B$1000,$A78,Assignments!$E$6:$E$1000,"Completed"),""))</f>
        <v/>
      </c>
      <c r="N78" s="2"/>
      <c r="O78" s="2"/>
      <c r="P78" s="1" t="str">
        <f>IF(A78="","",MAX(0,MIN(3,SUMIFS(Strike_Log!$C:$C,Strike_Log!$B:$B,A78,Strike_Log!$A:$A,"&gt;="&amp;IF(Config!$B$1004="Y",TODAY()-Config!$B$1005,DATE(1900,1,1)),Strike_Log!$I:$I,1))))</f>
        <v/>
      </c>
      <c r="Q78" s="1">
        <f t="shared" si="3"/>
        <v>0</v>
      </c>
      <c r="R78" s="1" t="str">
        <f>IF(A78="","",IFERROR(AVERAGEIFS(Assignments!$J:$J,Assignments!$B:$B,A78,Assignments!$E:$E,"Completed"),""))</f>
        <v/>
      </c>
      <c r="S78" s="1" t="str">
        <f>IF(A78="","",COUNTIFS(Assignments!$B:$B,A78,Assignments!$AE:$AE, "Y",Assignments!$D:$D,"&gt;="&amp;TODAY()-30))</f>
        <v/>
      </c>
      <c r="T78" s="1" t="str">
        <f>IF(A78="","",COUNTIFS(Assignments!$AF:$AF,A78,Assignments!$AE:$AE, "Y",Assignments!$D:$D,"&gt;="&amp;TODAY()-30))</f>
        <v/>
      </c>
      <c r="U78" s="1" t="str">
        <f>IF(A78="","",IFERROR(S78/MAX(1,COUNTIFS(Assignments!$B:$B,A78,Assignments!$D:$D,"&gt;="&amp;TODAY()-30)),""))</f>
        <v/>
      </c>
      <c r="V78" s="1" t="str">
        <f t="shared" si="4"/>
        <v/>
      </c>
    </row>
    <row r="79" ht="15.75" customHeight="1">
      <c r="A79" s="2"/>
      <c r="B79" s="2"/>
      <c r="C79" s="2"/>
      <c r="D79" s="2"/>
      <c r="E79" s="2" t="str">
        <f>IF($A79="","",COUNTIFS(Assignments!$B$6:$B$305,$A79,Assignments!$E$6:$E$305,"Active"))</f>
        <v/>
      </c>
      <c r="F79" s="2" t="str">
        <f>IF($A79="","",COUNTIFS(Assignments!$B$6:$B$305,$A79,Assignments!$D$6:$D$305,"&gt;="&amp;Config!$B$3-7,Assignments!$D$6:$D$305,"&lt;="&amp;Config!$B$3))</f>
        <v/>
      </c>
      <c r="G79" s="2" t="str">
        <f>IF($A79="","",MAXIFS(Assignments!$D$6:$D$305,Assignments!$B$6:$B$305,$A79))</f>
        <v/>
      </c>
      <c r="H79" s="2" t="str">
        <f>IF($A79="","",IF($G79="","",Config!$B$3-$G79))</f>
        <v/>
      </c>
      <c r="I79" s="2" t="str">
        <f t="shared" si="2"/>
        <v/>
      </c>
      <c r="J79" s="2" t="str">
        <f>IF($A79="","",IFERROR(AVERAGEIFS(Assignments!$N$6:$N$1000,Assignments!$B$6:$B$1000,$A79,Assignments!$E$6:$E$1000,"Completed"),""))</f>
        <v/>
      </c>
      <c r="K79" s="2" t="str">
        <f>IF(A79="","",IFERROR(AVERAGEIFS(Assignments!$AO:$AO,Assignments!$B:$B,A79,Assignments!$E:$E,"Completed"),""))</f>
        <v/>
      </c>
      <c r="L79" s="2" t="str">
        <f>IF($A79="","",IFERROR(COUNTIFS(Assignments!$B$6:$B$1000,$A79,Assignments!$E$6:$E$1000,"Cancelled")/MAX(1,COUNTIFS(Assignments!$B$6:$B$1000,$A79,Assignments!$E$6:$E$1000,"Completed")+COUNTIFS(Assignments!$B$6:$B$1000,$A79,Assignments!$E$6:$E$1000,"Cancelled")),""))</f>
        <v/>
      </c>
      <c r="M79" s="2" t="str">
        <f>IF($A79="","",IFERROR(AVERAGEIFS(Assignments!$P$6:$P$1000,Assignments!$B$6:$B$1000,$A79,Assignments!$E$6:$E$1000,"Completed"),""))</f>
        <v/>
      </c>
      <c r="N79" s="2"/>
      <c r="O79" s="2"/>
      <c r="P79" s="1" t="str">
        <f>IF(A79="","",MAX(0,MIN(3,SUMIFS(Strike_Log!$C:$C,Strike_Log!$B:$B,A79,Strike_Log!$A:$A,"&gt;="&amp;IF(Config!$B$1004="Y",TODAY()-Config!$B$1005,DATE(1900,1,1)),Strike_Log!$I:$I,1))))</f>
        <v/>
      </c>
      <c r="Q79" s="1">
        <f t="shared" si="3"/>
        <v>0</v>
      </c>
      <c r="R79" s="1" t="str">
        <f>IF(A79="","",IFERROR(AVERAGEIFS(Assignments!$J:$J,Assignments!$B:$B,A79,Assignments!$E:$E,"Completed"),""))</f>
        <v/>
      </c>
      <c r="S79" s="1" t="str">
        <f>IF(A79="","",COUNTIFS(Assignments!$B:$B,A79,Assignments!$AE:$AE, "Y",Assignments!$D:$D,"&gt;="&amp;TODAY()-30))</f>
        <v/>
      </c>
      <c r="T79" s="1" t="str">
        <f>IF(A79="","",COUNTIFS(Assignments!$AF:$AF,A79,Assignments!$AE:$AE, "Y",Assignments!$D:$D,"&gt;="&amp;TODAY()-30))</f>
        <v/>
      </c>
      <c r="U79" s="1" t="str">
        <f>IF(A79="","",IFERROR(S79/MAX(1,COUNTIFS(Assignments!$B:$B,A79,Assignments!$D:$D,"&gt;="&amp;TODAY()-30)),""))</f>
        <v/>
      </c>
      <c r="V79" s="1" t="str">
        <f t="shared" si="4"/>
        <v/>
      </c>
    </row>
    <row r="80" ht="15.75" customHeight="1">
      <c r="A80" s="2"/>
      <c r="B80" s="2"/>
      <c r="C80" s="2"/>
      <c r="D80" s="2"/>
      <c r="E80" s="2" t="str">
        <f>IF($A80="","",COUNTIFS(Assignments!$B$6:$B$305,$A80,Assignments!$E$6:$E$305,"Active"))</f>
        <v/>
      </c>
      <c r="F80" s="2" t="str">
        <f>IF($A80="","",COUNTIFS(Assignments!$B$6:$B$305,$A80,Assignments!$D$6:$D$305,"&gt;="&amp;Config!$B$3-7,Assignments!$D$6:$D$305,"&lt;="&amp;Config!$B$3))</f>
        <v/>
      </c>
      <c r="G80" s="2" t="str">
        <f>IF($A80="","",MAXIFS(Assignments!$D$6:$D$305,Assignments!$B$6:$B$305,$A80))</f>
        <v/>
      </c>
      <c r="H80" s="2" t="str">
        <f>IF($A80="","",IF($G80="","",Config!$B$3-$G80))</f>
        <v/>
      </c>
      <c r="I80" s="2" t="str">
        <f t="shared" si="2"/>
        <v/>
      </c>
      <c r="J80" s="2" t="str">
        <f>IF($A80="","",IFERROR(AVERAGEIFS(Assignments!$N$6:$N$1000,Assignments!$B$6:$B$1000,$A80,Assignments!$E$6:$E$1000,"Completed"),""))</f>
        <v/>
      </c>
      <c r="K80" s="2" t="str">
        <f>IF(A80="","",IFERROR(AVERAGEIFS(Assignments!$AO:$AO,Assignments!$B:$B,A80,Assignments!$E:$E,"Completed"),""))</f>
        <v/>
      </c>
      <c r="L80" s="2" t="str">
        <f>IF($A80="","",IFERROR(COUNTIFS(Assignments!$B$6:$B$1000,$A80,Assignments!$E$6:$E$1000,"Cancelled")/MAX(1,COUNTIFS(Assignments!$B$6:$B$1000,$A80,Assignments!$E$6:$E$1000,"Completed")+COUNTIFS(Assignments!$B$6:$B$1000,$A80,Assignments!$E$6:$E$1000,"Cancelled")),""))</f>
        <v/>
      </c>
      <c r="M80" s="2" t="str">
        <f>IF($A80="","",IFERROR(AVERAGEIFS(Assignments!$P$6:$P$1000,Assignments!$B$6:$B$1000,$A80,Assignments!$E$6:$E$1000,"Completed"),""))</f>
        <v/>
      </c>
      <c r="N80" s="2"/>
      <c r="O80" s="2"/>
      <c r="P80" s="1" t="str">
        <f>IF(A80="","",MAX(0,MIN(3,SUMIFS(Strike_Log!$C:$C,Strike_Log!$B:$B,A80,Strike_Log!$A:$A,"&gt;="&amp;IF(Config!$B$1004="Y",TODAY()-Config!$B$1005,DATE(1900,1,1)),Strike_Log!$I:$I,1))))</f>
        <v/>
      </c>
      <c r="Q80" s="1">
        <f t="shared" si="3"/>
        <v>0</v>
      </c>
      <c r="R80" s="1" t="str">
        <f>IF(A80="","",IFERROR(AVERAGEIFS(Assignments!$J:$J,Assignments!$B:$B,A80,Assignments!$E:$E,"Completed"),""))</f>
        <v/>
      </c>
      <c r="S80" s="1" t="str">
        <f>IF(A80="","",COUNTIFS(Assignments!$B:$B,A80,Assignments!$AE:$AE, "Y",Assignments!$D:$D,"&gt;="&amp;TODAY()-30))</f>
        <v/>
      </c>
      <c r="T80" s="1" t="str">
        <f>IF(A80="","",COUNTIFS(Assignments!$AF:$AF,A80,Assignments!$AE:$AE, "Y",Assignments!$D:$D,"&gt;="&amp;TODAY()-30))</f>
        <v/>
      </c>
      <c r="U80" s="1" t="str">
        <f>IF(A80="","",IFERROR(S80/MAX(1,COUNTIFS(Assignments!$B:$B,A80,Assignments!$D:$D,"&gt;="&amp;TODAY()-30)),""))</f>
        <v/>
      </c>
      <c r="V80" s="1" t="str">
        <f t="shared" si="4"/>
        <v/>
      </c>
    </row>
    <row r="81" ht="15.75" customHeight="1">
      <c r="A81" s="2"/>
      <c r="B81" s="2"/>
      <c r="C81" s="2"/>
      <c r="D81" s="2"/>
      <c r="E81" s="2" t="str">
        <f>IF($A81="","",COUNTIFS(Assignments!$B$6:$B$305,$A81,Assignments!$E$6:$E$305,"Active"))</f>
        <v/>
      </c>
      <c r="F81" s="2" t="str">
        <f>IF($A81="","",COUNTIFS(Assignments!$B$6:$B$305,$A81,Assignments!$D$6:$D$305,"&gt;="&amp;Config!$B$3-7,Assignments!$D$6:$D$305,"&lt;="&amp;Config!$B$3))</f>
        <v/>
      </c>
      <c r="G81" s="2" t="str">
        <f>IF($A81="","",MAXIFS(Assignments!$D$6:$D$305,Assignments!$B$6:$B$305,$A81))</f>
        <v/>
      </c>
      <c r="H81" s="2" t="str">
        <f>IF($A81="","",IF($G81="","",Config!$B$3-$G81))</f>
        <v/>
      </c>
      <c r="I81" s="2" t="str">
        <f t="shared" si="2"/>
        <v/>
      </c>
      <c r="J81" s="2" t="str">
        <f>IF($A81="","",IFERROR(AVERAGEIFS(Assignments!$N$6:$N$1000,Assignments!$B$6:$B$1000,$A81,Assignments!$E$6:$E$1000,"Completed"),""))</f>
        <v/>
      </c>
      <c r="K81" s="2" t="str">
        <f>IF(A81="","",IFERROR(AVERAGEIFS(Assignments!$AO:$AO,Assignments!$B:$B,A81,Assignments!$E:$E,"Completed"),""))</f>
        <v/>
      </c>
      <c r="L81" s="2" t="str">
        <f>IF($A81="","",IFERROR(COUNTIFS(Assignments!$B$6:$B$1000,$A81,Assignments!$E$6:$E$1000,"Cancelled")/MAX(1,COUNTIFS(Assignments!$B$6:$B$1000,$A81,Assignments!$E$6:$E$1000,"Completed")+COUNTIFS(Assignments!$B$6:$B$1000,$A81,Assignments!$E$6:$E$1000,"Cancelled")),""))</f>
        <v/>
      </c>
      <c r="M81" s="2" t="str">
        <f>IF($A81="","",IFERROR(AVERAGEIFS(Assignments!$P$6:$P$1000,Assignments!$B$6:$B$1000,$A81,Assignments!$E$6:$E$1000,"Completed"),""))</f>
        <v/>
      </c>
      <c r="N81" s="2"/>
      <c r="O81" s="2"/>
      <c r="P81" s="1" t="str">
        <f>IF(A81="","",MAX(0,MIN(3,SUMIFS(Strike_Log!$C:$C,Strike_Log!$B:$B,A81,Strike_Log!$A:$A,"&gt;="&amp;IF(Config!$B$1004="Y",TODAY()-Config!$B$1005,DATE(1900,1,1)),Strike_Log!$I:$I,1))))</f>
        <v/>
      </c>
      <c r="Q81" s="1">
        <f t="shared" si="3"/>
        <v>0</v>
      </c>
      <c r="R81" s="1" t="str">
        <f>IF(A81="","",IFERROR(AVERAGEIFS(Assignments!$J:$J,Assignments!$B:$B,A81,Assignments!$E:$E,"Completed"),""))</f>
        <v/>
      </c>
      <c r="S81" s="1" t="str">
        <f>IF(A81="","",COUNTIFS(Assignments!$B:$B,A81,Assignments!$AE:$AE, "Y",Assignments!$D:$D,"&gt;="&amp;TODAY()-30))</f>
        <v/>
      </c>
      <c r="T81" s="1" t="str">
        <f>IF(A81="","",COUNTIFS(Assignments!$AF:$AF,A81,Assignments!$AE:$AE, "Y",Assignments!$D:$D,"&gt;="&amp;TODAY()-30))</f>
        <v/>
      </c>
      <c r="U81" s="1" t="str">
        <f>IF(A81="","",IFERROR(S81/MAX(1,COUNTIFS(Assignments!$B:$B,A81,Assignments!$D:$D,"&gt;="&amp;TODAY()-30)),""))</f>
        <v/>
      </c>
      <c r="V81" s="1" t="str">
        <f t="shared" si="4"/>
        <v/>
      </c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 t="str">
        <f>IF($A82="","",IFERROR(AVERAGEIFS(Assignments!$N$6:$N$1000,Assignments!$B$6:$B$1000,$A82,Assignments!$E$6:$E$1000,"Completed"),""))</f>
        <v/>
      </c>
      <c r="K82" s="2" t="str">
        <f>IF(A82="","",IFERROR(AVERAGEIFS(Assignments!$AO:$AO,Assignments!$B:$B,A82,Assignments!$E:$E,"Completed"),""))</f>
        <v/>
      </c>
      <c r="L82" s="2" t="str">
        <f>IF($A82="","",IFERROR(COUNTIFS(Assignments!$B$6:$B$1000,$A82,Assignments!$E$6:$E$1000,"Cancelled")/MAX(1,COUNTIFS(Assignments!$B$6:$B$1000,$A82,Assignments!$E$6:$E$1000,"Completed")+COUNTIFS(Assignments!$B$6:$B$1000,$A82,Assignments!$E$6:$E$1000,"Cancelled")),""))</f>
        <v/>
      </c>
      <c r="M82" s="2" t="str">
        <f>IF($A82="","",IFERROR(AVERAGEIFS(Assignments!$P$6:$P$1000,Assignments!$B$6:$B$1000,$A82,Assignments!$E$6:$E$1000,"Completed"),""))</f>
        <v/>
      </c>
      <c r="N82" s="2"/>
      <c r="O82" s="2"/>
      <c r="P82" s="1" t="str">
        <f>IF(A82="","",MAX(0,MIN(3,SUMIFS(Strike_Log!$C:$C,Strike_Log!$B:$B,A82,Strike_Log!$A:$A,"&gt;="&amp;IF(Config!$B$1004="Y",TODAY()-Config!$B$1005,DATE(1900,1,1)),Strike_Log!$I:$I,1))))</f>
        <v/>
      </c>
      <c r="Q82" s="1">
        <f t="shared" si="3"/>
        <v>0</v>
      </c>
      <c r="R82" s="1" t="str">
        <f>IF(A82="","",IFERROR(AVERAGEIFS(Assignments!$J:$J,Assignments!$B:$B,A82,Assignments!$E:$E,"Completed"),""))</f>
        <v/>
      </c>
      <c r="S82" s="1" t="str">
        <f>IF(A82="","",COUNTIFS(Assignments!$B:$B,A82,Assignments!$AE:$AE, "Y",Assignments!$D:$D,"&gt;="&amp;TODAY()-30))</f>
        <v/>
      </c>
      <c r="T82" s="1" t="str">
        <f>IF(A82="","",COUNTIFS(Assignments!$AF:$AF,A82,Assignments!$AE:$AE, "Y",Assignments!$D:$D,"&gt;="&amp;TODAY()-30))</f>
        <v/>
      </c>
      <c r="U82" s="1" t="str">
        <f>IF(A82="","",IFERROR(S82/MAX(1,COUNTIFS(Assignments!$B:$B,A82,Assignments!$D:$D,"&gt;="&amp;TODAY()-30)),""))</f>
        <v/>
      </c>
      <c r="V82" s="1" t="str">
        <f t="shared" si="4"/>
        <v/>
      </c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 t="str">
        <f>IF($A83="","",IFERROR(AVERAGEIFS(Assignments!$N$6:$N$1000,Assignments!$B$6:$B$1000,$A83,Assignments!$E$6:$E$1000,"Completed"),""))</f>
        <v/>
      </c>
      <c r="K83" s="2" t="str">
        <f>IF(A83="","",IFERROR(AVERAGEIFS(Assignments!$AO:$AO,Assignments!$B:$B,A83,Assignments!$E:$E,"Completed"),""))</f>
        <v/>
      </c>
      <c r="L83" s="2" t="str">
        <f>IF($A83="","",IFERROR(COUNTIFS(Assignments!$B$6:$B$1000,$A83,Assignments!$E$6:$E$1000,"Cancelled")/MAX(1,COUNTIFS(Assignments!$B$6:$B$1000,$A83,Assignments!$E$6:$E$1000,"Completed")+COUNTIFS(Assignments!$B$6:$B$1000,$A83,Assignments!$E$6:$E$1000,"Cancelled")),""))</f>
        <v/>
      </c>
      <c r="M83" s="2" t="str">
        <f>IF($A83="","",IFERROR(AVERAGEIFS(Assignments!$P$6:$P$1000,Assignments!$B$6:$B$1000,$A83,Assignments!$E$6:$E$1000,"Completed"),""))</f>
        <v/>
      </c>
      <c r="N83" s="2"/>
      <c r="O83" s="2"/>
      <c r="P83" s="1" t="str">
        <f>IF(A83="","",MAX(0,MIN(3,SUMIFS(Strike_Log!$C:$C,Strike_Log!$B:$B,A83,Strike_Log!$A:$A,"&gt;="&amp;IF(Config!$B$1004="Y",TODAY()-Config!$B$1005,DATE(1900,1,1)),Strike_Log!$I:$I,1))))</f>
        <v/>
      </c>
      <c r="Q83" s="1">
        <f t="shared" si="3"/>
        <v>0</v>
      </c>
      <c r="R83" s="1" t="str">
        <f>IF(A83="","",IFERROR(AVERAGEIFS(Assignments!$J:$J,Assignments!$B:$B,A83,Assignments!$E:$E,"Completed"),""))</f>
        <v/>
      </c>
      <c r="S83" s="1" t="str">
        <f>IF(A83="","",COUNTIFS(Assignments!$B:$B,A83,Assignments!$AE:$AE, "Y",Assignments!$D:$D,"&gt;="&amp;TODAY()-30))</f>
        <v/>
      </c>
      <c r="T83" s="1" t="str">
        <f>IF(A83="","",COUNTIFS(Assignments!$AF:$AF,A83,Assignments!$AE:$AE, "Y",Assignments!$D:$D,"&gt;="&amp;TODAY()-30))</f>
        <v/>
      </c>
      <c r="U83" s="1" t="str">
        <f>IF(A83="","",IFERROR(S83/MAX(1,COUNTIFS(Assignments!$B:$B,A83,Assignments!$D:$D,"&gt;="&amp;TODAY()-30)),""))</f>
        <v/>
      </c>
      <c r="V83" s="1" t="str">
        <f t="shared" si="4"/>
        <v/>
      </c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 t="str">
        <f>IF($A84="","",IFERROR(AVERAGEIFS(Assignments!$N$6:$N$1000,Assignments!$B$6:$B$1000,$A84,Assignments!$E$6:$E$1000,"Completed"),""))</f>
        <v/>
      </c>
      <c r="K84" s="2" t="str">
        <f>IF(A84="","",IFERROR(AVERAGEIFS(Assignments!$AO:$AO,Assignments!$B:$B,A84,Assignments!$E:$E,"Completed"),""))</f>
        <v/>
      </c>
      <c r="L84" s="2" t="str">
        <f>IF($A84="","",IFERROR(COUNTIFS(Assignments!$B$6:$B$1000,$A84,Assignments!$E$6:$E$1000,"Cancelled")/MAX(1,COUNTIFS(Assignments!$B$6:$B$1000,$A84,Assignments!$E$6:$E$1000,"Completed")+COUNTIFS(Assignments!$B$6:$B$1000,$A84,Assignments!$E$6:$E$1000,"Cancelled")),""))</f>
        <v/>
      </c>
      <c r="M84" s="2" t="str">
        <f>IF($A84="","",IFERROR(AVERAGEIFS(Assignments!$P$6:$P$1000,Assignments!$B$6:$B$1000,$A84,Assignments!$E$6:$E$1000,"Completed"),""))</f>
        <v/>
      </c>
      <c r="N84" s="2"/>
      <c r="O84" s="2"/>
      <c r="P84" s="1" t="str">
        <f>IF(A84="","",MAX(0,MIN(3,SUMIFS(Strike_Log!$C:$C,Strike_Log!$B:$B,A84,Strike_Log!$A:$A,"&gt;="&amp;IF(Config!$B$1004="Y",TODAY()-Config!$B$1005,DATE(1900,1,1)),Strike_Log!$I:$I,1))))</f>
        <v/>
      </c>
      <c r="Q84" s="1">
        <f t="shared" si="3"/>
        <v>0</v>
      </c>
      <c r="R84" s="1" t="str">
        <f>IF(A84="","",IFERROR(AVERAGEIFS(Assignments!$J:$J,Assignments!$B:$B,A84,Assignments!$E:$E,"Completed"),""))</f>
        <v/>
      </c>
      <c r="S84" s="1" t="str">
        <f>IF(A84="","",COUNTIFS(Assignments!$B:$B,A84,Assignments!$AE:$AE, "Y",Assignments!$D:$D,"&gt;="&amp;TODAY()-30))</f>
        <v/>
      </c>
      <c r="T84" s="1" t="str">
        <f>IF(A84="","",COUNTIFS(Assignments!$AF:$AF,A84,Assignments!$AE:$AE, "Y",Assignments!$D:$D,"&gt;="&amp;TODAY()-30))</f>
        <v/>
      </c>
      <c r="U84" s="1" t="str">
        <f>IF(A84="","",IFERROR(S84/MAX(1,COUNTIFS(Assignments!$B:$B,A84,Assignments!$D:$D,"&gt;="&amp;TODAY()-30)),""))</f>
        <v/>
      </c>
      <c r="V84" s="1" t="str">
        <f t="shared" si="4"/>
        <v/>
      </c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 t="str">
        <f>IF($A85="","",IFERROR(AVERAGEIFS(Assignments!$N$6:$N$1000,Assignments!$B$6:$B$1000,$A85,Assignments!$E$6:$E$1000,"Completed"),""))</f>
        <v/>
      </c>
      <c r="K85" s="2" t="str">
        <f>IF(A85="","",IFERROR(AVERAGEIFS(Assignments!$AO:$AO,Assignments!$B:$B,A85,Assignments!$E:$E,"Completed"),""))</f>
        <v/>
      </c>
      <c r="L85" s="2" t="str">
        <f>IF($A85="","",IFERROR(COUNTIFS(Assignments!$B$6:$B$1000,$A85,Assignments!$E$6:$E$1000,"Cancelled")/MAX(1,COUNTIFS(Assignments!$B$6:$B$1000,$A85,Assignments!$E$6:$E$1000,"Completed")+COUNTIFS(Assignments!$B$6:$B$1000,$A85,Assignments!$E$6:$E$1000,"Cancelled")),""))</f>
        <v/>
      </c>
      <c r="M85" s="2" t="str">
        <f>IF($A85="","",IFERROR(AVERAGEIFS(Assignments!$P$6:$P$1000,Assignments!$B$6:$B$1000,$A85,Assignments!$E$6:$E$1000,"Completed"),""))</f>
        <v/>
      </c>
      <c r="N85" s="2"/>
      <c r="O85" s="2"/>
      <c r="P85" s="1" t="str">
        <f>IF(A85="","",MAX(0,MIN(3,SUMIFS(Strike_Log!$C:$C,Strike_Log!$B:$B,A85,Strike_Log!$A:$A,"&gt;="&amp;IF(Config!$B$1004="Y",TODAY()-Config!$B$1005,DATE(1900,1,1)),Strike_Log!$I:$I,1))))</f>
        <v/>
      </c>
      <c r="Q85" s="1">
        <f t="shared" si="3"/>
        <v>0</v>
      </c>
      <c r="R85" s="1" t="str">
        <f>IF(A85="","",IFERROR(AVERAGEIFS(Assignments!$J:$J,Assignments!$B:$B,A85,Assignments!$E:$E,"Completed"),""))</f>
        <v/>
      </c>
      <c r="S85" s="1" t="str">
        <f>IF(A85="","",COUNTIFS(Assignments!$B:$B,A85,Assignments!$AE:$AE, "Y",Assignments!$D:$D,"&gt;="&amp;TODAY()-30))</f>
        <v/>
      </c>
      <c r="T85" s="1" t="str">
        <f>IF(A85="","",COUNTIFS(Assignments!$AF:$AF,A85,Assignments!$AE:$AE, "Y",Assignments!$D:$D,"&gt;="&amp;TODAY()-30))</f>
        <v/>
      </c>
      <c r="U85" s="1" t="str">
        <f>IF(A85="","",IFERROR(S85/MAX(1,COUNTIFS(Assignments!$B:$B,A85,Assignments!$D:$D,"&gt;="&amp;TODAY()-30)),""))</f>
        <v/>
      </c>
      <c r="V85" s="1" t="str">
        <f t="shared" si="4"/>
        <v/>
      </c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 t="str">
        <f>IF($A86="","",IFERROR(AVERAGEIFS(Assignments!$N$6:$N$1000,Assignments!$B$6:$B$1000,$A86,Assignments!$E$6:$E$1000,"Completed"),""))</f>
        <v/>
      </c>
      <c r="K86" s="2" t="str">
        <f>IF(A86="","",IFERROR(AVERAGEIFS(Assignments!$AO:$AO,Assignments!$B:$B,A86,Assignments!$E:$E,"Completed"),""))</f>
        <v/>
      </c>
      <c r="L86" s="2" t="str">
        <f>IF($A86="","",IFERROR(COUNTIFS(Assignments!$B$6:$B$1000,$A86,Assignments!$E$6:$E$1000,"Cancelled")/MAX(1,COUNTIFS(Assignments!$B$6:$B$1000,$A86,Assignments!$E$6:$E$1000,"Completed")+COUNTIFS(Assignments!$B$6:$B$1000,$A86,Assignments!$E$6:$E$1000,"Cancelled")),""))</f>
        <v/>
      </c>
      <c r="M86" s="2" t="str">
        <f>IF($A86="","",IFERROR(AVERAGEIFS(Assignments!$P$6:$P$1000,Assignments!$B$6:$B$1000,$A86,Assignments!$E$6:$E$1000,"Completed"),""))</f>
        <v/>
      </c>
      <c r="N86" s="2"/>
      <c r="O86" s="2"/>
      <c r="P86" s="1" t="str">
        <f>IF(A86="","",MAX(0,MIN(3,SUMIFS(Strike_Log!$C:$C,Strike_Log!$B:$B,A86,Strike_Log!$A:$A,"&gt;="&amp;IF(Config!$B$1004="Y",TODAY()-Config!$B$1005,DATE(1900,1,1)),Strike_Log!$I:$I,1))))</f>
        <v/>
      </c>
      <c r="Q86" s="1">
        <f t="shared" si="3"/>
        <v>0</v>
      </c>
      <c r="R86" s="1" t="str">
        <f>IF(A86="","",IFERROR(AVERAGEIFS(Assignments!$J:$J,Assignments!$B:$B,A86,Assignments!$E:$E,"Completed"),""))</f>
        <v/>
      </c>
      <c r="S86" s="1" t="str">
        <f>IF(A86="","",COUNTIFS(Assignments!$B:$B,A86,Assignments!$AE:$AE, "Y",Assignments!$D:$D,"&gt;="&amp;TODAY()-30))</f>
        <v/>
      </c>
      <c r="T86" s="1" t="str">
        <f>IF(A86="","",COUNTIFS(Assignments!$AF:$AF,A86,Assignments!$AE:$AE, "Y",Assignments!$D:$D,"&gt;="&amp;TODAY()-30))</f>
        <v/>
      </c>
      <c r="U86" s="1" t="str">
        <f>IF(A86="","",IFERROR(S86/MAX(1,COUNTIFS(Assignments!$B:$B,A86,Assignments!$D:$D,"&gt;="&amp;TODAY()-30)),""))</f>
        <v/>
      </c>
      <c r="V86" s="1" t="str">
        <f t="shared" si="4"/>
        <v/>
      </c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 t="str">
        <f>IF($A87="","",IFERROR(AVERAGEIFS(Assignments!$N$6:$N$1000,Assignments!$B$6:$B$1000,$A87,Assignments!$E$6:$E$1000,"Completed"),""))</f>
        <v/>
      </c>
      <c r="K87" s="2" t="str">
        <f>IF(A87="","",IFERROR(AVERAGEIFS(Assignments!$AO:$AO,Assignments!$B:$B,A87,Assignments!$E:$E,"Completed"),""))</f>
        <v/>
      </c>
      <c r="L87" s="2" t="str">
        <f>IF($A87="","",IFERROR(COUNTIFS(Assignments!$B$6:$B$1000,$A87,Assignments!$E$6:$E$1000,"Cancelled")/MAX(1,COUNTIFS(Assignments!$B$6:$B$1000,$A87,Assignments!$E$6:$E$1000,"Completed")+COUNTIFS(Assignments!$B$6:$B$1000,$A87,Assignments!$E$6:$E$1000,"Cancelled")),""))</f>
        <v/>
      </c>
      <c r="M87" s="2" t="str">
        <f>IF($A87="","",IFERROR(AVERAGEIFS(Assignments!$P$6:$P$1000,Assignments!$B$6:$B$1000,$A87,Assignments!$E$6:$E$1000,"Completed"),""))</f>
        <v/>
      </c>
      <c r="N87" s="2"/>
      <c r="O87" s="2"/>
      <c r="P87" s="1" t="str">
        <f>IF(A87="","",MAX(0,MIN(3,SUMIFS(Strike_Log!$C:$C,Strike_Log!$B:$B,A87,Strike_Log!$A:$A,"&gt;="&amp;IF(Config!$B$1004="Y",TODAY()-Config!$B$1005,DATE(1900,1,1)),Strike_Log!$I:$I,1))))</f>
        <v/>
      </c>
      <c r="Q87" s="1">
        <f t="shared" si="3"/>
        <v>0</v>
      </c>
      <c r="R87" s="1" t="str">
        <f>IF(A87="","",IFERROR(AVERAGEIFS(Assignments!$J:$J,Assignments!$B:$B,A87,Assignments!$E:$E,"Completed"),""))</f>
        <v/>
      </c>
      <c r="S87" s="1" t="str">
        <f>IF(A87="","",COUNTIFS(Assignments!$B:$B,A87,Assignments!$AE:$AE, "Y",Assignments!$D:$D,"&gt;="&amp;TODAY()-30))</f>
        <v/>
      </c>
      <c r="T87" s="1" t="str">
        <f>IF(A87="","",COUNTIFS(Assignments!$AF:$AF,A87,Assignments!$AE:$AE, "Y",Assignments!$D:$D,"&gt;="&amp;TODAY()-30))</f>
        <v/>
      </c>
      <c r="U87" s="1" t="str">
        <f>IF(A87="","",IFERROR(S87/MAX(1,COUNTIFS(Assignments!$B:$B,A87,Assignments!$D:$D,"&gt;="&amp;TODAY()-30)),""))</f>
        <v/>
      </c>
      <c r="V87" s="1" t="str">
        <f t="shared" si="4"/>
        <v/>
      </c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 t="str">
        <f>IF($A88="","",IFERROR(AVERAGEIFS(Assignments!$N$6:$N$1000,Assignments!$B$6:$B$1000,$A88,Assignments!$E$6:$E$1000,"Completed"),""))</f>
        <v/>
      </c>
      <c r="K88" s="2" t="str">
        <f>IF(A88="","",IFERROR(AVERAGEIFS(Assignments!$AO:$AO,Assignments!$B:$B,A88,Assignments!$E:$E,"Completed"),""))</f>
        <v/>
      </c>
      <c r="L88" s="2" t="str">
        <f>IF($A88="","",IFERROR(COUNTIFS(Assignments!$B$6:$B$1000,$A88,Assignments!$E$6:$E$1000,"Cancelled")/MAX(1,COUNTIFS(Assignments!$B$6:$B$1000,$A88,Assignments!$E$6:$E$1000,"Completed")+COUNTIFS(Assignments!$B$6:$B$1000,$A88,Assignments!$E$6:$E$1000,"Cancelled")),""))</f>
        <v/>
      </c>
      <c r="M88" s="2" t="str">
        <f>IF($A88="","",IFERROR(AVERAGEIFS(Assignments!$P$6:$P$1000,Assignments!$B$6:$B$1000,$A88,Assignments!$E$6:$E$1000,"Completed"),""))</f>
        <v/>
      </c>
      <c r="N88" s="2"/>
      <c r="O88" s="2"/>
      <c r="P88" s="1" t="str">
        <f>IF(A88="","",MAX(0,MIN(3,SUMIFS(Strike_Log!$C:$C,Strike_Log!$B:$B,A88,Strike_Log!$A:$A,"&gt;="&amp;IF(Config!$B$1004="Y",TODAY()-Config!$B$1005,DATE(1900,1,1)),Strike_Log!$I:$I,1))))</f>
        <v/>
      </c>
      <c r="Q88" s="1">
        <f t="shared" si="3"/>
        <v>0</v>
      </c>
      <c r="R88" s="1" t="str">
        <f>IF(A88="","",IFERROR(AVERAGEIFS(Assignments!$J:$J,Assignments!$B:$B,A88,Assignments!$E:$E,"Completed"),""))</f>
        <v/>
      </c>
      <c r="S88" s="1" t="str">
        <f>IF(A88="","",COUNTIFS(Assignments!$B:$B,A88,Assignments!$AE:$AE, "Y",Assignments!$D:$D,"&gt;="&amp;TODAY()-30))</f>
        <v/>
      </c>
      <c r="T88" s="1" t="str">
        <f>IF(A88="","",COUNTIFS(Assignments!$AF:$AF,A88,Assignments!$AE:$AE, "Y",Assignments!$D:$D,"&gt;="&amp;TODAY()-30))</f>
        <v/>
      </c>
      <c r="U88" s="1" t="str">
        <f>IF(A88="","",IFERROR(S88/MAX(1,COUNTIFS(Assignments!$B:$B,A88,Assignments!$D:$D,"&gt;="&amp;TODAY()-30)),""))</f>
        <v/>
      </c>
      <c r="V88" s="1" t="str">
        <f t="shared" si="4"/>
        <v/>
      </c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 t="str">
        <f>IF($A89="","",IFERROR(AVERAGEIFS(Assignments!$N$6:$N$1000,Assignments!$B$6:$B$1000,$A89,Assignments!$E$6:$E$1000,"Completed"),""))</f>
        <v/>
      </c>
      <c r="K89" s="2" t="str">
        <f>IF(A89="","",IFERROR(AVERAGEIFS(Assignments!$AO:$AO,Assignments!$B:$B,A89,Assignments!$E:$E,"Completed"),""))</f>
        <v/>
      </c>
      <c r="L89" s="2" t="str">
        <f>IF($A89="","",IFERROR(COUNTIFS(Assignments!$B$6:$B$1000,$A89,Assignments!$E$6:$E$1000,"Cancelled")/MAX(1,COUNTIFS(Assignments!$B$6:$B$1000,$A89,Assignments!$E$6:$E$1000,"Completed")+COUNTIFS(Assignments!$B$6:$B$1000,$A89,Assignments!$E$6:$E$1000,"Cancelled")),""))</f>
        <v/>
      </c>
      <c r="M89" s="2" t="str">
        <f>IF($A89="","",IFERROR(AVERAGEIFS(Assignments!$P$6:$P$1000,Assignments!$B$6:$B$1000,$A89,Assignments!$E$6:$E$1000,"Completed"),""))</f>
        <v/>
      </c>
      <c r="N89" s="2"/>
      <c r="O89" s="2"/>
      <c r="P89" s="1" t="str">
        <f>IF(A89="","",MAX(0,MIN(3,SUMIFS(Strike_Log!$C:$C,Strike_Log!$B:$B,A89,Strike_Log!$A:$A,"&gt;="&amp;IF(Config!$B$1004="Y",TODAY()-Config!$B$1005,DATE(1900,1,1)),Strike_Log!$I:$I,1))))</f>
        <v/>
      </c>
      <c r="Q89" s="1">
        <f t="shared" si="3"/>
        <v>0</v>
      </c>
      <c r="R89" s="1" t="str">
        <f>IF(A89="","",IFERROR(AVERAGEIFS(Assignments!$J:$J,Assignments!$B:$B,A89,Assignments!$E:$E,"Completed"),""))</f>
        <v/>
      </c>
      <c r="S89" s="1" t="str">
        <f>IF(A89="","",COUNTIFS(Assignments!$B:$B,A89,Assignments!$AE:$AE, "Y",Assignments!$D:$D,"&gt;="&amp;TODAY()-30))</f>
        <v/>
      </c>
      <c r="T89" s="1" t="str">
        <f>IF(A89="","",COUNTIFS(Assignments!$AF:$AF,A89,Assignments!$AE:$AE, "Y",Assignments!$D:$D,"&gt;="&amp;TODAY()-30))</f>
        <v/>
      </c>
      <c r="U89" s="1" t="str">
        <f>IF(A89="","",IFERROR(S89/MAX(1,COUNTIFS(Assignments!$B:$B,A89,Assignments!$D:$D,"&gt;="&amp;TODAY()-30)),""))</f>
        <v/>
      </c>
      <c r="V89" s="1" t="str">
        <f t="shared" si="4"/>
        <v/>
      </c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 t="str">
        <f>IF($A90="","",IFERROR(AVERAGEIFS(Assignments!$N$6:$N$1000,Assignments!$B$6:$B$1000,$A90,Assignments!$E$6:$E$1000,"Completed"),""))</f>
        <v/>
      </c>
      <c r="K90" s="2" t="str">
        <f>IF(A90="","",IFERROR(AVERAGEIFS(Assignments!$AO:$AO,Assignments!$B:$B,A90,Assignments!$E:$E,"Completed"),""))</f>
        <v/>
      </c>
      <c r="L90" s="2" t="str">
        <f>IF($A90="","",IFERROR(COUNTIFS(Assignments!$B$6:$B$1000,$A90,Assignments!$E$6:$E$1000,"Cancelled")/MAX(1,COUNTIFS(Assignments!$B$6:$B$1000,$A90,Assignments!$E$6:$E$1000,"Completed")+COUNTIFS(Assignments!$B$6:$B$1000,$A90,Assignments!$E$6:$E$1000,"Cancelled")),""))</f>
        <v/>
      </c>
      <c r="M90" s="2" t="str">
        <f>IF($A90="","",IFERROR(AVERAGEIFS(Assignments!$P$6:$P$1000,Assignments!$B$6:$B$1000,$A90,Assignments!$E$6:$E$1000,"Completed"),""))</f>
        <v/>
      </c>
      <c r="N90" s="2"/>
      <c r="O90" s="2"/>
      <c r="P90" s="1" t="str">
        <f>IF(A90="","",MAX(0,MIN(3,SUMIFS(Strike_Log!$C:$C,Strike_Log!$B:$B,A90,Strike_Log!$A:$A,"&gt;="&amp;IF(Config!$B$1004="Y",TODAY()-Config!$B$1005,DATE(1900,1,1)),Strike_Log!$I:$I,1))))</f>
        <v/>
      </c>
      <c r="Q90" s="1">
        <f t="shared" si="3"/>
        <v>0</v>
      </c>
      <c r="R90" s="1" t="str">
        <f>IF(A90="","",IFERROR(AVERAGEIFS(Assignments!$J:$J,Assignments!$B:$B,A90,Assignments!$E:$E,"Completed"),""))</f>
        <v/>
      </c>
      <c r="S90" s="1" t="str">
        <f>IF(A90="","",COUNTIFS(Assignments!$B:$B,A90,Assignments!$AE:$AE, "Y",Assignments!$D:$D,"&gt;="&amp;TODAY()-30))</f>
        <v/>
      </c>
      <c r="T90" s="1" t="str">
        <f>IF(A90="","",COUNTIFS(Assignments!$AF:$AF,A90,Assignments!$AE:$AE, "Y",Assignments!$D:$D,"&gt;="&amp;TODAY()-30))</f>
        <v/>
      </c>
      <c r="U90" s="1" t="str">
        <f>IF(A90="","",IFERROR(S90/MAX(1,COUNTIFS(Assignments!$B:$B,A90,Assignments!$D:$D,"&gt;="&amp;TODAY()-30)),""))</f>
        <v/>
      </c>
      <c r="V90" s="1" t="str">
        <f t="shared" si="4"/>
        <v/>
      </c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 t="str">
        <f>IF($A91="","",IFERROR(AVERAGEIFS(Assignments!$N$6:$N$1000,Assignments!$B$6:$B$1000,$A91,Assignments!$E$6:$E$1000,"Completed"),""))</f>
        <v/>
      </c>
      <c r="K91" s="2" t="str">
        <f>IF(A91="","",IFERROR(AVERAGEIFS(Assignments!$AO:$AO,Assignments!$B:$B,A91,Assignments!$E:$E,"Completed"),""))</f>
        <v/>
      </c>
      <c r="L91" s="2" t="str">
        <f>IF($A91="","",IFERROR(COUNTIFS(Assignments!$B$6:$B$1000,$A91,Assignments!$E$6:$E$1000,"Cancelled")/MAX(1,COUNTIFS(Assignments!$B$6:$B$1000,$A91,Assignments!$E$6:$E$1000,"Completed")+COUNTIFS(Assignments!$B$6:$B$1000,$A91,Assignments!$E$6:$E$1000,"Cancelled")),""))</f>
        <v/>
      </c>
      <c r="M91" s="2" t="str">
        <f>IF($A91="","",IFERROR(AVERAGEIFS(Assignments!$P$6:$P$1000,Assignments!$B$6:$B$1000,$A91,Assignments!$E$6:$E$1000,"Completed"),""))</f>
        <v/>
      </c>
      <c r="N91" s="2"/>
      <c r="O91" s="2"/>
      <c r="P91" s="1" t="str">
        <f>IF(A91="","",MAX(0,MIN(3,SUMIFS(Strike_Log!$C:$C,Strike_Log!$B:$B,A91,Strike_Log!$A:$A,"&gt;="&amp;IF(Config!$B$1004="Y",TODAY()-Config!$B$1005,DATE(1900,1,1)),Strike_Log!$I:$I,1))))</f>
        <v/>
      </c>
      <c r="Q91" s="1">
        <f t="shared" si="3"/>
        <v>0</v>
      </c>
      <c r="R91" s="1" t="str">
        <f>IF(A91="","",IFERROR(AVERAGEIFS(Assignments!$J:$J,Assignments!$B:$B,A91,Assignments!$E:$E,"Completed"),""))</f>
        <v/>
      </c>
      <c r="S91" s="1" t="str">
        <f>IF(A91="","",COUNTIFS(Assignments!$B:$B,A91,Assignments!$AE:$AE, "Y",Assignments!$D:$D,"&gt;="&amp;TODAY()-30))</f>
        <v/>
      </c>
      <c r="T91" s="1" t="str">
        <f>IF(A91="","",COUNTIFS(Assignments!$AF:$AF,A91,Assignments!$AE:$AE, "Y",Assignments!$D:$D,"&gt;="&amp;TODAY()-30))</f>
        <v/>
      </c>
      <c r="U91" s="1" t="str">
        <f>IF(A91="","",IFERROR(S91/MAX(1,COUNTIFS(Assignments!$B:$B,A91,Assignments!$D:$D,"&gt;="&amp;TODAY()-30)),""))</f>
        <v/>
      </c>
      <c r="V91" s="1" t="str">
        <f t="shared" si="4"/>
        <v/>
      </c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 t="str">
        <f>IF($A92="","",IFERROR(AVERAGEIFS(Assignments!$N$6:$N$1000,Assignments!$B$6:$B$1000,$A92,Assignments!$E$6:$E$1000,"Completed"),""))</f>
        <v/>
      </c>
      <c r="K92" s="2" t="str">
        <f>IF(A92="","",IFERROR(AVERAGEIFS(Assignments!$AO:$AO,Assignments!$B:$B,A92,Assignments!$E:$E,"Completed"),""))</f>
        <v/>
      </c>
      <c r="L92" s="2" t="str">
        <f>IF($A92="","",IFERROR(COUNTIFS(Assignments!$B$6:$B$1000,$A92,Assignments!$E$6:$E$1000,"Cancelled")/MAX(1,COUNTIFS(Assignments!$B$6:$B$1000,$A92,Assignments!$E$6:$E$1000,"Completed")+COUNTIFS(Assignments!$B$6:$B$1000,$A92,Assignments!$E$6:$E$1000,"Cancelled")),""))</f>
        <v/>
      </c>
      <c r="M92" s="2" t="str">
        <f>IF($A92="","",IFERROR(AVERAGEIFS(Assignments!$P$6:$P$1000,Assignments!$B$6:$B$1000,$A92,Assignments!$E$6:$E$1000,"Completed"),""))</f>
        <v/>
      </c>
      <c r="N92" s="2"/>
      <c r="O92" s="2"/>
      <c r="P92" s="1" t="str">
        <f>IF(A92="","",MAX(0,MIN(3,SUMIFS(Strike_Log!$C:$C,Strike_Log!$B:$B,A92,Strike_Log!$A:$A,"&gt;="&amp;IF(Config!$B$1004="Y",TODAY()-Config!$B$1005,DATE(1900,1,1)),Strike_Log!$I:$I,1))))</f>
        <v/>
      </c>
      <c r="Q92" s="1">
        <f t="shared" si="3"/>
        <v>0</v>
      </c>
      <c r="R92" s="1" t="str">
        <f>IF(A92="","",IFERROR(AVERAGEIFS(Assignments!$J:$J,Assignments!$B:$B,A92,Assignments!$E:$E,"Completed"),""))</f>
        <v/>
      </c>
      <c r="S92" s="1" t="str">
        <f>IF(A92="","",COUNTIFS(Assignments!$B:$B,A92,Assignments!$AE:$AE, "Y",Assignments!$D:$D,"&gt;="&amp;TODAY()-30))</f>
        <v/>
      </c>
      <c r="T92" s="1" t="str">
        <f>IF(A92="","",COUNTIFS(Assignments!$AF:$AF,A92,Assignments!$AE:$AE, "Y",Assignments!$D:$D,"&gt;="&amp;TODAY()-30))</f>
        <v/>
      </c>
      <c r="U92" s="1" t="str">
        <f>IF(A92="","",IFERROR(S92/MAX(1,COUNTIFS(Assignments!$B:$B,A92,Assignments!$D:$D,"&gt;="&amp;TODAY()-30)),""))</f>
        <v/>
      </c>
      <c r="V92" s="1" t="str">
        <f t="shared" si="4"/>
        <v/>
      </c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 t="str">
        <f>IF($A93="","",IFERROR(AVERAGEIFS(Assignments!$N$6:$N$1000,Assignments!$B$6:$B$1000,$A93,Assignments!$E$6:$E$1000,"Completed"),""))</f>
        <v/>
      </c>
      <c r="K93" s="2" t="str">
        <f>IF(A93="","",IFERROR(AVERAGEIFS(Assignments!$AO:$AO,Assignments!$B:$B,A93,Assignments!$E:$E,"Completed"),""))</f>
        <v/>
      </c>
      <c r="L93" s="2" t="str">
        <f>IF($A93="","",IFERROR(COUNTIFS(Assignments!$B$6:$B$1000,$A93,Assignments!$E$6:$E$1000,"Cancelled")/MAX(1,COUNTIFS(Assignments!$B$6:$B$1000,$A93,Assignments!$E$6:$E$1000,"Completed")+COUNTIFS(Assignments!$B$6:$B$1000,$A93,Assignments!$E$6:$E$1000,"Cancelled")),""))</f>
        <v/>
      </c>
      <c r="M93" s="2" t="str">
        <f>IF($A93="","",IFERROR(AVERAGEIFS(Assignments!$P$6:$P$1000,Assignments!$B$6:$B$1000,$A93,Assignments!$E$6:$E$1000,"Completed"),""))</f>
        <v/>
      </c>
      <c r="N93" s="2"/>
      <c r="O93" s="2"/>
      <c r="P93" s="1" t="str">
        <f>IF(A93="","",MAX(0,MIN(3,SUMIFS(Strike_Log!$C:$C,Strike_Log!$B:$B,A93,Strike_Log!$A:$A,"&gt;="&amp;IF(Config!$B$1004="Y",TODAY()-Config!$B$1005,DATE(1900,1,1)),Strike_Log!$I:$I,1))))</f>
        <v/>
      </c>
      <c r="Q93" s="1">
        <f t="shared" si="3"/>
        <v>0</v>
      </c>
      <c r="R93" s="1" t="str">
        <f>IF(A93="","",IFERROR(AVERAGEIFS(Assignments!$J:$J,Assignments!$B:$B,A93,Assignments!$E:$E,"Completed"),""))</f>
        <v/>
      </c>
      <c r="S93" s="1" t="str">
        <f>IF(A93="","",COUNTIFS(Assignments!$B:$B,A93,Assignments!$AE:$AE, "Y",Assignments!$D:$D,"&gt;="&amp;TODAY()-30))</f>
        <v/>
      </c>
      <c r="T93" s="1" t="str">
        <f>IF(A93="","",COUNTIFS(Assignments!$AF:$AF,A93,Assignments!$AE:$AE, "Y",Assignments!$D:$D,"&gt;="&amp;TODAY()-30))</f>
        <v/>
      </c>
      <c r="U93" s="1" t="str">
        <f>IF(A93="","",IFERROR(S93/MAX(1,COUNTIFS(Assignments!$B:$B,A93,Assignments!$D:$D,"&gt;="&amp;TODAY()-30)),""))</f>
        <v/>
      </c>
      <c r="V93" s="1" t="str">
        <f t="shared" si="4"/>
        <v/>
      </c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 t="str">
        <f>IF($A94="","",IFERROR(AVERAGEIFS(Assignments!$N$6:$N$1000,Assignments!$B$6:$B$1000,$A94,Assignments!$E$6:$E$1000,"Completed"),""))</f>
        <v/>
      </c>
      <c r="K94" s="2" t="str">
        <f>IF(A94="","",IFERROR(AVERAGEIFS(Assignments!$AO:$AO,Assignments!$B:$B,A94,Assignments!$E:$E,"Completed"),""))</f>
        <v/>
      </c>
      <c r="L94" s="2" t="str">
        <f>IF($A94="","",IFERROR(COUNTIFS(Assignments!$B$6:$B$1000,$A94,Assignments!$E$6:$E$1000,"Cancelled")/MAX(1,COUNTIFS(Assignments!$B$6:$B$1000,$A94,Assignments!$E$6:$E$1000,"Completed")+COUNTIFS(Assignments!$B$6:$B$1000,$A94,Assignments!$E$6:$E$1000,"Cancelled")),""))</f>
        <v/>
      </c>
      <c r="M94" s="2" t="str">
        <f>IF($A94="","",IFERROR(AVERAGEIFS(Assignments!$P$6:$P$1000,Assignments!$B$6:$B$1000,$A94,Assignments!$E$6:$E$1000,"Completed"),""))</f>
        <v/>
      </c>
      <c r="N94" s="2"/>
      <c r="O94" s="2"/>
      <c r="P94" s="1" t="str">
        <f>IF(A94="","",MAX(0,MIN(3,SUMIFS(Strike_Log!$C:$C,Strike_Log!$B:$B,A94,Strike_Log!$A:$A,"&gt;="&amp;IF(Config!$B$1004="Y",TODAY()-Config!$B$1005,DATE(1900,1,1)),Strike_Log!$I:$I,1))))</f>
        <v/>
      </c>
      <c r="Q94" s="1">
        <f t="shared" si="3"/>
        <v>0</v>
      </c>
      <c r="R94" s="1" t="str">
        <f>IF(A94="","",IFERROR(AVERAGEIFS(Assignments!$J:$J,Assignments!$B:$B,A94,Assignments!$E:$E,"Completed"),""))</f>
        <v/>
      </c>
      <c r="S94" s="1" t="str">
        <f>IF(A94="","",COUNTIFS(Assignments!$B:$B,A94,Assignments!$AE:$AE, "Y",Assignments!$D:$D,"&gt;="&amp;TODAY()-30))</f>
        <v/>
      </c>
      <c r="T94" s="1" t="str">
        <f>IF(A94="","",COUNTIFS(Assignments!$AF:$AF,A94,Assignments!$AE:$AE, "Y",Assignments!$D:$D,"&gt;="&amp;TODAY()-30))</f>
        <v/>
      </c>
      <c r="U94" s="1" t="str">
        <f>IF(A94="","",IFERROR(S94/MAX(1,COUNTIFS(Assignments!$B:$B,A94,Assignments!$D:$D,"&gt;="&amp;TODAY()-30)),""))</f>
        <v/>
      </c>
      <c r="V94" s="1" t="str">
        <f t="shared" si="4"/>
        <v/>
      </c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 t="str">
        <f>IF($A95="","",IFERROR(AVERAGEIFS(Assignments!$N$6:$N$1000,Assignments!$B$6:$B$1000,$A95,Assignments!$E$6:$E$1000,"Completed"),""))</f>
        <v/>
      </c>
      <c r="K95" s="2" t="str">
        <f>IF(A95="","",IFERROR(AVERAGEIFS(Assignments!$AO:$AO,Assignments!$B:$B,A95,Assignments!$E:$E,"Completed"),""))</f>
        <v/>
      </c>
      <c r="L95" s="2" t="str">
        <f>IF($A95="","",IFERROR(COUNTIFS(Assignments!$B$6:$B$1000,$A95,Assignments!$E$6:$E$1000,"Cancelled")/MAX(1,COUNTIFS(Assignments!$B$6:$B$1000,$A95,Assignments!$E$6:$E$1000,"Completed")+COUNTIFS(Assignments!$B$6:$B$1000,$A95,Assignments!$E$6:$E$1000,"Cancelled")),""))</f>
        <v/>
      </c>
      <c r="M95" s="2" t="str">
        <f>IF($A95="","",IFERROR(AVERAGEIFS(Assignments!$P$6:$P$1000,Assignments!$B$6:$B$1000,$A95,Assignments!$E$6:$E$1000,"Completed"),""))</f>
        <v/>
      </c>
      <c r="N95" s="2"/>
      <c r="O95" s="2"/>
      <c r="P95" s="1" t="str">
        <f>IF(A95="","",MAX(0,MIN(3,SUMIFS(Strike_Log!$C:$C,Strike_Log!$B:$B,A95,Strike_Log!$A:$A,"&gt;="&amp;IF(Config!$B$1004="Y",TODAY()-Config!$B$1005,DATE(1900,1,1)),Strike_Log!$I:$I,1))))</f>
        <v/>
      </c>
      <c r="Q95" s="1">
        <f t="shared" si="3"/>
        <v>0</v>
      </c>
      <c r="R95" s="1" t="str">
        <f>IF(A95="","",IFERROR(AVERAGEIFS(Assignments!$J:$J,Assignments!$B:$B,A95,Assignments!$E:$E,"Completed"),""))</f>
        <v/>
      </c>
      <c r="S95" s="1" t="str">
        <f>IF(A95="","",COUNTIFS(Assignments!$B:$B,A95,Assignments!$AE:$AE, "Y",Assignments!$D:$D,"&gt;="&amp;TODAY()-30))</f>
        <v/>
      </c>
      <c r="T95" s="1" t="str">
        <f>IF(A95="","",COUNTIFS(Assignments!$AF:$AF,A95,Assignments!$AE:$AE, "Y",Assignments!$D:$D,"&gt;="&amp;TODAY()-30))</f>
        <v/>
      </c>
      <c r="U95" s="1" t="str">
        <f>IF(A95="","",IFERROR(S95/MAX(1,COUNTIFS(Assignments!$B:$B,A95,Assignments!$D:$D,"&gt;="&amp;TODAY()-30)),""))</f>
        <v/>
      </c>
      <c r="V95" s="1" t="str">
        <f t="shared" si="4"/>
        <v/>
      </c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 t="str">
        <f>IF($A96="","",IFERROR(AVERAGEIFS(Assignments!$N$6:$N$1000,Assignments!$B$6:$B$1000,$A96,Assignments!$E$6:$E$1000,"Completed"),""))</f>
        <v/>
      </c>
      <c r="K96" s="2" t="str">
        <f>IF(A96="","",IFERROR(AVERAGEIFS(Assignments!$AO:$AO,Assignments!$B:$B,A96,Assignments!$E:$E,"Completed"),""))</f>
        <v/>
      </c>
      <c r="L96" s="2" t="str">
        <f>IF($A96="","",IFERROR(COUNTIFS(Assignments!$B$6:$B$1000,$A96,Assignments!$E$6:$E$1000,"Cancelled")/MAX(1,COUNTIFS(Assignments!$B$6:$B$1000,$A96,Assignments!$E$6:$E$1000,"Completed")+COUNTIFS(Assignments!$B$6:$B$1000,$A96,Assignments!$E$6:$E$1000,"Cancelled")),""))</f>
        <v/>
      </c>
      <c r="M96" s="2" t="str">
        <f>IF($A96="","",IFERROR(AVERAGEIFS(Assignments!$P$6:$P$1000,Assignments!$B$6:$B$1000,$A96,Assignments!$E$6:$E$1000,"Completed"),""))</f>
        <v/>
      </c>
      <c r="N96" s="2"/>
      <c r="O96" s="2"/>
      <c r="P96" s="1" t="str">
        <f>IF(A96="","",MAX(0,MIN(3,SUMIFS(Strike_Log!$C:$C,Strike_Log!$B:$B,A96,Strike_Log!$A:$A,"&gt;="&amp;IF(Config!$B$1004="Y",TODAY()-Config!$B$1005,DATE(1900,1,1)),Strike_Log!$I:$I,1))))</f>
        <v/>
      </c>
      <c r="Q96" s="1">
        <f t="shared" si="3"/>
        <v>0</v>
      </c>
      <c r="R96" s="1" t="str">
        <f>IF(A96="","",IFERROR(AVERAGEIFS(Assignments!$J:$J,Assignments!$B:$B,A96,Assignments!$E:$E,"Completed"),""))</f>
        <v/>
      </c>
      <c r="S96" s="1" t="str">
        <f>IF(A96="","",COUNTIFS(Assignments!$B:$B,A96,Assignments!$AE:$AE, "Y",Assignments!$D:$D,"&gt;="&amp;TODAY()-30))</f>
        <v/>
      </c>
      <c r="T96" s="1" t="str">
        <f>IF(A96="","",COUNTIFS(Assignments!$AF:$AF,A96,Assignments!$AE:$AE, "Y",Assignments!$D:$D,"&gt;="&amp;TODAY()-30))</f>
        <v/>
      </c>
      <c r="U96" s="1" t="str">
        <f>IF(A96="","",IFERROR(S96/MAX(1,COUNTIFS(Assignments!$B:$B,A96,Assignments!$D:$D,"&gt;="&amp;TODAY()-30)),""))</f>
        <v/>
      </c>
      <c r="V96" s="1" t="str">
        <f t="shared" si="4"/>
        <v/>
      </c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 t="str">
        <f>IF($A97="","",IFERROR(AVERAGEIFS(Assignments!$N$6:$N$1000,Assignments!$B$6:$B$1000,$A97,Assignments!$E$6:$E$1000,"Completed"),""))</f>
        <v/>
      </c>
      <c r="K97" s="2" t="str">
        <f>IF(A97="","",IFERROR(AVERAGEIFS(Assignments!$AO:$AO,Assignments!$B:$B,A97,Assignments!$E:$E,"Completed"),""))</f>
        <v/>
      </c>
      <c r="L97" s="2" t="str">
        <f>IF($A97="","",IFERROR(COUNTIFS(Assignments!$B$6:$B$1000,$A97,Assignments!$E$6:$E$1000,"Cancelled")/MAX(1,COUNTIFS(Assignments!$B$6:$B$1000,$A97,Assignments!$E$6:$E$1000,"Completed")+COUNTIFS(Assignments!$B$6:$B$1000,$A97,Assignments!$E$6:$E$1000,"Cancelled")),""))</f>
        <v/>
      </c>
      <c r="M97" s="2" t="str">
        <f>IF($A97="","",IFERROR(AVERAGEIFS(Assignments!$P$6:$P$1000,Assignments!$B$6:$B$1000,$A97,Assignments!$E$6:$E$1000,"Completed"),""))</f>
        <v/>
      </c>
      <c r="N97" s="2"/>
      <c r="O97" s="2"/>
      <c r="P97" s="1" t="str">
        <f>IF(A97="","",MAX(0,MIN(3,SUMIFS(Strike_Log!$C:$C,Strike_Log!$B:$B,A97,Strike_Log!$A:$A,"&gt;="&amp;IF(Config!$B$1004="Y",TODAY()-Config!$B$1005,DATE(1900,1,1)),Strike_Log!$I:$I,1))))</f>
        <v/>
      </c>
      <c r="Q97" s="1">
        <f t="shared" si="3"/>
        <v>0</v>
      </c>
      <c r="R97" s="1" t="str">
        <f>IF(A97="","",IFERROR(AVERAGEIFS(Assignments!$J:$J,Assignments!$B:$B,A97,Assignments!$E:$E,"Completed"),""))</f>
        <v/>
      </c>
      <c r="S97" s="1" t="str">
        <f>IF(A97="","",COUNTIFS(Assignments!$B:$B,A97,Assignments!$AE:$AE, "Y",Assignments!$D:$D,"&gt;="&amp;TODAY()-30))</f>
        <v/>
      </c>
      <c r="T97" s="1" t="str">
        <f>IF(A97="","",COUNTIFS(Assignments!$AF:$AF,A97,Assignments!$AE:$AE, "Y",Assignments!$D:$D,"&gt;="&amp;TODAY()-30))</f>
        <v/>
      </c>
      <c r="U97" s="1" t="str">
        <f>IF(A97="","",IFERROR(S97/MAX(1,COUNTIFS(Assignments!$B:$B,A97,Assignments!$D:$D,"&gt;="&amp;TODAY()-30)),""))</f>
        <v/>
      </c>
      <c r="V97" s="1" t="str">
        <f t="shared" si="4"/>
        <v/>
      </c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 t="str">
        <f>IF($A98="","",IFERROR(AVERAGEIFS(Assignments!$N$6:$N$1000,Assignments!$B$6:$B$1000,$A98,Assignments!$E$6:$E$1000,"Completed"),""))</f>
        <v/>
      </c>
      <c r="K98" s="2" t="str">
        <f>IF(A98="","",IFERROR(AVERAGEIFS(Assignments!$AO:$AO,Assignments!$B:$B,A98,Assignments!$E:$E,"Completed"),""))</f>
        <v/>
      </c>
      <c r="L98" s="2" t="str">
        <f>IF($A98="","",IFERROR(COUNTIFS(Assignments!$B$6:$B$1000,$A98,Assignments!$E$6:$E$1000,"Cancelled")/MAX(1,COUNTIFS(Assignments!$B$6:$B$1000,$A98,Assignments!$E$6:$E$1000,"Completed")+COUNTIFS(Assignments!$B$6:$B$1000,$A98,Assignments!$E$6:$E$1000,"Cancelled")),""))</f>
        <v/>
      </c>
      <c r="M98" s="2" t="str">
        <f>IF($A98="","",IFERROR(AVERAGEIFS(Assignments!$P$6:$P$1000,Assignments!$B$6:$B$1000,$A98,Assignments!$E$6:$E$1000,"Completed"),""))</f>
        <v/>
      </c>
      <c r="N98" s="2"/>
      <c r="O98" s="2"/>
      <c r="P98" s="1" t="str">
        <f>IF(A98="","",MAX(0,MIN(3,SUMIFS(Strike_Log!$C:$C,Strike_Log!$B:$B,A98,Strike_Log!$A:$A,"&gt;="&amp;IF(Config!$B$1004="Y",TODAY()-Config!$B$1005,DATE(1900,1,1)),Strike_Log!$I:$I,1))))</f>
        <v/>
      </c>
      <c r="Q98" s="1">
        <f t="shared" si="3"/>
        <v>0</v>
      </c>
      <c r="R98" s="1" t="str">
        <f>IF(A98="","",IFERROR(AVERAGEIFS(Assignments!$J:$J,Assignments!$B:$B,A98,Assignments!$E:$E,"Completed"),""))</f>
        <v/>
      </c>
      <c r="S98" s="1" t="str">
        <f>IF(A98="","",COUNTIFS(Assignments!$B:$B,A98,Assignments!$AE:$AE, "Y",Assignments!$D:$D,"&gt;="&amp;TODAY()-30))</f>
        <v/>
      </c>
      <c r="T98" s="1" t="str">
        <f>IF(A98="","",COUNTIFS(Assignments!$AF:$AF,A98,Assignments!$AE:$AE, "Y",Assignments!$D:$D,"&gt;="&amp;TODAY()-30))</f>
        <v/>
      </c>
      <c r="U98" s="1" t="str">
        <f>IF(A98="","",IFERROR(S98/MAX(1,COUNTIFS(Assignments!$B:$B,A98,Assignments!$D:$D,"&gt;="&amp;TODAY()-30)),""))</f>
        <v/>
      </c>
      <c r="V98" s="1" t="str">
        <f t="shared" si="4"/>
        <v/>
      </c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 t="str">
        <f>IF($A99="","",IFERROR(AVERAGEIFS(Assignments!$N$6:$N$1000,Assignments!$B$6:$B$1000,$A99,Assignments!$E$6:$E$1000,"Completed"),""))</f>
        <v/>
      </c>
      <c r="K99" s="2" t="str">
        <f>IF(A99="","",IFERROR(AVERAGEIFS(Assignments!$AO:$AO,Assignments!$B:$B,A99,Assignments!$E:$E,"Completed"),""))</f>
        <v/>
      </c>
      <c r="L99" s="2" t="str">
        <f>IF($A99="","",IFERROR(COUNTIFS(Assignments!$B$6:$B$1000,$A99,Assignments!$E$6:$E$1000,"Cancelled")/MAX(1,COUNTIFS(Assignments!$B$6:$B$1000,$A99,Assignments!$E$6:$E$1000,"Completed")+COUNTIFS(Assignments!$B$6:$B$1000,$A99,Assignments!$E$6:$E$1000,"Cancelled")),""))</f>
        <v/>
      </c>
      <c r="M99" s="2" t="str">
        <f>IF($A99="","",IFERROR(AVERAGEIFS(Assignments!$P$6:$P$1000,Assignments!$B$6:$B$1000,$A99,Assignments!$E$6:$E$1000,"Completed"),""))</f>
        <v/>
      </c>
      <c r="N99" s="2"/>
      <c r="O99" s="2"/>
      <c r="P99" s="1" t="str">
        <f>IF(A99="","",MAX(0,MIN(3,SUMIFS(Strike_Log!$C:$C,Strike_Log!$B:$B,A99,Strike_Log!$A:$A,"&gt;="&amp;IF(Config!$B$1004="Y",TODAY()-Config!$B$1005,DATE(1900,1,1)),Strike_Log!$I:$I,1))))</f>
        <v/>
      </c>
      <c r="Q99" s="1">
        <f t="shared" si="3"/>
        <v>0</v>
      </c>
      <c r="R99" s="1" t="str">
        <f>IF(A99="","",IFERROR(AVERAGEIFS(Assignments!$J:$J,Assignments!$B:$B,A99,Assignments!$E:$E,"Completed"),""))</f>
        <v/>
      </c>
      <c r="S99" s="1" t="str">
        <f>IF(A99="","",COUNTIFS(Assignments!$B:$B,A99,Assignments!$AE:$AE, "Y",Assignments!$D:$D,"&gt;="&amp;TODAY()-30))</f>
        <v/>
      </c>
      <c r="T99" s="1" t="str">
        <f>IF(A99="","",COUNTIFS(Assignments!$AF:$AF,A99,Assignments!$AE:$AE, "Y",Assignments!$D:$D,"&gt;="&amp;TODAY()-30))</f>
        <v/>
      </c>
      <c r="U99" s="1" t="str">
        <f>IF(A99="","",IFERROR(S99/MAX(1,COUNTIFS(Assignments!$B:$B,A99,Assignments!$D:$D,"&gt;="&amp;TODAY()-30)),""))</f>
        <v/>
      </c>
      <c r="V99" s="1" t="str">
        <f t="shared" si="4"/>
        <v/>
      </c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 t="str">
        <f>IF($A100="","",IFERROR(AVERAGEIFS(Assignments!$N$6:$N$1000,Assignments!$B$6:$B$1000,$A100,Assignments!$E$6:$E$1000,"Completed"),""))</f>
        <v/>
      </c>
      <c r="K100" s="2" t="str">
        <f>IF(A100="","",IFERROR(AVERAGEIFS(Assignments!$AO:$AO,Assignments!$B:$B,A100,Assignments!$E:$E,"Completed"),""))</f>
        <v/>
      </c>
      <c r="L100" s="2" t="str">
        <f>IF($A100="","",IFERROR(COUNTIFS(Assignments!$B$6:$B$1000,$A100,Assignments!$E$6:$E$1000,"Cancelled")/MAX(1,COUNTIFS(Assignments!$B$6:$B$1000,$A100,Assignments!$E$6:$E$1000,"Completed")+COUNTIFS(Assignments!$B$6:$B$1000,$A100,Assignments!$E$6:$E$1000,"Cancelled")),""))</f>
        <v/>
      </c>
      <c r="M100" s="2" t="str">
        <f>IF($A100="","",IFERROR(AVERAGEIFS(Assignments!$P$6:$P$1000,Assignments!$B$6:$B$1000,$A100,Assignments!$E$6:$E$1000,"Completed"),""))</f>
        <v/>
      </c>
      <c r="N100" s="2"/>
      <c r="O100" s="2"/>
      <c r="P100" s="1" t="str">
        <f>IF(A100="","",MAX(0,MIN(3,SUMIFS(Strike_Log!$C:$C,Strike_Log!$B:$B,A100,Strike_Log!$A:$A,"&gt;="&amp;IF(Config!$B$1004="Y",TODAY()-Config!$B$1005,DATE(1900,1,1)),Strike_Log!$I:$I,1))))</f>
        <v/>
      </c>
      <c r="Q100" s="1">
        <f t="shared" si="3"/>
        <v>0</v>
      </c>
      <c r="R100" s="1" t="str">
        <f>IF(A100="","",IFERROR(AVERAGEIFS(Assignments!$J:$J,Assignments!$B:$B,A100,Assignments!$E:$E,"Completed"),""))</f>
        <v/>
      </c>
      <c r="S100" s="1" t="str">
        <f>IF(A100="","",COUNTIFS(Assignments!$B:$B,A100,Assignments!$AE:$AE, "Y",Assignments!$D:$D,"&gt;="&amp;TODAY()-30))</f>
        <v/>
      </c>
      <c r="T100" s="1" t="str">
        <f>IF(A100="","",COUNTIFS(Assignments!$AF:$AF,A100,Assignments!$AE:$AE, "Y",Assignments!$D:$D,"&gt;="&amp;TODAY()-30))</f>
        <v/>
      </c>
      <c r="U100" s="1" t="str">
        <f>IF(A100="","",IFERROR(S100/MAX(1,COUNTIFS(Assignments!$B:$B,A100,Assignments!$D:$D,"&gt;="&amp;TODAY()-30)),""))</f>
        <v/>
      </c>
      <c r="V100" s="1" t="str">
        <f t="shared" si="4"/>
        <v/>
      </c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 t="str">
        <f>IF($A101="","",IFERROR(AVERAGEIFS(Assignments!$N$6:$N$1000,Assignments!$B$6:$B$1000,$A101,Assignments!$E$6:$E$1000,"Completed"),""))</f>
        <v/>
      </c>
      <c r="K101" s="2" t="str">
        <f>IF(A101="","",IFERROR(AVERAGEIFS(Assignments!$AO:$AO,Assignments!$B:$B,A101,Assignments!$E:$E,"Completed"),""))</f>
        <v/>
      </c>
      <c r="L101" s="2" t="str">
        <f>IF($A101="","",IFERROR(COUNTIFS(Assignments!$B$6:$B$1000,$A101,Assignments!$E$6:$E$1000,"Cancelled")/MAX(1,COUNTIFS(Assignments!$B$6:$B$1000,$A101,Assignments!$E$6:$E$1000,"Completed")+COUNTIFS(Assignments!$B$6:$B$1000,$A101,Assignments!$E$6:$E$1000,"Cancelled")),""))</f>
        <v/>
      </c>
      <c r="M101" s="2" t="str">
        <f>IF($A101="","",IFERROR(AVERAGEIFS(Assignments!$P$6:$P$1000,Assignments!$B$6:$B$1000,$A101,Assignments!$E$6:$E$1000,"Completed"),""))</f>
        <v/>
      </c>
      <c r="N101" s="2"/>
      <c r="O101" s="2"/>
      <c r="P101" s="1" t="str">
        <f>IF(A101="","",MAX(0,MIN(3,SUMIFS(Strike_Log!$C:$C,Strike_Log!$B:$B,A101,Strike_Log!$A:$A,"&gt;="&amp;IF(Config!$B$1004="Y",TODAY()-Config!$B$1005,DATE(1900,1,1)),Strike_Log!$I:$I,1))))</f>
        <v/>
      </c>
      <c r="Q101" s="1">
        <f t="shared" si="3"/>
        <v>0</v>
      </c>
      <c r="R101" s="1" t="str">
        <f>IF(A101="","",IFERROR(AVERAGEIFS(Assignments!$J:$J,Assignments!$B:$B,A101,Assignments!$E:$E,"Completed"),""))</f>
        <v/>
      </c>
      <c r="S101" s="1" t="str">
        <f>IF(A101="","",COUNTIFS(Assignments!$B:$B,A101,Assignments!$AE:$AE, "Y",Assignments!$D:$D,"&gt;="&amp;TODAY()-30))</f>
        <v/>
      </c>
      <c r="T101" s="1" t="str">
        <f>IF(A101="","",COUNTIFS(Assignments!$AF:$AF,A101,Assignments!$AE:$AE, "Y",Assignments!$D:$D,"&gt;="&amp;TODAY()-30))</f>
        <v/>
      </c>
      <c r="U101" s="1" t="str">
        <f>IF(A101="","",IFERROR(S101/MAX(1,COUNTIFS(Assignments!$B:$B,A101,Assignments!$D:$D,"&gt;="&amp;TODAY()-30)),""))</f>
        <v/>
      </c>
      <c r="V101" s="1" t="str">
        <f t="shared" si="4"/>
        <v/>
      </c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 t="str">
        <f>IF($A102="","",IFERROR(AVERAGEIFS(Assignments!$N$6:$N$1000,Assignments!$B$6:$B$1000,$A102,Assignments!$E$6:$E$1000,"Completed"),""))</f>
        <v/>
      </c>
      <c r="K102" s="2" t="str">
        <f>IF(A102="","",IFERROR(AVERAGEIFS(Assignments!$AO:$AO,Assignments!$B:$B,A102,Assignments!$E:$E,"Completed"),""))</f>
        <v/>
      </c>
      <c r="L102" s="2" t="str">
        <f>IF($A102="","",IFERROR(COUNTIFS(Assignments!$B$6:$B$1000,$A102,Assignments!$E$6:$E$1000,"Cancelled")/MAX(1,COUNTIFS(Assignments!$B$6:$B$1000,$A102,Assignments!$E$6:$E$1000,"Completed")+COUNTIFS(Assignments!$B$6:$B$1000,$A102,Assignments!$E$6:$E$1000,"Cancelled")),""))</f>
        <v/>
      </c>
      <c r="M102" s="2" t="str">
        <f>IF($A102="","",IFERROR(AVERAGEIFS(Assignments!$P$6:$P$1000,Assignments!$B$6:$B$1000,$A102,Assignments!$E$6:$E$1000,"Completed"),""))</f>
        <v/>
      </c>
      <c r="N102" s="2"/>
      <c r="O102" s="2"/>
      <c r="P102" s="1" t="str">
        <f>IF(A102="","",MAX(0,MIN(3,SUMIFS(Strike_Log!$C:$C,Strike_Log!$B:$B,A102,Strike_Log!$A:$A,"&gt;="&amp;IF(Config!$B$1004="Y",TODAY()-Config!$B$1005,DATE(1900,1,1)),Strike_Log!$I:$I,1))))</f>
        <v/>
      </c>
      <c r="Q102" s="1">
        <f t="shared" si="3"/>
        <v>0</v>
      </c>
      <c r="R102" s="1" t="str">
        <f>IF(A102="","",IFERROR(AVERAGEIFS(Assignments!$J:$J,Assignments!$B:$B,A102,Assignments!$E:$E,"Completed"),""))</f>
        <v/>
      </c>
      <c r="S102" s="1" t="str">
        <f>IF(A102="","",COUNTIFS(Assignments!$B:$B,A102,Assignments!$AE:$AE, "Y",Assignments!$D:$D,"&gt;="&amp;TODAY()-30))</f>
        <v/>
      </c>
      <c r="T102" s="1" t="str">
        <f>IF(A102="","",COUNTIFS(Assignments!$AF:$AF,A102,Assignments!$AE:$AE, "Y",Assignments!$D:$D,"&gt;="&amp;TODAY()-30))</f>
        <v/>
      </c>
      <c r="U102" s="1" t="str">
        <f>IF(A102="","",IFERROR(S102/MAX(1,COUNTIFS(Assignments!$B:$B,A102,Assignments!$D:$D,"&gt;="&amp;TODAY()-30)),""))</f>
        <v/>
      </c>
      <c r="V102" s="1" t="str">
        <f t="shared" si="4"/>
        <v/>
      </c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 t="str">
        <f>IF($A103="","",IFERROR(AVERAGEIFS(Assignments!$N$6:$N$1000,Assignments!$B$6:$B$1000,$A103,Assignments!$E$6:$E$1000,"Completed"),""))</f>
        <v/>
      </c>
      <c r="K103" s="2" t="str">
        <f>IF(A103="","",IFERROR(AVERAGEIFS(Assignments!$AO:$AO,Assignments!$B:$B,A103,Assignments!$E:$E,"Completed"),""))</f>
        <v/>
      </c>
      <c r="L103" s="2" t="str">
        <f>IF($A103="","",IFERROR(COUNTIFS(Assignments!$B$6:$B$1000,$A103,Assignments!$E$6:$E$1000,"Cancelled")/MAX(1,COUNTIFS(Assignments!$B$6:$B$1000,$A103,Assignments!$E$6:$E$1000,"Completed")+COUNTIFS(Assignments!$B$6:$B$1000,$A103,Assignments!$E$6:$E$1000,"Cancelled")),""))</f>
        <v/>
      </c>
      <c r="M103" s="2" t="str">
        <f>IF($A103="","",IFERROR(AVERAGEIFS(Assignments!$P$6:$P$1000,Assignments!$B$6:$B$1000,$A103,Assignments!$E$6:$E$1000,"Completed"),""))</f>
        <v/>
      </c>
      <c r="N103" s="2"/>
      <c r="O103" s="2"/>
      <c r="P103" s="1" t="str">
        <f>IF(A103="","",MAX(0,MIN(3,SUMIFS(Strike_Log!$C:$C,Strike_Log!$B:$B,A103,Strike_Log!$A:$A,"&gt;="&amp;IF(Config!$B$1004="Y",TODAY()-Config!$B$1005,DATE(1900,1,1)),Strike_Log!$I:$I,1))))</f>
        <v/>
      </c>
      <c r="Q103" s="1">
        <f t="shared" si="3"/>
        <v>0</v>
      </c>
      <c r="R103" s="1" t="str">
        <f>IF(A103="","",IFERROR(AVERAGEIFS(Assignments!$J:$J,Assignments!$B:$B,A103,Assignments!$E:$E,"Completed"),""))</f>
        <v/>
      </c>
      <c r="S103" s="1" t="str">
        <f>IF(A103="","",COUNTIFS(Assignments!$B:$B,A103,Assignments!$AE:$AE, "Y",Assignments!$D:$D,"&gt;="&amp;TODAY()-30))</f>
        <v/>
      </c>
      <c r="T103" s="1" t="str">
        <f>IF(A103="","",COUNTIFS(Assignments!$AF:$AF,A103,Assignments!$AE:$AE, "Y",Assignments!$D:$D,"&gt;="&amp;TODAY()-30))</f>
        <v/>
      </c>
      <c r="U103" s="1" t="str">
        <f>IF(A103="","",IFERROR(S103/MAX(1,COUNTIFS(Assignments!$B:$B,A103,Assignments!$D:$D,"&gt;="&amp;TODAY()-30)),""))</f>
        <v/>
      </c>
      <c r="V103" s="1" t="str">
        <f t="shared" si="4"/>
        <v/>
      </c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 t="str">
        <f>IF($A104="","",IFERROR(AVERAGEIFS(Assignments!$N$6:$N$1000,Assignments!$B$6:$B$1000,$A104,Assignments!$E$6:$E$1000,"Completed"),""))</f>
        <v/>
      </c>
      <c r="K104" s="2" t="str">
        <f>IF(A104="","",IFERROR(AVERAGEIFS(Assignments!$AO:$AO,Assignments!$B:$B,A104,Assignments!$E:$E,"Completed"),""))</f>
        <v/>
      </c>
      <c r="L104" s="2" t="str">
        <f>IF($A104="","",IFERROR(COUNTIFS(Assignments!$B$6:$B$1000,$A104,Assignments!$E$6:$E$1000,"Cancelled")/MAX(1,COUNTIFS(Assignments!$B$6:$B$1000,$A104,Assignments!$E$6:$E$1000,"Completed")+COUNTIFS(Assignments!$B$6:$B$1000,$A104,Assignments!$E$6:$E$1000,"Cancelled")),""))</f>
        <v/>
      </c>
      <c r="M104" s="2" t="str">
        <f>IF($A104="","",IFERROR(AVERAGEIFS(Assignments!$P$6:$P$1000,Assignments!$B$6:$B$1000,$A104,Assignments!$E$6:$E$1000,"Completed"),""))</f>
        <v/>
      </c>
      <c r="N104" s="2"/>
      <c r="O104" s="2"/>
      <c r="P104" s="1" t="str">
        <f>IF(A104="","",MAX(0,MIN(3,SUMIFS(Strike_Log!$C:$C,Strike_Log!$B:$B,A104,Strike_Log!$A:$A,"&gt;="&amp;IF(Config!$B$1004="Y",TODAY()-Config!$B$1005,DATE(1900,1,1)),Strike_Log!$I:$I,1))))</f>
        <v/>
      </c>
      <c r="Q104" s="1">
        <f t="shared" si="3"/>
        <v>0</v>
      </c>
      <c r="R104" s="1" t="str">
        <f>IF(A104="","",IFERROR(AVERAGEIFS(Assignments!$J:$J,Assignments!$B:$B,A104,Assignments!$E:$E,"Completed"),""))</f>
        <v/>
      </c>
      <c r="S104" s="1" t="str">
        <f>IF(A104="","",COUNTIFS(Assignments!$B:$B,A104,Assignments!$AE:$AE, "Y",Assignments!$D:$D,"&gt;="&amp;TODAY()-30))</f>
        <v/>
      </c>
      <c r="T104" s="1" t="str">
        <f>IF(A104="","",COUNTIFS(Assignments!$AF:$AF,A104,Assignments!$AE:$AE, "Y",Assignments!$D:$D,"&gt;="&amp;TODAY()-30))</f>
        <v/>
      </c>
      <c r="U104" s="1" t="str">
        <f>IF(A104="","",IFERROR(S104/MAX(1,COUNTIFS(Assignments!$B:$B,A104,Assignments!$D:$D,"&gt;="&amp;TODAY()-30)),""))</f>
        <v/>
      </c>
      <c r="V104" s="1" t="str">
        <f t="shared" si="4"/>
        <v/>
      </c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 t="str">
        <f>IF($A105="","",IFERROR(AVERAGEIFS(Assignments!$N$6:$N$1000,Assignments!$B$6:$B$1000,$A105,Assignments!$E$6:$E$1000,"Completed"),""))</f>
        <v/>
      </c>
      <c r="K105" s="2" t="str">
        <f>IF(A105="","",IFERROR(AVERAGEIFS(Assignments!$AO:$AO,Assignments!$B:$B,A105,Assignments!$E:$E,"Completed"),""))</f>
        <v/>
      </c>
      <c r="L105" s="2" t="str">
        <f>IF($A105="","",IFERROR(COUNTIFS(Assignments!$B$6:$B$1000,$A105,Assignments!$E$6:$E$1000,"Cancelled")/MAX(1,COUNTIFS(Assignments!$B$6:$B$1000,$A105,Assignments!$E$6:$E$1000,"Completed")+COUNTIFS(Assignments!$B$6:$B$1000,$A105,Assignments!$E$6:$E$1000,"Cancelled")),""))</f>
        <v/>
      </c>
      <c r="M105" s="2" t="str">
        <f>IF($A105="","",IFERROR(AVERAGEIFS(Assignments!$P$6:$P$1000,Assignments!$B$6:$B$1000,$A105,Assignments!$E$6:$E$1000,"Completed"),""))</f>
        <v/>
      </c>
      <c r="N105" s="2"/>
      <c r="O105" s="2"/>
      <c r="P105" s="1" t="str">
        <f>IF(A105="","",MAX(0,MIN(3,SUMIFS(Strike_Log!$C:$C,Strike_Log!$B:$B,A105,Strike_Log!$A:$A,"&gt;="&amp;IF(Config!$B$1004="Y",TODAY()-Config!$B$1005,DATE(1900,1,1)),Strike_Log!$I:$I,1))))</f>
        <v/>
      </c>
      <c r="Q105" s="1">
        <f t="shared" si="3"/>
        <v>0</v>
      </c>
      <c r="R105" s="1" t="str">
        <f>IF(A105="","",IFERROR(AVERAGEIFS(Assignments!$J:$J,Assignments!$B:$B,A105,Assignments!$E:$E,"Completed"),""))</f>
        <v/>
      </c>
      <c r="S105" s="1" t="str">
        <f>IF(A105="","",COUNTIFS(Assignments!$B:$B,A105,Assignments!$AE:$AE, "Y",Assignments!$D:$D,"&gt;="&amp;TODAY()-30))</f>
        <v/>
      </c>
      <c r="T105" s="1" t="str">
        <f>IF(A105="","",COUNTIFS(Assignments!$AF:$AF,A105,Assignments!$AE:$AE, "Y",Assignments!$D:$D,"&gt;="&amp;TODAY()-30))</f>
        <v/>
      </c>
      <c r="U105" s="1" t="str">
        <f>IF(A105="","",IFERROR(S105/MAX(1,COUNTIFS(Assignments!$B:$B,A105,Assignments!$D:$D,"&gt;="&amp;TODAY()-30)),""))</f>
        <v/>
      </c>
      <c r="V105" s="1" t="str">
        <f t="shared" si="4"/>
        <v/>
      </c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 t="str">
        <f>IF($A106="","",IFERROR(AVERAGEIFS(Assignments!$N$6:$N$1000,Assignments!$B$6:$B$1000,$A106,Assignments!$E$6:$E$1000,"Completed"),""))</f>
        <v/>
      </c>
      <c r="K106" s="2" t="str">
        <f>IF(A106="","",IFERROR(AVERAGEIFS(Assignments!$AO:$AO,Assignments!$B:$B,A106,Assignments!$E:$E,"Completed"),""))</f>
        <v/>
      </c>
      <c r="L106" s="2" t="str">
        <f>IF($A106="","",IFERROR(COUNTIFS(Assignments!$B$6:$B$1000,$A106,Assignments!$E$6:$E$1000,"Cancelled")/MAX(1,COUNTIFS(Assignments!$B$6:$B$1000,$A106,Assignments!$E$6:$E$1000,"Completed")+COUNTIFS(Assignments!$B$6:$B$1000,$A106,Assignments!$E$6:$E$1000,"Cancelled")),""))</f>
        <v/>
      </c>
      <c r="M106" s="2" t="str">
        <f>IF($A106="","",IFERROR(AVERAGEIFS(Assignments!$P$6:$P$1000,Assignments!$B$6:$B$1000,$A106,Assignments!$E$6:$E$1000,"Completed"),""))</f>
        <v/>
      </c>
      <c r="N106" s="2"/>
      <c r="O106" s="2"/>
      <c r="P106" s="1" t="str">
        <f>IF(A106="","",MAX(0,MIN(3,SUMIFS(Strike_Log!$C:$C,Strike_Log!$B:$B,A106,Strike_Log!$A:$A,"&gt;="&amp;IF(Config!$B$1004="Y",TODAY()-Config!$B$1005,DATE(1900,1,1)),Strike_Log!$I:$I,1))))</f>
        <v/>
      </c>
      <c r="Q106" s="1">
        <f t="shared" si="3"/>
        <v>0</v>
      </c>
      <c r="R106" s="1" t="str">
        <f>IF(A106="","",IFERROR(AVERAGEIFS(Assignments!$J:$J,Assignments!$B:$B,A106,Assignments!$E:$E,"Completed"),""))</f>
        <v/>
      </c>
      <c r="S106" s="1" t="str">
        <f>IF(A106="","",COUNTIFS(Assignments!$B:$B,A106,Assignments!$AE:$AE, "Y",Assignments!$D:$D,"&gt;="&amp;TODAY()-30))</f>
        <v/>
      </c>
      <c r="T106" s="1" t="str">
        <f>IF(A106="","",COUNTIFS(Assignments!$AF:$AF,A106,Assignments!$AE:$AE, "Y",Assignments!$D:$D,"&gt;="&amp;TODAY()-30))</f>
        <v/>
      </c>
      <c r="U106" s="1" t="str">
        <f>IF(A106="","",IFERROR(S106/MAX(1,COUNTIFS(Assignments!$B:$B,A106,Assignments!$D:$D,"&gt;="&amp;TODAY()-30)),""))</f>
        <v/>
      </c>
      <c r="V106" s="1" t="str">
        <f t="shared" si="4"/>
        <v/>
      </c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 t="str">
        <f>IF($A107="","",IFERROR(AVERAGEIFS(Assignments!$N$6:$N$1000,Assignments!$B$6:$B$1000,$A107,Assignments!$E$6:$E$1000,"Completed"),""))</f>
        <v/>
      </c>
      <c r="K107" s="2" t="str">
        <f>IF(A107="","",IFERROR(AVERAGEIFS(Assignments!$AO:$AO,Assignments!$B:$B,A107,Assignments!$E:$E,"Completed"),""))</f>
        <v/>
      </c>
      <c r="L107" s="2" t="str">
        <f>IF($A107="","",IFERROR(COUNTIFS(Assignments!$B$6:$B$1000,$A107,Assignments!$E$6:$E$1000,"Cancelled")/MAX(1,COUNTIFS(Assignments!$B$6:$B$1000,$A107,Assignments!$E$6:$E$1000,"Completed")+COUNTIFS(Assignments!$B$6:$B$1000,$A107,Assignments!$E$6:$E$1000,"Cancelled")),""))</f>
        <v/>
      </c>
      <c r="M107" s="2" t="str">
        <f>IF($A107="","",IFERROR(AVERAGEIFS(Assignments!$P$6:$P$1000,Assignments!$B$6:$B$1000,$A107,Assignments!$E$6:$E$1000,"Completed"),""))</f>
        <v/>
      </c>
      <c r="N107" s="2"/>
      <c r="O107" s="2"/>
      <c r="P107" s="1" t="str">
        <f>IF(A107="","",MAX(0,MIN(3,SUMIFS(Strike_Log!$C:$C,Strike_Log!$B:$B,A107,Strike_Log!$A:$A,"&gt;="&amp;IF(Config!$B$1004="Y",TODAY()-Config!$B$1005,DATE(1900,1,1)),Strike_Log!$I:$I,1))))</f>
        <v/>
      </c>
      <c r="Q107" s="1">
        <f t="shared" si="3"/>
        <v>0</v>
      </c>
      <c r="R107" s="1" t="str">
        <f>IF(A107="","",IFERROR(AVERAGEIFS(Assignments!$J:$J,Assignments!$B:$B,A107,Assignments!$E:$E,"Completed"),""))</f>
        <v/>
      </c>
      <c r="S107" s="1" t="str">
        <f>IF(A107="","",COUNTIFS(Assignments!$B:$B,A107,Assignments!$AE:$AE, "Y",Assignments!$D:$D,"&gt;="&amp;TODAY()-30))</f>
        <v/>
      </c>
      <c r="T107" s="1" t="str">
        <f>IF(A107="","",COUNTIFS(Assignments!$AF:$AF,A107,Assignments!$AE:$AE, "Y",Assignments!$D:$D,"&gt;="&amp;TODAY()-30))</f>
        <v/>
      </c>
      <c r="U107" s="1" t="str">
        <f>IF(A107="","",IFERROR(S107/MAX(1,COUNTIFS(Assignments!$B:$B,A107,Assignments!$D:$D,"&gt;="&amp;TODAY()-30)),""))</f>
        <v/>
      </c>
      <c r="V107" s="1" t="str">
        <f t="shared" si="4"/>
        <v/>
      </c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 t="str">
        <f>IF($A108="","",IFERROR(AVERAGEIFS(Assignments!$N$6:$N$1000,Assignments!$B$6:$B$1000,$A108,Assignments!$E$6:$E$1000,"Completed"),""))</f>
        <v/>
      </c>
      <c r="K108" s="2" t="str">
        <f>IF(A108="","",IFERROR(AVERAGEIFS(Assignments!$AO:$AO,Assignments!$B:$B,A108,Assignments!$E:$E,"Completed"),""))</f>
        <v/>
      </c>
      <c r="L108" s="2" t="str">
        <f>IF($A108="","",IFERROR(COUNTIFS(Assignments!$B$6:$B$1000,$A108,Assignments!$E$6:$E$1000,"Cancelled")/MAX(1,COUNTIFS(Assignments!$B$6:$B$1000,$A108,Assignments!$E$6:$E$1000,"Completed")+COUNTIFS(Assignments!$B$6:$B$1000,$A108,Assignments!$E$6:$E$1000,"Cancelled")),""))</f>
        <v/>
      </c>
      <c r="M108" s="2" t="str">
        <f>IF($A108="","",IFERROR(AVERAGEIFS(Assignments!$P$6:$P$1000,Assignments!$B$6:$B$1000,$A108,Assignments!$E$6:$E$1000,"Completed"),""))</f>
        <v/>
      </c>
      <c r="N108" s="2"/>
      <c r="O108" s="2"/>
      <c r="P108" s="1" t="str">
        <f>IF(A108="","",MAX(0,MIN(3,SUMIFS(Strike_Log!$C:$C,Strike_Log!$B:$B,A108,Strike_Log!$A:$A,"&gt;="&amp;IF(Config!$B$1004="Y",TODAY()-Config!$B$1005,DATE(1900,1,1)),Strike_Log!$I:$I,1))))</f>
        <v/>
      </c>
      <c r="Q108" s="1">
        <f t="shared" si="3"/>
        <v>0</v>
      </c>
      <c r="R108" s="1" t="str">
        <f>IF(A108="","",IFERROR(AVERAGEIFS(Assignments!$J:$J,Assignments!$B:$B,A108,Assignments!$E:$E,"Completed"),""))</f>
        <v/>
      </c>
      <c r="S108" s="1" t="str">
        <f>IF(A108="","",COUNTIFS(Assignments!$B:$B,A108,Assignments!$AE:$AE, "Y",Assignments!$D:$D,"&gt;="&amp;TODAY()-30))</f>
        <v/>
      </c>
      <c r="T108" s="1" t="str">
        <f>IF(A108="","",COUNTIFS(Assignments!$AF:$AF,A108,Assignments!$AE:$AE, "Y",Assignments!$D:$D,"&gt;="&amp;TODAY()-30))</f>
        <v/>
      </c>
      <c r="U108" s="1" t="str">
        <f>IF(A108="","",IFERROR(S108/MAX(1,COUNTIFS(Assignments!$B:$B,A108,Assignments!$D:$D,"&gt;="&amp;TODAY()-30)),""))</f>
        <v/>
      </c>
      <c r="V108" s="1" t="str">
        <f t="shared" si="4"/>
        <v/>
      </c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 t="str">
        <f>IF($A109="","",IFERROR(AVERAGEIFS(Assignments!$N$6:$N$1000,Assignments!$B$6:$B$1000,$A109,Assignments!$E$6:$E$1000,"Completed"),""))</f>
        <v/>
      </c>
      <c r="K109" s="2" t="str">
        <f>IF(A109="","",IFERROR(AVERAGEIFS(Assignments!$AO:$AO,Assignments!$B:$B,A109,Assignments!$E:$E,"Completed"),""))</f>
        <v/>
      </c>
      <c r="L109" s="2" t="str">
        <f>IF($A109="","",IFERROR(COUNTIFS(Assignments!$B$6:$B$1000,$A109,Assignments!$E$6:$E$1000,"Cancelled")/MAX(1,COUNTIFS(Assignments!$B$6:$B$1000,$A109,Assignments!$E$6:$E$1000,"Completed")+COUNTIFS(Assignments!$B$6:$B$1000,$A109,Assignments!$E$6:$E$1000,"Cancelled")),""))</f>
        <v/>
      </c>
      <c r="M109" s="2" t="str">
        <f>IF($A109="","",IFERROR(AVERAGEIFS(Assignments!$P$6:$P$1000,Assignments!$B$6:$B$1000,$A109,Assignments!$E$6:$E$1000,"Completed"),""))</f>
        <v/>
      </c>
      <c r="N109" s="2"/>
      <c r="O109" s="2"/>
      <c r="P109" s="1" t="str">
        <f>IF(A109="","",MAX(0,MIN(3,SUMIFS(Strike_Log!$C:$C,Strike_Log!$B:$B,A109,Strike_Log!$A:$A,"&gt;="&amp;IF(Config!$B$1004="Y",TODAY()-Config!$B$1005,DATE(1900,1,1)),Strike_Log!$I:$I,1))))</f>
        <v/>
      </c>
      <c r="Q109" s="1">
        <f t="shared" si="3"/>
        <v>0</v>
      </c>
      <c r="R109" s="1" t="str">
        <f>IF(A109="","",IFERROR(AVERAGEIFS(Assignments!$J:$J,Assignments!$B:$B,A109,Assignments!$E:$E,"Completed"),""))</f>
        <v/>
      </c>
      <c r="S109" s="1" t="str">
        <f>IF(A109="","",COUNTIFS(Assignments!$B:$B,A109,Assignments!$AE:$AE, "Y",Assignments!$D:$D,"&gt;="&amp;TODAY()-30))</f>
        <v/>
      </c>
      <c r="T109" s="1" t="str">
        <f>IF(A109="","",COUNTIFS(Assignments!$AF:$AF,A109,Assignments!$AE:$AE, "Y",Assignments!$D:$D,"&gt;="&amp;TODAY()-30))</f>
        <v/>
      </c>
      <c r="U109" s="1" t="str">
        <f>IF(A109="","",IFERROR(S109/MAX(1,COUNTIFS(Assignments!$B:$B,A109,Assignments!$D:$D,"&gt;="&amp;TODAY()-30)),""))</f>
        <v/>
      </c>
      <c r="V109" s="1" t="str">
        <f t="shared" si="4"/>
        <v/>
      </c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 t="str">
        <f>IF($A110="","",IFERROR(AVERAGEIFS(Assignments!$N$6:$N$1000,Assignments!$B$6:$B$1000,$A110,Assignments!$E$6:$E$1000,"Completed"),""))</f>
        <v/>
      </c>
      <c r="K110" s="2" t="str">
        <f>IF(A110="","",IFERROR(AVERAGEIFS(Assignments!$AO:$AO,Assignments!$B:$B,A110,Assignments!$E:$E,"Completed"),""))</f>
        <v/>
      </c>
      <c r="L110" s="2" t="str">
        <f>IF($A110="","",IFERROR(COUNTIFS(Assignments!$B$6:$B$1000,$A110,Assignments!$E$6:$E$1000,"Cancelled")/MAX(1,COUNTIFS(Assignments!$B$6:$B$1000,$A110,Assignments!$E$6:$E$1000,"Completed")+COUNTIFS(Assignments!$B$6:$B$1000,$A110,Assignments!$E$6:$E$1000,"Cancelled")),""))</f>
        <v/>
      </c>
      <c r="M110" s="2" t="str">
        <f>IF($A110="","",IFERROR(AVERAGEIFS(Assignments!$P$6:$P$1000,Assignments!$B$6:$B$1000,$A110,Assignments!$E$6:$E$1000,"Completed"),""))</f>
        <v/>
      </c>
      <c r="N110" s="2"/>
      <c r="O110" s="2"/>
      <c r="P110" s="1" t="str">
        <f>IF(A110="","",MAX(0,MIN(3,SUMIFS(Strike_Log!$C:$C,Strike_Log!$B:$B,A110,Strike_Log!$A:$A,"&gt;="&amp;IF(Config!$B$1004="Y",TODAY()-Config!$B$1005,DATE(1900,1,1)),Strike_Log!$I:$I,1))))</f>
        <v/>
      </c>
      <c r="Q110" s="1">
        <f t="shared" si="3"/>
        <v>0</v>
      </c>
      <c r="R110" s="1" t="str">
        <f>IF(A110="","",IFERROR(AVERAGEIFS(Assignments!$J:$J,Assignments!$B:$B,A110,Assignments!$E:$E,"Completed"),""))</f>
        <v/>
      </c>
      <c r="S110" s="1" t="str">
        <f>IF(A110="","",COUNTIFS(Assignments!$B:$B,A110,Assignments!$AE:$AE, "Y",Assignments!$D:$D,"&gt;="&amp;TODAY()-30))</f>
        <v/>
      </c>
      <c r="T110" s="1" t="str">
        <f>IF(A110="","",COUNTIFS(Assignments!$AF:$AF,A110,Assignments!$AE:$AE, "Y",Assignments!$D:$D,"&gt;="&amp;TODAY()-30))</f>
        <v/>
      </c>
      <c r="U110" s="1" t="str">
        <f>IF(A110="","",IFERROR(S110/MAX(1,COUNTIFS(Assignments!$B:$B,A110,Assignments!$D:$D,"&gt;="&amp;TODAY()-30)),""))</f>
        <v/>
      </c>
      <c r="V110" s="1" t="str">
        <f t="shared" si="4"/>
        <v/>
      </c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 t="str">
        <f>IF($A111="","",IFERROR(AVERAGEIFS(Assignments!$N$6:$N$1000,Assignments!$B$6:$B$1000,$A111,Assignments!$E$6:$E$1000,"Completed"),""))</f>
        <v/>
      </c>
      <c r="K111" s="2" t="str">
        <f>IF(A111="","",IFERROR(AVERAGEIFS(Assignments!$AO:$AO,Assignments!$B:$B,A111,Assignments!$E:$E,"Completed"),""))</f>
        <v/>
      </c>
      <c r="L111" s="2" t="str">
        <f>IF($A111="","",IFERROR(COUNTIFS(Assignments!$B$6:$B$1000,$A111,Assignments!$E$6:$E$1000,"Cancelled")/MAX(1,COUNTIFS(Assignments!$B$6:$B$1000,$A111,Assignments!$E$6:$E$1000,"Completed")+COUNTIFS(Assignments!$B$6:$B$1000,$A111,Assignments!$E$6:$E$1000,"Cancelled")),""))</f>
        <v/>
      </c>
      <c r="M111" s="2" t="str">
        <f>IF($A111="","",IFERROR(AVERAGEIFS(Assignments!$P$6:$P$1000,Assignments!$B$6:$B$1000,$A111,Assignments!$E$6:$E$1000,"Completed"),""))</f>
        <v/>
      </c>
      <c r="N111" s="2"/>
      <c r="O111" s="2"/>
      <c r="P111" s="1" t="str">
        <f>IF(A111="","",MAX(0,MIN(3,SUMIFS(Strike_Log!$C:$C,Strike_Log!$B:$B,A111,Strike_Log!$A:$A,"&gt;="&amp;IF(Config!$B$1004="Y",TODAY()-Config!$B$1005,DATE(1900,1,1)),Strike_Log!$I:$I,1))))</f>
        <v/>
      </c>
      <c r="Q111" s="1">
        <f t="shared" si="3"/>
        <v>0</v>
      </c>
      <c r="R111" s="1" t="str">
        <f>IF(A111="","",IFERROR(AVERAGEIFS(Assignments!$J:$J,Assignments!$B:$B,A111,Assignments!$E:$E,"Completed"),""))</f>
        <v/>
      </c>
      <c r="S111" s="1" t="str">
        <f>IF(A111="","",COUNTIFS(Assignments!$B:$B,A111,Assignments!$AE:$AE, "Y",Assignments!$D:$D,"&gt;="&amp;TODAY()-30))</f>
        <v/>
      </c>
      <c r="T111" s="1" t="str">
        <f>IF(A111="","",COUNTIFS(Assignments!$AF:$AF,A111,Assignments!$AE:$AE, "Y",Assignments!$D:$D,"&gt;="&amp;TODAY()-30))</f>
        <v/>
      </c>
      <c r="U111" s="1" t="str">
        <f>IF(A111="","",IFERROR(S111/MAX(1,COUNTIFS(Assignments!$B:$B,A111,Assignments!$D:$D,"&gt;="&amp;TODAY()-30)),""))</f>
        <v/>
      </c>
      <c r="V111" s="1" t="str">
        <f t="shared" si="4"/>
        <v/>
      </c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 t="str">
        <f>IF($A112="","",IFERROR(AVERAGEIFS(Assignments!$N$6:$N$1000,Assignments!$B$6:$B$1000,$A112,Assignments!$E$6:$E$1000,"Completed"),""))</f>
        <v/>
      </c>
      <c r="K112" s="2" t="str">
        <f>IF(A112="","",IFERROR(AVERAGEIFS(Assignments!$AO:$AO,Assignments!$B:$B,A112,Assignments!$E:$E,"Completed"),""))</f>
        <v/>
      </c>
      <c r="L112" s="2" t="str">
        <f>IF($A112="","",IFERROR(COUNTIFS(Assignments!$B$6:$B$1000,$A112,Assignments!$E$6:$E$1000,"Cancelled")/MAX(1,COUNTIFS(Assignments!$B$6:$B$1000,$A112,Assignments!$E$6:$E$1000,"Completed")+COUNTIFS(Assignments!$B$6:$B$1000,$A112,Assignments!$E$6:$E$1000,"Cancelled")),""))</f>
        <v/>
      </c>
      <c r="M112" s="2" t="str">
        <f>IF($A112="","",IFERROR(AVERAGEIFS(Assignments!$P$6:$P$1000,Assignments!$B$6:$B$1000,$A112,Assignments!$E$6:$E$1000,"Completed"),""))</f>
        <v/>
      </c>
      <c r="N112" s="2"/>
      <c r="O112" s="2"/>
      <c r="P112" s="1" t="str">
        <f>IF(A112="","",MAX(0,MIN(3,SUMIFS(Strike_Log!$C:$C,Strike_Log!$B:$B,A112,Strike_Log!$A:$A,"&gt;="&amp;IF(Config!$B$1004="Y",TODAY()-Config!$B$1005,DATE(1900,1,1)),Strike_Log!$I:$I,1))))</f>
        <v/>
      </c>
      <c r="Q112" s="1">
        <f t="shared" si="3"/>
        <v>0</v>
      </c>
      <c r="R112" s="1" t="str">
        <f>IF(A112="","",IFERROR(AVERAGEIFS(Assignments!$J:$J,Assignments!$B:$B,A112,Assignments!$E:$E,"Completed"),""))</f>
        <v/>
      </c>
      <c r="S112" s="1" t="str">
        <f>IF(A112="","",COUNTIFS(Assignments!$B:$B,A112,Assignments!$AE:$AE, "Y",Assignments!$D:$D,"&gt;="&amp;TODAY()-30))</f>
        <v/>
      </c>
      <c r="T112" s="1" t="str">
        <f>IF(A112="","",COUNTIFS(Assignments!$AF:$AF,A112,Assignments!$AE:$AE, "Y",Assignments!$D:$D,"&gt;="&amp;TODAY()-30))</f>
        <v/>
      </c>
      <c r="U112" s="1" t="str">
        <f>IF(A112="","",IFERROR(S112/MAX(1,COUNTIFS(Assignments!$B:$B,A112,Assignments!$D:$D,"&gt;="&amp;TODAY()-30)),""))</f>
        <v/>
      </c>
      <c r="V112" s="1" t="str">
        <f t="shared" si="4"/>
        <v/>
      </c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 t="str">
        <f>IF($A113="","",IFERROR(AVERAGEIFS(Assignments!$N$6:$N$1000,Assignments!$B$6:$B$1000,$A113,Assignments!$E$6:$E$1000,"Completed"),""))</f>
        <v/>
      </c>
      <c r="K113" s="2" t="str">
        <f>IF(A113="","",IFERROR(AVERAGEIFS(Assignments!$AO:$AO,Assignments!$B:$B,A113,Assignments!$E:$E,"Completed"),""))</f>
        <v/>
      </c>
      <c r="L113" s="2" t="str">
        <f>IF($A113="","",IFERROR(COUNTIFS(Assignments!$B$6:$B$1000,$A113,Assignments!$E$6:$E$1000,"Cancelled")/MAX(1,COUNTIFS(Assignments!$B$6:$B$1000,$A113,Assignments!$E$6:$E$1000,"Completed")+COUNTIFS(Assignments!$B$6:$B$1000,$A113,Assignments!$E$6:$E$1000,"Cancelled")),""))</f>
        <v/>
      </c>
      <c r="M113" s="2" t="str">
        <f>IF($A113="","",IFERROR(AVERAGEIFS(Assignments!$P$6:$P$1000,Assignments!$B$6:$B$1000,$A113,Assignments!$E$6:$E$1000,"Completed"),""))</f>
        <v/>
      </c>
      <c r="N113" s="2"/>
      <c r="O113" s="2"/>
      <c r="P113" s="1" t="str">
        <f>IF(A113="","",MAX(0,MIN(3,SUMIFS(Strike_Log!$C:$C,Strike_Log!$B:$B,A113,Strike_Log!$A:$A,"&gt;="&amp;IF(Config!$B$1004="Y",TODAY()-Config!$B$1005,DATE(1900,1,1)),Strike_Log!$I:$I,1))))</f>
        <v/>
      </c>
      <c r="Q113" s="1">
        <f t="shared" si="3"/>
        <v>0</v>
      </c>
      <c r="R113" s="1" t="str">
        <f>IF(A113="","",IFERROR(AVERAGEIFS(Assignments!$J:$J,Assignments!$B:$B,A113,Assignments!$E:$E,"Completed"),""))</f>
        <v/>
      </c>
      <c r="S113" s="1" t="str">
        <f>IF(A113="","",COUNTIFS(Assignments!$B:$B,A113,Assignments!$AE:$AE, "Y",Assignments!$D:$D,"&gt;="&amp;TODAY()-30))</f>
        <v/>
      </c>
      <c r="T113" s="1" t="str">
        <f>IF(A113="","",COUNTIFS(Assignments!$AF:$AF,A113,Assignments!$AE:$AE, "Y",Assignments!$D:$D,"&gt;="&amp;TODAY()-30))</f>
        <v/>
      </c>
      <c r="U113" s="1" t="str">
        <f>IF(A113="","",IFERROR(S113/MAX(1,COUNTIFS(Assignments!$B:$B,A113,Assignments!$D:$D,"&gt;="&amp;TODAY()-30)),""))</f>
        <v/>
      </c>
      <c r="V113" s="1" t="str">
        <f t="shared" si="4"/>
        <v/>
      </c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 t="str">
        <f>IF($A114="","",IFERROR(AVERAGEIFS(Assignments!$N$6:$N$1000,Assignments!$B$6:$B$1000,$A114,Assignments!$E$6:$E$1000,"Completed"),""))</f>
        <v/>
      </c>
      <c r="K114" s="2" t="str">
        <f>IF(A114="","",IFERROR(AVERAGEIFS(Assignments!$AO:$AO,Assignments!$B:$B,A114,Assignments!$E:$E,"Completed"),""))</f>
        <v/>
      </c>
      <c r="L114" s="2" t="str">
        <f>IF($A114="","",IFERROR(COUNTIFS(Assignments!$B$6:$B$1000,$A114,Assignments!$E$6:$E$1000,"Cancelled")/MAX(1,COUNTIFS(Assignments!$B$6:$B$1000,$A114,Assignments!$E$6:$E$1000,"Completed")+COUNTIFS(Assignments!$B$6:$B$1000,$A114,Assignments!$E$6:$E$1000,"Cancelled")),""))</f>
        <v/>
      </c>
      <c r="M114" s="2" t="str">
        <f>IF($A114="","",IFERROR(AVERAGEIFS(Assignments!$P$6:$P$1000,Assignments!$B$6:$B$1000,$A114,Assignments!$E$6:$E$1000,"Completed"),""))</f>
        <v/>
      </c>
      <c r="N114" s="2"/>
      <c r="O114" s="2"/>
      <c r="P114" s="1" t="str">
        <f>IF(A114="","",MAX(0,MIN(3,SUMIFS(Strike_Log!$C:$C,Strike_Log!$B:$B,A114,Strike_Log!$A:$A,"&gt;="&amp;IF(Config!$B$1004="Y",TODAY()-Config!$B$1005,DATE(1900,1,1)),Strike_Log!$I:$I,1))))</f>
        <v/>
      </c>
      <c r="Q114" s="1">
        <f t="shared" si="3"/>
        <v>0</v>
      </c>
      <c r="R114" s="1" t="str">
        <f>IF(A114="","",IFERROR(AVERAGEIFS(Assignments!$J:$J,Assignments!$B:$B,A114,Assignments!$E:$E,"Completed"),""))</f>
        <v/>
      </c>
      <c r="S114" s="1" t="str">
        <f>IF(A114="","",COUNTIFS(Assignments!$B:$B,A114,Assignments!$AE:$AE, "Y",Assignments!$D:$D,"&gt;="&amp;TODAY()-30))</f>
        <v/>
      </c>
      <c r="T114" s="1" t="str">
        <f>IF(A114="","",COUNTIFS(Assignments!$AF:$AF,A114,Assignments!$AE:$AE, "Y",Assignments!$D:$D,"&gt;="&amp;TODAY()-30))</f>
        <v/>
      </c>
      <c r="U114" s="1" t="str">
        <f>IF(A114="","",IFERROR(S114/MAX(1,COUNTIFS(Assignments!$B:$B,A114,Assignments!$D:$D,"&gt;="&amp;TODAY()-30)),""))</f>
        <v/>
      </c>
      <c r="V114" s="1" t="str">
        <f t="shared" si="4"/>
        <v/>
      </c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 t="str">
        <f>IF($A115="","",IFERROR(AVERAGEIFS(Assignments!$N$6:$N$1000,Assignments!$B$6:$B$1000,$A115,Assignments!$E$6:$E$1000,"Completed"),""))</f>
        <v/>
      </c>
      <c r="K115" s="2" t="str">
        <f>IF(A115="","",IFERROR(AVERAGEIFS(Assignments!$AO:$AO,Assignments!$B:$B,A115,Assignments!$E:$E,"Completed"),""))</f>
        <v/>
      </c>
      <c r="L115" s="2" t="str">
        <f>IF($A115="","",IFERROR(COUNTIFS(Assignments!$B$6:$B$1000,$A115,Assignments!$E$6:$E$1000,"Cancelled")/MAX(1,COUNTIFS(Assignments!$B$6:$B$1000,$A115,Assignments!$E$6:$E$1000,"Completed")+COUNTIFS(Assignments!$B$6:$B$1000,$A115,Assignments!$E$6:$E$1000,"Cancelled")),""))</f>
        <v/>
      </c>
      <c r="M115" s="2" t="str">
        <f>IF($A115="","",IFERROR(AVERAGEIFS(Assignments!$P$6:$P$1000,Assignments!$B$6:$B$1000,$A115,Assignments!$E$6:$E$1000,"Completed"),""))</f>
        <v/>
      </c>
      <c r="N115" s="2"/>
      <c r="O115" s="2"/>
      <c r="P115" s="1" t="str">
        <f>IF(A115="","",MAX(0,MIN(3,SUMIFS(Strike_Log!$C:$C,Strike_Log!$B:$B,A115,Strike_Log!$A:$A,"&gt;="&amp;IF(Config!$B$1004="Y",TODAY()-Config!$B$1005,DATE(1900,1,1)),Strike_Log!$I:$I,1))))</f>
        <v/>
      </c>
      <c r="Q115" s="1">
        <f t="shared" si="3"/>
        <v>0</v>
      </c>
      <c r="R115" s="1" t="str">
        <f>IF(A115="","",IFERROR(AVERAGEIFS(Assignments!$J:$J,Assignments!$B:$B,A115,Assignments!$E:$E,"Completed"),""))</f>
        <v/>
      </c>
      <c r="S115" s="1" t="str">
        <f>IF(A115="","",COUNTIFS(Assignments!$B:$B,A115,Assignments!$AE:$AE, "Y",Assignments!$D:$D,"&gt;="&amp;TODAY()-30))</f>
        <v/>
      </c>
      <c r="T115" s="1" t="str">
        <f>IF(A115="","",COUNTIFS(Assignments!$AF:$AF,A115,Assignments!$AE:$AE, "Y",Assignments!$D:$D,"&gt;="&amp;TODAY()-30))</f>
        <v/>
      </c>
      <c r="U115" s="1" t="str">
        <f>IF(A115="","",IFERROR(S115/MAX(1,COUNTIFS(Assignments!$B:$B,A115,Assignments!$D:$D,"&gt;="&amp;TODAY()-30)),""))</f>
        <v/>
      </c>
      <c r="V115" s="1" t="str">
        <f t="shared" si="4"/>
        <v/>
      </c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 t="str">
        <f>IF($A116="","",IFERROR(AVERAGEIFS(Assignments!$N$6:$N$1000,Assignments!$B$6:$B$1000,$A116,Assignments!$E$6:$E$1000,"Completed"),""))</f>
        <v/>
      </c>
      <c r="K116" s="2" t="str">
        <f>IF(A116="","",IFERROR(AVERAGEIFS(Assignments!$AO:$AO,Assignments!$B:$B,A116,Assignments!$E:$E,"Completed"),""))</f>
        <v/>
      </c>
      <c r="L116" s="2" t="str">
        <f>IF($A116="","",IFERROR(COUNTIFS(Assignments!$B$6:$B$1000,$A116,Assignments!$E$6:$E$1000,"Cancelled")/MAX(1,COUNTIFS(Assignments!$B$6:$B$1000,$A116,Assignments!$E$6:$E$1000,"Completed")+COUNTIFS(Assignments!$B$6:$B$1000,$A116,Assignments!$E$6:$E$1000,"Cancelled")),""))</f>
        <v/>
      </c>
      <c r="M116" s="2" t="str">
        <f>IF($A116="","",IFERROR(AVERAGEIFS(Assignments!$P$6:$P$1000,Assignments!$B$6:$B$1000,$A116,Assignments!$E$6:$E$1000,"Completed"),""))</f>
        <v/>
      </c>
      <c r="N116" s="2"/>
      <c r="O116" s="2"/>
      <c r="P116" s="1" t="str">
        <f>IF(A116="","",MAX(0,MIN(3,SUMIFS(Strike_Log!$C:$C,Strike_Log!$B:$B,A116,Strike_Log!$A:$A,"&gt;="&amp;IF(Config!$B$1004="Y",TODAY()-Config!$B$1005,DATE(1900,1,1)),Strike_Log!$I:$I,1))))</f>
        <v/>
      </c>
      <c r="Q116" s="1">
        <f t="shared" si="3"/>
        <v>0</v>
      </c>
      <c r="R116" s="1" t="str">
        <f>IF(A116="","",IFERROR(AVERAGEIFS(Assignments!$J:$J,Assignments!$B:$B,A116,Assignments!$E:$E,"Completed"),""))</f>
        <v/>
      </c>
      <c r="S116" s="1" t="str">
        <f>IF(A116="","",COUNTIFS(Assignments!$B:$B,A116,Assignments!$AE:$AE, "Y",Assignments!$D:$D,"&gt;="&amp;TODAY()-30))</f>
        <v/>
      </c>
      <c r="T116" s="1" t="str">
        <f>IF(A116="","",COUNTIFS(Assignments!$AF:$AF,A116,Assignments!$AE:$AE, "Y",Assignments!$D:$D,"&gt;="&amp;TODAY()-30))</f>
        <v/>
      </c>
      <c r="U116" s="1" t="str">
        <f>IF(A116="","",IFERROR(S116/MAX(1,COUNTIFS(Assignments!$B:$B,A116,Assignments!$D:$D,"&gt;="&amp;TODAY()-30)),""))</f>
        <v/>
      </c>
      <c r="V116" s="1" t="str">
        <f t="shared" si="4"/>
        <v/>
      </c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 t="str">
        <f>IF($A117="","",IFERROR(AVERAGEIFS(Assignments!$N$6:$N$1000,Assignments!$B$6:$B$1000,$A117,Assignments!$E$6:$E$1000,"Completed"),""))</f>
        <v/>
      </c>
      <c r="K117" s="2" t="str">
        <f>IF(A117="","",IFERROR(AVERAGEIFS(Assignments!$AO:$AO,Assignments!$B:$B,A117,Assignments!$E:$E,"Completed"),""))</f>
        <v/>
      </c>
      <c r="L117" s="2" t="str">
        <f>IF($A117="","",IFERROR(COUNTIFS(Assignments!$B$6:$B$1000,$A117,Assignments!$E$6:$E$1000,"Cancelled")/MAX(1,COUNTIFS(Assignments!$B$6:$B$1000,$A117,Assignments!$E$6:$E$1000,"Completed")+COUNTIFS(Assignments!$B$6:$B$1000,$A117,Assignments!$E$6:$E$1000,"Cancelled")),""))</f>
        <v/>
      </c>
      <c r="M117" s="2" t="str">
        <f>IF($A117="","",IFERROR(AVERAGEIFS(Assignments!$P$6:$P$1000,Assignments!$B$6:$B$1000,$A117,Assignments!$E$6:$E$1000,"Completed"),""))</f>
        <v/>
      </c>
      <c r="N117" s="2"/>
      <c r="O117" s="2"/>
      <c r="P117" s="1" t="str">
        <f>IF(A117="","",MAX(0,MIN(3,SUMIFS(Strike_Log!$C:$C,Strike_Log!$B:$B,A117,Strike_Log!$A:$A,"&gt;="&amp;IF(Config!$B$1004="Y",TODAY()-Config!$B$1005,DATE(1900,1,1)),Strike_Log!$I:$I,1))))</f>
        <v/>
      </c>
      <c r="Q117" s="1">
        <f t="shared" si="3"/>
        <v>0</v>
      </c>
      <c r="R117" s="1" t="str">
        <f>IF(A117="","",IFERROR(AVERAGEIFS(Assignments!$J:$J,Assignments!$B:$B,A117,Assignments!$E:$E,"Completed"),""))</f>
        <v/>
      </c>
      <c r="S117" s="1" t="str">
        <f>IF(A117="","",COUNTIFS(Assignments!$B:$B,A117,Assignments!$AE:$AE, "Y",Assignments!$D:$D,"&gt;="&amp;TODAY()-30))</f>
        <v/>
      </c>
      <c r="T117" s="1" t="str">
        <f>IF(A117="","",COUNTIFS(Assignments!$AF:$AF,A117,Assignments!$AE:$AE, "Y",Assignments!$D:$D,"&gt;="&amp;TODAY()-30))</f>
        <v/>
      </c>
      <c r="U117" s="1" t="str">
        <f>IF(A117="","",IFERROR(S117/MAX(1,COUNTIFS(Assignments!$B:$B,A117,Assignments!$D:$D,"&gt;="&amp;TODAY()-30)),""))</f>
        <v/>
      </c>
      <c r="V117" s="1" t="str">
        <f t="shared" si="4"/>
        <v/>
      </c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 t="str">
        <f>IF($A118="","",IFERROR(AVERAGEIFS(Assignments!$N$6:$N$1000,Assignments!$B$6:$B$1000,$A118,Assignments!$E$6:$E$1000,"Completed"),""))</f>
        <v/>
      </c>
      <c r="K118" s="2" t="str">
        <f>IF(A118="","",IFERROR(AVERAGEIFS(Assignments!$AO:$AO,Assignments!$B:$B,A118,Assignments!$E:$E,"Completed"),""))</f>
        <v/>
      </c>
      <c r="L118" s="2" t="str">
        <f>IF($A118="","",IFERROR(COUNTIFS(Assignments!$B$6:$B$1000,$A118,Assignments!$E$6:$E$1000,"Cancelled")/MAX(1,COUNTIFS(Assignments!$B$6:$B$1000,$A118,Assignments!$E$6:$E$1000,"Completed")+COUNTIFS(Assignments!$B$6:$B$1000,$A118,Assignments!$E$6:$E$1000,"Cancelled")),""))</f>
        <v/>
      </c>
      <c r="M118" s="2" t="str">
        <f>IF($A118="","",IFERROR(AVERAGEIFS(Assignments!$P$6:$P$1000,Assignments!$B$6:$B$1000,$A118,Assignments!$E$6:$E$1000,"Completed"),""))</f>
        <v/>
      </c>
      <c r="N118" s="2"/>
      <c r="O118" s="2"/>
      <c r="P118" s="1" t="str">
        <f>IF(A118="","",MAX(0,MIN(3,SUMIFS(Strike_Log!$C:$C,Strike_Log!$B:$B,A118,Strike_Log!$A:$A,"&gt;="&amp;IF(Config!$B$1004="Y",TODAY()-Config!$B$1005,DATE(1900,1,1)),Strike_Log!$I:$I,1))))</f>
        <v/>
      </c>
      <c r="Q118" s="1">
        <f t="shared" si="3"/>
        <v>0</v>
      </c>
      <c r="R118" s="1" t="str">
        <f>IF(A118="","",IFERROR(AVERAGEIFS(Assignments!$J:$J,Assignments!$B:$B,A118,Assignments!$E:$E,"Completed"),""))</f>
        <v/>
      </c>
      <c r="S118" s="1" t="str">
        <f>IF(A118="","",COUNTIFS(Assignments!$B:$B,A118,Assignments!$AE:$AE, "Y",Assignments!$D:$D,"&gt;="&amp;TODAY()-30))</f>
        <v/>
      </c>
      <c r="T118" s="1" t="str">
        <f>IF(A118="","",COUNTIFS(Assignments!$AF:$AF,A118,Assignments!$AE:$AE, "Y",Assignments!$D:$D,"&gt;="&amp;TODAY()-30))</f>
        <v/>
      </c>
      <c r="U118" s="1" t="str">
        <f>IF(A118="","",IFERROR(S118/MAX(1,COUNTIFS(Assignments!$B:$B,A118,Assignments!$D:$D,"&gt;="&amp;TODAY()-30)),""))</f>
        <v/>
      </c>
      <c r="V118" s="1" t="str">
        <f t="shared" si="4"/>
        <v/>
      </c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 t="str">
        <f>IF($A119="","",IFERROR(AVERAGEIFS(Assignments!$N$6:$N$1000,Assignments!$B$6:$B$1000,$A119,Assignments!$E$6:$E$1000,"Completed"),""))</f>
        <v/>
      </c>
      <c r="K119" s="2" t="str">
        <f>IF(A119="","",IFERROR(AVERAGEIFS(Assignments!$AO:$AO,Assignments!$B:$B,A119,Assignments!$E:$E,"Completed"),""))</f>
        <v/>
      </c>
      <c r="L119" s="2" t="str">
        <f>IF($A119="","",IFERROR(COUNTIFS(Assignments!$B$6:$B$1000,$A119,Assignments!$E$6:$E$1000,"Cancelled")/MAX(1,COUNTIFS(Assignments!$B$6:$B$1000,$A119,Assignments!$E$6:$E$1000,"Completed")+COUNTIFS(Assignments!$B$6:$B$1000,$A119,Assignments!$E$6:$E$1000,"Cancelled")),""))</f>
        <v/>
      </c>
      <c r="M119" s="2" t="str">
        <f>IF($A119="","",IFERROR(AVERAGEIFS(Assignments!$P$6:$P$1000,Assignments!$B$6:$B$1000,$A119,Assignments!$E$6:$E$1000,"Completed"),""))</f>
        <v/>
      </c>
      <c r="N119" s="2"/>
      <c r="O119" s="2"/>
      <c r="P119" s="1" t="str">
        <f>IF(A119="","",MAX(0,MIN(3,SUMIFS(Strike_Log!$C:$C,Strike_Log!$B:$B,A119,Strike_Log!$A:$A,"&gt;="&amp;IF(Config!$B$1004="Y",TODAY()-Config!$B$1005,DATE(1900,1,1)),Strike_Log!$I:$I,1))))</f>
        <v/>
      </c>
      <c r="Q119" s="1">
        <f t="shared" si="3"/>
        <v>0</v>
      </c>
      <c r="R119" s="1" t="str">
        <f>IF(A119="","",IFERROR(AVERAGEIFS(Assignments!$J:$J,Assignments!$B:$B,A119,Assignments!$E:$E,"Completed"),""))</f>
        <v/>
      </c>
      <c r="S119" s="1" t="str">
        <f>IF(A119="","",COUNTIFS(Assignments!$B:$B,A119,Assignments!$AE:$AE, "Y",Assignments!$D:$D,"&gt;="&amp;TODAY()-30))</f>
        <v/>
      </c>
      <c r="T119" s="1" t="str">
        <f>IF(A119="","",COUNTIFS(Assignments!$AF:$AF,A119,Assignments!$AE:$AE, "Y",Assignments!$D:$D,"&gt;="&amp;TODAY()-30))</f>
        <v/>
      </c>
      <c r="U119" s="1" t="str">
        <f>IF(A119="","",IFERROR(S119/MAX(1,COUNTIFS(Assignments!$B:$B,A119,Assignments!$D:$D,"&gt;="&amp;TODAY()-30)),""))</f>
        <v/>
      </c>
      <c r="V119" s="1" t="str">
        <f t="shared" si="4"/>
        <v/>
      </c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 t="str">
        <f>IF($A120="","",IFERROR(AVERAGEIFS(Assignments!$N$6:$N$1000,Assignments!$B$6:$B$1000,$A120,Assignments!$E$6:$E$1000,"Completed"),""))</f>
        <v/>
      </c>
      <c r="K120" s="2" t="str">
        <f>IF(A120="","",IFERROR(AVERAGEIFS(Assignments!$AO:$AO,Assignments!$B:$B,A120,Assignments!$E:$E,"Completed"),""))</f>
        <v/>
      </c>
      <c r="L120" s="2" t="str">
        <f>IF($A120="","",IFERROR(COUNTIFS(Assignments!$B$6:$B$1000,$A120,Assignments!$E$6:$E$1000,"Cancelled")/MAX(1,COUNTIFS(Assignments!$B$6:$B$1000,$A120,Assignments!$E$6:$E$1000,"Completed")+COUNTIFS(Assignments!$B$6:$B$1000,$A120,Assignments!$E$6:$E$1000,"Cancelled")),""))</f>
        <v/>
      </c>
      <c r="M120" s="2" t="str">
        <f>IF($A120="","",IFERROR(AVERAGEIFS(Assignments!$P$6:$P$1000,Assignments!$B$6:$B$1000,$A120,Assignments!$E$6:$E$1000,"Completed"),""))</f>
        <v/>
      </c>
      <c r="N120" s="2"/>
      <c r="O120" s="2"/>
      <c r="P120" s="1" t="str">
        <f>IF(A120="","",MAX(0,MIN(3,SUMIFS(Strike_Log!$C:$C,Strike_Log!$B:$B,A120,Strike_Log!$A:$A,"&gt;="&amp;IF(Config!$B$1004="Y",TODAY()-Config!$B$1005,DATE(1900,1,1)),Strike_Log!$I:$I,1))))</f>
        <v/>
      </c>
      <c r="Q120" s="1">
        <f t="shared" si="3"/>
        <v>0</v>
      </c>
      <c r="R120" s="1" t="str">
        <f>IF(A120="","",IFERROR(AVERAGEIFS(Assignments!$J:$J,Assignments!$B:$B,A120,Assignments!$E:$E,"Completed"),""))</f>
        <v/>
      </c>
      <c r="S120" s="1" t="str">
        <f>IF(A120="","",COUNTIFS(Assignments!$B:$B,A120,Assignments!$AE:$AE, "Y",Assignments!$D:$D,"&gt;="&amp;TODAY()-30))</f>
        <v/>
      </c>
      <c r="T120" s="1" t="str">
        <f>IF(A120="","",COUNTIFS(Assignments!$AF:$AF,A120,Assignments!$AE:$AE, "Y",Assignments!$D:$D,"&gt;="&amp;TODAY()-30))</f>
        <v/>
      </c>
      <c r="U120" s="1" t="str">
        <f>IF(A120="","",IFERROR(S120/MAX(1,COUNTIFS(Assignments!$B:$B,A120,Assignments!$D:$D,"&gt;="&amp;TODAY()-30)),""))</f>
        <v/>
      </c>
      <c r="V120" s="1" t="str">
        <f t="shared" si="4"/>
        <v/>
      </c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 t="str">
        <f>IF($A121="","",IFERROR(AVERAGEIFS(Assignments!$N$6:$N$1000,Assignments!$B$6:$B$1000,$A121,Assignments!$E$6:$E$1000,"Completed"),""))</f>
        <v/>
      </c>
      <c r="K121" s="2" t="str">
        <f>IF(A121="","",IFERROR(AVERAGEIFS(Assignments!$AO:$AO,Assignments!$B:$B,A121,Assignments!$E:$E,"Completed"),""))</f>
        <v/>
      </c>
      <c r="L121" s="2" t="str">
        <f>IF($A121="","",IFERROR(COUNTIFS(Assignments!$B$6:$B$1000,$A121,Assignments!$E$6:$E$1000,"Cancelled")/MAX(1,COUNTIFS(Assignments!$B$6:$B$1000,$A121,Assignments!$E$6:$E$1000,"Completed")+COUNTIFS(Assignments!$B$6:$B$1000,$A121,Assignments!$E$6:$E$1000,"Cancelled")),""))</f>
        <v/>
      </c>
      <c r="M121" s="2" t="str">
        <f>IF($A121="","",IFERROR(AVERAGEIFS(Assignments!$P$6:$P$1000,Assignments!$B$6:$B$1000,$A121,Assignments!$E$6:$E$1000,"Completed"),""))</f>
        <v/>
      </c>
      <c r="N121" s="2"/>
      <c r="O121" s="2"/>
      <c r="P121" s="1" t="str">
        <f>IF(A121="","",MAX(0,MIN(3,SUMIFS(Strike_Log!$C:$C,Strike_Log!$B:$B,A121,Strike_Log!$A:$A,"&gt;="&amp;IF(Config!$B$1004="Y",TODAY()-Config!$B$1005,DATE(1900,1,1)),Strike_Log!$I:$I,1))))</f>
        <v/>
      </c>
      <c r="Q121" s="1">
        <f t="shared" si="3"/>
        <v>0</v>
      </c>
      <c r="R121" s="1" t="str">
        <f>IF(A121="","",IFERROR(AVERAGEIFS(Assignments!$J:$J,Assignments!$B:$B,A121,Assignments!$E:$E,"Completed"),""))</f>
        <v/>
      </c>
      <c r="S121" s="1" t="str">
        <f>IF(A121="","",COUNTIFS(Assignments!$B:$B,A121,Assignments!$AE:$AE, "Y",Assignments!$D:$D,"&gt;="&amp;TODAY()-30))</f>
        <v/>
      </c>
      <c r="T121" s="1" t="str">
        <f>IF(A121="","",COUNTIFS(Assignments!$AF:$AF,A121,Assignments!$AE:$AE, "Y",Assignments!$D:$D,"&gt;="&amp;TODAY()-30))</f>
        <v/>
      </c>
      <c r="U121" s="1" t="str">
        <f>IF(A121="","",IFERROR(S121/MAX(1,COUNTIFS(Assignments!$B:$B,A121,Assignments!$D:$D,"&gt;="&amp;TODAY()-30)),""))</f>
        <v/>
      </c>
      <c r="V121" s="1" t="str">
        <f t="shared" si="4"/>
        <v/>
      </c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 t="str">
        <f>IF($A122="","",IFERROR(AVERAGEIFS(Assignments!$N$6:$N$1000,Assignments!$B$6:$B$1000,$A122,Assignments!$E$6:$E$1000,"Completed"),""))</f>
        <v/>
      </c>
      <c r="K122" s="2" t="str">
        <f>IF(A122="","",IFERROR(AVERAGEIFS(Assignments!$AO:$AO,Assignments!$B:$B,A122,Assignments!$E:$E,"Completed"),""))</f>
        <v/>
      </c>
      <c r="L122" s="2" t="str">
        <f>IF($A122="","",IFERROR(COUNTIFS(Assignments!$B$6:$B$1000,$A122,Assignments!$E$6:$E$1000,"Cancelled")/MAX(1,COUNTIFS(Assignments!$B$6:$B$1000,$A122,Assignments!$E$6:$E$1000,"Completed")+COUNTIFS(Assignments!$B$6:$B$1000,$A122,Assignments!$E$6:$E$1000,"Cancelled")),""))</f>
        <v/>
      </c>
      <c r="M122" s="2" t="str">
        <f>IF($A122="","",IFERROR(AVERAGEIFS(Assignments!$P$6:$P$1000,Assignments!$B$6:$B$1000,$A122,Assignments!$E$6:$E$1000,"Completed"),""))</f>
        <v/>
      </c>
      <c r="N122" s="2"/>
      <c r="O122" s="2"/>
      <c r="P122" s="1" t="str">
        <f>IF(A122="","",MAX(0,MIN(3,SUMIFS(Strike_Log!$C:$C,Strike_Log!$B:$B,A122,Strike_Log!$A:$A,"&gt;="&amp;IF(Config!$B$1004="Y",TODAY()-Config!$B$1005,DATE(1900,1,1)),Strike_Log!$I:$I,1))))</f>
        <v/>
      </c>
      <c r="Q122" s="1">
        <f t="shared" si="3"/>
        <v>0</v>
      </c>
      <c r="R122" s="1" t="str">
        <f>IF(A122="","",IFERROR(AVERAGEIFS(Assignments!$J:$J,Assignments!$B:$B,A122,Assignments!$E:$E,"Completed"),""))</f>
        <v/>
      </c>
      <c r="S122" s="1" t="str">
        <f>IF(A122="","",COUNTIFS(Assignments!$B:$B,A122,Assignments!$AE:$AE, "Y",Assignments!$D:$D,"&gt;="&amp;TODAY()-30))</f>
        <v/>
      </c>
      <c r="T122" s="1" t="str">
        <f>IF(A122="","",COUNTIFS(Assignments!$AF:$AF,A122,Assignments!$AE:$AE, "Y",Assignments!$D:$D,"&gt;="&amp;TODAY()-30))</f>
        <v/>
      </c>
      <c r="U122" s="1" t="str">
        <f>IF(A122="","",IFERROR(S122/MAX(1,COUNTIFS(Assignments!$B:$B,A122,Assignments!$D:$D,"&gt;="&amp;TODAY()-30)),""))</f>
        <v/>
      </c>
      <c r="V122" s="1" t="str">
        <f t="shared" si="4"/>
        <v/>
      </c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 t="str">
        <f>IF($A123="","",IFERROR(AVERAGEIFS(Assignments!$N$6:$N$1000,Assignments!$B$6:$B$1000,$A123,Assignments!$E$6:$E$1000,"Completed"),""))</f>
        <v/>
      </c>
      <c r="K123" s="2" t="str">
        <f>IF(A123="","",IFERROR(AVERAGEIFS(Assignments!$AO:$AO,Assignments!$B:$B,A123,Assignments!$E:$E,"Completed"),""))</f>
        <v/>
      </c>
      <c r="L123" s="2" t="str">
        <f>IF($A123="","",IFERROR(COUNTIFS(Assignments!$B$6:$B$1000,$A123,Assignments!$E$6:$E$1000,"Cancelled")/MAX(1,COUNTIFS(Assignments!$B$6:$B$1000,$A123,Assignments!$E$6:$E$1000,"Completed")+COUNTIFS(Assignments!$B$6:$B$1000,$A123,Assignments!$E$6:$E$1000,"Cancelled")),""))</f>
        <v/>
      </c>
      <c r="M123" s="2" t="str">
        <f>IF($A123="","",IFERROR(AVERAGEIFS(Assignments!$P$6:$P$1000,Assignments!$B$6:$B$1000,$A123,Assignments!$E$6:$E$1000,"Completed"),""))</f>
        <v/>
      </c>
      <c r="N123" s="2"/>
      <c r="O123" s="2"/>
      <c r="P123" s="1" t="str">
        <f>IF(A123="","",MAX(0,MIN(3,SUMIFS(Strike_Log!$C:$C,Strike_Log!$B:$B,A123,Strike_Log!$A:$A,"&gt;="&amp;IF(Config!$B$1004="Y",TODAY()-Config!$B$1005,DATE(1900,1,1)),Strike_Log!$I:$I,1))))</f>
        <v/>
      </c>
      <c r="Q123" s="1">
        <f t="shared" si="3"/>
        <v>0</v>
      </c>
      <c r="R123" s="1" t="str">
        <f>IF(A123="","",IFERROR(AVERAGEIFS(Assignments!$J:$J,Assignments!$B:$B,A123,Assignments!$E:$E,"Completed"),""))</f>
        <v/>
      </c>
      <c r="S123" s="1" t="str">
        <f>IF(A123="","",COUNTIFS(Assignments!$B:$B,A123,Assignments!$AE:$AE, "Y",Assignments!$D:$D,"&gt;="&amp;TODAY()-30))</f>
        <v/>
      </c>
      <c r="T123" s="1" t="str">
        <f>IF(A123="","",COUNTIFS(Assignments!$AF:$AF,A123,Assignments!$AE:$AE, "Y",Assignments!$D:$D,"&gt;="&amp;TODAY()-30))</f>
        <v/>
      </c>
      <c r="U123" s="1" t="str">
        <f>IF(A123="","",IFERROR(S123/MAX(1,COUNTIFS(Assignments!$B:$B,A123,Assignments!$D:$D,"&gt;="&amp;TODAY()-30)),""))</f>
        <v/>
      </c>
      <c r="V123" s="1" t="str">
        <f t="shared" si="4"/>
        <v/>
      </c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 t="str">
        <f>IF($A124="","",IFERROR(AVERAGEIFS(Assignments!$N$6:$N$1000,Assignments!$B$6:$B$1000,$A124,Assignments!$E$6:$E$1000,"Completed"),""))</f>
        <v/>
      </c>
      <c r="K124" s="2" t="str">
        <f>IF(A124="","",IFERROR(AVERAGEIFS(Assignments!$AO:$AO,Assignments!$B:$B,A124,Assignments!$E:$E,"Completed"),""))</f>
        <v/>
      </c>
      <c r="L124" s="2" t="str">
        <f>IF($A124="","",IFERROR(COUNTIFS(Assignments!$B$6:$B$1000,$A124,Assignments!$E$6:$E$1000,"Cancelled")/MAX(1,COUNTIFS(Assignments!$B$6:$B$1000,$A124,Assignments!$E$6:$E$1000,"Completed")+COUNTIFS(Assignments!$B$6:$B$1000,$A124,Assignments!$E$6:$E$1000,"Cancelled")),""))</f>
        <v/>
      </c>
      <c r="M124" s="2" t="str">
        <f>IF($A124="","",IFERROR(AVERAGEIFS(Assignments!$P$6:$P$1000,Assignments!$B$6:$B$1000,$A124,Assignments!$E$6:$E$1000,"Completed"),""))</f>
        <v/>
      </c>
      <c r="N124" s="2"/>
      <c r="O124" s="2"/>
      <c r="P124" s="1" t="str">
        <f>IF(A124="","",MAX(0,MIN(3,SUMIFS(Strike_Log!$C:$C,Strike_Log!$B:$B,A124,Strike_Log!$A:$A,"&gt;="&amp;IF(Config!$B$1004="Y",TODAY()-Config!$B$1005,DATE(1900,1,1)),Strike_Log!$I:$I,1))))</f>
        <v/>
      </c>
      <c r="Q124" s="1">
        <f t="shared" si="3"/>
        <v>0</v>
      </c>
      <c r="R124" s="1" t="str">
        <f>IF(A124="","",IFERROR(AVERAGEIFS(Assignments!$J:$J,Assignments!$B:$B,A124,Assignments!$E:$E,"Completed"),""))</f>
        <v/>
      </c>
      <c r="S124" s="1" t="str">
        <f>IF(A124="","",COUNTIFS(Assignments!$B:$B,A124,Assignments!$AE:$AE, "Y",Assignments!$D:$D,"&gt;="&amp;TODAY()-30))</f>
        <v/>
      </c>
      <c r="T124" s="1" t="str">
        <f>IF(A124="","",COUNTIFS(Assignments!$AF:$AF,A124,Assignments!$AE:$AE, "Y",Assignments!$D:$D,"&gt;="&amp;TODAY()-30))</f>
        <v/>
      </c>
      <c r="U124" s="1" t="str">
        <f>IF(A124="","",IFERROR(S124/MAX(1,COUNTIFS(Assignments!$B:$B,A124,Assignments!$D:$D,"&gt;="&amp;TODAY()-30)),""))</f>
        <v/>
      </c>
      <c r="V124" s="1" t="str">
        <f t="shared" si="4"/>
        <v/>
      </c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 t="str">
        <f>IF($A125="","",IFERROR(AVERAGEIFS(Assignments!$N$6:$N$1000,Assignments!$B$6:$B$1000,$A125,Assignments!$E$6:$E$1000,"Completed"),""))</f>
        <v/>
      </c>
      <c r="K125" s="2" t="str">
        <f>IF(A125="","",IFERROR(AVERAGEIFS(Assignments!$AO:$AO,Assignments!$B:$B,A125,Assignments!$E:$E,"Completed"),""))</f>
        <v/>
      </c>
      <c r="L125" s="2" t="str">
        <f>IF($A125="","",IFERROR(COUNTIFS(Assignments!$B$6:$B$1000,$A125,Assignments!$E$6:$E$1000,"Cancelled")/MAX(1,COUNTIFS(Assignments!$B$6:$B$1000,$A125,Assignments!$E$6:$E$1000,"Completed")+COUNTIFS(Assignments!$B$6:$B$1000,$A125,Assignments!$E$6:$E$1000,"Cancelled")),""))</f>
        <v/>
      </c>
      <c r="M125" s="2" t="str">
        <f>IF($A125="","",IFERROR(AVERAGEIFS(Assignments!$P$6:$P$1000,Assignments!$B$6:$B$1000,$A125,Assignments!$E$6:$E$1000,"Completed"),""))</f>
        <v/>
      </c>
      <c r="N125" s="2"/>
      <c r="O125" s="2"/>
      <c r="P125" s="1" t="str">
        <f>IF(A125="","",MAX(0,MIN(3,SUMIFS(Strike_Log!$C:$C,Strike_Log!$B:$B,A125,Strike_Log!$A:$A,"&gt;="&amp;IF(Config!$B$1004="Y",TODAY()-Config!$B$1005,DATE(1900,1,1)),Strike_Log!$I:$I,1))))</f>
        <v/>
      </c>
      <c r="Q125" s="1">
        <f t="shared" si="3"/>
        <v>0</v>
      </c>
      <c r="R125" s="1" t="str">
        <f>IF(A125="","",IFERROR(AVERAGEIFS(Assignments!$J:$J,Assignments!$B:$B,A125,Assignments!$E:$E,"Completed"),""))</f>
        <v/>
      </c>
      <c r="S125" s="1" t="str">
        <f>IF(A125="","",COUNTIFS(Assignments!$B:$B,A125,Assignments!$AE:$AE, "Y",Assignments!$D:$D,"&gt;="&amp;TODAY()-30))</f>
        <v/>
      </c>
      <c r="T125" s="1" t="str">
        <f>IF(A125="","",COUNTIFS(Assignments!$AF:$AF,A125,Assignments!$AE:$AE, "Y",Assignments!$D:$D,"&gt;="&amp;TODAY()-30))</f>
        <v/>
      </c>
      <c r="U125" s="1" t="str">
        <f>IF(A125="","",IFERROR(S125/MAX(1,COUNTIFS(Assignments!$B:$B,A125,Assignments!$D:$D,"&gt;="&amp;TODAY()-30)),""))</f>
        <v/>
      </c>
      <c r="V125" s="1" t="str">
        <f t="shared" si="4"/>
        <v/>
      </c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 t="str">
        <f>IF($A126="","",IFERROR(AVERAGEIFS(Assignments!$N$6:$N$1000,Assignments!$B$6:$B$1000,$A126,Assignments!$E$6:$E$1000,"Completed"),""))</f>
        <v/>
      </c>
      <c r="K126" s="2" t="str">
        <f>IF(A126="","",IFERROR(AVERAGEIFS(Assignments!$AO:$AO,Assignments!$B:$B,A126,Assignments!$E:$E,"Completed"),""))</f>
        <v/>
      </c>
      <c r="L126" s="2" t="str">
        <f>IF($A126="","",IFERROR(COUNTIFS(Assignments!$B$6:$B$1000,$A126,Assignments!$E$6:$E$1000,"Cancelled")/MAX(1,COUNTIFS(Assignments!$B$6:$B$1000,$A126,Assignments!$E$6:$E$1000,"Completed")+COUNTIFS(Assignments!$B$6:$B$1000,$A126,Assignments!$E$6:$E$1000,"Cancelled")),""))</f>
        <v/>
      </c>
      <c r="M126" s="2" t="str">
        <f>IF($A126="","",IFERROR(AVERAGEIFS(Assignments!$P$6:$P$1000,Assignments!$B$6:$B$1000,$A126,Assignments!$E$6:$E$1000,"Completed"),""))</f>
        <v/>
      </c>
      <c r="N126" s="2"/>
      <c r="O126" s="2"/>
      <c r="P126" s="1" t="str">
        <f>IF(A126="","",MAX(0,MIN(3,SUMIFS(Strike_Log!$C:$C,Strike_Log!$B:$B,A126,Strike_Log!$A:$A,"&gt;="&amp;IF(Config!$B$1004="Y",TODAY()-Config!$B$1005,DATE(1900,1,1)),Strike_Log!$I:$I,1))))</f>
        <v/>
      </c>
      <c r="Q126" s="1">
        <f t="shared" si="3"/>
        <v>0</v>
      </c>
      <c r="R126" s="1" t="str">
        <f>IF(A126="","",IFERROR(AVERAGEIFS(Assignments!$J:$J,Assignments!$B:$B,A126,Assignments!$E:$E,"Completed"),""))</f>
        <v/>
      </c>
      <c r="S126" s="1" t="str">
        <f>IF(A126="","",COUNTIFS(Assignments!$B:$B,A126,Assignments!$AE:$AE, "Y",Assignments!$D:$D,"&gt;="&amp;TODAY()-30))</f>
        <v/>
      </c>
      <c r="T126" s="1" t="str">
        <f>IF(A126="","",COUNTIFS(Assignments!$AF:$AF,A126,Assignments!$AE:$AE, "Y",Assignments!$D:$D,"&gt;="&amp;TODAY()-30))</f>
        <v/>
      </c>
      <c r="U126" s="1" t="str">
        <f>IF(A126="","",IFERROR(S126/MAX(1,COUNTIFS(Assignments!$B:$B,A126,Assignments!$D:$D,"&gt;="&amp;TODAY()-30)),""))</f>
        <v/>
      </c>
      <c r="V126" s="1" t="str">
        <f t="shared" si="4"/>
        <v/>
      </c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 t="str">
        <f>IF($A127="","",IFERROR(AVERAGEIFS(Assignments!$N$6:$N$1000,Assignments!$B$6:$B$1000,$A127,Assignments!$E$6:$E$1000,"Completed"),""))</f>
        <v/>
      </c>
      <c r="K127" s="2" t="str">
        <f>IF(A127="","",IFERROR(AVERAGEIFS(Assignments!$AO:$AO,Assignments!$B:$B,A127,Assignments!$E:$E,"Completed"),""))</f>
        <v/>
      </c>
      <c r="L127" s="2" t="str">
        <f>IF($A127="","",IFERROR(COUNTIFS(Assignments!$B$6:$B$1000,$A127,Assignments!$E$6:$E$1000,"Cancelled")/MAX(1,COUNTIFS(Assignments!$B$6:$B$1000,$A127,Assignments!$E$6:$E$1000,"Completed")+COUNTIFS(Assignments!$B$6:$B$1000,$A127,Assignments!$E$6:$E$1000,"Cancelled")),""))</f>
        <v/>
      </c>
      <c r="M127" s="2" t="str">
        <f>IF($A127="","",IFERROR(AVERAGEIFS(Assignments!$P$6:$P$1000,Assignments!$B$6:$B$1000,$A127,Assignments!$E$6:$E$1000,"Completed"),""))</f>
        <v/>
      </c>
      <c r="N127" s="2"/>
      <c r="O127" s="2"/>
      <c r="P127" s="1" t="str">
        <f>IF(A127="","",MAX(0,MIN(3,SUMIFS(Strike_Log!$C:$C,Strike_Log!$B:$B,A127,Strike_Log!$A:$A,"&gt;="&amp;IF(Config!$B$1004="Y",TODAY()-Config!$B$1005,DATE(1900,1,1)),Strike_Log!$I:$I,1))))</f>
        <v/>
      </c>
      <c r="Q127" s="1">
        <f t="shared" si="3"/>
        <v>0</v>
      </c>
      <c r="R127" s="1" t="str">
        <f>IF(A127="","",IFERROR(AVERAGEIFS(Assignments!$J:$J,Assignments!$B:$B,A127,Assignments!$E:$E,"Completed"),""))</f>
        <v/>
      </c>
      <c r="S127" s="1" t="str">
        <f>IF(A127="","",COUNTIFS(Assignments!$B:$B,A127,Assignments!$AE:$AE, "Y",Assignments!$D:$D,"&gt;="&amp;TODAY()-30))</f>
        <v/>
      </c>
      <c r="T127" s="1" t="str">
        <f>IF(A127="","",COUNTIFS(Assignments!$AF:$AF,A127,Assignments!$AE:$AE, "Y",Assignments!$D:$D,"&gt;="&amp;TODAY()-30))</f>
        <v/>
      </c>
      <c r="U127" s="1" t="str">
        <f>IF(A127="","",IFERROR(S127/MAX(1,COUNTIFS(Assignments!$B:$B,A127,Assignments!$D:$D,"&gt;="&amp;TODAY()-30)),""))</f>
        <v/>
      </c>
      <c r="V127" s="1" t="str">
        <f t="shared" si="4"/>
        <v/>
      </c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 t="str">
        <f>IF($A128="","",IFERROR(AVERAGEIFS(Assignments!$N$6:$N$1000,Assignments!$B$6:$B$1000,$A128,Assignments!$E$6:$E$1000,"Completed"),""))</f>
        <v/>
      </c>
      <c r="K128" s="2" t="str">
        <f>IF(A128="","",IFERROR(AVERAGEIFS(Assignments!$AO:$AO,Assignments!$B:$B,A128,Assignments!$E:$E,"Completed"),""))</f>
        <v/>
      </c>
      <c r="L128" s="2" t="str">
        <f>IF($A128="","",IFERROR(COUNTIFS(Assignments!$B$6:$B$1000,$A128,Assignments!$E$6:$E$1000,"Cancelled")/MAX(1,COUNTIFS(Assignments!$B$6:$B$1000,$A128,Assignments!$E$6:$E$1000,"Completed")+COUNTIFS(Assignments!$B$6:$B$1000,$A128,Assignments!$E$6:$E$1000,"Cancelled")),""))</f>
        <v/>
      </c>
      <c r="M128" s="2" t="str">
        <f>IF($A128="","",IFERROR(AVERAGEIFS(Assignments!$P$6:$P$1000,Assignments!$B$6:$B$1000,$A128,Assignments!$E$6:$E$1000,"Completed"),""))</f>
        <v/>
      </c>
      <c r="N128" s="2"/>
      <c r="O128" s="2"/>
      <c r="P128" s="1" t="str">
        <f>IF(A128="","",MAX(0,MIN(3,SUMIFS(Strike_Log!$C:$C,Strike_Log!$B:$B,A128,Strike_Log!$A:$A,"&gt;="&amp;IF(Config!$B$1004="Y",TODAY()-Config!$B$1005,DATE(1900,1,1)),Strike_Log!$I:$I,1))))</f>
        <v/>
      </c>
      <c r="Q128" s="1">
        <f t="shared" si="3"/>
        <v>0</v>
      </c>
      <c r="R128" s="1" t="str">
        <f>IF(A128="","",IFERROR(AVERAGEIFS(Assignments!$J:$J,Assignments!$B:$B,A128,Assignments!$E:$E,"Completed"),""))</f>
        <v/>
      </c>
      <c r="S128" s="1" t="str">
        <f>IF(A128="","",COUNTIFS(Assignments!$B:$B,A128,Assignments!$AE:$AE, "Y",Assignments!$D:$D,"&gt;="&amp;TODAY()-30))</f>
        <v/>
      </c>
      <c r="T128" s="1" t="str">
        <f>IF(A128="","",COUNTIFS(Assignments!$AF:$AF,A128,Assignments!$AE:$AE, "Y",Assignments!$D:$D,"&gt;="&amp;TODAY()-30))</f>
        <v/>
      </c>
      <c r="U128" s="1" t="str">
        <f>IF(A128="","",IFERROR(S128/MAX(1,COUNTIFS(Assignments!$B:$B,A128,Assignments!$D:$D,"&gt;="&amp;TODAY()-30)),""))</f>
        <v/>
      </c>
      <c r="V128" s="1" t="str">
        <f t="shared" si="4"/>
        <v/>
      </c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 t="str">
        <f>IF($A129="","",IFERROR(AVERAGEIFS(Assignments!$N$6:$N$1000,Assignments!$B$6:$B$1000,$A129,Assignments!$E$6:$E$1000,"Completed"),""))</f>
        <v/>
      </c>
      <c r="K129" s="2" t="str">
        <f>IF(A129="","",IFERROR(AVERAGEIFS(Assignments!$AO:$AO,Assignments!$B:$B,A129,Assignments!$E:$E,"Completed"),""))</f>
        <v/>
      </c>
      <c r="L129" s="2" t="str">
        <f>IF($A129="","",IFERROR(COUNTIFS(Assignments!$B$6:$B$1000,$A129,Assignments!$E$6:$E$1000,"Cancelled")/MAX(1,COUNTIFS(Assignments!$B$6:$B$1000,$A129,Assignments!$E$6:$E$1000,"Completed")+COUNTIFS(Assignments!$B$6:$B$1000,$A129,Assignments!$E$6:$E$1000,"Cancelled")),""))</f>
        <v/>
      </c>
      <c r="M129" s="2" t="str">
        <f>IF($A129="","",IFERROR(AVERAGEIFS(Assignments!$P$6:$P$1000,Assignments!$B$6:$B$1000,$A129,Assignments!$E$6:$E$1000,"Completed"),""))</f>
        <v/>
      </c>
      <c r="N129" s="2"/>
      <c r="O129" s="2"/>
      <c r="P129" s="1" t="str">
        <f>IF(A129="","",MAX(0,MIN(3,SUMIFS(Strike_Log!$C:$C,Strike_Log!$B:$B,A129,Strike_Log!$A:$A,"&gt;="&amp;IF(Config!$B$1004="Y",TODAY()-Config!$B$1005,DATE(1900,1,1)),Strike_Log!$I:$I,1))))</f>
        <v/>
      </c>
      <c r="Q129" s="1">
        <f t="shared" si="3"/>
        <v>0</v>
      </c>
      <c r="R129" s="1" t="str">
        <f>IF(A129="","",IFERROR(AVERAGEIFS(Assignments!$J:$J,Assignments!$B:$B,A129,Assignments!$E:$E,"Completed"),""))</f>
        <v/>
      </c>
      <c r="S129" s="1" t="str">
        <f>IF(A129="","",COUNTIFS(Assignments!$B:$B,A129,Assignments!$AE:$AE, "Y",Assignments!$D:$D,"&gt;="&amp;TODAY()-30))</f>
        <v/>
      </c>
      <c r="T129" s="1" t="str">
        <f>IF(A129="","",COUNTIFS(Assignments!$AF:$AF,A129,Assignments!$AE:$AE, "Y",Assignments!$D:$D,"&gt;="&amp;TODAY()-30))</f>
        <v/>
      </c>
      <c r="U129" s="1" t="str">
        <f>IF(A129="","",IFERROR(S129/MAX(1,COUNTIFS(Assignments!$B:$B,A129,Assignments!$D:$D,"&gt;="&amp;TODAY()-30)),""))</f>
        <v/>
      </c>
      <c r="V129" s="1" t="str">
        <f t="shared" si="4"/>
        <v/>
      </c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 t="str">
        <f>IF($A130="","",IFERROR(AVERAGEIFS(Assignments!$N$6:$N$1000,Assignments!$B$6:$B$1000,$A130,Assignments!$E$6:$E$1000,"Completed"),""))</f>
        <v/>
      </c>
      <c r="K130" s="2" t="str">
        <f>IF(A130="","",IFERROR(AVERAGEIFS(Assignments!$AO:$AO,Assignments!$B:$B,A130,Assignments!$E:$E,"Completed"),""))</f>
        <v/>
      </c>
      <c r="L130" s="2" t="str">
        <f>IF($A130="","",IFERROR(COUNTIFS(Assignments!$B$6:$B$1000,$A130,Assignments!$E$6:$E$1000,"Cancelled")/MAX(1,COUNTIFS(Assignments!$B$6:$B$1000,$A130,Assignments!$E$6:$E$1000,"Completed")+COUNTIFS(Assignments!$B$6:$B$1000,$A130,Assignments!$E$6:$E$1000,"Cancelled")),""))</f>
        <v/>
      </c>
      <c r="M130" s="2" t="str">
        <f>IF($A130="","",IFERROR(AVERAGEIFS(Assignments!$P$6:$P$1000,Assignments!$B$6:$B$1000,$A130,Assignments!$E$6:$E$1000,"Completed"),""))</f>
        <v/>
      </c>
      <c r="N130" s="2"/>
      <c r="O130" s="2"/>
      <c r="P130" s="1" t="str">
        <f>IF(A130="","",MAX(0,MIN(3,SUMIFS(Strike_Log!$C:$C,Strike_Log!$B:$B,A130,Strike_Log!$A:$A,"&gt;="&amp;IF(Config!$B$1004="Y",TODAY()-Config!$B$1005,DATE(1900,1,1)),Strike_Log!$I:$I,1))))</f>
        <v/>
      </c>
      <c r="Q130" s="1">
        <f t="shared" si="3"/>
        <v>0</v>
      </c>
      <c r="R130" s="1" t="str">
        <f>IF(A130="","",IFERROR(AVERAGEIFS(Assignments!$J:$J,Assignments!$B:$B,A130,Assignments!$E:$E,"Completed"),""))</f>
        <v/>
      </c>
      <c r="S130" s="1" t="str">
        <f>IF(A130="","",COUNTIFS(Assignments!$B:$B,A130,Assignments!$AE:$AE, "Y",Assignments!$D:$D,"&gt;="&amp;TODAY()-30))</f>
        <v/>
      </c>
      <c r="T130" s="1" t="str">
        <f>IF(A130="","",COUNTIFS(Assignments!$AF:$AF,A130,Assignments!$AE:$AE, "Y",Assignments!$D:$D,"&gt;="&amp;TODAY()-30))</f>
        <v/>
      </c>
      <c r="U130" s="1" t="str">
        <f>IF(A130="","",IFERROR(S130/MAX(1,COUNTIFS(Assignments!$B:$B,A130,Assignments!$D:$D,"&gt;="&amp;TODAY()-30)),""))</f>
        <v/>
      </c>
      <c r="V130" s="1" t="str">
        <f t="shared" si="4"/>
        <v/>
      </c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 t="str">
        <f>IF($A131="","",IFERROR(AVERAGEIFS(Assignments!$N$6:$N$1000,Assignments!$B$6:$B$1000,$A131,Assignments!$E$6:$E$1000,"Completed"),""))</f>
        <v/>
      </c>
      <c r="K131" s="2" t="str">
        <f>IF(A131="","",IFERROR(AVERAGEIFS(Assignments!$AO:$AO,Assignments!$B:$B,A131,Assignments!$E:$E,"Completed"),""))</f>
        <v/>
      </c>
      <c r="L131" s="2" t="str">
        <f>IF($A131="","",IFERROR(COUNTIFS(Assignments!$B$6:$B$1000,$A131,Assignments!$E$6:$E$1000,"Cancelled")/MAX(1,COUNTIFS(Assignments!$B$6:$B$1000,$A131,Assignments!$E$6:$E$1000,"Completed")+COUNTIFS(Assignments!$B$6:$B$1000,$A131,Assignments!$E$6:$E$1000,"Cancelled")),""))</f>
        <v/>
      </c>
      <c r="M131" s="2" t="str">
        <f>IF($A131="","",IFERROR(AVERAGEIFS(Assignments!$P$6:$P$1000,Assignments!$B$6:$B$1000,$A131,Assignments!$E$6:$E$1000,"Completed"),""))</f>
        <v/>
      </c>
      <c r="N131" s="2"/>
      <c r="O131" s="2"/>
      <c r="P131" s="1" t="str">
        <f>IF(A131="","",MAX(0,MIN(3,SUMIFS(Strike_Log!$C:$C,Strike_Log!$B:$B,A131,Strike_Log!$A:$A,"&gt;="&amp;IF(Config!$B$1004="Y",TODAY()-Config!$B$1005,DATE(1900,1,1)),Strike_Log!$I:$I,1))))</f>
        <v/>
      </c>
      <c r="Q131" s="1">
        <f t="shared" si="3"/>
        <v>0</v>
      </c>
      <c r="R131" s="1" t="str">
        <f>IF(A131="","",IFERROR(AVERAGEIFS(Assignments!$J:$J,Assignments!$B:$B,A131,Assignments!$E:$E,"Completed"),""))</f>
        <v/>
      </c>
      <c r="S131" s="1" t="str">
        <f>IF(A131="","",COUNTIFS(Assignments!$B:$B,A131,Assignments!$AE:$AE, "Y",Assignments!$D:$D,"&gt;="&amp;TODAY()-30))</f>
        <v/>
      </c>
      <c r="T131" s="1" t="str">
        <f>IF(A131="","",COUNTIFS(Assignments!$AF:$AF,A131,Assignments!$AE:$AE, "Y",Assignments!$D:$D,"&gt;="&amp;TODAY()-30))</f>
        <v/>
      </c>
      <c r="U131" s="1" t="str">
        <f>IF(A131="","",IFERROR(S131/MAX(1,COUNTIFS(Assignments!$B:$B,A131,Assignments!$D:$D,"&gt;="&amp;TODAY()-30)),""))</f>
        <v/>
      </c>
      <c r="V131" s="1" t="str">
        <f t="shared" si="4"/>
        <v/>
      </c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 t="str">
        <f>IF($A132="","",IFERROR(AVERAGEIFS(Assignments!$N$6:$N$1000,Assignments!$B$6:$B$1000,$A132,Assignments!$E$6:$E$1000,"Completed"),""))</f>
        <v/>
      </c>
      <c r="K132" s="2" t="str">
        <f>IF(A132="","",IFERROR(AVERAGEIFS(Assignments!$AO:$AO,Assignments!$B:$B,A132,Assignments!$E:$E,"Completed"),""))</f>
        <v/>
      </c>
      <c r="L132" s="2" t="str">
        <f>IF($A132="","",IFERROR(COUNTIFS(Assignments!$B$6:$B$1000,$A132,Assignments!$E$6:$E$1000,"Cancelled")/MAX(1,COUNTIFS(Assignments!$B$6:$B$1000,$A132,Assignments!$E$6:$E$1000,"Completed")+COUNTIFS(Assignments!$B$6:$B$1000,$A132,Assignments!$E$6:$E$1000,"Cancelled")),""))</f>
        <v/>
      </c>
      <c r="M132" s="2" t="str">
        <f>IF($A132="","",IFERROR(AVERAGEIFS(Assignments!$P$6:$P$1000,Assignments!$B$6:$B$1000,$A132,Assignments!$E$6:$E$1000,"Completed"),""))</f>
        <v/>
      </c>
      <c r="N132" s="2"/>
      <c r="O132" s="2"/>
      <c r="P132" s="1" t="str">
        <f>IF(A132="","",MAX(0,MIN(3,SUMIFS(Strike_Log!$C:$C,Strike_Log!$B:$B,A132,Strike_Log!$A:$A,"&gt;="&amp;IF(Config!$B$1004="Y",TODAY()-Config!$B$1005,DATE(1900,1,1)),Strike_Log!$I:$I,1))))</f>
        <v/>
      </c>
      <c r="Q132" s="1">
        <f t="shared" si="3"/>
        <v>0</v>
      </c>
      <c r="R132" s="1" t="str">
        <f>IF(A132="","",IFERROR(AVERAGEIFS(Assignments!$J:$J,Assignments!$B:$B,A132,Assignments!$E:$E,"Completed"),""))</f>
        <v/>
      </c>
      <c r="S132" s="1" t="str">
        <f>IF(A132="","",COUNTIFS(Assignments!$B:$B,A132,Assignments!$AE:$AE, "Y",Assignments!$D:$D,"&gt;="&amp;TODAY()-30))</f>
        <v/>
      </c>
      <c r="T132" s="1" t="str">
        <f>IF(A132="","",COUNTIFS(Assignments!$AF:$AF,A132,Assignments!$AE:$AE, "Y",Assignments!$D:$D,"&gt;="&amp;TODAY()-30))</f>
        <v/>
      </c>
      <c r="U132" s="1" t="str">
        <f>IF(A132="","",IFERROR(S132/MAX(1,COUNTIFS(Assignments!$B:$B,A132,Assignments!$D:$D,"&gt;="&amp;TODAY()-30)),""))</f>
        <v/>
      </c>
      <c r="V132" s="1" t="str">
        <f t="shared" si="4"/>
        <v/>
      </c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 t="str">
        <f>IF($A133="","",IFERROR(AVERAGEIFS(Assignments!$N$6:$N$1000,Assignments!$B$6:$B$1000,$A133,Assignments!$E$6:$E$1000,"Completed"),""))</f>
        <v/>
      </c>
      <c r="K133" s="2" t="str">
        <f>IF(A133="","",IFERROR(AVERAGEIFS(Assignments!$AO:$AO,Assignments!$B:$B,A133,Assignments!$E:$E,"Completed"),""))</f>
        <v/>
      </c>
      <c r="L133" s="2" t="str">
        <f>IF($A133="","",IFERROR(COUNTIFS(Assignments!$B$6:$B$1000,$A133,Assignments!$E$6:$E$1000,"Cancelled")/MAX(1,COUNTIFS(Assignments!$B$6:$B$1000,$A133,Assignments!$E$6:$E$1000,"Completed")+COUNTIFS(Assignments!$B$6:$B$1000,$A133,Assignments!$E$6:$E$1000,"Cancelled")),""))</f>
        <v/>
      </c>
      <c r="M133" s="2" t="str">
        <f>IF($A133="","",IFERROR(AVERAGEIFS(Assignments!$P$6:$P$1000,Assignments!$B$6:$B$1000,$A133,Assignments!$E$6:$E$1000,"Completed"),""))</f>
        <v/>
      </c>
      <c r="N133" s="2"/>
      <c r="O133" s="2"/>
      <c r="P133" s="1" t="str">
        <f>IF(A133="","",MAX(0,MIN(3,SUMIFS(Strike_Log!$C:$C,Strike_Log!$B:$B,A133,Strike_Log!$A:$A,"&gt;="&amp;IF(Config!$B$1004="Y",TODAY()-Config!$B$1005,DATE(1900,1,1)),Strike_Log!$I:$I,1))))</f>
        <v/>
      </c>
      <c r="Q133" s="1">
        <f t="shared" si="3"/>
        <v>0</v>
      </c>
      <c r="R133" s="1" t="str">
        <f>IF(A133="","",IFERROR(AVERAGEIFS(Assignments!$J:$J,Assignments!$B:$B,A133,Assignments!$E:$E,"Completed"),""))</f>
        <v/>
      </c>
      <c r="S133" s="1" t="str">
        <f>IF(A133="","",COUNTIFS(Assignments!$B:$B,A133,Assignments!$AE:$AE, "Y",Assignments!$D:$D,"&gt;="&amp;TODAY()-30))</f>
        <v/>
      </c>
      <c r="T133" s="1" t="str">
        <f>IF(A133="","",COUNTIFS(Assignments!$AF:$AF,A133,Assignments!$AE:$AE, "Y",Assignments!$D:$D,"&gt;="&amp;TODAY()-30))</f>
        <v/>
      </c>
      <c r="U133" s="1" t="str">
        <f>IF(A133="","",IFERROR(S133/MAX(1,COUNTIFS(Assignments!$B:$B,A133,Assignments!$D:$D,"&gt;="&amp;TODAY()-30)),""))</f>
        <v/>
      </c>
      <c r="V133" s="1" t="str">
        <f t="shared" si="4"/>
        <v/>
      </c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 t="str">
        <f>IF($A134="","",IFERROR(AVERAGEIFS(Assignments!$N$6:$N$1000,Assignments!$B$6:$B$1000,$A134,Assignments!$E$6:$E$1000,"Completed"),""))</f>
        <v/>
      </c>
      <c r="K134" s="2" t="str">
        <f>IF(A134="","",IFERROR(AVERAGEIFS(Assignments!$AO:$AO,Assignments!$B:$B,A134,Assignments!$E:$E,"Completed"),""))</f>
        <v/>
      </c>
      <c r="L134" s="2" t="str">
        <f>IF($A134="","",IFERROR(COUNTIFS(Assignments!$B$6:$B$1000,$A134,Assignments!$E$6:$E$1000,"Cancelled")/MAX(1,COUNTIFS(Assignments!$B$6:$B$1000,$A134,Assignments!$E$6:$E$1000,"Completed")+COUNTIFS(Assignments!$B$6:$B$1000,$A134,Assignments!$E$6:$E$1000,"Cancelled")),""))</f>
        <v/>
      </c>
      <c r="M134" s="2" t="str">
        <f>IF($A134="","",IFERROR(AVERAGEIFS(Assignments!$P$6:$P$1000,Assignments!$B$6:$B$1000,$A134,Assignments!$E$6:$E$1000,"Completed"),""))</f>
        <v/>
      </c>
      <c r="N134" s="2"/>
      <c r="O134" s="2"/>
      <c r="P134" s="1" t="str">
        <f>IF(A134="","",MAX(0,MIN(3,SUMIFS(Strike_Log!$C:$C,Strike_Log!$B:$B,A134,Strike_Log!$A:$A,"&gt;="&amp;IF(Config!$B$1004="Y",TODAY()-Config!$B$1005,DATE(1900,1,1)),Strike_Log!$I:$I,1))))</f>
        <v/>
      </c>
      <c r="Q134" s="1">
        <f t="shared" si="3"/>
        <v>0</v>
      </c>
      <c r="R134" s="1" t="str">
        <f>IF(A134="","",IFERROR(AVERAGEIFS(Assignments!$J:$J,Assignments!$B:$B,A134,Assignments!$E:$E,"Completed"),""))</f>
        <v/>
      </c>
      <c r="S134" s="1" t="str">
        <f>IF(A134="","",COUNTIFS(Assignments!$B:$B,A134,Assignments!$AE:$AE, "Y",Assignments!$D:$D,"&gt;="&amp;TODAY()-30))</f>
        <v/>
      </c>
      <c r="T134" s="1" t="str">
        <f>IF(A134="","",COUNTIFS(Assignments!$AF:$AF,A134,Assignments!$AE:$AE, "Y",Assignments!$D:$D,"&gt;="&amp;TODAY()-30))</f>
        <v/>
      </c>
      <c r="U134" s="1" t="str">
        <f>IF(A134="","",IFERROR(S134/MAX(1,COUNTIFS(Assignments!$B:$B,A134,Assignments!$D:$D,"&gt;="&amp;TODAY()-30)),""))</f>
        <v/>
      </c>
      <c r="V134" s="1" t="str">
        <f t="shared" si="4"/>
        <v/>
      </c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 t="str">
        <f>IF($A135="","",IFERROR(AVERAGEIFS(Assignments!$N$6:$N$1000,Assignments!$B$6:$B$1000,$A135,Assignments!$E$6:$E$1000,"Completed"),""))</f>
        <v/>
      </c>
      <c r="K135" s="2" t="str">
        <f>IF(A135="","",IFERROR(AVERAGEIFS(Assignments!$AO:$AO,Assignments!$B:$B,A135,Assignments!$E:$E,"Completed"),""))</f>
        <v/>
      </c>
      <c r="L135" s="2" t="str">
        <f>IF($A135="","",IFERROR(COUNTIFS(Assignments!$B$6:$B$1000,$A135,Assignments!$E$6:$E$1000,"Cancelled")/MAX(1,COUNTIFS(Assignments!$B$6:$B$1000,$A135,Assignments!$E$6:$E$1000,"Completed")+COUNTIFS(Assignments!$B$6:$B$1000,$A135,Assignments!$E$6:$E$1000,"Cancelled")),""))</f>
        <v/>
      </c>
      <c r="M135" s="2" t="str">
        <f>IF($A135="","",IFERROR(AVERAGEIFS(Assignments!$P$6:$P$1000,Assignments!$B$6:$B$1000,$A135,Assignments!$E$6:$E$1000,"Completed"),""))</f>
        <v/>
      </c>
      <c r="N135" s="2"/>
      <c r="O135" s="2"/>
      <c r="P135" s="1" t="str">
        <f>IF(A135="","",MAX(0,MIN(3,SUMIFS(Strike_Log!$C:$C,Strike_Log!$B:$B,A135,Strike_Log!$A:$A,"&gt;="&amp;IF(Config!$B$1004="Y",TODAY()-Config!$B$1005,DATE(1900,1,1)),Strike_Log!$I:$I,1))))</f>
        <v/>
      </c>
      <c r="Q135" s="1">
        <f t="shared" si="3"/>
        <v>0</v>
      </c>
      <c r="R135" s="1" t="str">
        <f>IF(A135="","",IFERROR(AVERAGEIFS(Assignments!$J:$J,Assignments!$B:$B,A135,Assignments!$E:$E,"Completed"),""))</f>
        <v/>
      </c>
      <c r="S135" s="1" t="str">
        <f>IF(A135="","",COUNTIFS(Assignments!$B:$B,A135,Assignments!$AE:$AE, "Y",Assignments!$D:$D,"&gt;="&amp;TODAY()-30))</f>
        <v/>
      </c>
      <c r="T135" s="1" t="str">
        <f>IF(A135="","",COUNTIFS(Assignments!$AF:$AF,A135,Assignments!$AE:$AE, "Y",Assignments!$D:$D,"&gt;="&amp;TODAY()-30))</f>
        <v/>
      </c>
      <c r="U135" s="1" t="str">
        <f>IF(A135="","",IFERROR(S135/MAX(1,COUNTIFS(Assignments!$B:$B,A135,Assignments!$D:$D,"&gt;="&amp;TODAY()-30)),""))</f>
        <v/>
      </c>
      <c r="V135" s="1" t="str">
        <f t="shared" si="4"/>
        <v/>
      </c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 t="str">
        <f>IF($A136="","",IFERROR(AVERAGEIFS(Assignments!$N$6:$N$1000,Assignments!$B$6:$B$1000,$A136,Assignments!$E$6:$E$1000,"Completed"),""))</f>
        <v/>
      </c>
      <c r="K136" s="2" t="str">
        <f>IF(A136="","",IFERROR(AVERAGEIFS(Assignments!$AO:$AO,Assignments!$B:$B,A136,Assignments!$E:$E,"Completed"),""))</f>
        <v/>
      </c>
      <c r="L136" s="2" t="str">
        <f>IF($A136="","",IFERROR(COUNTIFS(Assignments!$B$6:$B$1000,$A136,Assignments!$E$6:$E$1000,"Cancelled")/MAX(1,COUNTIFS(Assignments!$B$6:$B$1000,$A136,Assignments!$E$6:$E$1000,"Completed")+COUNTIFS(Assignments!$B$6:$B$1000,$A136,Assignments!$E$6:$E$1000,"Cancelled")),""))</f>
        <v/>
      </c>
      <c r="M136" s="2" t="str">
        <f>IF($A136="","",IFERROR(AVERAGEIFS(Assignments!$P$6:$P$1000,Assignments!$B$6:$B$1000,$A136,Assignments!$E$6:$E$1000,"Completed"),""))</f>
        <v/>
      </c>
      <c r="N136" s="2"/>
      <c r="O136" s="2"/>
      <c r="P136" s="1" t="str">
        <f>IF(A136="","",MAX(0,MIN(3,SUMIFS(Strike_Log!$C:$C,Strike_Log!$B:$B,A136,Strike_Log!$A:$A,"&gt;="&amp;IF(Config!$B$1004="Y",TODAY()-Config!$B$1005,DATE(1900,1,1)),Strike_Log!$I:$I,1))))</f>
        <v/>
      </c>
      <c r="Q136" s="1">
        <f t="shared" si="3"/>
        <v>0</v>
      </c>
      <c r="R136" s="1" t="str">
        <f>IF(A136="","",IFERROR(AVERAGEIFS(Assignments!$J:$J,Assignments!$B:$B,A136,Assignments!$E:$E,"Completed"),""))</f>
        <v/>
      </c>
      <c r="S136" s="1" t="str">
        <f>IF(A136="","",COUNTIFS(Assignments!$B:$B,A136,Assignments!$AE:$AE, "Y",Assignments!$D:$D,"&gt;="&amp;TODAY()-30))</f>
        <v/>
      </c>
      <c r="T136" s="1" t="str">
        <f>IF(A136="","",COUNTIFS(Assignments!$AF:$AF,A136,Assignments!$AE:$AE, "Y",Assignments!$D:$D,"&gt;="&amp;TODAY()-30))</f>
        <v/>
      </c>
      <c r="U136" s="1" t="str">
        <f>IF(A136="","",IFERROR(S136/MAX(1,COUNTIFS(Assignments!$B:$B,A136,Assignments!$D:$D,"&gt;="&amp;TODAY()-30)),""))</f>
        <v/>
      </c>
      <c r="V136" s="1" t="str">
        <f t="shared" si="4"/>
        <v/>
      </c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 t="str">
        <f>IF($A137="","",IFERROR(AVERAGEIFS(Assignments!$N$6:$N$1000,Assignments!$B$6:$B$1000,$A137,Assignments!$E$6:$E$1000,"Completed"),""))</f>
        <v/>
      </c>
      <c r="K137" s="2" t="str">
        <f>IF(A137="","",IFERROR(AVERAGEIFS(Assignments!$AO:$AO,Assignments!$B:$B,A137,Assignments!$E:$E,"Completed"),""))</f>
        <v/>
      </c>
      <c r="L137" s="2" t="str">
        <f>IF($A137="","",IFERROR(COUNTIFS(Assignments!$B$6:$B$1000,$A137,Assignments!$E$6:$E$1000,"Cancelled")/MAX(1,COUNTIFS(Assignments!$B$6:$B$1000,$A137,Assignments!$E$6:$E$1000,"Completed")+COUNTIFS(Assignments!$B$6:$B$1000,$A137,Assignments!$E$6:$E$1000,"Cancelled")),""))</f>
        <v/>
      </c>
      <c r="M137" s="2" t="str">
        <f>IF($A137="","",IFERROR(AVERAGEIFS(Assignments!$P$6:$P$1000,Assignments!$B$6:$B$1000,$A137,Assignments!$E$6:$E$1000,"Completed"),""))</f>
        <v/>
      </c>
      <c r="N137" s="2"/>
      <c r="O137" s="2"/>
      <c r="P137" s="1" t="str">
        <f>IF(A137="","",MAX(0,MIN(3,SUMIFS(Strike_Log!$C:$C,Strike_Log!$B:$B,A137,Strike_Log!$A:$A,"&gt;="&amp;IF(Config!$B$1004="Y",TODAY()-Config!$B$1005,DATE(1900,1,1)),Strike_Log!$I:$I,1))))</f>
        <v/>
      </c>
      <c r="Q137" s="1">
        <f t="shared" si="3"/>
        <v>0</v>
      </c>
      <c r="R137" s="1" t="str">
        <f>IF(A137="","",IFERROR(AVERAGEIFS(Assignments!$J:$J,Assignments!$B:$B,A137,Assignments!$E:$E,"Completed"),""))</f>
        <v/>
      </c>
      <c r="S137" s="1" t="str">
        <f>IF(A137="","",COUNTIFS(Assignments!$B:$B,A137,Assignments!$AE:$AE, "Y",Assignments!$D:$D,"&gt;="&amp;TODAY()-30))</f>
        <v/>
      </c>
      <c r="T137" s="1" t="str">
        <f>IF(A137="","",COUNTIFS(Assignments!$AF:$AF,A137,Assignments!$AE:$AE, "Y",Assignments!$D:$D,"&gt;="&amp;TODAY()-30))</f>
        <v/>
      </c>
      <c r="U137" s="1" t="str">
        <f>IF(A137="","",IFERROR(S137/MAX(1,COUNTIFS(Assignments!$B:$B,A137,Assignments!$D:$D,"&gt;="&amp;TODAY()-30)),""))</f>
        <v/>
      </c>
      <c r="V137" s="1" t="str">
        <f t="shared" si="4"/>
        <v/>
      </c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 t="str">
        <f>IF($A138="","",IFERROR(AVERAGEIFS(Assignments!$N$6:$N$1000,Assignments!$B$6:$B$1000,$A138,Assignments!$E$6:$E$1000,"Completed"),""))</f>
        <v/>
      </c>
      <c r="K138" s="2" t="str">
        <f>IF(A138="","",IFERROR(AVERAGEIFS(Assignments!$AO:$AO,Assignments!$B:$B,A138,Assignments!$E:$E,"Completed"),""))</f>
        <v/>
      </c>
      <c r="L138" s="2" t="str">
        <f>IF($A138="","",IFERROR(COUNTIFS(Assignments!$B$6:$B$1000,$A138,Assignments!$E$6:$E$1000,"Cancelled")/MAX(1,COUNTIFS(Assignments!$B$6:$B$1000,$A138,Assignments!$E$6:$E$1000,"Completed")+COUNTIFS(Assignments!$B$6:$B$1000,$A138,Assignments!$E$6:$E$1000,"Cancelled")),""))</f>
        <v/>
      </c>
      <c r="M138" s="2" t="str">
        <f>IF($A138="","",IFERROR(AVERAGEIFS(Assignments!$P$6:$P$1000,Assignments!$B$6:$B$1000,$A138,Assignments!$E$6:$E$1000,"Completed"),""))</f>
        <v/>
      </c>
      <c r="N138" s="2"/>
      <c r="O138" s="2"/>
      <c r="P138" s="1" t="str">
        <f>IF(A138="","",MAX(0,MIN(3,SUMIFS(Strike_Log!$C:$C,Strike_Log!$B:$B,A138,Strike_Log!$A:$A,"&gt;="&amp;IF(Config!$B$1004="Y",TODAY()-Config!$B$1005,DATE(1900,1,1)),Strike_Log!$I:$I,1))))</f>
        <v/>
      </c>
      <c r="Q138" s="1">
        <f t="shared" si="3"/>
        <v>0</v>
      </c>
      <c r="R138" s="1" t="str">
        <f>IF(A138="","",IFERROR(AVERAGEIFS(Assignments!$J:$J,Assignments!$B:$B,A138,Assignments!$E:$E,"Completed"),""))</f>
        <v/>
      </c>
      <c r="S138" s="1" t="str">
        <f>IF(A138="","",COUNTIFS(Assignments!$B:$B,A138,Assignments!$AE:$AE, "Y",Assignments!$D:$D,"&gt;="&amp;TODAY()-30))</f>
        <v/>
      </c>
      <c r="T138" s="1" t="str">
        <f>IF(A138="","",COUNTIFS(Assignments!$AF:$AF,A138,Assignments!$AE:$AE, "Y",Assignments!$D:$D,"&gt;="&amp;TODAY()-30))</f>
        <v/>
      </c>
      <c r="U138" s="1" t="str">
        <f>IF(A138="","",IFERROR(S138/MAX(1,COUNTIFS(Assignments!$B:$B,A138,Assignments!$D:$D,"&gt;="&amp;TODAY()-30)),""))</f>
        <v/>
      </c>
      <c r="V138" s="1" t="str">
        <f t="shared" si="4"/>
        <v/>
      </c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 t="str">
        <f>IF($A139="","",IFERROR(AVERAGEIFS(Assignments!$N$6:$N$1000,Assignments!$B$6:$B$1000,$A139,Assignments!$E$6:$E$1000,"Completed"),""))</f>
        <v/>
      </c>
      <c r="K139" s="2" t="str">
        <f>IF(A139="","",IFERROR(AVERAGEIFS(Assignments!$AO:$AO,Assignments!$B:$B,A139,Assignments!$E:$E,"Completed"),""))</f>
        <v/>
      </c>
      <c r="L139" s="2" t="str">
        <f>IF($A139="","",IFERROR(COUNTIFS(Assignments!$B$6:$B$1000,$A139,Assignments!$E$6:$E$1000,"Cancelled")/MAX(1,COUNTIFS(Assignments!$B$6:$B$1000,$A139,Assignments!$E$6:$E$1000,"Completed")+COUNTIFS(Assignments!$B$6:$B$1000,$A139,Assignments!$E$6:$E$1000,"Cancelled")),""))</f>
        <v/>
      </c>
      <c r="M139" s="2" t="str">
        <f>IF($A139="","",IFERROR(AVERAGEIFS(Assignments!$P$6:$P$1000,Assignments!$B$6:$B$1000,$A139,Assignments!$E$6:$E$1000,"Completed"),""))</f>
        <v/>
      </c>
      <c r="N139" s="2"/>
      <c r="O139" s="2"/>
      <c r="P139" s="1" t="str">
        <f>IF(A139="","",MAX(0,MIN(3,SUMIFS(Strike_Log!$C:$C,Strike_Log!$B:$B,A139,Strike_Log!$A:$A,"&gt;="&amp;IF(Config!$B$1004="Y",TODAY()-Config!$B$1005,DATE(1900,1,1)),Strike_Log!$I:$I,1))))</f>
        <v/>
      </c>
      <c r="Q139" s="1">
        <f t="shared" si="3"/>
        <v>0</v>
      </c>
      <c r="R139" s="1" t="str">
        <f>IF(A139="","",IFERROR(AVERAGEIFS(Assignments!$J:$J,Assignments!$B:$B,A139,Assignments!$E:$E,"Completed"),""))</f>
        <v/>
      </c>
      <c r="S139" s="1" t="str">
        <f>IF(A139="","",COUNTIFS(Assignments!$B:$B,A139,Assignments!$AE:$AE, "Y",Assignments!$D:$D,"&gt;="&amp;TODAY()-30))</f>
        <v/>
      </c>
      <c r="T139" s="1" t="str">
        <f>IF(A139="","",COUNTIFS(Assignments!$AF:$AF,A139,Assignments!$AE:$AE, "Y",Assignments!$D:$D,"&gt;="&amp;TODAY()-30))</f>
        <v/>
      </c>
      <c r="U139" s="1" t="str">
        <f>IF(A139="","",IFERROR(S139/MAX(1,COUNTIFS(Assignments!$B:$B,A139,Assignments!$D:$D,"&gt;="&amp;TODAY()-30)),""))</f>
        <v/>
      </c>
      <c r="V139" s="1" t="str">
        <f t="shared" si="4"/>
        <v/>
      </c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 t="str">
        <f>IF($A140="","",IFERROR(AVERAGEIFS(Assignments!$N$6:$N$1000,Assignments!$B$6:$B$1000,$A140,Assignments!$E$6:$E$1000,"Completed"),""))</f>
        <v/>
      </c>
      <c r="K140" s="2" t="str">
        <f>IF(A140="","",IFERROR(AVERAGEIFS(Assignments!$AO:$AO,Assignments!$B:$B,A140,Assignments!$E:$E,"Completed"),""))</f>
        <v/>
      </c>
      <c r="L140" s="2" t="str">
        <f>IF($A140="","",IFERROR(COUNTIFS(Assignments!$B$6:$B$1000,$A140,Assignments!$E$6:$E$1000,"Cancelled")/MAX(1,COUNTIFS(Assignments!$B$6:$B$1000,$A140,Assignments!$E$6:$E$1000,"Completed")+COUNTIFS(Assignments!$B$6:$B$1000,$A140,Assignments!$E$6:$E$1000,"Cancelled")),""))</f>
        <v/>
      </c>
      <c r="M140" s="2" t="str">
        <f>IF($A140="","",IFERROR(AVERAGEIFS(Assignments!$P$6:$P$1000,Assignments!$B$6:$B$1000,$A140,Assignments!$E$6:$E$1000,"Completed"),""))</f>
        <v/>
      </c>
      <c r="N140" s="2"/>
      <c r="O140" s="2"/>
      <c r="P140" s="1" t="str">
        <f>IF(A140="","",MAX(0,MIN(3,SUMIFS(Strike_Log!$C:$C,Strike_Log!$B:$B,A140,Strike_Log!$A:$A,"&gt;="&amp;IF(Config!$B$1004="Y",TODAY()-Config!$B$1005,DATE(1900,1,1)),Strike_Log!$I:$I,1))))</f>
        <v/>
      </c>
      <c r="Q140" s="1">
        <f t="shared" si="3"/>
        <v>0</v>
      </c>
      <c r="R140" s="1" t="str">
        <f>IF(A140="","",IFERROR(AVERAGEIFS(Assignments!$J:$J,Assignments!$B:$B,A140,Assignments!$E:$E,"Completed"),""))</f>
        <v/>
      </c>
      <c r="S140" s="1" t="str">
        <f>IF(A140="","",COUNTIFS(Assignments!$B:$B,A140,Assignments!$AE:$AE, "Y",Assignments!$D:$D,"&gt;="&amp;TODAY()-30))</f>
        <v/>
      </c>
      <c r="T140" s="1" t="str">
        <f>IF(A140="","",COUNTIFS(Assignments!$AF:$AF,A140,Assignments!$AE:$AE, "Y",Assignments!$D:$D,"&gt;="&amp;TODAY()-30))</f>
        <v/>
      </c>
      <c r="U140" s="1" t="str">
        <f>IF(A140="","",IFERROR(S140/MAX(1,COUNTIFS(Assignments!$B:$B,A140,Assignments!$D:$D,"&gt;="&amp;TODAY()-30)),""))</f>
        <v/>
      </c>
      <c r="V140" s="1" t="str">
        <f t="shared" si="4"/>
        <v/>
      </c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 t="str">
        <f>IF($A141="","",IFERROR(AVERAGEIFS(Assignments!$N$6:$N$1000,Assignments!$B$6:$B$1000,$A141,Assignments!$E$6:$E$1000,"Completed"),""))</f>
        <v/>
      </c>
      <c r="K141" s="2" t="str">
        <f>IF(A141="","",IFERROR(AVERAGEIFS(Assignments!$AO:$AO,Assignments!$B:$B,A141,Assignments!$E:$E,"Completed"),""))</f>
        <v/>
      </c>
      <c r="L141" s="2" t="str">
        <f>IF($A141="","",IFERROR(COUNTIFS(Assignments!$B$6:$B$1000,$A141,Assignments!$E$6:$E$1000,"Cancelled")/MAX(1,COUNTIFS(Assignments!$B$6:$B$1000,$A141,Assignments!$E$6:$E$1000,"Completed")+COUNTIFS(Assignments!$B$6:$B$1000,$A141,Assignments!$E$6:$E$1000,"Cancelled")),""))</f>
        <v/>
      </c>
      <c r="M141" s="2" t="str">
        <f>IF($A141="","",IFERROR(AVERAGEIFS(Assignments!$P$6:$P$1000,Assignments!$B$6:$B$1000,$A141,Assignments!$E$6:$E$1000,"Completed"),""))</f>
        <v/>
      </c>
      <c r="N141" s="2"/>
      <c r="O141" s="2"/>
      <c r="P141" s="1" t="str">
        <f>IF(A141="","",MAX(0,MIN(3,SUMIFS(Strike_Log!$C:$C,Strike_Log!$B:$B,A141,Strike_Log!$A:$A,"&gt;="&amp;IF(Config!$B$1004="Y",TODAY()-Config!$B$1005,DATE(1900,1,1)),Strike_Log!$I:$I,1))))</f>
        <v/>
      </c>
      <c r="Q141" s="1">
        <f t="shared" si="3"/>
        <v>0</v>
      </c>
      <c r="R141" s="1" t="str">
        <f>IF(A141="","",IFERROR(AVERAGEIFS(Assignments!$J:$J,Assignments!$B:$B,A141,Assignments!$E:$E,"Completed"),""))</f>
        <v/>
      </c>
      <c r="S141" s="1" t="str">
        <f>IF(A141="","",COUNTIFS(Assignments!$B:$B,A141,Assignments!$AE:$AE, "Y",Assignments!$D:$D,"&gt;="&amp;TODAY()-30))</f>
        <v/>
      </c>
      <c r="T141" s="1" t="str">
        <f>IF(A141="","",COUNTIFS(Assignments!$AF:$AF,A141,Assignments!$AE:$AE, "Y",Assignments!$D:$D,"&gt;="&amp;TODAY()-30))</f>
        <v/>
      </c>
      <c r="U141" s="1" t="str">
        <f>IF(A141="","",IFERROR(S141/MAX(1,COUNTIFS(Assignments!$B:$B,A141,Assignments!$D:$D,"&gt;="&amp;TODAY()-30)),""))</f>
        <v/>
      </c>
      <c r="V141" s="1" t="str">
        <f t="shared" si="4"/>
        <v/>
      </c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 t="str">
        <f>IF($A142="","",IFERROR(AVERAGEIFS(Assignments!$N$6:$N$1000,Assignments!$B$6:$B$1000,$A142,Assignments!$E$6:$E$1000,"Completed"),""))</f>
        <v/>
      </c>
      <c r="K142" s="2" t="str">
        <f>IF(A142="","",IFERROR(AVERAGEIFS(Assignments!$AO:$AO,Assignments!$B:$B,A142,Assignments!$E:$E,"Completed"),""))</f>
        <v/>
      </c>
      <c r="L142" s="2" t="str">
        <f>IF($A142="","",IFERROR(COUNTIFS(Assignments!$B$6:$B$1000,$A142,Assignments!$E$6:$E$1000,"Cancelled")/MAX(1,COUNTIFS(Assignments!$B$6:$B$1000,$A142,Assignments!$E$6:$E$1000,"Completed")+COUNTIFS(Assignments!$B$6:$B$1000,$A142,Assignments!$E$6:$E$1000,"Cancelled")),""))</f>
        <v/>
      </c>
      <c r="M142" s="2" t="str">
        <f>IF($A142="","",IFERROR(AVERAGEIFS(Assignments!$P$6:$P$1000,Assignments!$B$6:$B$1000,$A142,Assignments!$E$6:$E$1000,"Completed"),""))</f>
        <v/>
      </c>
      <c r="N142" s="2"/>
      <c r="O142" s="2"/>
      <c r="P142" s="1" t="str">
        <f>IF(A142="","",MAX(0,MIN(3,SUMIFS(Strike_Log!$C:$C,Strike_Log!$B:$B,A142,Strike_Log!$A:$A,"&gt;="&amp;IF(Config!$B$1004="Y",TODAY()-Config!$B$1005,DATE(1900,1,1)),Strike_Log!$I:$I,1))))</f>
        <v/>
      </c>
      <c r="Q142" s="1">
        <f t="shared" si="3"/>
        <v>0</v>
      </c>
      <c r="R142" s="1" t="str">
        <f>IF(A142="","",IFERROR(AVERAGEIFS(Assignments!$J:$J,Assignments!$B:$B,A142,Assignments!$E:$E,"Completed"),""))</f>
        <v/>
      </c>
      <c r="S142" s="1" t="str">
        <f>IF(A142="","",COUNTIFS(Assignments!$B:$B,A142,Assignments!$AE:$AE, "Y",Assignments!$D:$D,"&gt;="&amp;TODAY()-30))</f>
        <v/>
      </c>
      <c r="T142" s="1" t="str">
        <f>IF(A142="","",COUNTIFS(Assignments!$AF:$AF,A142,Assignments!$AE:$AE, "Y",Assignments!$D:$D,"&gt;="&amp;TODAY()-30))</f>
        <v/>
      </c>
      <c r="U142" s="1" t="str">
        <f>IF(A142="","",IFERROR(S142/MAX(1,COUNTIFS(Assignments!$B:$B,A142,Assignments!$D:$D,"&gt;="&amp;TODAY()-30)),""))</f>
        <v/>
      </c>
      <c r="V142" s="1" t="str">
        <f t="shared" si="4"/>
        <v/>
      </c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 t="str">
        <f>IF($A143="","",IFERROR(AVERAGEIFS(Assignments!$N$6:$N$1000,Assignments!$B$6:$B$1000,$A143,Assignments!$E$6:$E$1000,"Completed"),""))</f>
        <v/>
      </c>
      <c r="K143" s="2" t="str">
        <f>IF(A143="","",IFERROR(AVERAGEIFS(Assignments!$AO:$AO,Assignments!$B:$B,A143,Assignments!$E:$E,"Completed"),""))</f>
        <v/>
      </c>
      <c r="L143" s="2" t="str">
        <f>IF($A143="","",IFERROR(COUNTIFS(Assignments!$B$6:$B$1000,$A143,Assignments!$E$6:$E$1000,"Cancelled")/MAX(1,COUNTIFS(Assignments!$B$6:$B$1000,$A143,Assignments!$E$6:$E$1000,"Completed")+COUNTIFS(Assignments!$B$6:$B$1000,$A143,Assignments!$E$6:$E$1000,"Cancelled")),""))</f>
        <v/>
      </c>
      <c r="M143" s="2" t="str">
        <f>IF($A143="","",IFERROR(AVERAGEIFS(Assignments!$P$6:$P$1000,Assignments!$B$6:$B$1000,$A143,Assignments!$E$6:$E$1000,"Completed"),""))</f>
        <v/>
      </c>
      <c r="N143" s="2"/>
      <c r="O143" s="2"/>
      <c r="P143" s="1" t="str">
        <f>IF(A143="","",MAX(0,MIN(3,SUMIFS(Strike_Log!$C:$C,Strike_Log!$B:$B,A143,Strike_Log!$A:$A,"&gt;="&amp;IF(Config!$B$1004="Y",TODAY()-Config!$B$1005,DATE(1900,1,1)),Strike_Log!$I:$I,1))))</f>
        <v/>
      </c>
      <c r="Q143" s="1">
        <f t="shared" si="3"/>
        <v>0</v>
      </c>
      <c r="R143" s="1" t="str">
        <f>IF(A143="","",IFERROR(AVERAGEIFS(Assignments!$J:$J,Assignments!$B:$B,A143,Assignments!$E:$E,"Completed"),""))</f>
        <v/>
      </c>
      <c r="S143" s="1" t="str">
        <f>IF(A143="","",COUNTIFS(Assignments!$B:$B,A143,Assignments!$AE:$AE, "Y",Assignments!$D:$D,"&gt;="&amp;TODAY()-30))</f>
        <v/>
      </c>
      <c r="T143" s="1" t="str">
        <f>IF(A143="","",COUNTIFS(Assignments!$AF:$AF,A143,Assignments!$AE:$AE, "Y",Assignments!$D:$D,"&gt;="&amp;TODAY()-30))</f>
        <v/>
      </c>
      <c r="U143" s="1" t="str">
        <f>IF(A143="","",IFERROR(S143/MAX(1,COUNTIFS(Assignments!$B:$B,A143,Assignments!$D:$D,"&gt;="&amp;TODAY()-30)),""))</f>
        <v/>
      </c>
      <c r="V143" s="1" t="str">
        <f t="shared" si="4"/>
        <v/>
      </c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 t="str">
        <f>IF($A144="","",IFERROR(AVERAGEIFS(Assignments!$N$6:$N$1000,Assignments!$B$6:$B$1000,$A144,Assignments!$E$6:$E$1000,"Completed"),""))</f>
        <v/>
      </c>
      <c r="K144" s="2" t="str">
        <f>IF(A144="","",IFERROR(AVERAGEIFS(Assignments!$AO:$AO,Assignments!$B:$B,A144,Assignments!$E:$E,"Completed"),""))</f>
        <v/>
      </c>
      <c r="L144" s="2" t="str">
        <f>IF($A144="","",IFERROR(COUNTIFS(Assignments!$B$6:$B$1000,$A144,Assignments!$E$6:$E$1000,"Cancelled")/MAX(1,COUNTIFS(Assignments!$B$6:$B$1000,$A144,Assignments!$E$6:$E$1000,"Completed")+COUNTIFS(Assignments!$B$6:$B$1000,$A144,Assignments!$E$6:$E$1000,"Cancelled")),""))</f>
        <v/>
      </c>
      <c r="M144" s="2" t="str">
        <f>IF($A144="","",IFERROR(AVERAGEIFS(Assignments!$P$6:$P$1000,Assignments!$B$6:$B$1000,$A144,Assignments!$E$6:$E$1000,"Completed"),""))</f>
        <v/>
      </c>
      <c r="N144" s="2"/>
      <c r="O144" s="2"/>
      <c r="P144" s="1" t="str">
        <f>IF(A144="","",MAX(0,MIN(3,SUMIFS(Strike_Log!$C:$C,Strike_Log!$B:$B,A144,Strike_Log!$A:$A,"&gt;="&amp;IF(Config!$B$1004="Y",TODAY()-Config!$B$1005,DATE(1900,1,1)),Strike_Log!$I:$I,1))))</f>
        <v/>
      </c>
      <c r="Q144" s="1">
        <f t="shared" si="3"/>
        <v>0</v>
      </c>
      <c r="R144" s="1" t="str">
        <f>IF(A144="","",IFERROR(AVERAGEIFS(Assignments!$J:$J,Assignments!$B:$B,A144,Assignments!$E:$E,"Completed"),""))</f>
        <v/>
      </c>
      <c r="S144" s="1" t="str">
        <f>IF(A144="","",COUNTIFS(Assignments!$B:$B,A144,Assignments!$AE:$AE, "Y",Assignments!$D:$D,"&gt;="&amp;TODAY()-30))</f>
        <v/>
      </c>
      <c r="T144" s="1" t="str">
        <f>IF(A144="","",COUNTIFS(Assignments!$AF:$AF,A144,Assignments!$AE:$AE, "Y",Assignments!$D:$D,"&gt;="&amp;TODAY()-30))</f>
        <v/>
      </c>
      <c r="U144" s="1" t="str">
        <f>IF(A144="","",IFERROR(S144/MAX(1,COUNTIFS(Assignments!$B:$B,A144,Assignments!$D:$D,"&gt;="&amp;TODAY()-30)),""))</f>
        <v/>
      </c>
      <c r="V144" s="1" t="str">
        <f t="shared" si="4"/>
        <v/>
      </c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 t="str">
        <f>IF($A145="","",IFERROR(AVERAGEIFS(Assignments!$N$6:$N$1000,Assignments!$B$6:$B$1000,$A145,Assignments!$E$6:$E$1000,"Completed"),""))</f>
        <v/>
      </c>
      <c r="K145" s="2" t="str">
        <f>IF(A145="","",IFERROR(AVERAGEIFS(Assignments!$AO:$AO,Assignments!$B:$B,A145,Assignments!$E:$E,"Completed"),""))</f>
        <v/>
      </c>
      <c r="L145" s="2" t="str">
        <f>IF($A145="","",IFERROR(COUNTIFS(Assignments!$B$6:$B$1000,$A145,Assignments!$E$6:$E$1000,"Cancelled")/MAX(1,COUNTIFS(Assignments!$B$6:$B$1000,$A145,Assignments!$E$6:$E$1000,"Completed")+COUNTIFS(Assignments!$B$6:$B$1000,$A145,Assignments!$E$6:$E$1000,"Cancelled")),""))</f>
        <v/>
      </c>
      <c r="M145" s="2" t="str">
        <f>IF($A145="","",IFERROR(AVERAGEIFS(Assignments!$P$6:$P$1000,Assignments!$B$6:$B$1000,$A145,Assignments!$E$6:$E$1000,"Completed"),""))</f>
        <v/>
      </c>
      <c r="N145" s="2"/>
      <c r="O145" s="2"/>
      <c r="P145" s="1" t="str">
        <f>IF(A145="","",MAX(0,MIN(3,SUMIFS(Strike_Log!$C:$C,Strike_Log!$B:$B,A145,Strike_Log!$A:$A,"&gt;="&amp;IF(Config!$B$1004="Y",TODAY()-Config!$B$1005,DATE(1900,1,1)),Strike_Log!$I:$I,1))))</f>
        <v/>
      </c>
      <c r="Q145" s="1">
        <f t="shared" si="3"/>
        <v>0</v>
      </c>
      <c r="R145" s="1" t="str">
        <f>IF(A145="","",IFERROR(AVERAGEIFS(Assignments!$J:$J,Assignments!$B:$B,A145,Assignments!$E:$E,"Completed"),""))</f>
        <v/>
      </c>
      <c r="S145" s="1" t="str">
        <f>IF(A145="","",COUNTIFS(Assignments!$B:$B,A145,Assignments!$AE:$AE, "Y",Assignments!$D:$D,"&gt;="&amp;TODAY()-30))</f>
        <v/>
      </c>
      <c r="T145" s="1" t="str">
        <f>IF(A145="","",COUNTIFS(Assignments!$AF:$AF,A145,Assignments!$AE:$AE, "Y",Assignments!$D:$D,"&gt;="&amp;TODAY()-30))</f>
        <v/>
      </c>
      <c r="U145" s="1" t="str">
        <f>IF(A145="","",IFERROR(S145/MAX(1,COUNTIFS(Assignments!$B:$B,A145,Assignments!$D:$D,"&gt;="&amp;TODAY()-30)),""))</f>
        <v/>
      </c>
      <c r="V145" s="1" t="str">
        <f t="shared" si="4"/>
        <v/>
      </c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 t="str">
        <f>IF($A146="","",IFERROR(AVERAGEIFS(Assignments!$N$6:$N$1000,Assignments!$B$6:$B$1000,$A146,Assignments!$E$6:$E$1000,"Completed"),""))</f>
        <v/>
      </c>
      <c r="K146" s="2" t="str">
        <f>IF(A146="","",IFERROR(AVERAGEIFS(Assignments!$AO:$AO,Assignments!$B:$B,A146,Assignments!$E:$E,"Completed"),""))</f>
        <v/>
      </c>
      <c r="L146" s="2" t="str">
        <f>IF($A146="","",IFERROR(COUNTIFS(Assignments!$B$6:$B$1000,$A146,Assignments!$E$6:$E$1000,"Cancelled")/MAX(1,COUNTIFS(Assignments!$B$6:$B$1000,$A146,Assignments!$E$6:$E$1000,"Completed")+COUNTIFS(Assignments!$B$6:$B$1000,$A146,Assignments!$E$6:$E$1000,"Cancelled")),""))</f>
        <v/>
      </c>
      <c r="M146" s="2" t="str">
        <f>IF($A146="","",IFERROR(AVERAGEIFS(Assignments!$P$6:$P$1000,Assignments!$B$6:$B$1000,$A146,Assignments!$E$6:$E$1000,"Completed"),""))</f>
        <v/>
      </c>
      <c r="N146" s="2"/>
      <c r="O146" s="2"/>
      <c r="P146" s="1" t="str">
        <f>IF(A146="","",MAX(0,MIN(3,SUMIFS(Strike_Log!$C:$C,Strike_Log!$B:$B,A146,Strike_Log!$A:$A,"&gt;="&amp;IF(Config!$B$1004="Y",TODAY()-Config!$B$1005,DATE(1900,1,1)),Strike_Log!$I:$I,1))))</f>
        <v/>
      </c>
      <c r="Q146" s="1">
        <f t="shared" si="3"/>
        <v>0</v>
      </c>
      <c r="R146" s="1" t="str">
        <f>IF(A146="","",IFERROR(AVERAGEIFS(Assignments!$J:$J,Assignments!$B:$B,A146,Assignments!$E:$E,"Completed"),""))</f>
        <v/>
      </c>
      <c r="S146" s="1" t="str">
        <f>IF(A146="","",COUNTIFS(Assignments!$B:$B,A146,Assignments!$AE:$AE, "Y",Assignments!$D:$D,"&gt;="&amp;TODAY()-30))</f>
        <v/>
      </c>
      <c r="T146" s="1" t="str">
        <f>IF(A146="","",COUNTIFS(Assignments!$AF:$AF,A146,Assignments!$AE:$AE, "Y",Assignments!$D:$D,"&gt;="&amp;TODAY()-30))</f>
        <v/>
      </c>
      <c r="U146" s="1" t="str">
        <f>IF(A146="","",IFERROR(S146/MAX(1,COUNTIFS(Assignments!$B:$B,A146,Assignments!$D:$D,"&gt;="&amp;TODAY()-30)),""))</f>
        <v/>
      </c>
      <c r="V146" s="1" t="str">
        <f t="shared" si="4"/>
        <v/>
      </c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 t="str">
        <f>IF($A147="","",IFERROR(AVERAGEIFS(Assignments!$N$6:$N$1000,Assignments!$B$6:$B$1000,$A147,Assignments!$E$6:$E$1000,"Completed"),""))</f>
        <v/>
      </c>
      <c r="K147" s="2" t="str">
        <f>IF(A147="","",IFERROR(AVERAGEIFS(Assignments!$AO:$AO,Assignments!$B:$B,A147,Assignments!$E:$E,"Completed"),""))</f>
        <v/>
      </c>
      <c r="L147" s="2" t="str">
        <f>IF($A147="","",IFERROR(COUNTIFS(Assignments!$B$6:$B$1000,$A147,Assignments!$E$6:$E$1000,"Cancelled")/MAX(1,COUNTIFS(Assignments!$B$6:$B$1000,$A147,Assignments!$E$6:$E$1000,"Completed")+COUNTIFS(Assignments!$B$6:$B$1000,$A147,Assignments!$E$6:$E$1000,"Cancelled")),""))</f>
        <v/>
      </c>
      <c r="M147" s="2" t="str">
        <f>IF($A147="","",IFERROR(AVERAGEIFS(Assignments!$P$6:$P$1000,Assignments!$B$6:$B$1000,$A147,Assignments!$E$6:$E$1000,"Completed"),""))</f>
        <v/>
      </c>
      <c r="N147" s="2"/>
      <c r="O147" s="2"/>
      <c r="P147" s="1" t="str">
        <f>IF(A147="","",MAX(0,MIN(3,SUMIFS(Strike_Log!$C:$C,Strike_Log!$B:$B,A147,Strike_Log!$A:$A,"&gt;="&amp;IF(Config!$B$1004="Y",TODAY()-Config!$B$1005,DATE(1900,1,1)),Strike_Log!$I:$I,1))))</f>
        <v/>
      </c>
      <c r="Q147" s="1">
        <f t="shared" si="3"/>
        <v>0</v>
      </c>
      <c r="R147" s="1" t="str">
        <f>IF(A147="","",IFERROR(AVERAGEIFS(Assignments!$J:$J,Assignments!$B:$B,A147,Assignments!$E:$E,"Completed"),""))</f>
        <v/>
      </c>
      <c r="S147" s="1" t="str">
        <f>IF(A147="","",COUNTIFS(Assignments!$B:$B,A147,Assignments!$AE:$AE, "Y",Assignments!$D:$D,"&gt;="&amp;TODAY()-30))</f>
        <v/>
      </c>
      <c r="T147" s="1" t="str">
        <f>IF(A147="","",COUNTIFS(Assignments!$AF:$AF,A147,Assignments!$AE:$AE, "Y",Assignments!$D:$D,"&gt;="&amp;TODAY()-30))</f>
        <v/>
      </c>
      <c r="U147" s="1" t="str">
        <f>IF(A147="","",IFERROR(S147/MAX(1,COUNTIFS(Assignments!$B:$B,A147,Assignments!$D:$D,"&gt;="&amp;TODAY()-30)),""))</f>
        <v/>
      </c>
      <c r="V147" s="1" t="str">
        <f t="shared" si="4"/>
        <v/>
      </c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 t="str">
        <f>IF($A148="","",IFERROR(AVERAGEIFS(Assignments!$N$6:$N$1000,Assignments!$B$6:$B$1000,$A148,Assignments!$E$6:$E$1000,"Completed"),""))</f>
        <v/>
      </c>
      <c r="K148" s="2" t="str">
        <f>IF(A148="","",IFERROR(AVERAGEIFS(Assignments!$AO:$AO,Assignments!$B:$B,A148,Assignments!$E:$E,"Completed"),""))</f>
        <v/>
      </c>
      <c r="L148" s="2" t="str">
        <f>IF($A148="","",IFERROR(COUNTIFS(Assignments!$B$6:$B$1000,$A148,Assignments!$E$6:$E$1000,"Cancelled")/MAX(1,COUNTIFS(Assignments!$B$6:$B$1000,$A148,Assignments!$E$6:$E$1000,"Completed")+COUNTIFS(Assignments!$B$6:$B$1000,$A148,Assignments!$E$6:$E$1000,"Cancelled")),""))</f>
        <v/>
      </c>
      <c r="M148" s="2" t="str">
        <f>IF($A148="","",IFERROR(AVERAGEIFS(Assignments!$P$6:$P$1000,Assignments!$B$6:$B$1000,$A148,Assignments!$E$6:$E$1000,"Completed"),""))</f>
        <v/>
      </c>
      <c r="N148" s="2"/>
      <c r="O148" s="2"/>
      <c r="P148" s="1" t="str">
        <f>IF(A148="","",MAX(0,MIN(3,SUMIFS(Strike_Log!$C:$C,Strike_Log!$B:$B,A148,Strike_Log!$A:$A,"&gt;="&amp;IF(Config!$B$1004="Y",TODAY()-Config!$B$1005,DATE(1900,1,1)),Strike_Log!$I:$I,1))))</f>
        <v/>
      </c>
      <c r="Q148" s="1">
        <f t="shared" si="3"/>
        <v>0</v>
      </c>
      <c r="R148" s="1" t="str">
        <f>IF(A148="","",IFERROR(AVERAGEIFS(Assignments!$J:$J,Assignments!$B:$B,A148,Assignments!$E:$E,"Completed"),""))</f>
        <v/>
      </c>
      <c r="S148" s="1" t="str">
        <f>IF(A148="","",COUNTIFS(Assignments!$B:$B,A148,Assignments!$AE:$AE, "Y",Assignments!$D:$D,"&gt;="&amp;TODAY()-30))</f>
        <v/>
      </c>
      <c r="T148" s="1" t="str">
        <f>IF(A148="","",COUNTIFS(Assignments!$AF:$AF,A148,Assignments!$AE:$AE, "Y",Assignments!$D:$D,"&gt;="&amp;TODAY()-30))</f>
        <v/>
      </c>
      <c r="U148" s="1" t="str">
        <f>IF(A148="","",IFERROR(S148/MAX(1,COUNTIFS(Assignments!$B:$B,A148,Assignments!$D:$D,"&gt;="&amp;TODAY()-30)),""))</f>
        <v/>
      </c>
      <c r="V148" s="1" t="str">
        <f t="shared" si="4"/>
        <v/>
      </c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 t="str">
        <f>IF($A149="","",IFERROR(AVERAGEIFS(Assignments!$N$6:$N$1000,Assignments!$B$6:$B$1000,$A149,Assignments!$E$6:$E$1000,"Completed"),""))</f>
        <v/>
      </c>
      <c r="K149" s="2" t="str">
        <f>IF(A149="","",IFERROR(AVERAGEIFS(Assignments!$AO:$AO,Assignments!$B:$B,A149,Assignments!$E:$E,"Completed"),""))</f>
        <v/>
      </c>
      <c r="L149" s="2" t="str">
        <f>IF($A149="","",IFERROR(COUNTIFS(Assignments!$B$6:$B$1000,$A149,Assignments!$E$6:$E$1000,"Cancelled")/MAX(1,COUNTIFS(Assignments!$B$6:$B$1000,$A149,Assignments!$E$6:$E$1000,"Completed")+COUNTIFS(Assignments!$B$6:$B$1000,$A149,Assignments!$E$6:$E$1000,"Cancelled")),""))</f>
        <v/>
      </c>
      <c r="M149" s="2" t="str">
        <f>IF($A149="","",IFERROR(AVERAGEIFS(Assignments!$P$6:$P$1000,Assignments!$B$6:$B$1000,$A149,Assignments!$E$6:$E$1000,"Completed"),""))</f>
        <v/>
      </c>
      <c r="N149" s="2"/>
      <c r="O149" s="2"/>
      <c r="P149" s="1" t="str">
        <f>IF(A149="","",MAX(0,MIN(3,SUMIFS(Strike_Log!$C:$C,Strike_Log!$B:$B,A149,Strike_Log!$A:$A,"&gt;="&amp;IF(Config!$B$1004="Y",TODAY()-Config!$B$1005,DATE(1900,1,1)),Strike_Log!$I:$I,1))))</f>
        <v/>
      </c>
      <c r="Q149" s="1">
        <f t="shared" si="3"/>
        <v>0</v>
      </c>
      <c r="R149" s="1" t="str">
        <f>IF(A149="","",IFERROR(AVERAGEIFS(Assignments!$J:$J,Assignments!$B:$B,A149,Assignments!$E:$E,"Completed"),""))</f>
        <v/>
      </c>
      <c r="S149" s="1" t="str">
        <f>IF(A149="","",COUNTIFS(Assignments!$B:$B,A149,Assignments!$AE:$AE, "Y",Assignments!$D:$D,"&gt;="&amp;TODAY()-30))</f>
        <v/>
      </c>
      <c r="T149" s="1" t="str">
        <f>IF(A149="","",COUNTIFS(Assignments!$AF:$AF,A149,Assignments!$AE:$AE, "Y",Assignments!$D:$D,"&gt;="&amp;TODAY()-30))</f>
        <v/>
      </c>
      <c r="U149" s="1" t="str">
        <f>IF(A149="","",IFERROR(S149/MAX(1,COUNTIFS(Assignments!$B:$B,A149,Assignments!$D:$D,"&gt;="&amp;TODAY()-30)),""))</f>
        <v/>
      </c>
      <c r="V149" s="1" t="str">
        <f t="shared" si="4"/>
        <v/>
      </c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 t="str">
        <f>IF($A150="","",IFERROR(AVERAGEIFS(Assignments!$N$6:$N$1000,Assignments!$B$6:$B$1000,$A150,Assignments!$E$6:$E$1000,"Completed"),""))</f>
        <v/>
      </c>
      <c r="K150" s="2" t="str">
        <f>IF(A150="","",IFERROR(AVERAGEIFS(Assignments!$AO:$AO,Assignments!$B:$B,A150,Assignments!$E:$E,"Completed"),""))</f>
        <v/>
      </c>
      <c r="L150" s="2" t="str">
        <f>IF($A150="","",IFERROR(COUNTIFS(Assignments!$B$6:$B$1000,$A150,Assignments!$E$6:$E$1000,"Cancelled")/MAX(1,COUNTIFS(Assignments!$B$6:$B$1000,$A150,Assignments!$E$6:$E$1000,"Completed")+COUNTIFS(Assignments!$B$6:$B$1000,$A150,Assignments!$E$6:$E$1000,"Cancelled")),""))</f>
        <v/>
      </c>
      <c r="M150" s="2" t="str">
        <f>IF($A150="","",IFERROR(AVERAGEIFS(Assignments!$P$6:$P$1000,Assignments!$B$6:$B$1000,$A150,Assignments!$E$6:$E$1000,"Completed"),""))</f>
        <v/>
      </c>
      <c r="N150" s="2"/>
      <c r="O150" s="2"/>
      <c r="P150" s="1" t="str">
        <f>IF(A150="","",MAX(0,MIN(3,SUMIFS(Strike_Log!$C:$C,Strike_Log!$B:$B,A150,Strike_Log!$A:$A,"&gt;="&amp;IF(Config!$B$1004="Y",TODAY()-Config!$B$1005,DATE(1900,1,1)),Strike_Log!$I:$I,1))))</f>
        <v/>
      </c>
      <c r="Q150" s="1">
        <f t="shared" si="3"/>
        <v>0</v>
      </c>
      <c r="R150" s="1" t="str">
        <f>IF(A150="","",IFERROR(AVERAGEIFS(Assignments!$J:$J,Assignments!$B:$B,A150,Assignments!$E:$E,"Completed"),""))</f>
        <v/>
      </c>
      <c r="S150" s="1" t="str">
        <f>IF(A150="","",COUNTIFS(Assignments!$B:$B,A150,Assignments!$AE:$AE, "Y",Assignments!$D:$D,"&gt;="&amp;TODAY()-30))</f>
        <v/>
      </c>
      <c r="T150" s="1" t="str">
        <f>IF(A150="","",COUNTIFS(Assignments!$AF:$AF,A150,Assignments!$AE:$AE, "Y",Assignments!$D:$D,"&gt;="&amp;TODAY()-30))</f>
        <v/>
      </c>
      <c r="U150" s="1" t="str">
        <f>IF(A150="","",IFERROR(S150/MAX(1,COUNTIFS(Assignments!$B:$B,A150,Assignments!$D:$D,"&gt;="&amp;TODAY()-30)),""))</f>
        <v/>
      </c>
      <c r="V150" s="1" t="str">
        <f t="shared" si="4"/>
        <v/>
      </c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 t="str">
        <f>IF($A151="","",IFERROR(AVERAGEIFS(Assignments!$N$6:$N$1000,Assignments!$B$6:$B$1000,$A151,Assignments!$E$6:$E$1000,"Completed"),""))</f>
        <v/>
      </c>
      <c r="K151" s="2" t="str">
        <f>IF(A151="","",IFERROR(AVERAGEIFS(Assignments!$AO:$AO,Assignments!$B:$B,A151,Assignments!$E:$E,"Completed"),""))</f>
        <v/>
      </c>
      <c r="L151" s="2" t="str">
        <f>IF($A151="","",IFERROR(COUNTIFS(Assignments!$B$6:$B$1000,$A151,Assignments!$E$6:$E$1000,"Cancelled")/MAX(1,COUNTIFS(Assignments!$B$6:$B$1000,$A151,Assignments!$E$6:$E$1000,"Completed")+COUNTIFS(Assignments!$B$6:$B$1000,$A151,Assignments!$E$6:$E$1000,"Cancelled")),""))</f>
        <v/>
      </c>
      <c r="M151" s="2" t="str">
        <f>IF($A151="","",IFERROR(AVERAGEIFS(Assignments!$P$6:$P$1000,Assignments!$B$6:$B$1000,$A151,Assignments!$E$6:$E$1000,"Completed"),""))</f>
        <v/>
      </c>
      <c r="N151" s="2"/>
      <c r="O151" s="2"/>
      <c r="P151" s="1" t="str">
        <f>IF(A151="","",MAX(0,MIN(3,SUMIFS(Strike_Log!$C:$C,Strike_Log!$B:$B,A151,Strike_Log!$A:$A,"&gt;="&amp;IF(Config!$B$1004="Y",TODAY()-Config!$B$1005,DATE(1900,1,1)),Strike_Log!$I:$I,1))))</f>
        <v/>
      </c>
      <c r="Q151" s="1">
        <f t="shared" si="3"/>
        <v>0</v>
      </c>
      <c r="R151" s="1" t="str">
        <f>IF(A151="","",IFERROR(AVERAGEIFS(Assignments!$J:$J,Assignments!$B:$B,A151,Assignments!$E:$E,"Completed"),""))</f>
        <v/>
      </c>
      <c r="S151" s="1" t="str">
        <f>IF(A151="","",COUNTIFS(Assignments!$B:$B,A151,Assignments!$AE:$AE, "Y",Assignments!$D:$D,"&gt;="&amp;TODAY()-30))</f>
        <v/>
      </c>
      <c r="T151" s="1" t="str">
        <f>IF(A151="","",COUNTIFS(Assignments!$AF:$AF,A151,Assignments!$AE:$AE, "Y",Assignments!$D:$D,"&gt;="&amp;TODAY()-30))</f>
        <v/>
      </c>
      <c r="U151" s="1" t="str">
        <f>IF(A151="","",IFERROR(S151/MAX(1,COUNTIFS(Assignments!$B:$B,A151,Assignments!$D:$D,"&gt;="&amp;TODAY()-30)),""))</f>
        <v/>
      </c>
      <c r="V151" s="1" t="str">
        <f t="shared" si="4"/>
        <v/>
      </c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 t="str">
        <f>IF($A152="","",IFERROR(AVERAGEIFS(Assignments!$N$6:$N$1000,Assignments!$B$6:$B$1000,$A152,Assignments!$E$6:$E$1000,"Completed"),""))</f>
        <v/>
      </c>
      <c r="K152" s="2" t="str">
        <f>IF(A152="","",IFERROR(AVERAGEIFS(Assignments!$AO:$AO,Assignments!$B:$B,A152,Assignments!$E:$E,"Completed"),""))</f>
        <v/>
      </c>
      <c r="L152" s="2" t="str">
        <f>IF($A152="","",IFERROR(COUNTIFS(Assignments!$B$6:$B$1000,$A152,Assignments!$E$6:$E$1000,"Cancelled")/MAX(1,COUNTIFS(Assignments!$B$6:$B$1000,$A152,Assignments!$E$6:$E$1000,"Completed")+COUNTIFS(Assignments!$B$6:$B$1000,$A152,Assignments!$E$6:$E$1000,"Cancelled")),""))</f>
        <v/>
      </c>
      <c r="M152" s="2" t="str">
        <f>IF($A152="","",IFERROR(AVERAGEIFS(Assignments!$P$6:$P$1000,Assignments!$B$6:$B$1000,$A152,Assignments!$E$6:$E$1000,"Completed"),""))</f>
        <v/>
      </c>
      <c r="N152" s="2"/>
      <c r="O152" s="2"/>
      <c r="P152" s="1" t="str">
        <f>IF(A152="","",MAX(0,MIN(3,SUMIFS(Strike_Log!$C:$C,Strike_Log!$B:$B,A152,Strike_Log!$A:$A,"&gt;="&amp;IF(Config!$B$1004="Y",TODAY()-Config!$B$1005,DATE(1900,1,1)),Strike_Log!$I:$I,1))))</f>
        <v/>
      </c>
      <c r="Q152" s="1">
        <f t="shared" si="3"/>
        <v>0</v>
      </c>
      <c r="R152" s="1" t="str">
        <f>IF(A152="","",IFERROR(AVERAGEIFS(Assignments!$J:$J,Assignments!$B:$B,A152,Assignments!$E:$E,"Completed"),""))</f>
        <v/>
      </c>
      <c r="S152" s="1" t="str">
        <f>IF(A152="","",COUNTIFS(Assignments!$B:$B,A152,Assignments!$AE:$AE, "Y",Assignments!$D:$D,"&gt;="&amp;TODAY()-30))</f>
        <v/>
      </c>
      <c r="T152" s="1" t="str">
        <f>IF(A152="","",COUNTIFS(Assignments!$AF:$AF,A152,Assignments!$AE:$AE, "Y",Assignments!$D:$D,"&gt;="&amp;TODAY()-30))</f>
        <v/>
      </c>
      <c r="U152" s="1" t="str">
        <f>IF(A152="","",IFERROR(S152/MAX(1,COUNTIFS(Assignments!$B:$B,A152,Assignments!$D:$D,"&gt;="&amp;TODAY()-30)),""))</f>
        <v/>
      </c>
      <c r="V152" s="1" t="str">
        <f t="shared" si="4"/>
        <v/>
      </c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 t="str">
        <f>IF($A153="","",IFERROR(AVERAGEIFS(Assignments!$N$6:$N$1000,Assignments!$B$6:$B$1000,$A153,Assignments!$E$6:$E$1000,"Completed"),""))</f>
        <v/>
      </c>
      <c r="K153" s="2" t="str">
        <f>IF(A153="","",IFERROR(AVERAGEIFS(Assignments!$AO:$AO,Assignments!$B:$B,A153,Assignments!$E:$E,"Completed"),""))</f>
        <v/>
      </c>
      <c r="L153" s="2" t="str">
        <f>IF($A153="","",IFERROR(COUNTIFS(Assignments!$B$6:$B$1000,$A153,Assignments!$E$6:$E$1000,"Cancelled")/MAX(1,COUNTIFS(Assignments!$B$6:$B$1000,$A153,Assignments!$E$6:$E$1000,"Completed")+COUNTIFS(Assignments!$B$6:$B$1000,$A153,Assignments!$E$6:$E$1000,"Cancelled")),""))</f>
        <v/>
      </c>
      <c r="M153" s="2" t="str">
        <f>IF($A153="","",IFERROR(AVERAGEIFS(Assignments!$P$6:$P$1000,Assignments!$B$6:$B$1000,$A153,Assignments!$E$6:$E$1000,"Completed"),""))</f>
        <v/>
      </c>
      <c r="N153" s="2"/>
      <c r="O153" s="2"/>
      <c r="P153" s="1" t="str">
        <f>IF(A153="","",MAX(0,MIN(3,SUMIFS(Strike_Log!$C:$C,Strike_Log!$B:$B,A153,Strike_Log!$A:$A,"&gt;="&amp;IF(Config!$B$1004="Y",TODAY()-Config!$B$1005,DATE(1900,1,1)),Strike_Log!$I:$I,1))))</f>
        <v/>
      </c>
      <c r="Q153" s="1">
        <f t="shared" si="3"/>
        <v>0</v>
      </c>
      <c r="R153" s="1" t="str">
        <f>IF(A153="","",IFERROR(AVERAGEIFS(Assignments!$J:$J,Assignments!$B:$B,A153,Assignments!$E:$E,"Completed"),""))</f>
        <v/>
      </c>
      <c r="S153" s="1" t="str">
        <f>IF(A153="","",COUNTIFS(Assignments!$B:$B,A153,Assignments!$AE:$AE, "Y",Assignments!$D:$D,"&gt;="&amp;TODAY()-30))</f>
        <v/>
      </c>
      <c r="T153" s="1" t="str">
        <f>IF(A153="","",COUNTIFS(Assignments!$AF:$AF,A153,Assignments!$AE:$AE, "Y",Assignments!$D:$D,"&gt;="&amp;TODAY()-30))</f>
        <v/>
      </c>
      <c r="U153" s="1" t="str">
        <f>IF(A153="","",IFERROR(S153/MAX(1,COUNTIFS(Assignments!$B:$B,A153,Assignments!$D:$D,"&gt;="&amp;TODAY()-30)),""))</f>
        <v/>
      </c>
      <c r="V153" s="1" t="str">
        <f t="shared" si="4"/>
        <v/>
      </c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 t="str">
        <f>IF($A154="","",IFERROR(AVERAGEIFS(Assignments!$N$6:$N$1000,Assignments!$B$6:$B$1000,$A154,Assignments!$E$6:$E$1000,"Completed"),""))</f>
        <v/>
      </c>
      <c r="K154" s="2" t="str">
        <f>IF(A154="","",IFERROR(AVERAGEIFS(Assignments!$AO:$AO,Assignments!$B:$B,A154,Assignments!$E:$E,"Completed"),""))</f>
        <v/>
      </c>
      <c r="L154" s="2" t="str">
        <f>IF($A154="","",IFERROR(COUNTIFS(Assignments!$B$6:$B$1000,$A154,Assignments!$E$6:$E$1000,"Cancelled")/MAX(1,COUNTIFS(Assignments!$B$6:$B$1000,$A154,Assignments!$E$6:$E$1000,"Completed")+COUNTIFS(Assignments!$B$6:$B$1000,$A154,Assignments!$E$6:$E$1000,"Cancelled")),""))</f>
        <v/>
      </c>
      <c r="M154" s="2" t="str">
        <f>IF($A154="","",IFERROR(AVERAGEIFS(Assignments!$P$6:$P$1000,Assignments!$B$6:$B$1000,$A154,Assignments!$E$6:$E$1000,"Completed"),""))</f>
        <v/>
      </c>
      <c r="N154" s="2"/>
      <c r="O154" s="2"/>
      <c r="P154" s="1" t="str">
        <f>IF(A154="","",MAX(0,MIN(3,SUMIFS(Strike_Log!$C:$C,Strike_Log!$B:$B,A154,Strike_Log!$A:$A,"&gt;="&amp;IF(Config!$B$1004="Y",TODAY()-Config!$B$1005,DATE(1900,1,1)),Strike_Log!$I:$I,1))))</f>
        <v/>
      </c>
      <c r="Q154" s="1">
        <f t="shared" si="3"/>
        <v>0</v>
      </c>
      <c r="R154" s="1" t="str">
        <f>IF(A154="","",IFERROR(AVERAGEIFS(Assignments!$J:$J,Assignments!$B:$B,A154,Assignments!$E:$E,"Completed"),""))</f>
        <v/>
      </c>
      <c r="S154" s="1" t="str">
        <f>IF(A154="","",COUNTIFS(Assignments!$B:$B,A154,Assignments!$AE:$AE, "Y",Assignments!$D:$D,"&gt;="&amp;TODAY()-30))</f>
        <v/>
      </c>
      <c r="T154" s="1" t="str">
        <f>IF(A154="","",COUNTIFS(Assignments!$AF:$AF,A154,Assignments!$AE:$AE, "Y",Assignments!$D:$D,"&gt;="&amp;TODAY()-30))</f>
        <v/>
      </c>
      <c r="U154" s="1" t="str">
        <f>IF(A154="","",IFERROR(S154/MAX(1,COUNTIFS(Assignments!$B:$B,A154,Assignments!$D:$D,"&gt;="&amp;TODAY()-30)),""))</f>
        <v/>
      </c>
      <c r="V154" s="1" t="str">
        <f t="shared" si="4"/>
        <v/>
      </c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 t="str">
        <f>IF($A155="","",IFERROR(AVERAGEIFS(Assignments!$N$6:$N$1000,Assignments!$B$6:$B$1000,$A155,Assignments!$E$6:$E$1000,"Completed"),""))</f>
        <v/>
      </c>
      <c r="K155" s="2" t="str">
        <f>IF(A155="","",IFERROR(AVERAGEIFS(Assignments!$AO:$AO,Assignments!$B:$B,A155,Assignments!$E:$E,"Completed"),""))</f>
        <v/>
      </c>
      <c r="L155" s="2" t="str">
        <f>IF($A155="","",IFERROR(COUNTIFS(Assignments!$B$6:$B$1000,$A155,Assignments!$E$6:$E$1000,"Cancelled")/MAX(1,COUNTIFS(Assignments!$B$6:$B$1000,$A155,Assignments!$E$6:$E$1000,"Completed")+COUNTIFS(Assignments!$B$6:$B$1000,$A155,Assignments!$E$6:$E$1000,"Cancelled")),""))</f>
        <v/>
      </c>
      <c r="M155" s="2" t="str">
        <f>IF($A155="","",IFERROR(AVERAGEIFS(Assignments!$P$6:$P$1000,Assignments!$B$6:$B$1000,$A155,Assignments!$E$6:$E$1000,"Completed"),""))</f>
        <v/>
      </c>
      <c r="N155" s="2"/>
      <c r="O155" s="2"/>
      <c r="P155" s="1" t="str">
        <f>IF(A155="","",MAX(0,MIN(3,SUMIFS(Strike_Log!$C:$C,Strike_Log!$B:$B,A155,Strike_Log!$A:$A,"&gt;="&amp;IF(Config!$B$1004="Y",TODAY()-Config!$B$1005,DATE(1900,1,1)),Strike_Log!$I:$I,1))))</f>
        <v/>
      </c>
      <c r="Q155" s="1">
        <f t="shared" si="3"/>
        <v>0</v>
      </c>
      <c r="R155" s="1" t="str">
        <f>IF(A155="","",IFERROR(AVERAGEIFS(Assignments!$J:$J,Assignments!$B:$B,A155,Assignments!$E:$E,"Completed"),""))</f>
        <v/>
      </c>
      <c r="S155" s="1" t="str">
        <f>IF(A155="","",COUNTIFS(Assignments!$B:$B,A155,Assignments!$AE:$AE, "Y",Assignments!$D:$D,"&gt;="&amp;TODAY()-30))</f>
        <v/>
      </c>
      <c r="T155" s="1" t="str">
        <f>IF(A155="","",COUNTIFS(Assignments!$AF:$AF,A155,Assignments!$AE:$AE, "Y",Assignments!$D:$D,"&gt;="&amp;TODAY()-30))</f>
        <v/>
      </c>
      <c r="U155" s="1" t="str">
        <f>IF(A155="","",IFERROR(S155/MAX(1,COUNTIFS(Assignments!$B:$B,A155,Assignments!$D:$D,"&gt;="&amp;TODAY()-30)),""))</f>
        <v/>
      </c>
      <c r="V155" s="1" t="str">
        <f t="shared" si="4"/>
        <v/>
      </c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 t="str">
        <f>IF($A156="","",IFERROR(AVERAGEIFS(Assignments!$N$6:$N$1000,Assignments!$B$6:$B$1000,$A156,Assignments!$E$6:$E$1000,"Completed"),""))</f>
        <v/>
      </c>
      <c r="K156" s="2" t="str">
        <f>IF(A156="","",IFERROR(AVERAGEIFS(Assignments!$AO:$AO,Assignments!$B:$B,A156,Assignments!$E:$E,"Completed"),""))</f>
        <v/>
      </c>
      <c r="L156" s="2" t="str">
        <f>IF($A156="","",IFERROR(COUNTIFS(Assignments!$B$6:$B$1000,$A156,Assignments!$E$6:$E$1000,"Cancelled")/MAX(1,COUNTIFS(Assignments!$B$6:$B$1000,$A156,Assignments!$E$6:$E$1000,"Completed")+COUNTIFS(Assignments!$B$6:$B$1000,$A156,Assignments!$E$6:$E$1000,"Cancelled")),""))</f>
        <v/>
      </c>
      <c r="M156" s="2" t="str">
        <f>IF($A156="","",IFERROR(AVERAGEIFS(Assignments!$P$6:$P$1000,Assignments!$B$6:$B$1000,$A156,Assignments!$E$6:$E$1000,"Completed"),""))</f>
        <v/>
      </c>
      <c r="N156" s="2"/>
      <c r="O156" s="2"/>
      <c r="P156" s="1" t="str">
        <f>IF(A156="","",MAX(0,MIN(3,SUMIFS(Strike_Log!$C:$C,Strike_Log!$B:$B,A156,Strike_Log!$A:$A,"&gt;="&amp;IF(Config!$B$1004="Y",TODAY()-Config!$B$1005,DATE(1900,1,1)),Strike_Log!$I:$I,1))))</f>
        <v/>
      </c>
      <c r="Q156" s="1">
        <f t="shared" si="3"/>
        <v>0</v>
      </c>
      <c r="R156" s="1" t="str">
        <f>IF(A156="","",IFERROR(AVERAGEIFS(Assignments!$J:$J,Assignments!$B:$B,A156,Assignments!$E:$E,"Completed"),""))</f>
        <v/>
      </c>
      <c r="S156" s="1" t="str">
        <f>IF(A156="","",COUNTIFS(Assignments!$B:$B,A156,Assignments!$AE:$AE, "Y",Assignments!$D:$D,"&gt;="&amp;TODAY()-30))</f>
        <v/>
      </c>
      <c r="T156" s="1" t="str">
        <f>IF(A156="","",COUNTIFS(Assignments!$AF:$AF,A156,Assignments!$AE:$AE, "Y",Assignments!$D:$D,"&gt;="&amp;TODAY()-30))</f>
        <v/>
      </c>
      <c r="U156" s="1" t="str">
        <f>IF(A156="","",IFERROR(S156/MAX(1,COUNTIFS(Assignments!$B:$B,A156,Assignments!$D:$D,"&gt;="&amp;TODAY()-30)),""))</f>
        <v/>
      </c>
      <c r="V156" s="1" t="str">
        <f t="shared" si="4"/>
        <v/>
      </c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 t="str">
        <f>IF($A157="","",IFERROR(AVERAGEIFS(Assignments!$N$6:$N$1000,Assignments!$B$6:$B$1000,$A157,Assignments!$E$6:$E$1000,"Completed"),""))</f>
        <v/>
      </c>
      <c r="K157" s="2" t="str">
        <f>IF(A157="","",IFERROR(AVERAGEIFS(Assignments!$AO:$AO,Assignments!$B:$B,A157,Assignments!$E:$E,"Completed"),""))</f>
        <v/>
      </c>
      <c r="L157" s="2" t="str">
        <f>IF($A157="","",IFERROR(COUNTIFS(Assignments!$B$6:$B$1000,$A157,Assignments!$E$6:$E$1000,"Cancelled")/MAX(1,COUNTIFS(Assignments!$B$6:$B$1000,$A157,Assignments!$E$6:$E$1000,"Completed")+COUNTIFS(Assignments!$B$6:$B$1000,$A157,Assignments!$E$6:$E$1000,"Cancelled")),""))</f>
        <v/>
      </c>
      <c r="M157" s="2" t="str">
        <f>IF($A157="","",IFERROR(AVERAGEIFS(Assignments!$P$6:$P$1000,Assignments!$B$6:$B$1000,$A157,Assignments!$E$6:$E$1000,"Completed"),""))</f>
        <v/>
      </c>
      <c r="N157" s="2"/>
      <c r="O157" s="2"/>
      <c r="P157" s="1" t="str">
        <f>IF(A157="","",MAX(0,MIN(3,SUMIFS(Strike_Log!$C:$C,Strike_Log!$B:$B,A157,Strike_Log!$A:$A,"&gt;="&amp;IF(Config!$B$1004="Y",TODAY()-Config!$B$1005,DATE(1900,1,1)),Strike_Log!$I:$I,1))))</f>
        <v/>
      </c>
      <c r="Q157" s="1">
        <f t="shared" si="3"/>
        <v>0</v>
      </c>
      <c r="R157" s="1" t="str">
        <f>IF(A157="","",IFERROR(AVERAGEIFS(Assignments!$J:$J,Assignments!$B:$B,A157,Assignments!$E:$E,"Completed"),""))</f>
        <v/>
      </c>
      <c r="S157" s="1" t="str">
        <f>IF(A157="","",COUNTIFS(Assignments!$B:$B,A157,Assignments!$AE:$AE, "Y",Assignments!$D:$D,"&gt;="&amp;TODAY()-30))</f>
        <v/>
      </c>
      <c r="T157" s="1" t="str">
        <f>IF(A157="","",COUNTIFS(Assignments!$AF:$AF,A157,Assignments!$AE:$AE, "Y",Assignments!$D:$D,"&gt;="&amp;TODAY()-30))</f>
        <v/>
      </c>
      <c r="U157" s="1" t="str">
        <f>IF(A157="","",IFERROR(S157/MAX(1,COUNTIFS(Assignments!$B:$B,A157,Assignments!$D:$D,"&gt;="&amp;TODAY()-30)),""))</f>
        <v/>
      </c>
      <c r="V157" s="1" t="str">
        <f t="shared" si="4"/>
        <v/>
      </c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 t="str">
        <f>IF($A158="","",IFERROR(AVERAGEIFS(Assignments!$N$6:$N$1000,Assignments!$B$6:$B$1000,$A158,Assignments!$E$6:$E$1000,"Completed"),""))</f>
        <v/>
      </c>
      <c r="K158" s="2" t="str">
        <f>IF(A158="","",IFERROR(AVERAGEIFS(Assignments!$AO:$AO,Assignments!$B:$B,A158,Assignments!$E:$E,"Completed"),""))</f>
        <v/>
      </c>
      <c r="L158" s="2" t="str">
        <f>IF($A158="","",IFERROR(COUNTIFS(Assignments!$B$6:$B$1000,$A158,Assignments!$E$6:$E$1000,"Cancelled")/MAX(1,COUNTIFS(Assignments!$B$6:$B$1000,$A158,Assignments!$E$6:$E$1000,"Completed")+COUNTIFS(Assignments!$B$6:$B$1000,$A158,Assignments!$E$6:$E$1000,"Cancelled")),""))</f>
        <v/>
      </c>
      <c r="M158" s="2" t="str">
        <f>IF($A158="","",IFERROR(AVERAGEIFS(Assignments!$P$6:$P$1000,Assignments!$B$6:$B$1000,$A158,Assignments!$E$6:$E$1000,"Completed"),""))</f>
        <v/>
      </c>
      <c r="N158" s="2"/>
      <c r="O158" s="2"/>
      <c r="P158" s="1" t="str">
        <f>IF(A158="","",MAX(0,MIN(3,SUMIFS(Strike_Log!$C:$C,Strike_Log!$B:$B,A158,Strike_Log!$A:$A,"&gt;="&amp;IF(Config!$B$1004="Y",TODAY()-Config!$B$1005,DATE(1900,1,1)),Strike_Log!$I:$I,1))))</f>
        <v/>
      </c>
      <c r="Q158" s="1">
        <f t="shared" si="3"/>
        <v>0</v>
      </c>
      <c r="R158" s="1" t="str">
        <f>IF(A158="","",IFERROR(AVERAGEIFS(Assignments!$J:$J,Assignments!$B:$B,A158,Assignments!$E:$E,"Completed"),""))</f>
        <v/>
      </c>
      <c r="S158" s="1" t="str">
        <f>IF(A158="","",COUNTIFS(Assignments!$B:$B,A158,Assignments!$AE:$AE, "Y",Assignments!$D:$D,"&gt;="&amp;TODAY()-30))</f>
        <v/>
      </c>
      <c r="T158" s="1" t="str">
        <f>IF(A158="","",COUNTIFS(Assignments!$AF:$AF,A158,Assignments!$AE:$AE, "Y",Assignments!$D:$D,"&gt;="&amp;TODAY()-30))</f>
        <v/>
      </c>
      <c r="U158" s="1" t="str">
        <f>IF(A158="","",IFERROR(S158/MAX(1,COUNTIFS(Assignments!$B:$B,A158,Assignments!$D:$D,"&gt;="&amp;TODAY()-30)),""))</f>
        <v/>
      </c>
      <c r="V158" s="1" t="str">
        <f t="shared" si="4"/>
        <v/>
      </c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 t="str">
        <f>IF($A159="","",IFERROR(AVERAGEIFS(Assignments!$N$6:$N$1000,Assignments!$B$6:$B$1000,$A159,Assignments!$E$6:$E$1000,"Completed"),""))</f>
        <v/>
      </c>
      <c r="K159" s="2" t="str">
        <f>IF(A159="","",IFERROR(AVERAGEIFS(Assignments!$AO:$AO,Assignments!$B:$B,A159,Assignments!$E:$E,"Completed"),""))</f>
        <v/>
      </c>
      <c r="L159" s="2" t="str">
        <f>IF($A159="","",IFERROR(COUNTIFS(Assignments!$B$6:$B$1000,$A159,Assignments!$E$6:$E$1000,"Cancelled")/MAX(1,COUNTIFS(Assignments!$B$6:$B$1000,$A159,Assignments!$E$6:$E$1000,"Completed")+COUNTIFS(Assignments!$B$6:$B$1000,$A159,Assignments!$E$6:$E$1000,"Cancelled")),""))</f>
        <v/>
      </c>
      <c r="M159" s="2" t="str">
        <f>IF($A159="","",IFERROR(AVERAGEIFS(Assignments!$P$6:$P$1000,Assignments!$B$6:$B$1000,$A159,Assignments!$E$6:$E$1000,"Completed"),""))</f>
        <v/>
      </c>
      <c r="N159" s="2"/>
      <c r="O159" s="2"/>
      <c r="P159" s="1" t="str">
        <f>IF(A159="","",MAX(0,MIN(3,SUMIFS(Strike_Log!$C:$C,Strike_Log!$B:$B,A159,Strike_Log!$A:$A,"&gt;="&amp;IF(Config!$B$1004="Y",TODAY()-Config!$B$1005,DATE(1900,1,1)),Strike_Log!$I:$I,1))))</f>
        <v/>
      </c>
      <c r="Q159" s="1">
        <f t="shared" si="3"/>
        <v>0</v>
      </c>
      <c r="R159" s="1" t="str">
        <f>IF(A159="","",IFERROR(AVERAGEIFS(Assignments!$J:$J,Assignments!$B:$B,A159,Assignments!$E:$E,"Completed"),""))</f>
        <v/>
      </c>
      <c r="S159" s="1" t="str">
        <f>IF(A159="","",COUNTIFS(Assignments!$B:$B,A159,Assignments!$AE:$AE, "Y",Assignments!$D:$D,"&gt;="&amp;TODAY()-30))</f>
        <v/>
      </c>
      <c r="T159" s="1" t="str">
        <f>IF(A159="","",COUNTIFS(Assignments!$AF:$AF,A159,Assignments!$AE:$AE, "Y",Assignments!$D:$D,"&gt;="&amp;TODAY()-30))</f>
        <v/>
      </c>
      <c r="U159" s="1" t="str">
        <f>IF(A159="","",IFERROR(S159/MAX(1,COUNTIFS(Assignments!$B:$B,A159,Assignments!$D:$D,"&gt;="&amp;TODAY()-30)),""))</f>
        <v/>
      </c>
      <c r="V159" s="1" t="str">
        <f t="shared" si="4"/>
        <v/>
      </c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 t="str">
        <f>IF($A160="","",IFERROR(AVERAGEIFS(Assignments!$N$6:$N$1000,Assignments!$B$6:$B$1000,$A160,Assignments!$E$6:$E$1000,"Completed"),""))</f>
        <v/>
      </c>
      <c r="K160" s="2" t="str">
        <f>IF(A160="","",IFERROR(AVERAGEIFS(Assignments!$AO:$AO,Assignments!$B:$B,A160,Assignments!$E:$E,"Completed"),""))</f>
        <v/>
      </c>
      <c r="L160" s="2" t="str">
        <f>IF($A160="","",IFERROR(COUNTIFS(Assignments!$B$6:$B$1000,$A160,Assignments!$E$6:$E$1000,"Cancelled")/MAX(1,COUNTIFS(Assignments!$B$6:$B$1000,$A160,Assignments!$E$6:$E$1000,"Completed")+COUNTIFS(Assignments!$B$6:$B$1000,$A160,Assignments!$E$6:$E$1000,"Cancelled")),""))</f>
        <v/>
      </c>
      <c r="M160" s="2" t="str">
        <f>IF($A160="","",IFERROR(AVERAGEIFS(Assignments!$P$6:$P$1000,Assignments!$B$6:$B$1000,$A160,Assignments!$E$6:$E$1000,"Completed"),""))</f>
        <v/>
      </c>
      <c r="N160" s="2"/>
      <c r="O160" s="2"/>
      <c r="P160" s="1" t="str">
        <f>IF(A160="","",MAX(0,MIN(3,SUMIFS(Strike_Log!$C:$C,Strike_Log!$B:$B,A160,Strike_Log!$A:$A,"&gt;="&amp;IF(Config!$B$1004="Y",TODAY()-Config!$B$1005,DATE(1900,1,1)),Strike_Log!$I:$I,1))))</f>
        <v/>
      </c>
      <c r="Q160" s="1">
        <f t="shared" si="3"/>
        <v>0</v>
      </c>
      <c r="R160" s="1" t="str">
        <f>IF(A160="","",IFERROR(AVERAGEIFS(Assignments!$J:$J,Assignments!$B:$B,A160,Assignments!$E:$E,"Completed"),""))</f>
        <v/>
      </c>
      <c r="S160" s="1" t="str">
        <f>IF(A160="","",COUNTIFS(Assignments!$B:$B,A160,Assignments!$AE:$AE, "Y",Assignments!$D:$D,"&gt;="&amp;TODAY()-30))</f>
        <v/>
      </c>
      <c r="T160" s="1" t="str">
        <f>IF(A160="","",COUNTIFS(Assignments!$AF:$AF,A160,Assignments!$AE:$AE, "Y",Assignments!$D:$D,"&gt;="&amp;TODAY()-30))</f>
        <v/>
      </c>
      <c r="U160" s="1" t="str">
        <f>IF(A160="","",IFERROR(S160/MAX(1,COUNTIFS(Assignments!$B:$B,A160,Assignments!$D:$D,"&gt;="&amp;TODAY()-30)),""))</f>
        <v/>
      </c>
      <c r="V160" s="1" t="str">
        <f t="shared" si="4"/>
        <v/>
      </c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 t="str">
        <f>IF($A161="","",IFERROR(AVERAGEIFS(Assignments!$N$6:$N$1000,Assignments!$B$6:$B$1000,$A161,Assignments!$E$6:$E$1000,"Completed"),""))</f>
        <v/>
      </c>
      <c r="K161" s="2" t="str">
        <f>IF(A161="","",IFERROR(AVERAGEIFS(Assignments!$AO:$AO,Assignments!$B:$B,A161,Assignments!$E:$E,"Completed"),""))</f>
        <v/>
      </c>
      <c r="L161" s="2" t="str">
        <f>IF($A161="","",IFERROR(COUNTIFS(Assignments!$B$6:$B$1000,$A161,Assignments!$E$6:$E$1000,"Cancelled")/MAX(1,COUNTIFS(Assignments!$B$6:$B$1000,$A161,Assignments!$E$6:$E$1000,"Completed")+COUNTIFS(Assignments!$B$6:$B$1000,$A161,Assignments!$E$6:$E$1000,"Cancelled")),""))</f>
        <v/>
      </c>
      <c r="M161" s="2" t="str">
        <f>IF($A161="","",IFERROR(AVERAGEIFS(Assignments!$P$6:$P$1000,Assignments!$B$6:$B$1000,$A161,Assignments!$E$6:$E$1000,"Completed"),""))</f>
        <v/>
      </c>
      <c r="N161" s="2"/>
      <c r="O161" s="2"/>
      <c r="P161" s="1" t="str">
        <f>IF(A161="","",MAX(0,MIN(3,SUMIFS(Strike_Log!$C:$C,Strike_Log!$B:$B,A161,Strike_Log!$A:$A,"&gt;="&amp;IF(Config!$B$1004="Y",TODAY()-Config!$B$1005,DATE(1900,1,1)),Strike_Log!$I:$I,1))))</f>
        <v/>
      </c>
      <c r="Q161" s="1">
        <f t="shared" si="3"/>
        <v>0</v>
      </c>
      <c r="R161" s="1" t="str">
        <f>IF(A161="","",IFERROR(AVERAGEIFS(Assignments!$J:$J,Assignments!$B:$B,A161,Assignments!$E:$E,"Completed"),""))</f>
        <v/>
      </c>
      <c r="S161" s="1" t="str">
        <f>IF(A161="","",COUNTIFS(Assignments!$B:$B,A161,Assignments!$AE:$AE, "Y",Assignments!$D:$D,"&gt;="&amp;TODAY()-30))</f>
        <v/>
      </c>
      <c r="T161" s="1" t="str">
        <f>IF(A161="","",COUNTIFS(Assignments!$AF:$AF,A161,Assignments!$AE:$AE, "Y",Assignments!$D:$D,"&gt;="&amp;TODAY()-30))</f>
        <v/>
      </c>
      <c r="U161" s="1" t="str">
        <f>IF(A161="","",IFERROR(S161/MAX(1,COUNTIFS(Assignments!$B:$B,A161,Assignments!$D:$D,"&gt;="&amp;TODAY()-30)),""))</f>
        <v/>
      </c>
      <c r="V161" s="1" t="str">
        <f t="shared" si="4"/>
        <v/>
      </c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 t="str">
        <f>IF($A162="","",IFERROR(AVERAGEIFS(Assignments!$N$6:$N$1000,Assignments!$B$6:$B$1000,$A162,Assignments!$E$6:$E$1000,"Completed"),""))</f>
        <v/>
      </c>
      <c r="K162" s="2" t="str">
        <f>IF(A162="","",IFERROR(AVERAGEIFS(Assignments!$AO:$AO,Assignments!$B:$B,A162,Assignments!$E:$E,"Completed"),""))</f>
        <v/>
      </c>
      <c r="L162" s="2" t="str">
        <f>IF($A162="","",IFERROR(COUNTIFS(Assignments!$B$6:$B$1000,$A162,Assignments!$E$6:$E$1000,"Cancelled")/MAX(1,COUNTIFS(Assignments!$B$6:$B$1000,$A162,Assignments!$E$6:$E$1000,"Completed")+COUNTIFS(Assignments!$B$6:$B$1000,$A162,Assignments!$E$6:$E$1000,"Cancelled")),""))</f>
        <v/>
      </c>
      <c r="M162" s="2" t="str">
        <f>IF($A162="","",IFERROR(AVERAGEIFS(Assignments!$P$6:$P$1000,Assignments!$B$6:$B$1000,$A162,Assignments!$E$6:$E$1000,"Completed"),""))</f>
        <v/>
      </c>
      <c r="N162" s="2"/>
      <c r="O162" s="2"/>
      <c r="P162" s="1" t="str">
        <f>IF(A162="","",MAX(0,MIN(3,SUMIFS(Strike_Log!$C:$C,Strike_Log!$B:$B,A162,Strike_Log!$A:$A,"&gt;="&amp;IF(Config!$B$1004="Y",TODAY()-Config!$B$1005,DATE(1900,1,1)),Strike_Log!$I:$I,1))))</f>
        <v/>
      </c>
      <c r="Q162" s="1">
        <f t="shared" si="3"/>
        <v>0</v>
      </c>
      <c r="R162" s="1" t="str">
        <f>IF(A162="","",IFERROR(AVERAGEIFS(Assignments!$J:$J,Assignments!$B:$B,A162,Assignments!$E:$E,"Completed"),""))</f>
        <v/>
      </c>
      <c r="S162" s="1" t="str">
        <f>IF(A162="","",COUNTIFS(Assignments!$B:$B,A162,Assignments!$AE:$AE, "Y",Assignments!$D:$D,"&gt;="&amp;TODAY()-30))</f>
        <v/>
      </c>
      <c r="T162" s="1" t="str">
        <f>IF(A162="","",COUNTIFS(Assignments!$AF:$AF,A162,Assignments!$AE:$AE, "Y",Assignments!$D:$D,"&gt;="&amp;TODAY()-30))</f>
        <v/>
      </c>
      <c r="U162" s="1" t="str">
        <f>IF(A162="","",IFERROR(S162/MAX(1,COUNTIFS(Assignments!$B:$B,A162,Assignments!$D:$D,"&gt;="&amp;TODAY()-30)),""))</f>
        <v/>
      </c>
      <c r="V162" s="1" t="str">
        <f t="shared" si="4"/>
        <v/>
      </c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 t="str">
        <f>IF($A163="","",IFERROR(AVERAGEIFS(Assignments!$N$6:$N$1000,Assignments!$B$6:$B$1000,$A163,Assignments!$E$6:$E$1000,"Completed"),""))</f>
        <v/>
      </c>
      <c r="K163" s="2" t="str">
        <f>IF(A163="","",IFERROR(AVERAGEIFS(Assignments!$AO:$AO,Assignments!$B:$B,A163,Assignments!$E:$E,"Completed"),""))</f>
        <v/>
      </c>
      <c r="L163" s="2" t="str">
        <f>IF($A163="","",IFERROR(COUNTIFS(Assignments!$B$6:$B$1000,$A163,Assignments!$E$6:$E$1000,"Cancelled")/MAX(1,COUNTIFS(Assignments!$B$6:$B$1000,$A163,Assignments!$E$6:$E$1000,"Completed")+COUNTIFS(Assignments!$B$6:$B$1000,$A163,Assignments!$E$6:$E$1000,"Cancelled")),""))</f>
        <v/>
      </c>
      <c r="M163" s="2" t="str">
        <f>IF($A163="","",IFERROR(AVERAGEIFS(Assignments!$P$6:$P$1000,Assignments!$B$6:$B$1000,$A163,Assignments!$E$6:$E$1000,"Completed"),""))</f>
        <v/>
      </c>
      <c r="N163" s="2"/>
      <c r="O163" s="2"/>
      <c r="P163" s="1" t="str">
        <f>IF(A163="","",MAX(0,MIN(3,SUMIFS(Strike_Log!$C:$C,Strike_Log!$B:$B,A163,Strike_Log!$A:$A,"&gt;="&amp;IF(Config!$B$1004="Y",TODAY()-Config!$B$1005,DATE(1900,1,1)),Strike_Log!$I:$I,1))))</f>
        <v/>
      </c>
      <c r="Q163" s="1">
        <f t="shared" si="3"/>
        <v>0</v>
      </c>
      <c r="R163" s="1" t="str">
        <f>IF(A163="","",IFERROR(AVERAGEIFS(Assignments!$J:$J,Assignments!$B:$B,A163,Assignments!$E:$E,"Completed"),""))</f>
        <v/>
      </c>
      <c r="S163" s="1" t="str">
        <f>IF(A163="","",COUNTIFS(Assignments!$B:$B,A163,Assignments!$AE:$AE, "Y",Assignments!$D:$D,"&gt;="&amp;TODAY()-30))</f>
        <v/>
      </c>
      <c r="T163" s="1" t="str">
        <f>IF(A163="","",COUNTIFS(Assignments!$AF:$AF,A163,Assignments!$AE:$AE, "Y",Assignments!$D:$D,"&gt;="&amp;TODAY()-30))</f>
        <v/>
      </c>
      <c r="U163" s="1" t="str">
        <f>IF(A163="","",IFERROR(S163/MAX(1,COUNTIFS(Assignments!$B:$B,A163,Assignments!$D:$D,"&gt;="&amp;TODAY()-30)),""))</f>
        <v/>
      </c>
      <c r="V163" s="1" t="str">
        <f t="shared" si="4"/>
        <v/>
      </c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 t="str">
        <f>IF($A164="","",IFERROR(AVERAGEIFS(Assignments!$N$6:$N$1000,Assignments!$B$6:$B$1000,$A164,Assignments!$E$6:$E$1000,"Completed"),""))</f>
        <v/>
      </c>
      <c r="K164" s="2" t="str">
        <f>IF(A164="","",IFERROR(AVERAGEIFS(Assignments!$AO:$AO,Assignments!$B:$B,A164,Assignments!$E:$E,"Completed"),""))</f>
        <v/>
      </c>
      <c r="L164" s="2" t="str">
        <f>IF($A164="","",IFERROR(COUNTIFS(Assignments!$B$6:$B$1000,$A164,Assignments!$E$6:$E$1000,"Cancelled")/MAX(1,COUNTIFS(Assignments!$B$6:$B$1000,$A164,Assignments!$E$6:$E$1000,"Completed")+COUNTIFS(Assignments!$B$6:$B$1000,$A164,Assignments!$E$6:$E$1000,"Cancelled")),""))</f>
        <v/>
      </c>
      <c r="M164" s="2" t="str">
        <f>IF($A164="","",IFERROR(AVERAGEIFS(Assignments!$P$6:$P$1000,Assignments!$B$6:$B$1000,$A164,Assignments!$E$6:$E$1000,"Completed"),""))</f>
        <v/>
      </c>
      <c r="N164" s="2"/>
      <c r="O164" s="2"/>
      <c r="P164" s="1" t="str">
        <f>IF(A164="","",MAX(0,MIN(3,SUMIFS(Strike_Log!$C:$C,Strike_Log!$B:$B,A164,Strike_Log!$A:$A,"&gt;="&amp;IF(Config!$B$1004="Y",TODAY()-Config!$B$1005,DATE(1900,1,1)),Strike_Log!$I:$I,1))))</f>
        <v/>
      </c>
      <c r="Q164" s="1">
        <f t="shared" si="3"/>
        <v>0</v>
      </c>
      <c r="R164" s="1" t="str">
        <f>IF(A164="","",IFERROR(AVERAGEIFS(Assignments!$J:$J,Assignments!$B:$B,A164,Assignments!$E:$E,"Completed"),""))</f>
        <v/>
      </c>
      <c r="S164" s="1" t="str">
        <f>IF(A164="","",COUNTIFS(Assignments!$B:$B,A164,Assignments!$AE:$AE, "Y",Assignments!$D:$D,"&gt;="&amp;TODAY()-30))</f>
        <v/>
      </c>
      <c r="T164" s="1" t="str">
        <f>IF(A164="","",COUNTIFS(Assignments!$AF:$AF,A164,Assignments!$AE:$AE, "Y",Assignments!$D:$D,"&gt;="&amp;TODAY()-30))</f>
        <v/>
      </c>
      <c r="U164" s="1" t="str">
        <f>IF(A164="","",IFERROR(S164/MAX(1,COUNTIFS(Assignments!$B:$B,A164,Assignments!$D:$D,"&gt;="&amp;TODAY()-30)),""))</f>
        <v/>
      </c>
      <c r="V164" s="1" t="str">
        <f t="shared" si="4"/>
        <v/>
      </c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 t="str">
        <f>IF($A165="","",IFERROR(AVERAGEIFS(Assignments!$N$6:$N$1000,Assignments!$B$6:$B$1000,$A165,Assignments!$E$6:$E$1000,"Completed"),""))</f>
        <v/>
      </c>
      <c r="K165" s="2" t="str">
        <f>IF(A165="","",IFERROR(AVERAGEIFS(Assignments!$AO:$AO,Assignments!$B:$B,A165,Assignments!$E:$E,"Completed"),""))</f>
        <v/>
      </c>
      <c r="L165" s="2" t="str">
        <f>IF($A165="","",IFERROR(COUNTIFS(Assignments!$B$6:$B$1000,$A165,Assignments!$E$6:$E$1000,"Cancelled")/MAX(1,COUNTIFS(Assignments!$B$6:$B$1000,$A165,Assignments!$E$6:$E$1000,"Completed")+COUNTIFS(Assignments!$B$6:$B$1000,$A165,Assignments!$E$6:$E$1000,"Cancelled")),""))</f>
        <v/>
      </c>
      <c r="M165" s="2" t="str">
        <f>IF($A165="","",IFERROR(AVERAGEIFS(Assignments!$P$6:$P$1000,Assignments!$B$6:$B$1000,$A165,Assignments!$E$6:$E$1000,"Completed"),""))</f>
        <v/>
      </c>
      <c r="N165" s="2"/>
      <c r="O165" s="2"/>
      <c r="P165" s="1" t="str">
        <f>IF(A165="","",MAX(0,MIN(3,SUMIFS(Strike_Log!$C:$C,Strike_Log!$B:$B,A165,Strike_Log!$A:$A,"&gt;="&amp;IF(Config!$B$1004="Y",TODAY()-Config!$B$1005,DATE(1900,1,1)),Strike_Log!$I:$I,1))))</f>
        <v/>
      </c>
      <c r="Q165" s="1">
        <f t="shared" si="3"/>
        <v>0</v>
      </c>
      <c r="R165" s="1" t="str">
        <f>IF(A165="","",IFERROR(AVERAGEIFS(Assignments!$J:$J,Assignments!$B:$B,A165,Assignments!$E:$E,"Completed"),""))</f>
        <v/>
      </c>
      <c r="S165" s="1" t="str">
        <f>IF(A165="","",COUNTIFS(Assignments!$B:$B,A165,Assignments!$AE:$AE, "Y",Assignments!$D:$D,"&gt;="&amp;TODAY()-30))</f>
        <v/>
      </c>
      <c r="T165" s="1" t="str">
        <f>IF(A165="","",COUNTIFS(Assignments!$AF:$AF,A165,Assignments!$AE:$AE, "Y",Assignments!$D:$D,"&gt;="&amp;TODAY()-30))</f>
        <v/>
      </c>
      <c r="U165" s="1" t="str">
        <f>IF(A165="","",IFERROR(S165/MAX(1,COUNTIFS(Assignments!$B:$B,A165,Assignments!$D:$D,"&gt;="&amp;TODAY()-30)),""))</f>
        <v/>
      </c>
      <c r="V165" s="1" t="str">
        <f t="shared" si="4"/>
        <v/>
      </c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 t="str">
        <f>IF($A166="","",IFERROR(AVERAGEIFS(Assignments!$N$6:$N$1000,Assignments!$B$6:$B$1000,$A166,Assignments!$E$6:$E$1000,"Completed"),""))</f>
        <v/>
      </c>
      <c r="K166" s="2" t="str">
        <f>IF(A166="","",IFERROR(AVERAGEIFS(Assignments!$AO:$AO,Assignments!$B:$B,A166,Assignments!$E:$E,"Completed"),""))</f>
        <v/>
      </c>
      <c r="L166" s="2" t="str">
        <f>IF($A166="","",IFERROR(COUNTIFS(Assignments!$B$6:$B$1000,$A166,Assignments!$E$6:$E$1000,"Cancelled")/MAX(1,COUNTIFS(Assignments!$B$6:$B$1000,$A166,Assignments!$E$6:$E$1000,"Completed")+COUNTIFS(Assignments!$B$6:$B$1000,$A166,Assignments!$E$6:$E$1000,"Cancelled")),""))</f>
        <v/>
      </c>
      <c r="M166" s="2" t="str">
        <f>IF($A166="","",IFERROR(AVERAGEIFS(Assignments!$P$6:$P$1000,Assignments!$B$6:$B$1000,$A166,Assignments!$E$6:$E$1000,"Completed"),""))</f>
        <v/>
      </c>
      <c r="N166" s="2"/>
      <c r="O166" s="2"/>
      <c r="P166" s="1" t="str">
        <f>IF(A166="","",MAX(0,MIN(3,SUMIFS(Strike_Log!$C:$C,Strike_Log!$B:$B,A166,Strike_Log!$A:$A,"&gt;="&amp;IF(Config!$B$1004="Y",TODAY()-Config!$B$1005,DATE(1900,1,1)),Strike_Log!$I:$I,1))))</f>
        <v/>
      </c>
      <c r="Q166" s="1">
        <f t="shared" si="3"/>
        <v>0</v>
      </c>
      <c r="R166" s="1" t="str">
        <f>IF(A166="","",IFERROR(AVERAGEIFS(Assignments!$J:$J,Assignments!$B:$B,A166,Assignments!$E:$E,"Completed"),""))</f>
        <v/>
      </c>
      <c r="S166" s="1" t="str">
        <f>IF(A166="","",COUNTIFS(Assignments!$B:$B,A166,Assignments!$AE:$AE, "Y",Assignments!$D:$D,"&gt;="&amp;TODAY()-30))</f>
        <v/>
      </c>
      <c r="T166" s="1" t="str">
        <f>IF(A166="","",COUNTIFS(Assignments!$AF:$AF,A166,Assignments!$AE:$AE, "Y",Assignments!$D:$D,"&gt;="&amp;TODAY()-30))</f>
        <v/>
      </c>
      <c r="U166" s="1" t="str">
        <f>IF(A166="","",IFERROR(S166/MAX(1,COUNTIFS(Assignments!$B:$B,A166,Assignments!$D:$D,"&gt;="&amp;TODAY()-30)),""))</f>
        <v/>
      </c>
      <c r="V166" s="1" t="str">
        <f t="shared" si="4"/>
        <v/>
      </c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 t="str">
        <f>IF($A167="","",IFERROR(AVERAGEIFS(Assignments!$N$6:$N$1000,Assignments!$B$6:$B$1000,$A167,Assignments!$E$6:$E$1000,"Completed"),""))</f>
        <v/>
      </c>
      <c r="K167" s="2" t="str">
        <f>IF(A167="","",IFERROR(AVERAGEIFS(Assignments!$AO:$AO,Assignments!$B:$B,A167,Assignments!$E:$E,"Completed"),""))</f>
        <v/>
      </c>
      <c r="L167" s="2" t="str">
        <f>IF($A167="","",IFERROR(COUNTIFS(Assignments!$B$6:$B$1000,$A167,Assignments!$E$6:$E$1000,"Cancelled")/MAX(1,COUNTIFS(Assignments!$B$6:$B$1000,$A167,Assignments!$E$6:$E$1000,"Completed")+COUNTIFS(Assignments!$B$6:$B$1000,$A167,Assignments!$E$6:$E$1000,"Cancelled")),""))</f>
        <v/>
      </c>
      <c r="M167" s="2" t="str">
        <f>IF($A167="","",IFERROR(AVERAGEIFS(Assignments!$P$6:$P$1000,Assignments!$B$6:$B$1000,$A167,Assignments!$E$6:$E$1000,"Completed"),""))</f>
        <v/>
      </c>
      <c r="N167" s="2"/>
      <c r="O167" s="2"/>
      <c r="P167" s="1" t="str">
        <f>IF(A167="","",MAX(0,MIN(3,SUMIFS(Strike_Log!$C:$C,Strike_Log!$B:$B,A167,Strike_Log!$A:$A,"&gt;="&amp;IF(Config!$B$1004="Y",TODAY()-Config!$B$1005,DATE(1900,1,1)),Strike_Log!$I:$I,1))))</f>
        <v/>
      </c>
      <c r="Q167" s="1">
        <f t="shared" si="3"/>
        <v>0</v>
      </c>
      <c r="R167" s="1" t="str">
        <f>IF(A167="","",IFERROR(AVERAGEIFS(Assignments!$J:$J,Assignments!$B:$B,A167,Assignments!$E:$E,"Completed"),""))</f>
        <v/>
      </c>
      <c r="S167" s="1" t="str">
        <f>IF(A167="","",COUNTIFS(Assignments!$B:$B,A167,Assignments!$AE:$AE, "Y",Assignments!$D:$D,"&gt;="&amp;TODAY()-30))</f>
        <v/>
      </c>
      <c r="T167" s="1" t="str">
        <f>IF(A167="","",COUNTIFS(Assignments!$AF:$AF,A167,Assignments!$AE:$AE, "Y",Assignments!$D:$D,"&gt;="&amp;TODAY()-30))</f>
        <v/>
      </c>
      <c r="U167" s="1" t="str">
        <f>IF(A167="","",IFERROR(S167/MAX(1,COUNTIFS(Assignments!$B:$B,A167,Assignments!$D:$D,"&gt;="&amp;TODAY()-30)),""))</f>
        <v/>
      </c>
      <c r="V167" s="1" t="str">
        <f t="shared" si="4"/>
        <v/>
      </c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 t="str">
        <f>IF($A168="","",IFERROR(AVERAGEIFS(Assignments!$N$6:$N$1000,Assignments!$B$6:$B$1000,$A168,Assignments!$E$6:$E$1000,"Completed"),""))</f>
        <v/>
      </c>
      <c r="K168" s="2" t="str">
        <f>IF(A168="","",IFERROR(AVERAGEIFS(Assignments!$AO:$AO,Assignments!$B:$B,A168,Assignments!$E:$E,"Completed"),""))</f>
        <v/>
      </c>
      <c r="L168" s="2" t="str">
        <f>IF($A168="","",IFERROR(COUNTIFS(Assignments!$B$6:$B$1000,$A168,Assignments!$E$6:$E$1000,"Cancelled")/MAX(1,COUNTIFS(Assignments!$B$6:$B$1000,$A168,Assignments!$E$6:$E$1000,"Completed")+COUNTIFS(Assignments!$B$6:$B$1000,$A168,Assignments!$E$6:$E$1000,"Cancelled")),""))</f>
        <v/>
      </c>
      <c r="M168" s="2" t="str">
        <f>IF($A168="","",IFERROR(AVERAGEIFS(Assignments!$P$6:$P$1000,Assignments!$B$6:$B$1000,$A168,Assignments!$E$6:$E$1000,"Completed"),""))</f>
        <v/>
      </c>
      <c r="N168" s="2"/>
      <c r="O168" s="2"/>
      <c r="P168" s="1" t="str">
        <f>IF(A168="","",MAX(0,MIN(3,SUMIFS(Strike_Log!$C:$C,Strike_Log!$B:$B,A168,Strike_Log!$A:$A,"&gt;="&amp;IF(Config!$B$1004="Y",TODAY()-Config!$B$1005,DATE(1900,1,1)),Strike_Log!$I:$I,1))))</f>
        <v/>
      </c>
      <c r="Q168" s="1">
        <f t="shared" si="3"/>
        <v>0</v>
      </c>
      <c r="R168" s="1" t="str">
        <f>IF(A168="","",IFERROR(AVERAGEIFS(Assignments!$J:$J,Assignments!$B:$B,A168,Assignments!$E:$E,"Completed"),""))</f>
        <v/>
      </c>
      <c r="S168" s="1" t="str">
        <f>IF(A168="","",COUNTIFS(Assignments!$B:$B,A168,Assignments!$AE:$AE, "Y",Assignments!$D:$D,"&gt;="&amp;TODAY()-30))</f>
        <v/>
      </c>
      <c r="T168" s="1" t="str">
        <f>IF(A168="","",COUNTIFS(Assignments!$AF:$AF,A168,Assignments!$AE:$AE, "Y",Assignments!$D:$D,"&gt;="&amp;TODAY()-30))</f>
        <v/>
      </c>
      <c r="U168" s="1" t="str">
        <f>IF(A168="","",IFERROR(S168/MAX(1,COUNTIFS(Assignments!$B:$B,A168,Assignments!$D:$D,"&gt;="&amp;TODAY()-30)),""))</f>
        <v/>
      </c>
      <c r="V168" s="1" t="str">
        <f t="shared" si="4"/>
        <v/>
      </c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 t="str">
        <f>IF($A169="","",IFERROR(AVERAGEIFS(Assignments!$N$6:$N$1000,Assignments!$B$6:$B$1000,$A169,Assignments!$E$6:$E$1000,"Completed"),""))</f>
        <v/>
      </c>
      <c r="K169" s="2" t="str">
        <f>IF(A169="","",IFERROR(AVERAGEIFS(Assignments!$AO:$AO,Assignments!$B:$B,A169,Assignments!$E:$E,"Completed"),""))</f>
        <v/>
      </c>
      <c r="L169" s="2" t="str">
        <f>IF($A169="","",IFERROR(COUNTIFS(Assignments!$B$6:$B$1000,$A169,Assignments!$E$6:$E$1000,"Cancelled")/MAX(1,COUNTIFS(Assignments!$B$6:$B$1000,$A169,Assignments!$E$6:$E$1000,"Completed")+COUNTIFS(Assignments!$B$6:$B$1000,$A169,Assignments!$E$6:$E$1000,"Cancelled")),""))</f>
        <v/>
      </c>
      <c r="M169" s="2" t="str">
        <f>IF($A169="","",IFERROR(AVERAGEIFS(Assignments!$P$6:$P$1000,Assignments!$B$6:$B$1000,$A169,Assignments!$E$6:$E$1000,"Completed"),""))</f>
        <v/>
      </c>
      <c r="N169" s="2"/>
      <c r="O169" s="2"/>
      <c r="P169" s="1" t="str">
        <f>IF(A169="","",MAX(0,MIN(3,SUMIFS(Strike_Log!$C:$C,Strike_Log!$B:$B,A169,Strike_Log!$A:$A,"&gt;="&amp;IF(Config!$B$1004="Y",TODAY()-Config!$B$1005,DATE(1900,1,1)),Strike_Log!$I:$I,1))))</f>
        <v/>
      </c>
      <c r="Q169" s="1">
        <f t="shared" si="3"/>
        <v>0</v>
      </c>
      <c r="R169" s="1" t="str">
        <f>IF(A169="","",IFERROR(AVERAGEIFS(Assignments!$J:$J,Assignments!$B:$B,A169,Assignments!$E:$E,"Completed"),""))</f>
        <v/>
      </c>
      <c r="S169" s="1" t="str">
        <f>IF(A169="","",COUNTIFS(Assignments!$B:$B,A169,Assignments!$AE:$AE, "Y",Assignments!$D:$D,"&gt;="&amp;TODAY()-30))</f>
        <v/>
      </c>
      <c r="T169" s="1" t="str">
        <f>IF(A169="","",COUNTIFS(Assignments!$AF:$AF,A169,Assignments!$AE:$AE, "Y",Assignments!$D:$D,"&gt;="&amp;TODAY()-30))</f>
        <v/>
      </c>
      <c r="U169" s="1" t="str">
        <f>IF(A169="","",IFERROR(S169/MAX(1,COUNTIFS(Assignments!$B:$B,A169,Assignments!$D:$D,"&gt;="&amp;TODAY()-30)),""))</f>
        <v/>
      </c>
      <c r="V169" s="1" t="str">
        <f t="shared" si="4"/>
        <v/>
      </c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 t="str">
        <f>IF($A170="","",IFERROR(AVERAGEIFS(Assignments!$N$6:$N$1000,Assignments!$B$6:$B$1000,$A170,Assignments!$E$6:$E$1000,"Completed"),""))</f>
        <v/>
      </c>
      <c r="K170" s="2" t="str">
        <f>IF(A170="","",IFERROR(AVERAGEIFS(Assignments!$AO:$AO,Assignments!$B:$B,A170,Assignments!$E:$E,"Completed"),""))</f>
        <v/>
      </c>
      <c r="L170" s="2" t="str">
        <f>IF($A170="","",IFERROR(COUNTIFS(Assignments!$B$6:$B$1000,$A170,Assignments!$E$6:$E$1000,"Cancelled")/MAX(1,COUNTIFS(Assignments!$B$6:$B$1000,$A170,Assignments!$E$6:$E$1000,"Completed")+COUNTIFS(Assignments!$B$6:$B$1000,$A170,Assignments!$E$6:$E$1000,"Cancelled")),""))</f>
        <v/>
      </c>
      <c r="M170" s="2" t="str">
        <f>IF($A170="","",IFERROR(AVERAGEIFS(Assignments!$P$6:$P$1000,Assignments!$B$6:$B$1000,$A170,Assignments!$E$6:$E$1000,"Completed"),""))</f>
        <v/>
      </c>
      <c r="N170" s="2"/>
      <c r="O170" s="2"/>
      <c r="P170" s="1" t="str">
        <f>IF(A170="","",MAX(0,MIN(3,SUMIFS(Strike_Log!$C:$C,Strike_Log!$B:$B,A170,Strike_Log!$A:$A,"&gt;="&amp;IF(Config!$B$1004="Y",TODAY()-Config!$B$1005,DATE(1900,1,1)),Strike_Log!$I:$I,1))))</f>
        <v/>
      </c>
      <c r="Q170" s="1">
        <f t="shared" si="3"/>
        <v>0</v>
      </c>
      <c r="R170" s="1" t="str">
        <f>IF(A170="","",IFERROR(AVERAGEIFS(Assignments!$J:$J,Assignments!$B:$B,A170,Assignments!$E:$E,"Completed"),""))</f>
        <v/>
      </c>
      <c r="S170" s="1" t="str">
        <f>IF(A170="","",COUNTIFS(Assignments!$B:$B,A170,Assignments!$AE:$AE, "Y",Assignments!$D:$D,"&gt;="&amp;TODAY()-30))</f>
        <v/>
      </c>
      <c r="T170" s="1" t="str">
        <f>IF(A170="","",COUNTIFS(Assignments!$AF:$AF,A170,Assignments!$AE:$AE, "Y",Assignments!$D:$D,"&gt;="&amp;TODAY()-30))</f>
        <v/>
      </c>
      <c r="U170" s="1" t="str">
        <f>IF(A170="","",IFERROR(S170/MAX(1,COUNTIFS(Assignments!$B:$B,A170,Assignments!$D:$D,"&gt;="&amp;TODAY()-30)),""))</f>
        <v/>
      </c>
      <c r="V170" s="1" t="str">
        <f t="shared" si="4"/>
        <v/>
      </c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 t="str">
        <f>IF($A171="","",IFERROR(AVERAGEIFS(Assignments!$N$6:$N$1000,Assignments!$B$6:$B$1000,$A171,Assignments!$E$6:$E$1000,"Completed"),""))</f>
        <v/>
      </c>
      <c r="K171" s="2" t="str">
        <f>IF(A171="","",IFERROR(AVERAGEIFS(Assignments!$AO:$AO,Assignments!$B:$B,A171,Assignments!$E:$E,"Completed"),""))</f>
        <v/>
      </c>
      <c r="L171" s="2" t="str">
        <f>IF($A171="","",IFERROR(COUNTIFS(Assignments!$B$6:$B$1000,$A171,Assignments!$E$6:$E$1000,"Cancelled")/MAX(1,COUNTIFS(Assignments!$B$6:$B$1000,$A171,Assignments!$E$6:$E$1000,"Completed")+COUNTIFS(Assignments!$B$6:$B$1000,$A171,Assignments!$E$6:$E$1000,"Cancelled")),""))</f>
        <v/>
      </c>
      <c r="M171" s="2" t="str">
        <f>IF($A171="","",IFERROR(AVERAGEIFS(Assignments!$P$6:$P$1000,Assignments!$B$6:$B$1000,$A171,Assignments!$E$6:$E$1000,"Completed"),""))</f>
        <v/>
      </c>
      <c r="N171" s="2"/>
      <c r="O171" s="2"/>
      <c r="P171" s="1" t="str">
        <f>IF(A171="","",MAX(0,MIN(3,SUMIFS(Strike_Log!$C:$C,Strike_Log!$B:$B,A171,Strike_Log!$A:$A,"&gt;="&amp;IF(Config!$B$1004="Y",TODAY()-Config!$B$1005,DATE(1900,1,1)),Strike_Log!$I:$I,1))))</f>
        <v/>
      </c>
      <c r="Q171" s="1">
        <f t="shared" si="3"/>
        <v>0</v>
      </c>
      <c r="R171" s="1" t="str">
        <f>IF(A171="","",IFERROR(AVERAGEIFS(Assignments!$J:$J,Assignments!$B:$B,A171,Assignments!$E:$E,"Completed"),""))</f>
        <v/>
      </c>
      <c r="S171" s="1" t="str">
        <f>IF(A171="","",COUNTIFS(Assignments!$B:$B,A171,Assignments!$AE:$AE, "Y",Assignments!$D:$D,"&gt;="&amp;TODAY()-30))</f>
        <v/>
      </c>
      <c r="T171" s="1" t="str">
        <f>IF(A171="","",COUNTIFS(Assignments!$AF:$AF,A171,Assignments!$AE:$AE, "Y",Assignments!$D:$D,"&gt;="&amp;TODAY()-30))</f>
        <v/>
      </c>
      <c r="U171" s="1" t="str">
        <f>IF(A171="","",IFERROR(S171/MAX(1,COUNTIFS(Assignments!$B:$B,A171,Assignments!$D:$D,"&gt;="&amp;TODAY()-30)),""))</f>
        <v/>
      </c>
      <c r="V171" s="1" t="str">
        <f t="shared" si="4"/>
        <v/>
      </c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 t="str">
        <f>IF($A172="","",IFERROR(AVERAGEIFS(Assignments!$N$6:$N$1000,Assignments!$B$6:$B$1000,$A172,Assignments!$E$6:$E$1000,"Completed"),""))</f>
        <v/>
      </c>
      <c r="K172" s="2" t="str">
        <f>IF(A172="","",IFERROR(AVERAGEIFS(Assignments!$AO:$AO,Assignments!$B:$B,A172,Assignments!$E:$E,"Completed"),""))</f>
        <v/>
      </c>
      <c r="L172" s="2" t="str">
        <f>IF($A172="","",IFERROR(COUNTIFS(Assignments!$B$6:$B$1000,$A172,Assignments!$E$6:$E$1000,"Cancelled")/MAX(1,COUNTIFS(Assignments!$B$6:$B$1000,$A172,Assignments!$E$6:$E$1000,"Completed")+COUNTIFS(Assignments!$B$6:$B$1000,$A172,Assignments!$E$6:$E$1000,"Cancelled")),""))</f>
        <v/>
      </c>
      <c r="M172" s="2" t="str">
        <f>IF($A172="","",IFERROR(AVERAGEIFS(Assignments!$P$6:$P$1000,Assignments!$B$6:$B$1000,$A172,Assignments!$E$6:$E$1000,"Completed"),""))</f>
        <v/>
      </c>
      <c r="N172" s="2"/>
      <c r="O172" s="2"/>
      <c r="P172" s="1" t="str">
        <f>IF(A172="","",MAX(0,MIN(3,SUMIFS(Strike_Log!$C:$C,Strike_Log!$B:$B,A172,Strike_Log!$A:$A,"&gt;="&amp;IF(Config!$B$1004="Y",TODAY()-Config!$B$1005,DATE(1900,1,1)),Strike_Log!$I:$I,1))))</f>
        <v/>
      </c>
      <c r="Q172" s="1">
        <f t="shared" si="3"/>
        <v>0</v>
      </c>
      <c r="R172" s="1" t="str">
        <f>IF(A172="","",IFERROR(AVERAGEIFS(Assignments!$J:$J,Assignments!$B:$B,A172,Assignments!$E:$E,"Completed"),""))</f>
        <v/>
      </c>
      <c r="S172" s="1" t="str">
        <f>IF(A172="","",COUNTIFS(Assignments!$B:$B,A172,Assignments!$AE:$AE, "Y",Assignments!$D:$D,"&gt;="&amp;TODAY()-30))</f>
        <v/>
      </c>
      <c r="T172" s="1" t="str">
        <f>IF(A172="","",COUNTIFS(Assignments!$AF:$AF,A172,Assignments!$AE:$AE, "Y",Assignments!$D:$D,"&gt;="&amp;TODAY()-30))</f>
        <v/>
      </c>
      <c r="U172" s="1" t="str">
        <f>IF(A172="","",IFERROR(S172/MAX(1,COUNTIFS(Assignments!$B:$B,A172,Assignments!$D:$D,"&gt;="&amp;TODAY()-30)),""))</f>
        <v/>
      </c>
      <c r="V172" s="1" t="str">
        <f t="shared" si="4"/>
        <v/>
      </c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 t="str">
        <f>IF($A173="","",IFERROR(AVERAGEIFS(Assignments!$N$6:$N$1000,Assignments!$B$6:$B$1000,$A173,Assignments!$E$6:$E$1000,"Completed"),""))</f>
        <v/>
      </c>
      <c r="K173" s="2" t="str">
        <f>IF(A173="","",IFERROR(AVERAGEIFS(Assignments!$AO:$AO,Assignments!$B:$B,A173,Assignments!$E:$E,"Completed"),""))</f>
        <v/>
      </c>
      <c r="L173" s="2" t="str">
        <f>IF($A173="","",IFERROR(COUNTIFS(Assignments!$B$6:$B$1000,$A173,Assignments!$E$6:$E$1000,"Cancelled")/MAX(1,COUNTIFS(Assignments!$B$6:$B$1000,$A173,Assignments!$E$6:$E$1000,"Completed")+COUNTIFS(Assignments!$B$6:$B$1000,$A173,Assignments!$E$6:$E$1000,"Cancelled")),""))</f>
        <v/>
      </c>
      <c r="M173" s="2" t="str">
        <f>IF($A173="","",IFERROR(AVERAGEIFS(Assignments!$P$6:$P$1000,Assignments!$B$6:$B$1000,$A173,Assignments!$E$6:$E$1000,"Completed"),""))</f>
        <v/>
      </c>
      <c r="N173" s="2"/>
      <c r="O173" s="2"/>
      <c r="P173" s="1" t="str">
        <f>IF(A173="","",MAX(0,MIN(3,SUMIFS(Strike_Log!$C:$C,Strike_Log!$B:$B,A173,Strike_Log!$A:$A,"&gt;="&amp;IF(Config!$B$1004="Y",TODAY()-Config!$B$1005,DATE(1900,1,1)),Strike_Log!$I:$I,1))))</f>
        <v/>
      </c>
      <c r="Q173" s="1">
        <f t="shared" si="3"/>
        <v>0</v>
      </c>
      <c r="R173" s="1" t="str">
        <f>IF(A173="","",IFERROR(AVERAGEIFS(Assignments!$J:$J,Assignments!$B:$B,A173,Assignments!$E:$E,"Completed"),""))</f>
        <v/>
      </c>
      <c r="S173" s="1" t="str">
        <f>IF(A173="","",COUNTIFS(Assignments!$B:$B,A173,Assignments!$AE:$AE, "Y",Assignments!$D:$D,"&gt;="&amp;TODAY()-30))</f>
        <v/>
      </c>
      <c r="T173" s="1" t="str">
        <f>IF(A173="","",COUNTIFS(Assignments!$AF:$AF,A173,Assignments!$AE:$AE, "Y",Assignments!$D:$D,"&gt;="&amp;TODAY()-30))</f>
        <v/>
      </c>
      <c r="U173" s="1" t="str">
        <f>IF(A173="","",IFERROR(S173/MAX(1,COUNTIFS(Assignments!$B:$B,A173,Assignments!$D:$D,"&gt;="&amp;TODAY()-30)),""))</f>
        <v/>
      </c>
      <c r="V173" s="1" t="str">
        <f t="shared" si="4"/>
        <v/>
      </c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 t="str">
        <f>IF($A174="","",IFERROR(AVERAGEIFS(Assignments!$N$6:$N$1000,Assignments!$B$6:$B$1000,$A174,Assignments!$E$6:$E$1000,"Completed"),""))</f>
        <v/>
      </c>
      <c r="K174" s="2" t="str">
        <f>IF(A174="","",IFERROR(AVERAGEIFS(Assignments!$AO:$AO,Assignments!$B:$B,A174,Assignments!$E:$E,"Completed"),""))</f>
        <v/>
      </c>
      <c r="L174" s="2" t="str">
        <f>IF($A174="","",IFERROR(COUNTIFS(Assignments!$B$6:$B$1000,$A174,Assignments!$E$6:$E$1000,"Cancelled")/MAX(1,COUNTIFS(Assignments!$B$6:$B$1000,$A174,Assignments!$E$6:$E$1000,"Completed")+COUNTIFS(Assignments!$B$6:$B$1000,$A174,Assignments!$E$6:$E$1000,"Cancelled")),""))</f>
        <v/>
      </c>
      <c r="M174" s="2" t="str">
        <f>IF($A174="","",IFERROR(AVERAGEIFS(Assignments!$P$6:$P$1000,Assignments!$B$6:$B$1000,$A174,Assignments!$E$6:$E$1000,"Completed"),""))</f>
        <v/>
      </c>
      <c r="N174" s="2"/>
      <c r="O174" s="2"/>
      <c r="P174" s="1" t="str">
        <f>IF(A174="","",MAX(0,MIN(3,SUMIFS(Strike_Log!$C:$C,Strike_Log!$B:$B,A174,Strike_Log!$A:$A,"&gt;="&amp;IF(Config!$B$1004="Y",TODAY()-Config!$B$1005,DATE(1900,1,1)),Strike_Log!$I:$I,1))))</f>
        <v/>
      </c>
      <c r="Q174" s="1">
        <f t="shared" si="3"/>
        <v>0</v>
      </c>
      <c r="R174" s="1" t="str">
        <f>IF(A174="","",IFERROR(AVERAGEIFS(Assignments!$J:$J,Assignments!$B:$B,A174,Assignments!$E:$E,"Completed"),""))</f>
        <v/>
      </c>
      <c r="S174" s="1" t="str">
        <f>IF(A174="","",COUNTIFS(Assignments!$B:$B,A174,Assignments!$AE:$AE, "Y",Assignments!$D:$D,"&gt;="&amp;TODAY()-30))</f>
        <v/>
      </c>
      <c r="T174" s="1" t="str">
        <f>IF(A174="","",COUNTIFS(Assignments!$AF:$AF,A174,Assignments!$AE:$AE, "Y",Assignments!$D:$D,"&gt;="&amp;TODAY()-30))</f>
        <v/>
      </c>
      <c r="U174" s="1" t="str">
        <f>IF(A174="","",IFERROR(S174/MAX(1,COUNTIFS(Assignments!$B:$B,A174,Assignments!$D:$D,"&gt;="&amp;TODAY()-30)),""))</f>
        <v/>
      </c>
      <c r="V174" s="1" t="str">
        <f t="shared" si="4"/>
        <v/>
      </c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 t="str">
        <f>IF($A175="","",IFERROR(AVERAGEIFS(Assignments!$N$6:$N$1000,Assignments!$B$6:$B$1000,$A175,Assignments!$E$6:$E$1000,"Completed"),""))</f>
        <v/>
      </c>
      <c r="K175" s="2" t="str">
        <f>IF(A175="","",IFERROR(AVERAGEIFS(Assignments!$AO:$AO,Assignments!$B:$B,A175,Assignments!$E:$E,"Completed"),""))</f>
        <v/>
      </c>
      <c r="L175" s="2" t="str">
        <f>IF($A175="","",IFERROR(COUNTIFS(Assignments!$B$6:$B$1000,$A175,Assignments!$E$6:$E$1000,"Cancelled")/MAX(1,COUNTIFS(Assignments!$B$6:$B$1000,$A175,Assignments!$E$6:$E$1000,"Completed")+COUNTIFS(Assignments!$B$6:$B$1000,$A175,Assignments!$E$6:$E$1000,"Cancelled")),""))</f>
        <v/>
      </c>
      <c r="M175" s="2" t="str">
        <f>IF($A175="","",IFERROR(AVERAGEIFS(Assignments!$P$6:$P$1000,Assignments!$B$6:$B$1000,$A175,Assignments!$E$6:$E$1000,"Completed"),""))</f>
        <v/>
      </c>
      <c r="N175" s="2"/>
      <c r="O175" s="2"/>
      <c r="P175" s="1" t="str">
        <f>IF(A175="","",MAX(0,MIN(3,SUMIFS(Strike_Log!$C:$C,Strike_Log!$B:$B,A175,Strike_Log!$A:$A,"&gt;="&amp;IF(Config!$B$1004="Y",TODAY()-Config!$B$1005,DATE(1900,1,1)),Strike_Log!$I:$I,1))))</f>
        <v/>
      </c>
      <c r="Q175" s="1">
        <f t="shared" si="3"/>
        <v>0</v>
      </c>
      <c r="R175" s="1" t="str">
        <f>IF(A175="","",IFERROR(AVERAGEIFS(Assignments!$J:$J,Assignments!$B:$B,A175,Assignments!$E:$E,"Completed"),""))</f>
        <v/>
      </c>
      <c r="S175" s="1" t="str">
        <f>IF(A175="","",COUNTIFS(Assignments!$B:$B,A175,Assignments!$AE:$AE, "Y",Assignments!$D:$D,"&gt;="&amp;TODAY()-30))</f>
        <v/>
      </c>
      <c r="T175" s="1" t="str">
        <f>IF(A175="","",COUNTIFS(Assignments!$AF:$AF,A175,Assignments!$AE:$AE, "Y",Assignments!$D:$D,"&gt;="&amp;TODAY()-30))</f>
        <v/>
      </c>
      <c r="U175" s="1" t="str">
        <f>IF(A175="","",IFERROR(S175/MAX(1,COUNTIFS(Assignments!$B:$B,A175,Assignments!$D:$D,"&gt;="&amp;TODAY()-30)),""))</f>
        <v/>
      </c>
      <c r="V175" s="1" t="str">
        <f t="shared" si="4"/>
        <v/>
      </c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 t="str">
        <f>IF($A176="","",IFERROR(AVERAGEIFS(Assignments!$N$6:$N$1000,Assignments!$B$6:$B$1000,$A176,Assignments!$E$6:$E$1000,"Completed"),""))</f>
        <v/>
      </c>
      <c r="K176" s="2" t="str">
        <f>IF(A176="","",IFERROR(AVERAGEIFS(Assignments!$AO:$AO,Assignments!$B:$B,A176,Assignments!$E:$E,"Completed"),""))</f>
        <v/>
      </c>
      <c r="L176" s="2" t="str">
        <f>IF($A176="","",IFERROR(COUNTIFS(Assignments!$B$6:$B$1000,$A176,Assignments!$E$6:$E$1000,"Cancelled")/MAX(1,COUNTIFS(Assignments!$B$6:$B$1000,$A176,Assignments!$E$6:$E$1000,"Completed")+COUNTIFS(Assignments!$B$6:$B$1000,$A176,Assignments!$E$6:$E$1000,"Cancelled")),""))</f>
        <v/>
      </c>
      <c r="M176" s="2" t="str">
        <f>IF($A176="","",IFERROR(AVERAGEIFS(Assignments!$P$6:$P$1000,Assignments!$B$6:$B$1000,$A176,Assignments!$E$6:$E$1000,"Completed"),""))</f>
        <v/>
      </c>
      <c r="N176" s="2"/>
      <c r="O176" s="2"/>
      <c r="P176" s="1" t="str">
        <f>IF(A176="","",MAX(0,MIN(3,SUMIFS(Strike_Log!$C:$C,Strike_Log!$B:$B,A176,Strike_Log!$A:$A,"&gt;="&amp;IF(Config!$B$1004="Y",TODAY()-Config!$B$1005,DATE(1900,1,1)),Strike_Log!$I:$I,1))))</f>
        <v/>
      </c>
      <c r="Q176" s="1">
        <f t="shared" si="3"/>
        <v>0</v>
      </c>
      <c r="R176" s="1" t="str">
        <f>IF(A176="","",IFERROR(AVERAGEIFS(Assignments!$J:$J,Assignments!$B:$B,A176,Assignments!$E:$E,"Completed"),""))</f>
        <v/>
      </c>
      <c r="S176" s="1" t="str">
        <f>IF(A176="","",COUNTIFS(Assignments!$B:$B,A176,Assignments!$AE:$AE, "Y",Assignments!$D:$D,"&gt;="&amp;TODAY()-30))</f>
        <v/>
      </c>
      <c r="T176" s="1" t="str">
        <f>IF(A176="","",COUNTIFS(Assignments!$AF:$AF,A176,Assignments!$AE:$AE, "Y",Assignments!$D:$D,"&gt;="&amp;TODAY()-30))</f>
        <v/>
      </c>
      <c r="U176" s="1" t="str">
        <f>IF(A176="","",IFERROR(S176/MAX(1,COUNTIFS(Assignments!$B:$B,A176,Assignments!$D:$D,"&gt;="&amp;TODAY()-30)),""))</f>
        <v/>
      </c>
      <c r="V176" s="1" t="str">
        <f t="shared" si="4"/>
        <v/>
      </c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 t="str">
        <f>IF($A177="","",IFERROR(AVERAGEIFS(Assignments!$N$6:$N$1000,Assignments!$B$6:$B$1000,$A177,Assignments!$E$6:$E$1000,"Completed"),""))</f>
        <v/>
      </c>
      <c r="K177" s="2" t="str">
        <f>IF(A177="","",IFERROR(AVERAGEIFS(Assignments!$AO:$AO,Assignments!$B:$B,A177,Assignments!$E:$E,"Completed"),""))</f>
        <v/>
      </c>
      <c r="L177" s="2" t="str">
        <f>IF($A177="","",IFERROR(COUNTIFS(Assignments!$B$6:$B$1000,$A177,Assignments!$E$6:$E$1000,"Cancelled")/MAX(1,COUNTIFS(Assignments!$B$6:$B$1000,$A177,Assignments!$E$6:$E$1000,"Completed")+COUNTIFS(Assignments!$B$6:$B$1000,$A177,Assignments!$E$6:$E$1000,"Cancelled")),""))</f>
        <v/>
      </c>
      <c r="M177" s="2" t="str">
        <f>IF($A177="","",IFERROR(AVERAGEIFS(Assignments!$P$6:$P$1000,Assignments!$B$6:$B$1000,$A177,Assignments!$E$6:$E$1000,"Completed"),""))</f>
        <v/>
      </c>
      <c r="N177" s="2"/>
      <c r="O177" s="2"/>
      <c r="P177" s="1" t="str">
        <f>IF(A177="","",MAX(0,MIN(3,SUMIFS(Strike_Log!$C:$C,Strike_Log!$B:$B,A177,Strike_Log!$A:$A,"&gt;="&amp;IF(Config!$B$1004="Y",TODAY()-Config!$B$1005,DATE(1900,1,1)),Strike_Log!$I:$I,1))))</f>
        <v/>
      </c>
      <c r="Q177" s="1">
        <f t="shared" si="3"/>
        <v>0</v>
      </c>
      <c r="R177" s="1" t="str">
        <f>IF(A177="","",IFERROR(AVERAGEIFS(Assignments!$J:$J,Assignments!$B:$B,A177,Assignments!$E:$E,"Completed"),""))</f>
        <v/>
      </c>
      <c r="S177" s="1" t="str">
        <f>IF(A177="","",COUNTIFS(Assignments!$B:$B,A177,Assignments!$AE:$AE, "Y",Assignments!$D:$D,"&gt;="&amp;TODAY()-30))</f>
        <v/>
      </c>
      <c r="T177" s="1" t="str">
        <f>IF(A177="","",COUNTIFS(Assignments!$AF:$AF,A177,Assignments!$AE:$AE, "Y",Assignments!$D:$D,"&gt;="&amp;TODAY()-30))</f>
        <v/>
      </c>
      <c r="U177" s="1" t="str">
        <f>IF(A177="","",IFERROR(S177/MAX(1,COUNTIFS(Assignments!$B:$B,A177,Assignments!$D:$D,"&gt;="&amp;TODAY()-30)),""))</f>
        <v/>
      </c>
      <c r="V177" s="1" t="str">
        <f t="shared" si="4"/>
        <v/>
      </c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 t="str">
        <f>IF($A178="","",IFERROR(AVERAGEIFS(Assignments!$N$6:$N$1000,Assignments!$B$6:$B$1000,$A178,Assignments!$E$6:$E$1000,"Completed"),""))</f>
        <v/>
      </c>
      <c r="K178" s="2" t="str">
        <f>IF(A178="","",IFERROR(AVERAGEIFS(Assignments!$AO:$AO,Assignments!$B:$B,A178,Assignments!$E:$E,"Completed"),""))</f>
        <v/>
      </c>
      <c r="L178" s="2" t="str">
        <f>IF($A178="","",IFERROR(COUNTIFS(Assignments!$B$6:$B$1000,$A178,Assignments!$E$6:$E$1000,"Cancelled")/MAX(1,COUNTIFS(Assignments!$B$6:$B$1000,$A178,Assignments!$E$6:$E$1000,"Completed")+COUNTIFS(Assignments!$B$6:$B$1000,$A178,Assignments!$E$6:$E$1000,"Cancelled")),""))</f>
        <v/>
      </c>
      <c r="M178" s="2" t="str">
        <f>IF($A178="","",IFERROR(AVERAGEIFS(Assignments!$P$6:$P$1000,Assignments!$B$6:$B$1000,$A178,Assignments!$E$6:$E$1000,"Completed"),""))</f>
        <v/>
      </c>
      <c r="N178" s="2"/>
      <c r="O178" s="2"/>
      <c r="P178" s="1" t="str">
        <f>IF(A178="","",MAX(0,MIN(3,SUMIFS(Strike_Log!$C:$C,Strike_Log!$B:$B,A178,Strike_Log!$A:$A,"&gt;="&amp;IF(Config!$B$1004="Y",TODAY()-Config!$B$1005,DATE(1900,1,1)),Strike_Log!$I:$I,1))))</f>
        <v/>
      </c>
      <c r="Q178" s="1">
        <f t="shared" si="3"/>
        <v>0</v>
      </c>
      <c r="R178" s="1" t="str">
        <f>IF(A178="","",IFERROR(AVERAGEIFS(Assignments!$J:$J,Assignments!$B:$B,A178,Assignments!$E:$E,"Completed"),""))</f>
        <v/>
      </c>
      <c r="S178" s="1" t="str">
        <f>IF(A178="","",COUNTIFS(Assignments!$B:$B,A178,Assignments!$AE:$AE, "Y",Assignments!$D:$D,"&gt;="&amp;TODAY()-30))</f>
        <v/>
      </c>
      <c r="T178" s="1" t="str">
        <f>IF(A178="","",COUNTIFS(Assignments!$AF:$AF,A178,Assignments!$AE:$AE, "Y",Assignments!$D:$D,"&gt;="&amp;TODAY()-30))</f>
        <v/>
      </c>
      <c r="U178" s="1" t="str">
        <f>IF(A178="","",IFERROR(S178/MAX(1,COUNTIFS(Assignments!$B:$B,A178,Assignments!$D:$D,"&gt;="&amp;TODAY()-30)),""))</f>
        <v/>
      </c>
      <c r="V178" s="1" t="str">
        <f t="shared" si="4"/>
        <v/>
      </c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 t="str">
        <f>IF($A179="","",IFERROR(AVERAGEIFS(Assignments!$N$6:$N$1000,Assignments!$B$6:$B$1000,$A179,Assignments!$E$6:$E$1000,"Completed"),""))</f>
        <v/>
      </c>
      <c r="K179" s="2" t="str">
        <f>IF(A179="","",IFERROR(AVERAGEIFS(Assignments!$AO:$AO,Assignments!$B:$B,A179,Assignments!$E:$E,"Completed"),""))</f>
        <v/>
      </c>
      <c r="L179" s="2" t="str">
        <f>IF($A179="","",IFERROR(COUNTIFS(Assignments!$B$6:$B$1000,$A179,Assignments!$E$6:$E$1000,"Cancelled")/MAX(1,COUNTIFS(Assignments!$B$6:$B$1000,$A179,Assignments!$E$6:$E$1000,"Completed")+COUNTIFS(Assignments!$B$6:$B$1000,$A179,Assignments!$E$6:$E$1000,"Cancelled")),""))</f>
        <v/>
      </c>
      <c r="M179" s="2" t="str">
        <f>IF($A179="","",IFERROR(AVERAGEIFS(Assignments!$P$6:$P$1000,Assignments!$B$6:$B$1000,$A179,Assignments!$E$6:$E$1000,"Completed"),""))</f>
        <v/>
      </c>
      <c r="N179" s="2"/>
      <c r="O179" s="2"/>
      <c r="P179" s="1" t="str">
        <f>IF(A179="","",MAX(0,MIN(3,SUMIFS(Strike_Log!$C:$C,Strike_Log!$B:$B,A179,Strike_Log!$A:$A,"&gt;="&amp;IF(Config!$B$1004="Y",TODAY()-Config!$B$1005,DATE(1900,1,1)),Strike_Log!$I:$I,1))))</f>
        <v/>
      </c>
      <c r="Q179" s="1">
        <f t="shared" si="3"/>
        <v>0</v>
      </c>
      <c r="R179" s="1" t="str">
        <f>IF(A179="","",IFERROR(AVERAGEIFS(Assignments!$J:$J,Assignments!$B:$B,A179,Assignments!$E:$E,"Completed"),""))</f>
        <v/>
      </c>
      <c r="S179" s="1" t="str">
        <f>IF(A179="","",COUNTIFS(Assignments!$B:$B,A179,Assignments!$AE:$AE, "Y",Assignments!$D:$D,"&gt;="&amp;TODAY()-30))</f>
        <v/>
      </c>
      <c r="T179" s="1" t="str">
        <f>IF(A179="","",COUNTIFS(Assignments!$AF:$AF,A179,Assignments!$AE:$AE, "Y",Assignments!$D:$D,"&gt;="&amp;TODAY()-30))</f>
        <v/>
      </c>
      <c r="U179" s="1" t="str">
        <f>IF(A179="","",IFERROR(S179/MAX(1,COUNTIFS(Assignments!$B:$B,A179,Assignments!$D:$D,"&gt;="&amp;TODAY()-30)),""))</f>
        <v/>
      </c>
      <c r="V179" s="1" t="str">
        <f t="shared" si="4"/>
        <v/>
      </c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 t="str">
        <f>IF($A180="","",IFERROR(AVERAGEIFS(Assignments!$N$6:$N$1000,Assignments!$B$6:$B$1000,$A180,Assignments!$E$6:$E$1000,"Completed"),""))</f>
        <v/>
      </c>
      <c r="K180" s="2" t="str">
        <f>IF(A180="","",IFERROR(AVERAGEIFS(Assignments!$AO:$AO,Assignments!$B:$B,A180,Assignments!$E:$E,"Completed"),""))</f>
        <v/>
      </c>
      <c r="L180" s="2" t="str">
        <f>IF($A180="","",IFERROR(COUNTIFS(Assignments!$B$6:$B$1000,$A180,Assignments!$E$6:$E$1000,"Cancelled")/MAX(1,COUNTIFS(Assignments!$B$6:$B$1000,$A180,Assignments!$E$6:$E$1000,"Completed")+COUNTIFS(Assignments!$B$6:$B$1000,$A180,Assignments!$E$6:$E$1000,"Cancelled")),""))</f>
        <v/>
      </c>
      <c r="M180" s="2" t="str">
        <f>IF($A180="","",IFERROR(AVERAGEIFS(Assignments!$P$6:$P$1000,Assignments!$B$6:$B$1000,$A180,Assignments!$E$6:$E$1000,"Completed"),""))</f>
        <v/>
      </c>
      <c r="N180" s="2"/>
      <c r="O180" s="2"/>
      <c r="P180" s="1" t="str">
        <f>IF(A180="","",MAX(0,MIN(3,SUMIFS(Strike_Log!$C:$C,Strike_Log!$B:$B,A180,Strike_Log!$A:$A,"&gt;="&amp;IF(Config!$B$1004="Y",TODAY()-Config!$B$1005,DATE(1900,1,1)),Strike_Log!$I:$I,1))))</f>
        <v/>
      </c>
      <c r="Q180" s="1">
        <f t="shared" si="3"/>
        <v>0</v>
      </c>
      <c r="R180" s="1" t="str">
        <f>IF(A180="","",IFERROR(AVERAGEIFS(Assignments!$J:$J,Assignments!$B:$B,A180,Assignments!$E:$E,"Completed"),""))</f>
        <v/>
      </c>
      <c r="S180" s="1" t="str">
        <f>IF(A180="","",COUNTIFS(Assignments!$B:$B,A180,Assignments!$AE:$AE, "Y",Assignments!$D:$D,"&gt;="&amp;TODAY()-30))</f>
        <v/>
      </c>
      <c r="T180" s="1" t="str">
        <f>IF(A180="","",COUNTIFS(Assignments!$AF:$AF,A180,Assignments!$AE:$AE, "Y",Assignments!$D:$D,"&gt;="&amp;TODAY()-30))</f>
        <v/>
      </c>
      <c r="U180" s="1" t="str">
        <f>IF(A180="","",IFERROR(S180/MAX(1,COUNTIFS(Assignments!$B:$B,A180,Assignments!$D:$D,"&gt;="&amp;TODAY()-30)),""))</f>
        <v/>
      </c>
      <c r="V180" s="1" t="str">
        <f t="shared" si="4"/>
        <v/>
      </c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 t="str">
        <f>IF($A181="","",IFERROR(AVERAGEIFS(Assignments!$N$6:$N$1000,Assignments!$B$6:$B$1000,$A181,Assignments!$E$6:$E$1000,"Completed"),""))</f>
        <v/>
      </c>
      <c r="K181" s="2" t="str">
        <f>IF(A181="","",IFERROR(AVERAGEIFS(Assignments!$AO:$AO,Assignments!$B:$B,A181,Assignments!$E:$E,"Completed"),""))</f>
        <v/>
      </c>
      <c r="L181" s="2" t="str">
        <f>IF($A181="","",IFERROR(COUNTIFS(Assignments!$B$6:$B$1000,$A181,Assignments!$E$6:$E$1000,"Cancelled")/MAX(1,COUNTIFS(Assignments!$B$6:$B$1000,$A181,Assignments!$E$6:$E$1000,"Completed")+COUNTIFS(Assignments!$B$6:$B$1000,$A181,Assignments!$E$6:$E$1000,"Cancelled")),""))</f>
        <v/>
      </c>
      <c r="M181" s="2" t="str">
        <f>IF($A181="","",IFERROR(AVERAGEIFS(Assignments!$P$6:$P$1000,Assignments!$B$6:$B$1000,$A181,Assignments!$E$6:$E$1000,"Completed"),""))</f>
        <v/>
      </c>
      <c r="N181" s="2"/>
      <c r="O181" s="2"/>
      <c r="P181" s="1" t="str">
        <f>IF(A181="","",MAX(0,MIN(3,SUMIFS(Strike_Log!$C:$C,Strike_Log!$B:$B,A181,Strike_Log!$A:$A,"&gt;="&amp;IF(Config!$B$1004="Y",TODAY()-Config!$B$1005,DATE(1900,1,1)),Strike_Log!$I:$I,1))))</f>
        <v/>
      </c>
      <c r="Q181" s="1">
        <f t="shared" si="3"/>
        <v>0</v>
      </c>
      <c r="R181" s="1" t="str">
        <f>IF(A181="","",IFERROR(AVERAGEIFS(Assignments!$J:$J,Assignments!$B:$B,A181,Assignments!$E:$E,"Completed"),""))</f>
        <v/>
      </c>
      <c r="S181" s="1" t="str">
        <f>IF(A181="","",COUNTIFS(Assignments!$B:$B,A181,Assignments!$AE:$AE, "Y",Assignments!$D:$D,"&gt;="&amp;TODAY()-30))</f>
        <v/>
      </c>
      <c r="T181" s="1" t="str">
        <f>IF(A181="","",COUNTIFS(Assignments!$AF:$AF,A181,Assignments!$AE:$AE, "Y",Assignments!$D:$D,"&gt;="&amp;TODAY()-30))</f>
        <v/>
      </c>
      <c r="U181" s="1" t="str">
        <f>IF(A181="","",IFERROR(S181/MAX(1,COUNTIFS(Assignments!$B:$B,A181,Assignments!$D:$D,"&gt;="&amp;TODAY()-30)),""))</f>
        <v/>
      </c>
      <c r="V181" s="1" t="str">
        <f t="shared" si="4"/>
        <v/>
      </c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 t="str">
        <f>IF($A182="","",IFERROR(AVERAGEIFS(Assignments!$N$6:$N$1000,Assignments!$B$6:$B$1000,$A182,Assignments!$E$6:$E$1000,"Completed"),""))</f>
        <v/>
      </c>
      <c r="K182" s="2" t="str">
        <f>IF(A182="","",IFERROR(AVERAGEIFS(Assignments!$AO:$AO,Assignments!$B:$B,A182,Assignments!$E:$E,"Completed"),""))</f>
        <v/>
      </c>
      <c r="L182" s="2" t="str">
        <f>IF($A182="","",IFERROR(COUNTIFS(Assignments!$B$6:$B$1000,$A182,Assignments!$E$6:$E$1000,"Cancelled")/MAX(1,COUNTIFS(Assignments!$B$6:$B$1000,$A182,Assignments!$E$6:$E$1000,"Completed")+COUNTIFS(Assignments!$B$6:$B$1000,$A182,Assignments!$E$6:$E$1000,"Cancelled")),""))</f>
        <v/>
      </c>
      <c r="M182" s="2" t="str">
        <f>IF($A182="","",IFERROR(AVERAGEIFS(Assignments!$P$6:$P$1000,Assignments!$B$6:$B$1000,$A182,Assignments!$E$6:$E$1000,"Completed"),""))</f>
        <v/>
      </c>
      <c r="N182" s="2"/>
      <c r="O182" s="2"/>
      <c r="P182" s="1" t="str">
        <f>IF(A182="","",MAX(0,MIN(3,SUMIFS(Strike_Log!$C:$C,Strike_Log!$B:$B,A182,Strike_Log!$A:$A,"&gt;="&amp;IF(Config!$B$1004="Y",TODAY()-Config!$B$1005,DATE(1900,1,1)),Strike_Log!$I:$I,1))))</f>
        <v/>
      </c>
      <c r="Q182" s="1">
        <f t="shared" si="3"/>
        <v>0</v>
      </c>
      <c r="R182" s="1" t="str">
        <f>IF(A182="","",IFERROR(AVERAGEIFS(Assignments!$J:$J,Assignments!$B:$B,A182,Assignments!$E:$E,"Completed"),""))</f>
        <v/>
      </c>
      <c r="S182" s="1" t="str">
        <f>IF(A182="","",COUNTIFS(Assignments!$B:$B,A182,Assignments!$AE:$AE, "Y",Assignments!$D:$D,"&gt;="&amp;TODAY()-30))</f>
        <v/>
      </c>
      <c r="T182" s="1" t="str">
        <f>IF(A182="","",COUNTIFS(Assignments!$AF:$AF,A182,Assignments!$AE:$AE, "Y",Assignments!$D:$D,"&gt;="&amp;TODAY()-30))</f>
        <v/>
      </c>
      <c r="U182" s="1" t="str">
        <f>IF(A182="","",IFERROR(S182/MAX(1,COUNTIFS(Assignments!$B:$B,A182,Assignments!$D:$D,"&gt;="&amp;TODAY()-30)),""))</f>
        <v/>
      </c>
      <c r="V182" s="1" t="str">
        <f t="shared" si="4"/>
        <v/>
      </c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 t="str">
        <f>IF($A183="","",IFERROR(AVERAGEIFS(Assignments!$N$6:$N$1000,Assignments!$B$6:$B$1000,$A183,Assignments!$E$6:$E$1000,"Completed"),""))</f>
        <v/>
      </c>
      <c r="K183" s="2" t="str">
        <f>IF(A183="","",IFERROR(AVERAGEIFS(Assignments!$AO:$AO,Assignments!$B:$B,A183,Assignments!$E:$E,"Completed"),""))</f>
        <v/>
      </c>
      <c r="L183" s="2" t="str">
        <f>IF($A183="","",IFERROR(COUNTIFS(Assignments!$B$6:$B$1000,$A183,Assignments!$E$6:$E$1000,"Cancelled")/MAX(1,COUNTIFS(Assignments!$B$6:$B$1000,$A183,Assignments!$E$6:$E$1000,"Completed")+COUNTIFS(Assignments!$B$6:$B$1000,$A183,Assignments!$E$6:$E$1000,"Cancelled")),""))</f>
        <v/>
      </c>
      <c r="M183" s="2" t="str">
        <f>IF($A183="","",IFERROR(AVERAGEIFS(Assignments!$P$6:$P$1000,Assignments!$B$6:$B$1000,$A183,Assignments!$E$6:$E$1000,"Completed"),""))</f>
        <v/>
      </c>
      <c r="N183" s="2"/>
      <c r="O183" s="2"/>
      <c r="P183" s="1" t="str">
        <f>IF(A183="","",MAX(0,MIN(3,SUMIFS(Strike_Log!$C:$C,Strike_Log!$B:$B,A183,Strike_Log!$A:$A,"&gt;="&amp;IF(Config!$B$1004="Y",TODAY()-Config!$B$1005,DATE(1900,1,1)),Strike_Log!$I:$I,1))))</f>
        <v/>
      </c>
      <c r="Q183" s="1">
        <f t="shared" si="3"/>
        <v>0</v>
      </c>
      <c r="R183" s="1" t="str">
        <f>IF(A183="","",IFERROR(AVERAGEIFS(Assignments!$J:$J,Assignments!$B:$B,A183,Assignments!$E:$E,"Completed"),""))</f>
        <v/>
      </c>
      <c r="S183" s="1" t="str">
        <f>IF(A183="","",COUNTIFS(Assignments!$B:$B,A183,Assignments!$AE:$AE, "Y",Assignments!$D:$D,"&gt;="&amp;TODAY()-30))</f>
        <v/>
      </c>
      <c r="T183" s="1" t="str">
        <f>IF(A183="","",COUNTIFS(Assignments!$AF:$AF,A183,Assignments!$AE:$AE, "Y",Assignments!$D:$D,"&gt;="&amp;TODAY()-30))</f>
        <v/>
      </c>
      <c r="U183" s="1" t="str">
        <f>IF(A183="","",IFERROR(S183/MAX(1,COUNTIFS(Assignments!$B:$B,A183,Assignments!$D:$D,"&gt;="&amp;TODAY()-30)),""))</f>
        <v/>
      </c>
      <c r="V183" s="1" t="str">
        <f t="shared" si="4"/>
        <v/>
      </c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 t="str">
        <f>IF($A184="","",IFERROR(AVERAGEIFS(Assignments!$N$6:$N$1000,Assignments!$B$6:$B$1000,$A184,Assignments!$E$6:$E$1000,"Completed"),""))</f>
        <v/>
      </c>
      <c r="K184" s="2" t="str">
        <f>IF(A184="","",IFERROR(AVERAGEIFS(Assignments!$AO:$AO,Assignments!$B:$B,A184,Assignments!$E:$E,"Completed"),""))</f>
        <v/>
      </c>
      <c r="L184" s="2" t="str">
        <f>IF($A184="","",IFERROR(COUNTIFS(Assignments!$B$6:$B$1000,$A184,Assignments!$E$6:$E$1000,"Cancelled")/MAX(1,COUNTIFS(Assignments!$B$6:$B$1000,$A184,Assignments!$E$6:$E$1000,"Completed")+COUNTIFS(Assignments!$B$6:$B$1000,$A184,Assignments!$E$6:$E$1000,"Cancelled")),""))</f>
        <v/>
      </c>
      <c r="M184" s="2" t="str">
        <f>IF($A184="","",IFERROR(AVERAGEIFS(Assignments!$P$6:$P$1000,Assignments!$B$6:$B$1000,$A184,Assignments!$E$6:$E$1000,"Completed"),""))</f>
        <v/>
      </c>
      <c r="N184" s="2"/>
      <c r="O184" s="2"/>
      <c r="P184" s="1" t="str">
        <f>IF(A184="","",MAX(0,MIN(3,SUMIFS(Strike_Log!$C:$C,Strike_Log!$B:$B,A184,Strike_Log!$A:$A,"&gt;="&amp;IF(Config!$B$1004="Y",TODAY()-Config!$B$1005,DATE(1900,1,1)),Strike_Log!$I:$I,1))))</f>
        <v/>
      </c>
      <c r="Q184" s="1">
        <f t="shared" si="3"/>
        <v>0</v>
      </c>
      <c r="R184" s="1" t="str">
        <f>IF(A184="","",IFERROR(AVERAGEIFS(Assignments!$J:$J,Assignments!$B:$B,A184,Assignments!$E:$E,"Completed"),""))</f>
        <v/>
      </c>
      <c r="S184" s="1" t="str">
        <f>IF(A184="","",COUNTIFS(Assignments!$B:$B,A184,Assignments!$AE:$AE, "Y",Assignments!$D:$D,"&gt;="&amp;TODAY()-30))</f>
        <v/>
      </c>
      <c r="T184" s="1" t="str">
        <f>IF(A184="","",COUNTIFS(Assignments!$AF:$AF,A184,Assignments!$AE:$AE, "Y",Assignments!$D:$D,"&gt;="&amp;TODAY()-30))</f>
        <v/>
      </c>
      <c r="U184" s="1" t="str">
        <f>IF(A184="","",IFERROR(S184/MAX(1,COUNTIFS(Assignments!$B:$B,A184,Assignments!$D:$D,"&gt;="&amp;TODAY()-30)),""))</f>
        <v/>
      </c>
      <c r="V184" s="1" t="str">
        <f t="shared" si="4"/>
        <v/>
      </c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 t="str">
        <f>IF($A185="","",IFERROR(AVERAGEIFS(Assignments!$N$6:$N$1000,Assignments!$B$6:$B$1000,$A185,Assignments!$E$6:$E$1000,"Completed"),""))</f>
        <v/>
      </c>
      <c r="K185" s="2" t="str">
        <f>IF(A185="","",IFERROR(AVERAGEIFS(Assignments!$AO:$AO,Assignments!$B:$B,A185,Assignments!$E:$E,"Completed"),""))</f>
        <v/>
      </c>
      <c r="L185" s="2" t="str">
        <f>IF($A185="","",IFERROR(COUNTIFS(Assignments!$B$6:$B$1000,$A185,Assignments!$E$6:$E$1000,"Cancelled")/MAX(1,COUNTIFS(Assignments!$B$6:$B$1000,$A185,Assignments!$E$6:$E$1000,"Completed")+COUNTIFS(Assignments!$B$6:$B$1000,$A185,Assignments!$E$6:$E$1000,"Cancelled")),""))</f>
        <v/>
      </c>
      <c r="M185" s="2" t="str">
        <f>IF($A185="","",IFERROR(AVERAGEIFS(Assignments!$P$6:$P$1000,Assignments!$B$6:$B$1000,$A185,Assignments!$E$6:$E$1000,"Completed"),""))</f>
        <v/>
      </c>
      <c r="N185" s="2"/>
      <c r="O185" s="2"/>
      <c r="P185" s="1" t="str">
        <f>IF(A185="","",MAX(0,MIN(3,SUMIFS(Strike_Log!$C:$C,Strike_Log!$B:$B,A185,Strike_Log!$A:$A,"&gt;="&amp;IF(Config!$B$1004="Y",TODAY()-Config!$B$1005,DATE(1900,1,1)),Strike_Log!$I:$I,1))))</f>
        <v/>
      </c>
      <c r="Q185" s="1">
        <f t="shared" si="3"/>
        <v>0</v>
      </c>
      <c r="R185" s="1" t="str">
        <f>IF(A185="","",IFERROR(AVERAGEIFS(Assignments!$J:$J,Assignments!$B:$B,A185,Assignments!$E:$E,"Completed"),""))</f>
        <v/>
      </c>
      <c r="S185" s="1" t="str">
        <f>IF(A185="","",COUNTIFS(Assignments!$B:$B,A185,Assignments!$AE:$AE, "Y",Assignments!$D:$D,"&gt;="&amp;TODAY()-30))</f>
        <v/>
      </c>
      <c r="T185" s="1" t="str">
        <f>IF(A185="","",COUNTIFS(Assignments!$AF:$AF,A185,Assignments!$AE:$AE, "Y",Assignments!$D:$D,"&gt;="&amp;TODAY()-30))</f>
        <v/>
      </c>
      <c r="U185" s="1" t="str">
        <f>IF(A185="","",IFERROR(S185/MAX(1,COUNTIFS(Assignments!$B:$B,A185,Assignments!$D:$D,"&gt;="&amp;TODAY()-30)),""))</f>
        <v/>
      </c>
      <c r="V185" s="1" t="str">
        <f t="shared" si="4"/>
        <v/>
      </c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 t="str">
        <f>IF($A186="","",IFERROR(AVERAGEIFS(Assignments!$N$6:$N$1000,Assignments!$B$6:$B$1000,$A186,Assignments!$E$6:$E$1000,"Completed"),""))</f>
        <v/>
      </c>
      <c r="K186" s="2" t="str">
        <f>IF(A186="","",IFERROR(AVERAGEIFS(Assignments!$AO:$AO,Assignments!$B:$B,A186,Assignments!$E:$E,"Completed"),""))</f>
        <v/>
      </c>
      <c r="L186" s="2" t="str">
        <f>IF($A186="","",IFERROR(COUNTIFS(Assignments!$B$6:$B$1000,$A186,Assignments!$E$6:$E$1000,"Cancelled")/MAX(1,COUNTIFS(Assignments!$B$6:$B$1000,$A186,Assignments!$E$6:$E$1000,"Completed")+COUNTIFS(Assignments!$B$6:$B$1000,$A186,Assignments!$E$6:$E$1000,"Cancelled")),""))</f>
        <v/>
      </c>
      <c r="M186" s="2" t="str">
        <f>IF($A186="","",IFERROR(AVERAGEIFS(Assignments!$P$6:$P$1000,Assignments!$B$6:$B$1000,$A186,Assignments!$E$6:$E$1000,"Completed"),""))</f>
        <v/>
      </c>
      <c r="N186" s="2"/>
      <c r="O186" s="2"/>
      <c r="P186" s="1" t="str">
        <f>IF(A186="","",MAX(0,MIN(3,SUMIFS(Strike_Log!$C:$C,Strike_Log!$B:$B,A186,Strike_Log!$A:$A,"&gt;="&amp;IF(Config!$B$1004="Y",TODAY()-Config!$B$1005,DATE(1900,1,1)),Strike_Log!$I:$I,1))))</f>
        <v/>
      </c>
      <c r="Q186" s="1">
        <f t="shared" si="3"/>
        <v>0</v>
      </c>
      <c r="R186" s="1" t="str">
        <f>IF(A186="","",IFERROR(AVERAGEIFS(Assignments!$J:$J,Assignments!$B:$B,A186,Assignments!$E:$E,"Completed"),""))</f>
        <v/>
      </c>
      <c r="S186" s="1" t="str">
        <f>IF(A186="","",COUNTIFS(Assignments!$B:$B,A186,Assignments!$AE:$AE, "Y",Assignments!$D:$D,"&gt;="&amp;TODAY()-30))</f>
        <v/>
      </c>
      <c r="T186" s="1" t="str">
        <f>IF(A186="","",COUNTIFS(Assignments!$AF:$AF,A186,Assignments!$AE:$AE, "Y",Assignments!$D:$D,"&gt;="&amp;TODAY()-30))</f>
        <v/>
      </c>
      <c r="U186" s="1" t="str">
        <f>IF(A186="","",IFERROR(S186/MAX(1,COUNTIFS(Assignments!$B:$B,A186,Assignments!$D:$D,"&gt;="&amp;TODAY()-30)),""))</f>
        <v/>
      </c>
      <c r="V186" s="1" t="str">
        <f t="shared" si="4"/>
        <v/>
      </c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 t="str">
        <f>IF($A187="","",IFERROR(AVERAGEIFS(Assignments!$N$6:$N$1000,Assignments!$B$6:$B$1000,$A187,Assignments!$E$6:$E$1000,"Completed"),""))</f>
        <v/>
      </c>
      <c r="K187" s="2" t="str">
        <f>IF(A187="","",IFERROR(AVERAGEIFS(Assignments!$AO:$AO,Assignments!$B:$B,A187,Assignments!$E:$E,"Completed"),""))</f>
        <v/>
      </c>
      <c r="L187" s="2" t="str">
        <f>IF($A187="","",IFERROR(COUNTIFS(Assignments!$B$6:$B$1000,$A187,Assignments!$E$6:$E$1000,"Cancelled")/MAX(1,COUNTIFS(Assignments!$B$6:$B$1000,$A187,Assignments!$E$6:$E$1000,"Completed")+COUNTIFS(Assignments!$B$6:$B$1000,$A187,Assignments!$E$6:$E$1000,"Cancelled")),""))</f>
        <v/>
      </c>
      <c r="M187" s="2" t="str">
        <f>IF($A187="","",IFERROR(AVERAGEIFS(Assignments!$P$6:$P$1000,Assignments!$B$6:$B$1000,$A187,Assignments!$E$6:$E$1000,"Completed"),""))</f>
        <v/>
      </c>
      <c r="N187" s="2"/>
      <c r="O187" s="2"/>
      <c r="P187" s="1" t="str">
        <f>IF(A187="","",MAX(0,MIN(3,SUMIFS(Strike_Log!$C:$C,Strike_Log!$B:$B,A187,Strike_Log!$A:$A,"&gt;="&amp;IF(Config!$B$1004="Y",TODAY()-Config!$B$1005,DATE(1900,1,1)),Strike_Log!$I:$I,1))))</f>
        <v/>
      </c>
      <c r="Q187" s="1">
        <f t="shared" si="3"/>
        <v>0</v>
      </c>
      <c r="R187" s="1" t="str">
        <f>IF(A187="","",IFERROR(AVERAGEIFS(Assignments!$J:$J,Assignments!$B:$B,A187,Assignments!$E:$E,"Completed"),""))</f>
        <v/>
      </c>
      <c r="S187" s="1" t="str">
        <f>IF(A187="","",COUNTIFS(Assignments!$B:$B,A187,Assignments!$AE:$AE, "Y",Assignments!$D:$D,"&gt;="&amp;TODAY()-30))</f>
        <v/>
      </c>
      <c r="T187" s="1" t="str">
        <f>IF(A187="","",COUNTIFS(Assignments!$AF:$AF,A187,Assignments!$AE:$AE, "Y",Assignments!$D:$D,"&gt;="&amp;TODAY()-30))</f>
        <v/>
      </c>
      <c r="U187" s="1" t="str">
        <f>IF(A187="","",IFERROR(S187/MAX(1,COUNTIFS(Assignments!$B:$B,A187,Assignments!$D:$D,"&gt;="&amp;TODAY()-30)),""))</f>
        <v/>
      </c>
      <c r="V187" s="1" t="str">
        <f t="shared" si="4"/>
        <v/>
      </c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 t="str">
        <f>IF($A188="","",IFERROR(AVERAGEIFS(Assignments!$N$6:$N$1000,Assignments!$B$6:$B$1000,$A188,Assignments!$E$6:$E$1000,"Completed"),""))</f>
        <v/>
      </c>
      <c r="K188" s="2" t="str">
        <f>IF(A188="","",IFERROR(AVERAGEIFS(Assignments!$AO:$AO,Assignments!$B:$B,A188,Assignments!$E:$E,"Completed"),""))</f>
        <v/>
      </c>
      <c r="L188" s="2" t="str">
        <f>IF($A188="","",IFERROR(COUNTIFS(Assignments!$B$6:$B$1000,$A188,Assignments!$E$6:$E$1000,"Cancelled")/MAX(1,COUNTIFS(Assignments!$B$6:$B$1000,$A188,Assignments!$E$6:$E$1000,"Completed")+COUNTIFS(Assignments!$B$6:$B$1000,$A188,Assignments!$E$6:$E$1000,"Cancelled")),""))</f>
        <v/>
      </c>
      <c r="M188" s="2" t="str">
        <f>IF($A188="","",IFERROR(AVERAGEIFS(Assignments!$P$6:$P$1000,Assignments!$B$6:$B$1000,$A188,Assignments!$E$6:$E$1000,"Completed"),""))</f>
        <v/>
      </c>
      <c r="N188" s="2"/>
      <c r="O188" s="2"/>
      <c r="P188" s="1" t="str">
        <f>IF(A188="","",MAX(0,MIN(3,SUMIFS(Strike_Log!$C:$C,Strike_Log!$B:$B,A188,Strike_Log!$A:$A,"&gt;="&amp;IF(Config!$B$1004="Y",TODAY()-Config!$B$1005,DATE(1900,1,1)),Strike_Log!$I:$I,1))))</f>
        <v/>
      </c>
      <c r="Q188" s="1">
        <f t="shared" si="3"/>
        <v>0</v>
      </c>
      <c r="R188" s="1" t="str">
        <f>IF(A188="","",IFERROR(AVERAGEIFS(Assignments!$J:$J,Assignments!$B:$B,A188,Assignments!$E:$E,"Completed"),""))</f>
        <v/>
      </c>
      <c r="S188" s="1" t="str">
        <f>IF(A188="","",COUNTIFS(Assignments!$B:$B,A188,Assignments!$AE:$AE, "Y",Assignments!$D:$D,"&gt;="&amp;TODAY()-30))</f>
        <v/>
      </c>
      <c r="T188" s="1" t="str">
        <f>IF(A188="","",COUNTIFS(Assignments!$AF:$AF,A188,Assignments!$AE:$AE, "Y",Assignments!$D:$D,"&gt;="&amp;TODAY()-30))</f>
        <v/>
      </c>
      <c r="U188" s="1" t="str">
        <f>IF(A188="","",IFERROR(S188/MAX(1,COUNTIFS(Assignments!$B:$B,A188,Assignments!$D:$D,"&gt;="&amp;TODAY()-30)),""))</f>
        <v/>
      </c>
      <c r="V188" s="1" t="str">
        <f t="shared" si="4"/>
        <v/>
      </c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 t="str">
        <f>IF($A189="","",IFERROR(AVERAGEIFS(Assignments!$N$6:$N$1000,Assignments!$B$6:$B$1000,$A189,Assignments!$E$6:$E$1000,"Completed"),""))</f>
        <v/>
      </c>
      <c r="K189" s="2" t="str">
        <f>IF(A189="","",IFERROR(AVERAGEIFS(Assignments!$AO:$AO,Assignments!$B:$B,A189,Assignments!$E:$E,"Completed"),""))</f>
        <v/>
      </c>
      <c r="L189" s="2" t="str">
        <f>IF($A189="","",IFERROR(COUNTIFS(Assignments!$B$6:$B$1000,$A189,Assignments!$E$6:$E$1000,"Cancelled")/MAX(1,COUNTIFS(Assignments!$B$6:$B$1000,$A189,Assignments!$E$6:$E$1000,"Completed")+COUNTIFS(Assignments!$B$6:$B$1000,$A189,Assignments!$E$6:$E$1000,"Cancelled")),""))</f>
        <v/>
      </c>
      <c r="M189" s="2" t="str">
        <f>IF($A189="","",IFERROR(AVERAGEIFS(Assignments!$P$6:$P$1000,Assignments!$B$6:$B$1000,$A189,Assignments!$E$6:$E$1000,"Completed"),""))</f>
        <v/>
      </c>
      <c r="N189" s="2"/>
      <c r="O189" s="2"/>
      <c r="P189" s="1" t="str">
        <f>IF(A189="","",MAX(0,MIN(3,SUMIFS(Strike_Log!$C:$C,Strike_Log!$B:$B,A189,Strike_Log!$A:$A,"&gt;="&amp;IF(Config!$B$1004="Y",TODAY()-Config!$B$1005,DATE(1900,1,1)),Strike_Log!$I:$I,1))))</f>
        <v/>
      </c>
      <c r="Q189" s="1">
        <f t="shared" si="3"/>
        <v>0</v>
      </c>
      <c r="R189" s="1" t="str">
        <f>IF(A189="","",IFERROR(AVERAGEIFS(Assignments!$J:$J,Assignments!$B:$B,A189,Assignments!$E:$E,"Completed"),""))</f>
        <v/>
      </c>
      <c r="S189" s="1" t="str">
        <f>IF(A189="","",COUNTIFS(Assignments!$B:$B,A189,Assignments!$AE:$AE, "Y",Assignments!$D:$D,"&gt;="&amp;TODAY()-30))</f>
        <v/>
      </c>
      <c r="T189" s="1" t="str">
        <f>IF(A189="","",COUNTIFS(Assignments!$AF:$AF,A189,Assignments!$AE:$AE, "Y",Assignments!$D:$D,"&gt;="&amp;TODAY()-30))</f>
        <v/>
      </c>
      <c r="U189" s="1" t="str">
        <f>IF(A189="","",IFERROR(S189/MAX(1,COUNTIFS(Assignments!$B:$B,A189,Assignments!$D:$D,"&gt;="&amp;TODAY()-30)),""))</f>
        <v/>
      </c>
      <c r="V189" s="1" t="str">
        <f t="shared" si="4"/>
        <v/>
      </c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 t="str">
        <f>IF($A190="","",IFERROR(AVERAGEIFS(Assignments!$N$6:$N$1000,Assignments!$B$6:$B$1000,$A190,Assignments!$E$6:$E$1000,"Completed"),""))</f>
        <v/>
      </c>
      <c r="K190" s="2" t="str">
        <f>IF(A190="","",IFERROR(AVERAGEIFS(Assignments!$AO:$AO,Assignments!$B:$B,A190,Assignments!$E:$E,"Completed"),""))</f>
        <v/>
      </c>
      <c r="L190" s="2" t="str">
        <f>IF($A190="","",IFERROR(COUNTIFS(Assignments!$B$6:$B$1000,$A190,Assignments!$E$6:$E$1000,"Cancelled")/MAX(1,COUNTIFS(Assignments!$B$6:$B$1000,$A190,Assignments!$E$6:$E$1000,"Completed")+COUNTIFS(Assignments!$B$6:$B$1000,$A190,Assignments!$E$6:$E$1000,"Cancelled")),""))</f>
        <v/>
      </c>
      <c r="M190" s="2" t="str">
        <f>IF($A190="","",IFERROR(AVERAGEIFS(Assignments!$P$6:$P$1000,Assignments!$B$6:$B$1000,$A190,Assignments!$E$6:$E$1000,"Completed"),""))</f>
        <v/>
      </c>
      <c r="N190" s="2"/>
      <c r="O190" s="2"/>
      <c r="P190" s="1" t="str">
        <f>IF(A190="","",MAX(0,MIN(3,SUMIFS(Strike_Log!$C:$C,Strike_Log!$B:$B,A190,Strike_Log!$A:$A,"&gt;="&amp;IF(Config!$B$1004="Y",TODAY()-Config!$B$1005,DATE(1900,1,1)),Strike_Log!$I:$I,1))))</f>
        <v/>
      </c>
      <c r="Q190" s="1">
        <f t="shared" si="3"/>
        <v>0</v>
      </c>
      <c r="R190" s="1" t="str">
        <f>IF(A190="","",IFERROR(AVERAGEIFS(Assignments!$J:$J,Assignments!$B:$B,A190,Assignments!$E:$E,"Completed"),""))</f>
        <v/>
      </c>
      <c r="S190" s="1" t="str">
        <f>IF(A190="","",COUNTIFS(Assignments!$B:$B,A190,Assignments!$AE:$AE, "Y",Assignments!$D:$D,"&gt;="&amp;TODAY()-30))</f>
        <v/>
      </c>
      <c r="T190" s="1" t="str">
        <f>IF(A190="","",COUNTIFS(Assignments!$AF:$AF,A190,Assignments!$AE:$AE, "Y",Assignments!$D:$D,"&gt;="&amp;TODAY()-30))</f>
        <v/>
      </c>
      <c r="U190" s="1" t="str">
        <f>IF(A190="","",IFERROR(S190/MAX(1,COUNTIFS(Assignments!$B:$B,A190,Assignments!$D:$D,"&gt;="&amp;TODAY()-30)),""))</f>
        <v/>
      </c>
      <c r="V190" s="1" t="str">
        <f t="shared" si="4"/>
        <v/>
      </c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 t="str">
        <f>IF($A191="","",IFERROR(AVERAGEIFS(Assignments!$N$6:$N$1000,Assignments!$B$6:$B$1000,$A191,Assignments!$E$6:$E$1000,"Completed"),""))</f>
        <v/>
      </c>
      <c r="K191" s="2" t="str">
        <f>IF(A191="","",IFERROR(AVERAGEIFS(Assignments!$AO:$AO,Assignments!$B:$B,A191,Assignments!$E:$E,"Completed"),""))</f>
        <v/>
      </c>
      <c r="L191" s="2" t="str">
        <f>IF($A191="","",IFERROR(COUNTIFS(Assignments!$B$6:$B$1000,$A191,Assignments!$E$6:$E$1000,"Cancelled")/MAX(1,COUNTIFS(Assignments!$B$6:$B$1000,$A191,Assignments!$E$6:$E$1000,"Completed")+COUNTIFS(Assignments!$B$6:$B$1000,$A191,Assignments!$E$6:$E$1000,"Cancelled")),""))</f>
        <v/>
      </c>
      <c r="M191" s="2" t="str">
        <f>IF($A191="","",IFERROR(AVERAGEIFS(Assignments!$P$6:$P$1000,Assignments!$B$6:$B$1000,$A191,Assignments!$E$6:$E$1000,"Completed"),""))</f>
        <v/>
      </c>
      <c r="N191" s="2"/>
      <c r="O191" s="2"/>
      <c r="P191" s="1" t="str">
        <f>IF(A191="","",MAX(0,MIN(3,SUMIFS(Strike_Log!$C:$C,Strike_Log!$B:$B,A191,Strike_Log!$A:$A,"&gt;="&amp;IF(Config!$B$1004="Y",TODAY()-Config!$B$1005,DATE(1900,1,1)),Strike_Log!$I:$I,1))))</f>
        <v/>
      </c>
      <c r="Q191" s="1">
        <f t="shared" si="3"/>
        <v>0</v>
      </c>
      <c r="R191" s="1" t="str">
        <f>IF(A191="","",IFERROR(AVERAGEIFS(Assignments!$J:$J,Assignments!$B:$B,A191,Assignments!$E:$E,"Completed"),""))</f>
        <v/>
      </c>
      <c r="S191" s="1" t="str">
        <f>IF(A191="","",COUNTIFS(Assignments!$B:$B,A191,Assignments!$AE:$AE, "Y",Assignments!$D:$D,"&gt;="&amp;TODAY()-30))</f>
        <v/>
      </c>
      <c r="T191" s="1" t="str">
        <f>IF(A191="","",COUNTIFS(Assignments!$AF:$AF,A191,Assignments!$AE:$AE, "Y",Assignments!$D:$D,"&gt;="&amp;TODAY()-30))</f>
        <v/>
      </c>
      <c r="U191" s="1" t="str">
        <f>IF(A191="","",IFERROR(S191/MAX(1,COUNTIFS(Assignments!$B:$B,A191,Assignments!$D:$D,"&gt;="&amp;TODAY()-30)),""))</f>
        <v/>
      </c>
      <c r="V191" s="1" t="str">
        <f t="shared" si="4"/>
        <v/>
      </c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 t="str">
        <f>IF($A192="","",IFERROR(AVERAGEIFS(Assignments!$N$6:$N$1000,Assignments!$B$6:$B$1000,$A192,Assignments!$E$6:$E$1000,"Completed"),""))</f>
        <v/>
      </c>
      <c r="K192" s="2" t="str">
        <f>IF(A192="","",IFERROR(AVERAGEIFS(Assignments!$AO:$AO,Assignments!$B:$B,A192,Assignments!$E:$E,"Completed"),""))</f>
        <v/>
      </c>
      <c r="L192" s="2" t="str">
        <f>IF($A192="","",IFERROR(COUNTIFS(Assignments!$B$6:$B$1000,$A192,Assignments!$E$6:$E$1000,"Cancelled")/MAX(1,COUNTIFS(Assignments!$B$6:$B$1000,$A192,Assignments!$E$6:$E$1000,"Completed")+COUNTIFS(Assignments!$B$6:$B$1000,$A192,Assignments!$E$6:$E$1000,"Cancelled")),""))</f>
        <v/>
      </c>
      <c r="M192" s="2" t="str">
        <f>IF($A192="","",IFERROR(AVERAGEIFS(Assignments!$P$6:$P$1000,Assignments!$B$6:$B$1000,$A192,Assignments!$E$6:$E$1000,"Completed"),""))</f>
        <v/>
      </c>
      <c r="N192" s="2"/>
      <c r="O192" s="2"/>
      <c r="P192" s="1" t="str">
        <f>IF(A192="","",MAX(0,MIN(3,SUMIFS(Strike_Log!$C:$C,Strike_Log!$B:$B,A192,Strike_Log!$A:$A,"&gt;="&amp;IF(Config!$B$1004="Y",TODAY()-Config!$B$1005,DATE(1900,1,1)),Strike_Log!$I:$I,1))))</f>
        <v/>
      </c>
      <c r="Q192" s="1">
        <f t="shared" si="3"/>
        <v>0</v>
      </c>
      <c r="R192" s="1" t="str">
        <f>IF(A192="","",IFERROR(AVERAGEIFS(Assignments!$J:$J,Assignments!$B:$B,A192,Assignments!$E:$E,"Completed"),""))</f>
        <v/>
      </c>
      <c r="S192" s="1" t="str">
        <f>IF(A192="","",COUNTIFS(Assignments!$B:$B,A192,Assignments!$AE:$AE, "Y",Assignments!$D:$D,"&gt;="&amp;TODAY()-30))</f>
        <v/>
      </c>
      <c r="T192" s="1" t="str">
        <f>IF(A192="","",COUNTIFS(Assignments!$AF:$AF,A192,Assignments!$AE:$AE, "Y",Assignments!$D:$D,"&gt;="&amp;TODAY()-30))</f>
        <v/>
      </c>
      <c r="U192" s="1" t="str">
        <f>IF(A192="","",IFERROR(S192/MAX(1,COUNTIFS(Assignments!$B:$B,A192,Assignments!$D:$D,"&gt;="&amp;TODAY()-30)),""))</f>
        <v/>
      </c>
      <c r="V192" s="1" t="str">
        <f t="shared" si="4"/>
        <v/>
      </c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 t="str">
        <f>IF($A193="","",IFERROR(AVERAGEIFS(Assignments!$N$6:$N$1000,Assignments!$B$6:$B$1000,$A193,Assignments!$E$6:$E$1000,"Completed"),""))</f>
        <v/>
      </c>
      <c r="K193" s="2" t="str">
        <f>IF(A193="","",IFERROR(AVERAGEIFS(Assignments!$AO:$AO,Assignments!$B:$B,A193,Assignments!$E:$E,"Completed"),""))</f>
        <v/>
      </c>
      <c r="L193" s="2" t="str">
        <f>IF($A193="","",IFERROR(COUNTIFS(Assignments!$B$6:$B$1000,$A193,Assignments!$E$6:$E$1000,"Cancelled")/MAX(1,COUNTIFS(Assignments!$B$6:$B$1000,$A193,Assignments!$E$6:$E$1000,"Completed")+COUNTIFS(Assignments!$B$6:$B$1000,$A193,Assignments!$E$6:$E$1000,"Cancelled")),""))</f>
        <v/>
      </c>
      <c r="M193" s="2" t="str">
        <f>IF($A193="","",IFERROR(AVERAGEIFS(Assignments!$P$6:$P$1000,Assignments!$B$6:$B$1000,$A193,Assignments!$E$6:$E$1000,"Completed"),""))</f>
        <v/>
      </c>
      <c r="N193" s="2"/>
      <c r="O193" s="2"/>
      <c r="P193" s="1" t="str">
        <f>IF(A193="","",MAX(0,MIN(3,SUMIFS(Strike_Log!$C:$C,Strike_Log!$B:$B,A193,Strike_Log!$A:$A,"&gt;="&amp;IF(Config!$B$1004="Y",TODAY()-Config!$B$1005,DATE(1900,1,1)),Strike_Log!$I:$I,1))))</f>
        <v/>
      </c>
      <c r="Q193" s="1">
        <f t="shared" si="3"/>
        <v>0</v>
      </c>
      <c r="R193" s="1" t="str">
        <f>IF(A193="","",IFERROR(AVERAGEIFS(Assignments!$J:$J,Assignments!$B:$B,A193,Assignments!$E:$E,"Completed"),""))</f>
        <v/>
      </c>
      <c r="S193" s="1" t="str">
        <f>IF(A193="","",COUNTIFS(Assignments!$B:$B,A193,Assignments!$AE:$AE, "Y",Assignments!$D:$D,"&gt;="&amp;TODAY()-30))</f>
        <v/>
      </c>
      <c r="T193" s="1" t="str">
        <f>IF(A193="","",COUNTIFS(Assignments!$AF:$AF,A193,Assignments!$AE:$AE, "Y",Assignments!$D:$D,"&gt;="&amp;TODAY()-30))</f>
        <v/>
      </c>
      <c r="U193" s="1" t="str">
        <f>IF(A193="","",IFERROR(S193/MAX(1,COUNTIFS(Assignments!$B:$B,A193,Assignments!$D:$D,"&gt;="&amp;TODAY()-30)),""))</f>
        <v/>
      </c>
      <c r="V193" s="1" t="str">
        <f t="shared" si="4"/>
        <v/>
      </c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 t="str">
        <f>IF($A194="","",IFERROR(AVERAGEIFS(Assignments!$N$6:$N$1000,Assignments!$B$6:$B$1000,$A194,Assignments!$E$6:$E$1000,"Completed"),""))</f>
        <v/>
      </c>
      <c r="K194" s="2" t="str">
        <f>IF(A194="","",IFERROR(AVERAGEIFS(Assignments!$AO:$AO,Assignments!$B:$B,A194,Assignments!$E:$E,"Completed"),""))</f>
        <v/>
      </c>
      <c r="L194" s="2" t="str">
        <f>IF($A194="","",IFERROR(COUNTIFS(Assignments!$B$6:$B$1000,$A194,Assignments!$E$6:$E$1000,"Cancelled")/MAX(1,COUNTIFS(Assignments!$B$6:$B$1000,$A194,Assignments!$E$6:$E$1000,"Completed")+COUNTIFS(Assignments!$B$6:$B$1000,$A194,Assignments!$E$6:$E$1000,"Cancelled")),""))</f>
        <v/>
      </c>
      <c r="M194" s="2" t="str">
        <f>IF($A194="","",IFERROR(AVERAGEIFS(Assignments!$P$6:$P$1000,Assignments!$B$6:$B$1000,$A194,Assignments!$E$6:$E$1000,"Completed"),""))</f>
        <v/>
      </c>
      <c r="N194" s="2"/>
      <c r="O194" s="2"/>
      <c r="P194" s="1" t="str">
        <f>IF(A194="","",MAX(0,MIN(3,SUMIFS(Strike_Log!$C:$C,Strike_Log!$B:$B,A194,Strike_Log!$A:$A,"&gt;="&amp;IF(Config!$B$1004="Y",TODAY()-Config!$B$1005,DATE(1900,1,1)),Strike_Log!$I:$I,1))))</f>
        <v/>
      </c>
      <c r="Q194" s="1">
        <f t="shared" si="3"/>
        <v>0</v>
      </c>
      <c r="R194" s="1" t="str">
        <f>IF(A194="","",IFERROR(AVERAGEIFS(Assignments!$J:$J,Assignments!$B:$B,A194,Assignments!$E:$E,"Completed"),""))</f>
        <v/>
      </c>
      <c r="S194" s="1" t="str">
        <f>IF(A194="","",COUNTIFS(Assignments!$B:$B,A194,Assignments!$AE:$AE, "Y",Assignments!$D:$D,"&gt;="&amp;TODAY()-30))</f>
        <v/>
      </c>
      <c r="T194" s="1" t="str">
        <f>IF(A194="","",COUNTIFS(Assignments!$AF:$AF,A194,Assignments!$AE:$AE, "Y",Assignments!$D:$D,"&gt;="&amp;TODAY()-30))</f>
        <v/>
      </c>
      <c r="U194" s="1" t="str">
        <f>IF(A194="","",IFERROR(S194/MAX(1,COUNTIFS(Assignments!$B:$B,A194,Assignments!$D:$D,"&gt;="&amp;TODAY()-30)),""))</f>
        <v/>
      </c>
      <c r="V194" s="1" t="str">
        <f t="shared" si="4"/>
        <v/>
      </c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 t="str">
        <f>IF($A195="","",IFERROR(AVERAGEIFS(Assignments!$N$6:$N$1000,Assignments!$B$6:$B$1000,$A195,Assignments!$E$6:$E$1000,"Completed"),""))</f>
        <v/>
      </c>
      <c r="K195" s="2" t="str">
        <f>IF(A195="","",IFERROR(AVERAGEIFS(Assignments!$AO:$AO,Assignments!$B:$B,A195,Assignments!$E:$E,"Completed"),""))</f>
        <v/>
      </c>
      <c r="L195" s="2" t="str">
        <f>IF($A195="","",IFERROR(COUNTIFS(Assignments!$B$6:$B$1000,$A195,Assignments!$E$6:$E$1000,"Cancelled")/MAX(1,COUNTIFS(Assignments!$B$6:$B$1000,$A195,Assignments!$E$6:$E$1000,"Completed")+COUNTIFS(Assignments!$B$6:$B$1000,$A195,Assignments!$E$6:$E$1000,"Cancelled")),""))</f>
        <v/>
      </c>
      <c r="M195" s="2" t="str">
        <f>IF($A195="","",IFERROR(AVERAGEIFS(Assignments!$P$6:$P$1000,Assignments!$B$6:$B$1000,$A195,Assignments!$E$6:$E$1000,"Completed"),""))</f>
        <v/>
      </c>
      <c r="N195" s="2"/>
      <c r="O195" s="2"/>
      <c r="P195" s="1" t="str">
        <f>IF(A195="","",MAX(0,MIN(3,SUMIFS(Strike_Log!$C:$C,Strike_Log!$B:$B,A195,Strike_Log!$A:$A,"&gt;="&amp;IF(Config!$B$1004="Y",TODAY()-Config!$B$1005,DATE(1900,1,1)),Strike_Log!$I:$I,1))))</f>
        <v/>
      </c>
      <c r="Q195" s="1">
        <f t="shared" si="3"/>
        <v>0</v>
      </c>
      <c r="R195" s="1" t="str">
        <f>IF(A195="","",IFERROR(AVERAGEIFS(Assignments!$J:$J,Assignments!$B:$B,A195,Assignments!$E:$E,"Completed"),""))</f>
        <v/>
      </c>
      <c r="S195" s="1" t="str">
        <f>IF(A195="","",COUNTIFS(Assignments!$B:$B,A195,Assignments!$AE:$AE, "Y",Assignments!$D:$D,"&gt;="&amp;TODAY()-30))</f>
        <v/>
      </c>
      <c r="T195" s="1" t="str">
        <f>IF(A195="","",COUNTIFS(Assignments!$AF:$AF,A195,Assignments!$AE:$AE, "Y",Assignments!$D:$D,"&gt;="&amp;TODAY()-30))</f>
        <v/>
      </c>
      <c r="U195" s="1" t="str">
        <f>IF(A195="","",IFERROR(S195/MAX(1,COUNTIFS(Assignments!$B:$B,A195,Assignments!$D:$D,"&gt;="&amp;TODAY()-30)),""))</f>
        <v/>
      </c>
      <c r="V195" s="1" t="str">
        <f t="shared" si="4"/>
        <v/>
      </c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 t="str">
        <f>IF($A196="","",IFERROR(AVERAGEIFS(Assignments!$N$6:$N$1000,Assignments!$B$6:$B$1000,$A196,Assignments!$E$6:$E$1000,"Completed"),""))</f>
        <v/>
      </c>
      <c r="K196" s="2" t="str">
        <f>IF(A196="","",IFERROR(AVERAGEIFS(Assignments!$AO:$AO,Assignments!$B:$B,A196,Assignments!$E:$E,"Completed"),""))</f>
        <v/>
      </c>
      <c r="L196" s="2" t="str">
        <f>IF($A196="","",IFERROR(COUNTIFS(Assignments!$B$6:$B$1000,$A196,Assignments!$E$6:$E$1000,"Cancelled")/MAX(1,COUNTIFS(Assignments!$B$6:$B$1000,$A196,Assignments!$E$6:$E$1000,"Completed")+COUNTIFS(Assignments!$B$6:$B$1000,$A196,Assignments!$E$6:$E$1000,"Cancelled")),""))</f>
        <v/>
      </c>
      <c r="M196" s="2" t="str">
        <f>IF($A196="","",IFERROR(AVERAGEIFS(Assignments!$P$6:$P$1000,Assignments!$B$6:$B$1000,$A196,Assignments!$E$6:$E$1000,"Completed"),""))</f>
        <v/>
      </c>
      <c r="N196" s="2"/>
      <c r="O196" s="2"/>
      <c r="P196" s="1" t="str">
        <f>IF(A196="","",MAX(0,MIN(3,SUMIFS(Strike_Log!$C:$C,Strike_Log!$B:$B,A196,Strike_Log!$A:$A,"&gt;="&amp;IF(Config!$B$1004="Y",TODAY()-Config!$B$1005,DATE(1900,1,1)),Strike_Log!$I:$I,1))))</f>
        <v/>
      </c>
      <c r="Q196" s="1">
        <f t="shared" si="3"/>
        <v>0</v>
      </c>
      <c r="R196" s="1" t="str">
        <f>IF(A196="","",IFERROR(AVERAGEIFS(Assignments!$J:$J,Assignments!$B:$B,A196,Assignments!$E:$E,"Completed"),""))</f>
        <v/>
      </c>
      <c r="S196" s="1" t="str">
        <f>IF(A196="","",COUNTIFS(Assignments!$B:$B,A196,Assignments!$AE:$AE, "Y",Assignments!$D:$D,"&gt;="&amp;TODAY()-30))</f>
        <v/>
      </c>
      <c r="T196" s="1" t="str">
        <f>IF(A196="","",COUNTIFS(Assignments!$AF:$AF,A196,Assignments!$AE:$AE, "Y",Assignments!$D:$D,"&gt;="&amp;TODAY()-30))</f>
        <v/>
      </c>
      <c r="U196" s="1" t="str">
        <f>IF(A196="","",IFERROR(S196/MAX(1,COUNTIFS(Assignments!$B:$B,A196,Assignments!$D:$D,"&gt;="&amp;TODAY()-30)),""))</f>
        <v/>
      </c>
      <c r="V196" s="1" t="str">
        <f t="shared" si="4"/>
        <v/>
      </c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 t="str">
        <f>IF($A197="","",IFERROR(AVERAGEIFS(Assignments!$N$6:$N$1000,Assignments!$B$6:$B$1000,$A197,Assignments!$E$6:$E$1000,"Completed"),""))</f>
        <v/>
      </c>
      <c r="K197" s="2" t="str">
        <f>IF(A197="","",IFERROR(AVERAGEIFS(Assignments!$AO:$AO,Assignments!$B:$B,A197,Assignments!$E:$E,"Completed"),""))</f>
        <v/>
      </c>
      <c r="L197" s="2" t="str">
        <f>IF($A197="","",IFERROR(COUNTIFS(Assignments!$B$6:$B$1000,$A197,Assignments!$E$6:$E$1000,"Cancelled")/MAX(1,COUNTIFS(Assignments!$B$6:$B$1000,$A197,Assignments!$E$6:$E$1000,"Completed")+COUNTIFS(Assignments!$B$6:$B$1000,$A197,Assignments!$E$6:$E$1000,"Cancelled")),""))</f>
        <v/>
      </c>
      <c r="M197" s="2" t="str">
        <f>IF($A197="","",IFERROR(AVERAGEIFS(Assignments!$P$6:$P$1000,Assignments!$B$6:$B$1000,$A197,Assignments!$E$6:$E$1000,"Completed"),""))</f>
        <v/>
      </c>
      <c r="N197" s="2"/>
      <c r="O197" s="2"/>
      <c r="P197" s="1" t="str">
        <f>IF(A197="","",MAX(0,MIN(3,SUMIFS(Strike_Log!$C:$C,Strike_Log!$B:$B,A197,Strike_Log!$A:$A,"&gt;="&amp;IF(Config!$B$1004="Y",TODAY()-Config!$B$1005,DATE(1900,1,1)),Strike_Log!$I:$I,1))))</f>
        <v/>
      </c>
      <c r="Q197" s="1">
        <f t="shared" si="3"/>
        <v>0</v>
      </c>
      <c r="R197" s="1" t="str">
        <f>IF(A197="","",IFERROR(AVERAGEIFS(Assignments!$J:$J,Assignments!$B:$B,A197,Assignments!$E:$E,"Completed"),""))</f>
        <v/>
      </c>
      <c r="S197" s="1" t="str">
        <f>IF(A197="","",COUNTIFS(Assignments!$B:$B,A197,Assignments!$AE:$AE, "Y",Assignments!$D:$D,"&gt;="&amp;TODAY()-30))</f>
        <v/>
      </c>
      <c r="T197" s="1" t="str">
        <f>IF(A197="","",COUNTIFS(Assignments!$AF:$AF,A197,Assignments!$AE:$AE, "Y",Assignments!$D:$D,"&gt;="&amp;TODAY()-30))</f>
        <v/>
      </c>
      <c r="U197" s="1" t="str">
        <f>IF(A197="","",IFERROR(S197/MAX(1,COUNTIFS(Assignments!$B:$B,A197,Assignments!$D:$D,"&gt;="&amp;TODAY()-30)),""))</f>
        <v/>
      </c>
      <c r="V197" s="1" t="str">
        <f t="shared" si="4"/>
        <v/>
      </c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 t="str">
        <f>IF($A198="","",IFERROR(AVERAGEIFS(Assignments!$N$6:$N$1000,Assignments!$B$6:$B$1000,$A198,Assignments!$E$6:$E$1000,"Completed"),""))</f>
        <v/>
      </c>
      <c r="K198" s="2" t="str">
        <f>IF(A198="","",IFERROR(AVERAGEIFS(Assignments!$AO:$AO,Assignments!$B:$B,A198,Assignments!$E:$E,"Completed"),""))</f>
        <v/>
      </c>
      <c r="L198" s="2" t="str">
        <f>IF($A198="","",IFERROR(COUNTIFS(Assignments!$B$6:$B$1000,$A198,Assignments!$E$6:$E$1000,"Cancelled")/MAX(1,COUNTIFS(Assignments!$B$6:$B$1000,$A198,Assignments!$E$6:$E$1000,"Completed")+COUNTIFS(Assignments!$B$6:$B$1000,$A198,Assignments!$E$6:$E$1000,"Cancelled")),""))</f>
        <v/>
      </c>
      <c r="M198" s="2" t="str">
        <f>IF($A198="","",IFERROR(AVERAGEIFS(Assignments!$P$6:$P$1000,Assignments!$B$6:$B$1000,$A198,Assignments!$E$6:$E$1000,"Completed"),""))</f>
        <v/>
      </c>
      <c r="N198" s="2"/>
      <c r="O198" s="2"/>
      <c r="P198" s="1" t="str">
        <f>IF(A198="","",MAX(0,MIN(3,SUMIFS(Strike_Log!$C:$C,Strike_Log!$B:$B,A198,Strike_Log!$A:$A,"&gt;="&amp;IF(Config!$B$1004="Y",TODAY()-Config!$B$1005,DATE(1900,1,1)),Strike_Log!$I:$I,1))))</f>
        <v/>
      </c>
      <c r="Q198" s="1">
        <f t="shared" si="3"/>
        <v>0</v>
      </c>
      <c r="R198" s="1" t="str">
        <f>IF(A198="","",IFERROR(AVERAGEIFS(Assignments!$J:$J,Assignments!$B:$B,A198,Assignments!$E:$E,"Completed"),""))</f>
        <v/>
      </c>
      <c r="S198" s="1" t="str">
        <f>IF(A198="","",COUNTIFS(Assignments!$B:$B,A198,Assignments!$AE:$AE, "Y",Assignments!$D:$D,"&gt;="&amp;TODAY()-30))</f>
        <v/>
      </c>
      <c r="T198" s="1" t="str">
        <f>IF(A198="","",COUNTIFS(Assignments!$AF:$AF,A198,Assignments!$AE:$AE, "Y",Assignments!$D:$D,"&gt;="&amp;TODAY()-30))</f>
        <v/>
      </c>
      <c r="U198" s="1" t="str">
        <f>IF(A198="","",IFERROR(S198/MAX(1,COUNTIFS(Assignments!$B:$B,A198,Assignments!$D:$D,"&gt;="&amp;TODAY()-30)),""))</f>
        <v/>
      </c>
      <c r="V198" s="1" t="str">
        <f t="shared" si="4"/>
        <v/>
      </c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 t="str">
        <f>IF($A199="","",IFERROR(AVERAGEIFS(Assignments!$N$6:$N$1000,Assignments!$B$6:$B$1000,$A199,Assignments!$E$6:$E$1000,"Completed"),""))</f>
        <v/>
      </c>
      <c r="K199" s="2" t="str">
        <f>IF(A199="","",IFERROR(AVERAGEIFS(Assignments!$AO:$AO,Assignments!$B:$B,A199,Assignments!$E:$E,"Completed"),""))</f>
        <v/>
      </c>
      <c r="L199" s="2" t="str">
        <f>IF($A199="","",IFERROR(COUNTIFS(Assignments!$B$6:$B$1000,$A199,Assignments!$E$6:$E$1000,"Cancelled")/MAX(1,COUNTIFS(Assignments!$B$6:$B$1000,$A199,Assignments!$E$6:$E$1000,"Completed")+COUNTIFS(Assignments!$B$6:$B$1000,$A199,Assignments!$E$6:$E$1000,"Cancelled")),""))</f>
        <v/>
      </c>
      <c r="M199" s="2" t="str">
        <f>IF($A199="","",IFERROR(AVERAGEIFS(Assignments!$P$6:$P$1000,Assignments!$B$6:$B$1000,$A199,Assignments!$E$6:$E$1000,"Completed"),""))</f>
        <v/>
      </c>
      <c r="N199" s="2"/>
      <c r="O199" s="2"/>
      <c r="P199" s="1" t="str">
        <f>IF(A199="","",MAX(0,MIN(3,SUMIFS(Strike_Log!$C:$C,Strike_Log!$B:$B,A199,Strike_Log!$A:$A,"&gt;="&amp;IF(Config!$B$1004="Y",TODAY()-Config!$B$1005,DATE(1900,1,1)),Strike_Log!$I:$I,1))))</f>
        <v/>
      </c>
      <c r="Q199" s="1">
        <f t="shared" si="3"/>
        <v>0</v>
      </c>
      <c r="R199" s="1" t="str">
        <f>IF(A199="","",IFERROR(AVERAGEIFS(Assignments!$J:$J,Assignments!$B:$B,A199,Assignments!$E:$E,"Completed"),""))</f>
        <v/>
      </c>
      <c r="S199" s="1" t="str">
        <f>IF(A199="","",COUNTIFS(Assignments!$B:$B,A199,Assignments!$AE:$AE, "Y",Assignments!$D:$D,"&gt;="&amp;TODAY()-30))</f>
        <v/>
      </c>
      <c r="T199" s="1" t="str">
        <f>IF(A199="","",COUNTIFS(Assignments!$AF:$AF,A199,Assignments!$AE:$AE, "Y",Assignments!$D:$D,"&gt;="&amp;TODAY()-30))</f>
        <v/>
      </c>
      <c r="U199" s="1" t="str">
        <f>IF(A199="","",IFERROR(S199/MAX(1,COUNTIFS(Assignments!$B:$B,A199,Assignments!$D:$D,"&gt;="&amp;TODAY()-30)),""))</f>
        <v/>
      </c>
      <c r="V199" s="1" t="str">
        <f t="shared" si="4"/>
        <v/>
      </c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 t="str">
        <f>IF($A200="","",IFERROR(AVERAGEIFS(Assignments!$N$6:$N$1000,Assignments!$B$6:$B$1000,$A200,Assignments!$E$6:$E$1000,"Completed"),""))</f>
        <v/>
      </c>
      <c r="K200" s="2" t="str">
        <f>IF(A200="","",IFERROR(AVERAGEIFS(Assignments!$AO:$AO,Assignments!$B:$B,A200,Assignments!$E:$E,"Completed"),""))</f>
        <v/>
      </c>
      <c r="L200" s="2" t="str">
        <f>IF($A200="","",IFERROR(COUNTIFS(Assignments!$B$6:$B$1000,$A200,Assignments!$E$6:$E$1000,"Cancelled")/MAX(1,COUNTIFS(Assignments!$B$6:$B$1000,$A200,Assignments!$E$6:$E$1000,"Completed")+COUNTIFS(Assignments!$B$6:$B$1000,$A200,Assignments!$E$6:$E$1000,"Cancelled")),""))</f>
        <v/>
      </c>
      <c r="M200" s="2" t="str">
        <f>IF($A200="","",IFERROR(AVERAGEIFS(Assignments!$P$6:$P$1000,Assignments!$B$6:$B$1000,$A200,Assignments!$E$6:$E$1000,"Completed"),""))</f>
        <v/>
      </c>
      <c r="N200" s="2"/>
      <c r="O200" s="2"/>
      <c r="P200" s="1" t="str">
        <f>IF(A200="","",MAX(0,MIN(3,SUMIFS(Strike_Log!$C:$C,Strike_Log!$B:$B,A200,Strike_Log!$A:$A,"&gt;="&amp;IF(Config!$B$1004="Y",TODAY()-Config!$B$1005,DATE(1900,1,1)),Strike_Log!$I:$I,1))))</f>
        <v/>
      </c>
      <c r="Q200" s="1">
        <f t="shared" si="3"/>
        <v>0</v>
      </c>
      <c r="R200" s="1" t="str">
        <f>IF(A200="","",IFERROR(AVERAGEIFS(Assignments!$J:$J,Assignments!$B:$B,A200,Assignments!$E:$E,"Completed"),""))</f>
        <v/>
      </c>
      <c r="S200" s="1" t="str">
        <f>IF(A200="","",COUNTIFS(Assignments!$B:$B,A200,Assignments!$AE:$AE, "Y",Assignments!$D:$D,"&gt;="&amp;TODAY()-30))</f>
        <v/>
      </c>
      <c r="T200" s="1" t="str">
        <f>IF(A200="","",COUNTIFS(Assignments!$AF:$AF,A200,Assignments!$AE:$AE, "Y",Assignments!$D:$D,"&gt;="&amp;TODAY()-30))</f>
        <v/>
      </c>
      <c r="U200" s="1" t="str">
        <f>IF(A200="","",IFERROR(S200/MAX(1,COUNTIFS(Assignments!$B:$B,A200,Assignments!$D:$D,"&gt;="&amp;TODAY()-30)),""))</f>
        <v/>
      </c>
      <c r="V200" s="1" t="str">
        <f t="shared" si="4"/>
        <v/>
      </c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 t="str">
        <f>IF($A201="","",IFERROR(AVERAGEIFS(Assignments!$N$6:$N$1000,Assignments!$B$6:$B$1000,$A201,Assignments!$E$6:$E$1000,"Completed"),""))</f>
        <v/>
      </c>
      <c r="K201" s="2" t="str">
        <f>IF(A201="","",IFERROR(AVERAGEIFS(Assignments!$AO:$AO,Assignments!$B:$B,A201,Assignments!$E:$E,"Completed"),""))</f>
        <v/>
      </c>
      <c r="L201" s="2" t="str">
        <f>IF($A201="","",IFERROR(COUNTIFS(Assignments!$B$6:$B$1000,$A201,Assignments!$E$6:$E$1000,"Cancelled")/MAX(1,COUNTIFS(Assignments!$B$6:$B$1000,$A201,Assignments!$E$6:$E$1000,"Completed")+COUNTIFS(Assignments!$B$6:$B$1000,$A201,Assignments!$E$6:$E$1000,"Cancelled")),""))</f>
        <v/>
      </c>
      <c r="M201" s="2" t="str">
        <f>IF($A201="","",IFERROR(AVERAGEIFS(Assignments!$P$6:$P$1000,Assignments!$B$6:$B$1000,$A201,Assignments!$E$6:$E$1000,"Completed"),""))</f>
        <v/>
      </c>
      <c r="N201" s="2"/>
      <c r="O201" s="2"/>
      <c r="P201" s="1" t="str">
        <f>IF(A201="","",MAX(0,MIN(3,SUMIFS(Strike_Log!$C:$C,Strike_Log!$B:$B,A201,Strike_Log!$A:$A,"&gt;="&amp;IF(Config!$B$1004="Y",TODAY()-Config!$B$1005,DATE(1900,1,1)),Strike_Log!$I:$I,1))))</f>
        <v/>
      </c>
      <c r="Q201" s="1">
        <f t="shared" si="3"/>
        <v>0</v>
      </c>
      <c r="R201" s="1" t="str">
        <f>IF(A201="","",IFERROR(AVERAGEIFS(Assignments!$J:$J,Assignments!$B:$B,A201,Assignments!$E:$E,"Completed"),""))</f>
        <v/>
      </c>
      <c r="S201" s="1" t="str">
        <f>IF(A201="","",COUNTIFS(Assignments!$B:$B,A201,Assignments!$AE:$AE, "Y",Assignments!$D:$D,"&gt;="&amp;TODAY()-30))</f>
        <v/>
      </c>
      <c r="T201" s="1" t="str">
        <f>IF(A201="","",COUNTIFS(Assignments!$AF:$AF,A201,Assignments!$AE:$AE, "Y",Assignments!$D:$D,"&gt;="&amp;TODAY()-30))</f>
        <v/>
      </c>
      <c r="U201" s="1" t="str">
        <f>IF(A201="","",IFERROR(S201/MAX(1,COUNTIFS(Assignments!$B:$B,A201,Assignments!$D:$D,"&gt;="&amp;TODAY()-30)),""))</f>
        <v/>
      </c>
      <c r="V201" s="1" t="str">
        <f t="shared" si="4"/>
        <v/>
      </c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 t="str">
        <f>IF($A202="","",IFERROR(AVERAGEIFS(Assignments!$N$6:$N$1000,Assignments!$B$6:$B$1000,$A202,Assignments!$E$6:$E$1000,"Completed"),""))</f>
        <v/>
      </c>
      <c r="K202" s="2" t="str">
        <f>IF(A202="","",IFERROR(AVERAGEIFS(Assignments!$AO:$AO,Assignments!$B:$B,A202,Assignments!$E:$E,"Completed"),""))</f>
        <v/>
      </c>
      <c r="L202" s="2" t="str">
        <f>IF($A202="","",IFERROR(COUNTIFS(Assignments!$B$6:$B$1000,$A202,Assignments!$E$6:$E$1000,"Cancelled")/MAX(1,COUNTIFS(Assignments!$B$6:$B$1000,$A202,Assignments!$E$6:$E$1000,"Completed")+COUNTIFS(Assignments!$B$6:$B$1000,$A202,Assignments!$E$6:$E$1000,"Cancelled")),""))</f>
        <v/>
      </c>
      <c r="M202" s="2" t="str">
        <f>IF($A202="","",IFERROR(AVERAGEIFS(Assignments!$P$6:$P$1000,Assignments!$B$6:$B$1000,$A202,Assignments!$E$6:$E$1000,"Completed"),""))</f>
        <v/>
      </c>
      <c r="N202" s="2"/>
      <c r="O202" s="2"/>
      <c r="P202" s="1" t="str">
        <f>IF(A202="","",MAX(0,MIN(3,SUMIFS(Strike_Log!$C:$C,Strike_Log!$B:$B,A202,Strike_Log!$A:$A,"&gt;="&amp;IF(Config!$B$1004="Y",TODAY()-Config!$B$1005,DATE(1900,1,1)),Strike_Log!$I:$I,1))))</f>
        <v/>
      </c>
      <c r="Q202" s="1">
        <f t="shared" si="3"/>
        <v>0</v>
      </c>
      <c r="R202" s="1" t="str">
        <f>IF(A202="","",IFERROR(AVERAGEIFS(Assignments!$J:$J,Assignments!$B:$B,A202,Assignments!$E:$E,"Completed"),""))</f>
        <v/>
      </c>
      <c r="S202" s="1" t="str">
        <f>IF(A202="","",COUNTIFS(Assignments!$B:$B,A202,Assignments!$AE:$AE, "Y",Assignments!$D:$D,"&gt;="&amp;TODAY()-30))</f>
        <v/>
      </c>
      <c r="T202" s="1" t="str">
        <f>IF(A202="","",COUNTIFS(Assignments!$AF:$AF,A202,Assignments!$AE:$AE, "Y",Assignments!$D:$D,"&gt;="&amp;TODAY()-30))</f>
        <v/>
      </c>
      <c r="U202" s="1" t="str">
        <f>IF(A202="","",IFERROR(S202/MAX(1,COUNTIFS(Assignments!$B:$B,A202,Assignments!$D:$D,"&gt;="&amp;TODAY()-30)),""))</f>
        <v/>
      </c>
      <c r="V202" s="1" t="str">
        <f t="shared" si="4"/>
        <v/>
      </c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 t="str">
        <f>IF($A203="","",IFERROR(AVERAGEIFS(Assignments!$N$6:$N$1000,Assignments!$B$6:$B$1000,$A203,Assignments!$E$6:$E$1000,"Completed"),""))</f>
        <v/>
      </c>
      <c r="K203" s="2" t="str">
        <f>IF(A203="","",IFERROR(AVERAGEIFS(Assignments!$AO:$AO,Assignments!$B:$B,A203,Assignments!$E:$E,"Completed"),""))</f>
        <v/>
      </c>
      <c r="L203" s="2" t="str">
        <f>IF($A203="","",IFERROR(COUNTIFS(Assignments!$B$6:$B$1000,$A203,Assignments!$E$6:$E$1000,"Cancelled")/MAX(1,COUNTIFS(Assignments!$B$6:$B$1000,$A203,Assignments!$E$6:$E$1000,"Completed")+COUNTIFS(Assignments!$B$6:$B$1000,$A203,Assignments!$E$6:$E$1000,"Cancelled")),""))</f>
        <v/>
      </c>
      <c r="M203" s="2" t="str">
        <f>IF($A203="","",IFERROR(AVERAGEIFS(Assignments!$P$6:$P$1000,Assignments!$B$6:$B$1000,$A203,Assignments!$E$6:$E$1000,"Completed"),""))</f>
        <v/>
      </c>
      <c r="N203" s="2"/>
      <c r="O203" s="2"/>
      <c r="P203" s="1" t="str">
        <f>IF(A203="","",MAX(0,MIN(3,SUMIFS(Strike_Log!$C:$C,Strike_Log!$B:$B,A203,Strike_Log!$A:$A,"&gt;="&amp;IF(Config!$B$1004="Y",TODAY()-Config!$B$1005,DATE(1900,1,1)),Strike_Log!$I:$I,1))))</f>
        <v/>
      </c>
      <c r="Q203" s="1">
        <f t="shared" si="3"/>
        <v>0</v>
      </c>
      <c r="R203" s="1" t="str">
        <f>IF(A203="","",IFERROR(AVERAGEIFS(Assignments!$J:$J,Assignments!$B:$B,A203,Assignments!$E:$E,"Completed"),""))</f>
        <v/>
      </c>
      <c r="S203" s="1" t="str">
        <f>IF(A203="","",COUNTIFS(Assignments!$B:$B,A203,Assignments!$AE:$AE, "Y",Assignments!$D:$D,"&gt;="&amp;TODAY()-30))</f>
        <v/>
      </c>
      <c r="T203" s="1" t="str">
        <f>IF(A203="","",COUNTIFS(Assignments!$AF:$AF,A203,Assignments!$AE:$AE, "Y",Assignments!$D:$D,"&gt;="&amp;TODAY()-30))</f>
        <v/>
      </c>
      <c r="U203" s="1" t="str">
        <f>IF(A203="","",IFERROR(S203/MAX(1,COUNTIFS(Assignments!$B:$B,A203,Assignments!$D:$D,"&gt;="&amp;TODAY()-30)),""))</f>
        <v/>
      </c>
      <c r="V203" s="1" t="str">
        <f t="shared" si="4"/>
        <v/>
      </c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 t="str">
        <f>IF($A204="","",IFERROR(AVERAGEIFS(Assignments!$N$6:$N$1000,Assignments!$B$6:$B$1000,$A204,Assignments!$E$6:$E$1000,"Completed"),""))</f>
        <v/>
      </c>
      <c r="K204" s="2" t="str">
        <f>IF(A204="","",IFERROR(AVERAGEIFS(Assignments!$AO:$AO,Assignments!$B:$B,A204,Assignments!$E:$E,"Completed"),""))</f>
        <v/>
      </c>
      <c r="L204" s="2" t="str">
        <f>IF($A204="","",IFERROR(COUNTIFS(Assignments!$B$6:$B$1000,$A204,Assignments!$E$6:$E$1000,"Cancelled")/MAX(1,COUNTIFS(Assignments!$B$6:$B$1000,$A204,Assignments!$E$6:$E$1000,"Completed")+COUNTIFS(Assignments!$B$6:$B$1000,$A204,Assignments!$E$6:$E$1000,"Cancelled")),""))</f>
        <v/>
      </c>
      <c r="M204" s="2" t="str">
        <f>IF($A204="","",IFERROR(AVERAGEIFS(Assignments!$P$6:$P$1000,Assignments!$B$6:$B$1000,$A204,Assignments!$E$6:$E$1000,"Completed"),""))</f>
        <v/>
      </c>
      <c r="N204" s="2"/>
      <c r="O204" s="2"/>
      <c r="P204" s="1" t="str">
        <f>IF(A204="","",MAX(0,MIN(3,SUMIFS(Strike_Log!$C:$C,Strike_Log!$B:$B,A204,Strike_Log!$A:$A,"&gt;="&amp;IF(Config!$B$1004="Y",TODAY()-Config!$B$1005,DATE(1900,1,1)),Strike_Log!$I:$I,1))))</f>
        <v/>
      </c>
      <c r="Q204" s="1">
        <f t="shared" si="3"/>
        <v>0</v>
      </c>
      <c r="R204" s="1" t="str">
        <f>IF(A204="","",IFERROR(AVERAGEIFS(Assignments!$J:$J,Assignments!$B:$B,A204,Assignments!$E:$E,"Completed"),""))</f>
        <v/>
      </c>
      <c r="S204" s="1" t="str">
        <f>IF(A204="","",COUNTIFS(Assignments!$B:$B,A204,Assignments!$AE:$AE, "Y",Assignments!$D:$D,"&gt;="&amp;TODAY()-30))</f>
        <v/>
      </c>
      <c r="T204" s="1" t="str">
        <f>IF(A204="","",COUNTIFS(Assignments!$AF:$AF,A204,Assignments!$AE:$AE, "Y",Assignments!$D:$D,"&gt;="&amp;TODAY()-30))</f>
        <v/>
      </c>
      <c r="U204" s="1" t="str">
        <f>IF(A204="","",IFERROR(S204/MAX(1,COUNTIFS(Assignments!$B:$B,A204,Assignments!$D:$D,"&gt;="&amp;TODAY()-30)),""))</f>
        <v/>
      </c>
      <c r="V204" s="1" t="str">
        <f t="shared" si="4"/>
        <v/>
      </c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 t="str">
        <f>IF($A205="","",IFERROR(AVERAGEIFS(Assignments!$N$6:$N$1000,Assignments!$B$6:$B$1000,$A205,Assignments!$E$6:$E$1000,"Completed"),""))</f>
        <v/>
      </c>
      <c r="K205" s="2" t="str">
        <f>IF(A205="","",IFERROR(AVERAGEIFS(Assignments!$AO:$AO,Assignments!$B:$B,A205,Assignments!$E:$E,"Completed"),""))</f>
        <v/>
      </c>
      <c r="L205" s="2" t="str">
        <f>IF($A205="","",IFERROR(COUNTIFS(Assignments!$B$6:$B$1000,$A205,Assignments!$E$6:$E$1000,"Cancelled")/MAX(1,COUNTIFS(Assignments!$B$6:$B$1000,$A205,Assignments!$E$6:$E$1000,"Completed")+COUNTIFS(Assignments!$B$6:$B$1000,$A205,Assignments!$E$6:$E$1000,"Cancelled")),""))</f>
        <v/>
      </c>
      <c r="M205" s="2" t="str">
        <f>IF($A205="","",IFERROR(AVERAGEIFS(Assignments!$P$6:$P$1000,Assignments!$B$6:$B$1000,$A205,Assignments!$E$6:$E$1000,"Completed"),""))</f>
        <v/>
      </c>
      <c r="N205" s="2"/>
      <c r="O205" s="2"/>
      <c r="P205" s="1" t="str">
        <f>IF(A205="","",MAX(0,MIN(3,SUMIFS(Strike_Log!$C:$C,Strike_Log!$B:$B,A205,Strike_Log!$A:$A,"&gt;="&amp;IF(Config!$B$1004="Y",TODAY()-Config!$B$1005,DATE(1900,1,1)),Strike_Log!$I:$I,1))))</f>
        <v/>
      </c>
      <c r="Q205" s="1">
        <f t="shared" si="3"/>
        <v>0</v>
      </c>
      <c r="R205" s="1" t="str">
        <f>IF(A205="","",IFERROR(AVERAGEIFS(Assignments!$J:$J,Assignments!$B:$B,A205,Assignments!$E:$E,"Completed"),""))</f>
        <v/>
      </c>
      <c r="S205" s="1" t="str">
        <f>IF(A205="","",COUNTIFS(Assignments!$B:$B,A205,Assignments!$AE:$AE, "Y",Assignments!$D:$D,"&gt;="&amp;TODAY()-30))</f>
        <v/>
      </c>
      <c r="T205" s="1" t="str">
        <f>IF(A205="","",COUNTIFS(Assignments!$AF:$AF,A205,Assignments!$AE:$AE, "Y",Assignments!$D:$D,"&gt;="&amp;TODAY()-30))</f>
        <v/>
      </c>
      <c r="U205" s="1" t="str">
        <f>IF(A205="","",IFERROR(S205/MAX(1,COUNTIFS(Assignments!$B:$B,A205,Assignments!$D:$D,"&gt;="&amp;TODAY()-30)),""))</f>
        <v/>
      </c>
      <c r="V205" s="1" t="str">
        <f t="shared" si="4"/>
        <v/>
      </c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 t="str">
        <f>IF($A206="","",IFERROR(AVERAGEIFS(Assignments!$N$6:$N$1000,Assignments!$B$6:$B$1000,$A206,Assignments!$E$6:$E$1000,"Completed"),""))</f>
        <v/>
      </c>
      <c r="K206" s="2" t="str">
        <f>IF(A206="","",IFERROR(AVERAGEIFS(Assignments!$AO:$AO,Assignments!$B:$B,A206,Assignments!$E:$E,"Completed"),""))</f>
        <v/>
      </c>
      <c r="L206" s="2" t="str">
        <f>IF($A206="","",IFERROR(COUNTIFS(Assignments!$B$6:$B$1000,$A206,Assignments!$E$6:$E$1000,"Cancelled")/MAX(1,COUNTIFS(Assignments!$B$6:$B$1000,$A206,Assignments!$E$6:$E$1000,"Completed")+COUNTIFS(Assignments!$B$6:$B$1000,$A206,Assignments!$E$6:$E$1000,"Cancelled")),""))</f>
        <v/>
      </c>
      <c r="M206" s="2" t="str">
        <f>IF($A206="","",IFERROR(AVERAGEIFS(Assignments!$P$6:$P$1000,Assignments!$B$6:$B$1000,$A206,Assignments!$E$6:$E$1000,"Completed"),""))</f>
        <v/>
      </c>
      <c r="N206" s="2"/>
      <c r="O206" s="2"/>
      <c r="P206" s="1" t="str">
        <f>IF(A206="","",MAX(0,MIN(3,SUMIFS(Strike_Log!$C:$C,Strike_Log!$B:$B,A206,Strike_Log!$A:$A,"&gt;="&amp;IF(Config!$B$1004="Y",TODAY()-Config!$B$1005,DATE(1900,1,1)),Strike_Log!$I:$I,1))))</f>
        <v/>
      </c>
      <c r="Q206" s="1">
        <f t="shared" si="3"/>
        <v>0</v>
      </c>
      <c r="R206" s="1" t="str">
        <f>IF(A206="","",IFERROR(AVERAGEIFS(Assignments!$J:$J,Assignments!$B:$B,A206,Assignments!$E:$E,"Completed"),""))</f>
        <v/>
      </c>
      <c r="S206" s="1" t="str">
        <f>IF(A206="","",COUNTIFS(Assignments!$B:$B,A206,Assignments!$AE:$AE, "Y",Assignments!$D:$D,"&gt;="&amp;TODAY()-30))</f>
        <v/>
      </c>
      <c r="T206" s="1" t="str">
        <f>IF(A206="","",COUNTIFS(Assignments!$AF:$AF,A206,Assignments!$AE:$AE, "Y",Assignments!$D:$D,"&gt;="&amp;TODAY()-30))</f>
        <v/>
      </c>
      <c r="U206" s="1" t="str">
        <f>IF(A206="","",IFERROR(S206/MAX(1,COUNTIFS(Assignments!$B:$B,A206,Assignments!$D:$D,"&gt;="&amp;TODAY()-30)),""))</f>
        <v/>
      </c>
      <c r="V206" s="1" t="str">
        <f t="shared" si="4"/>
        <v/>
      </c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 t="str">
        <f>IF($A207="","",IFERROR(AVERAGEIFS(Assignments!$N$6:$N$1000,Assignments!$B$6:$B$1000,$A207,Assignments!$E$6:$E$1000,"Completed"),""))</f>
        <v/>
      </c>
      <c r="K207" s="2" t="str">
        <f>IF(A207="","",IFERROR(AVERAGEIFS(Assignments!$AO:$AO,Assignments!$B:$B,A207,Assignments!$E:$E,"Completed"),""))</f>
        <v/>
      </c>
      <c r="L207" s="2" t="str">
        <f>IF($A207="","",IFERROR(COUNTIFS(Assignments!$B$6:$B$1000,$A207,Assignments!$E$6:$E$1000,"Cancelled")/MAX(1,COUNTIFS(Assignments!$B$6:$B$1000,$A207,Assignments!$E$6:$E$1000,"Completed")+COUNTIFS(Assignments!$B$6:$B$1000,$A207,Assignments!$E$6:$E$1000,"Cancelled")),""))</f>
        <v/>
      </c>
      <c r="M207" s="2" t="str">
        <f>IF($A207="","",IFERROR(AVERAGEIFS(Assignments!$P$6:$P$1000,Assignments!$B$6:$B$1000,$A207,Assignments!$E$6:$E$1000,"Completed"),""))</f>
        <v/>
      </c>
      <c r="N207" s="2"/>
      <c r="O207" s="2"/>
      <c r="P207" s="1" t="str">
        <f>IF(A207="","",MAX(0,MIN(3,SUMIFS(Strike_Log!$C:$C,Strike_Log!$B:$B,A207,Strike_Log!$A:$A,"&gt;="&amp;IF(Config!$B$1004="Y",TODAY()-Config!$B$1005,DATE(1900,1,1)),Strike_Log!$I:$I,1))))</f>
        <v/>
      </c>
      <c r="Q207" s="1">
        <f t="shared" si="3"/>
        <v>0</v>
      </c>
      <c r="R207" s="1" t="str">
        <f>IF(A207="","",IFERROR(AVERAGEIFS(Assignments!$J:$J,Assignments!$B:$B,A207,Assignments!$E:$E,"Completed"),""))</f>
        <v/>
      </c>
      <c r="S207" s="1" t="str">
        <f>IF(A207="","",COUNTIFS(Assignments!$B:$B,A207,Assignments!$AE:$AE, "Y",Assignments!$D:$D,"&gt;="&amp;TODAY()-30))</f>
        <v/>
      </c>
      <c r="T207" s="1" t="str">
        <f>IF(A207="","",COUNTIFS(Assignments!$AF:$AF,A207,Assignments!$AE:$AE, "Y",Assignments!$D:$D,"&gt;="&amp;TODAY()-30))</f>
        <v/>
      </c>
      <c r="U207" s="1" t="str">
        <f>IF(A207="","",IFERROR(S207/MAX(1,COUNTIFS(Assignments!$B:$B,A207,Assignments!$D:$D,"&gt;="&amp;TODAY()-30)),""))</f>
        <v/>
      </c>
      <c r="V207" s="1" t="str">
        <f t="shared" si="4"/>
        <v/>
      </c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 t="str">
        <f>IF($A208="","",IFERROR(AVERAGEIFS(Assignments!$N$6:$N$1000,Assignments!$B$6:$B$1000,$A208,Assignments!$E$6:$E$1000,"Completed"),""))</f>
        <v/>
      </c>
      <c r="K208" s="2" t="str">
        <f>IF(A208="","",IFERROR(AVERAGEIFS(Assignments!$AO:$AO,Assignments!$B:$B,A208,Assignments!$E:$E,"Completed"),""))</f>
        <v/>
      </c>
      <c r="L208" s="2" t="str">
        <f>IF($A208="","",IFERROR(COUNTIFS(Assignments!$B$6:$B$1000,$A208,Assignments!$E$6:$E$1000,"Cancelled")/MAX(1,COUNTIFS(Assignments!$B$6:$B$1000,$A208,Assignments!$E$6:$E$1000,"Completed")+COUNTIFS(Assignments!$B$6:$B$1000,$A208,Assignments!$E$6:$E$1000,"Cancelled")),""))</f>
        <v/>
      </c>
      <c r="M208" s="2" t="str">
        <f>IF($A208="","",IFERROR(AVERAGEIFS(Assignments!$P$6:$P$1000,Assignments!$B$6:$B$1000,$A208,Assignments!$E$6:$E$1000,"Completed"),""))</f>
        <v/>
      </c>
      <c r="N208" s="2"/>
      <c r="O208" s="2"/>
      <c r="P208" s="1" t="str">
        <f>IF(A208="","",MAX(0,MIN(3,SUMIFS(Strike_Log!$C:$C,Strike_Log!$B:$B,A208,Strike_Log!$A:$A,"&gt;="&amp;IF(Config!$B$1004="Y",TODAY()-Config!$B$1005,DATE(1900,1,1)),Strike_Log!$I:$I,1))))</f>
        <v/>
      </c>
      <c r="Q208" s="1">
        <f t="shared" si="3"/>
        <v>0</v>
      </c>
      <c r="R208" s="1" t="str">
        <f>IF(A208="","",IFERROR(AVERAGEIFS(Assignments!$J:$J,Assignments!$B:$B,A208,Assignments!$E:$E,"Completed"),""))</f>
        <v/>
      </c>
      <c r="S208" s="1" t="str">
        <f>IF(A208="","",COUNTIFS(Assignments!$B:$B,A208,Assignments!$AE:$AE, "Y",Assignments!$D:$D,"&gt;="&amp;TODAY()-30))</f>
        <v/>
      </c>
      <c r="T208" s="1" t="str">
        <f>IF(A208="","",COUNTIFS(Assignments!$AF:$AF,A208,Assignments!$AE:$AE, "Y",Assignments!$D:$D,"&gt;="&amp;TODAY()-30))</f>
        <v/>
      </c>
      <c r="U208" s="1" t="str">
        <f>IF(A208="","",IFERROR(S208/MAX(1,COUNTIFS(Assignments!$B:$B,A208,Assignments!$D:$D,"&gt;="&amp;TODAY()-30)),""))</f>
        <v/>
      </c>
      <c r="V208" s="1" t="str">
        <f t="shared" si="4"/>
        <v/>
      </c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 t="str">
        <f>IF($A209="","",IFERROR(AVERAGEIFS(Assignments!$N$6:$N$1000,Assignments!$B$6:$B$1000,$A209,Assignments!$E$6:$E$1000,"Completed"),""))</f>
        <v/>
      </c>
      <c r="K209" s="2" t="str">
        <f>IF(A209="","",IFERROR(AVERAGEIFS(Assignments!$AO:$AO,Assignments!$B:$B,A209,Assignments!$E:$E,"Completed"),""))</f>
        <v/>
      </c>
      <c r="L209" s="2" t="str">
        <f>IF($A209="","",IFERROR(COUNTIFS(Assignments!$B$6:$B$1000,$A209,Assignments!$E$6:$E$1000,"Cancelled")/MAX(1,COUNTIFS(Assignments!$B$6:$B$1000,$A209,Assignments!$E$6:$E$1000,"Completed")+COUNTIFS(Assignments!$B$6:$B$1000,$A209,Assignments!$E$6:$E$1000,"Cancelled")),""))</f>
        <v/>
      </c>
      <c r="M209" s="2" t="str">
        <f>IF($A209="","",IFERROR(AVERAGEIFS(Assignments!$P$6:$P$1000,Assignments!$B$6:$B$1000,$A209,Assignments!$E$6:$E$1000,"Completed"),""))</f>
        <v/>
      </c>
      <c r="N209" s="2"/>
      <c r="O209" s="2"/>
      <c r="P209" s="1" t="str">
        <f>IF(A209="","",MAX(0,MIN(3,SUMIFS(Strike_Log!$C:$C,Strike_Log!$B:$B,A209,Strike_Log!$A:$A,"&gt;="&amp;IF(Config!$B$1004="Y",TODAY()-Config!$B$1005,DATE(1900,1,1)),Strike_Log!$I:$I,1))))</f>
        <v/>
      </c>
      <c r="Q209" s="1">
        <f t="shared" si="3"/>
        <v>0</v>
      </c>
      <c r="R209" s="1" t="str">
        <f>IF(A209="","",IFERROR(AVERAGEIFS(Assignments!$J:$J,Assignments!$B:$B,A209,Assignments!$E:$E,"Completed"),""))</f>
        <v/>
      </c>
      <c r="S209" s="1" t="str">
        <f>IF(A209="","",COUNTIFS(Assignments!$B:$B,A209,Assignments!$AE:$AE, "Y",Assignments!$D:$D,"&gt;="&amp;TODAY()-30))</f>
        <v/>
      </c>
      <c r="T209" s="1" t="str">
        <f>IF(A209="","",COUNTIFS(Assignments!$AF:$AF,A209,Assignments!$AE:$AE, "Y",Assignments!$D:$D,"&gt;="&amp;TODAY()-30))</f>
        <v/>
      </c>
      <c r="U209" s="1" t="str">
        <f>IF(A209="","",IFERROR(S209/MAX(1,COUNTIFS(Assignments!$B:$B,A209,Assignments!$D:$D,"&gt;="&amp;TODAY()-30)),""))</f>
        <v/>
      </c>
      <c r="V209" s="1" t="str">
        <f t="shared" si="4"/>
        <v/>
      </c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 t="str">
        <f>IF($A210="","",IFERROR(AVERAGEIFS(Assignments!$N$6:$N$1000,Assignments!$B$6:$B$1000,$A210,Assignments!$E$6:$E$1000,"Completed"),""))</f>
        <v/>
      </c>
      <c r="K210" s="2" t="str">
        <f>IF(A210="","",IFERROR(AVERAGEIFS(Assignments!$AO:$AO,Assignments!$B:$B,A210,Assignments!$E:$E,"Completed"),""))</f>
        <v/>
      </c>
      <c r="L210" s="2" t="str">
        <f>IF($A210="","",IFERROR(COUNTIFS(Assignments!$B$6:$B$1000,$A210,Assignments!$E$6:$E$1000,"Cancelled")/MAX(1,COUNTIFS(Assignments!$B$6:$B$1000,$A210,Assignments!$E$6:$E$1000,"Completed")+COUNTIFS(Assignments!$B$6:$B$1000,$A210,Assignments!$E$6:$E$1000,"Cancelled")),""))</f>
        <v/>
      </c>
      <c r="M210" s="2" t="str">
        <f>IF($A210="","",IFERROR(AVERAGEIFS(Assignments!$P$6:$P$1000,Assignments!$B$6:$B$1000,$A210,Assignments!$E$6:$E$1000,"Completed"),""))</f>
        <v/>
      </c>
      <c r="N210" s="2"/>
      <c r="O210" s="2"/>
      <c r="P210" s="1" t="str">
        <f>IF(A210="","",MAX(0,MIN(3,SUMIFS(Strike_Log!$C:$C,Strike_Log!$B:$B,A210,Strike_Log!$A:$A,"&gt;="&amp;IF(Config!$B$1004="Y",TODAY()-Config!$B$1005,DATE(1900,1,1)),Strike_Log!$I:$I,1))))</f>
        <v/>
      </c>
      <c r="Q210" s="1">
        <f t="shared" si="3"/>
        <v>0</v>
      </c>
      <c r="R210" s="1" t="str">
        <f>IF(A210="","",IFERROR(AVERAGEIFS(Assignments!$J:$J,Assignments!$B:$B,A210,Assignments!$E:$E,"Completed"),""))</f>
        <v/>
      </c>
      <c r="S210" s="1" t="str">
        <f>IF(A210="","",COUNTIFS(Assignments!$B:$B,A210,Assignments!$AE:$AE, "Y",Assignments!$D:$D,"&gt;="&amp;TODAY()-30))</f>
        <v/>
      </c>
      <c r="T210" s="1" t="str">
        <f>IF(A210="","",COUNTIFS(Assignments!$AF:$AF,A210,Assignments!$AE:$AE, "Y",Assignments!$D:$D,"&gt;="&amp;TODAY()-30))</f>
        <v/>
      </c>
      <c r="U210" s="1" t="str">
        <f>IF(A210="","",IFERROR(S210/MAX(1,COUNTIFS(Assignments!$B:$B,A210,Assignments!$D:$D,"&gt;="&amp;TODAY()-30)),""))</f>
        <v/>
      </c>
      <c r="V210" s="1" t="str">
        <f t="shared" si="4"/>
        <v/>
      </c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 t="str">
        <f>IF($A211="","",IFERROR(AVERAGEIFS(Assignments!$N$6:$N$1000,Assignments!$B$6:$B$1000,$A211,Assignments!$E$6:$E$1000,"Completed"),""))</f>
        <v/>
      </c>
      <c r="K211" s="2" t="str">
        <f>IF(A211="","",IFERROR(AVERAGEIFS(Assignments!$AO:$AO,Assignments!$B:$B,A211,Assignments!$E:$E,"Completed"),""))</f>
        <v/>
      </c>
      <c r="L211" s="2" t="str">
        <f>IF($A211="","",IFERROR(COUNTIFS(Assignments!$B$6:$B$1000,$A211,Assignments!$E$6:$E$1000,"Cancelled")/MAX(1,COUNTIFS(Assignments!$B$6:$B$1000,$A211,Assignments!$E$6:$E$1000,"Completed")+COUNTIFS(Assignments!$B$6:$B$1000,$A211,Assignments!$E$6:$E$1000,"Cancelled")),""))</f>
        <v/>
      </c>
      <c r="M211" s="2" t="str">
        <f>IF($A211="","",IFERROR(AVERAGEIFS(Assignments!$P$6:$P$1000,Assignments!$B$6:$B$1000,$A211,Assignments!$E$6:$E$1000,"Completed"),""))</f>
        <v/>
      </c>
      <c r="N211" s="2"/>
      <c r="O211" s="2"/>
      <c r="P211" s="1" t="str">
        <f>IF(A211="","",MAX(0,MIN(3,SUMIFS(Strike_Log!$C:$C,Strike_Log!$B:$B,A211,Strike_Log!$A:$A,"&gt;="&amp;IF(Config!$B$1004="Y",TODAY()-Config!$B$1005,DATE(1900,1,1)),Strike_Log!$I:$I,1))))</f>
        <v/>
      </c>
      <c r="Q211" s="1">
        <f t="shared" si="3"/>
        <v>0</v>
      </c>
      <c r="R211" s="1" t="str">
        <f>IF(A211="","",IFERROR(AVERAGEIFS(Assignments!$J:$J,Assignments!$B:$B,A211,Assignments!$E:$E,"Completed"),""))</f>
        <v/>
      </c>
      <c r="S211" s="1" t="str">
        <f>IF(A211="","",COUNTIFS(Assignments!$B:$B,A211,Assignments!$AE:$AE, "Y",Assignments!$D:$D,"&gt;="&amp;TODAY()-30))</f>
        <v/>
      </c>
      <c r="T211" s="1" t="str">
        <f>IF(A211="","",COUNTIFS(Assignments!$AF:$AF,A211,Assignments!$AE:$AE, "Y",Assignments!$D:$D,"&gt;="&amp;TODAY()-30))</f>
        <v/>
      </c>
      <c r="U211" s="1" t="str">
        <f>IF(A211="","",IFERROR(S211/MAX(1,COUNTIFS(Assignments!$B:$B,A211,Assignments!$D:$D,"&gt;="&amp;TODAY()-30)),""))</f>
        <v/>
      </c>
      <c r="V211" s="1" t="str">
        <f t="shared" si="4"/>
        <v/>
      </c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 t="str">
        <f>IF($A212="","",IFERROR(AVERAGEIFS(Assignments!$N$6:$N$1000,Assignments!$B$6:$B$1000,$A212,Assignments!$E$6:$E$1000,"Completed"),""))</f>
        <v/>
      </c>
      <c r="K212" s="2" t="str">
        <f>IF(A212="","",IFERROR(AVERAGEIFS(Assignments!$AO:$AO,Assignments!$B:$B,A212,Assignments!$E:$E,"Completed"),""))</f>
        <v/>
      </c>
      <c r="L212" s="2" t="str">
        <f>IF($A212="","",IFERROR(COUNTIFS(Assignments!$B$6:$B$1000,$A212,Assignments!$E$6:$E$1000,"Cancelled")/MAX(1,COUNTIFS(Assignments!$B$6:$B$1000,$A212,Assignments!$E$6:$E$1000,"Completed")+COUNTIFS(Assignments!$B$6:$B$1000,$A212,Assignments!$E$6:$E$1000,"Cancelled")),""))</f>
        <v/>
      </c>
      <c r="M212" s="2" t="str">
        <f>IF($A212="","",IFERROR(AVERAGEIFS(Assignments!$P$6:$P$1000,Assignments!$B$6:$B$1000,$A212,Assignments!$E$6:$E$1000,"Completed"),""))</f>
        <v/>
      </c>
      <c r="N212" s="2"/>
      <c r="O212" s="2"/>
      <c r="P212" s="1" t="str">
        <f>IF(A212="","",MAX(0,MIN(3,SUMIFS(Strike_Log!$C:$C,Strike_Log!$B:$B,A212,Strike_Log!$A:$A,"&gt;="&amp;IF(Config!$B$1004="Y",TODAY()-Config!$B$1005,DATE(1900,1,1)),Strike_Log!$I:$I,1))))</f>
        <v/>
      </c>
      <c r="Q212" s="1">
        <f t="shared" si="3"/>
        <v>0</v>
      </c>
      <c r="R212" s="1" t="str">
        <f>IF(A212="","",IFERROR(AVERAGEIFS(Assignments!$J:$J,Assignments!$B:$B,A212,Assignments!$E:$E,"Completed"),""))</f>
        <v/>
      </c>
      <c r="S212" s="1" t="str">
        <f>IF(A212="","",COUNTIFS(Assignments!$B:$B,A212,Assignments!$AE:$AE, "Y",Assignments!$D:$D,"&gt;="&amp;TODAY()-30))</f>
        <v/>
      </c>
      <c r="T212" s="1" t="str">
        <f>IF(A212="","",COUNTIFS(Assignments!$AF:$AF,A212,Assignments!$AE:$AE, "Y",Assignments!$D:$D,"&gt;="&amp;TODAY()-30))</f>
        <v/>
      </c>
      <c r="U212" s="1" t="str">
        <f>IF(A212="","",IFERROR(S212/MAX(1,COUNTIFS(Assignments!$B:$B,A212,Assignments!$D:$D,"&gt;="&amp;TODAY()-30)),""))</f>
        <v/>
      </c>
      <c r="V212" s="1" t="str">
        <f t="shared" si="4"/>
        <v/>
      </c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 t="str">
        <f>IF($A213="","",IFERROR(AVERAGEIFS(Assignments!$N$6:$N$1000,Assignments!$B$6:$B$1000,$A213,Assignments!$E$6:$E$1000,"Completed"),""))</f>
        <v/>
      </c>
      <c r="K213" s="2" t="str">
        <f>IF(A213="","",IFERROR(AVERAGEIFS(Assignments!$AO:$AO,Assignments!$B:$B,A213,Assignments!$E:$E,"Completed"),""))</f>
        <v/>
      </c>
      <c r="L213" s="2" t="str">
        <f>IF($A213="","",IFERROR(COUNTIFS(Assignments!$B$6:$B$1000,$A213,Assignments!$E$6:$E$1000,"Cancelled")/MAX(1,COUNTIFS(Assignments!$B$6:$B$1000,$A213,Assignments!$E$6:$E$1000,"Completed")+COUNTIFS(Assignments!$B$6:$B$1000,$A213,Assignments!$E$6:$E$1000,"Cancelled")),""))</f>
        <v/>
      </c>
      <c r="M213" s="2" t="str">
        <f>IF($A213="","",IFERROR(AVERAGEIFS(Assignments!$P$6:$P$1000,Assignments!$B$6:$B$1000,$A213,Assignments!$E$6:$E$1000,"Completed"),""))</f>
        <v/>
      </c>
      <c r="N213" s="2"/>
      <c r="O213" s="2"/>
      <c r="P213" s="1" t="str">
        <f>IF(A213="","",MAX(0,MIN(3,SUMIFS(Strike_Log!$C:$C,Strike_Log!$B:$B,A213,Strike_Log!$A:$A,"&gt;="&amp;IF(Config!$B$1004="Y",TODAY()-Config!$B$1005,DATE(1900,1,1)),Strike_Log!$I:$I,1))))</f>
        <v/>
      </c>
      <c r="Q213" s="1">
        <f t="shared" si="3"/>
        <v>0</v>
      </c>
      <c r="R213" s="1" t="str">
        <f>IF(A213="","",IFERROR(AVERAGEIFS(Assignments!$J:$J,Assignments!$B:$B,A213,Assignments!$E:$E,"Completed"),""))</f>
        <v/>
      </c>
      <c r="S213" s="1" t="str">
        <f>IF(A213="","",COUNTIFS(Assignments!$B:$B,A213,Assignments!$AE:$AE, "Y",Assignments!$D:$D,"&gt;="&amp;TODAY()-30))</f>
        <v/>
      </c>
      <c r="T213" s="1" t="str">
        <f>IF(A213="","",COUNTIFS(Assignments!$AF:$AF,A213,Assignments!$AE:$AE, "Y",Assignments!$D:$D,"&gt;="&amp;TODAY()-30))</f>
        <v/>
      </c>
      <c r="U213" s="1" t="str">
        <f>IF(A213="","",IFERROR(S213/MAX(1,COUNTIFS(Assignments!$B:$B,A213,Assignments!$D:$D,"&gt;="&amp;TODAY()-30)),""))</f>
        <v/>
      </c>
      <c r="V213" s="1" t="str">
        <f t="shared" si="4"/>
        <v/>
      </c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 t="str">
        <f>IF($A214="","",IFERROR(AVERAGEIFS(Assignments!$N$6:$N$1000,Assignments!$B$6:$B$1000,$A214,Assignments!$E$6:$E$1000,"Completed"),""))</f>
        <v/>
      </c>
      <c r="K214" s="2" t="str">
        <f>IF(A214="","",IFERROR(AVERAGEIFS(Assignments!$AO:$AO,Assignments!$B:$B,A214,Assignments!$E:$E,"Completed"),""))</f>
        <v/>
      </c>
      <c r="L214" s="2" t="str">
        <f>IF($A214="","",IFERROR(COUNTIFS(Assignments!$B$6:$B$1000,$A214,Assignments!$E$6:$E$1000,"Cancelled")/MAX(1,COUNTIFS(Assignments!$B$6:$B$1000,$A214,Assignments!$E$6:$E$1000,"Completed")+COUNTIFS(Assignments!$B$6:$B$1000,$A214,Assignments!$E$6:$E$1000,"Cancelled")),""))</f>
        <v/>
      </c>
      <c r="M214" s="2" t="str">
        <f>IF($A214="","",IFERROR(AVERAGEIFS(Assignments!$P$6:$P$1000,Assignments!$B$6:$B$1000,$A214,Assignments!$E$6:$E$1000,"Completed"),""))</f>
        <v/>
      </c>
      <c r="N214" s="2"/>
      <c r="O214" s="2"/>
      <c r="P214" s="1" t="str">
        <f>IF(A214="","",MAX(0,MIN(3,SUMIFS(Strike_Log!$C:$C,Strike_Log!$B:$B,A214,Strike_Log!$A:$A,"&gt;="&amp;IF(Config!$B$1004="Y",TODAY()-Config!$B$1005,DATE(1900,1,1)),Strike_Log!$I:$I,1))))</f>
        <v/>
      </c>
      <c r="Q214" s="1">
        <f t="shared" si="3"/>
        <v>0</v>
      </c>
      <c r="R214" s="1" t="str">
        <f>IF(A214="","",IFERROR(AVERAGEIFS(Assignments!$J:$J,Assignments!$B:$B,A214,Assignments!$E:$E,"Completed"),""))</f>
        <v/>
      </c>
      <c r="S214" s="1" t="str">
        <f>IF(A214="","",COUNTIFS(Assignments!$B:$B,A214,Assignments!$AE:$AE, "Y",Assignments!$D:$D,"&gt;="&amp;TODAY()-30))</f>
        <v/>
      </c>
      <c r="T214" s="1" t="str">
        <f>IF(A214="","",COUNTIFS(Assignments!$AF:$AF,A214,Assignments!$AE:$AE, "Y",Assignments!$D:$D,"&gt;="&amp;TODAY()-30))</f>
        <v/>
      </c>
      <c r="U214" s="1" t="str">
        <f>IF(A214="","",IFERROR(S214/MAX(1,COUNTIFS(Assignments!$B:$B,A214,Assignments!$D:$D,"&gt;="&amp;TODAY()-30)),""))</f>
        <v/>
      </c>
      <c r="V214" s="1" t="str">
        <f t="shared" si="4"/>
        <v/>
      </c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 t="str">
        <f>IF($A215="","",IFERROR(AVERAGEIFS(Assignments!$N$6:$N$1000,Assignments!$B$6:$B$1000,$A215,Assignments!$E$6:$E$1000,"Completed"),""))</f>
        <v/>
      </c>
      <c r="K215" s="2" t="str">
        <f>IF(A215="","",IFERROR(AVERAGEIFS(Assignments!$AO:$AO,Assignments!$B:$B,A215,Assignments!$E:$E,"Completed"),""))</f>
        <v/>
      </c>
      <c r="L215" s="2" t="str">
        <f>IF($A215="","",IFERROR(COUNTIFS(Assignments!$B$6:$B$1000,$A215,Assignments!$E$6:$E$1000,"Cancelled")/MAX(1,COUNTIFS(Assignments!$B$6:$B$1000,$A215,Assignments!$E$6:$E$1000,"Completed")+COUNTIFS(Assignments!$B$6:$B$1000,$A215,Assignments!$E$6:$E$1000,"Cancelled")),""))</f>
        <v/>
      </c>
      <c r="M215" s="2" t="str">
        <f>IF($A215="","",IFERROR(AVERAGEIFS(Assignments!$P$6:$P$1000,Assignments!$B$6:$B$1000,$A215,Assignments!$E$6:$E$1000,"Completed"),""))</f>
        <v/>
      </c>
      <c r="N215" s="2"/>
      <c r="O215" s="2"/>
      <c r="P215" s="1" t="str">
        <f>IF(A215="","",MAX(0,MIN(3,SUMIFS(Strike_Log!$C:$C,Strike_Log!$B:$B,A215,Strike_Log!$A:$A,"&gt;="&amp;IF(Config!$B$1004="Y",TODAY()-Config!$B$1005,DATE(1900,1,1)),Strike_Log!$I:$I,1))))</f>
        <v/>
      </c>
      <c r="Q215" s="1">
        <f t="shared" si="3"/>
        <v>0</v>
      </c>
      <c r="R215" s="1" t="str">
        <f>IF(A215="","",IFERROR(AVERAGEIFS(Assignments!$J:$J,Assignments!$B:$B,A215,Assignments!$E:$E,"Completed"),""))</f>
        <v/>
      </c>
      <c r="S215" s="1" t="str">
        <f>IF(A215="","",COUNTIFS(Assignments!$B:$B,A215,Assignments!$AE:$AE, "Y",Assignments!$D:$D,"&gt;="&amp;TODAY()-30))</f>
        <v/>
      </c>
      <c r="T215" s="1" t="str">
        <f>IF(A215="","",COUNTIFS(Assignments!$AF:$AF,A215,Assignments!$AE:$AE, "Y",Assignments!$D:$D,"&gt;="&amp;TODAY()-30))</f>
        <v/>
      </c>
      <c r="U215" s="1" t="str">
        <f>IF(A215="","",IFERROR(S215/MAX(1,COUNTIFS(Assignments!$B:$B,A215,Assignments!$D:$D,"&gt;="&amp;TODAY()-30)),""))</f>
        <v/>
      </c>
      <c r="V215" s="1" t="str">
        <f t="shared" si="4"/>
        <v/>
      </c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 t="str">
        <f>IF($A216="","",IFERROR(AVERAGEIFS(Assignments!$N$6:$N$1000,Assignments!$B$6:$B$1000,$A216,Assignments!$E$6:$E$1000,"Completed"),""))</f>
        <v/>
      </c>
      <c r="K216" s="2" t="str">
        <f>IF(A216="","",IFERROR(AVERAGEIFS(Assignments!$AO:$AO,Assignments!$B:$B,A216,Assignments!$E:$E,"Completed"),""))</f>
        <v/>
      </c>
      <c r="L216" s="2" t="str">
        <f>IF($A216="","",IFERROR(COUNTIFS(Assignments!$B$6:$B$1000,$A216,Assignments!$E$6:$E$1000,"Cancelled")/MAX(1,COUNTIFS(Assignments!$B$6:$B$1000,$A216,Assignments!$E$6:$E$1000,"Completed")+COUNTIFS(Assignments!$B$6:$B$1000,$A216,Assignments!$E$6:$E$1000,"Cancelled")),""))</f>
        <v/>
      </c>
      <c r="M216" s="2" t="str">
        <f>IF($A216="","",IFERROR(AVERAGEIFS(Assignments!$P$6:$P$1000,Assignments!$B$6:$B$1000,$A216,Assignments!$E$6:$E$1000,"Completed"),""))</f>
        <v/>
      </c>
      <c r="N216" s="2"/>
      <c r="O216" s="2"/>
      <c r="P216" s="1" t="str">
        <f>IF(A216="","",MAX(0,MIN(3,SUMIFS(Strike_Log!$C:$C,Strike_Log!$B:$B,A216,Strike_Log!$A:$A,"&gt;="&amp;IF(Config!$B$1004="Y",TODAY()-Config!$B$1005,DATE(1900,1,1)),Strike_Log!$I:$I,1))))</f>
        <v/>
      </c>
      <c r="Q216" s="1">
        <f t="shared" si="3"/>
        <v>0</v>
      </c>
      <c r="R216" s="1" t="str">
        <f>IF(A216="","",IFERROR(AVERAGEIFS(Assignments!$J:$J,Assignments!$B:$B,A216,Assignments!$E:$E,"Completed"),""))</f>
        <v/>
      </c>
      <c r="S216" s="1" t="str">
        <f>IF(A216="","",COUNTIFS(Assignments!$B:$B,A216,Assignments!$AE:$AE, "Y",Assignments!$D:$D,"&gt;="&amp;TODAY()-30))</f>
        <v/>
      </c>
      <c r="T216" s="1" t="str">
        <f>IF(A216="","",COUNTIFS(Assignments!$AF:$AF,A216,Assignments!$AE:$AE, "Y",Assignments!$D:$D,"&gt;="&amp;TODAY()-30))</f>
        <v/>
      </c>
      <c r="U216" s="1" t="str">
        <f>IF(A216="","",IFERROR(S216/MAX(1,COUNTIFS(Assignments!$B:$B,A216,Assignments!$D:$D,"&gt;="&amp;TODAY()-30)),""))</f>
        <v/>
      </c>
      <c r="V216" s="1" t="str">
        <f t="shared" si="4"/>
        <v/>
      </c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 t="str">
        <f>IF($A217="","",IFERROR(AVERAGEIFS(Assignments!$N$6:$N$1000,Assignments!$B$6:$B$1000,$A217,Assignments!$E$6:$E$1000,"Completed"),""))</f>
        <v/>
      </c>
      <c r="K217" s="2" t="str">
        <f>IF(A217="","",IFERROR(AVERAGEIFS(Assignments!$AO:$AO,Assignments!$B:$B,A217,Assignments!$E:$E,"Completed"),""))</f>
        <v/>
      </c>
      <c r="L217" s="2" t="str">
        <f>IF($A217="","",IFERROR(COUNTIFS(Assignments!$B$6:$B$1000,$A217,Assignments!$E$6:$E$1000,"Cancelled")/MAX(1,COUNTIFS(Assignments!$B$6:$B$1000,$A217,Assignments!$E$6:$E$1000,"Completed")+COUNTIFS(Assignments!$B$6:$B$1000,$A217,Assignments!$E$6:$E$1000,"Cancelled")),""))</f>
        <v/>
      </c>
      <c r="M217" s="2" t="str">
        <f>IF($A217="","",IFERROR(AVERAGEIFS(Assignments!$P$6:$P$1000,Assignments!$B$6:$B$1000,$A217,Assignments!$E$6:$E$1000,"Completed"),""))</f>
        <v/>
      </c>
      <c r="N217" s="2"/>
      <c r="O217" s="2"/>
      <c r="P217" s="1" t="str">
        <f>IF(A217="","",MAX(0,MIN(3,SUMIFS(Strike_Log!$C:$C,Strike_Log!$B:$B,A217,Strike_Log!$A:$A,"&gt;="&amp;IF(Config!$B$1004="Y",TODAY()-Config!$B$1005,DATE(1900,1,1)),Strike_Log!$I:$I,1))))</f>
        <v/>
      </c>
      <c r="Q217" s="1">
        <f t="shared" si="3"/>
        <v>0</v>
      </c>
      <c r="R217" s="1" t="str">
        <f>IF(A217="","",IFERROR(AVERAGEIFS(Assignments!$J:$J,Assignments!$B:$B,A217,Assignments!$E:$E,"Completed"),""))</f>
        <v/>
      </c>
      <c r="S217" s="1" t="str">
        <f>IF(A217="","",COUNTIFS(Assignments!$B:$B,A217,Assignments!$AE:$AE, "Y",Assignments!$D:$D,"&gt;="&amp;TODAY()-30))</f>
        <v/>
      </c>
      <c r="T217" s="1" t="str">
        <f>IF(A217="","",COUNTIFS(Assignments!$AF:$AF,A217,Assignments!$AE:$AE, "Y",Assignments!$D:$D,"&gt;="&amp;TODAY()-30))</f>
        <v/>
      </c>
      <c r="U217" s="1" t="str">
        <f>IF(A217="","",IFERROR(S217/MAX(1,COUNTIFS(Assignments!$B:$B,A217,Assignments!$D:$D,"&gt;="&amp;TODAY()-30)),""))</f>
        <v/>
      </c>
      <c r="V217" s="1" t="str">
        <f t="shared" si="4"/>
        <v/>
      </c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 t="str">
        <f>IF($A218="","",IFERROR(AVERAGEIFS(Assignments!$N$6:$N$1000,Assignments!$B$6:$B$1000,$A218,Assignments!$E$6:$E$1000,"Completed"),""))</f>
        <v/>
      </c>
      <c r="K218" s="2" t="str">
        <f>IF(A218="","",IFERROR(AVERAGEIFS(Assignments!$AO:$AO,Assignments!$B:$B,A218,Assignments!$E:$E,"Completed"),""))</f>
        <v/>
      </c>
      <c r="L218" s="2" t="str">
        <f>IF($A218="","",IFERROR(COUNTIFS(Assignments!$B$6:$B$1000,$A218,Assignments!$E$6:$E$1000,"Cancelled")/MAX(1,COUNTIFS(Assignments!$B$6:$B$1000,$A218,Assignments!$E$6:$E$1000,"Completed")+COUNTIFS(Assignments!$B$6:$B$1000,$A218,Assignments!$E$6:$E$1000,"Cancelled")),""))</f>
        <v/>
      </c>
      <c r="M218" s="2" t="str">
        <f>IF($A218="","",IFERROR(AVERAGEIFS(Assignments!$P$6:$P$1000,Assignments!$B$6:$B$1000,$A218,Assignments!$E$6:$E$1000,"Completed"),""))</f>
        <v/>
      </c>
      <c r="N218" s="2"/>
      <c r="O218" s="2"/>
      <c r="P218" s="1" t="str">
        <f>IF(A218="","",MAX(0,MIN(3,SUMIFS(Strike_Log!$C:$C,Strike_Log!$B:$B,A218,Strike_Log!$A:$A,"&gt;="&amp;IF(Config!$B$1004="Y",TODAY()-Config!$B$1005,DATE(1900,1,1)),Strike_Log!$I:$I,1))))</f>
        <v/>
      </c>
      <c r="Q218" s="1">
        <f t="shared" si="3"/>
        <v>0</v>
      </c>
      <c r="R218" s="1" t="str">
        <f>IF(A218="","",IFERROR(AVERAGEIFS(Assignments!$J:$J,Assignments!$B:$B,A218,Assignments!$E:$E,"Completed"),""))</f>
        <v/>
      </c>
      <c r="S218" s="1" t="str">
        <f>IF(A218="","",COUNTIFS(Assignments!$B:$B,A218,Assignments!$AE:$AE, "Y",Assignments!$D:$D,"&gt;="&amp;TODAY()-30))</f>
        <v/>
      </c>
      <c r="T218" s="1" t="str">
        <f>IF(A218="","",COUNTIFS(Assignments!$AF:$AF,A218,Assignments!$AE:$AE, "Y",Assignments!$D:$D,"&gt;="&amp;TODAY()-30))</f>
        <v/>
      </c>
      <c r="U218" s="1" t="str">
        <f>IF(A218="","",IFERROR(S218/MAX(1,COUNTIFS(Assignments!$B:$B,A218,Assignments!$D:$D,"&gt;="&amp;TODAY()-30)),""))</f>
        <v/>
      </c>
      <c r="V218" s="1" t="str">
        <f t="shared" si="4"/>
        <v/>
      </c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 t="str">
        <f>IF($A219="","",IFERROR(AVERAGEIFS(Assignments!$N$6:$N$1000,Assignments!$B$6:$B$1000,$A219,Assignments!$E$6:$E$1000,"Completed"),""))</f>
        <v/>
      </c>
      <c r="K219" s="2" t="str">
        <f>IF(A219="","",IFERROR(AVERAGEIFS(Assignments!$AO:$AO,Assignments!$B:$B,A219,Assignments!$E:$E,"Completed"),""))</f>
        <v/>
      </c>
      <c r="L219" s="2" t="str">
        <f>IF($A219="","",IFERROR(COUNTIFS(Assignments!$B$6:$B$1000,$A219,Assignments!$E$6:$E$1000,"Cancelled")/MAX(1,COUNTIFS(Assignments!$B$6:$B$1000,$A219,Assignments!$E$6:$E$1000,"Completed")+COUNTIFS(Assignments!$B$6:$B$1000,$A219,Assignments!$E$6:$E$1000,"Cancelled")),""))</f>
        <v/>
      </c>
      <c r="M219" s="2" t="str">
        <f>IF($A219="","",IFERROR(AVERAGEIFS(Assignments!$P$6:$P$1000,Assignments!$B$6:$B$1000,$A219,Assignments!$E$6:$E$1000,"Completed"),""))</f>
        <v/>
      </c>
      <c r="N219" s="2"/>
      <c r="O219" s="2"/>
      <c r="P219" s="1" t="str">
        <f>IF(A219="","",MAX(0,MIN(3,SUMIFS(Strike_Log!$C:$C,Strike_Log!$B:$B,A219,Strike_Log!$A:$A,"&gt;="&amp;IF(Config!$B$1004="Y",TODAY()-Config!$B$1005,DATE(1900,1,1)),Strike_Log!$I:$I,1))))</f>
        <v/>
      </c>
      <c r="Q219" s="1">
        <f t="shared" si="3"/>
        <v>0</v>
      </c>
      <c r="R219" s="1" t="str">
        <f>IF(A219="","",IFERROR(AVERAGEIFS(Assignments!$J:$J,Assignments!$B:$B,A219,Assignments!$E:$E,"Completed"),""))</f>
        <v/>
      </c>
      <c r="S219" s="1" t="str">
        <f>IF(A219="","",COUNTIFS(Assignments!$B:$B,A219,Assignments!$AE:$AE, "Y",Assignments!$D:$D,"&gt;="&amp;TODAY()-30))</f>
        <v/>
      </c>
      <c r="T219" s="1" t="str">
        <f>IF(A219="","",COUNTIFS(Assignments!$AF:$AF,A219,Assignments!$AE:$AE, "Y",Assignments!$D:$D,"&gt;="&amp;TODAY()-30))</f>
        <v/>
      </c>
      <c r="U219" s="1" t="str">
        <f>IF(A219="","",IFERROR(S219/MAX(1,COUNTIFS(Assignments!$B:$B,A219,Assignments!$D:$D,"&gt;="&amp;TODAY()-30)),""))</f>
        <v/>
      </c>
      <c r="V219" s="1" t="str">
        <f t="shared" si="4"/>
        <v/>
      </c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 t="str">
        <f>IF($A220="","",IFERROR(AVERAGEIFS(Assignments!$N$6:$N$1000,Assignments!$B$6:$B$1000,$A220,Assignments!$E$6:$E$1000,"Completed"),""))</f>
        <v/>
      </c>
      <c r="K220" s="2" t="str">
        <f>IF(A220="","",IFERROR(AVERAGEIFS(Assignments!$AO:$AO,Assignments!$B:$B,A220,Assignments!$E:$E,"Completed"),""))</f>
        <v/>
      </c>
      <c r="L220" s="2" t="str">
        <f>IF($A220="","",IFERROR(COUNTIFS(Assignments!$B$6:$B$1000,$A220,Assignments!$E$6:$E$1000,"Cancelled")/MAX(1,COUNTIFS(Assignments!$B$6:$B$1000,$A220,Assignments!$E$6:$E$1000,"Completed")+COUNTIFS(Assignments!$B$6:$B$1000,$A220,Assignments!$E$6:$E$1000,"Cancelled")),""))</f>
        <v/>
      </c>
      <c r="M220" s="2" t="str">
        <f>IF($A220="","",IFERROR(AVERAGEIFS(Assignments!$P$6:$P$1000,Assignments!$B$6:$B$1000,$A220,Assignments!$E$6:$E$1000,"Completed"),""))</f>
        <v/>
      </c>
      <c r="N220" s="2"/>
      <c r="O220" s="2"/>
      <c r="P220" s="1" t="str">
        <f>IF(A220="","",MAX(0,MIN(3,SUMIFS(Strike_Log!$C:$C,Strike_Log!$B:$B,A220,Strike_Log!$A:$A,"&gt;="&amp;IF(Config!$B$1004="Y",TODAY()-Config!$B$1005,DATE(1900,1,1)),Strike_Log!$I:$I,1))))</f>
        <v/>
      </c>
      <c r="Q220" s="1">
        <f t="shared" si="3"/>
        <v>0</v>
      </c>
      <c r="R220" s="1" t="str">
        <f>IF(A220="","",IFERROR(AVERAGEIFS(Assignments!$J:$J,Assignments!$B:$B,A220,Assignments!$E:$E,"Completed"),""))</f>
        <v/>
      </c>
      <c r="S220" s="1" t="str">
        <f>IF(A220="","",COUNTIFS(Assignments!$B:$B,A220,Assignments!$AE:$AE, "Y",Assignments!$D:$D,"&gt;="&amp;TODAY()-30))</f>
        <v/>
      </c>
      <c r="T220" s="1" t="str">
        <f>IF(A220="","",COUNTIFS(Assignments!$AF:$AF,A220,Assignments!$AE:$AE, "Y",Assignments!$D:$D,"&gt;="&amp;TODAY()-30))</f>
        <v/>
      </c>
      <c r="U220" s="1" t="str">
        <f>IF(A220="","",IFERROR(S220/MAX(1,COUNTIFS(Assignments!$B:$B,A220,Assignments!$D:$D,"&gt;="&amp;TODAY()-30)),""))</f>
        <v/>
      </c>
      <c r="V220" s="1" t="str">
        <f t="shared" si="4"/>
        <v/>
      </c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 t="str">
        <f>IF($A221="","",IFERROR(AVERAGEIFS(Assignments!$N$6:$N$1000,Assignments!$B$6:$B$1000,$A221,Assignments!$E$6:$E$1000,"Completed"),""))</f>
        <v/>
      </c>
      <c r="K221" s="2" t="str">
        <f>IF(A221="","",IFERROR(AVERAGEIFS(Assignments!$AO:$AO,Assignments!$B:$B,A221,Assignments!$E:$E,"Completed"),""))</f>
        <v/>
      </c>
      <c r="L221" s="2" t="str">
        <f>IF($A221="","",IFERROR(COUNTIFS(Assignments!$B$6:$B$1000,$A221,Assignments!$E$6:$E$1000,"Cancelled")/MAX(1,COUNTIFS(Assignments!$B$6:$B$1000,$A221,Assignments!$E$6:$E$1000,"Completed")+COUNTIFS(Assignments!$B$6:$B$1000,$A221,Assignments!$E$6:$E$1000,"Cancelled")),""))</f>
        <v/>
      </c>
      <c r="M221" s="2" t="str">
        <f>IF($A221="","",IFERROR(AVERAGEIFS(Assignments!$P$6:$P$1000,Assignments!$B$6:$B$1000,$A221,Assignments!$E$6:$E$1000,"Completed"),""))</f>
        <v/>
      </c>
      <c r="N221" s="2"/>
      <c r="O221" s="2"/>
      <c r="P221" s="1" t="str">
        <f>IF(A221="","",MAX(0,MIN(3,SUMIFS(Strike_Log!$C:$C,Strike_Log!$B:$B,A221,Strike_Log!$A:$A,"&gt;="&amp;IF(Config!$B$1004="Y",TODAY()-Config!$B$1005,DATE(1900,1,1)),Strike_Log!$I:$I,1))))</f>
        <v/>
      </c>
      <c r="Q221" s="1">
        <f t="shared" si="3"/>
        <v>0</v>
      </c>
      <c r="R221" s="1" t="str">
        <f>IF(A221="","",IFERROR(AVERAGEIFS(Assignments!$J:$J,Assignments!$B:$B,A221,Assignments!$E:$E,"Completed"),""))</f>
        <v/>
      </c>
      <c r="S221" s="1" t="str">
        <f>IF(A221="","",COUNTIFS(Assignments!$B:$B,A221,Assignments!$AE:$AE, "Y",Assignments!$D:$D,"&gt;="&amp;TODAY()-30))</f>
        <v/>
      </c>
      <c r="T221" s="1" t="str">
        <f>IF(A221="","",COUNTIFS(Assignments!$AF:$AF,A221,Assignments!$AE:$AE, "Y",Assignments!$D:$D,"&gt;="&amp;TODAY()-30))</f>
        <v/>
      </c>
      <c r="U221" s="1" t="str">
        <f>IF(A221="","",IFERROR(S221/MAX(1,COUNTIFS(Assignments!$B:$B,A221,Assignments!$D:$D,"&gt;="&amp;TODAY()-30)),""))</f>
        <v/>
      </c>
      <c r="V221" s="1" t="str">
        <f t="shared" si="4"/>
        <v/>
      </c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 t="str">
        <f>IF($A222="","",IFERROR(AVERAGEIFS(Assignments!$N$6:$N$1000,Assignments!$B$6:$B$1000,$A222,Assignments!$E$6:$E$1000,"Completed"),""))</f>
        <v/>
      </c>
      <c r="K222" s="2" t="str">
        <f>IF(A222="","",IFERROR(AVERAGEIFS(Assignments!$AO:$AO,Assignments!$B:$B,A222,Assignments!$E:$E,"Completed"),""))</f>
        <v/>
      </c>
      <c r="L222" s="2" t="str">
        <f>IF($A222="","",IFERROR(COUNTIFS(Assignments!$B$6:$B$1000,$A222,Assignments!$E$6:$E$1000,"Cancelled")/MAX(1,COUNTIFS(Assignments!$B$6:$B$1000,$A222,Assignments!$E$6:$E$1000,"Completed")+COUNTIFS(Assignments!$B$6:$B$1000,$A222,Assignments!$E$6:$E$1000,"Cancelled")),""))</f>
        <v/>
      </c>
      <c r="M222" s="2" t="str">
        <f>IF($A222="","",IFERROR(AVERAGEIFS(Assignments!$P$6:$P$1000,Assignments!$B$6:$B$1000,$A222,Assignments!$E$6:$E$1000,"Completed"),""))</f>
        <v/>
      </c>
      <c r="N222" s="2"/>
      <c r="O222" s="2"/>
      <c r="P222" s="1" t="str">
        <f>IF(A222="","",MAX(0,MIN(3,SUMIFS(Strike_Log!$C:$C,Strike_Log!$B:$B,A222,Strike_Log!$A:$A,"&gt;="&amp;IF(Config!$B$1004="Y",TODAY()-Config!$B$1005,DATE(1900,1,1)),Strike_Log!$I:$I,1))))</f>
        <v/>
      </c>
      <c r="Q222" s="1">
        <f t="shared" si="3"/>
        <v>0</v>
      </c>
      <c r="R222" s="1" t="str">
        <f>IF(A222="","",IFERROR(AVERAGEIFS(Assignments!$J:$J,Assignments!$B:$B,A222,Assignments!$E:$E,"Completed"),""))</f>
        <v/>
      </c>
      <c r="S222" s="1" t="str">
        <f>IF(A222="","",COUNTIFS(Assignments!$B:$B,A222,Assignments!$AE:$AE, "Y",Assignments!$D:$D,"&gt;="&amp;TODAY()-30))</f>
        <v/>
      </c>
      <c r="T222" s="1" t="str">
        <f>IF(A222="","",COUNTIFS(Assignments!$AF:$AF,A222,Assignments!$AE:$AE, "Y",Assignments!$D:$D,"&gt;="&amp;TODAY()-30))</f>
        <v/>
      </c>
      <c r="U222" s="1" t="str">
        <f>IF(A222="","",IFERROR(S222/MAX(1,COUNTIFS(Assignments!$B:$B,A222,Assignments!$D:$D,"&gt;="&amp;TODAY()-30)),""))</f>
        <v/>
      </c>
      <c r="V222" s="1" t="str">
        <f t="shared" si="4"/>
        <v/>
      </c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 t="str">
        <f>IF($A223="","",IFERROR(AVERAGEIFS(Assignments!$N$6:$N$1000,Assignments!$B$6:$B$1000,$A223,Assignments!$E$6:$E$1000,"Completed"),""))</f>
        <v/>
      </c>
      <c r="K223" s="2" t="str">
        <f>IF(A223="","",IFERROR(AVERAGEIFS(Assignments!$AO:$AO,Assignments!$B:$B,A223,Assignments!$E:$E,"Completed"),""))</f>
        <v/>
      </c>
      <c r="L223" s="2" t="str">
        <f>IF($A223="","",IFERROR(COUNTIFS(Assignments!$B$6:$B$1000,$A223,Assignments!$E$6:$E$1000,"Cancelled")/MAX(1,COUNTIFS(Assignments!$B$6:$B$1000,$A223,Assignments!$E$6:$E$1000,"Completed")+COUNTIFS(Assignments!$B$6:$B$1000,$A223,Assignments!$E$6:$E$1000,"Cancelled")),""))</f>
        <v/>
      </c>
      <c r="M223" s="2" t="str">
        <f>IF($A223="","",IFERROR(AVERAGEIFS(Assignments!$P$6:$P$1000,Assignments!$B$6:$B$1000,$A223,Assignments!$E$6:$E$1000,"Completed"),""))</f>
        <v/>
      </c>
      <c r="N223" s="2"/>
      <c r="O223" s="2"/>
      <c r="P223" s="1" t="str">
        <f>IF(A223="","",MAX(0,MIN(3,SUMIFS(Strike_Log!$C:$C,Strike_Log!$B:$B,A223,Strike_Log!$A:$A,"&gt;="&amp;IF(Config!$B$1004="Y",TODAY()-Config!$B$1005,DATE(1900,1,1)),Strike_Log!$I:$I,1))))</f>
        <v/>
      </c>
      <c r="Q223" s="1">
        <f t="shared" si="3"/>
        <v>0</v>
      </c>
      <c r="R223" s="1" t="str">
        <f>IF(A223="","",IFERROR(AVERAGEIFS(Assignments!$J:$J,Assignments!$B:$B,A223,Assignments!$E:$E,"Completed"),""))</f>
        <v/>
      </c>
      <c r="S223" s="1" t="str">
        <f>IF(A223="","",COUNTIFS(Assignments!$B:$B,A223,Assignments!$AE:$AE, "Y",Assignments!$D:$D,"&gt;="&amp;TODAY()-30))</f>
        <v/>
      </c>
      <c r="T223" s="1" t="str">
        <f>IF(A223="","",COUNTIFS(Assignments!$AF:$AF,A223,Assignments!$AE:$AE, "Y",Assignments!$D:$D,"&gt;="&amp;TODAY()-30))</f>
        <v/>
      </c>
      <c r="U223" s="1" t="str">
        <f>IF(A223="","",IFERROR(S223/MAX(1,COUNTIFS(Assignments!$B:$B,A223,Assignments!$D:$D,"&gt;="&amp;TODAY()-30)),""))</f>
        <v/>
      </c>
      <c r="V223" s="1" t="str">
        <f t="shared" si="4"/>
        <v/>
      </c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 t="str">
        <f>IF($A224="","",IFERROR(AVERAGEIFS(Assignments!$N$6:$N$1000,Assignments!$B$6:$B$1000,$A224,Assignments!$E$6:$E$1000,"Completed"),""))</f>
        <v/>
      </c>
      <c r="K224" s="2" t="str">
        <f>IF(A224="","",IFERROR(AVERAGEIFS(Assignments!$AO:$AO,Assignments!$B:$B,A224,Assignments!$E:$E,"Completed"),""))</f>
        <v/>
      </c>
      <c r="L224" s="2" t="str">
        <f>IF($A224="","",IFERROR(COUNTIFS(Assignments!$B$6:$B$1000,$A224,Assignments!$E$6:$E$1000,"Cancelled")/MAX(1,COUNTIFS(Assignments!$B$6:$B$1000,$A224,Assignments!$E$6:$E$1000,"Completed")+COUNTIFS(Assignments!$B$6:$B$1000,$A224,Assignments!$E$6:$E$1000,"Cancelled")),""))</f>
        <v/>
      </c>
      <c r="M224" s="2" t="str">
        <f>IF($A224="","",IFERROR(AVERAGEIFS(Assignments!$P$6:$P$1000,Assignments!$B$6:$B$1000,$A224,Assignments!$E$6:$E$1000,"Completed"),""))</f>
        <v/>
      </c>
      <c r="N224" s="2"/>
      <c r="O224" s="2"/>
      <c r="P224" s="1" t="str">
        <f>IF(A224="","",MAX(0,MIN(3,SUMIFS(Strike_Log!$C:$C,Strike_Log!$B:$B,A224,Strike_Log!$A:$A,"&gt;="&amp;IF(Config!$B$1004="Y",TODAY()-Config!$B$1005,DATE(1900,1,1)),Strike_Log!$I:$I,1))))</f>
        <v/>
      </c>
      <c r="Q224" s="1">
        <f t="shared" si="3"/>
        <v>0</v>
      </c>
      <c r="R224" s="1" t="str">
        <f>IF(A224="","",IFERROR(AVERAGEIFS(Assignments!$J:$J,Assignments!$B:$B,A224,Assignments!$E:$E,"Completed"),""))</f>
        <v/>
      </c>
      <c r="S224" s="1" t="str">
        <f>IF(A224="","",COUNTIFS(Assignments!$B:$B,A224,Assignments!$AE:$AE, "Y",Assignments!$D:$D,"&gt;="&amp;TODAY()-30))</f>
        <v/>
      </c>
      <c r="T224" s="1" t="str">
        <f>IF(A224="","",COUNTIFS(Assignments!$AF:$AF,A224,Assignments!$AE:$AE, "Y",Assignments!$D:$D,"&gt;="&amp;TODAY()-30))</f>
        <v/>
      </c>
      <c r="U224" s="1" t="str">
        <f>IF(A224="","",IFERROR(S224/MAX(1,COUNTIFS(Assignments!$B:$B,A224,Assignments!$D:$D,"&gt;="&amp;TODAY()-30)),""))</f>
        <v/>
      </c>
      <c r="V224" s="1" t="str">
        <f t="shared" si="4"/>
        <v/>
      </c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 t="str">
        <f>IF($A225="","",IFERROR(AVERAGEIFS(Assignments!$N$6:$N$1000,Assignments!$B$6:$B$1000,$A225,Assignments!$E$6:$E$1000,"Completed"),""))</f>
        <v/>
      </c>
      <c r="K225" s="2" t="str">
        <f>IF(A225="","",IFERROR(AVERAGEIFS(Assignments!$AO:$AO,Assignments!$B:$B,A225,Assignments!$E:$E,"Completed"),""))</f>
        <v/>
      </c>
      <c r="L225" s="2" t="str">
        <f>IF($A225="","",IFERROR(COUNTIFS(Assignments!$B$6:$B$1000,$A225,Assignments!$E$6:$E$1000,"Cancelled")/MAX(1,COUNTIFS(Assignments!$B$6:$B$1000,$A225,Assignments!$E$6:$E$1000,"Completed")+COUNTIFS(Assignments!$B$6:$B$1000,$A225,Assignments!$E$6:$E$1000,"Cancelled")),""))</f>
        <v/>
      </c>
      <c r="M225" s="2" t="str">
        <f>IF($A225="","",IFERROR(AVERAGEIFS(Assignments!$P$6:$P$1000,Assignments!$B$6:$B$1000,$A225,Assignments!$E$6:$E$1000,"Completed"),""))</f>
        <v/>
      </c>
      <c r="N225" s="2"/>
      <c r="O225" s="2"/>
      <c r="P225" s="1" t="str">
        <f>IF(A225="","",MAX(0,MIN(3,SUMIFS(Strike_Log!$C:$C,Strike_Log!$B:$B,A225,Strike_Log!$A:$A,"&gt;="&amp;IF(Config!$B$1004="Y",TODAY()-Config!$B$1005,DATE(1900,1,1)),Strike_Log!$I:$I,1))))</f>
        <v/>
      </c>
      <c r="Q225" s="1">
        <f t="shared" si="3"/>
        <v>0</v>
      </c>
      <c r="R225" s="1" t="str">
        <f>IF(A225="","",IFERROR(AVERAGEIFS(Assignments!$J:$J,Assignments!$B:$B,A225,Assignments!$E:$E,"Completed"),""))</f>
        <v/>
      </c>
      <c r="S225" s="1" t="str">
        <f>IF(A225="","",COUNTIFS(Assignments!$B:$B,A225,Assignments!$AE:$AE, "Y",Assignments!$D:$D,"&gt;="&amp;TODAY()-30))</f>
        <v/>
      </c>
      <c r="T225" s="1" t="str">
        <f>IF(A225="","",COUNTIFS(Assignments!$AF:$AF,A225,Assignments!$AE:$AE, "Y",Assignments!$D:$D,"&gt;="&amp;TODAY()-30))</f>
        <v/>
      </c>
      <c r="U225" s="1" t="str">
        <f>IF(A225="","",IFERROR(S225/MAX(1,COUNTIFS(Assignments!$B:$B,A225,Assignments!$D:$D,"&gt;="&amp;TODAY()-30)),""))</f>
        <v/>
      </c>
      <c r="V225" s="1" t="str">
        <f t="shared" si="4"/>
        <v/>
      </c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 t="str">
        <f>IF($A226="","",IFERROR(AVERAGEIFS(Assignments!$N$6:$N$1000,Assignments!$B$6:$B$1000,$A226,Assignments!$E$6:$E$1000,"Completed"),""))</f>
        <v/>
      </c>
      <c r="K226" s="2" t="str">
        <f>IF(A226="","",IFERROR(AVERAGEIFS(Assignments!$AO:$AO,Assignments!$B:$B,A226,Assignments!$E:$E,"Completed"),""))</f>
        <v/>
      </c>
      <c r="L226" s="2" t="str">
        <f>IF($A226="","",IFERROR(COUNTIFS(Assignments!$B$6:$B$1000,$A226,Assignments!$E$6:$E$1000,"Cancelled")/MAX(1,COUNTIFS(Assignments!$B$6:$B$1000,$A226,Assignments!$E$6:$E$1000,"Completed")+COUNTIFS(Assignments!$B$6:$B$1000,$A226,Assignments!$E$6:$E$1000,"Cancelled")),""))</f>
        <v/>
      </c>
      <c r="M226" s="2" t="str">
        <f>IF($A226="","",IFERROR(AVERAGEIFS(Assignments!$P$6:$P$1000,Assignments!$B$6:$B$1000,$A226,Assignments!$E$6:$E$1000,"Completed"),""))</f>
        <v/>
      </c>
      <c r="N226" s="2"/>
      <c r="O226" s="2"/>
      <c r="P226" s="1" t="str">
        <f>IF(A226="","",MAX(0,MIN(3,SUMIFS(Strike_Log!$C:$C,Strike_Log!$B:$B,A226,Strike_Log!$A:$A,"&gt;="&amp;IF(Config!$B$1004="Y",TODAY()-Config!$B$1005,DATE(1900,1,1)),Strike_Log!$I:$I,1))))</f>
        <v/>
      </c>
      <c r="Q226" s="1">
        <f t="shared" si="3"/>
        <v>0</v>
      </c>
      <c r="R226" s="1" t="str">
        <f>IF(A226="","",IFERROR(AVERAGEIFS(Assignments!$J:$J,Assignments!$B:$B,A226,Assignments!$E:$E,"Completed"),""))</f>
        <v/>
      </c>
      <c r="S226" s="1" t="str">
        <f>IF(A226="","",COUNTIFS(Assignments!$B:$B,A226,Assignments!$AE:$AE, "Y",Assignments!$D:$D,"&gt;="&amp;TODAY()-30))</f>
        <v/>
      </c>
      <c r="T226" s="1" t="str">
        <f>IF(A226="","",COUNTIFS(Assignments!$AF:$AF,A226,Assignments!$AE:$AE, "Y",Assignments!$D:$D,"&gt;="&amp;TODAY()-30))</f>
        <v/>
      </c>
      <c r="U226" s="1" t="str">
        <f>IF(A226="","",IFERROR(S226/MAX(1,COUNTIFS(Assignments!$B:$B,A226,Assignments!$D:$D,"&gt;="&amp;TODAY()-30)),""))</f>
        <v/>
      </c>
      <c r="V226" s="1" t="str">
        <f t="shared" si="4"/>
        <v/>
      </c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 t="str">
        <f>IF($A227="","",IFERROR(AVERAGEIFS(Assignments!$N$6:$N$1000,Assignments!$B$6:$B$1000,$A227,Assignments!$E$6:$E$1000,"Completed"),""))</f>
        <v/>
      </c>
      <c r="K227" s="2" t="str">
        <f>IF(A227="","",IFERROR(AVERAGEIFS(Assignments!$AO:$AO,Assignments!$B:$B,A227,Assignments!$E:$E,"Completed"),""))</f>
        <v/>
      </c>
      <c r="L227" s="2" t="str">
        <f>IF($A227="","",IFERROR(COUNTIFS(Assignments!$B$6:$B$1000,$A227,Assignments!$E$6:$E$1000,"Cancelled")/MAX(1,COUNTIFS(Assignments!$B$6:$B$1000,$A227,Assignments!$E$6:$E$1000,"Completed")+COUNTIFS(Assignments!$B$6:$B$1000,$A227,Assignments!$E$6:$E$1000,"Cancelled")),""))</f>
        <v/>
      </c>
      <c r="M227" s="2" t="str">
        <f>IF($A227="","",IFERROR(AVERAGEIFS(Assignments!$P$6:$P$1000,Assignments!$B$6:$B$1000,$A227,Assignments!$E$6:$E$1000,"Completed"),""))</f>
        <v/>
      </c>
      <c r="N227" s="2"/>
      <c r="O227" s="2"/>
      <c r="P227" s="1" t="str">
        <f>IF(A227="","",MAX(0,MIN(3,SUMIFS(Strike_Log!$C:$C,Strike_Log!$B:$B,A227,Strike_Log!$A:$A,"&gt;="&amp;IF(Config!$B$1004="Y",TODAY()-Config!$B$1005,DATE(1900,1,1)),Strike_Log!$I:$I,1))))</f>
        <v/>
      </c>
      <c r="Q227" s="1">
        <f t="shared" si="3"/>
        <v>0</v>
      </c>
      <c r="R227" s="1" t="str">
        <f>IF(A227="","",IFERROR(AVERAGEIFS(Assignments!$J:$J,Assignments!$B:$B,A227,Assignments!$E:$E,"Completed"),""))</f>
        <v/>
      </c>
      <c r="S227" s="1" t="str">
        <f>IF(A227="","",COUNTIFS(Assignments!$B:$B,A227,Assignments!$AE:$AE, "Y",Assignments!$D:$D,"&gt;="&amp;TODAY()-30))</f>
        <v/>
      </c>
      <c r="T227" s="1" t="str">
        <f>IF(A227="","",COUNTIFS(Assignments!$AF:$AF,A227,Assignments!$AE:$AE, "Y",Assignments!$D:$D,"&gt;="&amp;TODAY()-30))</f>
        <v/>
      </c>
      <c r="U227" s="1" t="str">
        <f>IF(A227="","",IFERROR(S227/MAX(1,COUNTIFS(Assignments!$B:$B,A227,Assignments!$D:$D,"&gt;="&amp;TODAY()-30)),""))</f>
        <v/>
      </c>
      <c r="V227" s="1" t="str">
        <f t="shared" si="4"/>
        <v/>
      </c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 t="str">
        <f>IF($A228="","",IFERROR(AVERAGEIFS(Assignments!$N$6:$N$1000,Assignments!$B$6:$B$1000,$A228,Assignments!$E$6:$E$1000,"Completed"),""))</f>
        <v/>
      </c>
      <c r="K228" s="2" t="str">
        <f>IF(A228="","",IFERROR(AVERAGEIFS(Assignments!$AO:$AO,Assignments!$B:$B,A228,Assignments!$E:$E,"Completed"),""))</f>
        <v/>
      </c>
      <c r="L228" s="2" t="str">
        <f>IF($A228="","",IFERROR(COUNTIFS(Assignments!$B$6:$B$1000,$A228,Assignments!$E$6:$E$1000,"Cancelled")/MAX(1,COUNTIFS(Assignments!$B$6:$B$1000,$A228,Assignments!$E$6:$E$1000,"Completed")+COUNTIFS(Assignments!$B$6:$B$1000,$A228,Assignments!$E$6:$E$1000,"Cancelled")),""))</f>
        <v/>
      </c>
      <c r="M228" s="2" t="str">
        <f>IF($A228="","",IFERROR(AVERAGEIFS(Assignments!$P$6:$P$1000,Assignments!$B$6:$B$1000,$A228,Assignments!$E$6:$E$1000,"Completed"),""))</f>
        <v/>
      </c>
      <c r="N228" s="2"/>
      <c r="O228" s="2"/>
      <c r="P228" s="1" t="str">
        <f>IF(A228="","",MAX(0,MIN(3,SUMIFS(Strike_Log!$C:$C,Strike_Log!$B:$B,A228,Strike_Log!$A:$A,"&gt;="&amp;IF(Config!$B$1004="Y",TODAY()-Config!$B$1005,DATE(1900,1,1)),Strike_Log!$I:$I,1))))</f>
        <v/>
      </c>
      <c r="Q228" s="1">
        <f t="shared" si="3"/>
        <v>0</v>
      </c>
      <c r="R228" s="1" t="str">
        <f>IF(A228="","",IFERROR(AVERAGEIFS(Assignments!$J:$J,Assignments!$B:$B,A228,Assignments!$E:$E,"Completed"),""))</f>
        <v/>
      </c>
      <c r="S228" s="1" t="str">
        <f>IF(A228="","",COUNTIFS(Assignments!$B:$B,A228,Assignments!$AE:$AE, "Y",Assignments!$D:$D,"&gt;="&amp;TODAY()-30))</f>
        <v/>
      </c>
      <c r="T228" s="1" t="str">
        <f>IF(A228="","",COUNTIFS(Assignments!$AF:$AF,A228,Assignments!$AE:$AE, "Y",Assignments!$D:$D,"&gt;="&amp;TODAY()-30))</f>
        <v/>
      </c>
      <c r="U228" s="1" t="str">
        <f>IF(A228="","",IFERROR(S228/MAX(1,COUNTIFS(Assignments!$B:$B,A228,Assignments!$D:$D,"&gt;="&amp;TODAY()-30)),""))</f>
        <v/>
      </c>
      <c r="V228" s="1" t="str">
        <f t="shared" si="4"/>
        <v/>
      </c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 t="str">
        <f>IF($A229="","",IFERROR(AVERAGEIFS(Assignments!$N$6:$N$1000,Assignments!$B$6:$B$1000,$A229,Assignments!$E$6:$E$1000,"Completed"),""))</f>
        <v/>
      </c>
      <c r="K229" s="2" t="str">
        <f>IF(A229="","",IFERROR(AVERAGEIFS(Assignments!$AO:$AO,Assignments!$B:$B,A229,Assignments!$E:$E,"Completed"),""))</f>
        <v/>
      </c>
      <c r="L229" s="2" t="str">
        <f>IF($A229="","",IFERROR(COUNTIFS(Assignments!$B$6:$B$1000,$A229,Assignments!$E$6:$E$1000,"Cancelled")/MAX(1,COUNTIFS(Assignments!$B$6:$B$1000,$A229,Assignments!$E$6:$E$1000,"Completed")+COUNTIFS(Assignments!$B$6:$B$1000,$A229,Assignments!$E$6:$E$1000,"Cancelled")),""))</f>
        <v/>
      </c>
      <c r="M229" s="2" t="str">
        <f>IF($A229="","",IFERROR(AVERAGEIFS(Assignments!$P$6:$P$1000,Assignments!$B$6:$B$1000,$A229,Assignments!$E$6:$E$1000,"Completed"),""))</f>
        <v/>
      </c>
      <c r="N229" s="2"/>
      <c r="O229" s="2"/>
      <c r="P229" s="1" t="str">
        <f>IF(A229="","",MAX(0,MIN(3,SUMIFS(Strike_Log!$C:$C,Strike_Log!$B:$B,A229,Strike_Log!$A:$A,"&gt;="&amp;IF(Config!$B$1004="Y",TODAY()-Config!$B$1005,DATE(1900,1,1)),Strike_Log!$I:$I,1))))</f>
        <v/>
      </c>
      <c r="Q229" s="1">
        <f t="shared" si="3"/>
        <v>0</v>
      </c>
      <c r="R229" s="1" t="str">
        <f>IF(A229="","",IFERROR(AVERAGEIFS(Assignments!$J:$J,Assignments!$B:$B,A229,Assignments!$E:$E,"Completed"),""))</f>
        <v/>
      </c>
      <c r="S229" s="1" t="str">
        <f>IF(A229="","",COUNTIFS(Assignments!$B:$B,A229,Assignments!$AE:$AE, "Y",Assignments!$D:$D,"&gt;="&amp;TODAY()-30))</f>
        <v/>
      </c>
      <c r="T229" s="1" t="str">
        <f>IF(A229="","",COUNTIFS(Assignments!$AF:$AF,A229,Assignments!$AE:$AE, "Y",Assignments!$D:$D,"&gt;="&amp;TODAY()-30))</f>
        <v/>
      </c>
      <c r="U229" s="1" t="str">
        <f>IF(A229="","",IFERROR(S229/MAX(1,COUNTIFS(Assignments!$B:$B,A229,Assignments!$D:$D,"&gt;="&amp;TODAY()-30)),""))</f>
        <v/>
      </c>
      <c r="V229" s="1" t="str">
        <f t="shared" si="4"/>
        <v/>
      </c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 t="str">
        <f>IF($A230="","",IFERROR(AVERAGEIFS(Assignments!$N$6:$N$1000,Assignments!$B$6:$B$1000,$A230,Assignments!$E$6:$E$1000,"Completed"),""))</f>
        <v/>
      </c>
      <c r="K230" s="2" t="str">
        <f>IF(A230="","",IFERROR(AVERAGEIFS(Assignments!$AO:$AO,Assignments!$B:$B,A230,Assignments!$E:$E,"Completed"),""))</f>
        <v/>
      </c>
      <c r="L230" s="2" t="str">
        <f>IF($A230="","",IFERROR(COUNTIFS(Assignments!$B$6:$B$1000,$A230,Assignments!$E$6:$E$1000,"Cancelled")/MAX(1,COUNTIFS(Assignments!$B$6:$B$1000,$A230,Assignments!$E$6:$E$1000,"Completed")+COUNTIFS(Assignments!$B$6:$B$1000,$A230,Assignments!$E$6:$E$1000,"Cancelled")),""))</f>
        <v/>
      </c>
      <c r="M230" s="2" t="str">
        <f>IF($A230="","",IFERROR(AVERAGEIFS(Assignments!$P$6:$P$1000,Assignments!$B$6:$B$1000,$A230,Assignments!$E$6:$E$1000,"Completed"),""))</f>
        <v/>
      </c>
      <c r="N230" s="2"/>
      <c r="O230" s="2"/>
      <c r="P230" s="1" t="str">
        <f>IF(A230="","",MAX(0,MIN(3,SUMIFS(Strike_Log!$C:$C,Strike_Log!$B:$B,A230,Strike_Log!$A:$A,"&gt;="&amp;IF(Config!$B$1004="Y",TODAY()-Config!$B$1005,DATE(1900,1,1)),Strike_Log!$I:$I,1))))</f>
        <v/>
      </c>
      <c r="Q230" s="1">
        <f t="shared" si="3"/>
        <v>0</v>
      </c>
      <c r="R230" s="1" t="str">
        <f>IF(A230="","",IFERROR(AVERAGEIFS(Assignments!$J:$J,Assignments!$B:$B,A230,Assignments!$E:$E,"Completed"),""))</f>
        <v/>
      </c>
      <c r="S230" s="1" t="str">
        <f>IF(A230="","",COUNTIFS(Assignments!$B:$B,A230,Assignments!$AE:$AE, "Y",Assignments!$D:$D,"&gt;="&amp;TODAY()-30))</f>
        <v/>
      </c>
      <c r="T230" s="1" t="str">
        <f>IF(A230="","",COUNTIFS(Assignments!$AF:$AF,A230,Assignments!$AE:$AE, "Y",Assignments!$D:$D,"&gt;="&amp;TODAY()-30))</f>
        <v/>
      </c>
      <c r="U230" s="1" t="str">
        <f>IF(A230="","",IFERROR(S230/MAX(1,COUNTIFS(Assignments!$B:$B,A230,Assignments!$D:$D,"&gt;="&amp;TODAY()-30)),""))</f>
        <v/>
      </c>
      <c r="V230" s="1" t="str">
        <f t="shared" si="4"/>
        <v/>
      </c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 t="str">
        <f>IF($A231="","",IFERROR(AVERAGEIFS(Assignments!$N$6:$N$1000,Assignments!$B$6:$B$1000,$A231,Assignments!$E$6:$E$1000,"Completed"),""))</f>
        <v/>
      </c>
      <c r="K231" s="2" t="str">
        <f>IF(A231="","",IFERROR(AVERAGEIFS(Assignments!$AO:$AO,Assignments!$B:$B,A231,Assignments!$E:$E,"Completed"),""))</f>
        <v/>
      </c>
      <c r="L231" s="2" t="str">
        <f>IF($A231="","",IFERROR(COUNTIFS(Assignments!$B$6:$B$1000,$A231,Assignments!$E$6:$E$1000,"Cancelled")/MAX(1,COUNTIFS(Assignments!$B$6:$B$1000,$A231,Assignments!$E$6:$E$1000,"Completed")+COUNTIFS(Assignments!$B$6:$B$1000,$A231,Assignments!$E$6:$E$1000,"Cancelled")),""))</f>
        <v/>
      </c>
      <c r="M231" s="2" t="str">
        <f>IF($A231="","",IFERROR(AVERAGEIFS(Assignments!$P$6:$P$1000,Assignments!$B$6:$B$1000,$A231,Assignments!$E$6:$E$1000,"Completed"),""))</f>
        <v/>
      </c>
      <c r="N231" s="2"/>
      <c r="O231" s="2"/>
      <c r="P231" s="1" t="str">
        <f>IF(A231="","",MAX(0,MIN(3,SUMIFS(Strike_Log!$C:$C,Strike_Log!$B:$B,A231,Strike_Log!$A:$A,"&gt;="&amp;IF(Config!$B$1004="Y",TODAY()-Config!$B$1005,DATE(1900,1,1)),Strike_Log!$I:$I,1))))</f>
        <v/>
      </c>
      <c r="Q231" s="1">
        <f t="shared" si="3"/>
        <v>0</v>
      </c>
      <c r="R231" s="1" t="str">
        <f>IF(A231="","",IFERROR(AVERAGEIFS(Assignments!$J:$J,Assignments!$B:$B,A231,Assignments!$E:$E,"Completed"),""))</f>
        <v/>
      </c>
      <c r="S231" s="1" t="str">
        <f>IF(A231="","",COUNTIFS(Assignments!$B:$B,A231,Assignments!$AE:$AE, "Y",Assignments!$D:$D,"&gt;="&amp;TODAY()-30))</f>
        <v/>
      </c>
      <c r="T231" s="1" t="str">
        <f>IF(A231="","",COUNTIFS(Assignments!$AF:$AF,A231,Assignments!$AE:$AE, "Y",Assignments!$D:$D,"&gt;="&amp;TODAY()-30))</f>
        <v/>
      </c>
      <c r="U231" s="1" t="str">
        <f>IF(A231="","",IFERROR(S231/MAX(1,COUNTIFS(Assignments!$B:$B,A231,Assignments!$D:$D,"&gt;="&amp;TODAY()-30)),""))</f>
        <v/>
      </c>
      <c r="V231" s="1" t="str">
        <f t="shared" si="4"/>
        <v/>
      </c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 t="str">
        <f>IF($A232="","",IFERROR(AVERAGEIFS(Assignments!$N$6:$N$1000,Assignments!$B$6:$B$1000,$A232,Assignments!$E$6:$E$1000,"Completed"),""))</f>
        <v/>
      </c>
      <c r="K232" s="2" t="str">
        <f>IF(A232="","",IFERROR(AVERAGEIFS(Assignments!$AO:$AO,Assignments!$B:$B,A232,Assignments!$E:$E,"Completed"),""))</f>
        <v/>
      </c>
      <c r="L232" s="2" t="str">
        <f>IF($A232="","",IFERROR(COUNTIFS(Assignments!$B$6:$B$1000,$A232,Assignments!$E$6:$E$1000,"Cancelled")/MAX(1,COUNTIFS(Assignments!$B$6:$B$1000,$A232,Assignments!$E$6:$E$1000,"Completed")+COUNTIFS(Assignments!$B$6:$B$1000,$A232,Assignments!$E$6:$E$1000,"Cancelled")),""))</f>
        <v/>
      </c>
      <c r="M232" s="2" t="str">
        <f>IF($A232="","",IFERROR(AVERAGEIFS(Assignments!$P$6:$P$1000,Assignments!$B$6:$B$1000,$A232,Assignments!$E$6:$E$1000,"Completed"),""))</f>
        <v/>
      </c>
      <c r="N232" s="2"/>
      <c r="O232" s="2"/>
      <c r="P232" s="1" t="str">
        <f>IF(A232="","",MAX(0,MIN(3,SUMIFS(Strike_Log!$C:$C,Strike_Log!$B:$B,A232,Strike_Log!$A:$A,"&gt;="&amp;IF(Config!$B$1004="Y",TODAY()-Config!$B$1005,DATE(1900,1,1)),Strike_Log!$I:$I,1))))</f>
        <v/>
      </c>
      <c r="Q232" s="1">
        <f t="shared" si="3"/>
        <v>0</v>
      </c>
      <c r="R232" s="1" t="str">
        <f>IF(A232="","",IFERROR(AVERAGEIFS(Assignments!$J:$J,Assignments!$B:$B,A232,Assignments!$E:$E,"Completed"),""))</f>
        <v/>
      </c>
      <c r="S232" s="1" t="str">
        <f>IF(A232="","",COUNTIFS(Assignments!$B:$B,A232,Assignments!$AE:$AE, "Y",Assignments!$D:$D,"&gt;="&amp;TODAY()-30))</f>
        <v/>
      </c>
      <c r="T232" s="1" t="str">
        <f>IF(A232="","",COUNTIFS(Assignments!$AF:$AF,A232,Assignments!$AE:$AE, "Y",Assignments!$D:$D,"&gt;="&amp;TODAY()-30))</f>
        <v/>
      </c>
      <c r="U232" s="1" t="str">
        <f>IF(A232="","",IFERROR(S232/MAX(1,COUNTIFS(Assignments!$B:$B,A232,Assignments!$D:$D,"&gt;="&amp;TODAY()-30)),""))</f>
        <v/>
      </c>
      <c r="V232" s="1" t="str">
        <f t="shared" si="4"/>
        <v/>
      </c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 t="str">
        <f>IF($A233="","",IFERROR(AVERAGEIFS(Assignments!$N$6:$N$1000,Assignments!$B$6:$B$1000,$A233,Assignments!$E$6:$E$1000,"Completed"),""))</f>
        <v/>
      </c>
      <c r="K233" s="2" t="str">
        <f>IF(A233="","",IFERROR(AVERAGEIFS(Assignments!$AO:$AO,Assignments!$B:$B,A233,Assignments!$E:$E,"Completed"),""))</f>
        <v/>
      </c>
      <c r="L233" s="2" t="str">
        <f>IF($A233="","",IFERROR(COUNTIFS(Assignments!$B$6:$B$1000,$A233,Assignments!$E$6:$E$1000,"Cancelled")/MAX(1,COUNTIFS(Assignments!$B$6:$B$1000,$A233,Assignments!$E$6:$E$1000,"Completed")+COUNTIFS(Assignments!$B$6:$B$1000,$A233,Assignments!$E$6:$E$1000,"Cancelled")),""))</f>
        <v/>
      </c>
      <c r="M233" s="2" t="str">
        <f>IF($A233="","",IFERROR(AVERAGEIFS(Assignments!$P$6:$P$1000,Assignments!$B$6:$B$1000,$A233,Assignments!$E$6:$E$1000,"Completed"),""))</f>
        <v/>
      </c>
      <c r="N233" s="2"/>
      <c r="O233" s="2"/>
      <c r="P233" s="1" t="str">
        <f>IF(A233="","",MAX(0,MIN(3,SUMIFS(Strike_Log!$C:$C,Strike_Log!$B:$B,A233,Strike_Log!$A:$A,"&gt;="&amp;IF(Config!$B$1004="Y",TODAY()-Config!$B$1005,DATE(1900,1,1)),Strike_Log!$I:$I,1))))</f>
        <v/>
      </c>
      <c r="Q233" s="1">
        <f t="shared" si="3"/>
        <v>0</v>
      </c>
      <c r="R233" s="1" t="str">
        <f>IF(A233="","",IFERROR(AVERAGEIFS(Assignments!$J:$J,Assignments!$B:$B,A233,Assignments!$E:$E,"Completed"),""))</f>
        <v/>
      </c>
      <c r="S233" s="1" t="str">
        <f>IF(A233="","",COUNTIFS(Assignments!$B:$B,A233,Assignments!$AE:$AE, "Y",Assignments!$D:$D,"&gt;="&amp;TODAY()-30))</f>
        <v/>
      </c>
      <c r="T233" s="1" t="str">
        <f>IF(A233="","",COUNTIFS(Assignments!$AF:$AF,A233,Assignments!$AE:$AE, "Y",Assignments!$D:$D,"&gt;="&amp;TODAY()-30))</f>
        <v/>
      </c>
      <c r="U233" s="1" t="str">
        <f>IF(A233="","",IFERROR(S233/MAX(1,COUNTIFS(Assignments!$B:$B,A233,Assignments!$D:$D,"&gt;="&amp;TODAY()-30)),""))</f>
        <v/>
      </c>
      <c r="V233" s="1" t="str">
        <f t="shared" si="4"/>
        <v/>
      </c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 t="str">
        <f>IF($A234="","",IFERROR(AVERAGEIFS(Assignments!$N$6:$N$1000,Assignments!$B$6:$B$1000,$A234,Assignments!$E$6:$E$1000,"Completed"),""))</f>
        <v/>
      </c>
      <c r="K234" s="2" t="str">
        <f>IF(A234="","",IFERROR(AVERAGEIFS(Assignments!$AO:$AO,Assignments!$B:$B,A234,Assignments!$E:$E,"Completed"),""))</f>
        <v/>
      </c>
      <c r="L234" s="2" t="str">
        <f>IF($A234="","",IFERROR(COUNTIFS(Assignments!$B$6:$B$1000,$A234,Assignments!$E$6:$E$1000,"Cancelled")/MAX(1,COUNTIFS(Assignments!$B$6:$B$1000,$A234,Assignments!$E$6:$E$1000,"Completed")+COUNTIFS(Assignments!$B$6:$B$1000,$A234,Assignments!$E$6:$E$1000,"Cancelled")),""))</f>
        <v/>
      </c>
      <c r="M234" s="2" t="str">
        <f>IF($A234="","",IFERROR(AVERAGEIFS(Assignments!$P$6:$P$1000,Assignments!$B$6:$B$1000,$A234,Assignments!$E$6:$E$1000,"Completed"),""))</f>
        <v/>
      </c>
      <c r="N234" s="2"/>
      <c r="O234" s="2"/>
      <c r="P234" s="1" t="str">
        <f>IF(A234="","",MAX(0,MIN(3,SUMIFS(Strike_Log!$C:$C,Strike_Log!$B:$B,A234,Strike_Log!$A:$A,"&gt;="&amp;IF(Config!$B$1004="Y",TODAY()-Config!$B$1005,DATE(1900,1,1)),Strike_Log!$I:$I,1))))</f>
        <v/>
      </c>
      <c r="Q234" s="1">
        <f t="shared" si="3"/>
        <v>0</v>
      </c>
      <c r="R234" s="1" t="str">
        <f>IF(A234="","",IFERROR(AVERAGEIFS(Assignments!$J:$J,Assignments!$B:$B,A234,Assignments!$E:$E,"Completed"),""))</f>
        <v/>
      </c>
      <c r="S234" s="1" t="str">
        <f>IF(A234="","",COUNTIFS(Assignments!$B:$B,A234,Assignments!$AE:$AE, "Y",Assignments!$D:$D,"&gt;="&amp;TODAY()-30))</f>
        <v/>
      </c>
      <c r="T234" s="1" t="str">
        <f>IF(A234="","",COUNTIFS(Assignments!$AF:$AF,A234,Assignments!$AE:$AE, "Y",Assignments!$D:$D,"&gt;="&amp;TODAY()-30))</f>
        <v/>
      </c>
      <c r="U234" s="1" t="str">
        <f>IF(A234="","",IFERROR(S234/MAX(1,COUNTIFS(Assignments!$B:$B,A234,Assignments!$D:$D,"&gt;="&amp;TODAY()-30)),""))</f>
        <v/>
      </c>
      <c r="V234" s="1" t="str">
        <f t="shared" si="4"/>
        <v/>
      </c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 t="str">
        <f>IF($A235="","",IFERROR(AVERAGEIFS(Assignments!$N$6:$N$1000,Assignments!$B$6:$B$1000,$A235,Assignments!$E$6:$E$1000,"Completed"),""))</f>
        <v/>
      </c>
      <c r="K235" s="2" t="str">
        <f>IF(A235="","",IFERROR(AVERAGEIFS(Assignments!$AO:$AO,Assignments!$B:$B,A235,Assignments!$E:$E,"Completed"),""))</f>
        <v/>
      </c>
      <c r="L235" s="2" t="str">
        <f>IF($A235="","",IFERROR(COUNTIFS(Assignments!$B$6:$B$1000,$A235,Assignments!$E$6:$E$1000,"Cancelled")/MAX(1,COUNTIFS(Assignments!$B$6:$B$1000,$A235,Assignments!$E$6:$E$1000,"Completed")+COUNTIFS(Assignments!$B$6:$B$1000,$A235,Assignments!$E$6:$E$1000,"Cancelled")),""))</f>
        <v/>
      </c>
      <c r="M235" s="2" t="str">
        <f>IF($A235="","",IFERROR(AVERAGEIFS(Assignments!$P$6:$P$1000,Assignments!$B$6:$B$1000,$A235,Assignments!$E$6:$E$1000,"Completed"),""))</f>
        <v/>
      </c>
      <c r="N235" s="2"/>
      <c r="O235" s="2"/>
      <c r="P235" s="1" t="str">
        <f>IF(A235="","",MAX(0,MIN(3,SUMIFS(Strike_Log!$C:$C,Strike_Log!$B:$B,A235,Strike_Log!$A:$A,"&gt;="&amp;IF(Config!$B$1004="Y",TODAY()-Config!$B$1005,DATE(1900,1,1)),Strike_Log!$I:$I,1))))</f>
        <v/>
      </c>
      <c r="Q235" s="1">
        <f t="shared" si="3"/>
        <v>0</v>
      </c>
      <c r="R235" s="1" t="str">
        <f>IF(A235="","",IFERROR(AVERAGEIFS(Assignments!$J:$J,Assignments!$B:$B,A235,Assignments!$E:$E,"Completed"),""))</f>
        <v/>
      </c>
      <c r="S235" s="1" t="str">
        <f>IF(A235="","",COUNTIFS(Assignments!$B:$B,A235,Assignments!$AE:$AE, "Y",Assignments!$D:$D,"&gt;="&amp;TODAY()-30))</f>
        <v/>
      </c>
      <c r="T235" s="1" t="str">
        <f>IF(A235="","",COUNTIFS(Assignments!$AF:$AF,A235,Assignments!$AE:$AE, "Y",Assignments!$D:$D,"&gt;="&amp;TODAY()-30))</f>
        <v/>
      </c>
      <c r="U235" s="1" t="str">
        <f>IF(A235="","",IFERROR(S235/MAX(1,COUNTIFS(Assignments!$B:$B,A235,Assignments!$D:$D,"&gt;="&amp;TODAY()-30)),""))</f>
        <v/>
      </c>
      <c r="V235" s="1" t="str">
        <f t="shared" si="4"/>
        <v/>
      </c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 t="str">
        <f>IF($A236="","",IFERROR(AVERAGEIFS(Assignments!$N$6:$N$1000,Assignments!$B$6:$B$1000,$A236,Assignments!$E$6:$E$1000,"Completed"),""))</f>
        <v/>
      </c>
      <c r="K236" s="2" t="str">
        <f>IF(A236="","",IFERROR(AVERAGEIFS(Assignments!$AO:$AO,Assignments!$B:$B,A236,Assignments!$E:$E,"Completed"),""))</f>
        <v/>
      </c>
      <c r="L236" s="2" t="str">
        <f>IF($A236="","",IFERROR(COUNTIFS(Assignments!$B$6:$B$1000,$A236,Assignments!$E$6:$E$1000,"Cancelled")/MAX(1,COUNTIFS(Assignments!$B$6:$B$1000,$A236,Assignments!$E$6:$E$1000,"Completed")+COUNTIFS(Assignments!$B$6:$B$1000,$A236,Assignments!$E$6:$E$1000,"Cancelled")),""))</f>
        <v/>
      </c>
      <c r="M236" s="2" t="str">
        <f>IF($A236="","",IFERROR(AVERAGEIFS(Assignments!$P$6:$P$1000,Assignments!$B$6:$B$1000,$A236,Assignments!$E$6:$E$1000,"Completed"),""))</f>
        <v/>
      </c>
      <c r="N236" s="2"/>
      <c r="O236" s="2"/>
      <c r="P236" s="1" t="str">
        <f>IF(A236="","",MAX(0,MIN(3,SUMIFS(Strike_Log!$C:$C,Strike_Log!$B:$B,A236,Strike_Log!$A:$A,"&gt;="&amp;IF(Config!$B$1004="Y",TODAY()-Config!$B$1005,DATE(1900,1,1)),Strike_Log!$I:$I,1))))</f>
        <v/>
      </c>
      <c r="Q236" s="1">
        <f t="shared" si="3"/>
        <v>0</v>
      </c>
      <c r="R236" s="1" t="str">
        <f>IF(A236="","",IFERROR(AVERAGEIFS(Assignments!$J:$J,Assignments!$B:$B,A236,Assignments!$E:$E,"Completed"),""))</f>
        <v/>
      </c>
      <c r="S236" s="1" t="str">
        <f>IF(A236="","",COUNTIFS(Assignments!$B:$B,A236,Assignments!$AE:$AE, "Y",Assignments!$D:$D,"&gt;="&amp;TODAY()-30))</f>
        <v/>
      </c>
      <c r="T236" s="1" t="str">
        <f>IF(A236="","",COUNTIFS(Assignments!$AF:$AF,A236,Assignments!$AE:$AE, "Y",Assignments!$D:$D,"&gt;="&amp;TODAY()-30))</f>
        <v/>
      </c>
      <c r="U236" s="1" t="str">
        <f>IF(A236="","",IFERROR(S236/MAX(1,COUNTIFS(Assignments!$B:$B,A236,Assignments!$D:$D,"&gt;="&amp;TODAY()-30)),""))</f>
        <v/>
      </c>
      <c r="V236" s="1" t="str">
        <f t="shared" si="4"/>
        <v/>
      </c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 t="str">
        <f>IF($A237="","",IFERROR(AVERAGEIFS(Assignments!$N$6:$N$1000,Assignments!$B$6:$B$1000,$A237,Assignments!$E$6:$E$1000,"Completed"),""))</f>
        <v/>
      </c>
      <c r="K237" s="2" t="str">
        <f>IF(A237="","",IFERROR(AVERAGEIFS(Assignments!$AO:$AO,Assignments!$B:$B,A237,Assignments!$E:$E,"Completed"),""))</f>
        <v/>
      </c>
      <c r="L237" s="2" t="str">
        <f>IF($A237="","",IFERROR(COUNTIFS(Assignments!$B$6:$B$1000,$A237,Assignments!$E$6:$E$1000,"Cancelled")/MAX(1,COUNTIFS(Assignments!$B$6:$B$1000,$A237,Assignments!$E$6:$E$1000,"Completed")+COUNTIFS(Assignments!$B$6:$B$1000,$A237,Assignments!$E$6:$E$1000,"Cancelled")),""))</f>
        <v/>
      </c>
      <c r="M237" s="2" t="str">
        <f>IF($A237="","",IFERROR(AVERAGEIFS(Assignments!$P$6:$P$1000,Assignments!$B$6:$B$1000,$A237,Assignments!$E$6:$E$1000,"Completed"),""))</f>
        <v/>
      </c>
      <c r="N237" s="2"/>
      <c r="O237" s="2"/>
      <c r="P237" s="1" t="str">
        <f>IF(A237="","",MAX(0,MIN(3,SUMIFS(Strike_Log!$C:$C,Strike_Log!$B:$B,A237,Strike_Log!$A:$A,"&gt;="&amp;IF(Config!$B$1004="Y",TODAY()-Config!$B$1005,DATE(1900,1,1)),Strike_Log!$I:$I,1))))</f>
        <v/>
      </c>
      <c r="Q237" s="1">
        <f t="shared" si="3"/>
        <v>0</v>
      </c>
      <c r="R237" s="1" t="str">
        <f>IF(A237="","",IFERROR(AVERAGEIFS(Assignments!$J:$J,Assignments!$B:$B,A237,Assignments!$E:$E,"Completed"),""))</f>
        <v/>
      </c>
      <c r="S237" s="1" t="str">
        <f>IF(A237="","",COUNTIFS(Assignments!$B:$B,A237,Assignments!$AE:$AE, "Y",Assignments!$D:$D,"&gt;="&amp;TODAY()-30))</f>
        <v/>
      </c>
      <c r="T237" s="1" t="str">
        <f>IF(A237="","",COUNTIFS(Assignments!$AF:$AF,A237,Assignments!$AE:$AE, "Y",Assignments!$D:$D,"&gt;="&amp;TODAY()-30))</f>
        <v/>
      </c>
      <c r="U237" s="1" t="str">
        <f>IF(A237="","",IFERROR(S237/MAX(1,COUNTIFS(Assignments!$B:$B,A237,Assignments!$D:$D,"&gt;="&amp;TODAY()-30)),""))</f>
        <v/>
      </c>
      <c r="V237" s="1" t="str">
        <f t="shared" si="4"/>
        <v/>
      </c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 t="str">
        <f>IF($A238="","",IFERROR(AVERAGEIFS(Assignments!$N$6:$N$1000,Assignments!$B$6:$B$1000,$A238,Assignments!$E$6:$E$1000,"Completed"),""))</f>
        <v/>
      </c>
      <c r="K238" s="2" t="str">
        <f>IF(A238="","",IFERROR(AVERAGEIFS(Assignments!$AO:$AO,Assignments!$B:$B,A238,Assignments!$E:$E,"Completed"),""))</f>
        <v/>
      </c>
      <c r="L238" s="2" t="str">
        <f>IF($A238="","",IFERROR(COUNTIFS(Assignments!$B$6:$B$1000,$A238,Assignments!$E$6:$E$1000,"Cancelled")/MAX(1,COUNTIFS(Assignments!$B$6:$B$1000,$A238,Assignments!$E$6:$E$1000,"Completed")+COUNTIFS(Assignments!$B$6:$B$1000,$A238,Assignments!$E$6:$E$1000,"Cancelled")),""))</f>
        <v/>
      </c>
      <c r="M238" s="2" t="str">
        <f>IF($A238="","",IFERROR(AVERAGEIFS(Assignments!$P$6:$P$1000,Assignments!$B$6:$B$1000,$A238,Assignments!$E$6:$E$1000,"Completed"),""))</f>
        <v/>
      </c>
      <c r="N238" s="2"/>
      <c r="O238" s="2"/>
      <c r="P238" s="1" t="str">
        <f>IF(A238="","",MAX(0,MIN(3,SUMIFS(Strike_Log!$C:$C,Strike_Log!$B:$B,A238,Strike_Log!$A:$A,"&gt;="&amp;IF(Config!$B$1004="Y",TODAY()-Config!$B$1005,DATE(1900,1,1)),Strike_Log!$I:$I,1))))</f>
        <v/>
      </c>
      <c r="Q238" s="1">
        <f t="shared" si="3"/>
        <v>0</v>
      </c>
      <c r="R238" s="1" t="str">
        <f>IF(A238="","",IFERROR(AVERAGEIFS(Assignments!$J:$J,Assignments!$B:$B,A238,Assignments!$E:$E,"Completed"),""))</f>
        <v/>
      </c>
      <c r="S238" s="1" t="str">
        <f>IF(A238="","",COUNTIFS(Assignments!$B:$B,A238,Assignments!$AE:$AE, "Y",Assignments!$D:$D,"&gt;="&amp;TODAY()-30))</f>
        <v/>
      </c>
      <c r="T238" s="1" t="str">
        <f>IF(A238="","",COUNTIFS(Assignments!$AF:$AF,A238,Assignments!$AE:$AE, "Y",Assignments!$D:$D,"&gt;="&amp;TODAY()-30))</f>
        <v/>
      </c>
      <c r="U238" s="1" t="str">
        <f>IF(A238="","",IFERROR(S238/MAX(1,COUNTIFS(Assignments!$B:$B,A238,Assignments!$D:$D,"&gt;="&amp;TODAY()-30)),""))</f>
        <v/>
      </c>
      <c r="V238" s="1" t="str">
        <f t="shared" si="4"/>
        <v/>
      </c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 t="str">
        <f>IF($A239="","",IFERROR(AVERAGEIFS(Assignments!$N$6:$N$1000,Assignments!$B$6:$B$1000,$A239,Assignments!$E$6:$E$1000,"Completed"),""))</f>
        <v/>
      </c>
      <c r="K239" s="2" t="str">
        <f>IF(A239="","",IFERROR(AVERAGEIFS(Assignments!$AO:$AO,Assignments!$B:$B,A239,Assignments!$E:$E,"Completed"),""))</f>
        <v/>
      </c>
      <c r="L239" s="2" t="str">
        <f>IF($A239="","",IFERROR(COUNTIFS(Assignments!$B$6:$B$1000,$A239,Assignments!$E$6:$E$1000,"Cancelled")/MAX(1,COUNTIFS(Assignments!$B$6:$B$1000,$A239,Assignments!$E$6:$E$1000,"Completed")+COUNTIFS(Assignments!$B$6:$B$1000,$A239,Assignments!$E$6:$E$1000,"Cancelled")),""))</f>
        <v/>
      </c>
      <c r="M239" s="2" t="str">
        <f>IF($A239="","",IFERROR(AVERAGEIFS(Assignments!$P$6:$P$1000,Assignments!$B$6:$B$1000,$A239,Assignments!$E$6:$E$1000,"Completed"),""))</f>
        <v/>
      </c>
      <c r="N239" s="2"/>
      <c r="O239" s="2"/>
      <c r="P239" s="1" t="str">
        <f>IF(A239="","",MAX(0,MIN(3,SUMIFS(Strike_Log!$C:$C,Strike_Log!$B:$B,A239,Strike_Log!$A:$A,"&gt;="&amp;IF(Config!$B$1004="Y",TODAY()-Config!$B$1005,DATE(1900,1,1)),Strike_Log!$I:$I,1))))</f>
        <v/>
      </c>
      <c r="Q239" s="1">
        <f t="shared" si="3"/>
        <v>0</v>
      </c>
      <c r="R239" s="1" t="str">
        <f>IF(A239="","",IFERROR(AVERAGEIFS(Assignments!$J:$J,Assignments!$B:$B,A239,Assignments!$E:$E,"Completed"),""))</f>
        <v/>
      </c>
      <c r="S239" s="1" t="str">
        <f>IF(A239="","",COUNTIFS(Assignments!$B:$B,A239,Assignments!$AE:$AE, "Y",Assignments!$D:$D,"&gt;="&amp;TODAY()-30))</f>
        <v/>
      </c>
      <c r="T239" s="1" t="str">
        <f>IF(A239="","",COUNTIFS(Assignments!$AF:$AF,A239,Assignments!$AE:$AE, "Y",Assignments!$D:$D,"&gt;="&amp;TODAY()-30))</f>
        <v/>
      </c>
      <c r="U239" s="1" t="str">
        <f>IF(A239="","",IFERROR(S239/MAX(1,COUNTIFS(Assignments!$B:$B,A239,Assignments!$D:$D,"&gt;="&amp;TODAY()-30)),""))</f>
        <v/>
      </c>
      <c r="V239" s="1" t="str">
        <f t="shared" si="4"/>
        <v/>
      </c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 t="str">
        <f>IF($A240="","",IFERROR(AVERAGEIFS(Assignments!$N$6:$N$1000,Assignments!$B$6:$B$1000,$A240,Assignments!$E$6:$E$1000,"Completed"),""))</f>
        <v/>
      </c>
      <c r="K240" s="2" t="str">
        <f>IF(A240="","",IFERROR(AVERAGEIFS(Assignments!$AO:$AO,Assignments!$B:$B,A240,Assignments!$E:$E,"Completed"),""))</f>
        <v/>
      </c>
      <c r="L240" s="2" t="str">
        <f>IF($A240="","",IFERROR(COUNTIFS(Assignments!$B$6:$B$1000,$A240,Assignments!$E$6:$E$1000,"Cancelled")/MAX(1,COUNTIFS(Assignments!$B$6:$B$1000,$A240,Assignments!$E$6:$E$1000,"Completed")+COUNTIFS(Assignments!$B$6:$B$1000,$A240,Assignments!$E$6:$E$1000,"Cancelled")),""))</f>
        <v/>
      </c>
      <c r="M240" s="2" t="str">
        <f>IF($A240="","",IFERROR(AVERAGEIFS(Assignments!$P$6:$P$1000,Assignments!$B$6:$B$1000,$A240,Assignments!$E$6:$E$1000,"Completed"),""))</f>
        <v/>
      </c>
      <c r="N240" s="2"/>
      <c r="O240" s="2"/>
      <c r="P240" s="1" t="str">
        <f>IF(A240="","",MAX(0,MIN(3,SUMIFS(Strike_Log!$C:$C,Strike_Log!$B:$B,A240,Strike_Log!$A:$A,"&gt;="&amp;IF(Config!$B$1004="Y",TODAY()-Config!$B$1005,DATE(1900,1,1)),Strike_Log!$I:$I,1))))</f>
        <v/>
      </c>
      <c r="Q240" s="1">
        <f t="shared" si="3"/>
        <v>0</v>
      </c>
      <c r="R240" s="1" t="str">
        <f>IF(A240="","",IFERROR(AVERAGEIFS(Assignments!$J:$J,Assignments!$B:$B,A240,Assignments!$E:$E,"Completed"),""))</f>
        <v/>
      </c>
      <c r="S240" s="1" t="str">
        <f>IF(A240="","",COUNTIFS(Assignments!$B:$B,A240,Assignments!$AE:$AE, "Y",Assignments!$D:$D,"&gt;="&amp;TODAY()-30))</f>
        <v/>
      </c>
      <c r="T240" s="1" t="str">
        <f>IF(A240="","",COUNTIFS(Assignments!$AF:$AF,A240,Assignments!$AE:$AE, "Y",Assignments!$D:$D,"&gt;="&amp;TODAY()-30))</f>
        <v/>
      </c>
      <c r="U240" s="1" t="str">
        <f>IF(A240="","",IFERROR(S240/MAX(1,COUNTIFS(Assignments!$B:$B,A240,Assignments!$D:$D,"&gt;="&amp;TODAY()-30)),""))</f>
        <v/>
      </c>
      <c r="V240" s="1" t="str">
        <f t="shared" si="4"/>
        <v/>
      </c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 t="str">
        <f>IF($A241="","",IFERROR(AVERAGEIFS(Assignments!$N$6:$N$1000,Assignments!$B$6:$B$1000,$A241,Assignments!$E$6:$E$1000,"Completed"),""))</f>
        <v/>
      </c>
      <c r="K241" s="2" t="str">
        <f>IF(A241="","",IFERROR(AVERAGEIFS(Assignments!$AO:$AO,Assignments!$B:$B,A241,Assignments!$E:$E,"Completed"),""))</f>
        <v/>
      </c>
      <c r="L241" s="2" t="str">
        <f>IF($A241="","",IFERROR(COUNTIFS(Assignments!$B$6:$B$1000,$A241,Assignments!$E$6:$E$1000,"Cancelled")/MAX(1,COUNTIFS(Assignments!$B$6:$B$1000,$A241,Assignments!$E$6:$E$1000,"Completed")+COUNTIFS(Assignments!$B$6:$B$1000,$A241,Assignments!$E$6:$E$1000,"Cancelled")),""))</f>
        <v/>
      </c>
      <c r="M241" s="2" t="str">
        <f>IF($A241="","",IFERROR(AVERAGEIFS(Assignments!$P$6:$P$1000,Assignments!$B$6:$B$1000,$A241,Assignments!$E$6:$E$1000,"Completed"),""))</f>
        <v/>
      </c>
      <c r="N241" s="2"/>
      <c r="O241" s="2"/>
      <c r="P241" s="1" t="str">
        <f>IF(A241="","",MAX(0,MIN(3,SUMIFS(Strike_Log!$C:$C,Strike_Log!$B:$B,A241,Strike_Log!$A:$A,"&gt;="&amp;IF(Config!$B$1004="Y",TODAY()-Config!$B$1005,DATE(1900,1,1)),Strike_Log!$I:$I,1))))</f>
        <v/>
      </c>
      <c r="Q241" s="1">
        <f t="shared" si="3"/>
        <v>0</v>
      </c>
      <c r="R241" s="1" t="str">
        <f>IF(A241="","",IFERROR(AVERAGEIFS(Assignments!$J:$J,Assignments!$B:$B,A241,Assignments!$E:$E,"Completed"),""))</f>
        <v/>
      </c>
      <c r="S241" s="1" t="str">
        <f>IF(A241="","",COUNTIFS(Assignments!$B:$B,A241,Assignments!$AE:$AE, "Y",Assignments!$D:$D,"&gt;="&amp;TODAY()-30))</f>
        <v/>
      </c>
      <c r="T241" s="1" t="str">
        <f>IF(A241="","",COUNTIFS(Assignments!$AF:$AF,A241,Assignments!$AE:$AE, "Y",Assignments!$D:$D,"&gt;="&amp;TODAY()-30))</f>
        <v/>
      </c>
      <c r="U241" s="1" t="str">
        <f>IF(A241="","",IFERROR(S241/MAX(1,COUNTIFS(Assignments!$B:$B,A241,Assignments!$D:$D,"&gt;="&amp;TODAY()-30)),""))</f>
        <v/>
      </c>
      <c r="V241" s="1" t="str">
        <f t="shared" si="4"/>
        <v/>
      </c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 t="str">
        <f>IF($A242="","",IFERROR(AVERAGEIFS(Assignments!$N$6:$N$1000,Assignments!$B$6:$B$1000,$A242,Assignments!$E$6:$E$1000,"Completed"),""))</f>
        <v/>
      </c>
      <c r="K242" s="2" t="str">
        <f>IF(A242="","",IFERROR(AVERAGEIFS(Assignments!$AO:$AO,Assignments!$B:$B,A242,Assignments!$E:$E,"Completed"),""))</f>
        <v/>
      </c>
      <c r="L242" s="2" t="str">
        <f>IF($A242="","",IFERROR(COUNTIFS(Assignments!$B$6:$B$1000,$A242,Assignments!$E$6:$E$1000,"Cancelled")/MAX(1,COUNTIFS(Assignments!$B$6:$B$1000,$A242,Assignments!$E$6:$E$1000,"Completed")+COUNTIFS(Assignments!$B$6:$B$1000,$A242,Assignments!$E$6:$E$1000,"Cancelled")),""))</f>
        <v/>
      </c>
      <c r="M242" s="2" t="str">
        <f>IF($A242="","",IFERROR(AVERAGEIFS(Assignments!$P$6:$P$1000,Assignments!$B$6:$B$1000,$A242,Assignments!$E$6:$E$1000,"Completed"),""))</f>
        <v/>
      </c>
      <c r="N242" s="2"/>
      <c r="O242" s="2"/>
      <c r="P242" s="1" t="str">
        <f>IF(A242="","",MAX(0,MIN(3,SUMIFS(Strike_Log!$C:$C,Strike_Log!$B:$B,A242,Strike_Log!$A:$A,"&gt;="&amp;IF(Config!$B$1004="Y",TODAY()-Config!$B$1005,DATE(1900,1,1)),Strike_Log!$I:$I,1))))</f>
        <v/>
      </c>
      <c r="Q242" s="1">
        <f t="shared" si="3"/>
        <v>0</v>
      </c>
      <c r="R242" s="1" t="str">
        <f>IF(A242="","",IFERROR(AVERAGEIFS(Assignments!$J:$J,Assignments!$B:$B,A242,Assignments!$E:$E,"Completed"),""))</f>
        <v/>
      </c>
      <c r="S242" s="1" t="str">
        <f>IF(A242="","",COUNTIFS(Assignments!$B:$B,A242,Assignments!$AE:$AE, "Y",Assignments!$D:$D,"&gt;="&amp;TODAY()-30))</f>
        <v/>
      </c>
      <c r="T242" s="1" t="str">
        <f>IF(A242="","",COUNTIFS(Assignments!$AF:$AF,A242,Assignments!$AE:$AE, "Y",Assignments!$D:$D,"&gt;="&amp;TODAY()-30))</f>
        <v/>
      </c>
      <c r="U242" s="1" t="str">
        <f>IF(A242="","",IFERROR(S242/MAX(1,COUNTIFS(Assignments!$B:$B,A242,Assignments!$D:$D,"&gt;="&amp;TODAY()-30)),""))</f>
        <v/>
      </c>
      <c r="V242" s="1" t="str">
        <f t="shared" si="4"/>
        <v/>
      </c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 t="str">
        <f>IF($A243="","",IFERROR(AVERAGEIFS(Assignments!$N$6:$N$1000,Assignments!$B$6:$B$1000,$A243,Assignments!$E$6:$E$1000,"Completed"),""))</f>
        <v/>
      </c>
      <c r="K243" s="2" t="str">
        <f>IF(A243="","",IFERROR(AVERAGEIFS(Assignments!$AO:$AO,Assignments!$B:$B,A243,Assignments!$E:$E,"Completed"),""))</f>
        <v/>
      </c>
      <c r="L243" s="2" t="str">
        <f>IF($A243="","",IFERROR(COUNTIFS(Assignments!$B$6:$B$1000,$A243,Assignments!$E$6:$E$1000,"Cancelled")/MAX(1,COUNTIFS(Assignments!$B$6:$B$1000,$A243,Assignments!$E$6:$E$1000,"Completed")+COUNTIFS(Assignments!$B$6:$B$1000,$A243,Assignments!$E$6:$E$1000,"Cancelled")),""))</f>
        <v/>
      </c>
      <c r="M243" s="2" t="str">
        <f>IF($A243="","",IFERROR(AVERAGEIFS(Assignments!$P$6:$P$1000,Assignments!$B$6:$B$1000,$A243,Assignments!$E$6:$E$1000,"Completed"),""))</f>
        <v/>
      </c>
      <c r="N243" s="2"/>
      <c r="O243" s="2"/>
      <c r="P243" s="1" t="str">
        <f>IF(A243="","",MAX(0,MIN(3,SUMIFS(Strike_Log!$C:$C,Strike_Log!$B:$B,A243,Strike_Log!$A:$A,"&gt;="&amp;IF(Config!$B$1004="Y",TODAY()-Config!$B$1005,DATE(1900,1,1)),Strike_Log!$I:$I,1))))</f>
        <v/>
      </c>
      <c r="Q243" s="1">
        <f t="shared" si="3"/>
        <v>0</v>
      </c>
      <c r="R243" s="1" t="str">
        <f>IF(A243="","",IFERROR(AVERAGEIFS(Assignments!$J:$J,Assignments!$B:$B,A243,Assignments!$E:$E,"Completed"),""))</f>
        <v/>
      </c>
      <c r="S243" s="1" t="str">
        <f>IF(A243="","",COUNTIFS(Assignments!$B:$B,A243,Assignments!$AE:$AE, "Y",Assignments!$D:$D,"&gt;="&amp;TODAY()-30))</f>
        <v/>
      </c>
      <c r="T243" s="1" t="str">
        <f>IF(A243="","",COUNTIFS(Assignments!$AF:$AF,A243,Assignments!$AE:$AE, "Y",Assignments!$D:$D,"&gt;="&amp;TODAY()-30))</f>
        <v/>
      </c>
      <c r="U243" s="1" t="str">
        <f>IF(A243="","",IFERROR(S243/MAX(1,COUNTIFS(Assignments!$B:$B,A243,Assignments!$D:$D,"&gt;="&amp;TODAY()-30)),""))</f>
        <v/>
      </c>
      <c r="V243" s="1" t="str">
        <f t="shared" si="4"/>
        <v/>
      </c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 t="str">
        <f>IF($A244="","",IFERROR(AVERAGEIFS(Assignments!$N$6:$N$1000,Assignments!$B$6:$B$1000,$A244,Assignments!$E$6:$E$1000,"Completed"),""))</f>
        <v/>
      </c>
      <c r="K244" s="2" t="str">
        <f>IF(A244="","",IFERROR(AVERAGEIFS(Assignments!$AO:$AO,Assignments!$B:$B,A244,Assignments!$E:$E,"Completed"),""))</f>
        <v/>
      </c>
      <c r="L244" s="2" t="str">
        <f>IF($A244="","",IFERROR(COUNTIFS(Assignments!$B$6:$B$1000,$A244,Assignments!$E$6:$E$1000,"Cancelled")/MAX(1,COUNTIFS(Assignments!$B$6:$B$1000,$A244,Assignments!$E$6:$E$1000,"Completed")+COUNTIFS(Assignments!$B$6:$B$1000,$A244,Assignments!$E$6:$E$1000,"Cancelled")),""))</f>
        <v/>
      </c>
      <c r="M244" s="2" t="str">
        <f>IF($A244="","",IFERROR(AVERAGEIFS(Assignments!$P$6:$P$1000,Assignments!$B$6:$B$1000,$A244,Assignments!$E$6:$E$1000,"Completed"),""))</f>
        <v/>
      </c>
      <c r="N244" s="2"/>
      <c r="O244" s="2"/>
      <c r="P244" s="1" t="str">
        <f>IF(A244="","",MAX(0,MIN(3,SUMIFS(Strike_Log!$C:$C,Strike_Log!$B:$B,A244,Strike_Log!$A:$A,"&gt;="&amp;IF(Config!$B$1004="Y",TODAY()-Config!$B$1005,DATE(1900,1,1)),Strike_Log!$I:$I,1))))</f>
        <v/>
      </c>
      <c r="Q244" s="1">
        <f t="shared" si="3"/>
        <v>0</v>
      </c>
      <c r="R244" s="1" t="str">
        <f>IF(A244="","",IFERROR(AVERAGEIFS(Assignments!$J:$J,Assignments!$B:$B,A244,Assignments!$E:$E,"Completed"),""))</f>
        <v/>
      </c>
      <c r="S244" s="1" t="str">
        <f>IF(A244="","",COUNTIFS(Assignments!$B:$B,A244,Assignments!$AE:$AE, "Y",Assignments!$D:$D,"&gt;="&amp;TODAY()-30))</f>
        <v/>
      </c>
      <c r="T244" s="1" t="str">
        <f>IF(A244="","",COUNTIFS(Assignments!$AF:$AF,A244,Assignments!$AE:$AE, "Y",Assignments!$D:$D,"&gt;="&amp;TODAY()-30))</f>
        <v/>
      </c>
      <c r="U244" s="1" t="str">
        <f>IF(A244="","",IFERROR(S244/MAX(1,COUNTIFS(Assignments!$B:$B,A244,Assignments!$D:$D,"&gt;="&amp;TODAY()-30)),""))</f>
        <v/>
      </c>
      <c r="V244" s="1" t="str">
        <f t="shared" si="4"/>
        <v/>
      </c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 t="str">
        <f>IF($A245="","",IFERROR(AVERAGEIFS(Assignments!$N$6:$N$1000,Assignments!$B$6:$B$1000,$A245,Assignments!$E$6:$E$1000,"Completed"),""))</f>
        <v/>
      </c>
      <c r="K245" s="2" t="str">
        <f>IF(A245="","",IFERROR(AVERAGEIFS(Assignments!$AO:$AO,Assignments!$B:$B,A245,Assignments!$E:$E,"Completed"),""))</f>
        <v/>
      </c>
      <c r="L245" s="2" t="str">
        <f>IF($A245="","",IFERROR(COUNTIFS(Assignments!$B$6:$B$1000,$A245,Assignments!$E$6:$E$1000,"Cancelled")/MAX(1,COUNTIFS(Assignments!$B$6:$B$1000,$A245,Assignments!$E$6:$E$1000,"Completed")+COUNTIFS(Assignments!$B$6:$B$1000,$A245,Assignments!$E$6:$E$1000,"Cancelled")),""))</f>
        <v/>
      </c>
      <c r="M245" s="2" t="str">
        <f>IF($A245="","",IFERROR(AVERAGEIFS(Assignments!$P$6:$P$1000,Assignments!$B$6:$B$1000,$A245,Assignments!$E$6:$E$1000,"Completed"),""))</f>
        <v/>
      </c>
      <c r="N245" s="2"/>
      <c r="O245" s="2"/>
      <c r="P245" s="1" t="str">
        <f>IF(A245="","",MAX(0,MIN(3,SUMIFS(Strike_Log!$C:$C,Strike_Log!$B:$B,A245,Strike_Log!$A:$A,"&gt;="&amp;IF(Config!$B$1004="Y",TODAY()-Config!$B$1005,DATE(1900,1,1)),Strike_Log!$I:$I,1))))</f>
        <v/>
      </c>
      <c r="Q245" s="1">
        <f t="shared" si="3"/>
        <v>0</v>
      </c>
      <c r="R245" s="1" t="str">
        <f>IF(A245="","",IFERROR(AVERAGEIFS(Assignments!$J:$J,Assignments!$B:$B,A245,Assignments!$E:$E,"Completed"),""))</f>
        <v/>
      </c>
      <c r="S245" s="1" t="str">
        <f>IF(A245="","",COUNTIFS(Assignments!$B:$B,A245,Assignments!$AE:$AE, "Y",Assignments!$D:$D,"&gt;="&amp;TODAY()-30))</f>
        <v/>
      </c>
      <c r="T245" s="1" t="str">
        <f>IF(A245="","",COUNTIFS(Assignments!$AF:$AF,A245,Assignments!$AE:$AE, "Y",Assignments!$D:$D,"&gt;="&amp;TODAY()-30))</f>
        <v/>
      </c>
      <c r="U245" s="1" t="str">
        <f>IF(A245="","",IFERROR(S245/MAX(1,COUNTIFS(Assignments!$B:$B,A245,Assignments!$D:$D,"&gt;="&amp;TODAY()-30)),""))</f>
        <v/>
      </c>
      <c r="V245" s="1" t="str">
        <f t="shared" si="4"/>
        <v/>
      </c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 t="str">
        <f>IF($A246="","",IFERROR(AVERAGEIFS(Assignments!$N$6:$N$1000,Assignments!$B$6:$B$1000,$A246,Assignments!$E$6:$E$1000,"Completed"),""))</f>
        <v/>
      </c>
      <c r="K246" s="2" t="str">
        <f>IF(A246="","",IFERROR(AVERAGEIFS(Assignments!$AO:$AO,Assignments!$B:$B,A246,Assignments!$E:$E,"Completed"),""))</f>
        <v/>
      </c>
      <c r="L246" s="2" t="str">
        <f>IF($A246="","",IFERROR(COUNTIFS(Assignments!$B$6:$B$1000,$A246,Assignments!$E$6:$E$1000,"Cancelled")/MAX(1,COUNTIFS(Assignments!$B$6:$B$1000,$A246,Assignments!$E$6:$E$1000,"Completed")+COUNTIFS(Assignments!$B$6:$B$1000,$A246,Assignments!$E$6:$E$1000,"Cancelled")),""))</f>
        <v/>
      </c>
      <c r="M246" s="2" t="str">
        <f>IF($A246="","",IFERROR(AVERAGEIFS(Assignments!$P$6:$P$1000,Assignments!$B$6:$B$1000,$A246,Assignments!$E$6:$E$1000,"Completed"),""))</f>
        <v/>
      </c>
      <c r="N246" s="2"/>
      <c r="O246" s="2"/>
      <c r="P246" s="1" t="str">
        <f>IF(A246="","",MAX(0,MIN(3,SUMIFS(Strike_Log!$C:$C,Strike_Log!$B:$B,A246,Strike_Log!$A:$A,"&gt;="&amp;IF(Config!$B$1004="Y",TODAY()-Config!$B$1005,DATE(1900,1,1)),Strike_Log!$I:$I,1))))</f>
        <v/>
      </c>
      <c r="Q246" s="1">
        <f t="shared" si="3"/>
        <v>0</v>
      </c>
      <c r="R246" s="1" t="str">
        <f>IF(A246="","",IFERROR(AVERAGEIFS(Assignments!$J:$J,Assignments!$B:$B,A246,Assignments!$E:$E,"Completed"),""))</f>
        <v/>
      </c>
      <c r="S246" s="1" t="str">
        <f>IF(A246="","",COUNTIFS(Assignments!$B:$B,A246,Assignments!$AE:$AE, "Y",Assignments!$D:$D,"&gt;="&amp;TODAY()-30))</f>
        <v/>
      </c>
      <c r="T246" s="1" t="str">
        <f>IF(A246="","",COUNTIFS(Assignments!$AF:$AF,A246,Assignments!$AE:$AE, "Y",Assignments!$D:$D,"&gt;="&amp;TODAY()-30))</f>
        <v/>
      </c>
      <c r="U246" s="1" t="str">
        <f>IF(A246="","",IFERROR(S246/MAX(1,COUNTIFS(Assignments!$B:$B,A246,Assignments!$D:$D,"&gt;="&amp;TODAY()-30)),""))</f>
        <v/>
      </c>
      <c r="V246" s="1" t="str">
        <f t="shared" si="4"/>
        <v/>
      </c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 t="str">
        <f>IF($A247="","",IFERROR(AVERAGEIFS(Assignments!$N$6:$N$1000,Assignments!$B$6:$B$1000,$A247,Assignments!$E$6:$E$1000,"Completed"),""))</f>
        <v/>
      </c>
      <c r="K247" s="2" t="str">
        <f>IF(A247="","",IFERROR(AVERAGEIFS(Assignments!$AO:$AO,Assignments!$B:$B,A247,Assignments!$E:$E,"Completed"),""))</f>
        <v/>
      </c>
      <c r="L247" s="2" t="str">
        <f>IF($A247="","",IFERROR(COUNTIFS(Assignments!$B$6:$B$1000,$A247,Assignments!$E$6:$E$1000,"Cancelled")/MAX(1,COUNTIFS(Assignments!$B$6:$B$1000,$A247,Assignments!$E$6:$E$1000,"Completed")+COUNTIFS(Assignments!$B$6:$B$1000,$A247,Assignments!$E$6:$E$1000,"Cancelled")),""))</f>
        <v/>
      </c>
      <c r="M247" s="2" t="str">
        <f>IF($A247="","",IFERROR(AVERAGEIFS(Assignments!$P$6:$P$1000,Assignments!$B$6:$B$1000,$A247,Assignments!$E$6:$E$1000,"Completed"),""))</f>
        <v/>
      </c>
      <c r="N247" s="2"/>
      <c r="O247" s="2"/>
      <c r="P247" s="1" t="str">
        <f>IF(A247="","",MAX(0,MIN(3,SUMIFS(Strike_Log!$C:$C,Strike_Log!$B:$B,A247,Strike_Log!$A:$A,"&gt;="&amp;IF(Config!$B$1004="Y",TODAY()-Config!$B$1005,DATE(1900,1,1)),Strike_Log!$I:$I,1))))</f>
        <v/>
      </c>
      <c r="Q247" s="1">
        <f t="shared" si="3"/>
        <v>0</v>
      </c>
      <c r="R247" s="1" t="str">
        <f>IF(A247="","",IFERROR(AVERAGEIFS(Assignments!$J:$J,Assignments!$B:$B,A247,Assignments!$E:$E,"Completed"),""))</f>
        <v/>
      </c>
      <c r="S247" s="1" t="str">
        <f>IF(A247="","",COUNTIFS(Assignments!$B:$B,A247,Assignments!$AE:$AE, "Y",Assignments!$D:$D,"&gt;="&amp;TODAY()-30))</f>
        <v/>
      </c>
      <c r="T247" s="1" t="str">
        <f>IF(A247="","",COUNTIFS(Assignments!$AF:$AF,A247,Assignments!$AE:$AE, "Y",Assignments!$D:$D,"&gt;="&amp;TODAY()-30))</f>
        <v/>
      </c>
      <c r="U247" s="1" t="str">
        <f>IF(A247="","",IFERROR(S247/MAX(1,COUNTIFS(Assignments!$B:$B,A247,Assignments!$D:$D,"&gt;="&amp;TODAY()-30)),""))</f>
        <v/>
      </c>
      <c r="V247" s="1" t="str">
        <f t="shared" si="4"/>
        <v/>
      </c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 t="str">
        <f>IF($A248="","",IFERROR(AVERAGEIFS(Assignments!$N$6:$N$1000,Assignments!$B$6:$B$1000,$A248,Assignments!$E$6:$E$1000,"Completed"),""))</f>
        <v/>
      </c>
      <c r="K248" s="2" t="str">
        <f>IF(A248="","",IFERROR(AVERAGEIFS(Assignments!$AO:$AO,Assignments!$B:$B,A248,Assignments!$E:$E,"Completed"),""))</f>
        <v/>
      </c>
      <c r="L248" s="2" t="str">
        <f>IF($A248="","",IFERROR(COUNTIFS(Assignments!$B$6:$B$1000,$A248,Assignments!$E$6:$E$1000,"Cancelled")/MAX(1,COUNTIFS(Assignments!$B$6:$B$1000,$A248,Assignments!$E$6:$E$1000,"Completed")+COUNTIFS(Assignments!$B$6:$B$1000,$A248,Assignments!$E$6:$E$1000,"Cancelled")),""))</f>
        <v/>
      </c>
      <c r="M248" s="2" t="str">
        <f>IF($A248="","",IFERROR(AVERAGEIFS(Assignments!$P$6:$P$1000,Assignments!$B$6:$B$1000,$A248,Assignments!$E$6:$E$1000,"Completed"),""))</f>
        <v/>
      </c>
      <c r="N248" s="2"/>
      <c r="O248" s="2"/>
      <c r="P248" s="1" t="str">
        <f>IF(A248="","",MAX(0,MIN(3,SUMIFS(Strike_Log!$C:$C,Strike_Log!$B:$B,A248,Strike_Log!$A:$A,"&gt;="&amp;IF(Config!$B$1004="Y",TODAY()-Config!$B$1005,DATE(1900,1,1)),Strike_Log!$I:$I,1))))</f>
        <v/>
      </c>
      <c r="Q248" s="1">
        <f t="shared" si="3"/>
        <v>0</v>
      </c>
      <c r="R248" s="1" t="str">
        <f>IF(A248="","",IFERROR(AVERAGEIFS(Assignments!$J:$J,Assignments!$B:$B,A248,Assignments!$E:$E,"Completed"),""))</f>
        <v/>
      </c>
      <c r="S248" s="1" t="str">
        <f>IF(A248="","",COUNTIFS(Assignments!$B:$B,A248,Assignments!$AE:$AE, "Y",Assignments!$D:$D,"&gt;="&amp;TODAY()-30))</f>
        <v/>
      </c>
      <c r="T248" s="1" t="str">
        <f>IF(A248="","",COUNTIFS(Assignments!$AF:$AF,A248,Assignments!$AE:$AE, "Y",Assignments!$D:$D,"&gt;="&amp;TODAY()-30))</f>
        <v/>
      </c>
      <c r="U248" s="1" t="str">
        <f>IF(A248="","",IFERROR(S248/MAX(1,COUNTIFS(Assignments!$B:$B,A248,Assignments!$D:$D,"&gt;="&amp;TODAY()-30)),""))</f>
        <v/>
      </c>
      <c r="V248" s="1" t="str">
        <f t="shared" si="4"/>
        <v/>
      </c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 t="str">
        <f>IF($A249="","",IFERROR(AVERAGEIFS(Assignments!$N$6:$N$1000,Assignments!$B$6:$B$1000,$A249,Assignments!$E$6:$E$1000,"Completed"),""))</f>
        <v/>
      </c>
      <c r="K249" s="2" t="str">
        <f>IF(A249="","",IFERROR(AVERAGEIFS(Assignments!$AO:$AO,Assignments!$B:$B,A249,Assignments!$E:$E,"Completed"),""))</f>
        <v/>
      </c>
      <c r="L249" s="2" t="str">
        <f>IF($A249="","",IFERROR(COUNTIFS(Assignments!$B$6:$B$1000,$A249,Assignments!$E$6:$E$1000,"Cancelled")/MAX(1,COUNTIFS(Assignments!$B$6:$B$1000,$A249,Assignments!$E$6:$E$1000,"Completed")+COUNTIFS(Assignments!$B$6:$B$1000,$A249,Assignments!$E$6:$E$1000,"Cancelled")),""))</f>
        <v/>
      </c>
      <c r="M249" s="2" t="str">
        <f>IF($A249="","",IFERROR(AVERAGEIFS(Assignments!$P$6:$P$1000,Assignments!$B$6:$B$1000,$A249,Assignments!$E$6:$E$1000,"Completed"),""))</f>
        <v/>
      </c>
      <c r="N249" s="2"/>
      <c r="O249" s="2"/>
      <c r="P249" s="1" t="str">
        <f>IF(A249="","",MAX(0,MIN(3,SUMIFS(Strike_Log!$C:$C,Strike_Log!$B:$B,A249,Strike_Log!$A:$A,"&gt;="&amp;IF(Config!$B$1004="Y",TODAY()-Config!$B$1005,DATE(1900,1,1)),Strike_Log!$I:$I,1))))</f>
        <v/>
      </c>
      <c r="Q249" s="1">
        <f t="shared" si="3"/>
        <v>0</v>
      </c>
      <c r="R249" s="1" t="str">
        <f>IF(A249="","",IFERROR(AVERAGEIFS(Assignments!$J:$J,Assignments!$B:$B,A249,Assignments!$E:$E,"Completed"),""))</f>
        <v/>
      </c>
      <c r="S249" s="1" t="str">
        <f>IF(A249="","",COUNTIFS(Assignments!$B:$B,A249,Assignments!$AE:$AE, "Y",Assignments!$D:$D,"&gt;="&amp;TODAY()-30))</f>
        <v/>
      </c>
      <c r="T249" s="1" t="str">
        <f>IF(A249="","",COUNTIFS(Assignments!$AF:$AF,A249,Assignments!$AE:$AE, "Y",Assignments!$D:$D,"&gt;="&amp;TODAY()-30))</f>
        <v/>
      </c>
      <c r="U249" s="1" t="str">
        <f>IF(A249="","",IFERROR(S249/MAX(1,COUNTIFS(Assignments!$B:$B,A249,Assignments!$D:$D,"&gt;="&amp;TODAY()-30)),""))</f>
        <v/>
      </c>
      <c r="V249" s="1" t="str">
        <f t="shared" si="4"/>
        <v/>
      </c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 t="str">
        <f>IF($A250="","",IFERROR(AVERAGEIFS(Assignments!$N$6:$N$1000,Assignments!$B$6:$B$1000,$A250,Assignments!$E$6:$E$1000,"Completed"),""))</f>
        <v/>
      </c>
      <c r="K250" s="2" t="str">
        <f>IF(A250="","",IFERROR(AVERAGEIFS(Assignments!$AO:$AO,Assignments!$B:$B,A250,Assignments!$E:$E,"Completed"),""))</f>
        <v/>
      </c>
      <c r="L250" s="2" t="str">
        <f>IF($A250="","",IFERROR(COUNTIFS(Assignments!$B$6:$B$1000,$A250,Assignments!$E$6:$E$1000,"Cancelled")/MAX(1,COUNTIFS(Assignments!$B$6:$B$1000,$A250,Assignments!$E$6:$E$1000,"Completed")+COUNTIFS(Assignments!$B$6:$B$1000,$A250,Assignments!$E$6:$E$1000,"Cancelled")),""))</f>
        <v/>
      </c>
      <c r="M250" s="2" t="str">
        <f>IF($A250="","",IFERROR(AVERAGEIFS(Assignments!$P$6:$P$1000,Assignments!$B$6:$B$1000,$A250,Assignments!$E$6:$E$1000,"Completed"),""))</f>
        <v/>
      </c>
      <c r="N250" s="2"/>
      <c r="O250" s="2"/>
      <c r="P250" s="1" t="str">
        <f>IF(A250="","",MAX(0,MIN(3,SUMIFS(Strike_Log!$C:$C,Strike_Log!$B:$B,A250,Strike_Log!$A:$A,"&gt;="&amp;IF(Config!$B$1004="Y",TODAY()-Config!$B$1005,DATE(1900,1,1)),Strike_Log!$I:$I,1))))</f>
        <v/>
      </c>
      <c r="Q250" s="1">
        <f t="shared" si="3"/>
        <v>0</v>
      </c>
      <c r="R250" s="1" t="str">
        <f>IF(A250="","",IFERROR(AVERAGEIFS(Assignments!$J:$J,Assignments!$B:$B,A250,Assignments!$E:$E,"Completed"),""))</f>
        <v/>
      </c>
      <c r="S250" s="1" t="str">
        <f>IF(A250="","",COUNTIFS(Assignments!$B:$B,A250,Assignments!$AE:$AE, "Y",Assignments!$D:$D,"&gt;="&amp;TODAY()-30))</f>
        <v/>
      </c>
      <c r="T250" s="1" t="str">
        <f>IF(A250="","",COUNTIFS(Assignments!$AF:$AF,A250,Assignments!$AE:$AE, "Y",Assignments!$D:$D,"&gt;="&amp;TODAY()-30))</f>
        <v/>
      </c>
      <c r="U250" s="1" t="str">
        <f>IF(A250="","",IFERROR(S250/MAX(1,COUNTIFS(Assignments!$B:$B,A250,Assignments!$D:$D,"&gt;="&amp;TODAY()-30)),""))</f>
        <v/>
      </c>
      <c r="V250" s="1" t="str">
        <f t="shared" si="4"/>
        <v/>
      </c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 t="str">
        <f>IF($A251="","",IFERROR(AVERAGEIFS(Assignments!$N$6:$N$1000,Assignments!$B$6:$B$1000,$A251,Assignments!$E$6:$E$1000,"Completed"),""))</f>
        <v/>
      </c>
      <c r="K251" s="2" t="str">
        <f>IF(A251="","",IFERROR(AVERAGEIFS(Assignments!$AO:$AO,Assignments!$B:$B,A251,Assignments!$E:$E,"Completed"),""))</f>
        <v/>
      </c>
      <c r="L251" s="2" t="str">
        <f>IF($A251="","",IFERROR(COUNTIFS(Assignments!$B$6:$B$1000,$A251,Assignments!$E$6:$E$1000,"Cancelled")/MAX(1,COUNTIFS(Assignments!$B$6:$B$1000,$A251,Assignments!$E$6:$E$1000,"Completed")+COUNTIFS(Assignments!$B$6:$B$1000,$A251,Assignments!$E$6:$E$1000,"Cancelled")),""))</f>
        <v/>
      </c>
      <c r="M251" s="2" t="str">
        <f>IF($A251="","",IFERROR(AVERAGEIFS(Assignments!$P$6:$P$1000,Assignments!$B$6:$B$1000,$A251,Assignments!$E$6:$E$1000,"Completed"),""))</f>
        <v/>
      </c>
      <c r="N251" s="2"/>
      <c r="O251" s="2"/>
      <c r="P251" s="1" t="str">
        <f>IF(A251="","",MAX(0,MIN(3,SUMIFS(Strike_Log!$C:$C,Strike_Log!$B:$B,A251,Strike_Log!$A:$A,"&gt;="&amp;IF(Config!$B$1004="Y",TODAY()-Config!$B$1005,DATE(1900,1,1)),Strike_Log!$I:$I,1))))</f>
        <v/>
      </c>
      <c r="Q251" s="1">
        <f t="shared" si="3"/>
        <v>0</v>
      </c>
      <c r="R251" s="1" t="str">
        <f>IF(A251="","",IFERROR(AVERAGEIFS(Assignments!$J:$J,Assignments!$B:$B,A251,Assignments!$E:$E,"Completed"),""))</f>
        <v/>
      </c>
      <c r="S251" s="1" t="str">
        <f>IF(A251="","",COUNTIFS(Assignments!$B:$B,A251,Assignments!$AE:$AE, "Y",Assignments!$D:$D,"&gt;="&amp;TODAY()-30))</f>
        <v/>
      </c>
      <c r="T251" s="1" t="str">
        <f>IF(A251="","",COUNTIFS(Assignments!$AF:$AF,A251,Assignments!$AE:$AE, "Y",Assignments!$D:$D,"&gt;="&amp;TODAY()-30))</f>
        <v/>
      </c>
      <c r="U251" s="1" t="str">
        <f>IF(A251="","",IFERROR(S251/MAX(1,COUNTIFS(Assignments!$B:$B,A251,Assignments!$D:$D,"&gt;="&amp;TODAY()-30)),""))</f>
        <v/>
      </c>
      <c r="V251" s="1" t="str">
        <f t="shared" si="4"/>
        <v/>
      </c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 t="str">
        <f>IF($A252="","",IFERROR(AVERAGEIFS(Assignments!$N$6:$N$1000,Assignments!$B$6:$B$1000,$A252,Assignments!$E$6:$E$1000,"Completed"),""))</f>
        <v/>
      </c>
      <c r="K252" s="2" t="str">
        <f>IF(A252="","",IFERROR(AVERAGEIFS(Assignments!$AO:$AO,Assignments!$B:$B,A252,Assignments!$E:$E,"Completed"),""))</f>
        <v/>
      </c>
      <c r="L252" s="2" t="str">
        <f>IF($A252="","",IFERROR(COUNTIFS(Assignments!$B$6:$B$1000,$A252,Assignments!$E$6:$E$1000,"Cancelled")/MAX(1,COUNTIFS(Assignments!$B$6:$B$1000,$A252,Assignments!$E$6:$E$1000,"Completed")+COUNTIFS(Assignments!$B$6:$B$1000,$A252,Assignments!$E$6:$E$1000,"Cancelled")),""))</f>
        <v/>
      </c>
      <c r="M252" s="2" t="str">
        <f>IF($A252="","",IFERROR(AVERAGEIFS(Assignments!$P$6:$P$1000,Assignments!$B$6:$B$1000,$A252,Assignments!$E$6:$E$1000,"Completed"),""))</f>
        <v/>
      </c>
      <c r="N252" s="2"/>
      <c r="O252" s="2"/>
      <c r="P252" s="1" t="str">
        <f>IF(A252="","",MAX(0,MIN(3,SUMIFS(Strike_Log!$C:$C,Strike_Log!$B:$B,A252,Strike_Log!$A:$A,"&gt;="&amp;IF(Config!$B$1004="Y",TODAY()-Config!$B$1005,DATE(1900,1,1)),Strike_Log!$I:$I,1))))</f>
        <v/>
      </c>
      <c r="Q252" s="1">
        <f t="shared" si="3"/>
        <v>0</v>
      </c>
      <c r="R252" s="1" t="str">
        <f>IF(A252="","",IFERROR(AVERAGEIFS(Assignments!$J:$J,Assignments!$B:$B,A252,Assignments!$E:$E,"Completed"),""))</f>
        <v/>
      </c>
      <c r="S252" s="1" t="str">
        <f>IF(A252="","",COUNTIFS(Assignments!$B:$B,A252,Assignments!$AE:$AE, "Y",Assignments!$D:$D,"&gt;="&amp;TODAY()-30))</f>
        <v/>
      </c>
      <c r="T252" s="1" t="str">
        <f>IF(A252="","",COUNTIFS(Assignments!$AF:$AF,A252,Assignments!$AE:$AE, "Y",Assignments!$D:$D,"&gt;="&amp;TODAY()-30))</f>
        <v/>
      </c>
      <c r="U252" s="1" t="str">
        <f>IF(A252="","",IFERROR(S252/MAX(1,COUNTIFS(Assignments!$B:$B,A252,Assignments!$D:$D,"&gt;="&amp;TODAY()-30)),""))</f>
        <v/>
      </c>
      <c r="V252" s="1" t="str">
        <f t="shared" si="4"/>
        <v/>
      </c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 t="str">
        <f>IF($A253="","",IFERROR(AVERAGEIFS(Assignments!$N$6:$N$1000,Assignments!$B$6:$B$1000,$A253,Assignments!$E$6:$E$1000,"Completed"),""))</f>
        <v/>
      </c>
      <c r="K253" s="2" t="str">
        <f>IF(A253="","",IFERROR(AVERAGEIFS(Assignments!$AO:$AO,Assignments!$B:$B,A253,Assignments!$E:$E,"Completed"),""))</f>
        <v/>
      </c>
      <c r="L253" s="2" t="str">
        <f>IF($A253="","",IFERROR(COUNTIFS(Assignments!$B$6:$B$1000,$A253,Assignments!$E$6:$E$1000,"Cancelled")/MAX(1,COUNTIFS(Assignments!$B$6:$B$1000,$A253,Assignments!$E$6:$E$1000,"Completed")+COUNTIFS(Assignments!$B$6:$B$1000,$A253,Assignments!$E$6:$E$1000,"Cancelled")),""))</f>
        <v/>
      </c>
      <c r="M253" s="2" t="str">
        <f>IF($A253="","",IFERROR(AVERAGEIFS(Assignments!$P$6:$P$1000,Assignments!$B$6:$B$1000,$A253,Assignments!$E$6:$E$1000,"Completed"),""))</f>
        <v/>
      </c>
      <c r="N253" s="2"/>
      <c r="O253" s="2"/>
      <c r="P253" s="1" t="str">
        <f>IF(A253="","",MAX(0,MIN(3,SUMIFS(Strike_Log!$C:$C,Strike_Log!$B:$B,A253,Strike_Log!$A:$A,"&gt;="&amp;IF(Config!$B$1004="Y",TODAY()-Config!$B$1005,DATE(1900,1,1)),Strike_Log!$I:$I,1))))</f>
        <v/>
      </c>
      <c r="Q253" s="1">
        <f t="shared" si="3"/>
        <v>0</v>
      </c>
      <c r="R253" s="1" t="str">
        <f>IF(A253="","",IFERROR(AVERAGEIFS(Assignments!$J:$J,Assignments!$B:$B,A253,Assignments!$E:$E,"Completed"),""))</f>
        <v/>
      </c>
      <c r="S253" s="1" t="str">
        <f>IF(A253="","",COUNTIFS(Assignments!$B:$B,A253,Assignments!$AE:$AE, "Y",Assignments!$D:$D,"&gt;="&amp;TODAY()-30))</f>
        <v/>
      </c>
      <c r="T253" s="1" t="str">
        <f>IF(A253="","",COUNTIFS(Assignments!$AF:$AF,A253,Assignments!$AE:$AE, "Y",Assignments!$D:$D,"&gt;="&amp;TODAY()-30))</f>
        <v/>
      </c>
      <c r="U253" s="1" t="str">
        <f>IF(A253="","",IFERROR(S253/MAX(1,COUNTIFS(Assignments!$B:$B,A253,Assignments!$D:$D,"&gt;="&amp;TODAY()-30)),""))</f>
        <v/>
      </c>
      <c r="V253" s="1" t="str">
        <f t="shared" si="4"/>
        <v/>
      </c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 t="str">
        <f>IF($A254="","",IFERROR(AVERAGEIFS(Assignments!$N$6:$N$1000,Assignments!$B$6:$B$1000,$A254,Assignments!$E$6:$E$1000,"Completed"),""))</f>
        <v/>
      </c>
      <c r="K254" s="2" t="str">
        <f>IF(A254="","",IFERROR(AVERAGEIFS(Assignments!$AO:$AO,Assignments!$B:$B,A254,Assignments!$E:$E,"Completed"),""))</f>
        <v/>
      </c>
      <c r="L254" s="2" t="str">
        <f>IF($A254="","",IFERROR(COUNTIFS(Assignments!$B$6:$B$1000,$A254,Assignments!$E$6:$E$1000,"Cancelled")/MAX(1,COUNTIFS(Assignments!$B$6:$B$1000,$A254,Assignments!$E$6:$E$1000,"Completed")+COUNTIFS(Assignments!$B$6:$B$1000,$A254,Assignments!$E$6:$E$1000,"Cancelled")),""))</f>
        <v/>
      </c>
      <c r="M254" s="2" t="str">
        <f>IF($A254="","",IFERROR(AVERAGEIFS(Assignments!$P$6:$P$1000,Assignments!$B$6:$B$1000,$A254,Assignments!$E$6:$E$1000,"Completed"),""))</f>
        <v/>
      </c>
      <c r="N254" s="2"/>
      <c r="O254" s="2"/>
      <c r="P254" s="1" t="str">
        <f>IF(A254="","",MAX(0,MIN(3,SUMIFS(Strike_Log!$C:$C,Strike_Log!$B:$B,A254,Strike_Log!$A:$A,"&gt;="&amp;IF(Config!$B$1004="Y",TODAY()-Config!$B$1005,DATE(1900,1,1)),Strike_Log!$I:$I,1))))</f>
        <v/>
      </c>
      <c r="Q254" s="1">
        <f t="shared" si="3"/>
        <v>0</v>
      </c>
      <c r="R254" s="1" t="str">
        <f>IF(A254="","",IFERROR(AVERAGEIFS(Assignments!$J:$J,Assignments!$B:$B,A254,Assignments!$E:$E,"Completed"),""))</f>
        <v/>
      </c>
      <c r="S254" s="1" t="str">
        <f>IF(A254="","",COUNTIFS(Assignments!$B:$B,A254,Assignments!$AE:$AE, "Y",Assignments!$D:$D,"&gt;="&amp;TODAY()-30))</f>
        <v/>
      </c>
      <c r="T254" s="1" t="str">
        <f>IF(A254="","",COUNTIFS(Assignments!$AF:$AF,A254,Assignments!$AE:$AE, "Y",Assignments!$D:$D,"&gt;="&amp;TODAY()-30))</f>
        <v/>
      </c>
      <c r="U254" s="1" t="str">
        <f>IF(A254="","",IFERROR(S254/MAX(1,COUNTIFS(Assignments!$B:$B,A254,Assignments!$D:$D,"&gt;="&amp;TODAY()-30)),""))</f>
        <v/>
      </c>
      <c r="V254" s="1" t="str">
        <f t="shared" si="4"/>
        <v/>
      </c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 t="str">
        <f>IF($A255="","",IFERROR(AVERAGEIFS(Assignments!$N$6:$N$1000,Assignments!$B$6:$B$1000,$A255,Assignments!$E$6:$E$1000,"Completed"),""))</f>
        <v/>
      </c>
      <c r="K255" s="2" t="str">
        <f>IF(A255="","",IFERROR(AVERAGEIFS(Assignments!$AO:$AO,Assignments!$B:$B,A255,Assignments!$E:$E,"Completed"),""))</f>
        <v/>
      </c>
      <c r="L255" s="2" t="str">
        <f>IF($A255="","",IFERROR(COUNTIFS(Assignments!$B$6:$B$1000,$A255,Assignments!$E$6:$E$1000,"Cancelled")/MAX(1,COUNTIFS(Assignments!$B$6:$B$1000,$A255,Assignments!$E$6:$E$1000,"Completed")+COUNTIFS(Assignments!$B$6:$B$1000,$A255,Assignments!$E$6:$E$1000,"Cancelled")),""))</f>
        <v/>
      </c>
      <c r="M255" s="2" t="str">
        <f>IF($A255="","",IFERROR(AVERAGEIFS(Assignments!$P$6:$P$1000,Assignments!$B$6:$B$1000,$A255,Assignments!$E$6:$E$1000,"Completed"),""))</f>
        <v/>
      </c>
      <c r="N255" s="2"/>
      <c r="O255" s="2"/>
      <c r="P255" s="1" t="str">
        <f>IF(A255="","",MAX(0,MIN(3,SUMIFS(Strike_Log!$C:$C,Strike_Log!$B:$B,A255,Strike_Log!$A:$A,"&gt;="&amp;IF(Config!$B$1004="Y",TODAY()-Config!$B$1005,DATE(1900,1,1)),Strike_Log!$I:$I,1))))</f>
        <v/>
      </c>
      <c r="Q255" s="1">
        <f t="shared" si="3"/>
        <v>0</v>
      </c>
      <c r="R255" s="1" t="str">
        <f>IF(A255="","",IFERROR(AVERAGEIFS(Assignments!$J:$J,Assignments!$B:$B,A255,Assignments!$E:$E,"Completed"),""))</f>
        <v/>
      </c>
      <c r="S255" s="1" t="str">
        <f>IF(A255="","",COUNTIFS(Assignments!$B:$B,A255,Assignments!$AE:$AE, "Y",Assignments!$D:$D,"&gt;="&amp;TODAY()-30))</f>
        <v/>
      </c>
      <c r="T255" s="1" t="str">
        <f>IF(A255="","",COUNTIFS(Assignments!$AF:$AF,A255,Assignments!$AE:$AE, "Y",Assignments!$D:$D,"&gt;="&amp;TODAY()-30))</f>
        <v/>
      </c>
      <c r="U255" s="1" t="str">
        <f>IF(A255="","",IFERROR(S255/MAX(1,COUNTIFS(Assignments!$B:$B,A255,Assignments!$D:$D,"&gt;="&amp;TODAY()-30)),""))</f>
        <v/>
      </c>
      <c r="V255" s="1" t="str">
        <f t="shared" si="4"/>
        <v/>
      </c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 t="str">
        <f>IF($A256="","",IFERROR(AVERAGEIFS(Assignments!$N$6:$N$1000,Assignments!$B$6:$B$1000,$A256,Assignments!$E$6:$E$1000,"Completed"),""))</f>
        <v/>
      </c>
      <c r="K256" s="2" t="str">
        <f>IF(A256="","",IFERROR(AVERAGEIFS(Assignments!$AO:$AO,Assignments!$B:$B,A256,Assignments!$E:$E,"Completed"),""))</f>
        <v/>
      </c>
      <c r="L256" s="2" t="str">
        <f>IF($A256="","",IFERROR(COUNTIFS(Assignments!$B$6:$B$1000,$A256,Assignments!$E$6:$E$1000,"Cancelled")/MAX(1,COUNTIFS(Assignments!$B$6:$B$1000,$A256,Assignments!$E$6:$E$1000,"Completed")+COUNTIFS(Assignments!$B$6:$B$1000,$A256,Assignments!$E$6:$E$1000,"Cancelled")),""))</f>
        <v/>
      </c>
      <c r="M256" s="2" t="str">
        <f>IF($A256="","",IFERROR(AVERAGEIFS(Assignments!$P$6:$P$1000,Assignments!$B$6:$B$1000,$A256,Assignments!$E$6:$E$1000,"Completed"),""))</f>
        <v/>
      </c>
      <c r="N256" s="2"/>
      <c r="O256" s="2"/>
      <c r="P256" s="1" t="str">
        <f>IF(A256="","",MAX(0,MIN(3,SUMIFS(Strike_Log!$C:$C,Strike_Log!$B:$B,A256,Strike_Log!$A:$A,"&gt;="&amp;IF(Config!$B$1004="Y",TODAY()-Config!$B$1005,DATE(1900,1,1)),Strike_Log!$I:$I,1))))</f>
        <v/>
      </c>
      <c r="Q256" s="1">
        <f t="shared" si="3"/>
        <v>0</v>
      </c>
      <c r="R256" s="1" t="str">
        <f>IF(A256="","",IFERROR(AVERAGEIFS(Assignments!$J:$J,Assignments!$B:$B,A256,Assignments!$E:$E,"Completed"),""))</f>
        <v/>
      </c>
      <c r="S256" s="1" t="str">
        <f>IF(A256="","",COUNTIFS(Assignments!$B:$B,A256,Assignments!$AE:$AE, "Y",Assignments!$D:$D,"&gt;="&amp;TODAY()-30))</f>
        <v/>
      </c>
      <c r="T256" s="1" t="str">
        <f>IF(A256="","",COUNTIFS(Assignments!$AF:$AF,A256,Assignments!$AE:$AE, "Y",Assignments!$D:$D,"&gt;="&amp;TODAY()-30))</f>
        <v/>
      </c>
      <c r="U256" s="1" t="str">
        <f>IF(A256="","",IFERROR(S256/MAX(1,COUNTIFS(Assignments!$B:$B,A256,Assignments!$D:$D,"&gt;="&amp;TODAY()-30)),""))</f>
        <v/>
      </c>
      <c r="V256" s="1" t="str">
        <f t="shared" si="4"/>
        <v/>
      </c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 t="str">
        <f>IF($A257="","",IFERROR(AVERAGEIFS(Assignments!$N$6:$N$1000,Assignments!$B$6:$B$1000,$A257,Assignments!$E$6:$E$1000,"Completed"),""))</f>
        <v/>
      </c>
      <c r="K257" s="2" t="str">
        <f>IF(A257="","",IFERROR(AVERAGEIFS(Assignments!$AO:$AO,Assignments!$B:$B,A257,Assignments!$E:$E,"Completed"),""))</f>
        <v/>
      </c>
      <c r="L257" s="2" t="str">
        <f>IF($A257="","",IFERROR(COUNTIFS(Assignments!$B$6:$B$1000,$A257,Assignments!$E$6:$E$1000,"Cancelled")/MAX(1,COUNTIFS(Assignments!$B$6:$B$1000,$A257,Assignments!$E$6:$E$1000,"Completed")+COUNTIFS(Assignments!$B$6:$B$1000,$A257,Assignments!$E$6:$E$1000,"Cancelled")),""))</f>
        <v/>
      </c>
      <c r="M257" s="2" t="str">
        <f>IF($A257="","",IFERROR(AVERAGEIFS(Assignments!$P$6:$P$1000,Assignments!$B$6:$B$1000,$A257,Assignments!$E$6:$E$1000,"Completed"),""))</f>
        <v/>
      </c>
      <c r="N257" s="2"/>
      <c r="O257" s="2"/>
      <c r="P257" s="1" t="str">
        <f>IF(A257="","",MAX(0,MIN(3,SUMIFS(Strike_Log!$C:$C,Strike_Log!$B:$B,A257,Strike_Log!$A:$A,"&gt;="&amp;IF(Config!$B$1004="Y",TODAY()-Config!$B$1005,DATE(1900,1,1)),Strike_Log!$I:$I,1))))</f>
        <v/>
      </c>
      <c r="Q257" s="1">
        <f t="shared" si="3"/>
        <v>0</v>
      </c>
      <c r="R257" s="1" t="str">
        <f>IF(A257="","",IFERROR(AVERAGEIFS(Assignments!$J:$J,Assignments!$B:$B,A257,Assignments!$E:$E,"Completed"),""))</f>
        <v/>
      </c>
      <c r="S257" s="1" t="str">
        <f>IF(A257="","",COUNTIFS(Assignments!$B:$B,A257,Assignments!$AE:$AE, "Y",Assignments!$D:$D,"&gt;="&amp;TODAY()-30))</f>
        <v/>
      </c>
      <c r="T257" s="1" t="str">
        <f>IF(A257="","",COUNTIFS(Assignments!$AF:$AF,A257,Assignments!$AE:$AE, "Y",Assignments!$D:$D,"&gt;="&amp;TODAY()-30))</f>
        <v/>
      </c>
      <c r="U257" s="1" t="str">
        <f>IF(A257="","",IFERROR(S257/MAX(1,COUNTIFS(Assignments!$B:$B,A257,Assignments!$D:$D,"&gt;="&amp;TODAY()-30)),""))</f>
        <v/>
      </c>
      <c r="V257" s="1" t="str">
        <f t="shared" si="4"/>
        <v/>
      </c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 t="str">
        <f>IF($A258="","",IFERROR(AVERAGEIFS(Assignments!$N$6:$N$1000,Assignments!$B$6:$B$1000,$A258,Assignments!$E$6:$E$1000,"Completed"),""))</f>
        <v/>
      </c>
      <c r="K258" s="2" t="str">
        <f>IF(A258="","",IFERROR(AVERAGEIFS(Assignments!$AO:$AO,Assignments!$B:$B,A258,Assignments!$E:$E,"Completed"),""))</f>
        <v/>
      </c>
      <c r="L258" s="2" t="str">
        <f>IF($A258="","",IFERROR(COUNTIFS(Assignments!$B$6:$B$1000,$A258,Assignments!$E$6:$E$1000,"Cancelled")/MAX(1,COUNTIFS(Assignments!$B$6:$B$1000,$A258,Assignments!$E$6:$E$1000,"Completed")+COUNTIFS(Assignments!$B$6:$B$1000,$A258,Assignments!$E$6:$E$1000,"Cancelled")),""))</f>
        <v/>
      </c>
      <c r="M258" s="2" t="str">
        <f>IF($A258="","",IFERROR(AVERAGEIFS(Assignments!$P$6:$P$1000,Assignments!$B$6:$B$1000,$A258,Assignments!$E$6:$E$1000,"Completed"),""))</f>
        <v/>
      </c>
      <c r="N258" s="2"/>
      <c r="O258" s="2"/>
      <c r="P258" s="1" t="str">
        <f>IF(A258="","",MAX(0,MIN(3,SUMIFS(Strike_Log!$C:$C,Strike_Log!$B:$B,A258,Strike_Log!$A:$A,"&gt;="&amp;IF(Config!$B$1004="Y",TODAY()-Config!$B$1005,DATE(1900,1,1)),Strike_Log!$I:$I,1))))</f>
        <v/>
      </c>
      <c r="Q258" s="1">
        <f t="shared" si="3"/>
        <v>0</v>
      </c>
      <c r="R258" s="1" t="str">
        <f>IF(A258="","",IFERROR(AVERAGEIFS(Assignments!$J:$J,Assignments!$B:$B,A258,Assignments!$E:$E,"Completed"),""))</f>
        <v/>
      </c>
      <c r="S258" s="1" t="str">
        <f>IF(A258="","",COUNTIFS(Assignments!$B:$B,A258,Assignments!$AE:$AE, "Y",Assignments!$D:$D,"&gt;="&amp;TODAY()-30))</f>
        <v/>
      </c>
      <c r="T258" s="1" t="str">
        <f>IF(A258="","",COUNTIFS(Assignments!$AF:$AF,A258,Assignments!$AE:$AE, "Y",Assignments!$D:$D,"&gt;="&amp;TODAY()-30))</f>
        <v/>
      </c>
      <c r="U258" s="1" t="str">
        <f>IF(A258="","",IFERROR(S258/MAX(1,COUNTIFS(Assignments!$B:$B,A258,Assignments!$D:$D,"&gt;="&amp;TODAY()-30)),""))</f>
        <v/>
      </c>
      <c r="V258" s="1" t="str">
        <f t="shared" si="4"/>
        <v/>
      </c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 t="str">
        <f>IF($A259="","",IFERROR(AVERAGEIFS(Assignments!$N$6:$N$1000,Assignments!$B$6:$B$1000,$A259,Assignments!$E$6:$E$1000,"Completed"),""))</f>
        <v/>
      </c>
      <c r="K259" s="2" t="str">
        <f>IF(A259="","",IFERROR(AVERAGEIFS(Assignments!$AO:$AO,Assignments!$B:$B,A259,Assignments!$E:$E,"Completed"),""))</f>
        <v/>
      </c>
      <c r="L259" s="2" t="str">
        <f>IF($A259="","",IFERROR(COUNTIFS(Assignments!$B$6:$B$1000,$A259,Assignments!$E$6:$E$1000,"Cancelled")/MAX(1,COUNTIFS(Assignments!$B$6:$B$1000,$A259,Assignments!$E$6:$E$1000,"Completed")+COUNTIFS(Assignments!$B$6:$B$1000,$A259,Assignments!$E$6:$E$1000,"Cancelled")),""))</f>
        <v/>
      </c>
      <c r="M259" s="2" t="str">
        <f>IF($A259="","",IFERROR(AVERAGEIFS(Assignments!$P$6:$P$1000,Assignments!$B$6:$B$1000,$A259,Assignments!$E$6:$E$1000,"Completed"),""))</f>
        <v/>
      </c>
      <c r="N259" s="2"/>
      <c r="O259" s="2"/>
      <c r="P259" s="1" t="str">
        <f>IF(A259="","",MAX(0,MIN(3,SUMIFS(Strike_Log!$C:$C,Strike_Log!$B:$B,A259,Strike_Log!$A:$A,"&gt;="&amp;IF(Config!$B$1004="Y",TODAY()-Config!$B$1005,DATE(1900,1,1)),Strike_Log!$I:$I,1))))</f>
        <v/>
      </c>
      <c r="Q259" s="1">
        <f t="shared" si="3"/>
        <v>0</v>
      </c>
      <c r="R259" s="1" t="str">
        <f>IF(A259="","",IFERROR(AVERAGEIFS(Assignments!$J:$J,Assignments!$B:$B,A259,Assignments!$E:$E,"Completed"),""))</f>
        <v/>
      </c>
      <c r="S259" s="1" t="str">
        <f>IF(A259="","",COUNTIFS(Assignments!$B:$B,A259,Assignments!$AE:$AE, "Y",Assignments!$D:$D,"&gt;="&amp;TODAY()-30))</f>
        <v/>
      </c>
      <c r="T259" s="1" t="str">
        <f>IF(A259="","",COUNTIFS(Assignments!$AF:$AF,A259,Assignments!$AE:$AE, "Y",Assignments!$D:$D,"&gt;="&amp;TODAY()-30))</f>
        <v/>
      </c>
      <c r="U259" s="1" t="str">
        <f>IF(A259="","",IFERROR(S259/MAX(1,COUNTIFS(Assignments!$B:$B,A259,Assignments!$D:$D,"&gt;="&amp;TODAY()-30)),""))</f>
        <v/>
      </c>
      <c r="V259" s="1" t="str">
        <f t="shared" si="4"/>
        <v/>
      </c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 t="str">
        <f>IF($A260="","",IFERROR(AVERAGEIFS(Assignments!$N$6:$N$1000,Assignments!$B$6:$B$1000,$A260,Assignments!$E$6:$E$1000,"Completed"),""))</f>
        <v/>
      </c>
      <c r="K260" s="2" t="str">
        <f>IF(A260="","",IFERROR(AVERAGEIFS(Assignments!$AO:$AO,Assignments!$B:$B,A260,Assignments!$E:$E,"Completed"),""))</f>
        <v/>
      </c>
      <c r="L260" s="2" t="str">
        <f>IF($A260="","",IFERROR(COUNTIFS(Assignments!$B$6:$B$1000,$A260,Assignments!$E$6:$E$1000,"Cancelled")/MAX(1,COUNTIFS(Assignments!$B$6:$B$1000,$A260,Assignments!$E$6:$E$1000,"Completed")+COUNTIFS(Assignments!$B$6:$B$1000,$A260,Assignments!$E$6:$E$1000,"Cancelled")),""))</f>
        <v/>
      </c>
      <c r="M260" s="2" t="str">
        <f>IF($A260="","",IFERROR(AVERAGEIFS(Assignments!$P$6:$P$1000,Assignments!$B$6:$B$1000,$A260,Assignments!$E$6:$E$1000,"Completed"),""))</f>
        <v/>
      </c>
      <c r="N260" s="2"/>
      <c r="O260" s="2"/>
      <c r="P260" s="1" t="str">
        <f>IF(A260="","",MAX(0,MIN(3,SUMIFS(Strike_Log!$C:$C,Strike_Log!$B:$B,A260,Strike_Log!$A:$A,"&gt;="&amp;IF(Config!$B$1004="Y",TODAY()-Config!$B$1005,DATE(1900,1,1)),Strike_Log!$I:$I,1))))</f>
        <v/>
      </c>
      <c r="Q260" s="1">
        <f t="shared" si="3"/>
        <v>0</v>
      </c>
      <c r="R260" s="1" t="str">
        <f>IF(A260="","",IFERROR(AVERAGEIFS(Assignments!$J:$J,Assignments!$B:$B,A260,Assignments!$E:$E,"Completed"),""))</f>
        <v/>
      </c>
      <c r="S260" s="1" t="str">
        <f>IF(A260="","",COUNTIFS(Assignments!$B:$B,A260,Assignments!$AE:$AE, "Y",Assignments!$D:$D,"&gt;="&amp;TODAY()-30))</f>
        <v/>
      </c>
      <c r="T260" s="1" t="str">
        <f>IF(A260="","",COUNTIFS(Assignments!$AF:$AF,A260,Assignments!$AE:$AE, "Y",Assignments!$D:$D,"&gt;="&amp;TODAY()-30))</f>
        <v/>
      </c>
      <c r="U260" s="1" t="str">
        <f>IF(A260="","",IFERROR(S260/MAX(1,COUNTIFS(Assignments!$B:$B,A260,Assignments!$D:$D,"&gt;="&amp;TODAY()-30)),""))</f>
        <v/>
      </c>
      <c r="V260" s="1" t="str">
        <f t="shared" si="4"/>
        <v/>
      </c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 t="str">
        <f>IF($A261="","",IFERROR(AVERAGEIFS(Assignments!$N$6:$N$1000,Assignments!$B$6:$B$1000,$A261,Assignments!$E$6:$E$1000,"Completed"),""))</f>
        <v/>
      </c>
      <c r="K261" s="2" t="str">
        <f>IF(A261="","",IFERROR(AVERAGEIFS(Assignments!$AO:$AO,Assignments!$B:$B,A261,Assignments!$E:$E,"Completed"),""))</f>
        <v/>
      </c>
      <c r="L261" s="2" t="str">
        <f>IF($A261="","",IFERROR(COUNTIFS(Assignments!$B$6:$B$1000,$A261,Assignments!$E$6:$E$1000,"Cancelled")/MAX(1,COUNTIFS(Assignments!$B$6:$B$1000,$A261,Assignments!$E$6:$E$1000,"Completed")+COUNTIFS(Assignments!$B$6:$B$1000,$A261,Assignments!$E$6:$E$1000,"Cancelled")),""))</f>
        <v/>
      </c>
      <c r="M261" s="2" t="str">
        <f>IF($A261="","",IFERROR(AVERAGEIFS(Assignments!$P$6:$P$1000,Assignments!$B$6:$B$1000,$A261,Assignments!$E$6:$E$1000,"Completed"),""))</f>
        <v/>
      </c>
      <c r="N261" s="2"/>
      <c r="O261" s="2"/>
      <c r="P261" s="1" t="str">
        <f>IF(A261="","",MAX(0,MIN(3,SUMIFS(Strike_Log!$C:$C,Strike_Log!$B:$B,A261,Strike_Log!$A:$A,"&gt;="&amp;IF(Config!$B$1004="Y",TODAY()-Config!$B$1005,DATE(1900,1,1)),Strike_Log!$I:$I,1))))</f>
        <v/>
      </c>
      <c r="Q261" s="1">
        <f t="shared" si="3"/>
        <v>0</v>
      </c>
      <c r="R261" s="1" t="str">
        <f>IF(A261="","",IFERROR(AVERAGEIFS(Assignments!$J:$J,Assignments!$B:$B,A261,Assignments!$E:$E,"Completed"),""))</f>
        <v/>
      </c>
      <c r="S261" s="1" t="str">
        <f>IF(A261="","",COUNTIFS(Assignments!$B:$B,A261,Assignments!$AE:$AE, "Y",Assignments!$D:$D,"&gt;="&amp;TODAY()-30))</f>
        <v/>
      </c>
      <c r="T261" s="1" t="str">
        <f>IF(A261="","",COUNTIFS(Assignments!$AF:$AF,A261,Assignments!$AE:$AE, "Y",Assignments!$D:$D,"&gt;="&amp;TODAY()-30))</f>
        <v/>
      </c>
      <c r="U261" s="1" t="str">
        <f>IF(A261="","",IFERROR(S261/MAX(1,COUNTIFS(Assignments!$B:$B,A261,Assignments!$D:$D,"&gt;="&amp;TODAY()-30)),""))</f>
        <v/>
      </c>
      <c r="V261" s="1" t="str">
        <f t="shared" si="4"/>
        <v/>
      </c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 t="str">
        <f>IF($A262="","",IFERROR(AVERAGEIFS(Assignments!$N$6:$N$1000,Assignments!$B$6:$B$1000,$A262,Assignments!$E$6:$E$1000,"Completed"),""))</f>
        <v/>
      </c>
      <c r="K262" s="2" t="str">
        <f>IF(A262="","",IFERROR(AVERAGEIFS(Assignments!$AO:$AO,Assignments!$B:$B,A262,Assignments!$E:$E,"Completed"),""))</f>
        <v/>
      </c>
      <c r="L262" s="2" t="str">
        <f>IF($A262="","",IFERROR(COUNTIFS(Assignments!$B$6:$B$1000,$A262,Assignments!$E$6:$E$1000,"Cancelled")/MAX(1,COUNTIFS(Assignments!$B$6:$B$1000,$A262,Assignments!$E$6:$E$1000,"Completed")+COUNTIFS(Assignments!$B$6:$B$1000,$A262,Assignments!$E$6:$E$1000,"Cancelled")),""))</f>
        <v/>
      </c>
      <c r="M262" s="2" t="str">
        <f>IF($A262="","",IFERROR(AVERAGEIFS(Assignments!$P$6:$P$1000,Assignments!$B$6:$B$1000,$A262,Assignments!$E$6:$E$1000,"Completed"),""))</f>
        <v/>
      </c>
      <c r="N262" s="2"/>
      <c r="O262" s="2"/>
      <c r="P262" s="1" t="str">
        <f>IF(A262="","",MAX(0,MIN(3,SUMIFS(Strike_Log!$C:$C,Strike_Log!$B:$B,A262,Strike_Log!$A:$A,"&gt;="&amp;IF(Config!$B$1004="Y",TODAY()-Config!$B$1005,DATE(1900,1,1)),Strike_Log!$I:$I,1))))</f>
        <v/>
      </c>
      <c r="Q262" s="1">
        <f t="shared" si="3"/>
        <v>0</v>
      </c>
      <c r="R262" s="1" t="str">
        <f>IF(A262="","",IFERROR(AVERAGEIFS(Assignments!$J:$J,Assignments!$B:$B,A262,Assignments!$E:$E,"Completed"),""))</f>
        <v/>
      </c>
      <c r="S262" s="1" t="str">
        <f>IF(A262="","",COUNTIFS(Assignments!$B:$B,A262,Assignments!$AE:$AE, "Y",Assignments!$D:$D,"&gt;="&amp;TODAY()-30))</f>
        <v/>
      </c>
      <c r="T262" s="1" t="str">
        <f>IF(A262="","",COUNTIFS(Assignments!$AF:$AF,A262,Assignments!$AE:$AE, "Y",Assignments!$D:$D,"&gt;="&amp;TODAY()-30))</f>
        <v/>
      </c>
      <c r="U262" s="1" t="str">
        <f>IF(A262="","",IFERROR(S262/MAX(1,COUNTIFS(Assignments!$B:$B,A262,Assignments!$D:$D,"&gt;="&amp;TODAY()-30)),""))</f>
        <v/>
      </c>
      <c r="V262" s="1" t="str">
        <f t="shared" si="4"/>
        <v/>
      </c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 t="str">
        <f>IF($A263="","",IFERROR(AVERAGEIFS(Assignments!$N$6:$N$1000,Assignments!$B$6:$B$1000,$A263,Assignments!$E$6:$E$1000,"Completed"),""))</f>
        <v/>
      </c>
      <c r="K263" s="2" t="str">
        <f>IF(A263="","",IFERROR(AVERAGEIFS(Assignments!$AO:$AO,Assignments!$B:$B,A263,Assignments!$E:$E,"Completed"),""))</f>
        <v/>
      </c>
      <c r="L263" s="2" t="str">
        <f>IF($A263="","",IFERROR(COUNTIFS(Assignments!$B$6:$B$1000,$A263,Assignments!$E$6:$E$1000,"Cancelled")/MAX(1,COUNTIFS(Assignments!$B$6:$B$1000,$A263,Assignments!$E$6:$E$1000,"Completed")+COUNTIFS(Assignments!$B$6:$B$1000,$A263,Assignments!$E$6:$E$1000,"Cancelled")),""))</f>
        <v/>
      </c>
      <c r="M263" s="2" t="str">
        <f>IF($A263="","",IFERROR(AVERAGEIFS(Assignments!$P$6:$P$1000,Assignments!$B$6:$B$1000,$A263,Assignments!$E$6:$E$1000,"Completed"),""))</f>
        <v/>
      </c>
      <c r="N263" s="2"/>
      <c r="O263" s="2"/>
      <c r="P263" s="1" t="str">
        <f>IF(A263="","",MAX(0,MIN(3,SUMIFS(Strike_Log!$C:$C,Strike_Log!$B:$B,A263,Strike_Log!$A:$A,"&gt;="&amp;IF(Config!$B$1004="Y",TODAY()-Config!$B$1005,DATE(1900,1,1)),Strike_Log!$I:$I,1))))</f>
        <v/>
      </c>
      <c r="Q263" s="1">
        <f t="shared" si="3"/>
        <v>0</v>
      </c>
      <c r="R263" s="1" t="str">
        <f>IF(A263="","",IFERROR(AVERAGEIFS(Assignments!$J:$J,Assignments!$B:$B,A263,Assignments!$E:$E,"Completed"),""))</f>
        <v/>
      </c>
      <c r="S263" s="1" t="str">
        <f>IF(A263="","",COUNTIFS(Assignments!$B:$B,A263,Assignments!$AE:$AE, "Y",Assignments!$D:$D,"&gt;="&amp;TODAY()-30))</f>
        <v/>
      </c>
      <c r="T263" s="1" t="str">
        <f>IF(A263="","",COUNTIFS(Assignments!$AF:$AF,A263,Assignments!$AE:$AE, "Y",Assignments!$D:$D,"&gt;="&amp;TODAY()-30))</f>
        <v/>
      </c>
      <c r="U263" s="1" t="str">
        <f>IF(A263="","",IFERROR(S263/MAX(1,COUNTIFS(Assignments!$B:$B,A263,Assignments!$D:$D,"&gt;="&amp;TODAY()-30)),""))</f>
        <v/>
      </c>
      <c r="V263" s="1" t="str">
        <f t="shared" si="4"/>
        <v/>
      </c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 t="str">
        <f>IF($A264="","",IFERROR(AVERAGEIFS(Assignments!$N$6:$N$1000,Assignments!$B$6:$B$1000,$A264,Assignments!$E$6:$E$1000,"Completed"),""))</f>
        <v/>
      </c>
      <c r="K264" s="2" t="str">
        <f>IF(A264="","",IFERROR(AVERAGEIFS(Assignments!$AO:$AO,Assignments!$B:$B,A264,Assignments!$E:$E,"Completed"),""))</f>
        <v/>
      </c>
      <c r="L264" s="2" t="str">
        <f>IF($A264="","",IFERROR(COUNTIFS(Assignments!$B$6:$B$1000,$A264,Assignments!$E$6:$E$1000,"Cancelled")/MAX(1,COUNTIFS(Assignments!$B$6:$B$1000,$A264,Assignments!$E$6:$E$1000,"Completed")+COUNTIFS(Assignments!$B$6:$B$1000,$A264,Assignments!$E$6:$E$1000,"Cancelled")),""))</f>
        <v/>
      </c>
      <c r="M264" s="2" t="str">
        <f>IF($A264="","",IFERROR(AVERAGEIFS(Assignments!$P$6:$P$1000,Assignments!$B$6:$B$1000,$A264,Assignments!$E$6:$E$1000,"Completed"),""))</f>
        <v/>
      </c>
      <c r="N264" s="2"/>
      <c r="O264" s="2"/>
      <c r="P264" s="1" t="str">
        <f>IF(A264="","",MAX(0,MIN(3,SUMIFS(Strike_Log!$C:$C,Strike_Log!$B:$B,A264,Strike_Log!$A:$A,"&gt;="&amp;IF(Config!$B$1004="Y",TODAY()-Config!$B$1005,DATE(1900,1,1)),Strike_Log!$I:$I,1))))</f>
        <v/>
      </c>
      <c r="Q264" s="1">
        <f t="shared" si="3"/>
        <v>0</v>
      </c>
      <c r="R264" s="1" t="str">
        <f>IF(A264="","",IFERROR(AVERAGEIFS(Assignments!$J:$J,Assignments!$B:$B,A264,Assignments!$E:$E,"Completed"),""))</f>
        <v/>
      </c>
      <c r="S264" s="1" t="str">
        <f>IF(A264="","",COUNTIFS(Assignments!$B:$B,A264,Assignments!$AE:$AE, "Y",Assignments!$D:$D,"&gt;="&amp;TODAY()-30))</f>
        <v/>
      </c>
      <c r="T264" s="1" t="str">
        <f>IF(A264="","",COUNTIFS(Assignments!$AF:$AF,A264,Assignments!$AE:$AE, "Y",Assignments!$D:$D,"&gt;="&amp;TODAY()-30))</f>
        <v/>
      </c>
      <c r="U264" s="1" t="str">
        <f>IF(A264="","",IFERROR(S264/MAX(1,COUNTIFS(Assignments!$B:$B,A264,Assignments!$D:$D,"&gt;="&amp;TODAY()-30)),""))</f>
        <v/>
      </c>
      <c r="V264" s="1" t="str">
        <f t="shared" si="4"/>
        <v/>
      </c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 t="str">
        <f>IF($A265="","",IFERROR(AVERAGEIFS(Assignments!$N$6:$N$1000,Assignments!$B$6:$B$1000,$A265,Assignments!$E$6:$E$1000,"Completed"),""))</f>
        <v/>
      </c>
      <c r="K265" s="2" t="str">
        <f>IF(A265="","",IFERROR(AVERAGEIFS(Assignments!$AO:$AO,Assignments!$B:$B,A265,Assignments!$E:$E,"Completed"),""))</f>
        <v/>
      </c>
      <c r="L265" s="2" t="str">
        <f>IF($A265="","",IFERROR(COUNTIFS(Assignments!$B$6:$B$1000,$A265,Assignments!$E$6:$E$1000,"Cancelled")/MAX(1,COUNTIFS(Assignments!$B$6:$B$1000,$A265,Assignments!$E$6:$E$1000,"Completed")+COUNTIFS(Assignments!$B$6:$B$1000,$A265,Assignments!$E$6:$E$1000,"Cancelled")),""))</f>
        <v/>
      </c>
      <c r="M265" s="2" t="str">
        <f>IF($A265="","",IFERROR(AVERAGEIFS(Assignments!$P$6:$P$1000,Assignments!$B$6:$B$1000,$A265,Assignments!$E$6:$E$1000,"Completed"),""))</f>
        <v/>
      </c>
      <c r="N265" s="2"/>
      <c r="O265" s="2"/>
      <c r="P265" s="1" t="str">
        <f>IF(A265="","",MAX(0,MIN(3,SUMIFS(Strike_Log!$C:$C,Strike_Log!$B:$B,A265,Strike_Log!$A:$A,"&gt;="&amp;IF(Config!$B$1004="Y",TODAY()-Config!$B$1005,DATE(1900,1,1)),Strike_Log!$I:$I,1))))</f>
        <v/>
      </c>
      <c r="Q265" s="1">
        <f t="shared" si="3"/>
        <v>0</v>
      </c>
      <c r="R265" s="1" t="str">
        <f>IF(A265="","",IFERROR(AVERAGEIFS(Assignments!$J:$J,Assignments!$B:$B,A265,Assignments!$E:$E,"Completed"),""))</f>
        <v/>
      </c>
      <c r="S265" s="1" t="str">
        <f>IF(A265="","",COUNTIFS(Assignments!$B:$B,A265,Assignments!$AE:$AE, "Y",Assignments!$D:$D,"&gt;="&amp;TODAY()-30))</f>
        <v/>
      </c>
      <c r="T265" s="1" t="str">
        <f>IF(A265="","",COUNTIFS(Assignments!$AF:$AF,A265,Assignments!$AE:$AE, "Y",Assignments!$D:$D,"&gt;="&amp;TODAY()-30))</f>
        <v/>
      </c>
      <c r="U265" s="1" t="str">
        <f>IF(A265="","",IFERROR(S265/MAX(1,COUNTIFS(Assignments!$B:$B,A265,Assignments!$D:$D,"&gt;="&amp;TODAY()-30)),""))</f>
        <v/>
      </c>
      <c r="V265" s="1" t="str">
        <f t="shared" si="4"/>
        <v/>
      </c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 t="str">
        <f>IF($A266="","",IFERROR(AVERAGEIFS(Assignments!$N$6:$N$1000,Assignments!$B$6:$B$1000,$A266,Assignments!$E$6:$E$1000,"Completed"),""))</f>
        <v/>
      </c>
      <c r="K266" s="2" t="str">
        <f>IF(A266="","",IFERROR(AVERAGEIFS(Assignments!$AO:$AO,Assignments!$B:$B,A266,Assignments!$E:$E,"Completed"),""))</f>
        <v/>
      </c>
      <c r="L266" s="2" t="str">
        <f>IF($A266="","",IFERROR(COUNTIFS(Assignments!$B$6:$B$1000,$A266,Assignments!$E$6:$E$1000,"Cancelled")/MAX(1,COUNTIFS(Assignments!$B$6:$B$1000,$A266,Assignments!$E$6:$E$1000,"Completed")+COUNTIFS(Assignments!$B$6:$B$1000,$A266,Assignments!$E$6:$E$1000,"Cancelled")),""))</f>
        <v/>
      </c>
      <c r="M266" s="2" t="str">
        <f>IF($A266="","",IFERROR(AVERAGEIFS(Assignments!$P$6:$P$1000,Assignments!$B$6:$B$1000,$A266,Assignments!$E$6:$E$1000,"Completed"),""))</f>
        <v/>
      </c>
      <c r="N266" s="2"/>
      <c r="O266" s="2"/>
      <c r="P266" s="1" t="str">
        <f>IF(A266="","",MAX(0,MIN(3,SUMIFS(Strike_Log!$C:$C,Strike_Log!$B:$B,A266,Strike_Log!$A:$A,"&gt;="&amp;IF(Config!$B$1004="Y",TODAY()-Config!$B$1005,DATE(1900,1,1)),Strike_Log!$I:$I,1))))</f>
        <v/>
      </c>
      <c r="Q266" s="1">
        <f t="shared" si="3"/>
        <v>0</v>
      </c>
      <c r="R266" s="1" t="str">
        <f>IF(A266="","",IFERROR(AVERAGEIFS(Assignments!$J:$J,Assignments!$B:$B,A266,Assignments!$E:$E,"Completed"),""))</f>
        <v/>
      </c>
      <c r="S266" s="1" t="str">
        <f>IF(A266="","",COUNTIFS(Assignments!$B:$B,A266,Assignments!$AE:$AE, "Y",Assignments!$D:$D,"&gt;="&amp;TODAY()-30))</f>
        <v/>
      </c>
      <c r="T266" s="1" t="str">
        <f>IF(A266="","",COUNTIFS(Assignments!$AF:$AF,A266,Assignments!$AE:$AE, "Y",Assignments!$D:$D,"&gt;="&amp;TODAY()-30))</f>
        <v/>
      </c>
      <c r="U266" s="1" t="str">
        <f>IF(A266="","",IFERROR(S266/MAX(1,COUNTIFS(Assignments!$B:$B,A266,Assignments!$D:$D,"&gt;="&amp;TODAY()-30)),""))</f>
        <v/>
      </c>
      <c r="V266" s="1" t="str">
        <f t="shared" si="4"/>
        <v/>
      </c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 t="str">
        <f>IF($A267="","",IFERROR(AVERAGEIFS(Assignments!$N$6:$N$1000,Assignments!$B$6:$B$1000,$A267,Assignments!$E$6:$E$1000,"Completed"),""))</f>
        <v/>
      </c>
      <c r="K267" s="2" t="str">
        <f>IF(A267="","",IFERROR(AVERAGEIFS(Assignments!$AO:$AO,Assignments!$B:$B,A267,Assignments!$E:$E,"Completed"),""))</f>
        <v/>
      </c>
      <c r="L267" s="2" t="str">
        <f>IF($A267="","",IFERROR(COUNTIFS(Assignments!$B$6:$B$1000,$A267,Assignments!$E$6:$E$1000,"Cancelled")/MAX(1,COUNTIFS(Assignments!$B$6:$B$1000,$A267,Assignments!$E$6:$E$1000,"Completed")+COUNTIFS(Assignments!$B$6:$B$1000,$A267,Assignments!$E$6:$E$1000,"Cancelled")),""))</f>
        <v/>
      </c>
      <c r="M267" s="2" t="str">
        <f>IF($A267="","",IFERROR(AVERAGEIFS(Assignments!$P$6:$P$1000,Assignments!$B$6:$B$1000,$A267,Assignments!$E$6:$E$1000,"Completed"),""))</f>
        <v/>
      </c>
      <c r="N267" s="2"/>
      <c r="O267" s="2"/>
      <c r="P267" s="1" t="str">
        <f>IF(A267="","",MAX(0,MIN(3,SUMIFS(Strike_Log!$C:$C,Strike_Log!$B:$B,A267,Strike_Log!$A:$A,"&gt;="&amp;IF(Config!$B$1004="Y",TODAY()-Config!$B$1005,DATE(1900,1,1)),Strike_Log!$I:$I,1))))</f>
        <v/>
      </c>
      <c r="Q267" s="1">
        <f t="shared" si="3"/>
        <v>0</v>
      </c>
      <c r="R267" s="1" t="str">
        <f>IF(A267="","",IFERROR(AVERAGEIFS(Assignments!$J:$J,Assignments!$B:$B,A267,Assignments!$E:$E,"Completed"),""))</f>
        <v/>
      </c>
      <c r="S267" s="1" t="str">
        <f>IF(A267="","",COUNTIFS(Assignments!$B:$B,A267,Assignments!$AE:$AE, "Y",Assignments!$D:$D,"&gt;="&amp;TODAY()-30))</f>
        <v/>
      </c>
      <c r="T267" s="1" t="str">
        <f>IF(A267="","",COUNTIFS(Assignments!$AF:$AF,A267,Assignments!$AE:$AE, "Y",Assignments!$D:$D,"&gt;="&amp;TODAY()-30))</f>
        <v/>
      </c>
      <c r="U267" s="1" t="str">
        <f>IF(A267="","",IFERROR(S267/MAX(1,COUNTIFS(Assignments!$B:$B,A267,Assignments!$D:$D,"&gt;="&amp;TODAY()-30)),""))</f>
        <v/>
      </c>
      <c r="V267" s="1" t="str">
        <f t="shared" si="4"/>
        <v/>
      </c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 t="str">
        <f>IF($A268="","",IFERROR(AVERAGEIFS(Assignments!$N$6:$N$1000,Assignments!$B$6:$B$1000,$A268,Assignments!$E$6:$E$1000,"Completed"),""))</f>
        <v/>
      </c>
      <c r="K268" s="2" t="str">
        <f>IF(A268="","",IFERROR(AVERAGEIFS(Assignments!$AO:$AO,Assignments!$B:$B,A268,Assignments!$E:$E,"Completed"),""))</f>
        <v/>
      </c>
      <c r="L268" s="2" t="str">
        <f>IF($A268="","",IFERROR(COUNTIFS(Assignments!$B$6:$B$1000,$A268,Assignments!$E$6:$E$1000,"Cancelled")/MAX(1,COUNTIFS(Assignments!$B$6:$B$1000,$A268,Assignments!$E$6:$E$1000,"Completed")+COUNTIFS(Assignments!$B$6:$B$1000,$A268,Assignments!$E$6:$E$1000,"Cancelled")),""))</f>
        <v/>
      </c>
      <c r="M268" s="2" t="str">
        <f>IF($A268="","",IFERROR(AVERAGEIFS(Assignments!$P$6:$P$1000,Assignments!$B$6:$B$1000,$A268,Assignments!$E$6:$E$1000,"Completed"),""))</f>
        <v/>
      </c>
      <c r="N268" s="2"/>
      <c r="O268" s="2"/>
      <c r="P268" s="1" t="str">
        <f>IF(A268="","",MAX(0,MIN(3,SUMIFS(Strike_Log!$C:$C,Strike_Log!$B:$B,A268,Strike_Log!$A:$A,"&gt;="&amp;IF(Config!$B$1004="Y",TODAY()-Config!$B$1005,DATE(1900,1,1)),Strike_Log!$I:$I,1))))</f>
        <v/>
      </c>
      <c r="Q268" s="1">
        <f t="shared" si="3"/>
        <v>0</v>
      </c>
      <c r="R268" s="1" t="str">
        <f>IF(A268="","",IFERROR(AVERAGEIFS(Assignments!$J:$J,Assignments!$B:$B,A268,Assignments!$E:$E,"Completed"),""))</f>
        <v/>
      </c>
      <c r="S268" s="1" t="str">
        <f>IF(A268="","",COUNTIFS(Assignments!$B:$B,A268,Assignments!$AE:$AE, "Y",Assignments!$D:$D,"&gt;="&amp;TODAY()-30))</f>
        <v/>
      </c>
      <c r="T268" s="1" t="str">
        <f>IF(A268="","",COUNTIFS(Assignments!$AF:$AF,A268,Assignments!$AE:$AE, "Y",Assignments!$D:$D,"&gt;="&amp;TODAY()-30))</f>
        <v/>
      </c>
      <c r="U268" s="1" t="str">
        <f>IF(A268="","",IFERROR(S268/MAX(1,COUNTIFS(Assignments!$B:$B,A268,Assignments!$D:$D,"&gt;="&amp;TODAY()-30)),""))</f>
        <v/>
      </c>
      <c r="V268" s="1" t="str">
        <f t="shared" si="4"/>
        <v/>
      </c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 t="str">
        <f>IF($A269="","",IFERROR(AVERAGEIFS(Assignments!$N$6:$N$1000,Assignments!$B$6:$B$1000,$A269,Assignments!$E$6:$E$1000,"Completed"),""))</f>
        <v/>
      </c>
      <c r="K269" s="2" t="str">
        <f>IF(A269="","",IFERROR(AVERAGEIFS(Assignments!$AO:$AO,Assignments!$B:$B,A269,Assignments!$E:$E,"Completed"),""))</f>
        <v/>
      </c>
      <c r="L269" s="2" t="str">
        <f>IF($A269="","",IFERROR(COUNTIFS(Assignments!$B$6:$B$1000,$A269,Assignments!$E$6:$E$1000,"Cancelled")/MAX(1,COUNTIFS(Assignments!$B$6:$B$1000,$A269,Assignments!$E$6:$E$1000,"Completed")+COUNTIFS(Assignments!$B$6:$B$1000,$A269,Assignments!$E$6:$E$1000,"Cancelled")),""))</f>
        <v/>
      </c>
      <c r="M269" s="2" t="str">
        <f>IF($A269="","",IFERROR(AVERAGEIFS(Assignments!$P$6:$P$1000,Assignments!$B$6:$B$1000,$A269,Assignments!$E$6:$E$1000,"Completed"),""))</f>
        <v/>
      </c>
      <c r="N269" s="2"/>
      <c r="O269" s="2"/>
      <c r="P269" s="1" t="str">
        <f>IF(A269="","",MAX(0,MIN(3,SUMIFS(Strike_Log!$C:$C,Strike_Log!$B:$B,A269,Strike_Log!$A:$A,"&gt;="&amp;IF(Config!$B$1004="Y",TODAY()-Config!$B$1005,DATE(1900,1,1)),Strike_Log!$I:$I,1))))</f>
        <v/>
      </c>
      <c r="Q269" s="1">
        <f t="shared" si="3"/>
        <v>0</v>
      </c>
      <c r="R269" s="1" t="str">
        <f>IF(A269="","",IFERROR(AVERAGEIFS(Assignments!$J:$J,Assignments!$B:$B,A269,Assignments!$E:$E,"Completed"),""))</f>
        <v/>
      </c>
      <c r="S269" s="1" t="str">
        <f>IF(A269="","",COUNTIFS(Assignments!$B:$B,A269,Assignments!$AE:$AE, "Y",Assignments!$D:$D,"&gt;="&amp;TODAY()-30))</f>
        <v/>
      </c>
      <c r="T269" s="1" t="str">
        <f>IF(A269="","",COUNTIFS(Assignments!$AF:$AF,A269,Assignments!$AE:$AE, "Y",Assignments!$D:$D,"&gt;="&amp;TODAY()-30))</f>
        <v/>
      </c>
      <c r="U269" s="1" t="str">
        <f>IF(A269="","",IFERROR(S269/MAX(1,COUNTIFS(Assignments!$B:$B,A269,Assignments!$D:$D,"&gt;="&amp;TODAY()-30)),""))</f>
        <v/>
      </c>
      <c r="V269" s="1" t="str">
        <f t="shared" si="4"/>
        <v/>
      </c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 t="str">
        <f>IF($A270="","",IFERROR(AVERAGEIFS(Assignments!$N$6:$N$1000,Assignments!$B$6:$B$1000,$A270,Assignments!$E$6:$E$1000,"Completed"),""))</f>
        <v/>
      </c>
      <c r="K270" s="2" t="str">
        <f>IF(A270="","",IFERROR(AVERAGEIFS(Assignments!$AO:$AO,Assignments!$B:$B,A270,Assignments!$E:$E,"Completed"),""))</f>
        <v/>
      </c>
      <c r="L270" s="2" t="str">
        <f>IF($A270="","",IFERROR(COUNTIFS(Assignments!$B$6:$B$1000,$A270,Assignments!$E$6:$E$1000,"Cancelled")/MAX(1,COUNTIFS(Assignments!$B$6:$B$1000,$A270,Assignments!$E$6:$E$1000,"Completed")+COUNTIFS(Assignments!$B$6:$B$1000,$A270,Assignments!$E$6:$E$1000,"Cancelled")),""))</f>
        <v/>
      </c>
      <c r="M270" s="2" t="str">
        <f>IF($A270="","",IFERROR(AVERAGEIFS(Assignments!$P$6:$P$1000,Assignments!$B$6:$B$1000,$A270,Assignments!$E$6:$E$1000,"Completed"),""))</f>
        <v/>
      </c>
      <c r="N270" s="2"/>
      <c r="O270" s="2"/>
      <c r="P270" s="1" t="str">
        <f>IF(A270="","",MAX(0,MIN(3,SUMIFS(Strike_Log!$C:$C,Strike_Log!$B:$B,A270,Strike_Log!$A:$A,"&gt;="&amp;IF(Config!$B$1004="Y",TODAY()-Config!$B$1005,DATE(1900,1,1)),Strike_Log!$I:$I,1))))</f>
        <v/>
      </c>
      <c r="Q270" s="1">
        <f t="shared" si="3"/>
        <v>0</v>
      </c>
      <c r="R270" s="1" t="str">
        <f>IF(A270="","",IFERROR(AVERAGEIFS(Assignments!$J:$J,Assignments!$B:$B,A270,Assignments!$E:$E,"Completed"),""))</f>
        <v/>
      </c>
      <c r="S270" s="1" t="str">
        <f>IF(A270="","",COUNTIFS(Assignments!$B:$B,A270,Assignments!$AE:$AE, "Y",Assignments!$D:$D,"&gt;="&amp;TODAY()-30))</f>
        <v/>
      </c>
      <c r="T270" s="1" t="str">
        <f>IF(A270="","",COUNTIFS(Assignments!$AF:$AF,A270,Assignments!$AE:$AE, "Y",Assignments!$D:$D,"&gt;="&amp;TODAY()-30))</f>
        <v/>
      </c>
      <c r="U270" s="1" t="str">
        <f>IF(A270="","",IFERROR(S270/MAX(1,COUNTIFS(Assignments!$B:$B,A270,Assignments!$D:$D,"&gt;="&amp;TODAY()-30)),""))</f>
        <v/>
      </c>
      <c r="V270" s="1" t="str">
        <f t="shared" si="4"/>
        <v/>
      </c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 t="str">
        <f>IF($A271="","",IFERROR(AVERAGEIFS(Assignments!$N$6:$N$1000,Assignments!$B$6:$B$1000,$A271,Assignments!$E$6:$E$1000,"Completed"),""))</f>
        <v/>
      </c>
      <c r="K271" s="2" t="str">
        <f>IF(A271="","",IFERROR(AVERAGEIFS(Assignments!$AO:$AO,Assignments!$B:$B,A271,Assignments!$E:$E,"Completed"),""))</f>
        <v/>
      </c>
      <c r="L271" s="2" t="str">
        <f>IF($A271="","",IFERROR(COUNTIFS(Assignments!$B$6:$B$1000,$A271,Assignments!$E$6:$E$1000,"Cancelled")/MAX(1,COUNTIFS(Assignments!$B$6:$B$1000,$A271,Assignments!$E$6:$E$1000,"Completed")+COUNTIFS(Assignments!$B$6:$B$1000,$A271,Assignments!$E$6:$E$1000,"Cancelled")),""))</f>
        <v/>
      </c>
      <c r="M271" s="2" t="str">
        <f>IF($A271="","",IFERROR(AVERAGEIFS(Assignments!$P$6:$P$1000,Assignments!$B$6:$B$1000,$A271,Assignments!$E$6:$E$1000,"Completed"),""))</f>
        <v/>
      </c>
      <c r="N271" s="2"/>
      <c r="O271" s="2"/>
      <c r="P271" s="1" t="str">
        <f>IF(A271="","",MAX(0,MIN(3,SUMIFS(Strike_Log!$C:$C,Strike_Log!$B:$B,A271,Strike_Log!$A:$A,"&gt;="&amp;IF(Config!$B$1004="Y",TODAY()-Config!$B$1005,DATE(1900,1,1)),Strike_Log!$I:$I,1))))</f>
        <v/>
      </c>
      <c r="Q271" s="1">
        <f t="shared" si="3"/>
        <v>0</v>
      </c>
      <c r="R271" s="1" t="str">
        <f>IF(A271="","",IFERROR(AVERAGEIFS(Assignments!$J:$J,Assignments!$B:$B,A271,Assignments!$E:$E,"Completed"),""))</f>
        <v/>
      </c>
      <c r="S271" s="1" t="str">
        <f>IF(A271="","",COUNTIFS(Assignments!$B:$B,A271,Assignments!$AE:$AE, "Y",Assignments!$D:$D,"&gt;="&amp;TODAY()-30))</f>
        <v/>
      </c>
      <c r="T271" s="1" t="str">
        <f>IF(A271="","",COUNTIFS(Assignments!$AF:$AF,A271,Assignments!$AE:$AE, "Y",Assignments!$D:$D,"&gt;="&amp;TODAY()-30))</f>
        <v/>
      </c>
      <c r="U271" s="1" t="str">
        <f>IF(A271="","",IFERROR(S271/MAX(1,COUNTIFS(Assignments!$B:$B,A271,Assignments!$D:$D,"&gt;="&amp;TODAY()-30)),""))</f>
        <v/>
      </c>
      <c r="V271" s="1" t="str">
        <f t="shared" si="4"/>
        <v/>
      </c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 t="str">
        <f>IF($A272="","",IFERROR(AVERAGEIFS(Assignments!$N$6:$N$1000,Assignments!$B$6:$B$1000,$A272,Assignments!$E$6:$E$1000,"Completed"),""))</f>
        <v/>
      </c>
      <c r="K272" s="2" t="str">
        <f>IF(A272="","",IFERROR(AVERAGEIFS(Assignments!$AO:$AO,Assignments!$B:$B,A272,Assignments!$E:$E,"Completed"),""))</f>
        <v/>
      </c>
      <c r="L272" s="2" t="str">
        <f>IF($A272="","",IFERROR(COUNTIFS(Assignments!$B$6:$B$1000,$A272,Assignments!$E$6:$E$1000,"Cancelled")/MAX(1,COUNTIFS(Assignments!$B$6:$B$1000,$A272,Assignments!$E$6:$E$1000,"Completed")+COUNTIFS(Assignments!$B$6:$B$1000,$A272,Assignments!$E$6:$E$1000,"Cancelled")),""))</f>
        <v/>
      </c>
      <c r="M272" s="2" t="str">
        <f>IF($A272="","",IFERROR(AVERAGEIFS(Assignments!$P$6:$P$1000,Assignments!$B$6:$B$1000,$A272,Assignments!$E$6:$E$1000,"Completed"),""))</f>
        <v/>
      </c>
      <c r="N272" s="2"/>
      <c r="O272" s="2"/>
      <c r="P272" s="1" t="str">
        <f>IF(A272="","",MAX(0,MIN(3,SUMIFS(Strike_Log!$C:$C,Strike_Log!$B:$B,A272,Strike_Log!$A:$A,"&gt;="&amp;IF(Config!$B$1004="Y",TODAY()-Config!$B$1005,DATE(1900,1,1)),Strike_Log!$I:$I,1))))</f>
        <v/>
      </c>
      <c r="Q272" s="1">
        <f t="shared" si="3"/>
        <v>0</v>
      </c>
      <c r="R272" s="1" t="str">
        <f>IF(A272="","",IFERROR(AVERAGEIFS(Assignments!$J:$J,Assignments!$B:$B,A272,Assignments!$E:$E,"Completed"),""))</f>
        <v/>
      </c>
      <c r="S272" s="1" t="str">
        <f>IF(A272="","",COUNTIFS(Assignments!$B:$B,A272,Assignments!$AE:$AE, "Y",Assignments!$D:$D,"&gt;="&amp;TODAY()-30))</f>
        <v/>
      </c>
      <c r="T272" s="1" t="str">
        <f>IF(A272="","",COUNTIFS(Assignments!$AF:$AF,A272,Assignments!$AE:$AE, "Y",Assignments!$D:$D,"&gt;="&amp;TODAY()-30))</f>
        <v/>
      </c>
      <c r="U272" s="1" t="str">
        <f>IF(A272="","",IFERROR(S272/MAX(1,COUNTIFS(Assignments!$B:$B,A272,Assignments!$D:$D,"&gt;="&amp;TODAY()-30)),""))</f>
        <v/>
      </c>
      <c r="V272" s="1" t="str">
        <f t="shared" si="4"/>
        <v/>
      </c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 t="str">
        <f>IF($A273="","",IFERROR(AVERAGEIFS(Assignments!$N$6:$N$1000,Assignments!$B$6:$B$1000,$A273,Assignments!$E$6:$E$1000,"Completed"),""))</f>
        <v/>
      </c>
      <c r="K273" s="2" t="str">
        <f>IF(A273="","",IFERROR(AVERAGEIFS(Assignments!$AO:$AO,Assignments!$B:$B,A273,Assignments!$E:$E,"Completed"),""))</f>
        <v/>
      </c>
      <c r="L273" s="2" t="str">
        <f>IF($A273="","",IFERROR(COUNTIFS(Assignments!$B$6:$B$1000,$A273,Assignments!$E$6:$E$1000,"Cancelled")/MAX(1,COUNTIFS(Assignments!$B$6:$B$1000,$A273,Assignments!$E$6:$E$1000,"Completed")+COUNTIFS(Assignments!$B$6:$B$1000,$A273,Assignments!$E$6:$E$1000,"Cancelled")),""))</f>
        <v/>
      </c>
      <c r="M273" s="2" t="str">
        <f>IF($A273="","",IFERROR(AVERAGEIFS(Assignments!$P$6:$P$1000,Assignments!$B$6:$B$1000,$A273,Assignments!$E$6:$E$1000,"Completed"),""))</f>
        <v/>
      </c>
      <c r="N273" s="2"/>
      <c r="O273" s="2"/>
      <c r="P273" s="1" t="str">
        <f>IF(A273="","",MAX(0,MIN(3,SUMIFS(Strike_Log!$C:$C,Strike_Log!$B:$B,A273,Strike_Log!$A:$A,"&gt;="&amp;IF(Config!$B$1004="Y",TODAY()-Config!$B$1005,DATE(1900,1,1)),Strike_Log!$I:$I,1))))</f>
        <v/>
      </c>
      <c r="Q273" s="1">
        <f t="shared" si="3"/>
        <v>0</v>
      </c>
      <c r="R273" s="1" t="str">
        <f>IF(A273="","",IFERROR(AVERAGEIFS(Assignments!$J:$J,Assignments!$B:$B,A273,Assignments!$E:$E,"Completed"),""))</f>
        <v/>
      </c>
      <c r="S273" s="1" t="str">
        <f>IF(A273="","",COUNTIFS(Assignments!$B:$B,A273,Assignments!$AE:$AE, "Y",Assignments!$D:$D,"&gt;="&amp;TODAY()-30))</f>
        <v/>
      </c>
      <c r="T273" s="1" t="str">
        <f>IF(A273="","",COUNTIFS(Assignments!$AF:$AF,A273,Assignments!$AE:$AE, "Y",Assignments!$D:$D,"&gt;="&amp;TODAY()-30))</f>
        <v/>
      </c>
      <c r="U273" s="1" t="str">
        <f>IF(A273="","",IFERROR(S273/MAX(1,COUNTIFS(Assignments!$B:$B,A273,Assignments!$D:$D,"&gt;="&amp;TODAY()-30)),""))</f>
        <v/>
      </c>
      <c r="V273" s="1" t="str">
        <f t="shared" si="4"/>
        <v/>
      </c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 t="str">
        <f>IF($A274="","",IFERROR(AVERAGEIFS(Assignments!$N$6:$N$1000,Assignments!$B$6:$B$1000,$A274,Assignments!$E$6:$E$1000,"Completed"),""))</f>
        <v/>
      </c>
      <c r="K274" s="2" t="str">
        <f>IF(A274="","",IFERROR(AVERAGEIFS(Assignments!$AO:$AO,Assignments!$B:$B,A274,Assignments!$E:$E,"Completed"),""))</f>
        <v/>
      </c>
      <c r="L274" s="2" t="str">
        <f>IF($A274="","",IFERROR(COUNTIFS(Assignments!$B$6:$B$1000,$A274,Assignments!$E$6:$E$1000,"Cancelled")/MAX(1,COUNTIFS(Assignments!$B$6:$B$1000,$A274,Assignments!$E$6:$E$1000,"Completed")+COUNTIFS(Assignments!$B$6:$B$1000,$A274,Assignments!$E$6:$E$1000,"Cancelled")),""))</f>
        <v/>
      </c>
      <c r="M274" s="2" t="str">
        <f>IF($A274="","",IFERROR(AVERAGEIFS(Assignments!$P$6:$P$1000,Assignments!$B$6:$B$1000,$A274,Assignments!$E$6:$E$1000,"Completed"),""))</f>
        <v/>
      </c>
      <c r="N274" s="2"/>
      <c r="O274" s="2"/>
      <c r="P274" s="1" t="str">
        <f>IF(A274="","",MAX(0,MIN(3,SUMIFS(Strike_Log!$C:$C,Strike_Log!$B:$B,A274,Strike_Log!$A:$A,"&gt;="&amp;IF(Config!$B$1004="Y",TODAY()-Config!$B$1005,DATE(1900,1,1)),Strike_Log!$I:$I,1))))</f>
        <v/>
      </c>
      <c r="Q274" s="1">
        <f t="shared" si="3"/>
        <v>0</v>
      </c>
      <c r="R274" s="1" t="str">
        <f>IF(A274="","",IFERROR(AVERAGEIFS(Assignments!$J:$J,Assignments!$B:$B,A274,Assignments!$E:$E,"Completed"),""))</f>
        <v/>
      </c>
      <c r="S274" s="1" t="str">
        <f>IF(A274="","",COUNTIFS(Assignments!$B:$B,A274,Assignments!$AE:$AE, "Y",Assignments!$D:$D,"&gt;="&amp;TODAY()-30))</f>
        <v/>
      </c>
      <c r="T274" s="1" t="str">
        <f>IF(A274="","",COUNTIFS(Assignments!$AF:$AF,A274,Assignments!$AE:$AE, "Y",Assignments!$D:$D,"&gt;="&amp;TODAY()-30))</f>
        <v/>
      </c>
      <c r="U274" s="1" t="str">
        <f>IF(A274="","",IFERROR(S274/MAX(1,COUNTIFS(Assignments!$B:$B,A274,Assignments!$D:$D,"&gt;="&amp;TODAY()-30)),""))</f>
        <v/>
      </c>
      <c r="V274" s="1" t="str">
        <f t="shared" si="4"/>
        <v/>
      </c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 t="str">
        <f>IF($A275="","",IFERROR(AVERAGEIFS(Assignments!$N$6:$N$1000,Assignments!$B$6:$B$1000,$A275,Assignments!$E$6:$E$1000,"Completed"),""))</f>
        <v/>
      </c>
      <c r="K275" s="2" t="str">
        <f>IF(A275="","",IFERROR(AVERAGEIFS(Assignments!$AO:$AO,Assignments!$B:$B,A275,Assignments!$E:$E,"Completed"),""))</f>
        <v/>
      </c>
      <c r="L275" s="2" t="str">
        <f>IF($A275="","",IFERROR(COUNTIFS(Assignments!$B$6:$B$1000,$A275,Assignments!$E$6:$E$1000,"Cancelled")/MAX(1,COUNTIFS(Assignments!$B$6:$B$1000,$A275,Assignments!$E$6:$E$1000,"Completed")+COUNTIFS(Assignments!$B$6:$B$1000,$A275,Assignments!$E$6:$E$1000,"Cancelled")),""))</f>
        <v/>
      </c>
      <c r="M275" s="2" t="str">
        <f>IF($A275="","",IFERROR(AVERAGEIFS(Assignments!$P$6:$P$1000,Assignments!$B$6:$B$1000,$A275,Assignments!$E$6:$E$1000,"Completed"),""))</f>
        <v/>
      </c>
      <c r="N275" s="2"/>
      <c r="O275" s="2"/>
      <c r="P275" s="1" t="str">
        <f>IF(A275="","",MAX(0,MIN(3,SUMIFS(Strike_Log!$C:$C,Strike_Log!$B:$B,A275,Strike_Log!$A:$A,"&gt;="&amp;IF(Config!$B$1004="Y",TODAY()-Config!$B$1005,DATE(1900,1,1)),Strike_Log!$I:$I,1))))</f>
        <v/>
      </c>
      <c r="Q275" s="1">
        <f t="shared" si="3"/>
        <v>0</v>
      </c>
      <c r="R275" s="1" t="str">
        <f>IF(A275="","",IFERROR(AVERAGEIFS(Assignments!$J:$J,Assignments!$B:$B,A275,Assignments!$E:$E,"Completed"),""))</f>
        <v/>
      </c>
      <c r="S275" s="1" t="str">
        <f>IF(A275="","",COUNTIFS(Assignments!$B:$B,A275,Assignments!$AE:$AE, "Y",Assignments!$D:$D,"&gt;="&amp;TODAY()-30))</f>
        <v/>
      </c>
      <c r="T275" s="1" t="str">
        <f>IF(A275="","",COUNTIFS(Assignments!$AF:$AF,A275,Assignments!$AE:$AE, "Y",Assignments!$D:$D,"&gt;="&amp;TODAY()-30))</f>
        <v/>
      </c>
      <c r="U275" s="1" t="str">
        <f>IF(A275="","",IFERROR(S275/MAX(1,COUNTIFS(Assignments!$B:$B,A275,Assignments!$D:$D,"&gt;="&amp;TODAY()-30)),""))</f>
        <v/>
      </c>
      <c r="V275" s="1" t="str">
        <f t="shared" si="4"/>
        <v/>
      </c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 t="str">
        <f>IF($A276="","",IFERROR(AVERAGEIFS(Assignments!$N$6:$N$1000,Assignments!$B$6:$B$1000,$A276,Assignments!$E$6:$E$1000,"Completed"),""))</f>
        <v/>
      </c>
      <c r="K276" s="2" t="str">
        <f>IF(A276="","",IFERROR(AVERAGEIFS(Assignments!$AO:$AO,Assignments!$B:$B,A276,Assignments!$E:$E,"Completed"),""))</f>
        <v/>
      </c>
      <c r="L276" s="2" t="str">
        <f>IF($A276="","",IFERROR(COUNTIFS(Assignments!$B$6:$B$1000,$A276,Assignments!$E$6:$E$1000,"Cancelled")/MAX(1,COUNTIFS(Assignments!$B$6:$B$1000,$A276,Assignments!$E$6:$E$1000,"Completed")+COUNTIFS(Assignments!$B$6:$B$1000,$A276,Assignments!$E$6:$E$1000,"Cancelled")),""))</f>
        <v/>
      </c>
      <c r="M276" s="2" t="str">
        <f>IF($A276="","",IFERROR(AVERAGEIFS(Assignments!$P$6:$P$1000,Assignments!$B$6:$B$1000,$A276,Assignments!$E$6:$E$1000,"Completed"),""))</f>
        <v/>
      </c>
      <c r="N276" s="2"/>
      <c r="O276" s="2"/>
      <c r="P276" s="1" t="str">
        <f>IF(A276="","",MAX(0,MIN(3,SUMIFS(Strike_Log!$C:$C,Strike_Log!$B:$B,A276,Strike_Log!$A:$A,"&gt;="&amp;IF(Config!$B$1004="Y",TODAY()-Config!$B$1005,DATE(1900,1,1)),Strike_Log!$I:$I,1))))</f>
        <v/>
      </c>
      <c r="Q276" s="1">
        <f t="shared" si="3"/>
        <v>0</v>
      </c>
      <c r="R276" s="1" t="str">
        <f>IF(A276="","",IFERROR(AVERAGEIFS(Assignments!$J:$J,Assignments!$B:$B,A276,Assignments!$E:$E,"Completed"),""))</f>
        <v/>
      </c>
      <c r="S276" s="1" t="str">
        <f>IF(A276="","",COUNTIFS(Assignments!$B:$B,A276,Assignments!$AE:$AE, "Y",Assignments!$D:$D,"&gt;="&amp;TODAY()-30))</f>
        <v/>
      </c>
      <c r="T276" s="1" t="str">
        <f>IF(A276="","",COUNTIFS(Assignments!$AF:$AF,A276,Assignments!$AE:$AE, "Y",Assignments!$D:$D,"&gt;="&amp;TODAY()-30))</f>
        <v/>
      </c>
      <c r="U276" s="1" t="str">
        <f>IF(A276="","",IFERROR(S276/MAX(1,COUNTIFS(Assignments!$B:$B,A276,Assignments!$D:$D,"&gt;="&amp;TODAY()-30)),""))</f>
        <v/>
      </c>
      <c r="V276" s="1" t="str">
        <f t="shared" si="4"/>
        <v/>
      </c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 t="str">
        <f>IF($A277="","",IFERROR(AVERAGEIFS(Assignments!$N$6:$N$1000,Assignments!$B$6:$B$1000,$A277,Assignments!$E$6:$E$1000,"Completed"),""))</f>
        <v/>
      </c>
      <c r="K277" s="2" t="str">
        <f>IF(A277="","",IFERROR(AVERAGEIFS(Assignments!$AO:$AO,Assignments!$B:$B,A277,Assignments!$E:$E,"Completed"),""))</f>
        <v/>
      </c>
      <c r="L277" s="2" t="str">
        <f>IF($A277="","",IFERROR(COUNTIFS(Assignments!$B$6:$B$1000,$A277,Assignments!$E$6:$E$1000,"Cancelled")/MAX(1,COUNTIFS(Assignments!$B$6:$B$1000,$A277,Assignments!$E$6:$E$1000,"Completed")+COUNTIFS(Assignments!$B$6:$B$1000,$A277,Assignments!$E$6:$E$1000,"Cancelled")),""))</f>
        <v/>
      </c>
      <c r="M277" s="2" t="str">
        <f>IF($A277="","",IFERROR(AVERAGEIFS(Assignments!$P$6:$P$1000,Assignments!$B$6:$B$1000,$A277,Assignments!$E$6:$E$1000,"Completed"),""))</f>
        <v/>
      </c>
      <c r="N277" s="2"/>
      <c r="O277" s="2"/>
      <c r="P277" s="1" t="str">
        <f>IF(A277="","",MAX(0,MIN(3,SUMIFS(Strike_Log!$C:$C,Strike_Log!$B:$B,A277,Strike_Log!$A:$A,"&gt;="&amp;IF(Config!$B$1004="Y",TODAY()-Config!$B$1005,DATE(1900,1,1)),Strike_Log!$I:$I,1))))</f>
        <v/>
      </c>
      <c r="Q277" s="1">
        <f t="shared" si="3"/>
        <v>0</v>
      </c>
      <c r="R277" s="1" t="str">
        <f>IF(A277="","",IFERROR(AVERAGEIFS(Assignments!$J:$J,Assignments!$B:$B,A277,Assignments!$E:$E,"Completed"),""))</f>
        <v/>
      </c>
      <c r="S277" s="1" t="str">
        <f>IF(A277="","",COUNTIFS(Assignments!$B:$B,A277,Assignments!$AE:$AE, "Y",Assignments!$D:$D,"&gt;="&amp;TODAY()-30))</f>
        <v/>
      </c>
      <c r="T277" s="1" t="str">
        <f>IF(A277="","",COUNTIFS(Assignments!$AF:$AF,A277,Assignments!$AE:$AE, "Y",Assignments!$D:$D,"&gt;="&amp;TODAY()-30))</f>
        <v/>
      </c>
      <c r="U277" s="1" t="str">
        <f>IF(A277="","",IFERROR(S277/MAX(1,COUNTIFS(Assignments!$B:$B,A277,Assignments!$D:$D,"&gt;="&amp;TODAY()-30)),""))</f>
        <v/>
      </c>
      <c r="V277" s="1" t="str">
        <f t="shared" si="4"/>
        <v/>
      </c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 t="str">
        <f>IF($A278="","",IFERROR(AVERAGEIFS(Assignments!$N$6:$N$1000,Assignments!$B$6:$B$1000,$A278,Assignments!$E$6:$E$1000,"Completed"),""))</f>
        <v/>
      </c>
      <c r="K278" s="2" t="str">
        <f>IF(A278="","",IFERROR(AVERAGEIFS(Assignments!$AO:$AO,Assignments!$B:$B,A278,Assignments!$E:$E,"Completed"),""))</f>
        <v/>
      </c>
      <c r="L278" s="2" t="str">
        <f>IF($A278="","",IFERROR(COUNTIFS(Assignments!$B$6:$B$1000,$A278,Assignments!$E$6:$E$1000,"Cancelled")/MAX(1,COUNTIFS(Assignments!$B$6:$B$1000,$A278,Assignments!$E$6:$E$1000,"Completed")+COUNTIFS(Assignments!$B$6:$B$1000,$A278,Assignments!$E$6:$E$1000,"Cancelled")),""))</f>
        <v/>
      </c>
      <c r="M278" s="2" t="str">
        <f>IF($A278="","",IFERROR(AVERAGEIFS(Assignments!$P$6:$P$1000,Assignments!$B$6:$B$1000,$A278,Assignments!$E$6:$E$1000,"Completed"),""))</f>
        <v/>
      </c>
      <c r="N278" s="2"/>
      <c r="O278" s="2"/>
      <c r="P278" s="1" t="str">
        <f>IF(A278="","",MAX(0,MIN(3,SUMIFS(Strike_Log!$C:$C,Strike_Log!$B:$B,A278,Strike_Log!$A:$A,"&gt;="&amp;IF(Config!$B$1004="Y",TODAY()-Config!$B$1005,DATE(1900,1,1)),Strike_Log!$I:$I,1))))</f>
        <v/>
      </c>
      <c r="Q278" s="1">
        <f t="shared" si="3"/>
        <v>0</v>
      </c>
      <c r="R278" s="1" t="str">
        <f>IF(A278="","",IFERROR(AVERAGEIFS(Assignments!$J:$J,Assignments!$B:$B,A278,Assignments!$E:$E,"Completed"),""))</f>
        <v/>
      </c>
      <c r="S278" s="1" t="str">
        <f>IF(A278="","",COUNTIFS(Assignments!$B:$B,A278,Assignments!$AE:$AE, "Y",Assignments!$D:$D,"&gt;="&amp;TODAY()-30))</f>
        <v/>
      </c>
      <c r="T278" s="1" t="str">
        <f>IF(A278="","",COUNTIFS(Assignments!$AF:$AF,A278,Assignments!$AE:$AE, "Y",Assignments!$D:$D,"&gt;="&amp;TODAY()-30))</f>
        <v/>
      </c>
      <c r="U278" s="1" t="str">
        <f>IF(A278="","",IFERROR(S278/MAX(1,COUNTIFS(Assignments!$B:$B,A278,Assignments!$D:$D,"&gt;="&amp;TODAY()-30)),""))</f>
        <v/>
      </c>
      <c r="V278" s="1" t="str">
        <f t="shared" si="4"/>
        <v/>
      </c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 t="str">
        <f>IF($A279="","",IFERROR(AVERAGEIFS(Assignments!$N$6:$N$1000,Assignments!$B$6:$B$1000,$A279,Assignments!$E$6:$E$1000,"Completed"),""))</f>
        <v/>
      </c>
      <c r="K279" s="2" t="str">
        <f>IF(A279="","",IFERROR(AVERAGEIFS(Assignments!$AO:$AO,Assignments!$B:$B,A279,Assignments!$E:$E,"Completed"),""))</f>
        <v/>
      </c>
      <c r="L279" s="2" t="str">
        <f>IF($A279="","",IFERROR(COUNTIFS(Assignments!$B$6:$B$1000,$A279,Assignments!$E$6:$E$1000,"Cancelled")/MAX(1,COUNTIFS(Assignments!$B$6:$B$1000,$A279,Assignments!$E$6:$E$1000,"Completed")+COUNTIFS(Assignments!$B$6:$B$1000,$A279,Assignments!$E$6:$E$1000,"Cancelled")),""))</f>
        <v/>
      </c>
      <c r="M279" s="2" t="str">
        <f>IF($A279="","",IFERROR(AVERAGEIFS(Assignments!$P$6:$P$1000,Assignments!$B$6:$B$1000,$A279,Assignments!$E$6:$E$1000,"Completed"),""))</f>
        <v/>
      </c>
      <c r="N279" s="2"/>
      <c r="O279" s="2"/>
      <c r="P279" s="1" t="str">
        <f>IF(A279="","",MAX(0,MIN(3,SUMIFS(Strike_Log!$C:$C,Strike_Log!$B:$B,A279,Strike_Log!$A:$A,"&gt;="&amp;IF(Config!$B$1004="Y",TODAY()-Config!$B$1005,DATE(1900,1,1)),Strike_Log!$I:$I,1))))</f>
        <v/>
      </c>
      <c r="Q279" s="1">
        <f t="shared" si="3"/>
        <v>0</v>
      </c>
      <c r="R279" s="1" t="str">
        <f>IF(A279="","",IFERROR(AVERAGEIFS(Assignments!$J:$J,Assignments!$B:$B,A279,Assignments!$E:$E,"Completed"),""))</f>
        <v/>
      </c>
      <c r="S279" s="1" t="str">
        <f>IF(A279="","",COUNTIFS(Assignments!$B:$B,A279,Assignments!$AE:$AE, "Y",Assignments!$D:$D,"&gt;="&amp;TODAY()-30))</f>
        <v/>
      </c>
      <c r="T279" s="1" t="str">
        <f>IF(A279="","",COUNTIFS(Assignments!$AF:$AF,A279,Assignments!$AE:$AE, "Y",Assignments!$D:$D,"&gt;="&amp;TODAY()-30))</f>
        <v/>
      </c>
      <c r="U279" s="1" t="str">
        <f>IF(A279="","",IFERROR(S279/MAX(1,COUNTIFS(Assignments!$B:$B,A279,Assignments!$D:$D,"&gt;="&amp;TODAY()-30)),""))</f>
        <v/>
      </c>
      <c r="V279" s="1" t="str">
        <f t="shared" si="4"/>
        <v/>
      </c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 t="str">
        <f>IF($A280="","",IFERROR(AVERAGEIFS(Assignments!$N$6:$N$1000,Assignments!$B$6:$B$1000,$A280,Assignments!$E$6:$E$1000,"Completed"),""))</f>
        <v/>
      </c>
      <c r="K280" s="2" t="str">
        <f>IF(A280="","",IFERROR(AVERAGEIFS(Assignments!$AO:$AO,Assignments!$B:$B,A280,Assignments!$E:$E,"Completed"),""))</f>
        <v/>
      </c>
      <c r="L280" s="2" t="str">
        <f>IF($A280="","",IFERROR(COUNTIFS(Assignments!$B$6:$B$1000,$A280,Assignments!$E$6:$E$1000,"Cancelled")/MAX(1,COUNTIFS(Assignments!$B$6:$B$1000,$A280,Assignments!$E$6:$E$1000,"Completed")+COUNTIFS(Assignments!$B$6:$B$1000,$A280,Assignments!$E$6:$E$1000,"Cancelled")),""))</f>
        <v/>
      </c>
      <c r="M280" s="2" t="str">
        <f>IF($A280="","",IFERROR(AVERAGEIFS(Assignments!$P$6:$P$1000,Assignments!$B$6:$B$1000,$A280,Assignments!$E$6:$E$1000,"Completed"),""))</f>
        <v/>
      </c>
      <c r="N280" s="2"/>
      <c r="O280" s="2"/>
      <c r="P280" s="1" t="str">
        <f>IF(A280="","",MAX(0,MIN(3,SUMIFS(Strike_Log!$C:$C,Strike_Log!$B:$B,A280,Strike_Log!$A:$A,"&gt;="&amp;IF(Config!$B$1004="Y",TODAY()-Config!$B$1005,DATE(1900,1,1)),Strike_Log!$I:$I,1))))</f>
        <v/>
      </c>
      <c r="Q280" s="1">
        <f t="shared" si="3"/>
        <v>0</v>
      </c>
      <c r="R280" s="1" t="str">
        <f>IF(A280="","",IFERROR(AVERAGEIFS(Assignments!$J:$J,Assignments!$B:$B,A280,Assignments!$E:$E,"Completed"),""))</f>
        <v/>
      </c>
      <c r="S280" s="1" t="str">
        <f>IF(A280="","",COUNTIFS(Assignments!$B:$B,A280,Assignments!$AE:$AE, "Y",Assignments!$D:$D,"&gt;="&amp;TODAY()-30))</f>
        <v/>
      </c>
      <c r="T280" s="1" t="str">
        <f>IF(A280="","",COUNTIFS(Assignments!$AF:$AF,A280,Assignments!$AE:$AE, "Y",Assignments!$D:$D,"&gt;="&amp;TODAY()-30))</f>
        <v/>
      </c>
      <c r="U280" s="1" t="str">
        <f>IF(A280="","",IFERROR(S280/MAX(1,COUNTIFS(Assignments!$B:$B,A280,Assignments!$D:$D,"&gt;="&amp;TODAY()-30)),""))</f>
        <v/>
      </c>
      <c r="V280" s="1" t="str">
        <f t="shared" si="4"/>
        <v/>
      </c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 t="str">
        <f>IF($A281="","",IFERROR(AVERAGEIFS(Assignments!$N$6:$N$1000,Assignments!$B$6:$B$1000,$A281,Assignments!$E$6:$E$1000,"Completed"),""))</f>
        <v/>
      </c>
      <c r="K281" s="2" t="str">
        <f>IF(A281="","",IFERROR(AVERAGEIFS(Assignments!$AO:$AO,Assignments!$B:$B,A281,Assignments!$E:$E,"Completed"),""))</f>
        <v/>
      </c>
      <c r="L281" s="2" t="str">
        <f>IF($A281="","",IFERROR(COUNTIFS(Assignments!$B$6:$B$1000,$A281,Assignments!$E$6:$E$1000,"Cancelled")/MAX(1,COUNTIFS(Assignments!$B$6:$B$1000,$A281,Assignments!$E$6:$E$1000,"Completed")+COUNTIFS(Assignments!$B$6:$B$1000,$A281,Assignments!$E$6:$E$1000,"Cancelled")),""))</f>
        <v/>
      </c>
      <c r="M281" s="2" t="str">
        <f>IF($A281="","",IFERROR(AVERAGEIFS(Assignments!$P$6:$P$1000,Assignments!$B$6:$B$1000,$A281,Assignments!$E$6:$E$1000,"Completed"),""))</f>
        <v/>
      </c>
      <c r="N281" s="2"/>
      <c r="O281" s="2"/>
      <c r="P281" s="1" t="str">
        <f>IF(A281="","",MAX(0,MIN(3,SUMIFS(Strike_Log!$C:$C,Strike_Log!$B:$B,A281,Strike_Log!$A:$A,"&gt;="&amp;IF(Config!$B$1004="Y",TODAY()-Config!$B$1005,DATE(1900,1,1)),Strike_Log!$I:$I,1))))</f>
        <v/>
      </c>
      <c r="Q281" s="1">
        <f t="shared" si="3"/>
        <v>0</v>
      </c>
      <c r="R281" s="1" t="str">
        <f>IF(A281="","",IFERROR(AVERAGEIFS(Assignments!$J:$J,Assignments!$B:$B,A281,Assignments!$E:$E,"Completed"),""))</f>
        <v/>
      </c>
      <c r="S281" s="1" t="str">
        <f>IF(A281="","",COUNTIFS(Assignments!$B:$B,A281,Assignments!$AE:$AE, "Y",Assignments!$D:$D,"&gt;="&amp;TODAY()-30))</f>
        <v/>
      </c>
      <c r="T281" s="1" t="str">
        <f>IF(A281="","",COUNTIFS(Assignments!$AF:$AF,A281,Assignments!$AE:$AE, "Y",Assignments!$D:$D,"&gt;="&amp;TODAY()-30))</f>
        <v/>
      </c>
      <c r="U281" s="1" t="str">
        <f>IF(A281="","",IFERROR(S281/MAX(1,COUNTIFS(Assignments!$B:$B,A281,Assignments!$D:$D,"&gt;="&amp;TODAY()-30)),""))</f>
        <v/>
      </c>
      <c r="V281" s="1" t="str">
        <f t="shared" si="4"/>
        <v/>
      </c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 t="str">
        <f>IF($A282="","",IFERROR(AVERAGEIFS(Assignments!$N$6:$N$1000,Assignments!$B$6:$B$1000,$A282,Assignments!$E$6:$E$1000,"Completed"),""))</f>
        <v/>
      </c>
      <c r="K282" s="2" t="str">
        <f>IF(A282="","",IFERROR(AVERAGEIFS(Assignments!$AO:$AO,Assignments!$B:$B,A282,Assignments!$E:$E,"Completed"),""))</f>
        <v/>
      </c>
      <c r="L282" s="2" t="str">
        <f>IF($A282="","",IFERROR(COUNTIFS(Assignments!$B$6:$B$1000,$A282,Assignments!$E$6:$E$1000,"Cancelled")/MAX(1,COUNTIFS(Assignments!$B$6:$B$1000,$A282,Assignments!$E$6:$E$1000,"Completed")+COUNTIFS(Assignments!$B$6:$B$1000,$A282,Assignments!$E$6:$E$1000,"Cancelled")),""))</f>
        <v/>
      </c>
      <c r="M282" s="2" t="str">
        <f>IF($A282="","",IFERROR(AVERAGEIFS(Assignments!$P$6:$P$1000,Assignments!$B$6:$B$1000,$A282,Assignments!$E$6:$E$1000,"Completed"),""))</f>
        <v/>
      </c>
      <c r="N282" s="2"/>
      <c r="O282" s="2"/>
      <c r="P282" s="1" t="str">
        <f>IF(A282="","",MAX(0,MIN(3,SUMIFS(Strike_Log!$C:$C,Strike_Log!$B:$B,A282,Strike_Log!$A:$A,"&gt;="&amp;IF(Config!$B$1004="Y",TODAY()-Config!$B$1005,DATE(1900,1,1)),Strike_Log!$I:$I,1))))</f>
        <v/>
      </c>
      <c r="Q282" s="1">
        <f t="shared" si="3"/>
        <v>0</v>
      </c>
      <c r="R282" s="1" t="str">
        <f>IF(A282="","",IFERROR(AVERAGEIFS(Assignments!$J:$J,Assignments!$B:$B,A282,Assignments!$E:$E,"Completed"),""))</f>
        <v/>
      </c>
      <c r="S282" s="1" t="str">
        <f>IF(A282="","",COUNTIFS(Assignments!$B:$B,A282,Assignments!$AE:$AE, "Y",Assignments!$D:$D,"&gt;="&amp;TODAY()-30))</f>
        <v/>
      </c>
      <c r="T282" s="1" t="str">
        <f>IF(A282="","",COUNTIFS(Assignments!$AF:$AF,A282,Assignments!$AE:$AE, "Y",Assignments!$D:$D,"&gt;="&amp;TODAY()-30))</f>
        <v/>
      </c>
      <c r="U282" s="1" t="str">
        <f>IF(A282="","",IFERROR(S282/MAX(1,COUNTIFS(Assignments!$B:$B,A282,Assignments!$D:$D,"&gt;="&amp;TODAY()-30)),""))</f>
        <v/>
      </c>
      <c r="V282" s="1" t="str">
        <f t="shared" si="4"/>
        <v/>
      </c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 t="str">
        <f>IF($A283="","",IFERROR(AVERAGEIFS(Assignments!$N$6:$N$1000,Assignments!$B$6:$B$1000,$A283,Assignments!$E$6:$E$1000,"Completed"),""))</f>
        <v/>
      </c>
      <c r="K283" s="2" t="str">
        <f>IF(A283="","",IFERROR(AVERAGEIFS(Assignments!$AO:$AO,Assignments!$B:$B,A283,Assignments!$E:$E,"Completed"),""))</f>
        <v/>
      </c>
      <c r="L283" s="2" t="str">
        <f>IF($A283="","",IFERROR(COUNTIFS(Assignments!$B$6:$B$1000,$A283,Assignments!$E$6:$E$1000,"Cancelled")/MAX(1,COUNTIFS(Assignments!$B$6:$B$1000,$A283,Assignments!$E$6:$E$1000,"Completed")+COUNTIFS(Assignments!$B$6:$B$1000,$A283,Assignments!$E$6:$E$1000,"Cancelled")),""))</f>
        <v/>
      </c>
      <c r="M283" s="2" t="str">
        <f>IF($A283="","",IFERROR(AVERAGEIFS(Assignments!$P$6:$P$1000,Assignments!$B$6:$B$1000,$A283,Assignments!$E$6:$E$1000,"Completed"),""))</f>
        <v/>
      </c>
      <c r="N283" s="2"/>
      <c r="O283" s="2"/>
      <c r="P283" s="1" t="str">
        <f>IF(A283="","",MAX(0,MIN(3,SUMIFS(Strike_Log!$C:$C,Strike_Log!$B:$B,A283,Strike_Log!$A:$A,"&gt;="&amp;IF(Config!$B$1004="Y",TODAY()-Config!$B$1005,DATE(1900,1,1)),Strike_Log!$I:$I,1))))</f>
        <v/>
      </c>
      <c r="Q283" s="1">
        <f t="shared" si="3"/>
        <v>0</v>
      </c>
      <c r="R283" s="1" t="str">
        <f>IF(A283="","",IFERROR(AVERAGEIFS(Assignments!$J:$J,Assignments!$B:$B,A283,Assignments!$E:$E,"Completed"),""))</f>
        <v/>
      </c>
      <c r="S283" s="1" t="str">
        <f>IF(A283="","",COUNTIFS(Assignments!$B:$B,A283,Assignments!$AE:$AE, "Y",Assignments!$D:$D,"&gt;="&amp;TODAY()-30))</f>
        <v/>
      </c>
      <c r="T283" s="1" t="str">
        <f>IF(A283="","",COUNTIFS(Assignments!$AF:$AF,A283,Assignments!$AE:$AE, "Y",Assignments!$D:$D,"&gt;="&amp;TODAY()-30))</f>
        <v/>
      </c>
      <c r="U283" s="1" t="str">
        <f>IF(A283="","",IFERROR(S283/MAX(1,COUNTIFS(Assignments!$B:$B,A283,Assignments!$D:$D,"&gt;="&amp;TODAY()-30)),""))</f>
        <v/>
      </c>
      <c r="V283" s="1" t="str">
        <f t="shared" si="4"/>
        <v/>
      </c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 t="str">
        <f>IF($A284="","",IFERROR(AVERAGEIFS(Assignments!$N$6:$N$1000,Assignments!$B$6:$B$1000,$A284,Assignments!$E$6:$E$1000,"Completed"),""))</f>
        <v/>
      </c>
      <c r="K284" s="2" t="str">
        <f>IF(A284="","",IFERROR(AVERAGEIFS(Assignments!$AO:$AO,Assignments!$B:$B,A284,Assignments!$E:$E,"Completed"),""))</f>
        <v/>
      </c>
      <c r="L284" s="2" t="str">
        <f>IF($A284="","",IFERROR(COUNTIFS(Assignments!$B$6:$B$1000,$A284,Assignments!$E$6:$E$1000,"Cancelled")/MAX(1,COUNTIFS(Assignments!$B$6:$B$1000,$A284,Assignments!$E$6:$E$1000,"Completed")+COUNTIFS(Assignments!$B$6:$B$1000,$A284,Assignments!$E$6:$E$1000,"Cancelled")),""))</f>
        <v/>
      </c>
      <c r="M284" s="2" t="str">
        <f>IF($A284="","",IFERROR(AVERAGEIFS(Assignments!$P$6:$P$1000,Assignments!$B$6:$B$1000,$A284,Assignments!$E$6:$E$1000,"Completed"),""))</f>
        <v/>
      </c>
      <c r="N284" s="2"/>
      <c r="O284" s="2"/>
      <c r="P284" s="1" t="str">
        <f>IF(A284="","",MAX(0,MIN(3,SUMIFS(Strike_Log!$C:$C,Strike_Log!$B:$B,A284,Strike_Log!$A:$A,"&gt;="&amp;IF(Config!$B$1004="Y",TODAY()-Config!$B$1005,DATE(1900,1,1)),Strike_Log!$I:$I,1))))</f>
        <v/>
      </c>
      <c r="Q284" s="1">
        <f t="shared" si="3"/>
        <v>0</v>
      </c>
      <c r="R284" s="1" t="str">
        <f>IF(A284="","",IFERROR(AVERAGEIFS(Assignments!$J:$J,Assignments!$B:$B,A284,Assignments!$E:$E,"Completed"),""))</f>
        <v/>
      </c>
      <c r="S284" s="1" t="str">
        <f>IF(A284="","",COUNTIFS(Assignments!$B:$B,A284,Assignments!$AE:$AE, "Y",Assignments!$D:$D,"&gt;="&amp;TODAY()-30))</f>
        <v/>
      </c>
      <c r="T284" s="1" t="str">
        <f>IF(A284="","",COUNTIFS(Assignments!$AF:$AF,A284,Assignments!$AE:$AE, "Y",Assignments!$D:$D,"&gt;="&amp;TODAY()-30))</f>
        <v/>
      </c>
      <c r="U284" s="1" t="str">
        <f>IF(A284="","",IFERROR(S284/MAX(1,COUNTIFS(Assignments!$B:$B,A284,Assignments!$D:$D,"&gt;="&amp;TODAY()-30)),""))</f>
        <v/>
      </c>
      <c r="V284" s="1" t="str">
        <f t="shared" si="4"/>
        <v/>
      </c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 t="str">
        <f>IF($A285="","",IFERROR(AVERAGEIFS(Assignments!$N$6:$N$1000,Assignments!$B$6:$B$1000,$A285,Assignments!$E$6:$E$1000,"Completed"),""))</f>
        <v/>
      </c>
      <c r="K285" s="2" t="str">
        <f>IF(A285="","",IFERROR(AVERAGEIFS(Assignments!$AO:$AO,Assignments!$B:$B,A285,Assignments!$E:$E,"Completed"),""))</f>
        <v/>
      </c>
      <c r="L285" s="2" t="str">
        <f>IF($A285="","",IFERROR(COUNTIFS(Assignments!$B$6:$B$1000,$A285,Assignments!$E$6:$E$1000,"Cancelled")/MAX(1,COUNTIFS(Assignments!$B$6:$B$1000,$A285,Assignments!$E$6:$E$1000,"Completed")+COUNTIFS(Assignments!$B$6:$B$1000,$A285,Assignments!$E$6:$E$1000,"Cancelled")),""))</f>
        <v/>
      </c>
      <c r="M285" s="2" t="str">
        <f>IF($A285="","",IFERROR(AVERAGEIFS(Assignments!$P$6:$P$1000,Assignments!$B$6:$B$1000,$A285,Assignments!$E$6:$E$1000,"Completed"),""))</f>
        <v/>
      </c>
      <c r="N285" s="2"/>
      <c r="O285" s="2"/>
      <c r="P285" s="1" t="str">
        <f>IF(A285="","",MAX(0,MIN(3,SUMIFS(Strike_Log!$C:$C,Strike_Log!$B:$B,A285,Strike_Log!$A:$A,"&gt;="&amp;IF(Config!$B$1004="Y",TODAY()-Config!$B$1005,DATE(1900,1,1)),Strike_Log!$I:$I,1))))</f>
        <v/>
      </c>
      <c r="Q285" s="1">
        <f t="shared" si="3"/>
        <v>0</v>
      </c>
      <c r="R285" s="1" t="str">
        <f>IF(A285="","",IFERROR(AVERAGEIFS(Assignments!$J:$J,Assignments!$B:$B,A285,Assignments!$E:$E,"Completed"),""))</f>
        <v/>
      </c>
      <c r="S285" s="1" t="str">
        <f>IF(A285="","",COUNTIFS(Assignments!$B:$B,A285,Assignments!$AE:$AE, "Y",Assignments!$D:$D,"&gt;="&amp;TODAY()-30))</f>
        <v/>
      </c>
      <c r="T285" s="1" t="str">
        <f>IF(A285="","",COUNTIFS(Assignments!$AF:$AF,A285,Assignments!$AE:$AE, "Y",Assignments!$D:$D,"&gt;="&amp;TODAY()-30))</f>
        <v/>
      </c>
      <c r="U285" s="1" t="str">
        <f>IF(A285="","",IFERROR(S285/MAX(1,COUNTIFS(Assignments!$B:$B,A285,Assignments!$D:$D,"&gt;="&amp;TODAY()-30)),""))</f>
        <v/>
      </c>
      <c r="V285" s="1" t="str">
        <f t="shared" si="4"/>
        <v/>
      </c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 t="str">
        <f>IF($A286="","",IFERROR(AVERAGEIFS(Assignments!$N$6:$N$1000,Assignments!$B$6:$B$1000,$A286,Assignments!$E$6:$E$1000,"Completed"),""))</f>
        <v/>
      </c>
      <c r="K286" s="2" t="str">
        <f>IF(A286="","",IFERROR(AVERAGEIFS(Assignments!$AO:$AO,Assignments!$B:$B,A286,Assignments!$E:$E,"Completed"),""))</f>
        <v/>
      </c>
      <c r="L286" s="2" t="str">
        <f>IF($A286="","",IFERROR(COUNTIFS(Assignments!$B$6:$B$1000,$A286,Assignments!$E$6:$E$1000,"Cancelled")/MAX(1,COUNTIFS(Assignments!$B$6:$B$1000,$A286,Assignments!$E$6:$E$1000,"Completed")+COUNTIFS(Assignments!$B$6:$B$1000,$A286,Assignments!$E$6:$E$1000,"Cancelled")),""))</f>
        <v/>
      </c>
      <c r="M286" s="2" t="str">
        <f>IF($A286="","",IFERROR(AVERAGEIFS(Assignments!$P$6:$P$1000,Assignments!$B$6:$B$1000,$A286,Assignments!$E$6:$E$1000,"Completed"),""))</f>
        <v/>
      </c>
      <c r="N286" s="2"/>
      <c r="O286" s="2"/>
      <c r="P286" s="1" t="str">
        <f>IF(A286="","",MAX(0,MIN(3,SUMIFS(Strike_Log!$C:$C,Strike_Log!$B:$B,A286,Strike_Log!$A:$A,"&gt;="&amp;IF(Config!$B$1004="Y",TODAY()-Config!$B$1005,DATE(1900,1,1)),Strike_Log!$I:$I,1))))</f>
        <v/>
      </c>
      <c r="Q286" s="1">
        <f t="shared" si="3"/>
        <v>0</v>
      </c>
      <c r="R286" s="1" t="str">
        <f>IF(A286="","",IFERROR(AVERAGEIFS(Assignments!$J:$J,Assignments!$B:$B,A286,Assignments!$E:$E,"Completed"),""))</f>
        <v/>
      </c>
      <c r="S286" s="1" t="str">
        <f>IF(A286="","",COUNTIFS(Assignments!$B:$B,A286,Assignments!$AE:$AE, "Y",Assignments!$D:$D,"&gt;="&amp;TODAY()-30))</f>
        <v/>
      </c>
      <c r="T286" s="1" t="str">
        <f>IF(A286="","",COUNTIFS(Assignments!$AF:$AF,A286,Assignments!$AE:$AE, "Y",Assignments!$D:$D,"&gt;="&amp;TODAY()-30))</f>
        <v/>
      </c>
      <c r="U286" s="1" t="str">
        <f>IF(A286="","",IFERROR(S286/MAX(1,COUNTIFS(Assignments!$B:$B,A286,Assignments!$D:$D,"&gt;="&amp;TODAY()-30)),""))</f>
        <v/>
      </c>
      <c r="V286" s="1" t="str">
        <f t="shared" si="4"/>
        <v/>
      </c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 t="str">
        <f>IF($A287="","",IFERROR(AVERAGEIFS(Assignments!$N$6:$N$1000,Assignments!$B$6:$B$1000,$A287,Assignments!$E$6:$E$1000,"Completed"),""))</f>
        <v/>
      </c>
      <c r="K287" s="2" t="str">
        <f>IF(A287="","",IFERROR(AVERAGEIFS(Assignments!$AO:$AO,Assignments!$B:$B,A287,Assignments!$E:$E,"Completed"),""))</f>
        <v/>
      </c>
      <c r="L287" s="2" t="str">
        <f>IF($A287="","",IFERROR(COUNTIFS(Assignments!$B$6:$B$1000,$A287,Assignments!$E$6:$E$1000,"Cancelled")/MAX(1,COUNTIFS(Assignments!$B$6:$B$1000,$A287,Assignments!$E$6:$E$1000,"Completed")+COUNTIFS(Assignments!$B$6:$B$1000,$A287,Assignments!$E$6:$E$1000,"Cancelled")),""))</f>
        <v/>
      </c>
      <c r="M287" s="2" t="str">
        <f>IF($A287="","",IFERROR(AVERAGEIFS(Assignments!$P$6:$P$1000,Assignments!$B$6:$B$1000,$A287,Assignments!$E$6:$E$1000,"Completed"),""))</f>
        <v/>
      </c>
      <c r="N287" s="2"/>
      <c r="O287" s="2"/>
      <c r="P287" s="1" t="str">
        <f>IF(A287="","",MAX(0,MIN(3,SUMIFS(Strike_Log!$C:$C,Strike_Log!$B:$B,A287,Strike_Log!$A:$A,"&gt;="&amp;IF(Config!$B$1004="Y",TODAY()-Config!$B$1005,DATE(1900,1,1)),Strike_Log!$I:$I,1))))</f>
        <v/>
      </c>
      <c r="Q287" s="1">
        <f t="shared" si="3"/>
        <v>0</v>
      </c>
      <c r="R287" s="1" t="str">
        <f>IF(A287="","",IFERROR(AVERAGEIFS(Assignments!$J:$J,Assignments!$B:$B,A287,Assignments!$E:$E,"Completed"),""))</f>
        <v/>
      </c>
      <c r="S287" s="1" t="str">
        <f>IF(A287="","",COUNTIFS(Assignments!$B:$B,A287,Assignments!$AE:$AE, "Y",Assignments!$D:$D,"&gt;="&amp;TODAY()-30))</f>
        <v/>
      </c>
      <c r="T287" s="1" t="str">
        <f>IF(A287="","",COUNTIFS(Assignments!$AF:$AF,A287,Assignments!$AE:$AE, "Y",Assignments!$D:$D,"&gt;="&amp;TODAY()-30))</f>
        <v/>
      </c>
      <c r="U287" s="1" t="str">
        <f>IF(A287="","",IFERROR(S287/MAX(1,COUNTIFS(Assignments!$B:$B,A287,Assignments!$D:$D,"&gt;="&amp;TODAY()-30)),""))</f>
        <v/>
      </c>
      <c r="V287" s="1" t="str">
        <f t="shared" si="4"/>
        <v/>
      </c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 t="str">
        <f>IF($A288="","",IFERROR(AVERAGEIFS(Assignments!$N$6:$N$1000,Assignments!$B$6:$B$1000,$A288,Assignments!$E$6:$E$1000,"Completed"),""))</f>
        <v/>
      </c>
      <c r="K288" s="2" t="str">
        <f>IF(A288="","",IFERROR(AVERAGEIFS(Assignments!$AO:$AO,Assignments!$B:$B,A288,Assignments!$E:$E,"Completed"),""))</f>
        <v/>
      </c>
      <c r="L288" s="2" t="str">
        <f>IF($A288="","",IFERROR(COUNTIFS(Assignments!$B$6:$B$1000,$A288,Assignments!$E$6:$E$1000,"Cancelled")/MAX(1,COUNTIFS(Assignments!$B$6:$B$1000,$A288,Assignments!$E$6:$E$1000,"Completed")+COUNTIFS(Assignments!$B$6:$B$1000,$A288,Assignments!$E$6:$E$1000,"Cancelled")),""))</f>
        <v/>
      </c>
      <c r="M288" s="2" t="str">
        <f>IF($A288="","",IFERROR(AVERAGEIFS(Assignments!$P$6:$P$1000,Assignments!$B$6:$B$1000,$A288,Assignments!$E$6:$E$1000,"Completed"),""))</f>
        <v/>
      </c>
      <c r="N288" s="2"/>
      <c r="O288" s="2"/>
      <c r="P288" s="1" t="str">
        <f>IF(A288="","",MAX(0,MIN(3,SUMIFS(Strike_Log!$C:$C,Strike_Log!$B:$B,A288,Strike_Log!$A:$A,"&gt;="&amp;IF(Config!$B$1004="Y",TODAY()-Config!$B$1005,DATE(1900,1,1)),Strike_Log!$I:$I,1))))</f>
        <v/>
      </c>
      <c r="Q288" s="1">
        <f t="shared" si="3"/>
        <v>0</v>
      </c>
      <c r="R288" s="1" t="str">
        <f>IF(A288="","",IFERROR(AVERAGEIFS(Assignments!$J:$J,Assignments!$B:$B,A288,Assignments!$E:$E,"Completed"),""))</f>
        <v/>
      </c>
      <c r="S288" s="1" t="str">
        <f>IF(A288="","",COUNTIFS(Assignments!$B:$B,A288,Assignments!$AE:$AE, "Y",Assignments!$D:$D,"&gt;="&amp;TODAY()-30))</f>
        <v/>
      </c>
      <c r="T288" s="1" t="str">
        <f>IF(A288="","",COUNTIFS(Assignments!$AF:$AF,A288,Assignments!$AE:$AE, "Y",Assignments!$D:$D,"&gt;="&amp;TODAY()-30))</f>
        <v/>
      </c>
      <c r="U288" s="1" t="str">
        <f>IF(A288="","",IFERROR(S288/MAX(1,COUNTIFS(Assignments!$B:$B,A288,Assignments!$D:$D,"&gt;="&amp;TODAY()-30)),""))</f>
        <v/>
      </c>
      <c r="V288" s="1" t="str">
        <f t="shared" si="4"/>
        <v/>
      </c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 t="str">
        <f>IF($A289="","",IFERROR(AVERAGEIFS(Assignments!$N$6:$N$1000,Assignments!$B$6:$B$1000,$A289,Assignments!$E$6:$E$1000,"Completed"),""))</f>
        <v/>
      </c>
      <c r="K289" s="2" t="str">
        <f>IF(A289="","",IFERROR(AVERAGEIFS(Assignments!$AO:$AO,Assignments!$B:$B,A289,Assignments!$E:$E,"Completed"),""))</f>
        <v/>
      </c>
      <c r="L289" s="2" t="str">
        <f>IF($A289="","",IFERROR(COUNTIFS(Assignments!$B$6:$B$1000,$A289,Assignments!$E$6:$E$1000,"Cancelled")/MAX(1,COUNTIFS(Assignments!$B$6:$B$1000,$A289,Assignments!$E$6:$E$1000,"Completed")+COUNTIFS(Assignments!$B$6:$B$1000,$A289,Assignments!$E$6:$E$1000,"Cancelled")),""))</f>
        <v/>
      </c>
      <c r="M289" s="2" t="str">
        <f>IF($A289="","",IFERROR(AVERAGEIFS(Assignments!$P$6:$P$1000,Assignments!$B$6:$B$1000,$A289,Assignments!$E$6:$E$1000,"Completed"),""))</f>
        <v/>
      </c>
      <c r="N289" s="2"/>
      <c r="O289" s="2"/>
      <c r="P289" s="1" t="str">
        <f>IF(A289="","",MAX(0,MIN(3,SUMIFS(Strike_Log!$C:$C,Strike_Log!$B:$B,A289,Strike_Log!$A:$A,"&gt;="&amp;IF(Config!$B$1004="Y",TODAY()-Config!$B$1005,DATE(1900,1,1)),Strike_Log!$I:$I,1))))</f>
        <v/>
      </c>
      <c r="Q289" s="1">
        <f t="shared" si="3"/>
        <v>0</v>
      </c>
      <c r="R289" s="1" t="str">
        <f>IF(A289="","",IFERROR(AVERAGEIFS(Assignments!$J:$J,Assignments!$B:$B,A289,Assignments!$E:$E,"Completed"),""))</f>
        <v/>
      </c>
      <c r="S289" s="1" t="str">
        <f>IF(A289="","",COUNTIFS(Assignments!$B:$B,A289,Assignments!$AE:$AE, "Y",Assignments!$D:$D,"&gt;="&amp;TODAY()-30))</f>
        <v/>
      </c>
      <c r="T289" s="1" t="str">
        <f>IF(A289="","",COUNTIFS(Assignments!$AF:$AF,A289,Assignments!$AE:$AE, "Y",Assignments!$D:$D,"&gt;="&amp;TODAY()-30))</f>
        <v/>
      </c>
      <c r="U289" s="1" t="str">
        <f>IF(A289="","",IFERROR(S289/MAX(1,COUNTIFS(Assignments!$B:$B,A289,Assignments!$D:$D,"&gt;="&amp;TODAY()-30)),""))</f>
        <v/>
      </c>
      <c r="V289" s="1" t="str">
        <f t="shared" si="4"/>
        <v/>
      </c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 t="str">
        <f>IF($A290="","",IFERROR(AVERAGEIFS(Assignments!$N$6:$N$1000,Assignments!$B$6:$B$1000,$A290,Assignments!$E$6:$E$1000,"Completed"),""))</f>
        <v/>
      </c>
      <c r="K290" s="2" t="str">
        <f>IF(A290="","",IFERROR(AVERAGEIFS(Assignments!$AO:$AO,Assignments!$B:$B,A290,Assignments!$E:$E,"Completed"),""))</f>
        <v/>
      </c>
      <c r="L290" s="2" t="str">
        <f>IF($A290="","",IFERROR(COUNTIFS(Assignments!$B$6:$B$1000,$A290,Assignments!$E$6:$E$1000,"Cancelled")/MAX(1,COUNTIFS(Assignments!$B$6:$B$1000,$A290,Assignments!$E$6:$E$1000,"Completed")+COUNTIFS(Assignments!$B$6:$B$1000,$A290,Assignments!$E$6:$E$1000,"Cancelled")),""))</f>
        <v/>
      </c>
      <c r="M290" s="2" t="str">
        <f>IF($A290="","",IFERROR(AVERAGEIFS(Assignments!$P$6:$P$1000,Assignments!$B$6:$B$1000,$A290,Assignments!$E$6:$E$1000,"Completed"),""))</f>
        <v/>
      </c>
      <c r="N290" s="2"/>
      <c r="O290" s="2"/>
      <c r="P290" s="1" t="str">
        <f>IF(A290="","",MAX(0,MIN(3,SUMIFS(Strike_Log!$C:$C,Strike_Log!$B:$B,A290,Strike_Log!$A:$A,"&gt;="&amp;IF(Config!$B$1004="Y",TODAY()-Config!$B$1005,DATE(1900,1,1)),Strike_Log!$I:$I,1))))</f>
        <v/>
      </c>
      <c r="Q290" s="1">
        <f t="shared" si="3"/>
        <v>0</v>
      </c>
      <c r="R290" s="1" t="str">
        <f>IF(A290="","",IFERROR(AVERAGEIFS(Assignments!$J:$J,Assignments!$B:$B,A290,Assignments!$E:$E,"Completed"),""))</f>
        <v/>
      </c>
      <c r="S290" s="1" t="str">
        <f>IF(A290="","",COUNTIFS(Assignments!$B:$B,A290,Assignments!$AE:$AE, "Y",Assignments!$D:$D,"&gt;="&amp;TODAY()-30))</f>
        <v/>
      </c>
      <c r="T290" s="1" t="str">
        <f>IF(A290="","",COUNTIFS(Assignments!$AF:$AF,A290,Assignments!$AE:$AE, "Y",Assignments!$D:$D,"&gt;="&amp;TODAY()-30))</f>
        <v/>
      </c>
      <c r="U290" s="1" t="str">
        <f>IF(A290="","",IFERROR(S290/MAX(1,COUNTIFS(Assignments!$B:$B,A290,Assignments!$D:$D,"&gt;="&amp;TODAY()-30)),""))</f>
        <v/>
      </c>
      <c r="V290" s="1" t="str">
        <f t="shared" si="4"/>
        <v/>
      </c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 t="str">
        <f>IF($A291="","",IFERROR(AVERAGEIFS(Assignments!$N$6:$N$1000,Assignments!$B$6:$B$1000,$A291,Assignments!$E$6:$E$1000,"Completed"),""))</f>
        <v/>
      </c>
      <c r="K291" s="2" t="str">
        <f>IF(A291="","",IFERROR(AVERAGEIFS(Assignments!$AO:$AO,Assignments!$B:$B,A291,Assignments!$E:$E,"Completed"),""))</f>
        <v/>
      </c>
      <c r="L291" s="2" t="str">
        <f>IF($A291="","",IFERROR(COUNTIFS(Assignments!$B$6:$B$1000,$A291,Assignments!$E$6:$E$1000,"Cancelled")/MAX(1,COUNTIFS(Assignments!$B$6:$B$1000,$A291,Assignments!$E$6:$E$1000,"Completed")+COUNTIFS(Assignments!$B$6:$B$1000,$A291,Assignments!$E$6:$E$1000,"Cancelled")),""))</f>
        <v/>
      </c>
      <c r="M291" s="2" t="str">
        <f>IF($A291="","",IFERROR(AVERAGEIFS(Assignments!$P$6:$P$1000,Assignments!$B$6:$B$1000,$A291,Assignments!$E$6:$E$1000,"Completed"),""))</f>
        <v/>
      </c>
      <c r="N291" s="2"/>
      <c r="O291" s="2"/>
      <c r="P291" s="1" t="str">
        <f>IF(A291="","",MAX(0,MIN(3,SUMIFS(Strike_Log!$C:$C,Strike_Log!$B:$B,A291,Strike_Log!$A:$A,"&gt;="&amp;IF(Config!$B$1004="Y",TODAY()-Config!$B$1005,DATE(1900,1,1)),Strike_Log!$I:$I,1))))</f>
        <v/>
      </c>
      <c r="Q291" s="1">
        <f t="shared" si="3"/>
        <v>0</v>
      </c>
      <c r="R291" s="1" t="str">
        <f>IF(A291="","",IFERROR(AVERAGEIFS(Assignments!$J:$J,Assignments!$B:$B,A291,Assignments!$E:$E,"Completed"),""))</f>
        <v/>
      </c>
      <c r="S291" s="1" t="str">
        <f>IF(A291="","",COUNTIFS(Assignments!$B:$B,A291,Assignments!$AE:$AE, "Y",Assignments!$D:$D,"&gt;="&amp;TODAY()-30))</f>
        <v/>
      </c>
      <c r="T291" s="1" t="str">
        <f>IF(A291="","",COUNTIFS(Assignments!$AF:$AF,A291,Assignments!$AE:$AE, "Y",Assignments!$D:$D,"&gt;="&amp;TODAY()-30))</f>
        <v/>
      </c>
      <c r="U291" s="1" t="str">
        <f>IF(A291="","",IFERROR(S291/MAX(1,COUNTIFS(Assignments!$B:$B,A291,Assignments!$D:$D,"&gt;="&amp;TODAY()-30)),""))</f>
        <v/>
      </c>
      <c r="V291" s="1" t="str">
        <f t="shared" si="4"/>
        <v/>
      </c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 t="str">
        <f>IF($A292="","",IFERROR(AVERAGEIFS(Assignments!$N$6:$N$1000,Assignments!$B$6:$B$1000,$A292,Assignments!$E$6:$E$1000,"Completed"),""))</f>
        <v/>
      </c>
      <c r="K292" s="2" t="str">
        <f>IF(A292="","",IFERROR(AVERAGEIFS(Assignments!$AO:$AO,Assignments!$B:$B,A292,Assignments!$E:$E,"Completed"),""))</f>
        <v/>
      </c>
      <c r="L292" s="2" t="str">
        <f>IF($A292="","",IFERROR(COUNTIFS(Assignments!$B$6:$B$1000,$A292,Assignments!$E$6:$E$1000,"Cancelled")/MAX(1,COUNTIFS(Assignments!$B$6:$B$1000,$A292,Assignments!$E$6:$E$1000,"Completed")+COUNTIFS(Assignments!$B$6:$B$1000,$A292,Assignments!$E$6:$E$1000,"Cancelled")),""))</f>
        <v/>
      </c>
      <c r="M292" s="2" t="str">
        <f>IF($A292="","",IFERROR(AVERAGEIFS(Assignments!$P$6:$P$1000,Assignments!$B$6:$B$1000,$A292,Assignments!$E$6:$E$1000,"Completed"),""))</f>
        <v/>
      </c>
      <c r="N292" s="2"/>
      <c r="O292" s="2"/>
      <c r="P292" s="1" t="str">
        <f>IF(A292="","",MAX(0,MIN(3,SUMIFS(Strike_Log!$C:$C,Strike_Log!$B:$B,A292,Strike_Log!$A:$A,"&gt;="&amp;IF(Config!$B$1004="Y",TODAY()-Config!$B$1005,DATE(1900,1,1)),Strike_Log!$I:$I,1))))</f>
        <v/>
      </c>
      <c r="Q292" s="1">
        <f t="shared" si="3"/>
        <v>0</v>
      </c>
      <c r="R292" s="1" t="str">
        <f>IF(A292="","",IFERROR(AVERAGEIFS(Assignments!$J:$J,Assignments!$B:$B,A292,Assignments!$E:$E,"Completed"),""))</f>
        <v/>
      </c>
      <c r="S292" s="1" t="str">
        <f>IF(A292="","",COUNTIFS(Assignments!$B:$B,A292,Assignments!$AE:$AE, "Y",Assignments!$D:$D,"&gt;="&amp;TODAY()-30))</f>
        <v/>
      </c>
      <c r="T292" s="1" t="str">
        <f>IF(A292="","",COUNTIFS(Assignments!$AF:$AF,A292,Assignments!$AE:$AE, "Y",Assignments!$D:$D,"&gt;="&amp;TODAY()-30))</f>
        <v/>
      </c>
      <c r="U292" s="1" t="str">
        <f>IF(A292="","",IFERROR(S292/MAX(1,COUNTIFS(Assignments!$B:$B,A292,Assignments!$D:$D,"&gt;="&amp;TODAY()-30)),""))</f>
        <v/>
      </c>
      <c r="V292" s="1" t="str">
        <f t="shared" si="4"/>
        <v/>
      </c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 t="str">
        <f>IF($A293="","",IFERROR(AVERAGEIFS(Assignments!$N$6:$N$1000,Assignments!$B$6:$B$1000,$A293,Assignments!$E$6:$E$1000,"Completed"),""))</f>
        <v/>
      </c>
      <c r="K293" s="2" t="str">
        <f>IF(A293="","",IFERROR(AVERAGEIFS(Assignments!$AO:$AO,Assignments!$B:$B,A293,Assignments!$E:$E,"Completed"),""))</f>
        <v/>
      </c>
      <c r="L293" s="2" t="str">
        <f>IF($A293="","",IFERROR(COUNTIFS(Assignments!$B$6:$B$1000,$A293,Assignments!$E$6:$E$1000,"Cancelled")/MAX(1,COUNTIFS(Assignments!$B$6:$B$1000,$A293,Assignments!$E$6:$E$1000,"Completed")+COUNTIFS(Assignments!$B$6:$B$1000,$A293,Assignments!$E$6:$E$1000,"Cancelled")),""))</f>
        <v/>
      </c>
      <c r="M293" s="2" t="str">
        <f>IF($A293="","",IFERROR(AVERAGEIFS(Assignments!$P$6:$P$1000,Assignments!$B$6:$B$1000,$A293,Assignments!$E$6:$E$1000,"Completed"),""))</f>
        <v/>
      </c>
      <c r="N293" s="2"/>
      <c r="O293" s="2"/>
      <c r="P293" s="1" t="str">
        <f>IF(A293="","",MAX(0,MIN(3,SUMIFS(Strike_Log!$C:$C,Strike_Log!$B:$B,A293,Strike_Log!$A:$A,"&gt;="&amp;IF(Config!$B$1004="Y",TODAY()-Config!$B$1005,DATE(1900,1,1)),Strike_Log!$I:$I,1))))</f>
        <v/>
      </c>
      <c r="Q293" s="1">
        <f t="shared" si="3"/>
        <v>0</v>
      </c>
      <c r="R293" s="1" t="str">
        <f>IF(A293="","",IFERROR(AVERAGEIFS(Assignments!$J:$J,Assignments!$B:$B,A293,Assignments!$E:$E,"Completed"),""))</f>
        <v/>
      </c>
      <c r="S293" s="1" t="str">
        <f>IF(A293="","",COUNTIFS(Assignments!$B:$B,A293,Assignments!$AE:$AE, "Y",Assignments!$D:$D,"&gt;="&amp;TODAY()-30))</f>
        <v/>
      </c>
      <c r="T293" s="1" t="str">
        <f>IF(A293="","",COUNTIFS(Assignments!$AF:$AF,A293,Assignments!$AE:$AE, "Y",Assignments!$D:$D,"&gt;="&amp;TODAY()-30))</f>
        <v/>
      </c>
      <c r="U293" s="1" t="str">
        <f>IF(A293="","",IFERROR(S293/MAX(1,COUNTIFS(Assignments!$B:$B,A293,Assignments!$D:$D,"&gt;="&amp;TODAY()-30)),""))</f>
        <v/>
      </c>
      <c r="V293" s="1" t="str">
        <f t="shared" si="4"/>
        <v/>
      </c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 t="str">
        <f>IF($A294="","",IFERROR(AVERAGEIFS(Assignments!$N$6:$N$1000,Assignments!$B$6:$B$1000,$A294,Assignments!$E$6:$E$1000,"Completed"),""))</f>
        <v/>
      </c>
      <c r="K294" s="2" t="str">
        <f>IF(A294="","",IFERROR(AVERAGEIFS(Assignments!$AO:$AO,Assignments!$B:$B,A294,Assignments!$E:$E,"Completed"),""))</f>
        <v/>
      </c>
      <c r="L294" s="2" t="str">
        <f>IF($A294="","",IFERROR(COUNTIFS(Assignments!$B$6:$B$1000,$A294,Assignments!$E$6:$E$1000,"Cancelled")/MAX(1,COUNTIFS(Assignments!$B$6:$B$1000,$A294,Assignments!$E$6:$E$1000,"Completed")+COUNTIFS(Assignments!$B$6:$B$1000,$A294,Assignments!$E$6:$E$1000,"Cancelled")),""))</f>
        <v/>
      </c>
      <c r="M294" s="2" t="str">
        <f>IF($A294="","",IFERROR(AVERAGEIFS(Assignments!$P$6:$P$1000,Assignments!$B$6:$B$1000,$A294,Assignments!$E$6:$E$1000,"Completed"),""))</f>
        <v/>
      </c>
      <c r="N294" s="2"/>
      <c r="O294" s="2"/>
      <c r="P294" s="1" t="str">
        <f>IF(A294="","",MAX(0,MIN(3,SUMIFS(Strike_Log!$C:$C,Strike_Log!$B:$B,A294,Strike_Log!$A:$A,"&gt;="&amp;IF(Config!$B$1004="Y",TODAY()-Config!$B$1005,DATE(1900,1,1)),Strike_Log!$I:$I,1))))</f>
        <v/>
      </c>
      <c r="Q294" s="1">
        <f t="shared" si="3"/>
        <v>0</v>
      </c>
      <c r="R294" s="1" t="str">
        <f>IF(A294="","",IFERROR(AVERAGEIFS(Assignments!$J:$J,Assignments!$B:$B,A294,Assignments!$E:$E,"Completed"),""))</f>
        <v/>
      </c>
      <c r="S294" s="1" t="str">
        <f>IF(A294="","",COUNTIFS(Assignments!$B:$B,A294,Assignments!$AE:$AE, "Y",Assignments!$D:$D,"&gt;="&amp;TODAY()-30))</f>
        <v/>
      </c>
      <c r="T294" s="1" t="str">
        <f>IF(A294="","",COUNTIFS(Assignments!$AF:$AF,A294,Assignments!$AE:$AE, "Y",Assignments!$D:$D,"&gt;="&amp;TODAY()-30))</f>
        <v/>
      </c>
      <c r="U294" s="1" t="str">
        <f>IF(A294="","",IFERROR(S294/MAX(1,COUNTIFS(Assignments!$B:$B,A294,Assignments!$D:$D,"&gt;="&amp;TODAY()-30)),""))</f>
        <v/>
      </c>
      <c r="V294" s="1" t="str">
        <f t="shared" si="4"/>
        <v/>
      </c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 t="str">
        <f>IF($A295="","",IFERROR(AVERAGEIFS(Assignments!$N$6:$N$1000,Assignments!$B$6:$B$1000,$A295,Assignments!$E$6:$E$1000,"Completed"),""))</f>
        <v/>
      </c>
      <c r="K295" s="2" t="str">
        <f>IF(A295="","",IFERROR(AVERAGEIFS(Assignments!$AO:$AO,Assignments!$B:$B,A295,Assignments!$E:$E,"Completed"),""))</f>
        <v/>
      </c>
      <c r="L295" s="2" t="str">
        <f>IF($A295="","",IFERROR(COUNTIFS(Assignments!$B$6:$B$1000,$A295,Assignments!$E$6:$E$1000,"Cancelled")/MAX(1,COUNTIFS(Assignments!$B$6:$B$1000,$A295,Assignments!$E$6:$E$1000,"Completed")+COUNTIFS(Assignments!$B$6:$B$1000,$A295,Assignments!$E$6:$E$1000,"Cancelled")),""))</f>
        <v/>
      </c>
      <c r="M295" s="2" t="str">
        <f>IF($A295="","",IFERROR(AVERAGEIFS(Assignments!$P$6:$P$1000,Assignments!$B$6:$B$1000,$A295,Assignments!$E$6:$E$1000,"Completed"),""))</f>
        <v/>
      </c>
      <c r="N295" s="2"/>
      <c r="O295" s="2"/>
      <c r="P295" s="1" t="str">
        <f>IF(A295="","",MAX(0,MIN(3,SUMIFS(Strike_Log!$C:$C,Strike_Log!$B:$B,A295,Strike_Log!$A:$A,"&gt;="&amp;IF(Config!$B$1004="Y",TODAY()-Config!$B$1005,DATE(1900,1,1)),Strike_Log!$I:$I,1))))</f>
        <v/>
      </c>
      <c r="Q295" s="1">
        <f t="shared" si="3"/>
        <v>0</v>
      </c>
      <c r="R295" s="1" t="str">
        <f>IF(A295="","",IFERROR(AVERAGEIFS(Assignments!$J:$J,Assignments!$B:$B,A295,Assignments!$E:$E,"Completed"),""))</f>
        <v/>
      </c>
      <c r="S295" s="1" t="str">
        <f>IF(A295="","",COUNTIFS(Assignments!$B:$B,A295,Assignments!$AE:$AE, "Y",Assignments!$D:$D,"&gt;="&amp;TODAY()-30))</f>
        <v/>
      </c>
      <c r="T295" s="1" t="str">
        <f>IF(A295="","",COUNTIFS(Assignments!$AF:$AF,A295,Assignments!$AE:$AE, "Y",Assignments!$D:$D,"&gt;="&amp;TODAY()-30))</f>
        <v/>
      </c>
      <c r="U295" s="1" t="str">
        <f>IF(A295="","",IFERROR(S295/MAX(1,COUNTIFS(Assignments!$B:$B,A295,Assignments!$D:$D,"&gt;="&amp;TODAY()-30)),""))</f>
        <v/>
      </c>
      <c r="V295" s="1" t="str">
        <f t="shared" si="4"/>
        <v/>
      </c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 t="str">
        <f>IF($A296="","",IFERROR(AVERAGEIFS(Assignments!$N$6:$N$1000,Assignments!$B$6:$B$1000,$A296,Assignments!$E$6:$E$1000,"Completed"),""))</f>
        <v/>
      </c>
      <c r="K296" s="2" t="str">
        <f>IF(A296="","",IFERROR(AVERAGEIFS(Assignments!$AO:$AO,Assignments!$B:$B,A296,Assignments!$E:$E,"Completed"),""))</f>
        <v/>
      </c>
      <c r="L296" s="2" t="str">
        <f>IF($A296="","",IFERROR(COUNTIFS(Assignments!$B$6:$B$1000,$A296,Assignments!$E$6:$E$1000,"Cancelled")/MAX(1,COUNTIFS(Assignments!$B$6:$B$1000,$A296,Assignments!$E$6:$E$1000,"Completed")+COUNTIFS(Assignments!$B$6:$B$1000,$A296,Assignments!$E$6:$E$1000,"Cancelled")),""))</f>
        <v/>
      </c>
      <c r="M296" s="2" t="str">
        <f>IF($A296="","",IFERROR(AVERAGEIFS(Assignments!$P$6:$P$1000,Assignments!$B$6:$B$1000,$A296,Assignments!$E$6:$E$1000,"Completed"),""))</f>
        <v/>
      </c>
      <c r="N296" s="2"/>
      <c r="O296" s="2"/>
      <c r="P296" s="1" t="str">
        <f>IF(A296="","",MAX(0,MIN(3,SUMIFS(Strike_Log!$C:$C,Strike_Log!$B:$B,A296,Strike_Log!$A:$A,"&gt;="&amp;IF(Config!$B$1004="Y",TODAY()-Config!$B$1005,DATE(1900,1,1)),Strike_Log!$I:$I,1))))</f>
        <v/>
      </c>
      <c r="Q296" s="1">
        <f t="shared" si="3"/>
        <v>0</v>
      </c>
      <c r="R296" s="1" t="str">
        <f>IF(A296="","",IFERROR(AVERAGEIFS(Assignments!$J:$J,Assignments!$B:$B,A296,Assignments!$E:$E,"Completed"),""))</f>
        <v/>
      </c>
      <c r="S296" s="1" t="str">
        <f>IF(A296="","",COUNTIFS(Assignments!$B:$B,A296,Assignments!$AE:$AE, "Y",Assignments!$D:$D,"&gt;="&amp;TODAY()-30))</f>
        <v/>
      </c>
      <c r="T296" s="1" t="str">
        <f>IF(A296="","",COUNTIFS(Assignments!$AF:$AF,A296,Assignments!$AE:$AE, "Y",Assignments!$D:$D,"&gt;="&amp;TODAY()-30))</f>
        <v/>
      </c>
      <c r="U296" s="1" t="str">
        <f>IF(A296="","",IFERROR(S296/MAX(1,COUNTIFS(Assignments!$B:$B,A296,Assignments!$D:$D,"&gt;="&amp;TODAY()-30)),""))</f>
        <v/>
      </c>
      <c r="V296" s="1" t="str">
        <f t="shared" si="4"/>
        <v/>
      </c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 t="str">
        <f>IF($A297="","",IFERROR(AVERAGEIFS(Assignments!$N$6:$N$1000,Assignments!$B$6:$B$1000,$A297,Assignments!$E$6:$E$1000,"Completed"),""))</f>
        <v/>
      </c>
      <c r="K297" s="2" t="str">
        <f>IF(A297="","",IFERROR(AVERAGEIFS(Assignments!$AO:$AO,Assignments!$B:$B,A297,Assignments!$E:$E,"Completed"),""))</f>
        <v/>
      </c>
      <c r="L297" s="2" t="str">
        <f>IF($A297="","",IFERROR(COUNTIFS(Assignments!$B$6:$B$1000,$A297,Assignments!$E$6:$E$1000,"Cancelled")/MAX(1,COUNTIFS(Assignments!$B$6:$B$1000,$A297,Assignments!$E$6:$E$1000,"Completed")+COUNTIFS(Assignments!$B$6:$B$1000,$A297,Assignments!$E$6:$E$1000,"Cancelled")),""))</f>
        <v/>
      </c>
      <c r="M297" s="2" t="str">
        <f>IF($A297="","",IFERROR(AVERAGEIFS(Assignments!$P$6:$P$1000,Assignments!$B$6:$B$1000,$A297,Assignments!$E$6:$E$1000,"Completed"),""))</f>
        <v/>
      </c>
      <c r="N297" s="2"/>
      <c r="O297" s="2"/>
      <c r="P297" s="1" t="str">
        <f>IF(A297="","",MAX(0,MIN(3,SUMIFS(Strike_Log!$C:$C,Strike_Log!$B:$B,A297,Strike_Log!$A:$A,"&gt;="&amp;IF(Config!$B$1004="Y",TODAY()-Config!$B$1005,DATE(1900,1,1)),Strike_Log!$I:$I,1))))</f>
        <v/>
      </c>
      <c r="Q297" s="1">
        <f t="shared" si="3"/>
        <v>0</v>
      </c>
      <c r="R297" s="1" t="str">
        <f>IF(A297="","",IFERROR(AVERAGEIFS(Assignments!$J:$J,Assignments!$B:$B,A297,Assignments!$E:$E,"Completed"),""))</f>
        <v/>
      </c>
      <c r="S297" s="1" t="str">
        <f>IF(A297="","",COUNTIFS(Assignments!$B:$B,A297,Assignments!$AE:$AE, "Y",Assignments!$D:$D,"&gt;="&amp;TODAY()-30))</f>
        <v/>
      </c>
      <c r="T297" s="1" t="str">
        <f>IF(A297="","",COUNTIFS(Assignments!$AF:$AF,A297,Assignments!$AE:$AE, "Y",Assignments!$D:$D,"&gt;="&amp;TODAY()-30))</f>
        <v/>
      </c>
      <c r="U297" s="1" t="str">
        <f>IF(A297="","",IFERROR(S297/MAX(1,COUNTIFS(Assignments!$B:$B,A297,Assignments!$D:$D,"&gt;="&amp;TODAY()-30)),""))</f>
        <v/>
      </c>
      <c r="V297" s="1" t="str">
        <f t="shared" si="4"/>
        <v/>
      </c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 t="str">
        <f>IF($A298="","",IFERROR(AVERAGEIFS(Assignments!$N$6:$N$1000,Assignments!$B$6:$B$1000,$A298,Assignments!$E$6:$E$1000,"Completed"),""))</f>
        <v/>
      </c>
      <c r="K298" s="2" t="str">
        <f>IF(A298="","",IFERROR(AVERAGEIFS(Assignments!$AO:$AO,Assignments!$B:$B,A298,Assignments!$E:$E,"Completed"),""))</f>
        <v/>
      </c>
      <c r="L298" s="2" t="str">
        <f>IF($A298="","",IFERROR(COUNTIFS(Assignments!$B$6:$B$1000,$A298,Assignments!$E$6:$E$1000,"Cancelled")/MAX(1,COUNTIFS(Assignments!$B$6:$B$1000,$A298,Assignments!$E$6:$E$1000,"Completed")+COUNTIFS(Assignments!$B$6:$B$1000,$A298,Assignments!$E$6:$E$1000,"Cancelled")),""))</f>
        <v/>
      </c>
      <c r="M298" s="2" t="str">
        <f>IF($A298="","",IFERROR(AVERAGEIFS(Assignments!$P$6:$P$1000,Assignments!$B$6:$B$1000,$A298,Assignments!$E$6:$E$1000,"Completed"),""))</f>
        <v/>
      </c>
      <c r="N298" s="2"/>
      <c r="O298" s="2"/>
      <c r="P298" s="1" t="str">
        <f>IF(A298="","",MAX(0,MIN(3,SUMIFS(Strike_Log!$C:$C,Strike_Log!$B:$B,A298,Strike_Log!$A:$A,"&gt;="&amp;IF(Config!$B$1004="Y",TODAY()-Config!$B$1005,DATE(1900,1,1)),Strike_Log!$I:$I,1))))</f>
        <v/>
      </c>
      <c r="Q298" s="1">
        <f t="shared" si="3"/>
        <v>0</v>
      </c>
      <c r="R298" s="1" t="str">
        <f>IF(A298="","",IFERROR(AVERAGEIFS(Assignments!$J:$J,Assignments!$B:$B,A298,Assignments!$E:$E,"Completed"),""))</f>
        <v/>
      </c>
      <c r="S298" s="1" t="str">
        <f>IF(A298="","",COUNTIFS(Assignments!$B:$B,A298,Assignments!$AE:$AE, "Y",Assignments!$D:$D,"&gt;="&amp;TODAY()-30))</f>
        <v/>
      </c>
      <c r="T298" s="1" t="str">
        <f>IF(A298="","",COUNTIFS(Assignments!$AF:$AF,A298,Assignments!$AE:$AE, "Y",Assignments!$D:$D,"&gt;="&amp;TODAY()-30))</f>
        <v/>
      </c>
      <c r="U298" s="1" t="str">
        <f>IF(A298="","",IFERROR(S298/MAX(1,COUNTIFS(Assignments!$B:$B,A298,Assignments!$D:$D,"&gt;="&amp;TODAY()-30)),""))</f>
        <v/>
      </c>
      <c r="V298" s="1" t="str">
        <f t="shared" si="4"/>
        <v/>
      </c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 t="str">
        <f>IF($A299="","",IFERROR(AVERAGEIFS(Assignments!$N$6:$N$1000,Assignments!$B$6:$B$1000,$A299,Assignments!$E$6:$E$1000,"Completed"),""))</f>
        <v/>
      </c>
      <c r="K299" s="2" t="str">
        <f>IF(A299="","",IFERROR(AVERAGEIFS(Assignments!$AO:$AO,Assignments!$B:$B,A299,Assignments!$E:$E,"Completed"),""))</f>
        <v/>
      </c>
      <c r="L299" s="2" t="str">
        <f>IF($A299="","",IFERROR(COUNTIFS(Assignments!$B$6:$B$1000,$A299,Assignments!$E$6:$E$1000,"Cancelled")/MAX(1,COUNTIFS(Assignments!$B$6:$B$1000,$A299,Assignments!$E$6:$E$1000,"Completed")+COUNTIFS(Assignments!$B$6:$B$1000,$A299,Assignments!$E$6:$E$1000,"Cancelled")),""))</f>
        <v/>
      </c>
      <c r="M299" s="2" t="str">
        <f>IF($A299="","",IFERROR(AVERAGEIFS(Assignments!$P$6:$P$1000,Assignments!$B$6:$B$1000,$A299,Assignments!$E$6:$E$1000,"Completed"),""))</f>
        <v/>
      </c>
      <c r="N299" s="2"/>
      <c r="O299" s="2"/>
      <c r="P299" s="1" t="str">
        <f>IF(A299="","",MAX(0,MIN(3,SUMIFS(Strike_Log!$C:$C,Strike_Log!$B:$B,A299,Strike_Log!$A:$A,"&gt;="&amp;IF(Config!$B$1004="Y",TODAY()-Config!$B$1005,DATE(1900,1,1)),Strike_Log!$I:$I,1))))</f>
        <v/>
      </c>
      <c r="Q299" s="1">
        <f t="shared" si="3"/>
        <v>0</v>
      </c>
      <c r="R299" s="1" t="str">
        <f>IF(A299="","",IFERROR(AVERAGEIFS(Assignments!$J:$J,Assignments!$B:$B,A299,Assignments!$E:$E,"Completed"),""))</f>
        <v/>
      </c>
      <c r="S299" s="1" t="str">
        <f>IF(A299="","",COUNTIFS(Assignments!$B:$B,A299,Assignments!$AE:$AE, "Y",Assignments!$D:$D,"&gt;="&amp;TODAY()-30))</f>
        <v/>
      </c>
      <c r="T299" s="1" t="str">
        <f>IF(A299="","",COUNTIFS(Assignments!$AF:$AF,A299,Assignments!$AE:$AE, "Y",Assignments!$D:$D,"&gt;="&amp;TODAY()-30))</f>
        <v/>
      </c>
      <c r="U299" s="1" t="str">
        <f>IF(A299="","",IFERROR(S299/MAX(1,COUNTIFS(Assignments!$B:$B,A299,Assignments!$D:$D,"&gt;="&amp;TODAY()-30)),""))</f>
        <v/>
      </c>
      <c r="V299" s="1" t="str">
        <f t="shared" si="4"/>
        <v/>
      </c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 t="str">
        <f>IF($A300="","",IFERROR(AVERAGEIFS(Assignments!$N$6:$N$1000,Assignments!$B$6:$B$1000,$A300,Assignments!$E$6:$E$1000,"Completed"),""))</f>
        <v/>
      </c>
      <c r="K300" s="2" t="str">
        <f>IF(A300="","",IFERROR(AVERAGEIFS(Assignments!$AO:$AO,Assignments!$B:$B,A300,Assignments!$E:$E,"Completed"),""))</f>
        <v/>
      </c>
      <c r="L300" s="2" t="str">
        <f>IF($A300="","",IFERROR(COUNTIFS(Assignments!$B$6:$B$1000,$A300,Assignments!$E$6:$E$1000,"Cancelled")/MAX(1,COUNTIFS(Assignments!$B$6:$B$1000,$A300,Assignments!$E$6:$E$1000,"Completed")+COUNTIFS(Assignments!$B$6:$B$1000,$A300,Assignments!$E$6:$E$1000,"Cancelled")),""))</f>
        <v/>
      </c>
      <c r="M300" s="2" t="str">
        <f>IF($A300="","",IFERROR(AVERAGEIFS(Assignments!$P$6:$P$1000,Assignments!$B$6:$B$1000,$A300,Assignments!$E$6:$E$1000,"Completed"),""))</f>
        <v/>
      </c>
      <c r="N300" s="2"/>
      <c r="O300" s="2"/>
      <c r="P300" s="1" t="str">
        <f>IF(A300="","",MAX(0,MIN(3,SUMIFS(Strike_Log!$C:$C,Strike_Log!$B:$B,A300,Strike_Log!$A:$A,"&gt;="&amp;IF(Config!$B$1004="Y",TODAY()-Config!$B$1005,DATE(1900,1,1)),Strike_Log!$I:$I,1))))</f>
        <v/>
      </c>
      <c r="Q300" s="1">
        <f t="shared" si="3"/>
        <v>0</v>
      </c>
      <c r="R300" s="1" t="str">
        <f>IF(A300="","",IFERROR(AVERAGEIFS(Assignments!$J:$J,Assignments!$B:$B,A300,Assignments!$E:$E,"Completed"),""))</f>
        <v/>
      </c>
      <c r="S300" s="1" t="str">
        <f>IF(A300="","",COUNTIFS(Assignments!$B:$B,A300,Assignments!$AE:$AE, "Y",Assignments!$D:$D,"&gt;="&amp;TODAY()-30))</f>
        <v/>
      </c>
      <c r="T300" s="1" t="str">
        <f>IF(A300="","",COUNTIFS(Assignments!$AF:$AF,A300,Assignments!$AE:$AE, "Y",Assignments!$D:$D,"&gt;="&amp;TODAY()-30))</f>
        <v/>
      </c>
      <c r="U300" s="1" t="str">
        <f>IF(A300="","",IFERROR(S300/MAX(1,COUNTIFS(Assignments!$B:$B,A300,Assignments!$D:$D,"&gt;="&amp;TODAY()-30)),""))</f>
        <v/>
      </c>
      <c r="V300" s="1" t="str">
        <f t="shared" si="4"/>
        <v/>
      </c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 t="str">
        <f>IF($A301="","",IFERROR(AVERAGEIFS(Assignments!$N$6:$N$1000,Assignments!$B$6:$B$1000,$A301,Assignments!$E$6:$E$1000,"Completed"),""))</f>
        <v/>
      </c>
      <c r="K301" s="2" t="str">
        <f>IF(A301="","",IFERROR(AVERAGEIFS(Assignments!$AO:$AO,Assignments!$B:$B,A301,Assignments!$E:$E,"Completed"),""))</f>
        <v/>
      </c>
      <c r="L301" s="2" t="str">
        <f>IF($A301="","",IFERROR(COUNTIFS(Assignments!$B$6:$B$1000,$A301,Assignments!$E$6:$E$1000,"Cancelled")/MAX(1,COUNTIFS(Assignments!$B$6:$B$1000,$A301,Assignments!$E$6:$E$1000,"Completed")+COUNTIFS(Assignments!$B$6:$B$1000,$A301,Assignments!$E$6:$E$1000,"Cancelled")),""))</f>
        <v/>
      </c>
      <c r="M301" s="2" t="str">
        <f>IF($A301="","",IFERROR(AVERAGEIFS(Assignments!$P$6:$P$1000,Assignments!$B$6:$B$1000,$A301,Assignments!$E$6:$E$1000,"Completed"),""))</f>
        <v/>
      </c>
      <c r="N301" s="2"/>
      <c r="O301" s="2"/>
      <c r="P301" s="1" t="str">
        <f>IF(A301="","",MAX(0,MIN(3,SUMIFS(Strike_Log!$C:$C,Strike_Log!$B:$B,A301,Strike_Log!$A:$A,"&gt;="&amp;IF(Config!$B$1004="Y",TODAY()-Config!$B$1005,DATE(1900,1,1)),Strike_Log!$I:$I,1))))</f>
        <v/>
      </c>
      <c r="Q301" s="1">
        <f t="shared" si="3"/>
        <v>0</v>
      </c>
      <c r="R301" s="1" t="str">
        <f>IF(A301="","",IFERROR(AVERAGEIFS(Assignments!$J:$J,Assignments!$B:$B,A301,Assignments!$E:$E,"Completed"),""))</f>
        <v/>
      </c>
      <c r="S301" s="1" t="str">
        <f>IF(A301="","",COUNTIFS(Assignments!$B:$B,A301,Assignments!$AE:$AE, "Y",Assignments!$D:$D,"&gt;="&amp;TODAY()-30))</f>
        <v/>
      </c>
      <c r="T301" s="1" t="str">
        <f>IF(A301="","",COUNTIFS(Assignments!$AF:$AF,A301,Assignments!$AE:$AE, "Y",Assignments!$D:$D,"&gt;="&amp;TODAY()-30))</f>
        <v/>
      </c>
      <c r="U301" s="1" t="str">
        <f>IF(A301="","",IFERROR(S301/MAX(1,COUNTIFS(Assignments!$B:$B,A301,Assignments!$D:$D,"&gt;="&amp;TODAY()-30)),""))</f>
        <v/>
      </c>
      <c r="V301" s="1" t="str">
        <f t="shared" si="4"/>
        <v/>
      </c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 t="str">
        <f>IF($A302="","",IFERROR(AVERAGEIFS(Assignments!$N$6:$N$1000,Assignments!$B$6:$B$1000,$A302,Assignments!$E$6:$E$1000,"Completed"),""))</f>
        <v/>
      </c>
      <c r="K302" s="2" t="str">
        <f>IF(A302="","",IFERROR(AVERAGEIFS(Assignments!$AO:$AO,Assignments!$B:$B,A302,Assignments!$E:$E,"Completed"),""))</f>
        <v/>
      </c>
      <c r="L302" s="2" t="str">
        <f>IF($A302="","",IFERROR(COUNTIFS(Assignments!$B$6:$B$1000,$A302,Assignments!$E$6:$E$1000,"Cancelled")/MAX(1,COUNTIFS(Assignments!$B$6:$B$1000,$A302,Assignments!$E$6:$E$1000,"Completed")+COUNTIFS(Assignments!$B$6:$B$1000,$A302,Assignments!$E$6:$E$1000,"Cancelled")),""))</f>
        <v/>
      </c>
      <c r="M302" s="2" t="str">
        <f>IF($A302="","",IFERROR(AVERAGEIFS(Assignments!$P$6:$P$1000,Assignments!$B$6:$B$1000,$A302,Assignments!$E$6:$E$1000,"Completed"),""))</f>
        <v/>
      </c>
      <c r="N302" s="2"/>
      <c r="O302" s="2"/>
      <c r="P302" s="1" t="str">
        <f>IF(A302="","",MAX(0,MIN(3,SUMIFS(Strike_Log!$C:$C,Strike_Log!$B:$B,A302,Strike_Log!$A:$A,"&gt;="&amp;IF(Config!$B$1004="Y",TODAY()-Config!$B$1005,DATE(1900,1,1)),Strike_Log!$I:$I,1))))</f>
        <v/>
      </c>
      <c r="Q302" s="1">
        <f t="shared" si="3"/>
        <v>0</v>
      </c>
      <c r="R302" s="1" t="str">
        <f>IF(A302="","",IFERROR(AVERAGEIFS(Assignments!$J:$J,Assignments!$B:$B,A302,Assignments!$E:$E,"Completed"),""))</f>
        <v/>
      </c>
      <c r="S302" s="1" t="str">
        <f>IF(A302="","",COUNTIFS(Assignments!$B:$B,A302,Assignments!$AE:$AE, "Y",Assignments!$D:$D,"&gt;="&amp;TODAY()-30))</f>
        <v/>
      </c>
      <c r="T302" s="1" t="str">
        <f>IF(A302="","",COUNTIFS(Assignments!$AF:$AF,A302,Assignments!$AE:$AE, "Y",Assignments!$D:$D,"&gt;="&amp;TODAY()-30))</f>
        <v/>
      </c>
      <c r="U302" s="1" t="str">
        <f>IF(A302="","",IFERROR(S302/MAX(1,COUNTIFS(Assignments!$B:$B,A302,Assignments!$D:$D,"&gt;="&amp;TODAY()-30)),""))</f>
        <v/>
      </c>
      <c r="V302" s="1" t="str">
        <f t="shared" si="4"/>
        <v/>
      </c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 t="str">
        <f>IF($A303="","",IFERROR(AVERAGEIFS(Assignments!$N$6:$N$1000,Assignments!$B$6:$B$1000,$A303,Assignments!$E$6:$E$1000,"Completed"),""))</f>
        <v/>
      </c>
      <c r="K303" s="2" t="str">
        <f>IF(A303="","",IFERROR(AVERAGEIFS(Assignments!$AO:$AO,Assignments!$B:$B,A303,Assignments!$E:$E,"Completed"),""))</f>
        <v/>
      </c>
      <c r="L303" s="2" t="str">
        <f>IF($A303="","",IFERROR(COUNTIFS(Assignments!$B$6:$B$1000,$A303,Assignments!$E$6:$E$1000,"Cancelled")/MAX(1,COUNTIFS(Assignments!$B$6:$B$1000,$A303,Assignments!$E$6:$E$1000,"Completed")+COUNTIFS(Assignments!$B$6:$B$1000,$A303,Assignments!$E$6:$E$1000,"Cancelled")),""))</f>
        <v/>
      </c>
      <c r="M303" s="2" t="str">
        <f>IF($A303="","",IFERROR(AVERAGEIFS(Assignments!$P$6:$P$1000,Assignments!$B$6:$B$1000,$A303,Assignments!$E$6:$E$1000,"Completed"),""))</f>
        <v/>
      </c>
      <c r="N303" s="2"/>
      <c r="O303" s="2"/>
      <c r="P303" s="1" t="str">
        <f>IF(A303="","",MAX(0,MIN(3,SUMIFS(Strike_Log!$C:$C,Strike_Log!$B:$B,A303,Strike_Log!$A:$A,"&gt;="&amp;IF(Config!$B$1004="Y",TODAY()-Config!$B$1005,DATE(1900,1,1)),Strike_Log!$I:$I,1))))</f>
        <v/>
      </c>
      <c r="Q303" s="1">
        <f t="shared" si="3"/>
        <v>0</v>
      </c>
      <c r="R303" s="1" t="str">
        <f>IF(A303="","",IFERROR(AVERAGEIFS(Assignments!$J:$J,Assignments!$B:$B,A303,Assignments!$E:$E,"Completed"),""))</f>
        <v/>
      </c>
      <c r="S303" s="1" t="str">
        <f>IF(A303="","",COUNTIFS(Assignments!$B:$B,A303,Assignments!$AE:$AE, "Y",Assignments!$D:$D,"&gt;="&amp;TODAY()-30))</f>
        <v/>
      </c>
      <c r="T303" s="1" t="str">
        <f>IF(A303="","",COUNTIFS(Assignments!$AF:$AF,A303,Assignments!$AE:$AE, "Y",Assignments!$D:$D,"&gt;="&amp;TODAY()-30))</f>
        <v/>
      </c>
      <c r="U303" s="1" t="str">
        <f>IF(A303="","",IFERROR(S303/MAX(1,COUNTIFS(Assignments!$B:$B,A303,Assignments!$D:$D,"&gt;="&amp;TODAY()-30)),""))</f>
        <v/>
      </c>
      <c r="V303" s="1" t="str">
        <f t="shared" si="4"/>
        <v/>
      </c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 t="str">
        <f>IF($A304="","",IFERROR(AVERAGEIFS(Assignments!$N$6:$N$1000,Assignments!$B$6:$B$1000,$A304,Assignments!$E$6:$E$1000,"Completed"),""))</f>
        <v/>
      </c>
      <c r="K304" s="2" t="str">
        <f>IF(A304="","",IFERROR(AVERAGEIFS(Assignments!$AO:$AO,Assignments!$B:$B,A304,Assignments!$E:$E,"Completed"),""))</f>
        <v/>
      </c>
      <c r="L304" s="2" t="str">
        <f>IF($A304="","",IFERROR(COUNTIFS(Assignments!$B$6:$B$1000,$A304,Assignments!$E$6:$E$1000,"Cancelled")/MAX(1,COUNTIFS(Assignments!$B$6:$B$1000,$A304,Assignments!$E$6:$E$1000,"Completed")+COUNTIFS(Assignments!$B$6:$B$1000,$A304,Assignments!$E$6:$E$1000,"Cancelled")),""))</f>
        <v/>
      </c>
      <c r="M304" s="2" t="str">
        <f>IF($A304="","",IFERROR(AVERAGEIFS(Assignments!$P$6:$P$1000,Assignments!$B$6:$B$1000,$A304,Assignments!$E$6:$E$1000,"Completed"),""))</f>
        <v/>
      </c>
      <c r="N304" s="2"/>
      <c r="O304" s="2"/>
      <c r="P304" s="1" t="str">
        <f>IF(A304="","",MAX(0,MIN(3,SUMIFS(Strike_Log!$C:$C,Strike_Log!$B:$B,A304,Strike_Log!$A:$A,"&gt;="&amp;IF(Config!$B$1004="Y",TODAY()-Config!$B$1005,DATE(1900,1,1)),Strike_Log!$I:$I,1))))</f>
        <v/>
      </c>
      <c r="Q304" s="1">
        <f t="shared" si="3"/>
        <v>0</v>
      </c>
      <c r="R304" s="1" t="str">
        <f>IF(A304="","",IFERROR(AVERAGEIFS(Assignments!$J:$J,Assignments!$B:$B,A304,Assignments!$E:$E,"Completed"),""))</f>
        <v/>
      </c>
      <c r="S304" s="1" t="str">
        <f>IF(A304="","",COUNTIFS(Assignments!$B:$B,A304,Assignments!$AE:$AE, "Y",Assignments!$D:$D,"&gt;="&amp;TODAY()-30))</f>
        <v/>
      </c>
      <c r="T304" s="1" t="str">
        <f>IF(A304="","",COUNTIFS(Assignments!$AF:$AF,A304,Assignments!$AE:$AE, "Y",Assignments!$D:$D,"&gt;="&amp;TODAY()-30))</f>
        <v/>
      </c>
      <c r="U304" s="1" t="str">
        <f>IF(A304="","",IFERROR(S304/MAX(1,COUNTIFS(Assignments!$B:$B,A304,Assignments!$D:$D,"&gt;="&amp;TODAY()-30)),""))</f>
        <v/>
      </c>
      <c r="V304" s="1" t="str">
        <f t="shared" si="4"/>
        <v/>
      </c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 t="str">
        <f>IF($A305="","",IFERROR(AVERAGEIFS(Assignments!$N$6:$N$1000,Assignments!$B$6:$B$1000,$A305,Assignments!$E$6:$E$1000,"Completed"),""))</f>
        <v/>
      </c>
      <c r="K305" s="2" t="str">
        <f>IF(A305="","",IFERROR(AVERAGEIFS(Assignments!$AO:$AO,Assignments!$B:$B,A305,Assignments!$E:$E,"Completed"),""))</f>
        <v/>
      </c>
      <c r="L305" s="2" t="str">
        <f>IF($A305="","",IFERROR(COUNTIFS(Assignments!$B$6:$B$1000,$A305,Assignments!$E$6:$E$1000,"Cancelled")/MAX(1,COUNTIFS(Assignments!$B$6:$B$1000,$A305,Assignments!$E$6:$E$1000,"Completed")+COUNTIFS(Assignments!$B$6:$B$1000,$A305,Assignments!$E$6:$E$1000,"Cancelled")),""))</f>
        <v/>
      </c>
      <c r="M305" s="2" t="str">
        <f>IF($A305="","",IFERROR(AVERAGEIFS(Assignments!$P$6:$P$1000,Assignments!$B$6:$B$1000,$A305,Assignments!$E$6:$E$1000,"Completed"),""))</f>
        <v/>
      </c>
      <c r="N305" s="2"/>
      <c r="O305" s="2"/>
      <c r="P305" s="1" t="str">
        <f>IF(A305="","",MAX(0,MIN(3,SUMIFS(Strike_Log!$C:$C,Strike_Log!$B:$B,A305,Strike_Log!$A:$A,"&gt;="&amp;IF(Config!$B$1004="Y",TODAY()-Config!$B$1005,DATE(1900,1,1)),Strike_Log!$I:$I,1))))</f>
        <v/>
      </c>
      <c r="Q305" s="1">
        <f t="shared" si="3"/>
        <v>0</v>
      </c>
      <c r="R305" s="1" t="str">
        <f>IF(A305="","",IFERROR(AVERAGEIFS(Assignments!$J:$J,Assignments!$B:$B,A305,Assignments!$E:$E,"Completed"),""))</f>
        <v/>
      </c>
      <c r="S305" s="1" t="str">
        <f>IF(A305="","",COUNTIFS(Assignments!$B:$B,A305,Assignments!$AE:$AE, "Y",Assignments!$D:$D,"&gt;="&amp;TODAY()-30))</f>
        <v/>
      </c>
      <c r="T305" s="1" t="str">
        <f>IF(A305="","",COUNTIFS(Assignments!$AF:$AF,A305,Assignments!$AE:$AE, "Y",Assignments!$D:$D,"&gt;="&amp;TODAY()-30))</f>
        <v/>
      </c>
      <c r="U305" s="1" t="str">
        <f>IF(A305="","",IFERROR(S305/MAX(1,COUNTIFS(Assignments!$B:$B,A305,Assignments!$D:$D,"&gt;="&amp;TODAY()-30)),""))</f>
        <v/>
      </c>
      <c r="V305" s="1" t="str">
        <f t="shared" si="4"/>
        <v/>
      </c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 t="str">
        <f>IF($A306="","",IFERROR(AVERAGEIFS(Assignments!$N$6:$N$1000,Assignments!$B$6:$B$1000,$A306,Assignments!$E$6:$E$1000,"Completed"),""))</f>
        <v/>
      </c>
      <c r="K306" s="2" t="str">
        <f>IF(A306="","",IFERROR(AVERAGEIFS(Assignments!$AO:$AO,Assignments!$B:$B,A306,Assignments!$E:$E,"Completed"),""))</f>
        <v/>
      </c>
      <c r="L306" s="2" t="str">
        <f>IF($A306="","",IFERROR(COUNTIFS(Assignments!$B$6:$B$1000,$A306,Assignments!$E$6:$E$1000,"Cancelled")/MAX(1,COUNTIFS(Assignments!$B$6:$B$1000,$A306,Assignments!$E$6:$E$1000,"Completed")+COUNTIFS(Assignments!$B$6:$B$1000,$A306,Assignments!$E$6:$E$1000,"Cancelled")),""))</f>
        <v/>
      </c>
      <c r="M306" s="2" t="str">
        <f>IF($A306="","",IFERROR(AVERAGEIFS(Assignments!$P$6:$P$1000,Assignments!$B$6:$B$1000,$A306,Assignments!$E$6:$E$1000,"Completed"),""))</f>
        <v/>
      </c>
      <c r="N306" s="2"/>
      <c r="O306" s="2"/>
      <c r="P306" s="1" t="str">
        <f>IF(A306="","",MAX(0,MIN(3,SUMIFS(Strike_Log!$C:$C,Strike_Log!$B:$B,A306,Strike_Log!$A:$A,"&gt;="&amp;IF(Config!$B$1004="Y",TODAY()-Config!$B$1005,DATE(1900,1,1)),Strike_Log!$I:$I,1))))</f>
        <v/>
      </c>
      <c r="Q306" s="1">
        <f t="shared" si="3"/>
        <v>0</v>
      </c>
      <c r="R306" s="1" t="str">
        <f>IF(A306="","",IFERROR(AVERAGEIFS(Assignments!$J:$J,Assignments!$B:$B,A306,Assignments!$E:$E,"Completed"),""))</f>
        <v/>
      </c>
      <c r="S306" s="1" t="str">
        <f>IF(A306="","",COUNTIFS(Assignments!$B:$B,A306,Assignments!$AE:$AE, "Y",Assignments!$D:$D,"&gt;="&amp;TODAY()-30))</f>
        <v/>
      </c>
      <c r="T306" s="1" t="str">
        <f>IF(A306="","",COUNTIFS(Assignments!$AF:$AF,A306,Assignments!$AE:$AE, "Y",Assignments!$D:$D,"&gt;="&amp;TODAY()-30))</f>
        <v/>
      </c>
      <c r="U306" s="1" t="str">
        <f>IF(A306="","",IFERROR(S306/MAX(1,COUNTIFS(Assignments!$B:$B,A306,Assignments!$D:$D,"&gt;="&amp;TODAY()-30)),""))</f>
        <v/>
      </c>
      <c r="V306" s="1" t="str">
        <f t="shared" si="4"/>
        <v/>
      </c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 t="str">
        <f>IF($A307="","",IFERROR(AVERAGEIFS(Assignments!$N$6:$N$1000,Assignments!$B$6:$B$1000,$A307,Assignments!$E$6:$E$1000,"Completed"),""))</f>
        <v/>
      </c>
      <c r="K307" s="2" t="str">
        <f>IF(A307="","",IFERROR(AVERAGEIFS(Assignments!$AO:$AO,Assignments!$B:$B,A307,Assignments!$E:$E,"Completed"),""))</f>
        <v/>
      </c>
      <c r="L307" s="2" t="str">
        <f>IF($A307="","",IFERROR(COUNTIFS(Assignments!$B$6:$B$1000,$A307,Assignments!$E$6:$E$1000,"Cancelled")/MAX(1,COUNTIFS(Assignments!$B$6:$B$1000,$A307,Assignments!$E$6:$E$1000,"Completed")+COUNTIFS(Assignments!$B$6:$B$1000,$A307,Assignments!$E$6:$E$1000,"Cancelled")),""))</f>
        <v/>
      </c>
      <c r="M307" s="2" t="str">
        <f>IF($A307="","",IFERROR(AVERAGEIFS(Assignments!$P$6:$P$1000,Assignments!$B$6:$B$1000,$A307,Assignments!$E$6:$E$1000,"Completed"),""))</f>
        <v/>
      </c>
      <c r="N307" s="2"/>
      <c r="O307" s="2"/>
      <c r="P307" s="1" t="str">
        <f>IF(A307="","",MAX(0,MIN(3,SUMIFS(Strike_Log!$C:$C,Strike_Log!$B:$B,A307,Strike_Log!$A:$A,"&gt;="&amp;IF(Config!$B$1004="Y",TODAY()-Config!$B$1005,DATE(1900,1,1)),Strike_Log!$I:$I,1))))</f>
        <v/>
      </c>
      <c r="Q307" s="1">
        <f t="shared" si="3"/>
        <v>0</v>
      </c>
      <c r="R307" s="1" t="str">
        <f>IF(A307="","",IFERROR(AVERAGEIFS(Assignments!$J:$J,Assignments!$B:$B,A307,Assignments!$E:$E,"Completed"),""))</f>
        <v/>
      </c>
      <c r="S307" s="1" t="str">
        <f>IF(A307="","",COUNTIFS(Assignments!$B:$B,A307,Assignments!$AE:$AE, "Y",Assignments!$D:$D,"&gt;="&amp;TODAY()-30))</f>
        <v/>
      </c>
      <c r="T307" s="1" t="str">
        <f>IF(A307="","",COUNTIFS(Assignments!$AF:$AF,A307,Assignments!$AE:$AE, "Y",Assignments!$D:$D,"&gt;="&amp;TODAY()-30))</f>
        <v/>
      </c>
      <c r="U307" s="1" t="str">
        <f>IF(A307="","",IFERROR(S307/MAX(1,COUNTIFS(Assignments!$B:$B,A307,Assignments!$D:$D,"&gt;="&amp;TODAY()-30)),""))</f>
        <v/>
      </c>
      <c r="V307" s="1" t="str">
        <f t="shared" si="4"/>
        <v/>
      </c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 t="str">
        <f>IF($A308="","",IFERROR(AVERAGEIFS(Assignments!$N$6:$N$1000,Assignments!$B$6:$B$1000,$A308,Assignments!$E$6:$E$1000,"Completed"),""))</f>
        <v/>
      </c>
      <c r="K308" s="2" t="str">
        <f>IF(A308="","",IFERROR(AVERAGEIFS(Assignments!$AO:$AO,Assignments!$B:$B,A308,Assignments!$E:$E,"Completed"),""))</f>
        <v/>
      </c>
      <c r="L308" s="2" t="str">
        <f>IF($A308="","",IFERROR(COUNTIFS(Assignments!$B$6:$B$1000,$A308,Assignments!$E$6:$E$1000,"Cancelled")/MAX(1,COUNTIFS(Assignments!$B$6:$B$1000,$A308,Assignments!$E$6:$E$1000,"Completed")+COUNTIFS(Assignments!$B$6:$B$1000,$A308,Assignments!$E$6:$E$1000,"Cancelled")),""))</f>
        <v/>
      </c>
      <c r="M308" s="2" t="str">
        <f>IF($A308="","",IFERROR(AVERAGEIFS(Assignments!$P$6:$P$1000,Assignments!$B$6:$B$1000,$A308,Assignments!$E$6:$E$1000,"Completed"),""))</f>
        <v/>
      </c>
      <c r="N308" s="2"/>
      <c r="O308" s="2"/>
      <c r="P308" s="1" t="str">
        <f>IF(A308="","",MAX(0,MIN(3,SUMIFS(Strike_Log!$C:$C,Strike_Log!$B:$B,A308,Strike_Log!$A:$A,"&gt;="&amp;IF(Config!$B$1004="Y",TODAY()-Config!$B$1005,DATE(1900,1,1)),Strike_Log!$I:$I,1))))</f>
        <v/>
      </c>
      <c r="Q308" s="1">
        <f t="shared" si="3"/>
        <v>0</v>
      </c>
      <c r="R308" s="1" t="str">
        <f>IF(A308="","",IFERROR(AVERAGEIFS(Assignments!$J:$J,Assignments!$B:$B,A308,Assignments!$E:$E,"Completed"),""))</f>
        <v/>
      </c>
      <c r="S308" s="1" t="str">
        <f>IF(A308="","",COUNTIFS(Assignments!$B:$B,A308,Assignments!$AE:$AE, "Y",Assignments!$D:$D,"&gt;="&amp;TODAY()-30))</f>
        <v/>
      </c>
      <c r="T308" s="1" t="str">
        <f>IF(A308="","",COUNTIFS(Assignments!$AF:$AF,A308,Assignments!$AE:$AE, "Y",Assignments!$D:$D,"&gt;="&amp;TODAY()-30))</f>
        <v/>
      </c>
      <c r="U308" s="1" t="str">
        <f>IF(A308="","",IFERROR(S308/MAX(1,COUNTIFS(Assignments!$B:$B,A308,Assignments!$D:$D,"&gt;="&amp;TODAY()-30)),""))</f>
        <v/>
      </c>
      <c r="V308" s="1" t="str">
        <f t="shared" si="4"/>
        <v/>
      </c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 t="str">
        <f>IF($A309="","",IFERROR(AVERAGEIFS(Assignments!$N$6:$N$1000,Assignments!$B$6:$B$1000,$A309,Assignments!$E$6:$E$1000,"Completed"),""))</f>
        <v/>
      </c>
      <c r="K309" s="2" t="str">
        <f>IF(A309="","",IFERROR(AVERAGEIFS(Assignments!$AO:$AO,Assignments!$B:$B,A309,Assignments!$E:$E,"Completed"),""))</f>
        <v/>
      </c>
      <c r="L309" s="2" t="str">
        <f>IF($A309="","",IFERROR(COUNTIFS(Assignments!$B$6:$B$1000,$A309,Assignments!$E$6:$E$1000,"Cancelled")/MAX(1,COUNTIFS(Assignments!$B$6:$B$1000,$A309,Assignments!$E$6:$E$1000,"Completed")+COUNTIFS(Assignments!$B$6:$B$1000,$A309,Assignments!$E$6:$E$1000,"Cancelled")),""))</f>
        <v/>
      </c>
      <c r="M309" s="2" t="str">
        <f>IF($A309="","",IFERROR(AVERAGEIFS(Assignments!$P$6:$P$1000,Assignments!$B$6:$B$1000,$A309,Assignments!$E$6:$E$1000,"Completed"),""))</f>
        <v/>
      </c>
      <c r="N309" s="2"/>
      <c r="O309" s="2"/>
      <c r="P309" s="1" t="str">
        <f>IF(A309="","",MAX(0,MIN(3,SUMIFS(Strike_Log!$C:$C,Strike_Log!$B:$B,A309,Strike_Log!$A:$A,"&gt;="&amp;IF(Config!$B$1004="Y",TODAY()-Config!$B$1005,DATE(1900,1,1)),Strike_Log!$I:$I,1))))</f>
        <v/>
      </c>
      <c r="Q309" s="1">
        <f t="shared" si="3"/>
        <v>0</v>
      </c>
      <c r="R309" s="1" t="str">
        <f>IF(A309="","",IFERROR(AVERAGEIFS(Assignments!$J:$J,Assignments!$B:$B,A309,Assignments!$E:$E,"Completed"),""))</f>
        <v/>
      </c>
      <c r="S309" s="1" t="str">
        <f>IF(A309="","",COUNTIFS(Assignments!$B:$B,A309,Assignments!$AE:$AE, "Y",Assignments!$D:$D,"&gt;="&amp;TODAY()-30))</f>
        <v/>
      </c>
      <c r="T309" s="1" t="str">
        <f>IF(A309="","",COUNTIFS(Assignments!$AF:$AF,A309,Assignments!$AE:$AE, "Y",Assignments!$D:$D,"&gt;="&amp;TODAY()-30))</f>
        <v/>
      </c>
      <c r="U309" s="1" t="str">
        <f>IF(A309="","",IFERROR(S309/MAX(1,COUNTIFS(Assignments!$B:$B,A309,Assignments!$D:$D,"&gt;="&amp;TODAY()-30)),""))</f>
        <v/>
      </c>
      <c r="V309" s="1" t="str">
        <f t="shared" si="4"/>
        <v/>
      </c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 t="str">
        <f>IF($A310="","",IFERROR(AVERAGEIFS(Assignments!$N$6:$N$1000,Assignments!$B$6:$B$1000,$A310,Assignments!$E$6:$E$1000,"Completed"),""))</f>
        <v/>
      </c>
      <c r="K310" s="2" t="str">
        <f>IF(A310="","",IFERROR(AVERAGEIFS(Assignments!$AO:$AO,Assignments!$B:$B,A310,Assignments!$E:$E,"Completed"),""))</f>
        <v/>
      </c>
      <c r="L310" s="2" t="str">
        <f>IF($A310="","",IFERROR(COUNTIFS(Assignments!$B$6:$B$1000,$A310,Assignments!$E$6:$E$1000,"Cancelled")/MAX(1,COUNTIFS(Assignments!$B$6:$B$1000,$A310,Assignments!$E$6:$E$1000,"Completed")+COUNTIFS(Assignments!$B$6:$B$1000,$A310,Assignments!$E$6:$E$1000,"Cancelled")),""))</f>
        <v/>
      </c>
      <c r="M310" s="2" t="str">
        <f>IF($A310="","",IFERROR(AVERAGEIFS(Assignments!$P$6:$P$1000,Assignments!$B$6:$B$1000,$A310,Assignments!$E$6:$E$1000,"Completed"),""))</f>
        <v/>
      </c>
      <c r="N310" s="2"/>
      <c r="O310" s="2"/>
      <c r="P310" s="1" t="str">
        <f>IF(A310="","",MAX(0,MIN(3,SUMIFS(Strike_Log!$C:$C,Strike_Log!$B:$B,A310,Strike_Log!$A:$A,"&gt;="&amp;IF(Config!$B$1004="Y",TODAY()-Config!$B$1005,DATE(1900,1,1)),Strike_Log!$I:$I,1))))</f>
        <v/>
      </c>
      <c r="Q310" s="1">
        <f t="shared" si="3"/>
        <v>0</v>
      </c>
      <c r="R310" s="1" t="str">
        <f>IF(A310="","",IFERROR(AVERAGEIFS(Assignments!$J:$J,Assignments!$B:$B,A310,Assignments!$E:$E,"Completed"),""))</f>
        <v/>
      </c>
      <c r="S310" s="1" t="str">
        <f>IF(A310="","",COUNTIFS(Assignments!$B:$B,A310,Assignments!$AE:$AE, "Y",Assignments!$D:$D,"&gt;="&amp;TODAY()-30))</f>
        <v/>
      </c>
      <c r="T310" s="1" t="str">
        <f>IF(A310="","",COUNTIFS(Assignments!$AF:$AF,A310,Assignments!$AE:$AE, "Y",Assignments!$D:$D,"&gt;="&amp;TODAY()-30))</f>
        <v/>
      </c>
      <c r="U310" s="1" t="str">
        <f>IF(A310="","",IFERROR(S310/MAX(1,COUNTIFS(Assignments!$B:$B,A310,Assignments!$D:$D,"&gt;="&amp;TODAY()-30)),""))</f>
        <v/>
      </c>
      <c r="V310" s="1" t="str">
        <f t="shared" si="4"/>
        <v/>
      </c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 t="str">
        <f>IF($A311="","",IFERROR(AVERAGEIFS(Assignments!$N$6:$N$1000,Assignments!$B$6:$B$1000,$A311,Assignments!$E$6:$E$1000,"Completed"),""))</f>
        <v/>
      </c>
      <c r="K311" s="2" t="str">
        <f>IF(A311="","",IFERROR(AVERAGEIFS(Assignments!$AO:$AO,Assignments!$B:$B,A311,Assignments!$E:$E,"Completed"),""))</f>
        <v/>
      </c>
      <c r="L311" s="2" t="str">
        <f>IF($A311="","",IFERROR(COUNTIFS(Assignments!$B$6:$B$1000,$A311,Assignments!$E$6:$E$1000,"Cancelled")/MAX(1,COUNTIFS(Assignments!$B$6:$B$1000,$A311,Assignments!$E$6:$E$1000,"Completed")+COUNTIFS(Assignments!$B$6:$B$1000,$A311,Assignments!$E$6:$E$1000,"Cancelled")),""))</f>
        <v/>
      </c>
      <c r="M311" s="2" t="str">
        <f>IF($A311="","",IFERROR(AVERAGEIFS(Assignments!$P$6:$P$1000,Assignments!$B$6:$B$1000,$A311,Assignments!$E$6:$E$1000,"Completed"),""))</f>
        <v/>
      </c>
      <c r="N311" s="2"/>
      <c r="O311" s="2"/>
      <c r="P311" s="1" t="str">
        <f>IF(A311="","",MAX(0,MIN(3,SUMIFS(Strike_Log!$C:$C,Strike_Log!$B:$B,A311,Strike_Log!$A:$A,"&gt;="&amp;IF(Config!$B$1004="Y",TODAY()-Config!$B$1005,DATE(1900,1,1)),Strike_Log!$I:$I,1))))</f>
        <v/>
      </c>
      <c r="Q311" s="1">
        <f t="shared" si="3"/>
        <v>0</v>
      </c>
      <c r="R311" s="1" t="str">
        <f>IF(A311="","",IFERROR(AVERAGEIFS(Assignments!$J:$J,Assignments!$B:$B,A311,Assignments!$E:$E,"Completed"),""))</f>
        <v/>
      </c>
      <c r="S311" s="1" t="str">
        <f>IF(A311="","",COUNTIFS(Assignments!$B:$B,A311,Assignments!$AE:$AE, "Y",Assignments!$D:$D,"&gt;="&amp;TODAY()-30))</f>
        <v/>
      </c>
      <c r="T311" s="1" t="str">
        <f>IF(A311="","",COUNTIFS(Assignments!$AF:$AF,A311,Assignments!$AE:$AE, "Y",Assignments!$D:$D,"&gt;="&amp;TODAY()-30))</f>
        <v/>
      </c>
      <c r="U311" s="1" t="str">
        <f>IF(A311="","",IFERROR(S311/MAX(1,COUNTIFS(Assignments!$B:$B,A311,Assignments!$D:$D,"&gt;="&amp;TODAY()-30)),""))</f>
        <v/>
      </c>
      <c r="V311" s="1" t="str">
        <f t="shared" si="4"/>
        <v/>
      </c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 t="str">
        <f>IF($A312="","",IFERROR(AVERAGEIFS(Assignments!$N$6:$N$1000,Assignments!$B$6:$B$1000,$A312,Assignments!$E$6:$E$1000,"Completed"),""))</f>
        <v/>
      </c>
      <c r="K312" s="2" t="str">
        <f>IF(A312="","",IFERROR(AVERAGEIFS(Assignments!$AO:$AO,Assignments!$B:$B,A312,Assignments!$E:$E,"Completed"),""))</f>
        <v/>
      </c>
      <c r="L312" s="2" t="str">
        <f>IF($A312="","",IFERROR(COUNTIFS(Assignments!$B$6:$B$1000,$A312,Assignments!$E$6:$E$1000,"Cancelled")/MAX(1,COUNTIFS(Assignments!$B$6:$B$1000,$A312,Assignments!$E$6:$E$1000,"Completed")+COUNTIFS(Assignments!$B$6:$B$1000,$A312,Assignments!$E$6:$E$1000,"Cancelled")),""))</f>
        <v/>
      </c>
      <c r="M312" s="2" t="str">
        <f>IF($A312="","",IFERROR(AVERAGEIFS(Assignments!$P$6:$P$1000,Assignments!$B$6:$B$1000,$A312,Assignments!$E$6:$E$1000,"Completed"),""))</f>
        <v/>
      </c>
      <c r="N312" s="2"/>
      <c r="O312" s="2"/>
      <c r="P312" s="1" t="str">
        <f>IF(A312="","",MAX(0,MIN(3,SUMIFS(Strike_Log!$C:$C,Strike_Log!$B:$B,A312,Strike_Log!$A:$A,"&gt;="&amp;IF(Config!$B$1004="Y",TODAY()-Config!$B$1005,DATE(1900,1,1)),Strike_Log!$I:$I,1))))</f>
        <v/>
      </c>
      <c r="Q312" s="1">
        <f t="shared" si="3"/>
        <v>0</v>
      </c>
      <c r="R312" s="1" t="str">
        <f>IF(A312="","",IFERROR(AVERAGEIFS(Assignments!$J:$J,Assignments!$B:$B,A312,Assignments!$E:$E,"Completed"),""))</f>
        <v/>
      </c>
      <c r="S312" s="1" t="str">
        <f>IF(A312="","",COUNTIFS(Assignments!$B:$B,A312,Assignments!$AE:$AE, "Y",Assignments!$D:$D,"&gt;="&amp;TODAY()-30))</f>
        <v/>
      </c>
      <c r="T312" s="1" t="str">
        <f>IF(A312="","",COUNTIFS(Assignments!$AF:$AF,A312,Assignments!$AE:$AE, "Y",Assignments!$D:$D,"&gt;="&amp;TODAY()-30))</f>
        <v/>
      </c>
      <c r="U312" s="1" t="str">
        <f>IF(A312="","",IFERROR(S312/MAX(1,COUNTIFS(Assignments!$B:$B,A312,Assignments!$D:$D,"&gt;="&amp;TODAY()-30)),""))</f>
        <v/>
      </c>
      <c r="V312" s="1" t="str">
        <f t="shared" si="4"/>
        <v/>
      </c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 t="str">
        <f>IF($A313="","",IFERROR(AVERAGEIFS(Assignments!$N$6:$N$1000,Assignments!$B$6:$B$1000,$A313,Assignments!$E$6:$E$1000,"Completed"),""))</f>
        <v/>
      </c>
      <c r="K313" s="2" t="str">
        <f>IF(A313="","",IFERROR(AVERAGEIFS(Assignments!$AO:$AO,Assignments!$B:$B,A313,Assignments!$E:$E,"Completed"),""))</f>
        <v/>
      </c>
      <c r="L313" s="2" t="str">
        <f>IF($A313="","",IFERROR(COUNTIFS(Assignments!$B$6:$B$1000,$A313,Assignments!$E$6:$E$1000,"Cancelled")/MAX(1,COUNTIFS(Assignments!$B$6:$B$1000,$A313,Assignments!$E$6:$E$1000,"Completed")+COUNTIFS(Assignments!$B$6:$B$1000,$A313,Assignments!$E$6:$E$1000,"Cancelled")),""))</f>
        <v/>
      </c>
      <c r="M313" s="2" t="str">
        <f>IF($A313="","",IFERROR(AVERAGEIFS(Assignments!$P$6:$P$1000,Assignments!$B$6:$B$1000,$A313,Assignments!$E$6:$E$1000,"Completed"),""))</f>
        <v/>
      </c>
      <c r="N313" s="2"/>
      <c r="O313" s="2"/>
      <c r="P313" s="1" t="str">
        <f>IF(A313="","",MAX(0,MIN(3,SUMIFS(Strike_Log!$C:$C,Strike_Log!$B:$B,A313,Strike_Log!$A:$A,"&gt;="&amp;IF(Config!$B$1004="Y",TODAY()-Config!$B$1005,DATE(1900,1,1)),Strike_Log!$I:$I,1))))</f>
        <v/>
      </c>
      <c r="Q313" s="1">
        <f t="shared" si="3"/>
        <v>0</v>
      </c>
      <c r="R313" s="1" t="str">
        <f>IF(A313="","",IFERROR(AVERAGEIFS(Assignments!$J:$J,Assignments!$B:$B,A313,Assignments!$E:$E,"Completed"),""))</f>
        <v/>
      </c>
      <c r="S313" s="1" t="str">
        <f>IF(A313="","",COUNTIFS(Assignments!$B:$B,A313,Assignments!$AE:$AE, "Y",Assignments!$D:$D,"&gt;="&amp;TODAY()-30))</f>
        <v/>
      </c>
      <c r="T313" s="1" t="str">
        <f>IF(A313="","",COUNTIFS(Assignments!$AF:$AF,A313,Assignments!$AE:$AE, "Y",Assignments!$D:$D,"&gt;="&amp;TODAY()-30))</f>
        <v/>
      </c>
      <c r="U313" s="1" t="str">
        <f>IF(A313="","",IFERROR(S313/MAX(1,COUNTIFS(Assignments!$B:$B,A313,Assignments!$D:$D,"&gt;="&amp;TODAY()-30)),""))</f>
        <v/>
      </c>
      <c r="V313" s="1" t="str">
        <f t="shared" si="4"/>
        <v/>
      </c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 t="str">
        <f>IF($A314="","",IFERROR(AVERAGEIFS(Assignments!$N$6:$N$1000,Assignments!$B$6:$B$1000,$A314,Assignments!$E$6:$E$1000,"Completed"),""))</f>
        <v/>
      </c>
      <c r="K314" s="2" t="str">
        <f>IF(A314="","",IFERROR(AVERAGEIFS(Assignments!$AO:$AO,Assignments!$B:$B,A314,Assignments!$E:$E,"Completed"),""))</f>
        <v/>
      </c>
      <c r="L314" s="2" t="str">
        <f>IF($A314="","",IFERROR(COUNTIFS(Assignments!$B$6:$B$1000,$A314,Assignments!$E$6:$E$1000,"Cancelled")/MAX(1,COUNTIFS(Assignments!$B$6:$B$1000,$A314,Assignments!$E$6:$E$1000,"Completed")+COUNTIFS(Assignments!$B$6:$B$1000,$A314,Assignments!$E$6:$E$1000,"Cancelled")),""))</f>
        <v/>
      </c>
      <c r="M314" s="2" t="str">
        <f>IF($A314="","",IFERROR(AVERAGEIFS(Assignments!$P$6:$P$1000,Assignments!$B$6:$B$1000,$A314,Assignments!$E$6:$E$1000,"Completed"),""))</f>
        <v/>
      </c>
      <c r="N314" s="2"/>
      <c r="O314" s="2"/>
      <c r="P314" s="1" t="str">
        <f>IF(A314="","",MAX(0,MIN(3,SUMIFS(Strike_Log!$C:$C,Strike_Log!$B:$B,A314,Strike_Log!$A:$A,"&gt;="&amp;IF(Config!$B$1004="Y",TODAY()-Config!$B$1005,DATE(1900,1,1)),Strike_Log!$I:$I,1))))</f>
        <v/>
      </c>
      <c r="Q314" s="1">
        <f t="shared" si="3"/>
        <v>0</v>
      </c>
      <c r="R314" s="1" t="str">
        <f>IF(A314="","",IFERROR(AVERAGEIFS(Assignments!$J:$J,Assignments!$B:$B,A314,Assignments!$E:$E,"Completed"),""))</f>
        <v/>
      </c>
      <c r="S314" s="1" t="str">
        <f>IF(A314="","",COUNTIFS(Assignments!$B:$B,A314,Assignments!$AE:$AE, "Y",Assignments!$D:$D,"&gt;="&amp;TODAY()-30))</f>
        <v/>
      </c>
      <c r="T314" s="1" t="str">
        <f>IF(A314="","",COUNTIFS(Assignments!$AF:$AF,A314,Assignments!$AE:$AE, "Y",Assignments!$D:$D,"&gt;="&amp;TODAY()-30))</f>
        <v/>
      </c>
      <c r="U314" s="1" t="str">
        <f>IF(A314="","",IFERROR(S314/MAX(1,COUNTIFS(Assignments!$B:$B,A314,Assignments!$D:$D,"&gt;="&amp;TODAY()-30)),""))</f>
        <v/>
      </c>
      <c r="V314" s="1" t="str">
        <f t="shared" si="4"/>
        <v/>
      </c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 t="str">
        <f>IF($A315="","",IFERROR(AVERAGEIFS(Assignments!$N$6:$N$1000,Assignments!$B$6:$B$1000,$A315,Assignments!$E$6:$E$1000,"Completed"),""))</f>
        <v/>
      </c>
      <c r="K315" s="2" t="str">
        <f>IF(A315="","",IFERROR(AVERAGEIFS(Assignments!$AO:$AO,Assignments!$B:$B,A315,Assignments!$E:$E,"Completed"),""))</f>
        <v/>
      </c>
      <c r="L315" s="2" t="str">
        <f>IF($A315="","",IFERROR(COUNTIFS(Assignments!$B$6:$B$1000,$A315,Assignments!$E$6:$E$1000,"Cancelled")/MAX(1,COUNTIFS(Assignments!$B$6:$B$1000,$A315,Assignments!$E$6:$E$1000,"Completed")+COUNTIFS(Assignments!$B$6:$B$1000,$A315,Assignments!$E$6:$E$1000,"Cancelled")),""))</f>
        <v/>
      </c>
      <c r="M315" s="2" t="str">
        <f>IF($A315="","",IFERROR(AVERAGEIFS(Assignments!$P$6:$P$1000,Assignments!$B$6:$B$1000,$A315,Assignments!$E$6:$E$1000,"Completed"),""))</f>
        <v/>
      </c>
      <c r="N315" s="2"/>
      <c r="O315" s="2"/>
      <c r="P315" s="1" t="str">
        <f>IF(A315="","",MAX(0,MIN(3,SUMIFS(Strike_Log!$C:$C,Strike_Log!$B:$B,A315,Strike_Log!$A:$A,"&gt;="&amp;IF(Config!$B$1004="Y",TODAY()-Config!$B$1005,DATE(1900,1,1)),Strike_Log!$I:$I,1))))</f>
        <v/>
      </c>
      <c r="Q315" s="1">
        <f t="shared" si="3"/>
        <v>0</v>
      </c>
      <c r="R315" s="1" t="str">
        <f>IF(A315="","",IFERROR(AVERAGEIFS(Assignments!$J:$J,Assignments!$B:$B,A315,Assignments!$E:$E,"Completed"),""))</f>
        <v/>
      </c>
      <c r="S315" s="1" t="str">
        <f>IF(A315="","",COUNTIFS(Assignments!$B:$B,A315,Assignments!$AE:$AE, "Y",Assignments!$D:$D,"&gt;="&amp;TODAY()-30))</f>
        <v/>
      </c>
      <c r="T315" s="1" t="str">
        <f>IF(A315="","",COUNTIFS(Assignments!$AF:$AF,A315,Assignments!$AE:$AE, "Y",Assignments!$D:$D,"&gt;="&amp;TODAY()-30))</f>
        <v/>
      </c>
      <c r="U315" s="1" t="str">
        <f>IF(A315="","",IFERROR(S315/MAX(1,COUNTIFS(Assignments!$B:$B,A315,Assignments!$D:$D,"&gt;="&amp;TODAY()-30)),""))</f>
        <v/>
      </c>
      <c r="V315" s="1" t="str">
        <f t="shared" si="4"/>
        <v/>
      </c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 t="str">
        <f>IF($A316="","",IFERROR(AVERAGEIFS(Assignments!$N$6:$N$1000,Assignments!$B$6:$B$1000,$A316,Assignments!$E$6:$E$1000,"Completed"),""))</f>
        <v/>
      </c>
      <c r="K316" s="2" t="str">
        <f>IF(A316="","",IFERROR(AVERAGEIFS(Assignments!$AO:$AO,Assignments!$B:$B,A316,Assignments!$E:$E,"Completed"),""))</f>
        <v/>
      </c>
      <c r="L316" s="2" t="str">
        <f>IF($A316="","",IFERROR(COUNTIFS(Assignments!$B$6:$B$1000,$A316,Assignments!$E$6:$E$1000,"Cancelled")/MAX(1,COUNTIFS(Assignments!$B$6:$B$1000,$A316,Assignments!$E$6:$E$1000,"Completed")+COUNTIFS(Assignments!$B$6:$B$1000,$A316,Assignments!$E$6:$E$1000,"Cancelled")),""))</f>
        <v/>
      </c>
      <c r="M316" s="2" t="str">
        <f>IF($A316="","",IFERROR(AVERAGEIFS(Assignments!$P$6:$P$1000,Assignments!$B$6:$B$1000,$A316,Assignments!$E$6:$E$1000,"Completed"),""))</f>
        <v/>
      </c>
      <c r="N316" s="2"/>
      <c r="O316" s="2"/>
      <c r="P316" s="1" t="str">
        <f>IF(A316="","",MAX(0,MIN(3,SUMIFS(Strike_Log!$C:$C,Strike_Log!$B:$B,A316,Strike_Log!$A:$A,"&gt;="&amp;IF(Config!$B$1004="Y",TODAY()-Config!$B$1005,DATE(1900,1,1)),Strike_Log!$I:$I,1))))</f>
        <v/>
      </c>
      <c r="Q316" s="1">
        <f t="shared" si="3"/>
        <v>0</v>
      </c>
      <c r="R316" s="1" t="str">
        <f>IF(A316="","",IFERROR(AVERAGEIFS(Assignments!$J:$J,Assignments!$B:$B,A316,Assignments!$E:$E,"Completed"),""))</f>
        <v/>
      </c>
      <c r="S316" s="1" t="str">
        <f>IF(A316="","",COUNTIFS(Assignments!$B:$B,A316,Assignments!$AE:$AE, "Y",Assignments!$D:$D,"&gt;="&amp;TODAY()-30))</f>
        <v/>
      </c>
      <c r="T316" s="1" t="str">
        <f>IF(A316="","",COUNTIFS(Assignments!$AF:$AF,A316,Assignments!$AE:$AE, "Y",Assignments!$D:$D,"&gt;="&amp;TODAY()-30))</f>
        <v/>
      </c>
      <c r="U316" s="1" t="str">
        <f>IF(A316="","",IFERROR(S316/MAX(1,COUNTIFS(Assignments!$B:$B,A316,Assignments!$D:$D,"&gt;="&amp;TODAY()-30)),""))</f>
        <v/>
      </c>
      <c r="V316" s="1" t="str">
        <f t="shared" si="4"/>
        <v/>
      </c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 t="str">
        <f>IF($A317="","",IFERROR(AVERAGEIFS(Assignments!$N$6:$N$1000,Assignments!$B$6:$B$1000,$A317,Assignments!$E$6:$E$1000,"Completed"),""))</f>
        <v/>
      </c>
      <c r="K317" s="2" t="str">
        <f>IF(A317="","",IFERROR(AVERAGEIFS(Assignments!$AO:$AO,Assignments!$B:$B,A317,Assignments!$E:$E,"Completed"),""))</f>
        <v/>
      </c>
      <c r="L317" s="2" t="str">
        <f>IF($A317="","",IFERROR(COUNTIFS(Assignments!$B$6:$B$1000,$A317,Assignments!$E$6:$E$1000,"Cancelled")/MAX(1,COUNTIFS(Assignments!$B$6:$B$1000,$A317,Assignments!$E$6:$E$1000,"Completed")+COUNTIFS(Assignments!$B$6:$B$1000,$A317,Assignments!$E$6:$E$1000,"Cancelled")),""))</f>
        <v/>
      </c>
      <c r="M317" s="2" t="str">
        <f>IF($A317="","",IFERROR(AVERAGEIFS(Assignments!$P$6:$P$1000,Assignments!$B$6:$B$1000,$A317,Assignments!$E$6:$E$1000,"Completed"),""))</f>
        <v/>
      </c>
      <c r="N317" s="2"/>
      <c r="O317" s="2"/>
      <c r="P317" s="1" t="str">
        <f>IF(A317="","",MAX(0,MIN(3,SUMIFS(Strike_Log!$C:$C,Strike_Log!$B:$B,A317,Strike_Log!$A:$A,"&gt;="&amp;IF(Config!$B$1004="Y",TODAY()-Config!$B$1005,DATE(1900,1,1)),Strike_Log!$I:$I,1))))</f>
        <v/>
      </c>
      <c r="Q317" s="1">
        <f t="shared" si="3"/>
        <v>0</v>
      </c>
      <c r="R317" s="1" t="str">
        <f>IF(A317="","",IFERROR(AVERAGEIFS(Assignments!$J:$J,Assignments!$B:$B,A317,Assignments!$E:$E,"Completed"),""))</f>
        <v/>
      </c>
      <c r="S317" s="1" t="str">
        <f>IF(A317="","",COUNTIFS(Assignments!$B:$B,A317,Assignments!$AE:$AE, "Y",Assignments!$D:$D,"&gt;="&amp;TODAY()-30))</f>
        <v/>
      </c>
      <c r="T317" s="1" t="str">
        <f>IF(A317="","",COUNTIFS(Assignments!$AF:$AF,A317,Assignments!$AE:$AE, "Y",Assignments!$D:$D,"&gt;="&amp;TODAY()-30))</f>
        <v/>
      </c>
      <c r="U317" s="1" t="str">
        <f>IF(A317="","",IFERROR(S317/MAX(1,COUNTIFS(Assignments!$B:$B,A317,Assignments!$D:$D,"&gt;="&amp;TODAY()-30)),""))</f>
        <v/>
      </c>
      <c r="V317" s="1" t="str">
        <f t="shared" si="4"/>
        <v/>
      </c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 t="str">
        <f>IF($A318="","",IFERROR(AVERAGEIFS(Assignments!$N$6:$N$1000,Assignments!$B$6:$B$1000,$A318,Assignments!$E$6:$E$1000,"Completed"),""))</f>
        <v/>
      </c>
      <c r="K318" s="2" t="str">
        <f>IF(A318="","",IFERROR(AVERAGEIFS(Assignments!$AO:$AO,Assignments!$B:$B,A318,Assignments!$E:$E,"Completed"),""))</f>
        <v/>
      </c>
      <c r="L318" s="2" t="str">
        <f>IF($A318="","",IFERROR(COUNTIFS(Assignments!$B$6:$B$1000,$A318,Assignments!$E$6:$E$1000,"Cancelled")/MAX(1,COUNTIFS(Assignments!$B$6:$B$1000,$A318,Assignments!$E$6:$E$1000,"Completed")+COUNTIFS(Assignments!$B$6:$B$1000,$A318,Assignments!$E$6:$E$1000,"Cancelled")),""))</f>
        <v/>
      </c>
      <c r="M318" s="2" t="str">
        <f>IF($A318="","",IFERROR(AVERAGEIFS(Assignments!$P$6:$P$1000,Assignments!$B$6:$B$1000,$A318,Assignments!$E$6:$E$1000,"Completed"),""))</f>
        <v/>
      </c>
      <c r="N318" s="2"/>
      <c r="O318" s="2"/>
      <c r="P318" s="1" t="str">
        <f>IF(A318="","",MAX(0,MIN(3,SUMIFS(Strike_Log!$C:$C,Strike_Log!$B:$B,A318,Strike_Log!$A:$A,"&gt;="&amp;IF(Config!$B$1004="Y",TODAY()-Config!$B$1005,DATE(1900,1,1)),Strike_Log!$I:$I,1))))</f>
        <v/>
      </c>
      <c r="Q318" s="1">
        <f t="shared" si="3"/>
        <v>0</v>
      </c>
      <c r="R318" s="1" t="str">
        <f>IF(A318="","",IFERROR(AVERAGEIFS(Assignments!$J:$J,Assignments!$B:$B,A318,Assignments!$E:$E,"Completed"),""))</f>
        <v/>
      </c>
      <c r="S318" s="1" t="str">
        <f>IF(A318="","",COUNTIFS(Assignments!$B:$B,A318,Assignments!$AE:$AE, "Y",Assignments!$D:$D,"&gt;="&amp;TODAY()-30))</f>
        <v/>
      </c>
      <c r="T318" s="1" t="str">
        <f>IF(A318="","",COUNTIFS(Assignments!$AF:$AF,A318,Assignments!$AE:$AE, "Y",Assignments!$D:$D,"&gt;="&amp;TODAY()-30))</f>
        <v/>
      </c>
      <c r="U318" s="1" t="str">
        <f>IF(A318="","",IFERROR(S318/MAX(1,COUNTIFS(Assignments!$B:$B,A318,Assignments!$D:$D,"&gt;="&amp;TODAY()-30)),""))</f>
        <v/>
      </c>
      <c r="V318" s="1" t="str">
        <f t="shared" si="4"/>
        <v/>
      </c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 t="str">
        <f>IF($A319="","",IFERROR(AVERAGEIFS(Assignments!$N$6:$N$1000,Assignments!$B$6:$B$1000,$A319,Assignments!$E$6:$E$1000,"Completed"),""))</f>
        <v/>
      </c>
      <c r="K319" s="2" t="str">
        <f>IF(A319="","",IFERROR(AVERAGEIFS(Assignments!$AO:$AO,Assignments!$B:$B,A319,Assignments!$E:$E,"Completed"),""))</f>
        <v/>
      </c>
      <c r="L319" s="2" t="str">
        <f>IF($A319="","",IFERROR(COUNTIFS(Assignments!$B$6:$B$1000,$A319,Assignments!$E$6:$E$1000,"Cancelled")/MAX(1,COUNTIFS(Assignments!$B$6:$B$1000,$A319,Assignments!$E$6:$E$1000,"Completed")+COUNTIFS(Assignments!$B$6:$B$1000,$A319,Assignments!$E$6:$E$1000,"Cancelled")),""))</f>
        <v/>
      </c>
      <c r="M319" s="2" t="str">
        <f>IF($A319="","",IFERROR(AVERAGEIFS(Assignments!$P$6:$P$1000,Assignments!$B$6:$B$1000,$A319,Assignments!$E$6:$E$1000,"Completed"),""))</f>
        <v/>
      </c>
      <c r="N319" s="2"/>
      <c r="O319" s="2"/>
      <c r="P319" s="1" t="str">
        <f>IF(A319="","",MAX(0,MIN(3,SUMIFS(Strike_Log!$C:$C,Strike_Log!$B:$B,A319,Strike_Log!$A:$A,"&gt;="&amp;IF(Config!$B$1004="Y",TODAY()-Config!$B$1005,DATE(1900,1,1)),Strike_Log!$I:$I,1))))</f>
        <v/>
      </c>
      <c r="Q319" s="1">
        <f t="shared" si="3"/>
        <v>0</v>
      </c>
      <c r="R319" s="1" t="str">
        <f>IF(A319="","",IFERROR(AVERAGEIFS(Assignments!$J:$J,Assignments!$B:$B,A319,Assignments!$E:$E,"Completed"),""))</f>
        <v/>
      </c>
      <c r="S319" s="1" t="str">
        <f>IF(A319="","",COUNTIFS(Assignments!$B:$B,A319,Assignments!$AE:$AE, "Y",Assignments!$D:$D,"&gt;="&amp;TODAY()-30))</f>
        <v/>
      </c>
      <c r="T319" s="1" t="str">
        <f>IF(A319="","",COUNTIFS(Assignments!$AF:$AF,A319,Assignments!$AE:$AE, "Y",Assignments!$D:$D,"&gt;="&amp;TODAY()-30))</f>
        <v/>
      </c>
      <c r="U319" s="1" t="str">
        <f>IF(A319="","",IFERROR(S319/MAX(1,COUNTIFS(Assignments!$B:$B,A319,Assignments!$D:$D,"&gt;="&amp;TODAY()-30)),""))</f>
        <v/>
      </c>
      <c r="V319" s="1" t="str">
        <f t="shared" si="4"/>
        <v/>
      </c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 t="str">
        <f>IF($A320="","",IFERROR(AVERAGEIFS(Assignments!$N$6:$N$1000,Assignments!$B$6:$B$1000,$A320,Assignments!$E$6:$E$1000,"Completed"),""))</f>
        <v/>
      </c>
      <c r="K320" s="2" t="str">
        <f>IF(A320="","",IFERROR(AVERAGEIFS(Assignments!$AO:$AO,Assignments!$B:$B,A320,Assignments!$E:$E,"Completed"),""))</f>
        <v/>
      </c>
      <c r="L320" s="2" t="str">
        <f>IF($A320="","",IFERROR(COUNTIFS(Assignments!$B$6:$B$1000,$A320,Assignments!$E$6:$E$1000,"Cancelled")/MAX(1,COUNTIFS(Assignments!$B$6:$B$1000,$A320,Assignments!$E$6:$E$1000,"Completed")+COUNTIFS(Assignments!$B$6:$B$1000,$A320,Assignments!$E$6:$E$1000,"Cancelled")),""))</f>
        <v/>
      </c>
      <c r="M320" s="2" t="str">
        <f>IF($A320="","",IFERROR(AVERAGEIFS(Assignments!$P$6:$P$1000,Assignments!$B$6:$B$1000,$A320,Assignments!$E$6:$E$1000,"Completed"),""))</f>
        <v/>
      </c>
      <c r="N320" s="2"/>
      <c r="O320" s="2"/>
      <c r="P320" s="1" t="str">
        <f>IF(A320="","",MAX(0,MIN(3,SUMIFS(Strike_Log!$C:$C,Strike_Log!$B:$B,A320,Strike_Log!$A:$A,"&gt;="&amp;IF(Config!$B$1004="Y",TODAY()-Config!$B$1005,DATE(1900,1,1)),Strike_Log!$I:$I,1))))</f>
        <v/>
      </c>
      <c r="Q320" s="1">
        <f t="shared" si="3"/>
        <v>0</v>
      </c>
      <c r="R320" s="1" t="str">
        <f>IF(A320="","",IFERROR(AVERAGEIFS(Assignments!$J:$J,Assignments!$B:$B,A320,Assignments!$E:$E,"Completed"),""))</f>
        <v/>
      </c>
      <c r="S320" s="1" t="str">
        <f>IF(A320="","",COUNTIFS(Assignments!$B:$B,A320,Assignments!$AE:$AE, "Y",Assignments!$D:$D,"&gt;="&amp;TODAY()-30))</f>
        <v/>
      </c>
      <c r="T320" s="1" t="str">
        <f>IF(A320="","",COUNTIFS(Assignments!$AF:$AF,A320,Assignments!$AE:$AE, "Y",Assignments!$D:$D,"&gt;="&amp;TODAY()-30))</f>
        <v/>
      </c>
      <c r="U320" s="1" t="str">
        <f>IF(A320="","",IFERROR(S320/MAX(1,COUNTIFS(Assignments!$B:$B,A320,Assignments!$D:$D,"&gt;="&amp;TODAY()-30)),""))</f>
        <v/>
      </c>
      <c r="V320" s="1" t="str">
        <f t="shared" si="4"/>
        <v/>
      </c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 t="str">
        <f>IF($A321="","",IFERROR(AVERAGEIFS(Assignments!$N$6:$N$1000,Assignments!$B$6:$B$1000,$A321,Assignments!$E$6:$E$1000,"Completed"),""))</f>
        <v/>
      </c>
      <c r="K321" s="2" t="str">
        <f>IF(A321="","",IFERROR(AVERAGEIFS(Assignments!$AO:$AO,Assignments!$B:$B,A321,Assignments!$E:$E,"Completed"),""))</f>
        <v/>
      </c>
      <c r="L321" s="2" t="str">
        <f>IF($A321="","",IFERROR(COUNTIFS(Assignments!$B$6:$B$1000,$A321,Assignments!$E$6:$E$1000,"Cancelled")/MAX(1,COUNTIFS(Assignments!$B$6:$B$1000,$A321,Assignments!$E$6:$E$1000,"Completed")+COUNTIFS(Assignments!$B$6:$B$1000,$A321,Assignments!$E$6:$E$1000,"Cancelled")),""))</f>
        <v/>
      </c>
      <c r="M321" s="2" t="str">
        <f>IF($A321="","",IFERROR(AVERAGEIFS(Assignments!$P$6:$P$1000,Assignments!$B$6:$B$1000,$A321,Assignments!$E$6:$E$1000,"Completed"),""))</f>
        <v/>
      </c>
      <c r="N321" s="2"/>
      <c r="O321" s="2"/>
      <c r="P321" s="1" t="str">
        <f>IF(A321="","",MAX(0,MIN(3,SUMIFS(Strike_Log!$C:$C,Strike_Log!$B:$B,A321,Strike_Log!$A:$A,"&gt;="&amp;IF(Config!$B$1004="Y",TODAY()-Config!$B$1005,DATE(1900,1,1)),Strike_Log!$I:$I,1))))</f>
        <v/>
      </c>
      <c r="Q321" s="1">
        <f t="shared" si="3"/>
        <v>0</v>
      </c>
      <c r="R321" s="1" t="str">
        <f>IF(A321="","",IFERROR(AVERAGEIFS(Assignments!$J:$J,Assignments!$B:$B,A321,Assignments!$E:$E,"Completed"),""))</f>
        <v/>
      </c>
      <c r="S321" s="1" t="str">
        <f>IF(A321="","",COUNTIFS(Assignments!$B:$B,A321,Assignments!$AE:$AE, "Y",Assignments!$D:$D,"&gt;="&amp;TODAY()-30))</f>
        <v/>
      </c>
      <c r="T321" s="1" t="str">
        <f>IF(A321="","",COUNTIFS(Assignments!$AF:$AF,A321,Assignments!$AE:$AE, "Y",Assignments!$D:$D,"&gt;="&amp;TODAY()-30))</f>
        <v/>
      </c>
      <c r="U321" s="1" t="str">
        <f>IF(A321="","",IFERROR(S321/MAX(1,COUNTIFS(Assignments!$B:$B,A321,Assignments!$D:$D,"&gt;="&amp;TODAY()-30)),""))</f>
        <v/>
      </c>
      <c r="V321" s="1" t="str">
        <f t="shared" si="4"/>
        <v/>
      </c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 t="str">
        <f>IF($A322="","",IFERROR(AVERAGEIFS(Assignments!$N$6:$N$1000,Assignments!$B$6:$B$1000,$A322,Assignments!$E$6:$E$1000,"Completed"),""))</f>
        <v/>
      </c>
      <c r="K322" s="2" t="str">
        <f>IF(A322="","",IFERROR(AVERAGEIFS(Assignments!$AO:$AO,Assignments!$B:$B,A322,Assignments!$E:$E,"Completed"),""))</f>
        <v/>
      </c>
      <c r="L322" s="2" t="str">
        <f>IF($A322="","",IFERROR(COUNTIFS(Assignments!$B$6:$B$1000,$A322,Assignments!$E$6:$E$1000,"Cancelled")/MAX(1,COUNTIFS(Assignments!$B$6:$B$1000,$A322,Assignments!$E$6:$E$1000,"Completed")+COUNTIFS(Assignments!$B$6:$B$1000,$A322,Assignments!$E$6:$E$1000,"Cancelled")),""))</f>
        <v/>
      </c>
      <c r="M322" s="2" t="str">
        <f>IF($A322="","",IFERROR(AVERAGEIFS(Assignments!$P$6:$P$1000,Assignments!$B$6:$B$1000,$A322,Assignments!$E$6:$E$1000,"Completed"),""))</f>
        <v/>
      </c>
      <c r="N322" s="2"/>
      <c r="O322" s="2"/>
      <c r="P322" s="1" t="str">
        <f>IF(A322="","",MAX(0,MIN(3,SUMIFS(Strike_Log!$C:$C,Strike_Log!$B:$B,A322,Strike_Log!$A:$A,"&gt;="&amp;IF(Config!$B$1004="Y",TODAY()-Config!$B$1005,DATE(1900,1,1)),Strike_Log!$I:$I,1))))</f>
        <v/>
      </c>
      <c r="Q322" s="1">
        <f t="shared" si="3"/>
        <v>0</v>
      </c>
      <c r="R322" s="1" t="str">
        <f>IF(A322="","",IFERROR(AVERAGEIFS(Assignments!$J:$J,Assignments!$B:$B,A322,Assignments!$E:$E,"Completed"),""))</f>
        <v/>
      </c>
      <c r="S322" s="1" t="str">
        <f>IF(A322="","",COUNTIFS(Assignments!$B:$B,A322,Assignments!$AE:$AE, "Y",Assignments!$D:$D,"&gt;="&amp;TODAY()-30))</f>
        <v/>
      </c>
      <c r="T322" s="1" t="str">
        <f>IF(A322="","",COUNTIFS(Assignments!$AF:$AF,A322,Assignments!$AE:$AE, "Y",Assignments!$D:$D,"&gt;="&amp;TODAY()-30))</f>
        <v/>
      </c>
      <c r="U322" s="1" t="str">
        <f>IF(A322="","",IFERROR(S322/MAX(1,COUNTIFS(Assignments!$B:$B,A322,Assignments!$D:$D,"&gt;="&amp;TODAY()-30)),""))</f>
        <v/>
      </c>
      <c r="V322" s="1" t="str">
        <f t="shared" si="4"/>
        <v/>
      </c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 t="str">
        <f>IF($A323="","",IFERROR(AVERAGEIFS(Assignments!$N$6:$N$1000,Assignments!$B$6:$B$1000,$A323,Assignments!$E$6:$E$1000,"Completed"),""))</f>
        <v/>
      </c>
      <c r="K323" s="2" t="str">
        <f>IF(A323="","",IFERROR(AVERAGEIFS(Assignments!$AO:$AO,Assignments!$B:$B,A323,Assignments!$E:$E,"Completed"),""))</f>
        <v/>
      </c>
      <c r="L323" s="2" t="str">
        <f>IF($A323="","",IFERROR(COUNTIFS(Assignments!$B$6:$B$1000,$A323,Assignments!$E$6:$E$1000,"Cancelled")/MAX(1,COUNTIFS(Assignments!$B$6:$B$1000,$A323,Assignments!$E$6:$E$1000,"Completed")+COUNTIFS(Assignments!$B$6:$B$1000,$A323,Assignments!$E$6:$E$1000,"Cancelled")),""))</f>
        <v/>
      </c>
      <c r="M323" s="2" t="str">
        <f>IF($A323="","",IFERROR(AVERAGEIFS(Assignments!$P$6:$P$1000,Assignments!$B$6:$B$1000,$A323,Assignments!$E$6:$E$1000,"Completed"),""))</f>
        <v/>
      </c>
      <c r="N323" s="2"/>
      <c r="O323" s="2"/>
      <c r="P323" s="1" t="str">
        <f>IF(A323="","",MAX(0,MIN(3,SUMIFS(Strike_Log!$C:$C,Strike_Log!$B:$B,A323,Strike_Log!$A:$A,"&gt;="&amp;IF(Config!$B$1004="Y",TODAY()-Config!$B$1005,DATE(1900,1,1)),Strike_Log!$I:$I,1))))</f>
        <v/>
      </c>
      <c r="Q323" s="1">
        <f t="shared" si="3"/>
        <v>0</v>
      </c>
      <c r="R323" s="1" t="str">
        <f>IF(A323="","",IFERROR(AVERAGEIFS(Assignments!$J:$J,Assignments!$B:$B,A323,Assignments!$E:$E,"Completed"),""))</f>
        <v/>
      </c>
      <c r="S323" s="1" t="str">
        <f>IF(A323="","",COUNTIFS(Assignments!$B:$B,A323,Assignments!$AE:$AE, "Y",Assignments!$D:$D,"&gt;="&amp;TODAY()-30))</f>
        <v/>
      </c>
      <c r="T323" s="1" t="str">
        <f>IF(A323="","",COUNTIFS(Assignments!$AF:$AF,A323,Assignments!$AE:$AE, "Y",Assignments!$D:$D,"&gt;="&amp;TODAY()-30))</f>
        <v/>
      </c>
      <c r="U323" s="1" t="str">
        <f>IF(A323="","",IFERROR(S323/MAX(1,COUNTIFS(Assignments!$B:$B,A323,Assignments!$D:$D,"&gt;="&amp;TODAY()-30)),""))</f>
        <v/>
      </c>
      <c r="V323" s="1" t="str">
        <f t="shared" si="4"/>
        <v/>
      </c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 t="str">
        <f>IF($A324="","",IFERROR(AVERAGEIFS(Assignments!$N$6:$N$1000,Assignments!$B$6:$B$1000,$A324,Assignments!$E$6:$E$1000,"Completed"),""))</f>
        <v/>
      </c>
      <c r="K324" s="2" t="str">
        <f>IF(A324="","",IFERROR(AVERAGEIFS(Assignments!$AO:$AO,Assignments!$B:$B,A324,Assignments!$E:$E,"Completed"),""))</f>
        <v/>
      </c>
      <c r="L324" s="2" t="str">
        <f>IF($A324="","",IFERROR(COUNTIFS(Assignments!$B$6:$B$1000,$A324,Assignments!$E$6:$E$1000,"Cancelled")/MAX(1,COUNTIFS(Assignments!$B$6:$B$1000,$A324,Assignments!$E$6:$E$1000,"Completed")+COUNTIFS(Assignments!$B$6:$B$1000,$A324,Assignments!$E$6:$E$1000,"Cancelled")),""))</f>
        <v/>
      </c>
      <c r="M324" s="2" t="str">
        <f>IF($A324="","",IFERROR(AVERAGEIFS(Assignments!$P$6:$P$1000,Assignments!$B$6:$B$1000,$A324,Assignments!$E$6:$E$1000,"Completed"),""))</f>
        <v/>
      </c>
      <c r="N324" s="2"/>
      <c r="O324" s="2"/>
      <c r="P324" s="1" t="str">
        <f>IF(A324="","",MAX(0,MIN(3,SUMIFS(Strike_Log!$C:$C,Strike_Log!$B:$B,A324,Strike_Log!$A:$A,"&gt;="&amp;IF(Config!$B$1004="Y",TODAY()-Config!$B$1005,DATE(1900,1,1)),Strike_Log!$I:$I,1))))</f>
        <v/>
      </c>
      <c r="Q324" s="1">
        <f t="shared" si="3"/>
        <v>0</v>
      </c>
      <c r="R324" s="1" t="str">
        <f>IF(A324="","",IFERROR(AVERAGEIFS(Assignments!$J:$J,Assignments!$B:$B,A324,Assignments!$E:$E,"Completed"),""))</f>
        <v/>
      </c>
      <c r="S324" s="1" t="str">
        <f>IF(A324="","",COUNTIFS(Assignments!$B:$B,A324,Assignments!$AE:$AE, "Y",Assignments!$D:$D,"&gt;="&amp;TODAY()-30))</f>
        <v/>
      </c>
      <c r="T324" s="1" t="str">
        <f>IF(A324="","",COUNTIFS(Assignments!$AF:$AF,A324,Assignments!$AE:$AE, "Y",Assignments!$D:$D,"&gt;="&amp;TODAY()-30))</f>
        <v/>
      </c>
      <c r="U324" s="1" t="str">
        <f>IF(A324="","",IFERROR(S324/MAX(1,COUNTIFS(Assignments!$B:$B,A324,Assignments!$D:$D,"&gt;="&amp;TODAY()-30)),""))</f>
        <v/>
      </c>
      <c r="V324" s="1" t="str">
        <f t="shared" si="4"/>
        <v/>
      </c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 t="str">
        <f>IF($A325="","",IFERROR(AVERAGEIFS(Assignments!$N$6:$N$1000,Assignments!$B$6:$B$1000,$A325,Assignments!$E$6:$E$1000,"Completed"),""))</f>
        <v/>
      </c>
      <c r="K325" s="2" t="str">
        <f>IF(A325="","",IFERROR(AVERAGEIFS(Assignments!$AO:$AO,Assignments!$B:$B,A325,Assignments!$E:$E,"Completed"),""))</f>
        <v/>
      </c>
      <c r="L325" s="2" t="str">
        <f>IF($A325="","",IFERROR(COUNTIFS(Assignments!$B$6:$B$1000,$A325,Assignments!$E$6:$E$1000,"Cancelled")/MAX(1,COUNTIFS(Assignments!$B$6:$B$1000,$A325,Assignments!$E$6:$E$1000,"Completed")+COUNTIFS(Assignments!$B$6:$B$1000,$A325,Assignments!$E$6:$E$1000,"Cancelled")),""))</f>
        <v/>
      </c>
      <c r="M325" s="2" t="str">
        <f>IF($A325="","",IFERROR(AVERAGEIFS(Assignments!$P$6:$P$1000,Assignments!$B$6:$B$1000,$A325,Assignments!$E$6:$E$1000,"Completed"),""))</f>
        <v/>
      </c>
      <c r="N325" s="2"/>
      <c r="O325" s="2"/>
      <c r="P325" s="1" t="str">
        <f>IF(A325="","",MAX(0,MIN(3,SUMIFS(Strike_Log!$C:$C,Strike_Log!$B:$B,A325,Strike_Log!$A:$A,"&gt;="&amp;IF(Config!$B$1004="Y",TODAY()-Config!$B$1005,DATE(1900,1,1)),Strike_Log!$I:$I,1))))</f>
        <v/>
      </c>
      <c r="Q325" s="1">
        <f t="shared" si="3"/>
        <v>0</v>
      </c>
      <c r="R325" s="1" t="str">
        <f>IF(A325="","",IFERROR(AVERAGEIFS(Assignments!$J:$J,Assignments!$B:$B,A325,Assignments!$E:$E,"Completed"),""))</f>
        <v/>
      </c>
      <c r="S325" s="1" t="str">
        <f>IF(A325="","",COUNTIFS(Assignments!$B:$B,A325,Assignments!$AE:$AE, "Y",Assignments!$D:$D,"&gt;="&amp;TODAY()-30))</f>
        <v/>
      </c>
      <c r="T325" s="1" t="str">
        <f>IF(A325="","",COUNTIFS(Assignments!$AF:$AF,A325,Assignments!$AE:$AE, "Y",Assignments!$D:$D,"&gt;="&amp;TODAY()-30))</f>
        <v/>
      </c>
      <c r="U325" s="1" t="str">
        <f>IF(A325="","",IFERROR(S325/MAX(1,COUNTIFS(Assignments!$B:$B,A325,Assignments!$D:$D,"&gt;="&amp;TODAY()-30)),""))</f>
        <v/>
      </c>
      <c r="V325" s="1" t="str">
        <f t="shared" si="4"/>
        <v/>
      </c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 t="str">
        <f>IF($A326="","",IFERROR(AVERAGEIFS(Assignments!$N$6:$N$1000,Assignments!$B$6:$B$1000,$A326,Assignments!$E$6:$E$1000,"Completed"),""))</f>
        <v/>
      </c>
      <c r="K326" s="2" t="str">
        <f>IF(A326="","",IFERROR(AVERAGEIFS(Assignments!$AO:$AO,Assignments!$B:$B,A326,Assignments!$E:$E,"Completed"),""))</f>
        <v/>
      </c>
      <c r="L326" s="2" t="str">
        <f>IF($A326="","",IFERROR(COUNTIFS(Assignments!$B$6:$B$1000,$A326,Assignments!$E$6:$E$1000,"Cancelled")/MAX(1,COUNTIFS(Assignments!$B$6:$B$1000,$A326,Assignments!$E$6:$E$1000,"Completed")+COUNTIFS(Assignments!$B$6:$B$1000,$A326,Assignments!$E$6:$E$1000,"Cancelled")),""))</f>
        <v/>
      </c>
      <c r="M326" s="2" t="str">
        <f>IF($A326="","",IFERROR(AVERAGEIFS(Assignments!$P$6:$P$1000,Assignments!$B$6:$B$1000,$A326,Assignments!$E$6:$E$1000,"Completed"),""))</f>
        <v/>
      </c>
      <c r="N326" s="2"/>
      <c r="O326" s="2"/>
      <c r="P326" s="1" t="str">
        <f>IF(A326="","",MAX(0,MIN(3,SUMIFS(Strike_Log!$C:$C,Strike_Log!$B:$B,A326,Strike_Log!$A:$A,"&gt;="&amp;IF(Config!$B$1004="Y",TODAY()-Config!$B$1005,DATE(1900,1,1)),Strike_Log!$I:$I,1))))</f>
        <v/>
      </c>
      <c r="Q326" s="1">
        <f t="shared" si="3"/>
        <v>0</v>
      </c>
      <c r="R326" s="1" t="str">
        <f>IF(A326="","",IFERROR(AVERAGEIFS(Assignments!$J:$J,Assignments!$B:$B,A326,Assignments!$E:$E,"Completed"),""))</f>
        <v/>
      </c>
      <c r="S326" s="1" t="str">
        <f>IF(A326="","",COUNTIFS(Assignments!$B:$B,A326,Assignments!$AE:$AE, "Y",Assignments!$D:$D,"&gt;="&amp;TODAY()-30))</f>
        <v/>
      </c>
      <c r="T326" s="1" t="str">
        <f>IF(A326="","",COUNTIFS(Assignments!$AF:$AF,A326,Assignments!$AE:$AE, "Y",Assignments!$D:$D,"&gt;="&amp;TODAY()-30))</f>
        <v/>
      </c>
      <c r="U326" s="1" t="str">
        <f>IF(A326="","",IFERROR(S326/MAX(1,COUNTIFS(Assignments!$B:$B,A326,Assignments!$D:$D,"&gt;="&amp;TODAY()-30)),""))</f>
        <v/>
      </c>
      <c r="V326" s="1" t="str">
        <f t="shared" si="4"/>
        <v/>
      </c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 t="str">
        <f>IF($A327="","",IFERROR(AVERAGEIFS(Assignments!$N$6:$N$1000,Assignments!$B$6:$B$1000,$A327,Assignments!$E$6:$E$1000,"Completed"),""))</f>
        <v/>
      </c>
      <c r="K327" s="2" t="str">
        <f>IF(A327="","",IFERROR(AVERAGEIFS(Assignments!$AO:$AO,Assignments!$B:$B,A327,Assignments!$E:$E,"Completed"),""))</f>
        <v/>
      </c>
      <c r="L327" s="2" t="str">
        <f>IF($A327="","",IFERROR(COUNTIFS(Assignments!$B$6:$B$1000,$A327,Assignments!$E$6:$E$1000,"Cancelled")/MAX(1,COUNTIFS(Assignments!$B$6:$B$1000,$A327,Assignments!$E$6:$E$1000,"Completed")+COUNTIFS(Assignments!$B$6:$B$1000,$A327,Assignments!$E$6:$E$1000,"Cancelled")),""))</f>
        <v/>
      </c>
      <c r="M327" s="2" t="str">
        <f>IF($A327="","",IFERROR(AVERAGEIFS(Assignments!$P$6:$P$1000,Assignments!$B$6:$B$1000,$A327,Assignments!$E$6:$E$1000,"Completed"),""))</f>
        <v/>
      </c>
      <c r="N327" s="2"/>
      <c r="O327" s="2"/>
      <c r="P327" s="1" t="str">
        <f>IF(A327="","",MAX(0,MIN(3,SUMIFS(Strike_Log!$C:$C,Strike_Log!$B:$B,A327,Strike_Log!$A:$A,"&gt;="&amp;IF(Config!$B$1004="Y",TODAY()-Config!$B$1005,DATE(1900,1,1)),Strike_Log!$I:$I,1))))</f>
        <v/>
      </c>
      <c r="Q327" s="1">
        <f t="shared" si="3"/>
        <v>0</v>
      </c>
      <c r="R327" s="1" t="str">
        <f>IF(A327="","",IFERROR(AVERAGEIFS(Assignments!$J:$J,Assignments!$B:$B,A327,Assignments!$E:$E,"Completed"),""))</f>
        <v/>
      </c>
      <c r="S327" s="1" t="str">
        <f>IF(A327="","",COUNTIFS(Assignments!$B:$B,A327,Assignments!$AE:$AE, "Y",Assignments!$D:$D,"&gt;="&amp;TODAY()-30))</f>
        <v/>
      </c>
      <c r="T327" s="1" t="str">
        <f>IF(A327="","",COUNTIFS(Assignments!$AF:$AF,A327,Assignments!$AE:$AE, "Y",Assignments!$D:$D,"&gt;="&amp;TODAY()-30))</f>
        <v/>
      </c>
      <c r="U327" s="1" t="str">
        <f>IF(A327="","",IFERROR(S327/MAX(1,COUNTIFS(Assignments!$B:$B,A327,Assignments!$D:$D,"&gt;="&amp;TODAY()-30)),""))</f>
        <v/>
      </c>
      <c r="V327" s="1" t="str">
        <f t="shared" si="4"/>
        <v/>
      </c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 t="str">
        <f>IF($A328="","",IFERROR(AVERAGEIFS(Assignments!$N$6:$N$1000,Assignments!$B$6:$B$1000,$A328,Assignments!$E$6:$E$1000,"Completed"),""))</f>
        <v/>
      </c>
      <c r="K328" s="2" t="str">
        <f>IF(A328="","",IFERROR(AVERAGEIFS(Assignments!$AO:$AO,Assignments!$B:$B,A328,Assignments!$E:$E,"Completed"),""))</f>
        <v/>
      </c>
      <c r="L328" s="2" t="str">
        <f>IF($A328="","",IFERROR(COUNTIFS(Assignments!$B$6:$B$1000,$A328,Assignments!$E$6:$E$1000,"Cancelled")/MAX(1,COUNTIFS(Assignments!$B$6:$B$1000,$A328,Assignments!$E$6:$E$1000,"Completed")+COUNTIFS(Assignments!$B$6:$B$1000,$A328,Assignments!$E$6:$E$1000,"Cancelled")),""))</f>
        <v/>
      </c>
      <c r="M328" s="2" t="str">
        <f>IF($A328="","",IFERROR(AVERAGEIFS(Assignments!$P$6:$P$1000,Assignments!$B$6:$B$1000,$A328,Assignments!$E$6:$E$1000,"Completed"),""))</f>
        <v/>
      </c>
      <c r="N328" s="2"/>
      <c r="O328" s="2"/>
      <c r="P328" s="1" t="str">
        <f>IF(A328="","",MAX(0,MIN(3,SUMIFS(Strike_Log!$C:$C,Strike_Log!$B:$B,A328,Strike_Log!$A:$A,"&gt;="&amp;IF(Config!$B$1004="Y",TODAY()-Config!$B$1005,DATE(1900,1,1)),Strike_Log!$I:$I,1))))</f>
        <v/>
      </c>
      <c r="Q328" s="1">
        <f t="shared" si="3"/>
        <v>0</v>
      </c>
      <c r="R328" s="1" t="str">
        <f>IF(A328="","",IFERROR(AVERAGEIFS(Assignments!$J:$J,Assignments!$B:$B,A328,Assignments!$E:$E,"Completed"),""))</f>
        <v/>
      </c>
      <c r="S328" s="1" t="str">
        <f>IF(A328="","",COUNTIFS(Assignments!$B:$B,A328,Assignments!$AE:$AE, "Y",Assignments!$D:$D,"&gt;="&amp;TODAY()-30))</f>
        <v/>
      </c>
      <c r="T328" s="1" t="str">
        <f>IF(A328="","",COUNTIFS(Assignments!$AF:$AF,A328,Assignments!$AE:$AE, "Y",Assignments!$D:$D,"&gt;="&amp;TODAY()-30))</f>
        <v/>
      </c>
      <c r="U328" s="1" t="str">
        <f>IF(A328="","",IFERROR(S328/MAX(1,COUNTIFS(Assignments!$B:$B,A328,Assignments!$D:$D,"&gt;="&amp;TODAY()-30)),""))</f>
        <v/>
      </c>
      <c r="V328" s="1" t="str">
        <f t="shared" si="4"/>
        <v/>
      </c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 t="str">
        <f>IF($A329="","",IFERROR(AVERAGEIFS(Assignments!$N$6:$N$1000,Assignments!$B$6:$B$1000,$A329,Assignments!$E$6:$E$1000,"Completed"),""))</f>
        <v/>
      </c>
      <c r="K329" s="2" t="str">
        <f>IF(A329="","",IFERROR(AVERAGEIFS(Assignments!$AO:$AO,Assignments!$B:$B,A329,Assignments!$E:$E,"Completed"),""))</f>
        <v/>
      </c>
      <c r="L329" s="2" t="str">
        <f>IF($A329="","",IFERROR(COUNTIFS(Assignments!$B$6:$B$1000,$A329,Assignments!$E$6:$E$1000,"Cancelled")/MAX(1,COUNTIFS(Assignments!$B$6:$B$1000,$A329,Assignments!$E$6:$E$1000,"Completed")+COUNTIFS(Assignments!$B$6:$B$1000,$A329,Assignments!$E$6:$E$1000,"Cancelled")),""))</f>
        <v/>
      </c>
      <c r="M329" s="2" t="str">
        <f>IF($A329="","",IFERROR(AVERAGEIFS(Assignments!$P$6:$P$1000,Assignments!$B$6:$B$1000,$A329,Assignments!$E$6:$E$1000,"Completed"),""))</f>
        <v/>
      </c>
      <c r="N329" s="2"/>
      <c r="O329" s="2"/>
      <c r="P329" s="1" t="str">
        <f>IF(A329="","",MAX(0,MIN(3,SUMIFS(Strike_Log!$C:$C,Strike_Log!$B:$B,A329,Strike_Log!$A:$A,"&gt;="&amp;IF(Config!$B$1004="Y",TODAY()-Config!$B$1005,DATE(1900,1,1)),Strike_Log!$I:$I,1))))</f>
        <v/>
      </c>
      <c r="Q329" s="1">
        <f t="shared" si="3"/>
        <v>0</v>
      </c>
      <c r="R329" s="1" t="str">
        <f>IF(A329="","",IFERROR(AVERAGEIFS(Assignments!$J:$J,Assignments!$B:$B,A329,Assignments!$E:$E,"Completed"),""))</f>
        <v/>
      </c>
      <c r="S329" s="1" t="str">
        <f>IF(A329="","",COUNTIFS(Assignments!$B:$B,A329,Assignments!$AE:$AE, "Y",Assignments!$D:$D,"&gt;="&amp;TODAY()-30))</f>
        <v/>
      </c>
      <c r="T329" s="1" t="str">
        <f>IF(A329="","",COUNTIFS(Assignments!$AF:$AF,A329,Assignments!$AE:$AE, "Y",Assignments!$D:$D,"&gt;="&amp;TODAY()-30))</f>
        <v/>
      </c>
      <c r="U329" s="1" t="str">
        <f>IF(A329="","",IFERROR(S329/MAX(1,COUNTIFS(Assignments!$B:$B,A329,Assignments!$D:$D,"&gt;="&amp;TODAY()-30)),""))</f>
        <v/>
      </c>
      <c r="V329" s="1" t="str">
        <f t="shared" si="4"/>
        <v/>
      </c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 t="str">
        <f>IF($A330="","",IFERROR(AVERAGEIFS(Assignments!$N$6:$N$1000,Assignments!$B$6:$B$1000,$A330,Assignments!$E$6:$E$1000,"Completed"),""))</f>
        <v/>
      </c>
      <c r="K330" s="2" t="str">
        <f>IF(A330="","",IFERROR(AVERAGEIFS(Assignments!$AO:$AO,Assignments!$B:$B,A330,Assignments!$E:$E,"Completed"),""))</f>
        <v/>
      </c>
      <c r="L330" s="2" t="str">
        <f>IF($A330="","",IFERROR(COUNTIFS(Assignments!$B$6:$B$1000,$A330,Assignments!$E$6:$E$1000,"Cancelled")/MAX(1,COUNTIFS(Assignments!$B$6:$B$1000,$A330,Assignments!$E$6:$E$1000,"Completed")+COUNTIFS(Assignments!$B$6:$B$1000,$A330,Assignments!$E$6:$E$1000,"Cancelled")),""))</f>
        <v/>
      </c>
      <c r="M330" s="2" t="str">
        <f>IF($A330="","",IFERROR(AVERAGEIFS(Assignments!$P$6:$P$1000,Assignments!$B$6:$B$1000,$A330,Assignments!$E$6:$E$1000,"Completed"),""))</f>
        <v/>
      </c>
      <c r="N330" s="2"/>
      <c r="O330" s="2"/>
      <c r="P330" s="1" t="str">
        <f>IF(A330="","",MAX(0,MIN(3,SUMIFS(Strike_Log!$C:$C,Strike_Log!$B:$B,A330,Strike_Log!$A:$A,"&gt;="&amp;IF(Config!$B$1004="Y",TODAY()-Config!$B$1005,DATE(1900,1,1)),Strike_Log!$I:$I,1))))</f>
        <v/>
      </c>
      <c r="Q330" s="1">
        <f t="shared" si="3"/>
        <v>0</v>
      </c>
      <c r="R330" s="1" t="str">
        <f>IF(A330="","",IFERROR(AVERAGEIFS(Assignments!$J:$J,Assignments!$B:$B,A330,Assignments!$E:$E,"Completed"),""))</f>
        <v/>
      </c>
      <c r="S330" s="1" t="str">
        <f>IF(A330="","",COUNTIFS(Assignments!$B:$B,A330,Assignments!$AE:$AE, "Y",Assignments!$D:$D,"&gt;="&amp;TODAY()-30))</f>
        <v/>
      </c>
      <c r="T330" s="1" t="str">
        <f>IF(A330="","",COUNTIFS(Assignments!$AF:$AF,A330,Assignments!$AE:$AE, "Y",Assignments!$D:$D,"&gt;="&amp;TODAY()-30))</f>
        <v/>
      </c>
      <c r="U330" s="1" t="str">
        <f>IF(A330="","",IFERROR(S330/MAX(1,COUNTIFS(Assignments!$B:$B,A330,Assignments!$D:$D,"&gt;="&amp;TODAY()-30)),""))</f>
        <v/>
      </c>
      <c r="V330" s="1" t="str">
        <f t="shared" si="4"/>
        <v/>
      </c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 t="str">
        <f>IF($A331="","",IFERROR(AVERAGEIFS(Assignments!$N$6:$N$1000,Assignments!$B$6:$B$1000,$A331,Assignments!$E$6:$E$1000,"Completed"),""))</f>
        <v/>
      </c>
      <c r="K331" s="2" t="str">
        <f>IF(A331="","",IFERROR(AVERAGEIFS(Assignments!$AO:$AO,Assignments!$B:$B,A331,Assignments!$E:$E,"Completed"),""))</f>
        <v/>
      </c>
      <c r="L331" s="2" t="str">
        <f>IF($A331="","",IFERROR(COUNTIFS(Assignments!$B$6:$B$1000,$A331,Assignments!$E$6:$E$1000,"Cancelled")/MAX(1,COUNTIFS(Assignments!$B$6:$B$1000,$A331,Assignments!$E$6:$E$1000,"Completed")+COUNTIFS(Assignments!$B$6:$B$1000,$A331,Assignments!$E$6:$E$1000,"Cancelled")),""))</f>
        <v/>
      </c>
      <c r="M331" s="2" t="str">
        <f>IF($A331="","",IFERROR(AVERAGEIFS(Assignments!$P$6:$P$1000,Assignments!$B$6:$B$1000,$A331,Assignments!$E$6:$E$1000,"Completed"),""))</f>
        <v/>
      </c>
      <c r="N331" s="2"/>
      <c r="O331" s="2"/>
      <c r="P331" s="1" t="str">
        <f>IF(A331="","",MAX(0,MIN(3,SUMIFS(Strike_Log!$C:$C,Strike_Log!$B:$B,A331,Strike_Log!$A:$A,"&gt;="&amp;IF(Config!$B$1004="Y",TODAY()-Config!$B$1005,DATE(1900,1,1)),Strike_Log!$I:$I,1))))</f>
        <v/>
      </c>
      <c r="Q331" s="1">
        <f t="shared" si="3"/>
        <v>0</v>
      </c>
      <c r="R331" s="1" t="str">
        <f>IF(A331="","",IFERROR(AVERAGEIFS(Assignments!$J:$J,Assignments!$B:$B,A331,Assignments!$E:$E,"Completed"),""))</f>
        <v/>
      </c>
      <c r="S331" s="1" t="str">
        <f>IF(A331="","",COUNTIFS(Assignments!$B:$B,A331,Assignments!$AE:$AE, "Y",Assignments!$D:$D,"&gt;="&amp;TODAY()-30))</f>
        <v/>
      </c>
      <c r="T331" s="1" t="str">
        <f>IF(A331="","",COUNTIFS(Assignments!$AF:$AF,A331,Assignments!$AE:$AE, "Y",Assignments!$D:$D,"&gt;="&amp;TODAY()-30))</f>
        <v/>
      </c>
      <c r="U331" s="1" t="str">
        <f>IF(A331="","",IFERROR(S331/MAX(1,COUNTIFS(Assignments!$B:$B,A331,Assignments!$D:$D,"&gt;="&amp;TODAY()-30)),""))</f>
        <v/>
      </c>
      <c r="V331" s="1" t="str">
        <f t="shared" si="4"/>
        <v/>
      </c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 t="str">
        <f>IF($A332="","",IFERROR(AVERAGEIFS(Assignments!$N$6:$N$1000,Assignments!$B$6:$B$1000,$A332,Assignments!$E$6:$E$1000,"Completed"),""))</f>
        <v/>
      </c>
      <c r="K332" s="2" t="str">
        <f>IF(A332="","",IFERROR(AVERAGEIFS(Assignments!$AO:$AO,Assignments!$B:$B,A332,Assignments!$E:$E,"Completed"),""))</f>
        <v/>
      </c>
      <c r="L332" s="2" t="str">
        <f>IF($A332="","",IFERROR(COUNTIFS(Assignments!$B$6:$B$1000,$A332,Assignments!$E$6:$E$1000,"Cancelled")/MAX(1,COUNTIFS(Assignments!$B$6:$B$1000,$A332,Assignments!$E$6:$E$1000,"Completed")+COUNTIFS(Assignments!$B$6:$B$1000,$A332,Assignments!$E$6:$E$1000,"Cancelled")),""))</f>
        <v/>
      </c>
      <c r="M332" s="2" t="str">
        <f>IF($A332="","",IFERROR(AVERAGEIFS(Assignments!$P$6:$P$1000,Assignments!$B$6:$B$1000,$A332,Assignments!$E$6:$E$1000,"Completed"),""))</f>
        <v/>
      </c>
      <c r="N332" s="2"/>
      <c r="O332" s="2"/>
      <c r="P332" s="1" t="str">
        <f>IF(A332="","",MAX(0,MIN(3,SUMIFS(Strike_Log!$C:$C,Strike_Log!$B:$B,A332,Strike_Log!$A:$A,"&gt;="&amp;IF(Config!$B$1004="Y",TODAY()-Config!$B$1005,DATE(1900,1,1)),Strike_Log!$I:$I,1))))</f>
        <v/>
      </c>
      <c r="Q332" s="1">
        <f t="shared" si="3"/>
        <v>0</v>
      </c>
      <c r="R332" s="1" t="str">
        <f>IF(A332="","",IFERROR(AVERAGEIFS(Assignments!$J:$J,Assignments!$B:$B,A332,Assignments!$E:$E,"Completed"),""))</f>
        <v/>
      </c>
      <c r="S332" s="1" t="str">
        <f>IF(A332="","",COUNTIFS(Assignments!$B:$B,A332,Assignments!$AE:$AE, "Y",Assignments!$D:$D,"&gt;="&amp;TODAY()-30))</f>
        <v/>
      </c>
      <c r="T332" s="1" t="str">
        <f>IF(A332="","",COUNTIFS(Assignments!$AF:$AF,A332,Assignments!$AE:$AE, "Y",Assignments!$D:$D,"&gt;="&amp;TODAY()-30))</f>
        <v/>
      </c>
      <c r="U332" s="1" t="str">
        <f>IF(A332="","",IFERROR(S332/MAX(1,COUNTIFS(Assignments!$B:$B,A332,Assignments!$D:$D,"&gt;="&amp;TODAY()-30)),""))</f>
        <v/>
      </c>
      <c r="V332" s="1" t="str">
        <f t="shared" si="4"/>
        <v/>
      </c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 t="str">
        <f>IF($A333="","",IFERROR(AVERAGEIFS(Assignments!$N$6:$N$1000,Assignments!$B$6:$B$1000,$A333,Assignments!$E$6:$E$1000,"Completed"),""))</f>
        <v/>
      </c>
      <c r="K333" s="2" t="str">
        <f>IF(A333="","",IFERROR(AVERAGEIFS(Assignments!$AO:$AO,Assignments!$B:$B,A333,Assignments!$E:$E,"Completed"),""))</f>
        <v/>
      </c>
      <c r="L333" s="2" t="str">
        <f>IF($A333="","",IFERROR(COUNTIFS(Assignments!$B$6:$B$1000,$A333,Assignments!$E$6:$E$1000,"Cancelled")/MAX(1,COUNTIFS(Assignments!$B$6:$B$1000,$A333,Assignments!$E$6:$E$1000,"Completed")+COUNTIFS(Assignments!$B$6:$B$1000,$A333,Assignments!$E$6:$E$1000,"Cancelled")),""))</f>
        <v/>
      </c>
      <c r="M333" s="2" t="str">
        <f>IF($A333="","",IFERROR(AVERAGEIFS(Assignments!$P$6:$P$1000,Assignments!$B$6:$B$1000,$A333,Assignments!$E$6:$E$1000,"Completed"),""))</f>
        <v/>
      </c>
      <c r="N333" s="2"/>
      <c r="O333" s="2"/>
      <c r="P333" s="1" t="str">
        <f>IF(A333="","",MAX(0,MIN(3,SUMIFS(Strike_Log!$C:$C,Strike_Log!$B:$B,A333,Strike_Log!$A:$A,"&gt;="&amp;IF(Config!$B$1004="Y",TODAY()-Config!$B$1005,DATE(1900,1,1)),Strike_Log!$I:$I,1))))</f>
        <v/>
      </c>
      <c r="Q333" s="1">
        <f t="shared" si="3"/>
        <v>0</v>
      </c>
      <c r="R333" s="1" t="str">
        <f>IF(A333="","",IFERROR(AVERAGEIFS(Assignments!$J:$J,Assignments!$B:$B,A333,Assignments!$E:$E,"Completed"),""))</f>
        <v/>
      </c>
      <c r="S333" s="1" t="str">
        <f>IF(A333="","",COUNTIFS(Assignments!$B:$B,A333,Assignments!$AE:$AE, "Y",Assignments!$D:$D,"&gt;="&amp;TODAY()-30))</f>
        <v/>
      </c>
      <c r="T333" s="1" t="str">
        <f>IF(A333="","",COUNTIFS(Assignments!$AF:$AF,A333,Assignments!$AE:$AE, "Y",Assignments!$D:$D,"&gt;="&amp;TODAY()-30))</f>
        <v/>
      </c>
      <c r="U333" s="1" t="str">
        <f>IF(A333="","",IFERROR(S333/MAX(1,COUNTIFS(Assignments!$B:$B,A333,Assignments!$D:$D,"&gt;="&amp;TODAY()-30)),""))</f>
        <v/>
      </c>
      <c r="V333" s="1" t="str">
        <f t="shared" si="4"/>
        <v/>
      </c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 t="str">
        <f>IF($A334="","",IFERROR(AVERAGEIFS(Assignments!$N$6:$N$1000,Assignments!$B$6:$B$1000,$A334,Assignments!$E$6:$E$1000,"Completed"),""))</f>
        <v/>
      </c>
      <c r="K334" s="2" t="str">
        <f>IF(A334="","",IFERROR(AVERAGEIFS(Assignments!$AO:$AO,Assignments!$B:$B,A334,Assignments!$E:$E,"Completed"),""))</f>
        <v/>
      </c>
      <c r="L334" s="2" t="str">
        <f>IF($A334="","",IFERROR(COUNTIFS(Assignments!$B$6:$B$1000,$A334,Assignments!$E$6:$E$1000,"Cancelled")/MAX(1,COUNTIFS(Assignments!$B$6:$B$1000,$A334,Assignments!$E$6:$E$1000,"Completed")+COUNTIFS(Assignments!$B$6:$B$1000,$A334,Assignments!$E$6:$E$1000,"Cancelled")),""))</f>
        <v/>
      </c>
      <c r="M334" s="2" t="str">
        <f>IF($A334="","",IFERROR(AVERAGEIFS(Assignments!$P$6:$P$1000,Assignments!$B$6:$B$1000,$A334,Assignments!$E$6:$E$1000,"Completed"),""))</f>
        <v/>
      </c>
      <c r="N334" s="2"/>
      <c r="O334" s="2"/>
      <c r="P334" s="1" t="str">
        <f>IF(A334="","",MAX(0,MIN(3,SUMIFS(Strike_Log!$C:$C,Strike_Log!$B:$B,A334,Strike_Log!$A:$A,"&gt;="&amp;IF(Config!$B$1004="Y",TODAY()-Config!$B$1005,DATE(1900,1,1)),Strike_Log!$I:$I,1))))</f>
        <v/>
      </c>
      <c r="Q334" s="1">
        <f t="shared" si="3"/>
        <v>0</v>
      </c>
      <c r="R334" s="1" t="str">
        <f>IF(A334="","",IFERROR(AVERAGEIFS(Assignments!$J:$J,Assignments!$B:$B,A334,Assignments!$E:$E,"Completed"),""))</f>
        <v/>
      </c>
      <c r="S334" s="1" t="str">
        <f>IF(A334="","",COUNTIFS(Assignments!$B:$B,A334,Assignments!$AE:$AE, "Y",Assignments!$D:$D,"&gt;="&amp;TODAY()-30))</f>
        <v/>
      </c>
      <c r="T334" s="1" t="str">
        <f>IF(A334="","",COUNTIFS(Assignments!$AF:$AF,A334,Assignments!$AE:$AE, "Y",Assignments!$D:$D,"&gt;="&amp;TODAY()-30))</f>
        <v/>
      </c>
      <c r="U334" s="1" t="str">
        <f>IF(A334="","",IFERROR(S334/MAX(1,COUNTIFS(Assignments!$B:$B,A334,Assignments!$D:$D,"&gt;="&amp;TODAY()-30)),""))</f>
        <v/>
      </c>
      <c r="V334" s="1" t="str">
        <f t="shared" si="4"/>
        <v/>
      </c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 t="str">
        <f>IF($A335="","",IFERROR(AVERAGEIFS(Assignments!$N$6:$N$1000,Assignments!$B$6:$B$1000,$A335,Assignments!$E$6:$E$1000,"Completed"),""))</f>
        <v/>
      </c>
      <c r="K335" s="2" t="str">
        <f>IF(A335="","",IFERROR(AVERAGEIFS(Assignments!$AO:$AO,Assignments!$B:$B,A335,Assignments!$E:$E,"Completed"),""))</f>
        <v/>
      </c>
      <c r="L335" s="2" t="str">
        <f>IF($A335="","",IFERROR(COUNTIFS(Assignments!$B$6:$B$1000,$A335,Assignments!$E$6:$E$1000,"Cancelled")/MAX(1,COUNTIFS(Assignments!$B$6:$B$1000,$A335,Assignments!$E$6:$E$1000,"Completed")+COUNTIFS(Assignments!$B$6:$B$1000,$A335,Assignments!$E$6:$E$1000,"Cancelled")),""))</f>
        <v/>
      </c>
      <c r="M335" s="2" t="str">
        <f>IF($A335="","",IFERROR(AVERAGEIFS(Assignments!$P$6:$P$1000,Assignments!$B$6:$B$1000,$A335,Assignments!$E$6:$E$1000,"Completed"),""))</f>
        <v/>
      </c>
      <c r="N335" s="2"/>
      <c r="O335" s="2"/>
      <c r="P335" s="1" t="str">
        <f>IF(A335="","",MAX(0,MIN(3,SUMIFS(Strike_Log!$C:$C,Strike_Log!$B:$B,A335,Strike_Log!$A:$A,"&gt;="&amp;IF(Config!$B$1004="Y",TODAY()-Config!$B$1005,DATE(1900,1,1)),Strike_Log!$I:$I,1))))</f>
        <v/>
      </c>
      <c r="Q335" s="1">
        <f t="shared" si="3"/>
        <v>0</v>
      </c>
      <c r="R335" s="1" t="str">
        <f>IF(A335="","",IFERROR(AVERAGEIFS(Assignments!$J:$J,Assignments!$B:$B,A335,Assignments!$E:$E,"Completed"),""))</f>
        <v/>
      </c>
      <c r="S335" s="1" t="str">
        <f>IF(A335="","",COUNTIFS(Assignments!$B:$B,A335,Assignments!$AE:$AE, "Y",Assignments!$D:$D,"&gt;="&amp;TODAY()-30))</f>
        <v/>
      </c>
      <c r="T335" s="1" t="str">
        <f>IF(A335="","",COUNTIFS(Assignments!$AF:$AF,A335,Assignments!$AE:$AE, "Y",Assignments!$D:$D,"&gt;="&amp;TODAY()-30))</f>
        <v/>
      </c>
      <c r="U335" s="1" t="str">
        <f>IF(A335="","",IFERROR(S335/MAX(1,COUNTIFS(Assignments!$B:$B,A335,Assignments!$D:$D,"&gt;="&amp;TODAY()-30)),""))</f>
        <v/>
      </c>
      <c r="V335" s="1" t="str">
        <f t="shared" si="4"/>
        <v/>
      </c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 t="str">
        <f>IF($A336="","",IFERROR(AVERAGEIFS(Assignments!$N$6:$N$1000,Assignments!$B$6:$B$1000,$A336,Assignments!$E$6:$E$1000,"Completed"),""))</f>
        <v/>
      </c>
      <c r="K336" s="2" t="str">
        <f>IF(A336="","",IFERROR(AVERAGEIFS(Assignments!$AO:$AO,Assignments!$B:$B,A336,Assignments!$E:$E,"Completed"),""))</f>
        <v/>
      </c>
      <c r="L336" s="2" t="str">
        <f>IF($A336="","",IFERROR(COUNTIFS(Assignments!$B$6:$B$1000,$A336,Assignments!$E$6:$E$1000,"Cancelled")/MAX(1,COUNTIFS(Assignments!$B$6:$B$1000,$A336,Assignments!$E$6:$E$1000,"Completed")+COUNTIFS(Assignments!$B$6:$B$1000,$A336,Assignments!$E$6:$E$1000,"Cancelled")),""))</f>
        <v/>
      </c>
      <c r="M336" s="2" t="str">
        <f>IF($A336="","",IFERROR(AVERAGEIFS(Assignments!$P$6:$P$1000,Assignments!$B$6:$B$1000,$A336,Assignments!$E$6:$E$1000,"Completed"),""))</f>
        <v/>
      </c>
      <c r="N336" s="2"/>
      <c r="O336" s="2"/>
      <c r="P336" s="1" t="str">
        <f>IF(A336="","",MAX(0,MIN(3,SUMIFS(Strike_Log!$C:$C,Strike_Log!$B:$B,A336,Strike_Log!$A:$A,"&gt;="&amp;IF(Config!$B$1004="Y",TODAY()-Config!$B$1005,DATE(1900,1,1)),Strike_Log!$I:$I,1))))</f>
        <v/>
      </c>
      <c r="Q336" s="1">
        <f t="shared" si="3"/>
        <v>0</v>
      </c>
      <c r="R336" s="1" t="str">
        <f>IF(A336="","",IFERROR(AVERAGEIFS(Assignments!$J:$J,Assignments!$B:$B,A336,Assignments!$E:$E,"Completed"),""))</f>
        <v/>
      </c>
      <c r="S336" s="1" t="str">
        <f>IF(A336="","",COUNTIFS(Assignments!$B:$B,A336,Assignments!$AE:$AE, "Y",Assignments!$D:$D,"&gt;="&amp;TODAY()-30))</f>
        <v/>
      </c>
      <c r="T336" s="1" t="str">
        <f>IF(A336="","",COUNTIFS(Assignments!$AF:$AF,A336,Assignments!$AE:$AE, "Y",Assignments!$D:$D,"&gt;="&amp;TODAY()-30))</f>
        <v/>
      </c>
      <c r="U336" s="1" t="str">
        <f>IF(A336="","",IFERROR(S336/MAX(1,COUNTIFS(Assignments!$B:$B,A336,Assignments!$D:$D,"&gt;="&amp;TODAY()-30)),""))</f>
        <v/>
      </c>
      <c r="V336" s="1" t="str">
        <f t="shared" si="4"/>
        <v/>
      </c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 t="str">
        <f>IF($A337="","",IFERROR(AVERAGEIFS(Assignments!$N$6:$N$1000,Assignments!$B$6:$B$1000,$A337,Assignments!$E$6:$E$1000,"Completed"),""))</f>
        <v/>
      </c>
      <c r="K337" s="2" t="str">
        <f>IF(A337="","",IFERROR(AVERAGEIFS(Assignments!$AO:$AO,Assignments!$B:$B,A337,Assignments!$E:$E,"Completed"),""))</f>
        <v/>
      </c>
      <c r="L337" s="2" t="str">
        <f>IF($A337="","",IFERROR(COUNTIFS(Assignments!$B$6:$B$1000,$A337,Assignments!$E$6:$E$1000,"Cancelled")/MAX(1,COUNTIFS(Assignments!$B$6:$B$1000,$A337,Assignments!$E$6:$E$1000,"Completed")+COUNTIFS(Assignments!$B$6:$B$1000,$A337,Assignments!$E$6:$E$1000,"Cancelled")),""))</f>
        <v/>
      </c>
      <c r="M337" s="2" t="str">
        <f>IF($A337="","",IFERROR(AVERAGEIFS(Assignments!$P$6:$P$1000,Assignments!$B$6:$B$1000,$A337,Assignments!$E$6:$E$1000,"Completed"),""))</f>
        <v/>
      </c>
      <c r="N337" s="2"/>
      <c r="O337" s="2"/>
      <c r="P337" s="1" t="str">
        <f>IF(A337="","",MAX(0,MIN(3,SUMIFS(Strike_Log!$C:$C,Strike_Log!$B:$B,A337,Strike_Log!$A:$A,"&gt;="&amp;IF(Config!$B$1004="Y",TODAY()-Config!$B$1005,DATE(1900,1,1)),Strike_Log!$I:$I,1))))</f>
        <v/>
      </c>
      <c r="Q337" s="1">
        <f t="shared" si="3"/>
        <v>0</v>
      </c>
      <c r="R337" s="1" t="str">
        <f>IF(A337="","",IFERROR(AVERAGEIFS(Assignments!$J:$J,Assignments!$B:$B,A337,Assignments!$E:$E,"Completed"),""))</f>
        <v/>
      </c>
      <c r="S337" s="1" t="str">
        <f>IF(A337="","",COUNTIFS(Assignments!$B:$B,A337,Assignments!$AE:$AE, "Y",Assignments!$D:$D,"&gt;="&amp;TODAY()-30))</f>
        <v/>
      </c>
      <c r="T337" s="1" t="str">
        <f>IF(A337="","",COUNTIFS(Assignments!$AF:$AF,A337,Assignments!$AE:$AE, "Y",Assignments!$D:$D,"&gt;="&amp;TODAY()-30))</f>
        <v/>
      </c>
      <c r="U337" s="1" t="str">
        <f>IF(A337="","",IFERROR(S337/MAX(1,COUNTIFS(Assignments!$B:$B,A337,Assignments!$D:$D,"&gt;="&amp;TODAY()-30)),""))</f>
        <v/>
      </c>
      <c r="V337" s="1" t="str">
        <f t="shared" si="4"/>
        <v/>
      </c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 t="str">
        <f>IF($A338="","",IFERROR(AVERAGEIFS(Assignments!$N$6:$N$1000,Assignments!$B$6:$B$1000,$A338,Assignments!$E$6:$E$1000,"Completed"),""))</f>
        <v/>
      </c>
      <c r="K338" s="2" t="str">
        <f>IF(A338="","",IFERROR(AVERAGEIFS(Assignments!$AO:$AO,Assignments!$B:$B,A338,Assignments!$E:$E,"Completed"),""))</f>
        <v/>
      </c>
      <c r="L338" s="2" t="str">
        <f>IF($A338="","",IFERROR(COUNTIFS(Assignments!$B$6:$B$1000,$A338,Assignments!$E$6:$E$1000,"Cancelled")/MAX(1,COUNTIFS(Assignments!$B$6:$B$1000,$A338,Assignments!$E$6:$E$1000,"Completed")+COUNTIFS(Assignments!$B$6:$B$1000,$A338,Assignments!$E$6:$E$1000,"Cancelled")),""))</f>
        <v/>
      </c>
      <c r="M338" s="2" t="str">
        <f>IF($A338="","",IFERROR(AVERAGEIFS(Assignments!$P$6:$P$1000,Assignments!$B$6:$B$1000,$A338,Assignments!$E$6:$E$1000,"Completed"),""))</f>
        <v/>
      </c>
      <c r="N338" s="2"/>
      <c r="O338" s="2"/>
      <c r="P338" s="1" t="str">
        <f>IF(A338="","",MAX(0,MIN(3,SUMIFS(Strike_Log!$C:$C,Strike_Log!$B:$B,A338,Strike_Log!$A:$A,"&gt;="&amp;IF(Config!$B$1004="Y",TODAY()-Config!$B$1005,DATE(1900,1,1)),Strike_Log!$I:$I,1))))</f>
        <v/>
      </c>
      <c r="Q338" s="1">
        <f t="shared" si="3"/>
        <v>0</v>
      </c>
      <c r="R338" s="1" t="str">
        <f>IF(A338="","",IFERROR(AVERAGEIFS(Assignments!$J:$J,Assignments!$B:$B,A338,Assignments!$E:$E,"Completed"),""))</f>
        <v/>
      </c>
      <c r="S338" s="1" t="str">
        <f>IF(A338="","",COUNTIFS(Assignments!$B:$B,A338,Assignments!$AE:$AE, "Y",Assignments!$D:$D,"&gt;="&amp;TODAY()-30))</f>
        <v/>
      </c>
      <c r="T338" s="1" t="str">
        <f>IF(A338="","",COUNTIFS(Assignments!$AF:$AF,A338,Assignments!$AE:$AE, "Y",Assignments!$D:$D,"&gt;="&amp;TODAY()-30))</f>
        <v/>
      </c>
      <c r="U338" s="1" t="str">
        <f>IF(A338="","",IFERROR(S338/MAX(1,COUNTIFS(Assignments!$B:$B,A338,Assignments!$D:$D,"&gt;="&amp;TODAY()-30)),""))</f>
        <v/>
      </c>
      <c r="V338" s="1" t="str">
        <f t="shared" si="4"/>
        <v/>
      </c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 t="str">
        <f>IF($A339="","",IFERROR(AVERAGEIFS(Assignments!$N$6:$N$1000,Assignments!$B$6:$B$1000,$A339,Assignments!$E$6:$E$1000,"Completed"),""))</f>
        <v/>
      </c>
      <c r="K339" s="2" t="str">
        <f>IF(A339="","",IFERROR(AVERAGEIFS(Assignments!$AO:$AO,Assignments!$B:$B,A339,Assignments!$E:$E,"Completed"),""))</f>
        <v/>
      </c>
      <c r="L339" s="2" t="str">
        <f>IF($A339="","",IFERROR(COUNTIFS(Assignments!$B$6:$B$1000,$A339,Assignments!$E$6:$E$1000,"Cancelled")/MAX(1,COUNTIFS(Assignments!$B$6:$B$1000,$A339,Assignments!$E$6:$E$1000,"Completed")+COUNTIFS(Assignments!$B$6:$B$1000,$A339,Assignments!$E$6:$E$1000,"Cancelled")),""))</f>
        <v/>
      </c>
      <c r="M339" s="2" t="str">
        <f>IF($A339="","",IFERROR(AVERAGEIFS(Assignments!$P$6:$P$1000,Assignments!$B$6:$B$1000,$A339,Assignments!$E$6:$E$1000,"Completed"),""))</f>
        <v/>
      </c>
      <c r="N339" s="2"/>
      <c r="O339" s="2"/>
      <c r="P339" s="1" t="str">
        <f>IF(A339="","",MAX(0,MIN(3,SUMIFS(Strike_Log!$C:$C,Strike_Log!$B:$B,A339,Strike_Log!$A:$A,"&gt;="&amp;IF(Config!$B$1004="Y",TODAY()-Config!$B$1005,DATE(1900,1,1)),Strike_Log!$I:$I,1))))</f>
        <v/>
      </c>
      <c r="Q339" s="1">
        <f t="shared" si="3"/>
        <v>0</v>
      </c>
      <c r="R339" s="1" t="str">
        <f>IF(A339="","",IFERROR(AVERAGEIFS(Assignments!$J:$J,Assignments!$B:$B,A339,Assignments!$E:$E,"Completed"),""))</f>
        <v/>
      </c>
      <c r="S339" s="1" t="str">
        <f>IF(A339="","",COUNTIFS(Assignments!$B:$B,A339,Assignments!$AE:$AE, "Y",Assignments!$D:$D,"&gt;="&amp;TODAY()-30))</f>
        <v/>
      </c>
      <c r="T339" s="1" t="str">
        <f>IF(A339="","",COUNTIFS(Assignments!$AF:$AF,A339,Assignments!$AE:$AE, "Y",Assignments!$D:$D,"&gt;="&amp;TODAY()-30))</f>
        <v/>
      </c>
      <c r="U339" s="1" t="str">
        <f>IF(A339="","",IFERROR(S339/MAX(1,COUNTIFS(Assignments!$B:$B,A339,Assignments!$D:$D,"&gt;="&amp;TODAY()-30)),""))</f>
        <v/>
      </c>
      <c r="V339" s="1" t="str">
        <f t="shared" si="4"/>
        <v/>
      </c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 t="str">
        <f>IF($A340="","",IFERROR(AVERAGEIFS(Assignments!$N$6:$N$1000,Assignments!$B$6:$B$1000,$A340,Assignments!$E$6:$E$1000,"Completed"),""))</f>
        <v/>
      </c>
      <c r="K340" s="2" t="str">
        <f>IF(A340="","",IFERROR(AVERAGEIFS(Assignments!$AO:$AO,Assignments!$B:$B,A340,Assignments!$E:$E,"Completed"),""))</f>
        <v/>
      </c>
      <c r="L340" s="2" t="str">
        <f>IF($A340="","",IFERROR(COUNTIFS(Assignments!$B$6:$B$1000,$A340,Assignments!$E$6:$E$1000,"Cancelled")/MAX(1,COUNTIFS(Assignments!$B$6:$B$1000,$A340,Assignments!$E$6:$E$1000,"Completed")+COUNTIFS(Assignments!$B$6:$B$1000,$A340,Assignments!$E$6:$E$1000,"Cancelled")),""))</f>
        <v/>
      </c>
      <c r="M340" s="2" t="str">
        <f>IF($A340="","",IFERROR(AVERAGEIFS(Assignments!$P$6:$P$1000,Assignments!$B$6:$B$1000,$A340,Assignments!$E$6:$E$1000,"Completed"),""))</f>
        <v/>
      </c>
      <c r="N340" s="2"/>
      <c r="O340" s="2"/>
      <c r="P340" s="1" t="str">
        <f>IF(A340="","",MAX(0,MIN(3,SUMIFS(Strike_Log!$C:$C,Strike_Log!$B:$B,A340,Strike_Log!$A:$A,"&gt;="&amp;IF(Config!$B$1004="Y",TODAY()-Config!$B$1005,DATE(1900,1,1)),Strike_Log!$I:$I,1))))</f>
        <v/>
      </c>
      <c r="Q340" s="1">
        <f t="shared" si="3"/>
        <v>0</v>
      </c>
      <c r="R340" s="1" t="str">
        <f>IF(A340="","",IFERROR(AVERAGEIFS(Assignments!$J:$J,Assignments!$B:$B,A340,Assignments!$E:$E,"Completed"),""))</f>
        <v/>
      </c>
      <c r="S340" s="1" t="str">
        <f>IF(A340="","",COUNTIFS(Assignments!$B:$B,A340,Assignments!$AE:$AE, "Y",Assignments!$D:$D,"&gt;="&amp;TODAY()-30))</f>
        <v/>
      </c>
      <c r="T340" s="1" t="str">
        <f>IF(A340="","",COUNTIFS(Assignments!$AF:$AF,A340,Assignments!$AE:$AE, "Y",Assignments!$D:$D,"&gt;="&amp;TODAY()-30))</f>
        <v/>
      </c>
      <c r="U340" s="1" t="str">
        <f>IF(A340="","",IFERROR(S340/MAX(1,COUNTIFS(Assignments!$B:$B,A340,Assignments!$D:$D,"&gt;="&amp;TODAY()-30)),""))</f>
        <v/>
      </c>
      <c r="V340" s="1" t="str">
        <f t="shared" si="4"/>
        <v/>
      </c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 t="str">
        <f>IF($A341="","",IFERROR(AVERAGEIFS(Assignments!$N$6:$N$1000,Assignments!$B$6:$B$1000,$A341,Assignments!$E$6:$E$1000,"Completed"),""))</f>
        <v/>
      </c>
      <c r="K341" s="2" t="str">
        <f>IF(A341="","",IFERROR(AVERAGEIFS(Assignments!$AO:$AO,Assignments!$B:$B,A341,Assignments!$E:$E,"Completed"),""))</f>
        <v/>
      </c>
      <c r="L341" s="2" t="str">
        <f>IF($A341="","",IFERROR(COUNTIFS(Assignments!$B$6:$B$1000,$A341,Assignments!$E$6:$E$1000,"Cancelled")/MAX(1,COUNTIFS(Assignments!$B$6:$B$1000,$A341,Assignments!$E$6:$E$1000,"Completed")+COUNTIFS(Assignments!$B$6:$B$1000,$A341,Assignments!$E$6:$E$1000,"Cancelled")),""))</f>
        <v/>
      </c>
      <c r="M341" s="2" t="str">
        <f>IF($A341="","",IFERROR(AVERAGEIFS(Assignments!$P$6:$P$1000,Assignments!$B$6:$B$1000,$A341,Assignments!$E$6:$E$1000,"Completed"),""))</f>
        <v/>
      </c>
      <c r="N341" s="2"/>
      <c r="O341" s="2"/>
      <c r="P341" s="1" t="str">
        <f>IF(A341="","",MAX(0,MIN(3,SUMIFS(Strike_Log!$C:$C,Strike_Log!$B:$B,A341,Strike_Log!$A:$A,"&gt;="&amp;IF(Config!$B$1004="Y",TODAY()-Config!$B$1005,DATE(1900,1,1)),Strike_Log!$I:$I,1))))</f>
        <v/>
      </c>
      <c r="Q341" s="1">
        <f t="shared" si="3"/>
        <v>0</v>
      </c>
      <c r="R341" s="1" t="str">
        <f>IF(A341="","",IFERROR(AVERAGEIFS(Assignments!$J:$J,Assignments!$B:$B,A341,Assignments!$E:$E,"Completed"),""))</f>
        <v/>
      </c>
      <c r="S341" s="1" t="str">
        <f>IF(A341="","",COUNTIFS(Assignments!$B:$B,A341,Assignments!$AE:$AE, "Y",Assignments!$D:$D,"&gt;="&amp;TODAY()-30))</f>
        <v/>
      </c>
      <c r="T341" s="1" t="str">
        <f>IF(A341="","",COUNTIFS(Assignments!$AF:$AF,A341,Assignments!$AE:$AE, "Y",Assignments!$D:$D,"&gt;="&amp;TODAY()-30))</f>
        <v/>
      </c>
      <c r="U341" s="1" t="str">
        <f>IF(A341="","",IFERROR(S341/MAX(1,COUNTIFS(Assignments!$B:$B,A341,Assignments!$D:$D,"&gt;="&amp;TODAY()-30)),""))</f>
        <v/>
      </c>
      <c r="V341" s="1" t="str">
        <f t="shared" si="4"/>
        <v/>
      </c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 t="str">
        <f>IF($A342="","",IFERROR(AVERAGEIFS(Assignments!$N$6:$N$1000,Assignments!$B$6:$B$1000,$A342,Assignments!$E$6:$E$1000,"Completed"),""))</f>
        <v/>
      </c>
      <c r="K342" s="2" t="str">
        <f>IF(A342="","",IFERROR(AVERAGEIFS(Assignments!$AO:$AO,Assignments!$B:$B,A342,Assignments!$E:$E,"Completed"),""))</f>
        <v/>
      </c>
      <c r="L342" s="2" t="str">
        <f>IF($A342="","",IFERROR(COUNTIFS(Assignments!$B$6:$B$1000,$A342,Assignments!$E$6:$E$1000,"Cancelled")/MAX(1,COUNTIFS(Assignments!$B$6:$B$1000,$A342,Assignments!$E$6:$E$1000,"Completed")+COUNTIFS(Assignments!$B$6:$B$1000,$A342,Assignments!$E$6:$E$1000,"Cancelled")),""))</f>
        <v/>
      </c>
      <c r="M342" s="2" t="str">
        <f>IF($A342="","",IFERROR(AVERAGEIFS(Assignments!$P$6:$P$1000,Assignments!$B$6:$B$1000,$A342,Assignments!$E$6:$E$1000,"Completed"),""))</f>
        <v/>
      </c>
      <c r="N342" s="2"/>
      <c r="O342" s="2"/>
      <c r="P342" s="1" t="str">
        <f>IF(A342="","",MAX(0,MIN(3,SUMIFS(Strike_Log!$C:$C,Strike_Log!$B:$B,A342,Strike_Log!$A:$A,"&gt;="&amp;IF(Config!$B$1004="Y",TODAY()-Config!$B$1005,DATE(1900,1,1)),Strike_Log!$I:$I,1))))</f>
        <v/>
      </c>
      <c r="Q342" s="1">
        <f t="shared" si="3"/>
        <v>0</v>
      </c>
      <c r="R342" s="1" t="str">
        <f>IF(A342="","",IFERROR(AVERAGEIFS(Assignments!$J:$J,Assignments!$B:$B,A342,Assignments!$E:$E,"Completed"),""))</f>
        <v/>
      </c>
      <c r="S342" s="1" t="str">
        <f>IF(A342="","",COUNTIFS(Assignments!$B:$B,A342,Assignments!$AE:$AE, "Y",Assignments!$D:$D,"&gt;="&amp;TODAY()-30))</f>
        <v/>
      </c>
      <c r="T342" s="1" t="str">
        <f>IF(A342="","",COUNTIFS(Assignments!$AF:$AF,A342,Assignments!$AE:$AE, "Y",Assignments!$D:$D,"&gt;="&amp;TODAY()-30))</f>
        <v/>
      </c>
      <c r="U342" s="1" t="str">
        <f>IF(A342="","",IFERROR(S342/MAX(1,COUNTIFS(Assignments!$B:$B,A342,Assignments!$D:$D,"&gt;="&amp;TODAY()-30)),""))</f>
        <v/>
      </c>
      <c r="V342" s="1" t="str">
        <f t="shared" si="4"/>
        <v/>
      </c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 t="str">
        <f>IF($A343="","",IFERROR(AVERAGEIFS(Assignments!$N$6:$N$1000,Assignments!$B$6:$B$1000,$A343,Assignments!$E$6:$E$1000,"Completed"),""))</f>
        <v/>
      </c>
      <c r="K343" s="2" t="str">
        <f>IF(A343="","",IFERROR(AVERAGEIFS(Assignments!$AO:$AO,Assignments!$B:$B,A343,Assignments!$E:$E,"Completed"),""))</f>
        <v/>
      </c>
      <c r="L343" s="2" t="str">
        <f>IF($A343="","",IFERROR(COUNTIFS(Assignments!$B$6:$B$1000,$A343,Assignments!$E$6:$E$1000,"Cancelled")/MAX(1,COUNTIFS(Assignments!$B$6:$B$1000,$A343,Assignments!$E$6:$E$1000,"Completed")+COUNTIFS(Assignments!$B$6:$B$1000,$A343,Assignments!$E$6:$E$1000,"Cancelled")),""))</f>
        <v/>
      </c>
      <c r="M343" s="2" t="str">
        <f>IF($A343="","",IFERROR(AVERAGEIFS(Assignments!$P$6:$P$1000,Assignments!$B$6:$B$1000,$A343,Assignments!$E$6:$E$1000,"Completed"),""))</f>
        <v/>
      </c>
      <c r="N343" s="2"/>
      <c r="O343" s="2"/>
      <c r="P343" s="1" t="str">
        <f>IF(A343="","",MAX(0,MIN(3,SUMIFS(Strike_Log!$C:$C,Strike_Log!$B:$B,A343,Strike_Log!$A:$A,"&gt;="&amp;IF(Config!$B$1004="Y",TODAY()-Config!$B$1005,DATE(1900,1,1)),Strike_Log!$I:$I,1))))</f>
        <v/>
      </c>
      <c r="Q343" s="1">
        <f t="shared" si="3"/>
        <v>0</v>
      </c>
      <c r="R343" s="1" t="str">
        <f>IF(A343="","",IFERROR(AVERAGEIFS(Assignments!$J:$J,Assignments!$B:$B,A343,Assignments!$E:$E,"Completed"),""))</f>
        <v/>
      </c>
      <c r="S343" s="1" t="str">
        <f>IF(A343="","",COUNTIFS(Assignments!$B:$B,A343,Assignments!$AE:$AE, "Y",Assignments!$D:$D,"&gt;="&amp;TODAY()-30))</f>
        <v/>
      </c>
      <c r="T343" s="1" t="str">
        <f>IF(A343="","",COUNTIFS(Assignments!$AF:$AF,A343,Assignments!$AE:$AE, "Y",Assignments!$D:$D,"&gt;="&amp;TODAY()-30))</f>
        <v/>
      </c>
      <c r="U343" s="1" t="str">
        <f>IF(A343="","",IFERROR(S343/MAX(1,COUNTIFS(Assignments!$B:$B,A343,Assignments!$D:$D,"&gt;="&amp;TODAY()-30)),""))</f>
        <v/>
      </c>
      <c r="V343" s="1" t="str">
        <f t="shared" si="4"/>
        <v/>
      </c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 t="str">
        <f>IF($A344="","",IFERROR(AVERAGEIFS(Assignments!$N$6:$N$1000,Assignments!$B$6:$B$1000,$A344,Assignments!$E$6:$E$1000,"Completed"),""))</f>
        <v/>
      </c>
      <c r="K344" s="2" t="str">
        <f>IF(A344="","",IFERROR(AVERAGEIFS(Assignments!$AO:$AO,Assignments!$B:$B,A344,Assignments!$E:$E,"Completed"),""))</f>
        <v/>
      </c>
      <c r="L344" s="2" t="str">
        <f>IF($A344="","",IFERROR(COUNTIFS(Assignments!$B$6:$B$1000,$A344,Assignments!$E$6:$E$1000,"Cancelled")/MAX(1,COUNTIFS(Assignments!$B$6:$B$1000,$A344,Assignments!$E$6:$E$1000,"Completed")+COUNTIFS(Assignments!$B$6:$B$1000,$A344,Assignments!$E$6:$E$1000,"Cancelled")),""))</f>
        <v/>
      </c>
      <c r="M344" s="2" t="str">
        <f>IF($A344="","",IFERROR(AVERAGEIFS(Assignments!$P$6:$P$1000,Assignments!$B$6:$B$1000,$A344,Assignments!$E$6:$E$1000,"Completed"),""))</f>
        <v/>
      </c>
      <c r="N344" s="2"/>
      <c r="O344" s="2"/>
      <c r="P344" s="1" t="str">
        <f>IF(A344="","",MAX(0,MIN(3,SUMIFS(Strike_Log!$C:$C,Strike_Log!$B:$B,A344,Strike_Log!$A:$A,"&gt;="&amp;IF(Config!$B$1004="Y",TODAY()-Config!$B$1005,DATE(1900,1,1)),Strike_Log!$I:$I,1))))</f>
        <v/>
      </c>
      <c r="Q344" s="1">
        <f t="shared" si="3"/>
        <v>0</v>
      </c>
      <c r="R344" s="1" t="str">
        <f>IF(A344="","",IFERROR(AVERAGEIFS(Assignments!$J:$J,Assignments!$B:$B,A344,Assignments!$E:$E,"Completed"),""))</f>
        <v/>
      </c>
      <c r="S344" s="1" t="str">
        <f>IF(A344="","",COUNTIFS(Assignments!$B:$B,A344,Assignments!$AE:$AE, "Y",Assignments!$D:$D,"&gt;="&amp;TODAY()-30))</f>
        <v/>
      </c>
      <c r="T344" s="1" t="str">
        <f>IF(A344="","",COUNTIFS(Assignments!$AF:$AF,A344,Assignments!$AE:$AE, "Y",Assignments!$D:$D,"&gt;="&amp;TODAY()-30))</f>
        <v/>
      </c>
      <c r="U344" s="1" t="str">
        <f>IF(A344="","",IFERROR(S344/MAX(1,COUNTIFS(Assignments!$B:$B,A344,Assignments!$D:$D,"&gt;="&amp;TODAY()-30)),""))</f>
        <v/>
      </c>
      <c r="V344" s="1" t="str">
        <f t="shared" si="4"/>
        <v/>
      </c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 t="str">
        <f>IF($A345="","",IFERROR(AVERAGEIFS(Assignments!$N$6:$N$1000,Assignments!$B$6:$B$1000,$A345,Assignments!$E$6:$E$1000,"Completed"),""))</f>
        <v/>
      </c>
      <c r="K345" s="2" t="str">
        <f>IF(A345="","",IFERROR(AVERAGEIFS(Assignments!$AO:$AO,Assignments!$B:$B,A345,Assignments!$E:$E,"Completed"),""))</f>
        <v/>
      </c>
      <c r="L345" s="2" t="str">
        <f>IF($A345="","",IFERROR(COUNTIFS(Assignments!$B$6:$B$1000,$A345,Assignments!$E$6:$E$1000,"Cancelled")/MAX(1,COUNTIFS(Assignments!$B$6:$B$1000,$A345,Assignments!$E$6:$E$1000,"Completed")+COUNTIFS(Assignments!$B$6:$B$1000,$A345,Assignments!$E$6:$E$1000,"Cancelled")),""))</f>
        <v/>
      </c>
      <c r="M345" s="2" t="str">
        <f>IF($A345="","",IFERROR(AVERAGEIFS(Assignments!$P$6:$P$1000,Assignments!$B$6:$B$1000,$A345,Assignments!$E$6:$E$1000,"Completed"),""))</f>
        <v/>
      </c>
      <c r="N345" s="2"/>
      <c r="O345" s="2"/>
      <c r="P345" s="1" t="str">
        <f>IF(A345="","",MAX(0,MIN(3,SUMIFS(Strike_Log!$C:$C,Strike_Log!$B:$B,A345,Strike_Log!$A:$A,"&gt;="&amp;IF(Config!$B$1004="Y",TODAY()-Config!$B$1005,DATE(1900,1,1)),Strike_Log!$I:$I,1))))</f>
        <v/>
      </c>
      <c r="Q345" s="1">
        <f t="shared" si="3"/>
        <v>0</v>
      </c>
      <c r="R345" s="1" t="str">
        <f>IF(A345="","",IFERROR(AVERAGEIFS(Assignments!$J:$J,Assignments!$B:$B,A345,Assignments!$E:$E,"Completed"),""))</f>
        <v/>
      </c>
      <c r="S345" s="1" t="str">
        <f>IF(A345="","",COUNTIFS(Assignments!$B:$B,A345,Assignments!$AE:$AE, "Y",Assignments!$D:$D,"&gt;="&amp;TODAY()-30))</f>
        <v/>
      </c>
      <c r="T345" s="1" t="str">
        <f>IF(A345="","",COUNTIFS(Assignments!$AF:$AF,A345,Assignments!$AE:$AE, "Y",Assignments!$D:$D,"&gt;="&amp;TODAY()-30))</f>
        <v/>
      </c>
      <c r="U345" s="1" t="str">
        <f>IF(A345="","",IFERROR(S345/MAX(1,COUNTIFS(Assignments!$B:$B,A345,Assignments!$D:$D,"&gt;="&amp;TODAY()-30)),""))</f>
        <v/>
      </c>
      <c r="V345" s="1" t="str">
        <f t="shared" si="4"/>
        <v/>
      </c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 t="str">
        <f>IF($A346="","",IFERROR(AVERAGEIFS(Assignments!$N$6:$N$1000,Assignments!$B$6:$B$1000,$A346,Assignments!$E$6:$E$1000,"Completed"),""))</f>
        <v/>
      </c>
      <c r="K346" s="2" t="str">
        <f>IF(A346="","",IFERROR(AVERAGEIFS(Assignments!$AO:$AO,Assignments!$B:$B,A346,Assignments!$E:$E,"Completed"),""))</f>
        <v/>
      </c>
      <c r="L346" s="2" t="str">
        <f>IF($A346="","",IFERROR(COUNTIFS(Assignments!$B$6:$B$1000,$A346,Assignments!$E$6:$E$1000,"Cancelled")/MAX(1,COUNTIFS(Assignments!$B$6:$B$1000,$A346,Assignments!$E$6:$E$1000,"Completed")+COUNTIFS(Assignments!$B$6:$B$1000,$A346,Assignments!$E$6:$E$1000,"Cancelled")),""))</f>
        <v/>
      </c>
      <c r="M346" s="2" t="str">
        <f>IF($A346="","",IFERROR(AVERAGEIFS(Assignments!$P$6:$P$1000,Assignments!$B$6:$B$1000,$A346,Assignments!$E$6:$E$1000,"Completed"),""))</f>
        <v/>
      </c>
      <c r="N346" s="2"/>
      <c r="O346" s="2"/>
      <c r="P346" s="1" t="str">
        <f>IF(A346="","",MAX(0,MIN(3,SUMIFS(Strike_Log!$C:$C,Strike_Log!$B:$B,A346,Strike_Log!$A:$A,"&gt;="&amp;IF(Config!$B$1004="Y",TODAY()-Config!$B$1005,DATE(1900,1,1)),Strike_Log!$I:$I,1))))</f>
        <v/>
      </c>
      <c r="Q346" s="1">
        <f t="shared" si="3"/>
        <v>0</v>
      </c>
      <c r="R346" s="1" t="str">
        <f>IF(A346="","",IFERROR(AVERAGEIFS(Assignments!$J:$J,Assignments!$B:$B,A346,Assignments!$E:$E,"Completed"),""))</f>
        <v/>
      </c>
      <c r="S346" s="1" t="str">
        <f>IF(A346="","",COUNTIFS(Assignments!$B:$B,A346,Assignments!$AE:$AE, "Y",Assignments!$D:$D,"&gt;="&amp;TODAY()-30))</f>
        <v/>
      </c>
      <c r="T346" s="1" t="str">
        <f>IF(A346="","",COUNTIFS(Assignments!$AF:$AF,A346,Assignments!$AE:$AE, "Y",Assignments!$D:$D,"&gt;="&amp;TODAY()-30))</f>
        <v/>
      </c>
      <c r="U346" s="1" t="str">
        <f>IF(A346="","",IFERROR(S346/MAX(1,COUNTIFS(Assignments!$B:$B,A346,Assignments!$D:$D,"&gt;="&amp;TODAY()-30)),""))</f>
        <v/>
      </c>
      <c r="V346" s="1" t="str">
        <f t="shared" si="4"/>
        <v/>
      </c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 t="str">
        <f>IF($A347="","",IFERROR(AVERAGEIFS(Assignments!$N$6:$N$1000,Assignments!$B$6:$B$1000,$A347,Assignments!$E$6:$E$1000,"Completed"),""))</f>
        <v/>
      </c>
      <c r="K347" s="2" t="str">
        <f>IF(A347="","",IFERROR(AVERAGEIFS(Assignments!$AO:$AO,Assignments!$B:$B,A347,Assignments!$E:$E,"Completed"),""))</f>
        <v/>
      </c>
      <c r="L347" s="2" t="str">
        <f>IF($A347="","",IFERROR(COUNTIFS(Assignments!$B$6:$B$1000,$A347,Assignments!$E$6:$E$1000,"Cancelled")/MAX(1,COUNTIFS(Assignments!$B$6:$B$1000,$A347,Assignments!$E$6:$E$1000,"Completed")+COUNTIFS(Assignments!$B$6:$B$1000,$A347,Assignments!$E$6:$E$1000,"Cancelled")),""))</f>
        <v/>
      </c>
      <c r="M347" s="2" t="str">
        <f>IF($A347="","",IFERROR(AVERAGEIFS(Assignments!$P$6:$P$1000,Assignments!$B$6:$B$1000,$A347,Assignments!$E$6:$E$1000,"Completed"),""))</f>
        <v/>
      </c>
      <c r="N347" s="2"/>
      <c r="O347" s="2"/>
      <c r="P347" s="1" t="str">
        <f>IF(A347="","",MAX(0,MIN(3,SUMIFS(Strike_Log!$C:$C,Strike_Log!$B:$B,A347,Strike_Log!$A:$A,"&gt;="&amp;IF(Config!$B$1004="Y",TODAY()-Config!$B$1005,DATE(1900,1,1)),Strike_Log!$I:$I,1))))</f>
        <v/>
      </c>
      <c r="Q347" s="1">
        <f t="shared" si="3"/>
        <v>0</v>
      </c>
      <c r="R347" s="1" t="str">
        <f>IF(A347="","",IFERROR(AVERAGEIFS(Assignments!$J:$J,Assignments!$B:$B,A347,Assignments!$E:$E,"Completed"),""))</f>
        <v/>
      </c>
      <c r="S347" s="1" t="str">
        <f>IF(A347="","",COUNTIFS(Assignments!$B:$B,A347,Assignments!$AE:$AE, "Y",Assignments!$D:$D,"&gt;="&amp;TODAY()-30))</f>
        <v/>
      </c>
      <c r="T347" s="1" t="str">
        <f>IF(A347="","",COUNTIFS(Assignments!$AF:$AF,A347,Assignments!$AE:$AE, "Y",Assignments!$D:$D,"&gt;="&amp;TODAY()-30))</f>
        <v/>
      </c>
      <c r="U347" s="1" t="str">
        <f>IF(A347="","",IFERROR(S347/MAX(1,COUNTIFS(Assignments!$B:$B,A347,Assignments!$D:$D,"&gt;="&amp;TODAY()-30)),""))</f>
        <v/>
      </c>
      <c r="V347" s="1" t="str">
        <f t="shared" si="4"/>
        <v/>
      </c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 t="str">
        <f>IF($A348="","",IFERROR(AVERAGEIFS(Assignments!$N$6:$N$1000,Assignments!$B$6:$B$1000,$A348,Assignments!$E$6:$E$1000,"Completed"),""))</f>
        <v/>
      </c>
      <c r="K348" s="2" t="str">
        <f>IF(A348="","",IFERROR(AVERAGEIFS(Assignments!$AO:$AO,Assignments!$B:$B,A348,Assignments!$E:$E,"Completed"),""))</f>
        <v/>
      </c>
      <c r="L348" s="2" t="str">
        <f>IF($A348="","",IFERROR(COUNTIFS(Assignments!$B$6:$B$1000,$A348,Assignments!$E$6:$E$1000,"Cancelled")/MAX(1,COUNTIFS(Assignments!$B$6:$B$1000,$A348,Assignments!$E$6:$E$1000,"Completed")+COUNTIFS(Assignments!$B$6:$B$1000,$A348,Assignments!$E$6:$E$1000,"Cancelled")),""))</f>
        <v/>
      </c>
      <c r="M348" s="2" t="str">
        <f>IF($A348="","",IFERROR(AVERAGEIFS(Assignments!$P$6:$P$1000,Assignments!$B$6:$B$1000,$A348,Assignments!$E$6:$E$1000,"Completed"),""))</f>
        <v/>
      </c>
      <c r="N348" s="2"/>
      <c r="O348" s="2"/>
      <c r="P348" s="1" t="str">
        <f>IF(A348="","",MAX(0,MIN(3,SUMIFS(Strike_Log!$C:$C,Strike_Log!$B:$B,A348,Strike_Log!$A:$A,"&gt;="&amp;IF(Config!$B$1004="Y",TODAY()-Config!$B$1005,DATE(1900,1,1)),Strike_Log!$I:$I,1))))</f>
        <v/>
      </c>
      <c r="Q348" s="1">
        <f t="shared" si="3"/>
        <v>0</v>
      </c>
      <c r="R348" s="1" t="str">
        <f>IF(A348="","",IFERROR(AVERAGEIFS(Assignments!$J:$J,Assignments!$B:$B,A348,Assignments!$E:$E,"Completed"),""))</f>
        <v/>
      </c>
      <c r="S348" s="1" t="str">
        <f>IF(A348="","",COUNTIFS(Assignments!$B:$B,A348,Assignments!$AE:$AE, "Y",Assignments!$D:$D,"&gt;="&amp;TODAY()-30))</f>
        <v/>
      </c>
      <c r="T348" s="1" t="str">
        <f>IF(A348="","",COUNTIFS(Assignments!$AF:$AF,A348,Assignments!$AE:$AE, "Y",Assignments!$D:$D,"&gt;="&amp;TODAY()-30))</f>
        <v/>
      </c>
      <c r="U348" s="1" t="str">
        <f>IF(A348="","",IFERROR(S348/MAX(1,COUNTIFS(Assignments!$B:$B,A348,Assignments!$D:$D,"&gt;="&amp;TODAY()-30)),""))</f>
        <v/>
      </c>
      <c r="V348" s="1" t="str">
        <f t="shared" si="4"/>
        <v/>
      </c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 t="str">
        <f>IF($A349="","",IFERROR(AVERAGEIFS(Assignments!$N$6:$N$1000,Assignments!$B$6:$B$1000,$A349,Assignments!$E$6:$E$1000,"Completed"),""))</f>
        <v/>
      </c>
      <c r="K349" s="2" t="str">
        <f>IF(A349="","",IFERROR(AVERAGEIFS(Assignments!$AO:$AO,Assignments!$B:$B,A349,Assignments!$E:$E,"Completed"),""))</f>
        <v/>
      </c>
      <c r="L349" s="2" t="str">
        <f>IF($A349="","",IFERROR(COUNTIFS(Assignments!$B$6:$B$1000,$A349,Assignments!$E$6:$E$1000,"Cancelled")/MAX(1,COUNTIFS(Assignments!$B$6:$B$1000,$A349,Assignments!$E$6:$E$1000,"Completed")+COUNTIFS(Assignments!$B$6:$B$1000,$A349,Assignments!$E$6:$E$1000,"Cancelled")),""))</f>
        <v/>
      </c>
      <c r="M349" s="2" t="str">
        <f>IF($A349="","",IFERROR(AVERAGEIFS(Assignments!$P$6:$P$1000,Assignments!$B$6:$B$1000,$A349,Assignments!$E$6:$E$1000,"Completed"),""))</f>
        <v/>
      </c>
      <c r="N349" s="2"/>
      <c r="O349" s="2"/>
      <c r="P349" s="1" t="str">
        <f>IF(A349="","",MAX(0,MIN(3,SUMIFS(Strike_Log!$C:$C,Strike_Log!$B:$B,A349,Strike_Log!$A:$A,"&gt;="&amp;IF(Config!$B$1004="Y",TODAY()-Config!$B$1005,DATE(1900,1,1)),Strike_Log!$I:$I,1))))</f>
        <v/>
      </c>
      <c r="Q349" s="1">
        <f t="shared" si="3"/>
        <v>0</v>
      </c>
      <c r="R349" s="1" t="str">
        <f>IF(A349="","",IFERROR(AVERAGEIFS(Assignments!$J:$J,Assignments!$B:$B,A349,Assignments!$E:$E,"Completed"),""))</f>
        <v/>
      </c>
      <c r="S349" s="1" t="str">
        <f>IF(A349="","",COUNTIFS(Assignments!$B:$B,A349,Assignments!$AE:$AE, "Y",Assignments!$D:$D,"&gt;="&amp;TODAY()-30))</f>
        <v/>
      </c>
      <c r="T349" s="1" t="str">
        <f>IF(A349="","",COUNTIFS(Assignments!$AF:$AF,A349,Assignments!$AE:$AE, "Y",Assignments!$D:$D,"&gt;="&amp;TODAY()-30))</f>
        <v/>
      </c>
      <c r="U349" s="1" t="str">
        <f>IF(A349="","",IFERROR(S349/MAX(1,COUNTIFS(Assignments!$B:$B,A349,Assignments!$D:$D,"&gt;="&amp;TODAY()-30)),""))</f>
        <v/>
      </c>
      <c r="V349" s="1" t="str">
        <f t="shared" si="4"/>
        <v/>
      </c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 t="str">
        <f>IF($A350="","",IFERROR(AVERAGEIFS(Assignments!$N$6:$N$1000,Assignments!$B$6:$B$1000,$A350,Assignments!$E$6:$E$1000,"Completed"),""))</f>
        <v/>
      </c>
      <c r="K350" s="2" t="str">
        <f>IF(A350="","",IFERROR(AVERAGEIFS(Assignments!$AO:$AO,Assignments!$B:$B,A350,Assignments!$E:$E,"Completed"),""))</f>
        <v/>
      </c>
      <c r="L350" s="2" t="str">
        <f>IF($A350="","",IFERROR(COUNTIFS(Assignments!$B$6:$B$1000,$A350,Assignments!$E$6:$E$1000,"Cancelled")/MAX(1,COUNTIFS(Assignments!$B$6:$B$1000,$A350,Assignments!$E$6:$E$1000,"Completed")+COUNTIFS(Assignments!$B$6:$B$1000,$A350,Assignments!$E$6:$E$1000,"Cancelled")),""))</f>
        <v/>
      </c>
      <c r="M350" s="2" t="str">
        <f>IF($A350="","",IFERROR(AVERAGEIFS(Assignments!$P$6:$P$1000,Assignments!$B$6:$B$1000,$A350,Assignments!$E$6:$E$1000,"Completed"),""))</f>
        <v/>
      </c>
      <c r="N350" s="2"/>
      <c r="O350" s="2"/>
      <c r="P350" s="1" t="str">
        <f>IF(A350="","",MAX(0,MIN(3,SUMIFS(Strike_Log!$C:$C,Strike_Log!$B:$B,A350,Strike_Log!$A:$A,"&gt;="&amp;IF(Config!$B$1004="Y",TODAY()-Config!$B$1005,DATE(1900,1,1)),Strike_Log!$I:$I,1))))</f>
        <v/>
      </c>
      <c r="Q350" s="1">
        <f t="shared" si="3"/>
        <v>0</v>
      </c>
      <c r="R350" s="1" t="str">
        <f>IF(A350="","",IFERROR(AVERAGEIFS(Assignments!$J:$J,Assignments!$B:$B,A350,Assignments!$E:$E,"Completed"),""))</f>
        <v/>
      </c>
      <c r="S350" s="1" t="str">
        <f>IF(A350="","",COUNTIFS(Assignments!$B:$B,A350,Assignments!$AE:$AE, "Y",Assignments!$D:$D,"&gt;="&amp;TODAY()-30))</f>
        <v/>
      </c>
      <c r="T350" s="1" t="str">
        <f>IF(A350="","",COUNTIFS(Assignments!$AF:$AF,A350,Assignments!$AE:$AE, "Y",Assignments!$D:$D,"&gt;="&amp;TODAY()-30))</f>
        <v/>
      </c>
      <c r="U350" s="1" t="str">
        <f>IF(A350="","",IFERROR(S350/MAX(1,COUNTIFS(Assignments!$B:$B,A350,Assignments!$D:$D,"&gt;="&amp;TODAY()-30)),""))</f>
        <v/>
      </c>
      <c r="V350" s="1" t="str">
        <f t="shared" si="4"/>
        <v/>
      </c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 t="str">
        <f>IF($A351="","",IFERROR(AVERAGEIFS(Assignments!$N$6:$N$1000,Assignments!$B$6:$B$1000,$A351,Assignments!$E$6:$E$1000,"Completed"),""))</f>
        <v/>
      </c>
      <c r="K351" s="2" t="str">
        <f>IF(A351="","",IFERROR(AVERAGEIFS(Assignments!$AO:$AO,Assignments!$B:$B,A351,Assignments!$E:$E,"Completed"),""))</f>
        <v/>
      </c>
      <c r="L351" s="2" t="str">
        <f>IF($A351="","",IFERROR(COUNTIFS(Assignments!$B$6:$B$1000,$A351,Assignments!$E$6:$E$1000,"Cancelled")/MAX(1,COUNTIFS(Assignments!$B$6:$B$1000,$A351,Assignments!$E$6:$E$1000,"Completed")+COUNTIFS(Assignments!$B$6:$B$1000,$A351,Assignments!$E$6:$E$1000,"Cancelled")),""))</f>
        <v/>
      </c>
      <c r="M351" s="2" t="str">
        <f>IF($A351="","",IFERROR(AVERAGEIFS(Assignments!$P$6:$P$1000,Assignments!$B$6:$B$1000,$A351,Assignments!$E$6:$E$1000,"Completed"),""))</f>
        <v/>
      </c>
      <c r="N351" s="2"/>
      <c r="O351" s="2"/>
      <c r="P351" s="1" t="str">
        <f>IF(A351="","",MAX(0,MIN(3,SUMIFS(Strike_Log!$C:$C,Strike_Log!$B:$B,A351,Strike_Log!$A:$A,"&gt;="&amp;IF(Config!$B$1004="Y",TODAY()-Config!$B$1005,DATE(1900,1,1)),Strike_Log!$I:$I,1))))</f>
        <v/>
      </c>
      <c r="Q351" s="1">
        <f t="shared" si="3"/>
        <v>0</v>
      </c>
      <c r="R351" s="1" t="str">
        <f>IF(A351="","",IFERROR(AVERAGEIFS(Assignments!$J:$J,Assignments!$B:$B,A351,Assignments!$E:$E,"Completed"),""))</f>
        <v/>
      </c>
      <c r="S351" s="1" t="str">
        <f>IF(A351="","",COUNTIFS(Assignments!$B:$B,A351,Assignments!$AE:$AE, "Y",Assignments!$D:$D,"&gt;="&amp;TODAY()-30))</f>
        <v/>
      </c>
      <c r="T351" s="1" t="str">
        <f>IF(A351="","",COUNTIFS(Assignments!$AF:$AF,A351,Assignments!$AE:$AE, "Y",Assignments!$D:$D,"&gt;="&amp;TODAY()-30))</f>
        <v/>
      </c>
      <c r="U351" s="1" t="str">
        <f>IF(A351="","",IFERROR(S351/MAX(1,COUNTIFS(Assignments!$B:$B,A351,Assignments!$D:$D,"&gt;="&amp;TODAY()-30)),""))</f>
        <v/>
      </c>
      <c r="V351" s="1" t="str">
        <f t="shared" si="4"/>
        <v/>
      </c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 t="str">
        <f>IF($A352="","",IFERROR(AVERAGEIFS(Assignments!$N$6:$N$1000,Assignments!$B$6:$B$1000,$A352,Assignments!$E$6:$E$1000,"Completed"),""))</f>
        <v/>
      </c>
      <c r="K352" s="2" t="str">
        <f>IF(A352="","",IFERROR(AVERAGEIFS(Assignments!$AO:$AO,Assignments!$B:$B,A352,Assignments!$E:$E,"Completed"),""))</f>
        <v/>
      </c>
      <c r="L352" s="2" t="str">
        <f>IF($A352="","",IFERROR(COUNTIFS(Assignments!$B$6:$B$1000,$A352,Assignments!$E$6:$E$1000,"Cancelled")/MAX(1,COUNTIFS(Assignments!$B$6:$B$1000,$A352,Assignments!$E$6:$E$1000,"Completed")+COUNTIFS(Assignments!$B$6:$B$1000,$A352,Assignments!$E$6:$E$1000,"Cancelled")),""))</f>
        <v/>
      </c>
      <c r="M352" s="2" t="str">
        <f>IF($A352="","",IFERROR(AVERAGEIFS(Assignments!$P$6:$P$1000,Assignments!$B$6:$B$1000,$A352,Assignments!$E$6:$E$1000,"Completed"),""))</f>
        <v/>
      </c>
      <c r="N352" s="2"/>
      <c r="O352" s="2"/>
      <c r="P352" s="1" t="str">
        <f>IF(A352="","",MAX(0,MIN(3,SUMIFS(Strike_Log!$C:$C,Strike_Log!$B:$B,A352,Strike_Log!$A:$A,"&gt;="&amp;IF(Config!$B$1004="Y",TODAY()-Config!$B$1005,DATE(1900,1,1)),Strike_Log!$I:$I,1))))</f>
        <v/>
      </c>
      <c r="Q352" s="1">
        <f t="shared" si="3"/>
        <v>0</v>
      </c>
      <c r="R352" s="1" t="str">
        <f>IF(A352="","",IFERROR(AVERAGEIFS(Assignments!$J:$J,Assignments!$B:$B,A352,Assignments!$E:$E,"Completed"),""))</f>
        <v/>
      </c>
      <c r="S352" s="1" t="str">
        <f>IF(A352="","",COUNTIFS(Assignments!$B:$B,A352,Assignments!$AE:$AE, "Y",Assignments!$D:$D,"&gt;="&amp;TODAY()-30))</f>
        <v/>
      </c>
      <c r="T352" s="1" t="str">
        <f>IF(A352="","",COUNTIFS(Assignments!$AF:$AF,A352,Assignments!$AE:$AE, "Y",Assignments!$D:$D,"&gt;="&amp;TODAY()-30))</f>
        <v/>
      </c>
      <c r="U352" s="1" t="str">
        <f>IF(A352="","",IFERROR(S352/MAX(1,COUNTIFS(Assignments!$B:$B,A352,Assignments!$D:$D,"&gt;="&amp;TODAY()-30)),""))</f>
        <v/>
      </c>
      <c r="V352" s="1" t="str">
        <f t="shared" si="4"/>
        <v/>
      </c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 t="str">
        <f>IF($A353="","",IFERROR(AVERAGEIFS(Assignments!$N$6:$N$1000,Assignments!$B$6:$B$1000,$A353,Assignments!$E$6:$E$1000,"Completed"),""))</f>
        <v/>
      </c>
      <c r="K353" s="2" t="str">
        <f>IF(A353="","",IFERROR(AVERAGEIFS(Assignments!$AO:$AO,Assignments!$B:$B,A353,Assignments!$E:$E,"Completed"),""))</f>
        <v/>
      </c>
      <c r="L353" s="2" t="str">
        <f>IF($A353="","",IFERROR(COUNTIFS(Assignments!$B$6:$B$1000,$A353,Assignments!$E$6:$E$1000,"Cancelled")/MAX(1,COUNTIFS(Assignments!$B$6:$B$1000,$A353,Assignments!$E$6:$E$1000,"Completed")+COUNTIFS(Assignments!$B$6:$B$1000,$A353,Assignments!$E$6:$E$1000,"Cancelled")),""))</f>
        <v/>
      </c>
      <c r="M353" s="2" t="str">
        <f>IF($A353="","",IFERROR(AVERAGEIFS(Assignments!$P$6:$P$1000,Assignments!$B$6:$B$1000,$A353,Assignments!$E$6:$E$1000,"Completed"),""))</f>
        <v/>
      </c>
      <c r="N353" s="2"/>
      <c r="O353" s="2"/>
      <c r="P353" s="1" t="str">
        <f>IF(A353="","",MAX(0,MIN(3,SUMIFS(Strike_Log!$C:$C,Strike_Log!$B:$B,A353,Strike_Log!$A:$A,"&gt;="&amp;IF(Config!$B$1004="Y",TODAY()-Config!$B$1005,DATE(1900,1,1)),Strike_Log!$I:$I,1))))</f>
        <v/>
      </c>
      <c r="Q353" s="1">
        <f t="shared" si="3"/>
        <v>0</v>
      </c>
      <c r="R353" s="1" t="str">
        <f>IF(A353="","",IFERROR(AVERAGEIFS(Assignments!$J:$J,Assignments!$B:$B,A353,Assignments!$E:$E,"Completed"),""))</f>
        <v/>
      </c>
      <c r="S353" s="1" t="str">
        <f>IF(A353="","",COUNTIFS(Assignments!$B:$B,A353,Assignments!$AE:$AE, "Y",Assignments!$D:$D,"&gt;="&amp;TODAY()-30))</f>
        <v/>
      </c>
      <c r="T353" s="1" t="str">
        <f>IF(A353="","",COUNTIFS(Assignments!$AF:$AF,A353,Assignments!$AE:$AE, "Y",Assignments!$D:$D,"&gt;="&amp;TODAY()-30))</f>
        <v/>
      </c>
      <c r="U353" s="1" t="str">
        <f>IF(A353="","",IFERROR(S353/MAX(1,COUNTIFS(Assignments!$B:$B,A353,Assignments!$D:$D,"&gt;="&amp;TODAY()-30)),""))</f>
        <v/>
      </c>
      <c r="V353" s="1" t="str">
        <f t="shared" si="4"/>
        <v/>
      </c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 t="str">
        <f>IF($A354="","",IFERROR(AVERAGEIFS(Assignments!$N$6:$N$1000,Assignments!$B$6:$B$1000,$A354,Assignments!$E$6:$E$1000,"Completed"),""))</f>
        <v/>
      </c>
      <c r="K354" s="2" t="str">
        <f>IF(A354="","",IFERROR(AVERAGEIFS(Assignments!$AO:$AO,Assignments!$B:$B,A354,Assignments!$E:$E,"Completed"),""))</f>
        <v/>
      </c>
      <c r="L354" s="2" t="str">
        <f>IF($A354="","",IFERROR(COUNTIFS(Assignments!$B$6:$B$1000,$A354,Assignments!$E$6:$E$1000,"Cancelled")/MAX(1,COUNTIFS(Assignments!$B$6:$B$1000,$A354,Assignments!$E$6:$E$1000,"Completed")+COUNTIFS(Assignments!$B$6:$B$1000,$A354,Assignments!$E$6:$E$1000,"Cancelled")),""))</f>
        <v/>
      </c>
      <c r="M354" s="2" t="str">
        <f>IF($A354="","",IFERROR(AVERAGEIFS(Assignments!$P$6:$P$1000,Assignments!$B$6:$B$1000,$A354,Assignments!$E$6:$E$1000,"Completed"),""))</f>
        <v/>
      </c>
      <c r="N354" s="2"/>
      <c r="O354" s="2"/>
      <c r="P354" s="1" t="str">
        <f>IF(A354="","",MAX(0,MIN(3,SUMIFS(Strike_Log!$C:$C,Strike_Log!$B:$B,A354,Strike_Log!$A:$A,"&gt;="&amp;IF(Config!$B$1004="Y",TODAY()-Config!$B$1005,DATE(1900,1,1)),Strike_Log!$I:$I,1))))</f>
        <v/>
      </c>
      <c r="Q354" s="1">
        <f t="shared" si="3"/>
        <v>0</v>
      </c>
      <c r="R354" s="1" t="str">
        <f>IF(A354="","",IFERROR(AVERAGEIFS(Assignments!$J:$J,Assignments!$B:$B,A354,Assignments!$E:$E,"Completed"),""))</f>
        <v/>
      </c>
      <c r="S354" s="1" t="str">
        <f>IF(A354="","",COUNTIFS(Assignments!$B:$B,A354,Assignments!$AE:$AE, "Y",Assignments!$D:$D,"&gt;="&amp;TODAY()-30))</f>
        <v/>
      </c>
      <c r="T354" s="1" t="str">
        <f>IF(A354="","",COUNTIFS(Assignments!$AF:$AF,A354,Assignments!$AE:$AE, "Y",Assignments!$D:$D,"&gt;="&amp;TODAY()-30))</f>
        <v/>
      </c>
      <c r="U354" s="1" t="str">
        <f>IF(A354="","",IFERROR(S354/MAX(1,COUNTIFS(Assignments!$B:$B,A354,Assignments!$D:$D,"&gt;="&amp;TODAY()-30)),""))</f>
        <v/>
      </c>
      <c r="V354" s="1" t="str">
        <f t="shared" si="4"/>
        <v/>
      </c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 t="str">
        <f>IF($A355="","",IFERROR(AVERAGEIFS(Assignments!$N$6:$N$1000,Assignments!$B$6:$B$1000,$A355,Assignments!$E$6:$E$1000,"Completed"),""))</f>
        <v/>
      </c>
      <c r="K355" s="2" t="str">
        <f>IF(A355="","",IFERROR(AVERAGEIFS(Assignments!$AO:$AO,Assignments!$B:$B,A355,Assignments!$E:$E,"Completed"),""))</f>
        <v/>
      </c>
      <c r="L355" s="2" t="str">
        <f>IF($A355="","",IFERROR(COUNTIFS(Assignments!$B$6:$B$1000,$A355,Assignments!$E$6:$E$1000,"Cancelled")/MAX(1,COUNTIFS(Assignments!$B$6:$B$1000,$A355,Assignments!$E$6:$E$1000,"Completed")+COUNTIFS(Assignments!$B$6:$B$1000,$A355,Assignments!$E$6:$E$1000,"Cancelled")),""))</f>
        <v/>
      </c>
      <c r="M355" s="2" t="str">
        <f>IF($A355="","",IFERROR(AVERAGEIFS(Assignments!$P$6:$P$1000,Assignments!$B$6:$B$1000,$A355,Assignments!$E$6:$E$1000,"Completed"),""))</f>
        <v/>
      </c>
      <c r="N355" s="2"/>
      <c r="O355" s="2"/>
      <c r="P355" s="1" t="str">
        <f>IF(A355="","",MAX(0,MIN(3,SUMIFS(Strike_Log!$C:$C,Strike_Log!$B:$B,A355,Strike_Log!$A:$A,"&gt;="&amp;IF(Config!$B$1004="Y",TODAY()-Config!$B$1005,DATE(1900,1,1)),Strike_Log!$I:$I,1))))</f>
        <v/>
      </c>
      <c r="Q355" s="1">
        <f t="shared" si="3"/>
        <v>0</v>
      </c>
      <c r="R355" s="1" t="str">
        <f>IF(A355="","",IFERROR(AVERAGEIFS(Assignments!$J:$J,Assignments!$B:$B,A355,Assignments!$E:$E,"Completed"),""))</f>
        <v/>
      </c>
      <c r="S355" s="1" t="str">
        <f>IF(A355="","",COUNTIFS(Assignments!$B:$B,A355,Assignments!$AE:$AE, "Y",Assignments!$D:$D,"&gt;="&amp;TODAY()-30))</f>
        <v/>
      </c>
      <c r="T355" s="1" t="str">
        <f>IF(A355="","",COUNTIFS(Assignments!$AF:$AF,A355,Assignments!$AE:$AE, "Y",Assignments!$D:$D,"&gt;="&amp;TODAY()-30))</f>
        <v/>
      </c>
      <c r="U355" s="1" t="str">
        <f>IF(A355="","",IFERROR(S355/MAX(1,COUNTIFS(Assignments!$B:$B,A355,Assignments!$D:$D,"&gt;="&amp;TODAY()-30)),""))</f>
        <v/>
      </c>
      <c r="V355" s="1" t="str">
        <f t="shared" si="4"/>
        <v/>
      </c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 t="str">
        <f>IF($A356="","",IFERROR(AVERAGEIFS(Assignments!$N$6:$N$1000,Assignments!$B$6:$B$1000,$A356,Assignments!$E$6:$E$1000,"Completed"),""))</f>
        <v/>
      </c>
      <c r="K356" s="2" t="str">
        <f>IF(A356="","",IFERROR(AVERAGEIFS(Assignments!$AO:$AO,Assignments!$B:$B,A356,Assignments!$E:$E,"Completed"),""))</f>
        <v/>
      </c>
      <c r="L356" s="2" t="str">
        <f>IF($A356="","",IFERROR(COUNTIFS(Assignments!$B$6:$B$1000,$A356,Assignments!$E$6:$E$1000,"Cancelled")/MAX(1,COUNTIFS(Assignments!$B$6:$B$1000,$A356,Assignments!$E$6:$E$1000,"Completed")+COUNTIFS(Assignments!$B$6:$B$1000,$A356,Assignments!$E$6:$E$1000,"Cancelled")),""))</f>
        <v/>
      </c>
      <c r="M356" s="2" t="str">
        <f>IF($A356="","",IFERROR(AVERAGEIFS(Assignments!$P$6:$P$1000,Assignments!$B$6:$B$1000,$A356,Assignments!$E$6:$E$1000,"Completed"),""))</f>
        <v/>
      </c>
      <c r="N356" s="2"/>
      <c r="O356" s="2"/>
      <c r="P356" s="1" t="str">
        <f>IF(A356="","",MAX(0,MIN(3,SUMIFS(Strike_Log!$C:$C,Strike_Log!$B:$B,A356,Strike_Log!$A:$A,"&gt;="&amp;IF(Config!$B$1004="Y",TODAY()-Config!$B$1005,DATE(1900,1,1)),Strike_Log!$I:$I,1))))</f>
        <v/>
      </c>
      <c r="Q356" s="1">
        <f t="shared" si="3"/>
        <v>0</v>
      </c>
      <c r="R356" s="1" t="str">
        <f>IF(A356="","",IFERROR(AVERAGEIFS(Assignments!$J:$J,Assignments!$B:$B,A356,Assignments!$E:$E,"Completed"),""))</f>
        <v/>
      </c>
      <c r="S356" s="1" t="str">
        <f>IF(A356="","",COUNTIFS(Assignments!$B:$B,A356,Assignments!$AE:$AE, "Y",Assignments!$D:$D,"&gt;="&amp;TODAY()-30))</f>
        <v/>
      </c>
      <c r="T356" s="1" t="str">
        <f>IF(A356="","",COUNTIFS(Assignments!$AF:$AF,A356,Assignments!$AE:$AE, "Y",Assignments!$D:$D,"&gt;="&amp;TODAY()-30))</f>
        <v/>
      </c>
      <c r="U356" s="1" t="str">
        <f>IF(A356="","",IFERROR(S356/MAX(1,COUNTIFS(Assignments!$B:$B,A356,Assignments!$D:$D,"&gt;="&amp;TODAY()-30)),""))</f>
        <v/>
      </c>
      <c r="V356" s="1" t="str">
        <f t="shared" si="4"/>
        <v/>
      </c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 t="str">
        <f>IF($A357="","",IFERROR(AVERAGEIFS(Assignments!$N$6:$N$1000,Assignments!$B$6:$B$1000,$A357,Assignments!$E$6:$E$1000,"Completed"),""))</f>
        <v/>
      </c>
      <c r="K357" s="2" t="str">
        <f>IF(A357="","",IFERROR(AVERAGEIFS(Assignments!$AO:$AO,Assignments!$B:$B,A357,Assignments!$E:$E,"Completed"),""))</f>
        <v/>
      </c>
      <c r="L357" s="2" t="str">
        <f>IF($A357="","",IFERROR(COUNTIFS(Assignments!$B$6:$B$1000,$A357,Assignments!$E$6:$E$1000,"Cancelled")/MAX(1,COUNTIFS(Assignments!$B$6:$B$1000,$A357,Assignments!$E$6:$E$1000,"Completed")+COUNTIFS(Assignments!$B$6:$B$1000,$A357,Assignments!$E$6:$E$1000,"Cancelled")),""))</f>
        <v/>
      </c>
      <c r="M357" s="2" t="str">
        <f>IF($A357="","",IFERROR(AVERAGEIFS(Assignments!$P$6:$P$1000,Assignments!$B$6:$B$1000,$A357,Assignments!$E$6:$E$1000,"Completed"),""))</f>
        <v/>
      </c>
      <c r="N357" s="2"/>
      <c r="O357" s="2"/>
      <c r="P357" s="1" t="str">
        <f>IF(A357="","",MAX(0,MIN(3,SUMIFS(Strike_Log!$C:$C,Strike_Log!$B:$B,A357,Strike_Log!$A:$A,"&gt;="&amp;IF(Config!$B$1004="Y",TODAY()-Config!$B$1005,DATE(1900,1,1)),Strike_Log!$I:$I,1))))</f>
        <v/>
      </c>
      <c r="Q357" s="1">
        <f t="shared" si="3"/>
        <v>0</v>
      </c>
      <c r="R357" s="1" t="str">
        <f>IF(A357="","",IFERROR(AVERAGEIFS(Assignments!$J:$J,Assignments!$B:$B,A357,Assignments!$E:$E,"Completed"),""))</f>
        <v/>
      </c>
      <c r="S357" s="1" t="str">
        <f>IF(A357="","",COUNTIFS(Assignments!$B:$B,A357,Assignments!$AE:$AE, "Y",Assignments!$D:$D,"&gt;="&amp;TODAY()-30))</f>
        <v/>
      </c>
      <c r="T357" s="1" t="str">
        <f>IF(A357="","",COUNTIFS(Assignments!$AF:$AF,A357,Assignments!$AE:$AE, "Y",Assignments!$D:$D,"&gt;="&amp;TODAY()-30))</f>
        <v/>
      </c>
      <c r="U357" s="1" t="str">
        <f>IF(A357="","",IFERROR(S357/MAX(1,COUNTIFS(Assignments!$B:$B,A357,Assignments!$D:$D,"&gt;="&amp;TODAY()-30)),""))</f>
        <v/>
      </c>
      <c r="V357" s="1" t="str">
        <f t="shared" si="4"/>
        <v/>
      </c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 t="str">
        <f>IF($A358="","",IFERROR(AVERAGEIFS(Assignments!$N$6:$N$1000,Assignments!$B$6:$B$1000,$A358,Assignments!$E$6:$E$1000,"Completed"),""))</f>
        <v/>
      </c>
      <c r="K358" s="2" t="str">
        <f>IF(A358="","",IFERROR(AVERAGEIFS(Assignments!$AO:$AO,Assignments!$B:$B,A358,Assignments!$E:$E,"Completed"),""))</f>
        <v/>
      </c>
      <c r="L358" s="2" t="str">
        <f>IF($A358="","",IFERROR(COUNTIFS(Assignments!$B$6:$B$1000,$A358,Assignments!$E$6:$E$1000,"Cancelled")/MAX(1,COUNTIFS(Assignments!$B$6:$B$1000,$A358,Assignments!$E$6:$E$1000,"Completed")+COUNTIFS(Assignments!$B$6:$B$1000,$A358,Assignments!$E$6:$E$1000,"Cancelled")),""))</f>
        <v/>
      </c>
      <c r="M358" s="2" t="str">
        <f>IF($A358="","",IFERROR(AVERAGEIFS(Assignments!$P$6:$P$1000,Assignments!$B$6:$B$1000,$A358,Assignments!$E$6:$E$1000,"Completed"),""))</f>
        <v/>
      </c>
      <c r="N358" s="2"/>
      <c r="O358" s="2"/>
      <c r="P358" s="1" t="str">
        <f>IF(A358="","",MAX(0,MIN(3,SUMIFS(Strike_Log!$C:$C,Strike_Log!$B:$B,A358,Strike_Log!$A:$A,"&gt;="&amp;IF(Config!$B$1004="Y",TODAY()-Config!$B$1005,DATE(1900,1,1)),Strike_Log!$I:$I,1))))</f>
        <v/>
      </c>
      <c r="Q358" s="1">
        <f t="shared" si="3"/>
        <v>0</v>
      </c>
      <c r="R358" s="1" t="str">
        <f>IF(A358="","",IFERROR(AVERAGEIFS(Assignments!$J:$J,Assignments!$B:$B,A358,Assignments!$E:$E,"Completed"),""))</f>
        <v/>
      </c>
      <c r="S358" s="1" t="str">
        <f>IF(A358="","",COUNTIFS(Assignments!$B:$B,A358,Assignments!$AE:$AE, "Y",Assignments!$D:$D,"&gt;="&amp;TODAY()-30))</f>
        <v/>
      </c>
      <c r="T358" s="1" t="str">
        <f>IF(A358="","",COUNTIFS(Assignments!$AF:$AF,A358,Assignments!$AE:$AE, "Y",Assignments!$D:$D,"&gt;="&amp;TODAY()-30))</f>
        <v/>
      </c>
      <c r="U358" s="1" t="str">
        <f>IF(A358="","",IFERROR(S358/MAX(1,COUNTIFS(Assignments!$B:$B,A358,Assignments!$D:$D,"&gt;="&amp;TODAY()-30)),""))</f>
        <v/>
      </c>
      <c r="V358" s="1" t="str">
        <f t="shared" si="4"/>
        <v/>
      </c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 t="str">
        <f>IF($A359="","",IFERROR(AVERAGEIFS(Assignments!$N$6:$N$1000,Assignments!$B$6:$B$1000,$A359,Assignments!$E$6:$E$1000,"Completed"),""))</f>
        <v/>
      </c>
      <c r="K359" s="2" t="str">
        <f>IF(A359="","",IFERROR(AVERAGEIFS(Assignments!$AO:$AO,Assignments!$B:$B,A359,Assignments!$E:$E,"Completed"),""))</f>
        <v/>
      </c>
      <c r="L359" s="2" t="str">
        <f>IF($A359="","",IFERROR(COUNTIFS(Assignments!$B$6:$B$1000,$A359,Assignments!$E$6:$E$1000,"Cancelled")/MAX(1,COUNTIFS(Assignments!$B$6:$B$1000,$A359,Assignments!$E$6:$E$1000,"Completed")+COUNTIFS(Assignments!$B$6:$B$1000,$A359,Assignments!$E$6:$E$1000,"Cancelled")),""))</f>
        <v/>
      </c>
      <c r="M359" s="2" t="str">
        <f>IF($A359="","",IFERROR(AVERAGEIFS(Assignments!$P$6:$P$1000,Assignments!$B$6:$B$1000,$A359,Assignments!$E$6:$E$1000,"Completed"),""))</f>
        <v/>
      </c>
      <c r="N359" s="2"/>
      <c r="O359" s="2"/>
      <c r="P359" s="1" t="str">
        <f>IF(A359="","",MAX(0,MIN(3,SUMIFS(Strike_Log!$C:$C,Strike_Log!$B:$B,A359,Strike_Log!$A:$A,"&gt;="&amp;IF(Config!$B$1004="Y",TODAY()-Config!$B$1005,DATE(1900,1,1)),Strike_Log!$I:$I,1))))</f>
        <v/>
      </c>
      <c r="Q359" s="1">
        <f t="shared" si="3"/>
        <v>0</v>
      </c>
      <c r="R359" s="1" t="str">
        <f>IF(A359="","",IFERROR(AVERAGEIFS(Assignments!$J:$J,Assignments!$B:$B,A359,Assignments!$E:$E,"Completed"),""))</f>
        <v/>
      </c>
      <c r="S359" s="1" t="str">
        <f>IF(A359="","",COUNTIFS(Assignments!$B:$B,A359,Assignments!$AE:$AE, "Y",Assignments!$D:$D,"&gt;="&amp;TODAY()-30))</f>
        <v/>
      </c>
      <c r="T359" s="1" t="str">
        <f>IF(A359="","",COUNTIFS(Assignments!$AF:$AF,A359,Assignments!$AE:$AE, "Y",Assignments!$D:$D,"&gt;="&amp;TODAY()-30))</f>
        <v/>
      </c>
      <c r="U359" s="1" t="str">
        <f>IF(A359="","",IFERROR(S359/MAX(1,COUNTIFS(Assignments!$B:$B,A359,Assignments!$D:$D,"&gt;="&amp;TODAY()-30)),""))</f>
        <v/>
      </c>
      <c r="V359" s="1" t="str">
        <f t="shared" si="4"/>
        <v/>
      </c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 t="str">
        <f>IF($A360="","",IFERROR(AVERAGEIFS(Assignments!$N$6:$N$1000,Assignments!$B$6:$B$1000,$A360,Assignments!$E$6:$E$1000,"Completed"),""))</f>
        <v/>
      </c>
      <c r="K360" s="2" t="str">
        <f>IF(A360="","",IFERROR(AVERAGEIFS(Assignments!$AO:$AO,Assignments!$B:$B,A360,Assignments!$E:$E,"Completed"),""))</f>
        <v/>
      </c>
      <c r="L360" s="2" t="str">
        <f>IF($A360="","",IFERROR(COUNTIFS(Assignments!$B$6:$B$1000,$A360,Assignments!$E$6:$E$1000,"Cancelled")/MAX(1,COUNTIFS(Assignments!$B$6:$B$1000,$A360,Assignments!$E$6:$E$1000,"Completed")+COUNTIFS(Assignments!$B$6:$B$1000,$A360,Assignments!$E$6:$E$1000,"Cancelled")),""))</f>
        <v/>
      </c>
      <c r="M360" s="2" t="str">
        <f>IF($A360="","",IFERROR(AVERAGEIFS(Assignments!$P$6:$P$1000,Assignments!$B$6:$B$1000,$A360,Assignments!$E$6:$E$1000,"Completed"),""))</f>
        <v/>
      </c>
      <c r="N360" s="2"/>
      <c r="O360" s="2"/>
      <c r="P360" s="1" t="str">
        <f>IF(A360="","",MAX(0,MIN(3,SUMIFS(Strike_Log!$C:$C,Strike_Log!$B:$B,A360,Strike_Log!$A:$A,"&gt;="&amp;IF(Config!$B$1004="Y",TODAY()-Config!$B$1005,DATE(1900,1,1)),Strike_Log!$I:$I,1))))</f>
        <v/>
      </c>
      <c r="Q360" s="1">
        <f t="shared" si="3"/>
        <v>0</v>
      </c>
      <c r="R360" s="1" t="str">
        <f>IF(A360="","",IFERROR(AVERAGEIFS(Assignments!$J:$J,Assignments!$B:$B,A360,Assignments!$E:$E,"Completed"),""))</f>
        <v/>
      </c>
      <c r="S360" s="1" t="str">
        <f>IF(A360="","",COUNTIFS(Assignments!$B:$B,A360,Assignments!$AE:$AE, "Y",Assignments!$D:$D,"&gt;="&amp;TODAY()-30))</f>
        <v/>
      </c>
      <c r="T360" s="1" t="str">
        <f>IF(A360="","",COUNTIFS(Assignments!$AF:$AF,A360,Assignments!$AE:$AE, "Y",Assignments!$D:$D,"&gt;="&amp;TODAY()-30))</f>
        <v/>
      </c>
      <c r="U360" s="1" t="str">
        <f>IF(A360="","",IFERROR(S360/MAX(1,COUNTIFS(Assignments!$B:$B,A360,Assignments!$D:$D,"&gt;="&amp;TODAY()-30)),""))</f>
        <v/>
      </c>
      <c r="V360" s="1" t="str">
        <f t="shared" si="4"/>
        <v/>
      </c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 t="str">
        <f>IF($A361="","",IFERROR(AVERAGEIFS(Assignments!$N$6:$N$1000,Assignments!$B$6:$B$1000,$A361,Assignments!$E$6:$E$1000,"Completed"),""))</f>
        <v/>
      </c>
      <c r="K361" s="2" t="str">
        <f>IF(A361="","",IFERROR(AVERAGEIFS(Assignments!$AO:$AO,Assignments!$B:$B,A361,Assignments!$E:$E,"Completed"),""))</f>
        <v/>
      </c>
      <c r="L361" s="2" t="str">
        <f>IF($A361="","",IFERROR(COUNTIFS(Assignments!$B$6:$B$1000,$A361,Assignments!$E$6:$E$1000,"Cancelled")/MAX(1,COUNTIFS(Assignments!$B$6:$B$1000,$A361,Assignments!$E$6:$E$1000,"Completed")+COUNTIFS(Assignments!$B$6:$B$1000,$A361,Assignments!$E$6:$E$1000,"Cancelled")),""))</f>
        <v/>
      </c>
      <c r="M361" s="2" t="str">
        <f>IF($A361="","",IFERROR(AVERAGEIFS(Assignments!$P$6:$P$1000,Assignments!$B$6:$B$1000,$A361,Assignments!$E$6:$E$1000,"Completed"),""))</f>
        <v/>
      </c>
      <c r="N361" s="2"/>
      <c r="O361" s="2"/>
      <c r="P361" s="1" t="str">
        <f>IF(A361="","",MAX(0,MIN(3,SUMIFS(Strike_Log!$C:$C,Strike_Log!$B:$B,A361,Strike_Log!$A:$A,"&gt;="&amp;IF(Config!$B$1004="Y",TODAY()-Config!$B$1005,DATE(1900,1,1)),Strike_Log!$I:$I,1))))</f>
        <v/>
      </c>
      <c r="Q361" s="1">
        <f t="shared" si="3"/>
        <v>0</v>
      </c>
      <c r="R361" s="1" t="str">
        <f>IF(A361="","",IFERROR(AVERAGEIFS(Assignments!$J:$J,Assignments!$B:$B,A361,Assignments!$E:$E,"Completed"),""))</f>
        <v/>
      </c>
      <c r="S361" s="1" t="str">
        <f>IF(A361="","",COUNTIFS(Assignments!$B:$B,A361,Assignments!$AE:$AE, "Y",Assignments!$D:$D,"&gt;="&amp;TODAY()-30))</f>
        <v/>
      </c>
      <c r="T361" s="1" t="str">
        <f>IF(A361="","",COUNTIFS(Assignments!$AF:$AF,A361,Assignments!$AE:$AE, "Y",Assignments!$D:$D,"&gt;="&amp;TODAY()-30))</f>
        <v/>
      </c>
      <c r="U361" s="1" t="str">
        <f>IF(A361="","",IFERROR(S361/MAX(1,COUNTIFS(Assignments!$B:$B,A361,Assignments!$D:$D,"&gt;="&amp;TODAY()-30)),""))</f>
        <v/>
      </c>
      <c r="V361" s="1" t="str">
        <f t="shared" si="4"/>
        <v/>
      </c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 t="str">
        <f>IF($A362="","",IFERROR(AVERAGEIFS(Assignments!$N$6:$N$1000,Assignments!$B$6:$B$1000,$A362,Assignments!$E$6:$E$1000,"Completed"),""))</f>
        <v/>
      </c>
      <c r="K362" s="2" t="str">
        <f>IF(A362="","",IFERROR(AVERAGEIFS(Assignments!$AO:$AO,Assignments!$B:$B,A362,Assignments!$E:$E,"Completed"),""))</f>
        <v/>
      </c>
      <c r="L362" s="2" t="str">
        <f>IF($A362="","",IFERROR(COUNTIFS(Assignments!$B$6:$B$1000,$A362,Assignments!$E$6:$E$1000,"Cancelled")/MAX(1,COUNTIFS(Assignments!$B$6:$B$1000,$A362,Assignments!$E$6:$E$1000,"Completed")+COUNTIFS(Assignments!$B$6:$B$1000,$A362,Assignments!$E$6:$E$1000,"Cancelled")),""))</f>
        <v/>
      </c>
      <c r="M362" s="2" t="str">
        <f>IF($A362="","",IFERROR(AVERAGEIFS(Assignments!$P$6:$P$1000,Assignments!$B$6:$B$1000,$A362,Assignments!$E$6:$E$1000,"Completed"),""))</f>
        <v/>
      </c>
      <c r="N362" s="2"/>
      <c r="O362" s="2"/>
      <c r="P362" s="1" t="str">
        <f>IF(A362="","",MAX(0,MIN(3,SUMIFS(Strike_Log!$C:$C,Strike_Log!$B:$B,A362,Strike_Log!$A:$A,"&gt;="&amp;IF(Config!$B$1004="Y",TODAY()-Config!$B$1005,DATE(1900,1,1)),Strike_Log!$I:$I,1))))</f>
        <v/>
      </c>
      <c r="Q362" s="1">
        <f t="shared" si="3"/>
        <v>0</v>
      </c>
      <c r="R362" s="1" t="str">
        <f>IF(A362="","",IFERROR(AVERAGEIFS(Assignments!$J:$J,Assignments!$B:$B,A362,Assignments!$E:$E,"Completed"),""))</f>
        <v/>
      </c>
      <c r="S362" s="1" t="str">
        <f>IF(A362="","",COUNTIFS(Assignments!$B:$B,A362,Assignments!$AE:$AE, "Y",Assignments!$D:$D,"&gt;="&amp;TODAY()-30))</f>
        <v/>
      </c>
      <c r="T362" s="1" t="str">
        <f>IF(A362="","",COUNTIFS(Assignments!$AF:$AF,A362,Assignments!$AE:$AE, "Y",Assignments!$D:$D,"&gt;="&amp;TODAY()-30))</f>
        <v/>
      </c>
      <c r="U362" s="1" t="str">
        <f>IF(A362="","",IFERROR(S362/MAX(1,COUNTIFS(Assignments!$B:$B,A362,Assignments!$D:$D,"&gt;="&amp;TODAY()-30)),""))</f>
        <v/>
      </c>
      <c r="V362" s="1" t="str">
        <f t="shared" si="4"/>
        <v/>
      </c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 t="str">
        <f>IF($A363="","",IFERROR(AVERAGEIFS(Assignments!$N$6:$N$1000,Assignments!$B$6:$B$1000,$A363,Assignments!$E$6:$E$1000,"Completed"),""))</f>
        <v/>
      </c>
      <c r="K363" s="2" t="str">
        <f>IF(A363="","",IFERROR(AVERAGEIFS(Assignments!$AO:$AO,Assignments!$B:$B,A363,Assignments!$E:$E,"Completed"),""))</f>
        <v/>
      </c>
      <c r="L363" s="2" t="str">
        <f>IF($A363="","",IFERROR(COUNTIFS(Assignments!$B$6:$B$1000,$A363,Assignments!$E$6:$E$1000,"Cancelled")/MAX(1,COUNTIFS(Assignments!$B$6:$B$1000,$A363,Assignments!$E$6:$E$1000,"Completed")+COUNTIFS(Assignments!$B$6:$B$1000,$A363,Assignments!$E$6:$E$1000,"Cancelled")),""))</f>
        <v/>
      </c>
      <c r="M363" s="2" t="str">
        <f>IF($A363="","",IFERROR(AVERAGEIFS(Assignments!$P$6:$P$1000,Assignments!$B$6:$B$1000,$A363,Assignments!$E$6:$E$1000,"Completed"),""))</f>
        <v/>
      </c>
      <c r="N363" s="2"/>
      <c r="O363" s="2"/>
      <c r="P363" s="1" t="str">
        <f>IF(A363="","",MAX(0,MIN(3,SUMIFS(Strike_Log!$C:$C,Strike_Log!$B:$B,A363,Strike_Log!$A:$A,"&gt;="&amp;IF(Config!$B$1004="Y",TODAY()-Config!$B$1005,DATE(1900,1,1)),Strike_Log!$I:$I,1))))</f>
        <v/>
      </c>
      <c r="Q363" s="1">
        <f t="shared" si="3"/>
        <v>0</v>
      </c>
      <c r="R363" s="1" t="str">
        <f>IF(A363="","",IFERROR(AVERAGEIFS(Assignments!$J:$J,Assignments!$B:$B,A363,Assignments!$E:$E,"Completed"),""))</f>
        <v/>
      </c>
      <c r="S363" s="1" t="str">
        <f>IF(A363="","",COUNTIFS(Assignments!$B:$B,A363,Assignments!$AE:$AE, "Y",Assignments!$D:$D,"&gt;="&amp;TODAY()-30))</f>
        <v/>
      </c>
      <c r="T363" s="1" t="str">
        <f>IF(A363="","",COUNTIFS(Assignments!$AF:$AF,A363,Assignments!$AE:$AE, "Y",Assignments!$D:$D,"&gt;="&amp;TODAY()-30))</f>
        <v/>
      </c>
      <c r="U363" s="1" t="str">
        <f>IF(A363="","",IFERROR(S363/MAX(1,COUNTIFS(Assignments!$B:$B,A363,Assignments!$D:$D,"&gt;="&amp;TODAY()-30)),""))</f>
        <v/>
      </c>
      <c r="V363" s="1" t="str">
        <f t="shared" si="4"/>
        <v/>
      </c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 t="str">
        <f>IF($A364="","",IFERROR(AVERAGEIFS(Assignments!$N$6:$N$1000,Assignments!$B$6:$B$1000,$A364,Assignments!$E$6:$E$1000,"Completed"),""))</f>
        <v/>
      </c>
      <c r="K364" s="2" t="str">
        <f>IF(A364="","",IFERROR(AVERAGEIFS(Assignments!$AO:$AO,Assignments!$B:$B,A364,Assignments!$E:$E,"Completed"),""))</f>
        <v/>
      </c>
      <c r="L364" s="2" t="str">
        <f>IF($A364="","",IFERROR(COUNTIFS(Assignments!$B$6:$B$1000,$A364,Assignments!$E$6:$E$1000,"Cancelled")/MAX(1,COUNTIFS(Assignments!$B$6:$B$1000,$A364,Assignments!$E$6:$E$1000,"Completed")+COUNTIFS(Assignments!$B$6:$B$1000,$A364,Assignments!$E$6:$E$1000,"Cancelled")),""))</f>
        <v/>
      </c>
      <c r="M364" s="2" t="str">
        <f>IF($A364="","",IFERROR(AVERAGEIFS(Assignments!$P$6:$P$1000,Assignments!$B$6:$B$1000,$A364,Assignments!$E$6:$E$1000,"Completed"),""))</f>
        <v/>
      </c>
      <c r="N364" s="2"/>
      <c r="O364" s="2"/>
      <c r="P364" s="1" t="str">
        <f>IF(A364="","",MAX(0,MIN(3,SUMIFS(Strike_Log!$C:$C,Strike_Log!$B:$B,A364,Strike_Log!$A:$A,"&gt;="&amp;IF(Config!$B$1004="Y",TODAY()-Config!$B$1005,DATE(1900,1,1)),Strike_Log!$I:$I,1))))</f>
        <v/>
      </c>
      <c r="Q364" s="1">
        <f t="shared" si="3"/>
        <v>0</v>
      </c>
      <c r="R364" s="1" t="str">
        <f>IF(A364="","",IFERROR(AVERAGEIFS(Assignments!$J:$J,Assignments!$B:$B,A364,Assignments!$E:$E,"Completed"),""))</f>
        <v/>
      </c>
      <c r="S364" s="1" t="str">
        <f>IF(A364="","",COUNTIFS(Assignments!$B:$B,A364,Assignments!$AE:$AE, "Y",Assignments!$D:$D,"&gt;="&amp;TODAY()-30))</f>
        <v/>
      </c>
      <c r="T364" s="1" t="str">
        <f>IF(A364="","",COUNTIFS(Assignments!$AF:$AF,A364,Assignments!$AE:$AE, "Y",Assignments!$D:$D,"&gt;="&amp;TODAY()-30))</f>
        <v/>
      </c>
      <c r="U364" s="1" t="str">
        <f>IF(A364="","",IFERROR(S364/MAX(1,COUNTIFS(Assignments!$B:$B,A364,Assignments!$D:$D,"&gt;="&amp;TODAY()-30)),""))</f>
        <v/>
      </c>
      <c r="V364" s="1" t="str">
        <f t="shared" si="4"/>
        <v/>
      </c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 t="str">
        <f>IF($A365="","",IFERROR(AVERAGEIFS(Assignments!$N$6:$N$1000,Assignments!$B$6:$B$1000,$A365,Assignments!$E$6:$E$1000,"Completed"),""))</f>
        <v/>
      </c>
      <c r="K365" s="2" t="str">
        <f>IF(A365="","",IFERROR(AVERAGEIFS(Assignments!$AO:$AO,Assignments!$B:$B,A365,Assignments!$E:$E,"Completed"),""))</f>
        <v/>
      </c>
      <c r="L365" s="2" t="str">
        <f>IF($A365="","",IFERROR(COUNTIFS(Assignments!$B$6:$B$1000,$A365,Assignments!$E$6:$E$1000,"Cancelled")/MAX(1,COUNTIFS(Assignments!$B$6:$B$1000,$A365,Assignments!$E$6:$E$1000,"Completed")+COUNTIFS(Assignments!$B$6:$B$1000,$A365,Assignments!$E$6:$E$1000,"Cancelled")),""))</f>
        <v/>
      </c>
      <c r="M365" s="2" t="str">
        <f>IF($A365="","",IFERROR(AVERAGEIFS(Assignments!$P$6:$P$1000,Assignments!$B$6:$B$1000,$A365,Assignments!$E$6:$E$1000,"Completed"),""))</f>
        <v/>
      </c>
      <c r="N365" s="2"/>
      <c r="O365" s="2"/>
      <c r="P365" s="1" t="str">
        <f>IF(A365="","",MAX(0,MIN(3,SUMIFS(Strike_Log!$C:$C,Strike_Log!$B:$B,A365,Strike_Log!$A:$A,"&gt;="&amp;IF(Config!$B$1004="Y",TODAY()-Config!$B$1005,DATE(1900,1,1)),Strike_Log!$I:$I,1))))</f>
        <v/>
      </c>
      <c r="Q365" s="1">
        <f t="shared" si="3"/>
        <v>0</v>
      </c>
      <c r="R365" s="1" t="str">
        <f>IF(A365="","",IFERROR(AVERAGEIFS(Assignments!$J:$J,Assignments!$B:$B,A365,Assignments!$E:$E,"Completed"),""))</f>
        <v/>
      </c>
      <c r="S365" s="1" t="str">
        <f>IF(A365="","",COUNTIFS(Assignments!$B:$B,A365,Assignments!$AE:$AE, "Y",Assignments!$D:$D,"&gt;="&amp;TODAY()-30))</f>
        <v/>
      </c>
      <c r="T365" s="1" t="str">
        <f>IF(A365="","",COUNTIFS(Assignments!$AF:$AF,A365,Assignments!$AE:$AE, "Y",Assignments!$D:$D,"&gt;="&amp;TODAY()-30))</f>
        <v/>
      </c>
      <c r="U365" s="1" t="str">
        <f>IF(A365="","",IFERROR(S365/MAX(1,COUNTIFS(Assignments!$B:$B,A365,Assignments!$D:$D,"&gt;="&amp;TODAY()-30)),""))</f>
        <v/>
      </c>
      <c r="V365" s="1" t="str">
        <f t="shared" si="4"/>
        <v/>
      </c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 t="str">
        <f>IF($A366="","",IFERROR(AVERAGEIFS(Assignments!$N$6:$N$1000,Assignments!$B$6:$B$1000,$A366,Assignments!$E$6:$E$1000,"Completed"),""))</f>
        <v/>
      </c>
      <c r="K366" s="2" t="str">
        <f>IF(A366="","",IFERROR(AVERAGEIFS(Assignments!$AO:$AO,Assignments!$B:$B,A366,Assignments!$E:$E,"Completed"),""))</f>
        <v/>
      </c>
      <c r="L366" s="2" t="str">
        <f>IF($A366="","",IFERROR(COUNTIFS(Assignments!$B$6:$B$1000,$A366,Assignments!$E$6:$E$1000,"Cancelled")/MAX(1,COUNTIFS(Assignments!$B$6:$B$1000,$A366,Assignments!$E$6:$E$1000,"Completed")+COUNTIFS(Assignments!$B$6:$B$1000,$A366,Assignments!$E$6:$E$1000,"Cancelled")),""))</f>
        <v/>
      </c>
      <c r="M366" s="2" t="str">
        <f>IF($A366="","",IFERROR(AVERAGEIFS(Assignments!$P$6:$P$1000,Assignments!$B$6:$B$1000,$A366,Assignments!$E$6:$E$1000,"Completed"),""))</f>
        <v/>
      </c>
      <c r="N366" s="2"/>
      <c r="O366" s="2"/>
      <c r="P366" s="1" t="str">
        <f>IF(A366="","",MAX(0,MIN(3,SUMIFS(Strike_Log!$C:$C,Strike_Log!$B:$B,A366,Strike_Log!$A:$A,"&gt;="&amp;IF(Config!$B$1004="Y",TODAY()-Config!$B$1005,DATE(1900,1,1)),Strike_Log!$I:$I,1))))</f>
        <v/>
      </c>
      <c r="Q366" s="1">
        <f t="shared" si="3"/>
        <v>0</v>
      </c>
      <c r="R366" s="1" t="str">
        <f>IF(A366="","",IFERROR(AVERAGEIFS(Assignments!$J:$J,Assignments!$B:$B,A366,Assignments!$E:$E,"Completed"),""))</f>
        <v/>
      </c>
      <c r="S366" s="1" t="str">
        <f>IF(A366="","",COUNTIFS(Assignments!$B:$B,A366,Assignments!$AE:$AE, "Y",Assignments!$D:$D,"&gt;="&amp;TODAY()-30))</f>
        <v/>
      </c>
      <c r="T366" s="1" t="str">
        <f>IF(A366="","",COUNTIFS(Assignments!$AF:$AF,A366,Assignments!$AE:$AE, "Y",Assignments!$D:$D,"&gt;="&amp;TODAY()-30))</f>
        <v/>
      </c>
      <c r="U366" s="1" t="str">
        <f>IF(A366="","",IFERROR(S366/MAX(1,COUNTIFS(Assignments!$B:$B,A366,Assignments!$D:$D,"&gt;="&amp;TODAY()-30)),""))</f>
        <v/>
      </c>
      <c r="V366" s="1" t="str">
        <f t="shared" si="4"/>
        <v/>
      </c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 t="str">
        <f>IF($A367="","",IFERROR(AVERAGEIFS(Assignments!$N$6:$N$1000,Assignments!$B$6:$B$1000,$A367,Assignments!$E$6:$E$1000,"Completed"),""))</f>
        <v/>
      </c>
      <c r="K367" s="2" t="str">
        <f>IF(A367="","",IFERROR(AVERAGEIFS(Assignments!$AO:$AO,Assignments!$B:$B,A367,Assignments!$E:$E,"Completed"),""))</f>
        <v/>
      </c>
      <c r="L367" s="2" t="str">
        <f>IF($A367="","",IFERROR(COUNTIFS(Assignments!$B$6:$B$1000,$A367,Assignments!$E$6:$E$1000,"Cancelled")/MAX(1,COUNTIFS(Assignments!$B$6:$B$1000,$A367,Assignments!$E$6:$E$1000,"Completed")+COUNTIFS(Assignments!$B$6:$B$1000,$A367,Assignments!$E$6:$E$1000,"Cancelled")),""))</f>
        <v/>
      </c>
      <c r="M367" s="2" t="str">
        <f>IF($A367="","",IFERROR(AVERAGEIFS(Assignments!$P$6:$P$1000,Assignments!$B$6:$B$1000,$A367,Assignments!$E$6:$E$1000,"Completed"),""))</f>
        <v/>
      </c>
      <c r="N367" s="2"/>
      <c r="O367" s="2"/>
      <c r="P367" s="1" t="str">
        <f>IF(A367="","",MAX(0,MIN(3,SUMIFS(Strike_Log!$C:$C,Strike_Log!$B:$B,A367,Strike_Log!$A:$A,"&gt;="&amp;IF(Config!$B$1004="Y",TODAY()-Config!$B$1005,DATE(1900,1,1)),Strike_Log!$I:$I,1))))</f>
        <v/>
      </c>
      <c r="Q367" s="1">
        <f t="shared" si="3"/>
        <v>0</v>
      </c>
      <c r="R367" s="1" t="str">
        <f>IF(A367="","",IFERROR(AVERAGEIFS(Assignments!$J:$J,Assignments!$B:$B,A367,Assignments!$E:$E,"Completed"),""))</f>
        <v/>
      </c>
      <c r="S367" s="1" t="str">
        <f>IF(A367="","",COUNTIFS(Assignments!$B:$B,A367,Assignments!$AE:$AE, "Y",Assignments!$D:$D,"&gt;="&amp;TODAY()-30))</f>
        <v/>
      </c>
      <c r="T367" s="1" t="str">
        <f>IF(A367="","",COUNTIFS(Assignments!$AF:$AF,A367,Assignments!$AE:$AE, "Y",Assignments!$D:$D,"&gt;="&amp;TODAY()-30))</f>
        <v/>
      </c>
      <c r="U367" s="1" t="str">
        <f>IF(A367="","",IFERROR(S367/MAX(1,COUNTIFS(Assignments!$B:$B,A367,Assignments!$D:$D,"&gt;="&amp;TODAY()-30)),""))</f>
        <v/>
      </c>
      <c r="V367" s="1" t="str">
        <f t="shared" si="4"/>
        <v/>
      </c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 t="str">
        <f>IF($A368="","",IFERROR(AVERAGEIFS(Assignments!$N$6:$N$1000,Assignments!$B$6:$B$1000,$A368,Assignments!$E$6:$E$1000,"Completed"),""))</f>
        <v/>
      </c>
      <c r="K368" s="2" t="str">
        <f>IF(A368="","",IFERROR(AVERAGEIFS(Assignments!$AO:$AO,Assignments!$B:$B,A368,Assignments!$E:$E,"Completed"),""))</f>
        <v/>
      </c>
      <c r="L368" s="2" t="str">
        <f>IF($A368="","",IFERROR(COUNTIFS(Assignments!$B$6:$B$1000,$A368,Assignments!$E$6:$E$1000,"Cancelled")/MAX(1,COUNTIFS(Assignments!$B$6:$B$1000,$A368,Assignments!$E$6:$E$1000,"Completed")+COUNTIFS(Assignments!$B$6:$B$1000,$A368,Assignments!$E$6:$E$1000,"Cancelled")),""))</f>
        <v/>
      </c>
      <c r="M368" s="2" t="str">
        <f>IF($A368="","",IFERROR(AVERAGEIFS(Assignments!$P$6:$P$1000,Assignments!$B$6:$B$1000,$A368,Assignments!$E$6:$E$1000,"Completed"),""))</f>
        <v/>
      </c>
      <c r="N368" s="2"/>
      <c r="O368" s="2"/>
      <c r="P368" s="1" t="str">
        <f>IF(A368="","",MAX(0,MIN(3,SUMIFS(Strike_Log!$C:$C,Strike_Log!$B:$B,A368,Strike_Log!$A:$A,"&gt;="&amp;IF(Config!$B$1004="Y",TODAY()-Config!$B$1005,DATE(1900,1,1)),Strike_Log!$I:$I,1))))</f>
        <v/>
      </c>
      <c r="Q368" s="1">
        <f t="shared" si="3"/>
        <v>0</v>
      </c>
      <c r="R368" s="1" t="str">
        <f>IF(A368="","",IFERROR(AVERAGEIFS(Assignments!$J:$J,Assignments!$B:$B,A368,Assignments!$E:$E,"Completed"),""))</f>
        <v/>
      </c>
      <c r="S368" s="1" t="str">
        <f>IF(A368="","",COUNTIFS(Assignments!$B:$B,A368,Assignments!$AE:$AE, "Y",Assignments!$D:$D,"&gt;="&amp;TODAY()-30))</f>
        <v/>
      </c>
      <c r="T368" s="1" t="str">
        <f>IF(A368="","",COUNTIFS(Assignments!$AF:$AF,A368,Assignments!$AE:$AE, "Y",Assignments!$D:$D,"&gt;="&amp;TODAY()-30))</f>
        <v/>
      </c>
      <c r="U368" s="1" t="str">
        <f>IF(A368="","",IFERROR(S368/MAX(1,COUNTIFS(Assignments!$B:$B,A368,Assignments!$D:$D,"&gt;="&amp;TODAY()-30)),""))</f>
        <v/>
      </c>
      <c r="V368" s="1" t="str">
        <f t="shared" si="4"/>
        <v/>
      </c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 t="str">
        <f>IF($A369="","",IFERROR(AVERAGEIFS(Assignments!$N$6:$N$1000,Assignments!$B$6:$B$1000,$A369,Assignments!$E$6:$E$1000,"Completed"),""))</f>
        <v/>
      </c>
      <c r="K369" s="2" t="str">
        <f>IF(A369="","",IFERROR(AVERAGEIFS(Assignments!$AO:$AO,Assignments!$B:$B,A369,Assignments!$E:$E,"Completed"),""))</f>
        <v/>
      </c>
      <c r="L369" s="2" t="str">
        <f>IF($A369="","",IFERROR(COUNTIFS(Assignments!$B$6:$B$1000,$A369,Assignments!$E$6:$E$1000,"Cancelled")/MAX(1,COUNTIFS(Assignments!$B$6:$B$1000,$A369,Assignments!$E$6:$E$1000,"Completed")+COUNTIFS(Assignments!$B$6:$B$1000,$A369,Assignments!$E$6:$E$1000,"Cancelled")),""))</f>
        <v/>
      </c>
      <c r="M369" s="2" t="str">
        <f>IF($A369="","",IFERROR(AVERAGEIFS(Assignments!$P$6:$P$1000,Assignments!$B$6:$B$1000,$A369,Assignments!$E$6:$E$1000,"Completed"),""))</f>
        <v/>
      </c>
      <c r="N369" s="2"/>
      <c r="O369" s="2"/>
      <c r="P369" s="1" t="str">
        <f>IF(A369="","",MAX(0,MIN(3,SUMIFS(Strike_Log!$C:$C,Strike_Log!$B:$B,A369,Strike_Log!$A:$A,"&gt;="&amp;IF(Config!$B$1004="Y",TODAY()-Config!$B$1005,DATE(1900,1,1)),Strike_Log!$I:$I,1))))</f>
        <v/>
      </c>
      <c r="Q369" s="1">
        <f t="shared" si="3"/>
        <v>0</v>
      </c>
      <c r="R369" s="1" t="str">
        <f>IF(A369="","",IFERROR(AVERAGEIFS(Assignments!$J:$J,Assignments!$B:$B,A369,Assignments!$E:$E,"Completed"),""))</f>
        <v/>
      </c>
      <c r="S369" s="1" t="str">
        <f>IF(A369="","",COUNTIFS(Assignments!$B:$B,A369,Assignments!$AE:$AE, "Y",Assignments!$D:$D,"&gt;="&amp;TODAY()-30))</f>
        <v/>
      </c>
      <c r="T369" s="1" t="str">
        <f>IF(A369="","",COUNTIFS(Assignments!$AF:$AF,A369,Assignments!$AE:$AE, "Y",Assignments!$D:$D,"&gt;="&amp;TODAY()-30))</f>
        <v/>
      </c>
      <c r="U369" s="1" t="str">
        <f>IF(A369="","",IFERROR(S369/MAX(1,COUNTIFS(Assignments!$B:$B,A369,Assignments!$D:$D,"&gt;="&amp;TODAY()-30)),""))</f>
        <v/>
      </c>
      <c r="V369" s="1" t="str">
        <f t="shared" si="4"/>
        <v/>
      </c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 t="str">
        <f>IF($A370="","",IFERROR(AVERAGEIFS(Assignments!$N$6:$N$1000,Assignments!$B$6:$B$1000,$A370,Assignments!$E$6:$E$1000,"Completed"),""))</f>
        <v/>
      </c>
      <c r="K370" s="2" t="str">
        <f>IF(A370="","",IFERROR(AVERAGEIFS(Assignments!$AO:$AO,Assignments!$B:$B,A370,Assignments!$E:$E,"Completed"),""))</f>
        <v/>
      </c>
      <c r="L370" s="2" t="str">
        <f>IF($A370="","",IFERROR(COUNTIFS(Assignments!$B$6:$B$1000,$A370,Assignments!$E$6:$E$1000,"Cancelled")/MAX(1,COUNTIFS(Assignments!$B$6:$B$1000,$A370,Assignments!$E$6:$E$1000,"Completed")+COUNTIFS(Assignments!$B$6:$B$1000,$A370,Assignments!$E$6:$E$1000,"Cancelled")),""))</f>
        <v/>
      </c>
      <c r="M370" s="2" t="str">
        <f>IF($A370="","",IFERROR(AVERAGEIFS(Assignments!$P$6:$P$1000,Assignments!$B$6:$B$1000,$A370,Assignments!$E$6:$E$1000,"Completed"),""))</f>
        <v/>
      </c>
      <c r="N370" s="2"/>
      <c r="O370" s="2"/>
      <c r="P370" s="1" t="str">
        <f>IF(A370="","",MAX(0,MIN(3,SUMIFS(Strike_Log!$C:$C,Strike_Log!$B:$B,A370,Strike_Log!$A:$A,"&gt;="&amp;IF(Config!$B$1004="Y",TODAY()-Config!$B$1005,DATE(1900,1,1)),Strike_Log!$I:$I,1))))</f>
        <v/>
      </c>
      <c r="Q370" s="1">
        <f t="shared" si="3"/>
        <v>0</v>
      </c>
      <c r="R370" s="1" t="str">
        <f>IF(A370="","",IFERROR(AVERAGEIFS(Assignments!$J:$J,Assignments!$B:$B,A370,Assignments!$E:$E,"Completed"),""))</f>
        <v/>
      </c>
      <c r="S370" s="1" t="str">
        <f>IF(A370="","",COUNTIFS(Assignments!$B:$B,A370,Assignments!$AE:$AE, "Y",Assignments!$D:$D,"&gt;="&amp;TODAY()-30))</f>
        <v/>
      </c>
      <c r="T370" s="1" t="str">
        <f>IF(A370="","",COUNTIFS(Assignments!$AF:$AF,A370,Assignments!$AE:$AE, "Y",Assignments!$D:$D,"&gt;="&amp;TODAY()-30))</f>
        <v/>
      </c>
      <c r="U370" s="1" t="str">
        <f>IF(A370="","",IFERROR(S370/MAX(1,COUNTIFS(Assignments!$B:$B,A370,Assignments!$D:$D,"&gt;="&amp;TODAY()-30)),""))</f>
        <v/>
      </c>
      <c r="V370" s="1" t="str">
        <f t="shared" si="4"/>
        <v/>
      </c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 t="str">
        <f>IF($A371="","",IFERROR(AVERAGEIFS(Assignments!$N$6:$N$1000,Assignments!$B$6:$B$1000,$A371,Assignments!$E$6:$E$1000,"Completed"),""))</f>
        <v/>
      </c>
      <c r="K371" s="2" t="str">
        <f>IF(A371="","",IFERROR(AVERAGEIFS(Assignments!$AO:$AO,Assignments!$B:$B,A371,Assignments!$E:$E,"Completed"),""))</f>
        <v/>
      </c>
      <c r="L371" s="2" t="str">
        <f>IF($A371="","",IFERROR(COUNTIFS(Assignments!$B$6:$B$1000,$A371,Assignments!$E$6:$E$1000,"Cancelled")/MAX(1,COUNTIFS(Assignments!$B$6:$B$1000,$A371,Assignments!$E$6:$E$1000,"Completed")+COUNTIFS(Assignments!$B$6:$B$1000,$A371,Assignments!$E$6:$E$1000,"Cancelled")),""))</f>
        <v/>
      </c>
      <c r="M371" s="2" t="str">
        <f>IF($A371="","",IFERROR(AVERAGEIFS(Assignments!$P$6:$P$1000,Assignments!$B$6:$B$1000,$A371,Assignments!$E$6:$E$1000,"Completed"),""))</f>
        <v/>
      </c>
      <c r="N371" s="2"/>
      <c r="O371" s="2"/>
      <c r="P371" s="1" t="str">
        <f>IF(A371="","",MAX(0,MIN(3,SUMIFS(Strike_Log!$C:$C,Strike_Log!$B:$B,A371,Strike_Log!$A:$A,"&gt;="&amp;IF(Config!$B$1004="Y",TODAY()-Config!$B$1005,DATE(1900,1,1)),Strike_Log!$I:$I,1))))</f>
        <v/>
      </c>
      <c r="Q371" s="1">
        <f t="shared" si="3"/>
        <v>0</v>
      </c>
      <c r="R371" s="1" t="str">
        <f>IF(A371="","",IFERROR(AVERAGEIFS(Assignments!$J:$J,Assignments!$B:$B,A371,Assignments!$E:$E,"Completed"),""))</f>
        <v/>
      </c>
      <c r="S371" s="1" t="str">
        <f>IF(A371="","",COUNTIFS(Assignments!$B:$B,A371,Assignments!$AE:$AE, "Y",Assignments!$D:$D,"&gt;="&amp;TODAY()-30))</f>
        <v/>
      </c>
      <c r="T371" s="1" t="str">
        <f>IF(A371="","",COUNTIFS(Assignments!$AF:$AF,A371,Assignments!$AE:$AE, "Y",Assignments!$D:$D,"&gt;="&amp;TODAY()-30))</f>
        <v/>
      </c>
      <c r="U371" s="1" t="str">
        <f>IF(A371="","",IFERROR(S371/MAX(1,COUNTIFS(Assignments!$B:$B,A371,Assignments!$D:$D,"&gt;="&amp;TODAY()-30)),""))</f>
        <v/>
      </c>
      <c r="V371" s="1" t="str">
        <f t="shared" si="4"/>
        <v/>
      </c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 t="str">
        <f>IF($A372="","",IFERROR(AVERAGEIFS(Assignments!$N$6:$N$1000,Assignments!$B$6:$B$1000,$A372,Assignments!$E$6:$E$1000,"Completed"),""))</f>
        <v/>
      </c>
      <c r="K372" s="2" t="str">
        <f>IF(A372="","",IFERROR(AVERAGEIFS(Assignments!$AO:$AO,Assignments!$B:$B,A372,Assignments!$E:$E,"Completed"),""))</f>
        <v/>
      </c>
      <c r="L372" s="2" t="str">
        <f>IF($A372="","",IFERROR(COUNTIFS(Assignments!$B$6:$B$1000,$A372,Assignments!$E$6:$E$1000,"Cancelled")/MAX(1,COUNTIFS(Assignments!$B$6:$B$1000,$A372,Assignments!$E$6:$E$1000,"Completed")+COUNTIFS(Assignments!$B$6:$B$1000,$A372,Assignments!$E$6:$E$1000,"Cancelled")),""))</f>
        <v/>
      </c>
      <c r="M372" s="2" t="str">
        <f>IF($A372="","",IFERROR(AVERAGEIFS(Assignments!$P$6:$P$1000,Assignments!$B$6:$B$1000,$A372,Assignments!$E$6:$E$1000,"Completed"),""))</f>
        <v/>
      </c>
      <c r="N372" s="2"/>
      <c r="O372" s="2"/>
      <c r="P372" s="1" t="str">
        <f>IF(A372="","",MAX(0,MIN(3,SUMIFS(Strike_Log!$C:$C,Strike_Log!$B:$B,A372,Strike_Log!$A:$A,"&gt;="&amp;IF(Config!$B$1004="Y",TODAY()-Config!$B$1005,DATE(1900,1,1)),Strike_Log!$I:$I,1))))</f>
        <v/>
      </c>
      <c r="Q372" s="1">
        <f t="shared" si="3"/>
        <v>0</v>
      </c>
      <c r="R372" s="1" t="str">
        <f>IF(A372="","",IFERROR(AVERAGEIFS(Assignments!$J:$J,Assignments!$B:$B,A372,Assignments!$E:$E,"Completed"),""))</f>
        <v/>
      </c>
      <c r="S372" s="1" t="str">
        <f>IF(A372="","",COUNTIFS(Assignments!$B:$B,A372,Assignments!$AE:$AE, "Y",Assignments!$D:$D,"&gt;="&amp;TODAY()-30))</f>
        <v/>
      </c>
      <c r="T372" s="1" t="str">
        <f>IF(A372="","",COUNTIFS(Assignments!$AF:$AF,A372,Assignments!$AE:$AE, "Y",Assignments!$D:$D,"&gt;="&amp;TODAY()-30))</f>
        <v/>
      </c>
      <c r="U372" s="1" t="str">
        <f>IF(A372="","",IFERROR(S372/MAX(1,COUNTIFS(Assignments!$B:$B,A372,Assignments!$D:$D,"&gt;="&amp;TODAY()-30)),""))</f>
        <v/>
      </c>
      <c r="V372" s="1" t="str">
        <f t="shared" si="4"/>
        <v/>
      </c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 t="str">
        <f>IF($A373="","",IFERROR(AVERAGEIFS(Assignments!$N$6:$N$1000,Assignments!$B$6:$B$1000,$A373,Assignments!$E$6:$E$1000,"Completed"),""))</f>
        <v/>
      </c>
      <c r="K373" s="2" t="str">
        <f>IF(A373="","",IFERROR(AVERAGEIFS(Assignments!$AO:$AO,Assignments!$B:$B,A373,Assignments!$E:$E,"Completed"),""))</f>
        <v/>
      </c>
      <c r="L373" s="2" t="str">
        <f>IF($A373="","",IFERROR(COUNTIFS(Assignments!$B$6:$B$1000,$A373,Assignments!$E$6:$E$1000,"Cancelled")/MAX(1,COUNTIFS(Assignments!$B$6:$B$1000,$A373,Assignments!$E$6:$E$1000,"Completed")+COUNTIFS(Assignments!$B$6:$B$1000,$A373,Assignments!$E$6:$E$1000,"Cancelled")),""))</f>
        <v/>
      </c>
      <c r="M373" s="2" t="str">
        <f>IF($A373="","",IFERROR(AVERAGEIFS(Assignments!$P$6:$P$1000,Assignments!$B$6:$B$1000,$A373,Assignments!$E$6:$E$1000,"Completed"),""))</f>
        <v/>
      </c>
      <c r="N373" s="2"/>
      <c r="O373" s="2"/>
      <c r="P373" s="1" t="str">
        <f>IF(A373="","",MAX(0,MIN(3,SUMIFS(Strike_Log!$C:$C,Strike_Log!$B:$B,A373,Strike_Log!$A:$A,"&gt;="&amp;IF(Config!$B$1004="Y",TODAY()-Config!$B$1005,DATE(1900,1,1)),Strike_Log!$I:$I,1))))</f>
        <v/>
      </c>
      <c r="Q373" s="1">
        <f t="shared" si="3"/>
        <v>0</v>
      </c>
      <c r="R373" s="1" t="str">
        <f>IF(A373="","",IFERROR(AVERAGEIFS(Assignments!$J:$J,Assignments!$B:$B,A373,Assignments!$E:$E,"Completed"),""))</f>
        <v/>
      </c>
      <c r="S373" s="1" t="str">
        <f>IF(A373="","",COUNTIFS(Assignments!$B:$B,A373,Assignments!$AE:$AE, "Y",Assignments!$D:$D,"&gt;="&amp;TODAY()-30))</f>
        <v/>
      </c>
      <c r="T373" s="1" t="str">
        <f>IF(A373="","",COUNTIFS(Assignments!$AF:$AF,A373,Assignments!$AE:$AE, "Y",Assignments!$D:$D,"&gt;="&amp;TODAY()-30))</f>
        <v/>
      </c>
      <c r="U373" s="1" t="str">
        <f>IF(A373="","",IFERROR(S373/MAX(1,COUNTIFS(Assignments!$B:$B,A373,Assignments!$D:$D,"&gt;="&amp;TODAY()-30)),""))</f>
        <v/>
      </c>
      <c r="V373" s="1" t="str">
        <f t="shared" si="4"/>
        <v/>
      </c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 t="str">
        <f>IF($A374="","",IFERROR(AVERAGEIFS(Assignments!$N$6:$N$1000,Assignments!$B$6:$B$1000,$A374,Assignments!$E$6:$E$1000,"Completed"),""))</f>
        <v/>
      </c>
      <c r="K374" s="2" t="str">
        <f>IF(A374="","",IFERROR(AVERAGEIFS(Assignments!$AO:$AO,Assignments!$B:$B,A374,Assignments!$E:$E,"Completed"),""))</f>
        <v/>
      </c>
      <c r="L374" s="2" t="str">
        <f>IF($A374="","",IFERROR(COUNTIFS(Assignments!$B$6:$B$1000,$A374,Assignments!$E$6:$E$1000,"Cancelled")/MAX(1,COUNTIFS(Assignments!$B$6:$B$1000,$A374,Assignments!$E$6:$E$1000,"Completed")+COUNTIFS(Assignments!$B$6:$B$1000,$A374,Assignments!$E$6:$E$1000,"Cancelled")),""))</f>
        <v/>
      </c>
      <c r="M374" s="2" t="str">
        <f>IF($A374="","",IFERROR(AVERAGEIFS(Assignments!$P$6:$P$1000,Assignments!$B$6:$B$1000,$A374,Assignments!$E$6:$E$1000,"Completed"),""))</f>
        <v/>
      </c>
      <c r="N374" s="2"/>
      <c r="O374" s="2"/>
      <c r="P374" s="1" t="str">
        <f>IF(A374="","",MAX(0,MIN(3,SUMIFS(Strike_Log!$C:$C,Strike_Log!$B:$B,A374,Strike_Log!$A:$A,"&gt;="&amp;IF(Config!$B$1004="Y",TODAY()-Config!$B$1005,DATE(1900,1,1)),Strike_Log!$I:$I,1))))</f>
        <v/>
      </c>
      <c r="Q374" s="1">
        <f t="shared" si="3"/>
        <v>0</v>
      </c>
      <c r="R374" s="1" t="str">
        <f>IF(A374="","",IFERROR(AVERAGEIFS(Assignments!$J:$J,Assignments!$B:$B,A374,Assignments!$E:$E,"Completed"),""))</f>
        <v/>
      </c>
      <c r="S374" s="1" t="str">
        <f>IF(A374="","",COUNTIFS(Assignments!$B:$B,A374,Assignments!$AE:$AE, "Y",Assignments!$D:$D,"&gt;="&amp;TODAY()-30))</f>
        <v/>
      </c>
      <c r="T374" s="1" t="str">
        <f>IF(A374="","",COUNTIFS(Assignments!$AF:$AF,A374,Assignments!$AE:$AE, "Y",Assignments!$D:$D,"&gt;="&amp;TODAY()-30))</f>
        <v/>
      </c>
      <c r="U374" s="1" t="str">
        <f>IF(A374="","",IFERROR(S374/MAX(1,COUNTIFS(Assignments!$B:$B,A374,Assignments!$D:$D,"&gt;="&amp;TODAY()-30)),""))</f>
        <v/>
      </c>
      <c r="V374" s="1" t="str">
        <f t="shared" si="4"/>
        <v/>
      </c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 t="str">
        <f>IF($A375="","",IFERROR(AVERAGEIFS(Assignments!$N$6:$N$1000,Assignments!$B$6:$B$1000,$A375,Assignments!$E$6:$E$1000,"Completed"),""))</f>
        <v/>
      </c>
      <c r="K375" s="2" t="str">
        <f>IF(A375="","",IFERROR(AVERAGEIFS(Assignments!$AO:$AO,Assignments!$B:$B,A375,Assignments!$E:$E,"Completed"),""))</f>
        <v/>
      </c>
      <c r="L375" s="2" t="str">
        <f>IF($A375="","",IFERROR(COUNTIFS(Assignments!$B$6:$B$1000,$A375,Assignments!$E$6:$E$1000,"Cancelled")/MAX(1,COUNTIFS(Assignments!$B$6:$B$1000,$A375,Assignments!$E$6:$E$1000,"Completed")+COUNTIFS(Assignments!$B$6:$B$1000,$A375,Assignments!$E$6:$E$1000,"Cancelled")),""))</f>
        <v/>
      </c>
      <c r="M375" s="2" t="str">
        <f>IF($A375="","",IFERROR(AVERAGEIFS(Assignments!$P$6:$P$1000,Assignments!$B$6:$B$1000,$A375,Assignments!$E$6:$E$1000,"Completed"),""))</f>
        <v/>
      </c>
      <c r="N375" s="2"/>
      <c r="O375" s="2"/>
      <c r="P375" s="1" t="str">
        <f>IF(A375="","",MAX(0,MIN(3,SUMIFS(Strike_Log!$C:$C,Strike_Log!$B:$B,A375,Strike_Log!$A:$A,"&gt;="&amp;IF(Config!$B$1004="Y",TODAY()-Config!$B$1005,DATE(1900,1,1)),Strike_Log!$I:$I,1))))</f>
        <v/>
      </c>
      <c r="Q375" s="1">
        <f t="shared" si="3"/>
        <v>0</v>
      </c>
      <c r="R375" s="1" t="str">
        <f>IF(A375="","",IFERROR(AVERAGEIFS(Assignments!$J:$J,Assignments!$B:$B,A375,Assignments!$E:$E,"Completed"),""))</f>
        <v/>
      </c>
      <c r="S375" s="1" t="str">
        <f>IF(A375="","",COUNTIFS(Assignments!$B:$B,A375,Assignments!$AE:$AE, "Y",Assignments!$D:$D,"&gt;="&amp;TODAY()-30))</f>
        <v/>
      </c>
      <c r="T375" s="1" t="str">
        <f>IF(A375="","",COUNTIFS(Assignments!$AF:$AF,A375,Assignments!$AE:$AE, "Y",Assignments!$D:$D,"&gt;="&amp;TODAY()-30))</f>
        <v/>
      </c>
      <c r="U375" s="1" t="str">
        <f>IF(A375="","",IFERROR(S375/MAX(1,COUNTIFS(Assignments!$B:$B,A375,Assignments!$D:$D,"&gt;="&amp;TODAY()-30)),""))</f>
        <v/>
      </c>
      <c r="V375" s="1" t="str">
        <f t="shared" si="4"/>
        <v/>
      </c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 t="str">
        <f>IF($A376="","",IFERROR(AVERAGEIFS(Assignments!$N$6:$N$1000,Assignments!$B$6:$B$1000,$A376,Assignments!$E$6:$E$1000,"Completed"),""))</f>
        <v/>
      </c>
      <c r="K376" s="2" t="str">
        <f>IF(A376="","",IFERROR(AVERAGEIFS(Assignments!$AO:$AO,Assignments!$B:$B,A376,Assignments!$E:$E,"Completed"),""))</f>
        <v/>
      </c>
      <c r="L376" s="2" t="str">
        <f>IF($A376="","",IFERROR(COUNTIFS(Assignments!$B$6:$B$1000,$A376,Assignments!$E$6:$E$1000,"Cancelled")/MAX(1,COUNTIFS(Assignments!$B$6:$B$1000,$A376,Assignments!$E$6:$E$1000,"Completed")+COUNTIFS(Assignments!$B$6:$B$1000,$A376,Assignments!$E$6:$E$1000,"Cancelled")),""))</f>
        <v/>
      </c>
      <c r="M376" s="2" t="str">
        <f>IF($A376="","",IFERROR(AVERAGEIFS(Assignments!$P$6:$P$1000,Assignments!$B$6:$B$1000,$A376,Assignments!$E$6:$E$1000,"Completed"),""))</f>
        <v/>
      </c>
      <c r="N376" s="2"/>
      <c r="O376" s="2"/>
      <c r="P376" s="1" t="str">
        <f>IF(A376="","",MAX(0,MIN(3,SUMIFS(Strike_Log!$C:$C,Strike_Log!$B:$B,A376,Strike_Log!$A:$A,"&gt;="&amp;IF(Config!$B$1004="Y",TODAY()-Config!$B$1005,DATE(1900,1,1)),Strike_Log!$I:$I,1))))</f>
        <v/>
      </c>
      <c r="Q376" s="1">
        <f t="shared" si="3"/>
        <v>0</v>
      </c>
      <c r="R376" s="1" t="str">
        <f>IF(A376="","",IFERROR(AVERAGEIFS(Assignments!$J:$J,Assignments!$B:$B,A376,Assignments!$E:$E,"Completed"),""))</f>
        <v/>
      </c>
      <c r="S376" s="1" t="str">
        <f>IF(A376="","",COUNTIFS(Assignments!$B:$B,A376,Assignments!$AE:$AE, "Y",Assignments!$D:$D,"&gt;="&amp;TODAY()-30))</f>
        <v/>
      </c>
      <c r="T376" s="1" t="str">
        <f>IF(A376="","",COUNTIFS(Assignments!$AF:$AF,A376,Assignments!$AE:$AE, "Y",Assignments!$D:$D,"&gt;="&amp;TODAY()-30))</f>
        <v/>
      </c>
      <c r="U376" s="1" t="str">
        <f>IF(A376="","",IFERROR(S376/MAX(1,COUNTIFS(Assignments!$B:$B,A376,Assignments!$D:$D,"&gt;="&amp;TODAY()-30)),""))</f>
        <v/>
      </c>
      <c r="V376" s="1" t="str">
        <f t="shared" si="4"/>
        <v/>
      </c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 t="str">
        <f>IF($A377="","",IFERROR(AVERAGEIFS(Assignments!$N$6:$N$1000,Assignments!$B$6:$B$1000,$A377,Assignments!$E$6:$E$1000,"Completed"),""))</f>
        <v/>
      </c>
      <c r="K377" s="2" t="str">
        <f>IF(A377="","",IFERROR(AVERAGEIFS(Assignments!$AO:$AO,Assignments!$B:$B,A377,Assignments!$E:$E,"Completed"),""))</f>
        <v/>
      </c>
      <c r="L377" s="2" t="str">
        <f>IF($A377="","",IFERROR(COUNTIFS(Assignments!$B$6:$B$1000,$A377,Assignments!$E$6:$E$1000,"Cancelled")/MAX(1,COUNTIFS(Assignments!$B$6:$B$1000,$A377,Assignments!$E$6:$E$1000,"Completed")+COUNTIFS(Assignments!$B$6:$B$1000,$A377,Assignments!$E$6:$E$1000,"Cancelled")),""))</f>
        <v/>
      </c>
      <c r="M377" s="2" t="str">
        <f>IF($A377="","",IFERROR(AVERAGEIFS(Assignments!$P$6:$P$1000,Assignments!$B$6:$B$1000,$A377,Assignments!$E$6:$E$1000,"Completed"),""))</f>
        <v/>
      </c>
      <c r="N377" s="2"/>
      <c r="O377" s="2"/>
      <c r="P377" s="1" t="str">
        <f>IF(A377="","",MAX(0,MIN(3,SUMIFS(Strike_Log!$C:$C,Strike_Log!$B:$B,A377,Strike_Log!$A:$A,"&gt;="&amp;IF(Config!$B$1004="Y",TODAY()-Config!$B$1005,DATE(1900,1,1)),Strike_Log!$I:$I,1))))</f>
        <v/>
      </c>
      <c r="Q377" s="1">
        <f t="shared" si="3"/>
        <v>0</v>
      </c>
      <c r="R377" s="1" t="str">
        <f>IF(A377="","",IFERROR(AVERAGEIFS(Assignments!$J:$J,Assignments!$B:$B,A377,Assignments!$E:$E,"Completed"),""))</f>
        <v/>
      </c>
      <c r="S377" s="1" t="str">
        <f>IF(A377="","",COUNTIFS(Assignments!$B:$B,A377,Assignments!$AE:$AE, "Y",Assignments!$D:$D,"&gt;="&amp;TODAY()-30))</f>
        <v/>
      </c>
      <c r="T377" s="1" t="str">
        <f>IF(A377="","",COUNTIFS(Assignments!$AF:$AF,A377,Assignments!$AE:$AE, "Y",Assignments!$D:$D,"&gt;="&amp;TODAY()-30))</f>
        <v/>
      </c>
      <c r="U377" s="1" t="str">
        <f>IF(A377="","",IFERROR(S377/MAX(1,COUNTIFS(Assignments!$B:$B,A377,Assignments!$D:$D,"&gt;="&amp;TODAY()-30)),""))</f>
        <v/>
      </c>
      <c r="V377" s="1" t="str">
        <f t="shared" si="4"/>
        <v/>
      </c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 t="str">
        <f>IF($A378="","",IFERROR(AVERAGEIFS(Assignments!$N$6:$N$1000,Assignments!$B$6:$B$1000,$A378,Assignments!$E$6:$E$1000,"Completed"),""))</f>
        <v/>
      </c>
      <c r="K378" s="2" t="str">
        <f>IF(A378="","",IFERROR(AVERAGEIFS(Assignments!$AO:$AO,Assignments!$B:$B,A378,Assignments!$E:$E,"Completed"),""))</f>
        <v/>
      </c>
      <c r="L378" s="2" t="str">
        <f>IF($A378="","",IFERROR(COUNTIFS(Assignments!$B$6:$B$1000,$A378,Assignments!$E$6:$E$1000,"Cancelled")/MAX(1,COUNTIFS(Assignments!$B$6:$B$1000,$A378,Assignments!$E$6:$E$1000,"Completed")+COUNTIFS(Assignments!$B$6:$B$1000,$A378,Assignments!$E$6:$E$1000,"Cancelled")),""))</f>
        <v/>
      </c>
      <c r="M378" s="2" t="str">
        <f>IF($A378="","",IFERROR(AVERAGEIFS(Assignments!$P$6:$P$1000,Assignments!$B$6:$B$1000,$A378,Assignments!$E$6:$E$1000,"Completed"),""))</f>
        <v/>
      </c>
      <c r="N378" s="2"/>
      <c r="O378" s="2"/>
      <c r="P378" s="1" t="str">
        <f>IF(A378="","",MAX(0,MIN(3,SUMIFS(Strike_Log!$C:$C,Strike_Log!$B:$B,A378,Strike_Log!$A:$A,"&gt;="&amp;IF(Config!$B$1004="Y",TODAY()-Config!$B$1005,DATE(1900,1,1)),Strike_Log!$I:$I,1))))</f>
        <v/>
      </c>
      <c r="Q378" s="1">
        <f t="shared" si="3"/>
        <v>0</v>
      </c>
      <c r="R378" s="1" t="str">
        <f>IF(A378="","",IFERROR(AVERAGEIFS(Assignments!$J:$J,Assignments!$B:$B,A378,Assignments!$E:$E,"Completed"),""))</f>
        <v/>
      </c>
      <c r="S378" s="1" t="str">
        <f>IF(A378="","",COUNTIFS(Assignments!$B:$B,A378,Assignments!$AE:$AE, "Y",Assignments!$D:$D,"&gt;="&amp;TODAY()-30))</f>
        <v/>
      </c>
      <c r="T378" s="1" t="str">
        <f>IF(A378="","",COUNTIFS(Assignments!$AF:$AF,A378,Assignments!$AE:$AE, "Y",Assignments!$D:$D,"&gt;="&amp;TODAY()-30))</f>
        <v/>
      </c>
      <c r="U378" s="1" t="str">
        <f>IF(A378="","",IFERROR(S378/MAX(1,COUNTIFS(Assignments!$B:$B,A378,Assignments!$D:$D,"&gt;="&amp;TODAY()-30)),""))</f>
        <v/>
      </c>
      <c r="V378" s="1" t="str">
        <f t="shared" si="4"/>
        <v/>
      </c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 t="str">
        <f>IF($A379="","",IFERROR(AVERAGEIFS(Assignments!$N$6:$N$1000,Assignments!$B$6:$B$1000,$A379,Assignments!$E$6:$E$1000,"Completed"),""))</f>
        <v/>
      </c>
      <c r="K379" s="2" t="str">
        <f>IF(A379="","",IFERROR(AVERAGEIFS(Assignments!$AO:$AO,Assignments!$B:$B,A379,Assignments!$E:$E,"Completed"),""))</f>
        <v/>
      </c>
      <c r="L379" s="2" t="str">
        <f>IF($A379="","",IFERROR(COUNTIFS(Assignments!$B$6:$B$1000,$A379,Assignments!$E$6:$E$1000,"Cancelled")/MAX(1,COUNTIFS(Assignments!$B$6:$B$1000,$A379,Assignments!$E$6:$E$1000,"Completed")+COUNTIFS(Assignments!$B$6:$B$1000,$A379,Assignments!$E$6:$E$1000,"Cancelled")),""))</f>
        <v/>
      </c>
      <c r="M379" s="2" t="str">
        <f>IF($A379="","",IFERROR(AVERAGEIFS(Assignments!$P$6:$P$1000,Assignments!$B$6:$B$1000,$A379,Assignments!$E$6:$E$1000,"Completed"),""))</f>
        <v/>
      </c>
      <c r="N379" s="2"/>
      <c r="O379" s="2"/>
      <c r="P379" s="1" t="str">
        <f>IF(A379="","",MAX(0,MIN(3,SUMIFS(Strike_Log!$C:$C,Strike_Log!$B:$B,A379,Strike_Log!$A:$A,"&gt;="&amp;IF(Config!$B$1004="Y",TODAY()-Config!$B$1005,DATE(1900,1,1)),Strike_Log!$I:$I,1))))</f>
        <v/>
      </c>
      <c r="Q379" s="1">
        <f t="shared" si="3"/>
        <v>0</v>
      </c>
      <c r="R379" s="1" t="str">
        <f>IF(A379="","",IFERROR(AVERAGEIFS(Assignments!$J:$J,Assignments!$B:$B,A379,Assignments!$E:$E,"Completed"),""))</f>
        <v/>
      </c>
      <c r="S379" s="1" t="str">
        <f>IF(A379="","",COUNTIFS(Assignments!$B:$B,A379,Assignments!$AE:$AE, "Y",Assignments!$D:$D,"&gt;="&amp;TODAY()-30))</f>
        <v/>
      </c>
      <c r="T379" s="1" t="str">
        <f>IF(A379="","",COUNTIFS(Assignments!$AF:$AF,A379,Assignments!$AE:$AE, "Y",Assignments!$D:$D,"&gt;="&amp;TODAY()-30))</f>
        <v/>
      </c>
      <c r="U379" s="1" t="str">
        <f>IF(A379="","",IFERROR(S379/MAX(1,COUNTIFS(Assignments!$B:$B,A379,Assignments!$D:$D,"&gt;="&amp;TODAY()-30)),""))</f>
        <v/>
      </c>
      <c r="V379" s="1" t="str">
        <f t="shared" si="4"/>
        <v/>
      </c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 t="str">
        <f>IF($A380="","",IFERROR(AVERAGEIFS(Assignments!$N$6:$N$1000,Assignments!$B$6:$B$1000,$A380,Assignments!$E$6:$E$1000,"Completed"),""))</f>
        <v/>
      </c>
      <c r="K380" s="2" t="str">
        <f>IF(A380="","",IFERROR(AVERAGEIFS(Assignments!$AO:$AO,Assignments!$B:$B,A380,Assignments!$E:$E,"Completed"),""))</f>
        <v/>
      </c>
      <c r="L380" s="2" t="str">
        <f>IF($A380="","",IFERROR(COUNTIFS(Assignments!$B$6:$B$1000,$A380,Assignments!$E$6:$E$1000,"Cancelled")/MAX(1,COUNTIFS(Assignments!$B$6:$B$1000,$A380,Assignments!$E$6:$E$1000,"Completed")+COUNTIFS(Assignments!$B$6:$B$1000,$A380,Assignments!$E$6:$E$1000,"Cancelled")),""))</f>
        <v/>
      </c>
      <c r="M380" s="2" t="str">
        <f>IF($A380="","",IFERROR(AVERAGEIFS(Assignments!$P$6:$P$1000,Assignments!$B$6:$B$1000,$A380,Assignments!$E$6:$E$1000,"Completed"),""))</f>
        <v/>
      </c>
      <c r="N380" s="2"/>
      <c r="O380" s="2"/>
      <c r="P380" s="1" t="str">
        <f>IF(A380="","",MAX(0,MIN(3,SUMIFS(Strike_Log!$C:$C,Strike_Log!$B:$B,A380,Strike_Log!$A:$A,"&gt;="&amp;IF(Config!$B$1004="Y",TODAY()-Config!$B$1005,DATE(1900,1,1)),Strike_Log!$I:$I,1))))</f>
        <v/>
      </c>
      <c r="Q380" s="1">
        <f t="shared" si="3"/>
        <v>0</v>
      </c>
      <c r="R380" s="1" t="str">
        <f>IF(A380="","",IFERROR(AVERAGEIFS(Assignments!$J:$J,Assignments!$B:$B,A380,Assignments!$E:$E,"Completed"),""))</f>
        <v/>
      </c>
      <c r="S380" s="1" t="str">
        <f>IF(A380="","",COUNTIFS(Assignments!$B:$B,A380,Assignments!$AE:$AE, "Y",Assignments!$D:$D,"&gt;="&amp;TODAY()-30))</f>
        <v/>
      </c>
      <c r="T380" s="1" t="str">
        <f>IF(A380="","",COUNTIFS(Assignments!$AF:$AF,A380,Assignments!$AE:$AE, "Y",Assignments!$D:$D,"&gt;="&amp;TODAY()-30))</f>
        <v/>
      </c>
      <c r="U380" s="1" t="str">
        <f>IF(A380="","",IFERROR(S380/MAX(1,COUNTIFS(Assignments!$B:$B,A380,Assignments!$D:$D,"&gt;="&amp;TODAY()-30)),""))</f>
        <v/>
      </c>
      <c r="V380" s="1" t="str">
        <f t="shared" si="4"/>
        <v/>
      </c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 t="str">
        <f>IF($A381="","",IFERROR(AVERAGEIFS(Assignments!$N$6:$N$1000,Assignments!$B$6:$B$1000,$A381,Assignments!$E$6:$E$1000,"Completed"),""))</f>
        <v/>
      </c>
      <c r="K381" s="2" t="str">
        <f>IF(A381="","",IFERROR(AVERAGEIFS(Assignments!$AO:$AO,Assignments!$B:$B,A381,Assignments!$E:$E,"Completed"),""))</f>
        <v/>
      </c>
      <c r="L381" s="2" t="str">
        <f>IF($A381="","",IFERROR(COUNTIFS(Assignments!$B$6:$B$1000,$A381,Assignments!$E$6:$E$1000,"Cancelled")/MAX(1,COUNTIFS(Assignments!$B$6:$B$1000,$A381,Assignments!$E$6:$E$1000,"Completed")+COUNTIFS(Assignments!$B$6:$B$1000,$A381,Assignments!$E$6:$E$1000,"Cancelled")),""))</f>
        <v/>
      </c>
      <c r="M381" s="2" t="str">
        <f>IF($A381="","",IFERROR(AVERAGEIFS(Assignments!$P$6:$P$1000,Assignments!$B$6:$B$1000,$A381,Assignments!$E$6:$E$1000,"Completed"),""))</f>
        <v/>
      </c>
      <c r="N381" s="2"/>
      <c r="O381" s="2"/>
      <c r="P381" s="1" t="str">
        <f>IF(A381="","",MAX(0,MIN(3,SUMIFS(Strike_Log!$C:$C,Strike_Log!$B:$B,A381,Strike_Log!$A:$A,"&gt;="&amp;IF(Config!$B$1004="Y",TODAY()-Config!$B$1005,DATE(1900,1,1)),Strike_Log!$I:$I,1))))</f>
        <v/>
      </c>
      <c r="Q381" s="1">
        <f t="shared" si="3"/>
        <v>0</v>
      </c>
      <c r="R381" s="1" t="str">
        <f>IF(A381="","",IFERROR(AVERAGEIFS(Assignments!$J:$J,Assignments!$B:$B,A381,Assignments!$E:$E,"Completed"),""))</f>
        <v/>
      </c>
      <c r="S381" s="1" t="str">
        <f>IF(A381="","",COUNTIFS(Assignments!$B:$B,A381,Assignments!$AE:$AE, "Y",Assignments!$D:$D,"&gt;="&amp;TODAY()-30))</f>
        <v/>
      </c>
      <c r="T381" s="1" t="str">
        <f>IF(A381="","",COUNTIFS(Assignments!$AF:$AF,A381,Assignments!$AE:$AE, "Y",Assignments!$D:$D,"&gt;="&amp;TODAY()-30))</f>
        <v/>
      </c>
      <c r="U381" s="1" t="str">
        <f>IF(A381="","",IFERROR(S381/MAX(1,COUNTIFS(Assignments!$B:$B,A381,Assignments!$D:$D,"&gt;="&amp;TODAY()-30)),""))</f>
        <v/>
      </c>
      <c r="V381" s="1" t="str">
        <f t="shared" si="4"/>
        <v/>
      </c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 t="str">
        <f>IF($A382="","",IFERROR(AVERAGEIFS(Assignments!$N$6:$N$1000,Assignments!$B$6:$B$1000,$A382,Assignments!$E$6:$E$1000,"Completed"),""))</f>
        <v/>
      </c>
      <c r="K382" s="2" t="str">
        <f>IF(A382="","",IFERROR(AVERAGEIFS(Assignments!$AO:$AO,Assignments!$B:$B,A382,Assignments!$E:$E,"Completed"),""))</f>
        <v/>
      </c>
      <c r="L382" s="2" t="str">
        <f>IF($A382="","",IFERROR(COUNTIFS(Assignments!$B$6:$B$1000,$A382,Assignments!$E$6:$E$1000,"Cancelled")/MAX(1,COUNTIFS(Assignments!$B$6:$B$1000,$A382,Assignments!$E$6:$E$1000,"Completed")+COUNTIFS(Assignments!$B$6:$B$1000,$A382,Assignments!$E$6:$E$1000,"Cancelled")),""))</f>
        <v/>
      </c>
      <c r="M382" s="2" t="str">
        <f>IF($A382="","",IFERROR(AVERAGEIFS(Assignments!$P$6:$P$1000,Assignments!$B$6:$B$1000,$A382,Assignments!$E$6:$E$1000,"Completed"),""))</f>
        <v/>
      </c>
      <c r="N382" s="2"/>
      <c r="O382" s="2"/>
      <c r="P382" s="1" t="str">
        <f>IF(A382="","",MAX(0,MIN(3,SUMIFS(Strike_Log!$C:$C,Strike_Log!$B:$B,A382,Strike_Log!$A:$A,"&gt;="&amp;IF(Config!$B$1004="Y",TODAY()-Config!$B$1005,DATE(1900,1,1)),Strike_Log!$I:$I,1))))</f>
        <v/>
      </c>
      <c r="Q382" s="1">
        <f t="shared" si="3"/>
        <v>0</v>
      </c>
      <c r="R382" s="1" t="str">
        <f>IF(A382="","",IFERROR(AVERAGEIFS(Assignments!$J:$J,Assignments!$B:$B,A382,Assignments!$E:$E,"Completed"),""))</f>
        <v/>
      </c>
      <c r="S382" s="1" t="str">
        <f>IF(A382="","",COUNTIFS(Assignments!$B:$B,A382,Assignments!$AE:$AE, "Y",Assignments!$D:$D,"&gt;="&amp;TODAY()-30))</f>
        <v/>
      </c>
      <c r="T382" s="1" t="str">
        <f>IF(A382="","",COUNTIFS(Assignments!$AF:$AF,A382,Assignments!$AE:$AE, "Y",Assignments!$D:$D,"&gt;="&amp;TODAY()-30))</f>
        <v/>
      </c>
      <c r="U382" s="1" t="str">
        <f>IF(A382="","",IFERROR(S382/MAX(1,COUNTIFS(Assignments!$B:$B,A382,Assignments!$D:$D,"&gt;="&amp;TODAY()-30)),""))</f>
        <v/>
      </c>
      <c r="V382" s="1" t="str">
        <f t="shared" si="4"/>
        <v/>
      </c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 t="str">
        <f>IF($A383="","",IFERROR(AVERAGEIFS(Assignments!$N$6:$N$1000,Assignments!$B$6:$B$1000,$A383,Assignments!$E$6:$E$1000,"Completed"),""))</f>
        <v/>
      </c>
      <c r="K383" s="2" t="str">
        <f>IF(A383="","",IFERROR(AVERAGEIFS(Assignments!$AO:$AO,Assignments!$B:$B,A383,Assignments!$E:$E,"Completed"),""))</f>
        <v/>
      </c>
      <c r="L383" s="2" t="str">
        <f>IF($A383="","",IFERROR(COUNTIFS(Assignments!$B$6:$B$1000,$A383,Assignments!$E$6:$E$1000,"Cancelled")/MAX(1,COUNTIFS(Assignments!$B$6:$B$1000,$A383,Assignments!$E$6:$E$1000,"Completed")+COUNTIFS(Assignments!$B$6:$B$1000,$A383,Assignments!$E$6:$E$1000,"Cancelled")),""))</f>
        <v/>
      </c>
      <c r="M383" s="2" t="str">
        <f>IF($A383="","",IFERROR(AVERAGEIFS(Assignments!$P$6:$P$1000,Assignments!$B$6:$B$1000,$A383,Assignments!$E$6:$E$1000,"Completed"),""))</f>
        <v/>
      </c>
      <c r="N383" s="2"/>
      <c r="O383" s="2"/>
      <c r="P383" s="1" t="str">
        <f>IF(A383="","",MAX(0,MIN(3,SUMIFS(Strike_Log!$C:$C,Strike_Log!$B:$B,A383,Strike_Log!$A:$A,"&gt;="&amp;IF(Config!$B$1004="Y",TODAY()-Config!$B$1005,DATE(1900,1,1)),Strike_Log!$I:$I,1))))</f>
        <v/>
      </c>
      <c r="Q383" s="1">
        <f t="shared" si="3"/>
        <v>0</v>
      </c>
      <c r="R383" s="1" t="str">
        <f>IF(A383="","",IFERROR(AVERAGEIFS(Assignments!$J:$J,Assignments!$B:$B,A383,Assignments!$E:$E,"Completed"),""))</f>
        <v/>
      </c>
      <c r="S383" s="1" t="str">
        <f>IF(A383="","",COUNTIFS(Assignments!$B:$B,A383,Assignments!$AE:$AE, "Y",Assignments!$D:$D,"&gt;="&amp;TODAY()-30))</f>
        <v/>
      </c>
      <c r="T383" s="1" t="str">
        <f>IF(A383="","",COUNTIFS(Assignments!$AF:$AF,A383,Assignments!$AE:$AE, "Y",Assignments!$D:$D,"&gt;="&amp;TODAY()-30))</f>
        <v/>
      </c>
      <c r="U383" s="1" t="str">
        <f>IF(A383="","",IFERROR(S383/MAX(1,COUNTIFS(Assignments!$B:$B,A383,Assignments!$D:$D,"&gt;="&amp;TODAY()-30)),""))</f>
        <v/>
      </c>
      <c r="V383" s="1" t="str">
        <f t="shared" si="4"/>
        <v/>
      </c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 t="str">
        <f>IF($A384="","",IFERROR(AVERAGEIFS(Assignments!$N$6:$N$1000,Assignments!$B$6:$B$1000,$A384,Assignments!$E$6:$E$1000,"Completed"),""))</f>
        <v/>
      </c>
      <c r="K384" s="2" t="str">
        <f>IF(A384="","",IFERROR(AVERAGEIFS(Assignments!$AO:$AO,Assignments!$B:$B,A384,Assignments!$E:$E,"Completed"),""))</f>
        <v/>
      </c>
      <c r="L384" s="2" t="str">
        <f>IF($A384="","",IFERROR(COUNTIFS(Assignments!$B$6:$B$1000,$A384,Assignments!$E$6:$E$1000,"Cancelled")/MAX(1,COUNTIFS(Assignments!$B$6:$B$1000,$A384,Assignments!$E$6:$E$1000,"Completed")+COUNTIFS(Assignments!$B$6:$B$1000,$A384,Assignments!$E$6:$E$1000,"Cancelled")),""))</f>
        <v/>
      </c>
      <c r="M384" s="2" t="str">
        <f>IF($A384="","",IFERROR(AVERAGEIFS(Assignments!$P$6:$P$1000,Assignments!$B$6:$B$1000,$A384,Assignments!$E$6:$E$1000,"Completed"),""))</f>
        <v/>
      </c>
      <c r="N384" s="2"/>
      <c r="O384" s="2"/>
      <c r="P384" s="1" t="str">
        <f>IF(A384="","",MAX(0,MIN(3,SUMIFS(Strike_Log!$C:$C,Strike_Log!$B:$B,A384,Strike_Log!$A:$A,"&gt;="&amp;IF(Config!$B$1004="Y",TODAY()-Config!$B$1005,DATE(1900,1,1)),Strike_Log!$I:$I,1))))</f>
        <v/>
      </c>
      <c r="Q384" s="1">
        <f t="shared" si="3"/>
        <v>0</v>
      </c>
      <c r="R384" s="1" t="str">
        <f>IF(A384="","",IFERROR(AVERAGEIFS(Assignments!$J:$J,Assignments!$B:$B,A384,Assignments!$E:$E,"Completed"),""))</f>
        <v/>
      </c>
      <c r="S384" s="1" t="str">
        <f>IF(A384="","",COUNTIFS(Assignments!$B:$B,A384,Assignments!$AE:$AE, "Y",Assignments!$D:$D,"&gt;="&amp;TODAY()-30))</f>
        <v/>
      </c>
      <c r="T384" s="1" t="str">
        <f>IF(A384="","",COUNTIFS(Assignments!$AF:$AF,A384,Assignments!$AE:$AE, "Y",Assignments!$D:$D,"&gt;="&amp;TODAY()-30))</f>
        <v/>
      </c>
      <c r="U384" s="1" t="str">
        <f>IF(A384="","",IFERROR(S384/MAX(1,COUNTIFS(Assignments!$B:$B,A384,Assignments!$D:$D,"&gt;="&amp;TODAY()-30)),""))</f>
        <v/>
      </c>
      <c r="V384" s="1" t="str">
        <f t="shared" si="4"/>
        <v/>
      </c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 t="str">
        <f>IF($A385="","",IFERROR(AVERAGEIFS(Assignments!$N$6:$N$1000,Assignments!$B$6:$B$1000,$A385,Assignments!$E$6:$E$1000,"Completed"),""))</f>
        <v/>
      </c>
      <c r="K385" s="2" t="str">
        <f>IF(A385="","",IFERROR(AVERAGEIFS(Assignments!$AO:$AO,Assignments!$B:$B,A385,Assignments!$E:$E,"Completed"),""))</f>
        <v/>
      </c>
      <c r="L385" s="2" t="str">
        <f>IF($A385="","",IFERROR(COUNTIFS(Assignments!$B$6:$B$1000,$A385,Assignments!$E$6:$E$1000,"Cancelled")/MAX(1,COUNTIFS(Assignments!$B$6:$B$1000,$A385,Assignments!$E$6:$E$1000,"Completed")+COUNTIFS(Assignments!$B$6:$B$1000,$A385,Assignments!$E$6:$E$1000,"Cancelled")),""))</f>
        <v/>
      </c>
      <c r="M385" s="2" t="str">
        <f>IF($A385="","",IFERROR(AVERAGEIFS(Assignments!$P$6:$P$1000,Assignments!$B$6:$B$1000,$A385,Assignments!$E$6:$E$1000,"Completed"),""))</f>
        <v/>
      </c>
      <c r="N385" s="2"/>
      <c r="O385" s="2"/>
      <c r="P385" s="1" t="str">
        <f>IF(A385="","",MAX(0,MIN(3,SUMIFS(Strike_Log!$C:$C,Strike_Log!$B:$B,A385,Strike_Log!$A:$A,"&gt;="&amp;IF(Config!$B$1004="Y",TODAY()-Config!$B$1005,DATE(1900,1,1)),Strike_Log!$I:$I,1))))</f>
        <v/>
      </c>
      <c r="Q385" s="1">
        <f t="shared" si="3"/>
        <v>0</v>
      </c>
      <c r="R385" s="1" t="str">
        <f>IF(A385="","",IFERROR(AVERAGEIFS(Assignments!$J:$J,Assignments!$B:$B,A385,Assignments!$E:$E,"Completed"),""))</f>
        <v/>
      </c>
      <c r="S385" s="1" t="str">
        <f>IF(A385="","",COUNTIFS(Assignments!$B:$B,A385,Assignments!$AE:$AE, "Y",Assignments!$D:$D,"&gt;="&amp;TODAY()-30))</f>
        <v/>
      </c>
      <c r="T385" s="1" t="str">
        <f>IF(A385="","",COUNTIFS(Assignments!$AF:$AF,A385,Assignments!$AE:$AE, "Y",Assignments!$D:$D,"&gt;="&amp;TODAY()-30))</f>
        <v/>
      </c>
      <c r="U385" s="1" t="str">
        <f>IF(A385="","",IFERROR(S385/MAX(1,COUNTIFS(Assignments!$B:$B,A385,Assignments!$D:$D,"&gt;="&amp;TODAY()-30)),""))</f>
        <v/>
      </c>
      <c r="V385" s="1" t="str">
        <f t="shared" si="4"/>
        <v/>
      </c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 t="str">
        <f>IF($A386="","",IFERROR(AVERAGEIFS(Assignments!$N$6:$N$1000,Assignments!$B$6:$B$1000,$A386,Assignments!$E$6:$E$1000,"Completed"),""))</f>
        <v/>
      </c>
      <c r="K386" s="2" t="str">
        <f>IF(A386="","",IFERROR(AVERAGEIFS(Assignments!$AO:$AO,Assignments!$B:$B,A386,Assignments!$E:$E,"Completed"),""))</f>
        <v/>
      </c>
      <c r="L386" s="2" t="str">
        <f>IF($A386="","",IFERROR(COUNTIFS(Assignments!$B$6:$B$1000,$A386,Assignments!$E$6:$E$1000,"Cancelled")/MAX(1,COUNTIFS(Assignments!$B$6:$B$1000,$A386,Assignments!$E$6:$E$1000,"Completed")+COUNTIFS(Assignments!$B$6:$B$1000,$A386,Assignments!$E$6:$E$1000,"Cancelled")),""))</f>
        <v/>
      </c>
      <c r="M386" s="2" t="str">
        <f>IF($A386="","",IFERROR(AVERAGEIFS(Assignments!$P$6:$P$1000,Assignments!$B$6:$B$1000,$A386,Assignments!$E$6:$E$1000,"Completed"),""))</f>
        <v/>
      </c>
      <c r="N386" s="2"/>
      <c r="O386" s="2"/>
      <c r="P386" s="1" t="str">
        <f>IF(A386="","",MAX(0,MIN(3,SUMIFS(Strike_Log!$C:$C,Strike_Log!$B:$B,A386,Strike_Log!$A:$A,"&gt;="&amp;IF(Config!$B$1004="Y",TODAY()-Config!$B$1005,DATE(1900,1,1)),Strike_Log!$I:$I,1))))</f>
        <v/>
      </c>
      <c r="Q386" s="1">
        <f t="shared" si="3"/>
        <v>0</v>
      </c>
      <c r="R386" s="1" t="str">
        <f>IF(A386="","",IFERROR(AVERAGEIFS(Assignments!$J:$J,Assignments!$B:$B,A386,Assignments!$E:$E,"Completed"),""))</f>
        <v/>
      </c>
      <c r="S386" s="1" t="str">
        <f>IF(A386="","",COUNTIFS(Assignments!$B:$B,A386,Assignments!$AE:$AE, "Y",Assignments!$D:$D,"&gt;="&amp;TODAY()-30))</f>
        <v/>
      </c>
      <c r="T386" s="1" t="str">
        <f>IF(A386="","",COUNTIFS(Assignments!$AF:$AF,A386,Assignments!$AE:$AE, "Y",Assignments!$D:$D,"&gt;="&amp;TODAY()-30))</f>
        <v/>
      </c>
      <c r="U386" s="1" t="str">
        <f>IF(A386="","",IFERROR(S386/MAX(1,COUNTIFS(Assignments!$B:$B,A386,Assignments!$D:$D,"&gt;="&amp;TODAY()-30)),""))</f>
        <v/>
      </c>
      <c r="V386" s="1" t="str">
        <f t="shared" si="4"/>
        <v/>
      </c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 t="str">
        <f>IF($A387="","",IFERROR(AVERAGEIFS(Assignments!$N$6:$N$1000,Assignments!$B$6:$B$1000,$A387,Assignments!$E$6:$E$1000,"Completed"),""))</f>
        <v/>
      </c>
      <c r="K387" s="2" t="str">
        <f>IF(A387="","",IFERROR(AVERAGEIFS(Assignments!$AO:$AO,Assignments!$B:$B,A387,Assignments!$E:$E,"Completed"),""))</f>
        <v/>
      </c>
      <c r="L387" s="2" t="str">
        <f>IF($A387="","",IFERROR(COUNTIFS(Assignments!$B$6:$B$1000,$A387,Assignments!$E$6:$E$1000,"Cancelled")/MAX(1,COUNTIFS(Assignments!$B$6:$B$1000,$A387,Assignments!$E$6:$E$1000,"Completed")+COUNTIFS(Assignments!$B$6:$B$1000,$A387,Assignments!$E$6:$E$1000,"Cancelled")),""))</f>
        <v/>
      </c>
      <c r="M387" s="2" t="str">
        <f>IF($A387="","",IFERROR(AVERAGEIFS(Assignments!$P$6:$P$1000,Assignments!$B$6:$B$1000,$A387,Assignments!$E$6:$E$1000,"Completed"),""))</f>
        <v/>
      </c>
      <c r="N387" s="2"/>
      <c r="O387" s="2"/>
      <c r="P387" s="1" t="str">
        <f>IF(A387="","",MAX(0,MIN(3,SUMIFS(Strike_Log!$C:$C,Strike_Log!$B:$B,A387,Strike_Log!$A:$A,"&gt;="&amp;IF(Config!$B$1004="Y",TODAY()-Config!$B$1005,DATE(1900,1,1)),Strike_Log!$I:$I,1))))</f>
        <v/>
      </c>
      <c r="Q387" s="1">
        <f t="shared" si="3"/>
        <v>0</v>
      </c>
      <c r="R387" s="1" t="str">
        <f>IF(A387="","",IFERROR(AVERAGEIFS(Assignments!$J:$J,Assignments!$B:$B,A387,Assignments!$E:$E,"Completed"),""))</f>
        <v/>
      </c>
      <c r="S387" s="1" t="str">
        <f>IF(A387="","",COUNTIFS(Assignments!$B:$B,A387,Assignments!$AE:$AE, "Y",Assignments!$D:$D,"&gt;="&amp;TODAY()-30))</f>
        <v/>
      </c>
      <c r="T387" s="1" t="str">
        <f>IF(A387="","",COUNTIFS(Assignments!$AF:$AF,A387,Assignments!$AE:$AE, "Y",Assignments!$D:$D,"&gt;="&amp;TODAY()-30))</f>
        <v/>
      </c>
      <c r="U387" s="1" t="str">
        <f>IF(A387="","",IFERROR(S387/MAX(1,COUNTIFS(Assignments!$B:$B,A387,Assignments!$D:$D,"&gt;="&amp;TODAY()-30)),""))</f>
        <v/>
      </c>
      <c r="V387" s="1" t="str">
        <f t="shared" si="4"/>
        <v/>
      </c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 t="str">
        <f>IF($A388="","",IFERROR(AVERAGEIFS(Assignments!$N$6:$N$1000,Assignments!$B$6:$B$1000,$A388,Assignments!$E$6:$E$1000,"Completed"),""))</f>
        <v/>
      </c>
      <c r="K388" s="2" t="str">
        <f>IF(A388="","",IFERROR(AVERAGEIFS(Assignments!$AO:$AO,Assignments!$B:$B,A388,Assignments!$E:$E,"Completed"),""))</f>
        <v/>
      </c>
      <c r="L388" s="2" t="str">
        <f>IF($A388="","",IFERROR(COUNTIFS(Assignments!$B$6:$B$1000,$A388,Assignments!$E$6:$E$1000,"Cancelled")/MAX(1,COUNTIFS(Assignments!$B$6:$B$1000,$A388,Assignments!$E$6:$E$1000,"Completed")+COUNTIFS(Assignments!$B$6:$B$1000,$A388,Assignments!$E$6:$E$1000,"Cancelled")),""))</f>
        <v/>
      </c>
      <c r="M388" s="2" t="str">
        <f>IF($A388="","",IFERROR(AVERAGEIFS(Assignments!$P$6:$P$1000,Assignments!$B$6:$B$1000,$A388,Assignments!$E$6:$E$1000,"Completed"),""))</f>
        <v/>
      </c>
      <c r="N388" s="2"/>
      <c r="O388" s="2"/>
      <c r="P388" s="1" t="str">
        <f>IF(A388="","",MAX(0,MIN(3,SUMIFS(Strike_Log!$C:$C,Strike_Log!$B:$B,A388,Strike_Log!$A:$A,"&gt;="&amp;IF(Config!$B$1004="Y",TODAY()-Config!$B$1005,DATE(1900,1,1)),Strike_Log!$I:$I,1))))</f>
        <v/>
      </c>
      <c r="Q388" s="1">
        <f t="shared" si="3"/>
        <v>0</v>
      </c>
      <c r="R388" s="1" t="str">
        <f>IF(A388="","",IFERROR(AVERAGEIFS(Assignments!$J:$J,Assignments!$B:$B,A388,Assignments!$E:$E,"Completed"),""))</f>
        <v/>
      </c>
      <c r="S388" s="1" t="str">
        <f>IF(A388="","",COUNTIFS(Assignments!$B:$B,A388,Assignments!$AE:$AE, "Y",Assignments!$D:$D,"&gt;="&amp;TODAY()-30))</f>
        <v/>
      </c>
      <c r="T388" s="1" t="str">
        <f>IF(A388="","",COUNTIFS(Assignments!$AF:$AF,A388,Assignments!$AE:$AE, "Y",Assignments!$D:$D,"&gt;="&amp;TODAY()-30))</f>
        <v/>
      </c>
      <c r="U388" s="1" t="str">
        <f>IF(A388="","",IFERROR(S388/MAX(1,COUNTIFS(Assignments!$B:$B,A388,Assignments!$D:$D,"&gt;="&amp;TODAY()-30)),""))</f>
        <v/>
      </c>
      <c r="V388" s="1" t="str">
        <f t="shared" si="4"/>
        <v/>
      </c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 t="str">
        <f>IF($A389="","",IFERROR(AVERAGEIFS(Assignments!$N$6:$N$1000,Assignments!$B$6:$B$1000,$A389,Assignments!$E$6:$E$1000,"Completed"),""))</f>
        <v/>
      </c>
      <c r="K389" s="2" t="str">
        <f>IF(A389="","",IFERROR(AVERAGEIFS(Assignments!$AO:$AO,Assignments!$B:$B,A389,Assignments!$E:$E,"Completed"),""))</f>
        <v/>
      </c>
      <c r="L389" s="2" t="str">
        <f>IF($A389="","",IFERROR(COUNTIFS(Assignments!$B$6:$B$1000,$A389,Assignments!$E$6:$E$1000,"Cancelled")/MAX(1,COUNTIFS(Assignments!$B$6:$B$1000,$A389,Assignments!$E$6:$E$1000,"Completed")+COUNTIFS(Assignments!$B$6:$B$1000,$A389,Assignments!$E$6:$E$1000,"Cancelled")),""))</f>
        <v/>
      </c>
      <c r="M389" s="2" t="str">
        <f>IF($A389="","",IFERROR(AVERAGEIFS(Assignments!$P$6:$P$1000,Assignments!$B$6:$B$1000,$A389,Assignments!$E$6:$E$1000,"Completed"),""))</f>
        <v/>
      </c>
      <c r="N389" s="2"/>
      <c r="O389" s="2"/>
      <c r="P389" s="1" t="str">
        <f>IF(A389="","",MAX(0,MIN(3,SUMIFS(Strike_Log!$C:$C,Strike_Log!$B:$B,A389,Strike_Log!$A:$A,"&gt;="&amp;IF(Config!$B$1004="Y",TODAY()-Config!$B$1005,DATE(1900,1,1)),Strike_Log!$I:$I,1))))</f>
        <v/>
      </c>
      <c r="Q389" s="1">
        <f t="shared" si="3"/>
        <v>0</v>
      </c>
      <c r="R389" s="1" t="str">
        <f>IF(A389="","",IFERROR(AVERAGEIFS(Assignments!$J:$J,Assignments!$B:$B,A389,Assignments!$E:$E,"Completed"),""))</f>
        <v/>
      </c>
      <c r="S389" s="1" t="str">
        <f>IF(A389="","",COUNTIFS(Assignments!$B:$B,A389,Assignments!$AE:$AE, "Y",Assignments!$D:$D,"&gt;="&amp;TODAY()-30))</f>
        <v/>
      </c>
      <c r="T389" s="1" t="str">
        <f>IF(A389="","",COUNTIFS(Assignments!$AF:$AF,A389,Assignments!$AE:$AE, "Y",Assignments!$D:$D,"&gt;="&amp;TODAY()-30))</f>
        <v/>
      </c>
      <c r="U389" s="1" t="str">
        <f>IF(A389="","",IFERROR(S389/MAX(1,COUNTIFS(Assignments!$B:$B,A389,Assignments!$D:$D,"&gt;="&amp;TODAY()-30)),""))</f>
        <v/>
      </c>
      <c r="V389" s="1" t="str">
        <f t="shared" si="4"/>
        <v/>
      </c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 t="str">
        <f>IF($A390="","",IFERROR(AVERAGEIFS(Assignments!$N$6:$N$1000,Assignments!$B$6:$B$1000,$A390,Assignments!$E$6:$E$1000,"Completed"),""))</f>
        <v/>
      </c>
      <c r="K390" s="2" t="str">
        <f>IF(A390="","",IFERROR(AVERAGEIFS(Assignments!$AO:$AO,Assignments!$B:$B,A390,Assignments!$E:$E,"Completed"),""))</f>
        <v/>
      </c>
      <c r="L390" s="2" t="str">
        <f>IF($A390="","",IFERROR(COUNTIFS(Assignments!$B$6:$B$1000,$A390,Assignments!$E$6:$E$1000,"Cancelled")/MAX(1,COUNTIFS(Assignments!$B$6:$B$1000,$A390,Assignments!$E$6:$E$1000,"Completed")+COUNTIFS(Assignments!$B$6:$B$1000,$A390,Assignments!$E$6:$E$1000,"Cancelled")),""))</f>
        <v/>
      </c>
      <c r="M390" s="2" t="str">
        <f>IF($A390="","",IFERROR(AVERAGEIFS(Assignments!$P$6:$P$1000,Assignments!$B$6:$B$1000,$A390,Assignments!$E$6:$E$1000,"Completed"),""))</f>
        <v/>
      </c>
      <c r="N390" s="2"/>
      <c r="O390" s="2"/>
      <c r="P390" s="1" t="str">
        <f>IF(A390="","",MAX(0,MIN(3,SUMIFS(Strike_Log!$C:$C,Strike_Log!$B:$B,A390,Strike_Log!$A:$A,"&gt;="&amp;IF(Config!$B$1004="Y",TODAY()-Config!$B$1005,DATE(1900,1,1)),Strike_Log!$I:$I,1))))</f>
        <v/>
      </c>
      <c r="Q390" s="1">
        <f t="shared" si="3"/>
        <v>0</v>
      </c>
      <c r="R390" s="1" t="str">
        <f>IF(A390="","",IFERROR(AVERAGEIFS(Assignments!$J:$J,Assignments!$B:$B,A390,Assignments!$E:$E,"Completed"),""))</f>
        <v/>
      </c>
      <c r="S390" s="1" t="str">
        <f>IF(A390="","",COUNTIFS(Assignments!$B:$B,A390,Assignments!$AE:$AE, "Y",Assignments!$D:$D,"&gt;="&amp;TODAY()-30))</f>
        <v/>
      </c>
      <c r="T390" s="1" t="str">
        <f>IF(A390="","",COUNTIFS(Assignments!$AF:$AF,A390,Assignments!$AE:$AE, "Y",Assignments!$D:$D,"&gt;="&amp;TODAY()-30))</f>
        <v/>
      </c>
      <c r="U390" s="1" t="str">
        <f>IF(A390="","",IFERROR(S390/MAX(1,COUNTIFS(Assignments!$B:$B,A390,Assignments!$D:$D,"&gt;="&amp;TODAY()-30)),""))</f>
        <v/>
      </c>
      <c r="V390" s="1" t="str">
        <f t="shared" si="4"/>
        <v/>
      </c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 t="str">
        <f>IF($A391="","",IFERROR(AVERAGEIFS(Assignments!$N$6:$N$1000,Assignments!$B$6:$B$1000,$A391,Assignments!$E$6:$E$1000,"Completed"),""))</f>
        <v/>
      </c>
      <c r="K391" s="2" t="str">
        <f>IF(A391="","",IFERROR(AVERAGEIFS(Assignments!$AO:$AO,Assignments!$B:$B,A391,Assignments!$E:$E,"Completed"),""))</f>
        <v/>
      </c>
      <c r="L391" s="2" t="str">
        <f>IF($A391="","",IFERROR(COUNTIFS(Assignments!$B$6:$B$1000,$A391,Assignments!$E$6:$E$1000,"Cancelled")/MAX(1,COUNTIFS(Assignments!$B$6:$B$1000,$A391,Assignments!$E$6:$E$1000,"Completed")+COUNTIFS(Assignments!$B$6:$B$1000,$A391,Assignments!$E$6:$E$1000,"Cancelled")),""))</f>
        <v/>
      </c>
      <c r="M391" s="2" t="str">
        <f>IF($A391="","",IFERROR(AVERAGEIFS(Assignments!$P$6:$P$1000,Assignments!$B$6:$B$1000,$A391,Assignments!$E$6:$E$1000,"Completed"),""))</f>
        <v/>
      </c>
      <c r="N391" s="2"/>
      <c r="O391" s="2"/>
      <c r="P391" s="1" t="str">
        <f>IF(A391="","",MAX(0,MIN(3,SUMIFS(Strike_Log!$C:$C,Strike_Log!$B:$B,A391,Strike_Log!$A:$A,"&gt;="&amp;IF(Config!$B$1004="Y",TODAY()-Config!$B$1005,DATE(1900,1,1)),Strike_Log!$I:$I,1))))</f>
        <v/>
      </c>
      <c r="Q391" s="1">
        <f t="shared" si="3"/>
        <v>0</v>
      </c>
      <c r="R391" s="1" t="str">
        <f>IF(A391="","",IFERROR(AVERAGEIFS(Assignments!$J:$J,Assignments!$B:$B,A391,Assignments!$E:$E,"Completed"),""))</f>
        <v/>
      </c>
      <c r="S391" s="1" t="str">
        <f>IF(A391="","",COUNTIFS(Assignments!$B:$B,A391,Assignments!$AE:$AE, "Y",Assignments!$D:$D,"&gt;="&amp;TODAY()-30))</f>
        <v/>
      </c>
      <c r="T391" s="1" t="str">
        <f>IF(A391="","",COUNTIFS(Assignments!$AF:$AF,A391,Assignments!$AE:$AE, "Y",Assignments!$D:$D,"&gt;="&amp;TODAY()-30))</f>
        <v/>
      </c>
      <c r="U391" s="1" t="str">
        <f>IF(A391="","",IFERROR(S391/MAX(1,COUNTIFS(Assignments!$B:$B,A391,Assignments!$D:$D,"&gt;="&amp;TODAY()-30)),""))</f>
        <v/>
      </c>
      <c r="V391" s="1" t="str">
        <f t="shared" si="4"/>
        <v/>
      </c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 t="str">
        <f>IF($A392="","",IFERROR(AVERAGEIFS(Assignments!$N$6:$N$1000,Assignments!$B$6:$B$1000,$A392,Assignments!$E$6:$E$1000,"Completed"),""))</f>
        <v/>
      </c>
      <c r="K392" s="2" t="str">
        <f>IF(A392="","",IFERROR(AVERAGEIFS(Assignments!$AO:$AO,Assignments!$B:$B,A392,Assignments!$E:$E,"Completed"),""))</f>
        <v/>
      </c>
      <c r="L392" s="2" t="str">
        <f>IF($A392="","",IFERROR(COUNTIFS(Assignments!$B$6:$B$1000,$A392,Assignments!$E$6:$E$1000,"Cancelled")/MAX(1,COUNTIFS(Assignments!$B$6:$B$1000,$A392,Assignments!$E$6:$E$1000,"Completed")+COUNTIFS(Assignments!$B$6:$B$1000,$A392,Assignments!$E$6:$E$1000,"Cancelled")),""))</f>
        <v/>
      </c>
      <c r="M392" s="2" t="str">
        <f>IF($A392="","",IFERROR(AVERAGEIFS(Assignments!$P$6:$P$1000,Assignments!$B$6:$B$1000,$A392,Assignments!$E$6:$E$1000,"Completed"),""))</f>
        <v/>
      </c>
      <c r="N392" s="2"/>
      <c r="O392" s="2"/>
      <c r="P392" s="1" t="str">
        <f>IF(A392="","",MAX(0,MIN(3,SUMIFS(Strike_Log!$C:$C,Strike_Log!$B:$B,A392,Strike_Log!$A:$A,"&gt;="&amp;IF(Config!$B$1004="Y",TODAY()-Config!$B$1005,DATE(1900,1,1)),Strike_Log!$I:$I,1))))</f>
        <v/>
      </c>
      <c r="Q392" s="1">
        <f t="shared" si="3"/>
        <v>0</v>
      </c>
      <c r="R392" s="1" t="str">
        <f>IF(A392="","",IFERROR(AVERAGEIFS(Assignments!$J:$J,Assignments!$B:$B,A392,Assignments!$E:$E,"Completed"),""))</f>
        <v/>
      </c>
      <c r="S392" s="1" t="str">
        <f>IF(A392="","",COUNTIFS(Assignments!$B:$B,A392,Assignments!$AE:$AE, "Y",Assignments!$D:$D,"&gt;="&amp;TODAY()-30))</f>
        <v/>
      </c>
      <c r="T392" s="1" t="str">
        <f>IF(A392="","",COUNTIFS(Assignments!$AF:$AF,A392,Assignments!$AE:$AE, "Y",Assignments!$D:$D,"&gt;="&amp;TODAY()-30))</f>
        <v/>
      </c>
      <c r="U392" s="1" t="str">
        <f>IF(A392="","",IFERROR(S392/MAX(1,COUNTIFS(Assignments!$B:$B,A392,Assignments!$D:$D,"&gt;="&amp;TODAY()-30)),""))</f>
        <v/>
      </c>
      <c r="V392" s="1" t="str">
        <f t="shared" si="4"/>
        <v/>
      </c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 t="str">
        <f>IF($A393="","",IFERROR(AVERAGEIFS(Assignments!$N$6:$N$1000,Assignments!$B$6:$B$1000,$A393,Assignments!$E$6:$E$1000,"Completed"),""))</f>
        <v/>
      </c>
      <c r="K393" s="2" t="str">
        <f>IF(A393="","",IFERROR(AVERAGEIFS(Assignments!$AO:$AO,Assignments!$B:$B,A393,Assignments!$E:$E,"Completed"),""))</f>
        <v/>
      </c>
      <c r="L393" s="2" t="str">
        <f>IF($A393="","",IFERROR(COUNTIFS(Assignments!$B$6:$B$1000,$A393,Assignments!$E$6:$E$1000,"Cancelled")/MAX(1,COUNTIFS(Assignments!$B$6:$B$1000,$A393,Assignments!$E$6:$E$1000,"Completed")+COUNTIFS(Assignments!$B$6:$B$1000,$A393,Assignments!$E$6:$E$1000,"Cancelled")),""))</f>
        <v/>
      </c>
      <c r="M393" s="2" t="str">
        <f>IF($A393="","",IFERROR(AVERAGEIFS(Assignments!$P$6:$P$1000,Assignments!$B$6:$B$1000,$A393,Assignments!$E$6:$E$1000,"Completed"),""))</f>
        <v/>
      </c>
      <c r="N393" s="2"/>
      <c r="O393" s="2"/>
      <c r="P393" s="1" t="str">
        <f>IF(A393="","",MAX(0,MIN(3,SUMIFS(Strike_Log!$C:$C,Strike_Log!$B:$B,A393,Strike_Log!$A:$A,"&gt;="&amp;IF(Config!$B$1004="Y",TODAY()-Config!$B$1005,DATE(1900,1,1)),Strike_Log!$I:$I,1))))</f>
        <v/>
      </c>
      <c r="Q393" s="1">
        <f t="shared" si="3"/>
        <v>0</v>
      </c>
      <c r="R393" s="1" t="str">
        <f>IF(A393="","",IFERROR(AVERAGEIFS(Assignments!$J:$J,Assignments!$B:$B,A393,Assignments!$E:$E,"Completed"),""))</f>
        <v/>
      </c>
      <c r="S393" s="1" t="str">
        <f>IF(A393="","",COUNTIFS(Assignments!$B:$B,A393,Assignments!$AE:$AE, "Y",Assignments!$D:$D,"&gt;="&amp;TODAY()-30))</f>
        <v/>
      </c>
      <c r="T393" s="1" t="str">
        <f>IF(A393="","",COUNTIFS(Assignments!$AF:$AF,A393,Assignments!$AE:$AE, "Y",Assignments!$D:$D,"&gt;="&amp;TODAY()-30))</f>
        <v/>
      </c>
      <c r="U393" s="1" t="str">
        <f>IF(A393="","",IFERROR(S393/MAX(1,COUNTIFS(Assignments!$B:$B,A393,Assignments!$D:$D,"&gt;="&amp;TODAY()-30)),""))</f>
        <v/>
      </c>
      <c r="V393" s="1" t="str">
        <f t="shared" si="4"/>
        <v/>
      </c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 t="str">
        <f>IF($A394="","",IFERROR(AVERAGEIFS(Assignments!$N$6:$N$1000,Assignments!$B$6:$B$1000,$A394,Assignments!$E$6:$E$1000,"Completed"),""))</f>
        <v/>
      </c>
      <c r="K394" s="2" t="str">
        <f>IF(A394="","",IFERROR(AVERAGEIFS(Assignments!$AO:$AO,Assignments!$B:$B,A394,Assignments!$E:$E,"Completed"),""))</f>
        <v/>
      </c>
      <c r="L394" s="2" t="str">
        <f>IF($A394="","",IFERROR(COUNTIFS(Assignments!$B$6:$B$1000,$A394,Assignments!$E$6:$E$1000,"Cancelled")/MAX(1,COUNTIFS(Assignments!$B$6:$B$1000,$A394,Assignments!$E$6:$E$1000,"Completed")+COUNTIFS(Assignments!$B$6:$B$1000,$A394,Assignments!$E$6:$E$1000,"Cancelled")),""))</f>
        <v/>
      </c>
      <c r="M394" s="2" t="str">
        <f>IF($A394="","",IFERROR(AVERAGEIFS(Assignments!$P$6:$P$1000,Assignments!$B$6:$B$1000,$A394,Assignments!$E$6:$E$1000,"Completed"),""))</f>
        <v/>
      </c>
      <c r="N394" s="2"/>
      <c r="O394" s="2"/>
      <c r="P394" s="1" t="str">
        <f>IF(A394="","",MAX(0,MIN(3,SUMIFS(Strike_Log!$C:$C,Strike_Log!$B:$B,A394,Strike_Log!$A:$A,"&gt;="&amp;IF(Config!$B$1004="Y",TODAY()-Config!$B$1005,DATE(1900,1,1)),Strike_Log!$I:$I,1))))</f>
        <v/>
      </c>
      <c r="Q394" s="1">
        <f t="shared" si="3"/>
        <v>0</v>
      </c>
      <c r="R394" s="1" t="str">
        <f>IF(A394="","",IFERROR(AVERAGEIFS(Assignments!$J:$J,Assignments!$B:$B,A394,Assignments!$E:$E,"Completed"),""))</f>
        <v/>
      </c>
      <c r="S394" s="1" t="str">
        <f>IF(A394="","",COUNTIFS(Assignments!$B:$B,A394,Assignments!$AE:$AE, "Y",Assignments!$D:$D,"&gt;="&amp;TODAY()-30))</f>
        <v/>
      </c>
      <c r="T394" s="1" t="str">
        <f>IF(A394="","",COUNTIFS(Assignments!$AF:$AF,A394,Assignments!$AE:$AE, "Y",Assignments!$D:$D,"&gt;="&amp;TODAY()-30))</f>
        <v/>
      </c>
      <c r="U394" s="1" t="str">
        <f>IF(A394="","",IFERROR(S394/MAX(1,COUNTIFS(Assignments!$B:$B,A394,Assignments!$D:$D,"&gt;="&amp;TODAY()-30)),""))</f>
        <v/>
      </c>
      <c r="V394" s="1" t="str">
        <f t="shared" si="4"/>
        <v/>
      </c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 t="str">
        <f>IF($A395="","",IFERROR(AVERAGEIFS(Assignments!$N$6:$N$1000,Assignments!$B$6:$B$1000,$A395,Assignments!$E$6:$E$1000,"Completed"),""))</f>
        <v/>
      </c>
      <c r="K395" s="2" t="str">
        <f>IF(A395="","",IFERROR(AVERAGEIFS(Assignments!$AO:$AO,Assignments!$B:$B,A395,Assignments!$E:$E,"Completed"),""))</f>
        <v/>
      </c>
      <c r="L395" s="2" t="str">
        <f>IF($A395="","",IFERROR(COUNTIFS(Assignments!$B$6:$B$1000,$A395,Assignments!$E$6:$E$1000,"Cancelled")/MAX(1,COUNTIFS(Assignments!$B$6:$B$1000,$A395,Assignments!$E$6:$E$1000,"Completed")+COUNTIFS(Assignments!$B$6:$B$1000,$A395,Assignments!$E$6:$E$1000,"Cancelled")),""))</f>
        <v/>
      </c>
      <c r="M395" s="2" t="str">
        <f>IF($A395="","",IFERROR(AVERAGEIFS(Assignments!$P$6:$P$1000,Assignments!$B$6:$B$1000,$A395,Assignments!$E$6:$E$1000,"Completed"),""))</f>
        <v/>
      </c>
      <c r="N395" s="2"/>
      <c r="O395" s="2"/>
      <c r="P395" s="1" t="str">
        <f>IF(A395="","",MAX(0,MIN(3,SUMIFS(Strike_Log!$C:$C,Strike_Log!$B:$B,A395,Strike_Log!$A:$A,"&gt;="&amp;IF(Config!$B$1004="Y",TODAY()-Config!$B$1005,DATE(1900,1,1)),Strike_Log!$I:$I,1))))</f>
        <v/>
      </c>
      <c r="Q395" s="1">
        <f t="shared" si="3"/>
        <v>0</v>
      </c>
      <c r="R395" s="1" t="str">
        <f>IF(A395="","",IFERROR(AVERAGEIFS(Assignments!$J:$J,Assignments!$B:$B,A395,Assignments!$E:$E,"Completed"),""))</f>
        <v/>
      </c>
      <c r="S395" s="1" t="str">
        <f>IF(A395="","",COUNTIFS(Assignments!$B:$B,A395,Assignments!$AE:$AE, "Y",Assignments!$D:$D,"&gt;="&amp;TODAY()-30))</f>
        <v/>
      </c>
      <c r="T395" s="1" t="str">
        <f>IF(A395="","",COUNTIFS(Assignments!$AF:$AF,A395,Assignments!$AE:$AE, "Y",Assignments!$D:$D,"&gt;="&amp;TODAY()-30))</f>
        <v/>
      </c>
      <c r="U395" s="1" t="str">
        <f>IF(A395="","",IFERROR(S395/MAX(1,COUNTIFS(Assignments!$B:$B,A395,Assignments!$D:$D,"&gt;="&amp;TODAY()-30)),""))</f>
        <v/>
      </c>
      <c r="V395" s="1" t="str">
        <f t="shared" si="4"/>
        <v/>
      </c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 t="str">
        <f>IF($A396="","",IFERROR(AVERAGEIFS(Assignments!$N$6:$N$1000,Assignments!$B$6:$B$1000,$A396,Assignments!$E$6:$E$1000,"Completed"),""))</f>
        <v/>
      </c>
      <c r="K396" s="2" t="str">
        <f>IF(A396="","",IFERROR(AVERAGEIFS(Assignments!$AO:$AO,Assignments!$B:$B,A396,Assignments!$E:$E,"Completed"),""))</f>
        <v/>
      </c>
      <c r="L396" s="2" t="str">
        <f>IF($A396="","",IFERROR(COUNTIFS(Assignments!$B$6:$B$1000,$A396,Assignments!$E$6:$E$1000,"Cancelled")/MAX(1,COUNTIFS(Assignments!$B$6:$B$1000,$A396,Assignments!$E$6:$E$1000,"Completed")+COUNTIFS(Assignments!$B$6:$B$1000,$A396,Assignments!$E$6:$E$1000,"Cancelled")),""))</f>
        <v/>
      </c>
      <c r="M396" s="2" t="str">
        <f>IF($A396="","",IFERROR(AVERAGEIFS(Assignments!$P$6:$P$1000,Assignments!$B$6:$B$1000,$A396,Assignments!$E$6:$E$1000,"Completed"),""))</f>
        <v/>
      </c>
      <c r="N396" s="2"/>
      <c r="O396" s="2"/>
      <c r="P396" s="1" t="str">
        <f>IF(A396="","",MAX(0,MIN(3,SUMIFS(Strike_Log!$C:$C,Strike_Log!$B:$B,A396,Strike_Log!$A:$A,"&gt;="&amp;IF(Config!$B$1004="Y",TODAY()-Config!$B$1005,DATE(1900,1,1)),Strike_Log!$I:$I,1))))</f>
        <v/>
      </c>
      <c r="Q396" s="1">
        <f t="shared" si="3"/>
        <v>0</v>
      </c>
      <c r="R396" s="1" t="str">
        <f>IF(A396="","",IFERROR(AVERAGEIFS(Assignments!$J:$J,Assignments!$B:$B,A396,Assignments!$E:$E,"Completed"),""))</f>
        <v/>
      </c>
      <c r="S396" s="1" t="str">
        <f>IF(A396="","",COUNTIFS(Assignments!$B:$B,A396,Assignments!$AE:$AE, "Y",Assignments!$D:$D,"&gt;="&amp;TODAY()-30))</f>
        <v/>
      </c>
      <c r="T396" s="1" t="str">
        <f>IF(A396="","",COUNTIFS(Assignments!$AF:$AF,A396,Assignments!$AE:$AE, "Y",Assignments!$D:$D,"&gt;="&amp;TODAY()-30))</f>
        <v/>
      </c>
      <c r="U396" s="1" t="str">
        <f>IF(A396="","",IFERROR(S396/MAX(1,COUNTIFS(Assignments!$B:$B,A396,Assignments!$D:$D,"&gt;="&amp;TODAY()-30)),""))</f>
        <v/>
      </c>
      <c r="V396" s="1" t="str">
        <f t="shared" si="4"/>
        <v/>
      </c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 t="str">
        <f>IF($A397="","",IFERROR(AVERAGEIFS(Assignments!$N$6:$N$1000,Assignments!$B$6:$B$1000,$A397,Assignments!$E$6:$E$1000,"Completed"),""))</f>
        <v/>
      </c>
      <c r="K397" s="2" t="str">
        <f>IF(A397="","",IFERROR(AVERAGEIFS(Assignments!$AO:$AO,Assignments!$B:$B,A397,Assignments!$E:$E,"Completed"),""))</f>
        <v/>
      </c>
      <c r="L397" s="2" t="str">
        <f>IF($A397="","",IFERROR(COUNTIFS(Assignments!$B$6:$B$1000,$A397,Assignments!$E$6:$E$1000,"Cancelled")/MAX(1,COUNTIFS(Assignments!$B$6:$B$1000,$A397,Assignments!$E$6:$E$1000,"Completed")+COUNTIFS(Assignments!$B$6:$B$1000,$A397,Assignments!$E$6:$E$1000,"Cancelled")),""))</f>
        <v/>
      </c>
      <c r="M397" s="2" t="str">
        <f>IF($A397="","",IFERROR(AVERAGEIFS(Assignments!$P$6:$P$1000,Assignments!$B$6:$B$1000,$A397,Assignments!$E$6:$E$1000,"Completed"),""))</f>
        <v/>
      </c>
      <c r="N397" s="2"/>
      <c r="O397" s="2"/>
      <c r="P397" s="1" t="str">
        <f>IF(A397="","",MAX(0,MIN(3,SUMIFS(Strike_Log!$C:$C,Strike_Log!$B:$B,A397,Strike_Log!$A:$A,"&gt;="&amp;IF(Config!$B$1004="Y",TODAY()-Config!$B$1005,DATE(1900,1,1)),Strike_Log!$I:$I,1))))</f>
        <v/>
      </c>
      <c r="Q397" s="1">
        <f t="shared" si="3"/>
        <v>0</v>
      </c>
      <c r="R397" s="1" t="str">
        <f>IF(A397="","",IFERROR(AVERAGEIFS(Assignments!$J:$J,Assignments!$B:$B,A397,Assignments!$E:$E,"Completed"),""))</f>
        <v/>
      </c>
      <c r="S397" s="1" t="str">
        <f>IF(A397="","",COUNTIFS(Assignments!$B:$B,A397,Assignments!$AE:$AE, "Y",Assignments!$D:$D,"&gt;="&amp;TODAY()-30))</f>
        <v/>
      </c>
      <c r="T397" s="1" t="str">
        <f>IF(A397="","",COUNTIFS(Assignments!$AF:$AF,A397,Assignments!$AE:$AE, "Y",Assignments!$D:$D,"&gt;="&amp;TODAY()-30))</f>
        <v/>
      </c>
      <c r="U397" s="1" t="str">
        <f>IF(A397="","",IFERROR(S397/MAX(1,COUNTIFS(Assignments!$B:$B,A397,Assignments!$D:$D,"&gt;="&amp;TODAY()-30)),""))</f>
        <v/>
      </c>
      <c r="V397" s="1" t="str">
        <f t="shared" si="4"/>
        <v/>
      </c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 t="str">
        <f>IF($A398="","",IFERROR(AVERAGEIFS(Assignments!$N$6:$N$1000,Assignments!$B$6:$B$1000,$A398,Assignments!$E$6:$E$1000,"Completed"),""))</f>
        <v/>
      </c>
      <c r="K398" s="2" t="str">
        <f>IF(A398="","",IFERROR(AVERAGEIFS(Assignments!$AO:$AO,Assignments!$B:$B,A398,Assignments!$E:$E,"Completed"),""))</f>
        <v/>
      </c>
      <c r="L398" s="2" t="str">
        <f>IF($A398="","",IFERROR(COUNTIFS(Assignments!$B$6:$B$1000,$A398,Assignments!$E$6:$E$1000,"Cancelled")/MAX(1,COUNTIFS(Assignments!$B$6:$B$1000,$A398,Assignments!$E$6:$E$1000,"Completed")+COUNTIFS(Assignments!$B$6:$B$1000,$A398,Assignments!$E$6:$E$1000,"Cancelled")),""))</f>
        <v/>
      </c>
      <c r="M398" s="2" t="str">
        <f>IF($A398="","",IFERROR(AVERAGEIFS(Assignments!$P$6:$P$1000,Assignments!$B$6:$B$1000,$A398,Assignments!$E$6:$E$1000,"Completed"),""))</f>
        <v/>
      </c>
      <c r="N398" s="2"/>
      <c r="O398" s="2"/>
      <c r="P398" s="1" t="str">
        <f>IF(A398="","",MAX(0,MIN(3,SUMIFS(Strike_Log!$C:$C,Strike_Log!$B:$B,A398,Strike_Log!$A:$A,"&gt;="&amp;IF(Config!$B$1004="Y",TODAY()-Config!$B$1005,DATE(1900,1,1)),Strike_Log!$I:$I,1))))</f>
        <v/>
      </c>
      <c r="Q398" s="1">
        <f t="shared" si="3"/>
        <v>0</v>
      </c>
      <c r="R398" s="1" t="str">
        <f>IF(A398="","",IFERROR(AVERAGEIFS(Assignments!$J:$J,Assignments!$B:$B,A398,Assignments!$E:$E,"Completed"),""))</f>
        <v/>
      </c>
      <c r="S398" s="1" t="str">
        <f>IF(A398="","",COUNTIFS(Assignments!$B:$B,A398,Assignments!$AE:$AE, "Y",Assignments!$D:$D,"&gt;="&amp;TODAY()-30))</f>
        <v/>
      </c>
      <c r="T398" s="1" t="str">
        <f>IF(A398="","",COUNTIFS(Assignments!$AF:$AF,A398,Assignments!$AE:$AE, "Y",Assignments!$D:$D,"&gt;="&amp;TODAY()-30))</f>
        <v/>
      </c>
      <c r="U398" s="1" t="str">
        <f>IF(A398="","",IFERROR(S398/MAX(1,COUNTIFS(Assignments!$B:$B,A398,Assignments!$D:$D,"&gt;="&amp;TODAY()-30)),""))</f>
        <v/>
      </c>
      <c r="V398" s="1" t="str">
        <f t="shared" si="4"/>
        <v/>
      </c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 t="str">
        <f>IF($A399="","",IFERROR(AVERAGEIFS(Assignments!$N$6:$N$1000,Assignments!$B$6:$B$1000,$A399,Assignments!$E$6:$E$1000,"Completed"),""))</f>
        <v/>
      </c>
      <c r="K399" s="2" t="str">
        <f>IF(A399="","",IFERROR(AVERAGEIFS(Assignments!$AO:$AO,Assignments!$B:$B,A399,Assignments!$E:$E,"Completed"),""))</f>
        <v/>
      </c>
      <c r="L399" s="2" t="str">
        <f>IF($A399="","",IFERROR(COUNTIFS(Assignments!$B$6:$B$1000,$A399,Assignments!$E$6:$E$1000,"Cancelled")/MAX(1,COUNTIFS(Assignments!$B$6:$B$1000,$A399,Assignments!$E$6:$E$1000,"Completed")+COUNTIFS(Assignments!$B$6:$B$1000,$A399,Assignments!$E$6:$E$1000,"Cancelled")),""))</f>
        <v/>
      </c>
      <c r="M399" s="2" t="str">
        <f>IF($A399="","",IFERROR(AVERAGEIFS(Assignments!$P$6:$P$1000,Assignments!$B$6:$B$1000,$A399,Assignments!$E$6:$E$1000,"Completed"),""))</f>
        <v/>
      </c>
      <c r="N399" s="2"/>
      <c r="O399" s="2"/>
      <c r="P399" s="1" t="str">
        <f>IF(A399="","",MAX(0,MIN(3,SUMIFS(Strike_Log!$C:$C,Strike_Log!$B:$B,A399,Strike_Log!$A:$A,"&gt;="&amp;IF(Config!$B$1004="Y",TODAY()-Config!$B$1005,DATE(1900,1,1)),Strike_Log!$I:$I,1))))</f>
        <v/>
      </c>
      <c r="Q399" s="1">
        <f t="shared" si="3"/>
        <v>0</v>
      </c>
      <c r="R399" s="1" t="str">
        <f>IF(A399="","",IFERROR(AVERAGEIFS(Assignments!$J:$J,Assignments!$B:$B,A399,Assignments!$E:$E,"Completed"),""))</f>
        <v/>
      </c>
      <c r="S399" s="1" t="str">
        <f>IF(A399="","",COUNTIFS(Assignments!$B:$B,A399,Assignments!$AE:$AE, "Y",Assignments!$D:$D,"&gt;="&amp;TODAY()-30))</f>
        <v/>
      </c>
      <c r="T399" s="1" t="str">
        <f>IF(A399="","",COUNTIFS(Assignments!$AF:$AF,A399,Assignments!$AE:$AE, "Y",Assignments!$D:$D,"&gt;="&amp;TODAY()-30))</f>
        <v/>
      </c>
      <c r="U399" s="1" t="str">
        <f>IF(A399="","",IFERROR(S399/MAX(1,COUNTIFS(Assignments!$B:$B,A399,Assignments!$D:$D,"&gt;="&amp;TODAY()-30)),""))</f>
        <v/>
      </c>
      <c r="V399" s="1" t="str">
        <f t="shared" si="4"/>
        <v/>
      </c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 t="str">
        <f>IF($A400="","",IFERROR(AVERAGEIFS(Assignments!$N$6:$N$1000,Assignments!$B$6:$B$1000,$A400,Assignments!$E$6:$E$1000,"Completed"),""))</f>
        <v/>
      </c>
      <c r="K400" s="2" t="str">
        <f>IF(A400="","",IFERROR(AVERAGEIFS(Assignments!$AO:$AO,Assignments!$B:$B,A400,Assignments!$E:$E,"Completed"),""))</f>
        <v/>
      </c>
      <c r="L400" s="2" t="str">
        <f>IF($A400="","",IFERROR(COUNTIFS(Assignments!$B$6:$B$1000,$A400,Assignments!$E$6:$E$1000,"Cancelled")/MAX(1,COUNTIFS(Assignments!$B$6:$B$1000,$A400,Assignments!$E$6:$E$1000,"Completed")+COUNTIFS(Assignments!$B$6:$B$1000,$A400,Assignments!$E$6:$E$1000,"Cancelled")),""))</f>
        <v/>
      </c>
      <c r="M400" s="2" t="str">
        <f>IF($A400="","",IFERROR(AVERAGEIFS(Assignments!$P$6:$P$1000,Assignments!$B$6:$B$1000,$A400,Assignments!$E$6:$E$1000,"Completed"),""))</f>
        <v/>
      </c>
      <c r="N400" s="2"/>
      <c r="O400" s="2"/>
      <c r="P400" s="1" t="str">
        <f>IF(A400="","",MAX(0,MIN(3,SUMIFS(Strike_Log!$C:$C,Strike_Log!$B:$B,A400,Strike_Log!$A:$A,"&gt;="&amp;IF(Config!$B$1004="Y",TODAY()-Config!$B$1005,DATE(1900,1,1)),Strike_Log!$I:$I,1))))</f>
        <v/>
      </c>
      <c r="Q400" s="1">
        <f t="shared" si="3"/>
        <v>0</v>
      </c>
      <c r="R400" s="1" t="str">
        <f>IF(A400="","",IFERROR(AVERAGEIFS(Assignments!$J:$J,Assignments!$B:$B,A400,Assignments!$E:$E,"Completed"),""))</f>
        <v/>
      </c>
      <c r="S400" s="1" t="str">
        <f>IF(A400="","",COUNTIFS(Assignments!$B:$B,A400,Assignments!$AE:$AE, "Y",Assignments!$D:$D,"&gt;="&amp;TODAY()-30))</f>
        <v/>
      </c>
      <c r="T400" s="1" t="str">
        <f>IF(A400="","",COUNTIFS(Assignments!$AF:$AF,A400,Assignments!$AE:$AE, "Y",Assignments!$D:$D,"&gt;="&amp;TODAY()-30))</f>
        <v/>
      </c>
      <c r="U400" s="1" t="str">
        <f>IF(A400="","",IFERROR(S400/MAX(1,COUNTIFS(Assignments!$B:$B,A400,Assignments!$D:$D,"&gt;="&amp;TODAY()-30)),""))</f>
        <v/>
      </c>
      <c r="V400" s="1" t="str">
        <f t="shared" si="4"/>
        <v/>
      </c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 t="str">
        <f>IF($A401="","",IFERROR(AVERAGEIFS(Assignments!$N$6:$N$1000,Assignments!$B$6:$B$1000,$A401,Assignments!$E$6:$E$1000,"Completed"),""))</f>
        <v/>
      </c>
      <c r="K401" s="2" t="str">
        <f>IF(A401="","",IFERROR(AVERAGEIFS(Assignments!$AO:$AO,Assignments!$B:$B,A401,Assignments!$E:$E,"Completed"),""))</f>
        <v/>
      </c>
      <c r="L401" s="2" t="str">
        <f>IF($A401="","",IFERROR(COUNTIFS(Assignments!$B$6:$B$1000,$A401,Assignments!$E$6:$E$1000,"Cancelled")/MAX(1,COUNTIFS(Assignments!$B$6:$B$1000,$A401,Assignments!$E$6:$E$1000,"Completed")+COUNTIFS(Assignments!$B$6:$B$1000,$A401,Assignments!$E$6:$E$1000,"Cancelled")),""))</f>
        <v/>
      </c>
      <c r="M401" s="2" t="str">
        <f>IF($A401="","",IFERROR(AVERAGEIFS(Assignments!$P$6:$P$1000,Assignments!$B$6:$B$1000,$A401,Assignments!$E$6:$E$1000,"Completed"),""))</f>
        <v/>
      </c>
      <c r="N401" s="2"/>
      <c r="O401" s="2"/>
      <c r="P401" s="1" t="str">
        <f>IF(A401="","",MAX(0,MIN(3,SUMIFS(Strike_Log!$C:$C,Strike_Log!$B:$B,A401,Strike_Log!$A:$A,"&gt;="&amp;IF(Config!$B$1004="Y",TODAY()-Config!$B$1005,DATE(1900,1,1)),Strike_Log!$I:$I,1))))</f>
        <v/>
      </c>
      <c r="Q401" s="1">
        <f t="shared" si="3"/>
        <v>0</v>
      </c>
      <c r="R401" s="1" t="str">
        <f>IF(A401="","",IFERROR(AVERAGEIFS(Assignments!$J:$J,Assignments!$B:$B,A401,Assignments!$E:$E,"Completed"),""))</f>
        <v/>
      </c>
      <c r="S401" s="1" t="str">
        <f>IF(A401="","",COUNTIFS(Assignments!$B:$B,A401,Assignments!$AE:$AE, "Y",Assignments!$D:$D,"&gt;="&amp;TODAY()-30))</f>
        <v/>
      </c>
      <c r="T401" s="1" t="str">
        <f>IF(A401="","",COUNTIFS(Assignments!$AF:$AF,A401,Assignments!$AE:$AE, "Y",Assignments!$D:$D,"&gt;="&amp;TODAY()-30))</f>
        <v/>
      </c>
      <c r="U401" s="1" t="str">
        <f>IF(A401="","",IFERROR(S401/MAX(1,COUNTIFS(Assignments!$B:$B,A401,Assignments!$D:$D,"&gt;="&amp;TODAY()-30)),""))</f>
        <v/>
      </c>
      <c r="V401" s="1" t="str">
        <f t="shared" si="4"/>
        <v/>
      </c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 t="str">
        <f>IF($A402="","",IFERROR(AVERAGEIFS(Assignments!$N$6:$N$1000,Assignments!$B$6:$B$1000,$A402,Assignments!$E$6:$E$1000,"Completed"),""))</f>
        <v/>
      </c>
      <c r="K402" s="2" t="str">
        <f>IF(A402="","",IFERROR(AVERAGEIFS(Assignments!$AO:$AO,Assignments!$B:$B,A402,Assignments!$E:$E,"Completed"),""))</f>
        <v/>
      </c>
      <c r="L402" s="2" t="str">
        <f>IF($A402="","",IFERROR(COUNTIFS(Assignments!$B$6:$B$1000,$A402,Assignments!$E$6:$E$1000,"Cancelled")/MAX(1,COUNTIFS(Assignments!$B$6:$B$1000,$A402,Assignments!$E$6:$E$1000,"Completed")+COUNTIFS(Assignments!$B$6:$B$1000,$A402,Assignments!$E$6:$E$1000,"Cancelled")),""))</f>
        <v/>
      </c>
      <c r="M402" s="2" t="str">
        <f>IF($A402="","",IFERROR(AVERAGEIFS(Assignments!$P$6:$P$1000,Assignments!$B$6:$B$1000,$A402,Assignments!$E$6:$E$1000,"Completed"),""))</f>
        <v/>
      </c>
      <c r="N402" s="2"/>
      <c r="O402" s="2"/>
      <c r="P402" s="1" t="str">
        <f>IF(A402="","",MAX(0,MIN(3,SUMIFS(Strike_Log!$C:$C,Strike_Log!$B:$B,A402,Strike_Log!$A:$A,"&gt;="&amp;IF(Config!$B$1004="Y",TODAY()-Config!$B$1005,DATE(1900,1,1)),Strike_Log!$I:$I,1))))</f>
        <v/>
      </c>
      <c r="Q402" s="1">
        <f t="shared" si="3"/>
        <v>0</v>
      </c>
      <c r="R402" s="1" t="str">
        <f>IF(A402="","",IFERROR(AVERAGEIFS(Assignments!$J:$J,Assignments!$B:$B,A402,Assignments!$E:$E,"Completed"),""))</f>
        <v/>
      </c>
      <c r="S402" s="1" t="str">
        <f>IF(A402="","",COUNTIFS(Assignments!$B:$B,A402,Assignments!$AE:$AE, "Y",Assignments!$D:$D,"&gt;="&amp;TODAY()-30))</f>
        <v/>
      </c>
      <c r="T402" s="1" t="str">
        <f>IF(A402="","",COUNTIFS(Assignments!$AF:$AF,A402,Assignments!$AE:$AE, "Y",Assignments!$D:$D,"&gt;="&amp;TODAY()-30))</f>
        <v/>
      </c>
      <c r="U402" s="1" t="str">
        <f>IF(A402="","",IFERROR(S402/MAX(1,COUNTIFS(Assignments!$B:$B,A402,Assignments!$D:$D,"&gt;="&amp;TODAY()-30)),""))</f>
        <v/>
      </c>
      <c r="V402" s="1" t="str">
        <f t="shared" si="4"/>
        <v/>
      </c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 t="str">
        <f>IF($A403="","",IFERROR(AVERAGEIFS(Assignments!$N$6:$N$1000,Assignments!$B$6:$B$1000,$A403,Assignments!$E$6:$E$1000,"Completed"),""))</f>
        <v/>
      </c>
      <c r="K403" s="2" t="str">
        <f>IF(A403="","",IFERROR(AVERAGEIFS(Assignments!$AO:$AO,Assignments!$B:$B,A403,Assignments!$E:$E,"Completed"),""))</f>
        <v/>
      </c>
      <c r="L403" s="2" t="str">
        <f>IF($A403="","",IFERROR(COUNTIFS(Assignments!$B$6:$B$1000,$A403,Assignments!$E$6:$E$1000,"Cancelled")/MAX(1,COUNTIFS(Assignments!$B$6:$B$1000,$A403,Assignments!$E$6:$E$1000,"Completed")+COUNTIFS(Assignments!$B$6:$B$1000,$A403,Assignments!$E$6:$E$1000,"Cancelled")),""))</f>
        <v/>
      </c>
      <c r="M403" s="2" t="str">
        <f>IF($A403="","",IFERROR(AVERAGEIFS(Assignments!$P$6:$P$1000,Assignments!$B$6:$B$1000,$A403,Assignments!$E$6:$E$1000,"Completed"),""))</f>
        <v/>
      </c>
      <c r="N403" s="2"/>
      <c r="O403" s="2"/>
      <c r="P403" s="1" t="str">
        <f>IF(A403="","",MAX(0,MIN(3,SUMIFS(Strike_Log!$C:$C,Strike_Log!$B:$B,A403,Strike_Log!$A:$A,"&gt;="&amp;IF(Config!$B$1004="Y",TODAY()-Config!$B$1005,DATE(1900,1,1)),Strike_Log!$I:$I,1))))</f>
        <v/>
      </c>
      <c r="Q403" s="1">
        <f t="shared" si="3"/>
        <v>0</v>
      </c>
      <c r="R403" s="1" t="str">
        <f>IF(A403="","",IFERROR(AVERAGEIFS(Assignments!$J:$J,Assignments!$B:$B,A403,Assignments!$E:$E,"Completed"),""))</f>
        <v/>
      </c>
      <c r="S403" s="1" t="str">
        <f>IF(A403="","",COUNTIFS(Assignments!$B:$B,A403,Assignments!$AE:$AE, "Y",Assignments!$D:$D,"&gt;="&amp;TODAY()-30))</f>
        <v/>
      </c>
      <c r="T403" s="1" t="str">
        <f>IF(A403="","",COUNTIFS(Assignments!$AF:$AF,A403,Assignments!$AE:$AE, "Y",Assignments!$D:$D,"&gt;="&amp;TODAY()-30))</f>
        <v/>
      </c>
      <c r="U403" s="1" t="str">
        <f>IF(A403="","",IFERROR(S403/MAX(1,COUNTIFS(Assignments!$B:$B,A403,Assignments!$D:$D,"&gt;="&amp;TODAY()-30)),""))</f>
        <v/>
      </c>
      <c r="V403" s="1" t="str">
        <f t="shared" si="4"/>
        <v/>
      </c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 t="str">
        <f>IF($A404="","",IFERROR(AVERAGEIFS(Assignments!$N$6:$N$1000,Assignments!$B$6:$B$1000,$A404,Assignments!$E$6:$E$1000,"Completed"),""))</f>
        <v/>
      </c>
      <c r="K404" s="2" t="str">
        <f>IF(A404="","",IFERROR(AVERAGEIFS(Assignments!$AO:$AO,Assignments!$B:$B,A404,Assignments!$E:$E,"Completed"),""))</f>
        <v/>
      </c>
      <c r="L404" s="2" t="str">
        <f>IF($A404="","",IFERROR(COUNTIFS(Assignments!$B$6:$B$1000,$A404,Assignments!$E$6:$E$1000,"Cancelled")/MAX(1,COUNTIFS(Assignments!$B$6:$B$1000,$A404,Assignments!$E$6:$E$1000,"Completed")+COUNTIFS(Assignments!$B$6:$B$1000,$A404,Assignments!$E$6:$E$1000,"Cancelled")),""))</f>
        <v/>
      </c>
      <c r="M404" s="2" t="str">
        <f>IF($A404="","",IFERROR(AVERAGEIFS(Assignments!$P$6:$P$1000,Assignments!$B$6:$B$1000,$A404,Assignments!$E$6:$E$1000,"Completed"),""))</f>
        <v/>
      </c>
      <c r="N404" s="2"/>
      <c r="O404" s="2"/>
      <c r="P404" s="1" t="str">
        <f>IF(A404="","",MAX(0,MIN(3,SUMIFS(Strike_Log!$C:$C,Strike_Log!$B:$B,A404,Strike_Log!$A:$A,"&gt;="&amp;IF(Config!$B$1004="Y",TODAY()-Config!$B$1005,DATE(1900,1,1)),Strike_Log!$I:$I,1))))</f>
        <v/>
      </c>
      <c r="Q404" s="1">
        <f t="shared" si="3"/>
        <v>0</v>
      </c>
      <c r="R404" s="1" t="str">
        <f>IF(A404="","",IFERROR(AVERAGEIFS(Assignments!$J:$J,Assignments!$B:$B,A404,Assignments!$E:$E,"Completed"),""))</f>
        <v/>
      </c>
      <c r="S404" s="1" t="str">
        <f>IF(A404="","",COUNTIFS(Assignments!$B:$B,A404,Assignments!$AE:$AE, "Y",Assignments!$D:$D,"&gt;="&amp;TODAY()-30))</f>
        <v/>
      </c>
      <c r="T404" s="1" t="str">
        <f>IF(A404="","",COUNTIFS(Assignments!$AF:$AF,A404,Assignments!$AE:$AE, "Y",Assignments!$D:$D,"&gt;="&amp;TODAY()-30))</f>
        <v/>
      </c>
      <c r="U404" s="1" t="str">
        <f>IF(A404="","",IFERROR(S404/MAX(1,COUNTIFS(Assignments!$B:$B,A404,Assignments!$D:$D,"&gt;="&amp;TODAY()-30)),""))</f>
        <v/>
      </c>
      <c r="V404" s="1" t="str">
        <f t="shared" si="4"/>
        <v/>
      </c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 t="str">
        <f>IF($A405="","",IFERROR(AVERAGEIFS(Assignments!$N$6:$N$1000,Assignments!$B$6:$B$1000,$A405,Assignments!$E$6:$E$1000,"Completed"),""))</f>
        <v/>
      </c>
      <c r="K405" s="2" t="str">
        <f>IF(A405="","",IFERROR(AVERAGEIFS(Assignments!$AO:$AO,Assignments!$B:$B,A405,Assignments!$E:$E,"Completed"),""))</f>
        <v/>
      </c>
      <c r="L405" s="2" t="str">
        <f>IF($A405="","",IFERROR(COUNTIFS(Assignments!$B$6:$B$1000,$A405,Assignments!$E$6:$E$1000,"Cancelled")/MAX(1,COUNTIFS(Assignments!$B$6:$B$1000,$A405,Assignments!$E$6:$E$1000,"Completed")+COUNTIFS(Assignments!$B$6:$B$1000,$A405,Assignments!$E$6:$E$1000,"Cancelled")),""))</f>
        <v/>
      </c>
      <c r="M405" s="2" t="str">
        <f>IF($A405="","",IFERROR(AVERAGEIFS(Assignments!$P$6:$P$1000,Assignments!$B$6:$B$1000,$A405,Assignments!$E$6:$E$1000,"Completed"),""))</f>
        <v/>
      </c>
      <c r="N405" s="2"/>
      <c r="O405" s="2"/>
      <c r="P405" s="1" t="str">
        <f>IF(A405="","",MAX(0,MIN(3,SUMIFS(Strike_Log!$C:$C,Strike_Log!$B:$B,A405,Strike_Log!$A:$A,"&gt;="&amp;IF(Config!$B$1004="Y",TODAY()-Config!$B$1005,DATE(1900,1,1)),Strike_Log!$I:$I,1))))</f>
        <v/>
      </c>
      <c r="Q405" s="1">
        <f t="shared" si="3"/>
        <v>0</v>
      </c>
      <c r="R405" s="1" t="str">
        <f>IF(A405="","",IFERROR(AVERAGEIFS(Assignments!$J:$J,Assignments!$B:$B,A405,Assignments!$E:$E,"Completed"),""))</f>
        <v/>
      </c>
      <c r="S405" s="1" t="str">
        <f>IF(A405="","",COUNTIFS(Assignments!$B:$B,A405,Assignments!$AE:$AE, "Y",Assignments!$D:$D,"&gt;="&amp;TODAY()-30))</f>
        <v/>
      </c>
      <c r="T405" s="1" t="str">
        <f>IF(A405="","",COUNTIFS(Assignments!$AF:$AF,A405,Assignments!$AE:$AE, "Y",Assignments!$D:$D,"&gt;="&amp;TODAY()-30))</f>
        <v/>
      </c>
      <c r="U405" s="1" t="str">
        <f>IF(A405="","",IFERROR(S405/MAX(1,COUNTIFS(Assignments!$B:$B,A405,Assignments!$D:$D,"&gt;="&amp;TODAY()-30)),""))</f>
        <v/>
      </c>
      <c r="V405" s="1" t="str">
        <f t="shared" si="4"/>
        <v/>
      </c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 t="str">
        <f>IF($A406="","",IFERROR(AVERAGEIFS(Assignments!$N$6:$N$1000,Assignments!$B$6:$B$1000,$A406,Assignments!$E$6:$E$1000,"Completed"),""))</f>
        <v/>
      </c>
      <c r="K406" s="2" t="str">
        <f>IF(A406="","",IFERROR(AVERAGEIFS(Assignments!$AO:$AO,Assignments!$B:$B,A406,Assignments!$E:$E,"Completed"),""))</f>
        <v/>
      </c>
      <c r="L406" s="2" t="str">
        <f>IF($A406="","",IFERROR(COUNTIFS(Assignments!$B$6:$B$1000,$A406,Assignments!$E$6:$E$1000,"Cancelled")/MAX(1,COUNTIFS(Assignments!$B$6:$B$1000,$A406,Assignments!$E$6:$E$1000,"Completed")+COUNTIFS(Assignments!$B$6:$B$1000,$A406,Assignments!$E$6:$E$1000,"Cancelled")),""))</f>
        <v/>
      </c>
      <c r="M406" s="2" t="str">
        <f>IF($A406="","",IFERROR(AVERAGEIFS(Assignments!$P$6:$P$1000,Assignments!$B$6:$B$1000,$A406,Assignments!$E$6:$E$1000,"Completed"),""))</f>
        <v/>
      </c>
      <c r="N406" s="2"/>
      <c r="O406" s="2"/>
      <c r="P406" s="1" t="str">
        <f>IF(A406="","",MAX(0,MIN(3,SUMIFS(Strike_Log!$C:$C,Strike_Log!$B:$B,A406,Strike_Log!$A:$A,"&gt;="&amp;IF(Config!$B$1004="Y",TODAY()-Config!$B$1005,DATE(1900,1,1)),Strike_Log!$I:$I,1))))</f>
        <v/>
      </c>
      <c r="Q406" s="1">
        <f t="shared" si="3"/>
        <v>0</v>
      </c>
      <c r="R406" s="1" t="str">
        <f>IF(A406="","",IFERROR(AVERAGEIFS(Assignments!$J:$J,Assignments!$B:$B,A406,Assignments!$E:$E,"Completed"),""))</f>
        <v/>
      </c>
      <c r="S406" s="1" t="str">
        <f>IF(A406="","",COUNTIFS(Assignments!$B:$B,A406,Assignments!$AE:$AE, "Y",Assignments!$D:$D,"&gt;="&amp;TODAY()-30))</f>
        <v/>
      </c>
      <c r="T406" s="1" t="str">
        <f>IF(A406="","",COUNTIFS(Assignments!$AF:$AF,A406,Assignments!$AE:$AE, "Y",Assignments!$D:$D,"&gt;="&amp;TODAY()-30))</f>
        <v/>
      </c>
      <c r="U406" s="1" t="str">
        <f>IF(A406="","",IFERROR(S406/MAX(1,COUNTIFS(Assignments!$B:$B,A406,Assignments!$D:$D,"&gt;="&amp;TODAY()-30)),""))</f>
        <v/>
      </c>
      <c r="V406" s="1" t="str">
        <f t="shared" si="4"/>
        <v/>
      </c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 t="str">
        <f>IF($A407="","",IFERROR(AVERAGEIFS(Assignments!$N$6:$N$1000,Assignments!$B$6:$B$1000,$A407,Assignments!$E$6:$E$1000,"Completed"),""))</f>
        <v/>
      </c>
      <c r="K407" s="2" t="str">
        <f>IF(A407="","",IFERROR(AVERAGEIFS(Assignments!$AO:$AO,Assignments!$B:$B,A407,Assignments!$E:$E,"Completed"),""))</f>
        <v/>
      </c>
      <c r="L407" s="2" t="str">
        <f>IF($A407="","",IFERROR(COUNTIFS(Assignments!$B$6:$B$1000,$A407,Assignments!$E$6:$E$1000,"Cancelled")/MAX(1,COUNTIFS(Assignments!$B$6:$B$1000,$A407,Assignments!$E$6:$E$1000,"Completed")+COUNTIFS(Assignments!$B$6:$B$1000,$A407,Assignments!$E$6:$E$1000,"Cancelled")),""))</f>
        <v/>
      </c>
      <c r="M407" s="2" t="str">
        <f>IF($A407="","",IFERROR(AVERAGEIFS(Assignments!$P$6:$P$1000,Assignments!$B$6:$B$1000,$A407,Assignments!$E$6:$E$1000,"Completed"),""))</f>
        <v/>
      </c>
      <c r="N407" s="2"/>
      <c r="O407" s="2"/>
      <c r="P407" s="1" t="str">
        <f>IF(A407="","",MAX(0,MIN(3,SUMIFS(Strike_Log!$C:$C,Strike_Log!$B:$B,A407,Strike_Log!$A:$A,"&gt;="&amp;IF(Config!$B$1004="Y",TODAY()-Config!$B$1005,DATE(1900,1,1)),Strike_Log!$I:$I,1))))</f>
        <v/>
      </c>
      <c r="Q407" s="1">
        <f t="shared" si="3"/>
        <v>0</v>
      </c>
      <c r="R407" s="1" t="str">
        <f>IF(A407="","",IFERROR(AVERAGEIFS(Assignments!$J:$J,Assignments!$B:$B,A407,Assignments!$E:$E,"Completed"),""))</f>
        <v/>
      </c>
      <c r="S407" s="1" t="str">
        <f>IF(A407="","",COUNTIFS(Assignments!$B:$B,A407,Assignments!$AE:$AE, "Y",Assignments!$D:$D,"&gt;="&amp;TODAY()-30))</f>
        <v/>
      </c>
      <c r="T407" s="1" t="str">
        <f>IF(A407="","",COUNTIFS(Assignments!$AF:$AF,A407,Assignments!$AE:$AE, "Y",Assignments!$D:$D,"&gt;="&amp;TODAY()-30))</f>
        <v/>
      </c>
      <c r="U407" s="1" t="str">
        <f>IF(A407="","",IFERROR(S407/MAX(1,COUNTIFS(Assignments!$B:$B,A407,Assignments!$D:$D,"&gt;="&amp;TODAY()-30)),""))</f>
        <v/>
      </c>
      <c r="V407" s="1" t="str">
        <f t="shared" si="4"/>
        <v/>
      </c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 t="str">
        <f>IF($A408="","",IFERROR(AVERAGEIFS(Assignments!$N$6:$N$1000,Assignments!$B$6:$B$1000,$A408,Assignments!$E$6:$E$1000,"Completed"),""))</f>
        <v/>
      </c>
      <c r="K408" s="2" t="str">
        <f>IF(A408="","",IFERROR(AVERAGEIFS(Assignments!$AO:$AO,Assignments!$B:$B,A408,Assignments!$E:$E,"Completed"),""))</f>
        <v/>
      </c>
      <c r="L408" s="2" t="str">
        <f>IF($A408="","",IFERROR(COUNTIFS(Assignments!$B$6:$B$1000,$A408,Assignments!$E$6:$E$1000,"Cancelled")/MAX(1,COUNTIFS(Assignments!$B$6:$B$1000,$A408,Assignments!$E$6:$E$1000,"Completed")+COUNTIFS(Assignments!$B$6:$B$1000,$A408,Assignments!$E$6:$E$1000,"Cancelled")),""))</f>
        <v/>
      </c>
      <c r="M408" s="2" t="str">
        <f>IF($A408="","",IFERROR(AVERAGEIFS(Assignments!$P$6:$P$1000,Assignments!$B$6:$B$1000,$A408,Assignments!$E$6:$E$1000,"Completed"),""))</f>
        <v/>
      </c>
      <c r="N408" s="2"/>
      <c r="O408" s="2"/>
      <c r="P408" s="1" t="str">
        <f>IF(A408="","",MAX(0,MIN(3,SUMIFS(Strike_Log!$C:$C,Strike_Log!$B:$B,A408,Strike_Log!$A:$A,"&gt;="&amp;IF(Config!$B$1004="Y",TODAY()-Config!$B$1005,DATE(1900,1,1)),Strike_Log!$I:$I,1))))</f>
        <v/>
      </c>
      <c r="Q408" s="1">
        <f t="shared" si="3"/>
        <v>0</v>
      </c>
      <c r="R408" s="1" t="str">
        <f>IF(A408="","",IFERROR(AVERAGEIFS(Assignments!$J:$J,Assignments!$B:$B,A408,Assignments!$E:$E,"Completed"),""))</f>
        <v/>
      </c>
      <c r="S408" s="1" t="str">
        <f>IF(A408="","",COUNTIFS(Assignments!$B:$B,A408,Assignments!$AE:$AE, "Y",Assignments!$D:$D,"&gt;="&amp;TODAY()-30))</f>
        <v/>
      </c>
      <c r="T408" s="1" t="str">
        <f>IF(A408="","",COUNTIFS(Assignments!$AF:$AF,A408,Assignments!$AE:$AE, "Y",Assignments!$D:$D,"&gt;="&amp;TODAY()-30))</f>
        <v/>
      </c>
      <c r="U408" s="1" t="str">
        <f>IF(A408="","",IFERROR(S408/MAX(1,COUNTIFS(Assignments!$B:$B,A408,Assignments!$D:$D,"&gt;="&amp;TODAY()-30)),""))</f>
        <v/>
      </c>
      <c r="V408" s="1" t="str">
        <f t="shared" si="4"/>
        <v/>
      </c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 t="str">
        <f>IF($A409="","",IFERROR(AVERAGEIFS(Assignments!$N$6:$N$1000,Assignments!$B$6:$B$1000,$A409,Assignments!$E$6:$E$1000,"Completed"),""))</f>
        <v/>
      </c>
      <c r="K409" s="2" t="str">
        <f>IF(A409="","",IFERROR(AVERAGEIFS(Assignments!$AO:$AO,Assignments!$B:$B,A409,Assignments!$E:$E,"Completed"),""))</f>
        <v/>
      </c>
      <c r="L409" s="2" t="str">
        <f>IF($A409="","",IFERROR(COUNTIFS(Assignments!$B$6:$B$1000,$A409,Assignments!$E$6:$E$1000,"Cancelled")/MAX(1,COUNTIFS(Assignments!$B$6:$B$1000,$A409,Assignments!$E$6:$E$1000,"Completed")+COUNTIFS(Assignments!$B$6:$B$1000,$A409,Assignments!$E$6:$E$1000,"Cancelled")),""))</f>
        <v/>
      </c>
      <c r="M409" s="2" t="str">
        <f>IF($A409="","",IFERROR(AVERAGEIFS(Assignments!$P$6:$P$1000,Assignments!$B$6:$B$1000,$A409,Assignments!$E$6:$E$1000,"Completed"),""))</f>
        <v/>
      </c>
      <c r="N409" s="2"/>
      <c r="O409" s="2"/>
      <c r="P409" s="1" t="str">
        <f>IF(A409="","",MAX(0,MIN(3,SUMIFS(Strike_Log!$C:$C,Strike_Log!$B:$B,A409,Strike_Log!$A:$A,"&gt;="&amp;IF(Config!$B$1004="Y",TODAY()-Config!$B$1005,DATE(1900,1,1)),Strike_Log!$I:$I,1))))</f>
        <v/>
      </c>
      <c r="Q409" s="1">
        <f t="shared" si="3"/>
        <v>0</v>
      </c>
      <c r="R409" s="1" t="str">
        <f>IF(A409="","",IFERROR(AVERAGEIFS(Assignments!$J:$J,Assignments!$B:$B,A409,Assignments!$E:$E,"Completed"),""))</f>
        <v/>
      </c>
      <c r="S409" s="1" t="str">
        <f>IF(A409="","",COUNTIFS(Assignments!$B:$B,A409,Assignments!$AE:$AE, "Y",Assignments!$D:$D,"&gt;="&amp;TODAY()-30))</f>
        <v/>
      </c>
      <c r="T409" s="1" t="str">
        <f>IF(A409="","",COUNTIFS(Assignments!$AF:$AF,A409,Assignments!$AE:$AE, "Y",Assignments!$D:$D,"&gt;="&amp;TODAY()-30))</f>
        <v/>
      </c>
      <c r="U409" s="1" t="str">
        <f>IF(A409="","",IFERROR(S409/MAX(1,COUNTIFS(Assignments!$B:$B,A409,Assignments!$D:$D,"&gt;="&amp;TODAY()-30)),""))</f>
        <v/>
      </c>
      <c r="V409" s="1" t="str">
        <f t="shared" si="4"/>
        <v/>
      </c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 t="str">
        <f>IF($A410="","",IFERROR(AVERAGEIFS(Assignments!$N$6:$N$1000,Assignments!$B$6:$B$1000,$A410,Assignments!$E$6:$E$1000,"Completed"),""))</f>
        <v/>
      </c>
      <c r="K410" s="2" t="str">
        <f>IF(A410="","",IFERROR(AVERAGEIFS(Assignments!$AO:$AO,Assignments!$B:$B,A410,Assignments!$E:$E,"Completed"),""))</f>
        <v/>
      </c>
      <c r="L410" s="2" t="str">
        <f>IF($A410="","",IFERROR(COUNTIFS(Assignments!$B$6:$B$1000,$A410,Assignments!$E$6:$E$1000,"Cancelled")/MAX(1,COUNTIFS(Assignments!$B$6:$B$1000,$A410,Assignments!$E$6:$E$1000,"Completed")+COUNTIFS(Assignments!$B$6:$B$1000,$A410,Assignments!$E$6:$E$1000,"Cancelled")),""))</f>
        <v/>
      </c>
      <c r="M410" s="2" t="str">
        <f>IF($A410="","",IFERROR(AVERAGEIFS(Assignments!$P$6:$P$1000,Assignments!$B$6:$B$1000,$A410,Assignments!$E$6:$E$1000,"Completed"),""))</f>
        <v/>
      </c>
      <c r="N410" s="2"/>
      <c r="O410" s="2"/>
      <c r="P410" s="1" t="str">
        <f>IF(A410="","",MAX(0,MIN(3,SUMIFS(Strike_Log!$C:$C,Strike_Log!$B:$B,A410,Strike_Log!$A:$A,"&gt;="&amp;IF(Config!$B$1004="Y",TODAY()-Config!$B$1005,DATE(1900,1,1)),Strike_Log!$I:$I,1))))</f>
        <v/>
      </c>
      <c r="Q410" s="1">
        <f t="shared" si="3"/>
        <v>0</v>
      </c>
      <c r="R410" s="1" t="str">
        <f>IF(A410="","",IFERROR(AVERAGEIFS(Assignments!$J:$J,Assignments!$B:$B,A410,Assignments!$E:$E,"Completed"),""))</f>
        <v/>
      </c>
      <c r="S410" s="1" t="str">
        <f>IF(A410="","",COUNTIFS(Assignments!$B:$B,A410,Assignments!$AE:$AE, "Y",Assignments!$D:$D,"&gt;="&amp;TODAY()-30))</f>
        <v/>
      </c>
      <c r="T410" s="1" t="str">
        <f>IF(A410="","",COUNTIFS(Assignments!$AF:$AF,A410,Assignments!$AE:$AE, "Y",Assignments!$D:$D,"&gt;="&amp;TODAY()-30))</f>
        <v/>
      </c>
      <c r="U410" s="1" t="str">
        <f>IF(A410="","",IFERROR(S410/MAX(1,COUNTIFS(Assignments!$B:$B,A410,Assignments!$D:$D,"&gt;="&amp;TODAY()-30)),""))</f>
        <v/>
      </c>
      <c r="V410" s="1" t="str">
        <f t="shared" si="4"/>
        <v/>
      </c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 t="str">
        <f>IF($A411="","",IFERROR(AVERAGEIFS(Assignments!$N$6:$N$1000,Assignments!$B$6:$B$1000,$A411,Assignments!$E$6:$E$1000,"Completed"),""))</f>
        <v/>
      </c>
      <c r="K411" s="2" t="str">
        <f>IF(A411="","",IFERROR(AVERAGEIFS(Assignments!$AO:$AO,Assignments!$B:$B,A411,Assignments!$E:$E,"Completed"),""))</f>
        <v/>
      </c>
      <c r="L411" s="2" t="str">
        <f>IF($A411="","",IFERROR(COUNTIFS(Assignments!$B$6:$B$1000,$A411,Assignments!$E$6:$E$1000,"Cancelled")/MAX(1,COUNTIFS(Assignments!$B$6:$B$1000,$A411,Assignments!$E$6:$E$1000,"Completed")+COUNTIFS(Assignments!$B$6:$B$1000,$A411,Assignments!$E$6:$E$1000,"Cancelled")),""))</f>
        <v/>
      </c>
      <c r="M411" s="2" t="str">
        <f>IF($A411="","",IFERROR(AVERAGEIFS(Assignments!$P$6:$P$1000,Assignments!$B$6:$B$1000,$A411,Assignments!$E$6:$E$1000,"Completed"),""))</f>
        <v/>
      </c>
      <c r="N411" s="2"/>
      <c r="O411" s="2"/>
      <c r="P411" s="1" t="str">
        <f>IF(A411="","",MAX(0,MIN(3,SUMIFS(Strike_Log!$C:$C,Strike_Log!$B:$B,A411,Strike_Log!$A:$A,"&gt;="&amp;IF(Config!$B$1004="Y",TODAY()-Config!$B$1005,DATE(1900,1,1)),Strike_Log!$I:$I,1))))</f>
        <v/>
      </c>
      <c r="Q411" s="1">
        <f t="shared" si="3"/>
        <v>0</v>
      </c>
      <c r="R411" s="1" t="str">
        <f>IF(A411="","",IFERROR(AVERAGEIFS(Assignments!$J:$J,Assignments!$B:$B,A411,Assignments!$E:$E,"Completed"),""))</f>
        <v/>
      </c>
      <c r="S411" s="1" t="str">
        <f>IF(A411="","",COUNTIFS(Assignments!$B:$B,A411,Assignments!$AE:$AE, "Y",Assignments!$D:$D,"&gt;="&amp;TODAY()-30))</f>
        <v/>
      </c>
      <c r="T411" s="1" t="str">
        <f>IF(A411="","",COUNTIFS(Assignments!$AF:$AF,A411,Assignments!$AE:$AE, "Y",Assignments!$D:$D,"&gt;="&amp;TODAY()-30))</f>
        <v/>
      </c>
      <c r="U411" s="1" t="str">
        <f>IF(A411="","",IFERROR(S411/MAX(1,COUNTIFS(Assignments!$B:$B,A411,Assignments!$D:$D,"&gt;="&amp;TODAY()-30)),""))</f>
        <v/>
      </c>
      <c r="V411" s="1" t="str">
        <f t="shared" si="4"/>
        <v/>
      </c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 t="str">
        <f>IF($A412="","",IFERROR(AVERAGEIFS(Assignments!$N$6:$N$1000,Assignments!$B$6:$B$1000,$A412,Assignments!$E$6:$E$1000,"Completed"),""))</f>
        <v/>
      </c>
      <c r="K412" s="2" t="str">
        <f>IF(A412="","",IFERROR(AVERAGEIFS(Assignments!$AO:$AO,Assignments!$B:$B,A412,Assignments!$E:$E,"Completed"),""))</f>
        <v/>
      </c>
      <c r="L412" s="2" t="str">
        <f>IF($A412="","",IFERROR(COUNTIFS(Assignments!$B$6:$B$1000,$A412,Assignments!$E$6:$E$1000,"Cancelled")/MAX(1,COUNTIFS(Assignments!$B$6:$B$1000,$A412,Assignments!$E$6:$E$1000,"Completed")+COUNTIFS(Assignments!$B$6:$B$1000,$A412,Assignments!$E$6:$E$1000,"Cancelled")),""))</f>
        <v/>
      </c>
      <c r="M412" s="2" t="str">
        <f>IF($A412="","",IFERROR(AVERAGEIFS(Assignments!$P$6:$P$1000,Assignments!$B$6:$B$1000,$A412,Assignments!$E$6:$E$1000,"Completed"),""))</f>
        <v/>
      </c>
      <c r="N412" s="2"/>
      <c r="O412" s="2"/>
      <c r="P412" s="1" t="str">
        <f>IF(A412="","",MAX(0,MIN(3,SUMIFS(Strike_Log!$C:$C,Strike_Log!$B:$B,A412,Strike_Log!$A:$A,"&gt;="&amp;IF(Config!$B$1004="Y",TODAY()-Config!$B$1005,DATE(1900,1,1)),Strike_Log!$I:$I,1))))</f>
        <v/>
      </c>
      <c r="Q412" s="1">
        <f t="shared" si="3"/>
        <v>0</v>
      </c>
      <c r="R412" s="1" t="str">
        <f>IF(A412="","",IFERROR(AVERAGEIFS(Assignments!$J:$J,Assignments!$B:$B,A412,Assignments!$E:$E,"Completed"),""))</f>
        <v/>
      </c>
      <c r="S412" s="1" t="str">
        <f>IF(A412="","",COUNTIFS(Assignments!$B:$B,A412,Assignments!$AE:$AE, "Y",Assignments!$D:$D,"&gt;="&amp;TODAY()-30))</f>
        <v/>
      </c>
      <c r="T412" s="1" t="str">
        <f>IF(A412="","",COUNTIFS(Assignments!$AF:$AF,A412,Assignments!$AE:$AE, "Y",Assignments!$D:$D,"&gt;="&amp;TODAY()-30))</f>
        <v/>
      </c>
      <c r="U412" s="1" t="str">
        <f>IF(A412="","",IFERROR(S412/MAX(1,COUNTIFS(Assignments!$B:$B,A412,Assignments!$D:$D,"&gt;="&amp;TODAY()-30)),""))</f>
        <v/>
      </c>
      <c r="V412" s="1" t="str">
        <f t="shared" si="4"/>
        <v/>
      </c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 t="str">
        <f>IF($A413="","",IFERROR(AVERAGEIFS(Assignments!$N$6:$N$1000,Assignments!$B$6:$B$1000,$A413,Assignments!$E$6:$E$1000,"Completed"),""))</f>
        <v/>
      </c>
      <c r="K413" s="2" t="str">
        <f>IF(A413="","",IFERROR(AVERAGEIFS(Assignments!$AO:$AO,Assignments!$B:$B,A413,Assignments!$E:$E,"Completed"),""))</f>
        <v/>
      </c>
      <c r="L413" s="2" t="str">
        <f>IF($A413="","",IFERROR(COUNTIFS(Assignments!$B$6:$B$1000,$A413,Assignments!$E$6:$E$1000,"Cancelled")/MAX(1,COUNTIFS(Assignments!$B$6:$B$1000,$A413,Assignments!$E$6:$E$1000,"Completed")+COUNTIFS(Assignments!$B$6:$B$1000,$A413,Assignments!$E$6:$E$1000,"Cancelled")),""))</f>
        <v/>
      </c>
      <c r="M413" s="2" t="str">
        <f>IF($A413="","",IFERROR(AVERAGEIFS(Assignments!$P$6:$P$1000,Assignments!$B$6:$B$1000,$A413,Assignments!$E$6:$E$1000,"Completed"),""))</f>
        <v/>
      </c>
      <c r="N413" s="2"/>
      <c r="O413" s="2"/>
      <c r="P413" s="1" t="str">
        <f>IF(A413="","",MAX(0,MIN(3,SUMIFS(Strike_Log!$C:$C,Strike_Log!$B:$B,A413,Strike_Log!$A:$A,"&gt;="&amp;IF(Config!$B$1004="Y",TODAY()-Config!$B$1005,DATE(1900,1,1)),Strike_Log!$I:$I,1))))</f>
        <v/>
      </c>
      <c r="Q413" s="1">
        <f t="shared" si="3"/>
        <v>0</v>
      </c>
      <c r="R413" s="1" t="str">
        <f>IF(A413="","",IFERROR(AVERAGEIFS(Assignments!$J:$J,Assignments!$B:$B,A413,Assignments!$E:$E,"Completed"),""))</f>
        <v/>
      </c>
      <c r="S413" s="1" t="str">
        <f>IF(A413="","",COUNTIFS(Assignments!$B:$B,A413,Assignments!$AE:$AE, "Y",Assignments!$D:$D,"&gt;="&amp;TODAY()-30))</f>
        <v/>
      </c>
      <c r="T413" s="1" t="str">
        <f>IF(A413="","",COUNTIFS(Assignments!$AF:$AF,A413,Assignments!$AE:$AE, "Y",Assignments!$D:$D,"&gt;="&amp;TODAY()-30))</f>
        <v/>
      </c>
      <c r="U413" s="1" t="str">
        <f>IF(A413="","",IFERROR(S413/MAX(1,COUNTIFS(Assignments!$B:$B,A413,Assignments!$D:$D,"&gt;="&amp;TODAY()-30)),""))</f>
        <v/>
      </c>
      <c r="V413" s="1" t="str">
        <f t="shared" si="4"/>
        <v/>
      </c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 t="str">
        <f>IF($A414="","",IFERROR(AVERAGEIFS(Assignments!$N$6:$N$1000,Assignments!$B$6:$B$1000,$A414,Assignments!$E$6:$E$1000,"Completed"),""))</f>
        <v/>
      </c>
      <c r="K414" s="2" t="str">
        <f>IF(A414="","",IFERROR(AVERAGEIFS(Assignments!$AO:$AO,Assignments!$B:$B,A414,Assignments!$E:$E,"Completed"),""))</f>
        <v/>
      </c>
      <c r="L414" s="2" t="str">
        <f>IF($A414="","",IFERROR(COUNTIFS(Assignments!$B$6:$B$1000,$A414,Assignments!$E$6:$E$1000,"Cancelled")/MAX(1,COUNTIFS(Assignments!$B$6:$B$1000,$A414,Assignments!$E$6:$E$1000,"Completed")+COUNTIFS(Assignments!$B$6:$B$1000,$A414,Assignments!$E$6:$E$1000,"Cancelled")),""))</f>
        <v/>
      </c>
      <c r="M414" s="2" t="str">
        <f>IF($A414="","",IFERROR(AVERAGEIFS(Assignments!$P$6:$P$1000,Assignments!$B$6:$B$1000,$A414,Assignments!$E$6:$E$1000,"Completed"),""))</f>
        <v/>
      </c>
      <c r="N414" s="2"/>
      <c r="O414" s="2"/>
      <c r="P414" s="1" t="str">
        <f>IF(A414="","",MAX(0,MIN(3,SUMIFS(Strike_Log!$C:$C,Strike_Log!$B:$B,A414,Strike_Log!$A:$A,"&gt;="&amp;IF(Config!$B$1004="Y",TODAY()-Config!$B$1005,DATE(1900,1,1)),Strike_Log!$I:$I,1))))</f>
        <v/>
      </c>
      <c r="Q414" s="1">
        <f t="shared" si="3"/>
        <v>0</v>
      </c>
      <c r="R414" s="1" t="str">
        <f>IF(A414="","",IFERROR(AVERAGEIFS(Assignments!$J:$J,Assignments!$B:$B,A414,Assignments!$E:$E,"Completed"),""))</f>
        <v/>
      </c>
      <c r="S414" s="1" t="str">
        <f>IF(A414="","",COUNTIFS(Assignments!$B:$B,A414,Assignments!$AE:$AE, "Y",Assignments!$D:$D,"&gt;="&amp;TODAY()-30))</f>
        <v/>
      </c>
      <c r="T414" s="1" t="str">
        <f>IF(A414="","",COUNTIFS(Assignments!$AF:$AF,A414,Assignments!$AE:$AE, "Y",Assignments!$D:$D,"&gt;="&amp;TODAY()-30))</f>
        <v/>
      </c>
      <c r="U414" s="1" t="str">
        <f>IF(A414="","",IFERROR(S414/MAX(1,COUNTIFS(Assignments!$B:$B,A414,Assignments!$D:$D,"&gt;="&amp;TODAY()-30)),""))</f>
        <v/>
      </c>
      <c r="V414" s="1" t="str">
        <f t="shared" si="4"/>
        <v/>
      </c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 t="str">
        <f>IF($A415="","",IFERROR(AVERAGEIFS(Assignments!$N$6:$N$1000,Assignments!$B$6:$B$1000,$A415,Assignments!$E$6:$E$1000,"Completed"),""))</f>
        <v/>
      </c>
      <c r="K415" s="2" t="str">
        <f>IF(A415="","",IFERROR(AVERAGEIFS(Assignments!$AO:$AO,Assignments!$B:$B,A415,Assignments!$E:$E,"Completed"),""))</f>
        <v/>
      </c>
      <c r="L415" s="2" t="str">
        <f>IF($A415="","",IFERROR(COUNTIFS(Assignments!$B$6:$B$1000,$A415,Assignments!$E$6:$E$1000,"Cancelled")/MAX(1,COUNTIFS(Assignments!$B$6:$B$1000,$A415,Assignments!$E$6:$E$1000,"Completed")+COUNTIFS(Assignments!$B$6:$B$1000,$A415,Assignments!$E$6:$E$1000,"Cancelled")),""))</f>
        <v/>
      </c>
      <c r="M415" s="2" t="str">
        <f>IF($A415="","",IFERROR(AVERAGEIFS(Assignments!$P$6:$P$1000,Assignments!$B$6:$B$1000,$A415,Assignments!$E$6:$E$1000,"Completed"),""))</f>
        <v/>
      </c>
      <c r="N415" s="2"/>
      <c r="O415" s="2"/>
      <c r="P415" s="1" t="str">
        <f>IF(A415="","",MAX(0,MIN(3,SUMIFS(Strike_Log!$C:$C,Strike_Log!$B:$B,A415,Strike_Log!$A:$A,"&gt;="&amp;IF(Config!$B$1004="Y",TODAY()-Config!$B$1005,DATE(1900,1,1)),Strike_Log!$I:$I,1))))</f>
        <v/>
      </c>
      <c r="Q415" s="1">
        <f t="shared" si="3"/>
        <v>0</v>
      </c>
      <c r="R415" s="1" t="str">
        <f>IF(A415="","",IFERROR(AVERAGEIFS(Assignments!$J:$J,Assignments!$B:$B,A415,Assignments!$E:$E,"Completed"),""))</f>
        <v/>
      </c>
      <c r="S415" s="1" t="str">
        <f>IF(A415="","",COUNTIFS(Assignments!$B:$B,A415,Assignments!$AE:$AE, "Y",Assignments!$D:$D,"&gt;="&amp;TODAY()-30))</f>
        <v/>
      </c>
      <c r="T415" s="1" t="str">
        <f>IF(A415="","",COUNTIFS(Assignments!$AF:$AF,A415,Assignments!$AE:$AE, "Y",Assignments!$D:$D,"&gt;="&amp;TODAY()-30))</f>
        <v/>
      </c>
      <c r="U415" s="1" t="str">
        <f>IF(A415="","",IFERROR(S415/MAX(1,COUNTIFS(Assignments!$B:$B,A415,Assignments!$D:$D,"&gt;="&amp;TODAY()-30)),""))</f>
        <v/>
      </c>
      <c r="V415" s="1" t="str">
        <f t="shared" si="4"/>
        <v/>
      </c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 t="str">
        <f>IF($A416="","",IFERROR(AVERAGEIFS(Assignments!$N$6:$N$1000,Assignments!$B$6:$B$1000,$A416,Assignments!$E$6:$E$1000,"Completed"),""))</f>
        <v/>
      </c>
      <c r="K416" s="2" t="str">
        <f>IF(A416="","",IFERROR(AVERAGEIFS(Assignments!$AO:$AO,Assignments!$B:$B,A416,Assignments!$E:$E,"Completed"),""))</f>
        <v/>
      </c>
      <c r="L416" s="2" t="str">
        <f>IF($A416="","",IFERROR(COUNTIFS(Assignments!$B$6:$B$1000,$A416,Assignments!$E$6:$E$1000,"Cancelled")/MAX(1,COUNTIFS(Assignments!$B$6:$B$1000,$A416,Assignments!$E$6:$E$1000,"Completed")+COUNTIFS(Assignments!$B$6:$B$1000,$A416,Assignments!$E$6:$E$1000,"Cancelled")),""))</f>
        <v/>
      </c>
      <c r="M416" s="2" t="str">
        <f>IF($A416="","",IFERROR(AVERAGEIFS(Assignments!$P$6:$P$1000,Assignments!$B$6:$B$1000,$A416,Assignments!$E$6:$E$1000,"Completed"),""))</f>
        <v/>
      </c>
      <c r="N416" s="2"/>
      <c r="O416" s="2"/>
      <c r="P416" s="1" t="str">
        <f>IF(A416="","",MAX(0,MIN(3,SUMIFS(Strike_Log!$C:$C,Strike_Log!$B:$B,A416,Strike_Log!$A:$A,"&gt;="&amp;IF(Config!$B$1004="Y",TODAY()-Config!$B$1005,DATE(1900,1,1)),Strike_Log!$I:$I,1))))</f>
        <v/>
      </c>
      <c r="Q416" s="1">
        <f t="shared" si="3"/>
        <v>0</v>
      </c>
      <c r="R416" s="1" t="str">
        <f>IF(A416="","",IFERROR(AVERAGEIFS(Assignments!$J:$J,Assignments!$B:$B,A416,Assignments!$E:$E,"Completed"),""))</f>
        <v/>
      </c>
      <c r="S416" s="1" t="str">
        <f>IF(A416="","",COUNTIFS(Assignments!$B:$B,A416,Assignments!$AE:$AE, "Y",Assignments!$D:$D,"&gt;="&amp;TODAY()-30))</f>
        <v/>
      </c>
      <c r="T416" s="1" t="str">
        <f>IF(A416="","",COUNTIFS(Assignments!$AF:$AF,A416,Assignments!$AE:$AE, "Y",Assignments!$D:$D,"&gt;="&amp;TODAY()-30))</f>
        <v/>
      </c>
      <c r="U416" s="1" t="str">
        <f>IF(A416="","",IFERROR(S416/MAX(1,COUNTIFS(Assignments!$B:$B,A416,Assignments!$D:$D,"&gt;="&amp;TODAY()-30)),""))</f>
        <v/>
      </c>
      <c r="V416" s="1" t="str">
        <f t="shared" si="4"/>
        <v/>
      </c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 t="str">
        <f>IF($A417="","",IFERROR(AVERAGEIFS(Assignments!$N$6:$N$1000,Assignments!$B$6:$B$1000,$A417,Assignments!$E$6:$E$1000,"Completed"),""))</f>
        <v/>
      </c>
      <c r="K417" s="2" t="str">
        <f>IF(A417="","",IFERROR(AVERAGEIFS(Assignments!$AO:$AO,Assignments!$B:$B,A417,Assignments!$E:$E,"Completed"),""))</f>
        <v/>
      </c>
      <c r="L417" s="2" t="str">
        <f>IF($A417="","",IFERROR(COUNTIFS(Assignments!$B$6:$B$1000,$A417,Assignments!$E$6:$E$1000,"Cancelled")/MAX(1,COUNTIFS(Assignments!$B$6:$B$1000,$A417,Assignments!$E$6:$E$1000,"Completed")+COUNTIFS(Assignments!$B$6:$B$1000,$A417,Assignments!$E$6:$E$1000,"Cancelled")),""))</f>
        <v/>
      </c>
      <c r="M417" s="2" t="str">
        <f>IF($A417="","",IFERROR(AVERAGEIFS(Assignments!$P$6:$P$1000,Assignments!$B$6:$B$1000,$A417,Assignments!$E$6:$E$1000,"Completed"),""))</f>
        <v/>
      </c>
      <c r="N417" s="2"/>
      <c r="O417" s="2"/>
      <c r="P417" s="1" t="str">
        <f>IF(A417="","",MAX(0,MIN(3,SUMIFS(Strike_Log!$C:$C,Strike_Log!$B:$B,A417,Strike_Log!$A:$A,"&gt;="&amp;IF(Config!$B$1004="Y",TODAY()-Config!$B$1005,DATE(1900,1,1)),Strike_Log!$I:$I,1))))</f>
        <v/>
      </c>
      <c r="Q417" s="1">
        <f t="shared" si="3"/>
        <v>0</v>
      </c>
      <c r="R417" s="1" t="str">
        <f>IF(A417="","",IFERROR(AVERAGEIFS(Assignments!$J:$J,Assignments!$B:$B,A417,Assignments!$E:$E,"Completed"),""))</f>
        <v/>
      </c>
      <c r="S417" s="1" t="str">
        <f>IF(A417="","",COUNTIFS(Assignments!$B:$B,A417,Assignments!$AE:$AE, "Y",Assignments!$D:$D,"&gt;="&amp;TODAY()-30))</f>
        <v/>
      </c>
      <c r="T417" s="1" t="str">
        <f>IF(A417="","",COUNTIFS(Assignments!$AF:$AF,A417,Assignments!$AE:$AE, "Y",Assignments!$D:$D,"&gt;="&amp;TODAY()-30))</f>
        <v/>
      </c>
      <c r="U417" s="1" t="str">
        <f>IF(A417="","",IFERROR(S417/MAX(1,COUNTIFS(Assignments!$B:$B,A417,Assignments!$D:$D,"&gt;="&amp;TODAY()-30)),""))</f>
        <v/>
      </c>
      <c r="V417" s="1" t="str">
        <f t="shared" si="4"/>
        <v/>
      </c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 t="str">
        <f>IF($A418="","",IFERROR(AVERAGEIFS(Assignments!$N$6:$N$1000,Assignments!$B$6:$B$1000,$A418,Assignments!$E$6:$E$1000,"Completed"),""))</f>
        <v/>
      </c>
      <c r="K418" s="2" t="str">
        <f>IF(A418="","",IFERROR(AVERAGEIFS(Assignments!$AO:$AO,Assignments!$B:$B,A418,Assignments!$E:$E,"Completed"),""))</f>
        <v/>
      </c>
      <c r="L418" s="2" t="str">
        <f>IF($A418="","",IFERROR(COUNTIFS(Assignments!$B$6:$B$1000,$A418,Assignments!$E$6:$E$1000,"Cancelled")/MAX(1,COUNTIFS(Assignments!$B$6:$B$1000,$A418,Assignments!$E$6:$E$1000,"Completed")+COUNTIFS(Assignments!$B$6:$B$1000,$A418,Assignments!$E$6:$E$1000,"Cancelled")),""))</f>
        <v/>
      </c>
      <c r="M418" s="2" t="str">
        <f>IF($A418="","",IFERROR(AVERAGEIFS(Assignments!$P$6:$P$1000,Assignments!$B$6:$B$1000,$A418,Assignments!$E$6:$E$1000,"Completed"),""))</f>
        <v/>
      </c>
      <c r="N418" s="2"/>
      <c r="O418" s="2"/>
      <c r="P418" s="1" t="str">
        <f>IF(A418="","",MAX(0,MIN(3,SUMIFS(Strike_Log!$C:$C,Strike_Log!$B:$B,A418,Strike_Log!$A:$A,"&gt;="&amp;IF(Config!$B$1004="Y",TODAY()-Config!$B$1005,DATE(1900,1,1)),Strike_Log!$I:$I,1))))</f>
        <v/>
      </c>
      <c r="Q418" s="1">
        <f t="shared" si="3"/>
        <v>0</v>
      </c>
      <c r="R418" s="1" t="str">
        <f>IF(A418="","",IFERROR(AVERAGEIFS(Assignments!$J:$J,Assignments!$B:$B,A418,Assignments!$E:$E,"Completed"),""))</f>
        <v/>
      </c>
      <c r="S418" s="1" t="str">
        <f>IF(A418="","",COUNTIFS(Assignments!$B:$B,A418,Assignments!$AE:$AE, "Y",Assignments!$D:$D,"&gt;="&amp;TODAY()-30))</f>
        <v/>
      </c>
      <c r="T418" s="1" t="str">
        <f>IF(A418="","",COUNTIFS(Assignments!$AF:$AF,A418,Assignments!$AE:$AE, "Y",Assignments!$D:$D,"&gt;="&amp;TODAY()-30))</f>
        <v/>
      </c>
      <c r="U418" s="1" t="str">
        <f>IF(A418="","",IFERROR(S418/MAX(1,COUNTIFS(Assignments!$B:$B,A418,Assignments!$D:$D,"&gt;="&amp;TODAY()-30)),""))</f>
        <v/>
      </c>
      <c r="V418" s="1" t="str">
        <f t="shared" si="4"/>
        <v/>
      </c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 t="str">
        <f>IF($A419="","",IFERROR(AVERAGEIFS(Assignments!$N$6:$N$1000,Assignments!$B$6:$B$1000,$A419,Assignments!$E$6:$E$1000,"Completed"),""))</f>
        <v/>
      </c>
      <c r="K419" s="2" t="str">
        <f>IF(A419="","",IFERROR(AVERAGEIFS(Assignments!$AO:$AO,Assignments!$B:$B,A419,Assignments!$E:$E,"Completed"),""))</f>
        <v/>
      </c>
      <c r="L419" s="2" t="str">
        <f>IF($A419="","",IFERROR(COUNTIFS(Assignments!$B$6:$B$1000,$A419,Assignments!$E$6:$E$1000,"Cancelled")/MAX(1,COUNTIFS(Assignments!$B$6:$B$1000,$A419,Assignments!$E$6:$E$1000,"Completed")+COUNTIFS(Assignments!$B$6:$B$1000,$A419,Assignments!$E$6:$E$1000,"Cancelled")),""))</f>
        <v/>
      </c>
      <c r="M419" s="2" t="str">
        <f>IF($A419="","",IFERROR(AVERAGEIFS(Assignments!$P$6:$P$1000,Assignments!$B$6:$B$1000,$A419,Assignments!$E$6:$E$1000,"Completed"),""))</f>
        <v/>
      </c>
      <c r="N419" s="2"/>
      <c r="O419" s="2"/>
      <c r="P419" s="1" t="str">
        <f>IF(A419="","",MAX(0,MIN(3,SUMIFS(Strike_Log!$C:$C,Strike_Log!$B:$B,A419,Strike_Log!$A:$A,"&gt;="&amp;IF(Config!$B$1004="Y",TODAY()-Config!$B$1005,DATE(1900,1,1)),Strike_Log!$I:$I,1))))</f>
        <v/>
      </c>
      <c r="Q419" s="1">
        <f t="shared" si="3"/>
        <v>0</v>
      </c>
      <c r="R419" s="1" t="str">
        <f>IF(A419="","",IFERROR(AVERAGEIFS(Assignments!$J:$J,Assignments!$B:$B,A419,Assignments!$E:$E,"Completed"),""))</f>
        <v/>
      </c>
      <c r="S419" s="1" t="str">
        <f>IF(A419="","",COUNTIFS(Assignments!$B:$B,A419,Assignments!$AE:$AE, "Y",Assignments!$D:$D,"&gt;="&amp;TODAY()-30))</f>
        <v/>
      </c>
      <c r="T419" s="1" t="str">
        <f>IF(A419="","",COUNTIFS(Assignments!$AF:$AF,A419,Assignments!$AE:$AE, "Y",Assignments!$D:$D,"&gt;="&amp;TODAY()-30))</f>
        <v/>
      </c>
      <c r="U419" s="1" t="str">
        <f>IF(A419="","",IFERROR(S419/MAX(1,COUNTIFS(Assignments!$B:$B,A419,Assignments!$D:$D,"&gt;="&amp;TODAY()-30)),""))</f>
        <v/>
      </c>
      <c r="V419" s="1" t="str">
        <f t="shared" si="4"/>
        <v/>
      </c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 t="str">
        <f>IF($A420="","",IFERROR(AVERAGEIFS(Assignments!$N$6:$N$1000,Assignments!$B$6:$B$1000,$A420,Assignments!$E$6:$E$1000,"Completed"),""))</f>
        <v/>
      </c>
      <c r="K420" s="2" t="str">
        <f>IF(A420="","",IFERROR(AVERAGEIFS(Assignments!$AO:$AO,Assignments!$B:$B,A420,Assignments!$E:$E,"Completed"),""))</f>
        <v/>
      </c>
      <c r="L420" s="2" t="str">
        <f>IF($A420="","",IFERROR(COUNTIFS(Assignments!$B$6:$B$1000,$A420,Assignments!$E$6:$E$1000,"Cancelled")/MAX(1,COUNTIFS(Assignments!$B$6:$B$1000,$A420,Assignments!$E$6:$E$1000,"Completed")+COUNTIFS(Assignments!$B$6:$B$1000,$A420,Assignments!$E$6:$E$1000,"Cancelled")),""))</f>
        <v/>
      </c>
      <c r="M420" s="2" t="str">
        <f>IF($A420="","",IFERROR(AVERAGEIFS(Assignments!$P$6:$P$1000,Assignments!$B$6:$B$1000,$A420,Assignments!$E$6:$E$1000,"Completed"),""))</f>
        <v/>
      </c>
      <c r="N420" s="2"/>
      <c r="O420" s="2"/>
      <c r="P420" s="1" t="str">
        <f>IF(A420="","",MAX(0,MIN(3,SUMIFS(Strike_Log!$C:$C,Strike_Log!$B:$B,A420,Strike_Log!$A:$A,"&gt;="&amp;IF(Config!$B$1004="Y",TODAY()-Config!$B$1005,DATE(1900,1,1)),Strike_Log!$I:$I,1))))</f>
        <v/>
      </c>
      <c r="Q420" s="1">
        <f t="shared" si="3"/>
        <v>0</v>
      </c>
      <c r="R420" s="1" t="str">
        <f>IF(A420="","",IFERROR(AVERAGEIFS(Assignments!$J:$J,Assignments!$B:$B,A420,Assignments!$E:$E,"Completed"),""))</f>
        <v/>
      </c>
      <c r="S420" s="1" t="str">
        <f>IF(A420="","",COUNTIFS(Assignments!$B:$B,A420,Assignments!$AE:$AE, "Y",Assignments!$D:$D,"&gt;="&amp;TODAY()-30))</f>
        <v/>
      </c>
      <c r="T420" s="1" t="str">
        <f>IF(A420="","",COUNTIFS(Assignments!$AF:$AF,A420,Assignments!$AE:$AE, "Y",Assignments!$D:$D,"&gt;="&amp;TODAY()-30))</f>
        <v/>
      </c>
      <c r="U420" s="1" t="str">
        <f>IF(A420="","",IFERROR(S420/MAX(1,COUNTIFS(Assignments!$B:$B,A420,Assignments!$D:$D,"&gt;="&amp;TODAY()-30)),""))</f>
        <v/>
      </c>
      <c r="V420" s="1" t="str">
        <f t="shared" si="4"/>
        <v/>
      </c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 t="str">
        <f>IF($A421="","",IFERROR(AVERAGEIFS(Assignments!$N$6:$N$1000,Assignments!$B$6:$B$1000,$A421,Assignments!$E$6:$E$1000,"Completed"),""))</f>
        <v/>
      </c>
      <c r="K421" s="2" t="str">
        <f>IF(A421="","",IFERROR(AVERAGEIFS(Assignments!$AO:$AO,Assignments!$B:$B,A421,Assignments!$E:$E,"Completed"),""))</f>
        <v/>
      </c>
      <c r="L421" s="2" t="str">
        <f>IF($A421="","",IFERROR(COUNTIFS(Assignments!$B$6:$B$1000,$A421,Assignments!$E$6:$E$1000,"Cancelled")/MAX(1,COUNTIFS(Assignments!$B$6:$B$1000,$A421,Assignments!$E$6:$E$1000,"Completed")+COUNTIFS(Assignments!$B$6:$B$1000,$A421,Assignments!$E$6:$E$1000,"Cancelled")),""))</f>
        <v/>
      </c>
      <c r="M421" s="2" t="str">
        <f>IF($A421="","",IFERROR(AVERAGEIFS(Assignments!$P$6:$P$1000,Assignments!$B$6:$B$1000,$A421,Assignments!$E$6:$E$1000,"Completed"),""))</f>
        <v/>
      </c>
      <c r="N421" s="2"/>
      <c r="O421" s="2"/>
      <c r="P421" s="1" t="str">
        <f>IF(A421="","",MAX(0,MIN(3,SUMIFS(Strike_Log!$C:$C,Strike_Log!$B:$B,A421,Strike_Log!$A:$A,"&gt;="&amp;IF(Config!$B$1004="Y",TODAY()-Config!$B$1005,DATE(1900,1,1)),Strike_Log!$I:$I,1))))</f>
        <v/>
      </c>
      <c r="Q421" s="1">
        <f t="shared" si="3"/>
        <v>0</v>
      </c>
      <c r="R421" s="1" t="str">
        <f>IF(A421="","",IFERROR(AVERAGEIFS(Assignments!$J:$J,Assignments!$B:$B,A421,Assignments!$E:$E,"Completed"),""))</f>
        <v/>
      </c>
      <c r="S421" s="1" t="str">
        <f>IF(A421="","",COUNTIFS(Assignments!$B:$B,A421,Assignments!$AE:$AE, "Y",Assignments!$D:$D,"&gt;="&amp;TODAY()-30))</f>
        <v/>
      </c>
      <c r="T421" s="1" t="str">
        <f>IF(A421="","",COUNTIFS(Assignments!$AF:$AF,A421,Assignments!$AE:$AE, "Y",Assignments!$D:$D,"&gt;="&amp;TODAY()-30))</f>
        <v/>
      </c>
      <c r="U421" s="1" t="str">
        <f>IF(A421="","",IFERROR(S421/MAX(1,COUNTIFS(Assignments!$B:$B,A421,Assignments!$D:$D,"&gt;="&amp;TODAY()-30)),""))</f>
        <v/>
      </c>
      <c r="V421" s="1" t="str">
        <f t="shared" si="4"/>
        <v/>
      </c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 t="str">
        <f>IF($A422="","",IFERROR(AVERAGEIFS(Assignments!$N$6:$N$1000,Assignments!$B$6:$B$1000,$A422,Assignments!$E$6:$E$1000,"Completed"),""))</f>
        <v/>
      </c>
      <c r="K422" s="2" t="str">
        <f>IF(A422="","",IFERROR(AVERAGEIFS(Assignments!$AO:$AO,Assignments!$B:$B,A422,Assignments!$E:$E,"Completed"),""))</f>
        <v/>
      </c>
      <c r="L422" s="2" t="str">
        <f>IF($A422="","",IFERROR(COUNTIFS(Assignments!$B$6:$B$1000,$A422,Assignments!$E$6:$E$1000,"Cancelled")/MAX(1,COUNTIFS(Assignments!$B$6:$B$1000,$A422,Assignments!$E$6:$E$1000,"Completed")+COUNTIFS(Assignments!$B$6:$B$1000,$A422,Assignments!$E$6:$E$1000,"Cancelled")),""))</f>
        <v/>
      </c>
      <c r="M422" s="2" t="str">
        <f>IF($A422="","",IFERROR(AVERAGEIFS(Assignments!$P$6:$P$1000,Assignments!$B$6:$B$1000,$A422,Assignments!$E$6:$E$1000,"Completed"),""))</f>
        <v/>
      </c>
      <c r="N422" s="2"/>
      <c r="O422" s="2"/>
      <c r="P422" s="1" t="str">
        <f>IF(A422="","",MAX(0,MIN(3,SUMIFS(Strike_Log!$C:$C,Strike_Log!$B:$B,A422,Strike_Log!$A:$A,"&gt;="&amp;IF(Config!$B$1004="Y",TODAY()-Config!$B$1005,DATE(1900,1,1)),Strike_Log!$I:$I,1))))</f>
        <v/>
      </c>
      <c r="Q422" s="1">
        <f t="shared" si="3"/>
        <v>0</v>
      </c>
      <c r="R422" s="1" t="str">
        <f>IF(A422="","",IFERROR(AVERAGEIFS(Assignments!$J:$J,Assignments!$B:$B,A422,Assignments!$E:$E,"Completed"),""))</f>
        <v/>
      </c>
      <c r="S422" s="1" t="str">
        <f>IF(A422="","",COUNTIFS(Assignments!$B:$B,A422,Assignments!$AE:$AE, "Y",Assignments!$D:$D,"&gt;="&amp;TODAY()-30))</f>
        <v/>
      </c>
      <c r="T422" s="1" t="str">
        <f>IF(A422="","",COUNTIFS(Assignments!$AF:$AF,A422,Assignments!$AE:$AE, "Y",Assignments!$D:$D,"&gt;="&amp;TODAY()-30))</f>
        <v/>
      </c>
      <c r="U422" s="1" t="str">
        <f>IF(A422="","",IFERROR(S422/MAX(1,COUNTIFS(Assignments!$B:$B,A422,Assignments!$D:$D,"&gt;="&amp;TODAY()-30)),""))</f>
        <v/>
      </c>
      <c r="V422" s="1" t="str">
        <f t="shared" si="4"/>
        <v/>
      </c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 t="str">
        <f>IF($A423="","",IFERROR(AVERAGEIFS(Assignments!$N$6:$N$1000,Assignments!$B$6:$B$1000,$A423,Assignments!$E$6:$E$1000,"Completed"),""))</f>
        <v/>
      </c>
      <c r="K423" s="2" t="str">
        <f>IF(A423="","",IFERROR(AVERAGEIFS(Assignments!$AO:$AO,Assignments!$B:$B,A423,Assignments!$E:$E,"Completed"),""))</f>
        <v/>
      </c>
      <c r="L423" s="2" t="str">
        <f>IF($A423="","",IFERROR(COUNTIFS(Assignments!$B$6:$B$1000,$A423,Assignments!$E$6:$E$1000,"Cancelled")/MAX(1,COUNTIFS(Assignments!$B$6:$B$1000,$A423,Assignments!$E$6:$E$1000,"Completed")+COUNTIFS(Assignments!$B$6:$B$1000,$A423,Assignments!$E$6:$E$1000,"Cancelled")),""))</f>
        <v/>
      </c>
      <c r="M423" s="2" t="str">
        <f>IF($A423="","",IFERROR(AVERAGEIFS(Assignments!$P$6:$P$1000,Assignments!$B$6:$B$1000,$A423,Assignments!$E$6:$E$1000,"Completed"),""))</f>
        <v/>
      </c>
      <c r="N423" s="2"/>
      <c r="O423" s="2"/>
      <c r="P423" s="1" t="str">
        <f>IF(A423="","",MAX(0,MIN(3,SUMIFS(Strike_Log!$C:$C,Strike_Log!$B:$B,A423,Strike_Log!$A:$A,"&gt;="&amp;IF(Config!$B$1004="Y",TODAY()-Config!$B$1005,DATE(1900,1,1)),Strike_Log!$I:$I,1))))</f>
        <v/>
      </c>
      <c r="Q423" s="1">
        <f t="shared" si="3"/>
        <v>0</v>
      </c>
      <c r="R423" s="1" t="str">
        <f>IF(A423="","",IFERROR(AVERAGEIFS(Assignments!$J:$J,Assignments!$B:$B,A423,Assignments!$E:$E,"Completed"),""))</f>
        <v/>
      </c>
      <c r="S423" s="1" t="str">
        <f>IF(A423="","",COUNTIFS(Assignments!$B:$B,A423,Assignments!$AE:$AE, "Y",Assignments!$D:$D,"&gt;="&amp;TODAY()-30))</f>
        <v/>
      </c>
      <c r="T423" s="1" t="str">
        <f>IF(A423="","",COUNTIFS(Assignments!$AF:$AF,A423,Assignments!$AE:$AE, "Y",Assignments!$D:$D,"&gt;="&amp;TODAY()-30))</f>
        <v/>
      </c>
      <c r="U423" s="1" t="str">
        <f>IF(A423="","",IFERROR(S423/MAX(1,COUNTIFS(Assignments!$B:$B,A423,Assignments!$D:$D,"&gt;="&amp;TODAY()-30)),""))</f>
        <v/>
      </c>
      <c r="V423" s="1" t="str">
        <f t="shared" si="4"/>
        <v/>
      </c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 t="str">
        <f>IF($A424="","",IFERROR(AVERAGEIFS(Assignments!$N$6:$N$1000,Assignments!$B$6:$B$1000,$A424,Assignments!$E$6:$E$1000,"Completed"),""))</f>
        <v/>
      </c>
      <c r="K424" s="2" t="str">
        <f>IF(A424="","",IFERROR(AVERAGEIFS(Assignments!$AO:$AO,Assignments!$B:$B,A424,Assignments!$E:$E,"Completed"),""))</f>
        <v/>
      </c>
      <c r="L424" s="2" t="str">
        <f>IF($A424="","",IFERROR(COUNTIFS(Assignments!$B$6:$B$1000,$A424,Assignments!$E$6:$E$1000,"Cancelled")/MAX(1,COUNTIFS(Assignments!$B$6:$B$1000,$A424,Assignments!$E$6:$E$1000,"Completed")+COUNTIFS(Assignments!$B$6:$B$1000,$A424,Assignments!$E$6:$E$1000,"Cancelled")),""))</f>
        <v/>
      </c>
      <c r="M424" s="2" t="str">
        <f>IF($A424="","",IFERROR(AVERAGEIFS(Assignments!$P$6:$P$1000,Assignments!$B$6:$B$1000,$A424,Assignments!$E$6:$E$1000,"Completed"),""))</f>
        <v/>
      </c>
      <c r="N424" s="2"/>
      <c r="O424" s="2"/>
      <c r="P424" s="1" t="str">
        <f>IF(A424="","",MAX(0,MIN(3,SUMIFS(Strike_Log!$C:$C,Strike_Log!$B:$B,A424,Strike_Log!$A:$A,"&gt;="&amp;IF(Config!$B$1004="Y",TODAY()-Config!$B$1005,DATE(1900,1,1)),Strike_Log!$I:$I,1))))</f>
        <v/>
      </c>
      <c r="Q424" s="1">
        <f t="shared" si="3"/>
        <v>0</v>
      </c>
      <c r="R424" s="1" t="str">
        <f>IF(A424="","",IFERROR(AVERAGEIFS(Assignments!$J:$J,Assignments!$B:$B,A424,Assignments!$E:$E,"Completed"),""))</f>
        <v/>
      </c>
      <c r="S424" s="1" t="str">
        <f>IF(A424="","",COUNTIFS(Assignments!$B:$B,A424,Assignments!$AE:$AE, "Y",Assignments!$D:$D,"&gt;="&amp;TODAY()-30))</f>
        <v/>
      </c>
      <c r="T424" s="1" t="str">
        <f>IF(A424="","",COUNTIFS(Assignments!$AF:$AF,A424,Assignments!$AE:$AE, "Y",Assignments!$D:$D,"&gt;="&amp;TODAY()-30))</f>
        <v/>
      </c>
      <c r="U424" s="1" t="str">
        <f>IF(A424="","",IFERROR(S424/MAX(1,COUNTIFS(Assignments!$B:$B,A424,Assignments!$D:$D,"&gt;="&amp;TODAY()-30)),""))</f>
        <v/>
      </c>
      <c r="V424" s="1" t="str">
        <f t="shared" si="4"/>
        <v/>
      </c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 t="str">
        <f>IF($A425="","",IFERROR(AVERAGEIFS(Assignments!$N$6:$N$1000,Assignments!$B$6:$B$1000,$A425,Assignments!$E$6:$E$1000,"Completed"),""))</f>
        <v/>
      </c>
      <c r="K425" s="2" t="str">
        <f>IF(A425="","",IFERROR(AVERAGEIFS(Assignments!$AO:$AO,Assignments!$B:$B,A425,Assignments!$E:$E,"Completed"),""))</f>
        <v/>
      </c>
      <c r="L425" s="2" t="str">
        <f>IF($A425="","",IFERROR(COUNTIFS(Assignments!$B$6:$B$1000,$A425,Assignments!$E$6:$E$1000,"Cancelled")/MAX(1,COUNTIFS(Assignments!$B$6:$B$1000,$A425,Assignments!$E$6:$E$1000,"Completed")+COUNTIFS(Assignments!$B$6:$B$1000,$A425,Assignments!$E$6:$E$1000,"Cancelled")),""))</f>
        <v/>
      </c>
      <c r="M425" s="2" t="str">
        <f>IF($A425="","",IFERROR(AVERAGEIFS(Assignments!$P$6:$P$1000,Assignments!$B$6:$B$1000,$A425,Assignments!$E$6:$E$1000,"Completed"),""))</f>
        <v/>
      </c>
      <c r="N425" s="2"/>
      <c r="O425" s="2"/>
      <c r="P425" s="1" t="str">
        <f>IF(A425="","",MAX(0,MIN(3,SUMIFS(Strike_Log!$C:$C,Strike_Log!$B:$B,A425,Strike_Log!$A:$A,"&gt;="&amp;IF(Config!$B$1004="Y",TODAY()-Config!$B$1005,DATE(1900,1,1)),Strike_Log!$I:$I,1))))</f>
        <v/>
      </c>
      <c r="Q425" s="1">
        <f t="shared" si="3"/>
        <v>0</v>
      </c>
      <c r="R425" s="1" t="str">
        <f>IF(A425="","",IFERROR(AVERAGEIFS(Assignments!$J:$J,Assignments!$B:$B,A425,Assignments!$E:$E,"Completed"),""))</f>
        <v/>
      </c>
      <c r="S425" s="1" t="str">
        <f>IF(A425="","",COUNTIFS(Assignments!$B:$B,A425,Assignments!$AE:$AE, "Y",Assignments!$D:$D,"&gt;="&amp;TODAY()-30))</f>
        <v/>
      </c>
      <c r="T425" s="1" t="str">
        <f>IF(A425="","",COUNTIFS(Assignments!$AF:$AF,A425,Assignments!$AE:$AE, "Y",Assignments!$D:$D,"&gt;="&amp;TODAY()-30))</f>
        <v/>
      </c>
      <c r="U425" s="1" t="str">
        <f>IF(A425="","",IFERROR(S425/MAX(1,COUNTIFS(Assignments!$B:$B,A425,Assignments!$D:$D,"&gt;="&amp;TODAY()-30)),""))</f>
        <v/>
      </c>
      <c r="V425" s="1" t="str">
        <f t="shared" si="4"/>
        <v/>
      </c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 t="str">
        <f>IF($A426="","",IFERROR(AVERAGEIFS(Assignments!$N$6:$N$1000,Assignments!$B$6:$B$1000,$A426,Assignments!$E$6:$E$1000,"Completed"),""))</f>
        <v/>
      </c>
      <c r="K426" s="2" t="str">
        <f>IF(A426="","",IFERROR(AVERAGEIFS(Assignments!$AO:$AO,Assignments!$B:$B,A426,Assignments!$E:$E,"Completed"),""))</f>
        <v/>
      </c>
      <c r="L426" s="2" t="str">
        <f>IF($A426="","",IFERROR(COUNTIFS(Assignments!$B$6:$B$1000,$A426,Assignments!$E$6:$E$1000,"Cancelled")/MAX(1,COUNTIFS(Assignments!$B$6:$B$1000,$A426,Assignments!$E$6:$E$1000,"Completed")+COUNTIFS(Assignments!$B$6:$B$1000,$A426,Assignments!$E$6:$E$1000,"Cancelled")),""))</f>
        <v/>
      </c>
      <c r="M426" s="2" t="str">
        <f>IF($A426="","",IFERROR(AVERAGEIFS(Assignments!$P$6:$P$1000,Assignments!$B$6:$B$1000,$A426,Assignments!$E$6:$E$1000,"Completed"),""))</f>
        <v/>
      </c>
      <c r="N426" s="2"/>
      <c r="O426" s="2"/>
      <c r="P426" s="1" t="str">
        <f>IF(A426="","",MAX(0,MIN(3,SUMIFS(Strike_Log!$C:$C,Strike_Log!$B:$B,A426,Strike_Log!$A:$A,"&gt;="&amp;IF(Config!$B$1004="Y",TODAY()-Config!$B$1005,DATE(1900,1,1)),Strike_Log!$I:$I,1))))</f>
        <v/>
      </c>
      <c r="Q426" s="1">
        <f t="shared" si="3"/>
        <v>0</v>
      </c>
      <c r="R426" s="1" t="str">
        <f>IF(A426="","",IFERROR(AVERAGEIFS(Assignments!$J:$J,Assignments!$B:$B,A426,Assignments!$E:$E,"Completed"),""))</f>
        <v/>
      </c>
      <c r="S426" s="1" t="str">
        <f>IF(A426="","",COUNTIFS(Assignments!$B:$B,A426,Assignments!$AE:$AE, "Y",Assignments!$D:$D,"&gt;="&amp;TODAY()-30))</f>
        <v/>
      </c>
      <c r="T426" s="1" t="str">
        <f>IF(A426="","",COUNTIFS(Assignments!$AF:$AF,A426,Assignments!$AE:$AE, "Y",Assignments!$D:$D,"&gt;="&amp;TODAY()-30))</f>
        <v/>
      </c>
      <c r="U426" s="1" t="str">
        <f>IF(A426="","",IFERROR(S426/MAX(1,COUNTIFS(Assignments!$B:$B,A426,Assignments!$D:$D,"&gt;="&amp;TODAY()-30)),""))</f>
        <v/>
      </c>
      <c r="V426" s="1" t="str">
        <f t="shared" si="4"/>
        <v/>
      </c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 t="str">
        <f>IF($A427="","",IFERROR(AVERAGEIFS(Assignments!$N$6:$N$1000,Assignments!$B$6:$B$1000,$A427,Assignments!$E$6:$E$1000,"Completed"),""))</f>
        <v/>
      </c>
      <c r="K427" s="2" t="str">
        <f>IF(A427="","",IFERROR(AVERAGEIFS(Assignments!$AO:$AO,Assignments!$B:$B,A427,Assignments!$E:$E,"Completed"),""))</f>
        <v/>
      </c>
      <c r="L427" s="2" t="str">
        <f>IF($A427="","",IFERROR(COUNTIFS(Assignments!$B$6:$B$1000,$A427,Assignments!$E$6:$E$1000,"Cancelled")/MAX(1,COUNTIFS(Assignments!$B$6:$B$1000,$A427,Assignments!$E$6:$E$1000,"Completed")+COUNTIFS(Assignments!$B$6:$B$1000,$A427,Assignments!$E$6:$E$1000,"Cancelled")),""))</f>
        <v/>
      </c>
      <c r="M427" s="2" t="str">
        <f>IF($A427="","",IFERROR(AVERAGEIFS(Assignments!$P$6:$P$1000,Assignments!$B$6:$B$1000,$A427,Assignments!$E$6:$E$1000,"Completed"),""))</f>
        <v/>
      </c>
      <c r="N427" s="2"/>
      <c r="O427" s="2"/>
      <c r="P427" s="1" t="str">
        <f>IF(A427="","",MAX(0,MIN(3,SUMIFS(Strike_Log!$C:$C,Strike_Log!$B:$B,A427,Strike_Log!$A:$A,"&gt;="&amp;IF(Config!$B$1004="Y",TODAY()-Config!$B$1005,DATE(1900,1,1)),Strike_Log!$I:$I,1))))</f>
        <v/>
      </c>
      <c r="Q427" s="1">
        <f t="shared" si="3"/>
        <v>0</v>
      </c>
      <c r="R427" s="1" t="str">
        <f>IF(A427="","",IFERROR(AVERAGEIFS(Assignments!$J:$J,Assignments!$B:$B,A427,Assignments!$E:$E,"Completed"),""))</f>
        <v/>
      </c>
      <c r="S427" s="1" t="str">
        <f>IF(A427="","",COUNTIFS(Assignments!$B:$B,A427,Assignments!$AE:$AE, "Y",Assignments!$D:$D,"&gt;="&amp;TODAY()-30))</f>
        <v/>
      </c>
      <c r="T427" s="1" t="str">
        <f>IF(A427="","",COUNTIFS(Assignments!$AF:$AF,A427,Assignments!$AE:$AE, "Y",Assignments!$D:$D,"&gt;="&amp;TODAY()-30))</f>
        <v/>
      </c>
      <c r="U427" s="1" t="str">
        <f>IF(A427="","",IFERROR(S427/MAX(1,COUNTIFS(Assignments!$B:$B,A427,Assignments!$D:$D,"&gt;="&amp;TODAY()-30)),""))</f>
        <v/>
      </c>
      <c r="V427" s="1" t="str">
        <f t="shared" si="4"/>
        <v/>
      </c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 t="str">
        <f>IF($A428="","",IFERROR(AVERAGEIFS(Assignments!$N$6:$N$1000,Assignments!$B$6:$B$1000,$A428,Assignments!$E$6:$E$1000,"Completed"),""))</f>
        <v/>
      </c>
      <c r="K428" s="2" t="str">
        <f>IF(A428="","",IFERROR(AVERAGEIFS(Assignments!$AO:$AO,Assignments!$B:$B,A428,Assignments!$E:$E,"Completed"),""))</f>
        <v/>
      </c>
      <c r="L428" s="2" t="str">
        <f>IF($A428="","",IFERROR(COUNTIFS(Assignments!$B$6:$B$1000,$A428,Assignments!$E$6:$E$1000,"Cancelled")/MAX(1,COUNTIFS(Assignments!$B$6:$B$1000,$A428,Assignments!$E$6:$E$1000,"Completed")+COUNTIFS(Assignments!$B$6:$B$1000,$A428,Assignments!$E$6:$E$1000,"Cancelled")),""))</f>
        <v/>
      </c>
      <c r="M428" s="2" t="str">
        <f>IF($A428="","",IFERROR(AVERAGEIFS(Assignments!$P$6:$P$1000,Assignments!$B$6:$B$1000,$A428,Assignments!$E$6:$E$1000,"Completed"),""))</f>
        <v/>
      </c>
      <c r="N428" s="2"/>
      <c r="O428" s="2"/>
      <c r="P428" s="1" t="str">
        <f>IF(A428="","",MAX(0,MIN(3,SUMIFS(Strike_Log!$C:$C,Strike_Log!$B:$B,A428,Strike_Log!$A:$A,"&gt;="&amp;IF(Config!$B$1004="Y",TODAY()-Config!$B$1005,DATE(1900,1,1)),Strike_Log!$I:$I,1))))</f>
        <v/>
      </c>
      <c r="Q428" s="1">
        <f t="shared" si="3"/>
        <v>0</v>
      </c>
      <c r="R428" s="1" t="str">
        <f>IF(A428="","",IFERROR(AVERAGEIFS(Assignments!$J:$J,Assignments!$B:$B,A428,Assignments!$E:$E,"Completed"),""))</f>
        <v/>
      </c>
      <c r="S428" s="1" t="str">
        <f>IF(A428="","",COUNTIFS(Assignments!$B:$B,A428,Assignments!$AE:$AE, "Y",Assignments!$D:$D,"&gt;="&amp;TODAY()-30))</f>
        <v/>
      </c>
      <c r="T428" s="1" t="str">
        <f>IF(A428="","",COUNTIFS(Assignments!$AF:$AF,A428,Assignments!$AE:$AE, "Y",Assignments!$D:$D,"&gt;="&amp;TODAY()-30))</f>
        <v/>
      </c>
      <c r="U428" s="1" t="str">
        <f>IF(A428="","",IFERROR(S428/MAX(1,COUNTIFS(Assignments!$B:$B,A428,Assignments!$D:$D,"&gt;="&amp;TODAY()-30)),""))</f>
        <v/>
      </c>
      <c r="V428" s="1" t="str">
        <f t="shared" si="4"/>
        <v/>
      </c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 t="str">
        <f>IF($A429="","",IFERROR(AVERAGEIFS(Assignments!$N$6:$N$1000,Assignments!$B$6:$B$1000,$A429,Assignments!$E$6:$E$1000,"Completed"),""))</f>
        <v/>
      </c>
      <c r="K429" s="2" t="str">
        <f>IF(A429="","",IFERROR(AVERAGEIFS(Assignments!$AO:$AO,Assignments!$B:$B,A429,Assignments!$E:$E,"Completed"),""))</f>
        <v/>
      </c>
      <c r="L429" s="2" t="str">
        <f>IF($A429="","",IFERROR(COUNTIFS(Assignments!$B$6:$B$1000,$A429,Assignments!$E$6:$E$1000,"Cancelled")/MAX(1,COUNTIFS(Assignments!$B$6:$B$1000,$A429,Assignments!$E$6:$E$1000,"Completed")+COUNTIFS(Assignments!$B$6:$B$1000,$A429,Assignments!$E$6:$E$1000,"Cancelled")),""))</f>
        <v/>
      </c>
      <c r="M429" s="2" t="str">
        <f>IF($A429="","",IFERROR(AVERAGEIFS(Assignments!$P$6:$P$1000,Assignments!$B$6:$B$1000,$A429,Assignments!$E$6:$E$1000,"Completed"),""))</f>
        <v/>
      </c>
      <c r="N429" s="2"/>
      <c r="O429" s="2"/>
      <c r="P429" s="1" t="str">
        <f>IF(A429="","",MAX(0,MIN(3,SUMIFS(Strike_Log!$C:$C,Strike_Log!$B:$B,A429,Strike_Log!$A:$A,"&gt;="&amp;IF(Config!$B$1004="Y",TODAY()-Config!$B$1005,DATE(1900,1,1)),Strike_Log!$I:$I,1))))</f>
        <v/>
      </c>
      <c r="Q429" s="1">
        <f t="shared" si="3"/>
        <v>0</v>
      </c>
      <c r="R429" s="1" t="str">
        <f>IF(A429="","",IFERROR(AVERAGEIFS(Assignments!$J:$J,Assignments!$B:$B,A429,Assignments!$E:$E,"Completed"),""))</f>
        <v/>
      </c>
      <c r="S429" s="1" t="str">
        <f>IF(A429="","",COUNTIFS(Assignments!$B:$B,A429,Assignments!$AE:$AE, "Y",Assignments!$D:$D,"&gt;="&amp;TODAY()-30))</f>
        <v/>
      </c>
      <c r="T429" s="1" t="str">
        <f>IF(A429="","",COUNTIFS(Assignments!$AF:$AF,A429,Assignments!$AE:$AE, "Y",Assignments!$D:$D,"&gt;="&amp;TODAY()-30))</f>
        <v/>
      </c>
      <c r="U429" s="1" t="str">
        <f>IF(A429="","",IFERROR(S429/MAX(1,COUNTIFS(Assignments!$B:$B,A429,Assignments!$D:$D,"&gt;="&amp;TODAY()-30)),""))</f>
        <v/>
      </c>
      <c r="V429" s="1" t="str">
        <f t="shared" si="4"/>
        <v/>
      </c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 t="str">
        <f>IF($A430="","",IFERROR(AVERAGEIFS(Assignments!$N$6:$N$1000,Assignments!$B$6:$B$1000,$A430,Assignments!$E$6:$E$1000,"Completed"),""))</f>
        <v/>
      </c>
      <c r="K430" s="2" t="str">
        <f>IF(A430="","",IFERROR(AVERAGEIFS(Assignments!$AO:$AO,Assignments!$B:$B,A430,Assignments!$E:$E,"Completed"),""))</f>
        <v/>
      </c>
      <c r="L430" s="2" t="str">
        <f>IF($A430="","",IFERROR(COUNTIFS(Assignments!$B$6:$B$1000,$A430,Assignments!$E$6:$E$1000,"Cancelled")/MAX(1,COUNTIFS(Assignments!$B$6:$B$1000,$A430,Assignments!$E$6:$E$1000,"Completed")+COUNTIFS(Assignments!$B$6:$B$1000,$A430,Assignments!$E$6:$E$1000,"Cancelled")),""))</f>
        <v/>
      </c>
      <c r="M430" s="2" t="str">
        <f>IF($A430="","",IFERROR(AVERAGEIFS(Assignments!$P$6:$P$1000,Assignments!$B$6:$B$1000,$A430,Assignments!$E$6:$E$1000,"Completed"),""))</f>
        <v/>
      </c>
      <c r="N430" s="2"/>
      <c r="O430" s="2"/>
      <c r="P430" s="1" t="str">
        <f>IF(A430="","",MAX(0,MIN(3,SUMIFS(Strike_Log!$C:$C,Strike_Log!$B:$B,A430,Strike_Log!$A:$A,"&gt;="&amp;IF(Config!$B$1004="Y",TODAY()-Config!$B$1005,DATE(1900,1,1)),Strike_Log!$I:$I,1))))</f>
        <v/>
      </c>
      <c r="Q430" s="1">
        <f t="shared" si="3"/>
        <v>0</v>
      </c>
      <c r="R430" s="1" t="str">
        <f>IF(A430="","",IFERROR(AVERAGEIFS(Assignments!$J:$J,Assignments!$B:$B,A430,Assignments!$E:$E,"Completed"),""))</f>
        <v/>
      </c>
      <c r="S430" s="1" t="str">
        <f>IF(A430="","",COUNTIFS(Assignments!$B:$B,A430,Assignments!$AE:$AE, "Y",Assignments!$D:$D,"&gt;="&amp;TODAY()-30))</f>
        <v/>
      </c>
      <c r="T430" s="1" t="str">
        <f>IF(A430="","",COUNTIFS(Assignments!$AF:$AF,A430,Assignments!$AE:$AE, "Y",Assignments!$D:$D,"&gt;="&amp;TODAY()-30))</f>
        <v/>
      </c>
      <c r="U430" s="1" t="str">
        <f>IF(A430="","",IFERROR(S430/MAX(1,COUNTIFS(Assignments!$B:$B,A430,Assignments!$D:$D,"&gt;="&amp;TODAY()-30)),""))</f>
        <v/>
      </c>
      <c r="V430" s="1" t="str">
        <f t="shared" si="4"/>
        <v/>
      </c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 t="str">
        <f>IF($A431="","",IFERROR(AVERAGEIFS(Assignments!$N$6:$N$1000,Assignments!$B$6:$B$1000,$A431,Assignments!$E$6:$E$1000,"Completed"),""))</f>
        <v/>
      </c>
      <c r="K431" s="2" t="str">
        <f>IF(A431="","",IFERROR(AVERAGEIFS(Assignments!$AO:$AO,Assignments!$B:$B,A431,Assignments!$E:$E,"Completed"),""))</f>
        <v/>
      </c>
      <c r="L431" s="2" t="str">
        <f>IF($A431="","",IFERROR(COUNTIFS(Assignments!$B$6:$B$1000,$A431,Assignments!$E$6:$E$1000,"Cancelled")/MAX(1,COUNTIFS(Assignments!$B$6:$B$1000,$A431,Assignments!$E$6:$E$1000,"Completed")+COUNTIFS(Assignments!$B$6:$B$1000,$A431,Assignments!$E$6:$E$1000,"Cancelled")),""))</f>
        <v/>
      </c>
      <c r="M431" s="2" t="str">
        <f>IF($A431="","",IFERROR(AVERAGEIFS(Assignments!$P$6:$P$1000,Assignments!$B$6:$B$1000,$A431,Assignments!$E$6:$E$1000,"Completed"),""))</f>
        <v/>
      </c>
      <c r="N431" s="2"/>
      <c r="O431" s="2"/>
      <c r="P431" s="1" t="str">
        <f>IF(A431="","",MAX(0,MIN(3,SUMIFS(Strike_Log!$C:$C,Strike_Log!$B:$B,A431,Strike_Log!$A:$A,"&gt;="&amp;IF(Config!$B$1004="Y",TODAY()-Config!$B$1005,DATE(1900,1,1)),Strike_Log!$I:$I,1))))</f>
        <v/>
      </c>
      <c r="Q431" s="1">
        <f t="shared" si="3"/>
        <v>0</v>
      </c>
      <c r="R431" s="1" t="str">
        <f>IF(A431="","",IFERROR(AVERAGEIFS(Assignments!$J:$J,Assignments!$B:$B,A431,Assignments!$E:$E,"Completed"),""))</f>
        <v/>
      </c>
      <c r="S431" s="1" t="str">
        <f>IF(A431="","",COUNTIFS(Assignments!$B:$B,A431,Assignments!$AE:$AE, "Y",Assignments!$D:$D,"&gt;="&amp;TODAY()-30))</f>
        <v/>
      </c>
      <c r="T431" s="1" t="str">
        <f>IF(A431="","",COUNTIFS(Assignments!$AF:$AF,A431,Assignments!$AE:$AE, "Y",Assignments!$D:$D,"&gt;="&amp;TODAY()-30))</f>
        <v/>
      </c>
      <c r="U431" s="1" t="str">
        <f>IF(A431="","",IFERROR(S431/MAX(1,COUNTIFS(Assignments!$B:$B,A431,Assignments!$D:$D,"&gt;="&amp;TODAY()-30)),""))</f>
        <v/>
      </c>
      <c r="V431" s="1" t="str">
        <f t="shared" si="4"/>
        <v/>
      </c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 t="str">
        <f>IF($A432="","",IFERROR(AVERAGEIFS(Assignments!$N$6:$N$1000,Assignments!$B$6:$B$1000,$A432,Assignments!$E$6:$E$1000,"Completed"),""))</f>
        <v/>
      </c>
      <c r="K432" s="2" t="str">
        <f>IF(A432="","",IFERROR(AVERAGEIFS(Assignments!$AO:$AO,Assignments!$B:$B,A432,Assignments!$E:$E,"Completed"),""))</f>
        <v/>
      </c>
      <c r="L432" s="2" t="str">
        <f>IF($A432="","",IFERROR(COUNTIFS(Assignments!$B$6:$B$1000,$A432,Assignments!$E$6:$E$1000,"Cancelled")/MAX(1,COUNTIFS(Assignments!$B$6:$B$1000,$A432,Assignments!$E$6:$E$1000,"Completed")+COUNTIFS(Assignments!$B$6:$B$1000,$A432,Assignments!$E$6:$E$1000,"Cancelled")),""))</f>
        <v/>
      </c>
      <c r="M432" s="2" t="str">
        <f>IF($A432="","",IFERROR(AVERAGEIFS(Assignments!$P$6:$P$1000,Assignments!$B$6:$B$1000,$A432,Assignments!$E$6:$E$1000,"Completed"),""))</f>
        <v/>
      </c>
      <c r="N432" s="2"/>
      <c r="O432" s="2"/>
      <c r="P432" s="1" t="str">
        <f>IF(A432="","",MAX(0,MIN(3,SUMIFS(Strike_Log!$C:$C,Strike_Log!$B:$B,A432,Strike_Log!$A:$A,"&gt;="&amp;IF(Config!$B$1004="Y",TODAY()-Config!$B$1005,DATE(1900,1,1)),Strike_Log!$I:$I,1))))</f>
        <v/>
      </c>
      <c r="Q432" s="1">
        <f t="shared" si="3"/>
        <v>0</v>
      </c>
      <c r="R432" s="1" t="str">
        <f>IF(A432="","",IFERROR(AVERAGEIFS(Assignments!$J:$J,Assignments!$B:$B,A432,Assignments!$E:$E,"Completed"),""))</f>
        <v/>
      </c>
      <c r="S432" s="1" t="str">
        <f>IF(A432="","",COUNTIFS(Assignments!$B:$B,A432,Assignments!$AE:$AE, "Y",Assignments!$D:$D,"&gt;="&amp;TODAY()-30))</f>
        <v/>
      </c>
      <c r="T432" s="1" t="str">
        <f>IF(A432="","",COUNTIFS(Assignments!$AF:$AF,A432,Assignments!$AE:$AE, "Y",Assignments!$D:$D,"&gt;="&amp;TODAY()-30))</f>
        <v/>
      </c>
      <c r="U432" s="1" t="str">
        <f>IF(A432="","",IFERROR(S432/MAX(1,COUNTIFS(Assignments!$B:$B,A432,Assignments!$D:$D,"&gt;="&amp;TODAY()-30)),""))</f>
        <v/>
      </c>
      <c r="V432" s="1" t="str">
        <f t="shared" si="4"/>
        <v/>
      </c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 t="str">
        <f>IF($A433="","",IFERROR(AVERAGEIFS(Assignments!$N$6:$N$1000,Assignments!$B$6:$B$1000,$A433,Assignments!$E$6:$E$1000,"Completed"),""))</f>
        <v/>
      </c>
      <c r="K433" s="2" t="str">
        <f>IF(A433="","",IFERROR(AVERAGEIFS(Assignments!$AO:$AO,Assignments!$B:$B,A433,Assignments!$E:$E,"Completed"),""))</f>
        <v/>
      </c>
      <c r="L433" s="2" t="str">
        <f>IF($A433="","",IFERROR(COUNTIFS(Assignments!$B$6:$B$1000,$A433,Assignments!$E$6:$E$1000,"Cancelled")/MAX(1,COUNTIFS(Assignments!$B$6:$B$1000,$A433,Assignments!$E$6:$E$1000,"Completed")+COUNTIFS(Assignments!$B$6:$B$1000,$A433,Assignments!$E$6:$E$1000,"Cancelled")),""))</f>
        <v/>
      </c>
      <c r="M433" s="2" t="str">
        <f>IF($A433="","",IFERROR(AVERAGEIFS(Assignments!$P$6:$P$1000,Assignments!$B$6:$B$1000,$A433,Assignments!$E$6:$E$1000,"Completed"),""))</f>
        <v/>
      </c>
      <c r="N433" s="2"/>
      <c r="O433" s="2"/>
      <c r="P433" s="1" t="str">
        <f>IF(A433="","",MAX(0,MIN(3,SUMIFS(Strike_Log!$C:$C,Strike_Log!$B:$B,A433,Strike_Log!$A:$A,"&gt;="&amp;IF(Config!$B$1004="Y",TODAY()-Config!$B$1005,DATE(1900,1,1)),Strike_Log!$I:$I,1))))</f>
        <v/>
      </c>
      <c r="Q433" s="1">
        <f t="shared" si="3"/>
        <v>0</v>
      </c>
      <c r="R433" s="1" t="str">
        <f>IF(A433="","",IFERROR(AVERAGEIFS(Assignments!$J:$J,Assignments!$B:$B,A433,Assignments!$E:$E,"Completed"),""))</f>
        <v/>
      </c>
      <c r="S433" s="1" t="str">
        <f>IF(A433="","",COUNTIFS(Assignments!$B:$B,A433,Assignments!$AE:$AE, "Y",Assignments!$D:$D,"&gt;="&amp;TODAY()-30))</f>
        <v/>
      </c>
      <c r="T433" s="1" t="str">
        <f>IF(A433="","",COUNTIFS(Assignments!$AF:$AF,A433,Assignments!$AE:$AE, "Y",Assignments!$D:$D,"&gt;="&amp;TODAY()-30))</f>
        <v/>
      </c>
      <c r="U433" s="1" t="str">
        <f>IF(A433="","",IFERROR(S433/MAX(1,COUNTIFS(Assignments!$B:$B,A433,Assignments!$D:$D,"&gt;="&amp;TODAY()-30)),""))</f>
        <v/>
      </c>
      <c r="V433" s="1" t="str">
        <f t="shared" si="4"/>
        <v/>
      </c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 t="str">
        <f>IF($A434="","",IFERROR(AVERAGEIFS(Assignments!$N$6:$N$1000,Assignments!$B$6:$B$1000,$A434,Assignments!$E$6:$E$1000,"Completed"),""))</f>
        <v/>
      </c>
      <c r="K434" s="2" t="str">
        <f>IF(A434="","",IFERROR(AVERAGEIFS(Assignments!$AO:$AO,Assignments!$B:$B,A434,Assignments!$E:$E,"Completed"),""))</f>
        <v/>
      </c>
      <c r="L434" s="2" t="str">
        <f>IF($A434="","",IFERROR(COUNTIFS(Assignments!$B$6:$B$1000,$A434,Assignments!$E$6:$E$1000,"Cancelled")/MAX(1,COUNTIFS(Assignments!$B$6:$B$1000,$A434,Assignments!$E$6:$E$1000,"Completed")+COUNTIFS(Assignments!$B$6:$B$1000,$A434,Assignments!$E$6:$E$1000,"Cancelled")),""))</f>
        <v/>
      </c>
      <c r="M434" s="2" t="str">
        <f>IF($A434="","",IFERROR(AVERAGEIFS(Assignments!$P$6:$P$1000,Assignments!$B$6:$B$1000,$A434,Assignments!$E$6:$E$1000,"Completed"),""))</f>
        <v/>
      </c>
      <c r="N434" s="2"/>
      <c r="O434" s="2"/>
      <c r="P434" s="1" t="str">
        <f>IF(A434="","",MAX(0,MIN(3,SUMIFS(Strike_Log!$C:$C,Strike_Log!$B:$B,A434,Strike_Log!$A:$A,"&gt;="&amp;IF(Config!$B$1004="Y",TODAY()-Config!$B$1005,DATE(1900,1,1)),Strike_Log!$I:$I,1))))</f>
        <v/>
      </c>
      <c r="Q434" s="1">
        <f t="shared" si="3"/>
        <v>0</v>
      </c>
      <c r="R434" s="1" t="str">
        <f>IF(A434="","",IFERROR(AVERAGEIFS(Assignments!$J:$J,Assignments!$B:$B,A434,Assignments!$E:$E,"Completed"),""))</f>
        <v/>
      </c>
      <c r="S434" s="1" t="str">
        <f>IF(A434="","",COUNTIFS(Assignments!$B:$B,A434,Assignments!$AE:$AE, "Y",Assignments!$D:$D,"&gt;="&amp;TODAY()-30))</f>
        <v/>
      </c>
      <c r="T434" s="1" t="str">
        <f>IF(A434="","",COUNTIFS(Assignments!$AF:$AF,A434,Assignments!$AE:$AE, "Y",Assignments!$D:$D,"&gt;="&amp;TODAY()-30))</f>
        <v/>
      </c>
      <c r="U434" s="1" t="str">
        <f>IF(A434="","",IFERROR(S434/MAX(1,COUNTIFS(Assignments!$B:$B,A434,Assignments!$D:$D,"&gt;="&amp;TODAY()-30)),""))</f>
        <v/>
      </c>
      <c r="V434" s="1" t="str">
        <f t="shared" si="4"/>
        <v/>
      </c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 t="str">
        <f>IF($A435="","",IFERROR(AVERAGEIFS(Assignments!$N$6:$N$1000,Assignments!$B$6:$B$1000,$A435,Assignments!$E$6:$E$1000,"Completed"),""))</f>
        <v/>
      </c>
      <c r="K435" s="2" t="str">
        <f>IF(A435="","",IFERROR(AVERAGEIFS(Assignments!$AO:$AO,Assignments!$B:$B,A435,Assignments!$E:$E,"Completed"),""))</f>
        <v/>
      </c>
      <c r="L435" s="2" t="str">
        <f>IF($A435="","",IFERROR(COUNTIFS(Assignments!$B$6:$B$1000,$A435,Assignments!$E$6:$E$1000,"Cancelled")/MAX(1,COUNTIFS(Assignments!$B$6:$B$1000,$A435,Assignments!$E$6:$E$1000,"Completed")+COUNTIFS(Assignments!$B$6:$B$1000,$A435,Assignments!$E$6:$E$1000,"Cancelled")),""))</f>
        <v/>
      </c>
      <c r="M435" s="2" t="str">
        <f>IF($A435="","",IFERROR(AVERAGEIFS(Assignments!$P$6:$P$1000,Assignments!$B$6:$B$1000,$A435,Assignments!$E$6:$E$1000,"Completed"),""))</f>
        <v/>
      </c>
      <c r="N435" s="2"/>
      <c r="O435" s="2"/>
      <c r="P435" s="1" t="str">
        <f>IF(A435="","",MAX(0,MIN(3,SUMIFS(Strike_Log!$C:$C,Strike_Log!$B:$B,A435,Strike_Log!$A:$A,"&gt;="&amp;IF(Config!$B$1004="Y",TODAY()-Config!$B$1005,DATE(1900,1,1)),Strike_Log!$I:$I,1))))</f>
        <v/>
      </c>
      <c r="Q435" s="1">
        <f t="shared" si="3"/>
        <v>0</v>
      </c>
      <c r="R435" s="1" t="str">
        <f>IF(A435="","",IFERROR(AVERAGEIFS(Assignments!$J:$J,Assignments!$B:$B,A435,Assignments!$E:$E,"Completed"),""))</f>
        <v/>
      </c>
      <c r="S435" s="1" t="str">
        <f>IF(A435="","",COUNTIFS(Assignments!$B:$B,A435,Assignments!$AE:$AE, "Y",Assignments!$D:$D,"&gt;="&amp;TODAY()-30))</f>
        <v/>
      </c>
      <c r="T435" s="1" t="str">
        <f>IF(A435="","",COUNTIFS(Assignments!$AF:$AF,A435,Assignments!$AE:$AE, "Y",Assignments!$D:$D,"&gt;="&amp;TODAY()-30))</f>
        <v/>
      </c>
      <c r="U435" s="1" t="str">
        <f>IF(A435="","",IFERROR(S435/MAX(1,COUNTIFS(Assignments!$B:$B,A435,Assignments!$D:$D,"&gt;="&amp;TODAY()-30)),""))</f>
        <v/>
      </c>
      <c r="V435" s="1" t="str">
        <f t="shared" si="4"/>
        <v/>
      </c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 t="str">
        <f>IF($A436="","",IFERROR(AVERAGEIFS(Assignments!$N$6:$N$1000,Assignments!$B$6:$B$1000,$A436,Assignments!$E$6:$E$1000,"Completed"),""))</f>
        <v/>
      </c>
      <c r="K436" s="2" t="str">
        <f>IF(A436="","",IFERROR(AVERAGEIFS(Assignments!$AO:$AO,Assignments!$B:$B,A436,Assignments!$E:$E,"Completed"),""))</f>
        <v/>
      </c>
      <c r="L436" s="2" t="str">
        <f>IF($A436="","",IFERROR(COUNTIFS(Assignments!$B$6:$B$1000,$A436,Assignments!$E$6:$E$1000,"Cancelled")/MAX(1,COUNTIFS(Assignments!$B$6:$B$1000,$A436,Assignments!$E$6:$E$1000,"Completed")+COUNTIFS(Assignments!$B$6:$B$1000,$A436,Assignments!$E$6:$E$1000,"Cancelled")),""))</f>
        <v/>
      </c>
      <c r="M436" s="2" t="str">
        <f>IF($A436="","",IFERROR(AVERAGEIFS(Assignments!$P$6:$P$1000,Assignments!$B$6:$B$1000,$A436,Assignments!$E$6:$E$1000,"Completed"),""))</f>
        <v/>
      </c>
      <c r="N436" s="2"/>
      <c r="O436" s="2"/>
      <c r="P436" s="1" t="str">
        <f>IF(A436="","",MAX(0,MIN(3,SUMIFS(Strike_Log!$C:$C,Strike_Log!$B:$B,A436,Strike_Log!$A:$A,"&gt;="&amp;IF(Config!$B$1004="Y",TODAY()-Config!$B$1005,DATE(1900,1,1)),Strike_Log!$I:$I,1))))</f>
        <v/>
      </c>
      <c r="Q436" s="1">
        <f t="shared" si="3"/>
        <v>0</v>
      </c>
      <c r="R436" s="1" t="str">
        <f>IF(A436="","",IFERROR(AVERAGEIFS(Assignments!$J:$J,Assignments!$B:$B,A436,Assignments!$E:$E,"Completed"),""))</f>
        <v/>
      </c>
      <c r="S436" s="1" t="str">
        <f>IF(A436="","",COUNTIFS(Assignments!$B:$B,A436,Assignments!$AE:$AE, "Y",Assignments!$D:$D,"&gt;="&amp;TODAY()-30))</f>
        <v/>
      </c>
      <c r="T436" s="1" t="str">
        <f>IF(A436="","",COUNTIFS(Assignments!$AF:$AF,A436,Assignments!$AE:$AE, "Y",Assignments!$D:$D,"&gt;="&amp;TODAY()-30))</f>
        <v/>
      </c>
      <c r="U436" s="1" t="str">
        <f>IF(A436="","",IFERROR(S436/MAX(1,COUNTIFS(Assignments!$B:$B,A436,Assignments!$D:$D,"&gt;="&amp;TODAY()-30)),""))</f>
        <v/>
      </c>
      <c r="V436" s="1" t="str">
        <f t="shared" si="4"/>
        <v/>
      </c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 t="str">
        <f>IF($A437="","",IFERROR(AVERAGEIFS(Assignments!$N$6:$N$1000,Assignments!$B$6:$B$1000,$A437,Assignments!$E$6:$E$1000,"Completed"),""))</f>
        <v/>
      </c>
      <c r="K437" s="2" t="str">
        <f>IF(A437="","",IFERROR(AVERAGEIFS(Assignments!$AO:$AO,Assignments!$B:$B,A437,Assignments!$E:$E,"Completed"),""))</f>
        <v/>
      </c>
      <c r="L437" s="2" t="str">
        <f>IF($A437="","",IFERROR(COUNTIFS(Assignments!$B$6:$B$1000,$A437,Assignments!$E$6:$E$1000,"Cancelled")/MAX(1,COUNTIFS(Assignments!$B$6:$B$1000,$A437,Assignments!$E$6:$E$1000,"Completed")+COUNTIFS(Assignments!$B$6:$B$1000,$A437,Assignments!$E$6:$E$1000,"Cancelled")),""))</f>
        <v/>
      </c>
      <c r="M437" s="2" t="str">
        <f>IF($A437="","",IFERROR(AVERAGEIFS(Assignments!$P$6:$P$1000,Assignments!$B$6:$B$1000,$A437,Assignments!$E$6:$E$1000,"Completed"),""))</f>
        <v/>
      </c>
      <c r="N437" s="2"/>
      <c r="O437" s="2"/>
      <c r="P437" s="1" t="str">
        <f>IF(A437="","",MAX(0,MIN(3,SUMIFS(Strike_Log!$C:$C,Strike_Log!$B:$B,A437,Strike_Log!$A:$A,"&gt;="&amp;IF(Config!$B$1004="Y",TODAY()-Config!$B$1005,DATE(1900,1,1)),Strike_Log!$I:$I,1))))</f>
        <v/>
      </c>
      <c r="Q437" s="1">
        <f t="shared" si="3"/>
        <v>0</v>
      </c>
      <c r="R437" s="1" t="str">
        <f>IF(A437="","",IFERROR(AVERAGEIFS(Assignments!$J:$J,Assignments!$B:$B,A437,Assignments!$E:$E,"Completed"),""))</f>
        <v/>
      </c>
      <c r="S437" s="1" t="str">
        <f>IF(A437="","",COUNTIFS(Assignments!$B:$B,A437,Assignments!$AE:$AE, "Y",Assignments!$D:$D,"&gt;="&amp;TODAY()-30))</f>
        <v/>
      </c>
      <c r="T437" s="1" t="str">
        <f>IF(A437="","",COUNTIFS(Assignments!$AF:$AF,A437,Assignments!$AE:$AE, "Y",Assignments!$D:$D,"&gt;="&amp;TODAY()-30))</f>
        <v/>
      </c>
      <c r="U437" s="1" t="str">
        <f>IF(A437="","",IFERROR(S437/MAX(1,COUNTIFS(Assignments!$B:$B,A437,Assignments!$D:$D,"&gt;="&amp;TODAY()-30)),""))</f>
        <v/>
      </c>
      <c r="V437" s="1" t="str">
        <f t="shared" si="4"/>
        <v/>
      </c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 t="str">
        <f>IF($A438="","",IFERROR(AVERAGEIFS(Assignments!$N$6:$N$1000,Assignments!$B$6:$B$1000,$A438,Assignments!$E$6:$E$1000,"Completed"),""))</f>
        <v/>
      </c>
      <c r="K438" s="2" t="str">
        <f>IF(A438="","",IFERROR(AVERAGEIFS(Assignments!$AO:$AO,Assignments!$B:$B,A438,Assignments!$E:$E,"Completed"),""))</f>
        <v/>
      </c>
      <c r="L438" s="2" t="str">
        <f>IF($A438="","",IFERROR(COUNTIFS(Assignments!$B$6:$B$1000,$A438,Assignments!$E$6:$E$1000,"Cancelled")/MAX(1,COUNTIFS(Assignments!$B$6:$B$1000,$A438,Assignments!$E$6:$E$1000,"Completed")+COUNTIFS(Assignments!$B$6:$B$1000,$A438,Assignments!$E$6:$E$1000,"Cancelled")),""))</f>
        <v/>
      </c>
      <c r="M438" s="2" t="str">
        <f>IF($A438="","",IFERROR(AVERAGEIFS(Assignments!$P$6:$P$1000,Assignments!$B$6:$B$1000,$A438,Assignments!$E$6:$E$1000,"Completed"),""))</f>
        <v/>
      </c>
      <c r="N438" s="2"/>
      <c r="O438" s="2"/>
      <c r="P438" s="1" t="str">
        <f>IF(A438="","",MAX(0,MIN(3,SUMIFS(Strike_Log!$C:$C,Strike_Log!$B:$B,A438,Strike_Log!$A:$A,"&gt;="&amp;IF(Config!$B$1004="Y",TODAY()-Config!$B$1005,DATE(1900,1,1)),Strike_Log!$I:$I,1))))</f>
        <v/>
      </c>
      <c r="Q438" s="1">
        <f t="shared" si="3"/>
        <v>0</v>
      </c>
      <c r="R438" s="1" t="str">
        <f>IF(A438="","",IFERROR(AVERAGEIFS(Assignments!$J:$J,Assignments!$B:$B,A438,Assignments!$E:$E,"Completed"),""))</f>
        <v/>
      </c>
      <c r="S438" s="1" t="str">
        <f>IF(A438="","",COUNTIFS(Assignments!$B:$B,A438,Assignments!$AE:$AE, "Y",Assignments!$D:$D,"&gt;="&amp;TODAY()-30))</f>
        <v/>
      </c>
      <c r="T438" s="1" t="str">
        <f>IF(A438="","",COUNTIFS(Assignments!$AF:$AF,A438,Assignments!$AE:$AE, "Y",Assignments!$D:$D,"&gt;="&amp;TODAY()-30))</f>
        <v/>
      </c>
      <c r="U438" s="1" t="str">
        <f>IF(A438="","",IFERROR(S438/MAX(1,COUNTIFS(Assignments!$B:$B,A438,Assignments!$D:$D,"&gt;="&amp;TODAY()-30)),""))</f>
        <v/>
      </c>
      <c r="V438" s="1" t="str">
        <f t="shared" si="4"/>
        <v/>
      </c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 t="str">
        <f>IF($A439="","",IFERROR(AVERAGEIFS(Assignments!$N$6:$N$1000,Assignments!$B$6:$B$1000,$A439,Assignments!$E$6:$E$1000,"Completed"),""))</f>
        <v/>
      </c>
      <c r="K439" s="2" t="str">
        <f>IF(A439="","",IFERROR(AVERAGEIFS(Assignments!$AO:$AO,Assignments!$B:$B,A439,Assignments!$E:$E,"Completed"),""))</f>
        <v/>
      </c>
      <c r="L439" s="2" t="str">
        <f>IF($A439="","",IFERROR(COUNTIFS(Assignments!$B$6:$B$1000,$A439,Assignments!$E$6:$E$1000,"Cancelled")/MAX(1,COUNTIFS(Assignments!$B$6:$B$1000,$A439,Assignments!$E$6:$E$1000,"Completed")+COUNTIFS(Assignments!$B$6:$B$1000,$A439,Assignments!$E$6:$E$1000,"Cancelled")),""))</f>
        <v/>
      </c>
      <c r="M439" s="2" t="str">
        <f>IF($A439="","",IFERROR(AVERAGEIFS(Assignments!$P$6:$P$1000,Assignments!$B$6:$B$1000,$A439,Assignments!$E$6:$E$1000,"Completed"),""))</f>
        <v/>
      </c>
      <c r="N439" s="2"/>
      <c r="O439" s="2"/>
      <c r="P439" s="1" t="str">
        <f>IF(A439="","",MAX(0,MIN(3,SUMIFS(Strike_Log!$C:$C,Strike_Log!$B:$B,A439,Strike_Log!$A:$A,"&gt;="&amp;IF(Config!$B$1004="Y",TODAY()-Config!$B$1005,DATE(1900,1,1)),Strike_Log!$I:$I,1))))</f>
        <v/>
      </c>
      <c r="Q439" s="1">
        <f t="shared" si="3"/>
        <v>0</v>
      </c>
      <c r="R439" s="1" t="str">
        <f>IF(A439="","",IFERROR(AVERAGEIFS(Assignments!$J:$J,Assignments!$B:$B,A439,Assignments!$E:$E,"Completed"),""))</f>
        <v/>
      </c>
      <c r="S439" s="1" t="str">
        <f>IF(A439="","",COUNTIFS(Assignments!$B:$B,A439,Assignments!$AE:$AE, "Y",Assignments!$D:$D,"&gt;="&amp;TODAY()-30))</f>
        <v/>
      </c>
      <c r="T439" s="1" t="str">
        <f>IF(A439="","",COUNTIFS(Assignments!$AF:$AF,A439,Assignments!$AE:$AE, "Y",Assignments!$D:$D,"&gt;="&amp;TODAY()-30))</f>
        <v/>
      </c>
      <c r="U439" s="1" t="str">
        <f>IF(A439="","",IFERROR(S439/MAX(1,COUNTIFS(Assignments!$B:$B,A439,Assignments!$D:$D,"&gt;="&amp;TODAY()-30)),""))</f>
        <v/>
      </c>
      <c r="V439" s="1" t="str">
        <f t="shared" si="4"/>
        <v/>
      </c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 t="str">
        <f>IF($A440="","",IFERROR(AVERAGEIFS(Assignments!$N$6:$N$1000,Assignments!$B$6:$B$1000,$A440,Assignments!$E$6:$E$1000,"Completed"),""))</f>
        <v/>
      </c>
      <c r="K440" s="2" t="str">
        <f>IF(A440="","",IFERROR(AVERAGEIFS(Assignments!$AO:$AO,Assignments!$B:$B,A440,Assignments!$E:$E,"Completed"),""))</f>
        <v/>
      </c>
      <c r="L440" s="2" t="str">
        <f>IF($A440="","",IFERROR(COUNTIFS(Assignments!$B$6:$B$1000,$A440,Assignments!$E$6:$E$1000,"Cancelled")/MAX(1,COUNTIFS(Assignments!$B$6:$B$1000,$A440,Assignments!$E$6:$E$1000,"Completed")+COUNTIFS(Assignments!$B$6:$B$1000,$A440,Assignments!$E$6:$E$1000,"Cancelled")),""))</f>
        <v/>
      </c>
      <c r="M440" s="2" t="str">
        <f>IF($A440="","",IFERROR(AVERAGEIFS(Assignments!$P$6:$P$1000,Assignments!$B$6:$B$1000,$A440,Assignments!$E$6:$E$1000,"Completed"),""))</f>
        <v/>
      </c>
      <c r="N440" s="2"/>
      <c r="O440" s="2"/>
      <c r="P440" s="1" t="str">
        <f>IF(A440="","",MAX(0,MIN(3,SUMIFS(Strike_Log!$C:$C,Strike_Log!$B:$B,A440,Strike_Log!$A:$A,"&gt;="&amp;IF(Config!$B$1004="Y",TODAY()-Config!$B$1005,DATE(1900,1,1)),Strike_Log!$I:$I,1))))</f>
        <v/>
      </c>
      <c r="Q440" s="1">
        <f t="shared" si="3"/>
        <v>0</v>
      </c>
      <c r="R440" s="1" t="str">
        <f>IF(A440="","",IFERROR(AVERAGEIFS(Assignments!$J:$J,Assignments!$B:$B,A440,Assignments!$E:$E,"Completed"),""))</f>
        <v/>
      </c>
      <c r="S440" s="1" t="str">
        <f>IF(A440="","",COUNTIFS(Assignments!$B:$B,A440,Assignments!$AE:$AE, "Y",Assignments!$D:$D,"&gt;="&amp;TODAY()-30))</f>
        <v/>
      </c>
      <c r="T440" s="1" t="str">
        <f>IF(A440="","",COUNTIFS(Assignments!$AF:$AF,A440,Assignments!$AE:$AE, "Y",Assignments!$D:$D,"&gt;="&amp;TODAY()-30))</f>
        <v/>
      </c>
      <c r="U440" s="1" t="str">
        <f>IF(A440="","",IFERROR(S440/MAX(1,COUNTIFS(Assignments!$B:$B,A440,Assignments!$D:$D,"&gt;="&amp;TODAY()-30)),""))</f>
        <v/>
      </c>
      <c r="V440" s="1" t="str">
        <f t="shared" si="4"/>
        <v/>
      </c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 t="str">
        <f>IF($A441="","",IFERROR(AVERAGEIFS(Assignments!$N$6:$N$1000,Assignments!$B$6:$B$1000,$A441,Assignments!$E$6:$E$1000,"Completed"),""))</f>
        <v/>
      </c>
      <c r="K441" s="2" t="str">
        <f>IF(A441="","",IFERROR(AVERAGEIFS(Assignments!$AO:$AO,Assignments!$B:$B,A441,Assignments!$E:$E,"Completed"),""))</f>
        <v/>
      </c>
      <c r="L441" s="2" t="str">
        <f>IF($A441="","",IFERROR(COUNTIFS(Assignments!$B$6:$B$1000,$A441,Assignments!$E$6:$E$1000,"Cancelled")/MAX(1,COUNTIFS(Assignments!$B$6:$B$1000,$A441,Assignments!$E$6:$E$1000,"Completed")+COUNTIFS(Assignments!$B$6:$B$1000,$A441,Assignments!$E$6:$E$1000,"Cancelled")),""))</f>
        <v/>
      </c>
      <c r="M441" s="2" t="str">
        <f>IF($A441="","",IFERROR(AVERAGEIFS(Assignments!$P$6:$P$1000,Assignments!$B$6:$B$1000,$A441,Assignments!$E$6:$E$1000,"Completed"),""))</f>
        <v/>
      </c>
      <c r="N441" s="2"/>
      <c r="O441" s="2"/>
      <c r="P441" s="1" t="str">
        <f>IF(A441="","",MAX(0,MIN(3,SUMIFS(Strike_Log!$C:$C,Strike_Log!$B:$B,A441,Strike_Log!$A:$A,"&gt;="&amp;IF(Config!$B$1004="Y",TODAY()-Config!$B$1005,DATE(1900,1,1)),Strike_Log!$I:$I,1))))</f>
        <v/>
      </c>
      <c r="Q441" s="1">
        <f t="shared" si="3"/>
        <v>0</v>
      </c>
      <c r="R441" s="1" t="str">
        <f>IF(A441="","",IFERROR(AVERAGEIFS(Assignments!$J:$J,Assignments!$B:$B,A441,Assignments!$E:$E,"Completed"),""))</f>
        <v/>
      </c>
      <c r="S441" s="1" t="str">
        <f>IF(A441="","",COUNTIFS(Assignments!$B:$B,A441,Assignments!$AE:$AE, "Y",Assignments!$D:$D,"&gt;="&amp;TODAY()-30))</f>
        <v/>
      </c>
      <c r="T441" s="1" t="str">
        <f>IF(A441="","",COUNTIFS(Assignments!$AF:$AF,A441,Assignments!$AE:$AE, "Y",Assignments!$D:$D,"&gt;="&amp;TODAY()-30))</f>
        <v/>
      </c>
      <c r="U441" s="1" t="str">
        <f>IF(A441="","",IFERROR(S441/MAX(1,COUNTIFS(Assignments!$B:$B,A441,Assignments!$D:$D,"&gt;="&amp;TODAY()-30)),""))</f>
        <v/>
      </c>
      <c r="V441" s="1" t="str">
        <f t="shared" si="4"/>
        <v/>
      </c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 t="str">
        <f>IF($A442="","",IFERROR(AVERAGEIFS(Assignments!$N$6:$N$1000,Assignments!$B$6:$B$1000,$A442,Assignments!$E$6:$E$1000,"Completed"),""))</f>
        <v/>
      </c>
      <c r="K442" s="2" t="str">
        <f>IF(A442="","",IFERROR(AVERAGEIFS(Assignments!$AO:$AO,Assignments!$B:$B,A442,Assignments!$E:$E,"Completed"),""))</f>
        <v/>
      </c>
      <c r="L442" s="2" t="str">
        <f>IF($A442="","",IFERROR(COUNTIFS(Assignments!$B$6:$B$1000,$A442,Assignments!$E$6:$E$1000,"Cancelled")/MAX(1,COUNTIFS(Assignments!$B$6:$B$1000,$A442,Assignments!$E$6:$E$1000,"Completed")+COUNTIFS(Assignments!$B$6:$B$1000,$A442,Assignments!$E$6:$E$1000,"Cancelled")),""))</f>
        <v/>
      </c>
      <c r="M442" s="2" t="str">
        <f>IF($A442="","",IFERROR(AVERAGEIFS(Assignments!$P$6:$P$1000,Assignments!$B$6:$B$1000,$A442,Assignments!$E$6:$E$1000,"Completed"),""))</f>
        <v/>
      </c>
      <c r="N442" s="2"/>
      <c r="O442" s="2"/>
      <c r="P442" s="1" t="str">
        <f>IF(A442="","",MAX(0,MIN(3,SUMIFS(Strike_Log!$C:$C,Strike_Log!$B:$B,A442,Strike_Log!$A:$A,"&gt;="&amp;IF(Config!$B$1004="Y",TODAY()-Config!$B$1005,DATE(1900,1,1)),Strike_Log!$I:$I,1))))</f>
        <v/>
      </c>
      <c r="Q442" s="1">
        <f t="shared" si="3"/>
        <v>0</v>
      </c>
      <c r="R442" s="1" t="str">
        <f>IF(A442="","",IFERROR(AVERAGEIFS(Assignments!$J:$J,Assignments!$B:$B,A442,Assignments!$E:$E,"Completed"),""))</f>
        <v/>
      </c>
      <c r="S442" s="1" t="str">
        <f>IF(A442="","",COUNTIFS(Assignments!$B:$B,A442,Assignments!$AE:$AE, "Y",Assignments!$D:$D,"&gt;="&amp;TODAY()-30))</f>
        <v/>
      </c>
      <c r="T442" s="1" t="str">
        <f>IF(A442="","",COUNTIFS(Assignments!$AF:$AF,A442,Assignments!$AE:$AE, "Y",Assignments!$D:$D,"&gt;="&amp;TODAY()-30))</f>
        <v/>
      </c>
      <c r="U442" s="1" t="str">
        <f>IF(A442="","",IFERROR(S442/MAX(1,COUNTIFS(Assignments!$B:$B,A442,Assignments!$D:$D,"&gt;="&amp;TODAY()-30)),""))</f>
        <v/>
      </c>
      <c r="V442" s="1" t="str">
        <f t="shared" si="4"/>
        <v/>
      </c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 t="str">
        <f>IF($A443="","",IFERROR(AVERAGEIFS(Assignments!$N$6:$N$1000,Assignments!$B$6:$B$1000,$A443,Assignments!$E$6:$E$1000,"Completed"),""))</f>
        <v/>
      </c>
      <c r="K443" s="2" t="str">
        <f>IF(A443="","",IFERROR(AVERAGEIFS(Assignments!$AO:$AO,Assignments!$B:$B,A443,Assignments!$E:$E,"Completed"),""))</f>
        <v/>
      </c>
      <c r="L443" s="2" t="str">
        <f>IF($A443="","",IFERROR(COUNTIFS(Assignments!$B$6:$B$1000,$A443,Assignments!$E$6:$E$1000,"Cancelled")/MAX(1,COUNTIFS(Assignments!$B$6:$B$1000,$A443,Assignments!$E$6:$E$1000,"Completed")+COUNTIFS(Assignments!$B$6:$B$1000,$A443,Assignments!$E$6:$E$1000,"Cancelled")),""))</f>
        <v/>
      </c>
      <c r="M443" s="2" t="str">
        <f>IF($A443="","",IFERROR(AVERAGEIFS(Assignments!$P$6:$P$1000,Assignments!$B$6:$B$1000,$A443,Assignments!$E$6:$E$1000,"Completed"),""))</f>
        <v/>
      </c>
      <c r="N443" s="2"/>
      <c r="O443" s="2"/>
      <c r="P443" s="1" t="str">
        <f>IF(A443="","",MAX(0,MIN(3,SUMIFS(Strike_Log!$C:$C,Strike_Log!$B:$B,A443,Strike_Log!$A:$A,"&gt;="&amp;IF(Config!$B$1004="Y",TODAY()-Config!$B$1005,DATE(1900,1,1)),Strike_Log!$I:$I,1))))</f>
        <v/>
      </c>
      <c r="Q443" s="1">
        <f t="shared" si="3"/>
        <v>0</v>
      </c>
      <c r="R443" s="1" t="str">
        <f>IF(A443="","",IFERROR(AVERAGEIFS(Assignments!$J:$J,Assignments!$B:$B,A443,Assignments!$E:$E,"Completed"),""))</f>
        <v/>
      </c>
      <c r="S443" s="1" t="str">
        <f>IF(A443="","",COUNTIFS(Assignments!$B:$B,A443,Assignments!$AE:$AE, "Y",Assignments!$D:$D,"&gt;="&amp;TODAY()-30))</f>
        <v/>
      </c>
      <c r="T443" s="1" t="str">
        <f>IF(A443="","",COUNTIFS(Assignments!$AF:$AF,A443,Assignments!$AE:$AE, "Y",Assignments!$D:$D,"&gt;="&amp;TODAY()-30))</f>
        <v/>
      </c>
      <c r="U443" s="1" t="str">
        <f>IF(A443="","",IFERROR(S443/MAX(1,COUNTIFS(Assignments!$B:$B,A443,Assignments!$D:$D,"&gt;="&amp;TODAY()-30)),""))</f>
        <v/>
      </c>
      <c r="V443" s="1" t="str">
        <f t="shared" si="4"/>
        <v/>
      </c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 t="str">
        <f>IF($A444="","",IFERROR(AVERAGEIFS(Assignments!$N$6:$N$1000,Assignments!$B$6:$B$1000,$A444,Assignments!$E$6:$E$1000,"Completed"),""))</f>
        <v/>
      </c>
      <c r="K444" s="2" t="str">
        <f>IF(A444="","",IFERROR(AVERAGEIFS(Assignments!$AO:$AO,Assignments!$B:$B,A444,Assignments!$E:$E,"Completed"),""))</f>
        <v/>
      </c>
      <c r="L444" s="2" t="str">
        <f>IF($A444="","",IFERROR(COUNTIFS(Assignments!$B$6:$B$1000,$A444,Assignments!$E$6:$E$1000,"Cancelled")/MAX(1,COUNTIFS(Assignments!$B$6:$B$1000,$A444,Assignments!$E$6:$E$1000,"Completed")+COUNTIFS(Assignments!$B$6:$B$1000,$A444,Assignments!$E$6:$E$1000,"Cancelled")),""))</f>
        <v/>
      </c>
      <c r="M444" s="2" t="str">
        <f>IF($A444="","",IFERROR(AVERAGEIFS(Assignments!$P$6:$P$1000,Assignments!$B$6:$B$1000,$A444,Assignments!$E$6:$E$1000,"Completed"),""))</f>
        <v/>
      </c>
      <c r="N444" s="2"/>
      <c r="O444" s="2"/>
      <c r="P444" s="1" t="str">
        <f>IF(A444="","",MAX(0,MIN(3,SUMIFS(Strike_Log!$C:$C,Strike_Log!$B:$B,A444,Strike_Log!$A:$A,"&gt;="&amp;IF(Config!$B$1004="Y",TODAY()-Config!$B$1005,DATE(1900,1,1)),Strike_Log!$I:$I,1))))</f>
        <v/>
      </c>
      <c r="Q444" s="1">
        <f t="shared" si="3"/>
        <v>0</v>
      </c>
      <c r="R444" s="1" t="str">
        <f>IF(A444="","",IFERROR(AVERAGEIFS(Assignments!$J:$J,Assignments!$B:$B,A444,Assignments!$E:$E,"Completed"),""))</f>
        <v/>
      </c>
      <c r="S444" s="1" t="str">
        <f>IF(A444="","",COUNTIFS(Assignments!$B:$B,A444,Assignments!$AE:$AE, "Y",Assignments!$D:$D,"&gt;="&amp;TODAY()-30))</f>
        <v/>
      </c>
      <c r="T444" s="1" t="str">
        <f>IF(A444="","",COUNTIFS(Assignments!$AF:$AF,A444,Assignments!$AE:$AE, "Y",Assignments!$D:$D,"&gt;="&amp;TODAY()-30))</f>
        <v/>
      </c>
      <c r="U444" s="1" t="str">
        <f>IF(A444="","",IFERROR(S444/MAX(1,COUNTIFS(Assignments!$B:$B,A444,Assignments!$D:$D,"&gt;="&amp;TODAY()-30)),""))</f>
        <v/>
      </c>
      <c r="V444" s="1" t="str">
        <f t="shared" si="4"/>
        <v/>
      </c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 t="str">
        <f>IF($A445="","",IFERROR(AVERAGEIFS(Assignments!$N$6:$N$1000,Assignments!$B$6:$B$1000,$A445,Assignments!$E$6:$E$1000,"Completed"),""))</f>
        <v/>
      </c>
      <c r="K445" s="2" t="str">
        <f>IF(A445="","",IFERROR(AVERAGEIFS(Assignments!$AO:$AO,Assignments!$B:$B,A445,Assignments!$E:$E,"Completed"),""))</f>
        <v/>
      </c>
      <c r="L445" s="2" t="str">
        <f>IF($A445="","",IFERROR(COUNTIFS(Assignments!$B$6:$B$1000,$A445,Assignments!$E$6:$E$1000,"Cancelled")/MAX(1,COUNTIFS(Assignments!$B$6:$B$1000,$A445,Assignments!$E$6:$E$1000,"Completed")+COUNTIFS(Assignments!$B$6:$B$1000,$A445,Assignments!$E$6:$E$1000,"Cancelled")),""))</f>
        <v/>
      </c>
      <c r="M445" s="2" t="str">
        <f>IF($A445="","",IFERROR(AVERAGEIFS(Assignments!$P$6:$P$1000,Assignments!$B$6:$B$1000,$A445,Assignments!$E$6:$E$1000,"Completed"),""))</f>
        <v/>
      </c>
      <c r="N445" s="2"/>
      <c r="O445" s="2"/>
      <c r="P445" s="1" t="str">
        <f>IF(A445="","",MAX(0,MIN(3,SUMIFS(Strike_Log!$C:$C,Strike_Log!$B:$B,A445,Strike_Log!$A:$A,"&gt;="&amp;IF(Config!$B$1004="Y",TODAY()-Config!$B$1005,DATE(1900,1,1)),Strike_Log!$I:$I,1))))</f>
        <v/>
      </c>
      <c r="Q445" s="1">
        <f t="shared" si="3"/>
        <v>0</v>
      </c>
      <c r="R445" s="1" t="str">
        <f>IF(A445="","",IFERROR(AVERAGEIFS(Assignments!$J:$J,Assignments!$B:$B,A445,Assignments!$E:$E,"Completed"),""))</f>
        <v/>
      </c>
      <c r="S445" s="1" t="str">
        <f>IF(A445="","",COUNTIFS(Assignments!$B:$B,A445,Assignments!$AE:$AE, "Y",Assignments!$D:$D,"&gt;="&amp;TODAY()-30))</f>
        <v/>
      </c>
      <c r="T445" s="1" t="str">
        <f>IF(A445="","",COUNTIFS(Assignments!$AF:$AF,A445,Assignments!$AE:$AE, "Y",Assignments!$D:$D,"&gt;="&amp;TODAY()-30))</f>
        <v/>
      </c>
      <c r="U445" s="1" t="str">
        <f>IF(A445="","",IFERROR(S445/MAX(1,COUNTIFS(Assignments!$B:$B,A445,Assignments!$D:$D,"&gt;="&amp;TODAY()-30)),""))</f>
        <v/>
      </c>
      <c r="V445" s="1" t="str">
        <f t="shared" si="4"/>
        <v/>
      </c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 t="str">
        <f>IF($A446="","",IFERROR(AVERAGEIFS(Assignments!$N$6:$N$1000,Assignments!$B$6:$B$1000,$A446,Assignments!$E$6:$E$1000,"Completed"),""))</f>
        <v/>
      </c>
      <c r="K446" s="2" t="str">
        <f>IF(A446="","",IFERROR(AVERAGEIFS(Assignments!$AO:$AO,Assignments!$B:$B,A446,Assignments!$E:$E,"Completed"),""))</f>
        <v/>
      </c>
      <c r="L446" s="2" t="str">
        <f>IF($A446="","",IFERROR(COUNTIFS(Assignments!$B$6:$B$1000,$A446,Assignments!$E$6:$E$1000,"Cancelled")/MAX(1,COUNTIFS(Assignments!$B$6:$B$1000,$A446,Assignments!$E$6:$E$1000,"Completed")+COUNTIFS(Assignments!$B$6:$B$1000,$A446,Assignments!$E$6:$E$1000,"Cancelled")),""))</f>
        <v/>
      </c>
      <c r="M446" s="2" t="str">
        <f>IF($A446="","",IFERROR(AVERAGEIFS(Assignments!$P$6:$P$1000,Assignments!$B$6:$B$1000,$A446,Assignments!$E$6:$E$1000,"Completed"),""))</f>
        <v/>
      </c>
      <c r="N446" s="2"/>
      <c r="O446" s="2"/>
      <c r="P446" s="1" t="str">
        <f>IF(A446="","",MAX(0,MIN(3,SUMIFS(Strike_Log!$C:$C,Strike_Log!$B:$B,A446,Strike_Log!$A:$A,"&gt;="&amp;IF(Config!$B$1004="Y",TODAY()-Config!$B$1005,DATE(1900,1,1)),Strike_Log!$I:$I,1))))</f>
        <v/>
      </c>
      <c r="Q446" s="1">
        <f t="shared" si="3"/>
        <v>0</v>
      </c>
      <c r="R446" s="1" t="str">
        <f>IF(A446="","",IFERROR(AVERAGEIFS(Assignments!$J:$J,Assignments!$B:$B,A446,Assignments!$E:$E,"Completed"),""))</f>
        <v/>
      </c>
      <c r="S446" s="1" t="str">
        <f>IF(A446="","",COUNTIFS(Assignments!$B:$B,A446,Assignments!$AE:$AE, "Y",Assignments!$D:$D,"&gt;="&amp;TODAY()-30))</f>
        <v/>
      </c>
      <c r="T446" s="1" t="str">
        <f>IF(A446="","",COUNTIFS(Assignments!$AF:$AF,A446,Assignments!$AE:$AE, "Y",Assignments!$D:$D,"&gt;="&amp;TODAY()-30))</f>
        <v/>
      </c>
      <c r="U446" s="1" t="str">
        <f>IF(A446="","",IFERROR(S446/MAX(1,COUNTIFS(Assignments!$B:$B,A446,Assignments!$D:$D,"&gt;="&amp;TODAY()-30)),""))</f>
        <v/>
      </c>
      <c r="V446" s="1" t="str">
        <f t="shared" si="4"/>
        <v/>
      </c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 t="str">
        <f>IF($A447="","",IFERROR(AVERAGEIFS(Assignments!$N$6:$N$1000,Assignments!$B$6:$B$1000,$A447,Assignments!$E$6:$E$1000,"Completed"),""))</f>
        <v/>
      </c>
      <c r="K447" s="2" t="str">
        <f>IF(A447="","",IFERROR(AVERAGEIFS(Assignments!$AO:$AO,Assignments!$B:$B,A447,Assignments!$E:$E,"Completed"),""))</f>
        <v/>
      </c>
      <c r="L447" s="2" t="str">
        <f>IF($A447="","",IFERROR(COUNTIFS(Assignments!$B$6:$B$1000,$A447,Assignments!$E$6:$E$1000,"Cancelled")/MAX(1,COUNTIFS(Assignments!$B$6:$B$1000,$A447,Assignments!$E$6:$E$1000,"Completed")+COUNTIFS(Assignments!$B$6:$B$1000,$A447,Assignments!$E$6:$E$1000,"Cancelled")),""))</f>
        <v/>
      </c>
      <c r="M447" s="2" t="str">
        <f>IF($A447="","",IFERROR(AVERAGEIFS(Assignments!$P$6:$P$1000,Assignments!$B$6:$B$1000,$A447,Assignments!$E$6:$E$1000,"Completed"),""))</f>
        <v/>
      </c>
      <c r="N447" s="2"/>
      <c r="O447" s="2"/>
      <c r="P447" s="1" t="str">
        <f>IF(A447="","",MAX(0,MIN(3,SUMIFS(Strike_Log!$C:$C,Strike_Log!$B:$B,A447,Strike_Log!$A:$A,"&gt;="&amp;IF(Config!$B$1004="Y",TODAY()-Config!$B$1005,DATE(1900,1,1)),Strike_Log!$I:$I,1))))</f>
        <v/>
      </c>
      <c r="Q447" s="1">
        <f t="shared" si="3"/>
        <v>0</v>
      </c>
      <c r="R447" s="1" t="str">
        <f>IF(A447="","",IFERROR(AVERAGEIFS(Assignments!$J:$J,Assignments!$B:$B,A447,Assignments!$E:$E,"Completed"),""))</f>
        <v/>
      </c>
      <c r="S447" s="1" t="str">
        <f>IF(A447="","",COUNTIFS(Assignments!$B:$B,A447,Assignments!$AE:$AE, "Y",Assignments!$D:$D,"&gt;="&amp;TODAY()-30))</f>
        <v/>
      </c>
      <c r="T447" s="1" t="str">
        <f>IF(A447="","",COUNTIFS(Assignments!$AF:$AF,A447,Assignments!$AE:$AE, "Y",Assignments!$D:$D,"&gt;="&amp;TODAY()-30))</f>
        <v/>
      </c>
      <c r="U447" s="1" t="str">
        <f>IF(A447="","",IFERROR(S447/MAX(1,COUNTIFS(Assignments!$B:$B,A447,Assignments!$D:$D,"&gt;="&amp;TODAY()-30)),""))</f>
        <v/>
      </c>
      <c r="V447" s="1" t="str">
        <f t="shared" si="4"/>
        <v/>
      </c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 t="str">
        <f>IF($A448="","",IFERROR(AVERAGEIFS(Assignments!$N$6:$N$1000,Assignments!$B$6:$B$1000,$A448,Assignments!$E$6:$E$1000,"Completed"),""))</f>
        <v/>
      </c>
      <c r="K448" s="2" t="str">
        <f>IF(A448="","",IFERROR(AVERAGEIFS(Assignments!$AO:$AO,Assignments!$B:$B,A448,Assignments!$E:$E,"Completed"),""))</f>
        <v/>
      </c>
      <c r="L448" s="2" t="str">
        <f>IF($A448="","",IFERROR(COUNTIFS(Assignments!$B$6:$B$1000,$A448,Assignments!$E$6:$E$1000,"Cancelled")/MAX(1,COUNTIFS(Assignments!$B$6:$B$1000,$A448,Assignments!$E$6:$E$1000,"Completed")+COUNTIFS(Assignments!$B$6:$B$1000,$A448,Assignments!$E$6:$E$1000,"Cancelled")),""))</f>
        <v/>
      </c>
      <c r="M448" s="2" t="str">
        <f>IF($A448="","",IFERROR(AVERAGEIFS(Assignments!$P$6:$P$1000,Assignments!$B$6:$B$1000,$A448,Assignments!$E$6:$E$1000,"Completed"),""))</f>
        <v/>
      </c>
      <c r="N448" s="2"/>
      <c r="O448" s="2"/>
      <c r="P448" s="1" t="str">
        <f>IF(A448="","",MAX(0,MIN(3,SUMIFS(Strike_Log!$C:$C,Strike_Log!$B:$B,A448,Strike_Log!$A:$A,"&gt;="&amp;IF(Config!$B$1004="Y",TODAY()-Config!$B$1005,DATE(1900,1,1)),Strike_Log!$I:$I,1))))</f>
        <v/>
      </c>
      <c r="Q448" s="1">
        <f t="shared" si="3"/>
        <v>0</v>
      </c>
      <c r="R448" s="1" t="str">
        <f>IF(A448="","",IFERROR(AVERAGEIFS(Assignments!$J:$J,Assignments!$B:$B,A448,Assignments!$E:$E,"Completed"),""))</f>
        <v/>
      </c>
      <c r="S448" s="1" t="str">
        <f>IF(A448="","",COUNTIFS(Assignments!$B:$B,A448,Assignments!$AE:$AE, "Y",Assignments!$D:$D,"&gt;="&amp;TODAY()-30))</f>
        <v/>
      </c>
      <c r="T448" s="1" t="str">
        <f>IF(A448="","",COUNTIFS(Assignments!$AF:$AF,A448,Assignments!$AE:$AE, "Y",Assignments!$D:$D,"&gt;="&amp;TODAY()-30))</f>
        <v/>
      </c>
      <c r="U448" s="1" t="str">
        <f>IF(A448="","",IFERROR(S448/MAX(1,COUNTIFS(Assignments!$B:$B,A448,Assignments!$D:$D,"&gt;="&amp;TODAY()-30)),""))</f>
        <v/>
      </c>
      <c r="V448" s="1" t="str">
        <f t="shared" si="4"/>
        <v/>
      </c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 t="str">
        <f>IF($A449="","",IFERROR(AVERAGEIFS(Assignments!$N$6:$N$1000,Assignments!$B$6:$B$1000,$A449,Assignments!$E$6:$E$1000,"Completed"),""))</f>
        <v/>
      </c>
      <c r="K449" s="2" t="str">
        <f>IF(A449="","",IFERROR(AVERAGEIFS(Assignments!$AO:$AO,Assignments!$B:$B,A449,Assignments!$E:$E,"Completed"),""))</f>
        <v/>
      </c>
      <c r="L449" s="2" t="str">
        <f>IF($A449="","",IFERROR(COUNTIFS(Assignments!$B$6:$B$1000,$A449,Assignments!$E$6:$E$1000,"Cancelled")/MAX(1,COUNTIFS(Assignments!$B$6:$B$1000,$A449,Assignments!$E$6:$E$1000,"Completed")+COUNTIFS(Assignments!$B$6:$B$1000,$A449,Assignments!$E$6:$E$1000,"Cancelled")),""))</f>
        <v/>
      </c>
      <c r="M449" s="2" t="str">
        <f>IF($A449="","",IFERROR(AVERAGEIFS(Assignments!$P$6:$P$1000,Assignments!$B$6:$B$1000,$A449,Assignments!$E$6:$E$1000,"Completed"),""))</f>
        <v/>
      </c>
      <c r="N449" s="2"/>
      <c r="O449" s="2"/>
      <c r="P449" s="1" t="str">
        <f>IF(A449="","",MAX(0,MIN(3,SUMIFS(Strike_Log!$C:$C,Strike_Log!$B:$B,A449,Strike_Log!$A:$A,"&gt;="&amp;IF(Config!$B$1004="Y",TODAY()-Config!$B$1005,DATE(1900,1,1)),Strike_Log!$I:$I,1))))</f>
        <v/>
      </c>
      <c r="Q449" s="1">
        <f t="shared" si="3"/>
        <v>0</v>
      </c>
      <c r="R449" s="1" t="str">
        <f>IF(A449="","",IFERROR(AVERAGEIFS(Assignments!$J:$J,Assignments!$B:$B,A449,Assignments!$E:$E,"Completed"),""))</f>
        <v/>
      </c>
      <c r="S449" s="1" t="str">
        <f>IF(A449="","",COUNTIFS(Assignments!$B:$B,A449,Assignments!$AE:$AE, "Y",Assignments!$D:$D,"&gt;="&amp;TODAY()-30))</f>
        <v/>
      </c>
      <c r="T449" s="1" t="str">
        <f>IF(A449="","",COUNTIFS(Assignments!$AF:$AF,A449,Assignments!$AE:$AE, "Y",Assignments!$D:$D,"&gt;="&amp;TODAY()-30))</f>
        <v/>
      </c>
      <c r="U449" s="1" t="str">
        <f>IF(A449="","",IFERROR(S449/MAX(1,COUNTIFS(Assignments!$B:$B,A449,Assignments!$D:$D,"&gt;="&amp;TODAY()-30)),""))</f>
        <v/>
      </c>
      <c r="V449" s="1" t="str">
        <f t="shared" si="4"/>
        <v/>
      </c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 t="str">
        <f>IF($A450="","",IFERROR(AVERAGEIFS(Assignments!$N$6:$N$1000,Assignments!$B$6:$B$1000,$A450,Assignments!$E$6:$E$1000,"Completed"),""))</f>
        <v/>
      </c>
      <c r="K450" s="2" t="str">
        <f>IF(A450="","",IFERROR(AVERAGEIFS(Assignments!$AO:$AO,Assignments!$B:$B,A450,Assignments!$E:$E,"Completed"),""))</f>
        <v/>
      </c>
      <c r="L450" s="2" t="str">
        <f>IF($A450="","",IFERROR(COUNTIFS(Assignments!$B$6:$B$1000,$A450,Assignments!$E$6:$E$1000,"Cancelled")/MAX(1,COUNTIFS(Assignments!$B$6:$B$1000,$A450,Assignments!$E$6:$E$1000,"Completed")+COUNTIFS(Assignments!$B$6:$B$1000,$A450,Assignments!$E$6:$E$1000,"Cancelled")),""))</f>
        <v/>
      </c>
      <c r="M450" s="2" t="str">
        <f>IF($A450="","",IFERROR(AVERAGEIFS(Assignments!$P$6:$P$1000,Assignments!$B$6:$B$1000,$A450,Assignments!$E$6:$E$1000,"Completed"),""))</f>
        <v/>
      </c>
      <c r="N450" s="2"/>
      <c r="O450" s="2"/>
      <c r="P450" s="1" t="str">
        <f>IF(A450="","",MAX(0,MIN(3,SUMIFS(Strike_Log!$C:$C,Strike_Log!$B:$B,A450,Strike_Log!$A:$A,"&gt;="&amp;IF(Config!$B$1004="Y",TODAY()-Config!$B$1005,DATE(1900,1,1)),Strike_Log!$I:$I,1))))</f>
        <v/>
      </c>
      <c r="Q450" s="1">
        <f t="shared" si="3"/>
        <v>0</v>
      </c>
      <c r="R450" s="1" t="str">
        <f>IF(A450="","",IFERROR(AVERAGEIFS(Assignments!$J:$J,Assignments!$B:$B,A450,Assignments!$E:$E,"Completed"),""))</f>
        <v/>
      </c>
      <c r="S450" s="1" t="str">
        <f>IF(A450="","",COUNTIFS(Assignments!$B:$B,A450,Assignments!$AE:$AE, "Y",Assignments!$D:$D,"&gt;="&amp;TODAY()-30))</f>
        <v/>
      </c>
      <c r="T450" s="1" t="str">
        <f>IF(A450="","",COUNTIFS(Assignments!$AF:$AF,A450,Assignments!$AE:$AE, "Y",Assignments!$D:$D,"&gt;="&amp;TODAY()-30))</f>
        <v/>
      </c>
      <c r="U450" s="1" t="str">
        <f>IF(A450="","",IFERROR(S450/MAX(1,COUNTIFS(Assignments!$B:$B,A450,Assignments!$D:$D,"&gt;="&amp;TODAY()-30)),""))</f>
        <v/>
      </c>
      <c r="V450" s="1" t="str">
        <f t="shared" si="4"/>
        <v/>
      </c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 t="str">
        <f>IF($A451="","",IFERROR(AVERAGEIFS(Assignments!$N$6:$N$1000,Assignments!$B$6:$B$1000,$A451,Assignments!$E$6:$E$1000,"Completed"),""))</f>
        <v/>
      </c>
      <c r="K451" s="2" t="str">
        <f>IF(A451="","",IFERROR(AVERAGEIFS(Assignments!$AO:$AO,Assignments!$B:$B,A451,Assignments!$E:$E,"Completed"),""))</f>
        <v/>
      </c>
      <c r="L451" s="2" t="str">
        <f>IF($A451="","",IFERROR(COUNTIFS(Assignments!$B$6:$B$1000,$A451,Assignments!$E$6:$E$1000,"Cancelled")/MAX(1,COUNTIFS(Assignments!$B$6:$B$1000,$A451,Assignments!$E$6:$E$1000,"Completed")+COUNTIFS(Assignments!$B$6:$B$1000,$A451,Assignments!$E$6:$E$1000,"Cancelled")),""))</f>
        <v/>
      </c>
      <c r="M451" s="2" t="str">
        <f>IF($A451="","",IFERROR(AVERAGEIFS(Assignments!$P$6:$P$1000,Assignments!$B$6:$B$1000,$A451,Assignments!$E$6:$E$1000,"Completed"),""))</f>
        <v/>
      </c>
      <c r="N451" s="2"/>
      <c r="O451" s="2"/>
      <c r="P451" s="1" t="str">
        <f>IF(A451="","",MAX(0,MIN(3,SUMIFS(Strike_Log!$C:$C,Strike_Log!$B:$B,A451,Strike_Log!$A:$A,"&gt;="&amp;IF(Config!$B$1004="Y",TODAY()-Config!$B$1005,DATE(1900,1,1)),Strike_Log!$I:$I,1))))</f>
        <v/>
      </c>
      <c r="Q451" s="1">
        <f t="shared" si="3"/>
        <v>0</v>
      </c>
      <c r="R451" s="1" t="str">
        <f>IF(A451="","",IFERROR(AVERAGEIFS(Assignments!$J:$J,Assignments!$B:$B,A451,Assignments!$E:$E,"Completed"),""))</f>
        <v/>
      </c>
      <c r="S451" s="1" t="str">
        <f>IF(A451="","",COUNTIFS(Assignments!$B:$B,A451,Assignments!$AE:$AE, "Y",Assignments!$D:$D,"&gt;="&amp;TODAY()-30))</f>
        <v/>
      </c>
      <c r="T451" s="1" t="str">
        <f>IF(A451="","",COUNTIFS(Assignments!$AF:$AF,A451,Assignments!$AE:$AE, "Y",Assignments!$D:$D,"&gt;="&amp;TODAY()-30))</f>
        <v/>
      </c>
      <c r="U451" s="1" t="str">
        <f>IF(A451="","",IFERROR(S451/MAX(1,COUNTIFS(Assignments!$B:$B,A451,Assignments!$D:$D,"&gt;="&amp;TODAY()-30)),""))</f>
        <v/>
      </c>
      <c r="V451" s="1" t="str">
        <f t="shared" si="4"/>
        <v/>
      </c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 t="str">
        <f>IF($A452="","",IFERROR(AVERAGEIFS(Assignments!$N$6:$N$1000,Assignments!$B$6:$B$1000,$A452,Assignments!$E$6:$E$1000,"Completed"),""))</f>
        <v/>
      </c>
      <c r="K452" s="2" t="str">
        <f>IF(A452="","",IFERROR(AVERAGEIFS(Assignments!$AO:$AO,Assignments!$B:$B,A452,Assignments!$E:$E,"Completed"),""))</f>
        <v/>
      </c>
      <c r="L452" s="2" t="str">
        <f>IF($A452="","",IFERROR(COUNTIFS(Assignments!$B$6:$B$1000,$A452,Assignments!$E$6:$E$1000,"Cancelled")/MAX(1,COUNTIFS(Assignments!$B$6:$B$1000,$A452,Assignments!$E$6:$E$1000,"Completed")+COUNTIFS(Assignments!$B$6:$B$1000,$A452,Assignments!$E$6:$E$1000,"Cancelled")),""))</f>
        <v/>
      </c>
      <c r="M452" s="2" t="str">
        <f>IF($A452="","",IFERROR(AVERAGEIFS(Assignments!$P$6:$P$1000,Assignments!$B$6:$B$1000,$A452,Assignments!$E$6:$E$1000,"Completed"),""))</f>
        <v/>
      </c>
      <c r="N452" s="2"/>
      <c r="O452" s="2"/>
      <c r="P452" s="1" t="str">
        <f>IF(A452="","",MAX(0,MIN(3,SUMIFS(Strike_Log!$C:$C,Strike_Log!$B:$B,A452,Strike_Log!$A:$A,"&gt;="&amp;IF(Config!$B$1004="Y",TODAY()-Config!$B$1005,DATE(1900,1,1)),Strike_Log!$I:$I,1))))</f>
        <v/>
      </c>
      <c r="Q452" s="1">
        <f t="shared" si="3"/>
        <v>0</v>
      </c>
      <c r="R452" s="1" t="str">
        <f>IF(A452="","",IFERROR(AVERAGEIFS(Assignments!$J:$J,Assignments!$B:$B,A452,Assignments!$E:$E,"Completed"),""))</f>
        <v/>
      </c>
      <c r="S452" s="1" t="str">
        <f>IF(A452="","",COUNTIFS(Assignments!$B:$B,A452,Assignments!$AE:$AE, "Y",Assignments!$D:$D,"&gt;="&amp;TODAY()-30))</f>
        <v/>
      </c>
      <c r="T452" s="1" t="str">
        <f>IF(A452="","",COUNTIFS(Assignments!$AF:$AF,A452,Assignments!$AE:$AE, "Y",Assignments!$D:$D,"&gt;="&amp;TODAY()-30))</f>
        <v/>
      </c>
      <c r="U452" s="1" t="str">
        <f>IF(A452="","",IFERROR(S452/MAX(1,COUNTIFS(Assignments!$B:$B,A452,Assignments!$D:$D,"&gt;="&amp;TODAY()-30)),""))</f>
        <v/>
      </c>
      <c r="V452" s="1" t="str">
        <f t="shared" si="4"/>
        <v/>
      </c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 t="str">
        <f>IF($A453="","",IFERROR(AVERAGEIFS(Assignments!$N$6:$N$1000,Assignments!$B$6:$B$1000,$A453,Assignments!$E$6:$E$1000,"Completed"),""))</f>
        <v/>
      </c>
      <c r="K453" s="2" t="str">
        <f>IF(A453="","",IFERROR(AVERAGEIFS(Assignments!$AO:$AO,Assignments!$B:$B,A453,Assignments!$E:$E,"Completed"),""))</f>
        <v/>
      </c>
      <c r="L453" s="2" t="str">
        <f>IF($A453="","",IFERROR(COUNTIFS(Assignments!$B$6:$B$1000,$A453,Assignments!$E$6:$E$1000,"Cancelled")/MAX(1,COUNTIFS(Assignments!$B$6:$B$1000,$A453,Assignments!$E$6:$E$1000,"Completed")+COUNTIFS(Assignments!$B$6:$B$1000,$A453,Assignments!$E$6:$E$1000,"Cancelled")),""))</f>
        <v/>
      </c>
      <c r="M453" s="2" t="str">
        <f>IF($A453="","",IFERROR(AVERAGEIFS(Assignments!$P$6:$P$1000,Assignments!$B$6:$B$1000,$A453,Assignments!$E$6:$E$1000,"Completed"),""))</f>
        <v/>
      </c>
      <c r="N453" s="2"/>
      <c r="O453" s="2"/>
      <c r="P453" s="1" t="str">
        <f>IF(A453="","",MAX(0,MIN(3,SUMIFS(Strike_Log!$C:$C,Strike_Log!$B:$B,A453,Strike_Log!$A:$A,"&gt;="&amp;IF(Config!$B$1004="Y",TODAY()-Config!$B$1005,DATE(1900,1,1)),Strike_Log!$I:$I,1))))</f>
        <v/>
      </c>
      <c r="Q453" s="1">
        <f t="shared" si="3"/>
        <v>0</v>
      </c>
      <c r="R453" s="1" t="str">
        <f>IF(A453="","",IFERROR(AVERAGEIFS(Assignments!$J:$J,Assignments!$B:$B,A453,Assignments!$E:$E,"Completed"),""))</f>
        <v/>
      </c>
      <c r="S453" s="1" t="str">
        <f>IF(A453="","",COUNTIFS(Assignments!$B:$B,A453,Assignments!$AE:$AE, "Y",Assignments!$D:$D,"&gt;="&amp;TODAY()-30))</f>
        <v/>
      </c>
      <c r="T453" s="1" t="str">
        <f>IF(A453="","",COUNTIFS(Assignments!$AF:$AF,A453,Assignments!$AE:$AE, "Y",Assignments!$D:$D,"&gt;="&amp;TODAY()-30))</f>
        <v/>
      </c>
      <c r="U453" s="1" t="str">
        <f>IF(A453="","",IFERROR(S453/MAX(1,COUNTIFS(Assignments!$B:$B,A453,Assignments!$D:$D,"&gt;="&amp;TODAY()-30)),""))</f>
        <v/>
      </c>
      <c r="V453" s="1" t="str">
        <f t="shared" si="4"/>
        <v/>
      </c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 t="str">
        <f>IF($A454="","",IFERROR(AVERAGEIFS(Assignments!$N$6:$N$1000,Assignments!$B$6:$B$1000,$A454,Assignments!$E$6:$E$1000,"Completed"),""))</f>
        <v/>
      </c>
      <c r="K454" s="2" t="str">
        <f>IF(A454="","",IFERROR(AVERAGEIFS(Assignments!$AO:$AO,Assignments!$B:$B,A454,Assignments!$E:$E,"Completed"),""))</f>
        <v/>
      </c>
      <c r="L454" s="2" t="str">
        <f>IF($A454="","",IFERROR(COUNTIFS(Assignments!$B$6:$B$1000,$A454,Assignments!$E$6:$E$1000,"Cancelled")/MAX(1,COUNTIFS(Assignments!$B$6:$B$1000,$A454,Assignments!$E$6:$E$1000,"Completed")+COUNTIFS(Assignments!$B$6:$B$1000,$A454,Assignments!$E$6:$E$1000,"Cancelled")),""))</f>
        <v/>
      </c>
      <c r="M454" s="2" t="str">
        <f>IF($A454="","",IFERROR(AVERAGEIFS(Assignments!$P$6:$P$1000,Assignments!$B$6:$B$1000,$A454,Assignments!$E$6:$E$1000,"Completed"),""))</f>
        <v/>
      </c>
      <c r="N454" s="2"/>
      <c r="O454" s="2"/>
      <c r="P454" s="1" t="str">
        <f>IF(A454="","",MAX(0,MIN(3,SUMIFS(Strike_Log!$C:$C,Strike_Log!$B:$B,A454,Strike_Log!$A:$A,"&gt;="&amp;IF(Config!$B$1004="Y",TODAY()-Config!$B$1005,DATE(1900,1,1)),Strike_Log!$I:$I,1))))</f>
        <v/>
      </c>
      <c r="Q454" s="1">
        <f t="shared" si="3"/>
        <v>0</v>
      </c>
      <c r="R454" s="1" t="str">
        <f>IF(A454="","",IFERROR(AVERAGEIFS(Assignments!$J:$J,Assignments!$B:$B,A454,Assignments!$E:$E,"Completed"),""))</f>
        <v/>
      </c>
      <c r="S454" s="1" t="str">
        <f>IF(A454="","",COUNTIFS(Assignments!$B:$B,A454,Assignments!$AE:$AE, "Y",Assignments!$D:$D,"&gt;="&amp;TODAY()-30))</f>
        <v/>
      </c>
      <c r="T454" s="1" t="str">
        <f>IF(A454="","",COUNTIFS(Assignments!$AF:$AF,A454,Assignments!$AE:$AE, "Y",Assignments!$D:$D,"&gt;="&amp;TODAY()-30))</f>
        <v/>
      </c>
      <c r="U454" s="1" t="str">
        <f>IF(A454="","",IFERROR(S454/MAX(1,COUNTIFS(Assignments!$B:$B,A454,Assignments!$D:$D,"&gt;="&amp;TODAY()-30)),""))</f>
        <v/>
      </c>
      <c r="V454" s="1" t="str">
        <f t="shared" si="4"/>
        <v/>
      </c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 t="str">
        <f>IF($A455="","",IFERROR(AVERAGEIFS(Assignments!$N$6:$N$1000,Assignments!$B$6:$B$1000,$A455,Assignments!$E$6:$E$1000,"Completed"),""))</f>
        <v/>
      </c>
      <c r="K455" s="2" t="str">
        <f>IF(A455="","",IFERROR(AVERAGEIFS(Assignments!$AO:$AO,Assignments!$B:$B,A455,Assignments!$E:$E,"Completed"),""))</f>
        <v/>
      </c>
      <c r="L455" s="2" t="str">
        <f>IF($A455="","",IFERROR(COUNTIFS(Assignments!$B$6:$B$1000,$A455,Assignments!$E$6:$E$1000,"Cancelled")/MAX(1,COUNTIFS(Assignments!$B$6:$B$1000,$A455,Assignments!$E$6:$E$1000,"Completed")+COUNTIFS(Assignments!$B$6:$B$1000,$A455,Assignments!$E$6:$E$1000,"Cancelled")),""))</f>
        <v/>
      </c>
      <c r="M455" s="2" t="str">
        <f>IF($A455="","",IFERROR(AVERAGEIFS(Assignments!$P$6:$P$1000,Assignments!$B$6:$B$1000,$A455,Assignments!$E$6:$E$1000,"Completed"),""))</f>
        <v/>
      </c>
      <c r="N455" s="2"/>
      <c r="O455" s="2"/>
      <c r="P455" s="1" t="str">
        <f>IF(A455="","",MAX(0,MIN(3,SUMIFS(Strike_Log!$C:$C,Strike_Log!$B:$B,A455,Strike_Log!$A:$A,"&gt;="&amp;IF(Config!$B$1004="Y",TODAY()-Config!$B$1005,DATE(1900,1,1)),Strike_Log!$I:$I,1))))</f>
        <v/>
      </c>
      <c r="Q455" s="1">
        <f t="shared" si="3"/>
        <v>0</v>
      </c>
      <c r="R455" s="1" t="str">
        <f>IF(A455="","",IFERROR(AVERAGEIFS(Assignments!$J:$J,Assignments!$B:$B,A455,Assignments!$E:$E,"Completed"),""))</f>
        <v/>
      </c>
      <c r="S455" s="1" t="str">
        <f>IF(A455="","",COUNTIFS(Assignments!$B:$B,A455,Assignments!$AE:$AE, "Y",Assignments!$D:$D,"&gt;="&amp;TODAY()-30))</f>
        <v/>
      </c>
      <c r="T455" s="1" t="str">
        <f>IF(A455="","",COUNTIFS(Assignments!$AF:$AF,A455,Assignments!$AE:$AE, "Y",Assignments!$D:$D,"&gt;="&amp;TODAY()-30))</f>
        <v/>
      </c>
      <c r="U455" s="1" t="str">
        <f>IF(A455="","",IFERROR(S455/MAX(1,COUNTIFS(Assignments!$B:$B,A455,Assignments!$D:$D,"&gt;="&amp;TODAY()-30)),""))</f>
        <v/>
      </c>
      <c r="V455" s="1" t="str">
        <f t="shared" si="4"/>
        <v/>
      </c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 t="str">
        <f>IF($A456="","",IFERROR(AVERAGEIFS(Assignments!$N$6:$N$1000,Assignments!$B$6:$B$1000,$A456,Assignments!$E$6:$E$1000,"Completed"),""))</f>
        <v/>
      </c>
      <c r="K456" s="2" t="str">
        <f>IF(A456="","",IFERROR(AVERAGEIFS(Assignments!$AO:$AO,Assignments!$B:$B,A456,Assignments!$E:$E,"Completed"),""))</f>
        <v/>
      </c>
      <c r="L456" s="2" t="str">
        <f>IF($A456="","",IFERROR(COUNTIFS(Assignments!$B$6:$B$1000,$A456,Assignments!$E$6:$E$1000,"Cancelled")/MAX(1,COUNTIFS(Assignments!$B$6:$B$1000,$A456,Assignments!$E$6:$E$1000,"Completed")+COUNTIFS(Assignments!$B$6:$B$1000,$A456,Assignments!$E$6:$E$1000,"Cancelled")),""))</f>
        <v/>
      </c>
      <c r="M456" s="2" t="str">
        <f>IF($A456="","",IFERROR(AVERAGEIFS(Assignments!$P$6:$P$1000,Assignments!$B$6:$B$1000,$A456,Assignments!$E$6:$E$1000,"Completed"),""))</f>
        <v/>
      </c>
      <c r="N456" s="2"/>
      <c r="O456" s="2"/>
      <c r="P456" s="1" t="str">
        <f>IF(A456="","",MAX(0,MIN(3,SUMIFS(Strike_Log!$C:$C,Strike_Log!$B:$B,A456,Strike_Log!$A:$A,"&gt;="&amp;IF(Config!$B$1004="Y",TODAY()-Config!$B$1005,DATE(1900,1,1)),Strike_Log!$I:$I,1))))</f>
        <v/>
      </c>
      <c r="Q456" s="1">
        <f t="shared" si="3"/>
        <v>0</v>
      </c>
      <c r="R456" s="1" t="str">
        <f>IF(A456="","",IFERROR(AVERAGEIFS(Assignments!$J:$J,Assignments!$B:$B,A456,Assignments!$E:$E,"Completed"),""))</f>
        <v/>
      </c>
      <c r="S456" s="1" t="str">
        <f>IF(A456="","",COUNTIFS(Assignments!$B:$B,A456,Assignments!$AE:$AE, "Y",Assignments!$D:$D,"&gt;="&amp;TODAY()-30))</f>
        <v/>
      </c>
      <c r="T456" s="1" t="str">
        <f>IF(A456="","",COUNTIFS(Assignments!$AF:$AF,A456,Assignments!$AE:$AE, "Y",Assignments!$D:$D,"&gt;="&amp;TODAY()-30))</f>
        <v/>
      </c>
      <c r="U456" s="1" t="str">
        <f>IF(A456="","",IFERROR(S456/MAX(1,COUNTIFS(Assignments!$B:$B,A456,Assignments!$D:$D,"&gt;="&amp;TODAY()-30)),""))</f>
        <v/>
      </c>
      <c r="V456" s="1" t="str">
        <f t="shared" si="4"/>
        <v/>
      </c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 t="str">
        <f>IF($A457="","",IFERROR(AVERAGEIFS(Assignments!$N$6:$N$1000,Assignments!$B$6:$B$1000,$A457,Assignments!$E$6:$E$1000,"Completed"),""))</f>
        <v/>
      </c>
      <c r="K457" s="2" t="str">
        <f>IF(A457="","",IFERROR(AVERAGEIFS(Assignments!$AO:$AO,Assignments!$B:$B,A457,Assignments!$E:$E,"Completed"),""))</f>
        <v/>
      </c>
      <c r="L457" s="2" t="str">
        <f>IF($A457="","",IFERROR(COUNTIFS(Assignments!$B$6:$B$1000,$A457,Assignments!$E$6:$E$1000,"Cancelled")/MAX(1,COUNTIFS(Assignments!$B$6:$B$1000,$A457,Assignments!$E$6:$E$1000,"Completed")+COUNTIFS(Assignments!$B$6:$B$1000,$A457,Assignments!$E$6:$E$1000,"Cancelled")),""))</f>
        <v/>
      </c>
      <c r="M457" s="2" t="str">
        <f>IF($A457="","",IFERROR(AVERAGEIFS(Assignments!$P$6:$P$1000,Assignments!$B$6:$B$1000,$A457,Assignments!$E$6:$E$1000,"Completed"),""))</f>
        <v/>
      </c>
      <c r="N457" s="2"/>
      <c r="O457" s="2"/>
      <c r="P457" s="1" t="str">
        <f>IF(A457="","",MAX(0,MIN(3,SUMIFS(Strike_Log!$C:$C,Strike_Log!$B:$B,A457,Strike_Log!$A:$A,"&gt;="&amp;IF(Config!$B$1004="Y",TODAY()-Config!$B$1005,DATE(1900,1,1)),Strike_Log!$I:$I,1))))</f>
        <v/>
      </c>
      <c r="Q457" s="1">
        <f t="shared" si="3"/>
        <v>0</v>
      </c>
      <c r="R457" s="1" t="str">
        <f>IF(A457="","",IFERROR(AVERAGEIFS(Assignments!$J:$J,Assignments!$B:$B,A457,Assignments!$E:$E,"Completed"),""))</f>
        <v/>
      </c>
      <c r="S457" s="1" t="str">
        <f>IF(A457="","",COUNTIFS(Assignments!$B:$B,A457,Assignments!$AE:$AE, "Y",Assignments!$D:$D,"&gt;="&amp;TODAY()-30))</f>
        <v/>
      </c>
      <c r="T457" s="1" t="str">
        <f>IF(A457="","",COUNTIFS(Assignments!$AF:$AF,A457,Assignments!$AE:$AE, "Y",Assignments!$D:$D,"&gt;="&amp;TODAY()-30))</f>
        <v/>
      </c>
      <c r="U457" s="1" t="str">
        <f>IF(A457="","",IFERROR(S457/MAX(1,COUNTIFS(Assignments!$B:$B,A457,Assignments!$D:$D,"&gt;="&amp;TODAY()-30)),""))</f>
        <v/>
      </c>
      <c r="V457" s="1" t="str">
        <f t="shared" si="4"/>
        <v/>
      </c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 t="str">
        <f>IF($A458="","",IFERROR(AVERAGEIFS(Assignments!$N$6:$N$1000,Assignments!$B$6:$B$1000,$A458,Assignments!$E$6:$E$1000,"Completed"),""))</f>
        <v/>
      </c>
      <c r="K458" s="2" t="str">
        <f>IF(A458="","",IFERROR(AVERAGEIFS(Assignments!$AO:$AO,Assignments!$B:$B,A458,Assignments!$E:$E,"Completed"),""))</f>
        <v/>
      </c>
      <c r="L458" s="2" t="str">
        <f>IF($A458="","",IFERROR(COUNTIFS(Assignments!$B$6:$B$1000,$A458,Assignments!$E$6:$E$1000,"Cancelled")/MAX(1,COUNTIFS(Assignments!$B$6:$B$1000,$A458,Assignments!$E$6:$E$1000,"Completed")+COUNTIFS(Assignments!$B$6:$B$1000,$A458,Assignments!$E$6:$E$1000,"Cancelled")),""))</f>
        <v/>
      </c>
      <c r="M458" s="2" t="str">
        <f>IF($A458="","",IFERROR(AVERAGEIFS(Assignments!$P$6:$P$1000,Assignments!$B$6:$B$1000,$A458,Assignments!$E$6:$E$1000,"Completed"),""))</f>
        <v/>
      </c>
      <c r="N458" s="2"/>
      <c r="O458" s="2"/>
      <c r="P458" s="1" t="str">
        <f>IF(A458="","",MAX(0,MIN(3,SUMIFS(Strike_Log!$C:$C,Strike_Log!$B:$B,A458,Strike_Log!$A:$A,"&gt;="&amp;IF(Config!$B$1004="Y",TODAY()-Config!$B$1005,DATE(1900,1,1)),Strike_Log!$I:$I,1))))</f>
        <v/>
      </c>
      <c r="Q458" s="1">
        <f t="shared" si="3"/>
        <v>0</v>
      </c>
      <c r="R458" s="1" t="str">
        <f>IF(A458="","",IFERROR(AVERAGEIFS(Assignments!$J:$J,Assignments!$B:$B,A458,Assignments!$E:$E,"Completed"),""))</f>
        <v/>
      </c>
      <c r="S458" s="1" t="str">
        <f>IF(A458="","",COUNTIFS(Assignments!$B:$B,A458,Assignments!$AE:$AE, "Y",Assignments!$D:$D,"&gt;="&amp;TODAY()-30))</f>
        <v/>
      </c>
      <c r="T458" s="1" t="str">
        <f>IF(A458="","",COUNTIFS(Assignments!$AF:$AF,A458,Assignments!$AE:$AE, "Y",Assignments!$D:$D,"&gt;="&amp;TODAY()-30))</f>
        <v/>
      </c>
      <c r="U458" s="1" t="str">
        <f>IF(A458="","",IFERROR(S458/MAX(1,COUNTIFS(Assignments!$B:$B,A458,Assignments!$D:$D,"&gt;="&amp;TODAY()-30)),""))</f>
        <v/>
      </c>
      <c r="V458" s="1" t="str">
        <f t="shared" si="4"/>
        <v/>
      </c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 t="str">
        <f>IF($A459="","",IFERROR(AVERAGEIFS(Assignments!$N$6:$N$1000,Assignments!$B$6:$B$1000,$A459,Assignments!$E$6:$E$1000,"Completed"),""))</f>
        <v/>
      </c>
      <c r="K459" s="2" t="str">
        <f>IF(A459="","",IFERROR(AVERAGEIFS(Assignments!$AO:$AO,Assignments!$B:$B,A459,Assignments!$E:$E,"Completed"),""))</f>
        <v/>
      </c>
      <c r="L459" s="2" t="str">
        <f>IF($A459="","",IFERROR(COUNTIFS(Assignments!$B$6:$B$1000,$A459,Assignments!$E$6:$E$1000,"Cancelled")/MAX(1,COUNTIFS(Assignments!$B$6:$B$1000,$A459,Assignments!$E$6:$E$1000,"Completed")+COUNTIFS(Assignments!$B$6:$B$1000,$A459,Assignments!$E$6:$E$1000,"Cancelled")),""))</f>
        <v/>
      </c>
      <c r="M459" s="2" t="str">
        <f>IF($A459="","",IFERROR(AVERAGEIFS(Assignments!$P$6:$P$1000,Assignments!$B$6:$B$1000,$A459,Assignments!$E$6:$E$1000,"Completed"),""))</f>
        <v/>
      </c>
      <c r="N459" s="2"/>
      <c r="O459" s="2"/>
      <c r="P459" s="1" t="str">
        <f>IF(A459="","",MAX(0,MIN(3,SUMIFS(Strike_Log!$C:$C,Strike_Log!$B:$B,A459,Strike_Log!$A:$A,"&gt;="&amp;IF(Config!$B$1004="Y",TODAY()-Config!$B$1005,DATE(1900,1,1)),Strike_Log!$I:$I,1))))</f>
        <v/>
      </c>
      <c r="Q459" s="1">
        <f t="shared" si="3"/>
        <v>0</v>
      </c>
      <c r="R459" s="1" t="str">
        <f>IF(A459="","",IFERROR(AVERAGEIFS(Assignments!$J:$J,Assignments!$B:$B,A459,Assignments!$E:$E,"Completed"),""))</f>
        <v/>
      </c>
      <c r="S459" s="1" t="str">
        <f>IF(A459="","",COUNTIFS(Assignments!$B:$B,A459,Assignments!$AE:$AE, "Y",Assignments!$D:$D,"&gt;="&amp;TODAY()-30))</f>
        <v/>
      </c>
      <c r="T459" s="1" t="str">
        <f>IF(A459="","",COUNTIFS(Assignments!$AF:$AF,A459,Assignments!$AE:$AE, "Y",Assignments!$D:$D,"&gt;="&amp;TODAY()-30))</f>
        <v/>
      </c>
      <c r="U459" s="1" t="str">
        <f>IF(A459="","",IFERROR(S459/MAX(1,COUNTIFS(Assignments!$B:$B,A459,Assignments!$D:$D,"&gt;="&amp;TODAY()-30)),""))</f>
        <v/>
      </c>
      <c r="V459" s="1" t="str">
        <f t="shared" si="4"/>
        <v/>
      </c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 t="str">
        <f>IF($A460="","",IFERROR(AVERAGEIFS(Assignments!$N$6:$N$1000,Assignments!$B$6:$B$1000,$A460,Assignments!$E$6:$E$1000,"Completed"),""))</f>
        <v/>
      </c>
      <c r="K460" s="2" t="str">
        <f>IF(A460="","",IFERROR(AVERAGEIFS(Assignments!$AO:$AO,Assignments!$B:$B,A460,Assignments!$E:$E,"Completed"),""))</f>
        <v/>
      </c>
      <c r="L460" s="2" t="str">
        <f>IF($A460="","",IFERROR(COUNTIFS(Assignments!$B$6:$B$1000,$A460,Assignments!$E$6:$E$1000,"Cancelled")/MAX(1,COUNTIFS(Assignments!$B$6:$B$1000,$A460,Assignments!$E$6:$E$1000,"Completed")+COUNTIFS(Assignments!$B$6:$B$1000,$A460,Assignments!$E$6:$E$1000,"Cancelled")),""))</f>
        <v/>
      </c>
      <c r="M460" s="2" t="str">
        <f>IF($A460="","",IFERROR(AVERAGEIFS(Assignments!$P$6:$P$1000,Assignments!$B$6:$B$1000,$A460,Assignments!$E$6:$E$1000,"Completed"),""))</f>
        <v/>
      </c>
      <c r="N460" s="2"/>
      <c r="O460" s="2"/>
      <c r="P460" s="1" t="str">
        <f>IF(A460="","",MAX(0,MIN(3,SUMIFS(Strike_Log!$C:$C,Strike_Log!$B:$B,A460,Strike_Log!$A:$A,"&gt;="&amp;IF(Config!$B$1004="Y",TODAY()-Config!$B$1005,DATE(1900,1,1)),Strike_Log!$I:$I,1))))</f>
        <v/>
      </c>
      <c r="Q460" s="1">
        <f t="shared" si="3"/>
        <v>0</v>
      </c>
      <c r="R460" s="1" t="str">
        <f>IF(A460="","",IFERROR(AVERAGEIFS(Assignments!$J:$J,Assignments!$B:$B,A460,Assignments!$E:$E,"Completed"),""))</f>
        <v/>
      </c>
      <c r="S460" s="1" t="str">
        <f>IF(A460="","",COUNTIFS(Assignments!$B:$B,A460,Assignments!$AE:$AE, "Y",Assignments!$D:$D,"&gt;="&amp;TODAY()-30))</f>
        <v/>
      </c>
      <c r="T460" s="1" t="str">
        <f>IF(A460="","",COUNTIFS(Assignments!$AF:$AF,A460,Assignments!$AE:$AE, "Y",Assignments!$D:$D,"&gt;="&amp;TODAY()-30))</f>
        <v/>
      </c>
      <c r="U460" s="1" t="str">
        <f>IF(A460="","",IFERROR(S460/MAX(1,COUNTIFS(Assignments!$B:$B,A460,Assignments!$D:$D,"&gt;="&amp;TODAY()-30)),""))</f>
        <v/>
      </c>
      <c r="V460" s="1" t="str">
        <f t="shared" si="4"/>
        <v/>
      </c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 t="str">
        <f>IF($A461="","",IFERROR(AVERAGEIFS(Assignments!$N$6:$N$1000,Assignments!$B$6:$B$1000,$A461,Assignments!$E$6:$E$1000,"Completed"),""))</f>
        <v/>
      </c>
      <c r="K461" s="2" t="str">
        <f>IF(A461="","",IFERROR(AVERAGEIFS(Assignments!$AO:$AO,Assignments!$B:$B,A461,Assignments!$E:$E,"Completed"),""))</f>
        <v/>
      </c>
      <c r="L461" s="2" t="str">
        <f>IF($A461="","",IFERROR(COUNTIFS(Assignments!$B$6:$B$1000,$A461,Assignments!$E$6:$E$1000,"Cancelled")/MAX(1,COUNTIFS(Assignments!$B$6:$B$1000,$A461,Assignments!$E$6:$E$1000,"Completed")+COUNTIFS(Assignments!$B$6:$B$1000,$A461,Assignments!$E$6:$E$1000,"Cancelled")),""))</f>
        <v/>
      </c>
      <c r="M461" s="2" t="str">
        <f>IF($A461="","",IFERROR(AVERAGEIFS(Assignments!$P$6:$P$1000,Assignments!$B$6:$B$1000,$A461,Assignments!$E$6:$E$1000,"Completed"),""))</f>
        <v/>
      </c>
      <c r="N461" s="2"/>
      <c r="O461" s="2"/>
      <c r="P461" s="1" t="str">
        <f>IF(A461="","",MAX(0,MIN(3,SUMIFS(Strike_Log!$C:$C,Strike_Log!$B:$B,A461,Strike_Log!$A:$A,"&gt;="&amp;IF(Config!$B$1004="Y",TODAY()-Config!$B$1005,DATE(1900,1,1)),Strike_Log!$I:$I,1))))</f>
        <v/>
      </c>
      <c r="Q461" s="1">
        <f t="shared" si="3"/>
        <v>0</v>
      </c>
      <c r="R461" s="1" t="str">
        <f>IF(A461="","",IFERROR(AVERAGEIFS(Assignments!$J:$J,Assignments!$B:$B,A461,Assignments!$E:$E,"Completed"),""))</f>
        <v/>
      </c>
      <c r="S461" s="1" t="str">
        <f>IF(A461="","",COUNTIFS(Assignments!$B:$B,A461,Assignments!$AE:$AE, "Y",Assignments!$D:$D,"&gt;="&amp;TODAY()-30))</f>
        <v/>
      </c>
      <c r="T461" s="1" t="str">
        <f>IF(A461="","",COUNTIFS(Assignments!$AF:$AF,A461,Assignments!$AE:$AE, "Y",Assignments!$D:$D,"&gt;="&amp;TODAY()-30))</f>
        <v/>
      </c>
      <c r="U461" s="1" t="str">
        <f>IF(A461="","",IFERROR(S461/MAX(1,COUNTIFS(Assignments!$B:$B,A461,Assignments!$D:$D,"&gt;="&amp;TODAY()-30)),""))</f>
        <v/>
      </c>
      <c r="V461" s="1" t="str">
        <f t="shared" si="4"/>
        <v/>
      </c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 t="str">
        <f>IF($A462="","",IFERROR(AVERAGEIFS(Assignments!$N$6:$N$1000,Assignments!$B$6:$B$1000,$A462,Assignments!$E$6:$E$1000,"Completed"),""))</f>
        <v/>
      </c>
      <c r="K462" s="2" t="str">
        <f>IF(A462="","",IFERROR(AVERAGEIFS(Assignments!$AO:$AO,Assignments!$B:$B,A462,Assignments!$E:$E,"Completed"),""))</f>
        <v/>
      </c>
      <c r="L462" s="2" t="str">
        <f>IF($A462="","",IFERROR(COUNTIFS(Assignments!$B$6:$B$1000,$A462,Assignments!$E$6:$E$1000,"Cancelled")/MAX(1,COUNTIFS(Assignments!$B$6:$B$1000,$A462,Assignments!$E$6:$E$1000,"Completed")+COUNTIFS(Assignments!$B$6:$B$1000,$A462,Assignments!$E$6:$E$1000,"Cancelled")),""))</f>
        <v/>
      </c>
      <c r="M462" s="2" t="str">
        <f>IF($A462="","",IFERROR(AVERAGEIFS(Assignments!$P$6:$P$1000,Assignments!$B$6:$B$1000,$A462,Assignments!$E$6:$E$1000,"Completed"),""))</f>
        <v/>
      </c>
      <c r="N462" s="2"/>
      <c r="O462" s="2"/>
      <c r="P462" s="1" t="str">
        <f>IF(A462="","",MAX(0,MIN(3,SUMIFS(Strike_Log!$C:$C,Strike_Log!$B:$B,A462,Strike_Log!$A:$A,"&gt;="&amp;IF(Config!$B$1004="Y",TODAY()-Config!$B$1005,DATE(1900,1,1)),Strike_Log!$I:$I,1))))</f>
        <v/>
      </c>
      <c r="Q462" s="1">
        <f t="shared" si="3"/>
        <v>0</v>
      </c>
      <c r="R462" s="1" t="str">
        <f>IF(A462="","",IFERROR(AVERAGEIFS(Assignments!$J:$J,Assignments!$B:$B,A462,Assignments!$E:$E,"Completed"),""))</f>
        <v/>
      </c>
      <c r="S462" s="1" t="str">
        <f>IF(A462="","",COUNTIFS(Assignments!$B:$B,A462,Assignments!$AE:$AE, "Y",Assignments!$D:$D,"&gt;="&amp;TODAY()-30))</f>
        <v/>
      </c>
      <c r="T462" s="1" t="str">
        <f>IF(A462="","",COUNTIFS(Assignments!$AF:$AF,A462,Assignments!$AE:$AE, "Y",Assignments!$D:$D,"&gt;="&amp;TODAY()-30))</f>
        <v/>
      </c>
      <c r="U462" s="1" t="str">
        <f>IF(A462="","",IFERROR(S462/MAX(1,COUNTIFS(Assignments!$B:$B,A462,Assignments!$D:$D,"&gt;="&amp;TODAY()-30)),""))</f>
        <v/>
      </c>
      <c r="V462" s="1" t="str">
        <f t="shared" si="4"/>
        <v/>
      </c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 t="str">
        <f>IF($A463="","",IFERROR(AVERAGEIFS(Assignments!$N$6:$N$1000,Assignments!$B$6:$B$1000,$A463,Assignments!$E$6:$E$1000,"Completed"),""))</f>
        <v/>
      </c>
      <c r="K463" s="2" t="str">
        <f>IF(A463="","",IFERROR(AVERAGEIFS(Assignments!$AO:$AO,Assignments!$B:$B,A463,Assignments!$E:$E,"Completed"),""))</f>
        <v/>
      </c>
      <c r="L463" s="2" t="str">
        <f>IF($A463="","",IFERROR(COUNTIFS(Assignments!$B$6:$B$1000,$A463,Assignments!$E$6:$E$1000,"Cancelled")/MAX(1,COUNTIFS(Assignments!$B$6:$B$1000,$A463,Assignments!$E$6:$E$1000,"Completed")+COUNTIFS(Assignments!$B$6:$B$1000,$A463,Assignments!$E$6:$E$1000,"Cancelled")),""))</f>
        <v/>
      </c>
      <c r="M463" s="2" t="str">
        <f>IF($A463="","",IFERROR(AVERAGEIFS(Assignments!$P$6:$P$1000,Assignments!$B$6:$B$1000,$A463,Assignments!$E$6:$E$1000,"Completed"),""))</f>
        <v/>
      </c>
      <c r="N463" s="2"/>
      <c r="O463" s="2"/>
      <c r="P463" s="1" t="str">
        <f>IF(A463="","",MAX(0,MIN(3,SUMIFS(Strike_Log!$C:$C,Strike_Log!$B:$B,A463,Strike_Log!$A:$A,"&gt;="&amp;IF(Config!$B$1004="Y",TODAY()-Config!$B$1005,DATE(1900,1,1)),Strike_Log!$I:$I,1))))</f>
        <v/>
      </c>
      <c r="Q463" s="1">
        <f t="shared" si="3"/>
        <v>0</v>
      </c>
      <c r="R463" s="1" t="str">
        <f>IF(A463="","",IFERROR(AVERAGEIFS(Assignments!$J:$J,Assignments!$B:$B,A463,Assignments!$E:$E,"Completed"),""))</f>
        <v/>
      </c>
      <c r="S463" s="1" t="str">
        <f>IF(A463="","",COUNTIFS(Assignments!$B:$B,A463,Assignments!$AE:$AE, "Y",Assignments!$D:$D,"&gt;="&amp;TODAY()-30))</f>
        <v/>
      </c>
      <c r="T463" s="1" t="str">
        <f>IF(A463="","",COUNTIFS(Assignments!$AF:$AF,A463,Assignments!$AE:$AE, "Y",Assignments!$D:$D,"&gt;="&amp;TODAY()-30))</f>
        <v/>
      </c>
      <c r="U463" s="1" t="str">
        <f>IF(A463="","",IFERROR(S463/MAX(1,COUNTIFS(Assignments!$B:$B,A463,Assignments!$D:$D,"&gt;="&amp;TODAY()-30)),""))</f>
        <v/>
      </c>
      <c r="V463" s="1" t="str">
        <f t="shared" si="4"/>
        <v/>
      </c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 t="str">
        <f>IF($A464="","",IFERROR(AVERAGEIFS(Assignments!$N$6:$N$1000,Assignments!$B$6:$B$1000,$A464,Assignments!$E$6:$E$1000,"Completed"),""))</f>
        <v/>
      </c>
      <c r="K464" s="2" t="str">
        <f>IF(A464="","",IFERROR(AVERAGEIFS(Assignments!$AO:$AO,Assignments!$B:$B,A464,Assignments!$E:$E,"Completed"),""))</f>
        <v/>
      </c>
      <c r="L464" s="2" t="str">
        <f>IF($A464="","",IFERROR(COUNTIFS(Assignments!$B$6:$B$1000,$A464,Assignments!$E$6:$E$1000,"Cancelled")/MAX(1,COUNTIFS(Assignments!$B$6:$B$1000,$A464,Assignments!$E$6:$E$1000,"Completed")+COUNTIFS(Assignments!$B$6:$B$1000,$A464,Assignments!$E$6:$E$1000,"Cancelled")),""))</f>
        <v/>
      </c>
      <c r="M464" s="2" t="str">
        <f>IF($A464="","",IFERROR(AVERAGEIFS(Assignments!$P$6:$P$1000,Assignments!$B$6:$B$1000,$A464,Assignments!$E$6:$E$1000,"Completed"),""))</f>
        <v/>
      </c>
      <c r="N464" s="2"/>
      <c r="O464" s="2"/>
      <c r="P464" s="1" t="str">
        <f>IF(A464="","",MAX(0,MIN(3,SUMIFS(Strike_Log!$C:$C,Strike_Log!$B:$B,A464,Strike_Log!$A:$A,"&gt;="&amp;IF(Config!$B$1004="Y",TODAY()-Config!$B$1005,DATE(1900,1,1)),Strike_Log!$I:$I,1))))</f>
        <v/>
      </c>
      <c r="Q464" s="1">
        <f t="shared" si="3"/>
        <v>0</v>
      </c>
      <c r="R464" s="1" t="str">
        <f>IF(A464="","",IFERROR(AVERAGEIFS(Assignments!$J:$J,Assignments!$B:$B,A464,Assignments!$E:$E,"Completed"),""))</f>
        <v/>
      </c>
      <c r="S464" s="1" t="str">
        <f>IF(A464="","",COUNTIFS(Assignments!$B:$B,A464,Assignments!$AE:$AE, "Y",Assignments!$D:$D,"&gt;="&amp;TODAY()-30))</f>
        <v/>
      </c>
      <c r="T464" s="1" t="str">
        <f>IF(A464="","",COUNTIFS(Assignments!$AF:$AF,A464,Assignments!$AE:$AE, "Y",Assignments!$D:$D,"&gt;="&amp;TODAY()-30))</f>
        <v/>
      </c>
      <c r="U464" s="1" t="str">
        <f>IF(A464="","",IFERROR(S464/MAX(1,COUNTIFS(Assignments!$B:$B,A464,Assignments!$D:$D,"&gt;="&amp;TODAY()-30)),""))</f>
        <v/>
      </c>
      <c r="V464" s="1" t="str">
        <f t="shared" si="4"/>
        <v/>
      </c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 t="str">
        <f>IF($A465="","",IFERROR(AVERAGEIFS(Assignments!$N$6:$N$1000,Assignments!$B$6:$B$1000,$A465,Assignments!$E$6:$E$1000,"Completed"),""))</f>
        <v/>
      </c>
      <c r="K465" s="2" t="str">
        <f>IF(A465="","",IFERROR(AVERAGEIFS(Assignments!$AO:$AO,Assignments!$B:$B,A465,Assignments!$E:$E,"Completed"),""))</f>
        <v/>
      </c>
      <c r="L465" s="2" t="str">
        <f>IF($A465="","",IFERROR(COUNTIFS(Assignments!$B$6:$B$1000,$A465,Assignments!$E$6:$E$1000,"Cancelled")/MAX(1,COUNTIFS(Assignments!$B$6:$B$1000,$A465,Assignments!$E$6:$E$1000,"Completed")+COUNTIFS(Assignments!$B$6:$B$1000,$A465,Assignments!$E$6:$E$1000,"Cancelled")),""))</f>
        <v/>
      </c>
      <c r="M465" s="2" t="str">
        <f>IF($A465="","",IFERROR(AVERAGEIFS(Assignments!$P$6:$P$1000,Assignments!$B$6:$B$1000,$A465,Assignments!$E$6:$E$1000,"Completed"),""))</f>
        <v/>
      </c>
      <c r="N465" s="2"/>
      <c r="O465" s="2"/>
      <c r="P465" s="1" t="str">
        <f>IF(A465="","",MAX(0,MIN(3,SUMIFS(Strike_Log!$C:$C,Strike_Log!$B:$B,A465,Strike_Log!$A:$A,"&gt;="&amp;IF(Config!$B$1004="Y",TODAY()-Config!$B$1005,DATE(1900,1,1)),Strike_Log!$I:$I,1))))</f>
        <v/>
      </c>
      <c r="Q465" s="1">
        <f t="shared" si="3"/>
        <v>0</v>
      </c>
      <c r="R465" s="1" t="str">
        <f>IF(A465="","",IFERROR(AVERAGEIFS(Assignments!$J:$J,Assignments!$B:$B,A465,Assignments!$E:$E,"Completed"),""))</f>
        <v/>
      </c>
      <c r="S465" s="1" t="str">
        <f>IF(A465="","",COUNTIFS(Assignments!$B:$B,A465,Assignments!$AE:$AE, "Y",Assignments!$D:$D,"&gt;="&amp;TODAY()-30))</f>
        <v/>
      </c>
      <c r="T465" s="1" t="str">
        <f>IF(A465="","",COUNTIFS(Assignments!$AF:$AF,A465,Assignments!$AE:$AE, "Y",Assignments!$D:$D,"&gt;="&amp;TODAY()-30))</f>
        <v/>
      </c>
      <c r="U465" s="1" t="str">
        <f>IF(A465="","",IFERROR(S465/MAX(1,COUNTIFS(Assignments!$B:$B,A465,Assignments!$D:$D,"&gt;="&amp;TODAY()-30)),""))</f>
        <v/>
      </c>
      <c r="V465" s="1" t="str">
        <f t="shared" si="4"/>
        <v/>
      </c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 t="str">
        <f>IF($A466="","",IFERROR(AVERAGEIFS(Assignments!$N$6:$N$1000,Assignments!$B$6:$B$1000,$A466,Assignments!$E$6:$E$1000,"Completed"),""))</f>
        <v/>
      </c>
      <c r="K466" s="2" t="str">
        <f>IF(A466="","",IFERROR(AVERAGEIFS(Assignments!$AO:$AO,Assignments!$B:$B,A466,Assignments!$E:$E,"Completed"),""))</f>
        <v/>
      </c>
      <c r="L466" s="2" t="str">
        <f>IF($A466="","",IFERROR(COUNTIFS(Assignments!$B$6:$B$1000,$A466,Assignments!$E$6:$E$1000,"Cancelled")/MAX(1,COUNTIFS(Assignments!$B$6:$B$1000,$A466,Assignments!$E$6:$E$1000,"Completed")+COUNTIFS(Assignments!$B$6:$B$1000,$A466,Assignments!$E$6:$E$1000,"Cancelled")),""))</f>
        <v/>
      </c>
      <c r="M466" s="2" t="str">
        <f>IF($A466="","",IFERROR(AVERAGEIFS(Assignments!$P$6:$P$1000,Assignments!$B$6:$B$1000,$A466,Assignments!$E$6:$E$1000,"Completed"),""))</f>
        <v/>
      </c>
      <c r="N466" s="2"/>
      <c r="O466" s="2"/>
      <c r="P466" s="1" t="str">
        <f>IF(A466="","",MAX(0,MIN(3,SUMIFS(Strike_Log!$C:$C,Strike_Log!$B:$B,A466,Strike_Log!$A:$A,"&gt;="&amp;IF(Config!$B$1004="Y",TODAY()-Config!$B$1005,DATE(1900,1,1)),Strike_Log!$I:$I,1))))</f>
        <v/>
      </c>
      <c r="Q466" s="1">
        <f t="shared" si="3"/>
        <v>0</v>
      </c>
      <c r="R466" s="1" t="str">
        <f>IF(A466="","",IFERROR(AVERAGEIFS(Assignments!$J:$J,Assignments!$B:$B,A466,Assignments!$E:$E,"Completed"),""))</f>
        <v/>
      </c>
      <c r="S466" s="1" t="str">
        <f>IF(A466="","",COUNTIFS(Assignments!$B:$B,A466,Assignments!$AE:$AE, "Y",Assignments!$D:$D,"&gt;="&amp;TODAY()-30))</f>
        <v/>
      </c>
      <c r="T466" s="1" t="str">
        <f>IF(A466="","",COUNTIFS(Assignments!$AF:$AF,A466,Assignments!$AE:$AE, "Y",Assignments!$D:$D,"&gt;="&amp;TODAY()-30))</f>
        <v/>
      </c>
      <c r="U466" s="1" t="str">
        <f>IF(A466="","",IFERROR(S466/MAX(1,COUNTIFS(Assignments!$B:$B,A466,Assignments!$D:$D,"&gt;="&amp;TODAY()-30)),""))</f>
        <v/>
      </c>
      <c r="V466" s="1" t="str">
        <f t="shared" si="4"/>
        <v/>
      </c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 t="str">
        <f>IF($A467="","",IFERROR(AVERAGEIFS(Assignments!$N$6:$N$1000,Assignments!$B$6:$B$1000,$A467,Assignments!$E$6:$E$1000,"Completed"),""))</f>
        <v/>
      </c>
      <c r="K467" s="2" t="str">
        <f>IF(A467="","",IFERROR(AVERAGEIFS(Assignments!$AO:$AO,Assignments!$B:$B,A467,Assignments!$E:$E,"Completed"),""))</f>
        <v/>
      </c>
      <c r="L467" s="2" t="str">
        <f>IF($A467="","",IFERROR(COUNTIFS(Assignments!$B$6:$B$1000,$A467,Assignments!$E$6:$E$1000,"Cancelled")/MAX(1,COUNTIFS(Assignments!$B$6:$B$1000,$A467,Assignments!$E$6:$E$1000,"Completed")+COUNTIFS(Assignments!$B$6:$B$1000,$A467,Assignments!$E$6:$E$1000,"Cancelled")),""))</f>
        <v/>
      </c>
      <c r="M467" s="2" t="str">
        <f>IF($A467="","",IFERROR(AVERAGEIFS(Assignments!$P$6:$P$1000,Assignments!$B$6:$B$1000,$A467,Assignments!$E$6:$E$1000,"Completed"),""))</f>
        <v/>
      </c>
      <c r="N467" s="2"/>
      <c r="O467" s="2"/>
      <c r="P467" s="1" t="str">
        <f>IF(A467="","",MAX(0,MIN(3,SUMIFS(Strike_Log!$C:$C,Strike_Log!$B:$B,A467,Strike_Log!$A:$A,"&gt;="&amp;IF(Config!$B$1004="Y",TODAY()-Config!$B$1005,DATE(1900,1,1)),Strike_Log!$I:$I,1))))</f>
        <v/>
      </c>
      <c r="Q467" s="1">
        <f t="shared" si="3"/>
        <v>0</v>
      </c>
      <c r="R467" s="1" t="str">
        <f>IF(A467="","",IFERROR(AVERAGEIFS(Assignments!$J:$J,Assignments!$B:$B,A467,Assignments!$E:$E,"Completed"),""))</f>
        <v/>
      </c>
      <c r="S467" s="1" t="str">
        <f>IF(A467="","",COUNTIFS(Assignments!$B:$B,A467,Assignments!$AE:$AE, "Y",Assignments!$D:$D,"&gt;="&amp;TODAY()-30))</f>
        <v/>
      </c>
      <c r="T467" s="1" t="str">
        <f>IF(A467="","",COUNTIFS(Assignments!$AF:$AF,A467,Assignments!$AE:$AE, "Y",Assignments!$D:$D,"&gt;="&amp;TODAY()-30))</f>
        <v/>
      </c>
      <c r="U467" s="1" t="str">
        <f>IF(A467="","",IFERROR(S467/MAX(1,COUNTIFS(Assignments!$B:$B,A467,Assignments!$D:$D,"&gt;="&amp;TODAY()-30)),""))</f>
        <v/>
      </c>
      <c r="V467" s="1" t="str">
        <f t="shared" si="4"/>
        <v/>
      </c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 t="str">
        <f>IF($A468="","",IFERROR(AVERAGEIFS(Assignments!$N$6:$N$1000,Assignments!$B$6:$B$1000,$A468,Assignments!$E$6:$E$1000,"Completed"),""))</f>
        <v/>
      </c>
      <c r="K468" s="2" t="str">
        <f>IF(A468="","",IFERROR(AVERAGEIFS(Assignments!$AO:$AO,Assignments!$B:$B,A468,Assignments!$E:$E,"Completed"),""))</f>
        <v/>
      </c>
      <c r="L468" s="2" t="str">
        <f>IF($A468="","",IFERROR(COUNTIFS(Assignments!$B$6:$B$1000,$A468,Assignments!$E$6:$E$1000,"Cancelled")/MAX(1,COUNTIFS(Assignments!$B$6:$B$1000,$A468,Assignments!$E$6:$E$1000,"Completed")+COUNTIFS(Assignments!$B$6:$B$1000,$A468,Assignments!$E$6:$E$1000,"Cancelled")),""))</f>
        <v/>
      </c>
      <c r="M468" s="2" t="str">
        <f>IF($A468="","",IFERROR(AVERAGEIFS(Assignments!$P$6:$P$1000,Assignments!$B$6:$B$1000,$A468,Assignments!$E$6:$E$1000,"Completed"),""))</f>
        <v/>
      </c>
      <c r="N468" s="2"/>
      <c r="O468" s="2"/>
      <c r="P468" s="1" t="str">
        <f>IF(A468="","",MAX(0,MIN(3,SUMIFS(Strike_Log!$C:$C,Strike_Log!$B:$B,A468,Strike_Log!$A:$A,"&gt;="&amp;IF(Config!$B$1004="Y",TODAY()-Config!$B$1005,DATE(1900,1,1)),Strike_Log!$I:$I,1))))</f>
        <v/>
      </c>
      <c r="Q468" s="1">
        <f t="shared" si="3"/>
        <v>0</v>
      </c>
      <c r="R468" s="1" t="str">
        <f>IF(A468="","",IFERROR(AVERAGEIFS(Assignments!$J:$J,Assignments!$B:$B,A468,Assignments!$E:$E,"Completed"),""))</f>
        <v/>
      </c>
      <c r="S468" s="1" t="str">
        <f>IF(A468="","",COUNTIFS(Assignments!$B:$B,A468,Assignments!$AE:$AE, "Y",Assignments!$D:$D,"&gt;="&amp;TODAY()-30))</f>
        <v/>
      </c>
      <c r="T468" s="1" t="str">
        <f>IF(A468="","",COUNTIFS(Assignments!$AF:$AF,A468,Assignments!$AE:$AE, "Y",Assignments!$D:$D,"&gt;="&amp;TODAY()-30))</f>
        <v/>
      </c>
      <c r="U468" s="1" t="str">
        <f>IF(A468="","",IFERROR(S468/MAX(1,COUNTIFS(Assignments!$B:$B,A468,Assignments!$D:$D,"&gt;="&amp;TODAY()-30)),""))</f>
        <v/>
      </c>
      <c r="V468" s="1" t="str">
        <f t="shared" si="4"/>
        <v/>
      </c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 t="str">
        <f>IF($A469="","",IFERROR(AVERAGEIFS(Assignments!$N$6:$N$1000,Assignments!$B$6:$B$1000,$A469,Assignments!$E$6:$E$1000,"Completed"),""))</f>
        <v/>
      </c>
      <c r="K469" s="2" t="str">
        <f>IF(A469="","",IFERROR(AVERAGEIFS(Assignments!$AO:$AO,Assignments!$B:$B,A469,Assignments!$E:$E,"Completed"),""))</f>
        <v/>
      </c>
      <c r="L469" s="2" t="str">
        <f>IF($A469="","",IFERROR(COUNTIFS(Assignments!$B$6:$B$1000,$A469,Assignments!$E$6:$E$1000,"Cancelled")/MAX(1,COUNTIFS(Assignments!$B$6:$B$1000,$A469,Assignments!$E$6:$E$1000,"Completed")+COUNTIFS(Assignments!$B$6:$B$1000,$A469,Assignments!$E$6:$E$1000,"Cancelled")),""))</f>
        <v/>
      </c>
      <c r="M469" s="2" t="str">
        <f>IF($A469="","",IFERROR(AVERAGEIFS(Assignments!$P$6:$P$1000,Assignments!$B$6:$B$1000,$A469,Assignments!$E$6:$E$1000,"Completed"),""))</f>
        <v/>
      </c>
      <c r="N469" s="2"/>
      <c r="O469" s="2"/>
      <c r="P469" s="1" t="str">
        <f>IF(A469="","",MAX(0,MIN(3,SUMIFS(Strike_Log!$C:$C,Strike_Log!$B:$B,A469,Strike_Log!$A:$A,"&gt;="&amp;IF(Config!$B$1004="Y",TODAY()-Config!$B$1005,DATE(1900,1,1)),Strike_Log!$I:$I,1))))</f>
        <v/>
      </c>
      <c r="Q469" s="1">
        <f t="shared" si="3"/>
        <v>0</v>
      </c>
      <c r="R469" s="1" t="str">
        <f>IF(A469="","",IFERROR(AVERAGEIFS(Assignments!$J:$J,Assignments!$B:$B,A469,Assignments!$E:$E,"Completed"),""))</f>
        <v/>
      </c>
      <c r="S469" s="1" t="str">
        <f>IF(A469="","",COUNTIFS(Assignments!$B:$B,A469,Assignments!$AE:$AE, "Y",Assignments!$D:$D,"&gt;="&amp;TODAY()-30))</f>
        <v/>
      </c>
      <c r="T469" s="1" t="str">
        <f>IF(A469="","",COUNTIFS(Assignments!$AF:$AF,A469,Assignments!$AE:$AE, "Y",Assignments!$D:$D,"&gt;="&amp;TODAY()-30))</f>
        <v/>
      </c>
      <c r="U469" s="1" t="str">
        <f>IF(A469="","",IFERROR(S469/MAX(1,COUNTIFS(Assignments!$B:$B,A469,Assignments!$D:$D,"&gt;="&amp;TODAY()-30)),""))</f>
        <v/>
      </c>
      <c r="V469" s="1" t="str">
        <f t="shared" si="4"/>
        <v/>
      </c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 t="str">
        <f>IF($A470="","",IFERROR(AVERAGEIFS(Assignments!$N$6:$N$1000,Assignments!$B$6:$B$1000,$A470,Assignments!$E$6:$E$1000,"Completed"),""))</f>
        <v/>
      </c>
      <c r="K470" s="2" t="str">
        <f>IF(A470="","",IFERROR(AVERAGEIFS(Assignments!$AO:$AO,Assignments!$B:$B,A470,Assignments!$E:$E,"Completed"),""))</f>
        <v/>
      </c>
      <c r="L470" s="2" t="str">
        <f>IF($A470="","",IFERROR(COUNTIFS(Assignments!$B$6:$B$1000,$A470,Assignments!$E$6:$E$1000,"Cancelled")/MAX(1,COUNTIFS(Assignments!$B$6:$B$1000,$A470,Assignments!$E$6:$E$1000,"Completed")+COUNTIFS(Assignments!$B$6:$B$1000,$A470,Assignments!$E$6:$E$1000,"Cancelled")),""))</f>
        <v/>
      </c>
      <c r="M470" s="2" t="str">
        <f>IF($A470="","",IFERROR(AVERAGEIFS(Assignments!$P$6:$P$1000,Assignments!$B$6:$B$1000,$A470,Assignments!$E$6:$E$1000,"Completed"),""))</f>
        <v/>
      </c>
      <c r="N470" s="2"/>
      <c r="O470" s="2"/>
      <c r="P470" s="1" t="str">
        <f>IF(A470="","",MAX(0,MIN(3,SUMIFS(Strike_Log!$C:$C,Strike_Log!$B:$B,A470,Strike_Log!$A:$A,"&gt;="&amp;IF(Config!$B$1004="Y",TODAY()-Config!$B$1005,DATE(1900,1,1)),Strike_Log!$I:$I,1))))</f>
        <v/>
      </c>
      <c r="Q470" s="1">
        <f t="shared" si="3"/>
        <v>0</v>
      </c>
      <c r="R470" s="1" t="str">
        <f>IF(A470="","",IFERROR(AVERAGEIFS(Assignments!$J:$J,Assignments!$B:$B,A470,Assignments!$E:$E,"Completed"),""))</f>
        <v/>
      </c>
      <c r="S470" s="1" t="str">
        <f>IF(A470="","",COUNTIFS(Assignments!$B:$B,A470,Assignments!$AE:$AE, "Y",Assignments!$D:$D,"&gt;="&amp;TODAY()-30))</f>
        <v/>
      </c>
      <c r="T470" s="1" t="str">
        <f>IF(A470="","",COUNTIFS(Assignments!$AF:$AF,A470,Assignments!$AE:$AE, "Y",Assignments!$D:$D,"&gt;="&amp;TODAY()-30))</f>
        <v/>
      </c>
      <c r="U470" s="1" t="str">
        <f>IF(A470="","",IFERROR(S470/MAX(1,COUNTIFS(Assignments!$B:$B,A470,Assignments!$D:$D,"&gt;="&amp;TODAY()-30)),""))</f>
        <v/>
      </c>
      <c r="V470" s="1" t="str">
        <f t="shared" si="4"/>
        <v/>
      </c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 t="str">
        <f>IF($A471="","",IFERROR(AVERAGEIFS(Assignments!$N$6:$N$1000,Assignments!$B$6:$B$1000,$A471,Assignments!$E$6:$E$1000,"Completed"),""))</f>
        <v/>
      </c>
      <c r="K471" s="2" t="str">
        <f>IF(A471="","",IFERROR(AVERAGEIFS(Assignments!$AO:$AO,Assignments!$B:$B,A471,Assignments!$E:$E,"Completed"),""))</f>
        <v/>
      </c>
      <c r="L471" s="2" t="str">
        <f>IF($A471="","",IFERROR(COUNTIFS(Assignments!$B$6:$B$1000,$A471,Assignments!$E$6:$E$1000,"Cancelled")/MAX(1,COUNTIFS(Assignments!$B$6:$B$1000,$A471,Assignments!$E$6:$E$1000,"Completed")+COUNTIFS(Assignments!$B$6:$B$1000,$A471,Assignments!$E$6:$E$1000,"Cancelled")),""))</f>
        <v/>
      </c>
      <c r="M471" s="2" t="str">
        <f>IF($A471="","",IFERROR(AVERAGEIFS(Assignments!$P$6:$P$1000,Assignments!$B$6:$B$1000,$A471,Assignments!$E$6:$E$1000,"Completed"),""))</f>
        <v/>
      </c>
      <c r="N471" s="2"/>
      <c r="O471" s="2"/>
      <c r="P471" s="1" t="str">
        <f>IF(A471="","",MAX(0,MIN(3,SUMIFS(Strike_Log!$C:$C,Strike_Log!$B:$B,A471,Strike_Log!$A:$A,"&gt;="&amp;IF(Config!$B$1004="Y",TODAY()-Config!$B$1005,DATE(1900,1,1)),Strike_Log!$I:$I,1))))</f>
        <v/>
      </c>
      <c r="Q471" s="1">
        <f t="shared" si="3"/>
        <v>0</v>
      </c>
      <c r="R471" s="1" t="str">
        <f>IF(A471="","",IFERROR(AVERAGEIFS(Assignments!$J:$J,Assignments!$B:$B,A471,Assignments!$E:$E,"Completed"),""))</f>
        <v/>
      </c>
      <c r="S471" s="1" t="str">
        <f>IF(A471="","",COUNTIFS(Assignments!$B:$B,A471,Assignments!$AE:$AE, "Y",Assignments!$D:$D,"&gt;="&amp;TODAY()-30))</f>
        <v/>
      </c>
      <c r="T471" s="1" t="str">
        <f>IF(A471="","",COUNTIFS(Assignments!$AF:$AF,A471,Assignments!$AE:$AE, "Y",Assignments!$D:$D,"&gt;="&amp;TODAY()-30))</f>
        <v/>
      </c>
      <c r="U471" s="1" t="str">
        <f>IF(A471="","",IFERROR(S471/MAX(1,COUNTIFS(Assignments!$B:$B,A471,Assignments!$D:$D,"&gt;="&amp;TODAY()-30)),""))</f>
        <v/>
      </c>
      <c r="V471" s="1" t="str">
        <f t="shared" si="4"/>
        <v/>
      </c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 t="str">
        <f>IF($A472="","",IFERROR(AVERAGEIFS(Assignments!$N$6:$N$1000,Assignments!$B$6:$B$1000,$A472,Assignments!$E$6:$E$1000,"Completed"),""))</f>
        <v/>
      </c>
      <c r="K472" s="2" t="str">
        <f>IF(A472="","",IFERROR(AVERAGEIFS(Assignments!$AO:$AO,Assignments!$B:$B,A472,Assignments!$E:$E,"Completed"),""))</f>
        <v/>
      </c>
      <c r="L472" s="2" t="str">
        <f>IF($A472="","",IFERROR(COUNTIFS(Assignments!$B$6:$B$1000,$A472,Assignments!$E$6:$E$1000,"Cancelled")/MAX(1,COUNTIFS(Assignments!$B$6:$B$1000,$A472,Assignments!$E$6:$E$1000,"Completed")+COUNTIFS(Assignments!$B$6:$B$1000,$A472,Assignments!$E$6:$E$1000,"Cancelled")),""))</f>
        <v/>
      </c>
      <c r="M472" s="2" t="str">
        <f>IF($A472="","",IFERROR(AVERAGEIFS(Assignments!$P$6:$P$1000,Assignments!$B$6:$B$1000,$A472,Assignments!$E$6:$E$1000,"Completed"),""))</f>
        <v/>
      </c>
      <c r="N472" s="2"/>
      <c r="O472" s="2"/>
      <c r="P472" s="1" t="str">
        <f>IF(A472="","",MAX(0,MIN(3,SUMIFS(Strike_Log!$C:$C,Strike_Log!$B:$B,A472,Strike_Log!$A:$A,"&gt;="&amp;IF(Config!$B$1004="Y",TODAY()-Config!$B$1005,DATE(1900,1,1)),Strike_Log!$I:$I,1))))</f>
        <v/>
      </c>
      <c r="Q472" s="1">
        <f t="shared" si="3"/>
        <v>0</v>
      </c>
      <c r="R472" s="1" t="str">
        <f>IF(A472="","",IFERROR(AVERAGEIFS(Assignments!$J:$J,Assignments!$B:$B,A472,Assignments!$E:$E,"Completed"),""))</f>
        <v/>
      </c>
      <c r="S472" s="1" t="str">
        <f>IF(A472="","",COUNTIFS(Assignments!$B:$B,A472,Assignments!$AE:$AE, "Y",Assignments!$D:$D,"&gt;="&amp;TODAY()-30))</f>
        <v/>
      </c>
      <c r="T472" s="1" t="str">
        <f>IF(A472="","",COUNTIFS(Assignments!$AF:$AF,A472,Assignments!$AE:$AE, "Y",Assignments!$D:$D,"&gt;="&amp;TODAY()-30))</f>
        <v/>
      </c>
      <c r="U472" s="1" t="str">
        <f>IF(A472="","",IFERROR(S472/MAX(1,COUNTIFS(Assignments!$B:$B,A472,Assignments!$D:$D,"&gt;="&amp;TODAY()-30)),""))</f>
        <v/>
      </c>
      <c r="V472" s="1" t="str">
        <f t="shared" si="4"/>
        <v/>
      </c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 t="str">
        <f>IF($A473="","",IFERROR(AVERAGEIFS(Assignments!$N$6:$N$1000,Assignments!$B$6:$B$1000,$A473,Assignments!$E$6:$E$1000,"Completed"),""))</f>
        <v/>
      </c>
      <c r="K473" s="2" t="str">
        <f>IF(A473="","",IFERROR(AVERAGEIFS(Assignments!$AO:$AO,Assignments!$B:$B,A473,Assignments!$E:$E,"Completed"),""))</f>
        <v/>
      </c>
      <c r="L473" s="2" t="str">
        <f>IF($A473="","",IFERROR(COUNTIFS(Assignments!$B$6:$B$1000,$A473,Assignments!$E$6:$E$1000,"Cancelled")/MAX(1,COUNTIFS(Assignments!$B$6:$B$1000,$A473,Assignments!$E$6:$E$1000,"Completed")+COUNTIFS(Assignments!$B$6:$B$1000,$A473,Assignments!$E$6:$E$1000,"Cancelled")),""))</f>
        <v/>
      </c>
      <c r="M473" s="2" t="str">
        <f>IF($A473="","",IFERROR(AVERAGEIFS(Assignments!$P$6:$P$1000,Assignments!$B$6:$B$1000,$A473,Assignments!$E$6:$E$1000,"Completed"),""))</f>
        <v/>
      </c>
      <c r="N473" s="2"/>
      <c r="O473" s="2"/>
      <c r="P473" s="1" t="str">
        <f>IF(A473="","",MAX(0,MIN(3,SUMIFS(Strike_Log!$C:$C,Strike_Log!$B:$B,A473,Strike_Log!$A:$A,"&gt;="&amp;IF(Config!$B$1004="Y",TODAY()-Config!$B$1005,DATE(1900,1,1)),Strike_Log!$I:$I,1))))</f>
        <v/>
      </c>
      <c r="Q473" s="1">
        <f t="shared" si="3"/>
        <v>0</v>
      </c>
      <c r="R473" s="1" t="str">
        <f>IF(A473="","",IFERROR(AVERAGEIFS(Assignments!$J:$J,Assignments!$B:$B,A473,Assignments!$E:$E,"Completed"),""))</f>
        <v/>
      </c>
      <c r="S473" s="1" t="str">
        <f>IF(A473="","",COUNTIFS(Assignments!$B:$B,A473,Assignments!$AE:$AE, "Y",Assignments!$D:$D,"&gt;="&amp;TODAY()-30))</f>
        <v/>
      </c>
      <c r="T473" s="1" t="str">
        <f>IF(A473="","",COUNTIFS(Assignments!$AF:$AF,A473,Assignments!$AE:$AE, "Y",Assignments!$D:$D,"&gt;="&amp;TODAY()-30))</f>
        <v/>
      </c>
      <c r="U473" s="1" t="str">
        <f>IF(A473="","",IFERROR(S473/MAX(1,COUNTIFS(Assignments!$B:$B,A473,Assignments!$D:$D,"&gt;="&amp;TODAY()-30)),""))</f>
        <v/>
      </c>
      <c r="V473" s="1" t="str">
        <f t="shared" si="4"/>
        <v/>
      </c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 t="str">
        <f>IF($A474="","",IFERROR(AVERAGEIFS(Assignments!$N$6:$N$1000,Assignments!$B$6:$B$1000,$A474,Assignments!$E$6:$E$1000,"Completed"),""))</f>
        <v/>
      </c>
      <c r="K474" s="2" t="str">
        <f>IF(A474="","",IFERROR(AVERAGEIFS(Assignments!$AO:$AO,Assignments!$B:$B,A474,Assignments!$E:$E,"Completed"),""))</f>
        <v/>
      </c>
      <c r="L474" s="2" t="str">
        <f>IF($A474="","",IFERROR(COUNTIFS(Assignments!$B$6:$B$1000,$A474,Assignments!$E$6:$E$1000,"Cancelled")/MAX(1,COUNTIFS(Assignments!$B$6:$B$1000,$A474,Assignments!$E$6:$E$1000,"Completed")+COUNTIFS(Assignments!$B$6:$B$1000,$A474,Assignments!$E$6:$E$1000,"Cancelled")),""))</f>
        <v/>
      </c>
      <c r="M474" s="2" t="str">
        <f>IF($A474="","",IFERROR(AVERAGEIFS(Assignments!$P$6:$P$1000,Assignments!$B$6:$B$1000,$A474,Assignments!$E$6:$E$1000,"Completed"),""))</f>
        <v/>
      </c>
      <c r="N474" s="2"/>
      <c r="O474" s="2"/>
      <c r="P474" s="1" t="str">
        <f>IF(A474="","",MAX(0,MIN(3,SUMIFS(Strike_Log!$C:$C,Strike_Log!$B:$B,A474,Strike_Log!$A:$A,"&gt;="&amp;IF(Config!$B$1004="Y",TODAY()-Config!$B$1005,DATE(1900,1,1)),Strike_Log!$I:$I,1))))</f>
        <v/>
      </c>
      <c r="Q474" s="1">
        <f t="shared" si="3"/>
        <v>0</v>
      </c>
      <c r="R474" s="1" t="str">
        <f>IF(A474="","",IFERROR(AVERAGEIFS(Assignments!$J:$J,Assignments!$B:$B,A474,Assignments!$E:$E,"Completed"),""))</f>
        <v/>
      </c>
      <c r="S474" s="1" t="str">
        <f>IF(A474="","",COUNTIFS(Assignments!$B:$B,A474,Assignments!$AE:$AE, "Y",Assignments!$D:$D,"&gt;="&amp;TODAY()-30))</f>
        <v/>
      </c>
      <c r="T474" s="1" t="str">
        <f>IF(A474="","",COUNTIFS(Assignments!$AF:$AF,A474,Assignments!$AE:$AE, "Y",Assignments!$D:$D,"&gt;="&amp;TODAY()-30))</f>
        <v/>
      </c>
      <c r="U474" s="1" t="str">
        <f>IF(A474="","",IFERROR(S474/MAX(1,COUNTIFS(Assignments!$B:$B,A474,Assignments!$D:$D,"&gt;="&amp;TODAY()-30)),""))</f>
        <v/>
      </c>
      <c r="V474" s="1" t="str">
        <f t="shared" si="4"/>
        <v/>
      </c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 t="str">
        <f>IF($A475="","",IFERROR(AVERAGEIFS(Assignments!$N$6:$N$1000,Assignments!$B$6:$B$1000,$A475,Assignments!$E$6:$E$1000,"Completed"),""))</f>
        <v/>
      </c>
      <c r="K475" s="2" t="str">
        <f>IF(A475="","",IFERROR(AVERAGEIFS(Assignments!$AO:$AO,Assignments!$B:$B,A475,Assignments!$E:$E,"Completed"),""))</f>
        <v/>
      </c>
      <c r="L475" s="2" t="str">
        <f>IF($A475="","",IFERROR(COUNTIFS(Assignments!$B$6:$B$1000,$A475,Assignments!$E$6:$E$1000,"Cancelled")/MAX(1,COUNTIFS(Assignments!$B$6:$B$1000,$A475,Assignments!$E$6:$E$1000,"Completed")+COUNTIFS(Assignments!$B$6:$B$1000,$A475,Assignments!$E$6:$E$1000,"Cancelled")),""))</f>
        <v/>
      </c>
      <c r="M475" s="2" t="str">
        <f>IF($A475="","",IFERROR(AVERAGEIFS(Assignments!$P$6:$P$1000,Assignments!$B$6:$B$1000,$A475,Assignments!$E$6:$E$1000,"Completed"),""))</f>
        <v/>
      </c>
      <c r="N475" s="2"/>
      <c r="O475" s="2"/>
      <c r="P475" s="1" t="str">
        <f>IF(A475="","",MAX(0,MIN(3,SUMIFS(Strike_Log!$C:$C,Strike_Log!$B:$B,A475,Strike_Log!$A:$A,"&gt;="&amp;IF(Config!$B$1004="Y",TODAY()-Config!$B$1005,DATE(1900,1,1)),Strike_Log!$I:$I,1))))</f>
        <v/>
      </c>
      <c r="Q475" s="1">
        <f t="shared" si="3"/>
        <v>0</v>
      </c>
      <c r="R475" s="1" t="str">
        <f>IF(A475="","",IFERROR(AVERAGEIFS(Assignments!$J:$J,Assignments!$B:$B,A475,Assignments!$E:$E,"Completed"),""))</f>
        <v/>
      </c>
      <c r="S475" s="1" t="str">
        <f>IF(A475="","",COUNTIFS(Assignments!$B:$B,A475,Assignments!$AE:$AE, "Y",Assignments!$D:$D,"&gt;="&amp;TODAY()-30))</f>
        <v/>
      </c>
      <c r="T475" s="1" t="str">
        <f>IF(A475="","",COUNTIFS(Assignments!$AF:$AF,A475,Assignments!$AE:$AE, "Y",Assignments!$D:$D,"&gt;="&amp;TODAY()-30))</f>
        <v/>
      </c>
      <c r="U475" s="1" t="str">
        <f>IF(A475="","",IFERROR(S475/MAX(1,COUNTIFS(Assignments!$B:$B,A475,Assignments!$D:$D,"&gt;="&amp;TODAY()-30)),""))</f>
        <v/>
      </c>
      <c r="V475" s="1" t="str">
        <f t="shared" si="4"/>
        <v/>
      </c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 t="str">
        <f>IF($A476="","",IFERROR(AVERAGEIFS(Assignments!$N$6:$N$1000,Assignments!$B$6:$B$1000,$A476,Assignments!$E$6:$E$1000,"Completed"),""))</f>
        <v/>
      </c>
      <c r="K476" s="2" t="str">
        <f>IF(A476="","",IFERROR(AVERAGEIFS(Assignments!$AO:$AO,Assignments!$B:$B,A476,Assignments!$E:$E,"Completed"),""))</f>
        <v/>
      </c>
      <c r="L476" s="2" t="str">
        <f>IF($A476="","",IFERROR(COUNTIFS(Assignments!$B$6:$B$1000,$A476,Assignments!$E$6:$E$1000,"Cancelled")/MAX(1,COUNTIFS(Assignments!$B$6:$B$1000,$A476,Assignments!$E$6:$E$1000,"Completed")+COUNTIFS(Assignments!$B$6:$B$1000,$A476,Assignments!$E$6:$E$1000,"Cancelled")),""))</f>
        <v/>
      </c>
      <c r="M476" s="2" t="str">
        <f>IF($A476="","",IFERROR(AVERAGEIFS(Assignments!$P$6:$P$1000,Assignments!$B$6:$B$1000,$A476,Assignments!$E$6:$E$1000,"Completed"),""))</f>
        <v/>
      </c>
      <c r="N476" s="2"/>
      <c r="O476" s="2"/>
      <c r="P476" s="1" t="str">
        <f>IF(A476="","",MAX(0,MIN(3,SUMIFS(Strike_Log!$C:$C,Strike_Log!$B:$B,A476,Strike_Log!$A:$A,"&gt;="&amp;IF(Config!$B$1004="Y",TODAY()-Config!$B$1005,DATE(1900,1,1)),Strike_Log!$I:$I,1))))</f>
        <v/>
      </c>
      <c r="Q476" s="1">
        <f t="shared" si="3"/>
        <v>0</v>
      </c>
      <c r="R476" s="1" t="str">
        <f>IF(A476="","",IFERROR(AVERAGEIFS(Assignments!$J:$J,Assignments!$B:$B,A476,Assignments!$E:$E,"Completed"),""))</f>
        <v/>
      </c>
      <c r="S476" s="1" t="str">
        <f>IF(A476="","",COUNTIFS(Assignments!$B:$B,A476,Assignments!$AE:$AE, "Y",Assignments!$D:$D,"&gt;="&amp;TODAY()-30))</f>
        <v/>
      </c>
      <c r="T476" s="1" t="str">
        <f>IF(A476="","",COUNTIFS(Assignments!$AF:$AF,A476,Assignments!$AE:$AE, "Y",Assignments!$D:$D,"&gt;="&amp;TODAY()-30))</f>
        <v/>
      </c>
      <c r="U476" s="1" t="str">
        <f>IF(A476="","",IFERROR(S476/MAX(1,COUNTIFS(Assignments!$B:$B,A476,Assignments!$D:$D,"&gt;="&amp;TODAY()-30)),""))</f>
        <v/>
      </c>
      <c r="V476" s="1" t="str">
        <f t="shared" si="4"/>
        <v/>
      </c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 t="str">
        <f>IF($A477="","",IFERROR(AVERAGEIFS(Assignments!$N$6:$N$1000,Assignments!$B$6:$B$1000,$A477,Assignments!$E$6:$E$1000,"Completed"),""))</f>
        <v/>
      </c>
      <c r="K477" s="2" t="str">
        <f>IF(A477="","",IFERROR(AVERAGEIFS(Assignments!$AO:$AO,Assignments!$B:$B,A477,Assignments!$E:$E,"Completed"),""))</f>
        <v/>
      </c>
      <c r="L477" s="2" t="str">
        <f>IF($A477="","",IFERROR(COUNTIFS(Assignments!$B$6:$B$1000,$A477,Assignments!$E$6:$E$1000,"Cancelled")/MAX(1,COUNTIFS(Assignments!$B$6:$B$1000,$A477,Assignments!$E$6:$E$1000,"Completed")+COUNTIFS(Assignments!$B$6:$B$1000,$A477,Assignments!$E$6:$E$1000,"Cancelled")),""))</f>
        <v/>
      </c>
      <c r="M477" s="2" t="str">
        <f>IF($A477="","",IFERROR(AVERAGEIFS(Assignments!$P$6:$P$1000,Assignments!$B$6:$B$1000,$A477,Assignments!$E$6:$E$1000,"Completed"),""))</f>
        <v/>
      </c>
      <c r="N477" s="2"/>
      <c r="O477" s="2"/>
      <c r="P477" s="1" t="str">
        <f>IF(A477="","",MAX(0,MIN(3,SUMIFS(Strike_Log!$C:$C,Strike_Log!$B:$B,A477,Strike_Log!$A:$A,"&gt;="&amp;IF(Config!$B$1004="Y",TODAY()-Config!$B$1005,DATE(1900,1,1)),Strike_Log!$I:$I,1))))</f>
        <v/>
      </c>
      <c r="Q477" s="1">
        <f t="shared" si="3"/>
        <v>0</v>
      </c>
      <c r="R477" s="1" t="str">
        <f>IF(A477="","",IFERROR(AVERAGEIFS(Assignments!$J:$J,Assignments!$B:$B,A477,Assignments!$E:$E,"Completed"),""))</f>
        <v/>
      </c>
      <c r="S477" s="1" t="str">
        <f>IF(A477="","",COUNTIFS(Assignments!$B:$B,A477,Assignments!$AE:$AE, "Y",Assignments!$D:$D,"&gt;="&amp;TODAY()-30))</f>
        <v/>
      </c>
      <c r="T477" s="1" t="str">
        <f>IF(A477="","",COUNTIFS(Assignments!$AF:$AF,A477,Assignments!$AE:$AE, "Y",Assignments!$D:$D,"&gt;="&amp;TODAY()-30))</f>
        <v/>
      </c>
      <c r="U477" s="1" t="str">
        <f>IF(A477="","",IFERROR(S477/MAX(1,COUNTIFS(Assignments!$B:$B,A477,Assignments!$D:$D,"&gt;="&amp;TODAY()-30)),""))</f>
        <v/>
      </c>
      <c r="V477" s="1" t="str">
        <f t="shared" si="4"/>
        <v/>
      </c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 t="str">
        <f>IF($A478="","",IFERROR(AVERAGEIFS(Assignments!$N$6:$N$1000,Assignments!$B$6:$B$1000,$A478,Assignments!$E$6:$E$1000,"Completed"),""))</f>
        <v/>
      </c>
      <c r="K478" s="2" t="str">
        <f>IF(A478="","",IFERROR(AVERAGEIFS(Assignments!$AO:$AO,Assignments!$B:$B,A478,Assignments!$E:$E,"Completed"),""))</f>
        <v/>
      </c>
      <c r="L478" s="2" t="str">
        <f>IF($A478="","",IFERROR(COUNTIFS(Assignments!$B$6:$B$1000,$A478,Assignments!$E$6:$E$1000,"Cancelled")/MAX(1,COUNTIFS(Assignments!$B$6:$B$1000,$A478,Assignments!$E$6:$E$1000,"Completed")+COUNTIFS(Assignments!$B$6:$B$1000,$A478,Assignments!$E$6:$E$1000,"Cancelled")),""))</f>
        <v/>
      </c>
      <c r="M478" s="2" t="str">
        <f>IF($A478="","",IFERROR(AVERAGEIFS(Assignments!$P$6:$P$1000,Assignments!$B$6:$B$1000,$A478,Assignments!$E$6:$E$1000,"Completed"),""))</f>
        <v/>
      </c>
      <c r="N478" s="2"/>
      <c r="O478" s="2"/>
      <c r="P478" s="1" t="str">
        <f>IF(A478="","",MAX(0,MIN(3,SUMIFS(Strike_Log!$C:$C,Strike_Log!$B:$B,A478,Strike_Log!$A:$A,"&gt;="&amp;IF(Config!$B$1004="Y",TODAY()-Config!$B$1005,DATE(1900,1,1)),Strike_Log!$I:$I,1))))</f>
        <v/>
      </c>
      <c r="Q478" s="1">
        <f t="shared" si="3"/>
        <v>0</v>
      </c>
      <c r="R478" s="1" t="str">
        <f>IF(A478="","",IFERROR(AVERAGEIFS(Assignments!$J:$J,Assignments!$B:$B,A478,Assignments!$E:$E,"Completed"),""))</f>
        <v/>
      </c>
      <c r="S478" s="1" t="str">
        <f>IF(A478="","",COUNTIFS(Assignments!$B:$B,A478,Assignments!$AE:$AE, "Y",Assignments!$D:$D,"&gt;="&amp;TODAY()-30))</f>
        <v/>
      </c>
      <c r="T478" s="1" t="str">
        <f>IF(A478="","",COUNTIFS(Assignments!$AF:$AF,A478,Assignments!$AE:$AE, "Y",Assignments!$D:$D,"&gt;="&amp;TODAY()-30))</f>
        <v/>
      </c>
      <c r="U478" s="1" t="str">
        <f>IF(A478="","",IFERROR(S478/MAX(1,COUNTIFS(Assignments!$B:$B,A478,Assignments!$D:$D,"&gt;="&amp;TODAY()-30)),""))</f>
        <v/>
      </c>
      <c r="V478" s="1" t="str">
        <f t="shared" si="4"/>
        <v/>
      </c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 t="str">
        <f>IF($A479="","",IFERROR(AVERAGEIFS(Assignments!$N$6:$N$1000,Assignments!$B$6:$B$1000,$A479,Assignments!$E$6:$E$1000,"Completed"),""))</f>
        <v/>
      </c>
      <c r="K479" s="2" t="str">
        <f>IF(A479="","",IFERROR(AVERAGEIFS(Assignments!$AO:$AO,Assignments!$B:$B,A479,Assignments!$E:$E,"Completed"),""))</f>
        <v/>
      </c>
      <c r="L479" s="2" t="str">
        <f>IF($A479="","",IFERROR(COUNTIFS(Assignments!$B$6:$B$1000,$A479,Assignments!$E$6:$E$1000,"Cancelled")/MAX(1,COUNTIFS(Assignments!$B$6:$B$1000,$A479,Assignments!$E$6:$E$1000,"Completed")+COUNTIFS(Assignments!$B$6:$B$1000,$A479,Assignments!$E$6:$E$1000,"Cancelled")),""))</f>
        <v/>
      </c>
      <c r="M479" s="2" t="str">
        <f>IF($A479="","",IFERROR(AVERAGEIFS(Assignments!$P$6:$P$1000,Assignments!$B$6:$B$1000,$A479,Assignments!$E$6:$E$1000,"Completed"),""))</f>
        <v/>
      </c>
      <c r="N479" s="2"/>
      <c r="O479" s="2"/>
      <c r="P479" s="1" t="str">
        <f>IF(A479="","",MAX(0,MIN(3,SUMIFS(Strike_Log!$C:$C,Strike_Log!$B:$B,A479,Strike_Log!$A:$A,"&gt;="&amp;IF(Config!$B$1004="Y",TODAY()-Config!$B$1005,DATE(1900,1,1)),Strike_Log!$I:$I,1))))</f>
        <v/>
      </c>
      <c r="Q479" s="1">
        <f t="shared" si="3"/>
        <v>0</v>
      </c>
      <c r="R479" s="1" t="str">
        <f>IF(A479="","",IFERROR(AVERAGEIFS(Assignments!$J:$J,Assignments!$B:$B,A479,Assignments!$E:$E,"Completed"),""))</f>
        <v/>
      </c>
      <c r="S479" s="1" t="str">
        <f>IF(A479="","",COUNTIFS(Assignments!$B:$B,A479,Assignments!$AE:$AE, "Y",Assignments!$D:$D,"&gt;="&amp;TODAY()-30))</f>
        <v/>
      </c>
      <c r="T479" s="1" t="str">
        <f>IF(A479="","",COUNTIFS(Assignments!$AF:$AF,A479,Assignments!$AE:$AE, "Y",Assignments!$D:$D,"&gt;="&amp;TODAY()-30))</f>
        <v/>
      </c>
      <c r="U479" s="1" t="str">
        <f>IF(A479="","",IFERROR(S479/MAX(1,COUNTIFS(Assignments!$B:$B,A479,Assignments!$D:$D,"&gt;="&amp;TODAY()-30)),""))</f>
        <v/>
      </c>
      <c r="V479" s="1" t="str">
        <f t="shared" si="4"/>
        <v/>
      </c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 t="str">
        <f>IF($A480="","",IFERROR(AVERAGEIFS(Assignments!$N$6:$N$1000,Assignments!$B$6:$B$1000,$A480,Assignments!$E$6:$E$1000,"Completed"),""))</f>
        <v/>
      </c>
      <c r="K480" s="2" t="str">
        <f>IF(A480="","",IFERROR(AVERAGEIFS(Assignments!$AO:$AO,Assignments!$B:$B,A480,Assignments!$E:$E,"Completed"),""))</f>
        <v/>
      </c>
      <c r="L480" s="2" t="str">
        <f>IF($A480="","",IFERROR(COUNTIFS(Assignments!$B$6:$B$1000,$A480,Assignments!$E$6:$E$1000,"Cancelled")/MAX(1,COUNTIFS(Assignments!$B$6:$B$1000,$A480,Assignments!$E$6:$E$1000,"Completed")+COUNTIFS(Assignments!$B$6:$B$1000,$A480,Assignments!$E$6:$E$1000,"Cancelled")),""))</f>
        <v/>
      </c>
      <c r="M480" s="2" t="str">
        <f>IF($A480="","",IFERROR(AVERAGEIFS(Assignments!$P$6:$P$1000,Assignments!$B$6:$B$1000,$A480,Assignments!$E$6:$E$1000,"Completed"),""))</f>
        <v/>
      </c>
      <c r="N480" s="2"/>
      <c r="O480" s="2"/>
      <c r="P480" s="1" t="str">
        <f>IF(A480="","",MAX(0,MIN(3,SUMIFS(Strike_Log!$C:$C,Strike_Log!$B:$B,A480,Strike_Log!$A:$A,"&gt;="&amp;IF(Config!$B$1004="Y",TODAY()-Config!$B$1005,DATE(1900,1,1)),Strike_Log!$I:$I,1))))</f>
        <v/>
      </c>
      <c r="Q480" s="1">
        <f t="shared" si="3"/>
        <v>0</v>
      </c>
      <c r="R480" s="1" t="str">
        <f>IF(A480="","",IFERROR(AVERAGEIFS(Assignments!$J:$J,Assignments!$B:$B,A480,Assignments!$E:$E,"Completed"),""))</f>
        <v/>
      </c>
      <c r="S480" s="1" t="str">
        <f>IF(A480="","",COUNTIFS(Assignments!$B:$B,A480,Assignments!$AE:$AE, "Y",Assignments!$D:$D,"&gt;="&amp;TODAY()-30))</f>
        <v/>
      </c>
      <c r="T480" s="1" t="str">
        <f>IF(A480="","",COUNTIFS(Assignments!$AF:$AF,A480,Assignments!$AE:$AE, "Y",Assignments!$D:$D,"&gt;="&amp;TODAY()-30))</f>
        <v/>
      </c>
      <c r="U480" s="1" t="str">
        <f>IF(A480="","",IFERROR(S480/MAX(1,COUNTIFS(Assignments!$B:$B,A480,Assignments!$D:$D,"&gt;="&amp;TODAY()-30)),""))</f>
        <v/>
      </c>
      <c r="V480" s="1" t="str">
        <f t="shared" si="4"/>
        <v/>
      </c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 t="str">
        <f>IF($A481="","",IFERROR(AVERAGEIFS(Assignments!$N$6:$N$1000,Assignments!$B$6:$B$1000,$A481,Assignments!$E$6:$E$1000,"Completed"),""))</f>
        <v/>
      </c>
      <c r="K481" s="2" t="str">
        <f>IF(A481="","",IFERROR(AVERAGEIFS(Assignments!$AO:$AO,Assignments!$B:$B,A481,Assignments!$E:$E,"Completed"),""))</f>
        <v/>
      </c>
      <c r="L481" s="2" t="str">
        <f>IF($A481="","",IFERROR(COUNTIFS(Assignments!$B$6:$B$1000,$A481,Assignments!$E$6:$E$1000,"Cancelled")/MAX(1,COUNTIFS(Assignments!$B$6:$B$1000,$A481,Assignments!$E$6:$E$1000,"Completed")+COUNTIFS(Assignments!$B$6:$B$1000,$A481,Assignments!$E$6:$E$1000,"Cancelled")),""))</f>
        <v/>
      </c>
      <c r="M481" s="2" t="str">
        <f>IF($A481="","",IFERROR(AVERAGEIFS(Assignments!$P$6:$P$1000,Assignments!$B$6:$B$1000,$A481,Assignments!$E$6:$E$1000,"Completed"),""))</f>
        <v/>
      </c>
      <c r="N481" s="2"/>
      <c r="O481" s="2"/>
      <c r="P481" s="1" t="str">
        <f>IF(A481="","",MAX(0,MIN(3,SUMIFS(Strike_Log!$C:$C,Strike_Log!$B:$B,A481,Strike_Log!$A:$A,"&gt;="&amp;IF(Config!$B$1004="Y",TODAY()-Config!$B$1005,DATE(1900,1,1)),Strike_Log!$I:$I,1))))</f>
        <v/>
      </c>
      <c r="Q481" s="1">
        <f t="shared" si="3"/>
        <v>0</v>
      </c>
      <c r="R481" s="1" t="str">
        <f>IF(A481="","",IFERROR(AVERAGEIFS(Assignments!$J:$J,Assignments!$B:$B,A481,Assignments!$E:$E,"Completed"),""))</f>
        <v/>
      </c>
      <c r="S481" s="1" t="str">
        <f>IF(A481="","",COUNTIFS(Assignments!$B:$B,A481,Assignments!$AE:$AE, "Y",Assignments!$D:$D,"&gt;="&amp;TODAY()-30))</f>
        <v/>
      </c>
      <c r="T481" s="1" t="str">
        <f>IF(A481="","",COUNTIFS(Assignments!$AF:$AF,A481,Assignments!$AE:$AE, "Y",Assignments!$D:$D,"&gt;="&amp;TODAY()-30))</f>
        <v/>
      </c>
      <c r="U481" s="1" t="str">
        <f>IF(A481="","",IFERROR(S481/MAX(1,COUNTIFS(Assignments!$B:$B,A481,Assignments!$D:$D,"&gt;="&amp;TODAY()-30)),""))</f>
        <v/>
      </c>
      <c r="V481" s="1" t="str">
        <f t="shared" si="4"/>
        <v/>
      </c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 t="str">
        <f>IF($A482="","",IFERROR(AVERAGEIFS(Assignments!$N$6:$N$1000,Assignments!$B$6:$B$1000,$A482,Assignments!$E$6:$E$1000,"Completed"),""))</f>
        <v/>
      </c>
      <c r="K482" s="2" t="str">
        <f>IF(A482="","",IFERROR(AVERAGEIFS(Assignments!$AO:$AO,Assignments!$B:$B,A482,Assignments!$E:$E,"Completed"),""))</f>
        <v/>
      </c>
      <c r="L482" s="2" t="str">
        <f>IF($A482="","",IFERROR(COUNTIFS(Assignments!$B$6:$B$1000,$A482,Assignments!$E$6:$E$1000,"Cancelled")/MAX(1,COUNTIFS(Assignments!$B$6:$B$1000,$A482,Assignments!$E$6:$E$1000,"Completed")+COUNTIFS(Assignments!$B$6:$B$1000,$A482,Assignments!$E$6:$E$1000,"Cancelled")),""))</f>
        <v/>
      </c>
      <c r="M482" s="2" t="str">
        <f>IF($A482="","",IFERROR(AVERAGEIFS(Assignments!$P$6:$P$1000,Assignments!$B$6:$B$1000,$A482,Assignments!$E$6:$E$1000,"Completed"),""))</f>
        <v/>
      </c>
      <c r="N482" s="2"/>
      <c r="O482" s="2"/>
      <c r="P482" s="1" t="str">
        <f>IF(A482="","",MAX(0,MIN(3,SUMIFS(Strike_Log!$C:$C,Strike_Log!$B:$B,A482,Strike_Log!$A:$A,"&gt;="&amp;IF(Config!$B$1004="Y",TODAY()-Config!$B$1005,DATE(1900,1,1)),Strike_Log!$I:$I,1))))</f>
        <v/>
      </c>
      <c r="Q482" s="1">
        <f t="shared" si="3"/>
        <v>0</v>
      </c>
      <c r="R482" s="1" t="str">
        <f>IF(A482="","",IFERROR(AVERAGEIFS(Assignments!$J:$J,Assignments!$B:$B,A482,Assignments!$E:$E,"Completed"),""))</f>
        <v/>
      </c>
      <c r="S482" s="1" t="str">
        <f>IF(A482="","",COUNTIFS(Assignments!$B:$B,A482,Assignments!$AE:$AE, "Y",Assignments!$D:$D,"&gt;="&amp;TODAY()-30))</f>
        <v/>
      </c>
      <c r="T482" s="1" t="str">
        <f>IF(A482="","",COUNTIFS(Assignments!$AF:$AF,A482,Assignments!$AE:$AE, "Y",Assignments!$D:$D,"&gt;="&amp;TODAY()-30))</f>
        <v/>
      </c>
      <c r="U482" s="1" t="str">
        <f>IF(A482="","",IFERROR(S482/MAX(1,COUNTIFS(Assignments!$B:$B,A482,Assignments!$D:$D,"&gt;="&amp;TODAY()-30)),""))</f>
        <v/>
      </c>
      <c r="V482" s="1" t="str">
        <f t="shared" si="4"/>
        <v/>
      </c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 t="str">
        <f>IF($A483="","",IFERROR(AVERAGEIFS(Assignments!$N$6:$N$1000,Assignments!$B$6:$B$1000,$A483,Assignments!$E$6:$E$1000,"Completed"),""))</f>
        <v/>
      </c>
      <c r="K483" s="2" t="str">
        <f>IF(A483="","",IFERROR(AVERAGEIFS(Assignments!$AO:$AO,Assignments!$B:$B,A483,Assignments!$E:$E,"Completed"),""))</f>
        <v/>
      </c>
      <c r="L483" s="2" t="str">
        <f>IF($A483="","",IFERROR(COUNTIFS(Assignments!$B$6:$B$1000,$A483,Assignments!$E$6:$E$1000,"Cancelled")/MAX(1,COUNTIFS(Assignments!$B$6:$B$1000,$A483,Assignments!$E$6:$E$1000,"Completed")+COUNTIFS(Assignments!$B$6:$B$1000,$A483,Assignments!$E$6:$E$1000,"Cancelled")),""))</f>
        <v/>
      </c>
      <c r="M483" s="2" t="str">
        <f>IF($A483="","",IFERROR(AVERAGEIFS(Assignments!$P$6:$P$1000,Assignments!$B$6:$B$1000,$A483,Assignments!$E$6:$E$1000,"Completed"),""))</f>
        <v/>
      </c>
      <c r="N483" s="2"/>
      <c r="O483" s="2"/>
      <c r="P483" s="1" t="str">
        <f>IF(A483="","",MAX(0,MIN(3,SUMIFS(Strike_Log!$C:$C,Strike_Log!$B:$B,A483,Strike_Log!$A:$A,"&gt;="&amp;IF(Config!$B$1004="Y",TODAY()-Config!$B$1005,DATE(1900,1,1)),Strike_Log!$I:$I,1))))</f>
        <v/>
      </c>
      <c r="Q483" s="1">
        <f t="shared" si="3"/>
        <v>0</v>
      </c>
      <c r="R483" s="1" t="str">
        <f>IF(A483="","",IFERROR(AVERAGEIFS(Assignments!$J:$J,Assignments!$B:$B,A483,Assignments!$E:$E,"Completed"),""))</f>
        <v/>
      </c>
      <c r="S483" s="1" t="str">
        <f>IF(A483="","",COUNTIFS(Assignments!$B:$B,A483,Assignments!$AE:$AE, "Y",Assignments!$D:$D,"&gt;="&amp;TODAY()-30))</f>
        <v/>
      </c>
      <c r="T483" s="1" t="str">
        <f>IF(A483="","",COUNTIFS(Assignments!$AF:$AF,A483,Assignments!$AE:$AE, "Y",Assignments!$D:$D,"&gt;="&amp;TODAY()-30))</f>
        <v/>
      </c>
      <c r="U483" s="1" t="str">
        <f>IF(A483="","",IFERROR(S483/MAX(1,COUNTIFS(Assignments!$B:$B,A483,Assignments!$D:$D,"&gt;="&amp;TODAY()-30)),""))</f>
        <v/>
      </c>
      <c r="V483" s="1" t="str">
        <f t="shared" si="4"/>
        <v/>
      </c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 t="str">
        <f>IF($A484="","",IFERROR(AVERAGEIFS(Assignments!$N$6:$N$1000,Assignments!$B$6:$B$1000,$A484,Assignments!$E$6:$E$1000,"Completed"),""))</f>
        <v/>
      </c>
      <c r="K484" s="2" t="str">
        <f>IF(A484="","",IFERROR(AVERAGEIFS(Assignments!$AO:$AO,Assignments!$B:$B,A484,Assignments!$E:$E,"Completed"),""))</f>
        <v/>
      </c>
      <c r="L484" s="2" t="str">
        <f>IF($A484="","",IFERROR(COUNTIFS(Assignments!$B$6:$B$1000,$A484,Assignments!$E$6:$E$1000,"Cancelled")/MAX(1,COUNTIFS(Assignments!$B$6:$B$1000,$A484,Assignments!$E$6:$E$1000,"Completed")+COUNTIFS(Assignments!$B$6:$B$1000,$A484,Assignments!$E$6:$E$1000,"Cancelled")),""))</f>
        <v/>
      </c>
      <c r="M484" s="2" t="str">
        <f>IF($A484="","",IFERROR(AVERAGEIFS(Assignments!$P$6:$P$1000,Assignments!$B$6:$B$1000,$A484,Assignments!$E$6:$E$1000,"Completed"),""))</f>
        <v/>
      </c>
      <c r="N484" s="2"/>
      <c r="O484" s="2"/>
      <c r="P484" s="1" t="str">
        <f>IF(A484="","",MAX(0,MIN(3,SUMIFS(Strike_Log!$C:$C,Strike_Log!$B:$B,A484,Strike_Log!$A:$A,"&gt;="&amp;IF(Config!$B$1004="Y",TODAY()-Config!$B$1005,DATE(1900,1,1)),Strike_Log!$I:$I,1))))</f>
        <v/>
      </c>
      <c r="Q484" s="1">
        <f t="shared" si="3"/>
        <v>0</v>
      </c>
      <c r="R484" s="1" t="str">
        <f>IF(A484="","",IFERROR(AVERAGEIFS(Assignments!$J:$J,Assignments!$B:$B,A484,Assignments!$E:$E,"Completed"),""))</f>
        <v/>
      </c>
      <c r="S484" s="1" t="str">
        <f>IF(A484="","",COUNTIFS(Assignments!$B:$B,A484,Assignments!$AE:$AE, "Y",Assignments!$D:$D,"&gt;="&amp;TODAY()-30))</f>
        <v/>
      </c>
      <c r="T484" s="1" t="str">
        <f>IF(A484="","",COUNTIFS(Assignments!$AF:$AF,A484,Assignments!$AE:$AE, "Y",Assignments!$D:$D,"&gt;="&amp;TODAY()-30))</f>
        <v/>
      </c>
      <c r="U484" s="1" t="str">
        <f>IF(A484="","",IFERROR(S484/MAX(1,COUNTIFS(Assignments!$B:$B,A484,Assignments!$D:$D,"&gt;="&amp;TODAY()-30)),""))</f>
        <v/>
      </c>
      <c r="V484" s="1" t="str">
        <f t="shared" si="4"/>
        <v/>
      </c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 t="str">
        <f>IF($A485="","",IFERROR(AVERAGEIFS(Assignments!$N$6:$N$1000,Assignments!$B$6:$B$1000,$A485,Assignments!$E$6:$E$1000,"Completed"),""))</f>
        <v/>
      </c>
      <c r="K485" s="2" t="str">
        <f>IF(A485="","",IFERROR(AVERAGEIFS(Assignments!$AO:$AO,Assignments!$B:$B,A485,Assignments!$E:$E,"Completed"),""))</f>
        <v/>
      </c>
      <c r="L485" s="2" t="str">
        <f>IF($A485="","",IFERROR(COUNTIFS(Assignments!$B$6:$B$1000,$A485,Assignments!$E$6:$E$1000,"Cancelled")/MAX(1,COUNTIFS(Assignments!$B$6:$B$1000,$A485,Assignments!$E$6:$E$1000,"Completed")+COUNTIFS(Assignments!$B$6:$B$1000,$A485,Assignments!$E$6:$E$1000,"Cancelled")),""))</f>
        <v/>
      </c>
      <c r="M485" s="2" t="str">
        <f>IF($A485="","",IFERROR(AVERAGEIFS(Assignments!$P$6:$P$1000,Assignments!$B$6:$B$1000,$A485,Assignments!$E$6:$E$1000,"Completed"),""))</f>
        <v/>
      </c>
      <c r="N485" s="2"/>
      <c r="O485" s="2"/>
      <c r="P485" s="1" t="str">
        <f>IF(A485="","",MAX(0,MIN(3,SUMIFS(Strike_Log!$C:$C,Strike_Log!$B:$B,A485,Strike_Log!$A:$A,"&gt;="&amp;IF(Config!$B$1004="Y",TODAY()-Config!$B$1005,DATE(1900,1,1)),Strike_Log!$I:$I,1))))</f>
        <v/>
      </c>
      <c r="Q485" s="1">
        <f t="shared" si="3"/>
        <v>0</v>
      </c>
      <c r="R485" s="1" t="str">
        <f>IF(A485="","",IFERROR(AVERAGEIFS(Assignments!$J:$J,Assignments!$B:$B,A485,Assignments!$E:$E,"Completed"),""))</f>
        <v/>
      </c>
      <c r="S485" s="1" t="str">
        <f>IF(A485="","",COUNTIFS(Assignments!$B:$B,A485,Assignments!$AE:$AE, "Y",Assignments!$D:$D,"&gt;="&amp;TODAY()-30))</f>
        <v/>
      </c>
      <c r="T485" s="1" t="str">
        <f>IF(A485="","",COUNTIFS(Assignments!$AF:$AF,A485,Assignments!$AE:$AE, "Y",Assignments!$D:$D,"&gt;="&amp;TODAY()-30))</f>
        <v/>
      </c>
      <c r="U485" s="1" t="str">
        <f>IF(A485="","",IFERROR(S485/MAX(1,COUNTIFS(Assignments!$B:$B,A485,Assignments!$D:$D,"&gt;="&amp;TODAY()-30)),""))</f>
        <v/>
      </c>
      <c r="V485" s="1" t="str">
        <f t="shared" si="4"/>
        <v/>
      </c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 t="str">
        <f>IF($A486="","",IFERROR(AVERAGEIFS(Assignments!$N$6:$N$1000,Assignments!$B$6:$B$1000,$A486,Assignments!$E$6:$E$1000,"Completed"),""))</f>
        <v/>
      </c>
      <c r="K486" s="2" t="str">
        <f>IF(A486="","",IFERROR(AVERAGEIFS(Assignments!$AO:$AO,Assignments!$B:$B,A486,Assignments!$E:$E,"Completed"),""))</f>
        <v/>
      </c>
      <c r="L486" s="2" t="str">
        <f>IF($A486="","",IFERROR(COUNTIFS(Assignments!$B$6:$B$1000,$A486,Assignments!$E$6:$E$1000,"Cancelled")/MAX(1,COUNTIFS(Assignments!$B$6:$B$1000,$A486,Assignments!$E$6:$E$1000,"Completed")+COUNTIFS(Assignments!$B$6:$B$1000,$A486,Assignments!$E$6:$E$1000,"Cancelled")),""))</f>
        <v/>
      </c>
      <c r="M486" s="2" t="str">
        <f>IF($A486="","",IFERROR(AVERAGEIFS(Assignments!$P$6:$P$1000,Assignments!$B$6:$B$1000,$A486,Assignments!$E$6:$E$1000,"Completed"),""))</f>
        <v/>
      </c>
      <c r="N486" s="2"/>
      <c r="O486" s="2"/>
      <c r="P486" s="1" t="str">
        <f>IF(A486="","",MAX(0,MIN(3,SUMIFS(Strike_Log!$C:$C,Strike_Log!$B:$B,A486,Strike_Log!$A:$A,"&gt;="&amp;IF(Config!$B$1004="Y",TODAY()-Config!$B$1005,DATE(1900,1,1)),Strike_Log!$I:$I,1))))</f>
        <v/>
      </c>
      <c r="Q486" s="1">
        <f t="shared" si="3"/>
        <v>0</v>
      </c>
      <c r="R486" s="1" t="str">
        <f>IF(A486="","",IFERROR(AVERAGEIFS(Assignments!$J:$J,Assignments!$B:$B,A486,Assignments!$E:$E,"Completed"),""))</f>
        <v/>
      </c>
      <c r="S486" s="1" t="str">
        <f>IF(A486="","",COUNTIFS(Assignments!$B:$B,A486,Assignments!$AE:$AE, "Y",Assignments!$D:$D,"&gt;="&amp;TODAY()-30))</f>
        <v/>
      </c>
      <c r="T486" s="1" t="str">
        <f>IF(A486="","",COUNTIFS(Assignments!$AF:$AF,A486,Assignments!$AE:$AE, "Y",Assignments!$D:$D,"&gt;="&amp;TODAY()-30))</f>
        <v/>
      </c>
      <c r="U486" s="1" t="str">
        <f>IF(A486="","",IFERROR(S486/MAX(1,COUNTIFS(Assignments!$B:$B,A486,Assignments!$D:$D,"&gt;="&amp;TODAY()-30)),""))</f>
        <v/>
      </c>
      <c r="V486" s="1" t="str">
        <f t="shared" si="4"/>
        <v/>
      </c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 t="str">
        <f>IF($A487="","",IFERROR(AVERAGEIFS(Assignments!$N$6:$N$1000,Assignments!$B$6:$B$1000,$A487,Assignments!$E$6:$E$1000,"Completed"),""))</f>
        <v/>
      </c>
      <c r="K487" s="2" t="str">
        <f>IF(A487="","",IFERROR(AVERAGEIFS(Assignments!$AO:$AO,Assignments!$B:$B,A487,Assignments!$E:$E,"Completed"),""))</f>
        <v/>
      </c>
      <c r="L487" s="2" t="str">
        <f>IF($A487="","",IFERROR(COUNTIFS(Assignments!$B$6:$B$1000,$A487,Assignments!$E$6:$E$1000,"Cancelled")/MAX(1,COUNTIFS(Assignments!$B$6:$B$1000,$A487,Assignments!$E$6:$E$1000,"Completed")+COUNTIFS(Assignments!$B$6:$B$1000,$A487,Assignments!$E$6:$E$1000,"Cancelled")),""))</f>
        <v/>
      </c>
      <c r="M487" s="2" t="str">
        <f>IF($A487="","",IFERROR(AVERAGEIFS(Assignments!$P$6:$P$1000,Assignments!$B$6:$B$1000,$A487,Assignments!$E$6:$E$1000,"Completed"),""))</f>
        <v/>
      </c>
      <c r="N487" s="2"/>
      <c r="O487" s="2"/>
      <c r="P487" s="1" t="str">
        <f>IF(A487="","",MAX(0,MIN(3,SUMIFS(Strike_Log!$C:$C,Strike_Log!$B:$B,A487,Strike_Log!$A:$A,"&gt;="&amp;IF(Config!$B$1004="Y",TODAY()-Config!$B$1005,DATE(1900,1,1)),Strike_Log!$I:$I,1))))</f>
        <v/>
      </c>
      <c r="Q487" s="1">
        <f t="shared" si="3"/>
        <v>0</v>
      </c>
      <c r="R487" s="1" t="str">
        <f>IF(A487="","",IFERROR(AVERAGEIFS(Assignments!$J:$J,Assignments!$B:$B,A487,Assignments!$E:$E,"Completed"),""))</f>
        <v/>
      </c>
      <c r="S487" s="1" t="str">
        <f>IF(A487="","",COUNTIFS(Assignments!$B:$B,A487,Assignments!$AE:$AE, "Y",Assignments!$D:$D,"&gt;="&amp;TODAY()-30))</f>
        <v/>
      </c>
      <c r="T487" s="1" t="str">
        <f>IF(A487="","",COUNTIFS(Assignments!$AF:$AF,A487,Assignments!$AE:$AE, "Y",Assignments!$D:$D,"&gt;="&amp;TODAY()-30))</f>
        <v/>
      </c>
      <c r="U487" s="1" t="str">
        <f>IF(A487="","",IFERROR(S487/MAX(1,COUNTIFS(Assignments!$B:$B,A487,Assignments!$D:$D,"&gt;="&amp;TODAY()-30)),""))</f>
        <v/>
      </c>
      <c r="V487" s="1" t="str">
        <f t="shared" si="4"/>
        <v/>
      </c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 t="str">
        <f>IF($A488="","",IFERROR(AVERAGEIFS(Assignments!$N$6:$N$1000,Assignments!$B$6:$B$1000,$A488,Assignments!$E$6:$E$1000,"Completed"),""))</f>
        <v/>
      </c>
      <c r="K488" s="2" t="str">
        <f>IF(A488="","",IFERROR(AVERAGEIFS(Assignments!$AO:$AO,Assignments!$B:$B,A488,Assignments!$E:$E,"Completed"),""))</f>
        <v/>
      </c>
      <c r="L488" s="2" t="str">
        <f>IF($A488="","",IFERROR(COUNTIFS(Assignments!$B$6:$B$1000,$A488,Assignments!$E$6:$E$1000,"Cancelled")/MAX(1,COUNTIFS(Assignments!$B$6:$B$1000,$A488,Assignments!$E$6:$E$1000,"Completed")+COUNTIFS(Assignments!$B$6:$B$1000,$A488,Assignments!$E$6:$E$1000,"Cancelled")),""))</f>
        <v/>
      </c>
      <c r="M488" s="2" t="str">
        <f>IF($A488="","",IFERROR(AVERAGEIFS(Assignments!$P$6:$P$1000,Assignments!$B$6:$B$1000,$A488,Assignments!$E$6:$E$1000,"Completed"),""))</f>
        <v/>
      </c>
      <c r="N488" s="2"/>
      <c r="O488" s="2"/>
      <c r="P488" s="1" t="str">
        <f>IF(A488="","",MAX(0,MIN(3,SUMIFS(Strike_Log!$C:$C,Strike_Log!$B:$B,A488,Strike_Log!$A:$A,"&gt;="&amp;IF(Config!$B$1004="Y",TODAY()-Config!$B$1005,DATE(1900,1,1)),Strike_Log!$I:$I,1))))</f>
        <v/>
      </c>
      <c r="Q488" s="1">
        <f t="shared" si="3"/>
        <v>0</v>
      </c>
      <c r="R488" s="1" t="str">
        <f>IF(A488="","",IFERROR(AVERAGEIFS(Assignments!$J:$J,Assignments!$B:$B,A488,Assignments!$E:$E,"Completed"),""))</f>
        <v/>
      </c>
      <c r="S488" s="1" t="str">
        <f>IF(A488="","",COUNTIFS(Assignments!$B:$B,A488,Assignments!$AE:$AE, "Y",Assignments!$D:$D,"&gt;="&amp;TODAY()-30))</f>
        <v/>
      </c>
      <c r="T488" s="1" t="str">
        <f>IF(A488="","",COUNTIFS(Assignments!$AF:$AF,A488,Assignments!$AE:$AE, "Y",Assignments!$D:$D,"&gt;="&amp;TODAY()-30))</f>
        <v/>
      </c>
      <c r="U488" s="1" t="str">
        <f>IF(A488="","",IFERROR(S488/MAX(1,COUNTIFS(Assignments!$B:$B,A488,Assignments!$D:$D,"&gt;="&amp;TODAY()-30)),""))</f>
        <v/>
      </c>
      <c r="V488" s="1" t="str">
        <f t="shared" si="4"/>
        <v/>
      </c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 t="str">
        <f>IF($A489="","",IFERROR(AVERAGEIFS(Assignments!$N$6:$N$1000,Assignments!$B$6:$B$1000,$A489,Assignments!$E$6:$E$1000,"Completed"),""))</f>
        <v/>
      </c>
      <c r="K489" s="2" t="str">
        <f>IF(A489="","",IFERROR(AVERAGEIFS(Assignments!$AO:$AO,Assignments!$B:$B,A489,Assignments!$E:$E,"Completed"),""))</f>
        <v/>
      </c>
      <c r="L489" s="2" t="str">
        <f>IF($A489="","",IFERROR(COUNTIFS(Assignments!$B$6:$B$1000,$A489,Assignments!$E$6:$E$1000,"Cancelled")/MAX(1,COUNTIFS(Assignments!$B$6:$B$1000,$A489,Assignments!$E$6:$E$1000,"Completed")+COUNTIFS(Assignments!$B$6:$B$1000,$A489,Assignments!$E$6:$E$1000,"Cancelled")),""))</f>
        <v/>
      </c>
      <c r="M489" s="2" t="str">
        <f>IF($A489="","",IFERROR(AVERAGEIFS(Assignments!$P$6:$P$1000,Assignments!$B$6:$B$1000,$A489,Assignments!$E$6:$E$1000,"Completed"),""))</f>
        <v/>
      </c>
      <c r="N489" s="2"/>
      <c r="O489" s="2"/>
      <c r="P489" s="1" t="str">
        <f>IF(A489="","",MAX(0,MIN(3,SUMIFS(Strike_Log!$C:$C,Strike_Log!$B:$B,A489,Strike_Log!$A:$A,"&gt;="&amp;IF(Config!$B$1004="Y",TODAY()-Config!$B$1005,DATE(1900,1,1)),Strike_Log!$I:$I,1))))</f>
        <v/>
      </c>
      <c r="Q489" s="1">
        <f t="shared" si="3"/>
        <v>0</v>
      </c>
      <c r="R489" s="1" t="str">
        <f>IF(A489="","",IFERROR(AVERAGEIFS(Assignments!$J:$J,Assignments!$B:$B,A489,Assignments!$E:$E,"Completed"),""))</f>
        <v/>
      </c>
      <c r="S489" s="1" t="str">
        <f>IF(A489="","",COUNTIFS(Assignments!$B:$B,A489,Assignments!$AE:$AE, "Y",Assignments!$D:$D,"&gt;="&amp;TODAY()-30))</f>
        <v/>
      </c>
      <c r="T489" s="1" t="str">
        <f>IF(A489="","",COUNTIFS(Assignments!$AF:$AF,A489,Assignments!$AE:$AE, "Y",Assignments!$D:$D,"&gt;="&amp;TODAY()-30))</f>
        <v/>
      </c>
      <c r="U489" s="1" t="str">
        <f>IF(A489="","",IFERROR(S489/MAX(1,COUNTIFS(Assignments!$B:$B,A489,Assignments!$D:$D,"&gt;="&amp;TODAY()-30)),""))</f>
        <v/>
      </c>
      <c r="V489" s="1" t="str">
        <f t="shared" si="4"/>
        <v/>
      </c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 t="str">
        <f>IF($A490="","",IFERROR(AVERAGEIFS(Assignments!$N$6:$N$1000,Assignments!$B$6:$B$1000,$A490,Assignments!$E$6:$E$1000,"Completed"),""))</f>
        <v/>
      </c>
      <c r="K490" s="2" t="str">
        <f>IF(A490="","",IFERROR(AVERAGEIFS(Assignments!$AO:$AO,Assignments!$B:$B,A490,Assignments!$E:$E,"Completed"),""))</f>
        <v/>
      </c>
      <c r="L490" s="2" t="str">
        <f>IF($A490="","",IFERROR(COUNTIFS(Assignments!$B$6:$B$1000,$A490,Assignments!$E$6:$E$1000,"Cancelled")/MAX(1,COUNTIFS(Assignments!$B$6:$B$1000,$A490,Assignments!$E$6:$E$1000,"Completed")+COUNTIFS(Assignments!$B$6:$B$1000,$A490,Assignments!$E$6:$E$1000,"Cancelled")),""))</f>
        <v/>
      </c>
      <c r="M490" s="2" t="str">
        <f>IF($A490="","",IFERROR(AVERAGEIFS(Assignments!$P$6:$P$1000,Assignments!$B$6:$B$1000,$A490,Assignments!$E$6:$E$1000,"Completed"),""))</f>
        <v/>
      </c>
      <c r="N490" s="2"/>
      <c r="O490" s="2"/>
      <c r="P490" s="1" t="str">
        <f>IF(A490="","",MAX(0,MIN(3,SUMIFS(Strike_Log!$C:$C,Strike_Log!$B:$B,A490,Strike_Log!$A:$A,"&gt;="&amp;IF(Config!$B$1004="Y",TODAY()-Config!$B$1005,DATE(1900,1,1)),Strike_Log!$I:$I,1))))</f>
        <v/>
      </c>
      <c r="Q490" s="1">
        <f t="shared" si="3"/>
        <v>0</v>
      </c>
      <c r="R490" s="1" t="str">
        <f>IF(A490="","",IFERROR(AVERAGEIFS(Assignments!$J:$J,Assignments!$B:$B,A490,Assignments!$E:$E,"Completed"),""))</f>
        <v/>
      </c>
      <c r="S490" s="1" t="str">
        <f>IF(A490="","",COUNTIFS(Assignments!$B:$B,A490,Assignments!$AE:$AE, "Y",Assignments!$D:$D,"&gt;="&amp;TODAY()-30))</f>
        <v/>
      </c>
      <c r="T490" s="1" t="str">
        <f>IF(A490="","",COUNTIFS(Assignments!$AF:$AF,A490,Assignments!$AE:$AE, "Y",Assignments!$D:$D,"&gt;="&amp;TODAY()-30))</f>
        <v/>
      </c>
      <c r="U490" s="1" t="str">
        <f>IF(A490="","",IFERROR(S490/MAX(1,COUNTIFS(Assignments!$B:$B,A490,Assignments!$D:$D,"&gt;="&amp;TODAY()-30)),""))</f>
        <v/>
      </c>
      <c r="V490" s="1" t="str">
        <f t="shared" si="4"/>
        <v/>
      </c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 t="str">
        <f>IF($A491="","",IFERROR(AVERAGEIFS(Assignments!$N$6:$N$1000,Assignments!$B$6:$B$1000,$A491,Assignments!$E$6:$E$1000,"Completed"),""))</f>
        <v/>
      </c>
      <c r="K491" s="2" t="str">
        <f>IF(A491="","",IFERROR(AVERAGEIFS(Assignments!$AO:$AO,Assignments!$B:$B,A491,Assignments!$E:$E,"Completed"),""))</f>
        <v/>
      </c>
      <c r="L491" s="2" t="str">
        <f>IF($A491="","",IFERROR(COUNTIFS(Assignments!$B$6:$B$1000,$A491,Assignments!$E$6:$E$1000,"Cancelled")/MAX(1,COUNTIFS(Assignments!$B$6:$B$1000,$A491,Assignments!$E$6:$E$1000,"Completed")+COUNTIFS(Assignments!$B$6:$B$1000,$A491,Assignments!$E$6:$E$1000,"Cancelled")),""))</f>
        <v/>
      </c>
      <c r="M491" s="2" t="str">
        <f>IF($A491="","",IFERROR(AVERAGEIFS(Assignments!$P$6:$P$1000,Assignments!$B$6:$B$1000,$A491,Assignments!$E$6:$E$1000,"Completed"),""))</f>
        <v/>
      </c>
      <c r="N491" s="2"/>
      <c r="O491" s="2"/>
      <c r="P491" s="1" t="str">
        <f>IF(A491="","",MAX(0,MIN(3,SUMIFS(Strike_Log!$C:$C,Strike_Log!$B:$B,A491,Strike_Log!$A:$A,"&gt;="&amp;IF(Config!$B$1004="Y",TODAY()-Config!$B$1005,DATE(1900,1,1)),Strike_Log!$I:$I,1))))</f>
        <v/>
      </c>
      <c r="Q491" s="1">
        <f t="shared" si="3"/>
        <v>0</v>
      </c>
      <c r="R491" s="1" t="str">
        <f>IF(A491="","",IFERROR(AVERAGEIFS(Assignments!$J:$J,Assignments!$B:$B,A491,Assignments!$E:$E,"Completed"),""))</f>
        <v/>
      </c>
      <c r="S491" s="1" t="str">
        <f>IF(A491="","",COUNTIFS(Assignments!$B:$B,A491,Assignments!$AE:$AE, "Y",Assignments!$D:$D,"&gt;="&amp;TODAY()-30))</f>
        <v/>
      </c>
      <c r="T491" s="1" t="str">
        <f>IF(A491="","",COUNTIFS(Assignments!$AF:$AF,A491,Assignments!$AE:$AE, "Y",Assignments!$D:$D,"&gt;="&amp;TODAY()-30))</f>
        <v/>
      </c>
      <c r="U491" s="1" t="str">
        <f>IF(A491="","",IFERROR(S491/MAX(1,COUNTIFS(Assignments!$B:$B,A491,Assignments!$D:$D,"&gt;="&amp;TODAY()-30)),""))</f>
        <v/>
      </c>
      <c r="V491" s="1" t="str">
        <f t="shared" si="4"/>
        <v/>
      </c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 t="str">
        <f>IF($A492="","",IFERROR(AVERAGEIFS(Assignments!$N$6:$N$1000,Assignments!$B$6:$B$1000,$A492,Assignments!$E$6:$E$1000,"Completed"),""))</f>
        <v/>
      </c>
      <c r="K492" s="2" t="str">
        <f>IF(A492="","",IFERROR(AVERAGEIFS(Assignments!$AO:$AO,Assignments!$B:$B,A492,Assignments!$E:$E,"Completed"),""))</f>
        <v/>
      </c>
      <c r="L492" s="2" t="str">
        <f>IF($A492="","",IFERROR(COUNTIFS(Assignments!$B$6:$B$1000,$A492,Assignments!$E$6:$E$1000,"Cancelled")/MAX(1,COUNTIFS(Assignments!$B$6:$B$1000,$A492,Assignments!$E$6:$E$1000,"Completed")+COUNTIFS(Assignments!$B$6:$B$1000,$A492,Assignments!$E$6:$E$1000,"Cancelled")),""))</f>
        <v/>
      </c>
      <c r="M492" s="2" t="str">
        <f>IF($A492="","",IFERROR(AVERAGEIFS(Assignments!$P$6:$P$1000,Assignments!$B$6:$B$1000,$A492,Assignments!$E$6:$E$1000,"Completed"),""))</f>
        <v/>
      </c>
      <c r="N492" s="2"/>
      <c r="O492" s="2"/>
      <c r="P492" s="1" t="str">
        <f>IF(A492="","",MAX(0,MIN(3,SUMIFS(Strike_Log!$C:$C,Strike_Log!$B:$B,A492,Strike_Log!$A:$A,"&gt;="&amp;IF(Config!$B$1004="Y",TODAY()-Config!$B$1005,DATE(1900,1,1)),Strike_Log!$I:$I,1))))</f>
        <v/>
      </c>
      <c r="Q492" s="1">
        <f t="shared" si="3"/>
        <v>0</v>
      </c>
      <c r="R492" s="1" t="str">
        <f>IF(A492="","",IFERROR(AVERAGEIFS(Assignments!$J:$J,Assignments!$B:$B,A492,Assignments!$E:$E,"Completed"),""))</f>
        <v/>
      </c>
      <c r="S492" s="1" t="str">
        <f>IF(A492="","",COUNTIFS(Assignments!$B:$B,A492,Assignments!$AE:$AE, "Y",Assignments!$D:$D,"&gt;="&amp;TODAY()-30))</f>
        <v/>
      </c>
      <c r="T492" s="1" t="str">
        <f>IF(A492="","",COUNTIFS(Assignments!$AF:$AF,A492,Assignments!$AE:$AE, "Y",Assignments!$D:$D,"&gt;="&amp;TODAY()-30))</f>
        <v/>
      </c>
      <c r="U492" s="1" t="str">
        <f>IF(A492="","",IFERROR(S492/MAX(1,COUNTIFS(Assignments!$B:$B,A492,Assignments!$D:$D,"&gt;="&amp;TODAY()-30)),""))</f>
        <v/>
      </c>
      <c r="V492" s="1" t="str">
        <f t="shared" si="4"/>
        <v/>
      </c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 t="str">
        <f>IF($A493="","",IFERROR(AVERAGEIFS(Assignments!$N$6:$N$1000,Assignments!$B$6:$B$1000,$A493,Assignments!$E$6:$E$1000,"Completed"),""))</f>
        <v/>
      </c>
      <c r="K493" s="2" t="str">
        <f>IF(A493="","",IFERROR(AVERAGEIFS(Assignments!$AO:$AO,Assignments!$B:$B,A493,Assignments!$E:$E,"Completed"),""))</f>
        <v/>
      </c>
      <c r="L493" s="2" t="str">
        <f>IF($A493="","",IFERROR(COUNTIFS(Assignments!$B$6:$B$1000,$A493,Assignments!$E$6:$E$1000,"Cancelled")/MAX(1,COUNTIFS(Assignments!$B$6:$B$1000,$A493,Assignments!$E$6:$E$1000,"Completed")+COUNTIFS(Assignments!$B$6:$B$1000,$A493,Assignments!$E$6:$E$1000,"Cancelled")),""))</f>
        <v/>
      </c>
      <c r="M493" s="2" t="str">
        <f>IF($A493="","",IFERROR(AVERAGEIFS(Assignments!$P$6:$P$1000,Assignments!$B$6:$B$1000,$A493,Assignments!$E$6:$E$1000,"Completed"),""))</f>
        <v/>
      </c>
      <c r="N493" s="2"/>
      <c r="O493" s="2"/>
      <c r="P493" s="1" t="str">
        <f>IF(A493="","",MAX(0,MIN(3,SUMIFS(Strike_Log!$C:$C,Strike_Log!$B:$B,A493,Strike_Log!$A:$A,"&gt;="&amp;IF(Config!$B$1004="Y",TODAY()-Config!$B$1005,DATE(1900,1,1)),Strike_Log!$I:$I,1))))</f>
        <v/>
      </c>
      <c r="Q493" s="1">
        <f t="shared" si="3"/>
        <v>0</v>
      </c>
      <c r="R493" s="1" t="str">
        <f>IF(A493="","",IFERROR(AVERAGEIFS(Assignments!$J:$J,Assignments!$B:$B,A493,Assignments!$E:$E,"Completed"),""))</f>
        <v/>
      </c>
      <c r="S493" s="1" t="str">
        <f>IF(A493="","",COUNTIFS(Assignments!$B:$B,A493,Assignments!$AE:$AE, "Y",Assignments!$D:$D,"&gt;="&amp;TODAY()-30))</f>
        <v/>
      </c>
      <c r="T493" s="1" t="str">
        <f>IF(A493="","",COUNTIFS(Assignments!$AF:$AF,A493,Assignments!$AE:$AE, "Y",Assignments!$D:$D,"&gt;="&amp;TODAY()-30))</f>
        <v/>
      </c>
      <c r="U493" s="1" t="str">
        <f>IF(A493="","",IFERROR(S493/MAX(1,COUNTIFS(Assignments!$B:$B,A493,Assignments!$D:$D,"&gt;="&amp;TODAY()-30)),""))</f>
        <v/>
      </c>
      <c r="V493" s="1" t="str">
        <f t="shared" si="4"/>
        <v/>
      </c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 t="str">
        <f>IF($A494="","",IFERROR(AVERAGEIFS(Assignments!$N$6:$N$1000,Assignments!$B$6:$B$1000,$A494,Assignments!$E$6:$E$1000,"Completed"),""))</f>
        <v/>
      </c>
      <c r="K494" s="2" t="str">
        <f>IF(A494="","",IFERROR(AVERAGEIFS(Assignments!$AO:$AO,Assignments!$B:$B,A494,Assignments!$E:$E,"Completed"),""))</f>
        <v/>
      </c>
      <c r="L494" s="2" t="str">
        <f>IF($A494="","",IFERROR(COUNTIFS(Assignments!$B$6:$B$1000,$A494,Assignments!$E$6:$E$1000,"Cancelled")/MAX(1,COUNTIFS(Assignments!$B$6:$B$1000,$A494,Assignments!$E$6:$E$1000,"Completed")+COUNTIFS(Assignments!$B$6:$B$1000,$A494,Assignments!$E$6:$E$1000,"Cancelled")),""))</f>
        <v/>
      </c>
      <c r="M494" s="2" t="str">
        <f>IF($A494="","",IFERROR(AVERAGEIFS(Assignments!$P$6:$P$1000,Assignments!$B$6:$B$1000,$A494,Assignments!$E$6:$E$1000,"Completed"),""))</f>
        <v/>
      </c>
      <c r="N494" s="2"/>
      <c r="O494" s="2"/>
      <c r="P494" s="1" t="str">
        <f>IF(A494="","",MAX(0,MIN(3,SUMIFS(Strike_Log!$C:$C,Strike_Log!$B:$B,A494,Strike_Log!$A:$A,"&gt;="&amp;IF(Config!$B$1004="Y",TODAY()-Config!$B$1005,DATE(1900,1,1)),Strike_Log!$I:$I,1))))</f>
        <v/>
      </c>
      <c r="Q494" s="1">
        <f t="shared" si="3"/>
        <v>0</v>
      </c>
      <c r="R494" s="1" t="str">
        <f>IF(A494="","",IFERROR(AVERAGEIFS(Assignments!$J:$J,Assignments!$B:$B,A494,Assignments!$E:$E,"Completed"),""))</f>
        <v/>
      </c>
      <c r="S494" s="1" t="str">
        <f>IF(A494="","",COUNTIFS(Assignments!$B:$B,A494,Assignments!$AE:$AE, "Y",Assignments!$D:$D,"&gt;="&amp;TODAY()-30))</f>
        <v/>
      </c>
      <c r="T494" s="1" t="str">
        <f>IF(A494="","",COUNTIFS(Assignments!$AF:$AF,A494,Assignments!$AE:$AE, "Y",Assignments!$D:$D,"&gt;="&amp;TODAY()-30))</f>
        <v/>
      </c>
      <c r="U494" s="1" t="str">
        <f>IF(A494="","",IFERROR(S494/MAX(1,COUNTIFS(Assignments!$B:$B,A494,Assignments!$D:$D,"&gt;="&amp;TODAY()-30)),""))</f>
        <v/>
      </c>
      <c r="V494" s="1" t="str">
        <f t="shared" si="4"/>
        <v/>
      </c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 t="str">
        <f>IF($A495="","",IFERROR(AVERAGEIFS(Assignments!$N$6:$N$1000,Assignments!$B$6:$B$1000,$A495,Assignments!$E$6:$E$1000,"Completed"),""))</f>
        <v/>
      </c>
      <c r="K495" s="2" t="str">
        <f>IF(A495="","",IFERROR(AVERAGEIFS(Assignments!$AO:$AO,Assignments!$B:$B,A495,Assignments!$E:$E,"Completed"),""))</f>
        <v/>
      </c>
      <c r="L495" s="2" t="str">
        <f>IF($A495="","",IFERROR(COUNTIFS(Assignments!$B$6:$B$1000,$A495,Assignments!$E$6:$E$1000,"Cancelled")/MAX(1,COUNTIFS(Assignments!$B$6:$B$1000,$A495,Assignments!$E$6:$E$1000,"Completed")+COUNTIFS(Assignments!$B$6:$B$1000,$A495,Assignments!$E$6:$E$1000,"Cancelled")),""))</f>
        <v/>
      </c>
      <c r="M495" s="2" t="str">
        <f>IF($A495="","",IFERROR(AVERAGEIFS(Assignments!$P$6:$P$1000,Assignments!$B$6:$B$1000,$A495,Assignments!$E$6:$E$1000,"Completed"),""))</f>
        <v/>
      </c>
      <c r="N495" s="2"/>
      <c r="O495" s="2"/>
      <c r="P495" s="1" t="str">
        <f>IF(A495="","",MAX(0,MIN(3,SUMIFS(Strike_Log!$C:$C,Strike_Log!$B:$B,A495,Strike_Log!$A:$A,"&gt;="&amp;IF(Config!$B$1004="Y",TODAY()-Config!$B$1005,DATE(1900,1,1)),Strike_Log!$I:$I,1))))</f>
        <v/>
      </c>
      <c r="Q495" s="1">
        <f t="shared" si="3"/>
        <v>0</v>
      </c>
      <c r="R495" s="1" t="str">
        <f>IF(A495="","",IFERROR(AVERAGEIFS(Assignments!$J:$J,Assignments!$B:$B,A495,Assignments!$E:$E,"Completed"),""))</f>
        <v/>
      </c>
      <c r="S495" s="1" t="str">
        <f>IF(A495="","",COUNTIFS(Assignments!$B:$B,A495,Assignments!$AE:$AE, "Y",Assignments!$D:$D,"&gt;="&amp;TODAY()-30))</f>
        <v/>
      </c>
      <c r="T495" s="1" t="str">
        <f>IF(A495="","",COUNTIFS(Assignments!$AF:$AF,A495,Assignments!$AE:$AE, "Y",Assignments!$D:$D,"&gt;="&amp;TODAY()-30))</f>
        <v/>
      </c>
      <c r="U495" s="1" t="str">
        <f>IF(A495="","",IFERROR(S495/MAX(1,COUNTIFS(Assignments!$B:$B,A495,Assignments!$D:$D,"&gt;="&amp;TODAY()-30)),""))</f>
        <v/>
      </c>
      <c r="V495" s="1" t="str">
        <f t="shared" si="4"/>
        <v/>
      </c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 t="str">
        <f>IF($A496="","",IFERROR(AVERAGEIFS(Assignments!$N$6:$N$1000,Assignments!$B$6:$B$1000,$A496,Assignments!$E$6:$E$1000,"Completed"),""))</f>
        <v/>
      </c>
      <c r="K496" s="2" t="str">
        <f>IF(A496="","",IFERROR(AVERAGEIFS(Assignments!$AO:$AO,Assignments!$B:$B,A496,Assignments!$E:$E,"Completed"),""))</f>
        <v/>
      </c>
      <c r="L496" s="2" t="str">
        <f>IF($A496="","",IFERROR(COUNTIFS(Assignments!$B$6:$B$1000,$A496,Assignments!$E$6:$E$1000,"Cancelled")/MAX(1,COUNTIFS(Assignments!$B$6:$B$1000,$A496,Assignments!$E$6:$E$1000,"Completed")+COUNTIFS(Assignments!$B$6:$B$1000,$A496,Assignments!$E$6:$E$1000,"Cancelled")),""))</f>
        <v/>
      </c>
      <c r="M496" s="2" t="str">
        <f>IF($A496="","",IFERROR(AVERAGEIFS(Assignments!$P$6:$P$1000,Assignments!$B$6:$B$1000,$A496,Assignments!$E$6:$E$1000,"Completed"),""))</f>
        <v/>
      </c>
      <c r="N496" s="2"/>
      <c r="O496" s="2"/>
      <c r="P496" s="1" t="str">
        <f>IF(A496="","",MAX(0,MIN(3,SUMIFS(Strike_Log!$C:$C,Strike_Log!$B:$B,A496,Strike_Log!$A:$A,"&gt;="&amp;IF(Config!$B$1004="Y",TODAY()-Config!$B$1005,DATE(1900,1,1)),Strike_Log!$I:$I,1))))</f>
        <v/>
      </c>
      <c r="Q496" s="1">
        <f t="shared" si="3"/>
        <v>0</v>
      </c>
      <c r="R496" s="1" t="str">
        <f>IF(A496="","",IFERROR(AVERAGEIFS(Assignments!$J:$J,Assignments!$B:$B,A496,Assignments!$E:$E,"Completed"),""))</f>
        <v/>
      </c>
      <c r="S496" s="1" t="str">
        <f>IF(A496="","",COUNTIFS(Assignments!$B:$B,A496,Assignments!$AE:$AE, "Y",Assignments!$D:$D,"&gt;="&amp;TODAY()-30))</f>
        <v/>
      </c>
      <c r="T496" s="1" t="str">
        <f>IF(A496="","",COUNTIFS(Assignments!$AF:$AF,A496,Assignments!$AE:$AE, "Y",Assignments!$D:$D,"&gt;="&amp;TODAY()-30))</f>
        <v/>
      </c>
      <c r="U496" s="1" t="str">
        <f>IF(A496="","",IFERROR(S496/MAX(1,COUNTIFS(Assignments!$B:$B,A496,Assignments!$D:$D,"&gt;="&amp;TODAY()-30)),""))</f>
        <v/>
      </c>
      <c r="V496" s="1" t="str">
        <f t="shared" si="4"/>
        <v/>
      </c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 t="str">
        <f>IF($A497="","",IFERROR(AVERAGEIFS(Assignments!$N$6:$N$1000,Assignments!$B$6:$B$1000,$A497,Assignments!$E$6:$E$1000,"Completed"),""))</f>
        <v/>
      </c>
      <c r="K497" s="2" t="str">
        <f>IF(A497="","",IFERROR(AVERAGEIFS(Assignments!$AO:$AO,Assignments!$B:$B,A497,Assignments!$E:$E,"Completed"),""))</f>
        <v/>
      </c>
      <c r="L497" s="2" t="str">
        <f>IF($A497="","",IFERROR(COUNTIFS(Assignments!$B$6:$B$1000,$A497,Assignments!$E$6:$E$1000,"Cancelled")/MAX(1,COUNTIFS(Assignments!$B$6:$B$1000,$A497,Assignments!$E$6:$E$1000,"Completed")+COUNTIFS(Assignments!$B$6:$B$1000,$A497,Assignments!$E$6:$E$1000,"Cancelled")),""))</f>
        <v/>
      </c>
      <c r="M497" s="2" t="str">
        <f>IF($A497="","",IFERROR(AVERAGEIFS(Assignments!$P$6:$P$1000,Assignments!$B$6:$B$1000,$A497,Assignments!$E$6:$E$1000,"Completed"),""))</f>
        <v/>
      </c>
      <c r="N497" s="2"/>
      <c r="O497" s="2"/>
      <c r="P497" s="1" t="str">
        <f>IF(A497="","",MAX(0,MIN(3,SUMIFS(Strike_Log!$C:$C,Strike_Log!$B:$B,A497,Strike_Log!$A:$A,"&gt;="&amp;IF(Config!$B$1004="Y",TODAY()-Config!$B$1005,DATE(1900,1,1)),Strike_Log!$I:$I,1))))</f>
        <v/>
      </c>
      <c r="Q497" s="1">
        <f t="shared" si="3"/>
        <v>0</v>
      </c>
      <c r="R497" s="1" t="str">
        <f>IF(A497="","",IFERROR(AVERAGEIFS(Assignments!$J:$J,Assignments!$B:$B,A497,Assignments!$E:$E,"Completed"),""))</f>
        <v/>
      </c>
      <c r="S497" s="1" t="str">
        <f>IF(A497="","",COUNTIFS(Assignments!$B:$B,A497,Assignments!$AE:$AE, "Y",Assignments!$D:$D,"&gt;="&amp;TODAY()-30))</f>
        <v/>
      </c>
      <c r="T497" s="1" t="str">
        <f>IF(A497="","",COUNTIFS(Assignments!$AF:$AF,A497,Assignments!$AE:$AE, "Y",Assignments!$D:$D,"&gt;="&amp;TODAY()-30))</f>
        <v/>
      </c>
      <c r="U497" s="1" t="str">
        <f>IF(A497="","",IFERROR(S497/MAX(1,COUNTIFS(Assignments!$B:$B,A497,Assignments!$D:$D,"&gt;="&amp;TODAY()-30)),""))</f>
        <v/>
      </c>
      <c r="V497" s="1" t="str">
        <f t="shared" si="4"/>
        <v/>
      </c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 t="str">
        <f>IF(A498="","",IFERROR(AVERAGEIFS(Assignments!$AO:$AO,Assignments!$B:$B,A498,Assignments!$E:$E,"Completed"),""))</f>
        <v/>
      </c>
      <c r="L498" s="2"/>
      <c r="M498" s="2"/>
      <c r="N498" s="2"/>
      <c r="O498" s="2"/>
      <c r="P498" s="1" t="str">
        <f>IF(A498="","",MAX(0,MIN(3,SUMIFS(Strike_Log!$C:$C,Strike_Log!$B:$B,A498,Strike_Log!$A:$A,"&gt;="&amp;IF(Config!$B$1004="Y",TODAY()-Config!$B$1005,DATE(1900,1,1)),Strike_Log!$I:$I,1))))</f>
        <v/>
      </c>
      <c r="Q498" s="1">
        <f t="shared" si="3"/>
        <v>0</v>
      </c>
      <c r="R498" s="1" t="str">
        <f>IF(A498="","",IFERROR(AVERAGEIFS(Assignments!$J:$J,Assignments!$B:$B,A498,Assignments!$E:$E,"Completed"),""))</f>
        <v/>
      </c>
      <c r="S498" s="1" t="str">
        <f>IF(A498="","",COUNTIFS(Assignments!$B:$B,A498,Assignments!$AE:$AE, "Y",Assignments!$D:$D,"&gt;="&amp;TODAY()-30))</f>
        <v/>
      </c>
      <c r="T498" s="1" t="str">
        <f>IF(A498="","",COUNTIFS(Assignments!$AF:$AF,A498,Assignments!$AE:$AE, "Y",Assignments!$D:$D,"&gt;="&amp;TODAY()-30))</f>
        <v/>
      </c>
      <c r="U498" s="1" t="str">
        <f>IF(A498="","",IFERROR(S498/MAX(1,COUNTIFS(Assignments!$B:$B,A498,Assignments!$D:$D,"&gt;="&amp;TODAY()-30)),""))</f>
        <v/>
      </c>
      <c r="V498" s="1" t="str">
        <f t="shared" si="4"/>
        <v/>
      </c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 t="str">
        <f>IF(A499="","",IFERROR(AVERAGEIFS(Assignments!$AO:$AO,Assignments!$B:$B,A499,Assignments!$E:$E,"Completed"),""))</f>
        <v/>
      </c>
      <c r="L499" s="2"/>
      <c r="M499" s="2"/>
      <c r="N499" s="2"/>
      <c r="O499" s="2"/>
      <c r="P499" s="1" t="str">
        <f>IF(A499="","",MAX(0,MIN(3,SUMIFS(Strike_Log!$C:$C,Strike_Log!$B:$B,A499,Strike_Log!$A:$A,"&gt;="&amp;IF(Config!$B$1004="Y",TODAY()-Config!$B$1005,DATE(1900,1,1)),Strike_Log!$I:$I,1))))</f>
        <v/>
      </c>
      <c r="Q499" s="1">
        <f t="shared" si="3"/>
        <v>0</v>
      </c>
      <c r="R499" s="1" t="str">
        <f>IF(A499="","",IFERROR(AVERAGEIFS(Assignments!$J:$J,Assignments!$B:$B,A499,Assignments!$E:$E,"Completed"),""))</f>
        <v/>
      </c>
      <c r="S499" s="1" t="str">
        <f>IF(A499="","",COUNTIFS(Assignments!$B:$B,A499,Assignments!$AE:$AE, "Y",Assignments!$D:$D,"&gt;="&amp;TODAY()-30))</f>
        <v/>
      </c>
      <c r="T499" s="1" t="str">
        <f>IF(A499="","",COUNTIFS(Assignments!$AF:$AF,A499,Assignments!$AE:$AE, "Y",Assignments!$D:$D,"&gt;="&amp;TODAY()-30))</f>
        <v/>
      </c>
      <c r="U499" s="1" t="str">
        <f>IF(A499="","",IFERROR(S499/MAX(1,COUNTIFS(Assignments!$B:$B,A499,Assignments!$D:$D,"&gt;="&amp;TODAY()-30)),""))</f>
        <v/>
      </c>
      <c r="V499" s="1" t="str">
        <f t="shared" si="4"/>
        <v/>
      </c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 t="str">
        <f>IF(A500="","",IFERROR(AVERAGEIFS(Assignments!$AO:$AO,Assignments!$B:$B,A500,Assignments!$E:$E,"Completed"),""))</f>
        <v/>
      </c>
      <c r="L500" s="2"/>
      <c r="M500" s="2"/>
      <c r="N500" s="2"/>
      <c r="O500" s="2"/>
      <c r="P500" s="1" t="str">
        <f>IF(A500="","",MAX(0,MIN(3,SUMIFS(Strike_Log!$C:$C,Strike_Log!$B:$B,A500,Strike_Log!$A:$A,"&gt;="&amp;IF(Config!$B$1004="Y",TODAY()-Config!$B$1005,DATE(1900,1,1)),Strike_Log!$I:$I,1))))</f>
        <v/>
      </c>
      <c r="Q500" s="1">
        <f t="shared" si="3"/>
        <v>0</v>
      </c>
      <c r="R500" s="1" t="str">
        <f>IF(A500="","",IFERROR(AVERAGEIFS(Assignments!$J:$J,Assignments!$B:$B,A500,Assignments!$E:$E,"Completed"),""))</f>
        <v/>
      </c>
      <c r="S500" s="1" t="str">
        <f>IF(A500="","",COUNTIFS(Assignments!$B:$B,A500,Assignments!$AE:$AE, "Y",Assignments!$D:$D,"&gt;="&amp;TODAY()-30))</f>
        <v/>
      </c>
      <c r="T500" s="1" t="str">
        <f>IF(A500="","",COUNTIFS(Assignments!$AF:$AF,A500,Assignments!$AE:$AE, "Y",Assignments!$D:$D,"&gt;="&amp;TODAY()-30))</f>
        <v/>
      </c>
      <c r="U500" s="1" t="str">
        <f>IF(A500="","",IFERROR(S500/MAX(1,COUNTIFS(Assignments!$B:$B,A500,Assignments!$D:$D,"&gt;="&amp;TODAY()-30)),""))</f>
        <v/>
      </c>
      <c r="V500" s="1" t="str">
        <f t="shared" si="4"/>
        <v/>
      </c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 t="str">
        <f>IF(A501="","",IFERROR(AVERAGEIFS(Assignments!$AO:$AO,Assignments!$B:$B,A501,Assignments!$E:$E,"Completed"),""))</f>
        <v/>
      </c>
      <c r="L501" s="2"/>
      <c r="M501" s="2"/>
      <c r="N501" s="2"/>
      <c r="O501" s="2"/>
      <c r="P501" s="1" t="str">
        <f>IF(A501="","",MAX(0,MIN(3,SUMIFS(Strike_Log!$C:$C,Strike_Log!$B:$B,A501,Strike_Log!$A:$A,"&gt;="&amp;IF(Config!$B$1004="Y",TODAY()-Config!$B$1005,DATE(1900,1,1)),Strike_Log!$I:$I,1))))</f>
        <v/>
      </c>
      <c r="Q501" s="1"/>
      <c r="R501" s="1"/>
      <c r="S501" s="1" t="str">
        <f>IF(A501="","",COUNTIFS(Assignments!$B:$B,A501,Assignments!$AE:$AE, "Y",Assignments!$D:$D,"&gt;="&amp;TODAY()-30))</f>
        <v/>
      </c>
      <c r="T501" s="1" t="str">
        <f>IF(A501="","",COUNTIFS(Assignments!$AF:$AF,A501,Assignments!$AE:$AE, "Y",Assignments!$D:$D,"&gt;="&amp;TODAY()-30))</f>
        <v/>
      </c>
      <c r="U501" s="1" t="str">
        <f>IF(A501="","",IFERROR(S501/MAX(1,COUNTIFS(Assignments!$B:$B,A501,Assignments!$D:$D,"&gt;="&amp;TODAY()-30)),""))</f>
        <v/>
      </c>
      <c r="V501" s="1" t="str">
        <f t="shared" si="4"/>
        <v/>
      </c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 t="str">
        <f>IF(A502="","",IFERROR(AVERAGEIFS(Assignments!$AO:$AO,Assignments!$B:$B,A502,Assignments!$E:$E,"Completed"),""))</f>
        <v/>
      </c>
      <c r="L502" s="2"/>
      <c r="M502" s="2"/>
      <c r="N502" s="2"/>
      <c r="O502" s="2"/>
      <c r="P502" s="1" t="str">
        <f>IF(A502="","",MAX(0,MIN(3,SUMIFS(Strike_Log!$C:$C,Strike_Log!$B:$B,A502,Strike_Log!$A:$A,"&gt;="&amp;IF(Config!$B$1004="Y",TODAY()-Config!$B$1005,DATE(1900,1,1)),Strike_Log!$I:$I,1))))</f>
        <v/>
      </c>
      <c r="Q502" s="1"/>
      <c r="R502" s="1"/>
      <c r="S502" s="1" t="str">
        <f>IF(A502="","",COUNTIFS(Assignments!$B:$B,A502,Assignments!$AE:$AE, "Y",Assignments!$D:$D,"&gt;="&amp;TODAY()-30))</f>
        <v/>
      </c>
      <c r="T502" s="1" t="str">
        <f>IF(A502="","",COUNTIFS(Assignments!$AF:$AF,A502,Assignments!$AE:$AE, "Y",Assignments!$D:$D,"&gt;="&amp;TODAY()-30))</f>
        <v/>
      </c>
      <c r="U502" s="1" t="str">
        <f>IF(A502="","",IFERROR(S502/MAX(1,COUNTIFS(Assignments!$B:$B,A502,Assignments!$D:$D,"&gt;="&amp;TODAY()-30)),""))</f>
        <v/>
      </c>
      <c r="V502" s="1" t="str">
        <f t="shared" si="4"/>
        <v/>
      </c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 t="str">
        <f>IF(A503="","",IFERROR(AVERAGEIFS(Assignments!$AO:$AO,Assignments!$B:$B,A503,Assignments!$E:$E,"Completed"),""))</f>
        <v/>
      </c>
      <c r="L503" s="2"/>
      <c r="M503" s="2"/>
      <c r="N503" s="2"/>
      <c r="O503" s="2"/>
      <c r="P503" s="1" t="str">
        <f>IF(A503="","",MAX(0,MIN(3,SUMIFS(Strike_Log!$C:$C,Strike_Log!$B:$B,A503,Strike_Log!$A:$A,"&gt;="&amp;IF(Config!$B$1004="Y",TODAY()-Config!$B$1005,DATE(1900,1,1)),Strike_Log!$I:$I,1))))</f>
        <v/>
      </c>
      <c r="Q503" s="1"/>
      <c r="R503" s="1"/>
      <c r="S503" s="1" t="str">
        <f>IF(A503="","",COUNTIFS(Assignments!$B:$B,A503,Assignments!$AE:$AE, "Y",Assignments!$D:$D,"&gt;="&amp;TODAY()-30))</f>
        <v/>
      </c>
      <c r="T503" s="1" t="str">
        <f>IF(A503="","",COUNTIFS(Assignments!$AF:$AF,A503,Assignments!$AE:$AE, "Y",Assignments!$D:$D,"&gt;="&amp;TODAY()-30))</f>
        <v/>
      </c>
      <c r="U503" s="1" t="str">
        <f>IF(A503="","",IFERROR(S503/MAX(1,COUNTIFS(Assignments!$B:$B,A503,Assignments!$D:$D,"&gt;="&amp;TODAY()-30)),""))</f>
        <v/>
      </c>
      <c r="V503" s="1" t="str">
        <f t="shared" si="4"/>
        <v/>
      </c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 t="str">
        <f>IF(A504="","",IFERROR(AVERAGEIFS(Assignments!$AO:$AO,Assignments!$B:$B,A504,Assignments!$E:$E,"Completed"),""))</f>
        <v/>
      </c>
      <c r="L504" s="2"/>
      <c r="M504" s="2"/>
      <c r="N504" s="2"/>
      <c r="O504" s="2"/>
      <c r="P504" s="1" t="str">
        <f>IF(A504="","",MAX(0,MIN(3,SUMIFS(Strike_Log!$C:$C,Strike_Log!$B:$B,A504,Strike_Log!$A:$A,"&gt;="&amp;IF(Config!$B$1004="Y",TODAY()-Config!$B$1005,DATE(1900,1,1)),Strike_Log!$I:$I,1))))</f>
        <v/>
      </c>
      <c r="Q504" s="1"/>
      <c r="R504" s="1"/>
      <c r="S504" s="1" t="str">
        <f>IF(A504="","",COUNTIFS(Assignments!$B:$B,A504,Assignments!$AE:$AE, "Y",Assignments!$D:$D,"&gt;="&amp;TODAY()-30))</f>
        <v/>
      </c>
      <c r="T504" s="1" t="str">
        <f>IF(A504="","",COUNTIFS(Assignments!$AF:$AF,A504,Assignments!$AE:$AE, "Y",Assignments!$D:$D,"&gt;="&amp;TODAY()-30))</f>
        <v/>
      </c>
      <c r="U504" s="1" t="str">
        <f>IF(A504="","",IFERROR(S504/MAX(1,COUNTIFS(Assignments!$B:$B,A504,Assignments!$D:$D,"&gt;="&amp;TODAY()-30)),""))</f>
        <v/>
      </c>
      <c r="V504" s="1" t="str">
        <f t="shared" si="4"/>
        <v/>
      </c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 t="str">
        <f>IF(A505="","",IFERROR(AVERAGEIFS(Assignments!$AO:$AO,Assignments!$B:$B,A505,Assignments!$E:$E,"Completed"),""))</f>
        <v/>
      </c>
      <c r="L505" s="2"/>
      <c r="M505" s="2"/>
      <c r="N505" s="2"/>
      <c r="O505" s="2"/>
      <c r="P505" s="1" t="str">
        <f>IF(A505="","",MAX(0,MIN(3,SUMIFS(Strike_Log!$C:$C,Strike_Log!$B:$B,A505,Strike_Log!$A:$A,"&gt;="&amp;IF(Config!$B$1004="Y",TODAY()-Config!$B$1005,DATE(1900,1,1)),Strike_Log!$I:$I,1))))</f>
        <v/>
      </c>
      <c r="Q505" s="1"/>
      <c r="R505" s="1"/>
      <c r="S505" s="1" t="str">
        <f>IF(A505="","",COUNTIFS(Assignments!$B:$B,A505,Assignments!$AE:$AE, "Y",Assignments!$D:$D,"&gt;="&amp;TODAY()-30))</f>
        <v/>
      </c>
      <c r="T505" s="1" t="str">
        <f>IF(A505="","",COUNTIFS(Assignments!$AF:$AF,A505,Assignments!$AE:$AE, "Y",Assignments!$D:$D,"&gt;="&amp;TODAY()-30))</f>
        <v/>
      </c>
      <c r="U505" s="1" t="str">
        <f>IF(A505="","",IFERROR(S505/MAX(1,COUNTIFS(Assignments!$B:$B,A505,Assignments!$D:$D,"&gt;="&amp;TODAY()-30)),""))</f>
        <v/>
      </c>
      <c r="V505" s="1" t="str">
        <f t="shared" si="4"/>
        <v/>
      </c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 t="str">
        <f>IF(A506="","",IFERROR(AVERAGEIFS(Assignments!$AO:$AO,Assignments!$B:$B,A506,Assignments!$E:$E,"Completed"),""))</f>
        <v/>
      </c>
      <c r="L506" s="2"/>
      <c r="M506" s="2"/>
      <c r="N506" s="2"/>
      <c r="O506" s="2"/>
      <c r="P506" s="1" t="str">
        <f>IF(A506="","",MAX(0,MIN(3,SUMIFS(Strike_Log!$C:$C,Strike_Log!$B:$B,A506,Strike_Log!$A:$A,"&gt;="&amp;IF(Config!$B$1004="Y",TODAY()-Config!$B$1005,DATE(1900,1,1)),Strike_Log!$I:$I,1))))</f>
        <v/>
      </c>
      <c r="Q506" s="1"/>
      <c r="R506" s="1"/>
      <c r="S506" s="1" t="str">
        <f>IF(A506="","",COUNTIFS(Assignments!$B:$B,A506,Assignments!$AE:$AE, "Y",Assignments!$D:$D,"&gt;="&amp;TODAY()-30))</f>
        <v/>
      </c>
      <c r="T506" s="1" t="str">
        <f>IF(A506="","",COUNTIFS(Assignments!$AF:$AF,A506,Assignments!$AE:$AE, "Y",Assignments!$D:$D,"&gt;="&amp;TODAY()-30))</f>
        <v/>
      </c>
      <c r="U506" s="1" t="str">
        <f>IF(A506="","",IFERROR(S506/MAX(1,COUNTIFS(Assignments!$B:$B,A506,Assignments!$D:$D,"&gt;="&amp;TODAY()-30)),""))</f>
        <v/>
      </c>
      <c r="V506" s="1" t="str">
        <f t="shared" si="4"/>
        <v/>
      </c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 t="str">
        <f>IF(A507="","",IFERROR(AVERAGEIFS(Assignments!$AO:$AO,Assignments!$B:$B,A507,Assignments!$E:$E,"Completed"),""))</f>
        <v/>
      </c>
      <c r="L507" s="2"/>
      <c r="M507" s="2"/>
      <c r="N507" s="2"/>
      <c r="O507" s="2"/>
      <c r="P507" s="1" t="str">
        <f>IF(A507="","",MAX(0,MIN(3,SUMIFS(Strike_Log!$C:$C,Strike_Log!$B:$B,A507,Strike_Log!$A:$A,"&gt;="&amp;IF(Config!$B$1004="Y",TODAY()-Config!$B$1005,DATE(1900,1,1)),Strike_Log!$I:$I,1))))</f>
        <v/>
      </c>
      <c r="Q507" s="1"/>
      <c r="R507" s="1"/>
      <c r="S507" s="1" t="str">
        <f>IF(A507="","",COUNTIFS(Assignments!$B:$B,A507,Assignments!$AE:$AE, "Y",Assignments!$D:$D,"&gt;="&amp;TODAY()-30))</f>
        <v/>
      </c>
      <c r="T507" s="1" t="str">
        <f>IF(A507="","",COUNTIFS(Assignments!$AF:$AF,A507,Assignments!$AE:$AE, "Y",Assignments!$D:$D,"&gt;="&amp;TODAY()-30))</f>
        <v/>
      </c>
      <c r="U507" s="1" t="str">
        <f>IF(A507="","",IFERROR(S507/MAX(1,COUNTIFS(Assignments!$B:$B,A507,Assignments!$D:$D,"&gt;="&amp;TODAY()-30)),""))</f>
        <v/>
      </c>
      <c r="V507" s="1" t="str">
        <f t="shared" si="4"/>
        <v/>
      </c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 t="str">
        <f>IF(A508="","",IFERROR(AVERAGEIFS(Assignments!$AO:$AO,Assignments!$B:$B,A508,Assignments!$E:$E,"Completed"),""))</f>
        <v/>
      </c>
      <c r="L508" s="2"/>
      <c r="M508" s="2"/>
      <c r="N508" s="2"/>
      <c r="O508" s="2"/>
      <c r="P508" s="1" t="str">
        <f>IF(A508="","",MAX(0,MIN(3,SUMIFS(Strike_Log!$C:$C,Strike_Log!$B:$B,A508,Strike_Log!$A:$A,"&gt;="&amp;IF(Config!$B$1004="Y",TODAY()-Config!$B$1005,DATE(1900,1,1)),Strike_Log!$I:$I,1))))</f>
        <v/>
      </c>
      <c r="Q508" s="1"/>
      <c r="R508" s="1"/>
      <c r="S508" s="1" t="str">
        <f>IF(A508="","",COUNTIFS(Assignments!$B:$B,A508,Assignments!$AE:$AE, "Y",Assignments!$D:$D,"&gt;="&amp;TODAY()-30))</f>
        <v/>
      </c>
      <c r="T508" s="1" t="str">
        <f>IF(A508="","",COUNTIFS(Assignments!$AF:$AF,A508,Assignments!$AE:$AE, "Y",Assignments!$D:$D,"&gt;="&amp;TODAY()-30))</f>
        <v/>
      </c>
      <c r="U508" s="1" t="str">
        <f>IF(A508="","",IFERROR(S508/MAX(1,COUNTIFS(Assignments!$B:$B,A508,Assignments!$D:$D,"&gt;="&amp;TODAY()-30)),""))</f>
        <v/>
      </c>
      <c r="V508" s="1" t="str">
        <f t="shared" si="4"/>
        <v/>
      </c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 t="str">
        <f>IF(A509="","",IFERROR(AVERAGEIFS(Assignments!$AO:$AO,Assignments!$B:$B,A509,Assignments!$E:$E,"Completed"),""))</f>
        <v/>
      </c>
      <c r="L509" s="2"/>
      <c r="M509" s="2"/>
      <c r="N509" s="2"/>
      <c r="O509" s="2"/>
      <c r="P509" s="1" t="str">
        <f>IF(A509="","",MAX(0,MIN(3,SUMIFS(Strike_Log!$C:$C,Strike_Log!$B:$B,A509,Strike_Log!$A:$A,"&gt;="&amp;IF(Config!$B$1004="Y",TODAY()-Config!$B$1005,DATE(1900,1,1)),Strike_Log!$I:$I,1))))</f>
        <v/>
      </c>
      <c r="Q509" s="1"/>
      <c r="R509" s="1"/>
      <c r="S509" s="1" t="str">
        <f>IF(A509="","",COUNTIFS(Assignments!$B:$B,A509,Assignments!$AE:$AE, "Y",Assignments!$D:$D,"&gt;="&amp;TODAY()-30))</f>
        <v/>
      </c>
      <c r="T509" s="1" t="str">
        <f>IF(A509="","",COUNTIFS(Assignments!$AF:$AF,A509,Assignments!$AE:$AE, "Y",Assignments!$D:$D,"&gt;="&amp;TODAY()-30))</f>
        <v/>
      </c>
      <c r="U509" s="1" t="str">
        <f>IF(A509="","",IFERROR(S509/MAX(1,COUNTIFS(Assignments!$B:$B,A509,Assignments!$D:$D,"&gt;="&amp;TODAY()-30)),""))</f>
        <v/>
      </c>
      <c r="V509" s="1" t="str">
        <f t="shared" si="4"/>
        <v/>
      </c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 t="str">
        <f>IF(A510="","",IFERROR(AVERAGEIFS(Assignments!$AO:$AO,Assignments!$B:$B,A510,Assignments!$E:$E,"Completed"),""))</f>
        <v/>
      </c>
      <c r="L510" s="2"/>
      <c r="M510" s="2"/>
      <c r="N510" s="2"/>
      <c r="O510" s="2"/>
      <c r="P510" s="1" t="str">
        <f>IF(A510="","",MAX(0,MIN(3,SUMIFS(Strike_Log!$C:$C,Strike_Log!$B:$B,A510,Strike_Log!$A:$A,"&gt;="&amp;IF(Config!$B$1004="Y",TODAY()-Config!$B$1005,DATE(1900,1,1)),Strike_Log!$I:$I,1))))</f>
        <v/>
      </c>
      <c r="Q510" s="1"/>
      <c r="R510" s="1"/>
      <c r="S510" s="1" t="str">
        <f>IF(A510="","",COUNTIFS(Assignments!$B:$B,A510,Assignments!$AE:$AE, "Y",Assignments!$D:$D,"&gt;="&amp;TODAY()-30))</f>
        <v/>
      </c>
      <c r="T510" s="1" t="str">
        <f>IF(A510="","",COUNTIFS(Assignments!$AF:$AF,A510,Assignments!$AE:$AE, "Y",Assignments!$D:$D,"&gt;="&amp;TODAY()-30))</f>
        <v/>
      </c>
      <c r="U510" s="1" t="str">
        <f>IF(A510="","",IFERROR(S510/MAX(1,COUNTIFS(Assignments!$B:$B,A510,Assignments!$D:$D,"&gt;="&amp;TODAY()-30)),""))</f>
        <v/>
      </c>
      <c r="V510" s="1" t="str">
        <f t="shared" si="4"/>
        <v/>
      </c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 t="str">
        <f>IF(A511="","",IFERROR(AVERAGEIFS(Assignments!$AO:$AO,Assignments!$B:$B,A511,Assignments!$E:$E,"Completed"),""))</f>
        <v/>
      </c>
      <c r="L511" s="2"/>
      <c r="M511" s="2"/>
      <c r="N511" s="2"/>
      <c r="O511" s="2"/>
      <c r="P511" s="1" t="str">
        <f>IF(A511="","",MAX(0,MIN(3,SUMIFS(Strike_Log!$C:$C,Strike_Log!$B:$B,A511,Strike_Log!$A:$A,"&gt;="&amp;IF(Config!$B$1004="Y",TODAY()-Config!$B$1005,DATE(1900,1,1)),Strike_Log!$I:$I,1))))</f>
        <v/>
      </c>
      <c r="Q511" s="1"/>
      <c r="R511" s="1"/>
      <c r="S511" s="1" t="str">
        <f>IF(A511="","",COUNTIFS(Assignments!$B:$B,A511,Assignments!$AE:$AE, "Y",Assignments!$D:$D,"&gt;="&amp;TODAY()-30))</f>
        <v/>
      </c>
      <c r="T511" s="1" t="str">
        <f>IF(A511="","",COUNTIFS(Assignments!$AF:$AF,A511,Assignments!$AE:$AE, "Y",Assignments!$D:$D,"&gt;="&amp;TODAY()-30))</f>
        <v/>
      </c>
      <c r="U511" s="1" t="str">
        <f>IF(A511="","",IFERROR(S511/MAX(1,COUNTIFS(Assignments!$B:$B,A511,Assignments!$D:$D,"&gt;="&amp;TODAY()-30)),""))</f>
        <v/>
      </c>
      <c r="V511" s="1" t="str">
        <f t="shared" si="4"/>
        <v/>
      </c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 t="str">
        <f>IF(A512="","",IFERROR(AVERAGEIFS(Assignments!$AO:$AO,Assignments!$B:$B,A512,Assignments!$E:$E,"Completed"),""))</f>
        <v/>
      </c>
      <c r="L512" s="2"/>
      <c r="M512" s="2"/>
      <c r="N512" s="2"/>
      <c r="O512" s="2"/>
      <c r="P512" s="1" t="str">
        <f>IF(A512="","",MAX(0,MIN(3,SUMIFS(Strike_Log!$C:$C,Strike_Log!$B:$B,A512,Strike_Log!$A:$A,"&gt;="&amp;IF(Config!$B$1004="Y",TODAY()-Config!$B$1005,DATE(1900,1,1)),Strike_Log!$I:$I,1))))</f>
        <v/>
      </c>
      <c r="Q512" s="1"/>
      <c r="R512" s="1"/>
      <c r="S512" s="1" t="str">
        <f>IF(A512="","",COUNTIFS(Assignments!$B:$B,A512,Assignments!$AE:$AE, "Y",Assignments!$D:$D,"&gt;="&amp;TODAY()-30))</f>
        <v/>
      </c>
      <c r="T512" s="1" t="str">
        <f>IF(A512="","",COUNTIFS(Assignments!$AF:$AF,A512,Assignments!$AE:$AE, "Y",Assignments!$D:$D,"&gt;="&amp;TODAY()-30))</f>
        <v/>
      </c>
      <c r="U512" s="1" t="str">
        <f>IF(A512="","",IFERROR(S512/MAX(1,COUNTIFS(Assignments!$B:$B,A512,Assignments!$D:$D,"&gt;="&amp;TODAY()-30)),""))</f>
        <v/>
      </c>
      <c r="V512" s="1" t="str">
        <f t="shared" si="4"/>
        <v/>
      </c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 t="str">
        <f>IF(A513="","",IFERROR(AVERAGEIFS(Assignments!$AO:$AO,Assignments!$B:$B,A513,Assignments!$E:$E,"Completed"),""))</f>
        <v/>
      </c>
      <c r="L513" s="2"/>
      <c r="M513" s="2"/>
      <c r="N513" s="2"/>
      <c r="O513" s="2"/>
      <c r="P513" s="1" t="str">
        <f>IF(A513="","",MAX(0,MIN(3,SUMIFS(Strike_Log!$C:$C,Strike_Log!$B:$B,A513,Strike_Log!$A:$A,"&gt;="&amp;IF(Config!$B$1004="Y",TODAY()-Config!$B$1005,DATE(1900,1,1)),Strike_Log!$I:$I,1))))</f>
        <v/>
      </c>
      <c r="Q513" s="1"/>
      <c r="R513" s="1"/>
      <c r="S513" s="1" t="str">
        <f>IF(A513="","",COUNTIFS(Assignments!$B:$B,A513,Assignments!$AE:$AE, "Y",Assignments!$D:$D,"&gt;="&amp;TODAY()-30))</f>
        <v/>
      </c>
      <c r="T513" s="1" t="str">
        <f>IF(A513="","",COUNTIFS(Assignments!$AF:$AF,A513,Assignments!$AE:$AE, "Y",Assignments!$D:$D,"&gt;="&amp;TODAY()-30))</f>
        <v/>
      </c>
      <c r="U513" s="1" t="str">
        <f>IF(A513="","",IFERROR(S513/MAX(1,COUNTIFS(Assignments!$B:$B,A513,Assignments!$D:$D,"&gt;="&amp;TODAY()-30)),""))</f>
        <v/>
      </c>
      <c r="V513" s="1" t="str">
        <f t="shared" si="4"/>
        <v/>
      </c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 t="str">
        <f>IF(A514="","",IFERROR(AVERAGEIFS(Assignments!$AO:$AO,Assignments!$B:$B,A514,Assignments!$E:$E,"Completed"),""))</f>
        <v/>
      </c>
      <c r="L514" s="2"/>
      <c r="M514" s="2"/>
      <c r="N514" s="2"/>
      <c r="O514" s="2"/>
      <c r="P514" s="1" t="str">
        <f>IF(A514="","",MAX(0,MIN(3,SUMIFS(Strike_Log!$C:$C,Strike_Log!$B:$B,A514,Strike_Log!$A:$A,"&gt;="&amp;IF(Config!$B$1004="Y",TODAY()-Config!$B$1005,DATE(1900,1,1)),Strike_Log!$I:$I,1))))</f>
        <v/>
      </c>
      <c r="Q514" s="1"/>
      <c r="R514" s="1"/>
      <c r="S514" s="1" t="str">
        <f>IF(A514="","",COUNTIFS(Assignments!$B:$B,A514,Assignments!$AE:$AE, "Y",Assignments!$D:$D,"&gt;="&amp;TODAY()-30))</f>
        <v/>
      </c>
      <c r="T514" s="1" t="str">
        <f>IF(A514="","",COUNTIFS(Assignments!$AF:$AF,A514,Assignments!$AE:$AE, "Y",Assignments!$D:$D,"&gt;="&amp;TODAY()-30))</f>
        <v/>
      </c>
      <c r="U514" s="1" t="str">
        <f>IF(A514="","",IFERROR(S514/MAX(1,COUNTIFS(Assignments!$B:$B,A514,Assignments!$D:$D,"&gt;="&amp;TODAY()-30)),""))</f>
        <v/>
      </c>
      <c r="V514" s="1" t="str">
        <f t="shared" si="4"/>
        <v/>
      </c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 t="str">
        <f>IF(A515="","",IFERROR(AVERAGEIFS(Assignments!$AO:$AO,Assignments!$B:$B,A515,Assignments!$E:$E,"Completed"),""))</f>
        <v/>
      </c>
      <c r="L515" s="2"/>
      <c r="M515" s="2"/>
      <c r="N515" s="2"/>
      <c r="O515" s="2"/>
      <c r="P515" s="1" t="str">
        <f>IF(A515="","",MAX(0,MIN(3,SUMIFS(Strike_Log!$C:$C,Strike_Log!$B:$B,A515,Strike_Log!$A:$A,"&gt;="&amp;IF(Config!$B$1004="Y",TODAY()-Config!$B$1005,DATE(1900,1,1)),Strike_Log!$I:$I,1))))</f>
        <v/>
      </c>
      <c r="Q515" s="1"/>
      <c r="R515" s="1"/>
      <c r="S515" s="1" t="str">
        <f>IF(A515="","",COUNTIFS(Assignments!$B:$B,A515,Assignments!$AE:$AE, "Y",Assignments!$D:$D,"&gt;="&amp;TODAY()-30))</f>
        <v/>
      </c>
      <c r="T515" s="1" t="str">
        <f>IF(A515="","",COUNTIFS(Assignments!$AF:$AF,A515,Assignments!$AE:$AE, "Y",Assignments!$D:$D,"&gt;="&amp;TODAY()-30))</f>
        <v/>
      </c>
      <c r="U515" s="1" t="str">
        <f>IF(A515="","",IFERROR(S515/MAX(1,COUNTIFS(Assignments!$B:$B,A515,Assignments!$D:$D,"&gt;="&amp;TODAY()-30)),""))</f>
        <v/>
      </c>
      <c r="V515" s="1" t="str">
        <f t="shared" si="4"/>
        <v/>
      </c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 t="str">
        <f>IF(A516="","",IFERROR(AVERAGEIFS(Assignments!$AO:$AO,Assignments!$B:$B,A516,Assignments!$E:$E,"Completed"),""))</f>
        <v/>
      </c>
      <c r="L516" s="2"/>
      <c r="M516" s="2"/>
      <c r="N516" s="2"/>
      <c r="O516" s="2"/>
      <c r="P516" s="1" t="str">
        <f>IF(A516="","",MAX(0,MIN(3,SUMIFS(Strike_Log!$C:$C,Strike_Log!$B:$B,A516,Strike_Log!$A:$A,"&gt;="&amp;IF(Config!$B$1004="Y",TODAY()-Config!$B$1005,DATE(1900,1,1)),Strike_Log!$I:$I,1))))</f>
        <v/>
      </c>
      <c r="Q516" s="1"/>
      <c r="R516" s="1"/>
      <c r="S516" s="1" t="str">
        <f>IF(A516="","",COUNTIFS(Assignments!$B:$B,A516,Assignments!$AE:$AE, "Y",Assignments!$D:$D,"&gt;="&amp;TODAY()-30))</f>
        <v/>
      </c>
      <c r="T516" s="1" t="str">
        <f>IF(A516="","",COUNTIFS(Assignments!$AF:$AF,A516,Assignments!$AE:$AE, "Y",Assignments!$D:$D,"&gt;="&amp;TODAY()-30))</f>
        <v/>
      </c>
      <c r="U516" s="1" t="str">
        <f>IF(A516="","",IFERROR(S516/MAX(1,COUNTIFS(Assignments!$B:$B,A516,Assignments!$D:$D,"&gt;="&amp;TODAY()-30)),""))</f>
        <v/>
      </c>
      <c r="V516" s="1" t="str">
        <f t="shared" si="4"/>
        <v/>
      </c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 t="str">
        <f>IF(A517="","",IFERROR(AVERAGEIFS(Assignments!$AO:$AO,Assignments!$B:$B,A517,Assignments!$E:$E,"Completed"),""))</f>
        <v/>
      </c>
      <c r="L517" s="2"/>
      <c r="M517" s="2"/>
      <c r="N517" s="2"/>
      <c r="O517" s="2"/>
      <c r="P517" s="1" t="str">
        <f>IF(A517="","",MAX(0,MIN(3,SUMIFS(Strike_Log!$C:$C,Strike_Log!$B:$B,A517,Strike_Log!$A:$A,"&gt;="&amp;IF(Config!$B$1004="Y",TODAY()-Config!$B$1005,DATE(1900,1,1)),Strike_Log!$I:$I,1))))</f>
        <v/>
      </c>
      <c r="Q517" s="1"/>
      <c r="R517" s="1"/>
      <c r="S517" s="1" t="str">
        <f>IF(A517="","",COUNTIFS(Assignments!$B:$B,A517,Assignments!$AE:$AE, "Y",Assignments!$D:$D,"&gt;="&amp;TODAY()-30))</f>
        <v/>
      </c>
      <c r="T517" s="1" t="str">
        <f>IF(A517="","",COUNTIFS(Assignments!$AF:$AF,A517,Assignments!$AE:$AE, "Y",Assignments!$D:$D,"&gt;="&amp;TODAY()-30))</f>
        <v/>
      </c>
      <c r="U517" s="1" t="str">
        <f>IF(A517="","",IFERROR(S517/MAX(1,COUNTIFS(Assignments!$B:$B,A517,Assignments!$D:$D,"&gt;="&amp;TODAY()-30)),""))</f>
        <v/>
      </c>
      <c r="V517" s="1" t="str">
        <f t="shared" si="4"/>
        <v/>
      </c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 t="str">
        <f>IF(A518="","",IFERROR(AVERAGEIFS(Assignments!$AO:$AO,Assignments!$B:$B,A518,Assignments!$E:$E,"Completed"),""))</f>
        <v/>
      </c>
      <c r="L518" s="2"/>
      <c r="M518" s="2"/>
      <c r="N518" s="2"/>
      <c r="O518" s="2"/>
      <c r="P518" s="1" t="str">
        <f>IF(A518="","",MAX(0,MIN(3,SUMIFS(Strike_Log!$C:$C,Strike_Log!$B:$B,A518,Strike_Log!$A:$A,"&gt;="&amp;IF(Config!$B$1004="Y",TODAY()-Config!$B$1005,DATE(1900,1,1)),Strike_Log!$I:$I,1))))</f>
        <v/>
      </c>
      <c r="Q518" s="1"/>
      <c r="R518" s="1"/>
      <c r="S518" s="1" t="str">
        <f>IF(A518="","",COUNTIFS(Assignments!$B:$B,A518,Assignments!$AE:$AE, "Y",Assignments!$D:$D,"&gt;="&amp;TODAY()-30))</f>
        <v/>
      </c>
      <c r="T518" s="1" t="str">
        <f>IF(A518="","",COUNTIFS(Assignments!$AF:$AF,A518,Assignments!$AE:$AE, "Y",Assignments!$D:$D,"&gt;="&amp;TODAY()-30))</f>
        <v/>
      </c>
      <c r="U518" s="1" t="str">
        <f>IF(A518="","",IFERROR(S518/MAX(1,COUNTIFS(Assignments!$B:$B,A518,Assignments!$D:$D,"&gt;="&amp;TODAY()-30)),""))</f>
        <v/>
      </c>
      <c r="V518" s="1" t="str">
        <f t="shared" si="4"/>
        <v/>
      </c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 t="str">
        <f>IF(A519="","",IFERROR(AVERAGEIFS(Assignments!$AO:$AO,Assignments!$B:$B,A519,Assignments!$E:$E,"Completed"),""))</f>
        <v/>
      </c>
      <c r="L519" s="2"/>
      <c r="M519" s="2"/>
      <c r="N519" s="2"/>
      <c r="O519" s="2"/>
      <c r="P519" s="1" t="str">
        <f>IF(A519="","",MAX(0,MIN(3,SUMIFS(Strike_Log!$C:$C,Strike_Log!$B:$B,A519,Strike_Log!$A:$A,"&gt;="&amp;IF(Config!$B$1004="Y",TODAY()-Config!$B$1005,DATE(1900,1,1)),Strike_Log!$I:$I,1))))</f>
        <v/>
      </c>
      <c r="Q519" s="1"/>
      <c r="R519" s="1"/>
      <c r="S519" s="1" t="str">
        <f>IF(A519="","",COUNTIFS(Assignments!$B:$B,A519,Assignments!$AE:$AE, "Y",Assignments!$D:$D,"&gt;="&amp;TODAY()-30))</f>
        <v/>
      </c>
      <c r="T519" s="1" t="str">
        <f>IF(A519="","",COUNTIFS(Assignments!$AF:$AF,A519,Assignments!$AE:$AE, "Y",Assignments!$D:$D,"&gt;="&amp;TODAY()-30))</f>
        <v/>
      </c>
      <c r="U519" s="1" t="str">
        <f>IF(A519="","",IFERROR(S519/MAX(1,COUNTIFS(Assignments!$B:$B,A519,Assignments!$D:$D,"&gt;="&amp;TODAY()-30)),""))</f>
        <v/>
      </c>
      <c r="V519" s="1" t="str">
        <f t="shared" si="4"/>
        <v/>
      </c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 t="str">
        <f>IF(A520="","",IFERROR(AVERAGEIFS(Assignments!$AO:$AO,Assignments!$B:$B,A520,Assignments!$E:$E,"Completed"),""))</f>
        <v/>
      </c>
      <c r="L520" s="2"/>
      <c r="M520" s="2"/>
      <c r="N520" s="2"/>
      <c r="O520" s="2"/>
      <c r="P520" s="1" t="str">
        <f>IF(A520="","",MAX(0,MIN(3,SUMIFS(Strike_Log!$C:$C,Strike_Log!$B:$B,A520,Strike_Log!$A:$A,"&gt;="&amp;IF(Config!$B$1004="Y",TODAY()-Config!$B$1005,DATE(1900,1,1)),Strike_Log!$I:$I,1))))</f>
        <v/>
      </c>
      <c r="Q520" s="1"/>
      <c r="R520" s="1"/>
      <c r="S520" s="1" t="str">
        <f>IF(A520="","",COUNTIFS(Assignments!$B:$B,A520,Assignments!$AE:$AE, "Y",Assignments!$D:$D,"&gt;="&amp;TODAY()-30))</f>
        <v/>
      </c>
      <c r="T520" s="1" t="str">
        <f>IF(A520="","",COUNTIFS(Assignments!$AF:$AF,A520,Assignments!$AE:$AE, "Y",Assignments!$D:$D,"&gt;="&amp;TODAY()-30))</f>
        <v/>
      </c>
      <c r="U520" s="1" t="str">
        <f>IF(A520="","",IFERROR(S520/MAX(1,COUNTIFS(Assignments!$B:$B,A520,Assignments!$D:$D,"&gt;="&amp;TODAY()-30)),""))</f>
        <v/>
      </c>
      <c r="V520" s="1" t="str">
        <f t="shared" si="4"/>
        <v/>
      </c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 t="str">
        <f>IF(A521="","",IFERROR(AVERAGEIFS(Assignments!$AO:$AO,Assignments!$B:$B,A521,Assignments!$E:$E,"Completed"),""))</f>
        <v/>
      </c>
      <c r="L521" s="2"/>
      <c r="M521" s="2"/>
      <c r="N521" s="2"/>
      <c r="O521" s="2"/>
      <c r="P521" s="1" t="str">
        <f>IF(A521="","",MAX(0,MIN(3,SUMIFS(Strike_Log!$C:$C,Strike_Log!$B:$B,A521,Strike_Log!$A:$A,"&gt;="&amp;IF(Config!$B$1004="Y",TODAY()-Config!$B$1005,DATE(1900,1,1)),Strike_Log!$I:$I,1))))</f>
        <v/>
      </c>
      <c r="Q521" s="1"/>
      <c r="R521" s="1"/>
      <c r="S521" s="1" t="str">
        <f>IF(A521="","",COUNTIFS(Assignments!$B:$B,A521,Assignments!$AE:$AE, "Y",Assignments!$D:$D,"&gt;="&amp;TODAY()-30))</f>
        <v/>
      </c>
      <c r="T521" s="1" t="str">
        <f>IF(A521="","",COUNTIFS(Assignments!$AF:$AF,A521,Assignments!$AE:$AE, "Y",Assignments!$D:$D,"&gt;="&amp;TODAY()-30))</f>
        <v/>
      </c>
      <c r="U521" s="1" t="str">
        <f>IF(A521="","",IFERROR(S521/MAX(1,COUNTIFS(Assignments!$B:$B,A521,Assignments!$D:$D,"&gt;="&amp;TODAY()-30)),""))</f>
        <v/>
      </c>
      <c r="V521" s="1" t="str">
        <f t="shared" si="4"/>
        <v/>
      </c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 t="str">
        <f>IF(A522="","",IFERROR(AVERAGEIFS(Assignments!$AO:$AO,Assignments!$B:$B,A522,Assignments!$E:$E,"Completed"),""))</f>
        <v/>
      </c>
      <c r="L522" s="2"/>
      <c r="M522" s="2"/>
      <c r="N522" s="2"/>
      <c r="O522" s="2"/>
      <c r="P522" s="1" t="str">
        <f>IF(A522="","",MAX(0,MIN(3,SUMIFS(Strike_Log!$C:$C,Strike_Log!$B:$B,A522,Strike_Log!$A:$A,"&gt;="&amp;IF(Config!$B$1004="Y",TODAY()-Config!$B$1005,DATE(1900,1,1)),Strike_Log!$I:$I,1))))</f>
        <v/>
      </c>
      <c r="Q522" s="1"/>
      <c r="R522" s="1"/>
      <c r="S522" s="1" t="str">
        <f>IF(A522="","",COUNTIFS(Assignments!$B:$B,A522,Assignments!$AE:$AE, "Y",Assignments!$D:$D,"&gt;="&amp;TODAY()-30))</f>
        <v/>
      </c>
      <c r="T522" s="1" t="str">
        <f>IF(A522="","",COUNTIFS(Assignments!$AF:$AF,A522,Assignments!$AE:$AE, "Y",Assignments!$D:$D,"&gt;="&amp;TODAY()-30))</f>
        <v/>
      </c>
      <c r="U522" s="1" t="str">
        <f>IF(A522="","",IFERROR(S522/MAX(1,COUNTIFS(Assignments!$B:$B,A522,Assignments!$D:$D,"&gt;="&amp;TODAY()-30)),""))</f>
        <v/>
      </c>
      <c r="V522" s="1" t="str">
        <f t="shared" si="4"/>
        <v/>
      </c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 t="str">
        <f>IF(A523="","",IFERROR(AVERAGEIFS(Assignments!$AO:$AO,Assignments!$B:$B,A523,Assignments!$E:$E,"Completed"),""))</f>
        <v/>
      </c>
      <c r="L523" s="2"/>
      <c r="M523" s="2"/>
      <c r="N523" s="2"/>
      <c r="O523" s="2"/>
      <c r="P523" s="1" t="str">
        <f>IF(A523="","",MAX(0,MIN(3,SUMIFS(Strike_Log!$C:$C,Strike_Log!$B:$B,A523,Strike_Log!$A:$A,"&gt;="&amp;IF(Config!$B$1004="Y",TODAY()-Config!$B$1005,DATE(1900,1,1)),Strike_Log!$I:$I,1))))</f>
        <v/>
      </c>
      <c r="Q523" s="1"/>
      <c r="R523" s="1"/>
      <c r="S523" s="1" t="str">
        <f>IF(A523="","",COUNTIFS(Assignments!$B:$B,A523,Assignments!$AE:$AE, "Y",Assignments!$D:$D,"&gt;="&amp;TODAY()-30))</f>
        <v/>
      </c>
      <c r="T523" s="1" t="str">
        <f>IF(A523="","",COUNTIFS(Assignments!$AF:$AF,A523,Assignments!$AE:$AE, "Y",Assignments!$D:$D,"&gt;="&amp;TODAY()-30))</f>
        <v/>
      </c>
      <c r="U523" s="1" t="str">
        <f>IF(A523="","",IFERROR(S523/MAX(1,COUNTIFS(Assignments!$B:$B,A523,Assignments!$D:$D,"&gt;="&amp;TODAY()-30)),""))</f>
        <v/>
      </c>
      <c r="V523" s="1" t="str">
        <f t="shared" si="4"/>
        <v/>
      </c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 t="str">
        <f>IF(A524="","",IFERROR(AVERAGEIFS(Assignments!$AO:$AO,Assignments!$B:$B,A524,Assignments!$E:$E,"Completed"),""))</f>
        <v/>
      </c>
      <c r="L524" s="2"/>
      <c r="M524" s="2"/>
      <c r="N524" s="2"/>
      <c r="O524" s="2"/>
      <c r="P524" s="1" t="str">
        <f>IF(A524="","",MAX(0,MIN(3,SUMIFS(Strike_Log!$C:$C,Strike_Log!$B:$B,A524,Strike_Log!$A:$A,"&gt;="&amp;IF(Config!$B$1004="Y",TODAY()-Config!$B$1005,DATE(1900,1,1)),Strike_Log!$I:$I,1))))</f>
        <v/>
      </c>
      <c r="Q524" s="1"/>
      <c r="R524" s="1"/>
      <c r="S524" s="1" t="str">
        <f>IF(A524="","",COUNTIFS(Assignments!$B:$B,A524,Assignments!$AE:$AE, "Y",Assignments!$D:$D,"&gt;="&amp;TODAY()-30))</f>
        <v/>
      </c>
      <c r="T524" s="1" t="str">
        <f>IF(A524="","",COUNTIFS(Assignments!$AF:$AF,A524,Assignments!$AE:$AE, "Y",Assignments!$D:$D,"&gt;="&amp;TODAY()-30))</f>
        <v/>
      </c>
      <c r="U524" s="1" t="str">
        <f>IF(A524="","",IFERROR(S524/MAX(1,COUNTIFS(Assignments!$B:$B,A524,Assignments!$D:$D,"&gt;="&amp;TODAY()-30)),""))</f>
        <v/>
      </c>
      <c r="V524" s="1" t="str">
        <f t="shared" si="4"/>
        <v/>
      </c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 t="str">
        <f>IF(A525="","",IFERROR(AVERAGEIFS(Assignments!$AO:$AO,Assignments!$B:$B,A525,Assignments!$E:$E,"Completed"),""))</f>
        <v/>
      </c>
      <c r="L525" s="2"/>
      <c r="M525" s="2"/>
      <c r="N525" s="2"/>
      <c r="O525" s="2"/>
      <c r="P525" s="1" t="str">
        <f>IF(A525="","",MAX(0,MIN(3,SUMIFS(Strike_Log!$C:$C,Strike_Log!$B:$B,A525,Strike_Log!$A:$A,"&gt;="&amp;IF(Config!$B$1004="Y",TODAY()-Config!$B$1005,DATE(1900,1,1)),Strike_Log!$I:$I,1))))</f>
        <v/>
      </c>
      <c r="Q525" s="1"/>
      <c r="R525" s="1"/>
      <c r="S525" s="1" t="str">
        <f>IF(A525="","",COUNTIFS(Assignments!$B:$B,A525,Assignments!$AE:$AE, "Y",Assignments!$D:$D,"&gt;="&amp;TODAY()-30))</f>
        <v/>
      </c>
      <c r="T525" s="1" t="str">
        <f>IF(A525="","",COUNTIFS(Assignments!$AF:$AF,A525,Assignments!$AE:$AE, "Y",Assignments!$D:$D,"&gt;="&amp;TODAY()-30))</f>
        <v/>
      </c>
      <c r="U525" s="1" t="str">
        <f>IF(A525="","",IFERROR(S525/MAX(1,COUNTIFS(Assignments!$B:$B,A525,Assignments!$D:$D,"&gt;="&amp;TODAY()-30)),""))</f>
        <v/>
      </c>
      <c r="V525" s="1" t="str">
        <f t="shared" si="4"/>
        <v/>
      </c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 t="str">
        <f>IF(A526="","",IFERROR(AVERAGEIFS(Assignments!$AO:$AO,Assignments!$B:$B,A526,Assignments!$E:$E,"Completed"),""))</f>
        <v/>
      </c>
      <c r="L526" s="2"/>
      <c r="M526" s="2"/>
      <c r="N526" s="2"/>
      <c r="O526" s="2"/>
      <c r="P526" s="1" t="str">
        <f>IF(A526="","",MAX(0,MIN(3,SUMIFS(Strike_Log!$C:$C,Strike_Log!$B:$B,A526,Strike_Log!$A:$A,"&gt;="&amp;IF(Config!$B$1004="Y",TODAY()-Config!$B$1005,DATE(1900,1,1)),Strike_Log!$I:$I,1))))</f>
        <v/>
      </c>
      <c r="Q526" s="1"/>
      <c r="R526" s="1"/>
      <c r="S526" s="1" t="str">
        <f>IF(A526="","",COUNTIFS(Assignments!$B:$B,A526,Assignments!$AE:$AE, "Y",Assignments!$D:$D,"&gt;="&amp;TODAY()-30))</f>
        <v/>
      </c>
      <c r="T526" s="1" t="str">
        <f>IF(A526="","",COUNTIFS(Assignments!$AF:$AF,A526,Assignments!$AE:$AE, "Y",Assignments!$D:$D,"&gt;="&amp;TODAY()-30))</f>
        <v/>
      </c>
      <c r="U526" s="1" t="str">
        <f>IF(A526="","",IFERROR(S526/MAX(1,COUNTIFS(Assignments!$B:$B,A526,Assignments!$D:$D,"&gt;="&amp;TODAY()-30)),""))</f>
        <v/>
      </c>
      <c r="V526" s="1" t="str">
        <f t="shared" si="4"/>
        <v/>
      </c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 t="str">
        <f>IF(A527="","",IFERROR(AVERAGEIFS(Assignments!$AO:$AO,Assignments!$B:$B,A527,Assignments!$E:$E,"Completed"),""))</f>
        <v/>
      </c>
      <c r="L527" s="2"/>
      <c r="M527" s="2"/>
      <c r="N527" s="2"/>
      <c r="O527" s="2"/>
      <c r="P527" s="1" t="str">
        <f>IF(A527="","",MAX(0,MIN(3,SUMIFS(Strike_Log!$C:$C,Strike_Log!$B:$B,A527,Strike_Log!$A:$A,"&gt;="&amp;IF(Config!$B$1004="Y",TODAY()-Config!$B$1005,DATE(1900,1,1)),Strike_Log!$I:$I,1))))</f>
        <v/>
      </c>
      <c r="Q527" s="1"/>
      <c r="R527" s="1"/>
      <c r="S527" s="1" t="str">
        <f>IF(A527="","",COUNTIFS(Assignments!$B:$B,A527,Assignments!$AE:$AE, "Y",Assignments!$D:$D,"&gt;="&amp;TODAY()-30))</f>
        <v/>
      </c>
      <c r="T527" s="1" t="str">
        <f>IF(A527="","",COUNTIFS(Assignments!$AF:$AF,A527,Assignments!$AE:$AE, "Y",Assignments!$D:$D,"&gt;="&amp;TODAY()-30))</f>
        <v/>
      </c>
      <c r="U527" s="1" t="str">
        <f>IF(A527="","",IFERROR(S527/MAX(1,COUNTIFS(Assignments!$B:$B,A527,Assignments!$D:$D,"&gt;="&amp;TODAY()-30)),""))</f>
        <v/>
      </c>
      <c r="V527" s="1" t="str">
        <f t="shared" si="4"/>
        <v/>
      </c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 t="str">
        <f>IF(A528="","",IFERROR(AVERAGEIFS(Assignments!$AO:$AO,Assignments!$B:$B,A528,Assignments!$E:$E,"Completed"),""))</f>
        <v/>
      </c>
      <c r="L528" s="2"/>
      <c r="M528" s="2"/>
      <c r="N528" s="2"/>
      <c r="O528" s="2"/>
      <c r="P528" s="1" t="str">
        <f>IF(A528="","",MAX(0,MIN(3,SUMIFS(Strike_Log!$C:$C,Strike_Log!$B:$B,A528,Strike_Log!$A:$A,"&gt;="&amp;IF(Config!$B$1004="Y",TODAY()-Config!$B$1005,DATE(1900,1,1)),Strike_Log!$I:$I,1))))</f>
        <v/>
      </c>
      <c r="Q528" s="1"/>
      <c r="R528" s="1"/>
      <c r="S528" s="1" t="str">
        <f>IF(A528="","",COUNTIFS(Assignments!$B:$B,A528,Assignments!$AE:$AE, "Y",Assignments!$D:$D,"&gt;="&amp;TODAY()-30))</f>
        <v/>
      </c>
      <c r="T528" s="1" t="str">
        <f>IF(A528="","",COUNTIFS(Assignments!$AF:$AF,A528,Assignments!$AE:$AE, "Y",Assignments!$D:$D,"&gt;="&amp;TODAY()-30))</f>
        <v/>
      </c>
      <c r="U528" s="1" t="str">
        <f>IF(A528="","",IFERROR(S528/MAX(1,COUNTIFS(Assignments!$B:$B,A528,Assignments!$D:$D,"&gt;="&amp;TODAY()-30)),""))</f>
        <v/>
      </c>
      <c r="V528" s="1" t="str">
        <f t="shared" si="4"/>
        <v/>
      </c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 t="str">
        <f>IF(A529="","",IFERROR(AVERAGEIFS(Assignments!$AO:$AO,Assignments!$B:$B,A529,Assignments!$E:$E,"Completed"),""))</f>
        <v/>
      </c>
      <c r="L529" s="2"/>
      <c r="M529" s="2"/>
      <c r="N529" s="2"/>
      <c r="O529" s="2"/>
      <c r="P529" s="1" t="str">
        <f>IF(A529="","",MAX(0,MIN(3,SUMIFS(Strike_Log!$C:$C,Strike_Log!$B:$B,A529,Strike_Log!$A:$A,"&gt;="&amp;IF(Config!$B$1004="Y",TODAY()-Config!$B$1005,DATE(1900,1,1)),Strike_Log!$I:$I,1))))</f>
        <v/>
      </c>
      <c r="Q529" s="1"/>
      <c r="R529" s="1"/>
      <c r="S529" s="1" t="str">
        <f>IF(A529="","",COUNTIFS(Assignments!$B:$B,A529,Assignments!$AE:$AE, "Y",Assignments!$D:$D,"&gt;="&amp;TODAY()-30))</f>
        <v/>
      </c>
      <c r="T529" s="1" t="str">
        <f>IF(A529="","",COUNTIFS(Assignments!$AF:$AF,A529,Assignments!$AE:$AE, "Y",Assignments!$D:$D,"&gt;="&amp;TODAY()-30))</f>
        <v/>
      </c>
      <c r="U529" s="1" t="str">
        <f>IF(A529="","",IFERROR(S529/MAX(1,COUNTIFS(Assignments!$B:$B,A529,Assignments!$D:$D,"&gt;="&amp;TODAY()-30)),""))</f>
        <v/>
      </c>
      <c r="V529" s="1" t="str">
        <f t="shared" si="4"/>
        <v/>
      </c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 t="str">
        <f>IF(A530="","",IFERROR(AVERAGEIFS(Assignments!$AO:$AO,Assignments!$B:$B,A530,Assignments!$E:$E,"Completed"),""))</f>
        <v/>
      </c>
      <c r="L530" s="2"/>
      <c r="M530" s="2"/>
      <c r="N530" s="2"/>
      <c r="O530" s="2"/>
      <c r="P530" s="1" t="str">
        <f>IF(A530="","",MAX(0,MIN(3,SUMIFS(Strike_Log!$C:$C,Strike_Log!$B:$B,A530,Strike_Log!$A:$A,"&gt;="&amp;IF(Config!$B$1004="Y",TODAY()-Config!$B$1005,DATE(1900,1,1)),Strike_Log!$I:$I,1))))</f>
        <v/>
      </c>
      <c r="Q530" s="1"/>
      <c r="R530" s="1"/>
      <c r="S530" s="1" t="str">
        <f>IF(A530="","",COUNTIFS(Assignments!$B:$B,A530,Assignments!$AE:$AE, "Y",Assignments!$D:$D,"&gt;="&amp;TODAY()-30))</f>
        <v/>
      </c>
      <c r="T530" s="1" t="str">
        <f>IF(A530="","",COUNTIFS(Assignments!$AF:$AF,A530,Assignments!$AE:$AE, "Y",Assignments!$D:$D,"&gt;="&amp;TODAY()-30))</f>
        <v/>
      </c>
      <c r="U530" s="1" t="str">
        <f>IF(A530="","",IFERROR(S530/MAX(1,COUNTIFS(Assignments!$B:$B,A530,Assignments!$D:$D,"&gt;="&amp;TODAY()-30)),""))</f>
        <v/>
      </c>
      <c r="V530" s="1" t="str">
        <f t="shared" si="4"/>
        <v/>
      </c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 t="str">
        <f>IF(A531="","",IFERROR(AVERAGEIFS(Assignments!$AO:$AO,Assignments!$B:$B,A531,Assignments!$E:$E,"Completed"),""))</f>
        <v/>
      </c>
      <c r="L531" s="2"/>
      <c r="M531" s="2"/>
      <c r="N531" s="2"/>
      <c r="O531" s="2"/>
      <c r="P531" s="1" t="str">
        <f>IF(A531="","",MAX(0,MIN(3,SUMIFS(Strike_Log!$C:$C,Strike_Log!$B:$B,A531,Strike_Log!$A:$A,"&gt;="&amp;IF(Config!$B$1004="Y",TODAY()-Config!$B$1005,DATE(1900,1,1)),Strike_Log!$I:$I,1))))</f>
        <v/>
      </c>
      <c r="Q531" s="1"/>
      <c r="R531" s="1"/>
      <c r="S531" s="1" t="str">
        <f>IF(A531="","",COUNTIFS(Assignments!$B:$B,A531,Assignments!$AE:$AE, "Y",Assignments!$D:$D,"&gt;="&amp;TODAY()-30))</f>
        <v/>
      </c>
      <c r="T531" s="1" t="str">
        <f>IF(A531="","",COUNTIFS(Assignments!$AF:$AF,A531,Assignments!$AE:$AE, "Y",Assignments!$D:$D,"&gt;="&amp;TODAY()-30))</f>
        <v/>
      </c>
      <c r="U531" s="1" t="str">
        <f>IF(A531="","",IFERROR(S531/MAX(1,COUNTIFS(Assignments!$B:$B,A531,Assignments!$D:$D,"&gt;="&amp;TODAY()-30)),""))</f>
        <v/>
      </c>
      <c r="V531" s="1" t="str">
        <f t="shared" si="4"/>
        <v/>
      </c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 t="str">
        <f>IF(A532="","",IFERROR(AVERAGEIFS(Assignments!$AO:$AO,Assignments!$B:$B,A532,Assignments!$E:$E,"Completed"),""))</f>
        <v/>
      </c>
      <c r="L532" s="2"/>
      <c r="M532" s="2"/>
      <c r="N532" s="2"/>
      <c r="O532" s="2"/>
      <c r="P532" s="1" t="str">
        <f>IF(A532="","",MAX(0,MIN(3,SUMIFS(Strike_Log!$C:$C,Strike_Log!$B:$B,A532,Strike_Log!$A:$A,"&gt;="&amp;IF(Config!$B$1004="Y",TODAY()-Config!$B$1005,DATE(1900,1,1)),Strike_Log!$I:$I,1))))</f>
        <v/>
      </c>
      <c r="Q532" s="1"/>
      <c r="R532" s="1"/>
      <c r="S532" s="1" t="str">
        <f>IF(A532="","",COUNTIFS(Assignments!$B:$B,A532,Assignments!$AE:$AE, "Y",Assignments!$D:$D,"&gt;="&amp;TODAY()-30))</f>
        <v/>
      </c>
      <c r="T532" s="1" t="str">
        <f>IF(A532="","",COUNTIFS(Assignments!$AF:$AF,A532,Assignments!$AE:$AE, "Y",Assignments!$D:$D,"&gt;="&amp;TODAY()-30))</f>
        <v/>
      </c>
      <c r="U532" s="1" t="str">
        <f>IF(A532="","",IFERROR(S532/MAX(1,COUNTIFS(Assignments!$B:$B,A532,Assignments!$D:$D,"&gt;="&amp;TODAY()-30)),""))</f>
        <v/>
      </c>
      <c r="V532" s="1" t="str">
        <f t="shared" si="4"/>
        <v/>
      </c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 t="str">
        <f>IF(A533="","",IFERROR(AVERAGEIFS(Assignments!$AO:$AO,Assignments!$B:$B,A533,Assignments!$E:$E,"Completed"),""))</f>
        <v/>
      </c>
      <c r="L533" s="2"/>
      <c r="M533" s="2"/>
      <c r="N533" s="2"/>
      <c r="O533" s="2"/>
      <c r="P533" s="1" t="str">
        <f>IF(A533="","",MAX(0,MIN(3,SUMIFS(Strike_Log!$C:$C,Strike_Log!$B:$B,A533,Strike_Log!$A:$A,"&gt;="&amp;IF(Config!$B$1004="Y",TODAY()-Config!$B$1005,DATE(1900,1,1)),Strike_Log!$I:$I,1))))</f>
        <v/>
      </c>
      <c r="Q533" s="1"/>
      <c r="R533" s="1"/>
      <c r="S533" s="1" t="str">
        <f>IF(A533="","",COUNTIFS(Assignments!$B:$B,A533,Assignments!$AE:$AE, "Y",Assignments!$D:$D,"&gt;="&amp;TODAY()-30))</f>
        <v/>
      </c>
      <c r="T533" s="1" t="str">
        <f>IF(A533="","",COUNTIFS(Assignments!$AF:$AF,A533,Assignments!$AE:$AE, "Y",Assignments!$D:$D,"&gt;="&amp;TODAY()-30))</f>
        <v/>
      </c>
      <c r="U533" s="1" t="str">
        <f>IF(A533="","",IFERROR(S533/MAX(1,COUNTIFS(Assignments!$B:$B,A533,Assignments!$D:$D,"&gt;="&amp;TODAY()-30)),""))</f>
        <v/>
      </c>
      <c r="V533" s="1" t="str">
        <f t="shared" si="4"/>
        <v/>
      </c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 t="str">
        <f>IF(A534="","",IFERROR(AVERAGEIFS(Assignments!$AO:$AO,Assignments!$B:$B,A534,Assignments!$E:$E,"Completed"),""))</f>
        <v/>
      </c>
      <c r="L534" s="2"/>
      <c r="M534" s="2"/>
      <c r="N534" s="2"/>
      <c r="O534" s="2"/>
      <c r="P534" s="1" t="str">
        <f>IF(A534="","",MAX(0,MIN(3,SUMIFS(Strike_Log!$C:$C,Strike_Log!$B:$B,A534,Strike_Log!$A:$A,"&gt;="&amp;IF(Config!$B$1004="Y",TODAY()-Config!$B$1005,DATE(1900,1,1)),Strike_Log!$I:$I,1))))</f>
        <v/>
      </c>
      <c r="Q534" s="1"/>
      <c r="R534" s="1"/>
      <c r="S534" s="1" t="str">
        <f>IF(A534="","",COUNTIFS(Assignments!$B:$B,A534,Assignments!$AE:$AE, "Y",Assignments!$D:$D,"&gt;="&amp;TODAY()-30))</f>
        <v/>
      </c>
      <c r="T534" s="1" t="str">
        <f>IF(A534="","",COUNTIFS(Assignments!$AF:$AF,A534,Assignments!$AE:$AE, "Y",Assignments!$D:$D,"&gt;="&amp;TODAY()-30))</f>
        <v/>
      </c>
      <c r="U534" s="1" t="str">
        <f>IF(A534="","",IFERROR(S534/MAX(1,COUNTIFS(Assignments!$B:$B,A534,Assignments!$D:$D,"&gt;="&amp;TODAY()-30)),""))</f>
        <v/>
      </c>
      <c r="V534" s="1" t="str">
        <f t="shared" si="4"/>
        <v/>
      </c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 t="str">
        <f>IF(A535="","",IFERROR(AVERAGEIFS(Assignments!$AO:$AO,Assignments!$B:$B,A535,Assignments!$E:$E,"Completed"),""))</f>
        <v/>
      </c>
      <c r="L535" s="2"/>
      <c r="M535" s="2"/>
      <c r="N535" s="2"/>
      <c r="O535" s="2"/>
      <c r="P535" s="1" t="str">
        <f>IF(A535="","",MAX(0,MIN(3,SUMIFS(Strike_Log!$C:$C,Strike_Log!$B:$B,A535,Strike_Log!$A:$A,"&gt;="&amp;IF(Config!$B$1004="Y",TODAY()-Config!$B$1005,DATE(1900,1,1)),Strike_Log!$I:$I,1))))</f>
        <v/>
      </c>
      <c r="Q535" s="1"/>
      <c r="R535" s="1"/>
      <c r="S535" s="1" t="str">
        <f>IF(A535="","",COUNTIFS(Assignments!$B:$B,A535,Assignments!$AE:$AE, "Y",Assignments!$D:$D,"&gt;="&amp;TODAY()-30))</f>
        <v/>
      </c>
      <c r="T535" s="1" t="str">
        <f>IF(A535="","",COUNTIFS(Assignments!$AF:$AF,A535,Assignments!$AE:$AE, "Y",Assignments!$D:$D,"&gt;="&amp;TODAY()-30))</f>
        <v/>
      </c>
      <c r="U535" s="1" t="str">
        <f>IF(A535="","",IFERROR(S535/MAX(1,COUNTIFS(Assignments!$B:$B,A535,Assignments!$D:$D,"&gt;="&amp;TODAY()-30)),""))</f>
        <v/>
      </c>
      <c r="V535" s="1" t="str">
        <f t="shared" si="4"/>
        <v/>
      </c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 t="str">
        <f>IF(A536="","",IFERROR(AVERAGEIFS(Assignments!$AO:$AO,Assignments!$B:$B,A536,Assignments!$E:$E,"Completed"),""))</f>
        <v/>
      </c>
      <c r="L536" s="2"/>
      <c r="M536" s="2"/>
      <c r="N536" s="2"/>
      <c r="O536" s="2"/>
      <c r="P536" s="1" t="str">
        <f>IF(A536="","",MAX(0,MIN(3,SUMIFS(Strike_Log!$C:$C,Strike_Log!$B:$B,A536,Strike_Log!$A:$A,"&gt;="&amp;IF(Config!$B$1004="Y",TODAY()-Config!$B$1005,DATE(1900,1,1)),Strike_Log!$I:$I,1))))</f>
        <v/>
      </c>
      <c r="Q536" s="1"/>
      <c r="R536" s="1"/>
      <c r="S536" s="1" t="str">
        <f>IF(A536="","",COUNTIFS(Assignments!$B:$B,A536,Assignments!$AE:$AE, "Y",Assignments!$D:$D,"&gt;="&amp;TODAY()-30))</f>
        <v/>
      </c>
      <c r="T536" s="1" t="str">
        <f>IF(A536="","",COUNTIFS(Assignments!$AF:$AF,A536,Assignments!$AE:$AE, "Y",Assignments!$D:$D,"&gt;="&amp;TODAY()-30))</f>
        <v/>
      </c>
      <c r="U536" s="1" t="str">
        <f>IF(A536="","",IFERROR(S536/MAX(1,COUNTIFS(Assignments!$B:$B,A536,Assignments!$D:$D,"&gt;="&amp;TODAY()-30)),""))</f>
        <v/>
      </c>
      <c r="V536" s="1" t="str">
        <f t="shared" si="4"/>
        <v/>
      </c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 t="str">
        <f>IF(A537="","",IFERROR(AVERAGEIFS(Assignments!$AO:$AO,Assignments!$B:$B,A537,Assignments!$E:$E,"Completed"),""))</f>
        <v/>
      </c>
      <c r="L537" s="2"/>
      <c r="M537" s="2"/>
      <c r="N537" s="2"/>
      <c r="O537" s="2"/>
      <c r="P537" s="1" t="str">
        <f>IF(A537="","",MAX(0,MIN(3,SUMIFS(Strike_Log!$C:$C,Strike_Log!$B:$B,A537,Strike_Log!$A:$A,"&gt;="&amp;IF(Config!$B$1004="Y",TODAY()-Config!$B$1005,DATE(1900,1,1)),Strike_Log!$I:$I,1))))</f>
        <v/>
      </c>
      <c r="Q537" s="1"/>
      <c r="R537" s="1"/>
      <c r="S537" s="1" t="str">
        <f>IF(A537="","",COUNTIFS(Assignments!$B:$B,A537,Assignments!$AE:$AE, "Y",Assignments!$D:$D,"&gt;="&amp;TODAY()-30))</f>
        <v/>
      </c>
      <c r="T537" s="1" t="str">
        <f>IF(A537="","",COUNTIFS(Assignments!$AF:$AF,A537,Assignments!$AE:$AE, "Y",Assignments!$D:$D,"&gt;="&amp;TODAY()-30))</f>
        <v/>
      </c>
      <c r="U537" s="1" t="str">
        <f>IF(A537="","",IFERROR(S537/MAX(1,COUNTIFS(Assignments!$B:$B,A537,Assignments!$D:$D,"&gt;="&amp;TODAY()-30)),""))</f>
        <v/>
      </c>
      <c r="V537" s="1" t="str">
        <f t="shared" si="4"/>
        <v/>
      </c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 t="str">
        <f>IF(A538="","",IFERROR(AVERAGEIFS(Assignments!$AO:$AO,Assignments!$B:$B,A538,Assignments!$E:$E,"Completed"),""))</f>
        <v/>
      </c>
      <c r="L538" s="2"/>
      <c r="M538" s="2"/>
      <c r="N538" s="2"/>
      <c r="O538" s="2"/>
      <c r="P538" s="1" t="str">
        <f>IF(A538="","",MAX(0,MIN(3,SUMIFS(Strike_Log!$C:$C,Strike_Log!$B:$B,A538,Strike_Log!$A:$A,"&gt;="&amp;IF(Config!$B$1004="Y",TODAY()-Config!$B$1005,DATE(1900,1,1)),Strike_Log!$I:$I,1))))</f>
        <v/>
      </c>
      <c r="Q538" s="1"/>
      <c r="R538" s="1"/>
      <c r="S538" s="1" t="str">
        <f>IF(A538="","",COUNTIFS(Assignments!$B:$B,A538,Assignments!$AE:$AE, "Y",Assignments!$D:$D,"&gt;="&amp;TODAY()-30))</f>
        <v/>
      </c>
      <c r="T538" s="1" t="str">
        <f>IF(A538="","",COUNTIFS(Assignments!$AF:$AF,A538,Assignments!$AE:$AE, "Y",Assignments!$D:$D,"&gt;="&amp;TODAY()-30))</f>
        <v/>
      </c>
      <c r="U538" s="1" t="str">
        <f>IF(A538="","",IFERROR(S538/MAX(1,COUNTIFS(Assignments!$B:$B,A538,Assignments!$D:$D,"&gt;="&amp;TODAY()-30)),""))</f>
        <v/>
      </c>
      <c r="V538" s="1" t="str">
        <f t="shared" si="4"/>
        <v/>
      </c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 t="str">
        <f>IF(A539="","",IFERROR(AVERAGEIFS(Assignments!$AO:$AO,Assignments!$B:$B,A539,Assignments!$E:$E,"Completed"),""))</f>
        <v/>
      </c>
      <c r="L539" s="2"/>
      <c r="M539" s="2"/>
      <c r="N539" s="2"/>
      <c r="O539" s="2"/>
      <c r="P539" s="1" t="str">
        <f>IF(A539="","",MAX(0,MIN(3,SUMIFS(Strike_Log!$C:$C,Strike_Log!$B:$B,A539,Strike_Log!$A:$A,"&gt;="&amp;IF(Config!$B$1004="Y",TODAY()-Config!$B$1005,DATE(1900,1,1)),Strike_Log!$I:$I,1))))</f>
        <v/>
      </c>
      <c r="Q539" s="1"/>
      <c r="R539" s="1"/>
      <c r="S539" s="1" t="str">
        <f>IF(A539="","",COUNTIFS(Assignments!$B:$B,A539,Assignments!$AE:$AE, "Y",Assignments!$D:$D,"&gt;="&amp;TODAY()-30))</f>
        <v/>
      </c>
      <c r="T539" s="1" t="str">
        <f>IF(A539="","",COUNTIFS(Assignments!$AF:$AF,A539,Assignments!$AE:$AE, "Y",Assignments!$D:$D,"&gt;="&amp;TODAY()-30))</f>
        <v/>
      </c>
      <c r="U539" s="1" t="str">
        <f>IF(A539="","",IFERROR(S539/MAX(1,COUNTIFS(Assignments!$B:$B,A539,Assignments!$D:$D,"&gt;="&amp;TODAY()-30)),""))</f>
        <v/>
      </c>
      <c r="V539" s="1" t="str">
        <f t="shared" si="4"/>
        <v/>
      </c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 t="str">
        <f>IF(A540="","",IFERROR(AVERAGEIFS(Assignments!$AO:$AO,Assignments!$B:$B,A540,Assignments!$E:$E,"Completed"),""))</f>
        <v/>
      </c>
      <c r="L540" s="2"/>
      <c r="M540" s="2"/>
      <c r="N540" s="2"/>
      <c r="O540" s="2"/>
      <c r="P540" s="1" t="str">
        <f>IF(A540="","",MAX(0,MIN(3,SUMIFS(Strike_Log!$C:$C,Strike_Log!$B:$B,A540,Strike_Log!$A:$A,"&gt;="&amp;IF(Config!$B$1004="Y",TODAY()-Config!$B$1005,DATE(1900,1,1)),Strike_Log!$I:$I,1))))</f>
        <v/>
      </c>
      <c r="Q540" s="1"/>
      <c r="R540" s="1"/>
      <c r="S540" s="1" t="str">
        <f>IF(A540="","",COUNTIFS(Assignments!$B:$B,A540,Assignments!$AE:$AE, "Y",Assignments!$D:$D,"&gt;="&amp;TODAY()-30))</f>
        <v/>
      </c>
      <c r="T540" s="1" t="str">
        <f>IF(A540="","",COUNTIFS(Assignments!$AF:$AF,A540,Assignments!$AE:$AE, "Y",Assignments!$D:$D,"&gt;="&amp;TODAY()-30))</f>
        <v/>
      </c>
      <c r="U540" s="1" t="str">
        <f>IF(A540="","",IFERROR(S540/MAX(1,COUNTIFS(Assignments!$B:$B,A540,Assignments!$D:$D,"&gt;="&amp;TODAY()-30)),""))</f>
        <v/>
      </c>
      <c r="V540" s="1" t="str">
        <f t="shared" si="4"/>
        <v/>
      </c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 t="str">
        <f>IF(A541="","",IFERROR(AVERAGEIFS(Assignments!$AO:$AO,Assignments!$B:$B,A541,Assignments!$E:$E,"Completed"),""))</f>
        <v/>
      </c>
      <c r="L541" s="2"/>
      <c r="M541" s="2"/>
      <c r="N541" s="2"/>
      <c r="O541" s="2"/>
      <c r="P541" s="1" t="str">
        <f>IF(A541="","",MAX(0,MIN(3,SUMIFS(Strike_Log!$C:$C,Strike_Log!$B:$B,A541,Strike_Log!$A:$A,"&gt;="&amp;IF(Config!$B$1004="Y",TODAY()-Config!$B$1005,DATE(1900,1,1)),Strike_Log!$I:$I,1))))</f>
        <v/>
      </c>
      <c r="Q541" s="1"/>
      <c r="R541" s="1"/>
      <c r="S541" s="1" t="str">
        <f>IF(A541="","",COUNTIFS(Assignments!$B:$B,A541,Assignments!$AE:$AE, "Y",Assignments!$D:$D,"&gt;="&amp;TODAY()-30))</f>
        <v/>
      </c>
      <c r="T541" s="1" t="str">
        <f>IF(A541="","",COUNTIFS(Assignments!$AF:$AF,A541,Assignments!$AE:$AE, "Y",Assignments!$D:$D,"&gt;="&amp;TODAY()-30))</f>
        <v/>
      </c>
      <c r="U541" s="1" t="str">
        <f>IF(A541="","",IFERROR(S541/MAX(1,COUNTIFS(Assignments!$B:$B,A541,Assignments!$D:$D,"&gt;="&amp;TODAY()-30)),""))</f>
        <v/>
      </c>
      <c r="V541" s="1" t="str">
        <f t="shared" si="4"/>
        <v/>
      </c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 t="str">
        <f>IF(A542="","",IFERROR(AVERAGEIFS(Assignments!$AO:$AO,Assignments!$B:$B,A542,Assignments!$E:$E,"Completed"),""))</f>
        <v/>
      </c>
      <c r="L542" s="2"/>
      <c r="M542" s="2"/>
      <c r="N542" s="2"/>
      <c r="O542" s="2"/>
      <c r="P542" s="1" t="str">
        <f>IF(A542="","",MAX(0,MIN(3,SUMIFS(Strike_Log!$C:$C,Strike_Log!$B:$B,A542,Strike_Log!$A:$A,"&gt;="&amp;IF(Config!$B$1004="Y",TODAY()-Config!$B$1005,DATE(1900,1,1)),Strike_Log!$I:$I,1))))</f>
        <v/>
      </c>
      <c r="Q542" s="1"/>
      <c r="R542" s="1"/>
      <c r="S542" s="1" t="str">
        <f>IF(A542="","",COUNTIFS(Assignments!$B:$B,A542,Assignments!$AE:$AE, "Y",Assignments!$D:$D,"&gt;="&amp;TODAY()-30))</f>
        <v/>
      </c>
      <c r="T542" s="1" t="str">
        <f>IF(A542="","",COUNTIFS(Assignments!$AF:$AF,A542,Assignments!$AE:$AE, "Y",Assignments!$D:$D,"&gt;="&amp;TODAY()-30))</f>
        <v/>
      </c>
      <c r="U542" s="1" t="str">
        <f>IF(A542="","",IFERROR(S542/MAX(1,COUNTIFS(Assignments!$B:$B,A542,Assignments!$D:$D,"&gt;="&amp;TODAY()-30)),""))</f>
        <v/>
      </c>
      <c r="V542" s="1" t="str">
        <f t="shared" si="4"/>
        <v/>
      </c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 t="str">
        <f>IF(A543="","",IFERROR(AVERAGEIFS(Assignments!$AO:$AO,Assignments!$B:$B,A543,Assignments!$E:$E,"Completed"),""))</f>
        <v/>
      </c>
      <c r="L543" s="2"/>
      <c r="M543" s="2"/>
      <c r="N543" s="2"/>
      <c r="O543" s="2"/>
      <c r="P543" s="1" t="str">
        <f>IF(A543="","",MAX(0,MIN(3,SUMIFS(Strike_Log!$C:$C,Strike_Log!$B:$B,A543,Strike_Log!$A:$A,"&gt;="&amp;IF(Config!$B$1004="Y",TODAY()-Config!$B$1005,DATE(1900,1,1)),Strike_Log!$I:$I,1))))</f>
        <v/>
      </c>
      <c r="Q543" s="1"/>
      <c r="R543" s="1"/>
      <c r="S543" s="1" t="str">
        <f>IF(A543="","",COUNTIFS(Assignments!$B:$B,A543,Assignments!$AE:$AE, "Y",Assignments!$D:$D,"&gt;="&amp;TODAY()-30))</f>
        <v/>
      </c>
      <c r="T543" s="1" t="str">
        <f>IF(A543="","",COUNTIFS(Assignments!$AF:$AF,A543,Assignments!$AE:$AE, "Y",Assignments!$D:$D,"&gt;="&amp;TODAY()-30))</f>
        <v/>
      </c>
      <c r="U543" s="1" t="str">
        <f>IF(A543="","",IFERROR(S543/MAX(1,COUNTIFS(Assignments!$B:$B,A543,Assignments!$D:$D,"&gt;="&amp;TODAY()-30)),""))</f>
        <v/>
      </c>
      <c r="V543" s="1" t="str">
        <f t="shared" si="4"/>
        <v/>
      </c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 t="str">
        <f>IF(A544="","",IFERROR(AVERAGEIFS(Assignments!$AO:$AO,Assignments!$B:$B,A544,Assignments!$E:$E,"Completed"),""))</f>
        <v/>
      </c>
      <c r="L544" s="2"/>
      <c r="M544" s="2"/>
      <c r="N544" s="2"/>
      <c r="O544" s="2"/>
      <c r="P544" s="1" t="str">
        <f>IF(A544="","",MAX(0,MIN(3,SUMIFS(Strike_Log!$C:$C,Strike_Log!$B:$B,A544,Strike_Log!$A:$A,"&gt;="&amp;IF(Config!$B$1004="Y",TODAY()-Config!$B$1005,DATE(1900,1,1)),Strike_Log!$I:$I,1))))</f>
        <v/>
      </c>
      <c r="Q544" s="1"/>
      <c r="R544" s="1"/>
      <c r="S544" s="1" t="str">
        <f>IF(A544="","",COUNTIFS(Assignments!$B:$B,A544,Assignments!$AE:$AE, "Y",Assignments!$D:$D,"&gt;="&amp;TODAY()-30))</f>
        <v/>
      </c>
      <c r="T544" s="1" t="str">
        <f>IF(A544="","",COUNTIFS(Assignments!$AF:$AF,A544,Assignments!$AE:$AE, "Y",Assignments!$D:$D,"&gt;="&amp;TODAY()-30))</f>
        <v/>
      </c>
      <c r="U544" s="1" t="str">
        <f>IF(A544="","",IFERROR(S544/MAX(1,COUNTIFS(Assignments!$B:$B,A544,Assignments!$D:$D,"&gt;="&amp;TODAY()-30)),""))</f>
        <v/>
      </c>
      <c r="V544" s="1" t="str">
        <f t="shared" si="4"/>
        <v/>
      </c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 t="str">
        <f>IF(A545="","",IFERROR(AVERAGEIFS(Assignments!$AO:$AO,Assignments!$B:$B,A545,Assignments!$E:$E,"Completed"),""))</f>
        <v/>
      </c>
      <c r="L545" s="2"/>
      <c r="M545" s="2"/>
      <c r="N545" s="2"/>
      <c r="O545" s="2"/>
      <c r="P545" s="1" t="str">
        <f>IF(A545="","",MAX(0,MIN(3,SUMIFS(Strike_Log!$C:$C,Strike_Log!$B:$B,A545,Strike_Log!$A:$A,"&gt;="&amp;IF(Config!$B$1004="Y",TODAY()-Config!$B$1005,DATE(1900,1,1)),Strike_Log!$I:$I,1))))</f>
        <v/>
      </c>
      <c r="Q545" s="1"/>
      <c r="R545" s="1"/>
      <c r="S545" s="1" t="str">
        <f>IF(A545="","",COUNTIFS(Assignments!$B:$B,A545,Assignments!$AE:$AE, "Y",Assignments!$D:$D,"&gt;="&amp;TODAY()-30))</f>
        <v/>
      </c>
      <c r="T545" s="1" t="str">
        <f>IF(A545="","",COUNTIFS(Assignments!$AF:$AF,A545,Assignments!$AE:$AE, "Y",Assignments!$D:$D,"&gt;="&amp;TODAY()-30))</f>
        <v/>
      </c>
      <c r="U545" s="1" t="str">
        <f>IF(A545="","",IFERROR(S545/MAX(1,COUNTIFS(Assignments!$B:$B,A545,Assignments!$D:$D,"&gt;="&amp;TODAY()-30)),""))</f>
        <v/>
      </c>
      <c r="V545" s="1" t="str">
        <f t="shared" si="4"/>
        <v/>
      </c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 t="str">
        <f>IF(A546="","",IFERROR(AVERAGEIFS(Assignments!$AO:$AO,Assignments!$B:$B,A546,Assignments!$E:$E,"Completed"),""))</f>
        <v/>
      </c>
      <c r="L546" s="2"/>
      <c r="M546" s="2"/>
      <c r="N546" s="2"/>
      <c r="O546" s="2"/>
      <c r="P546" s="1" t="str">
        <f>IF(A546="","",MAX(0,MIN(3,SUMIFS(Strike_Log!$C:$C,Strike_Log!$B:$B,A546,Strike_Log!$A:$A,"&gt;="&amp;IF(Config!$B$1004="Y",TODAY()-Config!$B$1005,DATE(1900,1,1)),Strike_Log!$I:$I,1))))</f>
        <v/>
      </c>
      <c r="Q546" s="1"/>
      <c r="R546" s="1"/>
      <c r="S546" s="1" t="str">
        <f>IF(A546="","",COUNTIFS(Assignments!$B:$B,A546,Assignments!$AE:$AE, "Y",Assignments!$D:$D,"&gt;="&amp;TODAY()-30))</f>
        <v/>
      </c>
      <c r="T546" s="1" t="str">
        <f>IF(A546="","",COUNTIFS(Assignments!$AF:$AF,A546,Assignments!$AE:$AE, "Y",Assignments!$D:$D,"&gt;="&amp;TODAY()-30))</f>
        <v/>
      </c>
      <c r="U546" s="1" t="str">
        <f>IF(A546="","",IFERROR(S546/MAX(1,COUNTIFS(Assignments!$B:$B,A546,Assignments!$D:$D,"&gt;="&amp;TODAY()-30)),""))</f>
        <v/>
      </c>
      <c r="V546" s="1" t="str">
        <f t="shared" si="4"/>
        <v/>
      </c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 t="str">
        <f>IF(A547="","",IFERROR(AVERAGEIFS(Assignments!$AO:$AO,Assignments!$B:$B,A547,Assignments!$E:$E,"Completed"),""))</f>
        <v/>
      </c>
      <c r="L547" s="2"/>
      <c r="M547" s="2"/>
      <c r="N547" s="2"/>
      <c r="O547" s="2"/>
      <c r="P547" s="1" t="str">
        <f>IF(A547="","",MAX(0,MIN(3,SUMIFS(Strike_Log!$C:$C,Strike_Log!$B:$B,A547,Strike_Log!$A:$A,"&gt;="&amp;IF(Config!$B$1004="Y",TODAY()-Config!$B$1005,DATE(1900,1,1)),Strike_Log!$I:$I,1))))</f>
        <v/>
      </c>
      <c r="Q547" s="1"/>
      <c r="R547" s="1"/>
      <c r="S547" s="1" t="str">
        <f>IF(A547="","",COUNTIFS(Assignments!$B:$B,A547,Assignments!$AE:$AE, "Y",Assignments!$D:$D,"&gt;="&amp;TODAY()-30))</f>
        <v/>
      </c>
      <c r="T547" s="1" t="str">
        <f>IF(A547="","",COUNTIFS(Assignments!$AF:$AF,A547,Assignments!$AE:$AE, "Y",Assignments!$D:$D,"&gt;="&amp;TODAY()-30))</f>
        <v/>
      </c>
      <c r="U547" s="1" t="str">
        <f>IF(A547="","",IFERROR(S547/MAX(1,COUNTIFS(Assignments!$B:$B,A547,Assignments!$D:$D,"&gt;="&amp;TODAY()-30)),""))</f>
        <v/>
      </c>
      <c r="V547" s="1" t="str">
        <f t="shared" si="4"/>
        <v/>
      </c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 t="str">
        <f>IF(A548="","",IFERROR(AVERAGEIFS(Assignments!$AO:$AO,Assignments!$B:$B,A548,Assignments!$E:$E,"Completed"),""))</f>
        <v/>
      </c>
      <c r="L548" s="2"/>
      <c r="M548" s="2"/>
      <c r="N548" s="2"/>
      <c r="O548" s="2"/>
      <c r="P548" s="1" t="str">
        <f>IF(A548="","",MAX(0,MIN(3,SUMIFS(Strike_Log!$C:$C,Strike_Log!$B:$B,A548,Strike_Log!$A:$A,"&gt;="&amp;IF(Config!$B$1004="Y",TODAY()-Config!$B$1005,DATE(1900,1,1)),Strike_Log!$I:$I,1))))</f>
        <v/>
      </c>
      <c r="Q548" s="1"/>
      <c r="R548" s="1"/>
      <c r="S548" s="1" t="str">
        <f>IF(A548="","",COUNTIFS(Assignments!$B:$B,A548,Assignments!$AE:$AE, "Y",Assignments!$D:$D,"&gt;="&amp;TODAY()-30))</f>
        <v/>
      </c>
      <c r="T548" s="1" t="str">
        <f>IF(A548="","",COUNTIFS(Assignments!$AF:$AF,A548,Assignments!$AE:$AE, "Y",Assignments!$D:$D,"&gt;="&amp;TODAY()-30))</f>
        <v/>
      </c>
      <c r="U548" s="1" t="str">
        <f>IF(A548="","",IFERROR(S548/MAX(1,COUNTIFS(Assignments!$B:$B,A548,Assignments!$D:$D,"&gt;="&amp;TODAY()-30)),""))</f>
        <v/>
      </c>
      <c r="V548" s="1" t="str">
        <f t="shared" si="4"/>
        <v/>
      </c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 t="str">
        <f>IF(A549="","",IFERROR(AVERAGEIFS(Assignments!$AO:$AO,Assignments!$B:$B,A549,Assignments!$E:$E,"Completed"),""))</f>
        <v/>
      </c>
      <c r="L549" s="2"/>
      <c r="M549" s="2"/>
      <c r="N549" s="2"/>
      <c r="O549" s="2"/>
      <c r="P549" s="1" t="str">
        <f>IF(A549="","",MAX(0,MIN(3,SUMIFS(Strike_Log!$C:$C,Strike_Log!$B:$B,A549,Strike_Log!$A:$A,"&gt;="&amp;IF(Config!$B$1004="Y",TODAY()-Config!$B$1005,DATE(1900,1,1)),Strike_Log!$I:$I,1))))</f>
        <v/>
      </c>
      <c r="Q549" s="1"/>
      <c r="R549" s="1"/>
      <c r="S549" s="1" t="str">
        <f>IF(A549="","",COUNTIFS(Assignments!$B:$B,A549,Assignments!$AE:$AE, "Y",Assignments!$D:$D,"&gt;="&amp;TODAY()-30))</f>
        <v/>
      </c>
      <c r="T549" s="1" t="str">
        <f>IF(A549="","",COUNTIFS(Assignments!$AF:$AF,A549,Assignments!$AE:$AE, "Y",Assignments!$D:$D,"&gt;="&amp;TODAY()-30))</f>
        <v/>
      </c>
      <c r="U549" s="1" t="str">
        <f>IF(A549="","",IFERROR(S549/MAX(1,COUNTIFS(Assignments!$B:$B,A549,Assignments!$D:$D,"&gt;="&amp;TODAY()-30)),""))</f>
        <v/>
      </c>
      <c r="V549" s="1" t="str">
        <f t="shared" si="4"/>
        <v/>
      </c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 t="str">
        <f>IF(A550="","",IFERROR(AVERAGEIFS(Assignments!$AO:$AO,Assignments!$B:$B,A550,Assignments!$E:$E,"Completed"),""))</f>
        <v/>
      </c>
      <c r="L550" s="2"/>
      <c r="M550" s="2"/>
      <c r="N550" s="2"/>
      <c r="O550" s="2"/>
      <c r="P550" s="1" t="str">
        <f>IF(A550="","",MAX(0,MIN(3,SUMIFS(Strike_Log!$C:$C,Strike_Log!$B:$B,A550,Strike_Log!$A:$A,"&gt;="&amp;IF(Config!$B$1004="Y",TODAY()-Config!$B$1005,DATE(1900,1,1)),Strike_Log!$I:$I,1))))</f>
        <v/>
      </c>
      <c r="Q550" s="1"/>
      <c r="R550" s="1"/>
      <c r="S550" s="1" t="str">
        <f>IF(A550="","",COUNTIFS(Assignments!$B:$B,A550,Assignments!$AE:$AE, "Y",Assignments!$D:$D,"&gt;="&amp;TODAY()-30))</f>
        <v/>
      </c>
      <c r="T550" s="1" t="str">
        <f>IF(A550="","",COUNTIFS(Assignments!$AF:$AF,A550,Assignments!$AE:$AE, "Y",Assignments!$D:$D,"&gt;="&amp;TODAY()-30))</f>
        <v/>
      </c>
      <c r="U550" s="1" t="str">
        <f>IF(A550="","",IFERROR(S550/MAX(1,COUNTIFS(Assignments!$B:$B,A550,Assignments!$D:$D,"&gt;="&amp;TODAY()-30)),""))</f>
        <v/>
      </c>
      <c r="V550" s="1" t="str">
        <f t="shared" si="4"/>
        <v/>
      </c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 t="str">
        <f>IF(A551="","",IFERROR(AVERAGEIFS(Assignments!$AO:$AO,Assignments!$B:$B,A551,Assignments!$E:$E,"Completed"),""))</f>
        <v/>
      </c>
      <c r="L551" s="2"/>
      <c r="M551" s="2"/>
      <c r="N551" s="2"/>
      <c r="O551" s="2"/>
      <c r="P551" s="1" t="str">
        <f>IF(A551="","",MAX(0,MIN(3,SUMIFS(Strike_Log!$C:$C,Strike_Log!$B:$B,A551,Strike_Log!$A:$A,"&gt;="&amp;IF(Config!$B$1004="Y",TODAY()-Config!$B$1005,DATE(1900,1,1)),Strike_Log!$I:$I,1))))</f>
        <v/>
      </c>
      <c r="Q551" s="1"/>
      <c r="R551" s="1"/>
      <c r="S551" s="1" t="str">
        <f>IF(A551="","",COUNTIFS(Assignments!$B:$B,A551,Assignments!$AE:$AE, "Y",Assignments!$D:$D,"&gt;="&amp;TODAY()-30))</f>
        <v/>
      </c>
      <c r="T551" s="1" t="str">
        <f>IF(A551="","",COUNTIFS(Assignments!$AF:$AF,A551,Assignments!$AE:$AE, "Y",Assignments!$D:$D,"&gt;="&amp;TODAY()-30))</f>
        <v/>
      </c>
      <c r="U551" s="1" t="str">
        <f>IF(A551="","",IFERROR(S551/MAX(1,COUNTIFS(Assignments!$B:$B,A551,Assignments!$D:$D,"&gt;="&amp;TODAY()-30)),""))</f>
        <v/>
      </c>
      <c r="V551" s="1" t="str">
        <f t="shared" si="4"/>
        <v/>
      </c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 t="str">
        <f>IF(A552="","",IFERROR(AVERAGEIFS(Assignments!$AO:$AO,Assignments!$B:$B,A552,Assignments!$E:$E,"Completed"),""))</f>
        <v/>
      </c>
      <c r="L552" s="2"/>
      <c r="M552" s="2"/>
      <c r="N552" s="2"/>
      <c r="O552" s="2"/>
      <c r="P552" s="1" t="str">
        <f>IF(A552="","",MAX(0,MIN(3,SUMIFS(Strike_Log!$C:$C,Strike_Log!$B:$B,A552,Strike_Log!$A:$A,"&gt;="&amp;IF(Config!$B$1004="Y",TODAY()-Config!$B$1005,DATE(1900,1,1)),Strike_Log!$I:$I,1))))</f>
        <v/>
      </c>
      <c r="Q552" s="1"/>
      <c r="R552" s="1"/>
      <c r="S552" s="1" t="str">
        <f>IF(A552="","",COUNTIFS(Assignments!$B:$B,A552,Assignments!$AE:$AE, "Y",Assignments!$D:$D,"&gt;="&amp;TODAY()-30))</f>
        <v/>
      </c>
      <c r="T552" s="1" t="str">
        <f>IF(A552="","",COUNTIFS(Assignments!$AF:$AF,A552,Assignments!$AE:$AE, "Y",Assignments!$D:$D,"&gt;="&amp;TODAY()-30))</f>
        <v/>
      </c>
      <c r="U552" s="1" t="str">
        <f>IF(A552="","",IFERROR(S552/MAX(1,COUNTIFS(Assignments!$B:$B,A552,Assignments!$D:$D,"&gt;="&amp;TODAY()-30)),""))</f>
        <v/>
      </c>
      <c r="V552" s="1" t="str">
        <f t="shared" si="4"/>
        <v/>
      </c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 t="str">
        <f>IF(A553="","",IFERROR(AVERAGEIFS(Assignments!$AO:$AO,Assignments!$B:$B,A553,Assignments!$E:$E,"Completed"),""))</f>
        <v/>
      </c>
      <c r="L553" s="2"/>
      <c r="M553" s="2"/>
      <c r="N553" s="2"/>
      <c r="O553" s="2"/>
      <c r="P553" s="1" t="str">
        <f>IF(A553="","",MAX(0,MIN(3,SUMIFS(Strike_Log!$C:$C,Strike_Log!$B:$B,A553,Strike_Log!$A:$A,"&gt;="&amp;IF(Config!$B$1004="Y",TODAY()-Config!$B$1005,DATE(1900,1,1)),Strike_Log!$I:$I,1))))</f>
        <v/>
      </c>
      <c r="Q553" s="1"/>
      <c r="R553" s="1"/>
      <c r="S553" s="1" t="str">
        <f>IF(A553="","",COUNTIFS(Assignments!$B:$B,A553,Assignments!$AE:$AE, "Y",Assignments!$D:$D,"&gt;="&amp;TODAY()-30))</f>
        <v/>
      </c>
      <c r="T553" s="1" t="str">
        <f>IF(A553="","",COUNTIFS(Assignments!$AF:$AF,A553,Assignments!$AE:$AE, "Y",Assignments!$D:$D,"&gt;="&amp;TODAY()-30))</f>
        <v/>
      </c>
      <c r="U553" s="1" t="str">
        <f>IF(A553="","",IFERROR(S553/MAX(1,COUNTIFS(Assignments!$B:$B,A553,Assignments!$D:$D,"&gt;="&amp;TODAY()-30)),""))</f>
        <v/>
      </c>
      <c r="V553" s="1" t="str">
        <f t="shared" si="4"/>
        <v/>
      </c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 t="str">
        <f>IF(A554="","",IFERROR(AVERAGEIFS(Assignments!$AO:$AO,Assignments!$B:$B,A554,Assignments!$E:$E,"Completed"),""))</f>
        <v/>
      </c>
      <c r="L554" s="2"/>
      <c r="M554" s="2"/>
      <c r="N554" s="2"/>
      <c r="O554" s="2"/>
      <c r="P554" s="1" t="str">
        <f>IF(A554="","",MAX(0,MIN(3,SUMIFS(Strike_Log!$C:$C,Strike_Log!$B:$B,A554,Strike_Log!$A:$A,"&gt;="&amp;IF(Config!$B$1004="Y",TODAY()-Config!$B$1005,DATE(1900,1,1)),Strike_Log!$I:$I,1))))</f>
        <v/>
      </c>
      <c r="Q554" s="1"/>
      <c r="R554" s="1"/>
      <c r="S554" s="1" t="str">
        <f>IF(A554="","",COUNTIFS(Assignments!$B:$B,A554,Assignments!$AE:$AE, "Y",Assignments!$D:$D,"&gt;="&amp;TODAY()-30))</f>
        <v/>
      </c>
      <c r="T554" s="1" t="str">
        <f>IF(A554="","",COUNTIFS(Assignments!$AF:$AF,A554,Assignments!$AE:$AE, "Y",Assignments!$D:$D,"&gt;="&amp;TODAY()-30))</f>
        <v/>
      </c>
      <c r="U554" s="1" t="str">
        <f>IF(A554="","",IFERROR(S554/MAX(1,COUNTIFS(Assignments!$B:$B,A554,Assignments!$D:$D,"&gt;="&amp;TODAY()-30)),""))</f>
        <v/>
      </c>
      <c r="V554" s="1" t="str">
        <f t="shared" si="4"/>
        <v/>
      </c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 t="str">
        <f>IF(A555="","",IFERROR(AVERAGEIFS(Assignments!$AO:$AO,Assignments!$B:$B,A555,Assignments!$E:$E,"Completed"),""))</f>
        <v/>
      </c>
      <c r="L555" s="2"/>
      <c r="M555" s="2"/>
      <c r="N555" s="2"/>
      <c r="O555" s="2"/>
      <c r="P555" s="1" t="str">
        <f>IF(A555="","",MAX(0,MIN(3,SUMIFS(Strike_Log!$C:$C,Strike_Log!$B:$B,A555,Strike_Log!$A:$A,"&gt;="&amp;IF(Config!$B$1004="Y",TODAY()-Config!$B$1005,DATE(1900,1,1)),Strike_Log!$I:$I,1))))</f>
        <v/>
      </c>
      <c r="Q555" s="1"/>
      <c r="R555" s="1"/>
      <c r="S555" s="1" t="str">
        <f>IF(A555="","",COUNTIFS(Assignments!$B:$B,A555,Assignments!$AE:$AE, "Y",Assignments!$D:$D,"&gt;="&amp;TODAY()-30))</f>
        <v/>
      </c>
      <c r="T555" s="1" t="str">
        <f>IF(A555="","",COUNTIFS(Assignments!$AF:$AF,A555,Assignments!$AE:$AE, "Y",Assignments!$D:$D,"&gt;="&amp;TODAY()-30))</f>
        <v/>
      </c>
      <c r="U555" s="1" t="str">
        <f>IF(A555="","",IFERROR(S555/MAX(1,COUNTIFS(Assignments!$B:$B,A555,Assignments!$D:$D,"&gt;="&amp;TODAY()-30)),""))</f>
        <v/>
      </c>
      <c r="V555" s="1" t="str">
        <f t="shared" si="4"/>
        <v/>
      </c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 t="str">
        <f>IF(A556="","",IFERROR(AVERAGEIFS(Assignments!$AO:$AO,Assignments!$B:$B,A556,Assignments!$E:$E,"Completed"),""))</f>
        <v/>
      </c>
      <c r="L556" s="2"/>
      <c r="M556" s="2"/>
      <c r="N556" s="2"/>
      <c r="O556" s="2"/>
      <c r="P556" s="1" t="str">
        <f>IF(A556="","",MAX(0,MIN(3,SUMIFS(Strike_Log!$C:$C,Strike_Log!$B:$B,A556,Strike_Log!$A:$A,"&gt;="&amp;IF(Config!$B$1004="Y",TODAY()-Config!$B$1005,DATE(1900,1,1)),Strike_Log!$I:$I,1))))</f>
        <v/>
      </c>
      <c r="Q556" s="1"/>
      <c r="R556" s="1"/>
      <c r="S556" s="1" t="str">
        <f>IF(A556="","",COUNTIFS(Assignments!$B:$B,A556,Assignments!$AE:$AE, "Y",Assignments!$D:$D,"&gt;="&amp;TODAY()-30))</f>
        <v/>
      </c>
      <c r="T556" s="1" t="str">
        <f>IF(A556="","",COUNTIFS(Assignments!$AF:$AF,A556,Assignments!$AE:$AE, "Y",Assignments!$D:$D,"&gt;="&amp;TODAY()-30))</f>
        <v/>
      </c>
      <c r="U556" s="1" t="str">
        <f>IF(A556="","",IFERROR(S556/MAX(1,COUNTIFS(Assignments!$B:$B,A556,Assignments!$D:$D,"&gt;="&amp;TODAY()-30)),""))</f>
        <v/>
      </c>
      <c r="V556" s="1" t="str">
        <f t="shared" si="4"/>
        <v/>
      </c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 t="str">
        <f>IF(A557="","",IFERROR(AVERAGEIFS(Assignments!$AO:$AO,Assignments!$B:$B,A557,Assignments!$E:$E,"Completed"),""))</f>
        <v/>
      </c>
      <c r="L557" s="2"/>
      <c r="M557" s="2"/>
      <c r="N557" s="2"/>
      <c r="O557" s="2"/>
      <c r="P557" s="1" t="str">
        <f>IF(A557="","",MAX(0,MIN(3,SUMIFS(Strike_Log!$C:$C,Strike_Log!$B:$B,A557,Strike_Log!$A:$A,"&gt;="&amp;IF(Config!$B$1004="Y",TODAY()-Config!$B$1005,DATE(1900,1,1)),Strike_Log!$I:$I,1))))</f>
        <v/>
      </c>
      <c r="Q557" s="1"/>
      <c r="R557" s="1"/>
      <c r="S557" s="1" t="str">
        <f>IF(A557="","",COUNTIFS(Assignments!$B:$B,A557,Assignments!$AE:$AE, "Y",Assignments!$D:$D,"&gt;="&amp;TODAY()-30))</f>
        <v/>
      </c>
      <c r="T557" s="1" t="str">
        <f>IF(A557="","",COUNTIFS(Assignments!$AF:$AF,A557,Assignments!$AE:$AE, "Y",Assignments!$D:$D,"&gt;="&amp;TODAY()-30))</f>
        <v/>
      </c>
      <c r="U557" s="1" t="str">
        <f>IF(A557="","",IFERROR(S557/MAX(1,COUNTIFS(Assignments!$B:$B,A557,Assignments!$D:$D,"&gt;="&amp;TODAY()-30)),""))</f>
        <v/>
      </c>
      <c r="V557" s="1" t="str">
        <f t="shared" si="4"/>
        <v/>
      </c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 t="str">
        <f>IF(A558="","",IFERROR(AVERAGEIFS(Assignments!$AO:$AO,Assignments!$B:$B,A558,Assignments!$E:$E,"Completed"),""))</f>
        <v/>
      </c>
      <c r="L558" s="2"/>
      <c r="M558" s="2"/>
      <c r="N558" s="2"/>
      <c r="O558" s="2"/>
      <c r="P558" s="1" t="str">
        <f>IF(A558="","",MAX(0,MIN(3,SUMIFS(Strike_Log!$C:$C,Strike_Log!$B:$B,A558,Strike_Log!$A:$A,"&gt;="&amp;IF(Config!$B$1004="Y",TODAY()-Config!$B$1005,DATE(1900,1,1)),Strike_Log!$I:$I,1))))</f>
        <v/>
      </c>
      <c r="Q558" s="1"/>
      <c r="R558" s="1"/>
      <c r="S558" s="1" t="str">
        <f>IF(A558="","",COUNTIFS(Assignments!$B:$B,A558,Assignments!$AE:$AE, "Y",Assignments!$D:$D,"&gt;="&amp;TODAY()-30))</f>
        <v/>
      </c>
      <c r="T558" s="1" t="str">
        <f>IF(A558="","",COUNTIFS(Assignments!$AF:$AF,A558,Assignments!$AE:$AE, "Y",Assignments!$D:$D,"&gt;="&amp;TODAY()-30))</f>
        <v/>
      </c>
      <c r="U558" s="1" t="str">
        <f>IF(A558="","",IFERROR(S558/MAX(1,COUNTIFS(Assignments!$B:$B,A558,Assignments!$D:$D,"&gt;="&amp;TODAY()-30)),""))</f>
        <v/>
      </c>
      <c r="V558" s="1" t="str">
        <f t="shared" si="4"/>
        <v/>
      </c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 t="str">
        <f>IF(A559="","",IFERROR(AVERAGEIFS(Assignments!$AO:$AO,Assignments!$B:$B,A559,Assignments!$E:$E,"Completed"),""))</f>
        <v/>
      </c>
      <c r="L559" s="2"/>
      <c r="M559" s="2"/>
      <c r="N559" s="2"/>
      <c r="O559" s="2"/>
      <c r="P559" s="1" t="str">
        <f>IF(A559="","",MAX(0,MIN(3,SUMIFS(Strike_Log!$C:$C,Strike_Log!$B:$B,A559,Strike_Log!$A:$A,"&gt;="&amp;IF(Config!$B$1004="Y",TODAY()-Config!$B$1005,DATE(1900,1,1)),Strike_Log!$I:$I,1))))</f>
        <v/>
      </c>
      <c r="Q559" s="1"/>
      <c r="R559" s="1"/>
      <c r="S559" s="1" t="str">
        <f>IF(A559="","",COUNTIFS(Assignments!$B:$B,A559,Assignments!$AE:$AE, "Y",Assignments!$D:$D,"&gt;="&amp;TODAY()-30))</f>
        <v/>
      </c>
      <c r="T559" s="1" t="str">
        <f>IF(A559="","",COUNTIFS(Assignments!$AF:$AF,A559,Assignments!$AE:$AE, "Y",Assignments!$D:$D,"&gt;="&amp;TODAY()-30))</f>
        <v/>
      </c>
      <c r="U559" s="1" t="str">
        <f>IF(A559="","",IFERROR(S559/MAX(1,COUNTIFS(Assignments!$B:$B,A559,Assignments!$D:$D,"&gt;="&amp;TODAY()-30)),""))</f>
        <v/>
      </c>
      <c r="V559" s="1" t="str">
        <f t="shared" si="4"/>
        <v/>
      </c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 t="str">
        <f>IF(A560="","",IFERROR(AVERAGEIFS(Assignments!$AO:$AO,Assignments!$B:$B,A560,Assignments!$E:$E,"Completed"),""))</f>
        <v/>
      </c>
      <c r="L560" s="2"/>
      <c r="M560" s="2"/>
      <c r="N560" s="2"/>
      <c r="O560" s="2"/>
      <c r="P560" s="1" t="str">
        <f>IF(A560="","",MAX(0,MIN(3,SUMIFS(Strike_Log!$C:$C,Strike_Log!$B:$B,A560,Strike_Log!$A:$A,"&gt;="&amp;IF(Config!$B$1004="Y",TODAY()-Config!$B$1005,DATE(1900,1,1)),Strike_Log!$I:$I,1))))</f>
        <v/>
      </c>
      <c r="Q560" s="1"/>
      <c r="R560" s="1"/>
      <c r="S560" s="1" t="str">
        <f>IF(A560="","",COUNTIFS(Assignments!$B:$B,A560,Assignments!$AE:$AE, "Y",Assignments!$D:$D,"&gt;="&amp;TODAY()-30))</f>
        <v/>
      </c>
      <c r="T560" s="1" t="str">
        <f>IF(A560="","",COUNTIFS(Assignments!$AF:$AF,A560,Assignments!$AE:$AE, "Y",Assignments!$D:$D,"&gt;="&amp;TODAY()-30))</f>
        <v/>
      </c>
      <c r="U560" s="1" t="str">
        <f>IF(A560="","",IFERROR(S560/MAX(1,COUNTIFS(Assignments!$B:$B,A560,Assignments!$D:$D,"&gt;="&amp;TODAY()-30)),""))</f>
        <v/>
      </c>
      <c r="V560" s="1" t="str">
        <f t="shared" si="4"/>
        <v/>
      </c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 t="str">
        <f>IF(A561="","",IFERROR(AVERAGEIFS(Assignments!$AO:$AO,Assignments!$B:$B,A561,Assignments!$E:$E,"Completed"),""))</f>
        <v/>
      </c>
      <c r="L561" s="2"/>
      <c r="M561" s="2"/>
      <c r="N561" s="2"/>
      <c r="O561" s="2"/>
      <c r="P561" s="1" t="str">
        <f>IF(A561="","",MAX(0,MIN(3,SUMIFS(Strike_Log!$C:$C,Strike_Log!$B:$B,A561,Strike_Log!$A:$A,"&gt;="&amp;IF(Config!$B$1004="Y",TODAY()-Config!$B$1005,DATE(1900,1,1)),Strike_Log!$I:$I,1))))</f>
        <v/>
      </c>
      <c r="Q561" s="1"/>
      <c r="R561" s="1"/>
      <c r="S561" s="1" t="str">
        <f>IF(A561="","",COUNTIFS(Assignments!$B:$B,A561,Assignments!$AE:$AE, "Y",Assignments!$D:$D,"&gt;="&amp;TODAY()-30))</f>
        <v/>
      </c>
      <c r="T561" s="1" t="str">
        <f>IF(A561="","",COUNTIFS(Assignments!$AF:$AF,A561,Assignments!$AE:$AE, "Y",Assignments!$D:$D,"&gt;="&amp;TODAY()-30))</f>
        <v/>
      </c>
      <c r="U561" s="1" t="str">
        <f>IF(A561="","",IFERROR(S561/MAX(1,COUNTIFS(Assignments!$B:$B,A561,Assignments!$D:$D,"&gt;="&amp;TODAY()-30)),""))</f>
        <v/>
      </c>
      <c r="V561" s="1" t="str">
        <f t="shared" si="4"/>
        <v/>
      </c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 t="str">
        <f>IF(A562="","",IFERROR(AVERAGEIFS(Assignments!$AO:$AO,Assignments!$B:$B,A562,Assignments!$E:$E,"Completed"),""))</f>
        <v/>
      </c>
      <c r="L562" s="2"/>
      <c r="M562" s="2"/>
      <c r="N562" s="2"/>
      <c r="O562" s="2"/>
      <c r="P562" s="1" t="str">
        <f>IF(A562="","",MAX(0,MIN(3,SUMIFS(Strike_Log!$C:$C,Strike_Log!$B:$B,A562,Strike_Log!$A:$A,"&gt;="&amp;IF(Config!$B$1004="Y",TODAY()-Config!$B$1005,DATE(1900,1,1)),Strike_Log!$I:$I,1))))</f>
        <v/>
      </c>
      <c r="Q562" s="1"/>
      <c r="R562" s="1"/>
      <c r="S562" s="1" t="str">
        <f>IF(A562="","",COUNTIFS(Assignments!$B:$B,A562,Assignments!$AE:$AE, "Y",Assignments!$D:$D,"&gt;="&amp;TODAY()-30))</f>
        <v/>
      </c>
      <c r="T562" s="1" t="str">
        <f>IF(A562="","",COUNTIFS(Assignments!$AF:$AF,A562,Assignments!$AE:$AE, "Y",Assignments!$D:$D,"&gt;="&amp;TODAY()-30))</f>
        <v/>
      </c>
      <c r="U562" s="1" t="str">
        <f>IF(A562="","",IFERROR(S562/MAX(1,COUNTIFS(Assignments!$B:$B,A562,Assignments!$D:$D,"&gt;="&amp;TODAY()-30)),""))</f>
        <v/>
      </c>
      <c r="V562" s="1" t="str">
        <f t="shared" si="4"/>
        <v/>
      </c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 t="str">
        <f>IF(A563="","",IFERROR(AVERAGEIFS(Assignments!$AO:$AO,Assignments!$B:$B,A563,Assignments!$E:$E,"Completed"),""))</f>
        <v/>
      </c>
      <c r="L563" s="2"/>
      <c r="M563" s="2"/>
      <c r="N563" s="2"/>
      <c r="O563" s="2"/>
      <c r="P563" s="1" t="str">
        <f>IF(A563="","",MAX(0,MIN(3,SUMIFS(Strike_Log!$C:$C,Strike_Log!$B:$B,A563,Strike_Log!$A:$A,"&gt;="&amp;IF(Config!$B$1004="Y",TODAY()-Config!$B$1005,DATE(1900,1,1)),Strike_Log!$I:$I,1))))</f>
        <v/>
      </c>
      <c r="Q563" s="1"/>
      <c r="R563" s="1"/>
      <c r="S563" s="1" t="str">
        <f>IF(A563="","",COUNTIFS(Assignments!$B:$B,A563,Assignments!$AE:$AE, "Y",Assignments!$D:$D,"&gt;="&amp;TODAY()-30))</f>
        <v/>
      </c>
      <c r="T563" s="1" t="str">
        <f>IF(A563="","",COUNTIFS(Assignments!$AF:$AF,A563,Assignments!$AE:$AE, "Y",Assignments!$D:$D,"&gt;="&amp;TODAY()-30))</f>
        <v/>
      </c>
      <c r="U563" s="1" t="str">
        <f>IF(A563="","",IFERROR(S563/MAX(1,COUNTIFS(Assignments!$B:$B,A563,Assignments!$D:$D,"&gt;="&amp;TODAY()-30)),""))</f>
        <v/>
      </c>
      <c r="V563" s="1" t="str">
        <f t="shared" si="4"/>
        <v/>
      </c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 t="str">
        <f>IF(A564="","",IFERROR(AVERAGEIFS(Assignments!$AO:$AO,Assignments!$B:$B,A564,Assignments!$E:$E,"Completed"),""))</f>
        <v/>
      </c>
      <c r="L564" s="2"/>
      <c r="M564" s="2"/>
      <c r="N564" s="2"/>
      <c r="O564" s="2"/>
      <c r="P564" s="1" t="str">
        <f>IF(A564="","",MAX(0,MIN(3,SUMIFS(Strike_Log!$C:$C,Strike_Log!$B:$B,A564,Strike_Log!$A:$A,"&gt;="&amp;IF(Config!$B$1004="Y",TODAY()-Config!$B$1005,DATE(1900,1,1)),Strike_Log!$I:$I,1))))</f>
        <v/>
      </c>
      <c r="Q564" s="1"/>
      <c r="R564" s="1"/>
      <c r="S564" s="1" t="str">
        <f>IF(A564="","",COUNTIFS(Assignments!$B:$B,A564,Assignments!$AE:$AE, "Y",Assignments!$D:$D,"&gt;="&amp;TODAY()-30))</f>
        <v/>
      </c>
      <c r="T564" s="1" t="str">
        <f>IF(A564="","",COUNTIFS(Assignments!$AF:$AF,A564,Assignments!$AE:$AE, "Y",Assignments!$D:$D,"&gt;="&amp;TODAY()-30))</f>
        <v/>
      </c>
      <c r="U564" s="1" t="str">
        <f>IF(A564="","",IFERROR(S564/MAX(1,COUNTIFS(Assignments!$B:$B,A564,Assignments!$D:$D,"&gt;="&amp;TODAY()-30)),""))</f>
        <v/>
      </c>
      <c r="V564" s="1" t="str">
        <f t="shared" si="4"/>
        <v/>
      </c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 t="str">
        <f>IF(A565="","",IFERROR(AVERAGEIFS(Assignments!$AO:$AO,Assignments!$B:$B,A565,Assignments!$E:$E,"Completed"),""))</f>
        <v/>
      </c>
      <c r="L565" s="2"/>
      <c r="M565" s="2"/>
      <c r="N565" s="2"/>
      <c r="O565" s="2"/>
      <c r="P565" s="1" t="str">
        <f>IF(A565="","",MAX(0,MIN(3,SUMIFS(Strike_Log!$C:$C,Strike_Log!$B:$B,A565,Strike_Log!$A:$A,"&gt;="&amp;IF(Config!$B$1004="Y",TODAY()-Config!$B$1005,DATE(1900,1,1)),Strike_Log!$I:$I,1))))</f>
        <v/>
      </c>
      <c r="Q565" s="1"/>
      <c r="R565" s="1"/>
      <c r="S565" s="1" t="str">
        <f>IF(A565="","",COUNTIFS(Assignments!$B:$B,A565,Assignments!$AE:$AE, "Y",Assignments!$D:$D,"&gt;="&amp;TODAY()-30))</f>
        <v/>
      </c>
      <c r="T565" s="1" t="str">
        <f>IF(A565="","",COUNTIFS(Assignments!$AF:$AF,A565,Assignments!$AE:$AE, "Y",Assignments!$D:$D,"&gt;="&amp;TODAY()-30))</f>
        <v/>
      </c>
      <c r="U565" s="1" t="str">
        <f>IF(A565="","",IFERROR(S565/MAX(1,COUNTIFS(Assignments!$B:$B,A565,Assignments!$D:$D,"&gt;="&amp;TODAY()-30)),""))</f>
        <v/>
      </c>
      <c r="V565" s="1" t="str">
        <f t="shared" si="4"/>
        <v/>
      </c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 t="str">
        <f>IF(A566="","",IFERROR(AVERAGEIFS(Assignments!$AO:$AO,Assignments!$B:$B,A566,Assignments!$E:$E,"Completed"),""))</f>
        <v/>
      </c>
      <c r="L566" s="2"/>
      <c r="M566" s="2"/>
      <c r="N566" s="2"/>
      <c r="O566" s="2"/>
      <c r="P566" s="1" t="str">
        <f>IF(A566="","",MAX(0,MIN(3,SUMIFS(Strike_Log!$C:$C,Strike_Log!$B:$B,A566,Strike_Log!$A:$A,"&gt;="&amp;IF(Config!$B$1004="Y",TODAY()-Config!$B$1005,DATE(1900,1,1)),Strike_Log!$I:$I,1))))</f>
        <v/>
      </c>
      <c r="Q566" s="1"/>
      <c r="R566" s="1"/>
      <c r="S566" s="1" t="str">
        <f>IF(A566="","",COUNTIFS(Assignments!$B:$B,A566,Assignments!$AE:$AE, "Y",Assignments!$D:$D,"&gt;="&amp;TODAY()-30))</f>
        <v/>
      </c>
      <c r="T566" s="1" t="str">
        <f>IF(A566="","",COUNTIFS(Assignments!$AF:$AF,A566,Assignments!$AE:$AE, "Y",Assignments!$D:$D,"&gt;="&amp;TODAY()-30))</f>
        <v/>
      </c>
      <c r="U566" s="1" t="str">
        <f>IF(A566="","",IFERROR(S566/MAX(1,COUNTIFS(Assignments!$B:$B,A566,Assignments!$D:$D,"&gt;="&amp;TODAY()-30)),""))</f>
        <v/>
      </c>
      <c r="V566" s="1" t="str">
        <f t="shared" si="4"/>
        <v/>
      </c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 t="str">
        <f>IF(A567="","",IFERROR(AVERAGEIFS(Assignments!$AO:$AO,Assignments!$B:$B,A567,Assignments!$E:$E,"Completed"),""))</f>
        <v/>
      </c>
      <c r="L567" s="2"/>
      <c r="M567" s="2"/>
      <c r="N567" s="2"/>
      <c r="O567" s="2"/>
      <c r="P567" s="1" t="str">
        <f>IF(A567="","",MAX(0,MIN(3,SUMIFS(Strike_Log!$C:$C,Strike_Log!$B:$B,A567,Strike_Log!$A:$A,"&gt;="&amp;IF(Config!$B$1004="Y",TODAY()-Config!$B$1005,DATE(1900,1,1)),Strike_Log!$I:$I,1))))</f>
        <v/>
      </c>
      <c r="Q567" s="1"/>
      <c r="R567" s="1"/>
      <c r="S567" s="1" t="str">
        <f>IF(A567="","",COUNTIFS(Assignments!$B:$B,A567,Assignments!$AE:$AE, "Y",Assignments!$D:$D,"&gt;="&amp;TODAY()-30))</f>
        <v/>
      </c>
      <c r="T567" s="1" t="str">
        <f>IF(A567="","",COUNTIFS(Assignments!$AF:$AF,A567,Assignments!$AE:$AE, "Y",Assignments!$D:$D,"&gt;="&amp;TODAY()-30))</f>
        <v/>
      </c>
      <c r="U567" s="1" t="str">
        <f>IF(A567="","",IFERROR(S567/MAX(1,COUNTIFS(Assignments!$B:$B,A567,Assignments!$D:$D,"&gt;="&amp;TODAY()-30)),""))</f>
        <v/>
      </c>
      <c r="V567" s="1" t="str">
        <f t="shared" si="4"/>
        <v/>
      </c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 t="str">
        <f>IF(A568="","",IFERROR(AVERAGEIFS(Assignments!$AO:$AO,Assignments!$B:$B,A568,Assignments!$E:$E,"Completed"),""))</f>
        <v/>
      </c>
      <c r="L568" s="2"/>
      <c r="M568" s="2"/>
      <c r="N568" s="2"/>
      <c r="O568" s="2"/>
      <c r="P568" s="1" t="str">
        <f>IF(A568="","",MAX(0,MIN(3,SUMIFS(Strike_Log!$C:$C,Strike_Log!$B:$B,A568,Strike_Log!$A:$A,"&gt;="&amp;IF(Config!$B$1004="Y",TODAY()-Config!$B$1005,DATE(1900,1,1)),Strike_Log!$I:$I,1))))</f>
        <v/>
      </c>
      <c r="Q568" s="1"/>
      <c r="R568" s="1"/>
      <c r="S568" s="1" t="str">
        <f>IF(A568="","",COUNTIFS(Assignments!$B:$B,A568,Assignments!$AE:$AE, "Y",Assignments!$D:$D,"&gt;="&amp;TODAY()-30))</f>
        <v/>
      </c>
      <c r="T568" s="1" t="str">
        <f>IF(A568="","",COUNTIFS(Assignments!$AF:$AF,A568,Assignments!$AE:$AE, "Y",Assignments!$D:$D,"&gt;="&amp;TODAY()-30))</f>
        <v/>
      </c>
      <c r="U568" s="1" t="str">
        <f>IF(A568="","",IFERROR(S568/MAX(1,COUNTIFS(Assignments!$B:$B,A568,Assignments!$D:$D,"&gt;="&amp;TODAY()-30)),""))</f>
        <v/>
      </c>
      <c r="V568" s="1" t="str">
        <f t="shared" si="4"/>
        <v/>
      </c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 t="str">
        <f>IF(A569="","",IFERROR(AVERAGEIFS(Assignments!$AO:$AO,Assignments!$B:$B,A569,Assignments!$E:$E,"Completed"),""))</f>
        <v/>
      </c>
      <c r="L569" s="2"/>
      <c r="M569" s="2"/>
      <c r="N569" s="2"/>
      <c r="O569" s="2"/>
      <c r="P569" s="1" t="str">
        <f>IF(A569="","",MAX(0,MIN(3,SUMIFS(Strike_Log!$C:$C,Strike_Log!$B:$B,A569,Strike_Log!$A:$A,"&gt;="&amp;IF(Config!$B$1004="Y",TODAY()-Config!$B$1005,DATE(1900,1,1)),Strike_Log!$I:$I,1))))</f>
        <v/>
      </c>
      <c r="Q569" s="1"/>
      <c r="R569" s="1"/>
      <c r="S569" s="1" t="str">
        <f>IF(A569="","",COUNTIFS(Assignments!$B:$B,A569,Assignments!$AE:$AE, "Y",Assignments!$D:$D,"&gt;="&amp;TODAY()-30))</f>
        <v/>
      </c>
      <c r="T569" s="1" t="str">
        <f>IF(A569="","",COUNTIFS(Assignments!$AF:$AF,A569,Assignments!$AE:$AE, "Y",Assignments!$D:$D,"&gt;="&amp;TODAY()-30))</f>
        <v/>
      </c>
      <c r="U569" s="1" t="str">
        <f>IF(A569="","",IFERROR(S569/MAX(1,COUNTIFS(Assignments!$B:$B,A569,Assignments!$D:$D,"&gt;="&amp;TODAY()-30)),""))</f>
        <v/>
      </c>
      <c r="V569" s="1" t="str">
        <f t="shared" si="4"/>
        <v/>
      </c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 t="str">
        <f>IF(A570="","",IFERROR(AVERAGEIFS(Assignments!$AO:$AO,Assignments!$B:$B,A570,Assignments!$E:$E,"Completed"),""))</f>
        <v/>
      </c>
      <c r="L570" s="2"/>
      <c r="M570" s="2"/>
      <c r="N570" s="2"/>
      <c r="O570" s="2"/>
      <c r="P570" s="1" t="str">
        <f>IF(A570="","",MAX(0,MIN(3,SUMIFS(Strike_Log!$C:$C,Strike_Log!$B:$B,A570,Strike_Log!$A:$A,"&gt;="&amp;IF(Config!$B$1004="Y",TODAY()-Config!$B$1005,DATE(1900,1,1)),Strike_Log!$I:$I,1))))</f>
        <v/>
      </c>
      <c r="Q570" s="1"/>
      <c r="R570" s="1"/>
      <c r="S570" s="1" t="str">
        <f>IF(A570="","",COUNTIFS(Assignments!$B:$B,A570,Assignments!$AE:$AE, "Y",Assignments!$D:$D,"&gt;="&amp;TODAY()-30))</f>
        <v/>
      </c>
      <c r="T570" s="1" t="str">
        <f>IF(A570="","",COUNTIFS(Assignments!$AF:$AF,A570,Assignments!$AE:$AE, "Y",Assignments!$D:$D,"&gt;="&amp;TODAY()-30))</f>
        <v/>
      </c>
      <c r="U570" s="1" t="str">
        <f>IF(A570="","",IFERROR(S570/MAX(1,COUNTIFS(Assignments!$B:$B,A570,Assignments!$D:$D,"&gt;="&amp;TODAY()-30)),""))</f>
        <v/>
      </c>
      <c r="V570" s="1" t="str">
        <f t="shared" si="4"/>
        <v/>
      </c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 t="str">
        <f>IF(A571="","",IFERROR(AVERAGEIFS(Assignments!$AO:$AO,Assignments!$B:$B,A571,Assignments!$E:$E,"Completed"),""))</f>
        <v/>
      </c>
      <c r="L571" s="2"/>
      <c r="M571" s="2"/>
      <c r="N571" s="2"/>
      <c r="O571" s="2"/>
      <c r="P571" s="1" t="str">
        <f>IF(A571="","",MAX(0,MIN(3,SUMIFS(Strike_Log!$C:$C,Strike_Log!$B:$B,A571,Strike_Log!$A:$A,"&gt;="&amp;IF(Config!$B$1004="Y",TODAY()-Config!$B$1005,DATE(1900,1,1)),Strike_Log!$I:$I,1))))</f>
        <v/>
      </c>
      <c r="Q571" s="1"/>
      <c r="R571" s="1"/>
      <c r="S571" s="1" t="str">
        <f>IF(A571="","",COUNTIFS(Assignments!$B:$B,A571,Assignments!$AE:$AE, "Y",Assignments!$D:$D,"&gt;="&amp;TODAY()-30))</f>
        <v/>
      </c>
      <c r="T571" s="1" t="str">
        <f>IF(A571="","",COUNTIFS(Assignments!$AF:$AF,A571,Assignments!$AE:$AE, "Y",Assignments!$D:$D,"&gt;="&amp;TODAY()-30))</f>
        <v/>
      </c>
      <c r="U571" s="1" t="str">
        <f>IF(A571="","",IFERROR(S571/MAX(1,COUNTIFS(Assignments!$B:$B,A571,Assignments!$D:$D,"&gt;="&amp;TODAY()-30)),""))</f>
        <v/>
      </c>
      <c r="V571" s="1" t="str">
        <f t="shared" si="4"/>
        <v/>
      </c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 t="str">
        <f>IF(A572="","",IFERROR(AVERAGEIFS(Assignments!$AO:$AO,Assignments!$B:$B,A572,Assignments!$E:$E,"Completed"),""))</f>
        <v/>
      </c>
      <c r="L572" s="2"/>
      <c r="M572" s="2"/>
      <c r="N572" s="2"/>
      <c r="O572" s="2"/>
      <c r="P572" s="1" t="str">
        <f>IF(A572="","",MAX(0,MIN(3,SUMIFS(Strike_Log!$C:$C,Strike_Log!$B:$B,A572,Strike_Log!$A:$A,"&gt;="&amp;IF(Config!$B$1004="Y",TODAY()-Config!$B$1005,DATE(1900,1,1)),Strike_Log!$I:$I,1))))</f>
        <v/>
      </c>
      <c r="Q572" s="1"/>
      <c r="R572" s="1"/>
      <c r="S572" s="1" t="str">
        <f>IF(A572="","",COUNTIFS(Assignments!$B:$B,A572,Assignments!$AE:$AE, "Y",Assignments!$D:$D,"&gt;="&amp;TODAY()-30))</f>
        <v/>
      </c>
      <c r="T572" s="1" t="str">
        <f>IF(A572="","",COUNTIFS(Assignments!$AF:$AF,A572,Assignments!$AE:$AE, "Y",Assignments!$D:$D,"&gt;="&amp;TODAY()-30))</f>
        <v/>
      </c>
      <c r="U572" s="1" t="str">
        <f>IF(A572="","",IFERROR(S572/MAX(1,COUNTIFS(Assignments!$B:$B,A572,Assignments!$D:$D,"&gt;="&amp;TODAY()-30)),""))</f>
        <v/>
      </c>
      <c r="V572" s="1" t="str">
        <f t="shared" si="4"/>
        <v/>
      </c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 t="str">
        <f>IF(A573="","",IFERROR(AVERAGEIFS(Assignments!$AO:$AO,Assignments!$B:$B,A573,Assignments!$E:$E,"Completed"),""))</f>
        <v/>
      </c>
      <c r="L573" s="2"/>
      <c r="M573" s="2"/>
      <c r="N573" s="2"/>
      <c r="O573" s="2"/>
      <c r="P573" s="1" t="str">
        <f>IF(A573="","",MAX(0,MIN(3,SUMIFS(Strike_Log!$C:$C,Strike_Log!$B:$B,A573,Strike_Log!$A:$A,"&gt;="&amp;IF(Config!$B$1004="Y",TODAY()-Config!$B$1005,DATE(1900,1,1)),Strike_Log!$I:$I,1))))</f>
        <v/>
      </c>
      <c r="Q573" s="1"/>
      <c r="R573" s="1"/>
      <c r="S573" s="1" t="str">
        <f>IF(A573="","",COUNTIFS(Assignments!$B:$B,A573,Assignments!$AE:$AE, "Y",Assignments!$D:$D,"&gt;="&amp;TODAY()-30))</f>
        <v/>
      </c>
      <c r="T573" s="1" t="str">
        <f>IF(A573="","",COUNTIFS(Assignments!$AF:$AF,A573,Assignments!$AE:$AE, "Y",Assignments!$D:$D,"&gt;="&amp;TODAY()-30))</f>
        <v/>
      </c>
      <c r="U573" s="1" t="str">
        <f>IF(A573="","",IFERROR(S573/MAX(1,COUNTIFS(Assignments!$B:$B,A573,Assignments!$D:$D,"&gt;="&amp;TODAY()-30)),""))</f>
        <v/>
      </c>
      <c r="V573" s="1" t="str">
        <f t="shared" si="4"/>
        <v/>
      </c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 t="str">
        <f>IF(A574="","",IFERROR(AVERAGEIFS(Assignments!$AO:$AO,Assignments!$B:$B,A574,Assignments!$E:$E,"Completed"),""))</f>
        <v/>
      </c>
      <c r="L574" s="2"/>
      <c r="M574" s="2"/>
      <c r="N574" s="2"/>
      <c r="O574" s="2"/>
      <c r="P574" s="1" t="str">
        <f>IF(A574="","",MAX(0,MIN(3,SUMIFS(Strike_Log!$C:$C,Strike_Log!$B:$B,A574,Strike_Log!$A:$A,"&gt;="&amp;IF(Config!$B$1004="Y",TODAY()-Config!$B$1005,DATE(1900,1,1)),Strike_Log!$I:$I,1))))</f>
        <v/>
      </c>
      <c r="Q574" s="1"/>
      <c r="R574" s="1"/>
      <c r="S574" s="1" t="str">
        <f>IF(A574="","",COUNTIFS(Assignments!$B:$B,A574,Assignments!$AE:$AE, "Y",Assignments!$D:$D,"&gt;="&amp;TODAY()-30))</f>
        <v/>
      </c>
      <c r="T574" s="1" t="str">
        <f>IF(A574="","",COUNTIFS(Assignments!$AF:$AF,A574,Assignments!$AE:$AE, "Y",Assignments!$D:$D,"&gt;="&amp;TODAY()-30))</f>
        <v/>
      </c>
      <c r="U574" s="1" t="str">
        <f>IF(A574="","",IFERROR(S574/MAX(1,COUNTIFS(Assignments!$B:$B,A574,Assignments!$D:$D,"&gt;="&amp;TODAY()-30)),""))</f>
        <v/>
      </c>
      <c r="V574" s="1" t="str">
        <f t="shared" si="4"/>
        <v/>
      </c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 t="str">
        <f>IF(A575="","",IFERROR(AVERAGEIFS(Assignments!$AO:$AO,Assignments!$B:$B,A575,Assignments!$E:$E,"Completed"),""))</f>
        <v/>
      </c>
      <c r="L575" s="2"/>
      <c r="M575" s="2"/>
      <c r="N575" s="2"/>
      <c r="O575" s="2"/>
      <c r="P575" s="1" t="str">
        <f>IF(A575="","",MAX(0,MIN(3,SUMIFS(Strike_Log!$C:$C,Strike_Log!$B:$B,A575,Strike_Log!$A:$A,"&gt;="&amp;IF(Config!$B$1004="Y",TODAY()-Config!$B$1005,DATE(1900,1,1)),Strike_Log!$I:$I,1))))</f>
        <v/>
      </c>
      <c r="Q575" s="1"/>
      <c r="R575" s="1"/>
      <c r="S575" s="1" t="str">
        <f>IF(A575="","",COUNTIFS(Assignments!$B:$B,A575,Assignments!$AE:$AE, "Y",Assignments!$D:$D,"&gt;="&amp;TODAY()-30))</f>
        <v/>
      </c>
      <c r="T575" s="1" t="str">
        <f>IF(A575="","",COUNTIFS(Assignments!$AF:$AF,A575,Assignments!$AE:$AE, "Y",Assignments!$D:$D,"&gt;="&amp;TODAY()-30))</f>
        <v/>
      </c>
      <c r="U575" s="1" t="str">
        <f>IF(A575="","",IFERROR(S575/MAX(1,COUNTIFS(Assignments!$B:$B,A575,Assignments!$D:$D,"&gt;="&amp;TODAY()-30)),""))</f>
        <v/>
      </c>
      <c r="V575" s="1" t="str">
        <f t="shared" si="4"/>
        <v/>
      </c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 t="str">
        <f>IF(A576="","",IFERROR(AVERAGEIFS(Assignments!$AO:$AO,Assignments!$B:$B,A576,Assignments!$E:$E,"Completed"),""))</f>
        <v/>
      </c>
      <c r="L576" s="2"/>
      <c r="M576" s="2"/>
      <c r="N576" s="2"/>
      <c r="O576" s="2"/>
      <c r="P576" s="1" t="str">
        <f>IF(A576="","",MAX(0,MIN(3,SUMIFS(Strike_Log!$C:$C,Strike_Log!$B:$B,A576,Strike_Log!$A:$A,"&gt;="&amp;IF(Config!$B$1004="Y",TODAY()-Config!$B$1005,DATE(1900,1,1)),Strike_Log!$I:$I,1))))</f>
        <v/>
      </c>
      <c r="Q576" s="1"/>
      <c r="R576" s="1"/>
      <c r="S576" s="1" t="str">
        <f>IF(A576="","",COUNTIFS(Assignments!$B:$B,A576,Assignments!$AE:$AE, "Y",Assignments!$D:$D,"&gt;="&amp;TODAY()-30))</f>
        <v/>
      </c>
      <c r="T576" s="1" t="str">
        <f>IF(A576="","",COUNTIFS(Assignments!$AF:$AF,A576,Assignments!$AE:$AE, "Y",Assignments!$D:$D,"&gt;="&amp;TODAY()-30))</f>
        <v/>
      </c>
      <c r="U576" s="1" t="str">
        <f>IF(A576="","",IFERROR(S576/MAX(1,COUNTIFS(Assignments!$B:$B,A576,Assignments!$D:$D,"&gt;="&amp;TODAY()-30)),""))</f>
        <v/>
      </c>
      <c r="V576" s="1" t="str">
        <f t="shared" si="4"/>
        <v/>
      </c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 t="str">
        <f>IF(A577="","",IFERROR(AVERAGEIFS(Assignments!$AO:$AO,Assignments!$B:$B,A577,Assignments!$E:$E,"Completed"),""))</f>
        <v/>
      </c>
      <c r="L577" s="2"/>
      <c r="M577" s="2"/>
      <c r="N577" s="2"/>
      <c r="O577" s="2"/>
      <c r="P577" s="1" t="str">
        <f>IF(A577="","",MAX(0,MIN(3,SUMIFS(Strike_Log!$C:$C,Strike_Log!$B:$B,A577,Strike_Log!$A:$A,"&gt;="&amp;IF(Config!$B$1004="Y",TODAY()-Config!$B$1005,DATE(1900,1,1)),Strike_Log!$I:$I,1))))</f>
        <v/>
      </c>
      <c r="Q577" s="1"/>
      <c r="R577" s="1"/>
      <c r="S577" s="1" t="str">
        <f>IF(A577="","",COUNTIFS(Assignments!$B:$B,A577,Assignments!$AE:$AE, "Y",Assignments!$D:$D,"&gt;="&amp;TODAY()-30))</f>
        <v/>
      </c>
      <c r="T577" s="1" t="str">
        <f>IF(A577="","",COUNTIFS(Assignments!$AF:$AF,A577,Assignments!$AE:$AE, "Y",Assignments!$D:$D,"&gt;="&amp;TODAY()-30))</f>
        <v/>
      </c>
      <c r="U577" s="1" t="str">
        <f>IF(A577="","",IFERROR(S577/MAX(1,COUNTIFS(Assignments!$B:$B,A577,Assignments!$D:$D,"&gt;="&amp;TODAY()-30)),""))</f>
        <v/>
      </c>
      <c r="V577" s="1" t="str">
        <f t="shared" si="4"/>
        <v/>
      </c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 t="str">
        <f>IF(A578="","",IFERROR(AVERAGEIFS(Assignments!$AO:$AO,Assignments!$B:$B,A578,Assignments!$E:$E,"Completed"),""))</f>
        <v/>
      </c>
      <c r="L578" s="2"/>
      <c r="M578" s="2"/>
      <c r="N578" s="2"/>
      <c r="O578" s="2"/>
      <c r="P578" s="1" t="str">
        <f>IF(A578="","",MAX(0,MIN(3,SUMIFS(Strike_Log!$C:$C,Strike_Log!$B:$B,A578,Strike_Log!$A:$A,"&gt;="&amp;IF(Config!$B$1004="Y",TODAY()-Config!$B$1005,DATE(1900,1,1)),Strike_Log!$I:$I,1))))</f>
        <v/>
      </c>
      <c r="Q578" s="1"/>
      <c r="R578" s="1"/>
      <c r="S578" s="1" t="str">
        <f>IF(A578="","",COUNTIFS(Assignments!$B:$B,A578,Assignments!$AE:$AE, "Y",Assignments!$D:$D,"&gt;="&amp;TODAY()-30))</f>
        <v/>
      </c>
      <c r="T578" s="1" t="str">
        <f>IF(A578="","",COUNTIFS(Assignments!$AF:$AF,A578,Assignments!$AE:$AE, "Y",Assignments!$D:$D,"&gt;="&amp;TODAY()-30))</f>
        <v/>
      </c>
      <c r="U578" s="1" t="str">
        <f>IF(A578="","",IFERROR(S578/MAX(1,COUNTIFS(Assignments!$B:$B,A578,Assignments!$D:$D,"&gt;="&amp;TODAY()-30)),""))</f>
        <v/>
      </c>
      <c r="V578" s="1" t="str">
        <f t="shared" si="4"/>
        <v/>
      </c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 t="str">
        <f>IF(A579="","",IFERROR(AVERAGEIFS(Assignments!$AO:$AO,Assignments!$B:$B,A579,Assignments!$E:$E,"Completed"),""))</f>
        <v/>
      </c>
      <c r="L579" s="2"/>
      <c r="M579" s="2"/>
      <c r="N579" s="2"/>
      <c r="O579" s="2"/>
      <c r="P579" s="1" t="str">
        <f>IF(A579="","",MAX(0,MIN(3,SUMIFS(Strike_Log!$C:$C,Strike_Log!$B:$B,A579,Strike_Log!$A:$A,"&gt;="&amp;IF(Config!$B$1004="Y",TODAY()-Config!$B$1005,DATE(1900,1,1)),Strike_Log!$I:$I,1))))</f>
        <v/>
      </c>
      <c r="Q579" s="1"/>
      <c r="R579" s="1"/>
      <c r="S579" s="1" t="str">
        <f>IF(A579="","",COUNTIFS(Assignments!$B:$B,A579,Assignments!$AE:$AE, "Y",Assignments!$D:$D,"&gt;="&amp;TODAY()-30))</f>
        <v/>
      </c>
      <c r="T579" s="1" t="str">
        <f>IF(A579="","",COUNTIFS(Assignments!$AF:$AF,A579,Assignments!$AE:$AE, "Y",Assignments!$D:$D,"&gt;="&amp;TODAY()-30))</f>
        <v/>
      </c>
      <c r="U579" s="1" t="str">
        <f>IF(A579="","",IFERROR(S579/MAX(1,COUNTIFS(Assignments!$B:$B,A579,Assignments!$D:$D,"&gt;="&amp;TODAY()-30)),""))</f>
        <v/>
      </c>
      <c r="V579" s="1" t="str">
        <f t="shared" si="4"/>
        <v/>
      </c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 t="str">
        <f>IF(A580="","",IFERROR(AVERAGEIFS(Assignments!$AO:$AO,Assignments!$B:$B,A580,Assignments!$E:$E,"Completed"),""))</f>
        <v/>
      </c>
      <c r="L580" s="2"/>
      <c r="M580" s="2"/>
      <c r="N580" s="2"/>
      <c r="O580" s="2"/>
      <c r="P580" s="1" t="str">
        <f>IF(A580="","",MAX(0,MIN(3,SUMIFS(Strike_Log!$C:$C,Strike_Log!$B:$B,A580,Strike_Log!$A:$A,"&gt;="&amp;IF(Config!$B$1004="Y",TODAY()-Config!$B$1005,DATE(1900,1,1)),Strike_Log!$I:$I,1))))</f>
        <v/>
      </c>
      <c r="Q580" s="1"/>
      <c r="R580" s="1"/>
      <c r="S580" s="1" t="str">
        <f>IF(A580="","",COUNTIFS(Assignments!$B:$B,A580,Assignments!$AE:$AE, "Y",Assignments!$D:$D,"&gt;="&amp;TODAY()-30))</f>
        <v/>
      </c>
      <c r="T580" s="1" t="str">
        <f>IF(A580="","",COUNTIFS(Assignments!$AF:$AF,A580,Assignments!$AE:$AE, "Y",Assignments!$D:$D,"&gt;="&amp;TODAY()-30))</f>
        <v/>
      </c>
      <c r="U580" s="1" t="str">
        <f>IF(A580="","",IFERROR(S580/MAX(1,COUNTIFS(Assignments!$B:$B,A580,Assignments!$D:$D,"&gt;="&amp;TODAY()-30)),""))</f>
        <v/>
      </c>
      <c r="V580" s="1" t="str">
        <f t="shared" si="4"/>
        <v/>
      </c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 t="str">
        <f>IF(A581="","",IFERROR(AVERAGEIFS(Assignments!$AO:$AO,Assignments!$B:$B,A581,Assignments!$E:$E,"Completed"),""))</f>
        <v/>
      </c>
      <c r="L581" s="2"/>
      <c r="M581" s="2"/>
      <c r="N581" s="2"/>
      <c r="O581" s="2"/>
      <c r="P581" s="1" t="str">
        <f>IF(A581="","",MAX(0,MIN(3,SUMIFS(Strike_Log!$C:$C,Strike_Log!$B:$B,A581,Strike_Log!$A:$A,"&gt;="&amp;IF(Config!$B$1004="Y",TODAY()-Config!$B$1005,DATE(1900,1,1)),Strike_Log!$I:$I,1))))</f>
        <v/>
      </c>
      <c r="Q581" s="1"/>
      <c r="R581" s="1"/>
      <c r="S581" s="1" t="str">
        <f>IF(A581="","",COUNTIFS(Assignments!$B:$B,A581,Assignments!$AE:$AE, "Y",Assignments!$D:$D,"&gt;="&amp;TODAY()-30))</f>
        <v/>
      </c>
      <c r="T581" s="1" t="str">
        <f>IF(A581="","",COUNTIFS(Assignments!$AF:$AF,A581,Assignments!$AE:$AE, "Y",Assignments!$D:$D,"&gt;="&amp;TODAY()-30))</f>
        <v/>
      </c>
      <c r="U581" s="1" t="str">
        <f>IF(A581="","",IFERROR(S581/MAX(1,COUNTIFS(Assignments!$B:$B,A581,Assignments!$D:$D,"&gt;="&amp;TODAY()-30)),""))</f>
        <v/>
      </c>
      <c r="V581" s="1" t="str">
        <f t="shared" si="4"/>
        <v/>
      </c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 t="str">
        <f>IF(A582="","",IFERROR(AVERAGEIFS(Assignments!$AO:$AO,Assignments!$B:$B,A582,Assignments!$E:$E,"Completed"),""))</f>
        <v/>
      </c>
      <c r="L582" s="2"/>
      <c r="M582" s="2"/>
      <c r="N582" s="2"/>
      <c r="O582" s="2"/>
      <c r="P582" s="1" t="str">
        <f>IF(A582="","",MAX(0,MIN(3,SUMIFS(Strike_Log!$C:$C,Strike_Log!$B:$B,A582,Strike_Log!$A:$A,"&gt;="&amp;IF(Config!$B$1004="Y",TODAY()-Config!$B$1005,DATE(1900,1,1)),Strike_Log!$I:$I,1))))</f>
        <v/>
      </c>
      <c r="Q582" s="1"/>
      <c r="R582" s="1"/>
      <c r="S582" s="1" t="str">
        <f>IF(A582="","",COUNTIFS(Assignments!$B:$B,A582,Assignments!$AE:$AE, "Y",Assignments!$D:$D,"&gt;="&amp;TODAY()-30))</f>
        <v/>
      </c>
      <c r="T582" s="1" t="str">
        <f>IF(A582="","",COUNTIFS(Assignments!$AF:$AF,A582,Assignments!$AE:$AE, "Y",Assignments!$D:$D,"&gt;="&amp;TODAY()-30))</f>
        <v/>
      </c>
      <c r="U582" s="1" t="str">
        <f>IF(A582="","",IFERROR(S582/MAX(1,COUNTIFS(Assignments!$B:$B,A582,Assignments!$D:$D,"&gt;="&amp;TODAY()-30)),""))</f>
        <v/>
      </c>
      <c r="V582" s="1" t="str">
        <f t="shared" si="4"/>
        <v/>
      </c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 t="str">
        <f>IF(A583="","",IFERROR(AVERAGEIFS(Assignments!$AO:$AO,Assignments!$B:$B,A583,Assignments!$E:$E,"Completed"),""))</f>
        <v/>
      </c>
      <c r="L583" s="2"/>
      <c r="M583" s="2"/>
      <c r="N583" s="2"/>
      <c r="O583" s="2"/>
      <c r="P583" s="1" t="str">
        <f>IF(A583="","",MAX(0,MIN(3,SUMIFS(Strike_Log!$C:$C,Strike_Log!$B:$B,A583,Strike_Log!$A:$A,"&gt;="&amp;IF(Config!$B$1004="Y",TODAY()-Config!$B$1005,DATE(1900,1,1)),Strike_Log!$I:$I,1))))</f>
        <v/>
      </c>
      <c r="Q583" s="1"/>
      <c r="R583" s="1"/>
      <c r="S583" s="1" t="str">
        <f>IF(A583="","",COUNTIFS(Assignments!$B:$B,A583,Assignments!$AE:$AE, "Y",Assignments!$D:$D,"&gt;="&amp;TODAY()-30))</f>
        <v/>
      </c>
      <c r="T583" s="1" t="str">
        <f>IF(A583="","",COUNTIFS(Assignments!$AF:$AF,A583,Assignments!$AE:$AE, "Y",Assignments!$D:$D,"&gt;="&amp;TODAY()-30))</f>
        <v/>
      </c>
      <c r="U583" s="1" t="str">
        <f>IF(A583="","",IFERROR(S583/MAX(1,COUNTIFS(Assignments!$B:$B,A583,Assignments!$D:$D,"&gt;="&amp;TODAY()-30)),""))</f>
        <v/>
      </c>
      <c r="V583" s="1" t="str">
        <f t="shared" si="4"/>
        <v/>
      </c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 t="str">
        <f>IF(A584="","",IFERROR(AVERAGEIFS(Assignments!$AO:$AO,Assignments!$B:$B,A584,Assignments!$E:$E,"Completed"),""))</f>
        <v/>
      </c>
      <c r="L584" s="2"/>
      <c r="M584" s="2"/>
      <c r="N584" s="2"/>
      <c r="O584" s="2"/>
      <c r="P584" s="1" t="str">
        <f>IF(A584="","",MAX(0,MIN(3,SUMIFS(Strike_Log!$C:$C,Strike_Log!$B:$B,A584,Strike_Log!$A:$A,"&gt;="&amp;IF(Config!$B$1004="Y",TODAY()-Config!$B$1005,DATE(1900,1,1)),Strike_Log!$I:$I,1))))</f>
        <v/>
      </c>
      <c r="Q584" s="1"/>
      <c r="R584" s="1"/>
      <c r="S584" s="1" t="str">
        <f>IF(A584="","",COUNTIFS(Assignments!$B:$B,A584,Assignments!$AE:$AE, "Y",Assignments!$D:$D,"&gt;="&amp;TODAY()-30))</f>
        <v/>
      </c>
      <c r="T584" s="1" t="str">
        <f>IF(A584="","",COUNTIFS(Assignments!$AF:$AF,A584,Assignments!$AE:$AE, "Y",Assignments!$D:$D,"&gt;="&amp;TODAY()-30))</f>
        <v/>
      </c>
      <c r="U584" s="1" t="str">
        <f>IF(A584="","",IFERROR(S584/MAX(1,COUNTIFS(Assignments!$B:$B,A584,Assignments!$D:$D,"&gt;="&amp;TODAY()-30)),""))</f>
        <v/>
      </c>
      <c r="V584" s="1" t="str">
        <f t="shared" si="4"/>
        <v/>
      </c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 t="str">
        <f>IF(A585="","",IFERROR(AVERAGEIFS(Assignments!$AO:$AO,Assignments!$B:$B,A585,Assignments!$E:$E,"Completed"),""))</f>
        <v/>
      </c>
      <c r="L585" s="2"/>
      <c r="M585" s="2"/>
      <c r="N585" s="2"/>
      <c r="O585" s="2"/>
      <c r="P585" s="1" t="str">
        <f>IF(A585="","",MAX(0,MIN(3,SUMIFS(Strike_Log!$C:$C,Strike_Log!$B:$B,A585,Strike_Log!$A:$A,"&gt;="&amp;IF(Config!$B$1004="Y",TODAY()-Config!$B$1005,DATE(1900,1,1)),Strike_Log!$I:$I,1))))</f>
        <v/>
      </c>
      <c r="Q585" s="1"/>
      <c r="R585" s="1"/>
      <c r="S585" s="1" t="str">
        <f>IF(A585="","",COUNTIFS(Assignments!$B:$B,A585,Assignments!$AE:$AE, "Y",Assignments!$D:$D,"&gt;="&amp;TODAY()-30))</f>
        <v/>
      </c>
      <c r="T585" s="1" t="str">
        <f>IF(A585="","",COUNTIFS(Assignments!$AF:$AF,A585,Assignments!$AE:$AE, "Y",Assignments!$D:$D,"&gt;="&amp;TODAY()-30))</f>
        <v/>
      </c>
      <c r="U585" s="1" t="str">
        <f>IF(A585="","",IFERROR(S585/MAX(1,COUNTIFS(Assignments!$B:$B,A585,Assignments!$D:$D,"&gt;="&amp;TODAY()-30)),""))</f>
        <v/>
      </c>
      <c r="V585" s="1" t="str">
        <f t="shared" si="4"/>
        <v/>
      </c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 t="str">
        <f>IF(A586="","",IFERROR(AVERAGEIFS(Assignments!$AO:$AO,Assignments!$B:$B,A586,Assignments!$E:$E,"Completed"),""))</f>
        <v/>
      </c>
      <c r="L586" s="2"/>
      <c r="M586" s="2"/>
      <c r="N586" s="2"/>
      <c r="O586" s="2"/>
      <c r="P586" s="1" t="str">
        <f>IF(A586="","",MAX(0,MIN(3,SUMIFS(Strike_Log!$C:$C,Strike_Log!$B:$B,A586,Strike_Log!$A:$A,"&gt;="&amp;IF(Config!$B$1004="Y",TODAY()-Config!$B$1005,DATE(1900,1,1)),Strike_Log!$I:$I,1))))</f>
        <v/>
      </c>
      <c r="Q586" s="1"/>
      <c r="R586" s="1"/>
      <c r="S586" s="1" t="str">
        <f>IF(A586="","",COUNTIFS(Assignments!$B:$B,A586,Assignments!$AE:$AE, "Y",Assignments!$D:$D,"&gt;="&amp;TODAY()-30))</f>
        <v/>
      </c>
      <c r="T586" s="1" t="str">
        <f>IF(A586="","",COUNTIFS(Assignments!$AF:$AF,A586,Assignments!$AE:$AE, "Y",Assignments!$D:$D,"&gt;="&amp;TODAY()-30))</f>
        <v/>
      </c>
      <c r="U586" s="1" t="str">
        <f>IF(A586="","",IFERROR(S586/MAX(1,COUNTIFS(Assignments!$B:$B,A586,Assignments!$D:$D,"&gt;="&amp;TODAY()-30)),""))</f>
        <v/>
      </c>
      <c r="V586" s="1" t="str">
        <f t="shared" si="4"/>
        <v/>
      </c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 t="str">
        <f>IF(A587="","",IFERROR(AVERAGEIFS(Assignments!$AO:$AO,Assignments!$B:$B,A587,Assignments!$E:$E,"Completed"),""))</f>
        <v/>
      </c>
      <c r="L587" s="2"/>
      <c r="M587" s="2"/>
      <c r="N587" s="2"/>
      <c r="O587" s="2"/>
      <c r="P587" s="1" t="str">
        <f>IF(A587="","",MAX(0,MIN(3,SUMIFS(Strike_Log!$C:$C,Strike_Log!$B:$B,A587,Strike_Log!$A:$A,"&gt;="&amp;IF(Config!$B$1004="Y",TODAY()-Config!$B$1005,DATE(1900,1,1)),Strike_Log!$I:$I,1))))</f>
        <v/>
      </c>
      <c r="Q587" s="1"/>
      <c r="R587" s="1"/>
      <c r="S587" s="1" t="str">
        <f>IF(A587="","",COUNTIFS(Assignments!$B:$B,A587,Assignments!$AE:$AE, "Y",Assignments!$D:$D,"&gt;="&amp;TODAY()-30))</f>
        <v/>
      </c>
      <c r="T587" s="1" t="str">
        <f>IF(A587="","",COUNTIFS(Assignments!$AF:$AF,A587,Assignments!$AE:$AE, "Y",Assignments!$D:$D,"&gt;="&amp;TODAY()-30))</f>
        <v/>
      </c>
      <c r="U587" s="1" t="str">
        <f>IF(A587="","",IFERROR(S587/MAX(1,COUNTIFS(Assignments!$B:$B,A587,Assignments!$D:$D,"&gt;="&amp;TODAY()-30)),""))</f>
        <v/>
      </c>
      <c r="V587" s="1" t="str">
        <f t="shared" si="4"/>
        <v/>
      </c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 t="str">
        <f>IF(A588="","",IFERROR(AVERAGEIFS(Assignments!$AO:$AO,Assignments!$B:$B,A588,Assignments!$E:$E,"Completed"),""))</f>
        <v/>
      </c>
      <c r="L588" s="2"/>
      <c r="M588" s="2"/>
      <c r="N588" s="2"/>
      <c r="O588" s="2"/>
      <c r="P588" s="1" t="str">
        <f>IF(A588="","",MAX(0,MIN(3,SUMIFS(Strike_Log!$C:$C,Strike_Log!$B:$B,A588,Strike_Log!$A:$A,"&gt;="&amp;IF(Config!$B$1004="Y",TODAY()-Config!$B$1005,DATE(1900,1,1)),Strike_Log!$I:$I,1))))</f>
        <v/>
      </c>
      <c r="Q588" s="1"/>
      <c r="R588" s="1"/>
      <c r="S588" s="1" t="str">
        <f>IF(A588="","",COUNTIFS(Assignments!$B:$B,A588,Assignments!$AE:$AE, "Y",Assignments!$D:$D,"&gt;="&amp;TODAY()-30))</f>
        <v/>
      </c>
      <c r="T588" s="1" t="str">
        <f>IF(A588="","",COUNTIFS(Assignments!$AF:$AF,A588,Assignments!$AE:$AE, "Y",Assignments!$D:$D,"&gt;="&amp;TODAY()-30))</f>
        <v/>
      </c>
      <c r="U588" s="1" t="str">
        <f>IF(A588="","",IFERROR(S588/MAX(1,COUNTIFS(Assignments!$B:$B,A588,Assignments!$D:$D,"&gt;="&amp;TODAY()-30)),""))</f>
        <v/>
      </c>
      <c r="V588" s="1" t="str">
        <f t="shared" si="4"/>
        <v/>
      </c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 t="str">
        <f>IF(A589="","",IFERROR(AVERAGEIFS(Assignments!$AO:$AO,Assignments!$B:$B,A589,Assignments!$E:$E,"Completed"),""))</f>
        <v/>
      </c>
      <c r="L589" s="2"/>
      <c r="M589" s="2"/>
      <c r="N589" s="2"/>
      <c r="O589" s="2"/>
      <c r="P589" s="1" t="str">
        <f>IF(A589="","",MAX(0,MIN(3,SUMIFS(Strike_Log!$C:$C,Strike_Log!$B:$B,A589,Strike_Log!$A:$A,"&gt;="&amp;IF(Config!$B$1004="Y",TODAY()-Config!$B$1005,DATE(1900,1,1)),Strike_Log!$I:$I,1))))</f>
        <v/>
      </c>
      <c r="Q589" s="1"/>
      <c r="R589" s="1"/>
      <c r="S589" s="1" t="str">
        <f>IF(A589="","",COUNTIFS(Assignments!$B:$B,A589,Assignments!$AE:$AE, "Y",Assignments!$D:$D,"&gt;="&amp;TODAY()-30))</f>
        <v/>
      </c>
      <c r="T589" s="1" t="str">
        <f>IF(A589="","",COUNTIFS(Assignments!$AF:$AF,A589,Assignments!$AE:$AE, "Y",Assignments!$D:$D,"&gt;="&amp;TODAY()-30))</f>
        <v/>
      </c>
      <c r="U589" s="1" t="str">
        <f>IF(A589="","",IFERROR(S589/MAX(1,COUNTIFS(Assignments!$B:$B,A589,Assignments!$D:$D,"&gt;="&amp;TODAY()-30)),""))</f>
        <v/>
      </c>
      <c r="V589" s="1" t="str">
        <f t="shared" si="4"/>
        <v/>
      </c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 t="str">
        <f>IF(A590="","",IFERROR(AVERAGEIFS(Assignments!$AO:$AO,Assignments!$B:$B,A590,Assignments!$E:$E,"Completed"),""))</f>
        <v/>
      </c>
      <c r="L590" s="2"/>
      <c r="M590" s="2"/>
      <c r="N590" s="2"/>
      <c r="O590" s="2"/>
      <c r="P590" s="1" t="str">
        <f>IF(A590="","",MAX(0,MIN(3,SUMIFS(Strike_Log!$C:$C,Strike_Log!$B:$B,A590,Strike_Log!$A:$A,"&gt;="&amp;IF(Config!$B$1004="Y",TODAY()-Config!$B$1005,DATE(1900,1,1)),Strike_Log!$I:$I,1))))</f>
        <v/>
      </c>
      <c r="Q590" s="1"/>
      <c r="R590" s="1"/>
      <c r="S590" s="1" t="str">
        <f>IF(A590="","",COUNTIFS(Assignments!$B:$B,A590,Assignments!$AE:$AE, "Y",Assignments!$D:$D,"&gt;="&amp;TODAY()-30))</f>
        <v/>
      </c>
      <c r="T590" s="1" t="str">
        <f>IF(A590="","",COUNTIFS(Assignments!$AF:$AF,A590,Assignments!$AE:$AE, "Y",Assignments!$D:$D,"&gt;="&amp;TODAY()-30))</f>
        <v/>
      </c>
      <c r="U590" s="1" t="str">
        <f>IF(A590="","",IFERROR(S590/MAX(1,COUNTIFS(Assignments!$B:$B,A590,Assignments!$D:$D,"&gt;="&amp;TODAY()-30)),""))</f>
        <v/>
      </c>
      <c r="V590" s="1" t="str">
        <f t="shared" si="4"/>
        <v/>
      </c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 t="str">
        <f>IF(A591="","",IFERROR(AVERAGEIFS(Assignments!$AO:$AO,Assignments!$B:$B,A591,Assignments!$E:$E,"Completed"),""))</f>
        <v/>
      </c>
      <c r="L591" s="2"/>
      <c r="M591" s="2"/>
      <c r="N591" s="2"/>
      <c r="O591" s="2"/>
      <c r="P591" s="1" t="str">
        <f>IF(A591="","",MAX(0,MIN(3,SUMIFS(Strike_Log!$C:$C,Strike_Log!$B:$B,A591,Strike_Log!$A:$A,"&gt;="&amp;IF(Config!$B$1004="Y",TODAY()-Config!$B$1005,DATE(1900,1,1)),Strike_Log!$I:$I,1))))</f>
        <v/>
      </c>
      <c r="Q591" s="1"/>
      <c r="R591" s="1"/>
      <c r="S591" s="1" t="str">
        <f>IF(A591="","",COUNTIFS(Assignments!$B:$B,A591,Assignments!$AE:$AE, "Y",Assignments!$D:$D,"&gt;="&amp;TODAY()-30))</f>
        <v/>
      </c>
      <c r="T591" s="1" t="str">
        <f>IF(A591="","",COUNTIFS(Assignments!$AF:$AF,A591,Assignments!$AE:$AE, "Y",Assignments!$D:$D,"&gt;="&amp;TODAY()-30))</f>
        <v/>
      </c>
      <c r="U591" s="1" t="str">
        <f>IF(A591="","",IFERROR(S591/MAX(1,COUNTIFS(Assignments!$B:$B,A591,Assignments!$D:$D,"&gt;="&amp;TODAY()-30)),""))</f>
        <v/>
      </c>
      <c r="V591" s="1" t="str">
        <f t="shared" si="4"/>
        <v/>
      </c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 t="str">
        <f>IF(A592="","",IFERROR(AVERAGEIFS(Assignments!$AO:$AO,Assignments!$B:$B,A592,Assignments!$E:$E,"Completed"),""))</f>
        <v/>
      </c>
      <c r="L592" s="2"/>
      <c r="M592" s="2"/>
      <c r="N592" s="2"/>
      <c r="O592" s="2"/>
      <c r="P592" s="1" t="str">
        <f>IF(A592="","",MAX(0,MIN(3,SUMIFS(Strike_Log!$C:$C,Strike_Log!$B:$B,A592,Strike_Log!$A:$A,"&gt;="&amp;IF(Config!$B$1004="Y",TODAY()-Config!$B$1005,DATE(1900,1,1)),Strike_Log!$I:$I,1))))</f>
        <v/>
      </c>
      <c r="Q592" s="1"/>
      <c r="R592" s="1"/>
      <c r="S592" s="1" t="str">
        <f>IF(A592="","",COUNTIFS(Assignments!$B:$B,A592,Assignments!$AE:$AE, "Y",Assignments!$D:$D,"&gt;="&amp;TODAY()-30))</f>
        <v/>
      </c>
      <c r="T592" s="1" t="str">
        <f>IF(A592="","",COUNTIFS(Assignments!$AF:$AF,A592,Assignments!$AE:$AE, "Y",Assignments!$D:$D,"&gt;="&amp;TODAY()-30))</f>
        <v/>
      </c>
      <c r="U592" s="1" t="str">
        <f>IF(A592="","",IFERROR(S592/MAX(1,COUNTIFS(Assignments!$B:$B,A592,Assignments!$D:$D,"&gt;="&amp;TODAY()-30)),""))</f>
        <v/>
      </c>
      <c r="V592" s="1" t="str">
        <f t="shared" si="4"/>
        <v/>
      </c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 t="str">
        <f>IF(A593="","",IFERROR(AVERAGEIFS(Assignments!$AO:$AO,Assignments!$B:$B,A593,Assignments!$E:$E,"Completed"),""))</f>
        <v/>
      </c>
      <c r="L593" s="2"/>
      <c r="M593" s="2"/>
      <c r="N593" s="2"/>
      <c r="O593" s="2"/>
      <c r="P593" s="1" t="str">
        <f>IF(A593="","",MAX(0,MIN(3,SUMIFS(Strike_Log!$C:$C,Strike_Log!$B:$B,A593,Strike_Log!$A:$A,"&gt;="&amp;IF(Config!$B$1004="Y",TODAY()-Config!$B$1005,DATE(1900,1,1)),Strike_Log!$I:$I,1))))</f>
        <v/>
      </c>
      <c r="Q593" s="1"/>
      <c r="R593" s="1"/>
      <c r="S593" s="1" t="str">
        <f>IF(A593="","",COUNTIFS(Assignments!$B:$B,A593,Assignments!$AE:$AE, "Y",Assignments!$D:$D,"&gt;="&amp;TODAY()-30))</f>
        <v/>
      </c>
      <c r="T593" s="1" t="str">
        <f>IF(A593="","",COUNTIFS(Assignments!$AF:$AF,A593,Assignments!$AE:$AE, "Y",Assignments!$D:$D,"&gt;="&amp;TODAY()-30))</f>
        <v/>
      </c>
      <c r="U593" s="1" t="str">
        <f>IF(A593="","",IFERROR(S593/MAX(1,COUNTIFS(Assignments!$B:$B,A593,Assignments!$D:$D,"&gt;="&amp;TODAY()-30)),""))</f>
        <v/>
      </c>
      <c r="V593" s="1" t="str">
        <f t="shared" si="4"/>
        <v/>
      </c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 t="str">
        <f>IF(A594="","",IFERROR(AVERAGEIFS(Assignments!$AO:$AO,Assignments!$B:$B,A594,Assignments!$E:$E,"Completed"),""))</f>
        <v/>
      </c>
      <c r="L594" s="2"/>
      <c r="M594" s="2"/>
      <c r="N594" s="2"/>
      <c r="O594" s="2"/>
      <c r="P594" s="1" t="str">
        <f>IF(A594="","",MAX(0,MIN(3,SUMIFS(Strike_Log!$C:$C,Strike_Log!$B:$B,A594,Strike_Log!$A:$A,"&gt;="&amp;IF(Config!$B$1004="Y",TODAY()-Config!$B$1005,DATE(1900,1,1)),Strike_Log!$I:$I,1))))</f>
        <v/>
      </c>
      <c r="Q594" s="1"/>
      <c r="R594" s="1"/>
      <c r="S594" s="1" t="str">
        <f>IF(A594="","",COUNTIFS(Assignments!$B:$B,A594,Assignments!$AE:$AE, "Y",Assignments!$D:$D,"&gt;="&amp;TODAY()-30))</f>
        <v/>
      </c>
      <c r="T594" s="1" t="str">
        <f>IF(A594="","",COUNTIFS(Assignments!$AF:$AF,A594,Assignments!$AE:$AE, "Y",Assignments!$D:$D,"&gt;="&amp;TODAY()-30))</f>
        <v/>
      </c>
      <c r="U594" s="1" t="str">
        <f>IF(A594="","",IFERROR(S594/MAX(1,COUNTIFS(Assignments!$B:$B,A594,Assignments!$D:$D,"&gt;="&amp;TODAY()-30)),""))</f>
        <v/>
      </c>
      <c r="V594" s="1" t="str">
        <f t="shared" si="4"/>
        <v/>
      </c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 t="str">
        <f>IF(A595="","",IFERROR(AVERAGEIFS(Assignments!$AO:$AO,Assignments!$B:$B,A595,Assignments!$E:$E,"Completed"),""))</f>
        <v/>
      </c>
      <c r="L595" s="2"/>
      <c r="M595" s="2"/>
      <c r="N595" s="2"/>
      <c r="O595" s="2"/>
      <c r="P595" s="1" t="str">
        <f>IF(A595="","",MAX(0,MIN(3,SUMIFS(Strike_Log!$C:$C,Strike_Log!$B:$B,A595,Strike_Log!$A:$A,"&gt;="&amp;IF(Config!$B$1004="Y",TODAY()-Config!$B$1005,DATE(1900,1,1)),Strike_Log!$I:$I,1))))</f>
        <v/>
      </c>
      <c r="Q595" s="1"/>
      <c r="R595" s="1"/>
      <c r="S595" s="1" t="str">
        <f>IF(A595="","",COUNTIFS(Assignments!$B:$B,A595,Assignments!$AE:$AE, "Y",Assignments!$D:$D,"&gt;="&amp;TODAY()-30))</f>
        <v/>
      </c>
      <c r="T595" s="1" t="str">
        <f>IF(A595="","",COUNTIFS(Assignments!$AF:$AF,A595,Assignments!$AE:$AE, "Y",Assignments!$D:$D,"&gt;="&amp;TODAY()-30))</f>
        <v/>
      </c>
      <c r="U595" s="1" t="str">
        <f>IF(A595="","",IFERROR(S595/MAX(1,COUNTIFS(Assignments!$B:$B,A595,Assignments!$D:$D,"&gt;="&amp;TODAY()-30)),""))</f>
        <v/>
      </c>
      <c r="V595" s="1" t="str">
        <f t="shared" si="4"/>
        <v/>
      </c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 t="str">
        <f>IF(A596="","",IFERROR(AVERAGEIFS(Assignments!$AO:$AO,Assignments!$B:$B,A596,Assignments!$E:$E,"Completed"),""))</f>
        <v/>
      </c>
      <c r="L596" s="2"/>
      <c r="M596" s="2"/>
      <c r="N596" s="2"/>
      <c r="O596" s="2"/>
      <c r="P596" s="1" t="str">
        <f>IF(A596="","",MAX(0,MIN(3,SUMIFS(Strike_Log!$C:$C,Strike_Log!$B:$B,A596,Strike_Log!$A:$A,"&gt;="&amp;IF(Config!$B$1004="Y",TODAY()-Config!$B$1005,DATE(1900,1,1)),Strike_Log!$I:$I,1))))</f>
        <v/>
      </c>
      <c r="Q596" s="1"/>
      <c r="R596" s="1"/>
      <c r="S596" s="1" t="str">
        <f>IF(A596="","",COUNTIFS(Assignments!$B:$B,A596,Assignments!$AE:$AE, "Y",Assignments!$D:$D,"&gt;="&amp;TODAY()-30))</f>
        <v/>
      </c>
      <c r="T596" s="1" t="str">
        <f>IF(A596="","",COUNTIFS(Assignments!$AF:$AF,A596,Assignments!$AE:$AE, "Y",Assignments!$D:$D,"&gt;="&amp;TODAY()-30))</f>
        <v/>
      </c>
      <c r="U596" s="1" t="str">
        <f>IF(A596="","",IFERROR(S596/MAX(1,COUNTIFS(Assignments!$B:$B,A596,Assignments!$D:$D,"&gt;="&amp;TODAY()-30)),""))</f>
        <v/>
      </c>
      <c r="V596" s="1" t="str">
        <f t="shared" si="4"/>
        <v/>
      </c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 t="str">
        <f>IF(A597="","",IFERROR(AVERAGEIFS(Assignments!$AO:$AO,Assignments!$B:$B,A597,Assignments!$E:$E,"Completed"),""))</f>
        <v/>
      </c>
      <c r="L597" s="2"/>
      <c r="M597" s="2"/>
      <c r="N597" s="2"/>
      <c r="O597" s="2"/>
      <c r="P597" s="1" t="str">
        <f>IF(A597="","",MAX(0,MIN(3,SUMIFS(Strike_Log!$C:$C,Strike_Log!$B:$B,A597,Strike_Log!$A:$A,"&gt;="&amp;IF(Config!$B$1004="Y",TODAY()-Config!$B$1005,DATE(1900,1,1)),Strike_Log!$I:$I,1))))</f>
        <v/>
      </c>
      <c r="Q597" s="1"/>
      <c r="R597" s="1"/>
      <c r="S597" s="1" t="str">
        <f>IF(A597="","",COUNTIFS(Assignments!$B:$B,A597,Assignments!$AE:$AE, "Y",Assignments!$D:$D,"&gt;="&amp;TODAY()-30))</f>
        <v/>
      </c>
      <c r="T597" s="1" t="str">
        <f>IF(A597="","",COUNTIFS(Assignments!$AF:$AF,A597,Assignments!$AE:$AE, "Y",Assignments!$D:$D,"&gt;="&amp;TODAY()-30))</f>
        <v/>
      </c>
      <c r="U597" s="1" t="str">
        <f>IF(A597="","",IFERROR(S597/MAX(1,COUNTIFS(Assignments!$B:$B,A597,Assignments!$D:$D,"&gt;="&amp;TODAY()-30)),""))</f>
        <v/>
      </c>
      <c r="V597" s="1" t="str">
        <f t="shared" si="4"/>
        <v/>
      </c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 t="str">
        <f>IF(A598="","",IFERROR(AVERAGEIFS(Assignments!$AO:$AO,Assignments!$B:$B,A598,Assignments!$E:$E,"Completed"),""))</f>
        <v/>
      </c>
      <c r="L598" s="2"/>
      <c r="M598" s="2"/>
      <c r="N598" s="2"/>
      <c r="O598" s="2"/>
      <c r="P598" s="1" t="str">
        <f>IF(A598="","",MAX(0,MIN(3,SUMIFS(Strike_Log!$C:$C,Strike_Log!$B:$B,A598,Strike_Log!$A:$A,"&gt;="&amp;IF(Config!$B$1004="Y",TODAY()-Config!$B$1005,DATE(1900,1,1)),Strike_Log!$I:$I,1))))</f>
        <v/>
      </c>
      <c r="Q598" s="1"/>
      <c r="R598" s="1"/>
      <c r="S598" s="1" t="str">
        <f>IF(A598="","",COUNTIFS(Assignments!$B:$B,A598,Assignments!$AE:$AE, "Y",Assignments!$D:$D,"&gt;="&amp;TODAY()-30))</f>
        <v/>
      </c>
      <c r="T598" s="1" t="str">
        <f>IF(A598="","",COUNTIFS(Assignments!$AF:$AF,A598,Assignments!$AE:$AE, "Y",Assignments!$D:$D,"&gt;="&amp;TODAY()-30))</f>
        <v/>
      </c>
      <c r="U598" s="1" t="str">
        <f>IF(A598="","",IFERROR(S598/MAX(1,COUNTIFS(Assignments!$B:$B,A598,Assignments!$D:$D,"&gt;="&amp;TODAY()-30)),""))</f>
        <v/>
      </c>
      <c r="V598" s="1" t="str">
        <f t="shared" si="4"/>
        <v/>
      </c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 t="str">
        <f>IF(A599="","",IFERROR(AVERAGEIFS(Assignments!$AO:$AO,Assignments!$B:$B,A599,Assignments!$E:$E,"Completed"),""))</f>
        <v/>
      </c>
      <c r="L599" s="2"/>
      <c r="M599" s="2"/>
      <c r="N599" s="2"/>
      <c r="O599" s="2"/>
      <c r="P599" s="1" t="str">
        <f>IF(A599="","",MAX(0,MIN(3,SUMIFS(Strike_Log!$C:$C,Strike_Log!$B:$B,A599,Strike_Log!$A:$A,"&gt;="&amp;IF(Config!$B$1004="Y",TODAY()-Config!$B$1005,DATE(1900,1,1)),Strike_Log!$I:$I,1))))</f>
        <v/>
      </c>
      <c r="Q599" s="1"/>
      <c r="R599" s="1"/>
      <c r="S599" s="1" t="str">
        <f>IF(A599="","",COUNTIFS(Assignments!$B:$B,A599,Assignments!$AE:$AE, "Y",Assignments!$D:$D,"&gt;="&amp;TODAY()-30))</f>
        <v/>
      </c>
      <c r="T599" s="1" t="str">
        <f>IF(A599="","",COUNTIFS(Assignments!$AF:$AF,A599,Assignments!$AE:$AE, "Y",Assignments!$D:$D,"&gt;="&amp;TODAY()-30))</f>
        <v/>
      </c>
      <c r="U599" s="1" t="str">
        <f>IF(A599="","",IFERROR(S599/MAX(1,COUNTIFS(Assignments!$B:$B,A599,Assignments!$D:$D,"&gt;="&amp;TODAY()-30)),""))</f>
        <v/>
      </c>
      <c r="V599" s="1" t="str">
        <f t="shared" si="4"/>
        <v/>
      </c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 t="str">
        <f>IF(A600="","",IFERROR(AVERAGEIFS(Assignments!$AO:$AO,Assignments!$B:$B,A600,Assignments!$E:$E,"Completed"),""))</f>
        <v/>
      </c>
      <c r="L600" s="2"/>
      <c r="M600" s="2"/>
      <c r="N600" s="2"/>
      <c r="O600" s="2"/>
      <c r="P600" s="1" t="str">
        <f>IF(A600="","",MAX(0,MIN(3,SUMIFS(Strike_Log!$C:$C,Strike_Log!$B:$B,A600,Strike_Log!$A:$A,"&gt;="&amp;IF(Config!$B$1004="Y",TODAY()-Config!$B$1005,DATE(1900,1,1)),Strike_Log!$I:$I,1))))</f>
        <v/>
      </c>
      <c r="Q600" s="1"/>
      <c r="R600" s="1"/>
      <c r="S600" s="1" t="str">
        <f>IF(A600="","",COUNTIFS(Assignments!$B:$B,A600,Assignments!$AE:$AE, "Y",Assignments!$D:$D,"&gt;="&amp;TODAY()-30))</f>
        <v/>
      </c>
      <c r="T600" s="1" t="str">
        <f>IF(A600="","",COUNTIFS(Assignments!$AF:$AF,A600,Assignments!$AE:$AE, "Y",Assignments!$D:$D,"&gt;="&amp;TODAY()-30))</f>
        <v/>
      </c>
      <c r="U600" s="1" t="str">
        <f>IF(A600="","",IFERROR(S600/MAX(1,COUNTIFS(Assignments!$B:$B,A600,Assignments!$D:$D,"&gt;="&amp;TODAY()-30)),""))</f>
        <v/>
      </c>
      <c r="V600" s="1" t="str">
        <f t="shared" si="4"/>
        <v/>
      </c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 t="str">
        <f>IF(A601="","",IFERROR(AVERAGEIFS(Assignments!$AO:$AO,Assignments!$B:$B,A601,Assignments!$E:$E,"Completed"),""))</f>
        <v/>
      </c>
      <c r="L601" s="2"/>
      <c r="M601" s="2"/>
      <c r="N601" s="2"/>
      <c r="O601" s="2"/>
      <c r="P601" s="1" t="str">
        <f>IF(A601="","",MAX(0,MIN(3,SUMIFS(Strike_Log!$C:$C,Strike_Log!$B:$B,A601,Strike_Log!$A:$A,"&gt;="&amp;IF(Config!$B$1004="Y",TODAY()-Config!$B$1005,DATE(1900,1,1)),Strike_Log!$I:$I,1))))</f>
        <v/>
      </c>
      <c r="Q601" s="1"/>
      <c r="R601" s="1"/>
      <c r="S601" s="1" t="str">
        <f>IF(A601="","",COUNTIFS(Assignments!$B:$B,A601,Assignments!$AE:$AE, "Y",Assignments!$D:$D,"&gt;="&amp;TODAY()-30))</f>
        <v/>
      </c>
      <c r="T601" s="1" t="str">
        <f>IF(A601="","",COUNTIFS(Assignments!$AF:$AF,A601,Assignments!$AE:$AE, "Y",Assignments!$D:$D,"&gt;="&amp;TODAY()-30))</f>
        <v/>
      </c>
      <c r="U601" s="1" t="str">
        <f>IF(A601="","",IFERROR(S601/MAX(1,COUNTIFS(Assignments!$B:$B,A601,Assignments!$D:$D,"&gt;="&amp;TODAY()-30)),""))</f>
        <v/>
      </c>
      <c r="V601" s="1" t="str">
        <f t="shared" si="4"/>
        <v/>
      </c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 t="str">
        <f>IF(A602="","",IFERROR(AVERAGEIFS(Assignments!$AO:$AO,Assignments!$B:$B,A602,Assignments!$E:$E,"Completed"),""))</f>
        <v/>
      </c>
      <c r="L602" s="2"/>
      <c r="M602" s="2"/>
      <c r="N602" s="2"/>
      <c r="O602" s="2"/>
      <c r="P602" s="1" t="str">
        <f>IF(A602="","",MAX(0,MIN(3,SUMIFS(Strike_Log!$C:$C,Strike_Log!$B:$B,A602,Strike_Log!$A:$A,"&gt;="&amp;IF(Config!$B$1004="Y",TODAY()-Config!$B$1005,DATE(1900,1,1)),Strike_Log!$I:$I,1))))</f>
        <v/>
      </c>
      <c r="Q602" s="1"/>
      <c r="R602" s="1"/>
      <c r="S602" s="1" t="str">
        <f>IF(A602="","",COUNTIFS(Assignments!$B:$B,A602,Assignments!$AE:$AE, "Y",Assignments!$D:$D,"&gt;="&amp;TODAY()-30))</f>
        <v/>
      </c>
      <c r="T602" s="1" t="str">
        <f>IF(A602="","",COUNTIFS(Assignments!$AF:$AF,A602,Assignments!$AE:$AE, "Y",Assignments!$D:$D,"&gt;="&amp;TODAY()-30))</f>
        <v/>
      </c>
      <c r="U602" s="1" t="str">
        <f>IF(A602="","",IFERROR(S602/MAX(1,COUNTIFS(Assignments!$B:$B,A602,Assignments!$D:$D,"&gt;="&amp;TODAY()-30)),""))</f>
        <v/>
      </c>
      <c r="V602" s="1" t="str">
        <f t="shared" si="4"/>
        <v/>
      </c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 t="str">
        <f>IF(A603="","",IFERROR(AVERAGEIFS(Assignments!$AO:$AO,Assignments!$B:$B,A603,Assignments!$E:$E,"Completed"),""))</f>
        <v/>
      </c>
      <c r="L603" s="2"/>
      <c r="M603" s="2"/>
      <c r="N603" s="2"/>
      <c r="O603" s="2"/>
      <c r="P603" s="1" t="str">
        <f>IF(A603="","",MAX(0,MIN(3,SUMIFS(Strike_Log!$C:$C,Strike_Log!$B:$B,A603,Strike_Log!$A:$A,"&gt;="&amp;IF(Config!$B$1004="Y",TODAY()-Config!$B$1005,DATE(1900,1,1)),Strike_Log!$I:$I,1))))</f>
        <v/>
      </c>
      <c r="Q603" s="1"/>
      <c r="R603" s="1"/>
      <c r="S603" s="1" t="str">
        <f>IF(A603="","",COUNTIFS(Assignments!$B:$B,A603,Assignments!$AE:$AE, "Y",Assignments!$D:$D,"&gt;="&amp;TODAY()-30))</f>
        <v/>
      </c>
      <c r="T603" s="1" t="str">
        <f>IF(A603="","",COUNTIFS(Assignments!$AF:$AF,A603,Assignments!$AE:$AE, "Y",Assignments!$D:$D,"&gt;="&amp;TODAY()-30))</f>
        <v/>
      </c>
      <c r="U603" s="1" t="str">
        <f>IF(A603="","",IFERROR(S603/MAX(1,COUNTIFS(Assignments!$B:$B,A603,Assignments!$D:$D,"&gt;="&amp;TODAY()-30)),""))</f>
        <v/>
      </c>
      <c r="V603" s="1" t="str">
        <f t="shared" si="4"/>
        <v/>
      </c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 t="str">
        <f>IF(A604="","",IFERROR(AVERAGEIFS(Assignments!$AO:$AO,Assignments!$B:$B,A604,Assignments!$E:$E,"Completed"),""))</f>
        <v/>
      </c>
      <c r="L604" s="2"/>
      <c r="M604" s="2"/>
      <c r="N604" s="2"/>
      <c r="O604" s="2"/>
      <c r="P604" s="1" t="str">
        <f>IF(A604="","",MAX(0,MIN(3,SUMIFS(Strike_Log!$C:$C,Strike_Log!$B:$B,A604,Strike_Log!$A:$A,"&gt;="&amp;IF(Config!$B$1004="Y",TODAY()-Config!$B$1005,DATE(1900,1,1)),Strike_Log!$I:$I,1))))</f>
        <v/>
      </c>
      <c r="Q604" s="1"/>
      <c r="R604" s="1"/>
      <c r="S604" s="1" t="str">
        <f>IF(A604="","",COUNTIFS(Assignments!$B:$B,A604,Assignments!$AE:$AE, "Y",Assignments!$D:$D,"&gt;="&amp;TODAY()-30))</f>
        <v/>
      </c>
      <c r="T604" s="1" t="str">
        <f>IF(A604="","",COUNTIFS(Assignments!$AF:$AF,A604,Assignments!$AE:$AE, "Y",Assignments!$D:$D,"&gt;="&amp;TODAY()-30))</f>
        <v/>
      </c>
      <c r="U604" s="1" t="str">
        <f>IF(A604="","",IFERROR(S604/MAX(1,COUNTIFS(Assignments!$B:$B,A604,Assignments!$D:$D,"&gt;="&amp;TODAY()-30)),""))</f>
        <v/>
      </c>
      <c r="V604" s="1" t="str">
        <f t="shared" si="4"/>
        <v/>
      </c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 t="str">
        <f>IF(A605="","",IFERROR(AVERAGEIFS(Assignments!$AO:$AO,Assignments!$B:$B,A605,Assignments!$E:$E,"Completed"),""))</f>
        <v/>
      </c>
      <c r="L605" s="2"/>
      <c r="M605" s="2"/>
      <c r="N605" s="2"/>
      <c r="O605" s="2"/>
      <c r="P605" s="1" t="str">
        <f>IF(A605="","",MAX(0,MIN(3,SUMIFS(Strike_Log!$C:$C,Strike_Log!$B:$B,A605,Strike_Log!$A:$A,"&gt;="&amp;IF(Config!$B$1004="Y",TODAY()-Config!$B$1005,DATE(1900,1,1)),Strike_Log!$I:$I,1))))</f>
        <v/>
      </c>
      <c r="Q605" s="1"/>
      <c r="R605" s="1"/>
      <c r="S605" s="1" t="str">
        <f>IF(A605="","",COUNTIFS(Assignments!$B:$B,A605,Assignments!$AE:$AE, "Y",Assignments!$D:$D,"&gt;="&amp;TODAY()-30))</f>
        <v/>
      </c>
      <c r="T605" s="1" t="str">
        <f>IF(A605="","",COUNTIFS(Assignments!$AF:$AF,A605,Assignments!$AE:$AE, "Y",Assignments!$D:$D,"&gt;="&amp;TODAY()-30))</f>
        <v/>
      </c>
      <c r="U605" s="1" t="str">
        <f>IF(A605="","",IFERROR(S605/MAX(1,COUNTIFS(Assignments!$B:$B,A605,Assignments!$D:$D,"&gt;="&amp;TODAY()-30)),""))</f>
        <v/>
      </c>
      <c r="V605" s="1" t="str">
        <f t="shared" si="4"/>
        <v/>
      </c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 t="str">
        <f>IF(A606="","",IFERROR(AVERAGEIFS(Assignments!$AO:$AO,Assignments!$B:$B,A606,Assignments!$E:$E,"Completed"),""))</f>
        <v/>
      </c>
      <c r="L606" s="2"/>
      <c r="M606" s="2"/>
      <c r="N606" s="2"/>
      <c r="O606" s="2"/>
      <c r="P606" s="1" t="str">
        <f>IF(A606="","",MAX(0,MIN(3,SUMIFS(Strike_Log!$C:$C,Strike_Log!$B:$B,A606,Strike_Log!$A:$A,"&gt;="&amp;IF(Config!$B$1004="Y",TODAY()-Config!$B$1005,DATE(1900,1,1)),Strike_Log!$I:$I,1))))</f>
        <v/>
      </c>
      <c r="Q606" s="1"/>
      <c r="R606" s="1"/>
      <c r="S606" s="1" t="str">
        <f>IF(A606="","",COUNTIFS(Assignments!$B:$B,A606,Assignments!$AE:$AE, "Y",Assignments!$D:$D,"&gt;="&amp;TODAY()-30))</f>
        <v/>
      </c>
      <c r="T606" s="1" t="str">
        <f>IF(A606="","",COUNTIFS(Assignments!$AF:$AF,A606,Assignments!$AE:$AE, "Y",Assignments!$D:$D,"&gt;="&amp;TODAY()-30))</f>
        <v/>
      </c>
      <c r="U606" s="1" t="str">
        <f>IF(A606="","",IFERROR(S606/MAX(1,COUNTIFS(Assignments!$B:$B,A606,Assignments!$D:$D,"&gt;="&amp;TODAY()-30)),""))</f>
        <v/>
      </c>
      <c r="V606" s="1" t="str">
        <f t="shared" si="4"/>
        <v/>
      </c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 t="str">
        <f>IF(A607="","",IFERROR(AVERAGEIFS(Assignments!$AO:$AO,Assignments!$B:$B,A607,Assignments!$E:$E,"Completed"),""))</f>
        <v/>
      </c>
      <c r="L607" s="2"/>
      <c r="M607" s="2"/>
      <c r="N607" s="2"/>
      <c r="O607" s="2"/>
      <c r="P607" s="1" t="str">
        <f>IF(A607="","",MAX(0,MIN(3,SUMIFS(Strike_Log!$C:$C,Strike_Log!$B:$B,A607,Strike_Log!$A:$A,"&gt;="&amp;IF(Config!$B$1004="Y",TODAY()-Config!$B$1005,DATE(1900,1,1)),Strike_Log!$I:$I,1))))</f>
        <v/>
      </c>
      <c r="Q607" s="1"/>
      <c r="R607" s="1"/>
      <c r="S607" s="1" t="str">
        <f>IF(A607="","",COUNTIFS(Assignments!$B:$B,A607,Assignments!$AE:$AE, "Y",Assignments!$D:$D,"&gt;="&amp;TODAY()-30))</f>
        <v/>
      </c>
      <c r="T607" s="1" t="str">
        <f>IF(A607="","",COUNTIFS(Assignments!$AF:$AF,A607,Assignments!$AE:$AE, "Y",Assignments!$D:$D,"&gt;="&amp;TODAY()-30))</f>
        <v/>
      </c>
      <c r="U607" s="1" t="str">
        <f>IF(A607="","",IFERROR(S607/MAX(1,COUNTIFS(Assignments!$B:$B,A607,Assignments!$D:$D,"&gt;="&amp;TODAY()-30)),""))</f>
        <v/>
      </c>
      <c r="V607" s="1" t="str">
        <f t="shared" si="4"/>
        <v/>
      </c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 t="str">
        <f>IF(A608="","",IFERROR(AVERAGEIFS(Assignments!$AO:$AO,Assignments!$B:$B,A608,Assignments!$E:$E,"Completed"),""))</f>
        <v/>
      </c>
      <c r="L608" s="2"/>
      <c r="M608" s="2"/>
      <c r="N608" s="2"/>
      <c r="O608" s="2"/>
      <c r="P608" s="1" t="str">
        <f>IF(A608="","",MAX(0,MIN(3,SUMIFS(Strike_Log!$C:$C,Strike_Log!$B:$B,A608,Strike_Log!$A:$A,"&gt;="&amp;IF(Config!$B$1004="Y",TODAY()-Config!$B$1005,DATE(1900,1,1)),Strike_Log!$I:$I,1))))</f>
        <v/>
      </c>
      <c r="Q608" s="1"/>
      <c r="R608" s="1"/>
      <c r="S608" s="1" t="str">
        <f>IF(A608="","",COUNTIFS(Assignments!$B:$B,A608,Assignments!$AE:$AE, "Y",Assignments!$D:$D,"&gt;="&amp;TODAY()-30))</f>
        <v/>
      </c>
      <c r="T608" s="1" t="str">
        <f>IF(A608="","",COUNTIFS(Assignments!$AF:$AF,A608,Assignments!$AE:$AE, "Y",Assignments!$D:$D,"&gt;="&amp;TODAY()-30))</f>
        <v/>
      </c>
      <c r="U608" s="1" t="str">
        <f>IF(A608="","",IFERROR(S608/MAX(1,COUNTIFS(Assignments!$B:$B,A608,Assignments!$D:$D,"&gt;="&amp;TODAY()-30)),""))</f>
        <v/>
      </c>
      <c r="V608" s="1" t="str">
        <f t="shared" si="4"/>
        <v/>
      </c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 t="str">
        <f>IF(A609="","",IFERROR(AVERAGEIFS(Assignments!$AO:$AO,Assignments!$B:$B,A609,Assignments!$E:$E,"Completed"),""))</f>
        <v/>
      </c>
      <c r="L609" s="2"/>
      <c r="M609" s="2"/>
      <c r="N609" s="2"/>
      <c r="O609" s="2"/>
      <c r="P609" s="1" t="str">
        <f>IF(A609="","",MAX(0,MIN(3,SUMIFS(Strike_Log!$C:$C,Strike_Log!$B:$B,A609,Strike_Log!$A:$A,"&gt;="&amp;IF(Config!$B$1004="Y",TODAY()-Config!$B$1005,DATE(1900,1,1)),Strike_Log!$I:$I,1))))</f>
        <v/>
      </c>
      <c r="Q609" s="1"/>
      <c r="R609" s="1"/>
      <c r="S609" s="1" t="str">
        <f>IF(A609="","",COUNTIFS(Assignments!$B:$B,A609,Assignments!$AE:$AE, "Y",Assignments!$D:$D,"&gt;="&amp;TODAY()-30))</f>
        <v/>
      </c>
      <c r="T609" s="1" t="str">
        <f>IF(A609="","",COUNTIFS(Assignments!$AF:$AF,A609,Assignments!$AE:$AE, "Y",Assignments!$D:$D,"&gt;="&amp;TODAY()-30))</f>
        <v/>
      </c>
      <c r="U609" s="1" t="str">
        <f>IF(A609="","",IFERROR(S609/MAX(1,COUNTIFS(Assignments!$B:$B,A609,Assignments!$D:$D,"&gt;="&amp;TODAY()-30)),""))</f>
        <v/>
      </c>
      <c r="V609" s="1" t="str">
        <f t="shared" si="4"/>
        <v/>
      </c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 t="str">
        <f>IF(A610="","",IFERROR(AVERAGEIFS(Assignments!$AO:$AO,Assignments!$B:$B,A610,Assignments!$E:$E,"Completed"),""))</f>
        <v/>
      </c>
      <c r="L610" s="2"/>
      <c r="M610" s="2"/>
      <c r="N610" s="2"/>
      <c r="O610" s="2"/>
      <c r="P610" s="1" t="str">
        <f>IF(A610="","",MAX(0,MIN(3,SUMIFS(Strike_Log!$C:$C,Strike_Log!$B:$B,A610,Strike_Log!$A:$A,"&gt;="&amp;IF(Config!$B$1004="Y",TODAY()-Config!$B$1005,DATE(1900,1,1)),Strike_Log!$I:$I,1))))</f>
        <v/>
      </c>
      <c r="Q610" s="1"/>
      <c r="R610" s="1"/>
      <c r="S610" s="1" t="str">
        <f>IF(A610="","",COUNTIFS(Assignments!$B:$B,A610,Assignments!$AE:$AE, "Y",Assignments!$D:$D,"&gt;="&amp;TODAY()-30))</f>
        <v/>
      </c>
      <c r="T610" s="1" t="str">
        <f>IF(A610="","",COUNTIFS(Assignments!$AF:$AF,A610,Assignments!$AE:$AE, "Y",Assignments!$D:$D,"&gt;="&amp;TODAY()-30))</f>
        <v/>
      </c>
      <c r="U610" s="1" t="str">
        <f>IF(A610="","",IFERROR(S610/MAX(1,COUNTIFS(Assignments!$B:$B,A610,Assignments!$D:$D,"&gt;="&amp;TODAY()-30)),""))</f>
        <v/>
      </c>
      <c r="V610" s="1" t="str">
        <f t="shared" si="4"/>
        <v/>
      </c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 t="str">
        <f>IF(A611="","",IFERROR(AVERAGEIFS(Assignments!$AO:$AO,Assignments!$B:$B,A611,Assignments!$E:$E,"Completed"),""))</f>
        <v/>
      </c>
      <c r="L611" s="2"/>
      <c r="M611" s="2"/>
      <c r="N611" s="2"/>
      <c r="O611" s="2"/>
      <c r="P611" s="1" t="str">
        <f>IF(A611="","",MAX(0,MIN(3,SUMIFS(Strike_Log!$C:$C,Strike_Log!$B:$B,A611,Strike_Log!$A:$A,"&gt;="&amp;IF(Config!$B$1004="Y",TODAY()-Config!$B$1005,DATE(1900,1,1)),Strike_Log!$I:$I,1))))</f>
        <v/>
      </c>
      <c r="Q611" s="1"/>
      <c r="R611" s="1"/>
      <c r="S611" s="1" t="str">
        <f>IF(A611="","",COUNTIFS(Assignments!$B:$B,A611,Assignments!$AE:$AE, "Y",Assignments!$D:$D,"&gt;="&amp;TODAY()-30))</f>
        <v/>
      </c>
      <c r="T611" s="1" t="str">
        <f>IF(A611="","",COUNTIFS(Assignments!$AF:$AF,A611,Assignments!$AE:$AE, "Y",Assignments!$D:$D,"&gt;="&amp;TODAY()-30))</f>
        <v/>
      </c>
      <c r="U611" s="1" t="str">
        <f>IF(A611="","",IFERROR(S611/MAX(1,COUNTIFS(Assignments!$B:$B,A611,Assignments!$D:$D,"&gt;="&amp;TODAY()-30)),""))</f>
        <v/>
      </c>
      <c r="V611" s="1" t="str">
        <f t="shared" si="4"/>
        <v/>
      </c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 t="str">
        <f>IF(A612="","",IFERROR(AVERAGEIFS(Assignments!$AO:$AO,Assignments!$B:$B,A612,Assignments!$E:$E,"Completed"),""))</f>
        <v/>
      </c>
      <c r="L612" s="2"/>
      <c r="M612" s="2"/>
      <c r="N612" s="2"/>
      <c r="O612" s="2"/>
      <c r="P612" s="1" t="str">
        <f>IF(A612="","",MAX(0,MIN(3,SUMIFS(Strike_Log!$C:$C,Strike_Log!$B:$B,A612,Strike_Log!$A:$A,"&gt;="&amp;IF(Config!$B$1004="Y",TODAY()-Config!$B$1005,DATE(1900,1,1)),Strike_Log!$I:$I,1))))</f>
        <v/>
      </c>
      <c r="Q612" s="1"/>
      <c r="R612" s="1"/>
      <c r="S612" s="1" t="str">
        <f>IF(A612="","",COUNTIFS(Assignments!$B:$B,A612,Assignments!$AE:$AE, "Y",Assignments!$D:$D,"&gt;="&amp;TODAY()-30))</f>
        <v/>
      </c>
      <c r="T612" s="1" t="str">
        <f>IF(A612="","",COUNTIFS(Assignments!$AF:$AF,A612,Assignments!$AE:$AE, "Y",Assignments!$D:$D,"&gt;="&amp;TODAY()-30))</f>
        <v/>
      </c>
      <c r="U612" s="1" t="str">
        <f>IF(A612="","",IFERROR(S612/MAX(1,COUNTIFS(Assignments!$B:$B,A612,Assignments!$D:$D,"&gt;="&amp;TODAY()-30)),""))</f>
        <v/>
      </c>
      <c r="V612" s="1" t="str">
        <f t="shared" si="4"/>
        <v/>
      </c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 t="str">
        <f>IF(A613="","",IFERROR(AVERAGEIFS(Assignments!$AO:$AO,Assignments!$B:$B,A613,Assignments!$E:$E,"Completed"),""))</f>
        <v/>
      </c>
      <c r="L613" s="2"/>
      <c r="M613" s="2"/>
      <c r="N613" s="2"/>
      <c r="O613" s="2"/>
      <c r="P613" s="1" t="str">
        <f>IF(A613="","",MAX(0,MIN(3,SUMIFS(Strike_Log!$C:$C,Strike_Log!$B:$B,A613,Strike_Log!$A:$A,"&gt;="&amp;IF(Config!$B$1004="Y",TODAY()-Config!$B$1005,DATE(1900,1,1)),Strike_Log!$I:$I,1))))</f>
        <v/>
      </c>
      <c r="Q613" s="1"/>
      <c r="R613" s="1"/>
      <c r="S613" s="1" t="str">
        <f>IF(A613="","",COUNTIFS(Assignments!$B:$B,A613,Assignments!$AE:$AE, "Y",Assignments!$D:$D,"&gt;="&amp;TODAY()-30))</f>
        <v/>
      </c>
      <c r="T613" s="1" t="str">
        <f>IF(A613="","",COUNTIFS(Assignments!$AF:$AF,A613,Assignments!$AE:$AE, "Y",Assignments!$D:$D,"&gt;="&amp;TODAY()-30))</f>
        <v/>
      </c>
      <c r="U613" s="1" t="str">
        <f>IF(A613="","",IFERROR(S613/MAX(1,COUNTIFS(Assignments!$B:$B,A613,Assignments!$D:$D,"&gt;="&amp;TODAY()-30)),""))</f>
        <v/>
      </c>
      <c r="V613" s="1" t="str">
        <f t="shared" si="4"/>
        <v/>
      </c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 t="str">
        <f>IF(A614="","",IFERROR(AVERAGEIFS(Assignments!$AO:$AO,Assignments!$B:$B,A614,Assignments!$E:$E,"Completed"),""))</f>
        <v/>
      </c>
      <c r="L614" s="2"/>
      <c r="M614" s="2"/>
      <c r="N614" s="2"/>
      <c r="O614" s="2"/>
      <c r="P614" s="1" t="str">
        <f>IF(A614="","",MAX(0,MIN(3,SUMIFS(Strike_Log!$C:$C,Strike_Log!$B:$B,A614,Strike_Log!$A:$A,"&gt;="&amp;IF(Config!$B$1004="Y",TODAY()-Config!$B$1005,DATE(1900,1,1)),Strike_Log!$I:$I,1))))</f>
        <v/>
      </c>
      <c r="Q614" s="1"/>
      <c r="R614" s="1"/>
      <c r="S614" s="1" t="str">
        <f>IF(A614="","",COUNTIFS(Assignments!$B:$B,A614,Assignments!$AE:$AE, "Y",Assignments!$D:$D,"&gt;="&amp;TODAY()-30))</f>
        <v/>
      </c>
      <c r="T614" s="1" t="str">
        <f>IF(A614="","",COUNTIFS(Assignments!$AF:$AF,A614,Assignments!$AE:$AE, "Y",Assignments!$D:$D,"&gt;="&amp;TODAY()-30))</f>
        <v/>
      </c>
      <c r="U614" s="1" t="str">
        <f>IF(A614="","",IFERROR(S614/MAX(1,COUNTIFS(Assignments!$B:$B,A614,Assignments!$D:$D,"&gt;="&amp;TODAY()-30)),""))</f>
        <v/>
      </c>
      <c r="V614" s="1" t="str">
        <f t="shared" si="4"/>
        <v/>
      </c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 t="str">
        <f>IF(A615="","",IFERROR(AVERAGEIFS(Assignments!$AO:$AO,Assignments!$B:$B,A615,Assignments!$E:$E,"Completed"),""))</f>
        <v/>
      </c>
      <c r="L615" s="2"/>
      <c r="M615" s="2"/>
      <c r="N615" s="2"/>
      <c r="O615" s="2"/>
      <c r="P615" s="1" t="str">
        <f>IF(A615="","",MAX(0,MIN(3,SUMIFS(Strike_Log!$C:$C,Strike_Log!$B:$B,A615,Strike_Log!$A:$A,"&gt;="&amp;IF(Config!$B$1004="Y",TODAY()-Config!$B$1005,DATE(1900,1,1)),Strike_Log!$I:$I,1))))</f>
        <v/>
      </c>
      <c r="Q615" s="1"/>
      <c r="R615" s="1"/>
      <c r="S615" s="1" t="str">
        <f>IF(A615="","",COUNTIFS(Assignments!$B:$B,A615,Assignments!$AE:$AE, "Y",Assignments!$D:$D,"&gt;="&amp;TODAY()-30))</f>
        <v/>
      </c>
      <c r="T615" s="1" t="str">
        <f>IF(A615="","",COUNTIFS(Assignments!$AF:$AF,A615,Assignments!$AE:$AE, "Y",Assignments!$D:$D,"&gt;="&amp;TODAY()-30))</f>
        <v/>
      </c>
      <c r="U615" s="1" t="str">
        <f>IF(A615="","",IFERROR(S615/MAX(1,COUNTIFS(Assignments!$B:$B,A615,Assignments!$D:$D,"&gt;="&amp;TODAY()-30)),""))</f>
        <v/>
      </c>
      <c r="V615" s="1" t="str">
        <f t="shared" si="4"/>
        <v/>
      </c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 t="str">
        <f>IF(A616="","",IFERROR(AVERAGEIFS(Assignments!$AO:$AO,Assignments!$B:$B,A616,Assignments!$E:$E,"Completed"),""))</f>
        <v/>
      </c>
      <c r="L616" s="2"/>
      <c r="M616" s="2"/>
      <c r="N616" s="2"/>
      <c r="O616" s="2"/>
      <c r="P616" s="1" t="str">
        <f>IF(A616="","",MAX(0,MIN(3,SUMIFS(Strike_Log!$C:$C,Strike_Log!$B:$B,A616,Strike_Log!$A:$A,"&gt;="&amp;IF(Config!$B$1004="Y",TODAY()-Config!$B$1005,DATE(1900,1,1)),Strike_Log!$I:$I,1))))</f>
        <v/>
      </c>
      <c r="Q616" s="1"/>
      <c r="R616" s="1"/>
      <c r="S616" s="1" t="str">
        <f>IF(A616="","",COUNTIFS(Assignments!$B:$B,A616,Assignments!$AE:$AE, "Y",Assignments!$D:$D,"&gt;="&amp;TODAY()-30))</f>
        <v/>
      </c>
      <c r="T616" s="1" t="str">
        <f>IF(A616="","",COUNTIFS(Assignments!$AF:$AF,A616,Assignments!$AE:$AE, "Y",Assignments!$D:$D,"&gt;="&amp;TODAY()-30))</f>
        <v/>
      </c>
      <c r="U616" s="1" t="str">
        <f>IF(A616="","",IFERROR(S616/MAX(1,COUNTIFS(Assignments!$B:$B,A616,Assignments!$D:$D,"&gt;="&amp;TODAY()-30)),""))</f>
        <v/>
      </c>
      <c r="V616" s="1" t="str">
        <f t="shared" si="4"/>
        <v/>
      </c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 t="str">
        <f>IF(A617="","",IFERROR(AVERAGEIFS(Assignments!$AO:$AO,Assignments!$B:$B,A617,Assignments!$E:$E,"Completed"),""))</f>
        <v/>
      </c>
      <c r="L617" s="2"/>
      <c r="M617" s="2"/>
      <c r="N617" s="2"/>
      <c r="O617" s="2"/>
      <c r="P617" s="1" t="str">
        <f>IF(A617="","",MAX(0,MIN(3,SUMIFS(Strike_Log!$C:$C,Strike_Log!$B:$B,A617,Strike_Log!$A:$A,"&gt;="&amp;IF(Config!$B$1004="Y",TODAY()-Config!$B$1005,DATE(1900,1,1)),Strike_Log!$I:$I,1))))</f>
        <v/>
      </c>
      <c r="Q617" s="1"/>
      <c r="R617" s="1"/>
      <c r="S617" s="1" t="str">
        <f>IF(A617="","",COUNTIFS(Assignments!$B:$B,A617,Assignments!$AE:$AE, "Y",Assignments!$D:$D,"&gt;="&amp;TODAY()-30))</f>
        <v/>
      </c>
      <c r="T617" s="1" t="str">
        <f>IF(A617="","",COUNTIFS(Assignments!$AF:$AF,A617,Assignments!$AE:$AE, "Y",Assignments!$D:$D,"&gt;="&amp;TODAY()-30))</f>
        <v/>
      </c>
      <c r="U617" s="1" t="str">
        <f>IF(A617="","",IFERROR(S617/MAX(1,COUNTIFS(Assignments!$B:$B,A617,Assignments!$D:$D,"&gt;="&amp;TODAY()-30)),""))</f>
        <v/>
      </c>
      <c r="V617" s="1" t="str">
        <f t="shared" si="4"/>
        <v/>
      </c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 t="str">
        <f>IF(A618="","",IFERROR(AVERAGEIFS(Assignments!$AO:$AO,Assignments!$B:$B,A618,Assignments!$E:$E,"Completed"),""))</f>
        <v/>
      </c>
      <c r="L618" s="2"/>
      <c r="M618" s="2"/>
      <c r="N618" s="2"/>
      <c r="O618" s="2"/>
      <c r="P618" s="1" t="str">
        <f>IF(A618="","",MAX(0,MIN(3,SUMIFS(Strike_Log!$C:$C,Strike_Log!$B:$B,A618,Strike_Log!$A:$A,"&gt;="&amp;IF(Config!$B$1004="Y",TODAY()-Config!$B$1005,DATE(1900,1,1)),Strike_Log!$I:$I,1))))</f>
        <v/>
      </c>
      <c r="Q618" s="1"/>
      <c r="R618" s="1"/>
      <c r="S618" s="1" t="str">
        <f>IF(A618="","",COUNTIFS(Assignments!$B:$B,A618,Assignments!$AE:$AE, "Y",Assignments!$D:$D,"&gt;="&amp;TODAY()-30))</f>
        <v/>
      </c>
      <c r="T618" s="1" t="str">
        <f>IF(A618="","",COUNTIFS(Assignments!$AF:$AF,A618,Assignments!$AE:$AE, "Y",Assignments!$D:$D,"&gt;="&amp;TODAY()-30))</f>
        <v/>
      </c>
      <c r="U618" s="1" t="str">
        <f>IF(A618="","",IFERROR(S618/MAX(1,COUNTIFS(Assignments!$B:$B,A618,Assignments!$D:$D,"&gt;="&amp;TODAY()-30)),""))</f>
        <v/>
      </c>
      <c r="V618" s="1" t="str">
        <f t="shared" si="4"/>
        <v/>
      </c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 t="str">
        <f>IF(A619="","",IFERROR(AVERAGEIFS(Assignments!$AO:$AO,Assignments!$B:$B,A619,Assignments!$E:$E,"Completed"),""))</f>
        <v/>
      </c>
      <c r="L619" s="2"/>
      <c r="M619" s="2"/>
      <c r="N619" s="2"/>
      <c r="O619" s="2"/>
      <c r="P619" s="1" t="str">
        <f>IF(A619="","",MAX(0,MIN(3,SUMIFS(Strike_Log!$C:$C,Strike_Log!$B:$B,A619,Strike_Log!$A:$A,"&gt;="&amp;IF(Config!$B$1004="Y",TODAY()-Config!$B$1005,DATE(1900,1,1)),Strike_Log!$I:$I,1))))</f>
        <v/>
      </c>
      <c r="Q619" s="1"/>
      <c r="R619" s="1"/>
      <c r="S619" s="1" t="str">
        <f>IF(A619="","",COUNTIFS(Assignments!$B:$B,A619,Assignments!$AE:$AE, "Y",Assignments!$D:$D,"&gt;="&amp;TODAY()-30))</f>
        <v/>
      </c>
      <c r="T619" s="1" t="str">
        <f>IF(A619="","",COUNTIFS(Assignments!$AF:$AF,A619,Assignments!$AE:$AE, "Y",Assignments!$D:$D,"&gt;="&amp;TODAY()-30))</f>
        <v/>
      </c>
      <c r="U619" s="1" t="str">
        <f>IF(A619="","",IFERROR(S619/MAX(1,COUNTIFS(Assignments!$B:$B,A619,Assignments!$D:$D,"&gt;="&amp;TODAY()-30)),""))</f>
        <v/>
      </c>
      <c r="V619" s="1" t="str">
        <f t="shared" si="4"/>
        <v/>
      </c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 t="str">
        <f>IF(A620="","",IFERROR(AVERAGEIFS(Assignments!$AO:$AO,Assignments!$B:$B,A620,Assignments!$E:$E,"Completed"),""))</f>
        <v/>
      </c>
      <c r="L620" s="2"/>
      <c r="M620" s="2"/>
      <c r="N620" s="2"/>
      <c r="O620" s="2"/>
      <c r="P620" s="1" t="str">
        <f>IF(A620="","",MAX(0,MIN(3,SUMIFS(Strike_Log!$C:$C,Strike_Log!$B:$B,A620,Strike_Log!$A:$A,"&gt;="&amp;IF(Config!$B$1004="Y",TODAY()-Config!$B$1005,DATE(1900,1,1)),Strike_Log!$I:$I,1))))</f>
        <v/>
      </c>
      <c r="Q620" s="1"/>
      <c r="R620" s="1"/>
      <c r="S620" s="1" t="str">
        <f>IF(A620="","",COUNTIFS(Assignments!$B:$B,A620,Assignments!$AE:$AE, "Y",Assignments!$D:$D,"&gt;="&amp;TODAY()-30))</f>
        <v/>
      </c>
      <c r="T620" s="1" t="str">
        <f>IF(A620="","",COUNTIFS(Assignments!$AF:$AF,A620,Assignments!$AE:$AE, "Y",Assignments!$D:$D,"&gt;="&amp;TODAY()-30))</f>
        <v/>
      </c>
      <c r="U620" s="1" t="str">
        <f>IF(A620="","",IFERROR(S620/MAX(1,COUNTIFS(Assignments!$B:$B,A620,Assignments!$D:$D,"&gt;="&amp;TODAY()-30)),""))</f>
        <v/>
      </c>
      <c r="V620" s="1" t="str">
        <f t="shared" si="4"/>
        <v/>
      </c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 t="str">
        <f>IF(A621="","",IFERROR(AVERAGEIFS(Assignments!$AO:$AO,Assignments!$B:$B,A621,Assignments!$E:$E,"Completed"),""))</f>
        <v/>
      </c>
      <c r="L621" s="2"/>
      <c r="M621" s="2"/>
      <c r="N621" s="2"/>
      <c r="O621" s="2"/>
      <c r="P621" s="1" t="str">
        <f>IF(A621="","",MAX(0,MIN(3,SUMIFS(Strike_Log!$C:$C,Strike_Log!$B:$B,A621,Strike_Log!$A:$A,"&gt;="&amp;IF(Config!$B$1004="Y",TODAY()-Config!$B$1005,DATE(1900,1,1)),Strike_Log!$I:$I,1))))</f>
        <v/>
      </c>
      <c r="Q621" s="1"/>
      <c r="R621" s="1"/>
      <c r="S621" s="1" t="str">
        <f>IF(A621="","",COUNTIFS(Assignments!$B:$B,A621,Assignments!$AE:$AE, "Y",Assignments!$D:$D,"&gt;="&amp;TODAY()-30))</f>
        <v/>
      </c>
      <c r="T621" s="1" t="str">
        <f>IF(A621="","",COUNTIFS(Assignments!$AF:$AF,A621,Assignments!$AE:$AE, "Y",Assignments!$D:$D,"&gt;="&amp;TODAY()-30))</f>
        <v/>
      </c>
      <c r="U621" s="1" t="str">
        <f>IF(A621="","",IFERROR(S621/MAX(1,COUNTIFS(Assignments!$B:$B,A621,Assignments!$D:$D,"&gt;="&amp;TODAY()-30)),""))</f>
        <v/>
      </c>
      <c r="V621" s="1" t="str">
        <f t="shared" si="4"/>
        <v/>
      </c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 t="str">
        <f>IF(A622="","",IFERROR(AVERAGEIFS(Assignments!$AO:$AO,Assignments!$B:$B,A622,Assignments!$E:$E,"Completed"),""))</f>
        <v/>
      </c>
      <c r="L622" s="2"/>
      <c r="M622" s="2"/>
      <c r="N622" s="2"/>
      <c r="O622" s="2"/>
      <c r="P622" s="1" t="str">
        <f>IF(A622="","",MAX(0,MIN(3,SUMIFS(Strike_Log!$C:$C,Strike_Log!$B:$B,A622,Strike_Log!$A:$A,"&gt;="&amp;IF(Config!$B$1004="Y",TODAY()-Config!$B$1005,DATE(1900,1,1)),Strike_Log!$I:$I,1))))</f>
        <v/>
      </c>
      <c r="Q622" s="1"/>
      <c r="R622" s="1"/>
      <c r="S622" s="1" t="str">
        <f>IF(A622="","",COUNTIFS(Assignments!$B:$B,A622,Assignments!$AE:$AE, "Y",Assignments!$D:$D,"&gt;="&amp;TODAY()-30))</f>
        <v/>
      </c>
      <c r="T622" s="1" t="str">
        <f>IF(A622="","",COUNTIFS(Assignments!$AF:$AF,A622,Assignments!$AE:$AE, "Y",Assignments!$D:$D,"&gt;="&amp;TODAY()-30))</f>
        <v/>
      </c>
      <c r="U622" s="1" t="str">
        <f>IF(A622="","",IFERROR(S622/MAX(1,COUNTIFS(Assignments!$B:$B,A622,Assignments!$D:$D,"&gt;="&amp;TODAY()-30)),""))</f>
        <v/>
      </c>
      <c r="V622" s="1" t="str">
        <f t="shared" si="4"/>
        <v/>
      </c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 t="str">
        <f>IF(A623="","",IFERROR(AVERAGEIFS(Assignments!$AO:$AO,Assignments!$B:$B,A623,Assignments!$E:$E,"Completed"),""))</f>
        <v/>
      </c>
      <c r="L623" s="2"/>
      <c r="M623" s="2"/>
      <c r="N623" s="2"/>
      <c r="O623" s="2"/>
      <c r="P623" s="1" t="str">
        <f>IF(A623="","",MAX(0,MIN(3,SUMIFS(Strike_Log!$C:$C,Strike_Log!$B:$B,A623,Strike_Log!$A:$A,"&gt;="&amp;IF(Config!$B$1004="Y",TODAY()-Config!$B$1005,DATE(1900,1,1)),Strike_Log!$I:$I,1))))</f>
        <v/>
      </c>
      <c r="Q623" s="1"/>
      <c r="R623" s="1"/>
      <c r="S623" s="1" t="str">
        <f>IF(A623="","",COUNTIFS(Assignments!$B:$B,A623,Assignments!$AE:$AE, "Y",Assignments!$D:$D,"&gt;="&amp;TODAY()-30))</f>
        <v/>
      </c>
      <c r="T623" s="1" t="str">
        <f>IF(A623="","",COUNTIFS(Assignments!$AF:$AF,A623,Assignments!$AE:$AE, "Y",Assignments!$D:$D,"&gt;="&amp;TODAY()-30))</f>
        <v/>
      </c>
      <c r="U623" s="1" t="str">
        <f>IF(A623="","",IFERROR(S623/MAX(1,COUNTIFS(Assignments!$B:$B,A623,Assignments!$D:$D,"&gt;="&amp;TODAY()-30)),""))</f>
        <v/>
      </c>
      <c r="V623" s="1" t="str">
        <f t="shared" si="4"/>
        <v/>
      </c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 t="str">
        <f>IF(A624="","",IFERROR(AVERAGEIFS(Assignments!$AO:$AO,Assignments!$B:$B,A624,Assignments!$E:$E,"Completed"),""))</f>
        <v/>
      </c>
      <c r="L624" s="2"/>
      <c r="M624" s="2"/>
      <c r="N624" s="2"/>
      <c r="O624" s="2"/>
      <c r="P624" s="1" t="str">
        <f>IF(A624="","",MAX(0,MIN(3,SUMIFS(Strike_Log!$C:$C,Strike_Log!$B:$B,A624,Strike_Log!$A:$A,"&gt;="&amp;IF(Config!$B$1004="Y",TODAY()-Config!$B$1005,DATE(1900,1,1)),Strike_Log!$I:$I,1))))</f>
        <v/>
      </c>
      <c r="Q624" s="1"/>
      <c r="R624" s="1"/>
      <c r="S624" s="1" t="str">
        <f>IF(A624="","",COUNTIFS(Assignments!$B:$B,A624,Assignments!$AE:$AE, "Y",Assignments!$D:$D,"&gt;="&amp;TODAY()-30))</f>
        <v/>
      </c>
      <c r="T624" s="1" t="str">
        <f>IF(A624="","",COUNTIFS(Assignments!$AF:$AF,A624,Assignments!$AE:$AE, "Y",Assignments!$D:$D,"&gt;="&amp;TODAY()-30))</f>
        <v/>
      </c>
      <c r="U624" s="1" t="str">
        <f>IF(A624="","",IFERROR(S624/MAX(1,COUNTIFS(Assignments!$B:$B,A624,Assignments!$D:$D,"&gt;="&amp;TODAY()-30)),""))</f>
        <v/>
      </c>
      <c r="V624" s="1" t="str">
        <f t="shared" si="4"/>
        <v/>
      </c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 t="str">
        <f>IF(A625="","",IFERROR(AVERAGEIFS(Assignments!$AO:$AO,Assignments!$B:$B,A625,Assignments!$E:$E,"Completed"),""))</f>
        <v/>
      </c>
      <c r="L625" s="2"/>
      <c r="M625" s="2"/>
      <c r="N625" s="2"/>
      <c r="O625" s="2"/>
      <c r="P625" s="1" t="str">
        <f>IF(A625="","",MAX(0,MIN(3,SUMIFS(Strike_Log!$C:$C,Strike_Log!$B:$B,A625,Strike_Log!$A:$A,"&gt;="&amp;IF(Config!$B$1004="Y",TODAY()-Config!$B$1005,DATE(1900,1,1)),Strike_Log!$I:$I,1))))</f>
        <v/>
      </c>
      <c r="Q625" s="1"/>
      <c r="R625" s="1"/>
      <c r="S625" s="1" t="str">
        <f>IF(A625="","",COUNTIFS(Assignments!$B:$B,A625,Assignments!$AE:$AE, "Y",Assignments!$D:$D,"&gt;="&amp;TODAY()-30))</f>
        <v/>
      </c>
      <c r="T625" s="1" t="str">
        <f>IF(A625="","",COUNTIFS(Assignments!$AF:$AF,A625,Assignments!$AE:$AE, "Y",Assignments!$D:$D,"&gt;="&amp;TODAY()-30))</f>
        <v/>
      </c>
      <c r="U625" s="1" t="str">
        <f>IF(A625="","",IFERROR(S625/MAX(1,COUNTIFS(Assignments!$B:$B,A625,Assignments!$D:$D,"&gt;="&amp;TODAY()-30)),""))</f>
        <v/>
      </c>
      <c r="V625" s="1" t="str">
        <f t="shared" si="4"/>
        <v/>
      </c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 t="str">
        <f>IF(A626="","",IFERROR(AVERAGEIFS(Assignments!$AO:$AO,Assignments!$B:$B,A626,Assignments!$E:$E,"Completed"),""))</f>
        <v/>
      </c>
      <c r="L626" s="2"/>
      <c r="M626" s="2"/>
      <c r="N626" s="2"/>
      <c r="O626" s="2"/>
      <c r="P626" s="1" t="str">
        <f>IF(A626="","",MAX(0,MIN(3,SUMIFS(Strike_Log!$C:$C,Strike_Log!$B:$B,A626,Strike_Log!$A:$A,"&gt;="&amp;IF(Config!$B$1004="Y",TODAY()-Config!$B$1005,DATE(1900,1,1)),Strike_Log!$I:$I,1))))</f>
        <v/>
      </c>
      <c r="Q626" s="1"/>
      <c r="R626" s="1"/>
      <c r="S626" s="1" t="str">
        <f>IF(A626="","",COUNTIFS(Assignments!$B:$B,A626,Assignments!$AE:$AE, "Y",Assignments!$D:$D,"&gt;="&amp;TODAY()-30))</f>
        <v/>
      </c>
      <c r="T626" s="1" t="str">
        <f>IF(A626="","",COUNTIFS(Assignments!$AF:$AF,A626,Assignments!$AE:$AE, "Y",Assignments!$D:$D,"&gt;="&amp;TODAY()-30))</f>
        <v/>
      </c>
      <c r="U626" s="1" t="str">
        <f>IF(A626="","",IFERROR(S626/MAX(1,COUNTIFS(Assignments!$B:$B,A626,Assignments!$D:$D,"&gt;="&amp;TODAY()-30)),""))</f>
        <v/>
      </c>
      <c r="V626" s="1" t="str">
        <f t="shared" si="4"/>
        <v/>
      </c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 t="str">
        <f>IF(A627="","",IFERROR(AVERAGEIFS(Assignments!$AO:$AO,Assignments!$B:$B,A627,Assignments!$E:$E,"Completed"),""))</f>
        <v/>
      </c>
      <c r="L627" s="2"/>
      <c r="M627" s="2"/>
      <c r="N627" s="2"/>
      <c r="O627" s="2"/>
      <c r="P627" s="1" t="str">
        <f>IF(A627="","",MAX(0,MIN(3,SUMIFS(Strike_Log!$C:$C,Strike_Log!$B:$B,A627,Strike_Log!$A:$A,"&gt;="&amp;IF(Config!$B$1004="Y",TODAY()-Config!$B$1005,DATE(1900,1,1)),Strike_Log!$I:$I,1))))</f>
        <v/>
      </c>
      <c r="Q627" s="1"/>
      <c r="R627" s="1"/>
      <c r="S627" s="1" t="str">
        <f>IF(A627="","",COUNTIFS(Assignments!$B:$B,A627,Assignments!$AE:$AE, "Y",Assignments!$D:$D,"&gt;="&amp;TODAY()-30))</f>
        <v/>
      </c>
      <c r="T627" s="1" t="str">
        <f>IF(A627="","",COUNTIFS(Assignments!$AF:$AF,A627,Assignments!$AE:$AE, "Y",Assignments!$D:$D,"&gt;="&amp;TODAY()-30))</f>
        <v/>
      </c>
      <c r="U627" s="1" t="str">
        <f>IF(A627="","",IFERROR(S627/MAX(1,COUNTIFS(Assignments!$B:$B,A627,Assignments!$D:$D,"&gt;="&amp;TODAY()-30)),""))</f>
        <v/>
      </c>
      <c r="V627" s="1" t="str">
        <f t="shared" si="4"/>
        <v/>
      </c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 t="str">
        <f>IF(A628="","",IFERROR(AVERAGEIFS(Assignments!$AO:$AO,Assignments!$B:$B,A628,Assignments!$E:$E,"Completed"),""))</f>
        <v/>
      </c>
      <c r="L628" s="2"/>
      <c r="M628" s="2"/>
      <c r="N628" s="2"/>
      <c r="O628" s="2"/>
      <c r="P628" s="1" t="str">
        <f>IF(A628="","",MAX(0,MIN(3,SUMIFS(Strike_Log!$C:$C,Strike_Log!$B:$B,A628,Strike_Log!$A:$A,"&gt;="&amp;IF(Config!$B$1004="Y",TODAY()-Config!$B$1005,DATE(1900,1,1)),Strike_Log!$I:$I,1))))</f>
        <v/>
      </c>
      <c r="Q628" s="1"/>
      <c r="R628" s="1"/>
      <c r="S628" s="1" t="str">
        <f>IF(A628="","",COUNTIFS(Assignments!$B:$B,A628,Assignments!$AE:$AE, "Y",Assignments!$D:$D,"&gt;="&amp;TODAY()-30))</f>
        <v/>
      </c>
      <c r="T628" s="1" t="str">
        <f>IF(A628="","",COUNTIFS(Assignments!$AF:$AF,A628,Assignments!$AE:$AE, "Y",Assignments!$D:$D,"&gt;="&amp;TODAY()-30))</f>
        <v/>
      </c>
      <c r="U628" s="1" t="str">
        <f>IF(A628="","",IFERROR(S628/MAX(1,COUNTIFS(Assignments!$B:$B,A628,Assignments!$D:$D,"&gt;="&amp;TODAY()-30)),""))</f>
        <v/>
      </c>
      <c r="V628" s="1" t="str">
        <f t="shared" si="4"/>
        <v/>
      </c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 t="str">
        <f>IF(A629="","",IFERROR(AVERAGEIFS(Assignments!$AO:$AO,Assignments!$B:$B,A629,Assignments!$E:$E,"Completed"),""))</f>
        <v/>
      </c>
      <c r="L629" s="2"/>
      <c r="M629" s="2"/>
      <c r="N629" s="2"/>
      <c r="O629" s="2"/>
      <c r="P629" s="1" t="str">
        <f>IF(A629="","",MAX(0,MIN(3,SUMIFS(Strike_Log!$C:$C,Strike_Log!$B:$B,A629,Strike_Log!$A:$A,"&gt;="&amp;IF(Config!$B$1004="Y",TODAY()-Config!$B$1005,DATE(1900,1,1)),Strike_Log!$I:$I,1))))</f>
        <v/>
      </c>
      <c r="Q629" s="1"/>
      <c r="R629" s="1"/>
      <c r="S629" s="1" t="str">
        <f>IF(A629="","",COUNTIFS(Assignments!$B:$B,A629,Assignments!$AE:$AE, "Y",Assignments!$D:$D,"&gt;="&amp;TODAY()-30))</f>
        <v/>
      </c>
      <c r="T629" s="1" t="str">
        <f>IF(A629="","",COUNTIFS(Assignments!$AF:$AF,A629,Assignments!$AE:$AE, "Y",Assignments!$D:$D,"&gt;="&amp;TODAY()-30))</f>
        <v/>
      </c>
      <c r="U629" s="1" t="str">
        <f>IF(A629="","",IFERROR(S629/MAX(1,COUNTIFS(Assignments!$B:$B,A629,Assignments!$D:$D,"&gt;="&amp;TODAY()-30)),""))</f>
        <v/>
      </c>
      <c r="V629" s="1" t="str">
        <f t="shared" si="4"/>
        <v/>
      </c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 t="str">
        <f>IF(A630="","",IFERROR(AVERAGEIFS(Assignments!$AO:$AO,Assignments!$B:$B,A630,Assignments!$E:$E,"Completed"),""))</f>
        <v/>
      </c>
      <c r="L630" s="2"/>
      <c r="M630" s="2"/>
      <c r="N630" s="2"/>
      <c r="O630" s="2"/>
      <c r="P630" s="1" t="str">
        <f>IF(A630="","",MAX(0,MIN(3,SUMIFS(Strike_Log!$C:$C,Strike_Log!$B:$B,A630,Strike_Log!$A:$A,"&gt;="&amp;IF(Config!$B$1004="Y",TODAY()-Config!$B$1005,DATE(1900,1,1)),Strike_Log!$I:$I,1))))</f>
        <v/>
      </c>
      <c r="Q630" s="1"/>
      <c r="R630" s="1"/>
      <c r="S630" s="1" t="str">
        <f>IF(A630="","",COUNTIFS(Assignments!$B:$B,A630,Assignments!$AE:$AE, "Y",Assignments!$D:$D,"&gt;="&amp;TODAY()-30))</f>
        <v/>
      </c>
      <c r="T630" s="1" t="str">
        <f>IF(A630="","",COUNTIFS(Assignments!$AF:$AF,A630,Assignments!$AE:$AE, "Y",Assignments!$D:$D,"&gt;="&amp;TODAY()-30))</f>
        <v/>
      </c>
      <c r="U630" s="1" t="str">
        <f>IF(A630="","",IFERROR(S630/MAX(1,COUNTIFS(Assignments!$B:$B,A630,Assignments!$D:$D,"&gt;="&amp;TODAY()-30)),""))</f>
        <v/>
      </c>
      <c r="V630" s="1" t="str">
        <f t="shared" si="4"/>
        <v/>
      </c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 t="str">
        <f>IF(A631="","",IFERROR(AVERAGEIFS(Assignments!$AO:$AO,Assignments!$B:$B,A631,Assignments!$E:$E,"Completed"),""))</f>
        <v/>
      </c>
      <c r="L631" s="2"/>
      <c r="M631" s="2"/>
      <c r="N631" s="2"/>
      <c r="O631" s="2"/>
      <c r="P631" s="1" t="str">
        <f>IF(A631="","",MAX(0,MIN(3,SUMIFS(Strike_Log!$C:$C,Strike_Log!$B:$B,A631,Strike_Log!$A:$A,"&gt;="&amp;IF(Config!$B$1004="Y",TODAY()-Config!$B$1005,DATE(1900,1,1)),Strike_Log!$I:$I,1))))</f>
        <v/>
      </c>
      <c r="Q631" s="1"/>
      <c r="R631" s="1"/>
      <c r="S631" s="1" t="str">
        <f>IF(A631="","",COUNTIFS(Assignments!$B:$B,A631,Assignments!$AE:$AE, "Y",Assignments!$D:$D,"&gt;="&amp;TODAY()-30))</f>
        <v/>
      </c>
      <c r="T631" s="1" t="str">
        <f>IF(A631="","",COUNTIFS(Assignments!$AF:$AF,A631,Assignments!$AE:$AE, "Y",Assignments!$D:$D,"&gt;="&amp;TODAY()-30))</f>
        <v/>
      </c>
      <c r="U631" s="1" t="str">
        <f>IF(A631="","",IFERROR(S631/MAX(1,COUNTIFS(Assignments!$B:$B,A631,Assignments!$D:$D,"&gt;="&amp;TODAY()-30)),""))</f>
        <v/>
      </c>
      <c r="V631" s="1" t="str">
        <f t="shared" si="4"/>
        <v/>
      </c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 t="str">
        <f>IF(A632="","",IFERROR(AVERAGEIFS(Assignments!$AO:$AO,Assignments!$B:$B,A632,Assignments!$E:$E,"Completed"),""))</f>
        <v/>
      </c>
      <c r="L632" s="2"/>
      <c r="M632" s="2"/>
      <c r="N632" s="2"/>
      <c r="O632" s="2"/>
      <c r="P632" s="1" t="str">
        <f>IF(A632="","",MAX(0,MIN(3,SUMIFS(Strike_Log!$C:$C,Strike_Log!$B:$B,A632,Strike_Log!$A:$A,"&gt;="&amp;IF(Config!$B$1004="Y",TODAY()-Config!$B$1005,DATE(1900,1,1)),Strike_Log!$I:$I,1))))</f>
        <v/>
      </c>
      <c r="Q632" s="1"/>
      <c r="R632" s="1"/>
      <c r="S632" s="1" t="str">
        <f>IF(A632="","",COUNTIFS(Assignments!$B:$B,A632,Assignments!$AE:$AE, "Y",Assignments!$D:$D,"&gt;="&amp;TODAY()-30))</f>
        <v/>
      </c>
      <c r="T632" s="1" t="str">
        <f>IF(A632="","",COUNTIFS(Assignments!$AF:$AF,A632,Assignments!$AE:$AE, "Y",Assignments!$D:$D,"&gt;="&amp;TODAY()-30))</f>
        <v/>
      </c>
      <c r="U632" s="1" t="str">
        <f>IF(A632="","",IFERROR(S632/MAX(1,COUNTIFS(Assignments!$B:$B,A632,Assignments!$D:$D,"&gt;="&amp;TODAY()-30)),""))</f>
        <v/>
      </c>
      <c r="V632" s="1" t="str">
        <f t="shared" si="4"/>
        <v/>
      </c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 t="str">
        <f>IF(A633="","",IFERROR(AVERAGEIFS(Assignments!$AO:$AO,Assignments!$B:$B,A633,Assignments!$E:$E,"Completed"),""))</f>
        <v/>
      </c>
      <c r="L633" s="2"/>
      <c r="M633" s="2"/>
      <c r="N633" s="2"/>
      <c r="O633" s="2"/>
      <c r="P633" s="1" t="str">
        <f>IF(A633="","",MAX(0,MIN(3,SUMIFS(Strike_Log!$C:$C,Strike_Log!$B:$B,A633,Strike_Log!$A:$A,"&gt;="&amp;IF(Config!$B$1004="Y",TODAY()-Config!$B$1005,DATE(1900,1,1)),Strike_Log!$I:$I,1))))</f>
        <v/>
      </c>
      <c r="Q633" s="1"/>
      <c r="R633" s="1"/>
      <c r="S633" s="1" t="str">
        <f>IF(A633="","",COUNTIFS(Assignments!$B:$B,A633,Assignments!$AE:$AE, "Y",Assignments!$D:$D,"&gt;="&amp;TODAY()-30))</f>
        <v/>
      </c>
      <c r="T633" s="1" t="str">
        <f>IF(A633="","",COUNTIFS(Assignments!$AF:$AF,A633,Assignments!$AE:$AE, "Y",Assignments!$D:$D,"&gt;="&amp;TODAY()-30))</f>
        <v/>
      </c>
      <c r="U633" s="1" t="str">
        <f>IF(A633="","",IFERROR(S633/MAX(1,COUNTIFS(Assignments!$B:$B,A633,Assignments!$D:$D,"&gt;="&amp;TODAY()-30)),""))</f>
        <v/>
      </c>
      <c r="V633" s="1" t="str">
        <f t="shared" si="4"/>
        <v/>
      </c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 t="str">
        <f>IF(A634="","",IFERROR(AVERAGEIFS(Assignments!$AO:$AO,Assignments!$B:$B,A634,Assignments!$E:$E,"Completed"),""))</f>
        <v/>
      </c>
      <c r="L634" s="2"/>
      <c r="M634" s="2"/>
      <c r="N634" s="2"/>
      <c r="O634" s="2"/>
      <c r="P634" s="1" t="str">
        <f>IF(A634="","",MAX(0,MIN(3,SUMIFS(Strike_Log!$C:$C,Strike_Log!$B:$B,A634,Strike_Log!$A:$A,"&gt;="&amp;IF(Config!$B$1004="Y",TODAY()-Config!$B$1005,DATE(1900,1,1)),Strike_Log!$I:$I,1))))</f>
        <v/>
      </c>
      <c r="Q634" s="1"/>
      <c r="R634" s="1"/>
      <c r="S634" s="1" t="str">
        <f>IF(A634="","",COUNTIFS(Assignments!$B:$B,A634,Assignments!$AE:$AE, "Y",Assignments!$D:$D,"&gt;="&amp;TODAY()-30))</f>
        <v/>
      </c>
      <c r="T634" s="1" t="str">
        <f>IF(A634="","",COUNTIFS(Assignments!$AF:$AF,A634,Assignments!$AE:$AE, "Y",Assignments!$D:$D,"&gt;="&amp;TODAY()-30))</f>
        <v/>
      </c>
      <c r="U634" s="1" t="str">
        <f>IF(A634="","",IFERROR(S634/MAX(1,COUNTIFS(Assignments!$B:$B,A634,Assignments!$D:$D,"&gt;="&amp;TODAY()-30)),""))</f>
        <v/>
      </c>
      <c r="V634" s="1" t="str">
        <f t="shared" si="4"/>
        <v/>
      </c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 t="str">
        <f>IF(A635="","",IFERROR(AVERAGEIFS(Assignments!$AO:$AO,Assignments!$B:$B,A635,Assignments!$E:$E,"Completed"),""))</f>
        <v/>
      </c>
      <c r="L635" s="2"/>
      <c r="M635" s="2"/>
      <c r="N635" s="2"/>
      <c r="O635" s="2"/>
      <c r="P635" s="1" t="str">
        <f>IF(A635="","",MAX(0,MIN(3,SUMIFS(Strike_Log!$C:$C,Strike_Log!$B:$B,A635,Strike_Log!$A:$A,"&gt;="&amp;IF(Config!$B$1004="Y",TODAY()-Config!$B$1005,DATE(1900,1,1)),Strike_Log!$I:$I,1))))</f>
        <v/>
      </c>
      <c r="Q635" s="1"/>
      <c r="R635" s="1"/>
      <c r="S635" s="1" t="str">
        <f>IF(A635="","",COUNTIFS(Assignments!$B:$B,A635,Assignments!$AE:$AE, "Y",Assignments!$D:$D,"&gt;="&amp;TODAY()-30))</f>
        <v/>
      </c>
      <c r="T635" s="1" t="str">
        <f>IF(A635="","",COUNTIFS(Assignments!$AF:$AF,A635,Assignments!$AE:$AE, "Y",Assignments!$D:$D,"&gt;="&amp;TODAY()-30))</f>
        <v/>
      </c>
      <c r="U635" s="1" t="str">
        <f>IF(A635="","",IFERROR(S635/MAX(1,COUNTIFS(Assignments!$B:$B,A635,Assignments!$D:$D,"&gt;="&amp;TODAY()-30)),""))</f>
        <v/>
      </c>
      <c r="V635" s="1" t="str">
        <f t="shared" si="4"/>
        <v/>
      </c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 t="str">
        <f>IF(A636="","",IFERROR(AVERAGEIFS(Assignments!$AO:$AO,Assignments!$B:$B,A636,Assignments!$E:$E,"Completed"),""))</f>
        <v/>
      </c>
      <c r="L636" s="2"/>
      <c r="M636" s="2"/>
      <c r="N636" s="2"/>
      <c r="O636" s="2"/>
      <c r="P636" s="1" t="str">
        <f>IF(A636="","",MAX(0,MIN(3,SUMIFS(Strike_Log!$C:$C,Strike_Log!$B:$B,A636,Strike_Log!$A:$A,"&gt;="&amp;IF(Config!$B$1004="Y",TODAY()-Config!$B$1005,DATE(1900,1,1)),Strike_Log!$I:$I,1))))</f>
        <v/>
      </c>
      <c r="Q636" s="1"/>
      <c r="R636" s="1"/>
      <c r="S636" s="1" t="str">
        <f>IF(A636="","",COUNTIFS(Assignments!$B:$B,A636,Assignments!$AE:$AE, "Y",Assignments!$D:$D,"&gt;="&amp;TODAY()-30))</f>
        <v/>
      </c>
      <c r="T636" s="1" t="str">
        <f>IF(A636="","",COUNTIFS(Assignments!$AF:$AF,A636,Assignments!$AE:$AE, "Y",Assignments!$D:$D,"&gt;="&amp;TODAY()-30))</f>
        <v/>
      </c>
      <c r="U636" s="1" t="str">
        <f>IF(A636="","",IFERROR(S636/MAX(1,COUNTIFS(Assignments!$B:$B,A636,Assignments!$D:$D,"&gt;="&amp;TODAY()-30)),""))</f>
        <v/>
      </c>
      <c r="V636" s="1" t="str">
        <f t="shared" si="4"/>
        <v/>
      </c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 t="str">
        <f>IF(A637="","",IFERROR(AVERAGEIFS(Assignments!$AO:$AO,Assignments!$B:$B,A637,Assignments!$E:$E,"Completed"),""))</f>
        <v/>
      </c>
      <c r="L637" s="2"/>
      <c r="M637" s="2"/>
      <c r="N637" s="2"/>
      <c r="O637" s="2"/>
      <c r="P637" s="1" t="str">
        <f>IF(A637="","",MAX(0,MIN(3,SUMIFS(Strike_Log!$C:$C,Strike_Log!$B:$B,A637,Strike_Log!$A:$A,"&gt;="&amp;IF(Config!$B$1004="Y",TODAY()-Config!$B$1005,DATE(1900,1,1)),Strike_Log!$I:$I,1))))</f>
        <v/>
      </c>
      <c r="Q637" s="1"/>
      <c r="R637" s="1"/>
      <c r="S637" s="1" t="str">
        <f>IF(A637="","",COUNTIFS(Assignments!$B:$B,A637,Assignments!$AE:$AE, "Y",Assignments!$D:$D,"&gt;="&amp;TODAY()-30))</f>
        <v/>
      </c>
      <c r="T637" s="1" t="str">
        <f>IF(A637="","",COUNTIFS(Assignments!$AF:$AF,A637,Assignments!$AE:$AE, "Y",Assignments!$D:$D,"&gt;="&amp;TODAY()-30))</f>
        <v/>
      </c>
      <c r="U637" s="1" t="str">
        <f>IF(A637="","",IFERROR(S637/MAX(1,COUNTIFS(Assignments!$B:$B,A637,Assignments!$D:$D,"&gt;="&amp;TODAY()-30)),""))</f>
        <v/>
      </c>
      <c r="V637" s="1" t="str">
        <f t="shared" si="4"/>
        <v/>
      </c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 t="str">
        <f>IF(A638="","",IFERROR(AVERAGEIFS(Assignments!$AO:$AO,Assignments!$B:$B,A638,Assignments!$E:$E,"Completed"),""))</f>
        <v/>
      </c>
      <c r="L638" s="2"/>
      <c r="M638" s="2"/>
      <c r="N638" s="2"/>
      <c r="O638" s="2"/>
      <c r="P638" s="1" t="str">
        <f>IF(A638="","",MAX(0,MIN(3,SUMIFS(Strike_Log!$C:$C,Strike_Log!$B:$B,A638,Strike_Log!$A:$A,"&gt;="&amp;IF(Config!$B$1004="Y",TODAY()-Config!$B$1005,DATE(1900,1,1)),Strike_Log!$I:$I,1))))</f>
        <v/>
      </c>
      <c r="Q638" s="1"/>
      <c r="R638" s="1"/>
      <c r="S638" s="1" t="str">
        <f>IF(A638="","",COUNTIFS(Assignments!$B:$B,A638,Assignments!$AE:$AE, "Y",Assignments!$D:$D,"&gt;="&amp;TODAY()-30))</f>
        <v/>
      </c>
      <c r="T638" s="1" t="str">
        <f>IF(A638="","",COUNTIFS(Assignments!$AF:$AF,A638,Assignments!$AE:$AE, "Y",Assignments!$D:$D,"&gt;="&amp;TODAY()-30))</f>
        <v/>
      </c>
      <c r="U638" s="1" t="str">
        <f>IF(A638="","",IFERROR(S638/MAX(1,COUNTIFS(Assignments!$B:$B,A638,Assignments!$D:$D,"&gt;="&amp;TODAY()-30)),""))</f>
        <v/>
      </c>
      <c r="V638" s="1" t="str">
        <f t="shared" si="4"/>
        <v/>
      </c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 t="str">
        <f>IF(A639="","",IFERROR(AVERAGEIFS(Assignments!$AO:$AO,Assignments!$B:$B,A639,Assignments!$E:$E,"Completed"),""))</f>
        <v/>
      </c>
      <c r="L639" s="2"/>
      <c r="M639" s="2"/>
      <c r="N639" s="2"/>
      <c r="O639" s="2"/>
      <c r="P639" s="1" t="str">
        <f>IF(A639="","",MAX(0,MIN(3,SUMIFS(Strike_Log!$C:$C,Strike_Log!$B:$B,A639,Strike_Log!$A:$A,"&gt;="&amp;IF(Config!$B$1004="Y",TODAY()-Config!$B$1005,DATE(1900,1,1)),Strike_Log!$I:$I,1))))</f>
        <v/>
      </c>
      <c r="Q639" s="1"/>
      <c r="R639" s="1"/>
      <c r="S639" s="1" t="str">
        <f>IF(A639="","",COUNTIFS(Assignments!$B:$B,A639,Assignments!$AE:$AE, "Y",Assignments!$D:$D,"&gt;="&amp;TODAY()-30))</f>
        <v/>
      </c>
      <c r="T639" s="1" t="str">
        <f>IF(A639="","",COUNTIFS(Assignments!$AF:$AF,A639,Assignments!$AE:$AE, "Y",Assignments!$D:$D,"&gt;="&amp;TODAY()-30))</f>
        <v/>
      </c>
      <c r="U639" s="1" t="str">
        <f>IF(A639="","",IFERROR(S639/MAX(1,COUNTIFS(Assignments!$B:$B,A639,Assignments!$D:$D,"&gt;="&amp;TODAY()-30)),""))</f>
        <v/>
      </c>
      <c r="V639" s="1" t="str">
        <f t="shared" si="4"/>
        <v/>
      </c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 t="str">
        <f>IF(A640="","",IFERROR(AVERAGEIFS(Assignments!$AO:$AO,Assignments!$B:$B,A640,Assignments!$E:$E,"Completed"),""))</f>
        <v/>
      </c>
      <c r="L640" s="2"/>
      <c r="M640" s="2"/>
      <c r="N640" s="2"/>
      <c r="O640" s="2"/>
      <c r="P640" s="1" t="str">
        <f>IF(A640="","",MAX(0,MIN(3,SUMIFS(Strike_Log!$C:$C,Strike_Log!$B:$B,A640,Strike_Log!$A:$A,"&gt;="&amp;IF(Config!$B$1004="Y",TODAY()-Config!$B$1005,DATE(1900,1,1)),Strike_Log!$I:$I,1))))</f>
        <v/>
      </c>
      <c r="Q640" s="1"/>
      <c r="R640" s="1"/>
      <c r="S640" s="1" t="str">
        <f>IF(A640="","",COUNTIFS(Assignments!$B:$B,A640,Assignments!$AE:$AE, "Y",Assignments!$D:$D,"&gt;="&amp;TODAY()-30))</f>
        <v/>
      </c>
      <c r="T640" s="1" t="str">
        <f>IF(A640="","",COUNTIFS(Assignments!$AF:$AF,A640,Assignments!$AE:$AE, "Y",Assignments!$D:$D,"&gt;="&amp;TODAY()-30))</f>
        <v/>
      </c>
      <c r="U640" s="1" t="str">
        <f>IF(A640="","",IFERROR(S640/MAX(1,COUNTIFS(Assignments!$B:$B,A640,Assignments!$D:$D,"&gt;="&amp;TODAY()-30)),""))</f>
        <v/>
      </c>
      <c r="V640" s="1" t="str">
        <f t="shared" si="4"/>
        <v/>
      </c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 t="str">
        <f>IF(A641="","",IFERROR(AVERAGEIFS(Assignments!$AO:$AO,Assignments!$B:$B,A641,Assignments!$E:$E,"Completed"),""))</f>
        <v/>
      </c>
      <c r="L641" s="2"/>
      <c r="M641" s="2"/>
      <c r="N641" s="2"/>
      <c r="O641" s="2"/>
      <c r="P641" s="1" t="str">
        <f>IF(A641="","",MAX(0,MIN(3,SUMIFS(Strike_Log!$C:$C,Strike_Log!$B:$B,A641,Strike_Log!$A:$A,"&gt;="&amp;IF(Config!$B$1004="Y",TODAY()-Config!$B$1005,DATE(1900,1,1)),Strike_Log!$I:$I,1))))</f>
        <v/>
      </c>
      <c r="Q641" s="1"/>
      <c r="R641" s="1"/>
      <c r="S641" s="1" t="str">
        <f>IF(A641="","",COUNTIFS(Assignments!$B:$B,A641,Assignments!$AE:$AE, "Y",Assignments!$D:$D,"&gt;="&amp;TODAY()-30))</f>
        <v/>
      </c>
      <c r="T641" s="1" t="str">
        <f>IF(A641="","",COUNTIFS(Assignments!$AF:$AF,A641,Assignments!$AE:$AE, "Y",Assignments!$D:$D,"&gt;="&amp;TODAY()-30))</f>
        <v/>
      </c>
      <c r="U641" s="1" t="str">
        <f>IF(A641="","",IFERROR(S641/MAX(1,COUNTIFS(Assignments!$B:$B,A641,Assignments!$D:$D,"&gt;="&amp;TODAY()-30)),""))</f>
        <v/>
      </c>
      <c r="V641" s="1" t="str">
        <f t="shared" si="4"/>
        <v/>
      </c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 t="str">
        <f>IF(A642="","",IFERROR(AVERAGEIFS(Assignments!$AO:$AO,Assignments!$B:$B,A642,Assignments!$E:$E,"Completed"),""))</f>
        <v/>
      </c>
      <c r="L642" s="2"/>
      <c r="M642" s="2"/>
      <c r="N642" s="2"/>
      <c r="O642" s="2"/>
      <c r="P642" s="1" t="str">
        <f>IF(A642="","",MAX(0,MIN(3,SUMIFS(Strike_Log!$C:$C,Strike_Log!$B:$B,A642,Strike_Log!$A:$A,"&gt;="&amp;IF(Config!$B$1004="Y",TODAY()-Config!$B$1005,DATE(1900,1,1)),Strike_Log!$I:$I,1))))</f>
        <v/>
      </c>
      <c r="Q642" s="1"/>
      <c r="R642" s="1"/>
      <c r="S642" s="1" t="str">
        <f>IF(A642="","",COUNTIFS(Assignments!$B:$B,A642,Assignments!$AE:$AE, "Y",Assignments!$D:$D,"&gt;="&amp;TODAY()-30))</f>
        <v/>
      </c>
      <c r="T642" s="1" t="str">
        <f>IF(A642="","",COUNTIFS(Assignments!$AF:$AF,A642,Assignments!$AE:$AE, "Y",Assignments!$D:$D,"&gt;="&amp;TODAY()-30))</f>
        <v/>
      </c>
      <c r="U642" s="1" t="str">
        <f>IF(A642="","",IFERROR(S642/MAX(1,COUNTIFS(Assignments!$B:$B,A642,Assignments!$D:$D,"&gt;="&amp;TODAY()-30)),""))</f>
        <v/>
      </c>
      <c r="V642" s="1" t="str">
        <f t="shared" si="4"/>
        <v/>
      </c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 t="str">
        <f>IF(A643="","",IFERROR(AVERAGEIFS(Assignments!$AO:$AO,Assignments!$B:$B,A643,Assignments!$E:$E,"Completed"),""))</f>
        <v/>
      </c>
      <c r="L643" s="2"/>
      <c r="M643" s="2"/>
      <c r="N643" s="2"/>
      <c r="O643" s="2"/>
      <c r="P643" s="1" t="str">
        <f>IF(A643="","",MAX(0,MIN(3,SUMIFS(Strike_Log!$C:$C,Strike_Log!$B:$B,A643,Strike_Log!$A:$A,"&gt;="&amp;IF(Config!$B$1004="Y",TODAY()-Config!$B$1005,DATE(1900,1,1)),Strike_Log!$I:$I,1))))</f>
        <v/>
      </c>
      <c r="Q643" s="1"/>
      <c r="R643" s="1"/>
      <c r="S643" s="1" t="str">
        <f>IF(A643="","",COUNTIFS(Assignments!$B:$B,A643,Assignments!$AE:$AE, "Y",Assignments!$D:$D,"&gt;="&amp;TODAY()-30))</f>
        <v/>
      </c>
      <c r="T643" s="1" t="str">
        <f>IF(A643="","",COUNTIFS(Assignments!$AF:$AF,A643,Assignments!$AE:$AE, "Y",Assignments!$D:$D,"&gt;="&amp;TODAY()-30))</f>
        <v/>
      </c>
      <c r="U643" s="1" t="str">
        <f>IF(A643="","",IFERROR(S643/MAX(1,COUNTIFS(Assignments!$B:$B,A643,Assignments!$D:$D,"&gt;="&amp;TODAY()-30)),""))</f>
        <v/>
      </c>
      <c r="V643" s="1" t="str">
        <f t="shared" si="4"/>
        <v/>
      </c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 t="str">
        <f>IF(A644="","",IFERROR(AVERAGEIFS(Assignments!$AO:$AO,Assignments!$B:$B,A644,Assignments!$E:$E,"Completed"),""))</f>
        <v/>
      </c>
      <c r="L644" s="2"/>
      <c r="M644" s="2"/>
      <c r="N644" s="2"/>
      <c r="O644" s="2"/>
      <c r="P644" s="1" t="str">
        <f>IF(A644="","",MAX(0,MIN(3,SUMIFS(Strike_Log!$C:$C,Strike_Log!$B:$B,A644,Strike_Log!$A:$A,"&gt;="&amp;IF(Config!$B$1004="Y",TODAY()-Config!$B$1005,DATE(1900,1,1)),Strike_Log!$I:$I,1))))</f>
        <v/>
      </c>
      <c r="Q644" s="1"/>
      <c r="R644" s="1"/>
      <c r="S644" s="1" t="str">
        <f>IF(A644="","",COUNTIFS(Assignments!$B:$B,A644,Assignments!$AE:$AE, "Y",Assignments!$D:$D,"&gt;="&amp;TODAY()-30))</f>
        <v/>
      </c>
      <c r="T644" s="1" t="str">
        <f>IF(A644="","",COUNTIFS(Assignments!$AF:$AF,A644,Assignments!$AE:$AE, "Y",Assignments!$D:$D,"&gt;="&amp;TODAY()-30))</f>
        <v/>
      </c>
      <c r="U644" s="1" t="str">
        <f>IF(A644="","",IFERROR(S644/MAX(1,COUNTIFS(Assignments!$B:$B,A644,Assignments!$D:$D,"&gt;="&amp;TODAY()-30)),""))</f>
        <v/>
      </c>
      <c r="V644" s="1" t="str">
        <f t="shared" si="4"/>
        <v/>
      </c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 t="str">
        <f>IF(A645="","",IFERROR(AVERAGEIFS(Assignments!$AO:$AO,Assignments!$B:$B,A645,Assignments!$E:$E,"Completed"),""))</f>
        <v/>
      </c>
      <c r="L645" s="2"/>
      <c r="M645" s="2"/>
      <c r="N645" s="2"/>
      <c r="O645" s="2"/>
      <c r="P645" s="1" t="str">
        <f>IF(A645="","",MAX(0,MIN(3,SUMIFS(Strike_Log!$C:$C,Strike_Log!$B:$B,A645,Strike_Log!$A:$A,"&gt;="&amp;IF(Config!$B$1004="Y",TODAY()-Config!$B$1005,DATE(1900,1,1)),Strike_Log!$I:$I,1))))</f>
        <v/>
      </c>
      <c r="Q645" s="1"/>
      <c r="R645" s="1"/>
      <c r="S645" s="1" t="str">
        <f>IF(A645="","",COUNTIFS(Assignments!$B:$B,A645,Assignments!$AE:$AE, "Y",Assignments!$D:$D,"&gt;="&amp;TODAY()-30))</f>
        <v/>
      </c>
      <c r="T645" s="1" t="str">
        <f>IF(A645="","",COUNTIFS(Assignments!$AF:$AF,A645,Assignments!$AE:$AE, "Y",Assignments!$D:$D,"&gt;="&amp;TODAY()-30))</f>
        <v/>
      </c>
      <c r="U645" s="1" t="str">
        <f>IF(A645="","",IFERROR(S645/MAX(1,COUNTIFS(Assignments!$B:$B,A645,Assignments!$D:$D,"&gt;="&amp;TODAY()-30)),""))</f>
        <v/>
      </c>
      <c r="V645" s="1" t="str">
        <f t="shared" si="4"/>
        <v/>
      </c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 t="str">
        <f>IF(A646="","",IFERROR(AVERAGEIFS(Assignments!$AO:$AO,Assignments!$B:$B,A646,Assignments!$E:$E,"Completed"),""))</f>
        <v/>
      </c>
      <c r="L646" s="2"/>
      <c r="M646" s="2"/>
      <c r="N646" s="2"/>
      <c r="O646" s="2"/>
      <c r="P646" s="1" t="str">
        <f>IF(A646="","",MAX(0,MIN(3,SUMIFS(Strike_Log!$C:$C,Strike_Log!$B:$B,A646,Strike_Log!$A:$A,"&gt;="&amp;IF(Config!$B$1004="Y",TODAY()-Config!$B$1005,DATE(1900,1,1)),Strike_Log!$I:$I,1))))</f>
        <v/>
      </c>
      <c r="Q646" s="1"/>
      <c r="R646" s="1"/>
      <c r="S646" s="1" t="str">
        <f>IF(A646="","",COUNTIFS(Assignments!$B:$B,A646,Assignments!$AE:$AE, "Y",Assignments!$D:$D,"&gt;="&amp;TODAY()-30))</f>
        <v/>
      </c>
      <c r="T646" s="1" t="str">
        <f>IF(A646="","",COUNTIFS(Assignments!$AF:$AF,A646,Assignments!$AE:$AE, "Y",Assignments!$D:$D,"&gt;="&amp;TODAY()-30))</f>
        <v/>
      </c>
      <c r="U646" s="1" t="str">
        <f>IF(A646="","",IFERROR(S646/MAX(1,COUNTIFS(Assignments!$B:$B,A646,Assignments!$D:$D,"&gt;="&amp;TODAY()-30)),""))</f>
        <v/>
      </c>
      <c r="V646" s="1" t="str">
        <f t="shared" si="4"/>
        <v/>
      </c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 t="str">
        <f>IF(A647="","",IFERROR(AVERAGEIFS(Assignments!$AO:$AO,Assignments!$B:$B,A647,Assignments!$E:$E,"Completed"),""))</f>
        <v/>
      </c>
      <c r="L647" s="2"/>
      <c r="M647" s="2"/>
      <c r="N647" s="2"/>
      <c r="O647" s="2"/>
      <c r="P647" s="1" t="str">
        <f>IF(A647="","",MAX(0,MIN(3,SUMIFS(Strike_Log!$C:$C,Strike_Log!$B:$B,A647,Strike_Log!$A:$A,"&gt;="&amp;IF(Config!$B$1004="Y",TODAY()-Config!$B$1005,DATE(1900,1,1)),Strike_Log!$I:$I,1))))</f>
        <v/>
      </c>
      <c r="Q647" s="1"/>
      <c r="R647" s="1"/>
      <c r="S647" s="1" t="str">
        <f>IF(A647="","",COUNTIFS(Assignments!$B:$B,A647,Assignments!$AE:$AE, "Y",Assignments!$D:$D,"&gt;="&amp;TODAY()-30))</f>
        <v/>
      </c>
      <c r="T647" s="1" t="str">
        <f>IF(A647="","",COUNTIFS(Assignments!$AF:$AF,A647,Assignments!$AE:$AE, "Y",Assignments!$D:$D,"&gt;="&amp;TODAY()-30))</f>
        <v/>
      </c>
      <c r="U647" s="1" t="str">
        <f>IF(A647="","",IFERROR(S647/MAX(1,COUNTIFS(Assignments!$B:$B,A647,Assignments!$D:$D,"&gt;="&amp;TODAY()-30)),""))</f>
        <v/>
      </c>
      <c r="V647" s="1" t="str">
        <f t="shared" si="4"/>
        <v/>
      </c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 t="str">
        <f>IF(A648="","",IFERROR(AVERAGEIFS(Assignments!$AO:$AO,Assignments!$B:$B,A648,Assignments!$E:$E,"Completed"),""))</f>
        <v/>
      </c>
      <c r="L648" s="2"/>
      <c r="M648" s="2"/>
      <c r="N648" s="2"/>
      <c r="O648" s="2"/>
      <c r="P648" s="1" t="str">
        <f>IF(A648="","",MAX(0,MIN(3,SUMIFS(Strike_Log!$C:$C,Strike_Log!$B:$B,A648,Strike_Log!$A:$A,"&gt;="&amp;IF(Config!$B$1004="Y",TODAY()-Config!$B$1005,DATE(1900,1,1)),Strike_Log!$I:$I,1))))</f>
        <v/>
      </c>
      <c r="Q648" s="1"/>
      <c r="R648" s="1"/>
      <c r="S648" s="1" t="str">
        <f>IF(A648="","",COUNTIFS(Assignments!$B:$B,A648,Assignments!$AE:$AE, "Y",Assignments!$D:$D,"&gt;="&amp;TODAY()-30))</f>
        <v/>
      </c>
      <c r="T648" s="1" t="str">
        <f>IF(A648="","",COUNTIFS(Assignments!$AF:$AF,A648,Assignments!$AE:$AE, "Y",Assignments!$D:$D,"&gt;="&amp;TODAY()-30))</f>
        <v/>
      </c>
      <c r="U648" s="1" t="str">
        <f>IF(A648="","",IFERROR(S648/MAX(1,COUNTIFS(Assignments!$B:$B,A648,Assignments!$D:$D,"&gt;="&amp;TODAY()-30)),""))</f>
        <v/>
      </c>
      <c r="V648" s="1" t="str">
        <f t="shared" si="4"/>
        <v/>
      </c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 t="str">
        <f>IF(A649="","",IFERROR(AVERAGEIFS(Assignments!$AO:$AO,Assignments!$B:$B,A649,Assignments!$E:$E,"Completed"),""))</f>
        <v/>
      </c>
      <c r="L649" s="2"/>
      <c r="M649" s="2"/>
      <c r="N649" s="2"/>
      <c r="O649" s="2"/>
      <c r="P649" s="1" t="str">
        <f>IF(A649="","",MAX(0,MIN(3,SUMIFS(Strike_Log!$C:$C,Strike_Log!$B:$B,A649,Strike_Log!$A:$A,"&gt;="&amp;IF(Config!$B$1004="Y",TODAY()-Config!$B$1005,DATE(1900,1,1)),Strike_Log!$I:$I,1))))</f>
        <v/>
      </c>
      <c r="Q649" s="1"/>
      <c r="R649" s="1"/>
      <c r="S649" s="1" t="str">
        <f>IF(A649="","",COUNTIFS(Assignments!$B:$B,A649,Assignments!$AE:$AE, "Y",Assignments!$D:$D,"&gt;="&amp;TODAY()-30))</f>
        <v/>
      </c>
      <c r="T649" s="1" t="str">
        <f>IF(A649="","",COUNTIFS(Assignments!$AF:$AF,A649,Assignments!$AE:$AE, "Y",Assignments!$D:$D,"&gt;="&amp;TODAY()-30))</f>
        <v/>
      </c>
      <c r="U649" s="1" t="str">
        <f>IF(A649="","",IFERROR(S649/MAX(1,COUNTIFS(Assignments!$B:$B,A649,Assignments!$D:$D,"&gt;="&amp;TODAY()-30)),""))</f>
        <v/>
      </c>
      <c r="V649" s="1" t="str">
        <f t="shared" si="4"/>
        <v/>
      </c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 t="str">
        <f>IF(A650="","",IFERROR(AVERAGEIFS(Assignments!$AO:$AO,Assignments!$B:$B,A650,Assignments!$E:$E,"Completed"),""))</f>
        <v/>
      </c>
      <c r="L650" s="2"/>
      <c r="M650" s="2"/>
      <c r="N650" s="2"/>
      <c r="O650" s="2"/>
      <c r="P650" s="1" t="str">
        <f>IF(A650="","",MAX(0,MIN(3,SUMIFS(Strike_Log!$C:$C,Strike_Log!$B:$B,A650,Strike_Log!$A:$A,"&gt;="&amp;IF(Config!$B$1004="Y",TODAY()-Config!$B$1005,DATE(1900,1,1)),Strike_Log!$I:$I,1))))</f>
        <v/>
      </c>
      <c r="Q650" s="1"/>
      <c r="R650" s="1"/>
      <c r="S650" s="1" t="str">
        <f>IF(A650="","",COUNTIFS(Assignments!$B:$B,A650,Assignments!$AE:$AE, "Y",Assignments!$D:$D,"&gt;="&amp;TODAY()-30))</f>
        <v/>
      </c>
      <c r="T650" s="1" t="str">
        <f>IF(A650="","",COUNTIFS(Assignments!$AF:$AF,A650,Assignments!$AE:$AE, "Y",Assignments!$D:$D,"&gt;="&amp;TODAY()-30))</f>
        <v/>
      </c>
      <c r="U650" s="1" t="str">
        <f>IF(A650="","",IFERROR(S650/MAX(1,COUNTIFS(Assignments!$B:$B,A650,Assignments!$D:$D,"&gt;="&amp;TODAY()-30)),""))</f>
        <v/>
      </c>
      <c r="V650" s="1" t="str">
        <f t="shared" si="4"/>
        <v/>
      </c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 t="str">
        <f>IF(A651="","",IFERROR(AVERAGEIFS(Assignments!$AO:$AO,Assignments!$B:$B,A651,Assignments!$E:$E,"Completed"),""))</f>
        <v/>
      </c>
      <c r="L651" s="2"/>
      <c r="M651" s="2"/>
      <c r="N651" s="2"/>
      <c r="O651" s="2"/>
      <c r="P651" s="1" t="str">
        <f>IF(A651="","",MAX(0,MIN(3,SUMIFS(Strike_Log!$C:$C,Strike_Log!$B:$B,A651,Strike_Log!$A:$A,"&gt;="&amp;IF(Config!$B$1004="Y",TODAY()-Config!$B$1005,DATE(1900,1,1)),Strike_Log!$I:$I,1))))</f>
        <v/>
      </c>
      <c r="Q651" s="1"/>
      <c r="R651" s="1"/>
      <c r="S651" s="1" t="str">
        <f>IF(A651="","",COUNTIFS(Assignments!$B:$B,A651,Assignments!$AE:$AE, "Y",Assignments!$D:$D,"&gt;="&amp;TODAY()-30))</f>
        <v/>
      </c>
      <c r="T651" s="1" t="str">
        <f>IF(A651="","",COUNTIFS(Assignments!$AF:$AF,A651,Assignments!$AE:$AE, "Y",Assignments!$D:$D,"&gt;="&amp;TODAY()-30))</f>
        <v/>
      </c>
      <c r="U651" s="1" t="str">
        <f>IF(A651="","",IFERROR(S651/MAX(1,COUNTIFS(Assignments!$B:$B,A651,Assignments!$D:$D,"&gt;="&amp;TODAY()-30)),""))</f>
        <v/>
      </c>
      <c r="V651" s="1" t="str">
        <f t="shared" si="4"/>
        <v/>
      </c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 t="str">
        <f>IF(A652="","",IFERROR(AVERAGEIFS(Assignments!$AO:$AO,Assignments!$B:$B,A652,Assignments!$E:$E,"Completed"),""))</f>
        <v/>
      </c>
      <c r="L652" s="2"/>
      <c r="M652" s="2"/>
      <c r="N652" s="2"/>
      <c r="O652" s="2"/>
      <c r="P652" s="1" t="str">
        <f>IF(A652="","",MAX(0,MIN(3,SUMIFS(Strike_Log!$C:$C,Strike_Log!$B:$B,A652,Strike_Log!$A:$A,"&gt;="&amp;IF(Config!$B$1004="Y",TODAY()-Config!$B$1005,DATE(1900,1,1)),Strike_Log!$I:$I,1))))</f>
        <v/>
      </c>
      <c r="Q652" s="1"/>
      <c r="R652" s="1"/>
      <c r="S652" s="1" t="str">
        <f>IF(A652="","",COUNTIFS(Assignments!$B:$B,A652,Assignments!$AE:$AE, "Y",Assignments!$D:$D,"&gt;="&amp;TODAY()-30))</f>
        <v/>
      </c>
      <c r="T652" s="1" t="str">
        <f>IF(A652="","",COUNTIFS(Assignments!$AF:$AF,A652,Assignments!$AE:$AE, "Y",Assignments!$D:$D,"&gt;="&amp;TODAY()-30))</f>
        <v/>
      </c>
      <c r="U652" s="1" t="str">
        <f>IF(A652="","",IFERROR(S652/MAX(1,COUNTIFS(Assignments!$B:$B,A652,Assignments!$D:$D,"&gt;="&amp;TODAY()-30)),""))</f>
        <v/>
      </c>
      <c r="V652" s="1" t="str">
        <f t="shared" si="4"/>
        <v/>
      </c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 t="str">
        <f>IF(A653="","",IFERROR(AVERAGEIFS(Assignments!$AO:$AO,Assignments!$B:$B,A653,Assignments!$E:$E,"Completed"),""))</f>
        <v/>
      </c>
      <c r="L653" s="2"/>
      <c r="M653" s="2"/>
      <c r="N653" s="2"/>
      <c r="O653" s="2"/>
      <c r="P653" s="1" t="str">
        <f>IF(A653="","",MAX(0,MIN(3,SUMIFS(Strike_Log!$C:$C,Strike_Log!$B:$B,A653,Strike_Log!$A:$A,"&gt;="&amp;IF(Config!$B$1004="Y",TODAY()-Config!$B$1005,DATE(1900,1,1)),Strike_Log!$I:$I,1))))</f>
        <v/>
      </c>
      <c r="Q653" s="1"/>
      <c r="R653" s="1"/>
      <c r="S653" s="1" t="str">
        <f>IF(A653="","",COUNTIFS(Assignments!$B:$B,A653,Assignments!$AE:$AE, "Y",Assignments!$D:$D,"&gt;="&amp;TODAY()-30))</f>
        <v/>
      </c>
      <c r="T653" s="1" t="str">
        <f>IF(A653="","",COUNTIFS(Assignments!$AF:$AF,A653,Assignments!$AE:$AE, "Y",Assignments!$D:$D,"&gt;="&amp;TODAY()-30))</f>
        <v/>
      </c>
      <c r="U653" s="1" t="str">
        <f>IF(A653="","",IFERROR(S653/MAX(1,COUNTIFS(Assignments!$B:$B,A653,Assignments!$D:$D,"&gt;="&amp;TODAY()-30)),""))</f>
        <v/>
      </c>
      <c r="V653" s="1" t="str">
        <f t="shared" si="4"/>
        <v/>
      </c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 t="str">
        <f>IF(A654="","",IFERROR(AVERAGEIFS(Assignments!$AO:$AO,Assignments!$B:$B,A654,Assignments!$E:$E,"Completed"),""))</f>
        <v/>
      </c>
      <c r="L654" s="2"/>
      <c r="M654" s="2"/>
      <c r="N654" s="2"/>
      <c r="O654" s="2"/>
      <c r="P654" s="1" t="str">
        <f>IF(A654="","",MAX(0,MIN(3,SUMIFS(Strike_Log!$C:$C,Strike_Log!$B:$B,A654,Strike_Log!$A:$A,"&gt;="&amp;IF(Config!$B$1004="Y",TODAY()-Config!$B$1005,DATE(1900,1,1)),Strike_Log!$I:$I,1))))</f>
        <v/>
      </c>
      <c r="Q654" s="1"/>
      <c r="R654" s="1"/>
      <c r="S654" s="1" t="str">
        <f>IF(A654="","",COUNTIFS(Assignments!$B:$B,A654,Assignments!$AE:$AE, "Y",Assignments!$D:$D,"&gt;="&amp;TODAY()-30))</f>
        <v/>
      </c>
      <c r="T654" s="1" t="str">
        <f>IF(A654="","",COUNTIFS(Assignments!$AF:$AF,A654,Assignments!$AE:$AE, "Y",Assignments!$D:$D,"&gt;="&amp;TODAY()-30))</f>
        <v/>
      </c>
      <c r="U654" s="1" t="str">
        <f>IF(A654="","",IFERROR(S654/MAX(1,COUNTIFS(Assignments!$B:$B,A654,Assignments!$D:$D,"&gt;="&amp;TODAY()-30)),""))</f>
        <v/>
      </c>
      <c r="V654" s="1" t="str">
        <f t="shared" si="4"/>
        <v/>
      </c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 t="str">
        <f>IF(A655="","",IFERROR(AVERAGEIFS(Assignments!$AO:$AO,Assignments!$B:$B,A655,Assignments!$E:$E,"Completed"),""))</f>
        <v/>
      </c>
      <c r="L655" s="2"/>
      <c r="M655" s="2"/>
      <c r="N655" s="2"/>
      <c r="O655" s="2"/>
      <c r="P655" s="1" t="str">
        <f>IF(A655="","",MAX(0,MIN(3,SUMIFS(Strike_Log!$C:$C,Strike_Log!$B:$B,A655,Strike_Log!$A:$A,"&gt;="&amp;IF(Config!$B$1004="Y",TODAY()-Config!$B$1005,DATE(1900,1,1)),Strike_Log!$I:$I,1))))</f>
        <v/>
      </c>
      <c r="Q655" s="1"/>
      <c r="R655" s="1"/>
      <c r="S655" s="1" t="str">
        <f>IF(A655="","",COUNTIFS(Assignments!$B:$B,A655,Assignments!$AE:$AE, "Y",Assignments!$D:$D,"&gt;="&amp;TODAY()-30))</f>
        <v/>
      </c>
      <c r="T655" s="1" t="str">
        <f>IF(A655="","",COUNTIFS(Assignments!$AF:$AF,A655,Assignments!$AE:$AE, "Y",Assignments!$D:$D,"&gt;="&amp;TODAY()-30))</f>
        <v/>
      </c>
      <c r="U655" s="1" t="str">
        <f>IF(A655="","",IFERROR(S655/MAX(1,COUNTIFS(Assignments!$B:$B,A655,Assignments!$D:$D,"&gt;="&amp;TODAY()-30)),""))</f>
        <v/>
      </c>
      <c r="V655" s="1" t="str">
        <f t="shared" si="4"/>
        <v/>
      </c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 t="str">
        <f>IF(A656="","",IFERROR(AVERAGEIFS(Assignments!$AO:$AO,Assignments!$B:$B,A656,Assignments!$E:$E,"Completed"),""))</f>
        <v/>
      </c>
      <c r="L656" s="2"/>
      <c r="M656" s="2"/>
      <c r="N656" s="2"/>
      <c r="O656" s="2"/>
      <c r="P656" s="1" t="str">
        <f>IF(A656="","",MAX(0,MIN(3,SUMIFS(Strike_Log!$C:$C,Strike_Log!$B:$B,A656,Strike_Log!$A:$A,"&gt;="&amp;IF(Config!$B$1004="Y",TODAY()-Config!$B$1005,DATE(1900,1,1)),Strike_Log!$I:$I,1))))</f>
        <v/>
      </c>
      <c r="Q656" s="1"/>
      <c r="R656" s="1"/>
      <c r="S656" s="1" t="str">
        <f>IF(A656="","",COUNTIFS(Assignments!$B:$B,A656,Assignments!$AE:$AE, "Y",Assignments!$D:$D,"&gt;="&amp;TODAY()-30))</f>
        <v/>
      </c>
      <c r="T656" s="1" t="str">
        <f>IF(A656="","",COUNTIFS(Assignments!$AF:$AF,A656,Assignments!$AE:$AE, "Y",Assignments!$D:$D,"&gt;="&amp;TODAY()-30))</f>
        <v/>
      </c>
      <c r="U656" s="1" t="str">
        <f>IF(A656="","",IFERROR(S656/MAX(1,COUNTIFS(Assignments!$B:$B,A656,Assignments!$D:$D,"&gt;="&amp;TODAY()-30)),""))</f>
        <v/>
      </c>
      <c r="V656" s="1" t="str">
        <f t="shared" si="4"/>
        <v/>
      </c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 t="str">
        <f>IF(A657="","",IFERROR(AVERAGEIFS(Assignments!$AO:$AO,Assignments!$B:$B,A657,Assignments!$E:$E,"Completed"),""))</f>
        <v/>
      </c>
      <c r="L657" s="2"/>
      <c r="M657" s="2"/>
      <c r="N657" s="2"/>
      <c r="O657" s="2"/>
      <c r="P657" s="1" t="str">
        <f>IF(A657="","",MAX(0,MIN(3,SUMIFS(Strike_Log!$C:$C,Strike_Log!$B:$B,A657,Strike_Log!$A:$A,"&gt;="&amp;IF(Config!$B$1004="Y",TODAY()-Config!$B$1005,DATE(1900,1,1)),Strike_Log!$I:$I,1))))</f>
        <v/>
      </c>
      <c r="Q657" s="1"/>
      <c r="R657" s="1"/>
      <c r="S657" s="1" t="str">
        <f>IF(A657="","",COUNTIFS(Assignments!$B:$B,A657,Assignments!$AE:$AE, "Y",Assignments!$D:$D,"&gt;="&amp;TODAY()-30))</f>
        <v/>
      </c>
      <c r="T657" s="1" t="str">
        <f>IF(A657="","",COUNTIFS(Assignments!$AF:$AF,A657,Assignments!$AE:$AE, "Y",Assignments!$D:$D,"&gt;="&amp;TODAY()-30))</f>
        <v/>
      </c>
      <c r="U657" s="1" t="str">
        <f>IF(A657="","",IFERROR(S657/MAX(1,COUNTIFS(Assignments!$B:$B,A657,Assignments!$D:$D,"&gt;="&amp;TODAY()-30)),""))</f>
        <v/>
      </c>
      <c r="V657" s="1" t="str">
        <f t="shared" si="4"/>
        <v/>
      </c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 t="str">
        <f>IF(A658="","",IFERROR(AVERAGEIFS(Assignments!$AO:$AO,Assignments!$B:$B,A658,Assignments!$E:$E,"Completed"),""))</f>
        <v/>
      </c>
      <c r="L658" s="2"/>
      <c r="M658" s="2"/>
      <c r="N658" s="2"/>
      <c r="O658" s="2"/>
      <c r="P658" s="1" t="str">
        <f>IF(A658="","",MAX(0,MIN(3,SUMIFS(Strike_Log!$C:$C,Strike_Log!$B:$B,A658,Strike_Log!$A:$A,"&gt;="&amp;IF(Config!$B$1004="Y",TODAY()-Config!$B$1005,DATE(1900,1,1)),Strike_Log!$I:$I,1))))</f>
        <v/>
      </c>
      <c r="Q658" s="1"/>
      <c r="R658" s="1"/>
      <c r="S658" s="1" t="str">
        <f>IF(A658="","",COUNTIFS(Assignments!$B:$B,A658,Assignments!$AE:$AE, "Y",Assignments!$D:$D,"&gt;="&amp;TODAY()-30))</f>
        <v/>
      </c>
      <c r="T658" s="1" t="str">
        <f>IF(A658="","",COUNTIFS(Assignments!$AF:$AF,A658,Assignments!$AE:$AE, "Y",Assignments!$D:$D,"&gt;="&amp;TODAY()-30))</f>
        <v/>
      </c>
      <c r="U658" s="1" t="str">
        <f>IF(A658="","",IFERROR(S658/MAX(1,COUNTIFS(Assignments!$B:$B,A658,Assignments!$D:$D,"&gt;="&amp;TODAY()-30)),""))</f>
        <v/>
      </c>
      <c r="V658" s="1" t="str">
        <f t="shared" si="4"/>
        <v/>
      </c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 t="str">
        <f>IF(A659="","",IFERROR(AVERAGEIFS(Assignments!$AO:$AO,Assignments!$B:$B,A659,Assignments!$E:$E,"Completed"),""))</f>
        <v/>
      </c>
      <c r="L659" s="2"/>
      <c r="M659" s="2"/>
      <c r="N659" s="2"/>
      <c r="O659" s="2"/>
      <c r="P659" s="1" t="str">
        <f>IF(A659="","",MAX(0,MIN(3,SUMIFS(Strike_Log!$C:$C,Strike_Log!$B:$B,A659,Strike_Log!$A:$A,"&gt;="&amp;IF(Config!$B$1004="Y",TODAY()-Config!$B$1005,DATE(1900,1,1)),Strike_Log!$I:$I,1))))</f>
        <v/>
      </c>
      <c r="Q659" s="1"/>
      <c r="R659" s="1"/>
      <c r="S659" s="1" t="str">
        <f>IF(A659="","",COUNTIFS(Assignments!$B:$B,A659,Assignments!$AE:$AE, "Y",Assignments!$D:$D,"&gt;="&amp;TODAY()-30))</f>
        <v/>
      </c>
      <c r="T659" s="1" t="str">
        <f>IF(A659="","",COUNTIFS(Assignments!$AF:$AF,A659,Assignments!$AE:$AE, "Y",Assignments!$D:$D,"&gt;="&amp;TODAY()-30))</f>
        <v/>
      </c>
      <c r="U659" s="1" t="str">
        <f>IF(A659="","",IFERROR(S659/MAX(1,COUNTIFS(Assignments!$B:$B,A659,Assignments!$D:$D,"&gt;="&amp;TODAY()-30)),""))</f>
        <v/>
      </c>
      <c r="V659" s="1" t="str">
        <f t="shared" si="4"/>
        <v/>
      </c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 t="str">
        <f>IF(A660="","",IFERROR(AVERAGEIFS(Assignments!$AO:$AO,Assignments!$B:$B,A660,Assignments!$E:$E,"Completed"),""))</f>
        <v/>
      </c>
      <c r="L660" s="2"/>
      <c r="M660" s="2"/>
      <c r="N660" s="2"/>
      <c r="O660" s="2"/>
      <c r="P660" s="1" t="str">
        <f>IF(A660="","",MAX(0,MIN(3,SUMIFS(Strike_Log!$C:$C,Strike_Log!$B:$B,A660,Strike_Log!$A:$A,"&gt;="&amp;IF(Config!$B$1004="Y",TODAY()-Config!$B$1005,DATE(1900,1,1)),Strike_Log!$I:$I,1))))</f>
        <v/>
      </c>
      <c r="Q660" s="1"/>
      <c r="R660" s="1"/>
      <c r="S660" s="1" t="str">
        <f>IF(A660="","",COUNTIFS(Assignments!$B:$B,A660,Assignments!$AE:$AE, "Y",Assignments!$D:$D,"&gt;="&amp;TODAY()-30))</f>
        <v/>
      </c>
      <c r="T660" s="1" t="str">
        <f>IF(A660="","",COUNTIFS(Assignments!$AF:$AF,A660,Assignments!$AE:$AE, "Y",Assignments!$D:$D,"&gt;="&amp;TODAY()-30))</f>
        <v/>
      </c>
      <c r="U660" s="1" t="str">
        <f>IF(A660="","",IFERROR(S660/MAX(1,COUNTIFS(Assignments!$B:$B,A660,Assignments!$D:$D,"&gt;="&amp;TODAY()-30)),""))</f>
        <v/>
      </c>
      <c r="V660" s="1" t="str">
        <f t="shared" si="4"/>
        <v/>
      </c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 t="str">
        <f>IF(A661="","",IFERROR(AVERAGEIFS(Assignments!$AO:$AO,Assignments!$B:$B,A661,Assignments!$E:$E,"Completed"),""))</f>
        <v/>
      </c>
      <c r="L661" s="2"/>
      <c r="M661" s="2"/>
      <c r="N661" s="2"/>
      <c r="O661" s="2"/>
      <c r="P661" s="1" t="str">
        <f>IF(A661="","",MAX(0,MIN(3,SUMIFS(Strike_Log!$C:$C,Strike_Log!$B:$B,A661,Strike_Log!$A:$A,"&gt;="&amp;IF(Config!$B$1004="Y",TODAY()-Config!$B$1005,DATE(1900,1,1)),Strike_Log!$I:$I,1))))</f>
        <v/>
      </c>
      <c r="Q661" s="1"/>
      <c r="R661" s="1"/>
      <c r="S661" s="1" t="str">
        <f>IF(A661="","",COUNTIFS(Assignments!$B:$B,A661,Assignments!$AE:$AE, "Y",Assignments!$D:$D,"&gt;="&amp;TODAY()-30))</f>
        <v/>
      </c>
      <c r="T661" s="1" t="str">
        <f>IF(A661="","",COUNTIFS(Assignments!$AF:$AF,A661,Assignments!$AE:$AE, "Y",Assignments!$D:$D,"&gt;="&amp;TODAY()-30))</f>
        <v/>
      </c>
      <c r="U661" s="1" t="str">
        <f>IF(A661="","",IFERROR(S661/MAX(1,COUNTIFS(Assignments!$B:$B,A661,Assignments!$D:$D,"&gt;="&amp;TODAY()-30)),""))</f>
        <v/>
      </c>
      <c r="V661" s="1" t="str">
        <f t="shared" si="4"/>
        <v/>
      </c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 t="str">
        <f>IF(A662="","",IFERROR(AVERAGEIFS(Assignments!$AO:$AO,Assignments!$B:$B,A662,Assignments!$E:$E,"Completed"),""))</f>
        <v/>
      </c>
      <c r="L662" s="2"/>
      <c r="M662" s="2"/>
      <c r="N662" s="2"/>
      <c r="O662" s="2"/>
      <c r="P662" s="1" t="str">
        <f>IF(A662="","",MAX(0,MIN(3,SUMIFS(Strike_Log!$C:$C,Strike_Log!$B:$B,A662,Strike_Log!$A:$A,"&gt;="&amp;IF(Config!$B$1004="Y",TODAY()-Config!$B$1005,DATE(1900,1,1)),Strike_Log!$I:$I,1))))</f>
        <v/>
      </c>
      <c r="Q662" s="1"/>
      <c r="R662" s="1"/>
      <c r="S662" s="1" t="str">
        <f>IF(A662="","",COUNTIFS(Assignments!$B:$B,A662,Assignments!$AE:$AE, "Y",Assignments!$D:$D,"&gt;="&amp;TODAY()-30))</f>
        <v/>
      </c>
      <c r="T662" s="1" t="str">
        <f>IF(A662="","",COUNTIFS(Assignments!$AF:$AF,A662,Assignments!$AE:$AE, "Y",Assignments!$D:$D,"&gt;="&amp;TODAY()-30))</f>
        <v/>
      </c>
      <c r="U662" s="1" t="str">
        <f>IF(A662="","",IFERROR(S662/MAX(1,COUNTIFS(Assignments!$B:$B,A662,Assignments!$D:$D,"&gt;="&amp;TODAY()-30)),""))</f>
        <v/>
      </c>
      <c r="V662" s="1" t="str">
        <f t="shared" si="4"/>
        <v/>
      </c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 t="str">
        <f>IF(A663="","",IFERROR(AVERAGEIFS(Assignments!$AO:$AO,Assignments!$B:$B,A663,Assignments!$E:$E,"Completed"),""))</f>
        <v/>
      </c>
      <c r="L663" s="2"/>
      <c r="M663" s="2"/>
      <c r="N663" s="2"/>
      <c r="O663" s="2"/>
      <c r="P663" s="1" t="str">
        <f>IF(A663="","",MAX(0,MIN(3,SUMIFS(Strike_Log!$C:$C,Strike_Log!$B:$B,A663,Strike_Log!$A:$A,"&gt;="&amp;IF(Config!$B$1004="Y",TODAY()-Config!$B$1005,DATE(1900,1,1)),Strike_Log!$I:$I,1))))</f>
        <v/>
      </c>
      <c r="Q663" s="1"/>
      <c r="R663" s="1"/>
      <c r="S663" s="1" t="str">
        <f>IF(A663="","",COUNTIFS(Assignments!$B:$B,A663,Assignments!$AE:$AE, "Y",Assignments!$D:$D,"&gt;="&amp;TODAY()-30))</f>
        <v/>
      </c>
      <c r="T663" s="1" t="str">
        <f>IF(A663="","",COUNTIFS(Assignments!$AF:$AF,A663,Assignments!$AE:$AE, "Y",Assignments!$D:$D,"&gt;="&amp;TODAY()-30))</f>
        <v/>
      </c>
      <c r="U663" s="1" t="str">
        <f>IF(A663="","",IFERROR(S663/MAX(1,COUNTIFS(Assignments!$B:$B,A663,Assignments!$D:$D,"&gt;="&amp;TODAY()-30)),""))</f>
        <v/>
      </c>
      <c r="V663" s="1" t="str">
        <f t="shared" si="4"/>
        <v/>
      </c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 t="str">
        <f>IF(A664="","",IFERROR(AVERAGEIFS(Assignments!$AO:$AO,Assignments!$B:$B,A664,Assignments!$E:$E,"Completed"),""))</f>
        <v/>
      </c>
      <c r="L664" s="2"/>
      <c r="M664" s="2"/>
      <c r="N664" s="2"/>
      <c r="O664" s="2"/>
      <c r="P664" s="1" t="str">
        <f>IF(A664="","",MAX(0,MIN(3,SUMIFS(Strike_Log!$C:$C,Strike_Log!$B:$B,A664,Strike_Log!$A:$A,"&gt;="&amp;IF(Config!$B$1004="Y",TODAY()-Config!$B$1005,DATE(1900,1,1)),Strike_Log!$I:$I,1))))</f>
        <v/>
      </c>
      <c r="Q664" s="1"/>
      <c r="R664" s="1"/>
      <c r="S664" s="1" t="str">
        <f>IF(A664="","",COUNTIFS(Assignments!$B:$B,A664,Assignments!$AE:$AE, "Y",Assignments!$D:$D,"&gt;="&amp;TODAY()-30))</f>
        <v/>
      </c>
      <c r="T664" s="1" t="str">
        <f>IF(A664="","",COUNTIFS(Assignments!$AF:$AF,A664,Assignments!$AE:$AE, "Y",Assignments!$D:$D,"&gt;="&amp;TODAY()-30))</f>
        <v/>
      </c>
      <c r="U664" s="1" t="str">
        <f>IF(A664="","",IFERROR(S664/MAX(1,COUNTIFS(Assignments!$B:$B,A664,Assignments!$D:$D,"&gt;="&amp;TODAY()-30)),""))</f>
        <v/>
      </c>
      <c r="V664" s="1" t="str">
        <f t="shared" si="4"/>
        <v/>
      </c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 t="str">
        <f>IF(A665="","",IFERROR(AVERAGEIFS(Assignments!$AO:$AO,Assignments!$B:$B,A665,Assignments!$E:$E,"Completed"),""))</f>
        <v/>
      </c>
      <c r="L665" s="2"/>
      <c r="M665" s="2"/>
      <c r="N665" s="2"/>
      <c r="O665" s="2"/>
      <c r="P665" s="1" t="str">
        <f>IF(A665="","",MAX(0,MIN(3,SUMIFS(Strike_Log!$C:$C,Strike_Log!$B:$B,A665,Strike_Log!$A:$A,"&gt;="&amp;IF(Config!$B$1004="Y",TODAY()-Config!$B$1005,DATE(1900,1,1)),Strike_Log!$I:$I,1))))</f>
        <v/>
      </c>
      <c r="Q665" s="1"/>
      <c r="R665" s="1"/>
      <c r="S665" s="1" t="str">
        <f>IF(A665="","",COUNTIFS(Assignments!$B:$B,A665,Assignments!$AE:$AE, "Y",Assignments!$D:$D,"&gt;="&amp;TODAY()-30))</f>
        <v/>
      </c>
      <c r="T665" s="1" t="str">
        <f>IF(A665="","",COUNTIFS(Assignments!$AF:$AF,A665,Assignments!$AE:$AE, "Y",Assignments!$D:$D,"&gt;="&amp;TODAY()-30))</f>
        <v/>
      </c>
      <c r="U665" s="1" t="str">
        <f>IF(A665="","",IFERROR(S665/MAX(1,COUNTIFS(Assignments!$B:$B,A665,Assignments!$D:$D,"&gt;="&amp;TODAY()-30)),""))</f>
        <v/>
      </c>
      <c r="V665" s="1" t="str">
        <f t="shared" si="4"/>
        <v/>
      </c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 t="str">
        <f>IF(A666="","",IFERROR(AVERAGEIFS(Assignments!$AO:$AO,Assignments!$B:$B,A666,Assignments!$E:$E,"Completed"),""))</f>
        <v/>
      </c>
      <c r="L666" s="2"/>
      <c r="M666" s="2"/>
      <c r="N666" s="2"/>
      <c r="O666" s="2"/>
      <c r="P666" s="1" t="str">
        <f>IF(A666="","",MAX(0,MIN(3,SUMIFS(Strike_Log!$C:$C,Strike_Log!$B:$B,A666,Strike_Log!$A:$A,"&gt;="&amp;IF(Config!$B$1004="Y",TODAY()-Config!$B$1005,DATE(1900,1,1)),Strike_Log!$I:$I,1))))</f>
        <v/>
      </c>
      <c r="Q666" s="1"/>
      <c r="R666" s="1"/>
      <c r="S666" s="1" t="str">
        <f>IF(A666="","",COUNTIFS(Assignments!$B:$B,A666,Assignments!$AE:$AE, "Y",Assignments!$D:$D,"&gt;="&amp;TODAY()-30))</f>
        <v/>
      </c>
      <c r="T666" s="1" t="str">
        <f>IF(A666="","",COUNTIFS(Assignments!$AF:$AF,A666,Assignments!$AE:$AE, "Y",Assignments!$D:$D,"&gt;="&amp;TODAY()-30))</f>
        <v/>
      </c>
      <c r="U666" s="1" t="str">
        <f>IF(A666="","",IFERROR(S666/MAX(1,COUNTIFS(Assignments!$B:$B,A666,Assignments!$D:$D,"&gt;="&amp;TODAY()-30)),""))</f>
        <v/>
      </c>
      <c r="V666" s="1" t="str">
        <f t="shared" si="4"/>
        <v/>
      </c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 t="str">
        <f>IF(A667="","",IFERROR(AVERAGEIFS(Assignments!$AO:$AO,Assignments!$B:$B,A667,Assignments!$E:$E,"Completed"),""))</f>
        <v/>
      </c>
      <c r="L667" s="2"/>
      <c r="M667" s="2"/>
      <c r="N667" s="2"/>
      <c r="O667" s="2"/>
      <c r="P667" s="1" t="str">
        <f>IF(A667="","",MAX(0,MIN(3,SUMIFS(Strike_Log!$C:$C,Strike_Log!$B:$B,A667,Strike_Log!$A:$A,"&gt;="&amp;IF(Config!$B$1004="Y",TODAY()-Config!$B$1005,DATE(1900,1,1)),Strike_Log!$I:$I,1))))</f>
        <v/>
      </c>
      <c r="Q667" s="1"/>
      <c r="R667" s="1"/>
      <c r="S667" s="1" t="str">
        <f>IF(A667="","",COUNTIFS(Assignments!$B:$B,A667,Assignments!$AE:$AE, "Y",Assignments!$D:$D,"&gt;="&amp;TODAY()-30))</f>
        <v/>
      </c>
      <c r="T667" s="1" t="str">
        <f>IF(A667="","",COUNTIFS(Assignments!$AF:$AF,A667,Assignments!$AE:$AE, "Y",Assignments!$D:$D,"&gt;="&amp;TODAY()-30))</f>
        <v/>
      </c>
      <c r="U667" s="1" t="str">
        <f>IF(A667="","",IFERROR(S667/MAX(1,COUNTIFS(Assignments!$B:$B,A667,Assignments!$D:$D,"&gt;="&amp;TODAY()-30)),""))</f>
        <v/>
      </c>
      <c r="V667" s="1" t="str">
        <f t="shared" si="4"/>
        <v/>
      </c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 t="str">
        <f>IF(A668="","",IFERROR(AVERAGEIFS(Assignments!$AO:$AO,Assignments!$B:$B,A668,Assignments!$E:$E,"Completed"),""))</f>
        <v/>
      </c>
      <c r="L668" s="2"/>
      <c r="M668" s="2"/>
      <c r="N668" s="2"/>
      <c r="O668" s="2"/>
      <c r="P668" s="1" t="str">
        <f>IF(A668="","",MAX(0,MIN(3,SUMIFS(Strike_Log!$C:$C,Strike_Log!$B:$B,A668,Strike_Log!$A:$A,"&gt;="&amp;IF(Config!$B$1004="Y",TODAY()-Config!$B$1005,DATE(1900,1,1)),Strike_Log!$I:$I,1))))</f>
        <v/>
      </c>
      <c r="Q668" s="1"/>
      <c r="R668" s="1"/>
      <c r="S668" s="1" t="str">
        <f>IF(A668="","",COUNTIFS(Assignments!$B:$B,A668,Assignments!$AE:$AE, "Y",Assignments!$D:$D,"&gt;="&amp;TODAY()-30))</f>
        <v/>
      </c>
      <c r="T668" s="1" t="str">
        <f>IF(A668="","",COUNTIFS(Assignments!$AF:$AF,A668,Assignments!$AE:$AE, "Y",Assignments!$D:$D,"&gt;="&amp;TODAY()-30))</f>
        <v/>
      </c>
      <c r="U668" s="1" t="str">
        <f>IF(A668="","",IFERROR(S668/MAX(1,COUNTIFS(Assignments!$B:$B,A668,Assignments!$D:$D,"&gt;="&amp;TODAY()-30)),""))</f>
        <v/>
      </c>
      <c r="V668" s="1" t="str">
        <f t="shared" si="4"/>
        <v/>
      </c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 t="str">
        <f>IF(A669="","",IFERROR(AVERAGEIFS(Assignments!$AO:$AO,Assignments!$B:$B,A669,Assignments!$E:$E,"Completed"),""))</f>
        <v/>
      </c>
      <c r="L669" s="2"/>
      <c r="M669" s="2"/>
      <c r="N669" s="2"/>
      <c r="O669" s="2"/>
      <c r="P669" s="1" t="str">
        <f>IF(A669="","",MAX(0,MIN(3,SUMIFS(Strike_Log!$C:$C,Strike_Log!$B:$B,A669,Strike_Log!$A:$A,"&gt;="&amp;IF(Config!$B$1004="Y",TODAY()-Config!$B$1005,DATE(1900,1,1)),Strike_Log!$I:$I,1))))</f>
        <v/>
      </c>
      <c r="Q669" s="1"/>
      <c r="R669" s="1"/>
      <c r="S669" s="1" t="str">
        <f>IF(A669="","",COUNTIFS(Assignments!$B:$B,A669,Assignments!$AE:$AE, "Y",Assignments!$D:$D,"&gt;="&amp;TODAY()-30))</f>
        <v/>
      </c>
      <c r="T669" s="1" t="str">
        <f>IF(A669="","",COUNTIFS(Assignments!$AF:$AF,A669,Assignments!$AE:$AE, "Y",Assignments!$D:$D,"&gt;="&amp;TODAY()-30))</f>
        <v/>
      </c>
      <c r="U669" s="1" t="str">
        <f>IF(A669="","",IFERROR(S669/MAX(1,COUNTIFS(Assignments!$B:$B,A669,Assignments!$D:$D,"&gt;="&amp;TODAY()-30)),""))</f>
        <v/>
      </c>
      <c r="V669" s="1" t="str">
        <f t="shared" si="4"/>
        <v/>
      </c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 t="str">
        <f>IF(A670="","",IFERROR(AVERAGEIFS(Assignments!$AO:$AO,Assignments!$B:$B,A670,Assignments!$E:$E,"Completed"),""))</f>
        <v/>
      </c>
      <c r="L670" s="2"/>
      <c r="M670" s="2"/>
      <c r="N670" s="2"/>
      <c r="O670" s="2"/>
      <c r="P670" s="1" t="str">
        <f>IF(A670="","",MAX(0,MIN(3,SUMIFS(Strike_Log!$C:$C,Strike_Log!$B:$B,A670,Strike_Log!$A:$A,"&gt;="&amp;IF(Config!$B$1004="Y",TODAY()-Config!$B$1005,DATE(1900,1,1)),Strike_Log!$I:$I,1))))</f>
        <v/>
      </c>
      <c r="Q670" s="1"/>
      <c r="R670" s="1"/>
      <c r="S670" s="1" t="str">
        <f>IF(A670="","",COUNTIFS(Assignments!$B:$B,A670,Assignments!$AE:$AE, "Y",Assignments!$D:$D,"&gt;="&amp;TODAY()-30))</f>
        <v/>
      </c>
      <c r="T670" s="1" t="str">
        <f>IF(A670="","",COUNTIFS(Assignments!$AF:$AF,A670,Assignments!$AE:$AE, "Y",Assignments!$D:$D,"&gt;="&amp;TODAY()-30))</f>
        <v/>
      </c>
      <c r="U670" s="1" t="str">
        <f>IF(A670="","",IFERROR(S670/MAX(1,COUNTIFS(Assignments!$B:$B,A670,Assignments!$D:$D,"&gt;="&amp;TODAY()-30)),""))</f>
        <v/>
      </c>
      <c r="V670" s="1" t="str">
        <f t="shared" si="4"/>
        <v/>
      </c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 t="str">
        <f>IF(A671="","",IFERROR(AVERAGEIFS(Assignments!$AO:$AO,Assignments!$B:$B,A671,Assignments!$E:$E,"Completed"),""))</f>
        <v/>
      </c>
      <c r="L671" s="2"/>
      <c r="M671" s="2"/>
      <c r="N671" s="2"/>
      <c r="O671" s="2"/>
      <c r="P671" s="1" t="str">
        <f>IF(A671="","",MAX(0,MIN(3,SUMIFS(Strike_Log!$C:$C,Strike_Log!$B:$B,A671,Strike_Log!$A:$A,"&gt;="&amp;IF(Config!$B$1004="Y",TODAY()-Config!$B$1005,DATE(1900,1,1)),Strike_Log!$I:$I,1))))</f>
        <v/>
      </c>
      <c r="Q671" s="1"/>
      <c r="R671" s="1"/>
      <c r="S671" s="1" t="str">
        <f>IF(A671="","",COUNTIFS(Assignments!$B:$B,A671,Assignments!$AE:$AE, "Y",Assignments!$D:$D,"&gt;="&amp;TODAY()-30))</f>
        <v/>
      </c>
      <c r="T671" s="1" t="str">
        <f>IF(A671="","",COUNTIFS(Assignments!$AF:$AF,A671,Assignments!$AE:$AE, "Y",Assignments!$D:$D,"&gt;="&amp;TODAY()-30))</f>
        <v/>
      </c>
      <c r="U671" s="1" t="str">
        <f>IF(A671="","",IFERROR(S671/MAX(1,COUNTIFS(Assignments!$B:$B,A671,Assignments!$D:$D,"&gt;="&amp;TODAY()-30)),""))</f>
        <v/>
      </c>
      <c r="V671" s="1" t="str">
        <f t="shared" si="4"/>
        <v/>
      </c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 t="str">
        <f>IF(A672="","",IFERROR(AVERAGEIFS(Assignments!$AO:$AO,Assignments!$B:$B,A672,Assignments!$E:$E,"Completed"),""))</f>
        <v/>
      </c>
      <c r="L672" s="2"/>
      <c r="M672" s="2"/>
      <c r="N672" s="2"/>
      <c r="O672" s="2"/>
      <c r="P672" s="1" t="str">
        <f>IF(A672="","",MAX(0,MIN(3,SUMIFS(Strike_Log!$C:$C,Strike_Log!$B:$B,A672,Strike_Log!$A:$A,"&gt;="&amp;IF(Config!$B$1004="Y",TODAY()-Config!$B$1005,DATE(1900,1,1)),Strike_Log!$I:$I,1))))</f>
        <v/>
      </c>
      <c r="Q672" s="1"/>
      <c r="R672" s="1"/>
      <c r="S672" s="1" t="str">
        <f>IF(A672="","",COUNTIFS(Assignments!$B:$B,A672,Assignments!$AE:$AE, "Y",Assignments!$D:$D,"&gt;="&amp;TODAY()-30))</f>
        <v/>
      </c>
      <c r="T672" s="1" t="str">
        <f>IF(A672="","",COUNTIFS(Assignments!$AF:$AF,A672,Assignments!$AE:$AE, "Y",Assignments!$D:$D,"&gt;="&amp;TODAY()-30))</f>
        <v/>
      </c>
      <c r="U672" s="1" t="str">
        <f>IF(A672="","",IFERROR(S672/MAX(1,COUNTIFS(Assignments!$B:$B,A672,Assignments!$D:$D,"&gt;="&amp;TODAY()-30)),""))</f>
        <v/>
      </c>
      <c r="V672" s="1" t="str">
        <f t="shared" si="4"/>
        <v/>
      </c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 t="str">
        <f>IF(A673="","",IFERROR(AVERAGEIFS(Assignments!$AO:$AO,Assignments!$B:$B,A673,Assignments!$E:$E,"Completed"),""))</f>
        <v/>
      </c>
      <c r="L673" s="2"/>
      <c r="M673" s="2"/>
      <c r="N673" s="2"/>
      <c r="O673" s="2"/>
      <c r="P673" s="1" t="str">
        <f>IF(A673="","",MAX(0,MIN(3,SUMIFS(Strike_Log!$C:$C,Strike_Log!$B:$B,A673,Strike_Log!$A:$A,"&gt;="&amp;IF(Config!$B$1004="Y",TODAY()-Config!$B$1005,DATE(1900,1,1)),Strike_Log!$I:$I,1))))</f>
        <v/>
      </c>
      <c r="Q673" s="1"/>
      <c r="R673" s="1"/>
      <c r="S673" s="1" t="str">
        <f>IF(A673="","",COUNTIFS(Assignments!$B:$B,A673,Assignments!$AE:$AE, "Y",Assignments!$D:$D,"&gt;="&amp;TODAY()-30))</f>
        <v/>
      </c>
      <c r="T673" s="1" t="str">
        <f>IF(A673="","",COUNTIFS(Assignments!$AF:$AF,A673,Assignments!$AE:$AE, "Y",Assignments!$D:$D,"&gt;="&amp;TODAY()-30))</f>
        <v/>
      </c>
      <c r="U673" s="1" t="str">
        <f>IF(A673="","",IFERROR(S673/MAX(1,COUNTIFS(Assignments!$B:$B,A673,Assignments!$D:$D,"&gt;="&amp;TODAY()-30)),""))</f>
        <v/>
      </c>
      <c r="V673" s="1" t="str">
        <f t="shared" si="4"/>
        <v/>
      </c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 t="str">
        <f>IF(A674="","",IFERROR(AVERAGEIFS(Assignments!$AO:$AO,Assignments!$B:$B,A674,Assignments!$E:$E,"Completed"),""))</f>
        <v/>
      </c>
      <c r="L674" s="2"/>
      <c r="M674" s="2"/>
      <c r="N674" s="2"/>
      <c r="O674" s="2"/>
      <c r="P674" s="1" t="str">
        <f>IF(A674="","",MAX(0,MIN(3,SUMIFS(Strike_Log!$C:$C,Strike_Log!$B:$B,A674,Strike_Log!$A:$A,"&gt;="&amp;IF(Config!$B$1004="Y",TODAY()-Config!$B$1005,DATE(1900,1,1)),Strike_Log!$I:$I,1))))</f>
        <v/>
      </c>
      <c r="Q674" s="1"/>
      <c r="R674" s="1"/>
      <c r="S674" s="1" t="str">
        <f>IF(A674="","",COUNTIFS(Assignments!$B:$B,A674,Assignments!$AE:$AE, "Y",Assignments!$D:$D,"&gt;="&amp;TODAY()-30))</f>
        <v/>
      </c>
      <c r="T674" s="1" t="str">
        <f>IF(A674="","",COUNTIFS(Assignments!$AF:$AF,A674,Assignments!$AE:$AE, "Y",Assignments!$D:$D,"&gt;="&amp;TODAY()-30))</f>
        <v/>
      </c>
      <c r="U674" s="1" t="str">
        <f>IF(A674="","",IFERROR(S674/MAX(1,COUNTIFS(Assignments!$B:$B,A674,Assignments!$D:$D,"&gt;="&amp;TODAY()-30)),""))</f>
        <v/>
      </c>
      <c r="V674" s="1" t="str">
        <f t="shared" si="4"/>
        <v/>
      </c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 t="str">
        <f>IF(A675="","",IFERROR(AVERAGEIFS(Assignments!$AO:$AO,Assignments!$B:$B,A675,Assignments!$E:$E,"Completed"),""))</f>
        <v/>
      </c>
      <c r="L675" s="2"/>
      <c r="M675" s="2"/>
      <c r="N675" s="2"/>
      <c r="O675" s="2"/>
      <c r="P675" s="1" t="str">
        <f>IF(A675="","",MAX(0,MIN(3,SUMIFS(Strike_Log!$C:$C,Strike_Log!$B:$B,A675,Strike_Log!$A:$A,"&gt;="&amp;IF(Config!$B$1004="Y",TODAY()-Config!$B$1005,DATE(1900,1,1)),Strike_Log!$I:$I,1))))</f>
        <v/>
      </c>
      <c r="Q675" s="1"/>
      <c r="R675" s="1"/>
      <c r="S675" s="1" t="str">
        <f>IF(A675="","",COUNTIFS(Assignments!$B:$B,A675,Assignments!$AE:$AE, "Y",Assignments!$D:$D,"&gt;="&amp;TODAY()-30))</f>
        <v/>
      </c>
      <c r="T675" s="1" t="str">
        <f>IF(A675="","",COUNTIFS(Assignments!$AF:$AF,A675,Assignments!$AE:$AE, "Y",Assignments!$D:$D,"&gt;="&amp;TODAY()-30))</f>
        <v/>
      </c>
      <c r="U675" s="1" t="str">
        <f>IF(A675="","",IFERROR(S675/MAX(1,COUNTIFS(Assignments!$B:$B,A675,Assignments!$D:$D,"&gt;="&amp;TODAY()-30)),""))</f>
        <v/>
      </c>
      <c r="V675" s="1" t="str">
        <f t="shared" si="4"/>
        <v/>
      </c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 t="str">
        <f>IF(A676="","",IFERROR(AVERAGEIFS(Assignments!$AO:$AO,Assignments!$B:$B,A676,Assignments!$E:$E,"Completed"),""))</f>
        <v/>
      </c>
      <c r="L676" s="2"/>
      <c r="M676" s="2"/>
      <c r="N676" s="2"/>
      <c r="O676" s="2"/>
      <c r="P676" s="1" t="str">
        <f>IF(A676="","",MAX(0,MIN(3,SUMIFS(Strike_Log!$C:$C,Strike_Log!$B:$B,A676,Strike_Log!$A:$A,"&gt;="&amp;IF(Config!$B$1004="Y",TODAY()-Config!$B$1005,DATE(1900,1,1)),Strike_Log!$I:$I,1))))</f>
        <v/>
      </c>
      <c r="Q676" s="1"/>
      <c r="R676" s="1"/>
      <c r="S676" s="1" t="str">
        <f>IF(A676="","",COUNTIFS(Assignments!$B:$B,A676,Assignments!$AE:$AE, "Y",Assignments!$D:$D,"&gt;="&amp;TODAY()-30))</f>
        <v/>
      </c>
      <c r="T676" s="1" t="str">
        <f>IF(A676="","",COUNTIFS(Assignments!$AF:$AF,A676,Assignments!$AE:$AE, "Y",Assignments!$D:$D,"&gt;="&amp;TODAY()-30))</f>
        <v/>
      </c>
      <c r="U676" s="1" t="str">
        <f>IF(A676="","",IFERROR(S676/MAX(1,COUNTIFS(Assignments!$B:$B,A676,Assignments!$D:$D,"&gt;="&amp;TODAY()-30)),""))</f>
        <v/>
      </c>
      <c r="V676" s="1" t="str">
        <f t="shared" si="4"/>
        <v/>
      </c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 t="str">
        <f>IF(A677="","",IFERROR(AVERAGEIFS(Assignments!$AO:$AO,Assignments!$B:$B,A677,Assignments!$E:$E,"Completed"),""))</f>
        <v/>
      </c>
      <c r="L677" s="2"/>
      <c r="M677" s="2"/>
      <c r="N677" s="2"/>
      <c r="O677" s="2"/>
      <c r="P677" s="1" t="str">
        <f>IF(A677="","",MAX(0,MIN(3,SUMIFS(Strike_Log!$C:$C,Strike_Log!$B:$B,A677,Strike_Log!$A:$A,"&gt;="&amp;IF(Config!$B$1004="Y",TODAY()-Config!$B$1005,DATE(1900,1,1)),Strike_Log!$I:$I,1))))</f>
        <v/>
      </c>
      <c r="Q677" s="1"/>
      <c r="R677" s="1"/>
      <c r="S677" s="1" t="str">
        <f>IF(A677="","",COUNTIFS(Assignments!$B:$B,A677,Assignments!$AE:$AE, "Y",Assignments!$D:$D,"&gt;="&amp;TODAY()-30))</f>
        <v/>
      </c>
      <c r="T677" s="1" t="str">
        <f>IF(A677="","",COUNTIFS(Assignments!$AF:$AF,A677,Assignments!$AE:$AE, "Y",Assignments!$D:$D,"&gt;="&amp;TODAY()-30))</f>
        <v/>
      </c>
      <c r="U677" s="1" t="str">
        <f>IF(A677="","",IFERROR(S677/MAX(1,COUNTIFS(Assignments!$B:$B,A677,Assignments!$D:$D,"&gt;="&amp;TODAY()-30)),""))</f>
        <v/>
      </c>
      <c r="V677" s="1" t="str">
        <f t="shared" si="4"/>
        <v/>
      </c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 t="str">
        <f>IF(A678="","",IFERROR(AVERAGEIFS(Assignments!$AO:$AO,Assignments!$B:$B,A678,Assignments!$E:$E,"Completed"),""))</f>
        <v/>
      </c>
      <c r="L678" s="2"/>
      <c r="M678" s="2"/>
      <c r="N678" s="2"/>
      <c r="O678" s="2"/>
      <c r="P678" s="1" t="str">
        <f>IF(A678="","",MAX(0,MIN(3,SUMIFS(Strike_Log!$C:$C,Strike_Log!$B:$B,A678,Strike_Log!$A:$A,"&gt;="&amp;IF(Config!$B$1004="Y",TODAY()-Config!$B$1005,DATE(1900,1,1)),Strike_Log!$I:$I,1))))</f>
        <v/>
      </c>
      <c r="Q678" s="1"/>
      <c r="R678" s="1"/>
      <c r="S678" s="1" t="str">
        <f>IF(A678="","",COUNTIFS(Assignments!$B:$B,A678,Assignments!$AE:$AE, "Y",Assignments!$D:$D,"&gt;="&amp;TODAY()-30))</f>
        <v/>
      </c>
      <c r="T678" s="1" t="str">
        <f>IF(A678="","",COUNTIFS(Assignments!$AF:$AF,A678,Assignments!$AE:$AE, "Y",Assignments!$D:$D,"&gt;="&amp;TODAY()-30))</f>
        <v/>
      </c>
      <c r="U678" s="1" t="str">
        <f>IF(A678="","",IFERROR(S678/MAX(1,COUNTIFS(Assignments!$B:$B,A678,Assignments!$D:$D,"&gt;="&amp;TODAY()-30)),""))</f>
        <v/>
      </c>
      <c r="V678" s="1" t="str">
        <f t="shared" si="4"/>
        <v/>
      </c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 t="str">
        <f>IF(A679="","",IFERROR(AVERAGEIFS(Assignments!$AO:$AO,Assignments!$B:$B,A679,Assignments!$E:$E,"Completed"),""))</f>
        <v/>
      </c>
      <c r="L679" s="2"/>
      <c r="M679" s="2"/>
      <c r="N679" s="2"/>
      <c r="O679" s="2"/>
      <c r="P679" s="1" t="str">
        <f>IF(A679="","",MAX(0,MIN(3,SUMIFS(Strike_Log!$C:$C,Strike_Log!$B:$B,A679,Strike_Log!$A:$A,"&gt;="&amp;IF(Config!$B$1004="Y",TODAY()-Config!$B$1005,DATE(1900,1,1)),Strike_Log!$I:$I,1))))</f>
        <v/>
      </c>
      <c r="Q679" s="1"/>
      <c r="R679" s="1"/>
      <c r="S679" s="1" t="str">
        <f>IF(A679="","",COUNTIFS(Assignments!$B:$B,A679,Assignments!$AE:$AE, "Y",Assignments!$D:$D,"&gt;="&amp;TODAY()-30))</f>
        <v/>
      </c>
      <c r="T679" s="1" t="str">
        <f>IF(A679="","",COUNTIFS(Assignments!$AF:$AF,A679,Assignments!$AE:$AE, "Y",Assignments!$D:$D,"&gt;="&amp;TODAY()-30))</f>
        <v/>
      </c>
      <c r="U679" s="1" t="str">
        <f>IF(A679="","",IFERROR(S679/MAX(1,COUNTIFS(Assignments!$B:$B,A679,Assignments!$D:$D,"&gt;="&amp;TODAY()-30)),""))</f>
        <v/>
      </c>
      <c r="V679" s="1" t="str">
        <f t="shared" si="4"/>
        <v/>
      </c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 t="str">
        <f>IF(A680="","",IFERROR(AVERAGEIFS(Assignments!$AO:$AO,Assignments!$B:$B,A680,Assignments!$E:$E,"Completed"),""))</f>
        <v/>
      </c>
      <c r="L680" s="2"/>
      <c r="M680" s="2"/>
      <c r="N680" s="2"/>
      <c r="O680" s="2"/>
      <c r="P680" s="1" t="str">
        <f>IF(A680="","",MAX(0,MIN(3,SUMIFS(Strike_Log!$C:$C,Strike_Log!$B:$B,A680,Strike_Log!$A:$A,"&gt;="&amp;IF(Config!$B$1004="Y",TODAY()-Config!$B$1005,DATE(1900,1,1)),Strike_Log!$I:$I,1))))</f>
        <v/>
      </c>
      <c r="Q680" s="1"/>
      <c r="R680" s="1"/>
      <c r="S680" s="1" t="str">
        <f>IF(A680="","",COUNTIFS(Assignments!$B:$B,A680,Assignments!$AE:$AE, "Y",Assignments!$D:$D,"&gt;="&amp;TODAY()-30))</f>
        <v/>
      </c>
      <c r="T680" s="1" t="str">
        <f>IF(A680="","",COUNTIFS(Assignments!$AF:$AF,A680,Assignments!$AE:$AE, "Y",Assignments!$D:$D,"&gt;="&amp;TODAY()-30))</f>
        <v/>
      </c>
      <c r="U680" s="1" t="str">
        <f>IF(A680="","",IFERROR(S680/MAX(1,COUNTIFS(Assignments!$B:$B,A680,Assignments!$D:$D,"&gt;="&amp;TODAY()-30)),""))</f>
        <v/>
      </c>
      <c r="V680" s="1" t="str">
        <f t="shared" si="4"/>
        <v/>
      </c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 t="str">
        <f>IF(A681="","",IFERROR(AVERAGEIFS(Assignments!$AO:$AO,Assignments!$B:$B,A681,Assignments!$E:$E,"Completed"),""))</f>
        <v/>
      </c>
      <c r="L681" s="2"/>
      <c r="M681" s="2"/>
      <c r="N681" s="2"/>
      <c r="O681" s="2"/>
      <c r="P681" s="1" t="str">
        <f>IF(A681="","",MAX(0,MIN(3,SUMIFS(Strike_Log!$C:$C,Strike_Log!$B:$B,A681,Strike_Log!$A:$A,"&gt;="&amp;IF(Config!$B$1004="Y",TODAY()-Config!$B$1005,DATE(1900,1,1)),Strike_Log!$I:$I,1))))</f>
        <v/>
      </c>
      <c r="Q681" s="1"/>
      <c r="R681" s="1"/>
      <c r="S681" s="1" t="str">
        <f>IF(A681="","",COUNTIFS(Assignments!$B:$B,A681,Assignments!$AE:$AE, "Y",Assignments!$D:$D,"&gt;="&amp;TODAY()-30))</f>
        <v/>
      </c>
      <c r="T681" s="1" t="str">
        <f>IF(A681="","",COUNTIFS(Assignments!$AF:$AF,A681,Assignments!$AE:$AE, "Y",Assignments!$D:$D,"&gt;="&amp;TODAY()-30))</f>
        <v/>
      </c>
      <c r="U681" s="1" t="str">
        <f>IF(A681="","",IFERROR(S681/MAX(1,COUNTIFS(Assignments!$B:$B,A681,Assignments!$D:$D,"&gt;="&amp;TODAY()-30)),""))</f>
        <v/>
      </c>
      <c r="V681" s="1" t="str">
        <f t="shared" si="4"/>
        <v/>
      </c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 t="str">
        <f>IF(A682="","",IFERROR(AVERAGEIFS(Assignments!$AO:$AO,Assignments!$B:$B,A682,Assignments!$E:$E,"Completed"),""))</f>
        <v/>
      </c>
      <c r="L682" s="2"/>
      <c r="M682" s="2"/>
      <c r="N682" s="2"/>
      <c r="O682" s="2"/>
      <c r="P682" s="1" t="str">
        <f>IF(A682="","",MAX(0,MIN(3,SUMIFS(Strike_Log!$C:$C,Strike_Log!$B:$B,A682,Strike_Log!$A:$A,"&gt;="&amp;IF(Config!$B$1004="Y",TODAY()-Config!$B$1005,DATE(1900,1,1)),Strike_Log!$I:$I,1))))</f>
        <v/>
      </c>
      <c r="Q682" s="1"/>
      <c r="R682" s="1"/>
      <c r="S682" s="1" t="str">
        <f>IF(A682="","",COUNTIFS(Assignments!$B:$B,A682,Assignments!$AE:$AE, "Y",Assignments!$D:$D,"&gt;="&amp;TODAY()-30))</f>
        <v/>
      </c>
      <c r="T682" s="1" t="str">
        <f>IF(A682="","",COUNTIFS(Assignments!$AF:$AF,A682,Assignments!$AE:$AE, "Y",Assignments!$D:$D,"&gt;="&amp;TODAY()-30))</f>
        <v/>
      </c>
      <c r="U682" s="1" t="str">
        <f>IF(A682="","",IFERROR(S682/MAX(1,COUNTIFS(Assignments!$B:$B,A682,Assignments!$D:$D,"&gt;="&amp;TODAY()-30)),""))</f>
        <v/>
      </c>
      <c r="V682" s="1" t="str">
        <f t="shared" si="4"/>
        <v/>
      </c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 t="str">
        <f>IF(A683="","",IFERROR(AVERAGEIFS(Assignments!$AO:$AO,Assignments!$B:$B,A683,Assignments!$E:$E,"Completed"),""))</f>
        <v/>
      </c>
      <c r="L683" s="2"/>
      <c r="M683" s="2"/>
      <c r="N683" s="2"/>
      <c r="O683" s="2"/>
      <c r="P683" s="1" t="str">
        <f>IF(A683="","",MAX(0,MIN(3,SUMIFS(Strike_Log!$C:$C,Strike_Log!$B:$B,A683,Strike_Log!$A:$A,"&gt;="&amp;IF(Config!$B$1004="Y",TODAY()-Config!$B$1005,DATE(1900,1,1)),Strike_Log!$I:$I,1))))</f>
        <v/>
      </c>
      <c r="Q683" s="1"/>
      <c r="R683" s="1"/>
      <c r="S683" s="1" t="str">
        <f>IF(A683="","",COUNTIFS(Assignments!$B:$B,A683,Assignments!$AE:$AE, "Y",Assignments!$D:$D,"&gt;="&amp;TODAY()-30))</f>
        <v/>
      </c>
      <c r="T683" s="1" t="str">
        <f>IF(A683="","",COUNTIFS(Assignments!$AF:$AF,A683,Assignments!$AE:$AE, "Y",Assignments!$D:$D,"&gt;="&amp;TODAY()-30))</f>
        <v/>
      </c>
      <c r="U683" s="1" t="str">
        <f>IF(A683="","",IFERROR(S683/MAX(1,COUNTIFS(Assignments!$B:$B,A683,Assignments!$D:$D,"&gt;="&amp;TODAY()-30)),""))</f>
        <v/>
      </c>
      <c r="V683" s="1" t="str">
        <f t="shared" si="4"/>
        <v/>
      </c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 t="str">
        <f>IF(A684="","",IFERROR(AVERAGEIFS(Assignments!$AO:$AO,Assignments!$B:$B,A684,Assignments!$E:$E,"Completed"),""))</f>
        <v/>
      </c>
      <c r="L684" s="2"/>
      <c r="M684" s="2"/>
      <c r="N684" s="2"/>
      <c r="O684" s="2"/>
      <c r="P684" s="1" t="str">
        <f>IF(A684="","",MAX(0,MIN(3,SUMIFS(Strike_Log!$C:$C,Strike_Log!$B:$B,A684,Strike_Log!$A:$A,"&gt;="&amp;IF(Config!$B$1004="Y",TODAY()-Config!$B$1005,DATE(1900,1,1)),Strike_Log!$I:$I,1))))</f>
        <v/>
      </c>
      <c r="Q684" s="1"/>
      <c r="R684" s="1"/>
      <c r="S684" s="1" t="str">
        <f>IF(A684="","",COUNTIFS(Assignments!$B:$B,A684,Assignments!$AE:$AE, "Y",Assignments!$D:$D,"&gt;="&amp;TODAY()-30))</f>
        <v/>
      </c>
      <c r="T684" s="1" t="str">
        <f>IF(A684="","",COUNTIFS(Assignments!$AF:$AF,A684,Assignments!$AE:$AE, "Y",Assignments!$D:$D,"&gt;="&amp;TODAY()-30))</f>
        <v/>
      </c>
      <c r="U684" s="1" t="str">
        <f>IF(A684="","",IFERROR(S684/MAX(1,COUNTIFS(Assignments!$B:$B,A684,Assignments!$D:$D,"&gt;="&amp;TODAY()-30)),""))</f>
        <v/>
      </c>
      <c r="V684" s="1" t="str">
        <f t="shared" si="4"/>
        <v/>
      </c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 t="str">
        <f>IF(A685="","",IFERROR(AVERAGEIFS(Assignments!$AO:$AO,Assignments!$B:$B,A685,Assignments!$E:$E,"Completed"),""))</f>
        <v/>
      </c>
      <c r="L685" s="2"/>
      <c r="M685" s="2"/>
      <c r="N685" s="2"/>
      <c r="O685" s="2"/>
      <c r="P685" s="1" t="str">
        <f>IF(A685="","",MAX(0,MIN(3,SUMIFS(Strike_Log!$C:$C,Strike_Log!$B:$B,A685,Strike_Log!$A:$A,"&gt;="&amp;IF(Config!$B$1004="Y",TODAY()-Config!$B$1005,DATE(1900,1,1)),Strike_Log!$I:$I,1))))</f>
        <v/>
      </c>
      <c r="Q685" s="1"/>
      <c r="R685" s="1"/>
      <c r="S685" s="1" t="str">
        <f>IF(A685="","",COUNTIFS(Assignments!$B:$B,A685,Assignments!$AE:$AE, "Y",Assignments!$D:$D,"&gt;="&amp;TODAY()-30))</f>
        <v/>
      </c>
      <c r="T685" s="1" t="str">
        <f>IF(A685="","",COUNTIFS(Assignments!$AF:$AF,A685,Assignments!$AE:$AE, "Y",Assignments!$D:$D,"&gt;="&amp;TODAY()-30))</f>
        <v/>
      </c>
      <c r="U685" s="1" t="str">
        <f>IF(A685="","",IFERROR(S685/MAX(1,COUNTIFS(Assignments!$B:$B,A685,Assignments!$D:$D,"&gt;="&amp;TODAY()-30)),""))</f>
        <v/>
      </c>
      <c r="V685" s="1" t="str">
        <f t="shared" si="4"/>
        <v/>
      </c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 t="str">
        <f>IF(A686="","",IFERROR(AVERAGEIFS(Assignments!$AO:$AO,Assignments!$B:$B,A686,Assignments!$E:$E,"Completed"),""))</f>
        <v/>
      </c>
      <c r="L686" s="2"/>
      <c r="M686" s="2"/>
      <c r="N686" s="2"/>
      <c r="O686" s="2"/>
      <c r="P686" s="1" t="str">
        <f>IF(A686="","",MAX(0,MIN(3,SUMIFS(Strike_Log!$C:$C,Strike_Log!$B:$B,A686,Strike_Log!$A:$A,"&gt;="&amp;IF(Config!$B$1004="Y",TODAY()-Config!$B$1005,DATE(1900,1,1)),Strike_Log!$I:$I,1))))</f>
        <v/>
      </c>
      <c r="Q686" s="1"/>
      <c r="R686" s="1"/>
      <c r="S686" s="1" t="str">
        <f>IF(A686="","",COUNTIFS(Assignments!$B:$B,A686,Assignments!$AE:$AE, "Y",Assignments!$D:$D,"&gt;="&amp;TODAY()-30))</f>
        <v/>
      </c>
      <c r="T686" s="1" t="str">
        <f>IF(A686="","",COUNTIFS(Assignments!$AF:$AF,A686,Assignments!$AE:$AE, "Y",Assignments!$D:$D,"&gt;="&amp;TODAY()-30))</f>
        <v/>
      </c>
      <c r="U686" s="1" t="str">
        <f>IF(A686="","",IFERROR(S686/MAX(1,COUNTIFS(Assignments!$B:$B,A686,Assignments!$D:$D,"&gt;="&amp;TODAY()-30)),""))</f>
        <v/>
      </c>
      <c r="V686" s="1" t="str">
        <f t="shared" si="4"/>
        <v/>
      </c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 t="str">
        <f>IF(A687="","",IFERROR(AVERAGEIFS(Assignments!$AO:$AO,Assignments!$B:$B,A687,Assignments!$E:$E,"Completed"),""))</f>
        <v/>
      </c>
      <c r="L687" s="2"/>
      <c r="M687" s="2"/>
      <c r="N687" s="2"/>
      <c r="O687" s="2"/>
      <c r="P687" s="1" t="str">
        <f>IF(A687="","",MAX(0,MIN(3,SUMIFS(Strike_Log!$C:$C,Strike_Log!$B:$B,A687,Strike_Log!$A:$A,"&gt;="&amp;IF(Config!$B$1004="Y",TODAY()-Config!$B$1005,DATE(1900,1,1)),Strike_Log!$I:$I,1))))</f>
        <v/>
      </c>
      <c r="Q687" s="1"/>
      <c r="R687" s="1"/>
      <c r="S687" s="1" t="str">
        <f>IF(A687="","",COUNTIFS(Assignments!$B:$B,A687,Assignments!$AE:$AE, "Y",Assignments!$D:$D,"&gt;="&amp;TODAY()-30))</f>
        <v/>
      </c>
      <c r="T687" s="1" t="str">
        <f>IF(A687="","",COUNTIFS(Assignments!$AF:$AF,A687,Assignments!$AE:$AE, "Y",Assignments!$D:$D,"&gt;="&amp;TODAY()-30))</f>
        <v/>
      </c>
      <c r="U687" s="1" t="str">
        <f>IF(A687="","",IFERROR(S687/MAX(1,COUNTIFS(Assignments!$B:$B,A687,Assignments!$D:$D,"&gt;="&amp;TODAY()-30)),""))</f>
        <v/>
      </c>
      <c r="V687" s="1" t="str">
        <f t="shared" si="4"/>
        <v/>
      </c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 t="str">
        <f>IF(A688="","",IFERROR(AVERAGEIFS(Assignments!$AO:$AO,Assignments!$B:$B,A688,Assignments!$E:$E,"Completed"),""))</f>
        <v/>
      </c>
      <c r="L688" s="2"/>
      <c r="M688" s="2"/>
      <c r="N688" s="2"/>
      <c r="O688" s="2"/>
      <c r="P688" s="1" t="str">
        <f>IF(A688="","",MAX(0,MIN(3,SUMIFS(Strike_Log!$C:$C,Strike_Log!$B:$B,A688,Strike_Log!$A:$A,"&gt;="&amp;IF(Config!$B$1004="Y",TODAY()-Config!$B$1005,DATE(1900,1,1)),Strike_Log!$I:$I,1))))</f>
        <v/>
      </c>
      <c r="Q688" s="1"/>
      <c r="R688" s="1"/>
      <c r="S688" s="1" t="str">
        <f>IF(A688="","",COUNTIFS(Assignments!$B:$B,A688,Assignments!$AE:$AE, "Y",Assignments!$D:$D,"&gt;="&amp;TODAY()-30))</f>
        <v/>
      </c>
      <c r="T688" s="1" t="str">
        <f>IF(A688="","",COUNTIFS(Assignments!$AF:$AF,A688,Assignments!$AE:$AE, "Y",Assignments!$D:$D,"&gt;="&amp;TODAY()-30))</f>
        <v/>
      </c>
      <c r="U688" s="1" t="str">
        <f>IF(A688="","",IFERROR(S688/MAX(1,COUNTIFS(Assignments!$B:$B,A688,Assignments!$D:$D,"&gt;="&amp;TODAY()-30)),""))</f>
        <v/>
      </c>
      <c r="V688" s="1" t="str">
        <f t="shared" si="4"/>
        <v/>
      </c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 t="str">
        <f>IF(A689="","",IFERROR(AVERAGEIFS(Assignments!$AO:$AO,Assignments!$B:$B,A689,Assignments!$E:$E,"Completed"),""))</f>
        <v/>
      </c>
      <c r="L689" s="2"/>
      <c r="M689" s="2"/>
      <c r="N689" s="2"/>
      <c r="O689" s="2"/>
      <c r="P689" s="1" t="str">
        <f>IF(A689="","",MAX(0,MIN(3,SUMIFS(Strike_Log!$C:$C,Strike_Log!$B:$B,A689,Strike_Log!$A:$A,"&gt;="&amp;IF(Config!$B$1004="Y",TODAY()-Config!$B$1005,DATE(1900,1,1)),Strike_Log!$I:$I,1))))</f>
        <v/>
      </c>
      <c r="Q689" s="1"/>
      <c r="R689" s="1"/>
      <c r="S689" s="1" t="str">
        <f>IF(A689="","",COUNTIFS(Assignments!$B:$B,A689,Assignments!$AE:$AE, "Y",Assignments!$D:$D,"&gt;="&amp;TODAY()-30))</f>
        <v/>
      </c>
      <c r="T689" s="1" t="str">
        <f>IF(A689="","",COUNTIFS(Assignments!$AF:$AF,A689,Assignments!$AE:$AE, "Y",Assignments!$D:$D,"&gt;="&amp;TODAY()-30))</f>
        <v/>
      </c>
      <c r="U689" s="1" t="str">
        <f>IF(A689="","",IFERROR(S689/MAX(1,COUNTIFS(Assignments!$B:$B,A689,Assignments!$D:$D,"&gt;="&amp;TODAY()-30)),""))</f>
        <v/>
      </c>
      <c r="V689" s="1" t="str">
        <f t="shared" si="4"/>
        <v/>
      </c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 t="str">
        <f>IF(A690="","",IFERROR(AVERAGEIFS(Assignments!$AO:$AO,Assignments!$B:$B,A690,Assignments!$E:$E,"Completed"),""))</f>
        <v/>
      </c>
      <c r="L690" s="2"/>
      <c r="M690" s="2"/>
      <c r="N690" s="2"/>
      <c r="O690" s="2"/>
      <c r="P690" s="1" t="str">
        <f>IF(A690="","",MAX(0,MIN(3,SUMIFS(Strike_Log!$C:$C,Strike_Log!$B:$B,A690,Strike_Log!$A:$A,"&gt;="&amp;IF(Config!$B$1004="Y",TODAY()-Config!$B$1005,DATE(1900,1,1)),Strike_Log!$I:$I,1))))</f>
        <v/>
      </c>
      <c r="Q690" s="1"/>
      <c r="R690" s="1"/>
      <c r="S690" s="1" t="str">
        <f>IF(A690="","",COUNTIFS(Assignments!$B:$B,A690,Assignments!$AE:$AE, "Y",Assignments!$D:$D,"&gt;="&amp;TODAY()-30))</f>
        <v/>
      </c>
      <c r="T690" s="1" t="str">
        <f>IF(A690="","",COUNTIFS(Assignments!$AF:$AF,A690,Assignments!$AE:$AE, "Y",Assignments!$D:$D,"&gt;="&amp;TODAY()-30))</f>
        <v/>
      </c>
      <c r="U690" s="1" t="str">
        <f>IF(A690="","",IFERROR(S690/MAX(1,COUNTIFS(Assignments!$B:$B,A690,Assignments!$D:$D,"&gt;="&amp;TODAY()-30)),""))</f>
        <v/>
      </c>
      <c r="V690" s="1" t="str">
        <f t="shared" si="4"/>
        <v/>
      </c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 t="str">
        <f>IF(A691="","",IFERROR(AVERAGEIFS(Assignments!$AO:$AO,Assignments!$B:$B,A691,Assignments!$E:$E,"Completed"),""))</f>
        <v/>
      </c>
      <c r="L691" s="2"/>
      <c r="M691" s="2"/>
      <c r="N691" s="2"/>
      <c r="O691" s="2"/>
      <c r="P691" s="1" t="str">
        <f>IF(A691="","",MAX(0,MIN(3,SUMIFS(Strike_Log!$C:$C,Strike_Log!$B:$B,A691,Strike_Log!$A:$A,"&gt;="&amp;IF(Config!$B$1004="Y",TODAY()-Config!$B$1005,DATE(1900,1,1)),Strike_Log!$I:$I,1))))</f>
        <v/>
      </c>
      <c r="Q691" s="1"/>
      <c r="R691" s="1"/>
      <c r="S691" s="1" t="str">
        <f>IF(A691="","",COUNTIFS(Assignments!$B:$B,A691,Assignments!$AE:$AE, "Y",Assignments!$D:$D,"&gt;="&amp;TODAY()-30))</f>
        <v/>
      </c>
      <c r="T691" s="1" t="str">
        <f>IF(A691="","",COUNTIFS(Assignments!$AF:$AF,A691,Assignments!$AE:$AE, "Y",Assignments!$D:$D,"&gt;="&amp;TODAY()-30))</f>
        <v/>
      </c>
      <c r="U691" s="1" t="str">
        <f>IF(A691="","",IFERROR(S691/MAX(1,COUNTIFS(Assignments!$B:$B,A691,Assignments!$D:$D,"&gt;="&amp;TODAY()-30)),""))</f>
        <v/>
      </c>
      <c r="V691" s="1" t="str">
        <f t="shared" si="4"/>
        <v/>
      </c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 t="str">
        <f>IF(A692="","",IFERROR(AVERAGEIFS(Assignments!$AO:$AO,Assignments!$B:$B,A692,Assignments!$E:$E,"Completed"),""))</f>
        <v/>
      </c>
      <c r="L692" s="2"/>
      <c r="M692" s="2"/>
      <c r="N692" s="2"/>
      <c r="O692" s="2"/>
      <c r="P692" s="1" t="str">
        <f>IF(A692="","",MAX(0,MIN(3,SUMIFS(Strike_Log!$C:$C,Strike_Log!$B:$B,A692,Strike_Log!$A:$A,"&gt;="&amp;IF(Config!$B$1004="Y",TODAY()-Config!$B$1005,DATE(1900,1,1)),Strike_Log!$I:$I,1))))</f>
        <v/>
      </c>
      <c r="Q692" s="1"/>
      <c r="R692" s="1"/>
      <c r="S692" s="1" t="str">
        <f>IF(A692="","",COUNTIFS(Assignments!$B:$B,A692,Assignments!$AE:$AE, "Y",Assignments!$D:$D,"&gt;="&amp;TODAY()-30))</f>
        <v/>
      </c>
      <c r="T692" s="1" t="str">
        <f>IF(A692="","",COUNTIFS(Assignments!$AF:$AF,A692,Assignments!$AE:$AE, "Y",Assignments!$D:$D,"&gt;="&amp;TODAY()-30))</f>
        <v/>
      </c>
      <c r="U692" s="1" t="str">
        <f>IF(A692="","",IFERROR(S692/MAX(1,COUNTIFS(Assignments!$B:$B,A692,Assignments!$D:$D,"&gt;="&amp;TODAY()-30)),""))</f>
        <v/>
      </c>
      <c r="V692" s="1" t="str">
        <f t="shared" si="4"/>
        <v/>
      </c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 t="str">
        <f>IF(A693="","",IFERROR(AVERAGEIFS(Assignments!$AO:$AO,Assignments!$B:$B,A693,Assignments!$E:$E,"Completed"),""))</f>
        <v/>
      </c>
      <c r="L693" s="2"/>
      <c r="M693" s="2"/>
      <c r="N693" s="2"/>
      <c r="O693" s="2"/>
      <c r="P693" s="1" t="str">
        <f>IF(A693="","",MAX(0,MIN(3,SUMIFS(Strike_Log!$C:$C,Strike_Log!$B:$B,A693,Strike_Log!$A:$A,"&gt;="&amp;IF(Config!$B$1004="Y",TODAY()-Config!$B$1005,DATE(1900,1,1)),Strike_Log!$I:$I,1))))</f>
        <v/>
      </c>
      <c r="Q693" s="1"/>
      <c r="R693" s="1"/>
      <c r="S693" s="1" t="str">
        <f>IF(A693="","",COUNTIFS(Assignments!$B:$B,A693,Assignments!$AE:$AE, "Y",Assignments!$D:$D,"&gt;="&amp;TODAY()-30))</f>
        <v/>
      </c>
      <c r="T693" s="1" t="str">
        <f>IF(A693="","",COUNTIFS(Assignments!$AF:$AF,A693,Assignments!$AE:$AE, "Y",Assignments!$D:$D,"&gt;="&amp;TODAY()-30))</f>
        <v/>
      </c>
      <c r="U693" s="1" t="str">
        <f>IF(A693="","",IFERROR(S693/MAX(1,COUNTIFS(Assignments!$B:$B,A693,Assignments!$D:$D,"&gt;="&amp;TODAY()-30)),""))</f>
        <v/>
      </c>
      <c r="V693" s="1" t="str">
        <f t="shared" si="4"/>
        <v/>
      </c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 t="str">
        <f>IF(A694="","",IFERROR(AVERAGEIFS(Assignments!$AO:$AO,Assignments!$B:$B,A694,Assignments!$E:$E,"Completed"),""))</f>
        <v/>
      </c>
      <c r="L694" s="2"/>
      <c r="M694" s="2"/>
      <c r="N694" s="2"/>
      <c r="O694" s="2"/>
      <c r="P694" s="1" t="str">
        <f>IF(A694="","",MAX(0,MIN(3,SUMIFS(Strike_Log!$C:$C,Strike_Log!$B:$B,A694,Strike_Log!$A:$A,"&gt;="&amp;IF(Config!$B$1004="Y",TODAY()-Config!$B$1005,DATE(1900,1,1)),Strike_Log!$I:$I,1))))</f>
        <v/>
      </c>
      <c r="Q694" s="1"/>
      <c r="R694" s="1"/>
      <c r="S694" s="1" t="str">
        <f>IF(A694="","",COUNTIFS(Assignments!$B:$B,A694,Assignments!$AE:$AE, "Y",Assignments!$D:$D,"&gt;="&amp;TODAY()-30))</f>
        <v/>
      </c>
      <c r="T694" s="1" t="str">
        <f>IF(A694="","",COUNTIFS(Assignments!$AF:$AF,A694,Assignments!$AE:$AE, "Y",Assignments!$D:$D,"&gt;="&amp;TODAY()-30))</f>
        <v/>
      </c>
      <c r="U694" s="1" t="str">
        <f>IF(A694="","",IFERROR(S694/MAX(1,COUNTIFS(Assignments!$B:$B,A694,Assignments!$D:$D,"&gt;="&amp;TODAY()-30)),""))</f>
        <v/>
      </c>
      <c r="V694" s="1" t="str">
        <f t="shared" si="4"/>
        <v/>
      </c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 t="str">
        <f>IF(A695="","",IFERROR(AVERAGEIFS(Assignments!$AO:$AO,Assignments!$B:$B,A695,Assignments!$E:$E,"Completed"),""))</f>
        <v/>
      </c>
      <c r="L695" s="2"/>
      <c r="M695" s="2"/>
      <c r="N695" s="2"/>
      <c r="O695" s="2"/>
      <c r="P695" s="1" t="str">
        <f>IF(A695="","",MAX(0,MIN(3,SUMIFS(Strike_Log!$C:$C,Strike_Log!$B:$B,A695,Strike_Log!$A:$A,"&gt;="&amp;IF(Config!$B$1004="Y",TODAY()-Config!$B$1005,DATE(1900,1,1)),Strike_Log!$I:$I,1))))</f>
        <v/>
      </c>
      <c r="Q695" s="1"/>
      <c r="R695" s="1"/>
      <c r="S695" s="1" t="str">
        <f>IF(A695="","",COUNTIFS(Assignments!$B:$B,A695,Assignments!$AE:$AE, "Y",Assignments!$D:$D,"&gt;="&amp;TODAY()-30))</f>
        <v/>
      </c>
      <c r="T695" s="1" t="str">
        <f>IF(A695="","",COUNTIFS(Assignments!$AF:$AF,A695,Assignments!$AE:$AE, "Y",Assignments!$D:$D,"&gt;="&amp;TODAY()-30))</f>
        <v/>
      </c>
      <c r="U695" s="1" t="str">
        <f>IF(A695="","",IFERROR(S695/MAX(1,COUNTIFS(Assignments!$B:$B,A695,Assignments!$D:$D,"&gt;="&amp;TODAY()-30)),""))</f>
        <v/>
      </c>
      <c r="V695" s="1" t="str">
        <f t="shared" si="4"/>
        <v/>
      </c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 t="str">
        <f>IF(A696="","",IFERROR(AVERAGEIFS(Assignments!$AO:$AO,Assignments!$B:$B,A696,Assignments!$E:$E,"Completed"),""))</f>
        <v/>
      </c>
      <c r="L696" s="2"/>
      <c r="M696" s="2"/>
      <c r="N696" s="2"/>
      <c r="O696" s="2"/>
      <c r="P696" s="1" t="str">
        <f>IF(A696="","",MAX(0,MIN(3,SUMIFS(Strike_Log!$C:$C,Strike_Log!$B:$B,A696,Strike_Log!$A:$A,"&gt;="&amp;IF(Config!$B$1004="Y",TODAY()-Config!$B$1005,DATE(1900,1,1)),Strike_Log!$I:$I,1))))</f>
        <v/>
      </c>
      <c r="Q696" s="1"/>
      <c r="R696" s="1"/>
      <c r="S696" s="1" t="str">
        <f>IF(A696="","",COUNTIFS(Assignments!$B:$B,A696,Assignments!$AE:$AE, "Y",Assignments!$D:$D,"&gt;="&amp;TODAY()-30))</f>
        <v/>
      </c>
      <c r="T696" s="1" t="str">
        <f>IF(A696="","",COUNTIFS(Assignments!$AF:$AF,A696,Assignments!$AE:$AE, "Y",Assignments!$D:$D,"&gt;="&amp;TODAY()-30))</f>
        <v/>
      </c>
      <c r="U696" s="1" t="str">
        <f>IF(A696="","",IFERROR(S696/MAX(1,COUNTIFS(Assignments!$B:$B,A696,Assignments!$D:$D,"&gt;="&amp;TODAY()-30)),""))</f>
        <v/>
      </c>
      <c r="V696" s="1" t="str">
        <f t="shared" si="4"/>
        <v/>
      </c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 t="str">
        <f>IF(A697="","",IFERROR(AVERAGEIFS(Assignments!$AO:$AO,Assignments!$B:$B,A697,Assignments!$E:$E,"Completed"),""))</f>
        <v/>
      </c>
      <c r="L697" s="2"/>
      <c r="M697" s="2"/>
      <c r="N697" s="2"/>
      <c r="O697" s="2"/>
      <c r="P697" s="1" t="str">
        <f>IF(A697="","",MAX(0,MIN(3,SUMIFS(Strike_Log!$C:$C,Strike_Log!$B:$B,A697,Strike_Log!$A:$A,"&gt;="&amp;IF(Config!$B$1004="Y",TODAY()-Config!$B$1005,DATE(1900,1,1)),Strike_Log!$I:$I,1))))</f>
        <v/>
      </c>
      <c r="Q697" s="1"/>
      <c r="R697" s="1"/>
      <c r="S697" s="1" t="str">
        <f>IF(A697="","",COUNTIFS(Assignments!$B:$B,A697,Assignments!$AE:$AE, "Y",Assignments!$D:$D,"&gt;="&amp;TODAY()-30))</f>
        <v/>
      </c>
      <c r="T697" s="1" t="str">
        <f>IF(A697="","",COUNTIFS(Assignments!$AF:$AF,A697,Assignments!$AE:$AE, "Y",Assignments!$D:$D,"&gt;="&amp;TODAY()-30))</f>
        <v/>
      </c>
      <c r="U697" s="1" t="str">
        <f>IF(A697="","",IFERROR(S697/MAX(1,COUNTIFS(Assignments!$B:$B,A697,Assignments!$D:$D,"&gt;="&amp;TODAY()-30)),""))</f>
        <v/>
      </c>
      <c r="V697" s="1" t="str">
        <f t="shared" si="4"/>
        <v/>
      </c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 t="str">
        <f>IF(A698="","",IFERROR(AVERAGEIFS(Assignments!$AO:$AO,Assignments!$B:$B,A698,Assignments!$E:$E,"Completed"),""))</f>
        <v/>
      </c>
      <c r="L698" s="2"/>
      <c r="M698" s="2"/>
      <c r="N698" s="2"/>
      <c r="O698" s="2"/>
      <c r="P698" s="1" t="str">
        <f>IF(A698="","",MAX(0,MIN(3,SUMIFS(Strike_Log!$C:$C,Strike_Log!$B:$B,A698,Strike_Log!$A:$A,"&gt;="&amp;IF(Config!$B$1004="Y",TODAY()-Config!$B$1005,DATE(1900,1,1)),Strike_Log!$I:$I,1))))</f>
        <v/>
      </c>
      <c r="Q698" s="1"/>
      <c r="R698" s="1"/>
      <c r="S698" s="1" t="str">
        <f>IF(A698="","",COUNTIFS(Assignments!$B:$B,A698,Assignments!$AE:$AE, "Y",Assignments!$D:$D,"&gt;="&amp;TODAY()-30))</f>
        <v/>
      </c>
      <c r="T698" s="1" t="str">
        <f>IF(A698="","",COUNTIFS(Assignments!$AF:$AF,A698,Assignments!$AE:$AE, "Y",Assignments!$D:$D,"&gt;="&amp;TODAY()-30))</f>
        <v/>
      </c>
      <c r="U698" s="1" t="str">
        <f>IF(A698="","",IFERROR(S698/MAX(1,COUNTIFS(Assignments!$B:$B,A698,Assignments!$D:$D,"&gt;="&amp;TODAY()-30)),""))</f>
        <v/>
      </c>
      <c r="V698" s="1" t="str">
        <f t="shared" si="4"/>
        <v/>
      </c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 t="str">
        <f>IF(A699="","",IFERROR(AVERAGEIFS(Assignments!$AO:$AO,Assignments!$B:$B,A699,Assignments!$E:$E,"Completed"),""))</f>
        <v/>
      </c>
      <c r="L699" s="2"/>
      <c r="M699" s="2"/>
      <c r="N699" s="2"/>
      <c r="O699" s="2"/>
      <c r="P699" s="1" t="str">
        <f>IF(A699="","",MAX(0,MIN(3,SUMIFS(Strike_Log!$C:$C,Strike_Log!$B:$B,A699,Strike_Log!$A:$A,"&gt;="&amp;IF(Config!$B$1004="Y",TODAY()-Config!$B$1005,DATE(1900,1,1)),Strike_Log!$I:$I,1))))</f>
        <v/>
      </c>
      <c r="Q699" s="1"/>
      <c r="R699" s="1"/>
      <c r="S699" s="1" t="str">
        <f>IF(A699="","",COUNTIFS(Assignments!$B:$B,A699,Assignments!$AE:$AE, "Y",Assignments!$D:$D,"&gt;="&amp;TODAY()-30))</f>
        <v/>
      </c>
      <c r="T699" s="1" t="str">
        <f>IF(A699="","",COUNTIFS(Assignments!$AF:$AF,A699,Assignments!$AE:$AE, "Y",Assignments!$D:$D,"&gt;="&amp;TODAY()-30))</f>
        <v/>
      </c>
      <c r="U699" s="1" t="str">
        <f>IF(A699="","",IFERROR(S699/MAX(1,COUNTIFS(Assignments!$B:$B,A699,Assignments!$D:$D,"&gt;="&amp;TODAY()-30)),""))</f>
        <v/>
      </c>
      <c r="V699" s="1" t="str">
        <f t="shared" si="4"/>
        <v/>
      </c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 t="str">
        <f>IF(A700="","",IFERROR(AVERAGEIFS(Assignments!$AO:$AO,Assignments!$B:$B,A700,Assignments!$E:$E,"Completed"),""))</f>
        <v/>
      </c>
      <c r="L700" s="2"/>
      <c r="M700" s="2"/>
      <c r="N700" s="2"/>
      <c r="O700" s="2"/>
      <c r="P700" s="1" t="str">
        <f>IF(A700="","",MAX(0,MIN(3,SUMIFS(Strike_Log!$C:$C,Strike_Log!$B:$B,A700,Strike_Log!$A:$A,"&gt;="&amp;IF(Config!$B$1004="Y",TODAY()-Config!$B$1005,DATE(1900,1,1)),Strike_Log!$I:$I,1))))</f>
        <v/>
      </c>
      <c r="Q700" s="1"/>
      <c r="R700" s="1"/>
      <c r="S700" s="1" t="str">
        <f>IF(A700="","",COUNTIFS(Assignments!$B:$B,A700,Assignments!$AE:$AE, "Y",Assignments!$D:$D,"&gt;="&amp;TODAY()-30))</f>
        <v/>
      </c>
      <c r="T700" s="1" t="str">
        <f>IF(A700="","",COUNTIFS(Assignments!$AF:$AF,A700,Assignments!$AE:$AE, "Y",Assignments!$D:$D,"&gt;="&amp;TODAY()-30))</f>
        <v/>
      </c>
      <c r="U700" s="1" t="str">
        <f>IF(A700="","",IFERROR(S700/MAX(1,COUNTIFS(Assignments!$B:$B,A700,Assignments!$D:$D,"&gt;="&amp;TODAY()-30)),""))</f>
        <v/>
      </c>
      <c r="V700" s="1" t="str">
        <f t="shared" si="4"/>
        <v/>
      </c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 t="str">
        <f>IF(A701="","",IFERROR(AVERAGEIFS(Assignments!$AO:$AO,Assignments!$B:$B,A701,Assignments!$E:$E,"Completed"),""))</f>
        <v/>
      </c>
      <c r="L701" s="2"/>
      <c r="M701" s="2"/>
      <c r="N701" s="2"/>
      <c r="O701" s="2"/>
      <c r="P701" s="1" t="str">
        <f>IF(A701="","",MAX(0,MIN(3,SUMIFS(Strike_Log!$C:$C,Strike_Log!$B:$B,A701,Strike_Log!$A:$A,"&gt;="&amp;IF(Config!$B$1004="Y",TODAY()-Config!$B$1005,DATE(1900,1,1)),Strike_Log!$I:$I,1))))</f>
        <v/>
      </c>
      <c r="Q701" s="1"/>
      <c r="R701" s="1"/>
      <c r="S701" s="1" t="str">
        <f>IF(A701="","",COUNTIFS(Assignments!$B:$B,A701,Assignments!$AE:$AE, "Y",Assignments!$D:$D,"&gt;="&amp;TODAY()-30))</f>
        <v/>
      </c>
      <c r="T701" s="1" t="str">
        <f>IF(A701="","",COUNTIFS(Assignments!$AF:$AF,A701,Assignments!$AE:$AE, "Y",Assignments!$D:$D,"&gt;="&amp;TODAY()-30))</f>
        <v/>
      </c>
      <c r="U701" s="1" t="str">
        <f>IF(A701="","",IFERROR(S701/MAX(1,COUNTIFS(Assignments!$B:$B,A701,Assignments!$D:$D,"&gt;="&amp;TODAY()-30)),""))</f>
        <v/>
      </c>
      <c r="V701" s="1" t="str">
        <f t="shared" si="4"/>
        <v/>
      </c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 t="str">
        <f>IF(A702="","",IFERROR(AVERAGEIFS(Assignments!$AO:$AO,Assignments!$B:$B,A702,Assignments!$E:$E,"Completed"),""))</f>
        <v/>
      </c>
      <c r="L702" s="2"/>
      <c r="M702" s="2"/>
      <c r="N702" s="2"/>
      <c r="O702" s="2"/>
      <c r="P702" s="1" t="str">
        <f>IF(A702="","",MAX(0,MIN(3,SUMIFS(Strike_Log!$C:$C,Strike_Log!$B:$B,A702,Strike_Log!$A:$A,"&gt;="&amp;IF(Config!$B$1004="Y",TODAY()-Config!$B$1005,DATE(1900,1,1)),Strike_Log!$I:$I,1))))</f>
        <v/>
      </c>
      <c r="Q702" s="1"/>
      <c r="R702" s="1"/>
      <c r="S702" s="1" t="str">
        <f>IF(A702="","",COUNTIFS(Assignments!$B:$B,A702,Assignments!$AE:$AE, "Y",Assignments!$D:$D,"&gt;="&amp;TODAY()-30))</f>
        <v/>
      </c>
      <c r="T702" s="1" t="str">
        <f>IF(A702="","",COUNTIFS(Assignments!$AF:$AF,A702,Assignments!$AE:$AE, "Y",Assignments!$D:$D,"&gt;="&amp;TODAY()-30))</f>
        <v/>
      </c>
      <c r="U702" s="1" t="str">
        <f>IF(A702="","",IFERROR(S702/MAX(1,COUNTIFS(Assignments!$B:$B,A702,Assignments!$D:$D,"&gt;="&amp;TODAY()-30)),""))</f>
        <v/>
      </c>
      <c r="V702" s="1" t="str">
        <f t="shared" si="4"/>
        <v/>
      </c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 t="str">
        <f>IF(A703="","",IFERROR(AVERAGEIFS(Assignments!$AO:$AO,Assignments!$B:$B,A703,Assignments!$E:$E,"Completed"),""))</f>
        <v/>
      </c>
      <c r="L703" s="2"/>
      <c r="M703" s="2"/>
      <c r="N703" s="2"/>
      <c r="O703" s="2"/>
      <c r="P703" s="1" t="str">
        <f>IF(A703="","",MAX(0,MIN(3,SUMIFS(Strike_Log!$C:$C,Strike_Log!$B:$B,A703,Strike_Log!$A:$A,"&gt;="&amp;IF(Config!$B$1004="Y",TODAY()-Config!$B$1005,DATE(1900,1,1)),Strike_Log!$I:$I,1))))</f>
        <v/>
      </c>
      <c r="Q703" s="1"/>
      <c r="R703" s="1"/>
      <c r="S703" s="1" t="str">
        <f>IF(A703="","",COUNTIFS(Assignments!$B:$B,A703,Assignments!$AE:$AE, "Y",Assignments!$D:$D,"&gt;="&amp;TODAY()-30))</f>
        <v/>
      </c>
      <c r="T703" s="1" t="str">
        <f>IF(A703="","",COUNTIFS(Assignments!$AF:$AF,A703,Assignments!$AE:$AE, "Y",Assignments!$D:$D,"&gt;="&amp;TODAY()-30))</f>
        <v/>
      </c>
      <c r="U703" s="1" t="str">
        <f>IF(A703="","",IFERROR(S703/MAX(1,COUNTIFS(Assignments!$B:$B,A703,Assignments!$D:$D,"&gt;="&amp;TODAY()-30)),""))</f>
        <v/>
      </c>
      <c r="V703" s="1" t="str">
        <f t="shared" si="4"/>
        <v/>
      </c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 t="str">
        <f>IF(A704="","",IFERROR(AVERAGEIFS(Assignments!$AO:$AO,Assignments!$B:$B,A704,Assignments!$E:$E,"Completed"),""))</f>
        <v/>
      </c>
      <c r="L704" s="2"/>
      <c r="M704" s="2"/>
      <c r="N704" s="2"/>
      <c r="O704" s="2"/>
      <c r="P704" s="1" t="str">
        <f>IF(A704="","",MAX(0,MIN(3,SUMIFS(Strike_Log!$C:$C,Strike_Log!$B:$B,A704,Strike_Log!$A:$A,"&gt;="&amp;IF(Config!$B$1004="Y",TODAY()-Config!$B$1005,DATE(1900,1,1)),Strike_Log!$I:$I,1))))</f>
        <v/>
      </c>
      <c r="Q704" s="1"/>
      <c r="R704" s="1"/>
      <c r="S704" s="1" t="str">
        <f>IF(A704="","",COUNTIFS(Assignments!$B:$B,A704,Assignments!$AE:$AE, "Y",Assignments!$D:$D,"&gt;="&amp;TODAY()-30))</f>
        <v/>
      </c>
      <c r="T704" s="1" t="str">
        <f>IF(A704="","",COUNTIFS(Assignments!$AF:$AF,A704,Assignments!$AE:$AE, "Y",Assignments!$D:$D,"&gt;="&amp;TODAY()-30))</f>
        <v/>
      </c>
      <c r="U704" s="1" t="str">
        <f>IF(A704="","",IFERROR(S704/MAX(1,COUNTIFS(Assignments!$B:$B,A704,Assignments!$D:$D,"&gt;="&amp;TODAY()-30)),""))</f>
        <v/>
      </c>
      <c r="V704" s="1" t="str">
        <f t="shared" si="4"/>
        <v/>
      </c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 t="str">
        <f>IF(A705="","",IFERROR(AVERAGEIFS(Assignments!$AO:$AO,Assignments!$B:$B,A705,Assignments!$E:$E,"Completed"),""))</f>
        <v/>
      </c>
      <c r="L705" s="2"/>
      <c r="M705" s="2"/>
      <c r="N705" s="2"/>
      <c r="O705" s="2"/>
      <c r="P705" s="1" t="str">
        <f>IF(A705="","",MAX(0,MIN(3,SUMIFS(Strike_Log!$C:$C,Strike_Log!$B:$B,A705,Strike_Log!$A:$A,"&gt;="&amp;IF(Config!$B$1004="Y",TODAY()-Config!$B$1005,DATE(1900,1,1)),Strike_Log!$I:$I,1))))</f>
        <v/>
      </c>
      <c r="Q705" s="1"/>
      <c r="R705" s="1"/>
      <c r="S705" s="1" t="str">
        <f>IF(A705="","",COUNTIFS(Assignments!$B:$B,A705,Assignments!$AE:$AE, "Y",Assignments!$D:$D,"&gt;="&amp;TODAY()-30))</f>
        <v/>
      </c>
      <c r="T705" s="1" t="str">
        <f>IF(A705="","",COUNTIFS(Assignments!$AF:$AF,A705,Assignments!$AE:$AE, "Y",Assignments!$D:$D,"&gt;="&amp;TODAY()-30))</f>
        <v/>
      </c>
      <c r="U705" s="1" t="str">
        <f>IF(A705="","",IFERROR(S705/MAX(1,COUNTIFS(Assignments!$B:$B,A705,Assignments!$D:$D,"&gt;="&amp;TODAY()-30)),""))</f>
        <v/>
      </c>
      <c r="V705" s="1" t="str">
        <f t="shared" si="4"/>
        <v/>
      </c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 t="str">
        <f>IF(A706="","",IFERROR(AVERAGEIFS(Assignments!$AO:$AO,Assignments!$B:$B,A706,Assignments!$E:$E,"Completed"),""))</f>
        <v/>
      </c>
      <c r="L706" s="2"/>
      <c r="M706" s="2"/>
      <c r="N706" s="2"/>
      <c r="O706" s="2"/>
      <c r="P706" s="1" t="str">
        <f>IF(A706="","",MAX(0,MIN(3,SUMIFS(Strike_Log!$C:$C,Strike_Log!$B:$B,A706,Strike_Log!$A:$A,"&gt;="&amp;IF(Config!$B$1004="Y",TODAY()-Config!$B$1005,DATE(1900,1,1)),Strike_Log!$I:$I,1))))</f>
        <v/>
      </c>
      <c r="Q706" s="1"/>
      <c r="R706" s="1"/>
      <c r="S706" s="1" t="str">
        <f>IF(A706="","",COUNTIFS(Assignments!$B:$B,A706,Assignments!$AE:$AE, "Y",Assignments!$D:$D,"&gt;="&amp;TODAY()-30))</f>
        <v/>
      </c>
      <c r="T706" s="1" t="str">
        <f>IF(A706="","",COUNTIFS(Assignments!$AF:$AF,A706,Assignments!$AE:$AE, "Y",Assignments!$D:$D,"&gt;="&amp;TODAY()-30))</f>
        <v/>
      </c>
      <c r="U706" s="1" t="str">
        <f>IF(A706="","",IFERROR(S706/MAX(1,COUNTIFS(Assignments!$B:$B,A706,Assignments!$D:$D,"&gt;="&amp;TODAY()-30)),""))</f>
        <v/>
      </c>
      <c r="V706" s="1" t="str">
        <f t="shared" si="4"/>
        <v/>
      </c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 t="str">
        <f>IF(A707="","",IFERROR(AVERAGEIFS(Assignments!$AO:$AO,Assignments!$B:$B,A707,Assignments!$E:$E,"Completed"),""))</f>
        <v/>
      </c>
      <c r="L707" s="2"/>
      <c r="M707" s="2"/>
      <c r="N707" s="2"/>
      <c r="O707" s="2"/>
      <c r="P707" s="1" t="str">
        <f>IF(A707="","",MAX(0,MIN(3,SUMIFS(Strike_Log!$C:$C,Strike_Log!$B:$B,A707,Strike_Log!$A:$A,"&gt;="&amp;IF(Config!$B$1004="Y",TODAY()-Config!$B$1005,DATE(1900,1,1)),Strike_Log!$I:$I,1))))</f>
        <v/>
      </c>
      <c r="Q707" s="1"/>
      <c r="R707" s="1"/>
      <c r="S707" s="1" t="str">
        <f>IF(A707="","",COUNTIFS(Assignments!$B:$B,A707,Assignments!$AE:$AE, "Y",Assignments!$D:$D,"&gt;="&amp;TODAY()-30))</f>
        <v/>
      </c>
      <c r="T707" s="1" t="str">
        <f>IF(A707="","",COUNTIFS(Assignments!$AF:$AF,A707,Assignments!$AE:$AE, "Y",Assignments!$D:$D,"&gt;="&amp;TODAY()-30))</f>
        <v/>
      </c>
      <c r="U707" s="1" t="str">
        <f>IF(A707="","",IFERROR(S707/MAX(1,COUNTIFS(Assignments!$B:$B,A707,Assignments!$D:$D,"&gt;="&amp;TODAY()-30)),""))</f>
        <v/>
      </c>
      <c r="V707" s="1" t="str">
        <f t="shared" si="4"/>
        <v/>
      </c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 t="str">
        <f>IF(A708="","",IFERROR(AVERAGEIFS(Assignments!$AO:$AO,Assignments!$B:$B,A708,Assignments!$E:$E,"Completed"),""))</f>
        <v/>
      </c>
      <c r="L708" s="2"/>
      <c r="M708" s="2"/>
      <c r="N708" s="2"/>
      <c r="O708" s="2"/>
      <c r="P708" s="1" t="str">
        <f>IF(A708="","",MAX(0,MIN(3,SUMIFS(Strike_Log!$C:$C,Strike_Log!$B:$B,A708,Strike_Log!$A:$A,"&gt;="&amp;IF(Config!$B$1004="Y",TODAY()-Config!$B$1005,DATE(1900,1,1)),Strike_Log!$I:$I,1))))</f>
        <v/>
      </c>
      <c r="Q708" s="1"/>
      <c r="R708" s="1"/>
      <c r="S708" s="1" t="str">
        <f>IF(A708="","",COUNTIFS(Assignments!$B:$B,A708,Assignments!$AE:$AE, "Y",Assignments!$D:$D,"&gt;="&amp;TODAY()-30))</f>
        <v/>
      </c>
      <c r="T708" s="1" t="str">
        <f>IF(A708="","",COUNTIFS(Assignments!$AF:$AF,A708,Assignments!$AE:$AE, "Y",Assignments!$D:$D,"&gt;="&amp;TODAY()-30))</f>
        <v/>
      </c>
      <c r="U708" s="1" t="str">
        <f>IF(A708="","",IFERROR(S708/MAX(1,COUNTIFS(Assignments!$B:$B,A708,Assignments!$D:$D,"&gt;="&amp;TODAY()-30)),""))</f>
        <v/>
      </c>
      <c r="V708" s="1" t="str">
        <f t="shared" si="4"/>
        <v/>
      </c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 t="str">
        <f>IF(A709="","",IFERROR(AVERAGEIFS(Assignments!$AO:$AO,Assignments!$B:$B,A709,Assignments!$E:$E,"Completed"),""))</f>
        <v/>
      </c>
      <c r="L709" s="2"/>
      <c r="M709" s="2"/>
      <c r="N709" s="2"/>
      <c r="O709" s="2"/>
      <c r="P709" s="1" t="str">
        <f>IF(A709="","",MAX(0,MIN(3,SUMIFS(Strike_Log!$C:$C,Strike_Log!$B:$B,A709,Strike_Log!$A:$A,"&gt;="&amp;IF(Config!$B$1004="Y",TODAY()-Config!$B$1005,DATE(1900,1,1)),Strike_Log!$I:$I,1))))</f>
        <v/>
      </c>
      <c r="Q709" s="1"/>
      <c r="R709" s="1"/>
      <c r="S709" s="1" t="str">
        <f>IF(A709="","",COUNTIFS(Assignments!$B:$B,A709,Assignments!$AE:$AE, "Y",Assignments!$D:$D,"&gt;="&amp;TODAY()-30))</f>
        <v/>
      </c>
      <c r="T709" s="1" t="str">
        <f>IF(A709="","",COUNTIFS(Assignments!$AF:$AF,A709,Assignments!$AE:$AE, "Y",Assignments!$D:$D,"&gt;="&amp;TODAY()-30))</f>
        <v/>
      </c>
      <c r="U709" s="1" t="str">
        <f>IF(A709="","",IFERROR(S709/MAX(1,COUNTIFS(Assignments!$B:$B,A709,Assignments!$D:$D,"&gt;="&amp;TODAY()-30)),""))</f>
        <v/>
      </c>
      <c r="V709" s="1" t="str">
        <f t="shared" si="4"/>
        <v/>
      </c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 t="str">
        <f>IF(A710="","",IFERROR(AVERAGEIFS(Assignments!$AO:$AO,Assignments!$B:$B,A710,Assignments!$E:$E,"Completed"),""))</f>
        <v/>
      </c>
      <c r="L710" s="2"/>
      <c r="M710" s="2"/>
      <c r="N710" s="2"/>
      <c r="O710" s="2"/>
      <c r="P710" s="1" t="str">
        <f>IF(A710="","",MAX(0,MIN(3,SUMIFS(Strike_Log!$C:$C,Strike_Log!$B:$B,A710,Strike_Log!$A:$A,"&gt;="&amp;IF(Config!$B$1004="Y",TODAY()-Config!$B$1005,DATE(1900,1,1)),Strike_Log!$I:$I,1))))</f>
        <v/>
      </c>
      <c r="Q710" s="1"/>
      <c r="R710" s="1"/>
      <c r="S710" s="1" t="str">
        <f>IF(A710="","",COUNTIFS(Assignments!$B:$B,A710,Assignments!$AE:$AE, "Y",Assignments!$D:$D,"&gt;="&amp;TODAY()-30))</f>
        <v/>
      </c>
      <c r="T710" s="1" t="str">
        <f>IF(A710="","",COUNTIFS(Assignments!$AF:$AF,A710,Assignments!$AE:$AE, "Y",Assignments!$D:$D,"&gt;="&amp;TODAY()-30))</f>
        <v/>
      </c>
      <c r="U710" s="1" t="str">
        <f>IF(A710="","",IFERROR(S710/MAX(1,COUNTIFS(Assignments!$B:$B,A710,Assignments!$D:$D,"&gt;="&amp;TODAY()-30)),""))</f>
        <v/>
      </c>
      <c r="V710" s="1" t="str">
        <f t="shared" si="4"/>
        <v/>
      </c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 t="str">
        <f>IF(A711="","",IFERROR(AVERAGEIFS(Assignments!$AO:$AO,Assignments!$B:$B,A711,Assignments!$E:$E,"Completed"),""))</f>
        <v/>
      </c>
      <c r="L711" s="2"/>
      <c r="M711" s="2"/>
      <c r="N711" s="2"/>
      <c r="O711" s="2"/>
      <c r="P711" s="1" t="str">
        <f>IF(A711="","",MAX(0,MIN(3,SUMIFS(Strike_Log!$C:$C,Strike_Log!$B:$B,A711,Strike_Log!$A:$A,"&gt;="&amp;IF(Config!$B$1004="Y",TODAY()-Config!$B$1005,DATE(1900,1,1)),Strike_Log!$I:$I,1))))</f>
        <v/>
      </c>
      <c r="Q711" s="1"/>
      <c r="R711" s="1"/>
      <c r="S711" s="1" t="str">
        <f>IF(A711="","",COUNTIFS(Assignments!$B:$B,A711,Assignments!$AE:$AE, "Y",Assignments!$D:$D,"&gt;="&amp;TODAY()-30))</f>
        <v/>
      </c>
      <c r="T711" s="1" t="str">
        <f>IF(A711="","",COUNTIFS(Assignments!$AF:$AF,A711,Assignments!$AE:$AE, "Y",Assignments!$D:$D,"&gt;="&amp;TODAY()-30))</f>
        <v/>
      </c>
      <c r="U711" s="1" t="str">
        <f>IF(A711="","",IFERROR(S711/MAX(1,COUNTIFS(Assignments!$B:$B,A711,Assignments!$D:$D,"&gt;="&amp;TODAY()-30)),""))</f>
        <v/>
      </c>
      <c r="V711" s="1" t="str">
        <f t="shared" si="4"/>
        <v/>
      </c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 t="str">
        <f>IF(A712="","",IFERROR(AVERAGEIFS(Assignments!$AO:$AO,Assignments!$B:$B,A712,Assignments!$E:$E,"Completed"),""))</f>
        <v/>
      </c>
      <c r="L712" s="2"/>
      <c r="M712" s="2"/>
      <c r="N712" s="2"/>
      <c r="O712" s="2"/>
      <c r="P712" s="1" t="str">
        <f>IF(A712="","",MAX(0,MIN(3,SUMIFS(Strike_Log!$C:$C,Strike_Log!$B:$B,A712,Strike_Log!$A:$A,"&gt;="&amp;IF(Config!$B$1004="Y",TODAY()-Config!$B$1005,DATE(1900,1,1)),Strike_Log!$I:$I,1))))</f>
        <v/>
      </c>
      <c r="Q712" s="1"/>
      <c r="R712" s="1"/>
      <c r="S712" s="1" t="str">
        <f>IF(A712="","",COUNTIFS(Assignments!$B:$B,A712,Assignments!$AE:$AE, "Y",Assignments!$D:$D,"&gt;="&amp;TODAY()-30))</f>
        <v/>
      </c>
      <c r="T712" s="1" t="str">
        <f>IF(A712="","",COUNTIFS(Assignments!$AF:$AF,A712,Assignments!$AE:$AE, "Y",Assignments!$D:$D,"&gt;="&amp;TODAY()-30))</f>
        <v/>
      </c>
      <c r="U712" s="1" t="str">
        <f>IF(A712="","",IFERROR(S712/MAX(1,COUNTIFS(Assignments!$B:$B,A712,Assignments!$D:$D,"&gt;="&amp;TODAY()-30)),""))</f>
        <v/>
      </c>
      <c r="V712" s="1" t="str">
        <f t="shared" si="4"/>
        <v/>
      </c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 t="str">
        <f>IF(A713="","",IFERROR(AVERAGEIFS(Assignments!$AO:$AO,Assignments!$B:$B,A713,Assignments!$E:$E,"Completed"),""))</f>
        <v/>
      </c>
      <c r="L713" s="2"/>
      <c r="M713" s="2"/>
      <c r="N713" s="2"/>
      <c r="O713" s="2"/>
      <c r="P713" s="1" t="str">
        <f>IF(A713="","",MAX(0,MIN(3,SUMIFS(Strike_Log!$C:$C,Strike_Log!$B:$B,A713,Strike_Log!$A:$A,"&gt;="&amp;IF(Config!$B$1004="Y",TODAY()-Config!$B$1005,DATE(1900,1,1)),Strike_Log!$I:$I,1))))</f>
        <v/>
      </c>
      <c r="Q713" s="1"/>
      <c r="R713" s="1"/>
      <c r="S713" s="1" t="str">
        <f>IF(A713="","",COUNTIFS(Assignments!$B:$B,A713,Assignments!$AE:$AE, "Y",Assignments!$D:$D,"&gt;="&amp;TODAY()-30))</f>
        <v/>
      </c>
      <c r="T713" s="1" t="str">
        <f>IF(A713="","",COUNTIFS(Assignments!$AF:$AF,A713,Assignments!$AE:$AE, "Y",Assignments!$D:$D,"&gt;="&amp;TODAY()-30))</f>
        <v/>
      </c>
      <c r="U713" s="1" t="str">
        <f>IF(A713="","",IFERROR(S713/MAX(1,COUNTIFS(Assignments!$B:$B,A713,Assignments!$D:$D,"&gt;="&amp;TODAY()-30)),""))</f>
        <v/>
      </c>
      <c r="V713" s="1" t="str">
        <f t="shared" si="4"/>
        <v/>
      </c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 t="str">
        <f>IF(A714="","",IFERROR(AVERAGEIFS(Assignments!$AO:$AO,Assignments!$B:$B,A714,Assignments!$E:$E,"Completed"),""))</f>
        <v/>
      </c>
      <c r="L714" s="2"/>
      <c r="M714" s="2"/>
      <c r="N714" s="2"/>
      <c r="O714" s="2"/>
      <c r="P714" s="1" t="str">
        <f>IF(A714="","",MAX(0,MIN(3,SUMIFS(Strike_Log!$C:$C,Strike_Log!$B:$B,A714,Strike_Log!$A:$A,"&gt;="&amp;IF(Config!$B$1004="Y",TODAY()-Config!$B$1005,DATE(1900,1,1)),Strike_Log!$I:$I,1))))</f>
        <v/>
      </c>
      <c r="Q714" s="1"/>
      <c r="R714" s="1"/>
      <c r="S714" s="1" t="str">
        <f>IF(A714="","",COUNTIFS(Assignments!$B:$B,A714,Assignments!$AE:$AE, "Y",Assignments!$D:$D,"&gt;="&amp;TODAY()-30))</f>
        <v/>
      </c>
      <c r="T714" s="1" t="str">
        <f>IF(A714="","",COUNTIFS(Assignments!$AF:$AF,A714,Assignments!$AE:$AE, "Y",Assignments!$D:$D,"&gt;="&amp;TODAY()-30))</f>
        <v/>
      </c>
      <c r="U714" s="1" t="str">
        <f>IF(A714="","",IFERROR(S714/MAX(1,COUNTIFS(Assignments!$B:$B,A714,Assignments!$D:$D,"&gt;="&amp;TODAY()-30)),""))</f>
        <v/>
      </c>
      <c r="V714" s="1" t="str">
        <f t="shared" si="4"/>
        <v/>
      </c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 t="str">
        <f>IF(A715="","",IFERROR(AVERAGEIFS(Assignments!$AO:$AO,Assignments!$B:$B,A715,Assignments!$E:$E,"Completed"),""))</f>
        <v/>
      </c>
      <c r="L715" s="2"/>
      <c r="M715" s="2"/>
      <c r="N715" s="2"/>
      <c r="O715" s="2"/>
      <c r="P715" s="1" t="str">
        <f>IF(A715="","",MAX(0,MIN(3,SUMIFS(Strike_Log!$C:$C,Strike_Log!$B:$B,A715,Strike_Log!$A:$A,"&gt;="&amp;IF(Config!$B$1004="Y",TODAY()-Config!$B$1005,DATE(1900,1,1)),Strike_Log!$I:$I,1))))</f>
        <v/>
      </c>
      <c r="Q715" s="1"/>
      <c r="R715" s="1"/>
      <c r="S715" s="1" t="str">
        <f>IF(A715="","",COUNTIFS(Assignments!$B:$B,A715,Assignments!$AE:$AE, "Y",Assignments!$D:$D,"&gt;="&amp;TODAY()-30))</f>
        <v/>
      </c>
      <c r="T715" s="1" t="str">
        <f>IF(A715="","",COUNTIFS(Assignments!$AF:$AF,A715,Assignments!$AE:$AE, "Y",Assignments!$D:$D,"&gt;="&amp;TODAY()-30))</f>
        <v/>
      </c>
      <c r="U715" s="1" t="str">
        <f>IF(A715="","",IFERROR(S715/MAX(1,COUNTIFS(Assignments!$B:$B,A715,Assignments!$D:$D,"&gt;="&amp;TODAY()-30)),""))</f>
        <v/>
      </c>
      <c r="V715" s="1" t="str">
        <f t="shared" si="4"/>
        <v/>
      </c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 t="str">
        <f>IF(A716="","",IFERROR(AVERAGEIFS(Assignments!$AO:$AO,Assignments!$B:$B,A716,Assignments!$E:$E,"Completed"),""))</f>
        <v/>
      </c>
      <c r="L716" s="2"/>
      <c r="M716" s="2"/>
      <c r="N716" s="2"/>
      <c r="O716" s="2"/>
      <c r="P716" s="1" t="str">
        <f>IF(A716="","",MAX(0,MIN(3,SUMIFS(Strike_Log!$C:$C,Strike_Log!$B:$B,A716,Strike_Log!$A:$A,"&gt;="&amp;IF(Config!$B$1004="Y",TODAY()-Config!$B$1005,DATE(1900,1,1)),Strike_Log!$I:$I,1))))</f>
        <v/>
      </c>
      <c r="Q716" s="1"/>
      <c r="R716" s="1"/>
      <c r="S716" s="1" t="str">
        <f>IF(A716="","",COUNTIFS(Assignments!$B:$B,A716,Assignments!$AE:$AE, "Y",Assignments!$D:$D,"&gt;="&amp;TODAY()-30))</f>
        <v/>
      </c>
      <c r="T716" s="1" t="str">
        <f>IF(A716="","",COUNTIFS(Assignments!$AF:$AF,A716,Assignments!$AE:$AE, "Y",Assignments!$D:$D,"&gt;="&amp;TODAY()-30))</f>
        <v/>
      </c>
      <c r="U716" s="1" t="str">
        <f>IF(A716="","",IFERROR(S716/MAX(1,COUNTIFS(Assignments!$B:$B,A716,Assignments!$D:$D,"&gt;="&amp;TODAY()-30)),""))</f>
        <v/>
      </c>
      <c r="V716" s="1" t="str">
        <f t="shared" si="4"/>
        <v/>
      </c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 t="str">
        <f>IF(A717="","",IFERROR(AVERAGEIFS(Assignments!$AO:$AO,Assignments!$B:$B,A717,Assignments!$E:$E,"Completed"),""))</f>
        <v/>
      </c>
      <c r="L717" s="2"/>
      <c r="M717" s="2"/>
      <c r="N717" s="2"/>
      <c r="O717" s="2"/>
      <c r="P717" s="1" t="str">
        <f>IF(A717="","",MAX(0,MIN(3,SUMIFS(Strike_Log!$C:$C,Strike_Log!$B:$B,A717,Strike_Log!$A:$A,"&gt;="&amp;IF(Config!$B$1004="Y",TODAY()-Config!$B$1005,DATE(1900,1,1)),Strike_Log!$I:$I,1))))</f>
        <v/>
      </c>
      <c r="Q717" s="1"/>
      <c r="R717" s="1"/>
      <c r="S717" s="1" t="str">
        <f>IF(A717="","",COUNTIFS(Assignments!$B:$B,A717,Assignments!$AE:$AE, "Y",Assignments!$D:$D,"&gt;="&amp;TODAY()-30))</f>
        <v/>
      </c>
      <c r="T717" s="1" t="str">
        <f>IF(A717="","",COUNTIFS(Assignments!$AF:$AF,A717,Assignments!$AE:$AE, "Y",Assignments!$D:$D,"&gt;="&amp;TODAY()-30))</f>
        <v/>
      </c>
      <c r="U717" s="1" t="str">
        <f>IF(A717="","",IFERROR(S717/MAX(1,COUNTIFS(Assignments!$B:$B,A717,Assignments!$D:$D,"&gt;="&amp;TODAY()-30)),""))</f>
        <v/>
      </c>
      <c r="V717" s="1" t="str">
        <f t="shared" si="4"/>
        <v/>
      </c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 t="str">
        <f>IF(A718="","",IFERROR(AVERAGEIFS(Assignments!$AO:$AO,Assignments!$B:$B,A718,Assignments!$E:$E,"Completed"),""))</f>
        <v/>
      </c>
      <c r="L718" s="2"/>
      <c r="M718" s="2"/>
      <c r="N718" s="2"/>
      <c r="O718" s="2"/>
      <c r="P718" s="1" t="str">
        <f>IF(A718="","",MAX(0,MIN(3,SUMIFS(Strike_Log!$C:$C,Strike_Log!$B:$B,A718,Strike_Log!$A:$A,"&gt;="&amp;IF(Config!$B$1004="Y",TODAY()-Config!$B$1005,DATE(1900,1,1)),Strike_Log!$I:$I,1))))</f>
        <v/>
      </c>
      <c r="Q718" s="1"/>
      <c r="R718" s="1"/>
      <c r="S718" s="1" t="str">
        <f>IF(A718="","",COUNTIFS(Assignments!$B:$B,A718,Assignments!$AE:$AE, "Y",Assignments!$D:$D,"&gt;="&amp;TODAY()-30))</f>
        <v/>
      </c>
      <c r="T718" s="1" t="str">
        <f>IF(A718="","",COUNTIFS(Assignments!$AF:$AF,A718,Assignments!$AE:$AE, "Y",Assignments!$D:$D,"&gt;="&amp;TODAY()-30))</f>
        <v/>
      </c>
      <c r="U718" s="1" t="str">
        <f>IF(A718="","",IFERROR(S718/MAX(1,COUNTIFS(Assignments!$B:$B,A718,Assignments!$D:$D,"&gt;="&amp;TODAY()-30)),""))</f>
        <v/>
      </c>
      <c r="V718" s="1" t="str">
        <f t="shared" si="4"/>
        <v/>
      </c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 t="str">
        <f>IF(A719="","",IFERROR(AVERAGEIFS(Assignments!$AO:$AO,Assignments!$B:$B,A719,Assignments!$E:$E,"Completed"),""))</f>
        <v/>
      </c>
      <c r="L719" s="2"/>
      <c r="M719" s="2"/>
      <c r="N719" s="2"/>
      <c r="O719" s="2"/>
      <c r="P719" s="1" t="str">
        <f>IF(A719="","",MAX(0,MIN(3,SUMIFS(Strike_Log!$C:$C,Strike_Log!$B:$B,A719,Strike_Log!$A:$A,"&gt;="&amp;IF(Config!$B$1004="Y",TODAY()-Config!$B$1005,DATE(1900,1,1)),Strike_Log!$I:$I,1))))</f>
        <v/>
      </c>
      <c r="Q719" s="1"/>
      <c r="R719" s="1"/>
      <c r="S719" s="1" t="str">
        <f>IF(A719="","",COUNTIFS(Assignments!$B:$B,A719,Assignments!$AE:$AE, "Y",Assignments!$D:$D,"&gt;="&amp;TODAY()-30))</f>
        <v/>
      </c>
      <c r="T719" s="1" t="str">
        <f>IF(A719="","",COUNTIFS(Assignments!$AF:$AF,A719,Assignments!$AE:$AE, "Y",Assignments!$D:$D,"&gt;="&amp;TODAY()-30))</f>
        <v/>
      </c>
      <c r="U719" s="1" t="str">
        <f>IF(A719="","",IFERROR(S719/MAX(1,COUNTIFS(Assignments!$B:$B,A719,Assignments!$D:$D,"&gt;="&amp;TODAY()-30)),""))</f>
        <v/>
      </c>
      <c r="V719" s="1" t="str">
        <f t="shared" si="4"/>
        <v/>
      </c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 t="str">
        <f>IF(A720="","",IFERROR(AVERAGEIFS(Assignments!$AO:$AO,Assignments!$B:$B,A720,Assignments!$E:$E,"Completed"),""))</f>
        <v/>
      </c>
      <c r="L720" s="2"/>
      <c r="M720" s="2"/>
      <c r="N720" s="2"/>
      <c r="O720" s="2"/>
      <c r="P720" s="1" t="str">
        <f>IF(A720="","",MAX(0,MIN(3,SUMIFS(Strike_Log!$C:$C,Strike_Log!$B:$B,A720,Strike_Log!$A:$A,"&gt;="&amp;IF(Config!$B$1004="Y",TODAY()-Config!$B$1005,DATE(1900,1,1)),Strike_Log!$I:$I,1))))</f>
        <v/>
      </c>
      <c r="Q720" s="1"/>
      <c r="R720" s="1"/>
      <c r="S720" s="1" t="str">
        <f>IF(A720="","",COUNTIFS(Assignments!$B:$B,A720,Assignments!$AE:$AE, "Y",Assignments!$D:$D,"&gt;="&amp;TODAY()-30))</f>
        <v/>
      </c>
      <c r="T720" s="1" t="str">
        <f>IF(A720="","",COUNTIFS(Assignments!$AF:$AF,A720,Assignments!$AE:$AE, "Y",Assignments!$D:$D,"&gt;="&amp;TODAY()-30))</f>
        <v/>
      </c>
      <c r="U720" s="1" t="str">
        <f>IF(A720="","",IFERROR(S720/MAX(1,COUNTIFS(Assignments!$B:$B,A720,Assignments!$D:$D,"&gt;="&amp;TODAY()-30)),""))</f>
        <v/>
      </c>
      <c r="V720" s="1" t="str">
        <f t="shared" si="4"/>
        <v/>
      </c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 t="str">
        <f>IF(A721="","",IFERROR(AVERAGEIFS(Assignments!$AO:$AO,Assignments!$B:$B,A721,Assignments!$E:$E,"Completed"),""))</f>
        <v/>
      </c>
      <c r="L721" s="2"/>
      <c r="M721" s="2"/>
      <c r="N721" s="2"/>
      <c r="O721" s="2"/>
      <c r="P721" s="1" t="str">
        <f>IF(A721="","",MAX(0,MIN(3,SUMIFS(Strike_Log!$C:$C,Strike_Log!$B:$B,A721,Strike_Log!$A:$A,"&gt;="&amp;IF(Config!$B$1004="Y",TODAY()-Config!$B$1005,DATE(1900,1,1)),Strike_Log!$I:$I,1))))</f>
        <v/>
      </c>
      <c r="Q721" s="1"/>
      <c r="R721" s="1"/>
      <c r="S721" s="1" t="str">
        <f>IF(A721="","",COUNTIFS(Assignments!$B:$B,A721,Assignments!$AE:$AE, "Y",Assignments!$D:$D,"&gt;="&amp;TODAY()-30))</f>
        <v/>
      </c>
      <c r="T721" s="1" t="str">
        <f>IF(A721="","",COUNTIFS(Assignments!$AF:$AF,A721,Assignments!$AE:$AE, "Y",Assignments!$D:$D,"&gt;="&amp;TODAY()-30))</f>
        <v/>
      </c>
      <c r="U721" s="1" t="str">
        <f>IF(A721="","",IFERROR(S721/MAX(1,COUNTIFS(Assignments!$B:$B,A721,Assignments!$D:$D,"&gt;="&amp;TODAY()-30)),""))</f>
        <v/>
      </c>
      <c r="V721" s="1" t="str">
        <f t="shared" si="4"/>
        <v/>
      </c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 t="str">
        <f>IF(A722="","",IFERROR(AVERAGEIFS(Assignments!$AO:$AO,Assignments!$B:$B,A722,Assignments!$E:$E,"Completed"),""))</f>
        <v/>
      </c>
      <c r="L722" s="2"/>
      <c r="M722" s="2"/>
      <c r="N722" s="2"/>
      <c r="O722" s="2"/>
      <c r="P722" s="1" t="str">
        <f>IF(A722="","",MAX(0,MIN(3,SUMIFS(Strike_Log!$C:$C,Strike_Log!$B:$B,A722,Strike_Log!$A:$A,"&gt;="&amp;IF(Config!$B$1004="Y",TODAY()-Config!$B$1005,DATE(1900,1,1)),Strike_Log!$I:$I,1))))</f>
        <v/>
      </c>
      <c r="Q722" s="1"/>
      <c r="R722" s="1"/>
      <c r="S722" s="1" t="str">
        <f>IF(A722="","",COUNTIFS(Assignments!$B:$B,A722,Assignments!$AE:$AE, "Y",Assignments!$D:$D,"&gt;="&amp;TODAY()-30))</f>
        <v/>
      </c>
      <c r="T722" s="1" t="str">
        <f>IF(A722="","",COUNTIFS(Assignments!$AF:$AF,A722,Assignments!$AE:$AE, "Y",Assignments!$D:$D,"&gt;="&amp;TODAY()-30))</f>
        <v/>
      </c>
      <c r="U722" s="1" t="str">
        <f>IF(A722="","",IFERROR(S722/MAX(1,COUNTIFS(Assignments!$B:$B,A722,Assignments!$D:$D,"&gt;="&amp;TODAY()-30)),""))</f>
        <v/>
      </c>
      <c r="V722" s="1" t="str">
        <f t="shared" si="4"/>
        <v/>
      </c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 t="str">
        <f>IF(A723="","",IFERROR(AVERAGEIFS(Assignments!$AO:$AO,Assignments!$B:$B,A723,Assignments!$E:$E,"Completed"),""))</f>
        <v/>
      </c>
      <c r="L723" s="2"/>
      <c r="M723" s="2"/>
      <c r="N723" s="2"/>
      <c r="O723" s="2"/>
      <c r="P723" s="1" t="str">
        <f>IF(A723="","",MAX(0,MIN(3,SUMIFS(Strike_Log!$C:$C,Strike_Log!$B:$B,A723,Strike_Log!$A:$A,"&gt;="&amp;IF(Config!$B$1004="Y",TODAY()-Config!$B$1005,DATE(1900,1,1)),Strike_Log!$I:$I,1))))</f>
        <v/>
      </c>
      <c r="Q723" s="1"/>
      <c r="R723" s="1"/>
      <c r="S723" s="1" t="str">
        <f>IF(A723="","",COUNTIFS(Assignments!$B:$B,A723,Assignments!$AE:$AE, "Y",Assignments!$D:$D,"&gt;="&amp;TODAY()-30))</f>
        <v/>
      </c>
      <c r="T723" s="1" t="str">
        <f>IF(A723="","",COUNTIFS(Assignments!$AF:$AF,A723,Assignments!$AE:$AE, "Y",Assignments!$D:$D,"&gt;="&amp;TODAY()-30))</f>
        <v/>
      </c>
      <c r="U723" s="1" t="str">
        <f>IF(A723="","",IFERROR(S723/MAX(1,COUNTIFS(Assignments!$B:$B,A723,Assignments!$D:$D,"&gt;="&amp;TODAY()-30)),""))</f>
        <v/>
      </c>
      <c r="V723" s="1" t="str">
        <f t="shared" si="4"/>
        <v/>
      </c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 t="str">
        <f>IF(A724="","",IFERROR(AVERAGEIFS(Assignments!$AO:$AO,Assignments!$B:$B,A724,Assignments!$E:$E,"Completed"),""))</f>
        <v/>
      </c>
      <c r="L724" s="2"/>
      <c r="M724" s="2"/>
      <c r="N724" s="2"/>
      <c r="O724" s="2"/>
      <c r="P724" s="1" t="str">
        <f>IF(A724="","",MAX(0,MIN(3,SUMIFS(Strike_Log!$C:$C,Strike_Log!$B:$B,A724,Strike_Log!$A:$A,"&gt;="&amp;IF(Config!$B$1004="Y",TODAY()-Config!$B$1005,DATE(1900,1,1)),Strike_Log!$I:$I,1))))</f>
        <v/>
      </c>
      <c r="Q724" s="1"/>
      <c r="R724" s="1"/>
      <c r="S724" s="1" t="str">
        <f>IF(A724="","",COUNTIFS(Assignments!$B:$B,A724,Assignments!$AE:$AE, "Y",Assignments!$D:$D,"&gt;="&amp;TODAY()-30))</f>
        <v/>
      </c>
      <c r="T724" s="1" t="str">
        <f>IF(A724="","",COUNTIFS(Assignments!$AF:$AF,A724,Assignments!$AE:$AE, "Y",Assignments!$D:$D,"&gt;="&amp;TODAY()-30))</f>
        <v/>
      </c>
      <c r="U724" s="1" t="str">
        <f>IF(A724="","",IFERROR(S724/MAX(1,COUNTIFS(Assignments!$B:$B,A724,Assignments!$D:$D,"&gt;="&amp;TODAY()-30)),""))</f>
        <v/>
      </c>
      <c r="V724" s="1" t="str">
        <f t="shared" si="4"/>
        <v/>
      </c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 t="str">
        <f>IF(A725="","",IFERROR(AVERAGEIFS(Assignments!$AO:$AO,Assignments!$B:$B,A725,Assignments!$E:$E,"Completed"),""))</f>
        <v/>
      </c>
      <c r="L725" s="2"/>
      <c r="M725" s="2"/>
      <c r="N725" s="2"/>
      <c r="O725" s="2"/>
      <c r="P725" s="1" t="str">
        <f>IF(A725="","",MAX(0,MIN(3,SUMIFS(Strike_Log!$C:$C,Strike_Log!$B:$B,A725,Strike_Log!$A:$A,"&gt;="&amp;IF(Config!$B$1004="Y",TODAY()-Config!$B$1005,DATE(1900,1,1)),Strike_Log!$I:$I,1))))</f>
        <v/>
      </c>
      <c r="Q725" s="1"/>
      <c r="R725" s="1"/>
      <c r="S725" s="1" t="str">
        <f>IF(A725="","",COUNTIFS(Assignments!$B:$B,A725,Assignments!$AE:$AE, "Y",Assignments!$D:$D,"&gt;="&amp;TODAY()-30))</f>
        <v/>
      </c>
      <c r="T725" s="1" t="str">
        <f>IF(A725="","",COUNTIFS(Assignments!$AF:$AF,A725,Assignments!$AE:$AE, "Y",Assignments!$D:$D,"&gt;="&amp;TODAY()-30))</f>
        <v/>
      </c>
      <c r="U725" s="1" t="str">
        <f>IF(A725="","",IFERROR(S725/MAX(1,COUNTIFS(Assignments!$B:$B,A725,Assignments!$D:$D,"&gt;="&amp;TODAY()-30)),""))</f>
        <v/>
      </c>
      <c r="V725" s="1" t="str">
        <f t="shared" si="4"/>
        <v/>
      </c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 t="str">
        <f>IF(A726="","",IFERROR(AVERAGEIFS(Assignments!$AO:$AO,Assignments!$B:$B,A726,Assignments!$E:$E,"Completed"),""))</f>
        <v/>
      </c>
      <c r="L726" s="2"/>
      <c r="M726" s="2"/>
      <c r="N726" s="2"/>
      <c r="O726" s="2"/>
      <c r="P726" s="1" t="str">
        <f>IF(A726="","",MAX(0,MIN(3,SUMIFS(Strike_Log!$C:$C,Strike_Log!$B:$B,A726,Strike_Log!$A:$A,"&gt;="&amp;IF(Config!$B$1004="Y",TODAY()-Config!$B$1005,DATE(1900,1,1)),Strike_Log!$I:$I,1))))</f>
        <v/>
      </c>
      <c r="Q726" s="1"/>
      <c r="R726" s="1"/>
      <c r="S726" s="1" t="str">
        <f>IF(A726="","",COUNTIFS(Assignments!$B:$B,A726,Assignments!$AE:$AE, "Y",Assignments!$D:$D,"&gt;="&amp;TODAY()-30))</f>
        <v/>
      </c>
      <c r="T726" s="1" t="str">
        <f>IF(A726="","",COUNTIFS(Assignments!$AF:$AF,A726,Assignments!$AE:$AE, "Y",Assignments!$D:$D,"&gt;="&amp;TODAY()-30))</f>
        <v/>
      </c>
      <c r="U726" s="1" t="str">
        <f>IF(A726="","",IFERROR(S726/MAX(1,COUNTIFS(Assignments!$B:$B,A726,Assignments!$D:$D,"&gt;="&amp;TODAY()-30)),""))</f>
        <v/>
      </c>
      <c r="V726" s="1" t="str">
        <f t="shared" si="4"/>
        <v/>
      </c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 t="str">
        <f>IF(A727="","",IFERROR(AVERAGEIFS(Assignments!$AO:$AO,Assignments!$B:$B,A727,Assignments!$E:$E,"Completed"),""))</f>
        <v/>
      </c>
      <c r="L727" s="2"/>
      <c r="M727" s="2"/>
      <c r="N727" s="2"/>
      <c r="O727" s="2"/>
      <c r="P727" s="1" t="str">
        <f>IF(A727="","",MAX(0,MIN(3,SUMIFS(Strike_Log!$C:$C,Strike_Log!$B:$B,A727,Strike_Log!$A:$A,"&gt;="&amp;IF(Config!$B$1004="Y",TODAY()-Config!$B$1005,DATE(1900,1,1)),Strike_Log!$I:$I,1))))</f>
        <v/>
      </c>
      <c r="Q727" s="1"/>
      <c r="R727" s="1"/>
      <c r="S727" s="1" t="str">
        <f>IF(A727="","",COUNTIFS(Assignments!$B:$B,A727,Assignments!$AE:$AE, "Y",Assignments!$D:$D,"&gt;="&amp;TODAY()-30))</f>
        <v/>
      </c>
      <c r="T727" s="1" t="str">
        <f>IF(A727="","",COUNTIFS(Assignments!$AF:$AF,A727,Assignments!$AE:$AE, "Y",Assignments!$D:$D,"&gt;="&amp;TODAY()-30))</f>
        <v/>
      </c>
      <c r="U727" s="1" t="str">
        <f>IF(A727="","",IFERROR(S727/MAX(1,COUNTIFS(Assignments!$B:$B,A727,Assignments!$D:$D,"&gt;="&amp;TODAY()-30)),""))</f>
        <v/>
      </c>
      <c r="V727" s="1" t="str">
        <f t="shared" si="4"/>
        <v/>
      </c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 t="str">
        <f>IF(A728="","",IFERROR(AVERAGEIFS(Assignments!$AO:$AO,Assignments!$B:$B,A728,Assignments!$E:$E,"Completed"),""))</f>
        <v/>
      </c>
      <c r="L728" s="2"/>
      <c r="M728" s="2"/>
      <c r="N728" s="2"/>
      <c r="O728" s="2"/>
      <c r="P728" s="1" t="str">
        <f>IF(A728="","",MAX(0,MIN(3,SUMIFS(Strike_Log!$C:$C,Strike_Log!$B:$B,A728,Strike_Log!$A:$A,"&gt;="&amp;IF(Config!$B$1004="Y",TODAY()-Config!$B$1005,DATE(1900,1,1)),Strike_Log!$I:$I,1))))</f>
        <v/>
      </c>
      <c r="Q728" s="1"/>
      <c r="R728" s="1"/>
      <c r="S728" s="1" t="str">
        <f>IF(A728="","",COUNTIFS(Assignments!$B:$B,A728,Assignments!$AE:$AE, "Y",Assignments!$D:$D,"&gt;="&amp;TODAY()-30))</f>
        <v/>
      </c>
      <c r="T728" s="1" t="str">
        <f>IF(A728="","",COUNTIFS(Assignments!$AF:$AF,A728,Assignments!$AE:$AE, "Y",Assignments!$D:$D,"&gt;="&amp;TODAY()-30))</f>
        <v/>
      </c>
      <c r="U728" s="1" t="str">
        <f>IF(A728="","",IFERROR(S728/MAX(1,COUNTIFS(Assignments!$B:$B,A728,Assignments!$D:$D,"&gt;="&amp;TODAY()-30)),""))</f>
        <v/>
      </c>
      <c r="V728" s="1" t="str">
        <f t="shared" si="4"/>
        <v/>
      </c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 t="str">
        <f>IF(A729="","",IFERROR(AVERAGEIFS(Assignments!$AO:$AO,Assignments!$B:$B,A729,Assignments!$E:$E,"Completed"),""))</f>
        <v/>
      </c>
      <c r="L729" s="2"/>
      <c r="M729" s="2"/>
      <c r="N729" s="2"/>
      <c r="O729" s="2"/>
      <c r="P729" s="1" t="str">
        <f>IF(A729="","",MAX(0,MIN(3,SUMIFS(Strike_Log!$C:$C,Strike_Log!$B:$B,A729,Strike_Log!$A:$A,"&gt;="&amp;IF(Config!$B$1004="Y",TODAY()-Config!$B$1005,DATE(1900,1,1)),Strike_Log!$I:$I,1))))</f>
        <v/>
      </c>
      <c r="Q729" s="1"/>
      <c r="R729" s="1"/>
      <c r="S729" s="1" t="str">
        <f>IF(A729="","",COUNTIFS(Assignments!$B:$B,A729,Assignments!$AE:$AE, "Y",Assignments!$D:$D,"&gt;="&amp;TODAY()-30))</f>
        <v/>
      </c>
      <c r="T729" s="1" t="str">
        <f>IF(A729="","",COUNTIFS(Assignments!$AF:$AF,A729,Assignments!$AE:$AE, "Y",Assignments!$D:$D,"&gt;="&amp;TODAY()-30))</f>
        <v/>
      </c>
      <c r="U729" s="1" t="str">
        <f>IF(A729="","",IFERROR(S729/MAX(1,COUNTIFS(Assignments!$B:$B,A729,Assignments!$D:$D,"&gt;="&amp;TODAY()-30)),""))</f>
        <v/>
      </c>
      <c r="V729" s="1" t="str">
        <f t="shared" si="4"/>
        <v/>
      </c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 t="str">
        <f>IF(A730="","",IFERROR(AVERAGEIFS(Assignments!$AO:$AO,Assignments!$B:$B,A730,Assignments!$E:$E,"Completed"),""))</f>
        <v/>
      </c>
      <c r="L730" s="2"/>
      <c r="M730" s="2"/>
      <c r="N730" s="2"/>
      <c r="O730" s="2"/>
      <c r="P730" s="1" t="str">
        <f>IF(A730="","",MAX(0,MIN(3,SUMIFS(Strike_Log!$C:$C,Strike_Log!$B:$B,A730,Strike_Log!$A:$A,"&gt;="&amp;IF(Config!$B$1004="Y",TODAY()-Config!$B$1005,DATE(1900,1,1)),Strike_Log!$I:$I,1))))</f>
        <v/>
      </c>
      <c r="Q730" s="1"/>
      <c r="R730" s="1"/>
      <c r="S730" s="1" t="str">
        <f>IF(A730="","",COUNTIFS(Assignments!$B:$B,A730,Assignments!$AE:$AE, "Y",Assignments!$D:$D,"&gt;="&amp;TODAY()-30))</f>
        <v/>
      </c>
      <c r="T730" s="1" t="str">
        <f>IF(A730="","",COUNTIFS(Assignments!$AF:$AF,A730,Assignments!$AE:$AE, "Y",Assignments!$D:$D,"&gt;="&amp;TODAY()-30))</f>
        <v/>
      </c>
      <c r="U730" s="1" t="str">
        <f>IF(A730="","",IFERROR(S730/MAX(1,COUNTIFS(Assignments!$B:$B,A730,Assignments!$D:$D,"&gt;="&amp;TODAY()-30)),""))</f>
        <v/>
      </c>
      <c r="V730" s="1" t="str">
        <f t="shared" si="4"/>
        <v/>
      </c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 t="str">
        <f>IF(A731="","",IFERROR(AVERAGEIFS(Assignments!$AO:$AO,Assignments!$B:$B,A731,Assignments!$E:$E,"Completed"),""))</f>
        <v/>
      </c>
      <c r="L731" s="2"/>
      <c r="M731" s="2"/>
      <c r="N731" s="2"/>
      <c r="O731" s="2"/>
      <c r="P731" s="1" t="str">
        <f>IF(A731="","",MAX(0,MIN(3,SUMIFS(Strike_Log!$C:$C,Strike_Log!$B:$B,A731,Strike_Log!$A:$A,"&gt;="&amp;IF(Config!$B$1004="Y",TODAY()-Config!$B$1005,DATE(1900,1,1)),Strike_Log!$I:$I,1))))</f>
        <v/>
      </c>
      <c r="Q731" s="1"/>
      <c r="R731" s="1"/>
      <c r="S731" s="1" t="str">
        <f>IF(A731="","",COUNTIFS(Assignments!$B:$B,A731,Assignments!$AE:$AE, "Y",Assignments!$D:$D,"&gt;="&amp;TODAY()-30))</f>
        <v/>
      </c>
      <c r="T731" s="1" t="str">
        <f>IF(A731="","",COUNTIFS(Assignments!$AF:$AF,A731,Assignments!$AE:$AE, "Y",Assignments!$D:$D,"&gt;="&amp;TODAY()-30))</f>
        <v/>
      </c>
      <c r="U731" s="1" t="str">
        <f>IF(A731="","",IFERROR(S731/MAX(1,COUNTIFS(Assignments!$B:$B,A731,Assignments!$D:$D,"&gt;="&amp;TODAY()-30)),""))</f>
        <v/>
      </c>
      <c r="V731" s="1" t="str">
        <f t="shared" si="4"/>
        <v/>
      </c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 t="str">
        <f>IF(A732="","",IFERROR(AVERAGEIFS(Assignments!$AO:$AO,Assignments!$B:$B,A732,Assignments!$E:$E,"Completed"),""))</f>
        <v/>
      </c>
      <c r="L732" s="2"/>
      <c r="M732" s="2"/>
      <c r="N732" s="2"/>
      <c r="O732" s="2"/>
      <c r="P732" s="1" t="str">
        <f>IF(A732="","",MAX(0,MIN(3,SUMIFS(Strike_Log!$C:$C,Strike_Log!$B:$B,A732,Strike_Log!$A:$A,"&gt;="&amp;IF(Config!$B$1004="Y",TODAY()-Config!$B$1005,DATE(1900,1,1)),Strike_Log!$I:$I,1))))</f>
        <v/>
      </c>
      <c r="Q732" s="1"/>
      <c r="R732" s="1"/>
      <c r="S732" s="1" t="str">
        <f>IF(A732="","",COUNTIFS(Assignments!$B:$B,A732,Assignments!$AE:$AE, "Y",Assignments!$D:$D,"&gt;="&amp;TODAY()-30))</f>
        <v/>
      </c>
      <c r="T732" s="1" t="str">
        <f>IF(A732="","",COUNTIFS(Assignments!$AF:$AF,A732,Assignments!$AE:$AE, "Y",Assignments!$D:$D,"&gt;="&amp;TODAY()-30))</f>
        <v/>
      </c>
      <c r="U732" s="1" t="str">
        <f>IF(A732="","",IFERROR(S732/MAX(1,COUNTIFS(Assignments!$B:$B,A732,Assignments!$D:$D,"&gt;="&amp;TODAY()-30)),""))</f>
        <v/>
      </c>
      <c r="V732" s="1" t="str">
        <f t="shared" si="4"/>
        <v/>
      </c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 t="str">
        <f>IF(A733="","",IFERROR(AVERAGEIFS(Assignments!$AO:$AO,Assignments!$B:$B,A733,Assignments!$E:$E,"Completed"),""))</f>
        <v/>
      </c>
      <c r="L733" s="2"/>
      <c r="M733" s="2"/>
      <c r="N733" s="2"/>
      <c r="O733" s="2"/>
      <c r="P733" s="1" t="str">
        <f>IF(A733="","",MAX(0,MIN(3,SUMIFS(Strike_Log!$C:$C,Strike_Log!$B:$B,A733,Strike_Log!$A:$A,"&gt;="&amp;IF(Config!$B$1004="Y",TODAY()-Config!$B$1005,DATE(1900,1,1)),Strike_Log!$I:$I,1))))</f>
        <v/>
      </c>
      <c r="Q733" s="1"/>
      <c r="R733" s="1"/>
      <c r="S733" s="1" t="str">
        <f>IF(A733="","",COUNTIFS(Assignments!$B:$B,A733,Assignments!$AE:$AE, "Y",Assignments!$D:$D,"&gt;="&amp;TODAY()-30))</f>
        <v/>
      </c>
      <c r="T733" s="1" t="str">
        <f>IF(A733="","",COUNTIFS(Assignments!$AF:$AF,A733,Assignments!$AE:$AE, "Y",Assignments!$D:$D,"&gt;="&amp;TODAY()-30))</f>
        <v/>
      </c>
      <c r="U733" s="1" t="str">
        <f>IF(A733="","",IFERROR(S733/MAX(1,COUNTIFS(Assignments!$B:$B,A733,Assignments!$D:$D,"&gt;="&amp;TODAY()-30)),""))</f>
        <v/>
      </c>
      <c r="V733" s="1" t="str">
        <f t="shared" si="4"/>
        <v/>
      </c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 t="str">
        <f>IF(A734="","",IFERROR(AVERAGEIFS(Assignments!$AO:$AO,Assignments!$B:$B,A734,Assignments!$E:$E,"Completed"),""))</f>
        <v/>
      </c>
      <c r="L734" s="2"/>
      <c r="M734" s="2"/>
      <c r="N734" s="2"/>
      <c r="O734" s="2"/>
      <c r="P734" s="1" t="str">
        <f>IF(A734="","",MAX(0,MIN(3,SUMIFS(Strike_Log!$C:$C,Strike_Log!$B:$B,A734,Strike_Log!$A:$A,"&gt;="&amp;IF(Config!$B$1004="Y",TODAY()-Config!$B$1005,DATE(1900,1,1)),Strike_Log!$I:$I,1))))</f>
        <v/>
      </c>
      <c r="Q734" s="1"/>
      <c r="R734" s="1"/>
      <c r="S734" s="1" t="str">
        <f>IF(A734="","",COUNTIFS(Assignments!$B:$B,A734,Assignments!$AE:$AE, "Y",Assignments!$D:$D,"&gt;="&amp;TODAY()-30))</f>
        <v/>
      </c>
      <c r="T734" s="1" t="str">
        <f>IF(A734="","",COUNTIFS(Assignments!$AF:$AF,A734,Assignments!$AE:$AE, "Y",Assignments!$D:$D,"&gt;="&amp;TODAY()-30))</f>
        <v/>
      </c>
      <c r="U734" s="1" t="str">
        <f>IF(A734="","",IFERROR(S734/MAX(1,COUNTIFS(Assignments!$B:$B,A734,Assignments!$D:$D,"&gt;="&amp;TODAY()-30)),""))</f>
        <v/>
      </c>
      <c r="V734" s="1" t="str">
        <f t="shared" si="4"/>
        <v/>
      </c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 t="str">
        <f>IF(A735="","",IFERROR(AVERAGEIFS(Assignments!$AO:$AO,Assignments!$B:$B,A735,Assignments!$E:$E,"Completed"),""))</f>
        <v/>
      </c>
      <c r="L735" s="2"/>
      <c r="M735" s="2"/>
      <c r="N735" s="2"/>
      <c r="O735" s="2"/>
      <c r="P735" s="1" t="str">
        <f>IF(A735="","",MAX(0,MIN(3,SUMIFS(Strike_Log!$C:$C,Strike_Log!$B:$B,A735,Strike_Log!$A:$A,"&gt;="&amp;IF(Config!$B$1004="Y",TODAY()-Config!$B$1005,DATE(1900,1,1)),Strike_Log!$I:$I,1))))</f>
        <v/>
      </c>
      <c r="Q735" s="1"/>
      <c r="R735" s="1"/>
      <c r="S735" s="1" t="str">
        <f>IF(A735="","",COUNTIFS(Assignments!$B:$B,A735,Assignments!$AE:$AE, "Y",Assignments!$D:$D,"&gt;="&amp;TODAY()-30))</f>
        <v/>
      </c>
      <c r="T735" s="1" t="str">
        <f>IF(A735="","",COUNTIFS(Assignments!$AF:$AF,A735,Assignments!$AE:$AE, "Y",Assignments!$D:$D,"&gt;="&amp;TODAY()-30))</f>
        <v/>
      </c>
      <c r="U735" s="1" t="str">
        <f>IF(A735="","",IFERROR(S735/MAX(1,COUNTIFS(Assignments!$B:$B,A735,Assignments!$D:$D,"&gt;="&amp;TODAY()-30)),""))</f>
        <v/>
      </c>
      <c r="V735" s="1" t="str">
        <f t="shared" si="4"/>
        <v/>
      </c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 t="str">
        <f>IF(A736="","",IFERROR(AVERAGEIFS(Assignments!$AO:$AO,Assignments!$B:$B,A736,Assignments!$E:$E,"Completed"),""))</f>
        <v/>
      </c>
      <c r="L736" s="2"/>
      <c r="M736" s="2"/>
      <c r="N736" s="2"/>
      <c r="O736" s="2"/>
      <c r="P736" s="1" t="str">
        <f>IF(A736="","",MAX(0,MIN(3,SUMIFS(Strike_Log!$C:$C,Strike_Log!$B:$B,A736,Strike_Log!$A:$A,"&gt;="&amp;IF(Config!$B$1004="Y",TODAY()-Config!$B$1005,DATE(1900,1,1)),Strike_Log!$I:$I,1))))</f>
        <v/>
      </c>
      <c r="Q736" s="1"/>
      <c r="R736" s="1"/>
      <c r="S736" s="1" t="str">
        <f>IF(A736="","",COUNTIFS(Assignments!$B:$B,A736,Assignments!$AE:$AE, "Y",Assignments!$D:$D,"&gt;="&amp;TODAY()-30))</f>
        <v/>
      </c>
      <c r="T736" s="1" t="str">
        <f>IF(A736="","",COUNTIFS(Assignments!$AF:$AF,A736,Assignments!$AE:$AE, "Y",Assignments!$D:$D,"&gt;="&amp;TODAY()-30))</f>
        <v/>
      </c>
      <c r="U736" s="1" t="str">
        <f>IF(A736="","",IFERROR(S736/MAX(1,COUNTIFS(Assignments!$B:$B,A736,Assignments!$D:$D,"&gt;="&amp;TODAY()-30)),""))</f>
        <v/>
      </c>
      <c r="V736" s="1" t="str">
        <f t="shared" si="4"/>
        <v/>
      </c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 t="str">
        <f>IF(A737="","",IFERROR(AVERAGEIFS(Assignments!$AO:$AO,Assignments!$B:$B,A737,Assignments!$E:$E,"Completed"),""))</f>
        <v/>
      </c>
      <c r="L737" s="2"/>
      <c r="M737" s="2"/>
      <c r="N737" s="2"/>
      <c r="O737" s="2"/>
      <c r="P737" s="1" t="str">
        <f>IF(A737="","",MAX(0,MIN(3,SUMIFS(Strike_Log!$C:$C,Strike_Log!$B:$B,A737,Strike_Log!$A:$A,"&gt;="&amp;IF(Config!$B$1004="Y",TODAY()-Config!$B$1005,DATE(1900,1,1)),Strike_Log!$I:$I,1))))</f>
        <v/>
      </c>
      <c r="Q737" s="1"/>
      <c r="R737" s="1"/>
      <c r="S737" s="1" t="str">
        <f>IF(A737="","",COUNTIFS(Assignments!$B:$B,A737,Assignments!$AE:$AE, "Y",Assignments!$D:$D,"&gt;="&amp;TODAY()-30))</f>
        <v/>
      </c>
      <c r="T737" s="1" t="str">
        <f>IF(A737="","",COUNTIFS(Assignments!$AF:$AF,A737,Assignments!$AE:$AE, "Y",Assignments!$D:$D,"&gt;="&amp;TODAY()-30))</f>
        <v/>
      </c>
      <c r="U737" s="1" t="str">
        <f>IF(A737="","",IFERROR(S737/MAX(1,COUNTIFS(Assignments!$B:$B,A737,Assignments!$D:$D,"&gt;="&amp;TODAY()-30)),""))</f>
        <v/>
      </c>
      <c r="V737" s="1" t="str">
        <f t="shared" si="4"/>
        <v/>
      </c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 t="str">
        <f>IF(A738="","",IFERROR(AVERAGEIFS(Assignments!$AO:$AO,Assignments!$B:$B,A738,Assignments!$E:$E,"Completed"),""))</f>
        <v/>
      </c>
      <c r="L738" s="2"/>
      <c r="M738" s="2"/>
      <c r="N738" s="2"/>
      <c r="O738" s="2"/>
      <c r="P738" s="1" t="str">
        <f>IF(A738="","",MAX(0,MIN(3,SUMIFS(Strike_Log!$C:$C,Strike_Log!$B:$B,A738,Strike_Log!$A:$A,"&gt;="&amp;IF(Config!$B$1004="Y",TODAY()-Config!$B$1005,DATE(1900,1,1)),Strike_Log!$I:$I,1))))</f>
        <v/>
      </c>
      <c r="Q738" s="1"/>
      <c r="R738" s="1"/>
      <c r="S738" s="1" t="str">
        <f>IF(A738="","",COUNTIFS(Assignments!$B:$B,A738,Assignments!$AE:$AE, "Y",Assignments!$D:$D,"&gt;="&amp;TODAY()-30))</f>
        <v/>
      </c>
      <c r="T738" s="1" t="str">
        <f>IF(A738="","",COUNTIFS(Assignments!$AF:$AF,A738,Assignments!$AE:$AE, "Y",Assignments!$D:$D,"&gt;="&amp;TODAY()-30))</f>
        <v/>
      </c>
      <c r="U738" s="1" t="str">
        <f>IF(A738="","",IFERROR(S738/MAX(1,COUNTIFS(Assignments!$B:$B,A738,Assignments!$D:$D,"&gt;="&amp;TODAY()-30)),""))</f>
        <v/>
      </c>
      <c r="V738" s="1" t="str">
        <f t="shared" si="4"/>
        <v/>
      </c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 t="str">
        <f>IF(A739="","",IFERROR(AVERAGEIFS(Assignments!$AO:$AO,Assignments!$B:$B,A739,Assignments!$E:$E,"Completed"),""))</f>
        <v/>
      </c>
      <c r="L739" s="2"/>
      <c r="M739" s="2"/>
      <c r="N739" s="2"/>
      <c r="O739" s="2"/>
      <c r="P739" s="1" t="str">
        <f>IF(A739="","",MAX(0,MIN(3,SUMIFS(Strike_Log!$C:$C,Strike_Log!$B:$B,A739,Strike_Log!$A:$A,"&gt;="&amp;IF(Config!$B$1004="Y",TODAY()-Config!$B$1005,DATE(1900,1,1)),Strike_Log!$I:$I,1))))</f>
        <v/>
      </c>
      <c r="Q739" s="1"/>
      <c r="R739" s="1"/>
      <c r="S739" s="1" t="str">
        <f>IF(A739="","",COUNTIFS(Assignments!$B:$B,A739,Assignments!$AE:$AE, "Y",Assignments!$D:$D,"&gt;="&amp;TODAY()-30))</f>
        <v/>
      </c>
      <c r="T739" s="1" t="str">
        <f>IF(A739="","",COUNTIFS(Assignments!$AF:$AF,A739,Assignments!$AE:$AE, "Y",Assignments!$D:$D,"&gt;="&amp;TODAY()-30))</f>
        <v/>
      </c>
      <c r="U739" s="1" t="str">
        <f>IF(A739="","",IFERROR(S739/MAX(1,COUNTIFS(Assignments!$B:$B,A739,Assignments!$D:$D,"&gt;="&amp;TODAY()-30)),""))</f>
        <v/>
      </c>
      <c r="V739" s="1" t="str">
        <f t="shared" si="4"/>
        <v/>
      </c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 t="str">
        <f>IF(A740="","",IFERROR(AVERAGEIFS(Assignments!$AO:$AO,Assignments!$B:$B,A740,Assignments!$E:$E,"Completed"),""))</f>
        <v/>
      </c>
      <c r="L740" s="2"/>
      <c r="M740" s="2"/>
      <c r="N740" s="2"/>
      <c r="O740" s="2"/>
      <c r="P740" s="1" t="str">
        <f>IF(A740="","",MAX(0,MIN(3,SUMIFS(Strike_Log!$C:$C,Strike_Log!$B:$B,A740,Strike_Log!$A:$A,"&gt;="&amp;IF(Config!$B$1004="Y",TODAY()-Config!$B$1005,DATE(1900,1,1)),Strike_Log!$I:$I,1))))</f>
        <v/>
      </c>
      <c r="Q740" s="1"/>
      <c r="R740" s="1"/>
      <c r="S740" s="1" t="str">
        <f>IF(A740="","",COUNTIFS(Assignments!$B:$B,A740,Assignments!$AE:$AE, "Y",Assignments!$D:$D,"&gt;="&amp;TODAY()-30))</f>
        <v/>
      </c>
      <c r="T740" s="1" t="str">
        <f>IF(A740="","",COUNTIFS(Assignments!$AF:$AF,A740,Assignments!$AE:$AE, "Y",Assignments!$D:$D,"&gt;="&amp;TODAY()-30))</f>
        <v/>
      </c>
      <c r="U740" s="1" t="str">
        <f>IF(A740="","",IFERROR(S740/MAX(1,COUNTIFS(Assignments!$B:$B,A740,Assignments!$D:$D,"&gt;="&amp;TODAY()-30)),""))</f>
        <v/>
      </c>
      <c r="V740" s="1" t="str">
        <f t="shared" si="4"/>
        <v/>
      </c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 t="str">
        <f>IF(A741="","",IFERROR(AVERAGEIFS(Assignments!$AO:$AO,Assignments!$B:$B,A741,Assignments!$E:$E,"Completed"),""))</f>
        <v/>
      </c>
      <c r="L741" s="2"/>
      <c r="M741" s="2"/>
      <c r="N741" s="2"/>
      <c r="O741" s="2"/>
      <c r="P741" s="1" t="str">
        <f>IF(A741="","",MAX(0,MIN(3,SUMIFS(Strike_Log!$C:$C,Strike_Log!$B:$B,A741,Strike_Log!$A:$A,"&gt;="&amp;IF(Config!$B$1004="Y",TODAY()-Config!$B$1005,DATE(1900,1,1)),Strike_Log!$I:$I,1))))</f>
        <v/>
      </c>
      <c r="Q741" s="1"/>
      <c r="R741" s="1"/>
      <c r="S741" s="1" t="str">
        <f>IF(A741="","",COUNTIFS(Assignments!$B:$B,A741,Assignments!$AE:$AE, "Y",Assignments!$D:$D,"&gt;="&amp;TODAY()-30))</f>
        <v/>
      </c>
      <c r="T741" s="1" t="str">
        <f>IF(A741="","",COUNTIFS(Assignments!$AF:$AF,A741,Assignments!$AE:$AE, "Y",Assignments!$D:$D,"&gt;="&amp;TODAY()-30))</f>
        <v/>
      </c>
      <c r="U741" s="1" t="str">
        <f>IF(A741="","",IFERROR(S741/MAX(1,COUNTIFS(Assignments!$B:$B,A741,Assignments!$D:$D,"&gt;="&amp;TODAY()-30)),""))</f>
        <v/>
      </c>
      <c r="V741" s="1" t="str">
        <f t="shared" si="4"/>
        <v/>
      </c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 t="str">
        <f>IF(A742="","",IFERROR(AVERAGEIFS(Assignments!$AO:$AO,Assignments!$B:$B,A742,Assignments!$E:$E,"Completed"),""))</f>
        <v/>
      </c>
      <c r="L742" s="2"/>
      <c r="M742" s="2"/>
      <c r="N742" s="2"/>
      <c r="O742" s="2"/>
      <c r="P742" s="1" t="str">
        <f>IF(A742="","",MAX(0,MIN(3,SUMIFS(Strike_Log!$C:$C,Strike_Log!$B:$B,A742,Strike_Log!$A:$A,"&gt;="&amp;IF(Config!$B$1004="Y",TODAY()-Config!$B$1005,DATE(1900,1,1)),Strike_Log!$I:$I,1))))</f>
        <v/>
      </c>
      <c r="Q742" s="1"/>
      <c r="R742" s="1"/>
      <c r="S742" s="1" t="str">
        <f>IF(A742="","",COUNTIFS(Assignments!$B:$B,A742,Assignments!$AE:$AE, "Y",Assignments!$D:$D,"&gt;="&amp;TODAY()-30))</f>
        <v/>
      </c>
      <c r="T742" s="1" t="str">
        <f>IF(A742="","",COUNTIFS(Assignments!$AF:$AF,A742,Assignments!$AE:$AE, "Y",Assignments!$D:$D,"&gt;="&amp;TODAY()-30))</f>
        <v/>
      </c>
      <c r="U742" s="1" t="str">
        <f>IF(A742="","",IFERROR(S742/MAX(1,COUNTIFS(Assignments!$B:$B,A742,Assignments!$D:$D,"&gt;="&amp;TODAY()-30)),""))</f>
        <v/>
      </c>
      <c r="V742" s="1" t="str">
        <f t="shared" si="4"/>
        <v/>
      </c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 t="str">
        <f>IF(A743="","",IFERROR(AVERAGEIFS(Assignments!$AO:$AO,Assignments!$B:$B,A743,Assignments!$E:$E,"Completed"),""))</f>
        <v/>
      </c>
      <c r="L743" s="2"/>
      <c r="M743" s="2"/>
      <c r="N743" s="2"/>
      <c r="O743" s="2"/>
      <c r="P743" s="1" t="str">
        <f>IF(A743="","",MAX(0,MIN(3,SUMIFS(Strike_Log!$C:$C,Strike_Log!$B:$B,A743,Strike_Log!$A:$A,"&gt;="&amp;IF(Config!$B$1004="Y",TODAY()-Config!$B$1005,DATE(1900,1,1)),Strike_Log!$I:$I,1))))</f>
        <v/>
      </c>
      <c r="Q743" s="1"/>
      <c r="R743" s="1"/>
      <c r="S743" s="1" t="str">
        <f>IF(A743="","",COUNTIFS(Assignments!$B:$B,A743,Assignments!$AE:$AE, "Y",Assignments!$D:$D,"&gt;="&amp;TODAY()-30))</f>
        <v/>
      </c>
      <c r="T743" s="1" t="str">
        <f>IF(A743="","",COUNTIFS(Assignments!$AF:$AF,A743,Assignments!$AE:$AE, "Y",Assignments!$D:$D,"&gt;="&amp;TODAY()-30))</f>
        <v/>
      </c>
      <c r="U743" s="1" t="str">
        <f>IF(A743="","",IFERROR(S743/MAX(1,COUNTIFS(Assignments!$B:$B,A743,Assignments!$D:$D,"&gt;="&amp;TODAY()-30)),""))</f>
        <v/>
      </c>
      <c r="V743" s="1" t="str">
        <f t="shared" si="4"/>
        <v/>
      </c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 t="str">
        <f>IF(A744="","",IFERROR(AVERAGEIFS(Assignments!$AO:$AO,Assignments!$B:$B,A744,Assignments!$E:$E,"Completed"),""))</f>
        <v/>
      </c>
      <c r="L744" s="2"/>
      <c r="M744" s="2"/>
      <c r="N744" s="2"/>
      <c r="O744" s="2"/>
      <c r="P744" s="1" t="str">
        <f>IF(A744="","",MAX(0,MIN(3,SUMIFS(Strike_Log!$C:$C,Strike_Log!$B:$B,A744,Strike_Log!$A:$A,"&gt;="&amp;IF(Config!$B$1004="Y",TODAY()-Config!$B$1005,DATE(1900,1,1)),Strike_Log!$I:$I,1))))</f>
        <v/>
      </c>
      <c r="Q744" s="1"/>
      <c r="R744" s="1"/>
      <c r="S744" s="1" t="str">
        <f>IF(A744="","",COUNTIFS(Assignments!$B:$B,A744,Assignments!$AE:$AE, "Y",Assignments!$D:$D,"&gt;="&amp;TODAY()-30))</f>
        <v/>
      </c>
      <c r="T744" s="1" t="str">
        <f>IF(A744="","",COUNTIFS(Assignments!$AF:$AF,A744,Assignments!$AE:$AE, "Y",Assignments!$D:$D,"&gt;="&amp;TODAY()-30))</f>
        <v/>
      </c>
      <c r="U744" s="1" t="str">
        <f>IF(A744="","",IFERROR(S744/MAX(1,COUNTIFS(Assignments!$B:$B,A744,Assignments!$D:$D,"&gt;="&amp;TODAY()-30)),""))</f>
        <v/>
      </c>
      <c r="V744" s="1" t="str">
        <f t="shared" si="4"/>
        <v/>
      </c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 t="str">
        <f>IF(A745="","",IFERROR(AVERAGEIFS(Assignments!$AO:$AO,Assignments!$B:$B,A745,Assignments!$E:$E,"Completed"),""))</f>
        <v/>
      </c>
      <c r="L745" s="2"/>
      <c r="M745" s="2"/>
      <c r="N745" s="2"/>
      <c r="O745" s="2"/>
      <c r="P745" s="1" t="str">
        <f>IF(A745="","",MAX(0,MIN(3,SUMIFS(Strike_Log!$C:$C,Strike_Log!$B:$B,A745,Strike_Log!$A:$A,"&gt;="&amp;IF(Config!$B$1004="Y",TODAY()-Config!$B$1005,DATE(1900,1,1)),Strike_Log!$I:$I,1))))</f>
        <v/>
      </c>
      <c r="Q745" s="1"/>
      <c r="R745" s="1"/>
      <c r="S745" s="1" t="str">
        <f>IF(A745="","",COUNTIFS(Assignments!$B:$B,A745,Assignments!$AE:$AE, "Y",Assignments!$D:$D,"&gt;="&amp;TODAY()-30))</f>
        <v/>
      </c>
      <c r="T745" s="1" t="str">
        <f>IF(A745="","",COUNTIFS(Assignments!$AF:$AF,A745,Assignments!$AE:$AE, "Y",Assignments!$D:$D,"&gt;="&amp;TODAY()-30))</f>
        <v/>
      </c>
      <c r="U745" s="1" t="str">
        <f>IF(A745="","",IFERROR(S745/MAX(1,COUNTIFS(Assignments!$B:$B,A745,Assignments!$D:$D,"&gt;="&amp;TODAY()-30)),""))</f>
        <v/>
      </c>
      <c r="V745" s="1" t="str">
        <f t="shared" si="4"/>
        <v/>
      </c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 t="str">
        <f>IF(A746="","",IFERROR(AVERAGEIFS(Assignments!$AO:$AO,Assignments!$B:$B,A746,Assignments!$E:$E,"Completed"),""))</f>
        <v/>
      </c>
      <c r="L746" s="2"/>
      <c r="M746" s="2"/>
      <c r="N746" s="2"/>
      <c r="O746" s="2"/>
      <c r="P746" s="1" t="str">
        <f>IF(A746="","",MAX(0,MIN(3,SUMIFS(Strike_Log!$C:$C,Strike_Log!$B:$B,A746,Strike_Log!$A:$A,"&gt;="&amp;IF(Config!$B$1004="Y",TODAY()-Config!$B$1005,DATE(1900,1,1)),Strike_Log!$I:$I,1))))</f>
        <v/>
      </c>
      <c r="Q746" s="1"/>
      <c r="R746" s="1"/>
      <c r="S746" s="1" t="str">
        <f>IF(A746="","",COUNTIFS(Assignments!$B:$B,A746,Assignments!$AE:$AE, "Y",Assignments!$D:$D,"&gt;="&amp;TODAY()-30))</f>
        <v/>
      </c>
      <c r="T746" s="1" t="str">
        <f>IF(A746="","",COUNTIFS(Assignments!$AF:$AF,A746,Assignments!$AE:$AE, "Y",Assignments!$D:$D,"&gt;="&amp;TODAY()-30))</f>
        <v/>
      </c>
      <c r="U746" s="1" t="str">
        <f>IF(A746="","",IFERROR(S746/MAX(1,COUNTIFS(Assignments!$B:$B,A746,Assignments!$D:$D,"&gt;="&amp;TODAY()-30)),""))</f>
        <v/>
      </c>
      <c r="V746" s="1" t="str">
        <f t="shared" si="4"/>
        <v/>
      </c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 t="str">
        <f>IF(A747="","",IFERROR(AVERAGEIFS(Assignments!$AO:$AO,Assignments!$B:$B,A747,Assignments!$E:$E,"Completed"),""))</f>
        <v/>
      </c>
      <c r="L747" s="2"/>
      <c r="M747" s="2"/>
      <c r="N747" s="2"/>
      <c r="O747" s="2"/>
      <c r="P747" s="1" t="str">
        <f>IF(A747="","",MAX(0,MIN(3,SUMIFS(Strike_Log!$C:$C,Strike_Log!$B:$B,A747,Strike_Log!$A:$A,"&gt;="&amp;IF(Config!$B$1004="Y",TODAY()-Config!$B$1005,DATE(1900,1,1)),Strike_Log!$I:$I,1))))</f>
        <v/>
      </c>
      <c r="Q747" s="1"/>
      <c r="R747" s="1"/>
      <c r="S747" s="1" t="str">
        <f>IF(A747="","",COUNTIFS(Assignments!$B:$B,A747,Assignments!$AE:$AE, "Y",Assignments!$D:$D,"&gt;="&amp;TODAY()-30))</f>
        <v/>
      </c>
      <c r="T747" s="1" t="str">
        <f>IF(A747="","",COUNTIFS(Assignments!$AF:$AF,A747,Assignments!$AE:$AE, "Y",Assignments!$D:$D,"&gt;="&amp;TODAY()-30))</f>
        <v/>
      </c>
      <c r="U747" s="1" t="str">
        <f>IF(A747="","",IFERROR(S747/MAX(1,COUNTIFS(Assignments!$B:$B,A747,Assignments!$D:$D,"&gt;="&amp;TODAY()-30)),""))</f>
        <v/>
      </c>
      <c r="V747" s="1" t="str">
        <f t="shared" si="4"/>
        <v/>
      </c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 t="str">
        <f>IF(A748="","",IFERROR(AVERAGEIFS(Assignments!$AO:$AO,Assignments!$B:$B,A748,Assignments!$E:$E,"Completed"),""))</f>
        <v/>
      </c>
      <c r="L748" s="2"/>
      <c r="M748" s="2"/>
      <c r="N748" s="2"/>
      <c r="O748" s="2"/>
      <c r="P748" s="1" t="str">
        <f>IF(A748="","",MAX(0,MIN(3,SUMIFS(Strike_Log!$C:$C,Strike_Log!$B:$B,A748,Strike_Log!$A:$A,"&gt;="&amp;IF(Config!$B$1004="Y",TODAY()-Config!$B$1005,DATE(1900,1,1)),Strike_Log!$I:$I,1))))</f>
        <v/>
      </c>
      <c r="Q748" s="1"/>
      <c r="R748" s="1"/>
      <c r="S748" s="1" t="str">
        <f>IF(A748="","",COUNTIFS(Assignments!$B:$B,A748,Assignments!$AE:$AE, "Y",Assignments!$D:$D,"&gt;="&amp;TODAY()-30))</f>
        <v/>
      </c>
      <c r="T748" s="1" t="str">
        <f>IF(A748="","",COUNTIFS(Assignments!$AF:$AF,A748,Assignments!$AE:$AE, "Y",Assignments!$D:$D,"&gt;="&amp;TODAY()-30))</f>
        <v/>
      </c>
      <c r="U748" s="1" t="str">
        <f>IF(A748="","",IFERROR(S748/MAX(1,COUNTIFS(Assignments!$B:$B,A748,Assignments!$D:$D,"&gt;="&amp;TODAY()-30)),""))</f>
        <v/>
      </c>
      <c r="V748" s="1" t="str">
        <f t="shared" si="4"/>
        <v/>
      </c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 t="str">
        <f>IF(A749="","",IFERROR(AVERAGEIFS(Assignments!$AO:$AO,Assignments!$B:$B,A749,Assignments!$E:$E,"Completed"),""))</f>
        <v/>
      </c>
      <c r="L749" s="2"/>
      <c r="M749" s="2"/>
      <c r="N749" s="2"/>
      <c r="O749" s="2"/>
      <c r="P749" s="1" t="str">
        <f>IF(A749="","",MAX(0,MIN(3,SUMIFS(Strike_Log!$C:$C,Strike_Log!$B:$B,A749,Strike_Log!$A:$A,"&gt;="&amp;IF(Config!$B$1004="Y",TODAY()-Config!$B$1005,DATE(1900,1,1)),Strike_Log!$I:$I,1))))</f>
        <v/>
      </c>
      <c r="Q749" s="1"/>
      <c r="R749" s="1"/>
      <c r="S749" s="1" t="str">
        <f>IF(A749="","",COUNTIFS(Assignments!$B:$B,A749,Assignments!$AE:$AE, "Y",Assignments!$D:$D,"&gt;="&amp;TODAY()-30))</f>
        <v/>
      </c>
      <c r="T749" s="1" t="str">
        <f>IF(A749="","",COUNTIFS(Assignments!$AF:$AF,A749,Assignments!$AE:$AE, "Y",Assignments!$D:$D,"&gt;="&amp;TODAY()-30))</f>
        <v/>
      </c>
      <c r="U749" s="1" t="str">
        <f>IF(A749="","",IFERROR(S749/MAX(1,COUNTIFS(Assignments!$B:$B,A749,Assignments!$D:$D,"&gt;="&amp;TODAY()-30)),""))</f>
        <v/>
      </c>
      <c r="V749" s="1" t="str">
        <f t="shared" si="4"/>
        <v/>
      </c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 t="str">
        <f>IF(A750="","",IFERROR(AVERAGEIFS(Assignments!$AO:$AO,Assignments!$B:$B,A750,Assignments!$E:$E,"Completed"),""))</f>
        <v/>
      </c>
      <c r="L750" s="2"/>
      <c r="M750" s="2"/>
      <c r="N750" s="2"/>
      <c r="O750" s="2"/>
      <c r="P750" s="1" t="str">
        <f>IF(A750="","",MAX(0,MIN(3,SUMIFS(Strike_Log!$C:$C,Strike_Log!$B:$B,A750,Strike_Log!$A:$A,"&gt;="&amp;IF(Config!$B$1004="Y",TODAY()-Config!$B$1005,DATE(1900,1,1)),Strike_Log!$I:$I,1))))</f>
        <v/>
      </c>
      <c r="Q750" s="1"/>
      <c r="R750" s="1"/>
      <c r="S750" s="1" t="str">
        <f>IF(A750="","",COUNTIFS(Assignments!$B:$B,A750,Assignments!$AE:$AE, "Y",Assignments!$D:$D,"&gt;="&amp;TODAY()-30))</f>
        <v/>
      </c>
      <c r="T750" s="1" t="str">
        <f>IF(A750="","",COUNTIFS(Assignments!$AF:$AF,A750,Assignments!$AE:$AE, "Y",Assignments!$D:$D,"&gt;="&amp;TODAY()-30))</f>
        <v/>
      </c>
      <c r="U750" s="1" t="str">
        <f>IF(A750="","",IFERROR(S750/MAX(1,COUNTIFS(Assignments!$B:$B,A750,Assignments!$D:$D,"&gt;="&amp;TODAY()-30)),""))</f>
        <v/>
      </c>
      <c r="V750" s="1" t="str">
        <f t="shared" si="4"/>
        <v/>
      </c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 t="str">
        <f>IF(A751="","",IFERROR(AVERAGEIFS(Assignments!$AO:$AO,Assignments!$B:$B,A751,Assignments!$E:$E,"Completed"),""))</f>
        <v/>
      </c>
      <c r="L751" s="2"/>
      <c r="M751" s="2"/>
      <c r="N751" s="2"/>
      <c r="O751" s="2"/>
      <c r="P751" s="1" t="str">
        <f>IF(A751="","",MAX(0,MIN(3,SUMIFS(Strike_Log!$C:$C,Strike_Log!$B:$B,A751,Strike_Log!$A:$A,"&gt;="&amp;IF(Config!$B$1004="Y",TODAY()-Config!$B$1005,DATE(1900,1,1)),Strike_Log!$I:$I,1))))</f>
        <v/>
      </c>
      <c r="Q751" s="1"/>
      <c r="R751" s="1"/>
      <c r="S751" s="1" t="str">
        <f>IF(A751="","",COUNTIFS(Assignments!$B:$B,A751,Assignments!$AE:$AE, "Y",Assignments!$D:$D,"&gt;="&amp;TODAY()-30))</f>
        <v/>
      </c>
      <c r="T751" s="1" t="str">
        <f>IF(A751="","",COUNTIFS(Assignments!$AF:$AF,A751,Assignments!$AE:$AE, "Y",Assignments!$D:$D,"&gt;="&amp;TODAY()-30))</f>
        <v/>
      </c>
      <c r="U751" s="1" t="str">
        <f>IF(A751="","",IFERROR(S751/MAX(1,COUNTIFS(Assignments!$B:$B,A751,Assignments!$D:$D,"&gt;="&amp;TODAY()-30)),""))</f>
        <v/>
      </c>
      <c r="V751" s="1" t="str">
        <f t="shared" si="4"/>
        <v/>
      </c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 t="str">
        <f>IF(A752="","",IFERROR(AVERAGEIFS(Assignments!$AO:$AO,Assignments!$B:$B,A752,Assignments!$E:$E,"Completed"),""))</f>
        <v/>
      </c>
      <c r="L752" s="2"/>
      <c r="M752" s="2"/>
      <c r="N752" s="2"/>
      <c r="O752" s="2"/>
      <c r="P752" s="1" t="str">
        <f>IF(A752="","",MAX(0,MIN(3,SUMIFS(Strike_Log!$C:$C,Strike_Log!$B:$B,A752,Strike_Log!$A:$A,"&gt;="&amp;IF(Config!$B$1004="Y",TODAY()-Config!$B$1005,DATE(1900,1,1)),Strike_Log!$I:$I,1))))</f>
        <v/>
      </c>
      <c r="Q752" s="1"/>
      <c r="R752" s="1"/>
      <c r="S752" s="1" t="str">
        <f>IF(A752="","",COUNTIFS(Assignments!$B:$B,A752,Assignments!$AE:$AE, "Y",Assignments!$D:$D,"&gt;="&amp;TODAY()-30))</f>
        <v/>
      </c>
      <c r="T752" s="1" t="str">
        <f>IF(A752="","",COUNTIFS(Assignments!$AF:$AF,A752,Assignments!$AE:$AE, "Y",Assignments!$D:$D,"&gt;="&amp;TODAY()-30))</f>
        <v/>
      </c>
      <c r="U752" s="1" t="str">
        <f>IF(A752="","",IFERROR(S752/MAX(1,COUNTIFS(Assignments!$B:$B,A752,Assignments!$D:$D,"&gt;="&amp;TODAY()-30)),""))</f>
        <v/>
      </c>
      <c r="V752" s="1" t="str">
        <f t="shared" si="4"/>
        <v/>
      </c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 t="str">
        <f>IF(A753="","",IFERROR(AVERAGEIFS(Assignments!$AO:$AO,Assignments!$B:$B,A753,Assignments!$E:$E,"Completed"),""))</f>
        <v/>
      </c>
      <c r="L753" s="2"/>
      <c r="M753" s="2"/>
      <c r="N753" s="2"/>
      <c r="O753" s="2"/>
      <c r="P753" s="1" t="str">
        <f>IF(A753="","",MAX(0,MIN(3,SUMIFS(Strike_Log!$C:$C,Strike_Log!$B:$B,A753,Strike_Log!$A:$A,"&gt;="&amp;IF(Config!$B$1004="Y",TODAY()-Config!$B$1005,DATE(1900,1,1)),Strike_Log!$I:$I,1))))</f>
        <v/>
      </c>
      <c r="Q753" s="1"/>
      <c r="R753" s="1"/>
      <c r="S753" s="1" t="str">
        <f>IF(A753="","",COUNTIFS(Assignments!$B:$B,A753,Assignments!$AE:$AE, "Y",Assignments!$D:$D,"&gt;="&amp;TODAY()-30))</f>
        <v/>
      </c>
      <c r="T753" s="1" t="str">
        <f>IF(A753="","",COUNTIFS(Assignments!$AF:$AF,A753,Assignments!$AE:$AE, "Y",Assignments!$D:$D,"&gt;="&amp;TODAY()-30))</f>
        <v/>
      </c>
      <c r="U753" s="1" t="str">
        <f>IF(A753="","",IFERROR(S753/MAX(1,COUNTIFS(Assignments!$B:$B,A753,Assignments!$D:$D,"&gt;="&amp;TODAY()-30)),""))</f>
        <v/>
      </c>
      <c r="V753" s="1" t="str">
        <f t="shared" si="4"/>
        <v/>
      </c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 t="str">
        <f>IF(A754="","",IFERROR(AVERAGEIFS(Assignments!$AO:$AO,Assignments!$B:$B,A754,Assignments!$E:$E,"Completed"),""))</f>
        <v/>
      </c>
      <c r="L754" s="2"/>
      <c r="M754" s="2"/>
      <c r="N754" s="2"/>
      <c r="O754" s="2"/>
      <c r="P754" s="1" t="str">
        <f>IF(A754="","",MAX(0,MIN(3,SUMIFS(Strike_Log!$C:$C,Strike_Log!$B:$B,A754,Strike_Log!$A:$A,"&gt;="&amp;IF(Config!$B$1004="Y",TODAY()-Config!$B$1005,DATE(1900,1,1)),Strike_Log!$I:$I,1))))</f>
        <v/>
      </c>
      <c r="Q754" s="1"/>
      <c r="R754" s="1"/>
      <c r="S754" s="1" t="str">
        <f>IF(A754="","",COUNTIFS(Assignments!$B:$B,A754,Assignments!$AE:$AE, "Y",Assignments!$D:$D,"&gt;="&amp;TODAY()-30))</f>
        <v/>
      </c>
      <c r="T754" s="1" t="str">
        <f>IF(A754="","",COUNTIFS(Assignments!$AF:$AF,A754,Assignments!$AE:$AE, "Y",Assignments!$D:$D,"&gt;="&amp;TODAY()-30))</f>
        <v/>
      </c>
      <c r="U754" s="1" t="str">
        <f>IF(A754="","",IFERROR(S754/MAX(1,COUNTIFS(Assignments!$B:$B,A754,Assignments!$D:$D,"&gt;="&amp;TODAY()-30)),""))</f>
        <v/>
      </c>
      <c r="V754" s="1" t="str">
        <f t="shared" si="4"/>
        <v/>
      </c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 t="str">
        <f>IF(A755="","",IFERROR(AVERAGEIFS(Assignments!$AO:$AO,Assignments!$B:$B,A755,Assignments!$E:$E,"Completed"),""))</f>
        <v/>
      </c>
      <c r="L755" s="2"/>
      <c r="M755" s="2"/>
      <c r="N755" s="2"/>
      <c r="O755" s="2"/>
      <c r="P755" s="1" t="str">
        <f>IF(A755="","",MAX(0,MIN(3,SUMIFS(Strike_Log!$C:$C,Strike_Log!$B:$B,A755,Strike_Log!$A:$A,"&gt;="&amp;IF(Config!$B$1004="Y",TODAY()-Config!$B$1005,DATE(1900,1,1)),Strike_Log!$I:$I,1))))</f>
        <v/>
      </c>
      <c r="Q755" s="1"/>
      <c r="R755" s="1"/>
      <c r="S755" s="1" t="str">
        <f>IF(A755="","",COUNTIFS(Assignments!$B:$B,A755,Assignments!$AE:$AE, "Y",Assignments!$D:$D,"&gt;="&amp;TODAY()-30))</f>
        <v/>
      </c>
      <c r="T755" s="1" t="str">
        <f>IF(A755="","",COUNTIFS(Assignments!$AF:$AF,A755,Assignments!$AE:$AE, "Y",Assignments!$D:$D,"&gt;="&amp;TODAY()-30))</f>
        <v/>
      </c>
      <c r="U755" s="1" t="str">
        <f>IF(A755="","",IFERROR(S755/MAX(1,COUNTIFS(Assignments!$B:$B,A755,Assignments!$D:$D,"&gt;="&amp;TODAY()-30)),""))</f>
        <v/>
      </c>
      <c r="V755" s="1" t="str">
        <f t="shared" si="4"/>
        <v/>
      </c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 t="str">
        <f>IF(A756="","",IFERROR(AVERAGEIFS(Assignments!$AO:$AO,Assignments!$B:$B,A756,Assignments!$E:$E,"Completed"),""))</f>
        <v/>
      </c>
      <c r="L756" s="2"/>
      <c r="M756" s="2"/>
      <c r="N756" s="2"/>
      <c r="O756" s="2"/>
      <c r="P756" s="1" t="str">
        <f>IF(A756="","",MAX(0,MIN(3,SUMIFS(Strike_Log!$C:$C,Strike_Log!$B:$B,A756,Strike_Log!$A:$A,"&gt;="&amp;IF(Config!$B$1004="Y",TODAY()-Config!$B$1005,DATE(1900,1,1)),Strike_Log!$I:$I,1))))</f>
        <v/>
      </c>
      <c r="Q756" s="1"/>
      <c r="R756" s="1"/>
      <c r="S756" s="1" t="str">
        <f>IF(A756="","",COUNTIFS(Assignments!$B:$B,A756,Assignments!$AE:$AE, "Y",Assignments!$D:$D,"&gt;="&amp;TODAY()-30))</f>
        <v/>
      </c>
      <c r="T756" s="1" t="str">
        <f>IF(A756="","",COUNTIFS(Assignments!$AF:$AF,A756,Assignments!$AE:$AE, "Y",Assignments!$D:$D,"&gt;="&amp;TODAY()-30))</f>
        <v/>
      </c>
      <c r="U756" s="1" t="str">
        <f>IF(A756="","",IFERROR(S756/MAX(1,COUNTIFS(Assignments!$B:$B,A756,Assignments!$D:$D,"&gt;="&amp;TODAY()-30)),""))</f>
        <v/>
      </c>
      <c r="V756" s="1" t="str">
        <f t="shared" si="4"/>
        <v/>
      </c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 t="str">
        <f>IF(A757="","",IFERROR(AVERAGEIFS(Assignments!$AO:$AO,Assignments!$B:$B,A757,Assignments!$E:$E,"Completed"),""))</f>
        <v/>
      </c>
      <c r="L757" s="2"/>
      <c r="M757" s="2"/>
      <c r="N757" s="2"/>
      <c r="O757" s="2"/>
      <c r="P757" s="1" t="str">
        <f>IF(A757="","",MAX(0,MIN(3,SUMIFS(Strike_Log!$C:$C,Strike_Log!$B:$B,A757,Strike_Log!$A:$A,"&gt;="&amp;IF(Config!$B$1004="Y",TODAY()-Config!$B$1005,DATE(1900,1,1)),Strike_Log!$I:$I,1))))</f>
        <v/>
      </c>
      <c r="Q757" s="1"/>
      <c r="R757" s="1"/>
      <c r="S757" s="1" t="str">
        <f>IF(A757="","",COUNTIFS(Assignments!$B:$B,A757,Assignments!$AE:$AE, "Y",Assignments!$D:$D,"&gt;="&amp;TODAY()-30))</f>
        <v/>
      </c>
      <c r="T757" s="1" t="str">
        <f>IF(A757="","",COUNTIFS(Assignments!$AF:$AF,A757,Assignments!$AE:$AE, "Y",Assignments!$D:$D,"&gt;="&amp;TODAY()-30))</f>
        <v/>
      </c>
      <c r="U757" s="1" t="str">
        <f>IF(A757="","",IFERROR(S757/MAX(1,COUNTIFS(Assignments!$B:$B,A757,Assignments!$D:$D,"&gt;="&amp;TODAY()-30)),""))</f>
        <v/>
      </c>
      <c r="V757" s="1" t="str">
        <f t="shared" si="4"/>
        <v/>
      </c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 t="str">
        <f>IF(A758="","",IFERROR(AVERAGEIFS(Assignments!$AO:$AO,Assignments!$B:$B,A758,Assignments!$E:$E,"Completed"),""))</f>
        <v/>
      </c>
      <c r="L758" s="2"/>
      <c r="M758" s="2"/>
      <c r="N758" s="2"/>
      <c r="O758" s="2"/>
      <c r="P758" s="1" t="str">
        <f>IF(A758="","",MAX(0,MIN(3,SUMIFS(Strike_Log!$C:$C,Strike_Log!$B:$B,A758,Strike_Log!$A:$A,"&gt;="&amp;IF(Config!$B$1004="Y",TODAY()-Config!$B$1005,DATE(1900,1,1)),Strike_Log!$I:$I,1))))</f>
        <v/>
      </c>
      <c r="Q758" s="1"/>
      <c r="R758" s="1"/>
      <c r="S758" s="1" t="str">
        <f>IF(A758="","",COUNTIFS(Assignments!$B:$B,A758,Assignments!$AE:$AE, "Y",Assignments!$D:$D,"&gt;="&amp;TODAY()-30))</f>
        <v/>
      </c>
      <c r="T758" s="1" t="str">
        <f>IF(A758="","",COUNTIFS(Assignments!$AF:$AF,A758,Assignments!$AE:$AE, "Y",Assignments!$D:$D,"&gt;="&amp;TODAY()-30))</f>
        <v/>
      </c>
      <c r="U758" s="1" t="str">
        <f>IF(A758="","",IFERROR(S758/MAX(1,COUNTIFS(Assignments!$B:$B,A758,Assignments!$D:$D,"&gt;="&amp;TODAY()-30)),""))</f>
        <v/>
      </c>
      <c r="V758" s="1" t="str">
        <f t="shared" si="4"/>
        <v/>
      </c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 t="str">
        <f>IF(A759="","",IFERROR(AVERAGEIFS(Assignments!$AO:$AO,Assignments!$B:$B,A759,Assignments!$E:$E,"Completed"),""))</f>
        <v/>
      </c>
      <c r="L759" s="2"/>
      <c r="M759" s="2"/>
      <c r="N759" s="2"/>
      <c r="O759" s="2"/>
      <c r="P759" s="1" t="str">
        <f>IF(A759="","",MAX(0,MIN(3,SUMIFS(Strike_Log!$C:$C,Strike_Log!$B:$B,A759,Strike_Log!$A:$A,"&gt;="&amp;IF(Config!$B$1004="Y",TODAY()-Config!$B$1005,DATE(1900,1,1)),Strike_Log!$I:$I,1))))</f>
        <v/>
      </c>
      <c r="Q759" s="1"/>
      <c r="R759" s="1"/>
      <c r="S759" s="1" t="str">
        <f>IF(A759="","",COUNTIFS(Assignments!$B:$B,A759,Assignments!$AE:$AE, "Y",Assignments!$D:$D,"&gt;="&amp;TODAY()-30))</f>
        <v/>
      </c>
      <c r="T759" s="1" t="str">
        <f>IF(A759="","",COUNTIFS(Assignments!$AF:$AF,A759,Assignments!$AE:$AE, "Y",Assignments!$D:$D,"&gt;="&amp;TODAY()-30))</f>
        <v/>
      </c>
      <c r="U759" s="1" t="str">
        <f>IF(A759="","",IFERROR(S759/MAX(1,COUNTIFS(Assignments!$B:$B,A759,Assignments!$D:$D,"&gt;="&amp;TODAY()-30)),""))</f>
        <v/>
      </c>
      <c r="V759" s="1" t="str">
        <f t="shared" si="4"/>
        <v/>
      </c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 t="str">
        <f>IF(A760="","",IFERROR(AVERAGEIFS(Assignments!$AO:$AO,Assignments!$B:$B,A760,Assignments!$E:$E,"Completed"),""))</f>
        <v/>
      </c>
      <c r="L760" s="2"/>
      <c r="M760" s="2"/>
      <c r="N760" s="2"/>
      <c r="O760" s="2"/>
      <c r="P760" s="1" t="str">
        <f>IF(A760="","",MAX(0,MIN(3,SUMIFS(Strike_Log!$C:$C,Strike_Log!$B:$B,A760,Strike_Log!$A:$A,"&gt;="&amp;IF(Config!$B$1004="Y",TODAY()-Config!$B$1005,DATE(1900,1,1)),Strike_Log!$I:$I,1))))</f>
        <v/>
      </c>
      <c r="Q760" s="1"/>
      <c r="R760" s="1"/>
      <c r="S760" s="1" t="str">
        <f>IF(A760="","",COUNTIFS(Assignments!$B:$B,A760,Assignments!$AE:$AE, "Y",Assignments!$D:$D,"&gt;="&amp;TODAY()-30))</f>
        <v/>
      </c>
      <c r="T760" s="1" t="str">
        <f>IF(A760="","",COUNTIFS(Assignments!$AF:$AF,A760,Assignments!$AE:$AE, "Y",Assignments!$D:$D,"&gt;="&amp;TODAY()-30))</f>
        <v/>
      </c>
      <c r="U760" s="1" t="str">
        <f>IF(A760="","",IFERROR(S760/MAX(1,COUNTIFS(Assignments!$B:$B,A760,Assignments!$D:$D,"&gt;="&amp;TODAY()-30)),""))</f>
        <v/>
      </c>
      <c r="V760" s="1" t="str">
        <f t="shared" si="4"/>
        <v/>
      </c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 t="str">
        <f>IF(A761="","",IFERROR(AVERAGEIFS(Assignments!$AO:$AO,Assignments!$B:$B,A761,Assignments!$E:$E,"Completed"),""))</f>
        <v/>
      </c>
      <c r="L761" s="2"/>
      <c r="M761" s="2"/>
      <c r="N761" s="2"/>
      <c r="O761" s="2"/>
      <c r="P761" s="1" t="str">
        <f>IF(A761="","",MAX(0,MIN(3,SUMIFS(Strike_Log!$C:$C,Strike_Log!$B:$B,A761,Strike_Log!$A:$A,"&gt;="&amp;IF(Config!$B$1004="Y",TODAY()-Config!$B$1005,DATE(1900,1,1)),Strike_Log!$I:$I,1))))</f>
        <v/>
      </c>
      <c r="Q761" s="1"/>
      <c r="R761" s="1"/>
      <c r="S761" s="1" t="str">
        <f>IF(A761="","",COUNTIFS(Assignments!$B:$B,A761,Assignments!$AE:$AE, "Y",Assignments!$D:$D,"&gt;="&amp;TODAY()-30))</f>
        <v/>
      </c>
      <c r="T761" s="1" t="str">
        <f>IF(A761="","",COUNTIFS(Assignments!$AF:$AF,A761,Assignments!$AE:$AE, "Y",Assignments!$D:$D,"&gt;="&amp;TODAY()-30))</f>
        <v/>
      </c>
      <c r="U761" s="1" t="str">
        <f>IF(A761="","",IFERROR(S761/MAX(1,COUNTIFS(Assignments!$B:$B,A761,Assignments!$D:$D,"&gt;="&amp;TODAY()-30)),""))</f>
        <v/>
      </c>
      <c r="V761" s="1" t="str">
        <f t="shared" si="4"/>
        <v/>
      </c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 t="str">
        <f>IF(A762="","",IFERROR(AVERAGEIFS(Assignments!$AO:$AO,Assignments!$B:$B,A762,Assignments!$E:$E,"Completed"),""))</f>
        <v/>
      </c>
      <c r="L762" s="2"/>
      <c r="M762" s="2"/>
      <c r="N762" s="2"/>
      <c r="O762" s="2"/>
      <c r="P762" s="1" t="str">
        <f>IF(A762="","",MAX(0,MIN(3,SUMIFS(Strike_Log!$C:$C,Strike_Log!$B:$B,A762,Strike_Log!$A:$A,"&gt;="&amp;IF(Config!$B$1004="Y",TODAY()-Config!$B$1005,DATE(1900,1,1)),Strike_Log!$I:$I,1))))</f>
        <v/>
      </c>
      <c r="Q762" s="1"/>
      <c r="R762" s="1"/>
      <c r="S762" s="1" t="str">
        <f>IF(A762="","",COUNTIFS(Assignments!$B:$B,A762,Assignments!$AE:$AE, "Y",Assignments!$D:$D,"&gt;="&amp;TODAY()-30))</f>
        <v/>
      </c>
      <c r="T762" s="1" t="str">
        <f>IF(A762="","",COUNTIFS(Assignments!$AF:$AF,A762,Assignments!$AE:$AE, "Y",Assignments!$D:$D,"&gt;="&amp;TODAY()-30))</f>
        <v/>
      </c>
      <c r="U762" s="1" t="str">
        <f>IF(A762="","",IFERROR(S762/MAX(1,COUNTIFS(Assignments!$B:$B,A762,Assignments!$D:$D,"&gt;="&amp;TODAY()-30)),""))</f>
        <v/>
      </c>
      <c r="V762" s="1" t="str">
        <f t="shared" si="4"/>
        <v/>
      </c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 t="str">
        <f>IF(A763="","",IFERROR(AVERAGEIFS(Assignments!$AO:$AO,Assignments!$B:$B,A763,Assignments!$E:$E,"Completed"),""))</f>
        <v/>
      </c>
      <c r="L763" s="2"/>
      <c r="M763" s="2"/>
      <c r="N763" s="2"/>
      <c r="O763" s="2"/>
      <c r="P763" s="1" t="str">
        <f>IF(A763="","",MAX(0,MIN(3,SUMIFS(Strike_Log!$C:$C,Strike_Log!$B:$B,A763,Strike_Log!$A:$A,"&gt;="&amp;IF(Config!$B$1004="Y",TODAY()-Config!$B$1005,DATE(1900,1,1)),Strike_Log!$I:$I,1))))</f>
        <v/>
      </c>
      <c r="Q763" s="1"/>
      <c r="R763" s="1"/>
      <c r="S763" s="1" t="str">
        <f>IF(A763="","",COUNTIFS(Assignments!$B:$B,A763,Assignments!$AE:$AE, "Y",Assignments!$D:$D,"&gt;="&amp;TODAY()-30))</f>
        <v/>
      </c>
      <c r="T763" s="1" t="str">
        <f>IF(A763="","",COUNTIFS(Assignments!$AF:$AF,A763,Assignments!$AE:$AE, "Y",Assignments!$D:$D,"&gt;="&amp;TODAY()-30))</f>
        <v/>
      </c>
      <c r="U763" s="1" t="str">
        <f>IF(A763="","",IFERROR(S763/MAX(1,COUNTIFS(Assignments!$B:$B,A763,Assignments!$D:$D,"&gt;="&amp;TODAY()-30)),""))</f>
        <v/>
      </c>
      <c r="V763" s="1" t="str">
        <f t="shared" si="4"/>
        <v/>
      </c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 t="str">
        <f>IF(A764="","",IFERROR(AVERAGEIFS(Assignments!$AO:$AO,Assignments!$B:$B,A764,Assignments!$E:$E,"Completed"),""))</f>
        <v/>
      </c>
      <c r="L764" s="2"/>
      <c r="M764" s="2"/>
      <c r="N764" s="2"/>
      <c r="O764" s="2"/>
      <c r="P764" s="1" t="str">
        <f>IF(A764="","",MAX(0,MIN(3,SUMIFS(Strike_Log!$C:$C,Strike_Log!$B:$B,A764,Strike_Log!$A:$A,"&gt;="&amp;IF(Config!$B$1004="Y",TODAY()-Config!$B$1005,DATE(1900,1,1)),Strike_Log!$I:$I,1))))</f>
        <v/>
      </c>
      <c r="Q764" s="1"/>
      <c r="R764" s="1"/>
      <c r="S764" s="1" t="str">
        <f>IF(A764="","",COUNTIFS(Assignments!$B:$B,A764,Assignments!$AE:$AE, "Y",Assignments!$D:$D,"&gt;="&amp;TODAY()-30))</f>
        <v/>
      </c>
      <c r="T764" s="1" t="str">
        <f>IF(A764="","",COUNTIFS(Assignments!$AF:$AF,A764,Assignments!$AE:$AE, "Y",Assignments!$D:$D,"&gt;="&amp;TODAY()-30))</f>
        <v/>
      </c>
      <c r="U764" s="1" t="str">
        <f>IF(A764="","",IFERROR(S764/MAX(1,COUNTIFS(Assignments!$B:$B,A764,Assignments!$D:$D,"&gt;="&amp;TODAY()-30)),""))</f>
        <v/>
      </c>
      <c r="V764" s="1" t="str">
        <f t="shared" si="4"/>
        <v/>
      </c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 t="str">
        <f>IF(A765="","",IFERROR(AVERAGEIFS(Assignments!$AO:$AO,Assignments!$B:$B,A765,Assignments!$E:$E,"Completed"),""))</f>
        <v/>
      </c>
      <c r="L765" s="2"/>
      <c r="M765" s="2"/>
      <c r="N765" s="2"/>
      <c r="O765" s="2"/>
      <c r="P765" s="1" t="str">
        <f>IF(A765="","",MAX(0,MIN(3,SUMIFS(Strike_Log!$C:$C,Strike_Log!$B:$B,A765,Strike_Log!$A:$A,"&gt;="&amp;IF(Config!$B$1004="Y",TODAY()-Config!$B$1005,DATE(1900,1,1)),Strike_Log!$I:$I,1))))</f>
        <v/>
      </c>
      <c r="Q765" s="1"/>
      <c r="R765" s="1"/>
      <c r="S765" s="1" t="str">
        <f>IF(A765="","",COUNTIFS(Assignments!$B:$B,A765,Assignments!$AE:$AE, "Y",Assignments!$D:$D,"&gt;="&amp;TODAY()-30))</f>
        <v/>
      </c>
      <c r="T765" s="1" t="str">
        <f>IF(A765="","",COUNTIFS(Assignments!$AF:$AF,A765,Assignments!$AE:$AE, "Y",Assignments!$D:$D,"&gt;="&amp;TODAY()-30))</f>
        <v/>
      </c>
      <c r="U765" s="1" t="str">
        <f>IF(A765="","",IFERROR(S765/MAX(1,COUNTIFS(Assignments!$B:$B,A765,Assignments!$D:$D,"&gt;="&amp;TODAY()-30)),""))</f>
        <v/>
      </c>
      <c r="V765" s="1" t="str">
        <f t="shared" si="4"/>
        <v/>
      </c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 t="str">
        <f>IF(A766="","",IFERROR(AVERAGEIFS(Assignments!$AO:$AO,Assignments!$B:$B,A766,Assignments!$E:$E,"Completed"),""))</f>
        <v/>
      </c>
      <c r="L766" s="2"/>
      <c r="M766" s="2"/>
      <c r="N766" s="2"/>
      <c r="O766" s="2"/>
      <c r="P766" s="1" t="str">
        <f>IF(A766="","",MAX(0,MIN(3,SUMIFS(Strike_Log!$C:$C,Strike_Log!$B:$B,A766,Strike_Log!$A:$A,"&gt;="&amp;IF(Config!$B$1004="Y",TODAY()-Config!$B$1005,DATE(1900,1,1)),Strike_Log!$I:$I,1))))</f>
        <v/>
      </c>
      <c r="Q766" s="1"/>
      <c r="R766" s="1"/>
      <c r="S766" s="1" t="str">
        <f>IF(A766="","",COUNTIFS(Assignments!$B:$B,A766,Assignments!$AE:$AE, "Y",Assignments!$D:$D,"&gt;="&amp;TODAY()-30))</f>
        <v/>
      </c>
      <c r="T766" s="1" t="str">
        <f>IF(A766="","",COUNTIFS(Assignments!$AF:$AF,A766,Assignments!$AE:$AE, "Y",Assignments!$D:$D,"&gt;="&amp;TODAY()-30))</f>
        <v/>
      </c>
      <c r="U766" s="1" t="str">
        <f>IF(A766="","",IFERROR(S766/MAX(1,COUNTIFS(Assignments!$B:$B,A766,Assignments!$D:$D,"&gt;="&amp;TODAY()-30)),""))</f>
        <v/>
      </c>
      <c r="V766" s="1" t="str">
        <f t="shared" si="4"/>
        <v/>
      </c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 t="str">
        <f>IF(A767="","",IFERROR(AVERAGEIFS(Assignments!$AO:$AO,Assignments!$B:$B,A767,Assignments!$E:$E,"Completed"),""))</f>
        <v/>
      </c>
      <c r="L767" s="2"/>
      <c r="M767" s="2"/>
      <c r="N767" s="2"/>
      <c r="O767" s="2"/>
      <c r="P767" s="1" t="str">
        <f>IF(A767="","",MAX(0,MIN(3,SUMIFS(Strike_Log!$C:$C,Strike_Log!$B:$B,A767,Strike_Log!$A:$A,"&gt;="&amp;IF(Config!$B$1004="Y",TODAY()-Config!$B$1005,DATE(1900,1,1)),Strike_Log!$I:$I,1))))</f>
        <v/>
      </c>
      <c r="Q767" s="1"/>
      <c r="R767" s="1"/>
      <c r="S767" s="1" t="str">
        <f>IF(A767="","",COUNTIFS(Assignments!$B:$B,A767,Assignments!$AE:$AE, "Y",Assignments!$D:$D,"&gt;="&amp;TODAY()-30))</f>
        <v/>
      </c>
      <c r="T767" s="1" t="str">
        <f>IF(A767="","",COUNTIFS(Assignments!$AF:$AF,A767,Assignments!$AE:$AE, "Y",Assignments!$D:$D,"&gt;="&amp;TODAY()-30))</f>
        <v/>
      </c>
      <c r="U767" s="1" t="str">
        <f>IF(A767="","",IFERROR(S767/MAX(1,COUNTIFS(Assignments!$B:$B,A767,Assignments!$D:$D,"&gt;="&amp;TODAY()-30)),""))</f>
        <v/>
      </c>
      <c r="V767" s="1" t="str">
        <f t="shared" si="4"/>
        <v/>
      </c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 t="str">
        <f>IF(A768="","",IFERROR(AVERAGEIFS(Assignments!$AO:$AO,Assignments!$B:$B,A768,Assignments!$E:$E,"Completed"),""))</f>
        <v/>
      </c>
      <c r="L768" s="2"/>
      <c r="M768" s="2"/>
      <c r="N768" s="2"/>
      <c r="O768" s="2"/>
      <c r="P768" s="1" t="str">
        <f>IF(A768="","",MAX(0,MIN(3,SUMIFS(Strike_Log!$C:$C,Strike_Log!$B:$B,A768,Strike_Log!$A:$A,"&gt;="&amp;IF(Config!$B$1004="Y",TODAY()-Config!$B$1005,DATE(1900,1,1)),Strike_Log!$I:$I,1))))</f>
        <v/>
      </c>
      <c r="Q768" s="1"/>
      <c r="R768" s="1"/>
      <c r="S768" s="1" t="str">
        <f>IF(A768="","",COUNTIFS(Assignments!$B:$B,A768,Assignments!$AE:$AE, "Y",Assignments!$D:$D,"&gt;="&amp;TODAY()-30))</f>
        <v/>
      </c>
      <c r="T768" s="1" t="str">
        <f>IF(A768="","",COUNTIFS(Assignments!$AF:$AF,A768,Assignments!$AE:$AE, "Y",Assignments!$D:$D,"&gt;="&amp;TODAY()-30))</f>
        <v/>
      </c>
      <c r="U768" s="1" t="str">
        <f>IF(A768="","",IFERROR(S768/MAX(1,COUNTIFS(Assignments!$B:$B,A768,Assignments!$D:$D,"&gt;="&amp;TODAY()-30)),""))</f>
        <v/>
      </c>
      <c r="V768" s="1" t="str">
        <f t="shared" si="4"/>
        <v/>
      </c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 t="str">
        <f>IF(A769="","",IFERROR(AVERAGEIFS(Assignments!$AO:$AO,Assignments!$B:$B,A769,Assignments!$E:$E,"Completed"),""))</f>
        <v/>
      </c>
      <c r="L769" s="2"/>
      <c r="M769" s="2"/>
      <c r="N769" s="2"/>
      <c r="O769" s="2"/>
      <c r="P769" s="1" t="str">
        <f>IF(A769="","",MAX(0,MIN(3,SUMIFS(Strike_Log!$C:$C,Strike_Log!$B:$B,A769,Strike_Log!$A:$A,"&gt;="&amp;IF(Config!$B$1004="Y",TODAY()-Config!$B$1005,DATE(1900,1,1)),Strike_Log!$I:$I,1))))</f>
        <v/>
      </c>
      <c r="Q769" s="1"/>
      <c r="R769" s="1"/>
      <c r="S769" s="1" t="str">
        <f>IF(A769="","",COUNTIFS(Assignments!$B:$B,A769,Assignments!$AE:$AE, "Y",Assignments!$D:$D,"&gt;="&amp;TODAY()-30))</f>
        <v/>
      </c>
      <c r="T769" s="1" t="str">
        <f>IF(A769="","",COUNTIFS(Assignments!$AF:$AF,A769,Assignments!$AE:$AE, "Y",Assignments!$D:$D,"&gt;="&amp;TODAY()-30))</f>
        <v/>
      </c>
      <c r="U769" s="1" t="str">
        <f>IF(A769="","",IFERROR(S769/MAX(1,COUNTIFS(Assignments!$B:$B,A769,Assignments!$D:$D,"&gt;="&amp;TODAY()-30)),""))</f>
        <v/>
      </c>
      <c r="V769" s="1" t="str">
        <f t="shared" si="4"/>
        <v/>
      </c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 t="str">
        <f>IF(A770="","",IFERROR(AVERAGEIFS(Assignments!$AO:$AO,Assignments!$B:$B,A770,Assignments!$E:$E,"Completed"),""))</f>
        <v/>
      </c>
      <c r="L770" s="2"/>
      <c r="M770" s="2"/>
      <c r="N770" s="2"/>
      <c r="O770" s="2"/>
      <c r="P770" s="1" t="str">
        <f>IF(A770="","",MAX(0,MIN(3,SUMIFS(Strike_Log!$C:$C,Strike_Log!$B:$B,A770,Strike_Log!$A:$A,"&gt;="&amp;IF(Config!$B$1004="Y",TODAY()-Config!$B$1005,DATE(1900,1,1)),Strike_Log!$I:$I,1))))</f>
        <v/>
      </c>
      <c r="Q770" s="1"/>
      <c r="R770" s="1"/>
      <c r="S770" s="1" t="str">
        <f>IF(A770="","",COUNTIFS(Assignments!$B:$B,A770,Assignments!$AE:$AE, "Y",Assignments!$D:$D,"&gt;="&amp;TODAY()-30))</f>
        <v/>
      </c>
      <c r="T770" s="1" t="str">
        <f>IF(A770="","",COUNTIFS(Assignments!$AF:$AF,A770,Assignments!$AE:$AE, "Y",Assignments!$D:$D,"&gt;="&amp;TODAY()-30))</f>
        <v/>
      </c>
      <c r="U770" s="1" t="str">
        <f>IF(A770="","",IFERROR(S770/MAX(1,COUNTIFS(Assignments!$B:$B,A770,Assignments!$D:$D,"&gt;="&amp;TODAY()-30)),""))</f>
        <v/>
      </c>
      <c r="V770" s="1" t="str">
        <f t="shared" si="4"/>
        <v/>
      </c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 t="str">
        <f>IF(A771="","",IFERROR(AVERAGEIFS(Assignments!$AO:$AO,Assignments!$B:$B,A771,Assignments!$E:$E,"Completed"),""))</f>
        <v/>
      </c>
      <c r="L771" s="2"/>
      <c r="M771" s="2"/>
      <c r="N771" s="2"/>
      <c r="O771" s="2"/>
      <c r="P771" s="1" t="str">
        <f>IF(A771="","",MAX(0,MIN(3,SUMIFS(Strike_Log!$C:$C,Strike_Log!$B:$B,A771,Strike_Log!$A:$A,"&gt;="&amp;IF(Config!$B$1004="Y",TODAY()-Config!$B$1005,DATE(1900,1,1)),Strike_Log!$I:$I,1))))</f>
        <v/>
      </c>
      <c r="Q771" s="1"/>
      <c r="R771" s="1"/>
      <c r="S771" s="1" t="str">
        <f>IF(A771="","",COUNTIFS(Assignments!$B:$B,A771,Assignments!$AE:$AE, "Y",Assignments!$D:$D,"&gt;="&amp;TODAY()-30))</f>
        <v/>
      </c>
      <c r="T771" s="1" t="str">
        <f>IF(A771="","",COUNTIFS(Assignments!$AF:$AF,A771,Assignments!$AE:$AE, "Y",Assignments!$D:$D,"&gt;="&amp;TODAY()-30))</f>
        <v/>
      </c>
      <c r="U771" s="1" t="str">
        <f>IF(A771="","",IFERROR(S771/MAX(1,COUNTIFS(Assignments!$B:$B,A771,Assignments!$D:$D,"&gt;="&amp;TODAY()-30)),""))</f>
        <v/>
      </c>
      <c r="V771" s="1" t="str">
        <f t="shared" si="4"/>
        <v/>
      </c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 t="str">
        <f>IF(A772="","",IFERROR(AVERAGEIFS(Assignments!$AO:$AO,Assignments!$B:$B,A772,Assignments!$E:$E,"Completed"),""))</f>
        <v/>
      </c>
      <c r="L772" s="2"/>
      <c r="M772" s="2"/>
      <c r="N772" s="2"/>
      <c r="O772" s="2"/>
      <c r="P772" s="1" t="str">
        <f>IF(A772="","",MAX(0,MIN(3,SUMIFS(Strike_Log!$C:$C,Strike_Log!$B:$B,A772,Strike_Log!$A:$A,"&gt;="&amp;IF(Config!$B$1004="Y",TODAY()-Config!$B$1005,DATE(1900,1,1)),Strike_Log!$I:$I,1))))</f>
        <v/>
      </c>
      <c r="Q772" s="1"/>
      <c r="R772" s="1"/>
      <c r="S772" s="1" t="str">
        <f>IF(A772="","",COUNTIFS(Assignments!$B:$B,A772,Assignments!$AE:$AE, "Y",Assignments!$D:$D,"&gt;="&amp;TODAY()-30))</f>
        <v/>
      </c>
      <c r="T772" s="1" t="str">
        <f>IF(A772="","",COUNTIFS(Assignments!$AF:$AF,A772,Assignments!$AE:$AE, "Y",Assignments!$D:$D,"&gt;="&amp;TODAY()-30))</f>
        <v/>
      </c>
      <c r="U772" s="1" t="str">
        <f>IF(A772="","",IFERROR(S772/MAX(1,COUNTIFS(Assignments!$B:$B,A772,Assignments!$D:$D,"&gt;="&amp;TODAY()-30)),""))</f>
        <v/>
      </c>
      <c r="V772" s="1" t="str">
        <f t="shared" si="4"/>
        <v/>
      </c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 t="str">
        <f>IF(A773="","",IFERROR(AVERAGEIFS(Assignments!$AO:$AO,Assignments!$B:$B,A773,Assignments!$E:$E,"Completed"),""))</f>
        <v/>
      </c>
      <c r="L773" s="2"/>
      <c r="M773" s="2"/>
      <c r="N773" s="2"/>
      <c r="O773" s="2"/>
      <c r="P773" s="1" t="str">
        <f>IF(A773="","",MAX(0,MIN(3,SUMIFS(Strike_Log!$C:$C,Strike_Log!$B:$B,A773,Strike_Log!$A:$A,"&gt;="&amp;IF(Config!$B$1004="Y",TODAY()-Config!$B$1005,DATE(1900,1,1)),Strike_Log!$I:$I,1))))</f>
        <v/>
      </c>
      <c r="Q773" s="1"/>
      <c r="R773" s="1"/>
      <c r="S773" s="1" t="str">
        <f>IF(A773="","",COUNTIFS(Assignments!$B:$B,A773,Assignments!$AE:$AE, "Y",Assignments!$D:$D,"&gt;="&amp;TODAY()-30))</f>
        <v/>
      </c>
      <c r="T773" s="1" t="str">
        <f>IF(A773="","",COUNTIFS(Assignments!$AF:$AF,A773,Assignments!$AE:$AE, "Y",Assignments!$D:$D,"&gt;="&amp;TODAY()-30))</f>
        <v/>
      </c>
      <c r="U773" s="1" t="str">
        <f>IF(A773="","",IFERROR(S773/MAX(1,COUNTIFS(Assignments!$B:$B,A773,Assignments!$D:$D,"&gt;="&amp;TODAY()-30)),""))</f>
        <v/>
      </c>
      <c r="V773" s="1" t="str">
        <f t="shared" si="4"/>
        <v/>
      </c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 t="str">
        <f>IF(A774="","",IFERROR(AVERAGEIFS(Assignments!$AO:$AO,Assignments!$B:$B,A774,Assignments!$E:$E,"Completed"),""))</f>
        <v/>
      </c>
      <c r="L774" s="2"/>
      <c r="M774" s="2"/>
      <c r="N774" s="2"/>
      <c r="O774" s="2"/>
      <c r="P774" s="1" t="str">
        <f>IF(A774="","",MAX(0,MIN(3,SUMIFS(Strike_Log!$C:$C,Strike_Log!$B:$B,A774,Strike_Log!$A:$A,"&gt;="&amp;IF(Config!$B$1004="Y",TODAY()-Config!$B$1005,DATE(1900,1,1)),Strike_Log!$I:$I,1))))</f>
        <v/>
      </c>
      <c r="Q774" s="1"/>
      <c r="R774" s="1"/>
      <c r="S774" s="1" t="str">
        <f>IF(A774="","",COUNTIFS(Assignments!$B:$B,A774,Assignments!$AE:$AE, "Y",Assignments!$D:$D,"&gt;="&amp;TODAY()-30))</f>
        <v/>
      </c>
      <c r="T774" s="1" t="str">
        <f>IF(A774="","",COUNTIFS(Assignments!$AF:$AF,A774,Assignments!$AE:$AE, "Y",Assignments!$D:$D,"&gt;="&amp;TODAY()-30))</f>
        <v/>
      </c>
      <c r="U774" s="1" t="str">
        <f>IF(A774="","",IFERROR(S774/MAX(1,COUNTIFS(Assignments!$B:$B,A774,Assignments!$D:$D,"&gt;="&amp;TODAY()-30)),""))</f>
        <v/>
      </c>
      <c r="V774" s="1" t="str">
        <f t="shared" si="4"/>
        <v/>
      </c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 t="str">
        <f>IF(A775="","",IFERROR(AVERAGEIFS(Assignments!$AO:$AO,Assignments!$B:$B,A775,Assignments!$E:$E,"Completed"),""))</f>
        <v/>
      </c>
      <c r="L775" s="2"/>
      <c r="M775" s="2"/>
      <c r="N775" s="2"/>
      <c r="O775" s="2"/>
      <c r="P775" s="1" t="str">
        <f>IF(A775="","",MAX(0,MIN(3,SUMIFS(Strike_Log!$C:$C,Strike_Log!$B:$B,A775,Strike_Log!$A:$A,"&gt;="&amp;IF(Config!$B$1004="Y",TODAY()-Config!$B$1005,DATE(1900,1,1)),Strike_Log!$I:$I,1))))</f>
        <v/>
      </c>
      <c r="Q775" s="1"/>
      <c r="R775" s="1"/>
      <c r="S775" s="1" t="str">
        <f>IF(A775="","",COUNTIFS(Assignments!$B:$B,A775,Assignments!$AE:$AE, "Y",Assignments!$D:$D,"&gt;="&amp;TODAY()-30))</f>
        <v/>
      </c>
      <c r="T775" s="1" t="str">
        <f>IF(A775="","",COUNTIFS(Assignments!$AF:$AF,A775,Assignments!$AE:$AE, "Y",Assignments!$D:$D,"&gt;="&amp;TODAY()-30))</f>
        <v/>
      </c>
      <c r="U775" s="1" t="str">
        <f>IF(A775="","",IFERROR(S775/MAX(1,COUNTIFS(Assignments!$B:$B,A775,Assignments!$D:$D,"&gt;="&amp;TODAY()-30)),""))</f>
        <v/>
      </c>
      <c r="V775" s="1" t="str">
        <f t="shared" si="4"/>
        <v/>
      </c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 t="str">
        <f>IF(A776="","",IFERROR(AVERAGEIFS(Assignments!$AO:$AO,Assignments!$B:$B,A776,Assignments!$E:$E,"Completed"),""))</f>
        <v/>
      </c>
      <c r="L776" s="2"/>
      <c r="M776" s="2"/>
      <c r="N776" s="2"/>
      <c r="O776" s="2"/>
      <c r="P776" s="1" t="str">
        <f>IF(A776="","",MAX(0,MIN(3,SUMIFS(Strike_Log!$C:$C,Strike_Log!$B:$B,A776,Strike_Log!$A:$A,"&gt;="&amp;IF(Config!$B$1004="Y",TODAY()-Config!$B$1005,DATE(1900,1,1)),Strike_Log!$I:$I,1))))</f>
        <v/>
      </c>
      <c r="Q776" s="1"/>
      <c r="R776" s="1"/>
      <c r="S776" s="1" t="str">
        <f>IF(A776="","",COUNTIFS(Assignments!$B:$B,A776,Assignments!$AE:$AE, "Y",Assignments!$D:$D,"&gt;="&amp;TODAY()-30))</f>
        <v/>
      </c>
      <c r="T776" s="1" t="str">
        <f>IF(A776="","",COUNTIFS(Assignments!$AF:$AF,A776,Assignments!$AE:$AE, "Y",Assignments!$D:$D,"&gt;="&amp;TODAY()-30))</f>
        <v/>
      </c>
      <c r="U776" s="1" t="str">
        <f>IF(A776="","",IFERROR(S776/MAX(1,COUNTIFS(Assignments!$B:$B,A776,Assignments!$D:$D,"&gt;="&amp;TODAY()-30)),""))</f>
        <v/>
      </c>
      <c r="V776" s="1" t="str">
        <f t="shared" si="4"/>
        <v/>
      </c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 t="str">
        <f>IF(A777="","",IFERROR(AVERAGEIFS(Assignments!$AO:$AO,Assignments!$B:$B,A777,Assignments!$E:$E,"Completed"),""))</f>
        <v/>
      </c>
      <c r="L777" s="2"/>
      <c r="M777" s="2"/>
      <c r="N777" s="2"/>
      <c r="O777" s="2"/>
      <c r="P777" s="1" t="str">
        <f>IF(A777="","",MAX(0,MIN(3,SUMIFS(Strike_Log!$C:$C,Strike_Log!$B:$B,A777,Strike_Log!$A:$A,"&gt;="&amp;IF(Config!$B$1004="Y",TODAY()-Config!$B$1005,DATE(1900,1,1)),Strike_Log!$I:$I,1))))</f>
        <v/>
      </c>
      <c r="Q777" s="1"/>
      <c r="R777" s="1"/>
      <c r="S777" s="1" t="str">
        <f>IF(A777="","",COUNTIFS(Assignments!$B:$B,A777,Assignments!$AE:$AE, "Y",Assignments!$D:$D,"&gt;="&amp;TODAY()-30))</f>
        <v/>
      </c>
      <c r="T777" s="1" t="str">
        <f>IF(A777="","",COUNTIFS(Assignments!$AF:$AF,A777,Assignments!$AE:$AE, "Y",Assignments!$D:$D,"&gt;="&amp;TODAY()-30))</f>
        <v/>
      </c>
      <c r="U777" s="1" t="str">
        <f>IF(A777="","",IFERROR(S777/MAX(1,COUNTIFS(Assignments!$B:$B,A777,Assignments!$D:$D,"&gt;="&amp;TODAY()-30)),""))</f>
        <v/>
      </c>
      <c r="V777" s="1" t="str">
        <f t="shared" si="4"/>
        <v/>
      </c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 t="str">
        <f>IF(A778="","",IFERROR(AVERAGEIFS(Assignments!$AO:$AO,Assignments!$B:$B,A778,Assignments!$E:$E,"Completed"),""))</f>
        <v/>
      </c>
      <c r="L778" s="2"/>
      <c r="M778" s="2"/>
      <c r="N778" s="2"/>
      <c r="O778" s="2"/>
      <c r="P778" s="1" t="str">
        <f>IF(A778="","",MAX(0,MIN(3,SUMIFS(Strike_Log!$C:$C,Strike_Log!$B:$B,A778,Strike_Log!$A:$A,"&gt;="&amp;IF(Config!$B$1004="Y",TODAY()-Config!$B$1005,DATE(1900,1,1)),Strike_Log!$I:$I,1))))</f>
        <v/>
      </c>
      <c r="Q778" s="1"/>
      <c r="R778" s="1"/>
      <c r="S778" s="1" t="str">
        <f>IF(A778="","",COUNTIFS(Assignments!$B:$B,A778,Assignments!$AE:$AE, "Y",Assignments!$D:$D,"&gt;="&amp;TODAY()-30))</f>
        <v/>
      </c>
      <c r="T778" s="1" t="str">
        <f>IF(A778="","",COUNTIFS(Assignments!$AF:$AF,A778,Assignments!$AE:$AE, "Y",Assignments!$D:$D,"&gt;="&amp;TODAY()-30))</f>
        <v/>
      </c>
      <c r="U778" s="1" t="str">
        <f>IF(A778="","",IFERROR(S778/MAX(1,COUNTIFS(Assignments!$B:$B,A778,Assignments!$D:$D,"&gt;="&amp;TODAY()-30)),""))</f>
        <v/>
      </c>
      <c r="V778" s="1" t="str">
        <f t="shared" si="4"/>
        <v/>
      </c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 t="str">
        <f>IF(A779="","",IFERROR(AVERAGEIFS(Assignments!$AO:$AO,Assignments!$B:$B,A779,Assignments!$E:$E,"Completed"),""))</f>
        <v/>
      </c>
      <c r="L779" s="2"/>
      <c r="M779" s="2"/>
      <c r="N779" s="2"/>
      <c r="O779" s="2"/>
      <c r="P779" s="1" t="str">
        <f>IF(A779="","",MAX(0,MIN(3,SUMIFS(Strike_Log!$C:$C,Strike_Log!$B:$B,A779,Strike_Log!$A:$A,"&gt;="&amp;IF(Config!$B$1004="Y",TODAY()-Config!$B$1005,DATE(1900,1,1)),Strike_Log!$I:$I,1))))</f>
        <v/>
      </c>
      <c r="Q779" s="1"/>
      <c r="R779" s="1"/>
      <c r="S779" s="1" t="str">
        <f>IF(A779="","",COUNTIFS(Assignments!$B:$B,A779,Assignments!$AE:$AE, "Y",Assignments!$D:$D,"&gt;="&amp;TODAY()-30))</f>
        <v/>
      </c>
      <c r="T779" s="1" t="str">
        <f>IF(A779="","",COUNTIFS(Assignments!$AF:$AF,A779,Assignments!$AE:$AE, "Y",Assignments!$D:$D,"&gt;="&amp;TODAY()-30))</f>
        <v/>
      </c>
      <c r="U779" s="1" t="str">
        <f>IF(A779="","",IFERROR(S779/MAX(1,COUNTIFS(Assignments!$B:$B,A779,Assignments!$D:$D,"&gt;="&amp;TODAY()-30)),""))</f>
        <v/>
      </c>
      <c r="V779" s="1" t="str">
        <f t="shared" si="4"/>
        <v/>
      </c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 t="str">
        <f>IF(A780="","",IFERROR(AVERAGEIFS(Assignments!$AO:$AO,Assignments!$B:$B,A780,Assignments!$E:$E,"Completed"),""))</f>
        <v/>
      </c>
      <c r="L780" s="2"/>
      <c r="M780" s="2"/>
      <c r="N780" s="2"/>
      <c r="O780" s="2"/>
      <c r="P780" s="1" t="str">
        <f>IF(A780="","",MAX(0,MIN(3,SUMIFS(Strike_Log!$C:$C,Strike_Log!$B:$B,A780,Strike_Log!$A:$A,"&gt;="&amp;IF(Config!$B$1004="Y",TODAY()-Config!$B$1005,DATE(1900,1,1)),Strike_Log!$I:$I,1))))</f>
        <v/>
      </c>
      <c r="Q780" s="1"/>
      <c r="R780" s="1"/>
      <c r="S780" s="1" t="str">
        <f>IF(A780="","",COUNTIFS(Assignments!$B:$B,A780,Assignments!$AE:$AE, "Y",Assignments!$D:$D,"&gt;="&amp;TODAY()-30))</f>
        <v/>
      </c>
      <c r="T780" s="1" t="str">
        <f>IF(A780="","",COUNTIFS(Assignments!$AF:$AF,A780,Assignments!$AE:$AE, "Y",Assignments!$D:$D,"&gt;="&amp;TODAY()-30))</f>
        <v/>
      </c>
      <c r="U780" s="1" t="str">
        <f>IF(A780="","",IFERROR(S780/MAX(1,COUNTIFS(Assignments!$B:$B,A780,Assignments!$D:$D,"&gt;="&amp;TODAY()-30)),""))</f>
        <v/>
      </c>
      <c r="V780" s="1" t="str">
        <f t="shared" si="4"/>
        <v/>
      </c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 t="str">
        <f>IF(A781="","",IFERROR(AVERAGEIFS(Assignments!$AO:$AO,Assignments!$B:$B,A781,Assignments!$E:$E,"Completed"),""))</f>
        <v/>
      </c>
      <c r="L781" s="2"/>
      <c r="M781" s="2"/>
      <c r="N781" s="2"/>
      <c r="O781" s="2"/>
      <c r="P781" s="1" t="str">
        <f>IF(A781="","",MAX(0,MIN(3,SUMIFS(Strike_Log!$C:$C,Strike_Log!$B:$B,A781,Strike_Log!$A:$A,"&gt;="&amp;IF(Config!$B$1004="Y",TODAY()-Config!$B$1005,DATE(1900,1,1)),Strike_Log!$I:$I,1))))</f>
        <v/>
      </c>
      <c r="Q781" s="1"/>
      <c r="R781" s="1"/>
      <c r="S781" s="1" t="str">
        <f>IF(A781="","",COUNTIFS(Assignments!$B:$B,A781,Assignments!$AE:$AE, "Y",Assignments!$D:$D,"&gt;="&amp;TODAY()-30))</f>
        <v/>
      </c>
      <c r="T781" s="1" t="str">
        <f>IF(A781="","",COUNTIFS(Assignments!$AF:$AF,A781,Assignments!$AE:$AE, "Y",Assignments!$D:$D,"&gt;="&amp;TODAY()-30))</f>
        <v/>
      </c>
      <c r="U781" s="1" t="str">
        <f>IF(A781="","",IFERROR(S781/MAX(1,COUNTIFS(Assignments!$B:$B,A781,Assignments!$D:$D,"&gt;="&amp;TODAY()-30)),""))</f>
        <v/>
      </c>
      <c r="V781" s="1" t="str">
        <f t="shared" si="4"/>
        <v/>
      </c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 t="str">
        <f>IF(A782="","",IFERROR(AVERAGEIFS(Assignments!$AO:$AO,Assignments!$B:$B,A782,Assignments!$E:$E,"Completed"),""))</f>
        <v/>
      </c>
      <c r="L782" s="2"/>
      <c r="M782" s="2"/>
      <c r="N782" s="2"/>
      <c r="O782" s="2"/>
      <c r="P782" s="1" t="str">
        <f>IF(A782="","",MAX(0,MIN(3,SUMIFS(Strike_Log!$C:$C,Strike_Log!$B:$B,A782,Strike_Log!$A:$A,"&gt;="&amp;IF(Config!$B$1004="Y",TODAY()-Config!$B$1005,DATE(1900,1,1)),Strike_Log!$I:$I,1))))</f>
        <v/>
      </c>
      <c r="Q782" s="1"/>
      <c r="R782" s="1"/>
      <c r="S782" s="1" t="str">
        <f>IF(A782="","",COUNTIFS(Assignments!$B:$B,A782,Assignments!$AE:$AE, "Y",Assignments!$D:$D,"&gt;="&amp;TODAY()-30))</f>
        <v/>
      </c>
      <c r="T782" s="1" t="str">
        <f>IF(A782="","",COUNTIFS(Assignments!$AF:$AF,A782,Assignments!$AE:$AE, "Y",Assignments!$D:$D,"&gt;="&amp;TODAY()-30))</f>
        <v/>
      </c>
      <c r="U782" s="1" t="str">
        <f>IF(A782="","",IFERROR(S782/MAX(1,COUNTIFS(Assignments!$B:$B,A782,Assignments!$D:$D,"&gt;="&amp;TODAY()-30)),""))</f>
        <v/>
      </c>
      <c r="V782" s="1" t="str">
        <f t="shared" si="4"/>
        <v/>
      </c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 t="str">
        <f>IF(A783="","",IFERROR(AVERAGEIFS(Assignments!$AO:$AO,Assignments!$B:$B,A783,Assignments!$E:$E,"Completed"),""))</f>
        <v/>
      </c>
      <c r="L783" s="2"/>
      <c r="M783" s="2"/>
      <c r="N783" s="2"/>
      <c r="O783" s="2"/>
      <c r="P783" s="1" t="str">
        <f>IF(A783="","",MAX(0,MIN(3,SUMIFS(Strike_Log!$C:$C,Strike_Log!$B:$B,A783,Strike_Log!$A:$A,"&gt;="&amp;IF(Config!$B$1004="Y",TODAY()-Config!$B$1005,DATE(1900,1,1)),Strike_Log!$I:$I,1))))</f>
        <v/>
      </c>
      <c r="Q783" s="1"/>
      <c r="R783" s="1"/>
      <c r="S783" s="1" t="str">
        <f>IF(A783="","",COUNTIFS(Assignments!$B:$B,A783,Assignments!$AE:$AE, "Y",Assignments!$D:$D,"&gt;="&amp;TODAY()-30))</f>
        <v/>
      </c>
      <c r="T783" s="1" t="str">
        <f>IF(A783="","",COUNTIFS(Assignments!$AF:$AF,A783,Assignments!$AE:$AE, "Y",Assignments!$D:$D,"&gt;="&amp;TODAY()-30))</f>
        <v/>
      </c>
      <c r="U783" s="1" t="str">
        <f>IF(A783="","",IFERROR(S783/MAX(1,COUNTIFS(Assignments!$B:$B,A783,Assignments!$D:$D,"&gt;="&amp;TODAY()-30)),""))</f>
        <v/>
      </c>
      <c r="V783" s="1" t="str">
        <f t="shared" si="4"/>
        <v/>
      </c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 t="str">
        <f>IF(A784="","",IFERROR(AVERAGEIFS(Assignments!$AO:$AO,Assignments!$B:$B,A784,Assignments!$E:$E,"Completed"),""))</f>
        <v/>
      </c>
      <c r="L784" s="2"/>
      <c r="M784" s="2"/>
      <c r="N784" s="2"/>
      <c r="O784" s="2"/>
      <c r="P784" s="1" t="str">
        <f>IF(A784="","",MAX(0,MIN(3,SUMIFS(Strike_Log!$C:$C,Strike_Log!$B:$B,A784,Strike_Log!$A:$A,"&gt;="&amp;IF(Config!$B$1004="Y",TODAY()-Config!$B$1005,DATE(1900,1,1)),Strike_Log!$I:$I,1))))</f>
        <v/>
      </c>
      <c r="Q784" s="1"/>
      <c r="R784" s="1"/>
      <c r="S784" s="1" t="str">
        <f>IF(A784="","",COUNTIFS(Assignments!$B:$B,A784,Assignments!$AE:$AE, "Y",Assignments!$D:$D,"&gt;="&amp;TODAY()-30))</f>
        <v/>
      </c>
      <c r="T784" s="1" t="str">
        <f>IF(A784="","",COUNTIFS(Assignments!$AF:$AF,A784,Assignments!$AE:$AE, "Y",Assignments!$D:$D,"&gt;="&amp;TODAY()-30))</f>
        <v/>
      </c>
      <c r="U784" s="1" t="str">
        <f>IF(A784="","",IFERROR(S784/MAX(1,COUNTIFS(Assignments!$B:$B,A784,Assignments!$D:$D,"&gt;="&amp;TODAY()-30)),""))</f>
        <v/>
      </c>
      <c r="V784" s="1" t="str">
        <f t="shared" si="4"/>
        <v/>
      </c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 t="str">
        <f>IF(A785="","",IFERROR(AVERAGEIFS(Assignments!$AO:$AO,Assignments!$B:$B,A785,Assignments!$E:$E,"Completed"),""))</f>
        <v/>
      </c>
      <c r="L785" s="2"/>
      <c r="M785" s="2"/>
      <c r="N785" s="2"/>
      <c r="O785" s="2"/>
      <c r="P785" s="1" t="str">
        <f>IF(A785="","",MAX(0,MIN(3,SUMIFS(Strike_Log!$C:$C,Strike_Log!$B:$B,A785,Strike_Log!$A:$A,"&gt;="&amp;IF(Config!$B$1004="Y",TODAY()-Config!$B$1005,DATE(1900,1,1)),Strike_Log!$I:$I,1))))</f>
        <v/>
      </c>
      <c r="Q785" s="1"/>
      <c r="R785" s="1"/>
      <c r="S785" s="1" t="str">
        <f>IF(A785="","",COUNTIFS(Assignments!$B:$B,A785,Assignments!$AE:$AE, "Y",Assignments!$D:$D,"&gt;="&amp;TODAY()-30))</f>
        <v/>
      </c>
      <c r="T785" s="1" t="str">
        <f>IF(A785="","",COUNTIFS(Assignments!$AF:$AF,A785,Assignments!$AE:$AE, "Y",Assignments!$D:$D,"&gt;="&amp;TODAY()-30))</f>
        <v/>
      </c>
      <c r="U785" s="1" t="str">
        <f>IF(A785="","",IFERROR(S785/MAX(1,COUNTIFS(Assignments!$B:$B,A785,Assignments!$D:$D,"&gt;="&amp;TODAY()-30)),""))</f>
        <v/>
      </c>
      <c r="V785" s="1" t="str">
        <f t="shared" si="4"/>
        <v/>
      </c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 t="str">
        <f>IF(A786="","",IFERROR(AVERAGEIFS(Assignments!$AO:$AO,Assignments!$B:$B,A786,Assignments!$E:$E,"Completed"),""))</f>
        <v/>
      </c>
      <c r="L786" s="2"/>
      <c r="M786" s="2"/>
      <c r="N786" s="2"/>
      <c r="O786" s="2"/>
      <c r="P786" s="1" t="str">
        <f>IF(A786="","",MAX(0,MIN(3,SUMIFS(Strike_Log!$C:$C,Strike_Log!$B:$B,A786,Strike_Log!$A:$A,"&gt;="&amp;IF(Config!$B$1004="Y",TODAY()-Config!$B$1005,DATE(1900,1,1)),Strike_Log!$I:$I,1))))</f>
        <v/>
      </c>
      <c r="Q786" s="1"/>
      <c r="R786" s="1"/>
      <c r="S786" s="1" t="str">
        <f>IF(A786="","",COUNTIFS(Assignments!$B:$B,A786,Assignments!$AE:$AE, "Y",Assignments!$D:$D,"&gt;="&amp;TODAY()-30))</f>
        <v/>
      </c>
      <c r="T786" s="1" t="str">
        <f>IF(A786="","",COUNTIFS(Assignments!$AF:$AF,A786,Assignments!$AE:$AE, "Y",Assignments!$D:$D,"&gt;="&amp;TODAY()-30))</f>
        <v/>
      </c>
      <c r="U786" s="1" t="str">
        <f>IF(A786="","",IFERROR(S786/MAX(1,COUNTIFS(Assignments!$B:$B,A786,Assignments!$D:$D,"&gt;="&amp;TODAY()-30)),""))</f>
        <v/>
      </c>
      <c r="V786" s="1" t="str">
        <f t="shared" si="4"/>
        <v/>
      </c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 t="str">
        <f>IF(A787="","",IFERROR(AVERAGEIFS(Assignments!$AO:$AO,Assignments!$B:$B,A787,Assignments!$E:$E,"Completed"),""))</f>
        <v/>
      </c>
      <c r="L787" s="2"/>
      <c r="M787" s="2"/>
      <c r="N787" s="2"/>
      <c r="O787" s="2"/>
      <c r="P787" s="1" t="str">
        <f>IF(A787="","",MAX(0,MIN(3,SUMIFS(Strike_Log!$C:$C,Strike_Log!$B:$B,A787,Strike_Log!$A:$A,"&gt;="&amp;IF(Config!$B$1004="Y",TODAY()-Config!$B$1005,DATE(1900,1,1)),Strike_Log!$I:$I,1))))</f>
        <v/>
      </c>
      <c r="Q787" s="1"/>
      <c r="R787" s="1"/>
      <c r="S787" s="1" t="str">
        <f>IF(A787="","",COUNTIFS(Assignments!$B:$B,A787,Assignments!$AE:$AE, "Y",Assignments!$D:$D,"&gt;="&amp;TODAY()-30))</f>
        <v/>
      </c>
      <c r="T787" s="1" t="str">
        <f>IF(A787="","",COUNTIFS(Assignments!$AF:$AF,A787,Assignments!$AE:$AE, "Y",Assignments!$D:$D,"&gt;="&amp;TODAY()-30))</f>
        <v/>
      </c>
      <c r="U787" s="1" t="str">
        <f>IF(A787="","",IFERROR(S787/MAX(1,COUNTIFS(Assignments!$B:$B,A787,Assignments!$D:$D,"&gt;="&amp;TODAY()-30)),""))</f>
        <v/>
      </c>
      <c r="V787" s="1" t="str">
        <f t="shared" si="4"/>
        <v/>
      </c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 t="str">
        <f>IF(A788="","",IFERROR(AVERAGEIFS(Assignments!$AO:$AO,Assignments!$B:$B,A788,Assignments!$E:$E,"Completed"),""))</f>
        <v/>
      </c>
      <c r="L788" s="2"/>
      <c r="M788" s="2"/>
      <c r="N788" s="2"/>
      <c r="O788" s="2"/>
      <c r="P788" s="1" t="str">
        <f>IF(A788="","",MAX(0,MIN(3,SUMIFS(Strike_Log!$C:$C,Strike_Log!$B:$B,A788,Strike_Log!$A:$A,"&gt;="&amp;IF(Config!$B$1004="Y",TODAY()-Config!$B$1005,DATE(1900,1,1)),Strike_Log!$I:$I,1))))</f>
        <v/>
      </c>
      <c r="Q788" s="1"/>
      <c r="R788" s="1"/>
      <c r="S788" s="1" t="str">
        <f>IF(A788="","",COUNTIFS(Assignments!$B:$B,A788,Assignments!$AE:$AE, "Y",Assignments!$D:$D,"&gt;="&amp;TODAY()-30))</f>
        <v/>
      </c>
      <c r="T788" s="1" t="str">
        <f>IF(A788="","",COUNTIFS(Assignments!$AF:$AF,A788,Assignments!$AE:$AE, "Y",Assignments!$D:$D,"&gt;="&amp;TODAY()-30))</f>
        <v/>
      </c>
      <c r="U788" s="1" t="str">
        <f>IF(A788="","",IFERROR(S788/MAX(1,COUNTIFS(Assignments!$B:$B,A788,Assignments!$D:$D,"&gt;="&amp;TODAY()-30)),""))</f>
        <v/>
      </c>
      <c r="V788" s="1" t="str">
        <f t="shared" si="4"/>
        <v/>
      </c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 t="str">
        <f>IF(A789="","",IFERROR(AVERAGEIFS(Assignments!$AO:$AO,Assignments!$B:$B,A789,Assignments!$E:$E,"Completed"),""))</f>
        <v/>
      </c>
      <c r="L789" s="2"/>
      <c r="M789" s="2"/>
      <c r="N789" s="2"/>
      <c r="O789" s="2"/>
      <c r="P789" s="1" t="str">
        <f>IF(A789="","",MAX(0,MIN(3,SUMIFS(Strike_Log!$C:$C,Strike_Log!$B:$B,A789,Strike_Log!$A:$A,"&gt;="&amp;IF(Config!$B$1004="Y",TODAY()-Config!$B$1005,DATE(1900,1,1)),Strike_Log!$I:$I,1))))</f>
        <v/>
      </c>
      <c r="Q789" s="1"/>
      <c r="R789" s="1"/>
      <c r="S789" s="1" t="str">
        <f>IF(A789="","",COUNTIFS(Assignments!$B:$B,A789,Assignments!$AE:$AE, "Y",Assignments!$D:$D,"&gt;="&amp;TODAY()-30))</f>
        <v/>
      </c>
      <c r="T789" s="1" t="str">
        <f>IF(A789="","",COUNTIFS(Assignments!$AF:$AF,A789,Assignments!$AE:$AE, "Y",Assignments!$D:$D,"&gt;="&amp;TODAY()-30))</f>
        <v/>
      </c>
      <c r="U789" s="1" t="str">
        <f>IF(A789="","",IFERROR(S789/MAX(1,COUNTIFS(Assignments!$B:$B,A789,Assignments!$D:$D,"&gt;="&amp;TODAY()-30)),""))</f>
        <v/>
      </c>
      <c r="V789" s="1" t="str">
        <f t="shared" si="4"/>
        <v/>
      </c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 t="str">
        <f>IF(A790="","",IFERROR(AVERAGEIFS(Assignments!$AO:$AO,Assignments!$B:$B,A790,Assignments!$E:$E,"Completed"),""))</f>
        <v/>
      </c>
      <c r="L790" s="2"/>
      <c r="M790" s="2"/>
      <c r="N790" s="2"/>
      <c r="O790" s="2"/>
      <c r="P790" s="1" t="str">
        <f>IF(A790="","",MAX(0,MIN(3,SUMIFS(Strike_Log!$C:$C,Strike_Log!$B:$B,A790,Strike_Log!$A:$A,"&gt;="&amp;IF(Config!$B$1004="Y",TODAY()-Config!$B$1005,DATE(1900,1,1)),Strike_Log!$I:$I,1))))</f>
        <v/>
      </c>
      <c r="Q790" s="1"/>
      <c r="R790" s="1"/>
      <c r="S790" s="1" t="str">
        <f>IF(A790="","",COUNTIFS(Assignments!$B:$B,A790,Assignments!$AE:$AE, "Y",Assignments!$D:$D,"&gt;="&amp;TODAY()-30))</f>
        <v/>
      </c>
      <c r="T790" s="1" t="str">
        <f>IF(A790="","",COUNTIFS(Assignments!$AF:$AF,A790,Assignments!$AE:$AE, "Y",Assignments!$D:$D,"&gt;="&amp;TODAY()-30))</f>
        <v/>
      </c>
      <c r="U790" s="1" t="str">
        <f>IF(A790="","",IFERROR(S790/MAX(1,COUNTIFS(Assignments!$B:$B,A790,Assignments!$D:$D,"&gt;="&amp;TODAY()-30)),""))</f>
        <v/>
      </c>
      <c r="V790" s="1" t="str">
        <f t="shared" si="4"/>
        <v/>
      </c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 t="str">
        <f>IF(A791="","",IFERROR(AVERAGEIFS(Assignments!$AO:$AO,Assignments!$B:$B,A791,Assignments!$E:$E,"Completed"),""))</f>
        <v/>
      </c>
      <c r="L791" s="2"/>
      <c r="M791" s="2"/>
      <c r="N791" s="2"/>
      <c r="O791" s="2"/>
      <c r="P791" s="1" t="str">
        <f>IF(A791="","",MAX(0,MIN(3,SUMIFS(Strike_Log!$C:$C,Strike_Log!$B:$B,A791,Strike_Log!$A:$A,"&gt;="&amp;IF(Config!$B$1004="Y",TODAY()-Config!$B$1005,DATE(1900,1,1)),Strike_Log!$I:$I,1))))</f>
        <v/>
      </c>
      <c r="Q791" s="1"/>
      <c r="R791" s="1"/>
      <c r="S791" s="1" t="str">
        <f>IF(A791="","",COUNTIFS(Assignments!$B:$B,A791,Assignments!$AE:$AE, "Y",Assignments!$D:$D,"&gt;="&amp;TODAY()-30))</f>
        <v/>
      </c>
      <c r="T791" s="1" t="str">
        <f>IF(A791="","",COUNTIFS(Assignments!$AF:$AF,A791,Assignments!$AE:$AE, "Y",Assignments!$D:$D,"&gt;="&amp;TODAY()-30))</f>
        <v/>
      </c>
      <c r="U791" s="1" t="str">
        <f>IF(A791="","",IFERROR(S791/MAX(1,COUNTIFS(Assignments!$B:$B,A791,Assignments!$D:$D,"&gt;="&amp;TODAY()-30)),""))</f>
        <v/>
      </c>
      <c r="V791" s="1" t="str">
        <f t="shared" si="4"/>
        <v/>
      </c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 t="str">
        <f>IF(A792="","",IFERROR(AVERAGEIFS(Assignments!$AO:$AO,Assignments!$B:$B,A792,Assignments!$E:$E,"Completed"),""))</f>
        <v/>
      </c>
      <c r="L792" s="2"/>
      <c r="M792" s="2"/>
      <c r="N792" s="2"/>
      <c r="O792" s="2"/>
      <c r="P792" s="1" t="str">
        <f>IF(A792="","",MAX(0,MIN(3,SUMIFS(Strike_Log!$C:$C,Strike_Log!$B:$B,A792,Strike_Log!$A:$A,"&gt;="&amp;IF(Config!$B$1004="Y",TODAY()-Config!$B$1005,DATE(1900,1,1)),Strike_Log!$I:$I,1))))</f>
        <v/>
      </c>
      <c r="Q792" s="1"/>
      <c r="R792" s="1"/>
      <c r="S792" s="1" t="str">
        <f>IF(A792="","",COUNTIFS(Assignments!$B:$B,A792,Assignments!$AE:$AE, "Y",Assignments!$D:$D,"&gt;="&amp;TODAY()-30))</f>
        <v/>
      </c>
      <c r="T792" s="1" t="str">
        <f>IF(A792="","",COUNTIFS(Assignments!$AF:$AF,A792,Assignments!$AE:$AE, "Y",Assignments!$D:$D,"&gt;="&amp;TODAY()-30))</f>
        <v/>
      </c>
      <c r="U792" s="1" t="str">
        <f>IF(A792="","",IFERROR(S792/MAX(1,COUNTIFS(Assignments!$B:$B,A792,Assignments!$D:$D,"&gt;="&amp;TODAY()-30)),""))</f>
        <v/>
      </c>
      <c r="V792" s="1" t="str">
        <f t="shared" si="4"/>
        <v/>
      </c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 t="str">
        <f>IF(A793="","",IFERROR(AVERAGEIFS(Assignments!$AO:$AO,Assignments!$B:$B,A793,Assignments!$E:$E,"Completed"),""))</f>
        <v/>
      </c>
      <c r="L793" s="2"/>
      <c r="M793" s="2"/>
      <c r="N793" s="2"/>
      <c r="O793" s="2"/>
      <c r="P793" s="1" t="str">
        <f>IF(A793="","",MAX(0,MIN(3,SUMIFS(Strike_Log!$C:$C,Strike_Log!$B:$B,A793,Strike_Log!$A:$A,"&gt;="&amp;IF(Config!$B$1004="Y",TODAY()-Config!$B$1005,DATE(1900,1,1)),Strike_Log!$I:$I,1))))</f>
        <v/>
      </c>
      <c r="Q793" s="1"/>
      <c r="R793" s="1"/>
      <c r="S793" s="1" t="str">
        <f>IF(A793="","",COUNTIFS(Assignments!$B:$B,A793,Assignments!$AE:$AE, "Y",Assignments!$D:$D,"&gt;="&amp;TODAY()-30))</f>
        <v/>
      </c>
      <c r="T793" s="1" t="str">
        <f>IF(A793="","",COUNTIFS(Assignments!$AF:$AF,A793,Assignments!$AE:$AE, "Y",Assignments!$D:$D,"&gt;="&amp;TODAY()-30))</f>
        <v/>
      </c>
      <c r="U793" s="1" t="str">
        <f>IF(A793="","",IFERROR(S793/MAX(1,COUNTIFS(Assignments!$B:$B,A793,Assignments!$D:$D,"&gt;="&amp;TODAY()-30)),""))</f>
        <v/>
      </c>
      <c r="V793" s="1" t="str">
        <f t="shared" si="4"/>
        <v/>
      </c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 t="str">
        <f>IF(A794="","",IFERROR(AVERAGEIFS(Assignments!$AO:$AO,Assignments!$B:$B,A794,Assignments!$E:$E,"Completed"),""))</f>
        <v/>
      </c>
      <c r="L794" s="2"/>
      <c r="M794" s="2"/>
      <c r="N794" s="2"/>
      <c r="O794" s="2"/>
      <c r="P794" s="1" t="str">
        <f>IF(A794="","",MAX(0,MIN(3,SUMIFS(Strike_Log!$C:$C,Strike_Log!$B:$B,A794,Strike_Log!$A:$A,"&gt;="&amp;IF(Config!$B$1004="Y",TODAY()-Config!$B$1005,DATE(1900,1,1)),Strike_Log!$I:$I,1))))</f>
        <v/>
      </c>
      <c r="Q794" s="1"/>
      <c r="R794" s="1"/>
      <c r="S794" s="1" t="str">
        <f>IF(A794="","",COUNTIFS(Assignments!$B:$B,A794,Assignments!$AE:$AE, "Y",Assignments!$D:$D,"&gt;="&amp;TODAY()-30))</f>
        <v/>
      </c>
      <c r="T794" s="1" t="str">
        <f>IF(A794="","",COUNTIFS(Assignments!$AF:$AF,A794,Assignments!$AE:$AE, "Y",Assignments!$D:$D,"&gt;="&amp;TODAY()-30))</f>
        <v/>
      </c>
      <c r="U794" s="1" t="str">
        <f>IF(A794="","",IFERROR(S794/MAX(1,COUNTIFS(Assignments!$B:$B,A794,Assignments!$D:$D,"&gt;="&amp;TODAY()-30)),""))</f>
        <v/>
      </c>
      <c r="V794" s="1" t="str">
        <f t="shared" si="4"/>
        <v/>
      </c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 t="str">
        <f>IF(A795="","",IFERROR(AVERAGEIFS(Assignments!$AO:$AO,Assignments!$B:$B,A795,Assignments!$E:$E,"Completed"),""))</f>
        <v/>
      </c>
      <c r="L795" s="2"/>
      <c r="M795" s="2"/>
      <c r="N795" s="2"/>
      <c r="O795" s="2"/>
      <c r="P795" s="1" t="str">
        <f>IF(A795="","",MAX(0,MIN(3,SUMIFS(Strike_Log!$C:$C,Strike_Log!$B:$B,A795,Strike_Log!$A:$A,"&gt;="&amp;IF(Config!$B$1004="Y",TODAY()-Config!$B$1005,DATE(1900,1,1)),Strike_Log!$I:$I,1))))</f>
        <v/>
      </c>
      <c r="Q795" s="1"/>
      <c r="R795" s="1"/>
      <c r="S795" s="1" t="str">
        <f>IF(A795="","",COUNTIFS(Assignments!$B:$B,A795,Assignments!$AE:$AE, "Y",Assignments!$D:$D,"&gt;="&amp;TODAY()-30))</f>
        <v/>
      </c>
      <c r="T795" s="1" t="str">
        <f>IF(A795="","",COUNTIFS(Assignments!$AF:$AF,A795,Assignments!$AE:$AE, "Y",Assignments!$D:$D,"&gt;="&amp;TODAY()-30))</f>
        <v/>
      </c>
      <c r="U795" s="1" t="str">
        <f>IF(A795="","",IFERROR(S795/MAX(1,COUNTIFS(Assignments!$B:$B,A795,Assignments!$D:$D,"&gt;="&amp;TODAY()-30)),""))</f>
        <v/>
      </c>
      <c r="V795" s="1" t="str">
        <f t="shared" si="4"/>
        <v/>
      </c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 t="str">
        <f>IF(A796="","",IFERROR(AVERAGEIFS(Assignments!$AO:$AO,Assignments!$B:$B,A796,Assignments!$E:$E,"Completed"),""))</f>
        <v/>
      </c>
      <c r="L796" s="2"/>
      <c r="M796" s="2"/>
      <c r="N796" s="2"/>
      <c r="O796" s="2"/>
      <c r="P796" s="1" t="str">
        <f>IF(A796="","",MAX(0,MIN(3,SUMIFS(Strike_Log!$C:$C,Strike_Log!$B:$B,A796,Strike_Log!$A:$A,"&gt;="&amp;IF(Config!$B$1004="Y",TODAY()-Config!$B$1005,DATE(1900,1,1)),Strike_Log!$I:$I,1))))</f>
        <v/>
      </c>
      <c r="Q796" s="1"/>
      <c r="R796" s="1"/>
      <c r="S796" s="1" t="str">
        <f>IF(A796="","",COUNTIFS(Assignments!$B:$B,A796,Assignments!$AE:$AE, "Y",Assignments!$D:$D,"&gt;="&amp;TODAY()-30))</f>
        <v/>
      </c>
      <c r="T796" s="1" t="str">
        <f>IF(A796="","",COUNTIFS(Assignments!$AF:$AF,A796,Assignments!$AE:$AE, "Y",Assignments!$D:$D,"&gt;="&amp;TODAY()-30))</f>
        <v/>
      </c>
      <c r="U796" s="1" t="str">
        <f>IF(A796="","",IFERROR(S796/MAX(1,COUNTIFS(Assignments!$B:$B,A796,Assignments!$D:$D,"&gt;="&amp;TODAY()-30)),""))</f>
        <v/>
      </c>
      <c r="V796" s="1" t="str">
        <f t="shared" si="4"/>
        <v/>
      </c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 t="str">
        <f>IF(A797="","",IFERROR(AVERAGEIFS(Assignments!$AO:$AO,Assignments!$B:$B,A797,Assignments!$E:$E,"Completed"),""))</f>
        <v/>
      </c>
      <c r="L797" s="2"/>
      <c r="M797" s="2"/>
      <c r="N797" s="2"/>
      <c r="O797" s="2"/>
      <c r="P797" s="1" t="str">
        <f>IF(A797="","",MAX(0,MIN(3,SUMIFS(Strike_Log!$C:$C,Strike_Log!$B:$B,A797,Strike_Log!$A:$A,"&gt;="&amp;IF(Config!$B$1004="Y",TODAY()-Config!$B$1005,DATE(1900,1,1)),Strike_Log!$I:$I,1))))</f>
        <v/>
      </c>
      <c r="Q797" s="1"/>
      <c r="R797" s="1"/>
      <c r="S797" s="1" t="str">
        <f>IF(A797="","",COUNTIFS(Assignments!$B:$B,A797,Assignments!$AE:$AE, "Y",Assignments!$D:$D,"&gt;="&amp;TODAY()-30))</f>
        <v/>
      </c>
      <c r="T797" s="1" t="str">
        <f>IF(A797="","",COUNTIFS(Assignments!$AF:$AF,A797,Assignments!$AE:$AE, "Y",Assignments!$D:$D,"&gt;="&amp;TODAY()-30))</f>
        <v/>
      </c>
      <c r="U797" s="1" t="str">
        <f>IF(A797="","",IFERROR(S797/MAX(1,COUNTIFS(Assignments!$B:$B,A797,Assignments!$D:$D,"&gt;="&amp;TODAY()-30)),""))</f>
        <v/>
      </c>
      <c r="V797" s="1" t="str">
        <f t="shared" si="4"/>
        <v/>
      </c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 t="str">
        <f>IF(A798="","",IFERROR(AVERAGEIFS(Assignments!$AO:$AO,Assignments!$B:$B,A798,Assignments!$E:$E,"Completed"),""))</f>
        <v/>
      </c>
      <c r="L798" s="2"/>
      <c r="M798" s="2"/>
      <c r="N798" s="2"/>
      <c r="O798" s="2"/>
      <c r="P798" s="1" t="str">
        <f>IF(A798="","",MAX(0,MIN(3,SUMIFS(Strike_Log!$C:$C,Strike_Log!$B:$B,A798,Strike_Log!$A:$A,"&gt;="&amp;IF(Config!$B$1004="Y",TODAY()-Config!$B$1005,DATE(1900,1,1)),Strike_Log!$I:$I,1))))</f>
        <v/>
      </c>
      <c r="Q798" s="1"/>
      <c r="R798" s="1"/>
      <c r="S798" s="1" t="str">
        <f>IF(A798="","",COUNTIFS(Assignments!$B:$B,A798,Assignments!$AE:$AE, "Y",Assignments!$D:$D,"&gt;="&amp;TODAY()-30))</f>
        <v/>
      </c>
      <c r="T798" s="1" t="str">
        <f>IF(A798="","",COUNTIFS(Assignments!$AF:$AF,A798,Assignments!$AE:$AE, "Y",Assignments!$D:$D,"&gt;="&amp;TODAY()-30))</f>
        <v/>
      </c>
      <c r="U798" s="1" t="str">
        <f>IF(A798="","",IFERROR(S798/MAX(1,COUNTIFS(Assignments!$B:$B,A798,Assignments!$D:$D,"&gt;="&amp;TODAY()-30)),""))</f>
        <v/>
      </c>
      <c r="V798" s="1" t="str">
        <f t="shared" si="4"/>
        <v/>
      </c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 t="str">
        <f>IF(A799="","",IFERROR(AVERAGEIFS(Assignments!$AO:$AO,Assignments!$B:$B,A799,Assignments!$E:$E,"Completed"),""))</f>
        <v/>
      </c>
      <c r="L799" s="2"/>
      <c r="M799" s="2"/>
      <c r="N799" s="2"/>
      <c r="O799" s="2"/>
      <c r="P799" s="1" t="str">
        <f>IF(A799="","",MAX(0,MIN(3,SUMIFS(Strike_Log!$C:$C,Strike_Log!$B:$B,A799,Strike_Log!$A:$A,"&gt;="&amp;IF(Config!$B$1004="Y",TODAY()-Config!$B$1005,DATE(1900,1,1)),Strike_Log!$I:$I,1))))</f>
        <v/>
      </c>
      <c r="Q799" s="1"/>
      <c r="R799" s="1"/>
      <c r="S799" s="1" t="str">
        <f>IF(A799="","",COUNTIFS(Assignments!$B:$B,A799,Assignments!$AE:$AE, "Y",Assignments!$D:$D,"&gt;="&amp;TODAY()-30))</f>
        <v/>
      </c>
      <c r="T799" s="1" t="str">
        <f>IF(A799="","",COUNTIFS(Assignments!$AF:$AF,A799,Assignments!$AE:$AE, "Y",Assignments!$D:$D,"&gt;="&amp;TODAY()-30))</f>
        <v/>
      </c>
      <c r="U799" s="1" t="str">
        <f>IF(A799="","",IFERROR(S799/MAX(1,COUNTIFS(Assignments!$B:$B,A799,Assignments!$D:$D,"&gt;="&amp;TODAY()-30)),""))</f>
        <v/>
      </c>
      <c r="V799" s="1" t="str">
        <f t="shared" si="4"/>
        <v/>
      </c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 t="str">
        <f>IF(A800="","",IFERROR(AVERAGEIFS(Assignments!$AO:$AO,Assignments!$B:$B,A800,Assignments!$E:$E,"Completed"),""))</f>
        <v/>
      </c>
      <c r="L800" s="2"/>
      <c r="M800" s="2"/>
      <c r="N800" s="2"/>
      <c r="O800" s="2"/>
      <c r="P800" s="1" t="str">
        <f>IF(A800="","",MAX(0,MIN(3,SUMIFS(Strike_Log!$C:$C,Strike_Log!$B:$B,A800,Strike_Log!$A:$A,"&gt;="&amp;IF(Config!$B$1004="Y",TODAY()-Config!$B$1005,DATE(1900,1,1)),Strike_Log!$I:$I,1))))</f>
        <v/>
      </c>
      <c r="Q800" s="1"/>
      <c r="R800" s="1"/>
      <c r="S800" s="1" t="str">
        <f>IF(A800="","",COUNTIFS(Assignments!$B:$B,A800,Assignments!$AE:$AE, "Y",Assignments!$D:$D,"&gt;="&amp;TODAY()-30))</f>
        <v/>
      </c>
      <c r="T800" s="1" t="str">
        <f>IF(A800="","",COUNTIFS(Assignments!$AF:$AF,A800,Assignments!$AE:$AE, "Y",Assignments!$D:$D,"&gt;="&amp;TODAY()-30))</f>
        <v/>
      </c>
      <c r="U800" s="1" t="str">
        <f>IF(A800="","",IFERROR(S800/MAX(1,COUNTIFS(Assignments!$B:$B,A800,Assignments!$D:$D,"&gt;="&amp;TODAY()-30)),""))</f>
        <v/>
      </c>
      <c r="V800" s="1" t="str">
        <f t="shared" si="4"/>
        <v/>
      </c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 t="str">
        <f>IF(A801="","",IFERROR(AVERAGEIFS(Assignments!$AO:$AO,Assignments!$B:$B,A801,Assignments!$E:$E,"Completed"),""))</f>
        <v/>
      </c>
      <c r="L801" s="2"/>
      <c r="M801" s="2"/>
      <c r="N801" s="2"/>
      <c r="O801" s="2"/>
      <c r="P801" s="1" t="str">
        <f>IF(A801="","",MAX(0,MIN(3,SUMIFS(Strike_Log!$C:$C,Strike_Log!$B:$B,A801,Strike_Log!$A:$A,"&gt;="&amp;IF(Config!$B$1004="Y",TODAY()-Config!$B$1005,DATE(1900,1,1)),Strike_Log!$I:$I,1))))</f>
        <v/>
      </c>
      <c r="Q801" s="1"/>
      <c r="R801" s="1"/>
      <c r="S801" s="1" t="str">
        <f>IF(A801="","",COUNTIFS(Assignments!$B:$B,A801,Assignments!$AE:$AE, "Y",Assignments!$D:$D,"&gt;="&amp;TODAY()-30))</f>
        <v/>
      </c>
      <c r="T801" s="1" t="str">
        <f>IF(A801="","",COUNTIFS(Assignments!$AF:$AF,A801,Assignments!$AE:$AE, "Y",Assignments!$D:$D,"&gt;="&amp;TODAY()-30))</f>
        <v/>
      </c>
      <c r="U801" s="1" t="str">
        <f>IF(A801="","",IFERROR(S801/MAX(1,COUNTIFS(Assignments!$B:$B,A801,Assignments!$D:$D,"&gt;="&amp;TODAY()-30)),""))</f>
        <v/>
      </c>
      <c r="V801" s="1" t="str">
        <f t="shared" si="4"/>
        <v/>
      </c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 t="str">
        <f>IF(A802="","",IFERROR(AVERAGEIFS(Assignments!$AO:$AO,Assignments!$B:$B,A802,Assignments!$E:$E,"Completed"),""))</f>
        <v/>
      </c>
      <c r="L802" s="2"/>
      <c r="M802" s="2"/>
      <c r="N802" s="2"/>
      <c r="O802" s="2"/>
      <c r="P802" s="1" t="str">
        <f>IF(A802="","",MAX(0,MIN(3,SUMIFS(Strike_Log!$C:$C,Strike_Log!$B:$B,A802,Strike_Log!$A:$A,"&gt;="&amp;IF(Config!$B$1004="Y",TODAY()-Config!$B$1005,DATE(1900,1,1)),Strike_Log!$I:$I,1))))</f>
        <v/>
      </c>
      <c r="Q802" s="1"/>
      <c r="R802" s="1"/>
      <c r="S802" s="1" t="str">
        <f>IF(A802="","",COUNTIFS(Assignments!$B:$B,A802,Assignments!$AE:$AE, "Y",Assignments!$D:$D,"&gt;="&amp;TODAY()-30))</f>
        <v/>
      </c>
      <c r="T802" s="1" t="str">
        <f>IF(A802="","",COUNTIFS(Assignments!$AF:$AF,A802,Assignments!$AE:$AE, "Y",Assignments!$D:$D,"&gt;="&amp;TODAY()-30))</f>
        <v/>
      </c>
      <c r="U802" s="1" t="str">
        <f>IF(A802="","",IFERROR(S802/MAX(1,COUNTIFS(Assignments!$B:$B,A802,Assignments!$D:$D,"&gt;="&amp;TODAY()-30)),""))</f>
        <v/>
      </c>
      <c r="V802" s="1" t="str">
        <f t="shared" si="4"/>
        <v/>
      </c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 t="str">
        <f>IF(A803="","",IFERROR(AVERAGEIFS(Assignments!$AO:$AO,Assignments!$B:$B,A803,Assignments!$E:$E,"Completed"),""))</f>
        <v/>
      </c>
      <c r="L803" s="2"/>
      <c r="M803" s="2"/>
      <c r="N803" s="2"/>
      <c r="O803" s="2"/>
      <c r="P803" s="1" t="str">
        <f>IF(A803="","",MAX(0,MIN(3,SUMIFS(Strike_Log!$C:$C,Strike_Log!$B:$B,A803,Strike_Log!$A:$A,"&gt;="&amp;IF(Config!$B$1004="Y",TODAY()-Config!$B$1005,DATE(1900,1,1)),Strike_Log!$I:$I,1))))</f>
        <v/>
      </c>
      <c r="Q803" s="1"/>
      <c r="R803" s="1"/>
      <c r="S803" s="1" t="str">
        <f>IF(A803="","",COUNTIFS(Assignments!$B:$B,A803,Assignments!$AE:$AE, "Y",Assignments!$D:$D,"&gt;="&amp;TODAY()-30))</f>
        <v/>
      </c>
      <c r="T803" s="1" t="str">
        <f>IF(A803="","",COUNTIFS(Assignments!$AF:$AF,A803,Assignments!$AE:$AE, "Y",Assignments!$D:$D,"&gt;="&amp;TODAY()-30))</f>
        <v/>
      </c>
      <c r="U803" s="1" t="str">
        <f>IF(A803="","",IFERROR(S803/MAX(1,COUNTIFS(Assignments!$B:$B,A803,Assignments!$D:$D,"&gt;="&amp;TODAY()-30)),""))</f>
        <v/>
      </c>
      <c r="V803" s="1" t="str">
        <f t="shared" si="4"/>
        <v/>
      </c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 t="str">
        <f>IF(A804="","",IFERROR(AVERAGEIFS(Assignments!$AO:$AO,Assignments!$B:$B,A804,Assignments!$E:$E,"Completed"),""))</f>
        <v/>
      </c>
      <c r="L804" s="2"/>
      <c r="M804" s="2"/>
      <c r="N804" s="2"/>
      <c r="O804" s="2"/>
      <c r="P804" s="1" t="str">
        <f>IF(A804="","",MAX(0,MIN(3,SUMIFS(Strike_Log!$C:$C,Strike_Log!$B:$B,A804,Strike_Log!$A:$A,"&gt;="&amp;IF(Config!$B$1004="Y",TODAY()-Config!$B$1005,DATE(1900,1,1)),Strike_Log!$I:$I,1))))</f>
        <v/>
      </c>
      <c r="Q804" s="1"/>
      <c r="R804" s="1"/>
      <c r="S804" s="1" t="str">
        <f>IF(A804="","",COUNTIFS(Assignments!$B:$B,A804,Assignments!$AE:$AE, "Y",Assignments!$D:$D,"&gt;="&amp;TODAY()-30))</f>
        <v/>
      </c>
      <c r="T804" s="1" t="str">
        <f>IF(A804="","",COUNTIFS(Assignments!$AF:$AF,A804,Assignments!$AE:$AE, "Y",Assignments!$D:$D,"&gt;="&amp;TODAY()-30))</f>
        <v/>
      </c>
      <c r="U804" s="1" t="str">
        <f>IF(A804="","",IFERROR(S804/MAX(1,COUNTIFS(Assignments!$B:$B,A804,Assignments!$D:$D,"&gt;="&amp;TODAY()-30)),""))</f>
        <v/>
      </c>
      <c r="V804" s="1" t="str">
        <f t="shared" si="4"/>
        <v/>
      </c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 t="str">
        <f>IF(A805="","",IFERROR(AVERAGEIFS(Assignments!$AO:$AO,Assignments!$B:$B,A805,Assignments!$E:$E,"Completed"),""))</f>
        <v/>
      </c>
      <c r="L805" s="2"/>
      <c r="M805" s="2"/>
      <c r="N805" s="2"/>
      <c r="O805" s="2"/>
      <c r="P805" s="1" t="str">
        <f>IF(A805="","",MAX(0,MIN(3,SUMIFS(Strike_Log!$C:$C,Strike_Log!$B:$B,A805,Strike_Log!$A:$A,"&gt;="&amp;IF(Config!$B$1004="Y",TODAY()-Config!$B$1005,DATE(1900,1,1)),Strike_Log!$I:$I,1))))</f>
        <v/>
      </c>
      <c r="Q805" s="1"/>
      <c r="R805" s="1"/>
      <c r="S805" s="1" t="str">
        <f>IF(A805="","",COUNTIFS(Assignments!$B:$B,A805,Assignments!$AE:$AE, "Y",Assignments!$D:$D,"&gt;="&amp;TODAY()-30))</f>
        <v/>
      </c>
      <c r="T805" s="1" t="str">
        <f>IF(A805="","",COUNTIFS(Assignments!$AF:$AF,A805,Assignments!$AE:$AE, "Y",Assignments!$D:$D,"&gt;="&amp;TODAY()-30))</f>
        <v/>
      </c>
      <c r="U805" s="1" t="str">
        <f>IF(A805="","",IFERROR(S805/MAX(1,COUNTIFS(Assignments!$B:$B,A805,Assignments!$D:$D,"&gt;="&amp;TODAY()-30)),""))</f>
        <v/>
      </c>
      <c r="V805" s="1" t="str">
        <f t="shared" si="4"/>
        <v/>
      </c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 t="str">
        <f>IF(A806="","",IFERROR(AVERAGEIFS(Assignments!$AO:$AO,Assignments!$B:$B,A806,Assignments!$E:$E,"Completed"),""))</f>
        <v/>
      </c>
      <c r="L806" s="2"/>
      <c r="M806" s="2"/>
      <c r="N806" s="2"/>
      <c r="O806" s="2"/>
      <c r="P806" s="1" t="str">
        <f>IF(A806="","",MAX(0,MIN(3,SUMIFS(Strike_Log!$C:$C,Strike_Log!$B:$B,A806,Strike_Log!$A:$A,"&gt;="&amp;IF(Config!$B$1004="Y",TODAY()-Config!$B$1005,DATE(1900,1,1)),Strike_Log!$I:$I,1))))</f>
        <v/>
      </c>
      <c r="Q806" s="1"/>
      <c r="R806" s="1"/>
      <c r="S806" s="1" t="str">
        <f>IF(A806="","",COUNTIFS(Assignments!$B:$B,A806,Assignments!$AE:$AE, "Y",Assignments!$D:$D,"&gt;="&amp;TODAY()-30))</f>
        <v/>
      </c>
      <c r="T806" s="1" t="str">
        <f>IF(A806="","",COUNTIFS(Assignments!$AF:$AF,A806,Assignments!$AE:$AE, "Y",Assignments!$D:$D,"&gt;="&amp;TODAY()-30))</f>
        <v/>
      </c>
      <c r="U806" s="1" t="str">
        <f>IF(A806="","",IFERROR(S806/MAX(1,COUNTIFS(Assignments!$B:$B,A806,Assignments!$D:$D,"&gt;="&amp;TODAY()-30)),""))</f>
        <v/>
      </c>
      <c r="V806" s="1" t="str">
        <f t="shared" si="4"/>
        <v/>
      </c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 t="str">
        <f>IF(A807="","",IFERROR(AVERAGEIFS(Assignments!$AO:$AO,Assignments!$B:$B,A807,Assignments!$E:$E,"Completed"),""))</f>
        <v/>
      </c>
      <c r="L807" s="2"/>
      <c r="M807" s="2"/>
      <c r="N807" s="2"/>
      <c r="O807" s="2"/>
      <c r="P807" s="1" t="str">
        <f>IF(A807="","",MAX(0,MIN(3,SUMIFS(Strike_Log!$C:$C,Strike_Log!$B:$B,A807,Strike_Log!$A:$A,"&gt;="&amp;IF(Config!$B$1004="Y",TODAY()-Config!$B$1005,DATE(1900,1,1)),Strike_Log!$I:$I,1))))</f>
        <v/>
      </c>
      <c r="Q807" s="1"/>
      <c r="R807" s="1"/>
      <c r="S807" s="1" t="str">
        <f>IF(A807="","",COUNTIFS(Assignments!$B:$B,A807,Assignments!$AE:$AE, "Y",Assignments!$D:$D,"&gt;="&amp;TODAY()-30))</f>
        <v/>
      </c>
      <c r="T807" s="1" t="str">
        <f>IF(A807="","",COUNTIFS(Assignments!$AF:$AF,A807,Assignments!$AE:$AE, "Y",Assignments!$D:$D,"&gt;="&amp;TODAY()-30))</f>
        <v/>
      </c>
      <c r="U807" s="1" t="str">
        <f>IF(A807="","",IFERROR(S807/MAX(1,COUNTIFS(Assignments!$B:$B,A807,Assignments!$D:$D,"&gt;="&amp;TODAY()-30)),""))</f>
        <v/>
      </c>
      <c r="V807" s="1" t="str">
        <f t="shared" si="4"/>
        <v/>
      </c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 t="str">
        <f>IF(A808="","",IFERROR(AVERAGEIFS(Assignments!$AO:$AO,Assignments!$B:$B,A808,Assignments!$E:$E,"Completed"),""))</f>
        <v/>
      </c>
      <c r="L808" s="2"/>
      <c r="M808" s="2"/>
      <c r="N808" s="2"/>
      <c r="O808" s="2"/>
      <c r="P808" s="1" t="str">
        <f>IF(A808="","",MAX(0,MIN(3,SUMIFS(Strike_Log!$C:$C,Strike_Log!$B:$B,A808,Strike_Log!$A:$A,"&gt;="&amp;IF(Config!$B$1004="Y",TODAY()-Config!$B$1005,DATE(1900,1,1)),Strike_Log!$I:$I,1))))</f>
        <v/>
      </c>
      <c r="Q808" s="1"/>
      <c r="R808" s="1"/>
      <c r="S808" s="1" t="str">
        <f>IF(A808="","",COUNTIFS(Assignments!$B:$B,A808,Assignments!$AE:$AE, "Y",Assignments!$D:$D,"&gt;="&amp;TODAY()-30))</f>
        <v/>
      </c>
      <c r="T808" s="1" t="str">
        <f>IF(A808="","",COUNTIFS(Assignments!$AF:$AF,A808,Assignments!$AE:$AE, "Y",Assignments!$D:$D,"&gt;="&amp;TODAY()-30))</f>
        <v/>
      </c>
      <c r="U808" s="1" t="str">
        <f>IF(A808="","",IFERROR(S808/MAX(1,COUNTIFS(Assignments!$B:$B,A808,Assignments!$D:$D,"&gt;="&amp;TODAY()-30)),""))</f>
        <v/>
      </c>
      <c r="V808" s="1" t="str">
        <f t="shared" si="4"/>
        <v/>
      </c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 t="str">
        <f>IF(A809="","",IFERROR(AVERAGEIFS(Assignments!$AO:$AO,Assignments!$B:$B,A809,Assignments!$E:$E,"Completed"),""))</f>
        <v/>
      </c>
      <c r="L809" s="2"/>
      <c r="M809" s="2"/>
      <c r="N809" s="2"/>
      <c r="O809" s="2"/>
      <c r="P809" s="1" t="str">
        <f>IF(A809="","",MAX(0,MIN(3,SUMIFS(Strike_Log!$C:$C,Strike_Log!$B:$B,A809,Strike_Log!$A:$A,"&gt;="&amp;IF(Config!$B$1004="Y",TODAY()-Config!$B$1005,DATE(1900,1,1)),Strike_Log!$I:$I,1))))</f>
        <v/>
      </c>
      <c r="Q809" s="1"/>
      <c r="R809" s="1"/>
      <c r="S809" s="1" t="str">
        <f>IF(A809="","",COUNTIFS(Assignments!$B:$B,A809,Assignments!$AE:$AE, "Y",Assignments!$D:$D,"&gt;="&amp;TODAY()-30))</f>
        <v/>
      </c>
      <c r="T809" s="1" t="str">
        <f>IF(A809="","",COUNTIFS(Assignments!$AF:$AF,A809,Assignments!$AE:$AE, "Y",Assignments!$D:$D,"&gt;="&amp;TODAY()-30))</f>
        <v/>
      </c>
      <c r="U809" s="1" t="str">
        <f>IF(A809="","",IFERROR(S809/MAX(1,COUNTIFS(Assignments!$B:$B,A809,Assignments!$D:$D,"&gt;="&amp;TODAY()-30)),""))</f>
        <v/>
      </c>
      <c r="V809" s="1" t="str">
        <f t="shared" si="4"/>
        <v/>
      </c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 t="str">
        <f>IF(A810="","",IFERROR(AVERAGEIFS(Assignments!$AO:$AO,Assignments!$B:$B,A810,Assignments!$E:$E,"Completed"),""))</f>
        <v/>
      </c>
      <c r="L810" s="2"/>
      <c r="M810" s="2"/>
      <c r="N810" s="2"/>
      <c r="O810" s="2"/>
      <c r="P810" s="1" t="str">
        <f>IF(A810="","",MAX(0,MIN(3,SUMIFS(Strike_Log!$C:$C,Strike_Log!$B:$B,A810,Strike_Log!$A:$A,"&gt;="&amp;IF(Config!$B$1004="Y",TODAY()-Config!$B$1005,DATE(1900,1,1)),Strike_Log!$I:$I,1))))</f>
        <v/>
      </c>
      <c r="Q810" s="1"/>
      <c r="R810" s="1"/>
      <c r="S810" s="1" t="str">
        <f>IF(A810="","",COUNTIFS(Assignments!$B:$B,A810,Assignments!$AE:$AE, "Y",Assignments!$D:$D,"&gt;="&amp;TODAY()-30))</f>
        <v/>
      </c>
      <c r="T810" s="1" t="str">
        <f>IF(A810="","",COUNTIFS(Assignments!$AF:$AF,A810,Assignments!$AE:$AE, "Y",Assignments!$D:$D,"&gt;="&amp;TODAY()-30))</f>
        <v/>
      </c>
      <c r="U810" s="1" t="str">
        <f>IF(A810="","",IFERROR(S810/MAX(1,COUNTIFS(Assignments!$B:$B,A810,Assignments!$D:$D,"&gt;="&amp;TODAY()-30)),""))</f>
        <v/>
      </c>
      <c r="V810" s="1" t="str">
        <f t="shared" si="4"/>
        <v/>
      </c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 t="str">
        <f>IF(A811="","",IFERROR(AVERAGEIFS(Assignments!$AO:$AO,Assignments!$B:$B,A811,Assignments!$E:$E,"Completed"),""))</f>
        <v/>
      </c>
      <c r="L811" s="2"/>
      <c r="M811" s="2"/>
      <c r="N811" s="2"/>
      <c r="O811" s="2"/>
      <c r="P811" s="1" t="str">
        <f>IF(A811="","",MAX(0,MIN(3,SUMIFS(Strike_Log!$C:$C,Strike_Log!$B:$B,A811,Strike_Log!$A:$A,"&gt;="&amp;IF(Config!$B$1004="Y",TODAY()-Config!$B$1005,DATE(1900,1,1)),Strike_Log!$I:$I,1))))</f>
        <v/>
      </c>
      <c r="Q811" s="1"/>
      <c r="R811" s="1"/>
      <c r="S811" s="1" t="str">
        <f>IF(A811="","",COUNTIFS(Assignments!$B:$B,A811,Assignments!$AE:$AE, "Y",Assignments!$D:$D,"&gt;="&amp;TODAY()-30))</f>
        <v/>
      </c>
      <c r="T811" s="1" t="str">
        <f>IF(A811="","",COUNTIFS(Assignments!$AF:$AF,A811,Assignments!$AE:$AE, "Y",Assignments!$D:$D,"&gt;="&amp;TODAY()-30))</f>
        <v/>
      </c>
      <c r="U811" s="1" t="str">
        <f>IF(A811="","",IFERROR(S811/MAX(1,COUNTIFS(Assignments!$B:$B,A811,Assignments!$D:$D,"&gt;="&amp;TODAY()-30)),""))</f>
        <v/>
      </c>
      <c r="V811" s="1" t="str">
        <f t="shared" si="4"/>
        <v/>
      </c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 t="str">
        <f>IF(A812="","",IFERROR(AVERAGEIFS(Assignments!$AO:$AO,Assignments!$B:$B,A812,Assignments!$E:$E,"Completed"),""))</f>
        <v/>
      </c>
      <c r="L812" s="2"/>
      <c r="M812" s="2"/>
      <c r="N812" s="2"/>
      <c r="O812" s="2"/>
      <c r="P812" s="1" t="str">
        <f>IF(A812="","",MAX(0,MIN(3,SUMIFS(Strike_Log!$C:$C,Strike_Log!$B:$B,A812,Strike_Log!$A:$A,"&gt;="&amp;IF(Config!$B$1004="Y",TODAY()-Config!$B$1005,DATE(1900,1,1)),Strike_Log!$I:$I,1))))</f>
        <v/>
      </c>
      <c r="Q812" s="1"/>
      <c r="R812" s="1"/>
      <c r="S812" s="1" t="str">
        <f>IF(A812="","",COUNTIFS(Assignments!$B:$B,A812,Assignments!$AE:$AE, "Y",Assignments!$D:$D,"&gt;="&amp;TODAY()-30))</f>
        <v/>
      </c>
      <c r="T812" s="1" t="str">
        <f>IF(A812="","",COUNTIFS(Assignments!$AF:$AF,A812,Assignments!$AE:$AE, "Y",Assignments!$D:$D,"&gt;="&amp;TODAY()-30))</f>
        <v/>
      </c>
      <c r="U812" s="1" t="str">
        <f>IF(A812="","",IFERROR(S812/MAX(1,COUNTIFS(Assignments!$B:$B,A812,Assignments!$D:$D,"&gt;="&amp;TODAY()-30)),""))</f>
        <v/>
      </c>
      <c r="V812" s="1" t="str">
        <f t="shared" si="4"/>
        <v/>
      </c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 t="str">
        <f>IF(A813="","",IFERROR(AVERAGEIFS(Assignments!$AO:$AO,Assignments!$B:$B,A813,Assignments!$E:$E,"Completed"),""))</f>
        <v/>
      </c>
      <c r="L813" s="2"/>
      <c r="M813" s="2"/>
      <c r="N813" s="2"/>
      <c r="O813" s="2"/>
      <c r="P813" s="1" t="str">
        <f>IF(A813="","",MAX(0,MIN(3,SUMIFS(Strike_Log!$C:$C,Strike_Log!$B:$B,A813,Strike_Log!$A:$A,"&gt;="&amp;IF(Config!$B$1004="Y",TODAY()-Config!$B$1005,DATE(1900,1,1)),Strike_Log!$I:$I,1))))</f>
        <v/>
      </c>
      <c r="Q813" s="1"/>
      <c r="R813" s="1"/>
      <c r="S813" s="1" t="str">
        <f>IF(A813="","",COUNTIFS(Assignments!$B:$B,A813,Assignments!$AE:$AE, "Y",Assignments!$D:$D,"&gt;="&amp;TODAY()-30))</f>
        <v/>
      </c>
      <c r="T813" s="1" t="str">
        <f>IF(A813="","",COUNTIFS(Assignments!$AF:$AF,A813,Assignments!$AE:$AE, "Y",Assignments!$D:$D,"&gt;="&amp;TODAY()-30))</f>
        <v/>
      </c>
      <c r="U813" s="1" t="str">
        <f>IF(A813="","",IFERROR(S813/MAX(1,COUNTIFS(Assignments!$B:$B,A813,Assignments!$D:$D,"&gt;="&amp;TODAY()-30)),""))</f>
        <v/>
      </c>
      <c r="V813" s="1" t="str">
        <f t="shared" si="4"/>
        <v/>
      </c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 t="str">
        <f>IF(A814="","",IFERROR(AVERAGEIFS(Assignments!$AO:$AO,Assignments!$B:$B,A814,Assignments!$E:$E,"Completed"),""))</f>
        <v/>
      </c>
      <c r="L814" s="2"/>
      <c r="M814" s="2"/>
      <c r="N814" s="2"/>
      <c r="O814" s="2"/>
      <c r="P814" s="1" t="str">
        <f>IF(A814="","",MAX(0,MIN(3,SUMIFS(Strike_Log!$C:$C,Strike_Log!$B:$B,A814,Strike_Log!$A:$A,"&gt;="&amp;IF(Config!$B$1004="Y",TODAY()-Config!$B$1005,DATE(1900,1,1)),Strike_Log!$I:$I,1))))</f>
        <v/>
      </c>
      <c r="Q814" s="1"/>
      <c r="R814" s="1"/>
      <c r="S814" s="1" t="str">
        <f>IF(A814="","",COUNTIFS(Assignments!$B:$B,A814,Assignments!$AE:$AE, "Y",Assignments!$D:$D,"&gt;="&amp;TODAY()-30))</f>
        <v/>
      </c>
      <c r="T814" s="1" t="str">
        <f>IF(A814="","",COUNTIFS(Assignments!$AF:$AF,A814,Assignments!$AE:$AE, "Y",Assignments!$D:$D,"&gt;="&amp;TODAY()-30))</f>
        <v/>
      </c>
      <c r="U814" s="1" t="str">
        <f>IF(A814="","",IFERROR(S814/MAX(1,COUNTIFS(Assignments!$B:$B,A814,Assignments!$D:$D,"&gt;="&amp;TODAY()-30)),""))</f>
        <v/>
      </c>
      <c r="V814" s="1" t="str">
        <f t="shared" si="4"/>
        <v/>
      </c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 t="str">
        <f>IF(A815="","",IFERROR(AVERAGEIFS(Assignments!$AO:$AO,Assignments!$B:$B,A815,Assignments!$E:$E,"Completed"),""))</f>
        <v/>
      </c>
      <c r="L815" s="2"/>
      <c r="M815" s="2"/>
      <c r="N815" s="2"/>
      <c r="O815" s="2"/>
      <c r="P815" s="1" t="str">
        <f>IF(A815="","",MAX(0,MIN(3,SUMIFS(Strike_Log!$C:$C,Strike_Log!$B:$B,A815,Strike_Log!$A:$A,"&gt;="&amp;IF(Config!$B$1004="Y",TODAY()-Config!$B$1005,DATE(1900,1,1)),Strike_Log!$I:$I,1))))</f>
        <v/>
      </c>
      <c r="Q815" s="1"/>
      <c r="R815" s="1"/>
      <c r="S815" s="1" t="str">
        <f>IF(A815="","",COUNTIFS(Assignments!$B:$B,A815,Assignments!$AE:$AE, "Y",Assignments!$D:$D,"&gt;="&amp;TODAY()-30))</f>
        <v/>
      </c>
      <c r="T815" s="1" t="str">
        <f>IF(A815="","",COUNTIFS(Assignments!$AF:$AF,A815,Assignments!$AE:$AE, "Y",Assignments!$D:$D,"&gt;="&amp;TODAY()-30))</f>
        <v/>
      </c>
      <c r="U815" s="1" t="str">
        <f>IF(A815="","",IFERROR(S815/MAX(1,COUNTIFS(Assignments!$B:$B,A815,Assignments!$D:$D,"&gt;="&amp;TODAY()-30)),""))</f>
        <v/>
      </c>
      <c r="V815" s="1" t="str">
        <f t="shared" si="4"/>
        <v/>
      </c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 t="str">
        <f>IF(A816="","",IFERROR(AVERAGEIFS(Assignments!$AO:$AO,Assignments!$B:$B,A816,Assignments!$E:$E,"Completed"),""))</f>
        <v/>
      </c>
      <c r="L816" s="2"/>
      <c r="M816" s="2"/>
      <c r="N816" s="2"/>
      <c r="O816" s="2"/>
      <c r="P816" s="1" t="str">
        <f>IF(A816="","",MAX(0,MIN(3,SUMIFS(Strike_Log!$C:$C,Strike_Log!$B:$B,A816,Strike_Log!$A:$A,"&gt;="&amp;IF(Config!$B$1004="Y",TODAY()-Config!$B$1005,DATE(1900,1,1)),Strike_Log!$I:$I,1))))</f>
        <v/>
      </c>
      <c r="Q816" s="1"/>
      <c r="R816" s="1"/>
      <c r="S816" s="1" t="str">
        <f>IF(A816="","",COUNTIFS(Assignments!$B:$B,A816,Assignments!$AE:$AE, "Y",Assignments!$D:$D,"&gt;="&amp;TODAY()-30))</f>
        <v/>
      </c>
      <c r="T816" s="1" t="str">
        <f>IF(A816="","",COUNTIFS(Assignments!$AF:$AF,A816,Assignments!$AE:$AE, "Y",Assignments!$D:$D,"&gt;="&amp;TODAY()-30))</f>
        <v/>
      </c>
      <c r="U816" s="1" t="str">
        <f>IF(A816="","",IFERROR(S816/MAX(1,COUNTIFS(Assignments!$B:$B,A816,Assignments!$D:$D,"&gt;="&amp;TODAY()-30)),""))</f>
        <v/>
      </c>
      <c r="V816" s="1" t="str">
        <f t="shared" si="4"/>
        <v/>
      </c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 t="str">
        <f>IF(A817="","",IFERROR(AVERAGEIFS(Assignments!$AO:$AO,Assignments!$B:$B,A817,Assignments!$E:$E,"Completed"),""))</f>
        <v/>
      </c>
      <c r="L817" s="2"/>
      <c r="M817" s="2"/>
      <c r="N817" s="2"/>
      <c r="O817" s="2"/>
      <c r="P817" s="1" t="str">
        <f>IF(A817="","",MAX(0,MIN(3,SUMIFS(Strike_Log!$C:$C,Strike_Log!$B:$B,A817,Strike_Log!$A:$A,"&gt;="&amp;IF(Config!$B$1004="Y",TODAY()-Config!$B$1005,DATE(1900,1,1)),Strike_Log!$I:$I,1))))</f>
        <v/>
      </c>
      <c r="Q817" s="1"/>
      <c r="R817" s="1"/>
      <c r="S817" s="1" t="str">
        <f>IF(A817="","",COUNTIFS(Assignments!$B:$B,A817,Assignments!$AE:$AE, "Y",Assignments!$D:$D,"&gt;="&amp;TODAY()-30))</f>
        <v/>
      </c>
      <c r="T817" s="1" t="str">
        <f>IF(A817="","",COUNTIFS(Assignments!$AF:$AF,A817,Assignments!$AE:$AE, "Y",Assignments!$D:$D,"&gt;="&amp;TODAY()-30))</f>
        <v/>
      </c>
      <c r="U817" s="1" t="str">
        <f>IF(A817="","",IFERROR(S817/MAX(1,COUNTIFS(Assignments!$B:$B,A817,Assignments!$D:$D,"&gt;="&amp;TODAY()-30)),""))</f>
        <v/>
      </c>
      <c r="V817" s="1" t="str">
        <f t="shared" si="4"/>
        <v/>
      </c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 t="str">
        <f>IF(A818="","",IFERROR(AVERAGEIFS(Assignments!$AO:$AO,Assignments!$B:$B,A818,Assignments!$E:$E,"Completed"),""))</f>
        <v/>
      </c>
      <c r="L818" s="2"/>
      <c r="M818" s="2"/>
      <c r="N818" s="2"/>
      <c r="O818" s="2"/>
      <c r="P818" s="1" t="str">
        <f>IF(A818="","",MAX(0,MIN(3,SUMIFS(Strike_Log!$C:$C,Strike_Log!$B:$B,A818,Strike_Log!$A:$A,"&gt;="&amp;IF(Config!$B$1004="Y",TODAY()-Config!$B$1005,DATE(1900,1,1)),Strike_Log!$I:$I,1))))</f>
        <v/>
      </c>
      <c r="Q818" s="1"/>
      <c r="R818" s="1"/>
      <c r="S818" s="1" t="str">
        <f>IF(A818="","",COUNTIFS(Assignments!$B:$B,A818,Assignments!$AE:$AE, "Y",Assignments!$D:$D,"&gt;="&amp;TODAY()-30))</f>
        <v/>
      </c>
      <c r="T818" s="1" t="str">
        <f>IF(A818="","",COUNTIFS(Assignments!$AF:$AF,A818,Assignments!$AE:$AE, "Y",Assignments!$D:$D,"&gt;="&amp;TODAY()-30))</f>
        <v/>
      </c>
      <c r="U818" s="1" t="str">
        <f>IF(A818="","",IFERROR(S818/MAX(1,COUNTIFS(Assignments!$B:$B,A818,Assignments!$D:$D,"&gt;="&amp;TODAY()-30)),""))</f>
        <v/>
      </c>
      <c r="V818" s="1" t="str">
        <f t="shared" si="4"/>
        <v/>
      </c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 t="str">
        <f>IF(A819="","",IFERROR(AVERAGEIFS(Assignments!$AO:$AO,Assignments!$B:$B,A819,Assignments!$E:$E,"Completed"),""))</f>
        <v/>
      </c>
      <c r="L819" s="2"/>
      <c r="M819" s="2"/>
      <c r="N819" s="2"/>
      <c r="O819" s="2"/>
      <c r="P819" s="1" t="str">
        <f>IF(A819="","",MAX(0,MIN(3,SUMIFS(Strike_Log!$C:$C,Strike_Log!$B:$B,A819,Strike_Log!$A:$A,"&gt;="&amp;IF(Config!$B$1004="Y",TODAY()-Config!$B$1005,DATE(1900,1,1)),Strike_Log!$I:$I,1))))</f>
        <v/>
      </c>
      <c r="Q819" s="1"/>
      <c r="R819" s="1"/>
      <c r="S819" s="1" t="str">
        <f>IF(A819="","",COUNTIFS(Assignments!$B:$B,A819,Assignments!$AE:$AE, "Y",Assignments!$D:$D,"&gt;="&amp;TODAY()-30))</f>
        <v/>
      </c>
      <c r="T819" s="1" t="str">
        <f>IF(A819="","",COUNTIFS(Assignments!$AF:$AF,A819,Assignments!$AE:$AE, "Y",Assignments!$D:$D,"&gt;="&amp;TODAY()-30))</f>
        <v/>
      </c>
      <c r="U819" s="1" t="str">
        <f>IF(A819="","",IFERROR(S819/MAX(1,COUNTIFS(Assignments!$B:$B,A819,Assignments!$D:$D,"&gt;="&amp;TODAY()-30)),""))</f>
        <v/>
      </c>
      <c r="V819" s="1" t="str">
        <f t="shared" si="4"/>
        <v/>
      </c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 t="str">
        <f>IF(A820="","",IFERROR(AVERAGEIFS(Assignments!$AO:$AO,Assignments!$B:$B,A820,Assignments!$E:$E,"Completed"),""))</f>
        <v/>
      </c>
      <c r="L820" s="2"/>
      <c r="M820" s="2"/>
      <c r="N820" s="2"/>
      <c r="O820" s="2"/>
      <c r="P820" s="1" t="str">
        <f>IF(A820="","",MAX(0,MIN(3,SUMIFS(Strike_Log!$C:$C,Strike_Log!$B:$B,A820,Strike_Log!$A:$A,"&gt;="&amp;IF(Config!$B$1004="Y",TODAY()-Config!$B$1005,DATE(1900,1,1)),Strike_Log!$I:$I,1))))</f>
        <v/>
      </c>
      <c r="Q820" s="1"/>
      <c r="R820" s="1"/>
      <c r="S820" s="1" t="str">
        <f>IF(A820="","",COUNTIFS(Assignments!$B:$B,A820,Assignments!$AE:$AE, "Y",Assignments!$D:$D,"&gt;="&amp;TODAY()-30))</f>
        <v/>
      </c>
      <c r="T820" s="1" t="str">
        <f>IF(A820="","",COUNTIFS(Assignments!$AF:$AF,A820,Assignments!$AE:$AE, "Y",Assignments!$D:$D,"&gt;="&amp;TODAY()-30))</f>
        <v/>
      </c>
      <c r="U820" s="1" t="str">
        <f>IF(A820="","",IFERROR(S820/MAX(1,COUNTIFS(Assignments!$B:$B,A820,Assignments!$D:$D,"&gt;="&amp;TODAY()-30)),""))</f>
        <v/>
      </c>
      <c r="V820" s="1" t="str">
        <f t="shared" si="4"/>
        <v/>
      </c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 t="str">
        <f>IF(A821="","",IFERROR(AVERAGEIFS(Assignments!$AO:$AO,Assignments!$B:$B,A821,Assignments!$E:$E,"Completed"),""))</f>
        <v/>
      </c>
      <c r="L821" s="2"/>
      <c r="M821" s="2"/>
      <c r="N821" s="2"/>
      <c r="O821" s="2"/>
      <c r="P821" s="1" t="str">
        <f>IF(A821="","",MAX(0,MIN(3,SUMIFS(Strike_Log!$C:$C,Strike_Log!$B:$B,A821,Strike_Log!$A:$A,"&gt;="&amp;IF(Config!$B$1004="Y",TODAY()-Config!$B$1005,DATE(1900,1,1)),Strike_Log!$I:$I,1))))</f>
        <v/>
      </c>
      <c r="Q821" s="1"/>
      <c r="R821" s="1"/>
      <c r="S821" s="1" t="str">
        <f>IF(A821="","",COUNTIFS(Assignments!$B:$B,A821,Assignments!$AE:$AE, "Y",Assignments!$D:$D,"&gt;="&amp;TODAY()-30))</f>
        <v/>
      </c>
      <c r="T821" s="1" t="str">
        <f>IF(A821="","",COUNTIFS(Assignments!$AF:$AF,A821,Assignments!$AE:$AE, "Y",Assignments!$D:$D,"&gt;="&amp;TODAY()-30))</f>
        <v/>
      </c>
      <c r="U821" s="1" t="str">
        <f>IF(A821="","",IFERROR(S821/MAX(1,COUNTIFS(Assignments!$B:$B,A821,Assignments!$D:$D,"&gt;="&amp;TODAY()-30)),""))</f>
        <v/>
      </c>
      <c r="V821" s="1" t="str">
        <f t="shared" si="4"/>
        <v/>
      </c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 t="str">
        <f>IF(A822="","",IFERROR(AVERAGEIFS(Assignments!$AO:$AO,Assignments!$B:$B,A822,Assignments!$E:$E,"Completed"),""))</f>
        <v/>
      </c>
      <c r="L822" s="2"/>
      <c r="M822" s="2"/>
      <c r="N822" s="2"/>
      <c r="O822" s="2"/>
      <c r="P822" s="1" t="str">
        <f>IF(A822="","",MAX(0,MIN(3,SUMIFS(Strike_Log!$C:$C,Strike_Log!$B:$B,A822,Strike_Log!$A:$A,"&gt;="&amp;IF(Config!$B$1004="Y",TODAY()-Config!$B$1005,DATE(1900,1,1)),Strike_Log!$I:$I,1))))</f>
        <v/>
      </c>
      <c r="Q822" s="1"/>
      <c r="R822" s="1"/>
      <c r="S822" s="1" t="str">
        <f>IF(A822="","",COUNTIFS(Assignments!$B:$B,A822,Assignments!$AE:$AE, "Y",Assignments!$D:$D,"&gt;="&amp;TODAY()-30))</f>
        <v/>
      </c>
      <c r="T822" s="1" t="str">
        <f>IF(A822="","",COUNTIFS(Assignments!$AF:$AF,A822,Assignments!$AE:$AE, "Y",Assignments!$D:$D,"&gt;="&amp;TODAY()-30))</f>
        <v/>
      </c>
      <c r="U822" s="1" t="str">
        <f>IF(A822="","",IFERROR(S822/MAX(1,COUNTIFS(Assignments!$B:$B,A822,Assignments!$D:$D,"&gt;="&amp;TODAY()-30)),""))</f>
        <v/>
      </c>
      <c r="V822" s="1" t="str">
        <f t="shared" si="4"/>
        <v/>
      </c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 t="str">
        <f>IF(A823="","",IFERROR(AVERAGEIFS(Assignments!$AO:$AO,Assignments!$B:$B,A823,Assignments!$E:$E,"Completed"),""))</f>
        <v/>
      </c>
      <c r="L823" s="2"/>
      <c r="M823" s="2"/>
      <c r="N823" s="2"/>
      <c r="O823" s="2"/>
      <c r="P823" s="1" t="str">
        <f>IF(A823="","",MAX(0,MIN(3,SUMIFS(Strike_Log!$C:$C,Strike_Log!$B:$B,A823,Strike_Log!$A:$A,"&gt;="&amp;IF(Config!$B$1004="Y",TODAY()-Config!$B$1005,DATE(1900,1,1)),Strike_Log!$I:$I,1))))</f>
        <v/>
      </c>
      <c r="Q823" s="1"/>
      <c r="R823" s="1"/>
      <c r="S823" s="1" t="str">
        <f>IF(A823="","",COUNTIFS(Assignments!$B:$B,A823,Assignments!$AE:$AE, "Y",Assignments!$D:$D,"&gt;="&amp;TODAY()-30))</f>
        <v/>
      </c>
      <c r="T823" s="1" t="str">
        <f>IF(A823="","",COUNTIFS(Assignments!$AF:$AF,A823,Assignments!$AE:$AE, "Y",Assignments!$D:$D,"&gt;="&amp;TODAY()-30))</f>
        <v/>
      </c>
      <c r="U823" s="1" t="str">
        <f>IF(A823="","",IFERROR(S823/MAX(1,COUNTIFS(Assignments!$B:$B,A823,Assignments!$D:$D,"&gt;="&amp;TODAY()-30)),""))</f>
        <v/>
      </c>
      <c r="V823" s="1" t="str">
        <f t="shared" si="4"/>
        <v/>
      </c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 t="str">
        <f>IF(A824="","",IFERROR(AVERAGEIFS(Assignments!$AO:$AO,Assignments!$B:$B,A824,Assignments!$E:$E,"Completed"),""))</f>
        <v/>
      </c>
      <c r="L824" s="2"/>
      <c r="M824" s="2"/>
      <c r="N824" s="2"/>
      <c r="O824" s="2"/>
      <c r="P824" s="1" t="str">
        <f>IF(A824="","",MAX(0,MIN(3,SUMIFS(Strike_Log!$C:$C,Strike_Log!$B:$B,A824,Strike_Log!$A:$A,"&gt;="&amp;IF(Config!$B$1004="Y",TODAY()-Config!$B$1005,DATE(1900,1,1)),Strike_Log!$I:$I,1))))</f>
        <v/>
      </c>
      <c r="Q824" s="1"/>
      <c r="R824" s="1"/>
      <c r="S824" s="1" t="str">
        <f>IF(A824="","",COUNTIFS(Assignments!$B:$B,A824,Assignments!$AE:$AE, "Y",Assignments!$D:$D,"&gt;="&amp;TODAY()-30))</f>
        <v/>
      </c>
      <c r="T824" s="1" t="str">
        <f>IF(A824="","",COUNTIFS(Assignments!$AF:$AF,A824,Assignments!$AE:$AE, "Y",Assignments!$D:$D,"&gt;="&amp;TODAY()-30))</f>
        <v/>
      </c>
      <c r="U824" s="1" t="str">
        <f>IF(A824="","",IFERROR(S824/MAX(1,COUNTIFS(Assignments!$B:$B,A824,Assignments!$D:$D,"&gt;="&amp;TODAY()-30)),""))</f>
        <v/>
      </c>
      <c r="V824" s="1" t="str">
        <f t="shared" si="4"/>
        <v/>
      </c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 t="str">
        <f>IF(A825="","",IFERROR(AVERAGEIFS(Assignments!$AO:$AO,Assignments!$B:$B,A825,Assignments!$E:$E,"Completed"),""))</f>
        <v/>
      </c>
      <c r="L825" s="2"/>
      <c r="M825" s="2"/>
      <c r="N825" s="2"/>
      <c r="O825" s="2"/>
      <c r="P825" s="1" t="str">
        <f>IF(A825="","",MAX(0,MIN(3,SUMIFS(Strike_Log!$C:$C,Strike_Log!$B:$B,A825,Strike_Log!$A:$A,"&gt;="&amp;IF(Config!$B$1004="Y",TODAY()-Config!$B$1005,DATE(1900,1,1)),Strike_Log!$I:$I,1))))</f>
        <v/>
      </c>
      <c r="Q825" s="1"/>
      <c r="R825" s="1"/>
      <c r="S825" s="1" t="str">
        <f>IF(A825="","",COUNTIFS(Assignments!$B:$B,A825,Assignments!$AE:$AE, "Y",Assignments!$D:$D,"&gt;="&amp;TODAY()-30))</f>
        <v/>
      </c>
      <c r="T825" s="1" t="str">
        <f>IF(A825="","",COUNTIFS(Assignments!$AF:$AF,A825,Assignments!$AE:$AE, "Y",Assignments!$D:$D,"&gt;="&amp;TODAY()-30))</f>
        <v/>
      </c>
      <c r="U825" s="1" t="str">
        <f>IF(A825="","",IFERROR(S825/MAX(1,COUNTIFS(Assignments!$B:$B,A825,Assignments!$D:$D,"&gt;="&amp;TODAY()-30)),""))</f>
        <v/>
      </c>
      <c r="V825" s="1" t="str">
        <f t="shared" si="4"/>
        <v/>
      </c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 t="str">
        <f>IF(A826="","",IFERROR(AVERAGEIFS(Assignments!$AO:$AO,Assignments!$B:$B,A826,Assignments!$E:$E,"Completed"),""))</f>
        <v/>
      </c>
      <c r="L826" s="2"/>
      <c r="M826" s="2"/>
      <c r="N826" s="2"/>
      <c r="O826" s="2"/>
      <c r="P826" s="1" t="str">
        <f>IF(A826="","",MAX(0,MIN(3,SUMIFS(Strike_Log!$C:$C,Strike_Log!$B:$B,A826,Strike_Log!$A:$A,"&gt;="&amp;IF(Config!$B$1004="Y",TODAY()-Config!$B$1005,DATE(1900,1,1)),Strike_Log!$I:$I,1))))</f>
        <v/>
      </c>
      <c r="Q826" s="1"/>
      <c r="R826" s="1"/>
      <c r="S826" s="1" t="str">
        <f>IF(A826="","",COUNTIFS(Assignments!$B:$B,A826,Assignments!$AE:$AE, "Y",Assignments!$D:$D,"&gt;="&amp;TODAY()-30))</f>
        <v/>
      </c>
      <c r="T826" s="1" t="str">
        <f>IF(A826="","",COUNTIFS(Assignments!$AF:$AF,A826,Assignments!$AE:$AE, "Y",Assignments!$D:$D,"&gt;="&amp;TODAY()-30))</f>
        <v/>
      </c>
      <c r="U826" s="1" t="str">
        <f>IF(A826="","",IFERROR(S826/MAX(1,COUNTIFS(Assignments!$B:$B,A826,Assignments!$D:$D,"&gt;="&amp;TODAY()-30)),""))</f>
        <v/>
      </c>
      <c r="V826" s="1" t="str">
        <f t="shared" si="4"/>
        <v/>
      </c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 t="str">
        <f>IF(A827="","",IFERROR(AVERAGEIFS(Assignments!$AO:$AO,Assignments!$B:$B,A827,Assignments!$E:$E,"Completed"),""))</f>
        <v/>
      </c>
      <c r="L827" s="2"/>
      <c r="M827" s="2"/>
      <c r="N827" s="2"/>
      <c r="O827" s="2"/>
      <c r="P827" s="1" t="str">
        <f>IF(A827="","",MAX(0,MIN(3,SUMIFS(Strike_Log!$C:$C,Strike_Log!$B:$B,A827,Strike_Log!$A:$A,"&gt;="&amp;IF(Config!$B$1004="Y",TODAY()-Config!$B$1005,DATE(1900,1,1)),Strike_Log!$I:$I,1))))</f>
        <v/>
      </c>
      <c r="Q827" s="1"/>
      <c r="R827" s="1"/>
      <c r="S827" s="1" t="str">
        <f>IF(A827="","",COUNTIFS(Assignments!$B:$B,A827,Assignments!$AE:$AE, "Y",Assignments!$D:$D,"&gt;="&amp;TODAY()-30))</f>
        <v/>
      </c>
      <c r="T827" s="1" t="str">
        <f>IF(A827="","",COUNTIFS(Assignments!$AF:$AF,A827,Assignments!$AE:$AE, "Y",Assignments!$D:$D,"&gt;="&amp;TODAY()-30))</f>
        <v/>
      </c>
      <c r="U827" s="1" t="str">
        <f>IF(A827="","",IFERROR(S827/MAX(1,COUNTIFS(Assignments!$B:$B,A827,Assignments!$D:$D,"&gt;="&amp;TODAY()-30)),""))</f>
        <v/>
      </c>
      <c r="V827" s="1" t="str">
        <f t="shared" si="4"/>
        <v/>
      </c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 t="str">
        <f>IF(A828="","",IFERROR(AVERAGEIFS(Assignments!$AO:$AO,Assignments!$B:$B,A828,Assignments!$E:$E,"Completed"),""))</f>
        <v/>
      </c>
      <c r="L828" s="2"/>
      <c r="M828" s="2"/>
      <c r="N828" s="2"/>
      <c r="O828" s="2"/>
      <c r="P828" s="1" t="str">
        <f>IF(A828="","",MAX(0,MIN(3,SUMIFS(Strike_Log!$C:$C,Strike_Log!$B:$B,A828,Strike_Log!$A:$A,"&gt;="&amp;IF(Config!$B$1004="Y",TODAY()-Config!$B$1005,DATE(1900,1,1)),Strike_Log!$I:$I,1))))</f>
        <v/>
      </c>
      <c r="Q828" s="1"/>
      <c r="R828" s="1"/>
      <c r="S828" s="1" t="str">
        <f>IF(A828="","",COUNTIFS(Assignments!$B:$B,A828,Assignments!$AE:$AE, "Y",Assignments!$D:$D,"&gt;="&amp;TODAY()-30))</f>
        <v/>
      </c>
      <c r="T828" s="1" t="str">
        <f>IF(A828="","",COUNTIFS(Assignments!$AF:$AF,A828,Assignments!$AE:$AE, "Y",Assignments!$D:$D,"&gt;="&amp;TODAY()-30))</f>
        <v/>
      </c>
      <c r="U828" s="1" t="str">
        <f>IF(A828="","",IFERROR(S828/MAX(1,COUNTIFS(Assignments!$B:$B,A828,Assignments!$D:$D,"&gt;="&amp;TODAY()-30)),""))</f>
        <v/>
      </c>
      <c r="V828" s="1" t="str">
        <f t="shared" si="4"/>
        <v/>
      </c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 t="str">
        <f>IF(A829="","",IFERROR(AVERAGEIFS(Assignments!$AO:$AO,Assignments!$B:$B,A829,Assignments!$E:$E,"Completed"),""))</f>
        <v/>
      </c>
      <c r="L829" s="2"/>
      <c r="M829" s="2"/>
      <c r="N829" s="2"/>
      <c r="O829" s="2"/>
      <c r="P829" s="1" t="str">
        <f>IF(A829="","",MAX(0,MIN(3,SUMIFS(Strike_Log!$C:$C,Strike_Log!$B:$B,A829,Strike_Log!$A:$A,"&gt;="&amp;IF(Config!$B$1004="Y",TODAY()-Config!$B$1005,DATE(1900,1,1)),Strike_Log!$I:$I,1))))</f>
        <v/>
      </c>
      <c r="Q829" s="1"/>
      <c r="R829" s="1"/>
      <c r="S829" s="1" t="str">
        <f>IF(A829="","",COUNTIFS(Assignments!$B:$B,A829,Assignments!$AE:$AE, "Y",Assignments!$D:$D,"&gt;="&amp;TODAY()-30))</f>
        <v/>
      </c>
      <c r="T829" s="1" t="str">
        <f>IF(A829="","",COUNTIFS(Assignments!$AF:$AF,A829,Assignments!$AE:$AE, "Y",Assignments!$D:$D,"&gt;="&amp;TODAY()-30))</f>
        <v/>
      </c>
      <c r="U829" s="1" t="str">
        <f>IF(A829="","",IFERROR(S829/MAX(1,COUNTIFS(Assignments!$B:$B,A829,Assignments!$D:$D,"&gt;="&amp;TODAY()-30)),""))</f>
        <v/>
      </c>
      <c r="V829" s="1" t="str">
        <f t="shared" si="4"/>
        <v/>
      </c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 t="str">
        <f>IF(A830="","",IFERROR(AVERAGEIFS(Assignments!$AO:$AO,Assignments!$B:$B,A830,Assignments!$E:$E,"Completed"),""))</f>
        <v/>
      </c>
      <c r="L830" s="2"/>
      <c r="M830" s="2"/>
      <c r="N830" s="2"/>
      <c r="O830" s="2"/>
      <c r="P830" s="1" t="str">
        <f>IF(A830="","",MAX(0,MIN(3,SUMIFS(Strike_Log!$C:$C,Strike_Log!$B:$B,A830,Strike_Log!$A:$A,"&gt;="&amp;IF(Config!$B$1004="Y",TODAY()-Config!$B$1005,DATE(1900,1,1)),Strike_Log!$I:$I,1))))</f>
        <v/>
      </c>
      <c r="Q830" s="1"/>
      <c r="R830" s="1"/>
      <c r="S830" s="1" t="str">
        <f>IF(A830="","",COUNTIFS(Assignments!$B:$B,A830,Assignments!$AE:$AE, "Y",Assignments!$D:$D,"&gt;="&amp;TODAY()-30))</f>
        <v/>
      </c>
      <c r="T830" s="1" t="str">
        <f>IF(A830="","",COUNTIFS(Assignments!$AF:$AF,A830,Assignments!$AE:$AE, "Y",Assignments!$D:$D,"&gt;="&amp;TODAY()-30))</f>
        <v/>
      </c>
      <c r="U830" s="1" t="str">
        <f>IF(A830="","",IFERROR(S830/MAX(1,COUNTIFS(Assignments!$B:$B,A830,Assignments!$D:$D,"&gt;="&amp;TODAY()-30)),""))</f>
        <v/>
      </c>
      <c r="V830" s="1" t="str">
        <f t="shared" si="4"/>
        <v/>
      </c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 t="str">
        <f>IF(A831="","",IFERROR(AVERAGEIFS(Assignments!$AO:$AO,Assignments!$B:$B,A831,Assignments!$E:$E,"Completed"),""))</f>
        <v/>
      </c>
      <c r="L831" s="2"/>
      <c r="M831" s="2"/>
      <c r="N831" s="2"/>
      <c r="O831" s="2"/>
      <c r="P831" s="1" t="str">
        <f>IF(A831="","",MAX(0,MIN(3,SUMIFS(Strike_Log!$C:$C,Strike_Log!$B:$B,A831,Strike_Log!$A:$A,"&gt;="&amp;IF(Config!$B$1004="Y",TODAY()-Config!$B$1005,DATE(1900,1,1)),Strike_Log!$I:$I,1))))</f>
        <v/>
      </c>
      <c r="Q831" s="1"/>
      <c r="R831" s="1"/>
      <c r="S831" s="1" t="str">
        <f>IF(A831="","",COUNTIFS(Assignments!$B:$B,A831,Assignments!$AE:$AE, "Y",Assignments!$D:$D,"&gt;="&amp;TODAY()-30))</f>
        <v/>
      </c>
      <c r="T831" s="1" t="str">
        <f>IF(A831="","",COUNTIFS(Assignments!$AF:$AF,A831,Assignments!$AE:$AE, "Y",Assignments!$D:$D,"&gt;="&amp;TODAY()-30))</f>
        <v/>
      </c>
      <c r="U831" s="1" t="str">
        <f>IF(A831="","",IFERROR(S831/MAX(1,COUNTIFS(Assignments!$B:$B,A831,Assignments!$D:$D,"&gt;="&amp;TODAY()-30)),""))</f>
        <v/>
      </c>
      <c r="V831" s="1" t="str">
        <f t="shared" si="4"/>
        <v/>
      </c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 t="str">
        <f>IF(A832="","",IFERROR(AVERAGEIFS(Assignments!$AO:$AO,Assignments!$B:$B,A832,Assignments!$E:$E,"Completed"),""))</f>
        <v/>
      </c>
      <c r="L832" s="2"/>
      <c r="M832" s="2"/>
      <c r="N832" s="2"/>
      <c r="O832" s="2"/>
      <c r="P832" s="1" t="str">
        <f>IF(A832="","",MAX(0,MIN(3,SUMIFS(Strike_Log!$C:$C,Strike_Log!$B:$B,A832,Strike_Log!$A:$A,"&gt;="&amp;IF(Config!$B$1004="Y",TODAY()-Config!$B$1005,DATE(1900,1,1)),Strike_Log!$I:$I,1))))</f>
        <v/>
      </c>
      <c r="Q832" s="1"/>
      <c r="R832" s="1"/>
      <c r="S832" s="1" t="str">
        <f>IF(A832="","",COUNTIFS(Assignments!$B:$B,A832,Assignments!$AE:$AE, "Y",Assignments!$D:$D,"&gt;="&amp;TODAY()-30))</f>
        <v/>
      </c>
      <c r="T832" s="1" t="str">
        <f>IF(A832="","",COUNTIFS(Assignments!$AF:$AF,A832,Assignments!$AE:$AE, "Y",Assignments!$D:$D,"&gt;="&amp;TODAY()-30))</f>
        <v/>
      </c>
      <c r="U832" s="1" t="str">
        <f>IF(A832="","",IFERROR(S832/MAX(1,COUNTIFS(Assignments!$B:$B,A832,Assignments!$D:$D,"&gt;="&amp;TODAY()-30)),""))</f>
        <v/>
      </c>
      <c r="V832" s="1" t="str">
        <f t="shared" si="4"/>
        <v/>
      </c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 t="str">
        <f>IF(A833="","",IFERROR(AVERAGEIFS(Assignments!$AO:$AO,Assignments!$B:$B,A833,Assignments!$E:$E,"Completed"),""))</f>
        <v/>
      </c>
      <c r="L833" s="2"/>
      <c r="M833" s="2"/>
      <c r="N833" s="2"/>
      <c r="O833" s="2"/>
      <c r="P833" s="1" t="str">
        <f>IF(A833="","",MAX(0,MIN(3,SUMIFS(Strike_Log!$C:$C,Strike_Log!$B:$B,A833,Strike_Log!$A:$A,"&gt;="&amp;IF(Config!$B$1004="Y",TODAY()-Config!$B$1005,DATE(1900,1,1)),Strike_Log!$I:$I,1))))</f>
        <v/>
      </c>
      <c r="Q833" s="1"/>
      <c r="R833" s="1"/>
      <c r="S833" s="1" t="str">
        <f>IF(A833="","",COUNTIFS(Assignments!$B:$B,A833,Assignments!$AE:$AE, "Y",Assignments!$D:$D,"&gt;="&amp;TODAY()-30))</f>
        <v/>
      </c>
      <c r="T833" s="1" t="str">
        <f>IF(A833="","",COUNTIFS(Assignments!$AF:$AF,A833,Assignments!$AE:$AE, "Y",Assignments!$D:$D,"&gt;="&amp;TODAY()-30))</f>
        <v/>
      </c>
      <c r="U833" s="1" t="str">
        <f>IF(A833="","",IFERROR(S833/MAX(1,COUNTIFS(Assignments!$B:$B,A833,Assignments!$D:$D,"&gt;="&amp;TODAY()-30)),""))</f>
        <v/>
      </c>
      <c r="V833" s="1" t="str">
        <f t="shared" si="4"/>
        <v/>
      </c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 t="str">
        <f>IF(A834="","",IFERROR(AVERAGEIFS(Assignments!$AO:$AO,Assignments!$B:$B,A834,Assignments!$E:$E,"Completed"),""))</f>
        <v/>
      </c>
      <c r="L834" s="2"/>
      <c r="M834" s="2"/>
      <c r="N834" s="2"/>
      <c r="O834" s="2"/>
      <c r="P834" s="1" t="str">
        <f>IF(A834="","",MAX(0,MIN(3,SUMIFS(Strike_Log!$C:$C,Strike_Log!$B:$B,A834,Strike_Log!$A:$A,"&gt;="&amp;IF(Config!$B$1004="Y",TODAY()-Config!$B$1005,DATE(1900,1,1)),Strike_Log!$I:$I,1))))</f>
        <v/>
      </c>
      <c r="Q834" s="1"/>
      <c r="R834" s="1"/>
      <c r="S834" s="1" t="str">
        <f>IF(A834="","",COUNTIFS(Assignments!$B:$B,A834,Assignments!$AE:$AE, "Y",Assignments!$D:$D,"&gt;="&amp;TODAY()-30))</f>
        <v/>
      </c>
      <c r="T834" s="1" t="str">
        <f>IF(A834="","",COUNTIFS(Assignments!$AF:$AF,A834,Assignments!$AE:$AE, "Y",Assignments!$D:$D,"&gt;="&amp;TODAY()-30))</f>
        <v/>
      </c>
      <c r="U834" s="1" t="str">
        <f>IF(A834="","",IFERROR(S834/MAX(1,COUNTIFS(Assignments!$B:$B,A834,Assignments!$D:$D,"&gt;="&amp;TODAY()-30)),""))</f>
        <v/>
      </c>
      <c r="V834" s="1" t="str">
        <f t="shared" si="4"/>
        <v/>
      </c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 t="str">
        <f>IF(A835="","",IFERROR(AVERAGEIFS(Assignments!$AO:$AO,Assignments!$B:$B,A835,Assignments!$E:$E,"Completed"),""))</f>
        <v/>
      </c>
      <c r="L835" s="2"/>
      <c r="M835" s="2"/>
      <c r="N835" s="2"/>
      <c r="O835" s="2"/>
      <c r="P835" s="1" t="str">
        <f>IF(A835="","",MAX(0,MIN(3,SUMIFS(Strike_Log!$C:$C,Strike_Log!$B:$B,A835,Strike_Log!$A:$A,"&gt;="&amp;IF(Config!$B$1004="Y",TODAY()-Config!$B$1005,DATE(1900,1,1)),Strike_Log!$I:$I,1))))</f>
        <v/>
      </c>
      <c r="Q835" s="1"/>
      <c r="R835" s="1"/>
      <c r="S835" s="1" t="str">
        <f>IF(A835="","",COUNTIFS(Assignments!$B:$B,A835,Assignments!$AE:$AE, "Y",Assignments!$D:$D,"&gt;="&amp;TODAY()-30))</f>
        <v/>
      </c>
      <c r="T835" s="1" t="str">
        <f>IF(A835="","",COUNTIFS(Assignments!$AF:$AF,A835,Assignments!$AE:$AE, "Y",Assignments!$D:$D,"&gt;="&amp;TODAY()-30))</f>
        <v/>
      </c>
      <c r="U835" s="1" t="str">
        <f>IF(A835="","",IFERROR(S835/MAX(1,COUNTIFS(Assignments!$B:$B,A835,Assignments!$D:$D,"&gt;="&amp;TODAY()-30)),""))</f>
        <v/>
      </c>
      <c r="V835" s="1" t="str">
        <f t="shared" si="4"/>
        <v/>
      </c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 t="str">
        <f>IF(A836="","",IFERROR(AVERAGEIFS(Assignments!$AO:$AO,Assignments!$B:$B,A836,Assignments!$E:$E,"Completed"),""))</f>
        <v/>
      </c>
      <c r="L836" s="2"/>
      <c r="M836" s="2"/>
      <c r="N836" s="2"/>
      <c r="O836" s="2"/>
      <c r="P836" s="1" t="str">
        <f>IF(A836="","",MAX(0,MIN(3,SUMIFS(Strike_Log!$C:$C,Strike_Log!$B:$B,A836,Strike_Log!$A:$A,"&gt;="&amp;IF(Config!$B$1004="Y",TODAY()-Config!$B$1005,DATE(1900,1,1)),Strike_Log!$I:$I,1))))</f>
        <v/>
      </c>
      <c r="Q836" s="1"/>
      <c r="R836" s="1"/>
      <c r="S836" s="1" t="str">
        <f>IF(A836="","",COUNTIFS(Assignments!$B:$B,A836,Assignments!$AE:$AE, "Y",Assignments!$D:$D,"&gt;="&amp;TODAY()-30))</f>
        <v/>
      </c>
      <c r="T836" s="1" t="str">
        <f>IF(A836="","",COUNTIFS(Assignments!$AF:$AF,A836,Assignments!$AE:$AE, "Y",Assignments!$D:$D,"&gt;="&amp;TODAY()-30))</f>
        <v/>
      </c>
      <c r="U836" s="1" t="str">
        <f>IF(A836="","",IFERROR(S836/MAX(1,COUNTIFS(Assignments!$B:$B,A836,Assignments!$D:$D,"&gt;="&amp;TODAY()-30)),""))</f>
        <v/>
      </c>
      <c r="V836" s="1" t="str">
        <f t="shared" si="4"/>
        <v/>
      </c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 t="str">
        <f>IF(A837="","",IFERROR(AVERAGEIFS(Assignments!$AO:$AO,Assignments!$B:$B,A837,Assignments!$E:$E,"Completed"),""))</f>
        <v/>
      </c>
      <c r="L837" s="2"/>
      <c r="M837" s="2"/>
      <c r="N837" s="2"/>
      <c r="O837" s="2"/>
      <c r="P837" s="1" t="str">
        <f>IF(A837="","",MAX(0,MIN(3,SUMIFS(Strike_Log!$C:$C,Strike_Log!$B:$B,A837,Strike_Log!$A:$A,"&gt;="&amp;IF(Config!$B$1004="Y",TODAY()-Config!$B$1005,DATE(1900,1,1)),Strike_Log!$I:$I,1))))</f>
        <v/>
      </c>
      <c r="Q837" s="1"/>
      <c r="R837" s="1"/>
      <c r="S837" s="1" t="str">
        <f>IF(A837="","",COUNTIFS(Assignments!$B:$B,A837,Assignments!$AE:$AE, "Y",Assignments!$D:$D,"&gt;="&amp;TODAY()-30))</f>
        <v/>
      </c>
      <c r="T837" s="1" t="str">
        <f>IF(A837="","",COUNTIFS(Assignments!$AF:$AF,A837,Assignments!$AE:$AE, "Y",Assignments!$D:$D,"&gt;="&amp;TODAY()-30))</f>
        <v/>
      </c>
      <c r="U837" s="1" t="str">
        <f>IF(A837="","",IFERROR(S837/MAX(1,COUNTIFS(Assignments!$B:$B,A837,Assignments!$D:$D,"&gt;="&amp;TODAY()-30)),""))</f>
        <v/>
      </c>
      <c r="V837" s="1" t="str">
        <f t="shared" si="4"/>
        <v/>
      </c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 t="str">
        <f>IF(A838="","",IFERROR(AVERAGEIFS(Assignments!$AO:$AO,Assignments!$B:$B,A838,Assignments!$E:$E,"Completed"),""))</f>
        <v/>
      </c>
      <c r="L838" s="2"/>
      <c r="M838" s="2"/>
      <c r="N838" s="2"/>
      <c r="O838" s="2"/>
      <c r="P838" s="1" t="str">
        <f>IF(A838="","",MAX(0,MIN(3,SUMIFS(Strike_Log!$C:$C,Strike_Log!$B:$B,A838,Strike_Log!$A:$A,"&gt;="&amp;IF(Config!$B$1004="Y",TODAY()-Config!$B$1005,DATE(1900,1,1)),Strike_Log!$I:$I,1))))</f>
        <v/>
      </c>
      <c r="Q838" s="1"/>
      <c r="R838" s="1"/>
      <c r="S838" s="1" t="str">
        <f>IF(A838="","",COUNTIFS(Assignments!$B:$B,A838,Assignments!$AE:$AE, "Y",Assignments!$D:$D,"&gt;="&amp;TODAY()-30))</f>
        <v/>
      </c>
      <c r="T838" s="1" t="str">
        <f>IF(A838="","",COUNTIFS(Assignments!$AF:$AF,A838,Assignments!$AE:$AE, "Y",Assignments!$D:$D,"&gt;="&amp;TODAY()-30))</f>
        <v/>
      </c>
      <c r="U838" s="1" t="str">
        <f>IF(A838="","",IFERROR(S838/MAX(1,COUNTIFS(Assignments!$B:$B,A838,Assignments!$D:$D,"&gt;="&amp;TODAY()-30)),""))</f>
        <v/>
      </c>
      <c r="V838" s="1" t="str">
        <f t="shared" si="4"/>
        <v/>
      </c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 t="str">
        <f>IF(A839="","",IFERROR(AVERAGEIFS(Assignments!$AO:$AO,Assignments!$B:$B,A839,Assignments!$E:$E,"Completed"),""))</f>
        <v/>
      </c>
      <c r="L839" s="2"/>
      <c r="M839" s="2"/>
      <c r="N839" s="2"/>
      <c r="O839" s="2"/>
      <c r="P839" s="1" t="str">
        <f>IF(A839="","",MAX(0,MIN(3,SUMIFS(Strike_Log!$C:$C,Strike_Log!$B:$B,A839,Strike_Log!$A:$A,"&gt;="&amp;IF(Config!$B$1004="Y",TODAY()-Config!$B$1005,DATE(1900,1,1)),Strike_Log!$I:$I,1))))</f>
        <v/>
      </c>
      <c r="Q839" s="1"/>
      <c r="R839" s="1"/>
      <c r="S839" s="1" t="str">
        <f>IF(A839="","",COUNTIFS(Assignments!$B:$B,A839,Assignments!$AE:$AE, "Y",Assignments!$D:$D,"&gt;="&amp;TODAY()-30))</f>
        <v/>
      </c>
      <c r="T839" s="1" t="str">
        <f>IF(A839="","",COUNTIFS(Assignments!$AF:$AF,A839,Assignments!$AE:$AE, "Y",Assignments!$D:$D,"&gt;="&amp;TODAY()-30))</f>
        <v/>
      </c>
      <c r="U839" s="1" t="str">
        <f>IF(A839="","",IFERROR(S839/MAX(1,COUNTIFS(Assignments!$B:$B,A839,Assignments!$D:$D,"&gt;="&amp;TODAY()-30)),""))</f>
        <v/>
      </c>
      <c r="V839" s="1" t="str">
        <f t="shared" si="4"/>
        <v/>
      </c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 t="str">
        <f>IF(A840="","",IFERROR(AVERAGEIFS(Assignments!$AO:$AO,Assignments!$B:$B,A840,Assignments!$E:$E,"Completed"),""))</f>
        <v/>
      </c>
      <c r="L840" s="2"/>
      <c r="M840" s="2"/>
      <c r="N840" s="2"/>
      <c r="O840" s="2"/>
      <c r="P840" s="1" t="str">
        <f>IF(A840="","",MAX(0,MIN(3,SUMIFS(Strike_Log!$C:$C,Strike_Log!$B:$B,A840,Strike_Log!$A:$A,"&gt;="&amp;IF(Config!$B$1004="Y",TODAY()-Config!$B$1005,DATE(1900,1,1)),Strike_Log!$I:$I,1))))</f>
        <v/>
      </c>
      <c r="Q840" s="1"/>
      <c r="R840" s="1"/>
      <c r="S840" s="1" t="str">
        <f>IF(A840="","",COUNTIFS(Assignments!$B:$B,A840,Assignments!$AE:$AE, "Y",Assignments!$D:$D,"&gt;="&amp;TODAY()-30))</f>
        <v/>
      </c>
      <c r="T840" s="1" t="str">
        <f>IF(A840="","",COUNTIFS(Assignments!$AF:$AF,A840,Assignments!$AE:$AE, "Y",Assignments!$D:$D,"&gt;="&amp;TODAY()-30))</f>
        <v/>
      </c>
      <c r="U840" s="1" t="str">
        <f>IF(A840="","",IFERROR(S840/MAX(1,COUNTIFS(Assignments!$B:$B,A840,Assignments!$D:$D,"&gt;="&amp;TODAY()-30)),""))</f>
        <v/>
      </c>
      <c r="V840" s="1" t="str">
        <f t="shared" si="4"/>
        <v/>
      </c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 t="str">
        <f>IF(A841="","",IFERROR(AVERAGEIFS(Assignments!$AO:$AO,Assignments!$B:$B,A841,Assignments!$E:$E,"Completed"),""))</f>
        <v/>
      </c>
      <c r="L841" s="2"/>
      <c r="M841" s="2"/>
      <c r="N841" s="2"/>
      <c r="O841" s="2"/>
      <c r="P841" s="1" t="str">
        <f>IF(A841="","",MAX(0,MIN(3,SUMIFS(Strike_Log!$C:$C,Strike_Log!$B:$B,A841,Strike_Log!$A:$A,"&gt;="&amp;IF(Config!$B$1004="Y",TODAY()-Config!$B$1005,DATE(1900,1,1)),Strike_Log!$I:$I,1))))</f>
        <v/>
      </c>
      <c r="Q841" s="1"/>
      <c r="R841" s="1"/>
      <c r="S841" s="1" t="str">
        <f>IF(A841="","",COUNTIFS(Assignments!$B:$B,A841,Assignments!$AE:$AE, "Y",Assignments!$D:$D,"&gt;="&amp;TODAY()-30))</f>
        <v/>
      </c>
      <c r="T841" s="1" t="str">
        <f>IF(A841="","",COUNTIFS(Assignments!$AF:$AF,A841,Assignments!$AE:$AE, "Y",Assignments!$D:$D,"&gt;="&amp;TODAY()-30))</f>
        <v/>
      </c>
      <c r="U841" s="1" t="str">
        <f>IF(A841="","",IFERROR(S841/MAX(1,COUNTIFS(Assignments!$B:$B,A841,Assignments!$D:$D,"&gt;="&amp;TODAY()-30)),""))</f>
        <v/>
      </c>
      <c r="V841" s="1" t="str">
        <f t="shared" si="4"/>
        <v/>
      </c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 t="str">
        <f>IF(A842="","",IFERROR(AVERAGEIFS(Assignments!$AO:$AO,Assignments!$B:$B,A842,Assignments!$E:$E,"Completed"),""))</f>
        <v/>
      </c>
      <c r="L842" s="2"/>
      <c r="M842" s="2"/>
      <c r="N842" s="2"/>
      <c r="O842" s="2"/>
      <c r="P842" s="1" t="str">
        <f>IF(A842="","",MAX(0,MIN(3,SUMIFS(Strike_Log!$C:$C,Strike_Log!$B:$B,A842,Strike_Log!$A:$A,"&gt;="&amp;IF(Config!$B$1004="Y",TODAY()-Config!$B$1005,DATE(1900,1,1)),Strike_Log!$I:$I,1))))</f>
        <v/>
      </c>
      <c r="Q842" s="1"/>
      <c r="R842" s="1"/>
      <c r="S842" s="1" t="str">
        <f>IF(A842="","",COUNTIFS(Assignments!$B:$B,A842,Assignments!$AE:$AE, "Y",Assignments!$D:$D,"&gt;="&amp;TODAY()-30))</f>
        <v/>
      </c>
      <c r="T842" s="1" t="str">
        <f>IF(A842="","",COUNTIFS(Assignments!$AF:$AF,A842,Assignments!$AE:$AE, "Y",Assignments!$D:$D,"&gt;="&amp;TODAY()-30))</f>
        <v/>
      </c>
      <c r="U842" s="1" t="str">
        <f>IF(A842="","",IFERROR(S842/MAX(1,COUNTIFS(Assignments!$B:$B,A842,Assignments!$D:$D,"&gt;="&amp;TODAY()-30)),""))</f>
        <v/>
      </c>
      <c r="V842" s="1" t="str">
        <f t="shared" si="4"/>
        <v/>
      </c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 t="str">
        <f>IF(A843="","",IFERROR(AVERAGEIFS(Assignments!$AO:$AO,Assignments!$B:$B,A843,Assignments!$E:$E,"Completed"),""))</f>
        <v/>
      </c>
      <c r="L843" s="2"/>
      <c r="M843" s="2"/>
      <c r="N843" s="2"/>
      <c r="O843" s="2"/>
      <c r="P843" s="1" t="str">
        <f>IF(A843="","",MAX(0,MIN(3,SUMIFS(Strike_Log!$C:$C,Strike_Log!$B:$B,A843,Strike_Log!$A:$A,"&gt;="&amp;IF(Config!$B$1004="Y",TODAY()-Config!$B$1005,DATE(1900,1,1)),Strike_Log!$I:$I,1))))</f>
        <v/>
      </c>
      <c r="Q843" s="1"/>
      <c r="R843" s="1"/>
      <c r="S843" s="1" t="str">
        <f>IF(A843="","",COUNTIFS(Assignments!$B:$B,A843,Assignments!$AE:$AE, "Y",Assignments!$D:$D,"&gt;="&amp;TODAY()-30))</f>
        <v/>
      </c>
      <c r="T843" s="1" t="str">
        <f>IF(A843="","",COUNTIFS(Assignments!$AF:$AF,A843,Assignments!$AE:$AE, "Y",Assignments!$D:$D,"&gt;="&amp;TODAY()-30))</f>
        <v/>
      </c>
      <c r="U843" s="1" t="str">
        <f>IF(A843="","",IFERROR(S843/MAX(1,COUNTIFS(Assignments!$B:$B,A843,Assignments!$D:$D,"&gt;="&amp;TODAY()-30)),""))</f>
        <v/>
      </c>
      <c r="V843" s="1" t="str">
        <f t="shared" si="4"/>
        <v/>
      </c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 t="str">
        <f>IF(A844="","",IFERROR(AVERAGEIFS(Assignments!$AO:$AO,Assignments!$B:$B,A844,Assignments!$E:$E,"Completed"),""))</f>
        <v/>
      </c>
      <c r="L844" s="2"/>
      <c r="M844" s="2"/>
      <c r="N844" s="2"/>
      <c r="O844" s="2"/>
      <c r="P844" s="1" t="str">
        <f>IF(A844="","",MAX(0,MIN(3,SUMIFS(Strike_Log!$C:$C,Strike_Log!$B:$B,A844,Strike_Log!$A:$A,"&gt;="&amp;IF(Config!$B$1004="Y",TODAY()-Config!$B$1005,DATE(1900,1,1)),Strike_Log!$I:$I,1))))</f>
        <v/>
      </c>
      <c r="Q844" s="1"/>
      <c r="R844" s="1"/>
      <c r="S844" s="1" t="str">
        <f>IF(A844="","",COUNTIFS(Assignments!$B:$B,A844,Assignments!$AE:$AE, "Y",Assignments!$D:$D,"&gt;="&amp;TODAY()-30))</f>
        <v/>
      </c>
      <c r="T844" s="1" t="str">
        <f>IF(A844="","",COUNTIFS(Assignments!$AF:$AF,A844,Assignments!$AE:$AE, "Y",Assignments!$D:$D,"&gt;="&amp;TODAY()-30))</f>
        <v/>
      </c>
      <c r="U844" s="1" t="str">
        <f>IF(A844="","",IFERROR(S844/MAX(1,COUNTIFS(Assignments!$B:$B,A844,Assignments!$D:$D,"&gt;="&amp;TODAY()-30)),""))</f>
        <v/>
      </c>
      <c r="V844" s="1" t="str">
        <f t="shared" si="4"/>
        <v/>
      </c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 t="str">
        <f>IF(A845="","",IFERROR(AVERAGEIFS(Assignments!$AO:$AO,Assignments!$B:$B,A845,Assignments!$E:$E,"Completed"),""))</f>
        <v/>
      </c>
      <c r="L845" s="2"/>
      <c r="M845" s="2"/>
      <c r="N845" s="2"/>
      <c r="O845" s="2"/>
      <c r="P845" s="1" t="str">
        <f>IF(A845="","",MAX(0,MIN(3,SUMIFS(Strike_Log!$C:$C,Strike_Log!$B:$B,A845,Strike_Log!$A:$A,"&gt;="&amp;IF(Config!$B$1004="Y",TODAY()-Config!$B$1005,DATE(1900,1,1)),Strike_Log!$I:$I,1))))</f>
        <v/>
      </c>
      <c r="Q845" s="1"/>
      <c r="R845" s="1"/>
      <c r="S845" s="1" t="str">
        <f>IF(A845="","",COUNTIFS(Assignments!$B:$B,A845,Assignments!$AE:$AE, "Y",Assignments!$D:$D,"&gt;="&amp;TODAY()-30))</f>
        <v/>
      </c>
      <c r="T845" s="1" t="str">
        <f>IF(A845="","",COUNTIFS(Assignments!$AF:$AF,A845,Assignments!$AE:$AE, "Y",Assignments!$D:$D,"&gt;="&amp;TODAY()-30))</f>
        <v/>
      </c>
      <c r="U845" s="1" t="str">
        <f>IF(A845="","",IFERROR(S845/MAX(1,COUNTIFS(Assignments!$B:$B,A845,Assignments!$D:$D,"&gt;="&amp;TODAY()-30)),""))</f>
        <v/>
      </c>
      <c r="V845" s="1" t="str">
        <f t="shared" si="4"/>
        <v/>
      </c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 t="str">
        <f>IF(A846="","",IFERROR(AVERAGEIFS(Assignments!$AO:$AO,Assignments!$B:$B,A846,Assignments!$E:$E,"Completed"),""))</f>
        <v/>
      </c>
      <c r="L846" s="2"/>
      <c r="M846" s="2"/>
      <c r="N846" s="2"/>
      <c r="O846" s="2"/>
      <c r="P846" s="1" t="str">
        <f>IF(A846="","",MAX(0,MIN(3,SUMIFS(Strike_Log!$C:$C,Strike_Log!$B:$B,A846,Strike_Log!$A:$A,"&gt;="&amp;IF(Config!$B$1004="Y",TODAY()-Config!$B$1005,DATE(1900,1,1)),Strike_Log!$I:$I,1))))</f>
        <v/>
      </c>
      <c r="Q846" s="1"/>
      <c r="R846" s="1"/>
      <c r="S846" s="1" t="str">
        <f>IF(A846="","",COUNTIFS(Assignments!$B:$B,A846,Assignments!$AE:$AE, "Y",Assignments!$D:$D,"&gt;="&amp;TODAY()-30))</f>
        <v/>
      </c>
      <c r="T846" s="1" t="str">
        <f>IF(A846="","",COUNTIFS(Assignments!$AF:$AF,A846,Assignments!$AE:$AE, "Y",Assignments!$D:$D,"&gt;="&amp;TODAY()-30))</f>
        <v/>
      </c>
      <c r="U846" s="1" t="str">
        <f>IF(A846="","",IFERROR(S846/MAX(1,COUNTIFS(Assignments!$B:$B,A846,Assignments!$D:$D,"&gt;="&amp;TODAY()-30)),""))</f>
        <v/>
      </c>
      <c r="V846" s="1" t="str">
        <f t="shared" si="4"/>
        <v/>
      </c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 t="str">
        <f>IF(A847="","",IFERROR(AVERAGEIFS(Assignments!$AO:$AO,Assignments!$B:$B,A847,Assignments!$E:$E,"Completed"),""))</f>
        <v/>
      </c>
      <c r="L847" s="2"/>
      <c r="M847" s="2"/>
      <c r="N847" s="2"/>
      <c r="O847" s="2"/>
      <c r="P847" s="1" t="str">
        <f>IF(A847="","",MAX(0,MIN(3,SUMIFS(Strike_Log!$C:$C,Strike_Log!$B:$B,A847,Strike_Log!$A:$A,"&gt;="&amp;IF(Config!$B$1004="Y",TODAY()-Config!$B$1005,DATE(1900,1,1)),Strike_Log!$I:$I,1))))</f>
        <v/>
      </c>
      <c r="Q847" s="1"/>
      <c r="R847" s="1"/>
      <c r="S847" s="1" t="str">
        <f>IF(A847="","",COUNTIFS(Assignments!$B:$B,A847,Assignments!$AE:$AE, "Y",Assignments!$D:$D,"&gt;="&amp;TODAY()-30))</f>
        <v/>
      </c>
      <c r="T847" s="1" t="str">
        <f>IF(A847="","",COUNTIFS(Assignments!$AF:$AF,A847,Assignments!$AE:$AE, "Y",Assignments!$D:$D,"&gt;="&amp;TODAY()-30))</f>
        <v/>
      </c>
      <c r="U847" s="1" t="str">
        <f>IF(A847="","",IFERROR(S847/MAX(1,COUNTIFS(Assignments!$B:$B,A847,Assignments!$D:$D,"&gt;="&amp;TODAY()-30)),""))</f>
        <v/>
      </c>
      <c r="V847" s="1" t="str">
        <f t="shared" si="4"/>
        <v/>
      </c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 t="str">
        <f>IF(A848="","",IFERROR(AVERAGEIFS(Assignments!$AO:$AO,Assignments!$B:$B,A848,Assignments!$E:$E,"Completed"),""))</f>
        <v/>
      </c>
      <c r="L848" s="2"/>
      <c r="M848" s="2"/>
      <c r="N848" s="2"/>
      <c r="O848" s="2"/>
      <c r="P848" s="1" t="str">
        <f>IF(A848="","",MAX(0,MIN(3,SUMIFS(Strike_Log!$C:$C,Strike_Log!$B:$B,A848,Strike_Log!$A:$A,"&gt;="&amp;IF(Config!$B$1004="Y",TODAY()-Config!$B$1005,DATE(1900,1,1)),Strike_Log!$I:$I,1))))</f>
        <v/>
      </c>
      <c r="Q848" s="1"/>
      <c r="R848" s="1"/>
      <c r="S848" s="1" t="str">
        <f>IF(A848="","",COUNTIFS(Assignments!$B:$B,A848,Assignments!$AE:$AE, "Y",Assignments!$D:$D,"&gt;="&amp;TODAY()-30))</f>
        <v/>
      </c>
      <c r="T848" s="1" t="str">
        <f>IF(A848="","",COUNTIFS(Assignments!$AF:$AF,A848,Assignments!$AE:$AE, "Y",Assignments!$D:$D,"&gt;="&amp;TODAY()-30))</f>
        <v/>
      </c>
      <c r="U848" s="1" t="str">
        <f>IF(A848="","",IFERROR(S848/MAX(1,COUNTIFS(Assignments!$B:$B,A848,Assignments!$D:$D,"&gt;="&amp;TODAY()-30)),""))</f>
        <v/>
      </c>
      <c r="V848" s="1" t="str">
        <f t="shared" si="4"/>
        <v/>
      </c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 t="str">
        <f>IF(A849="","",IFERROR(AVERAGEIFS(Assignments!$AO:$AO,Assignments!$B:$B,A849,Assignments!$E:$E,"Completed"),""))</f>
        <v/>
      </c>
      <c r="L849" s="2"/>
      <c r="M849" s="2"/>
      <c r="N849" s="2"/>
      <c r="O849" s="2"/>
      <c r="P849" s="1" t="str">
        <f>IF(A849="","",MAX(0,MIN(3,SUMIFS(Strike_Log!$C:$C,Strike_Log!$B:$B,A849,Strike_Log!$A:$A,"&gt;="&amp;IF(Config!$B$1004="Y",TODAY()-Config!$B$1005,DATE(1900,1,1)),Strike_Log!$I:$I,1))))</f>
        <v/>
      </c>
      <c r="Q849" s="1"/>
      <c r="R849" s="1"/>
      <c r="S849" s="1" t="str">
        <f>IF(A849="","",COUNTIFS(Assignments!$B:$B,A849,Assignments!$AE:$AE, "Y",Assignments!$D:$D,"&gt;="&amp;TODAY()-30))</f>
        <v/>
      </c>
      <c r="T849" s="1" t="str">
        <f>IF(A849="","",COUNTIFS(Assignments!$AF:$AF,A849,Assignments!$AE:$AE, "Y",Assignments!$D:$D,"&gt;="&amp;TODAY()-30))</f>
        <v/>
      </c>
      <c r="U849" s="1" t="str">
        <f>IF(A849="","",IFERROR(S849/MAX(1,COUNTIFS(Assignments!$B:$B,A849,Assignments!$D:$D,"&gt;="&amp;TODAY()-30)),""))</f>
        <v/>
      </c>
      <c r="V849" s="1" t="str">
        <f t="shared" si="4"/>
        <v/>
      </c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 t="str">
        <f>IF(A850="","",IFERROR(AVERAGEIFS(Assignments!$AO:$AO,Assignments!$B:$B,A850,Assignments!$E:$E,"Completed"),""))</f>
        <v/>
      </c>
      <c r="L850" s="2"/>
      <c r="M850" s="2"/>
      <c r="N850" s="2"/>
      <c r="O850" s="2"/>
      <c r="P850" s="1" t="str">
        <f>IF(A850="","",MAX(0,MIN(3,SUMIFS(Strike_Log!$C:$C,Strike_Log!$B:$B,A850,Strike_Log!$A:$A,"&gt;="&amp;IF(Config!$B$1004="Y",TODAY()-Config!$B$1005,DATE(1900,1,1)),Strike_Log!$I:$I,1))))</f>
        <v/>
      </c>
      <c r="Q850" s="1"/>
      <c r="R850" s="1"/>
      <c r="S850" s="1" t="str">
        <f>IF(A850="","",COUNTIFS(Assignments!$B:$B,A850,Assignments!$AE:$AE, "Y",Assignments!$D:$D,"&gt;="&amp;TODAY()-30))</f>
        <v/>
      </c>
      <c r="T850" s="1" t="str">
        <f>IF(A850="","",COUNTIFS(Assignments!$AF:$AF,A850,Assignments!$AE:$AE, "Y",Assignments!$D:$D,"&gt;="&amp;TODAY()-30))</f>
        <v/>
      </c>
      <c r="U850" s="1" t="str">
        <f>IF(A850="","",IFERROR(S850/MAX(1,COUNTIFS(Assignments!$B:$B,A850,Assignments!$D:$D,"&gt;="&amp;TODAY()-30)),""))</f>
        <v/>
      </c>
      <c r="V850" s="1" t="str">
        <f t="shared" si="4"/>
        <v/>
      </c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 t="str">
        <f>IF(A851="","",IFERROR(AVERAGEIFS(Assignments!$AO:$AO,Assignments!$B:$B,A851,Assignments!$E:$E,"Completed"),""))</f>
        <v/>
      </c>
      <c r="L851" s="2"/>
      <c r="M851" s="2"/>
      <c r="N851" s="2"/>
      <c r="O851" s="2"/>
      <c r="P851" s="1" t="str">
        <f>IF(A851="","",MAX(0,MIN(3,SUMIFS(Strike_Log!$C:$C,Strike_Log!$B:$B,A851,Strike_Log!$A:$A,"&gt;="&amp;IF(Config!$B$1004="Y",TODAY()-Config!$B$1005,DATE(1900,1,1)),Strike_Log!$I:$I,1))))</f>
        <v/>
      </c>
      <c r="Q851" s="1"/>
      <c r="R851" s="1"/>
      <c r="S851" s="1" t="str">
        <f>IF(A851="","",COUNTIFS(Assignments!$B:$B,A851,Assignments!$AE:$AE, "Y",Assignments!$D:$D,"&gt;="&amp;TODAY()-30))</f>
        <v/>
      </c>
      <c r="T851" s="1" t="str">
        <f>IF(A851="","",COUNTIFS(Assignments!$AF:$AF,A851,Assignments!$AE:$AE, "Y",Assignments!$D:$D,"&gt;="&amp;TODAY()-30))</f>
        <v/>
      </c>
      <c r="U851" s="1" t="str">
        <f>IF(A851="","",IFERROR(S851/MAX(1,COUNTIFS(Assignments!$B:$B,A851,Assignments!$D:$D,"&gt;="&amp;TODAY()-30)),""))</f>
        <v/>
      </c>
      <c r="V851" s="1" t="str">
        <f t="shared" si="4"/>
        <v/>
      </c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 t="str">
        <f>IF(A852="","",IFERROR(AVERAGEIFS(Assignments!$AO:$AO,Assignments!$B:$B,A852,Assignments!$E:$E,"Completed"),""))</f>
        <v/>
      </c>
      <c r="L852" s="2"/>
      <c r="M852" s="2"/>
      <c r="N852" s="2"/>
      <c r="O852" s="2"/>
      <c r="P852" s="1" t="str">
        <f>IF(A852="","",MAX(0,MIN(3,SUMIFS(Strike_Log!$C:$C,Strike_Log!$B:$B,A852,Strike_Log!$A:$A,"&gt;="&amp;IF(Config!$B$1004="Y",TODAY()-Config!$B$1005,DATE(1900,1,1)),Strike_Log!$I:$I,1))))</f>
        <v/>
      </c>
      <c r="Q852" s="1"/>
      <c r="R852" s="1"/>
      <c r="S852" s="1" t="str">
        <f>IF(A852="","",COUNTIFS(Assignments!$B:$B,A852,Assignments!$AE:$AE, "Y",Assignments!$D:$D,"&gt;="&amp;TODAY()-30))</f>
        <v/>
      </c>
      <c r="T852" s="1" t="str">
        <f>IF(A852="","",COUNTIFS(Assignments!$AF:$AF,A852,Assignments!$AE:$AE, "Y",Assignments!$D:$D,"&gt;="&amp;TODAY()-30))</f>
        <v/>
      </c>
      <c r="U852" s="1" t="str">
        <f>IF(A852="","",IFERROR(S852/MAX(1,COUNTIFS(Assignments!$B:$B,A852,Assignments!$D:$D,"&gt;="&amp;TODAY()-30)),""))</f>
        <v/>
      </c>
      <c r="V852" s="1" t="str">
        <f t="shared" si="4"/>
        <v/>
      </c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 t="str">
        <f>IF(A853="","",IFERROR(AVERAGEIFS(Assignments!$AO:$AO,Assignments!$B:$B,A853,Assignments!$E:$E,"Completed"),""))</f>
        <v/>
      </c>
      <c r="L853" s="2"/>
      <c r="M853" s="2"/>
      <c r="N853" s="2"/>
      <c r="O853" s="2"/>
      <c r="P853" s="1" t="str">
        <f>IF(A853="","",MAX(0,MIN(3,SUMIFS(Strike_Log!$C:$C,Strike_Log!$B:$B,A853,Strike_Log!$A:$A,"&gt;="&amp;IF(Config!$B$1004="Y",TODAY()-Config!$B$1005,DATE(1900,1,1)),Strike_Log!$I:$I,1))))</f>
        <v/>
      </c>
      <c r="Q853" s="1"/>
      <c r="R853" s="1"/>
      <c r="S853" s="1" t="str">
        <f>IF(A853="","",COUNTIFS(Assignments!$B:$B,A853,Assignments!$AE:$AE, "Y",Assignments!$D:$D,"&gt;="&amp;TODAY()-30))</f>
        <v/>
      </c>
      <c r="T853" s="1" t="str">
        <f>IF(A853="","",COUNTIFS(Assignments!$AF:$AF,A853,Assignments!$AE:$AE, "Y",Assignments!$D:$D,"&gt;="&amp;TODAY()-30))</f>
        <v/>
      </c>
      <c r="U853" s="1" t="str">
        <f>IF(A853="","",IFERROR(S853/MAX(1,COUNTIFS(Assignments!$B:$B,A853,Assignments!$D:$D,"&gt;="&amp;TODAY()-30)),""))</f>
        <v/>
      </c>
      <c r="V853" s="1" t="str">
        <f t="shared" si="4"/>
        <v/>
      </c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 t="str">
        <f>IF(A854="","",IFERROR(AVERAGEIFS(Assignments!$AO:$AO,Assignments!$B:$B,A854,Assignments!$E:$E,"Completed"),""))</f>
        <v/>
      </c>
      <c r="L854" s="2"/>
      <c r="M854" s="2"/>
      <c r="N854" s="2"/>
      <c r="O854" s="2"/>
      <c r="P854" s="1" t="str">
        <f>IF(A854="","",MAX(0,MIN(3,SUMIFS(Strike_Log!$C:$C,Strike_Log!$B:$B,A854,Strike_Log!$A:$A,"&gt;="&amp;IF(Config!$B$1004="Y",TODAY()-Config!$B$1005,DATE(1900,1,1)),Strike_Log!$I:$I,1))))</f>
        <v/>
      </c>
      <c r="Q854" s="1"/>
      <c r="R854" s="1"/>
      <c r="S854" s="1" t="str">
        <f>IF(A854="","",COUNTIFS(Assignments!$B:$B,A854,Assignments!$AE:$AE, "Y",Assignments!$D:$D,"&gt;="&amp;TODAY()-30))</f>
        <v/>
      </c>
      <c r="T854" s="1" t="str">
        <f>IF(A854="","",COUNTIFS(Assignments!$AF:$AF,A854,Assignments!$AE:$AE, "Y",Assignments!$D:$D,"&gt;="&amp;TODAY()-30))</f>
        <v/>
      </c>
      <c r="U854" s="1" t="str">
        <f>IF(A854="","",IFERROR(S854/MAX(1,COUNTIFS(Assignments!$B:$B,A854,Assignments!$D:$D,"&gt;="&amp;TODAY()-30)),""))</f>
        <v/>
      </c>
      <c r="V854" s="1" t="str">
        <f t="shared" si="4"/>
        <v/>
      </c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 t="str">
        <f>IF(A855="","",IFERROR(AVERAGEIFS(Assignments!$AO:$AO,Assignments!$B:$B,A855,Assignments!$E:$E,"Completed"),""))</f>
        <v/>
      </c>
      <c r="L855" s="2"/>
      <c r="M855" s="2"/>
      <c r="N855" s="2"/>
      <c r="O855" s="2"/>
      <c r="P855" s="1" t="str">
        <f>IF(A855="","",MAX(0,MIN(3,SUMIFS(Strike_Log!$C:$C,Strike_Log!$B:$B,A855,Strike_Log!$A:$A,"&gt;="&amp;IF(Config!$B$1004="Y",TODAY()-Config!$B$1005,DATE(1900,1,1)),Strike_Log!$I:$I,1))))</f>
        <v/>
      </c>
      <c r="Q855" s="1"/>
      <c r="R855" s="1"/>
      <c r="S855" s="1" t="str">
        <f>IF(A855="","",COUNTIFS(Assignments!$B:$B,A855,Assignments!$AE:$AE, "Y",Assignments!$D:$D,"&gt;="&amp;TODAY()-30))</f>
        <v/>
      </c>
      <c r="T855" s="1" t="str">
        <f>IF(A855="","",COUNTIFS(Assignments!$AF:$AF,A855,Assignments!$AE:$AE, "Y",Assignments!$D:$D,"&gt;="&amp;TODAY()-30))</f>
        <v/>
      </c>
      <c r="U855" s="1" t="str">
        <f>IF(A855="","",IFERROR(S855/MAX(1,COUNTIFS(Assignments!$B:$B,A855,Assignments!$D:$D,"&gt;="&amp;TODAY()-30)),""))</f>
        <v/>
      </c>
      <c r="V855" s="1" t="str">
        <f t="shared" si="4"/>
        <v/>
      </c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 t="str">
        <f>IF(A856="","",IFERROR(AVERAGEIFS(Assignments!$AO:$AO,Assignments!$B:$B,A856,Assignments!$E:$E,"Completed"),""))</f>
        <v/>
      </c>
      <c r="L856" s="2"/>
      <c r="M856" s="2"/>
      <c r="N856" s="2"/>
      <c r="O856" s="2"/>
      <c r="P856" s="1" t="str">
        <f>IF(A856="","",MAX(0,MIN(3,SUMIFS(Strike_Log!$C:$C,Strike_Log!$B:$B,A856,Strike_Log!$A:$A,"&gt;="&amp;IF(Config!$B$1004="Y",TODAY()-Config!$B$1005,DATE(1900,1,1)),Strike_Log!$I:$I,1))))</f>
        <v/>
      </c>
      <c r="Q856" s="1"/>
      <c r="R856" s="1"/>
      <c r="S856" s="1" t="str">
        <f>IF(A856="","",COUNTIFS(Assignments!$B:$B,A856,Assignments!$AE:$AE, "Y",Assignments!$D:$D,"&gt;="&amp;TODAY()-30))</f>
        <v/>
      </c>
      <c r="T856" s="1" t="str">
        <f>IF(A856="","",COUNTIFS(Assignments!$AF:$AF,A856,Assignments!$AE:$AE, "Y",Assignments!$D:$D,"&gt;="&amp;TODAY()-30))</f>
        <v/>
      </c>
      <c r="U856" s="1" t="str">
        <f>IF(A856="","",IFERROR(S856/MAX(1,COUNTIFS(Assignments!$B:$B,A856,Assignments!$D:$D,"&gt;="&amp;TODAY()-30)),""))</f>
        <v/>
      </c>
      <c r="V856" s="1" t="str">
        <f t="shared" si="4"/>
        <v/>
      </c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 t="str">
        <f>IF(A857="","",IFERROR(AVERAGEIFS(Assignments!$AO:$AO,Assignments!$B:$B,A857,Assignments!$E:$E,"Completed"),""))</f>
        <v/>
      </c>
      <c r="L857" s="2"/>
      <c r="M857" s="2"/>
      <c r="N857" s="2"/>
      <c r="O857" s="2"/>
      <c r="P857" s="1" t="str">
        <f>IF(A857="","",MAX(0,MIN(3,SUMIFS(Strike_Log!$C:$C,Strike_Log!$B:$B,A857,Strike_Log!$A:$A,"&gt;="&amp;IF(Config!$B$1004="Y",TODAY()-Config!$B$1005,DATE(1900,1,1)),Strike_Log!$I:$I,1))))</f>
        <v/>
      </c>
      <c r="Q857" s="1"/>
      <c r="R857" s="1"/>
      <c r="S857" s="1" t="str">
        <f>IF(A857="","",COUNTIFS(Assignments!$B:$B,A857,Assignments!$AE:$AE, "Y",Assignments!$D:$D,"&gt;="&amp;TODAY()-30))</f>
        <v/>
      </c>
      <c r="T857" s="1" t="str">
        <f>IF(A857="","",COUNTIFS(Assignments!$AF:$AF,A857,Assignments!$AE:$AE, "Y",Assignments!$D:$D,"&gt;="&amp;TODAY()-30))</f>
        <v/>
      </c>
      <c r="U857" s="1" t="str">
        <f>IF(A857="","",IFERROR(S857/MAX(1,COUNTIFS(Assignments!$B:$B,A857,Assignments!$D:$D,"&gt;="&amp;TODAY()-30)),""))</f>
        <v/>
      </c>
      <c r="V857" s="1" t="str">
        <f t="shared" si="4"/>
        <v/>
      </c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 t="str">
        <f>IF(A858="","",IFERROR(AVERAGEIFS(Assignments!$AO:$AO,Assignments!$B:$B,A858,Assignments!$E:$E,"Completed"),""))</f>
        <v/>
      </c>
      <c r="L858" s="2"/>
      <c r="M858" s="2"/>
      <c r="N858" s="2"/>
      <c r="O858" s="2"/>
      <c r="P858" s="1" t="str">
        <f>IF(A858="","",MAX(0,MIN(3,SUMIFS(Strike_Log!$C:$C,Strike_Log!$B:$B,A858,Strike_Log!$A:$A,"&gt;="&amp;IF(Config!$B$1004="Y",TODAY()-Config!$B$1005,DATE(1900,1,1)),Strike_Log!$I:$I,1))))</f>
        <v/>
      </c>
      <c r="Q858" s="1"/>
      <c r="R858" s="1"/>
      <c r="S858" s="1" t="str">
        <f>IF(A858="","",COUNTIFS(Assignments!$B:$B,A858,Assignments!$AE:$AE, "Y",Assignments!$D:$D,"&gt;="&amp;TODAY()-30))</f>
        <v/>
      </c>
      <c r="T858" s="1" t="str">
        <f>IF(A858="","",COUNTIFS(Assignments!$AF:$AF,A858,Assignments!$AE:$AE, "Y",Assignments!$D:$D,"&gt;="&amp;TODAY()-30))</f>
        <v/>
      </c>
      <c r="U858" s="1" t="str">
        <f>IF(A858="","",IFERROR(S858/MAX(1,COUNTIFS(Assignments!$B:$B,A858,Assignments!$D:$D,"&gt;="&amp;TODAY()-30)),""))</f>
        <v/>
      </c>
      <c r="V858" s="1" t="str">
        <f t="shared" si="4"/>
        <v/>
      </c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 t="str">
        <f>IF(A859="","",IFERROR(AVERAGEIFS(Assignments!$AO:$AO,Assignments!$B:$B,A859,Assignments!$E:$E,"Completed"),""))</f>
        <v/>
      </c>
      <c r="L859" s="2"/>
      <c r="M859" s="2"/>
      <c r="N859" s="2"/>
      <c r="O859" s="2"/>
      <c r="P859" s="1" t="str">
        <f>IF(A859="","",MAX(0,MIN(3,SUMIFS(Strike_Log!$C:$C,Strike_Log!$B:$B,A859,Strike_Log!$A:$A,"&gt;="&amp;IF(Config!$B$1004="Y",TODAY()-Config!$B$1005,DATE(1900,1,1)),Strike_Log!$I:$I,1))))</f>
        <v/>
      </c>
      <c r="Q859" s="1"/>
      <c r="R859" s="1"/>
      <c r="S859" s="1" t="str">
        <f>IF(A859="","",COUNTIFS(Assignments!$B:$B,A859,Assignments!$AE:$AE, "Y",Assignments!$D:$D,"&gt;="&amp;TODAY()-30))</f>
        <v/>
      </c>
      <c r="T859" s="1" t="str">
        <f>IF(A859="","",COUNTIFS(Assignments!$AF:$AF,A859,Assignments!$AE:$AE, "Y",Assignments!$D:$D,"&gt;="&amp;TODAY()-30))</f>
        <v/>
      </c>
      <c r="U859" s="1" t="str">
        <f>IF(A859="","",IFERROR(S859/MAX(1,COUNTIFS(Assignments!$B:$B,A859,Assignments!$D:$D,"&gt;="&amp;TODAY()-30)),""))</f>
        <v/>
      </c>
      <c r="V859" s="1" t="str">
        <f t="shared" si="4"/>
        <v/>
      </c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 t="str">
        <f>IF(A860="","",IFERROR(AVERAGEIFS(Assignments!$AO:$AO,Assignments!$B:$B,A860,Assignments!$E:$E,"Completed"),""))</f>
        <v/>
      </c>
      <c r="L860" s="2"/>
      <c r="M860" s="2"/>
      <c r="N860" s="2"/>
      <c r="O860" s="2"/>
      <c r="P860" s="1" t="str">
        <f>IF(A860="","",MAX(0,MIN(3,SUMIFS(Strike_Log!$C:$C,Strike_Log!$B:$B,A860,Strike_Log!$A:$A,"&gt;="&amp;IF(Config!$B$1004="Y",TODAY()-Config!$B$1005,DATE(1900,1,1)),Strike_Log!$I:$I,1))))</f>
        <v/>
      </c>
      <c r="Q860" s="1"/>
      <c r="R860" s="1"/>
      <c r="S860" s="1" t="str">
        <f>IF(A860="","",COUNTIFS(Assignments!$B:$B,A860,Assignments!$AE:$AE, "Y",Assignments!$D:$D,"&gt;="&amp;TODAY()-30))</f>
        <v/>
      </c>
      <c r="T860" s="1" t="str">
        <f>IF(A860="","",COUNTIFS(Assignments!$AF:$AF,A860,Assignments!$AE:$AE, "Y",Assignments!$D:$D,"&gt;="&amp;TODAY()-30))</f>
        <v/>
      </c>
      <c r="U860" s="1" t="str">
        <f>IF(A860="","",IFERROR(S860/MAX(1,COUNTIFS(Assignments!$B:$B,A860,Assignments!$D:$D,"&gt;="&amp;TODAY()-30)),""))</f>
        <v/>
      </c>
      <c r="V860" s="1" t="str">
        <f t="shared" si="4"/>
        <v/>
      </c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 t="str">
        <f>IF(A861="","",IFERROR(AVERAGEIFS(Assignments!$AO:$AO,Assignments!$B:$B,A861,Assignments!$E:$E,"Completed"),""))</f>
        <v/>
      </c>
      <c r="L861" s="2"/>
      <c r="M861" s="2"/>
      <c r="N861" s="2"/>
      <c r="O861" s="2"/>
      <c r="P861" s="1" t="str">
        <f>IF(A861="","",MAX(0,MIN(3,SUMIFS(Strike_Log!$C:$C,Strike_Log!$B:$B,A861,Strike_Log!$A:$A,"&gt;="&amp;IF(Config!$B$1004="Y",TODAY()-Config!$B$1005,DATE(1900,1,1)),Strike_Log!$I:$I,1))))</f>
        <v/>
      </c>
      <c r="Q861" s="1"/>
      <c r="R861" s="1"/>
      <c r="S861" s="1" t="str">
        <f>IF(A861="","",COUNTIFS(Assignments!$B:$B,A861,Assignments!$AE:$AE, "Y",Assignments!$D:$D,"&gt;="&amp;TODAY()-30))</f>
        <v/>
      </c>
      <c r="T861" s="1" t="str">
        <f>IF(A861="","",COUNTIFS(Assignments!$AF:$AF,A861,Assignments!$AE:$AE, "Y",Assignments!$D:$D,"&gt;="&amp;TODAY()-30))</f>
        <v/>
      </c>
      <c r="U861" s="1" t="str">
        <f>IF(A861="","",IFERROR(S861/MAX(1,COUNTIFS(Assignments!$B:$B,A861,Assignments!$D:$D,"&gt;="&amp;TODAY()-30)),""))</f>
        <v/>
      </c>
      <c r="V861" s="1" t="str">
        <f t="shared" si="4"/>
        <v/>
      </c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 t="str">
        <f>IF(A862="","",IFERROR(AVERAGEIFS(Assignments!$AO:$AO,Assignments!$B:$B,A862,Assignments!$E:$E,"Completed"),""))</f>
        <v/>
      </c>
      <c r="L862" s="2"/>
      <c r="M862" s="2"/>
      <c r="N862" s="2"/>
      <c r="O862" s="2"/>
      <c r="P862" s="1" t="str">
        <f>IF(A862="","",MAX(0,MIN(3,SUMIFS(Strike_Log!$C:$C,Strike_Log!$B:$B,A862,Strike_Log!$A:$A,"&gt;="&amp;IF(Config!$B$1004="Y",TODAY()-Config!$B$1005,DATE(1900,1,1)),Strike_Log!$I:$I,1))))</f>
        <v/>
      </c>
      <c r="Q862" s="1"/>
      <c r="R862" s="1"/>
      <c r="S862" s="1" t="str">
        <f>IF(A862="","",COUNTIFS(Assignments!$B:$B,A862,Assignments!$AE:$AE, "Y",Assignments!$D:$D,"&gt;="&amp;TODAY()-30))</f>
        <v/>
      </c>
      <c r="T862" s="1" t="str">
        <f>IF(A862="","",COUNTIFS(Assignments!$AF:$AF,A862,Assignments!$AE:$AE, "Y",Assignments!$D:$D,"&gt;="&amp;TODAY()-30))</f>
        <v/>
      </c>
      <c r="U862" s="1" t="str">
        <f>IF(A862="","",IFERROR(S862/MAX(1,COUNTIFS(Assignments!$B:$B,A862,Assignments!$D:$D,"&gt;="&amp;TODAY()-30)),""))</f>
        <v/>
      </c>
      <c r="V862" s="1" t="str">
        <f t="shared" si="4"/>
        <v/>
      </c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 t="str">
        <f>IF(A863="","",IFERROR(AVERAGEIFS(Assignments!$AO:$AO,Assignments!$B:$B,A863,Assignments!$E:$E,"Completed"),""))</f>
        <v/>
      </c>
      <c r="L863" s="2"/>
      <c r="M863" s="2"/>
      <c r="N863" s="2"/>
      <c r="O863" s="2"/>
      <c r="P863" s="1" t="str">
        <f>IF(A863="","",MAX(0,MIN(3,SUMIFS(Strike_Log!$C:$C,Strike_Log!$B:$B,A863,Strike_Log!$A:$A,"&gt;="&amp;IF(Config!$B$1004="Y",TODAY()-Config!$B$1005,DATE(1900,1,1)),Strike_Log!$I:$I,1))))</f>
        <v/>
      </c>
      <c r="Q863" s="1"/>
      <c r="R863" s="1"/>
      <c r="S863" s="1" t="str">
        <f>IF(A863="","",COUNTIFS(Assignments!$B:$B,A863,Assignments!$AE:$AE, "Y",Assignments!$D:$D,"&gt;="&amp;TODAY()-30))</f>
        <v/>
      </c>
      <c r="T863" s="1" t="str">
        <f>IF(A863="","",COUNTIFS(Assignments!$AF:$AF,A863,Assignments!$AE:$AE, "Y",Assignments!$D:$D,"&gt;="&amp;TODAY()-30))</f>
        <v/>
      </c>
      <c r="U863" s="1" t="str">
        <f>IF(A863="","",IFERROR(S863/MAX(1,COUNTIFS(Assignments!$B:$B,A863,Assignments!$D:$D,"&gt;="&amp;TODAY()-30)),""))</f>
        <v/>
      </c>
      <c r="V863" s="1" t="str">
        <f t="shared" si="4"/>
        <v/>
      </c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 t="str">
        <f>IF(A864="","",IFERROR(AVERAGEIFS(Assignments!$AO:$AO,Assignments!$B:$B,A864,Assignments!$E:$E,"Completed"),""))</f>
        <v/>
      </c>
      <c r="L864" s="2"/>
      <c r="M864" s="2"/>
      <c r="N864" s="2"/>
      <c r="O864" s="2"/>
      <c r="P864" s="1" t="str">
        <f>IF(A864="","",MAX(0,MIN(3,SUMIFS(Strike_Log!$C:$C,Strike_Log!$B:$B,A864,Strike_Log!$A:$A,"&gt;="&amp;IF(Config!$B$1004="Y",TODAY()-Config!$B$1005,DATE(1900,1,1)),Strike_Log!$I:$I,1))))</f>
        <v/>
      </c>
      <c r="Q864" s="1"/>
      <c r="R864" s="1"/>
      <c r="S864" s="1" t="str">
        <f>IF(A864="","",COUNTIFS(Assignments!$B:$B,A864,Assignments!$AE:$AE, "Y",Assignments!$D:$D,"&gt;="&amp;TODAY()-30))</f>
        <v/>
      </c>
      <c r="T864" s="1" t="str">
        <f>IF(A864="","",COUNTIFS(Assignments!$AF:$AF,A864,Assignments!$AE:$AE, "Y",Assignments!$D:$D,"&gt;="&amp;TODAY()-30))</f>
        <v/>
      </c>
      <c r="U864" s="1" t="str">
        <f>IF(A864="","",IFERROR(S864/MAX(1,COUNTIFS(Assignments!$B:$B,A864,Assignments!$D:$D,"&gt;="&amp;TODAY()-30)),""))</f>
        <v/>
      </c>
      <c r="V864" s="1" t="str">
        <f t="shared" si="4"/>
        <v/>
      </c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 t="str">
        <f>IF(A865="","",IFERROR(AVERAGEIFS(Assignments!$AO:$AO,Assignments!$B:$B,A865,Assignments!$E:$E,"Completed"),""))</f>
        <v/>
      </c>
      <c r="L865" s="2"/>
      <c r="M865" s="2"/>
      <c r="N865" s="2"/>
      <c r="O865" s="2"/>
      <c r="P865" s="1" t="str">
        <f>IF(A865="","",MAX(0,MIN(3,SUMIFS(Strike_Log!$C:$C,Strike_Log!$B:$B,A865,Strike_Log!$A:$A,"&gt;="&amp;IF(Config!$B$1004="Y",TODAY()-Config!$B$1005,DATE(1900,1,1)),Strike_Log!$I:$I,1))))</f>
        <v/>
      </c>
      <c r="Q865" s="1"/>
      <c r="R865" s="1"/>
      <c r="S865" s="1" t="str">
        <f>IF(A865="","",COUNTIFS(Assignments!$B:$B,A865,Assignments!$AE:$AE, "Y",Assignments!$D:$D,"&gt;="&amp;TODAY()-30))</f>
        <v/>
      </c>
      <c r="T865" s="1" t="str">
        <f>IF(A865="","",COUNTIFS(Assignments!$AF:$AF,A865,Assignments!$AE:$AE, "Y",Assignments!$D:$D,"&gt;="&amp;TODAY()-30))</f>
        <v/>
      </c>
      <c r="U865" s="1" t="str">
        <f>IF(A865="","",IFERROR(S865/MAX(1,COUNTIFS(Assignments!$B:$B,A865,Assignments!$D:$D,"&gt;="&amp;TODAY()-30)),""))</f>
        <v/>
      </c>
      <c r="V865" s="1" t="str">
        <f t="shared" si="4"/>
        <v/>
      </c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 t="str">
        <f>IF(A866="","",IFERROR(AVERAGEIFS(Assignments!$AO:$AO,Assignments!$B:$B,A866,Assignments!$E:$E,"Completed"),""))</f>
        <v/>
      </c>
      <c r="L866" s="2"/>
      <c r="M866" s="2"/>
      <c r="N866" s="2"/>
      <c r="O866" s="2"/>
      <c r="P866" s="1" t="str">
        <f>IF(A866="","",MAX(0,MIN(3,SUMIFS(Strike_Log!$C:$C,Strike_Log!$B:$B,A866,Strike_Log!$A:$A,"&gt;="&amp;IF(Config!$B$1004="Y",TODAY()-Config!$B$1005,DATE(1900,1,1)),Strike_Log!$I:$I,1))))</f>
        <v/>
      </c>
      <c r="Q866" s="1"/>
      <c r="R866" s="1"/>
      <c r="S866" s="1" t="str">
        <f>IF(A866="","",COUNTIFS(Assignments!$B:$B,A866,Assignments!$AE:$AE, "Y",Assignments!$D:$D,"&gt;="&amp;TODAY()-30))</f>
        <v/>
      </c>
      <c r="T866" s="1" t="str">
        <f>IF(A866="","",COUNTIFS(Assignments!$AF:$AF,A866,Assignments!$AE:$AE, "Y",Assignments!$D:$D,"&gt;="&amp;TODAY()-30))</f>
        <v/>
      </c>
      <c r="U866" s="1" t="str">
        <f>IF(A866="","",IFERROR(S866/MAX(1,COUNTIFS(Assignments!$B:$B,A866,Assignments!$D:$D,"&gt;="&amp;TODAY()-30)),""))</f>
        <v/>
      </c>
      <c r="V866" s="1" t="str">
        <f t="shared" si="4"/>
        <v/>
      </c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 t="str">
        <f>IF(A867="","",IFERROR(AVERAGEIFS(Assignments!$AO:$AO,Assignments!$B:$B,A867,Assignments!$E:$E,"Completed"),""))</f>
        <v/>
      </c>
      <c r="L867" s="2"/>
      <c r="M867" s="2"/>
      <c r="N867" s="2"/>
      <c r="O867" s="2"/>
      <c r="P867" s="1" t="str">
        <f>IF(A867="","",MAX(0,MIN(3,SUMIFS(Strike_Log!$C:$C,Strike_Log!$B:$B,A867,Strike_Log!$A:$A,"&gt;="&amp;IF(Config!$B$1004="Y",TODAY()-Config!$B$1005,DATE(1900,1,1)),Strike_Log!$I:$I,1))))</f>
        <v/>
      </c>
      <c r="Q867" s="1"/>
      <c r="R867" s="1"/>
      <c r="S867" s="1" t="str">
        <f>IF(A867="","",COUNTIFS(Assignments!$B:$B,A867,Assignments!$AE:$AE, "Y",Assignments!$D:$D,"&gt;="&amp;TODAY()-30))</f>
        <v/>
      </c>
      <c r="T867" s="1" t="str">
        <f>IF(A867="","",COUNTIFS(Assignments!$AF:$AF,A867,Assignments!$AE:$AE, "Y",Assignments!$D:$D,"&gt;="&amp;TODAY()-30))</f>
        <v/>
      </c>
      <c r="U867" s="1" t="str">
        <f>IF(A867="","",IFERROR(S867/MAX(1,COUNTIFS(Assignments!$B:$B,A867,Assignments!$D:$D,"&gt;="&amp;TODAY()-30)),""))</f>
        <v/>
      </c>
      <c r="V867" s="1" t="str">
        <f t="shared" si="4"/>
        <v/>
      </c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 t="str">
        <f>IF(A868="","",IFERROR(AVERAGEIFS(Assignments!$AO:$AO,Assignments!$B:$B,A868,Assignments!$E:$E,"Completed"),""))</f>
        <v/>
      </c>
      <c r="L868" s="2"/>
      <c r="M868" s="2"/>
      <c r="N868" s="2"/>
      <c r="O868" s="2"/>
      <c r="P868" s="1" t="str">
        <f>IF(A868="","",MAX(0,MIN(3,SUMIFS(Strike_Log!$C:$C,Strike_Log!$B:$B,A868,Strike_Log!$A:$A,"&gt;="&amp;IF(Config!$B$1004="Y",TODAY()-Config!$B$1005,DATE(1900,1,1)),Strike_Log!$I:$I,1))))</f>
        <v/>
      </c>
      <c r="Q868" s="1"/>
      <c r="R868" s="1"/>
      <c r="S868" s="1" t="str">
        <f>IF(A868="","",COUNTIFS(Assignments!$B:$B,A868,Assignments!$AE:$AE, "Y",Assignments!$D:$D,"&gt;="&amp;TODAY()-30))</f>
        <v/>
      </c>
      <c r="T868" s="1" t="str">
        <f>IF(A868="","",COUNTIFS(Assignments!$AF:$AF,A868,Assignments!$AE:$AE, "Y",Assignments!$D:$D,"&gt;="&amp;TODAY()-30))</f>
        <v/>
      </c>
      <c r="U868" s="1" t="str">
        <f>IF(A868="","",IFERROR(S868/MAX(1,COUNTIFS(Assignments!$B:$B,A868,Assignments!$D:$D,"&gt;="&amp;TODAY()-30)),""))</f>
        <v/>
      </c>
      <c r="V868" s="1" t="str">
        <f t="shared" si="4"/>
        <v/>
      </c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 t="str">
        <f>IF(A869="","",IFERROR(AVERAGEIFS(Assignments!$AO:$AO,Assignments!$B:$B,A869,Assignments!$E:$E,"Completed"),""))</f>
        <v/>
      </c>
      <c r="L869" s="2"/>
      <c r="M869" s="2"/>
      <c r="N869" s="2"/>
      <c r="O869" s="2"/>
      <c r="P869" s="1" t="str">
        <f>IF(A869="","",MAX(0,MIN(3,SUMIFS(Strike_Log!$C:$C,Strike_Log!$B:$B,A869,Strike_Log!$A:$A,"&gt;="&amp;IF(Config!$B$1004="Y",TODAY()-Config!$B$1005,DATE(1900,1,1)),Strike_Log!$I:$I,1))))</f>
        <v/>
      </c>
      <c r="Q869" s="1"/>
      <c r="R869" s="1"/>
      <c r="S869" s="1" t="str">
        <f>IF(A869="","",COUNTIFS(Assignments!$B:$B,A869,Assignments!$AE:$AE, "Y",Assignments!$D:$D,"&gt;="&amp;TODAY()-30))</f>
        <v/>
      </c>
      <c r="T869" s="1" t="str">
        <f>IF(A869="","",COUNTIFS(Assignments!$AF:$AF,A869,Assignments!$AE:$AE, "Y",Assignments!$D:$D,"&gt;="&amp;TODAY()-30))</f>
        <v/>
      </c>
      <c r="U869" s="1" t="str">
        <f>IF(A869="","",IFERROR(S869/MAX(1,COUNTIFS(Assignments!$B:$B,A869,Assignments!$D:$D,"&gt;="&amp;TODAY()-30)),""))</f>
        <v/>
      </c>
      <c r="V869" s="1" t="str">
        <f t="shared" si="4"/>
        <v/>
      </c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 t="str">
        <f>IF(A870="","",IFERROR(AVERAGEIFS(Assignments!$AO:$AO,Assignments!$B:$B,A870,Assignments!$E:$E,"Completed"),""))</f>
        <v/>
      </c>
      <c r="L870" s="2"/>
      <c r="M870" s="2"/>
      <c r="N870" s="2"/>
      <c r="O870" s="2"/>
      <c r="P870" s="1" t="str">
        <f>IF(A870="","",MAX(0,MIN(3,SUMIFS(Strike_Log!$C:$C,Strike_Log!$B:$B,A870,Strike_Log!$A:$A,"&gt;="&amp;IF(Config!$B$1004="Y",TODAY()-Config!$B$1005,DATE(1900,1,1)),Strike_Log!$I:$I,1))))</f>
        <v/>
      </c>
      <c r="Q870" s="1"/>
      <c r="R870" s="1"/>
      <c r="S870" s="1" t="str">
        <f>IF(A870="","",COUNTIFS(Assignments!$B:$B,A870,Assignments!$AE:$AE, "Y",Assignments!$D:$D,"&gt;="&amp;TODAY()-30))</f>
        <v/>
      </c>
      <c r="T870" s="1" t="str">
        <f>IF(A870="","",COUNTIFS(Assignments!$AF:$AF,A870,Assignments!$AE:$AE, "Y",Assignments!$D:$D,"&gt;="&amp;TODAY()-30))</f>
        <v/>
      </c>
      <c r="U870" s="1" t="str">
        <f>IF(A870="","",IFERROR(S870/MAX(1,COUNTIFS(Assignments!$B:$B,A870,Assignments!$D:$D,"&gt;="&amp;TODAY()-30)),""))</f>
        <v/>
      </c>
      <c r="V870" s="1" t="str">
        <f t="shared" si="4"/>
        <v/>
      </c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 t="str">
        <f>IF(A871="","",IFERROR(AVERAGEIFS(Assignments!$AO:$AO,Assignments!$B:$B,A871,Assignments!$E:$E,"Completed"),""))</f>
        <v/>
      </c>
      <c r="L871" s="2"/>
      <c r="M871" s="2"/>
      <c r="N871" s="2"/>
      <c r="O871" s="2"/>
      <c r="P871" s="1" t="str">
        <f>IF(A871="","",MAX(0,MIN(3,SUMIFS(Strike_Log!$C:$C,Strike_Log!$B:$B,A871,Strike_Log!$A:$A,"&gt;="&amp;IF(Config!$B$1004="Y",TODAY()-Config!$B$1005,DATE(1900,1,1)),Strike_Log!$I:$I,1))))</f>
        <v/>
      </c>
      <c r="Q871" s="1"/>
      <c r="R871" s="1"/>
      <c r="S871" s="1" t="str">
        <f>IF(A871="","",COUNTIFS(Assignments!$B:$B,A871,Assignments!$AE:$AE, "Y",Assignments!$D:$D,"&gt;="&amp;TODAY()-30))</f>
        <v/>
      </c>
      <c r="T871" s="1" t="str">
        <f>IF(A871="","",COUNTIFS(Assignments!$AF:$AF,A871,Assignments!$AE:$AE, "Y",Assignments!$D:$D,"&gt;="&amp;TODAY()-30))</f>
        <v/>
      </c>
      <c r="U871" s="1" t="str">
        <f>IF(A871="","",IFERROR(S871/MAX(1,COUNTIFS(Assignments!$B:$B,A871,Assignments!$D:$D,"&gt;="&amp;TODAY()-30)),""))</f>
        <v/>
      </c>
      <c r="V871" s="1" t="str">
        <f t="shared" si="4"/>
        <v/>
      </c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 t="str">
        <f>IF(A872="","",IFERROR(AVERAGEIFS(Assignments!$AO:$AO,Assignments!$B:$B,A872,Assignments!$E:$E,"Completed"),""))</f>
        <v/>
      </c>
      <c r="L872" s="2"/>
      <c r="M872" s="2"/>
      <c r="N872" s="2"/>
      <c r="O872" s="2"/>
      <c r="P872" s="1" t="str">
        <f>IF(A872="","",MAX(0,MIN(3,SUMIFS(Strike_Log!$C:$C,Strike_Log!$B:$B,A872,Strike_Log!$A:$A,"&gt;="&amp;IF(Config!$B$1004="Y",TODAY()-Config!$B$1005,DATE(1900,1,1)),Strike_Log!$I:$I,1))))</f>
        <v/>
      </c>
      <c r="Q872" s="1"/>
      <c r="R872" s="1"/>
      <c r="S872" s="1" t="str">
        <f>IF(A872="","",COUNTIFS(Assignments!$B:$B,A872,Assignments!$AE:$AE, "Y",Assignments!$D:$D,"&gt;="&amp;TODAY()-30))</f>
        <v/>
      </c>
      <c r="T872" s="1" t="str">
        <f>IF(A872="","",COUNTIFS(Assignments!$AF:$AF,A872,Assignments!$AE:$AE, "Y",Assignments!$D:$D,"&gt;="&amp;TODAY()-30))</f>
        <v/>
      </c>
      <c r="U872" s="1" t="str">
        <f>IF(A872="","",IFERROR(S872/MAX(1,COUNTIFS(Assignments!$B:$B,A872,Assignments!$D:$D,"&gt;="&amp;TODAY()-30)),""))</f>
        <v/>
      </c>
      <c r="V872" s="1" t="str">
        <f t="shared" si="4"/>
        <v/>
      </c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 t="str">
        <f>IF(A873="","",IFERROR(AVERAGEIFS(Assignments!$AO:$AO,Assignments!$B:$B,A873,Assignments!$E:$E,"Completed"),""))</f>
        <v/>
      </c>
      <c r="L873" s="2"/>
      <c r="M873" s="2"/>
      <c r="N873" s="2"/>
      <c r="O873" s="2"/>
      <c r="P873" s="1" t="str">
        <f>IF(A873="","",MAX(0,MIN(3,SUMIFS(Strike_Log!$C:$C,Strike_Log!$B:$B,A873,Strike_Log!$A:$A,"&gt;="&amp;IF(Config!$B$1004="Y",TODAY()-Config!$B$1005,DATE(1900,1,1)),Strike_Log!$I:$I,1))))</f>
        <v/>
      </c>
      <c r="Q873" s="1"/>
      <c r="R873" s="1"/>
      <c r="S873" s="1" t="str">
        <f>IF(A873="","",COUNTIFS(Assignments!$B:$B,A873,Assignments!$AE:$AE, "Y",Assignments!$D:$D,"&gt;="&amp;TODAY()-30))</f>
        <v/>
      </c>
      <c r="T873" s="1" t="str">
        <f>IF(A873="","",COUNTIFS(Assignments!$AF:$AF,A873,Assignments!$AE:$AE, "Y",Assignments!$D:$D,"&gt;="&amp;TODAY()-30))</f>
        <v/>
      </c>
      <c r="U873" s="1" t="str">
        <f>IF(A873="","",IFERROR(S873/MAX(1,COUNTIFS(Assignments!$B:$B,A873,Assignments!$D:$D,"&gt;="&amp;TODAY()-30)),""))</f>
        <v/>
      </c>
      <c r="V873" s="1" t="str">
        <f t="shared" si="4"/>
        <v/>
      </c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 t="str">
        <f>IF(A874="","",IFERROR(AVERAGEIFS(Assignments!$AO:$AO,Assignments!$B:$B,A874,Assignments!$E:$E,"Completed"),""))</f>
        <v/>
      </c>
      <c r="L874" s="2"/>
      <c r="M874" s="2"/>
      <c r="N874" s="2"/>
      <c r="O874" s="2"/>
      <c r="P874" s="1" t="str">
        <f>IF(A874="","",MAX(0,MIN(3,SUMIFS(Strike_Log!$C:$C,Strike_Log!$B:$B,A874,Strike_Log!$A:$A,"&gt;="&amp;IF(Config!$B$1004="Y",TODAY()-Config!$B$1005,DATE(1900,1,1)),Strike_Log!$I:$I,1))))</f>
        <v/>
      </c>
      <c r="Q874" s="1"/>
      <c r="R874" s="1"/>
      <c r="S874" s="1" t="str">
        <f>IF(A874="","",COUNTIFS(Assignments!$B:$B,A874,Assignments!$AE:$AE, "Y",Assignments!$D:$D,"&gt;="&amp;TODAY()-30))</f>
        <v/>
      </c>
      <c r="T874" s="1" t="str">
        <f>IF(A874="","",COUNTIFS(Assignments!$AF:$AF,A874,Assignments!$AE:$AE, "Y",Assignments!$D:$D,"&gt;="&amp;TODAY()-30))</f>
        <v/>
      </c>
      <c r="U874" s="1" t="str">
        <f>IF(A874="","",IFERROR(S874/MAX(1,COUNTIFS(Assignments!$B:$B,A874,Assignments!$D:$D,"&gt;="&amp;TODAY()-30)),""))</f>
        <v/>
      </c>
      <c r="V874" s="1" t="str">
        <f t="shared" si="4"/>
        <v/>
      </c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 t="str">
        <f>IF(A875="","",IFERROR(AVERAGEIFS(Assignments!$AO:$AO,Assignments!$B:$B,A875,Assignments!$E:$E,"Completed"),""))</f>
        <v/>
      </c>
      <c r="L875" s="2"/>
      <c r="M875" s="2"/>
      <c r="N875" s="2"/>
      <c r="O875" s="2"/>
      <c r="P875" s="1" t="str">
        <f>IF(A875="","",MAX(0,MIN(3,SUMIFS(Strike_Log!$C:$C,Strike_Log!$B:$B,A875,Strike_Log!$A:$A,"&gt;="&amp;IF(Config!$B$1004="Y",TODAY()-Config!$B$1005,DATE(1900,1,1)),Strike_Log!$I:$I,1))))</f>
        <v/>
      </c>
      <c r="Q875" s="1"/>
      <c r="R875" s="1"/>
      <c r="S875" s="1" t="str">
        <f>IF(A875="","",COUNTIFS(Assignments!$B:$B,A875,Assignments!$AE:$AE, "Y",Assignments!$D:$D,"&gt;="&amp;TODAY()-30))</f>
        <v/>
      </c>
      <c r="T875" s="1" t="str">
        <f>IF(A875="","",COUNTIFS(Assignments!$AF:$AF,A875,Assignments!$AE:$AE, "Y",Assignments!$D:$D,"&gt;="&amp;TODAY()-30))</f>
        <v/>
      </c>
      <c r="U875" s="1" t="str">
        <f>IF(A875="","",IFERROR(S875/MAX(1,COUNTIFS(Assignments!$B:$B,A875,Assignments!$D:$D,"&gt;="&amp;TODAY()-30)),""))</f>
        <v/>
      </c>
      <c r="V875" s="1" t="str">
        <f t="shared" si="4"/>
        <v/>
      </c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 t="str">
        <f>IF(A876="","",IFERROR(AVERAGEIFS(Assignments!$AO:$AO,Assignments!$B:$B,A876,Assignments!$E:$E,"Completed"),""))</f>
        <v/>
      </c>
      <c r="L876" s="2"/>
      <c r="M876" s="2"/>
      <c r="N876" s="2"/>
      <c r="O876" s="2"/>
      <c r="P876" s="1" t="str">
        <f>IF(A876="","",MAX(0,MIN(3,SUMIFS(Strike_Log!$C:$C,Strike_Log!$B:$B,A876,Strike_Log!$A:$A,"&gt;="&amp;IF(Config!$B$1004="Y",TODAY()-Config!$B$1005,DATE(1900,1,1)),Strike_Log!$I:$I,1))))</f>
        <v/>
      </c>
      <c r="Q876" s="1"/>
      <c r="R876" s="1"/>
      <c r="S876" s="1" t="str">
        <f>IF(A876="","",COUNTIFS(Assignments!$B:$B,A876,Assignments!$AE:$AE, "Y",Assignments!$D:$D,"&gt;="&amp;TODAY()-30))</f>
        <v/>
      </c>
      <c r="T876" s="1" t="str">
        <f>IF(A876="","",COUNTIFS(Assignments!$AF:$AF,A876,Assignments!$AE:$AE, "Y",Assignments!$D:$D,"&gt;="&amp;TODAY()-30))</f>
        <v/>
      </c>
      <c r="U876" s="1" t="str">
        <f>IF(A876="","",IFERROR(S876/MAX(1,COUNTIFS(Assignments!$B:$B,A876,Assignments!$D:$D,"&gt;="&amp;TODAY()-30)),""))</f>
        <v/>
      </c>
      <c r="V876" s="1" t="str">
        <f t="shared" si="4"/>
        <v/>
      </c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 t="str">
        <f>IF(A877="","",IFERROR(AVERAGEIFS(Assignments!$AO:$AO,Assignments!$B:$B,A877,Assignments!$E:$E,"Completed"),""))</f>
        <v/>
      </c>
      <c r="L877" s="2"/>
      <c r="M877" s="2"/>
      <c r="N877" s="2"/>
      <c r="O877" s="2"/>
      <c r="P877" s="1" t="str">
        <f>IF(A877="","",MAX(0,MIN(3,SUMIFS(Strike_Log!$C:$C,Strike_Log!$B:$B,A877,Strike_Log!$A:$A,"&gt;="&amp;IF(Config!$B$1004="Y",TODAY()-Config!$B$1005,DATE(1900,1,1)),Strike_Log!$I:$I,1))))</f>
        <v/>
      </c>
      <c r="Q877" s="1"/>
      <c r="R877" s="1"/>
      <c r="S877" s="1" t="str">
        <f>IF(A877="","",COUNTIFS(Assignments!$B:$B,A877,Assignments!$AE:$AE, "Y",Assignments!$D:$D,"&gt;="&amp;TODAY()-30))</f>
        <v/>
      </c>
      <c r="T877" s="1" t="str">
        <f>IF(A877="","",COUNTIFS(Assignments!$AF:$AF,A877,Assignments!$AE:$AE, "Y",Assignments!$D:$D,"&gt;="&amp;TODAY()-30))</f>
        <v/>
      </c>
      <c r="U877" s="1" t="str">
        <f>IF(A877="","",IFERROR(S877/MAX(1,COUNTIFS(Assignments!$B:$B,A877,Assignments!$D:$D,"&gt;="&amp;TODAY()-30)),""))</f>
        <v/>
      </c>
      <c r="V877" s="1" t="str">
        <f t="shared" si="4"/>
        <v/>
      </c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 t="str">
        <f>IF(A878="","",IFERROR(AVERAGEIFS(Assignments!$AO:$AO,Assignments!$B:$B,A878,Assignments!$E:$E,"Completed"),""))</f>
        <v/>
      </c>
      <c r="L878" s="2"/>
      <c r="M878" s="2"/>
      <c r="N878" s="2"/>
      <c r="O878" s="2"/>
      <c r="P878" s="1" t="str">
        <f>IF(A878="","",MAX(0,MIN(3,SUMIFS(Strike_Log!$C:$C,Strike_Log!$B:$B,A878,Strike_Log!$A:$A,"&gt;="&amp;IF(Config!$B$1004="Y",TODAY()-Config!$B$1005,DATE(1900,1,1)),Strike_Log!$I:$I,1))))</f>
        <v/>
      </c>
      <c r="Q878" s="1"/>
      <c r="R878" s="1"/>
      <c r="S878" s="1" t="str">
        <f>IF(A878="","",COUNTIFS(Assignments!$B:$B,A878,Assignments!$AE:$AE, "Y",Assignments!$D:$D,"&gt;="&amp;TODAY()-30))</f>
        <v/>
      </c>
      <c r="T878" s="1" t="str">
        <f>IF(A878="","",COUNTIFS(Assignments!$AF:$AF,A878,Assignments!$AE:$AE, "Y",Assignments!$D:$D,"&gt;="&amp;TODAY()-30))</f>
        <v/>
      </c>
      <c r="U878" s="1" t="str">
        <f>IF(A878="","",IFERROR(S878/MAX(1,COUNTIFS(Assignments!$B:$B,A878,Assignments!$D:$D,"&gt;="&amp;TODAY()-30)),""))</f>
        <v/>
      </c>
      <c r="V878" s="1" t="str">
        <f t="shared" si="4"/>
        <v/>
      </c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 t="str">
        <f>IF(A879="","",IFERROR(AVERAGEIFS(Assignments!$AO:$AO,Assignments!$B:$B,A879,Assignments!$E:$E,"Completed"),""))</f>
        <v/>
      </c>
      <c r="L879" s="2"/>
      <c r="M879" s="2"/>
      <c r="N879" s="2"/>
      <c r="O879" s="2"/>
      <c r="P879" s="1" t="str">
        <f>IF(A879="","",MAX(0,MIN(3,SUMIFS(Strike_Log!$C:$C,Strike_Log!$B:$B,A879,Strike_Log!$A:$A,"&gt;="&amp;IF(Config!$B$1004="Y",TODAY()-Config!$B$1005,DATE(1900,1,1)),Strike_Log!$I:$I,1))))</f>
        <v/>
      </c>
      <c r="Q879" s="1"/>
      <c r="R879" s="1"/>
      <c r="S879" s="1" t="str">
        <f>IF(A879="","",COUNTIFS(Assignments!$B:$B,A879,Assignments!$AE:$AE, "Y",Assignments!$D:$D,"&gt;="&amp;TODAY()-30))</f>
        <v/>
      </c>
      <c r="T879" s="1" t="str">
        <f>IF(A879="","",COUNTIFS(Assignments!$AF:$AF,A879,Assignments!$AE:$AE, "Y",Assignments!$D:$D,"&gt;="&amp;TODAY()-30))</f>
        <v/>
      </c>
      <c r="U879" s="1" t="str">
        <f>IF(A879="","",IFERROR(S879/MAX(1,COUNTIFS(Assignments!$B:$B,A879,Assignments!$D:$D,"&gt;="&amp;TODAY()-30)),""))</f>
        <v/>
      </c>
      <c r="V879" s="1" t="str">
        <f t="shared" si="4"/>
        <v/>
      </c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 t="str">
        <f>IF(A880="","",IFERROR(AVERAGEIFS(Assignments!$AO:$AO,Assignments!$B:$B,A880,Assignments!$E:$E,"Completed"),""))</f>
        <v/>
      </c>
      <c r="L880" s="2"/>
      <c r="M880" s="2"/>
      <c r="N880" s="2"/>
      <c r="O880" s="2"/>
      <c r="P880" s="1" t="str">
        <f>IF(A880="","",MAX(0,MIN(3,SUMIFS(Strike_Log!$C:$C,Strike_Log!$B:$B,A880,Strike_Log!$A:$A,"&gt;="&amp;IF(Config!$B$1004="Y",TODAY()-Config!$B$1005,DATE(1900,1,1)),Strike_Log!$I:$I,1))))</f>
        <v/>
      </c>
      <c r="Q880" s="1"/>
      <c r="R880" s="1"/>
      <c r="S880" s="1" t="str">
        <f>IF(A880="","",COUNTIFS(Assignments!$B:$B,A880,Assignments!$AE:$AE, "Y",Assignments!$D:$D,"&gt;="&amp;TODAY()-30))</f>
        <v/>
      </c>
      <c r="T880" s="1" t="str">
        <f>IF(A880="","",COUNTIFS(Assignments!$AF:$AF,A880,Assignments!$AE:$AE, "Y",Assignments!$D:$D,"&gt;="&amp;TODAY()-30))</f>
        <v/>
      </c>
      <c r="U880" s="1" t="str">
        <f>IF(A880="","",IFERROR(S880/MAX(1,COUNTIFS(Assignments!$B:$B,A880,Assignments!$D:$D,"&gt;="&amp;TODAY()-30)),""))</f>
        <v/>
      </c>
      <c r="V880" s="1" t="str">
        <f t="shared" si="4"/>
        <v/>
      </c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 t="str">
        <f>IF(A881="","",IFERROR(AVERAGEIFS(Assignments!$AO:$AO,Assignments!$B:$B,A881,Assignments!$E:$E,"Completed"),""))</f>
        <v/>
      </c>
      <c r="L881" s="2"/>
      <c r="M881" s="2"/>
      <c r="N881" s="2"/>
      <c r="O881" s="2"/>
      <c r="P881" s="1" t="str">
        <f>IF(A881="","",MAX(0,MIN(3,SUMIFS(Strike_Log!$C:$C,Strike_Log!$B:$B,A881,Strike_Log!$A:$A,"&gt;="&amp;IF(Config!$B$1004="Y",TODAY()-Config!$B$1005,DATE(1900,1,1)),Strike_Log!$I:$I,1))))</f>
        <v/>
      </c>
      <c r="Q881" s="1"/>
      <c r="R881" s="1"/>
      <c r="S881" s="1" t="str">
        <f>IF(A881="","",COUNTIFS(Assignments!$B:$B,A881,Assignments!$AE:$AE, "Y",Assignments!$D:$D,"&gt;="&amp;TODAY()-30))</f>
        <v/>
      </c>
      <c r="T881" s="1" t="str">
        <f>IF(A881="","",COUNTIFS(Assignments!$AF:$AF,A881,Assignments!$AE:$AE, "Y",Assignments!$D:$D,"&gt;="&amp;TODAY()-30))</f>
        <v/>
      </c>
      <c r="U881" s="1" t="str">
        <f>IF(A881="","",IFERROR(S881/MAX(1,COUNTIFS(Assignments!$B:$B,A881,Assignments!$D:$D,"&gt;="&amp;TODAY()-30)),""))</f>
        <v/>
      </c>
      <c r="V881" s="1" t="str">
        <f t="shared" si="4"/>
        <v/>
      </c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 t="str">
        <f>IF(A882="","",IFERROR(AVERAGEIFS(Assignments!$AO:$AO,Assignments!$B:$B,A882,Assignments!$E:$E,"Completed"),""))</f>
        <v/>
      </c>
      <c r="L882" s="2"/>
      <c r="M882" s="2"/>
      <c r="N882" s="2"/>
      <c r="O882" s="2"/>
      <c r="P882" s="1" t="str">
        <f>IF(A882="","",MAX(0,MIN(3,SUMIFS(Strike_Log!$C:$C,Strike_Log!$B:$B,A882,Strike_Log!$A:$A,"&gt;="&amp;IF(Config!$B$1004="Y",TODAY()-Config!$B$1005,DATE(1900,1,1)),Strike_Log!$I:$I,1))))</f>
        <v/>
      </c>
      <c r="Q882" s="1"/>
      <c r="R882" s="1"/>
      <c r="S882" s="1" t="str">
        <f>IF(A882="","",COUNTIFS(Assignments!$B:$B,A882,Assignments!$AE:$AE, "Y",Assignments!$D:$D,"&gt;="&amp;TODAY()-30))</f>
        <v/>
      </c>
      <c r="T882" s="1" t="str">
        <f>IF(A882="","",COUNTIFS(Assignments!$AF:$AF,A882,Assignments!$AE:$AE, "Y",Assignments!$D:$D,"&gt;="&amp;TODAY()-30))</f>
        <v/>
      </c>
      <c r="U882" s="1" t="str">
        <f>IF(A882="","",IFERROR(S882/MAX(1,COUNTIFS(Assignments!$B:$B,A882,Assignments!$D:$D,"&gt;="&amp;TODAY()-30)),""))</f>
        <v/>
      </c>
      <c r="V882" s="1" t="str">
        <f t="shared" si="4"/>
        <v/>
      </c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 t="str">
        <f>IF(A883="","",IFERROR(AVERAGEIFS(Assignments!$AO:$AO,Assignments!$B:$B,A883,Assignments!$E:$E,"Completed"),""))</f>
        <v/>
      </c>
      <c r="L883" s="2"/>
      <c r="M883" s="2"/>
      <c r="N883" s="2"/>
      <c r="O883" s="2"/>
      <c r="P883" s="1" t="str">
        <f>IF(A883="","",MAX(0,MIN(3,SUMIFS(Strike_Log!$C:$C,Strike_Log!$B:$B,A883,Strike_Log!$A:$A,"&gt;="&amp;IF(Config!$B$1004="Y",TODAY()-Config!$B$1005,DATE(1900,1,1)),Strike_Log!$I:$I,1))))</f>
        <v/>
      </c>
      <c r="Q883" s="1"/>
      <c r="R883" s="1"/>
      <c r="S883" s="1" t="str">
        <f>IF(A883="","",COUNTIFS(Assignments!$B:$B,A883,Assignments!$AE:$AE, "Y",Assignments!$D:$D,"&gt;="&amp;TODAY()-30))</f>
        <v/>
      </c>
      <c r="T883" s="1" t="str">
        <f>IF(A883="","",COUNTIFS(Assignments!$AF:$AF,A883,Assignments!$AE:$AE, "Y",Assignments!$D:$D,"&gt;="&amp;TODAY()-30))</f>
        <v/>
      </c>
      <c r="U883" s="1" t="str">
        <f>IF(A883="","",IFERROR(S883/MAX(1,COUNTIFS(Assignments!$B:$B,A883,Assignments!$D:$D,"&gt;="&amp;TODAY()-30)),""))</f>
        <v/>
      </c>
      <c r="V883" s="1" t="str">
        <f t="shared" si="4"/>
        <v/>
      </c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 t="str">
        <f>IF(A884="","",IFERROR(AVERAGEIFS(Assignments!$AO:$AO,Assignments!$B:$B,A884,Assignments!$E:$E,"Completed"),""))</f>
        <v/>
      </c>
      <c r="L884" s="2"/>
      <c r="M884" s="2"/>
      <c r="N884" s="2"/>
      <c r="O884" s="2"/>
      <c r="P884" s="1" t="str">
        <f>IF(A884="","",MAX(0,MIN(3,SUMIFS(Strike_Log!$C:$C,Strike_Log!$B:$B,A884,Strike_Log!$A:$A,"&gt;="&amp;IF(Config!$B$1004="Y",TODAY()-Config!$B$1005,DATE(1900,1,1)),Strike_Log!$I:$I,1))))</f>
        <v/>
      </c>
      <c r="Q884" s="1"/>
      <c r="R884" s="1"/>
      <c r="S884" s="1" t="str">
        <f>IF(A884="","",COUNTIFS(Assignments!$B:$B,A884,Assignments!$AE:$AE, "Y",Assignments!$D:$D,"&gt;="&amp;TODAY()-30))</f>
        <v/>
      </c>
      <c r="T884" s="1" t="str">
        <f>IF(A884="","",COUNTIFS(Assignments!$AF:$AF,A884,Assignments!$AE:$AE, "Y",Assignments!$D:$D,"&gt;="&amp;TODAY()-30))</f>
        <v/>
      </c>
      <c r="U884" s="1" t="str">
        <f>IF(A884="","",IFERROR(S884/MAX(1,COUNTIFS(Assignments!$B:$B,A884,Assignments!$D:$D,"&gt;="&amp;TODAY()-30)),""))</f>
        <v/>
      </c>
      <c r="V884" s="1" t="str">
        <f t="shared" si="4"/>
        <v/>
      </c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 t="str">
        <f>IF(A885="","",IFERROR(AVERAGEIFS(Assignments!$AO:$AO,Assignments!$B:$B,A885,Assignments!$E:$E,"Completed"),""))</f>
        <v/>
      </c>
      <c r="L885" s="2"/>
      <c r="M885" s="2"/>
      <c r="N885" s="2"/>
      <c r="O885" s="2"/>
      <c r="P885" s="1" t="str">
        <f>IF(A885="","",MAX(0,MIN(3,SUMIFS(Strike_Log!$C:$C,Strike_Log!$B:$B,A885,Strike_Log!$A:$A,"&gt;="&amp;IF(Config!$B$1004="Y",TODAY()-Config!$B$1005,DATE(1900,1,1)),Strike_Log!$I:$I,1))))</f>
        <v/>
      </c>
      <c r="Q885" s="1"/>
      <c r="R885" s="1"/>
      <c r="S885" s="1" t="str">
        <f>IF(A885="","",COUNTIFS(Assignments!$B:$B,A885,Assignments!$AE:$AE, "Y",Assignments!$D:$D,"&gt;="&amp;TODAY()-30))</f>
        <v/>
      </c>
      <c r="T885" s="1" t="str">
        <f>IF(A885="","",COUNTIFS(Assignments!$AF:$AF,A885,Assignments!$AE:$AE, "Y",Assignments!$D:$D,"&gt;="&amp;TODAY()-30))</f>
        <v/>
      </c>
      <c r="U885" s="1" t="str">
        <f>IF(A885="","",IFERROR(S885/MAX(1,COUNTIFS(Assignments!$B:$B,A885,Assignments!$D:$D,"&gt;="&amp;TODAY()-30)),""))</f>
        <v/>
      </c>
      <c r="V885" s="1" t="str">
        <f t="shared" si="4"/>
        <v/>
      </c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 t="str">
        <f>IF(A886="","",IFERROR(AVERAGEIFS(Assignments!$AO:$AO,Assignments!$B:$B,A886,Assignments!$E:$E,"Completed"),""))</f>
        <v/>
      </c>
      <c r="L886" s="2"/>
      <c r="M886" s="2"/>
      <c r="N886" s="2"/>
      <c r="O886" s="2"/>
      <c r="P886" s="1" t="str">
        <f>IF(A886="","",MAX(0,MIN(3,SUMIFS(Strike_Log!$C:$C,Strike_Log!$B:$B,A886,Strike_Log!$A:$A,"&gt;="&amp;IF(Config!$B$1004="Y",TODAY()-Config!$B$1005,DATE(1900,1,1)),Strike_Log!$I:$I,1))))</f>
        <v/>
      </c>
      <c r="Q886" s="1"/>
      <c r="R886" s="1"/>
      <c r="S886" s="1" t="str">
        <f>IF(A886="","",COUNTIFS(Assignments!$B:$B,A886,Assignments!$AE:$AE, "Y",Assignments!$D:$D,"&gt;="&amp;TODAY()-30))</f>
        <v/>
      </c>
      <c r="T886" s="1" t="str">
        <f>IF(A886="","",COUNTIFS(Assignments!$AF:$AF,A886,Assignments!$AE:$AE, "Y",Assignments!$D:$D,"&gt;="&amp;TODAY()-30))</f>
        <v/>
      </c>
      <c r="U886" s="1" t="str">
        <f>IF(A886="","",IFERROR(S886/MAX(1,COUNTIFS(Assignments!$B:$B,A886,Assignments!$D:$D,"&gt;="&amp;TODAY()-30)),""))</f>
        <v/>
      </c>
      <c r="V886" s="1" t="str">
        <f t="shared" si="4"/>
        <v/>
      </c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 t="str">
        <f>IF(A887="","",IFERROR(AVERAGEIFS(Assignments!$AO:$AO,Assignments!$B:$B,A887,Assignments!$E:$E,"Completed"),""))</f>
        <v/>
      </c>
      <c r="L887" s="2"/>
      <c r="M887" s="2"/>
      <c r="N887" s="2"/>
      <c r="O887" s="2"/>
      <c r="P887" s="1" t="str">
        <f>IF(A887="","",MAX(0,MIN(3,SUMIFS(Strike_Log!$C:$C,Strike_Log!$B:$B,A887,Strike_Log!$A:$A,"&gt;="&amp;IF(Config!$B$1004="Y",TODAY()-Config!$B$1005,DATE(1900,1,1)),Strike_Log!$I:$I,1))))</f>
        <v/>
      </c>
      <c r="Q887" s="1"/>
      <c r="R887" s="1"/>
      <c r="S887" s="1" t="str">
        <f>IF(A887="","",COUNTIFS(Assignments!$B:$B,A887,Assignments!$AE:$AE, "Y",Assignments!$D:$D,"&gt;="&amp;TODAY()-30))</f>
        <v/>
      </c>
      <c r="T887" s="1" t="str">
        <f>IF(A887="","",COUNTIFS(Assignments!$AF:$AF,A887,Assignments!$AE:$AE, "Y",Assignments!$D:$D,"&gt;="&amp;TODAY()-30))</f>
        <v/>
      </c>
      <c r="U887" s="1" t="str">
        <f>IF(A887="","",IFERROR(S887/MAX(1,COUNTIFS(Assignments!$B:$B,A887,Assignments!$D:$D,"&gt;="&amp;TODAY()-30)),""))</f>
        <v/>
      </c>
      <c r="V887" s="1" t="str">
        <f t="shared" si="4"/>
        <v/>
      </c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 t="str">
        <f>IF(A888="","",IFERROR(AVERAGEIFS(Assignments!$AO:$AO,Assignments!$B:$B,A888,Assignments!$E:$E,"Completed"),""))</f>
        <v/>
      </c>
      <c r="L888" s="2"/>
      <c r="M888" s="2"/>
      <c r="N888" s="2"/>
      <c r="O888" s="2"/>
      <c r="P888" s="1" t="str">
        <f>IF(A888="","",MAX(0,MIN(3,SUMIFS(Strike_Log!$C:$C,Strike_Log!$B:$B,A888,Strike_Log!$A:$A,"&gt;="&amp;IF(Config!$B$1004="Y",TODAY()-Config!$B$1005,DATE(1900,1,1)),Strike_Log!$I:$I,1))))</f>
        <v/>
      </c>
      <c r="Q888" s="1"/>
      <c r="R888" s="1"/>
      <c r="S888" s="1" t="str">
        <f>IF(A888="","",COUNTIFS(Assignments!$B:$B,A888,Assignments!$AE:$AE, "Y",Assignments!$D:$D,"&gt;="&amp;TODAY()-30))</f>
        <v/>
      </c>
      <c r="T888" s="1" t="str">
        <f>IF(A888="","",COUNTIFS(Assignments!$AF:$AF,A888,Assignments!$AE:$AE, "Y",Assignments!$D:$D,"&gt;="&amp;TODAY()-30))</f>
        <v/>
      </c>
      <c r="U888" s="1" t="str">
        <f>IF(A888="","",IFERROR(S888/MAX(1,COUNTIFS(Assignments!$B:$B,A888,Assignments!$D:$D,"&gt;="&amp;TODAY()-30)),""))</f>
        <v/>
      </c>
      <c r="V888" s="1" t="str">
        <f t="shared" si="4"/>
        <v/>
      </c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 t="str">
        <f>IF(A889="","",IFERROR(AVERAGEIFS(Assignments!$AO:$AO,Assignments!$B:$B,A889,Assignments!$E:$E,"Completed"),""))</f>
        <v/>
      </c>
      <c r="L889" s="2"/>
      <c r="M889" s="2"/>
      <c r="N889" s="2"/>
      <c r="O889" s="2"/>
      <c r="P889" s="1" t="str">
        <f>IF(A889="","",MAX(0,MIN(3,SUMIFS(Strike_Log!$C:$C,Strike_Log!$B:$B,A889,Strike_Log!$A:$A,"&gt;="&amp;IF(Config!$B$1004="Y",TODAY()-Config!$B$1005,DATE(1900,1,1)),Strike_Log!$I:$I,1))))</f>
        <v/>
      </c>
      <c r="Q889" s="1"/>
      <c r="R889" s="1"/>
      <c r="S889" s="1" t="str">
        <f>IF(A889="","",COUNTIFS(Assignments!$B:$B,A889,Assignments!$AE:$AE, "Y",Assignments!$D:$D,"&gt;="&amp;TODAY()-30))</f>
        <v/>
      </c>
      <c r="T889" s="1" t="str">
        <f>IF(A889="","",COUNTIFS(Assignments!$AF:$AF,A889,Assignments!$AE:$AE, "Y",Assignments!$D:$D,"&gt;="&amp;TODAY()-30))</f>
        <v/>
      </c>
      <c r="U889" s="1" t="str">
        <f>IF(A889="","",IFERROR(S889/MAX(1,COUNTIFS(Assignments!$B:$B,A889,Assignments!$D:$D,"&gt;="&amp;TODAY()-30)),""))</f>
        <v/>
      </c>
      <c r="V889" s="1" t="str">
        <f t="shared" si="4"/>
        <v/>
      </c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 t="str">
        <f>IF(A890="","",IFERROR(AVERAGEIFS(Assignments!$AO:$AO,Assignments!$B:$B,A890,Assignments!$E:$E,"Completed"),""))</f>
        <v/>
      </c>
      <c r="L890" s="2"/>
      <c r="M890" s="2"/>
      <c r="N890" s="2"/>
      <c r="O890" s="2"/>
      <c r="P890" s="1" t="str">
        <f>IF(A890="","",MAX(0,MIN(3,SUMIFS(Strike_Log!$C:$C,Strike_Log!$B:$B,A890,Strike_Log!$A:$A,"&gt;="&amp;IF(Config!$B$1004="Y",TODAY()-Config!$B$1005,DATE(1900,1,1)),Strike_Log!$I:$I,1))))</f>
        <v/>
      </c>
      <c r="Q890" s="1"/>
      <c r="R890" s="1"/>
      <c r="S890" s="1" t="str">
        <f>IF(A890="","",COUNTIFS(Assignments!$B:$B,A890,Assignments!$AE:$AE, "Y",Assignments!$D:$D,"&gt;="&amp;TODAY()-30))</f>
        <v/>
      </c>
      <c r="T890" s="1" t="str">
        <f>IF(A890="","",COUNTIFS(Assignments!$AF:$AF,A890,Assignments!$AE:$AE, "Y",Assignments!$D:$D,"&gt;="&amp;TODAY()-30))</f>
        <v/>
      </c>
      <c r="U890" s="1" t="str">
        <f>IF(A890="","",IFERROR(S890/MAX(1,COUNTIFS(Assignments!$B:$B,A890,Assignments!$D:$D,"&gt;="&amp;TODAY()-30)),""))</f>
        <v/>
      </c>
      <c r="V890" s="1" t="str">
        <f t="shared" si="4"/>
        <v/>
      </c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 t="str">
        <f>IF(A891="","",IFERROR(AVERAGEIFS(Assignments!$AO:$AO,Assignments!$B:$B,A891,Assignments!$E:$E,"Completed"),""))</f>
        <v/>
      </c>
      <c r="L891" s="2"/>
      <c r="M891" s="2"/>
      <c r="N891" s="2"/>
      <c r="O891" s="2"/>
      <c r="P891" s="1" t="str">
        <f>IF(A891="","",MAX(0,MIN(3,SUMIFS(Strike_Log!$C:$C,Strike_Log!$B:$B,A891,Strike_Log!$A:$A,"&gt;="&amp;IF(Config!$B$1004="Y",TODAY()-Config!$B$1005,DATE(1900,1,1)),Strike_Log!$I:$I,1))))</f>
        <v/>
      </c>
      <c r="Q891" s="1"/>
      <c r="R891" s="1"/>
      <c r="S891" s="1" t="str">
        <f>IF(A891="","",COUNTIFS(Assignments!$B:$B,A891,Assignments!$AE:$AE, "Y",Assignments!$D:$D,"&gt;="&amp;TODAY()-30))</f>
        <v/>
      </c>
      <c r="T891" s="1" t="str">
        <f>IF(A891="","",COUNTIFS(Assignments!$AF:$AF,A891,Assignments!$AE:$AE, "Y",Assignments!$D:$D,"&gt;="&amp;TODAY()-30))</f>
        <v/>
      </c>
      <c r="U891" s="1" t="str">
        <f>IF(A891="","",IFERROR(S891/MAX(1,COUNTIFS(Assignments!$B:$B,A891,Assignments!$D:$D,"&gt;="&amp;TODAY()-30)),""))</f>
        <v/>
      </c>
      <c r="V891" s="1" t="str">
        <f t="shared" si="4"/>
        <v/>
      </c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 t="str">
        <f>IF(A892="","",IFERROR(AVERAGEIFS(Assignments!$AO:$AO,Assignments!$B:$B,A892,Assignments!$E:$E,"Completed"),""))</f>
        <v/>
      </c>
      <c r="L892" s="2"/>
      <c r="M892" s="2"/>
      <c r="N892" s="2"/>
      <c r="O892" s="2"/>
      <c r="P892" s="1" t="str">
        <f>IF(A892="","",MAX(0,MIN(3,SUMIFS(Strike_Log!$C:$C,Strike_Log!$B:$B,A892,Strike_Log!$A:$A,"&gt;="&amp;IF(Config!$B$1004="Y",TODAY()-Config!$B$1005,DATE(1900,1,1)),Strike_Log!$I:$I,1))))</f>
        <v/>
      </c>
      <c r="Q892" s="1"/>
      <c r="R892" s="1"/>
      <c r="S892" s="1" t="str">
        <f>IF(A892="","",COUNTIFS(Assignments!$B:$B,A892,Assignments!$AE:$AE, "Y",Assignments!$D:$D,"&gt;="&amp;TODAY()-30))</f>
        <v/>
      </c>
      <c r="T892" s="1" t="str">
        <f>IF(A892="","",COUNTIFS(Assignments!$AF:$AF,A892,Assignments!$AE:$AE, "Y",Assignments!$D:$D,"&gt;="&amp;TODAY()-30))</f>
        <v/>
      </c>
      <c r="U892" s="1" t="str">
        <f>IF(A892="","",IFERROR(S892/MAX(1,COUNTIFS(Assignments!$B:$B,A892,Assignments!$D:$D,"&gt;="&amp;TODAY()-30)),""))</f>
        <v/>
      </c>
      <c r="V892" s="1" t="str">
        <f t="shared" si="4"/>
        <v/>
      </c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 t="str">
        <f>IF(A893="","",IFERROR(AVERAGEIFS(Assignments!$AO:$AO,Assignments!$B:$B,A893,Assignments!$E:$E,"Completed"),""))</f>
        <v/>
      </c>
      <c r="L893" s="2"/>
      <c r="M893" s="2"/>
      <c r="N893" s="2"/>
      <c r="O893" s="2"/>
      <c r="P893" s="1" t="str">
        <f>IF(A893="","",MAX(0,MIN(3,SUMIFS(Strike_Log!$C:$C,Strike_Log!$B:$B,A893,Strike_Log!$A:$A,"&gt;="&amp;IF(Config!$B$1004="Y",TODAY()-Config!$B$1005,DATE(1900,1,1)),Strike_Log!$I:$I,1))))</f>
        <v/>
      </c>
      <c r="Q893" s="1"/>
      <c r="R893" s="1"/>
      <c r="S893" s="1" t="str">
        <f>IF(A893="","",COUNTIFS(Assignments!$B:$B,A893,Assignments!$AE:$AE, "Y",Assignments!$D:$D,"&gt;="&amp;TODAY()-30))</f>
        <v/>
      </c>
      <c r="T893" s="1" t="str">
        <f>IF(A893="","",COUNTIFS(Assignments!$AF:$AF,A893,Assignments!$AE:$AE, "Y",Assignments!$D:$D,"&gt;="&amp;TODAY()-30))</f>
        <v/>
      </c>
      <c r="U893" s="1" t="str">
        <f>IF(A893="","",IFERROR(S893/MAX(1,COUNTIFS(Assignments!$B:$B,A893,Assignments!$D:$D,"&gt;="&amp;TODAY()-30)),""))</f>
        <v/>
      </c>
      <c r="V893" s="1" t="str">
        <f t="shared" si="4"/>
        <v/>
      </c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 t="str">
        <f>IF(A894="","",IFERROR(AVERAGEIFS(Assignments!$AO:$AO,Assignments!$B:$B,A894,Assignments!$E:$E,"Completed"),""))</f>
        <v/>
      </c>
      <c r="L894" s="2"/>
      <c r="M894" s="2"/>
      <c r="N894" s="2"/>
      <c r="O894" s="2"/>
      <c r="P894" s="1" t="str">
        <f>IF(A894="","",MAX(0,MIN(3,SUMIFS(Strike_Log!$C:$C,Strike_Log!$B:$B,A894,Strike_Log!$A:$A,"&gt;="&amp;IF(Config!$B$1004="Y",TODAY()-Config!$B$1005,DATE(1900,1,1)),Strike_Log!$I:$I,1))))</f>
        <v/>
      </c>
      <c r="Q894" s="1"/>
      <c r="R894" s="1"/>
      <c r="S894" s="1" t="str">
        <f>IF(A894="","",COUNTIFS(Assignments!$B:$B,A894,Assignments!$AE:$AE, "Y",Assignments!$D:$D,"&gt;="&amp;TODAY()-30))</f>
        <v/>
      </c>
      <c r="T894" s="1" t="str">
        <f>IF(A894="","",COUNTIFS(Assignments!$AF:$AF,A894,Assignments!$AE:$AE, "Y",Assignments!$D:$D,"&gt;="&amp;TODAY()-30))</f>
        <v/>
      </c>
      <c r="U894" s="1" t="str">
        <f>IF(A894="","",IFERROR(S894/MAX(1,COUNTIFS(Assignments!$B:$B,A894,Assignments!$D:$D,"&gt;="&amp;TODAY()-30)),""))</f>
        <v/>
      </c>
      <c r="V894" s="1" t="str">
        <f t="shared" si="4"/>
        <v/>
      </c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 t="str">
        <f>IF(A895="","",IFERROR(AVERAGEIFS(Assignments!$AO:$AO,Assignments!$B:$B,A895,Assignments!$E:$E,"Completed"),""))</f>
        <v/>
      </c>
      <c r="L895" s="2"/>
      <c r="M895" s="2"/>
      <c r="N895" s="2"/>
      <c r="O895" s="2"/>
      <c r="P895" s="1" t="str">
        <f>IF(A895="","",MAX(0,MIN(3,SUMIFS(Strike_Log!$C:$C,Strike_Log!$B:$B,A895,Strike_Log!$A:$A,"&gt;="&amp;IF(Config!$B$1004="Y",TODAY()-Config!$B$1005,DATE(1900,1,1)),Strike_Log!$I:$I,1))))</f>
        <v/>
      </c>
      <c r="Q895" s="1"/>
      <c r="R895" s="1"/>
      <c r="S895" s="1" t="str">
        <f>IF(A895="","",COUNTIFS(Assignments!$B:$B,A895,Assignments!$AE:$AE, "Y",Assignments!$D:$D,"&gt;="&amp;TODAY()-30))</f>
        <v/>
      </c>
      <c r="T895" s="1" t="str">
        <f>IF(A895="","",COUNTIFS(Assignments!$AF:$AF,A895,Assignments!$AE:$AE, "Y",Assignments!$D:$D,"&gt;="&amp;TODAY()-30))</f>
        <v/>
      </c>
      <c r="U895" s="1" t="str">
        <f>IF(A895="","",IFERROR(S895/MAX(1,COUNTIFS(Assignments!$B:$B,A895,Assignments!$D:$D,"&gt;="&amp;TODAY()-30)),""))</f>
        <v/>
      </c>
      <c r="V895" s="1" t="str">
        <f t="shared" si="4"/>
        <v/>
      </c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 t="str">
        <f>IF(A896="","",IFERROR(AVERAGEIFS(Assignments!$AO:$AO,Assignments!$B:$B,A896,Assignments!$E:$E,"Completed"),""))</f>
        <v/>
      </c>
      <c r="L896" s="2"/>
      <c r="M896" s="2"/>
      <c r="N896" s="2"/>
      <c r="O896" s="2"/>
      <c r="P896" s="1" t="str">
        <f>IF(A896="","",MAX(0,MIN(3,SUMIFS(Strike_Log!$C:$C,Strike_Log!$B:$B,A896,Strike_Log!$A:$A,"&gt;="&amp;IF(Config!$B$1004="Y",TODAY()-Config!$B$1005,DATE(1900,1,1)),Strike_Log!$I:$I,1))))</f>
        <v/>
      </c>
      <c r="Q896" s="1"/>
      <c r="R896" s="1"/>
      <c r="S896" s="1" t="str">
        <f>IF(A896="","",COUNTIFS(Assignments!$B:$B,A896,Assignments!$AE:$AE, "Y",Assignments!$D:$D,"&gt;="&amp;TODAY()-30))</f>
        <v/>
      </c>
      <c r="T896" s="1" t="str">
        <f>IF(A896="","",COUNTIFS(Assignments!$AF:$AF,A896,Assignments!$AE:$AE, "Y",Assignments!$D:$D,"&gt;="&amp;TODAY()-30))</f>
        <v/>
      </c>
      <c r="U896" s="1" t="str">
        <f>IF(A896="","",IFERROR(S896/MAX(1,COUNTIFS(Assignments!$B:$B,A896,Assignments!$D:$D,"&gt;="&amp;TODAY()-30)),""))</f>
        <v/>
      </c>
      <c r="V896" s="1" t="str">
        <f t="shared" si="4"/>
        <v/>
      </c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 t="str">
        <f>IF(A897="","",IFERROR(AVERAGEIFS(Assignments!$AO:$AO,Assignments!$B:$B,A897,Assignments!$E:$E,"Completed"),""))</f>
        <v/>
      </c>
      <c r="L897" s="2"/>
      <c r="M897" s="2"/>
      <c r="N897" s="2"/>
      <c r="O897" s="2"/>
      <c r="P897" s="1" t="str">
        <f>IF(A897="","",MAX(0,MIN(3,SUMIFS(Strike_Log!$C:$C,Strike_Log!$B:$B,A897,Strike_Log!$A:$A,"&gt;="&amp;IF(Config!$B$1004="Y",TODAY()-Config!$B$1005,DATE(1900,1,1)),Strike_Log!$I:$I,1))))</f>
        <v/>
      </c>
      <c r="Q897" s="1"/>
      <c r="R897" s="1"/>
      <c r="S897" s="1" t="str">
        <f>IF(A897="","",COUNTIFS(Assignments!$B:$B,A897,Assignments!$AE:$AE, "Y",Assignments!$D:$D,"&gt;="&amp;TODAY()-30))</f>
        <v/>
      </c>
      <c r="T897" s="1" t="str">
        <f>IF(A897="","",COUNTIFS(Assignments!$AF:$AF,A897,Assignments!$AE:$AE, "Y",Assignments!$D:$D,"&gt;="&amp;TODAY()-30))</f>
        <v/>
      </c>
      <c r="U897" s="1" t="str">
        <f>IF(A897="","",IFERROR(S897/MAX(1,COUNTIFS(Assignments!$B:$B,A897,Assignments!$D:$D,"&gt;="&amp;TODAY()-30)),""))</f>
        <v/>
      </c>
      <c r="V897" s="1" t="str">
        <f t="shared" si="4"/>
        <v/>
      </c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 t="str">
        <f>IF(A898="","",IFERROR(AVERAGEIFS(Assignments!$AO:$AO,Assignments!$B:$B,A898,Assignments!$E:$E,"Completed"),""))</f>
        <v/>
      </c>
      <c r="L898" s="2"/>
      <c r="M898" s="2"/>
      <c r="N898" s="2"/>
      <c r="O898" s="2"/>
      <c r="P898" s="1" t="str">
        <f>IF(A898="","",MAX(0,MIN(3,SUMIFS(Strike_Log!$C:$C,Strike_Log!$B:$B,A898,Strike_Log!$A:$A,"&gt;="&amp;IF(Config!$B$1004="Y",TODAY()-Config!$B$1005,DATE(1900,1,1)),Strike_Log!$I:$I,1))))</f>
        <v/>
      </c>
      <c r="Q898" s="1"/>
      <c r="R898" s="1"/>
      <c r="S898" s="1" t="str">
        <f>IF(A898="","",COUNTIFS(Assignments!$B:$B,A898,Assignments!$AE:$AE, "Y",Assignments!$D:$D,"&gt;="&amp;TODAY()-30))</f>
        <v/>
      </c>
      <c r="T898" s="1" t="str">
        <f>IF(A898="","",COUNTIFS(Assignments!$AF:$AF,A898,Assignments!$AE:$AE, "Y",Assignments!$D:$D,"&gt;="&amp;TODAY()-30))</f>
        <v/>
      </c>
      <c r="U898" s="1" t="str">
        <f>IF(A898="","",IFERROR(S898/MAX(1,COUNTIFS(Assignments!$B:$B,A898,Assignments!$D:$D,"&gt;="&amp;TODAY()-30)),""))</f>
        <v/>
      </c>
      <c r="V898" s="1" t="str">
        <f t="shared" si="4"/>
        <v/>
      </c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 t="str">
        <f>IF(A899="","",IFERROR(AVERAGEIFS(Assignments!$AO:$AO,Assignments!$B:$B,A899,Assignments!$E:$E,"Completed"),""))</f>
        <v/>
      </c>
      <c r="L899" s="2"/>
      <c r="M899" s="2"/>
      <c r="N899" s="2"/>
      <c r="O899" s="2"/>
      <c r="P899" s="1" t="str">
        <f>IF(A899="","",MAX(0,MIN(3,SUMIFS(Strike_Log!$C:$C,Strike_Log!$B:$B,A899,Strike_Log!$A:$A,"&gt;="&amp;IF(Config!$B$1004="Y",TODAY()-Config!$B$1005,DATE(1900,1,1)),Strike_Log!$I:$I,1))))</f>
        <v/>
      </c>
      <c r="Q899" s="1"/>
      <c r="R899" s="1"/>
      <c r="S899" s="1" t="str">
        <f>IF(A899="","",COUNTIFS(Assignments!$B:$B,A899,Assignments!$AE:$AE, "Y",Assignments!$D:$D,"&gt;="&amp;TODAY()-30))</f>
        <v/>
      </c>
      <c r="T899" s="1" t="str">
        <f>IF(A899="","",COUNTIFS(Assignments!$AF:$AF,A899,Assignments!$AE:$AE, "Y",Assignments!$D:$D,"&gt;="&amp;TODAY()-30))</f>
        <v/>
      </c>
      <c r="U899" s="1" t="str">
        <f>IF(A899="","",IFERROR(S899/MAX(1,COUNTIFS(Assignments!$B:$B,A899,Assignments!$D:$D,"&gt;="&amp;TODAY()-30)),""))</f>
        <v/>
      </c>
      <c r="V899" s="1" t="str">
        <f t="shared" si="4"/>
        <v/>
      </c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 t="str">
        <f>IF(A900="","",IFERROR(AVERAGEIFS(Assignments!$AO:$AO,Assignments!$B:$B,A900,Assignments!$E:$E,"Completed"),""))</f>
        <v/>
      </c>
      <c r="L900" s="2"/>
      <c r="M900" s="2"/>
      <c r="N900" s="2"/>
      <c r="O900" s="2"/>
      <c r="P900" s="1" t="str">
        <f>IF(A900="","",MAX(0,MIN(3,SUMIFS(Strike_Log!$C:$C,Strike_Log!$B:$B,A900,Strike_Log!$A:$A,"&gt;="&amp;IF(Config!$B$1004="Y",TODAY()-Config!$B$1005,DATE(1900,1,1)),Strike_Log!$I:$I,1))))</f>
        <v/>
      </c>
      <c r="Q900" s="1"/>
      <c r="R900" s="1"/>
      <c r="S900" s="1" t="str">
        <f>IF(A900="","",COUNTIFS(Assignments!$B:$B,A900,Assignments!$AE:$AE, "Y",Assignments!$D:$D,"&gt;="&amp;TODAY()-30))</f>
        <v/>
      </c>
      <c r="T900" s="1" t="str">
        <f>IF(A900="","",COUNTIFS(Assignments!$AF:$AF,A900,Assignments!$AE:$AE, "Y",Assignments!$D:$D,"&gt;="&amp;TODAY()-30))</f>
        <v/>
      </c>
      <c r="U900" s="1" t="str">
        <f>IF(A900="","",IFERROR(S900/MAX(1,COUNTIFS(Assignments!$B:$B,A900,Assignments!$D:$D,"&gt;="&amp;TODAY()-30)),""))</f>
        <v/>
      </c>
      <c r="V900" s="1" t="str">
        <f t="shared" si="4"/>
        <v/>
      </c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 t="str">
        <f>IF(A901="","",IFERROR(AVERAGEIFS(Assignments!$AO:$AO,Assignments!$B:$B,A901,Assignments!$E:$E,"Completed"),""))</f>
        <v/>
      </c>
      <c r="L901" s="2"/>
      <c r="M901" s="2"/>
      <c r="N901" s="2"/>
      <c r="O901" s="2"/>
      <c r="P901" s="1" t="str">
        <f>IF(A901="","",MAX(0,MIN(3,SUMIFS(Strike_Log!$C:$C,Strike_Log!$B:$B,A901,Strike_Log!$A:$A,"&gt;="&amp;IF(Config!$B$1004="Y",TODAY()-Config!$B$1005,DATE(1900,1,1)),Strike_Log!$I:$I,1))))</f>
        <v/>
      </c>
      <c r="Q901" s="1"/>
      <c r="R901" s="1"/>
      <c r="S901" s="1" t="str">
        <f>IF(A901="","",COUNTIFS(Assignments!$B:$B,A901,Assignments!$AE:$AE, "Y",Assignments!$D:$D,"&gt;="&amp;TODAY()-30))</f>
        <v/>
      </c>
      <c r="T901" s="1" t="str">
        <f>IF(A901="","",COUNTIFS(Assignments!$AF:$AF,A901,Assignments!$AE:$AE, "Y",Assignments!$D:$D,"&gt;="&amp;TODAY()-30))</f>
        <v/>
      </c>
      <c r="U901" s="1" t="str">
        <f>IF(A901="","",IFERROR(S901/MAX(1,COUNTIFS(Assignments!$B:$B,A901,Assignments!$D:$D,"&gt;="&amp;TODAY()-30)),""))</f>
        <v/>
      </c>
      <c r="V901" s="1" t="str">
        <f t="shared" si="4"/>
        <v/>
      </c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 t="str">
        <f>IF(A902="","",IFERROR(AVERAGEIFS(Assignments!$AO:$AO,Assignments!$B:$B,A902,Assignments!$E:$E,"Completed"),""))</f>
        <v/>
      </c>
      <c r="L902" s="2"/>
      <c r="M902" s="2"/>
      <c r="N902" s="2"/>
      <c r="O902" s="2"/>
      <c r="P902" s="1" t="str">
        <f>IF(A902="","",MAX(0,MIN(3,SUMIFS(Strike_Log!$C:$C,Strike_Log!$B:$B,A902,Strike_Log!$A:$A,"&gt;="&amp;IF(Config!$B$1004="Y",TODAY()-Config!$B$1005,DATE(1900,1,1)),Strike_Log!$I:$I,1))))</f>
        <v/>
      </c>
      <c r="Q902" s="1"/>
      <c r="R902" s="1"/>
      <c r="S902" s="1" t="str">
        <f>IF(A902="","",COUNTIFS(Assignments!$B:$B,A902,Assignments!$AE:$AE, "Y",Assignments!$D:$D,"&gt;="&amp;TODAY()-30))</f>
        <v/>
      </c>
      <c r="T902" s="1" t="str">
        <f>IF(A902="","",COUNTIFS(Assignments!$AF:$AF,A902,Assignments!$AE:$AE, "Y",Assignments!$D:$D,"&gt;="&amp;TODAY()-30))</f>
        <v/>
      </c>
      <c r="U902" s="1" t="str">
        <f>IF(A902="","",IFERROR(S902/MAX(1,COUNTIFS(Assignments!$B:$B,A902,Assignments!$D:$D,"&gt;="&amp;TODAY()-30)),""))</f>
        <v/>
      </c>
      <c r="V902" s="1" t="str">
        <f t="shared" si="4"/>
        <v/>
      </c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 t="str">
        <f>IF(A903="","",IFERROR(AVERAGEIFS(Assignments!$AO:$AO,Assignments!$B:$B,A903,Assignments!$E:$E,"Completed"),""))</f>
        <v/>
      </c>
      <c r="L903" s="2"/>
      <c r="M903" s="2"/>
      <c r="N903" s="2"/>
      <c r="O903" s="2"/>
      <c r="P903" s="1" t="str">
        <f>IF(A903="","",MAX(0,MIN(3,SUMIFS(Strike_Log!$C:$C,Strike_Log!$B:$B,A903,Strike_Log!$A:$A,"&gt;="&amp;IF(Config!$B$1004="Y",TODAY()-Config!$B$1005,DATE(1900,1,1)),Strike_Log!$I:$I,1))))</f>
        <v/>
      </c>
      <c r="Q903" s="1"/>
      <c r="R903" s="1"/>
      <c r="S903" s="1" t="str">
        <f>IF(A903="","",COUNTIFS(Assignments!$B:$B,A903,Assignments!$AE:$AE, "Y",Assignments!$D:$D,"&gt;="&amp;TODAY()-30))</f>
        <v/>
      </c>
      <c r="T903" s="1" t="str">
        <f>IF(A903="","",COUNTIFS(Assignments!$AF:$AF,A903,Assignments!$AE:$AE, "Y",Assignments!$D:$D,"&gt;="&amp;TODAY()-30))</f>
        <v/>
      </c>
      <c r="U903" s="1" t="str">
        <f>IF(A903="","",IFERROR(S903/MAX(1,COUNTIFS(Assignments!$B:$B,A903,Assignments!$D:$D,"&gt;="&amp;TODAY()-30)),""))</f>
        <v/>
      </c>
      <c r="V903" s="1" t="str">
        <f t="shared" si="4"/>
        <v/>
      </c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 t="str">
        <f>IF(A904="","",IFERROR(AVERAGEIFS(Assignments!$AO:$AO,Assignments!$B:$B,A904,Assignments!$E:$E,"Completed"),""))</f>
        <v/>
      </c>
      <c r="L904" s="2"/>
      <c r="M904" s="2"/>
      <c r="N904" s="2"/>
      <c r="O904" s="2"/>
      <c r="P904" s="1" t="str">
        <f>IF(A904="","",MAX(0,MIN(3,SUMIFS(Strike_Log!$C:$C,Strike_Log!$B:$B,A904,Strike_Log!$A:$A,"&gt;="&amp;IF(Config!$B$1004="Y",TODAY()-Config!$B$1005,DATE(1900,1,1)),Strike_Log!$I:$I,1))))</f>
        <v/>
      </c>
      <c r="Q904" s="1"/>
      <c r="R904" s="1"/>
      <c r="S904" s="1" t="str">
        <f>IF(A904="","",COUNTIFS(Assignments!$B:$B,A904,Assignments!$AE:$AE, "Y",Assignments!$D:$D,"&gt;="&amp;TODAY()-30))</f>
        <v/>
      </c>
      <c r="T904" s="1" t="str">
        <f>IF(A904="","",COUNTIFS(Assignments!$AF:$AF,A904,Assignments!$AE:$AE, "Y",Assignments!$D:$D,"&gt;="&amp;TODAY()-30))</f>
        <v/>
      </c>
      <c r="U904" s="1" t="str">
        <f>IF(A904="","",IFERROR(S904/MAX(1,COUNTIFS(Assignments!$B:$B,A904,Assignments!$D:$D,"&gt;="&amp;TODAY()-30)),""))</f>
        <v/>
      </c>
      <c r="V904" s="1" t="str">
        <f t="shared" si="4"/>
        <v/>
      </c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 t="str">
        <f>IF(A905="","",IFERROR(AVERAGEIFS(Assignments!$AO:$AO,Assignments!$B:$B,A905,Assignments!$E:$E,"Completed"),""))</f>
        <v/>
      </c>
      <c r="L905" s="2"/>
      <c r="M905" s="2"/>
      <c r="N905" s="2"/>
      <c r="O905" s="2"/>
      <c r="P905" s="1" t="str">
        <f>IF(A905="","",MAX(0,MIN(3,SUMIFS(Strike_Log!$C:$C,Strike_Log!$B:$B,A905,Strike_Log!$A:$A,"&gt;="&amp;IF(Config!$B$1004="Y",TODAY()-Config!$B$1005,DATE(1900,1,1)),Strike_Log!$I:$I,1))))</f>
        <v/>
      </c>
      <c r="Q905" s="1"/>
      <c r="R905" s="1"/>
      <c r="S905" s="1" t="str">
        <f>IF(A905="","",COUNTIFS(Assignments!$B:$B,A905,Assignments!$AE:$AE, "Y",Assignments!$D:$D,"&gt;="&amp;TODAY()-30))</f>
        <v/>
      </c>
      <c r="T905" s="1" t="str">
        <f>IF(A905="","",COUNTIFS(Assignments!$AF:$AF,A905,Assignments!$AE:$AE, "Y",Assignments!$D:$D,"&gt;="&amp;TODAY()-30))</f>
        <v/>
      </c>
      <c r="U905" s="1" t="str">
        <f>IF(A905="","",IFERROR(S905/MAX(1,COUNTIFS(Assignments!$B:$B,A905,Assignments!$D:$D,"&gt;="&amp;TODAY()-30)),""))</f>
        <v/>
      </c>
      <c r="V905" s="1" t="str">
        <f t="shared" si="4"/>
        <v/>
      </c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 t="str">
        <f>IF(A906="","",IFERROR(AVERAGEIFS(Assignments!$AO:$AO,Assignments!$B:$B,A906,Assignments!$E:$E,"Completed"),""))</f>
        <v/>
      </c>
      <c r="L906" s="2"/>
      <c r="M906" s="2"/>
      <c r="N906" s="2"/>
      <c r="O906" s="2"/>
      <c r="P906" s="1" t="str">
        <f>IF(A906="","",MAX(0,MIN(3,SUMIFS(Strike_Log!$C:$C,Strike_Log!$B:$B,A906,Strike_Log!$A:$A,"&gt;="&amp;IF(Config!$B$1004="Y",TODAY()-Config!$B$1005,DATE(1900,1,1)),Strike_Log!$I:$I,1))))</f>
        <v/>
      </c>
      <c r="Q906" s="1"/>
      <c r="R906" s="1"/>
      <c r="S906" s="1" t="str">
        <f>IF(A906="","",COUNTIFS(Assignments!$B:$B,A906,Assignments!$AE:$AE, "Y",Assignments!$D:$D,"&gt;="&amp;TODAY()-30))</f>
        <v/>
      </c>
      <c r="T906" s="1" t="str">
        <f>IF(A906="","",COUNTIFS(Assignments!$AF:$AF,A906,Assignments!$AE:$AE, "Y",Assignments!$D:$D,"&gt;="&amp;TODAY()-30))</f>
        <v/>
      </c>
      <c r="U906" s="1" t="str">
        <f>IF(A906="","",IFERROR(S906/MAX(1,COUNTIFS(Assignments!$B:$B,A906,Assignments!$D:$D,"&gt;="&amp;TODAY()-30)),""))</f>
        <v/>
      </c>
      <c r="V906" s="1" t="str">
        <f t="shared" si="4"/>
        <v/>
      </c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 t="str">
        <f>IF(A907="","",IFERROR(AVERAGEIFS(Assignments!$AO:$AO,Assignments!$B:$B,A907,Assignments!$E:$E,"Completed"),""))</f>
        <v/>
      </c>
      <c r="L907" s="2"/>
      <c r="M907" s="2"/>
      <c r="N907" s="2"/>
      <c r="O907" s="2"/>
      <c r="P907" s="1" t="str">
        <f>IF(A907="","",MAX(0,MIN(3,SUMIFS(Strike_Log!$C:$C,Strike_Log!$B:$B,A907,Strike_Log!$A:$A,"&gt;="&amp;IF(Config!$B$1004="Y",TODAY()-Config!$B$1005,DATE(1900,1,1)),Strike_Log!$I:$I,1))))</f>
        <v/>
      </c>
      <c r="Q907" s="1"/>
      <c r="R907" s="1"/>
      <c r="S907" s="1" t="str">
        <f>IF(A907="","",COUNTIFS(Assignments!$B:$B,A907,Assignments!$AE:$AE, "Y",Assignments!$D:$D,"&gt;="&amp;TODAY()-30))</f>
        <v/>
      </c>
      <c r="T907" s="1" t="str">
        <f>IF(A907="","",COUNTIFS(Assignments!$AF:$AF,A907,Assignments!$AE:$AE, "Y",Assignments!$D:$D,"&gt;="&amp;TODAY()-30))</f>
        <v/>
      </c>
      <c r="U907" s="1" t="str">
        <f>IF(A907="","",IFERROR(S907/MAX(1,COUNTIFS(Assignments!$B:$B,A907,Assignments!$D:$D,"&gt;="&amp;TODAY()-30)),""))</f>
        <v/>
      </c>
      <c r="V907" s="1" t="str">
        <f t="shared" si="4"/>
        <v/>
      </c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 t="str">
        <f>IF(A908="","",IFERROR(AVERAGEIFS(Assignments!$AO:$AO,Assignments!$B:$B,A908,Assignments!$E:$E,"Completed"),""))</f>
        <v/>
      </c>
      <c r="L908" s="2"/>
      <c r="M908" s="2"/>
      <c r="N908" s="2"/>
      <c r="O908" s="2"/>
      <c r="P908" s="1" t="str">
        <f>IF(A908="","",MAX(0,MIN(3,SUMIFS(Strike_Log!$C:$C,Strike_Log!$B:$B,A908,Strike_Log!$A:$A,"&gt;="&amp;IF(Config!$B$1004="Y",TODAY()-Config!$B$1005,DATE(1900,1,1)),Strike_Log!$I:$I,1))))</f>
        <v/>
      </c>
      <c r="Q908" s="1"/>
      <c r="R908" s="1"/>
      <c r="S908" s="1" t="str">
        <f>IF(A908="","",COUNTIFS(Assignments!$B:$B,A908,Assignments!$AE:$AE, "Y",Assignments!$D:$D,"&gt;="&amp;TODAY()-30))</f>
        <v/>
      </c>
      <c r="T908" s="1" t="str">
        <f>IF(A908="","",COUNTIFS(Assignments!$AF:$AF,A908,Assignments!$AE:$AE, "Y",Assignments!$D:$D,"&gt;="&amp;TODAY()-30))</f>
        <v/>
      </c>
      <c r="U908" s="1" t="str">
        <f>IF(A908="","",IFERROR(S908/MAX(1,COUNTIFS(Assignments!$B:$B,A908,Assignments!$D:$D,"&gt;="&amp;TODAY()-30)),""))</f>
        <v/>
      </c>
      <c r="V908" s="1" t="str">
        <f t="shared" si="4"/>
        <v/>
      </c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 t="str">
        <f>IF(A909="","",IFERROR(AVERAGEIFS(Assignments!$AO:$AO,Assignments!$B:$B,A909,Assignments!$E:$E,"Completed"),""))</f>
        <v/>
      </c>
      <c r="L909" s="2"/>
      <c r="M909" s="2"/>
      <c r="N909" s="2"/>
      <c r="O909" s="2"/>
      <c r="P909" s="1" t="str">
        <f>IF(A909="","",MAX(0,MIN(3,SUMIFS(Strike_Log!$C:$C,Strike_Log!$B:$B,A909,Strike_Log!$A:$A,"&gt;="&amp;IF(Config!$B$1004="Y",TODAY()-Config!$B$1005,DATE(1900,1,1)),Strike_Log!$I:$I,1))))</f>
        <v/>
      </c>
      <c r="Q909" s="1"/>
      <c r="R909" s="1"/>
      <c r="S909" s="1" t="str">
        <f>IF(A909="","",COUNTIFS(Assignments!$B:$B,A909,Assignments!$AE:$AE, "Y",Assignments!$D:$D,"&gt;="&amp;TODAY()-30))</f>
        <v/>
      </c>
      <c r="T909" s="1" t="str">
        <f>IF(A909="","",COUNTIFS(Assignments!$AF:$AF,A909,Assignments!$AE:$AE, "Y",Assignments!$D:$D,"&gt;="&amp;TODAY()-30))</f>
        <v/>
      </c>
      <c r="U909" s="1" t="str">
        <f>IF(A909="","",IFERROR(S909/MAX(1,COUNTIFS(Assignments!$B:$B,A909,Assignments!$D:$D,"&gt;="&amp;TODAY()-30)),""))</f>
        <v/>
      </c>
      <c r="V909" s="1" t="str">
        <f t="shared" si="4"/>
        <v/>
      </c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 t="str">
        <f>IF(A910="","",IFERROR(AVERAGEIFS(Assignments!$AO:$AO,Assignments!$B:$B,A910,Assignments!$E:$E,"Completed"),""))</f>
        <v/>
      </c>
      <c r="L910" s="2"/>
      <c r="M910" s="2"/>
      <c r="N910" s="2"/>
      <c r="O910" s="2"/>
      <c r="P910" s="1" t="str">
        <f>IF(A910="","",MAX(0,MIN(3,SUMIFS(Strike_Log!$C:$C,Strike_Log!$B:$B,A910,Strike_Log!$A:$A,"&gt;="&amp;IF(Config!$B$1004="Y",TODAY()-Config!$B$1005,DATE(1900,1,1)),Strike_Log!$I:$I,1))))</f>
        <v/>
      </c>
      <c r="Q910" s="1"/>
      <c r="R910" s="1"/>
      <c r="S910" s="1" t="str">
        <f>IF(A910="","",COUNTIFS(Assignments!$B:$B,A910,Assignments!$AE:$AE, "Y",Assignments!$D:$D,"&gt;="&amp;TODAY()-30))</f>
        <v/>
      </c>
      <c r="T910" s="1" t="str">
        <f>IF(A910="","",COUNTIFS(Assignments!$AF:$AF,A910,Assignments!$AE:$AE, "Y",Assignments!$D:$D,"&gt;="&amp;TODAY()-30))</f>
        <v/>
      </c>
      <c r="U910" s="1" t="str">
        <f>IF(A910="","",IFERROR(S910/MAX(1,COUNTIFS(Assignments!$B:$B,A910,Assignments!$D:$D,"&gt;="&amp;TODAY()-30)),""))</f>
        <v/>
      </c>
      <c r="V910" s="1" t="str">
        <f t="shared" si="4"/>
        <v/>
      </c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 t="str">
        <f>IF(A911="","",IFERROR(AVERAGEIFS(Assignments!$AO:$AO,Assignments!$B:$B,A911,Assignments!$E:$E,"Completed"),""))</f>
        <v/>
      </c>
      <c r="L911" s="2"/>
      <c r="M911" s="2"/>
      <c r="N911" s="2"/>
      <c r="O911" s="2"/>
      <c r="P911" s="1" t="str">
        <f>IF(A911="","",MAX(0,MIN(3,SUMIFS(Strike_Log!$C:$C,Strike_Log!$B:$B,A911,Strike_Log!$A:$A,"&gt;="&amp;IF(Config!$B$1004="Y",TODAY()-Config!$B$1005,DATE(1900,1,1)),Strike_Log!$I:$I,1))))</f>
        <v/>
      </c>
      <c r="Q911" s="1"/>
      <c r="R911" s="1"/>
      <c r="S911" s="1" t="str">
        <f>IF(A911="","",COUNTIFS(Assignments!$B:$B,A911,Assignments!$AE:$AE, "Y",Assignments!$D:$D,"&gt;="&amp;TODAY()-30))</f>
        <v/>
      </c>
      <c r="T911" s="1" t="str">
        <f>IF(A911="","",COUNTIFS(Assignments!$AF:$AF,A911,Assignments!$AE:$AE, "Y",Assignments!$D:$D,"&gt;="&amp;TODAY()-30))</f>
        <v/>
      </c>
      <c r="U911" s="1" t="str">
        <f>IF(A911="","",IFERROR(S911/MAX(1,COUNTIFS(Assignments!$B:$B,A911,Assignments!$D:$D,"&gt;="&amp;TODAY()-30)),""))</f>
        <v/>
      </c>
      <c r="V911" s="1" t="str">
        <f t="shared" si="4"/>
        <v/>
      </c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 t="str">
        <f>IF(A912="","",IFERROR(AVERAGEIFS(Assignments!$AO:$AO,Assignments!$B:$B,A912,Assignments!$E:$E,"Completed"),""))</f>
        <v/>
      </c>
      <c r="L912" s="2"/>
      <c r="M912" s="2"/>
      <c r="N912" s="2"/>
      <c r="O912" s="2"/>
      <c r="P912" s="1" t="str">
        <f>IF(A912="","",MAX(0,MIN(3,SUMIFS(Strike_Log!$C:$C,Strike_Log!$B:$B,A912,Strike_Log!$A:$A,"&gt;="&amp;IF(Config!$B$1004="Y",TODAY()-Config!$B$1005,DATE(1900,1,1)),Strike_Log!$I:$I,1))))</f>
        <v/>
      </c>
      <c r="Q912" s="1"/>
      <c r="R912" s="1"/>
      <c r="S912" s="1" t="str">
        <f>IF(A912="","",COUNTIFS(Assignments!$B:$B,A912,Assignments!$AE:$AE, "Y",Assignments!$D:$D,"&gt;="&amp;TODAY()-30))</f>
        <v/>
      </c>
      <c r="T912" s="1" t="str">
        <f>IF(A912="","",COUNTIFS(Assignments!$AF:$AF,A912,Assignments!$AE:$AE, "Y",Assignments!$D:$D,"&gt;="&amp;TODAY()-30))</f>
        <v/>
      </c>
      <c r="U912" s="1" t="str">
        <f>IF(A912="","",IFERROR(S912/MAX(1,COUNTIFS(Assignments!$B:$B,A912,Assignments!$D:$D,"&gt;="&amp;TODAY()-30)),""))</f>
        <v/>
      </c>
      <c r="V912" s="1" t="str">
        <f t="shared" si="4"/>
        <v/>
      </c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 t="str">
        <f>IF(A913="","",IFERROR(AVERAGEIFS(Assignments!$AO:$AO,Assignments!$B:$B,A913,Assignments!$E:$E,"Completed"),""))</f>
        <v/>
      </c>
      <c r="L913" s="2"/>
      <c r="M913" s="2"/>
      <c r="N913" s="2"/>
      <c r="O913" s="2"/>
      <c r="P913" s="1" t="str">
        <f>IF(A913="","",MAX(0,MIN(3,SUMIFS(Strike_Log!$C:$C,Strike_Log!$B:$B,A913,Strike_Log!$A:$A,"&gt;="&amp;IF(Config!$B$1004="Y",TODAY()-Config!$B$1005,DATE(1900,1,1)),Strike_Log!$I:$I,1))))</f>
        <v/>
      </c>
      <c r="Q913" s="1"/>
      <c r="R913" s="1"/>
      <c r="S913" s="1" t="str">
        <f>IF(A913="","",COUNTIFS(Assignments!$B:$B,A913,Assignments!$AE:$AE, "Y",Assignments!$D:$D,"&gt;="&amp;TODAY()-30))</f>
        <v/>
      </c>
      <c r="T913" s="1" t="str">
        <f>IF(A913="","",COUNTIFS(Assignments!$AF:$AF,A913,Assignments!$AE:$AE, "Y",Assignments!$D:$D,"&gt;="&amp;TODAY()-30))</f>
        <v/>
      </c>
      <c r="U913" s="1" t="str">
        <f>IF(A913="","",IFERROR(S913/MAX(1,COUNTIFS(Assignments!$B:$B,A913,Assignments!$D:$D,"&gt;="&amp;TODAY()-30)),""))</f>
        <v/>
      </c>
      <c r="V913" s="1" t="str">
        <f t="shared" si="4"/>
        <v/>
      </c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 t="str">
        <f>IF(A914="","",IFERROR(AVERAGEIFS(Assignments!$AO:$AO,Assignments!$B:$B,A914,Assignments!$E:$E,"Completed"),""))</f>
        <v/>
      </c>
      <c r="L914" s="2"/>
      <c r="M914" s="2"/>
      <c r="N914" s="2"/>
      <c r="O914" s="2"/>
      <c r="P914" s="1" t="str">
        <f>IF(A914="","",MAX(0,MIN(3,SUMIFS(Strike_Log!$C:$C,Strike_Log!$B:$B,A914,Strike_Log!$A:$A,"&gt;="&amp;IF(Config!$B$1004="Y",TODAY()-Config!$B$1005,DATE(1900,1,1)),Strike_Log!$I:$I,1))))</f>
        <v/>
      </c>
      <c r="Q914" s="1"/>
      <c r="R914" s="1"/>
      <c r="S914" s="1" t="str">
        <f>IF(A914="","",COUNTIFS(Assignments!$B:$B,A914,Assignments!$AE:$AE, "Y",Assignments!$D:$D,"&gt;="&amp;TODAY()-30))</f>
        <v/>
      </c>
      <c r="T914" s="1" t="str">
        <f>IF(A914="","",COUNTIFS(Assignments!$AF:$AF,A914,Assignments!$AE:$AE, "Y",Assignments!$D:$D,"&gt;="&amp;TODAY()-30))</f>
        <v/>
      </c>
      <c r="U914" s="1" t="str">
        <f>IF(A914="","",IFERROR(S914/MAX(1,COUNTIFS(Assignments!$B:$B,A914,Assignments!$D:$D,"&gt;="&amp;TODAY()-30)),""))</f>
        <v/>
      </c>
      <c r="V914" s="1" t="str">
        <f t="shared" si="4"/>
        <v/>
      </c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 t="str">
        <f>IF(A915="","",IFERROR(AVERAGEIFS(Assignments!$AO:$AO,Assignments!$B:$B,A915,Assignments!$E:$E,"Completed"),""))</f>
        <v/>
      </c>
      <c r="L915" s="2"/>
      <c r="M915" s="2"/>
      <c r="N915" s="2"/>
      <c r="O915" s="2"/>
      <c r="P915" s="1" t="str">
        <f>IF(A915="","",MAX(0,MIN(3,SUMIFS(Strike_Log!$C:$C,Strike_Log!$B:$B,A915,Strike_Log!$A:$A,"&gt;="&amp;IF(Config!$B$1004="Y",TODAY()-Config!$B$1005,DATE(1900,1,1)),Strike_Log!$I:$I,1))))</f>
        <v/>
      </c>
      <c r="Q915" s="1"/>
      <c r="R915" s="1"/>
      <c r="S915" s="1" t="str">
        <f>IF(A915="","",COUNTIFS(Assignments!$B:$B,A915,Assignments!$AE:$AE, "Y",Assignments!$D:$D,"&gt;="&amp;TODAY()-30))</f>
        <v/>
      </c>
      <c r="T915" s="1" t="str">
        <f>IF(A915="","",COUNTIFS(Assignments!$AF:$AF,A915,Assignments!$AE:$AE, "Y",Assignments!$D:$D,"&gt;="&amp;TODAY()-30))</f>
        <v/>
      </c>
      <c r="U915" s="1" t="str">
        <f>IF(A915="","",IFERROR(S915/MAX(1,COUNTIFS(Assignments!$B:$B,A915,Assignments!$D:$D,"&gt;="&amp;TODAY()-30)),""))</f>
        <v/>
      </c>
      <c r="V915" s="1" t="str">
        <f t="shared" si="4"/>
        <v/>
      </c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 t="str">
        <f>IF(A916="","",IFERROR(AVERAGEIFS(Assignments!$AO:$AO,Assignments!$B:$B,A916,Assignments!$E:$E,"Completed"),""))</f>
        <v/>
      </c>
      <c r="L916" s="2"/>
      <c r="M916" s="2"/>
      <c r="N916" s="2"/>
      <c r="O916" s="2"/>
      <c r="P916" s="1" t="str">
        <f>IF(A916="","",MAX(0,MIN(3,SUMIFS(Strike_Log!$C:$C,Strike_Log!$B:$B,A916,Strike_Log!$A:$A,"&gt;="&amp;IF(Config!$B$1004="Y",TODAY()-Config!$B$1005,DATE(1900,1,1)),Strike_Log!$I:$I,1))))</f>
        <v/>
      </c>
      <c r="Q916" s="1"/>
      <c r="R916" s="1"/>
      <c r="S916" s="1" t="str">
        <f>IF(A916="","",COUNTIFS(Assignments!$B:$B,A916,Assignments!$AE:$AE, "Y",Assignments!$D:$D,"&gt;="&amp;TODAY()-30))</f>
        <v/>
      </c>
      <c r="T916" s="1" t="str">
        <f>IF(A916="","",COUNTIFS(Assignments!$AF:$AF,A916,Assignments!$AE:$AE, "Y",Assignments!$D:$D,"&gt;="&amp;TODAY()-30))</f>
        <v/>
      </c>
      <c r="U916" s="1" t="str">
        <f>IF(A916="","",IFERROR(S916/MAX(1,COUNTIFS(Assignments!$B:$B,A916,Assignments!$D:$D,"&gt;="&amp;TODAY()-30)),""))</f>
        <v/>
      </c>
      <c r="V916" s="1" t="str">
        <f t="shared" si="4"/>
        <v/>
      </c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 t="str">
        <f>IF(A917="","",IFERROR(AVERAGEIFS(Assignments!$AO:$AO,Assignments!$B:$B,A917,Assignments!$E:$E,"Completed"),""))</f>
        <v/>
      </c>
      <c r="L917" s="2"/>
      <c r="M917" s="2"/>
      <c r="N917" s="2"/>
      <c r="O917" s="2"/>
      <c r="P917" s="1" t="str">
        <f>IF(A917="","",MAX(0,MIN(3,SUMIFS(Strike_Log!$C:$C,Strike_Log!$B:$B,A917,Strike_Log!$A:$A,"&gt;="&amp;IF(Config!$B$1004="Y",TODAY()-Config!$B$1005,DATE(1900,1,1)),Strike_Log!$I:$I,1))))</f>
        <v/>
      </c>
      <c r="Q917" s="1"/>
      <c r="R917" s="1"/>
      <c r="S917" s="1" t="str">
        <f>IF(A917="","",COUNTIFS(Assignments!$B:$B,A917,Assignments!$AE:$AE, "Y",Assignments!$D:$D,"&gt;="&amp;TODAY()-30))</f>
        <v/>
      </c>
      <c r="T917" s="1" t="str">
        <f>IF(A917="","",COUNTIFS(Assignments!$AF:$AF,A917,Assignments!$AE:$AE, "Y",Assignments!$D:$D,"&gt;="&amp;TODAY()-30))</f>
        <v/>
      </c>
      <c r="U917" s="1" t="str">
        <f>IF(A917="","",IFERROR(S917/MAX(1,COUNTIFS(Assignments!$B:$B,A917,Assignments!$D:$D,"&gt;="&amp;TODAY()-30)),""))</f>
        <v/>
      </c>
      <c r="V917" s="1" t="str">
        <f t="shared" si="4"/>
        <v/>
      </c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 t="str">
        <f>IF(A918="","",IFERROR(AVERAGEIFS(Assignments!$AO:$AO,Assignments!$B:$B,A918,Assignments!$E:$E,"Completed"),""))</f>
        <v/>
      </c>
      <c r="L918" s="2"/>
      <c r="M918" s="2"/>
      <c r="N918" s="2"/>
      <c r="O918" s="2"/>
      <c r="P918" s="1" t="str">
        <f>IF(A918="","",MAX(0,MIN(3,SUMIFS(Strike_Log!$C:$C,Strike_Log!$B:$B,A918,Strike_Log!$A:$A,"&gt;="&amp;IF(Config!$B$1004="Y",TODAY()-Config!$B$1005,DATE(1900,1,1)),Strike_Log!$I:$I,1))))</f>
        <v/>
      </c>
      <c r="Q918" s="1"/>
      <c r="R918" s="1"/>
      <c r="S918" s="1" t="str">
        <f>IF(A918="","",COUNTIFS(Assignments!$B:$B,A918,Assignments!$AE:$AE, "Y",Assignments!$D:$D,"&gt;="&amp;TODAY()-30))</f>
        <v/>
      </c>
      <c r="T918" s="1" t="str">
        <f>IF(A918="","",COUNTIFS(Assignments!$AF:$AF,A918,Assignments!$AE:$AE, "Y",Assignments!$D:$D,"&gt;="&amp;TODAY()-30))</f>
        <v/>
      </c>
      <c r="U918" s="1" t="str">
        <f>IF(A918="","",IFERROR(S918/MAX(1,COUNTIFS(Assignments!$B:$B,A918,Assignments!$D:$D,"&gt;="&amp;TODAY()-30)),""))</f>
        <v/>
      </c>
      <c r="V918" s="1" t="str">
        <f t="shared" si="4"/>
        <v/>
      </c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 t="str">
        <f>IF(A919="","",IFERROR(AVERAGEIFS(Assignments!$AO:$AO,Assignments!$B:$B,A919,Assignments!$E:$E,"Completed"),""))</f>
        <v/>
      </c>
      <c r="L919" s="2"/>
      <c r="M919" s="2"/>
      <c r="N919" s="2"/>
      <c r="O919" s="2"/>
      <c r="P919" s="1" t="str">
        <f>IF(A919="","",MAX(0,MIN(3,SUMIFS(Strike_Log!$C:$C,Strike_Log!$B:$B,A919,Strike_Log!$A:$A,"&gt;="&amp;IF(Config!$B$1004="Y",TODAY()-Config!$B$1005,DATE(1900,1,1)),Strike_Log!$I:$I,1))))</f>
        <v/>
      </c>
      <c r="Q919" s="1"/>
      <c r="R919" s="1"/>
      <c r="S919" s="1" t="str">
        <f>IF(A919="","",COUNTIFS(Assignments!$B:$B,A919,Assignments!$AE:$AE, "Y",Assignments!$D:$D,"&gt;="&amp;TODAY()-30))</f>
        <v/>
      </c>
      <c r="T919" s="1" t="str">
        <f>IF(A919="","",COUNTIFS(Assignments!$AF:$AF,A919,Assignments!$AE:$AE, "Y",Assignments!$D:$D,"&gt;="&amp;TODAY()-30))</f>
        <v/>
      </c>
      <c r="U919" s="1" t="str">
        <f>IF(A919="","",IFERROR(S919/MAX(1,COUNTIFS(Assignments!$B:$B,A919,Assignments!$D:$D,"&gt;="&amp;TODAY()-30)),""))</f>
        <v/>
      </c>
      <c r="V919" s="1" t="str">
        <f t="shared" si="4"/>
        <v/>
      </c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 t="str">
        <f>IF(A920="","",IFERROR(AVERAGEIFS(Assignments!$AO:$AO,Assignments!$B:$B,A920,Assignments!$E:$E,"Completed"),""))</f>
        <v/>
      </c>
      <c r="L920" s="2"/>
      <c r="M920" s="2"/>
      <c r="N920" s="2"/>
      <c r="O920" s="2"/>
      <c r="P920" s="1" t="str">
        <f>IF(A920="","",MAX(0,MIN(3,SUMIFS(Strike_Log!$C:$C,Strike_Log!$B:$B,A920,Strike_Log!$A:$A,"&gt;="&amp;IF(Config!$B$1004="Y",TODAY()-Config!$B$1005,DATE(1900,1,1)),Strike_Log!$I:$I,1))))</f>
        <v/>
      </c>
      <c r="Q920" s="1"/>
      <c r="R920" s="1"/>
      <c r="S920" s="1" t="str">
        <f>IF(A920="","",COUNTIFS(Assignments!$B:$B,A920,Assignments!$AE:$AE, "Y",Assignments!$D:$D,"&gt;="&amp;TODAY()-30))</f>
        <v/>
      </c>
      <c r="T920" s="1" t="str">
        <f>IF(A920="","",COUNTIFS(Assignments!$AF:$AF,A920,Assignments!$AE:$AE, "Y",Assignments!$D:$D,"&gt;="&amp;TODAY()-30))</f>
        <v/>
      </c>
      <c r="U920" s="1" t="str">
        <f>IF(A920="","",IFERROR(S920/MAX(1,COUNTIFS(Assignments!$B:$B,A920,Assignments!$D:$D,"&gt;="&amp;TODAY()-30)),""))</f>
        <v/>
      </c>
      <c r="V920" s="1" t="str">
        <f t="shared" si="4"/>
        <v/>
      </c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 t="str">
        <f>IF(A921="","",IFERROR(AVERAGEIFS(Assignments!$AO:$AO,Assignments!$B:$B,A921,Assignments!$E:$E,"Completed"),""))</f>
        <v/>
      </c>
      <c r="L921" s="2"/>
      <c r="M921" s="2"/>
      <c r="N921" s="2"/>
      <c r="O921" s="2"/>
      <c r="P921" s="1" t="str">
        <f>IF(A921="","",MAX(0,MIN(3,SUMIFS(Strike_Log!$C:$C,Strike_Log!$B:$B,A921,Strike_Log!$A:$A,"&gt;="&amp;IF(Config!$B$1004="Y",TODAY()-Config!$B$1005,DATE(1900,1,1)),Strike_Log!$I:$I,1))))</f>
        <v/>
      </c>
      <c r="Q921" s="1"/>
      <c r="R921" s="1"/>
      <c r="S921" s="1" t="str">
        <f>IF(A921="","",COUNTIFS(Assignments!$B:$B,A921,Assignments!$AE:$AE, "Y",Assignments!$D:$D,"&gt;="&amp;TODAY()-30))</f>
        <v/>
      </c>
      <c r="T921" s="1" t="str">
        <f>IF(A921="","",COUNTIFS(Assignments!$AF:$AF,A921,Assignments!$AE:$AE, "Y",Assignments!$D:$D,"&gt;="&amp;TODAY()-30))</f>
        <v/>
      </c>
      <c r="U921" s="1" t="str">
        <f>IF(A921="","",IFERROR(S921/MAX(1,COUNTIFS(Assignments!$B:$B,A921,Assignments!$D:$D,"&gt;="&amp;TODAY()-30)),""))</f>
        <v/>
      </c>
      <c r="V921" s="1" t="str">
        <f t="shared" si="4"/>
        <v/>
      </c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 t="str">
        <f>IF(A922="","",IFERROR(AVERAGEIFS(Assignments!$AO:$AO,Assignments!$B:$B,A922,Assignments!$E:$E,"Completed"),""))</f>
        <v/>
      </c>
      <c r="L922" s="2"/>
      <c r="M922" s="2"/>
      <c r="N922" s="2"/>
      <c r="O922" s="2"/>
      <c r="P922" s="1" t="str">
        <f>IF(A922="","",MAX(0,MIN(3,SUMIFS(Strike_Log!$C:$C,Strike_Log!$B:$B,A922,Strike_Log!$A:$A,"&gt;="&amp;IF(Config!$B$1004="Y",TODAY()-Config!$B$1005,DATE(1900,1,1)),Strike_Log!$I:$I,1))))</f>
        <v/>
      </c>
      <c r="Q922" s="1"/>
      <c r="R922" s="1"/>
      <c r="S922" s="1" t="str">
        <f>IF(A922="","",COUNTIFS(Assignments!$B:$B,A922,Assignments!$AE:$AE, "Y",Assignments!$D:$D,"&gt;="&amp;TODAY()-30))</f>
        <v/>
      </c>
      <c r="T922" s="1" t="str">
        <f>IF(A922="","",COUNTIFS(Assignments!$AF:$AF,A922,Assignments!$AE:$AE, "Y",Assignments!$D:$D,"&gt;="&amp;TODAY()-30))</f>
        <v/>
      </c>
      <c r="U922" s="1" t="str">
        <f>IF(A922="","",IFERROR(S922/MAX(1,COUNTIFS(Assignments!$B:$B,A922,Assignments!$D:$D,"&gt;="&amp;TODAY()-30)),""))</f>
        <v/>
      </c>
      <c r="V922" s="1" t="str">
        <f t="shared" si="4"/>
        <v/>
      </c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 t="str">
        <f>IF(A923="","",IFERROR(AVERAGEIFS(Assignments!$AO:$AO,Assignments!$B:$B,A923,Assignments!$E:$E,"Completed"),""))</f>
        <v/>
      </c>
      <c r="L923" s="2"/>
      <c r="M923" s="2"/>
      <c r="N923" s="2"/>
      <c r="O923" s="2"/>
      <c r="P923" s="1" t="str">
        <f>IF(A923="","",MAX(0,MIN(3,SUMIFS(Strike_Log!$C:$C,Strike_Log!$B:$B,A923,Strike_Log!$A:$A,"&gt;="&amp;IF(Config!$B$1004="Y",TODAY()-Config!$B$1005,DATE(1900,1,1)),Strike_Log!$I:$I,1))))</f>
        <v/>
      </c>
      <c r="Q923" s="1"/>
      <c r="R923" s="1"/>
      <c r="S923" s="1" t="str">
        <f>IF(A923="","",COUNTIFS(Assignments!$B:$B,A923,Assignments!$AE:$AE, "Y",Assignments!$D:$D,"&gt;="&amp;TODAY()-30))</f>
        <v/>
      </c>
      <c r="T923" s="1" t="str">
        <f>IF(A923="","",COUNTIFS(Assignments!$AF:$AF,A923,Assignments!$AE:$AE, "Y",Assignments!$D:$D,"&gt;="&amp;TODAY()-30))</f>
        <v/>
      </c>
      <c r="U923" s="1" t="str">
        <f>IF(A923="","",IFERROR(S923/MAX(1,COUNTIFS(Assignments!$B:$B,A923,Assignments!$D:$D,"&gt;="&amp;TODAY()-30)),""))</f>
        <v/>
      </c>
      <c r="V923" s="1" t="str">
        <f t="shared" si="4"/>
        <v/>
      </c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 t="str">
        <f>IF(A924="","",IFERROR(AVERAGEIFS(Assignments!$AO:$AO,Assignments!$B:$B,A924,Assignments!$E:$E,"Completed"),""))</f>
        <v/>
      </c>
      <c r="L924" s="2"/>
      <c r="M924" s="2"/>
      <c r="N924" s="2"/>
      <c r="O924" s="2"/>
      <c r="P924" s="1" t="str">
        <f>IF(A924="","",MAX(0,MIN(3,SUMIFS(Strike_Log!$C:$C,Strike_Log!$B:$B,A924,Strike_Log!$A:$A,"&gt;="&amp;IF(Config!$B$1004="Y",TODAY()-Config!$B$1005,DATE(1900,1,1)),Strike_Log!$I:$I,1))))</f>
        <v/>
      </c>
      <c r="Q924" s="1"/>
      <c r="R924" s="1"/>
      <c r="S924" s="1" t="str">
        <f>IF(A924="","",COUNTIFS(Assignments!$B:$B,A924,Assignments!$AE:$AE, "Y",Assignments!$D:$D,"&gt;="&amp;TODAY()-30))</f>
        <v/>
      </c>
      <c r="T924" s="1" t="str">
        <f>IF(A924="","",COUNTIFS(Assignments!$AF:$AF,A924,Assignments!$AE:$AE, "Y",Assignments!$D:$D,"&gt;="&amp;TODAY()-30))</f>
        <v/>
      </c>
      <c r="U924" s="1" t="str">
        <f>IF(A924="","",IFERROR(S924/MAX(1,COUNTIFS(Assignments!$B:$B,A924,Assignments!$D:$D,"&gt;="&amp;TODAY()-30)),""))</f>
        <v/>
      </c>
      <c r="V924" s="1" t="str">
        <f t="shared" si="4"/>
        <v/>
      </c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 t="str">
        <f>IF(A925="","",IFERROR(AVERAGEIFS(Assignments!$AO:$AO,Assignments!$B:$B,A925,Assignments!$E:$E,"Completed"),""))</f>
        <v/>
      </c>
      <c r="L925" s="2"/>
      <c r="M925" s="2"/>
      <c r="N925" s="2"/>
      <c r="O925" s="2"/>
      <c r="P925" s="1" t="str">
        <f>IF(A925="","",MAX(0,MIN(3,SUMIFS(Strike_Log!$C:$C,Strike_Log!$B:$B,A925,Strike_Log!$A:$A,"&gt;="&amp;IF(Config!$B$1004="Y",TODAY()-Config!$B$1005,DATE(1900,1,1)),Strike_Log!$I:$I,1))))</f>
        <v/>
      </c>
      <c r="Q925" s="1"/>
      <c r="R925" s="1"/>
      <c r="S925" s="1" t="str">
        <f>IF(A925="","",COUNTIFS(Assignments!$B:$B,A925,Assignments!$AE:$AE, "Y",Assignments!$D:$D,"&gt;="&amp;TODAY()-30))</f>
        <v/>
      </c>
      <c r="T925" s="1" t="str">
        <f>IF(A925="","",COUNTIFS(Assignments!$AF:$AF,A925,Assignments!$AE:$AE, "Y",Assignments!$D:$D,"&gt;="&amp;TODAY()-30))</f>
        <v/>
      </c>
      <c r="U925" s="1" t="str">
        <f>IF(A925="","",IFERROR(S925/MAX(1,COUNTIFS(Assignments!$B:$B,A925,Assignments!$D:$D,"&gt;="&amp;TODAY()-30)),""))</f>
        <v/>
      </c>
      <c r="V925" s="1" t="str">
        <f t="shared" si="4"/>
        <v/>
      </c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 t="str">
        <f>IF(A926="","",IFERROR(AVERAGEIFS(Assignments!$AO:$AO,Assignments!$B:$B,A926,Assignments!$E:$E,"Completed"),""))</f>
        <v/>
      </c>
      <c r="L926" s="2"/>
      <c r="M926" s="2"/>
      <c r="N926" s="2"/>
      <c r="O926" s="2"/>
      <c r="P926" s="1" t="str">
        <f>IF(A926="","",MAX(0,MIN(3,SUMIFS(Strike_Log!$C:$C,Strike_Log!$B:$B,A926,Strike_Log!$A:$A,"&gt;="&amp;IF(Config!$B$1004="Y",TODAY()-Config!$B$1005,DATE(1900,1,1)),Strike_Log!$I:$I,1))))</f>
        <v/>
      </c>
      <c r="Q926" s="1"/>
      <c r="R926" s="1"/>
      <c r="S926" s="1" t="str">
        <f>IF(A926="","",COUNTIFS(Assignments!$B:$B,A926,Assignments!$AE:$AE, "Y",Assignments!$D:$D,"&gt;="&amp;TODAY()-30))</f>
        <v/>
      </c>
      <c r="T926" s="1" t="str">
        <f>IF(A926="","",COUNTIFS(Assignments!$AF:$AF,A926,Assignments!$AE:$AE, "Y",Assignments!$D:$D,"&gt;="&amp;TODAY()-30))</f>
        <v/>
      </c>
      <c r="U926" s="1" t="str">
        <f>IF(A926="","",IFERROR(S926/MAX(1,COUNTIFS(Assignments!$B:$B,A926,Assignments!$D:$D,"&gt;="&amp;TODAY()-30)),""))</f>
        <v/>
      </c>
      <c r="V926" s="1" t="str">
        <f t="shared" si="4"/>
        <v/>
      </c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 t="str">
        <f>IF(A927="","",IFERROR(AVERAGEIFS(Assignments!$AO:$AO,Assignments!$B:$B,A927,Assignments!$E:$E,"Completed"),""))</f>
        <v/>
      </c>
      <c r="L927" s="2"/>
      <c r="M927" s="2"/>
      <c r="N927" s="2"/>
      <c r="O927" s="2"/>
      <c r="P927" s="1" t="str">
        <f>IF(A927="","",MAX(0,MIN(3,SUMIFS(Strike_Log!$C:$C,Strike_Log!$B:$B,A927,Strike_Log!$A:$A,"&gt;="&amp;IF(Config!$B$1004="Y",TODAY()-Config!$B$1005,DATE(1900,1,1)),Strike_Log!$I:$I,1))))</f>
        <v/>
      </c>
      <c r="Q927" s="1"/>
      <c r="R927" s="1"/>
      <c r="S927" s="1" t="str">
        <f>IF(A927="","",COUNTIFS(Assignments!$B:$B,A927,Assignments!$AE:$AE, "Y",Assignments!$D:$D,"&gt;="&amp;TODAY()-30))</f>
        <v/>
      </c>
      <c r="T927" s="1" t="str">
        <f>IF(A927="","",COUNTIFS(Assignments!$AF:$AF,A927,Assignments!$AE:$AE, "Y",Assignments!$D:$D,"&gt;="&amp;TODAY()-30))</f>
        <v/>
      </c>
      <c r="U927" s="1" t="str">
        <f>IF(A927="","",IFERROR(S927/MAX(1,COUNTIFS(Assignments!$B:$B,A927,Assignments!$D:$D,"&gt;="&amp;TODAY()-30)),""))</f>
        <v/>
      </c>
      <c r="V927" s="1" t="str">
        <f t="shared" si="4"/>
        <v/>
      </c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 t="str">
        <f>IF(A928="","",IFERROR(AVERAGEIFS(Assignments!$AO:$AO,Assignments!$B:$B,A928,Assignments!$E:$E,"Completed"),""))</f>
        <v/>
      </c>
      <c r="L928" s="2"/>
      <c r="M928" s="2"/>
      <c r="N928" s="2"/>
      <c r="O928" s="2"/>
      <c r="P928" s="1" t="str">
        <f>IF(A928="","",MAX(0,MIN(3,SUMIFS(Strike_Log!$C:$C,Strike_Log!$B:$B,A928,Strike_Log!$A:$A,"&gt;="&amp;IF(Config!$B$1004="Y",TODAY()-Config!$B$1005,DATE(1900,1,1)),Strike_Log!$I:$I,1))))</f>
        <v/>
      </c>
      <c r="Q928" s="1"/>
      <c r="R928" s="1"/>
      <c r="S928" s="1" t="str">
        <f>IF(A928="","",COUNTIFS(Assignments!$B:$B,A928,Assignments!$AE:$AE, "Y",Assignments!$D:$D,"&gt;="&amp;TODAY()-30))</f>
        <v/>
      </c>
      <c r="T928" s="1" t="str">
        <f>IF(A928="","",COUNTIFS(Assignments!$AF:$AF,A928,Assignments!$AE:$AE, "Y",Assignments!$D:$D,"&gt;="&amp;TODAY()-30))</f>
        <v/>
      </c>
      <c r="U928" s="1" t="str">
        <f>IF(A928="","",IFERROR(S928/MAX(1,COUNTIFS(Assignments!$B:$B,A928,Assignments!$D:$D,"&gt;="&amp;TODAY()-30)),""))</f>
        <v/>
      </c>
      <c r="V928" s="1" t="str">
        <f t="shared" si="4"/>
        <v/>
      </c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 t="str">
        <f>IF(A929="","",IFERROR(AVERAGEIFS(Assignments!$AO:$AO,Assignments!$B:$B,A929,Assignments!$E:$E,"Completed"),""))</f>
        <v/>
      </c>
      <c r="L929" s="2"/>
      <c r="M929" s="2"/>
      <c r="N929" s="2"/>
      <c r="O929" s="2"/>
      <c r="P929" s="1" t="str">
        <f>IF(A929="","",MAX(0,MIN(3,SUMIFS(Strike_Log!$C:$C,Strike_Log!$B:$B,A929,Strike_Log!$A:$A,"&gt;="&amp;IF(Config!$B$1004="Y",TODAY()-Config!$B$1005,DATE(1900,1,1)),Strike_Log!$I:$I,1))))</f>
        <v/>
      </c>
      <c r="Q929" s="1"/>
      <c r="R929" s="1"/>
      <c r="S929" s="1" t="str">
        <f>IF(A929="","",COUNTIFS(Assignments!$B:$B,A929,Assignments!$AE:$AE, "Y",Assignments!$D:$D,"&gt;="&amp;TODAY()-30))</f>
        <v/>
      </c>
      <c r="T929" s="1" t="str">
        <f>IF(A929="","",COUNTIFS(Assignments!$AF:$AF,A929,Assignments!$AE:$AE, "Y",Assignments!$D:$D,"&gt;="&amp;TODAY()-30))</f>
        <v/>
      </c>
      <c r="U929" s="1" t="str">
        <f>IF(A929="","",IFERROR(S929/MAX(1,COUNTIFS(Assignments!$B:$B,A929,Assignments!$D:$D,"&gt;="&amp;TODAY()-30)),""))</f>
        <v/>
      </c>
      <c r="V929" s="1" t="str">
        <f t="shared" si="4"/>
        <v/>
      </c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 t="str">
        <f>IF(A930="","",IFERROR(AVERAGEIFS(Assignments!$AO:$AO,Assignments!$B:$B,A930,Assignments!$E:$E,"Completed"),""))</f>
        <v/>
      </c>
      <c r="L930" s="2"/>
      <c r="M930" s="2"/>
      <c r="N930" s="2"/>
      <c r="O930" s="2"/>
      <c r="P930" s="1" t="str">
        <f>IF(A930="","",MAX(0,MIN(3,SUMIFS(Strike_Log!$C:$C,Strike_Log!$B:$B,A930,Strike_Log!$A:$A,"&gt;="&amp;IF(Config!$B$1004="Y",TODAY()-Config!$B$1005,DATE(1900,1,1)),Strike_Log!$I:$I,1))))</f>
        <v/>
      </c>
      <c r="Q930" s="1"/>
      <c r="R930" s="1"/>
      <c r="S930" s="1" t="str">
        <f>IF(A930="","",COUNTIFS(Assignments!$B:$B,A930,Assignments!$AE:$AE, "Y",Assignments!$D:$D,"&gt;="&amp;TODAY()-30))</f>
        <v/>
      </c>
      <c r="T930" s="1" t="str">
        <f>IF(A930="","",COUNTIFS(Assignments!$AF:$AF,A930,Assignments!$AE:$AE, "Y",Assignments!$D:$D,"&gt;="&amp;TODAY()-30))</f>
        <v/>
      </c>
      <c r="U930" s="1" t="str">
        <f>IF(A930="","",IFERROR(S930/MAX(1,COUNTIFS(Assignments!$B:$B,A930,Assignments!$D:$D,"&gt;="&amp;TODAY()-30)),""))</f>
        <v/>
      </c>
      <c r="V930" s="1" t="str">
        <f t="shared" si="4"/>
        <v/>
      </c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 t="str">
        <f>IF(A931="","",IFERROR(AVERAGEIFS(Assignments!$AO:$AO,Assignments!$B:$B,A931,Assignments!$E:$E,"Completed"),""))</f>
        <v/>
      </c>
      <c r="L931" s="2"/>
      <c r="M931" s="2"/>
      <c r="N931" s="2"/>
      <c r="O931" s="2"/>
      <c r="P931" s="1" t="str">
        <f>IF(A931="","",MAX(0,MIN(3,SUMIFS(Strike_Log!$C:$C,Strike_Log!$B:$B,A931,Strike_Log!$A:$A,"&gt;="&amp;IF(Config!$B$1004="Y",TODAY()-Config!$B$1005,DATE(1900,1,1)),Strike_Log!$I:$I,1))))</f>
        <v/>
      </c>
      <c r="Q931" s="1"/>
      <c r="R931" s="1"/>
      <c r="S931" s="1" t="str">
        <f>IF(A931="","",COUNTIFS(Assignments!$B:$B,A931,Assignments!$AE:$AE, "Y",Assignments!$D:$D,"&gt;="&amp;TODAY()-30))</f>
        <v/>
      </c>
      <c r="T931" s="1" t="str">
        <f>IF(A931="","",COUNTIFS(Assignments!$AF:$AF,A931,Assignments!$AE:$AE, "Y",Assignments!$D:$D,"&gt;="&amp;TODAY()-30))</f>
        <v/>
      </c>
      <c r="U931" s="1" t="str">
        <f>IF(A931="","",IFERROR(S931/MAX(1,COUNTIFS(Assignments!$B:$B,A931,Assignments!$D:$D,"&gt;="&amp;TODAY()-30)),""))</f>
        <v/>
      </c>
      <c r="V931" s="1" t="str">
        <f t="shared" si="4"/>
        <v/>
      </c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 t="str">
        <f>IF(A932="","",IFERROR(AVERAGEIFS(Assignments!$AO:$AO,Assignments!$B:$B,A932,Assignments!$E:$E,"Completed"),""))</f>
        <v/>
      </c>
      <c r="L932" s="2"/>
      <c r="M932" s="2"/>
      <c r="N932" s="2"/>
      <c r="O932" s="2"/>
      <c r="P932" s="1" t="str">
        <f>IF(A932="","",MAX(0,MIN(3,SUMIFS(Strike_Log!$C:$C,Strike_Log!$B:$B,A932,Strike_Log!$A:$A,"&gt;="&amp;IF(Config!$B$1004="Y",TODAY()-Config!$B$1005,DATE(1900,1,1)),Strike_Log!$I:$I,1))))</f>
        <v/>
      </c>
      <c r="Q932" s="1"/>
      <c r="R932" s="1"/>
      <c r="S932" s="1" t="str">
        <f>IF(A932="","",COUNTIFS(Assignments!$B:$B,A932,Assignments!$AE:$AE, "Y",Assignments!$D:$D,"&gt;="&amp;TODAY()-30))</f>
        <v/>
      </c>
      <c r="T932" s="1" t="str">
        <f>IF(A932="","",COUNTIFS(Assignments!$AF:$AF,A932,Assignments!$AE:$AE, "Y",Assignments!$D:$D,"&gt;="&amp;TODAY()-30))</f>
        <v/>
      </c>
      <c r="U932" s="1" t="str">
        <f>IF(A932="","",IFERROR(S932/MAX(1,COUNTIFS(Assignments!$B:$B,A932,Assignments!$D:$D,"&gt;="&amp;TODAY()-30)),""))</f>
        <v/>
      </c>
      <c r="V932" s="1" t="str">
        <f t="shared" si="4"/>
        <v/>
      </c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 t="str">
        <f>IF(A933="","",IFERROR(AVERAGEIFS(Assignments!$AO:$AO,Assignments!$B:$B,A933,Assignments!$E:$E,"Completed"),""))</f>
        <v/>
      </c>
      <c r="L933" s="2"/>
      <c r="M933" s="2"/>
      <c r="N933" s="2"/>
      <c r="O933" s="2"/>
      <c r="P933" s="1" t="str">
        <f>IF(A933="","",MAX(0,MIN(3,SUMIFS(Strike_Log!$C:$C,Strike_Log!$B:$B,A933,Strike_Log!$A:$A,"&gt;="&amp;IF(Config!$B$1004="Y",TODAY()-Config!$B$1005,DATE(1900,1,1)),Strike_Log!$I:$I,1))))</f>
        <v/>
      </c>
      <c r="Q933" s="1"/>
      <c r="R933" s="1"/>
      <c r="S933" s="1" t="str">
        <f>IF(A933="","",COUNTIFS(Assignments!$B:$B,A933,Assignments!$AE:$AE, "Y",Assignments!$D:$D,"&gt;="&amp;TODAY()-30))</f>
        <v/>
      </c>
      <c r="T933" s="1" t="str">
        <f>IF(A933="","",COUNTIFS(Assignments!$AF:$AF,A933,Assignments!$AE:$AE, "Y",Assignments!$D:$D,"&gt;="&amp;TODAY()-30))</f>
        <v/>
      </c>
      <c r="U933" s="1" t="str">
        <f>IF(A933="","",IFERROR(S933/MAX(1,COUNTIFS(Assignments!$B:$B,A933,Assignments!$D:$D,"&gt;="&amp;TODAY()-30)),""))</f>
        <v/>
      </c>
      <c r="V933" s="1" t="str">
        <f t="shared" si="4"/>
        <v/>
      </c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 t="str">
        <f>IF(A934="","",IFERROR(AVERAGEIFS(Assignments!$AO:$AO,Assignments!$B:$B,A934,Assignments!$E:$E,"Completed"),""))</f>
        <v/>
      </c>
      <c r="L934" s="2"/>
      <c r="M934" s="2"/>
      <c r="N934" s="2"/>
      <c r="O934" s="2"/>
      <c r="P934" s="1" t="str">
        <f>IF(A934="","",MAX(0,MIN(3,SUMIFS(Strike_Log!$C:$C,Strike_Log!$B:$B,A934,Strike_Log!$A:$A,"&gt;="&amp;IF(Config!$B$1004="Y",TODAY()-Config!$B$1005,DATE(1900,1,1)),Strike_Log!$I:$I,1))))</f>
        <v/>
      </c>
      <c r="Q934" s="1"/>
      <c r="R934" s="1"/>
      <c r="S934" s="1" t="str">
        <f>IF(A934="","",COUNTIFS(Assignments!$B:$B,A934,Assignments!$AE:$AE, "Y",Assignments!$D:$D,"&gt;="&amp;TODAY()-30))</f>
        <v/>
      </c>
      <c r="T934" s="1" t="str">
        <f>IF(A934="","",COUNTIFS(Assignments!$AF:$AF,A934,Assignments!$AE:$AE, "Y",Assignments!$D:$D,"&gt;="&amp;TODAY()-30))</f>
        <v/>
      </c>
      <c r="U934" s="1" t="str">
        <f>IF(A934="","",IFERROR(S934/MAX(1,COUNTIFS(Assignments!$B:$B,A934,Assignments!$D:$D,"&gt;="&amp;TODAY()-30)),""))</f>
        <v/>
      </c>
      <c r="V934" s="1" t="str">
        <f t="shared" si="4"/>
        <v/>
      </c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 t="str">
        <f>IF(A935="","",IFERROR(AVERAGEIFS(Assignments!$AO:$AO,Assignments!$B:$B,A935,Assignments!$E:$E,"Completed"),""))</f>
        <v/>
      </c>
      <c r="L935" s="2"/>
      <c r="M935" s="2"/>
      <c r="N935" s="2"/>
      <c r="O935" s="2"/>
      <c r="P935" s="1" t="str">
        <f>IF(A935="","",MAX(0,MIN(3,SUMIFS(Strike_Log!$C:$C,Strike_Log!$B:$B,A935,Strike_Log!$A:$A,"&gt;="&amp;IF(Config!$B$1004="Y",TODAY()-Config!$B$1005,DATE(1900,1,1)),Strike_Log!$I:$I,1))))</f>
        <v/>
      </c>
      <c r="Q935" s="1"/>
      <c r="R935" s="1"/>
      <c r="S935" s="1" t="str">
        <f>IF(A935="","",COUNTIFS(Assignments!$B:$B,A935,Assignments!$AE:$AE, "Y",Assignments!$D:$D,"&gt;="&amp;TODAY()-30))</f>
        <v/>
      </c>
      <c r="T935" s="1" t="str">
        <f>IF(A935="","",COUNTIFS(Assignments!$AF:$AF,A935,Assignments!$AE:$AE, "Y",Assignments!$D:$D,"&gt;="&amp;TODAY()-30))</f>
        <v/>
      </c>
      <c r="U935" s="1" t="str">
        <f>IF(A935="","",IFERROR(S935/MAX(1,COUNTIFS(Assignments!$B:$B,A935,Assignments!$D:$D,"&gt;="&amp;TODAY()-30)),""))</f>
        <v/>
      </c>
      <c r="V935" s="1" t="str">
        <f t="shared" si="4"/>
        <v/>
      </c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 t="str">
        <f>IF(A936="","",IFERROR(AVERAGEIFS(Assignments!$AO:$AO,Assignments!$B:$B,A936,Assignments!$E:$E,"Completed"),""))</f>
        <v/>
      </c>
      <c r="L936" s="2"/>
      <c r="M936" s="2"/>
      <c r="N936" s="2"/>
      <c r="O936" s="2"/>
      <c r="P936" s="1" t="str">
        <f>IF(A936="","",MAX(0,MIN(3,SUMIFS(Strike_Log!$C:$C,Strike_Log!$B:$B,A936,Strike_Log!$A:$A,"&gt;="&amp;IF(Config!$B$1004="Y",TODAY()-Config!$B$1005,DATE(1900,1,1)),Strike_Log!$I:$I,1))))</f>
        <v/>
      </c>
      <c r="Q936" s="1"/>
      <c r="R936" s="1"/>
      <c r="S936" s="1" t="str">
        <f>IF(A936="","",COUNTIFS(Assignments!$B:$B,A936,Assignments!$AE:$AE, "Y",Assignments!$D:$D,"&gt;="&amp;TODAY()-30))</f>
        <v/>
      </c>
      <c r="T936" s="1" t="str">
        <f>IF(A936="","",COUNTIFS(Assignments!$AF:$AF,A936,Assignments!$AE:$AE, "Y",Assignments!$D:$D,"&gt;="&amp;TODAY()-30))</f>
        <v/>
      </c>
      <c r="U936" s="1" t="str">
        <f>IF(A936="","",IFERROR(S936/MAX(1,COUNTIFS(Assignments!$B:$B,A936,Assignments!$D:$D,"&gt;="&amp;TODAY()-30)),""))</f>
        <v/>
      </c>
      <c r="V936" s="1" t="str">
        <f t="shared" si="4"/>
        <v/>
      </c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 t="str">
        <f>IF(A937="","",IFERROR(AVERAGEIFS(Assignments!$AO:$AO,Assignments!$B:$B,A937,Assignments!$E:$E,"Completed"),""))</f>
        <v/>
      </c>
      <c r="L937" s="2"/>
      <c r="M937" s="2"/>
      <c r="N937" s="2"/>
      <c r="O937" s="2"/>
      <c r="P937" s="1" t="str">
        <f>IF(A937="","",MAX(0,MIN(3,SUMIFS(Strike_Log!$C:$C,Strike_Log!$B:$B,A937,Strike_Log!$A:$A,"&gt;="&amp;IF(Config!$B$1004="Y",TODAY()-Config!$B$1005,DATE(1900,1,1)),Strike_Log!$I:$I,1))))</f>
        <v/>
      </c>
      <c r="Q937" s="1"/>
      <c r="R937" s="1"/>
      <c r="S937" s="1" t="str">
        <f>IF(A937="","",COUNTIFS(Assignments!$B:$B,A937,Assignments!$AE:$AE, "Y",Assignments!$D:$D,"&gt;="&amp;TODAY()-30))</f>
        <v/>
      </c>
      <c r="T937" s="1" t="str">
        <f>IF(A937="","",COUNTIFS(Assignments!$AF:$AF,A937,Assignments!$AE:$AE, "Y",Assignments!$D:$D,"&gt;="&amp;TODAY()-30))</f>
        <v/>
      </c>
      <c r="U937" s="1" t="str">
        <f>IF(A937="","",IFERROR(S937/MAX(1,COUNTIFS(Assignments!$B:$B,A937,Assignments!$D:$D,"&gt;="&amp;TODAY()-30)),""))</f>
        <v/>
      </c>
      <c r="V937" s="1" t="str">
        <f t="shared" si="4"/>
        <v/>
      </c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 t="str">
        <f>IF(A938="","",IFERROR(AVERAGEIFS(Assignments!$AO:$AO,Assignments!$B:$B,A938,Assignments!$E:$E,"Completed"),""))</f>
        <v/>
      </c>
      <c r="L938" s="2"/>
      <c r="M938" s="2"/>
      <c r="N938" s="2"/>
      <c r="O938" s="2"/>
      <c r="P938" s="1" t="str">
        <f>IF(A938="","",MAX(0,MIN(3,SUMIFS(Strike_Log!$C:$C,Strike_Log!$B:$B,A938,Strike_Log!$A:$A,"&gt;="&amp;IF(Config!$B$1004="Y",TODAY()-Config!$B$1005,DATE(1900,1,1)),Strike_Log!$I:$I,1))))</f>
        <v/>
      </c>
      <c r="Q938" s="1"/>
      <c r="R938" s="1"/>
      <c r="S938" s="1" t="str">
        <f>IF(A938="","",COUNTIFS(Assignments!$B:$B,A938,Assignments!$AE:$AE, "Y",Assignments!$D:$D,"&gt;="&amp;TODAY()-30))</f>
        <v/>
      </c>
      <c r="T938" s="1" t="str">
        <f>IF(A938="","",COUNTIFS(Assignments!$AF:$AF,A938,Assignments!$AE:$AE, "Y",Assignments!$D:$D,"&gt;="&amp;TODAY()-30))</f>
        <v/>
      </c>
      <c r="U938" s="1" t="str">
        <f>IF(A938="","",IFERROR(S938/MAX(1,COUNTIFS(Assignments!$B:$B,A938,Assignments!$D:$D,"&gt;="&amp;TODAY()-30)),""))</f>
        <v/>
      </c>
      <c r="V938" s="1" t="str">
        <f t="shared" si="4"/>
        <v/>
      </c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 t="str">
        <f>IF(A939="","",IFERROR(AVERAGEIFS(Assignments!$AO:$AO,Assignments!$B:$B,A939,Assignments!$E:$E,"Completed"),""))</f>
        <v/>
      </c>
      <c r="L939" s="2"/>
      <c r="M939" s="2"/>
      <c r="N939" s="2"/>
      <c r="O939" s="2"/>
      <c r="P939" s="1" t="str">
        <f>IF(A939="","",MAX(0,MIN(3,SUMIFS(Strike_Log!$C:$C,Strike_Log!$B:$B,A939,Strike_Log!$A:$A,"&gt;="&amp;IF(Config!$B$1004="Y",TODAY()-Config!$B$1005,DATE(1900,1,1)),Strike_Log!$I:$I,1))))</f>
        <v/>
      </c>
      <c r="Q939" s="1"/>
      <c r="R939" s="1"/>
      <c r="S939" s="1" t="str">
        <f>IF(A939="","",COUNTIFS(Assignments!$B:$B,A939,Assignments!$AE:$AE, "Y",Assignments!$D:$D,"&gt;="&amp;TODAY()-30))</f>
        <v/>
      </c>
      <c r="T939" s="1" t="str">
        <f>IF(A939="","",COUNTIFS(Assignments!$AF:$AF,A939,Assignments!$AE:$AE, "Y",Assignments!$D:$D,"&gt;="&amp;TODAY()-30))</f>
        <v/>
      </c>
      <c r="U939" s="1" t="str">
        <f>IF(A939="","",IFERROR(S939/MAX(1,COUNTIFS(Assignments!$B:$B,A939,Assignments!$D:$D,"&gt;="&amp;TODAY()-30)),""))</f>
        <v/>
      </c>
      <c r="V939" s="1" t="str">
        <f t="shared" si="4"/>
        <v/>
      </c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 t="str">
        <f>IF(A940="","",IFERROR(AVERAGEIFS(Assignments!$AO:$AO,Assignments!$B:$B,A940,Assignments!$E:$E,"Completed"),""))</f>
        <v/>
      </c>
      <c r="L940" s="2"/>
      <c r="M940" s="2"/>
      <c r="N940" s="2"/>
      <c r="O940" s="2"/>
      <c r="P940" s="1" t="str">
        <f>IF(A940="","",MAX(0,MIN(3,SUMIFS(Strike_Log!$C:$C,Strike_Log!$B:$B,A940,Strike_Log!$A:$A,"&gt;="&amp;IF(Config!$B$1004="Y",TODAY()-Config!$B$1005,DATE(1900,1,1)),Strike_Log!$I:$I,1))))</f>
        <v/>
      </c>
      <c r="Q940" s="1"/>
      <c r="R940" s="1"/>
      <c r="S940" s="1" t="str">
        <f>IF(A940="","",COUNTIFS(Assignments!$B:$B,A940,Assignments!$AE:$AE, "Y",Assignments!$D:$D,"&gt;="&amp;TODAY()-30))</f>
        <v/>
      </c>
      <c r="T940" s="1" t="str">
        <f>IF(A940="","",COUNTIFS(Assignments!$AF:$AF,A940,Assignments!$AE:$AE, "Y",Assignments!$D:$D,"&gt;="&amp;TODAY()-30))</f>
        <v/>
      </c>
      <c r="U940" s="1" t="str">
        <f>IF(A940="","",IFERROR(S940/MAX(1,COUNTIFS(Assignments!$B:$B,A940,Assignments!$D:$D,"&gt;="&amp;TODAY()-30)),""))</f>
        <v/>
      </c>
      <c r="V940" s="1" t="str">
        <f t="shared" si="4"/>
        <v/>
      </c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 t="str">
        <f>IF(A941="","",IFERROR(AVERAGEIFS(Assignments!$AO:$AO,Assignments!$B:$B,A941,Assignments!$E:$E,"Completed"),""))</f>
        <v/>
      </c>
      <c r="L941" s="2"/>
      <c r="M941" s="2"/>
      <c r="N941" s="2"/>
      <c r="O941" s="2"/>
      <c r="P941" s="1" t="str">
        <f>IF(A941="","",MAX(0,MIN(3,SUMIFS(Strike_Log!$C:$C,Strike_Log!$B:$B,A941,Strike_Log!$A:$A,"&gt;="&amp;IF(Config!$B$1004="Y",TODAY()-Config!$B$1005,DATE(1900,1,1)),Strike_Log!$I:$I,1))))</f>
        <v/>
      </c>
      <c r="Q941" s="1"/>
      <c r="R941" s="1"/>
      <c r="S941" s="1" t="str">
        <f>IF(A941="","",COUNTIFS(Assignments!$B:$B,A941,Assignments!$AE:$AE, "Y",Assignments!$D:$D,"&gt;="&amp;TODAY()-30))</f>
        <v/>
      </c>
      <c r="T941" s="1" t="str">
        <f>IF(A941="","",COUNTIFS(Assignments!$AF:$AF,A941,Assignments!$AE:$AE, "Y",Assignments!$D:$D,"&gt;="&amp;TODAY()-30))</f>
        <v/>
      </c>
      <c r="U941" s="1" t="str">
        <f>IF(A941="","",IFERROR(S941/MAX(1,COUNTIFS(Assignments!$B:$B,A941,Assignments!$D:$D,"&gt;="&amp;TODAY()-30)),""))</f>
        <v/>
      </c>
      <c r="V941" s="1" t="str">
        <f t="shared" si="4"/>
        <v/>
      </c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 t="str">
        <f>IF(A942="","",IFERROR(AVERAGEIFS(Assignments!$AO:$AO,Assignments!$B:$B,A942,Assignments!$E:$E,"Completed"),""))</f>
        <v/>
      </c>
      <c r="L942" s="2"/>
      <c r="M942" s="2"/>
      <c r="N942" s="2"/>
      <c r="O942" s="2"/>
      <c r="P942" s="1" t="str">
        <f>IF(A942="","",MAX(0,MIN(3,SUMIFS(Strike_Log!$C:$C,Strike_Log!$B:$B,A942,Strike_Log!$A:$A,"&gt;="&amp;IF(Config!$B$1004="Y",TODAY()-Config!$B$1005,DATE(1900,1,1)),Strike_Log!$I:$I,1))))</f>
        <v/>
      </c>
      <c r="Q942" s="1"/>
      <c r="R942" s="1"/>
      <c r="S942" s="1" t="str">
        <f>IF(A942="","",COUNTIFS(Assignments!$B:$B,A942,Assignments!$AE:$AE, "Y",Assignments!$D:$D,"&gt;="&amp;TODAY()-30))</f>
        <v/>
      </c>
      <c r="T942" s="1" t="str">
        <f>IF(A942="","",COUNTIFS(Assignments!$AF:$AF,A942,Assignments!$AE:$AE, "Y",Assignments!$D:$D,"&gt;="&amp;TODAY()-30))</f>
        <v/>
      </c>
      <c r="U942" s="1" t="str">
        <f>IF(A942="","",IFERROR(S942/MAX(1,COUNTIFS(Assignments!$B:$B,A942,Assignments!$D:$D,"&gt;="&amp;TODAY()-30)),""))</f>
        <v/>
      </c>
      <c r="V942" s="1" t="str">
        <f t="shared" si="4"/>
        <v/>
      </c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 t="str">
        <f>IF(A943="","",IFERROR(AVERAGEIFS(Assignments!$AO:$AO,Assignments!$B:$B,A943,Assignments!$E:$E,"Completed"),""))</f>
        <v/>
      </c>
      <c r="L943" s="2"/>
      <c r="M943" s="2"/>
      <c r="N943" s="2"/>
      <c r="O943" s="2"/>
      <c r="P943" s="1" t="str">
        <f>IF(A943="","",MAX(0,MIN(3,SUMIFS(Strike_Log!$C:$C,Strike_Log!$B:$B,A943,Strike_Log!$A:$A,"&gt;="&amp;IF(Config!$B$1004="Y",TODAY()-Config!$B$1005,DATE(1900,1,1)),Strike_Log!$I:$I,1))))</f>
        <v/>
      </c>
      <c r="Q943" s="1"/>
      <c r="R943" s="1"/>
      <c r="S943" s="1" t="str">
        <f>IF(A943="","",COUNTIFS(Assignments!$B:$B,A943,Assignments!$AE:$AE, "Y",Assignments!$D:$D,"&gt;="&amp;TODAY()-30))</f>
        <v/>
      </c>
      <c r="T943" s="1" t="str">
        <f>IF(A943="","",COUNTIFS(Assignments!$AF:$AF,A943,Assignments!$AE:$AE, "Y",Assignments!$D:$D,"&gt;="&amp;TODAY()-30))</f>
        <v/>
      </c>
      <c r="U943" s="1" t="str">
        <f>IF(A943="","",IFERROR(S943/MAX(1,COUNTIFS(Assignments!$B:$B,A943,Assignments!$D:$D,"&gt;="&amp;TODAY()-30)),""))</f>
        <v/>
      </c>
      <c r="V943" s="1" t="str">
        <f t="shared" si="4"/>
        <v/>
      </c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 t="str">
        <f>IF(A944="","",IFERROR(AVERAGEIFS(Assignments!$AO:$AO,Assignments!$B:$B,A944,Assignments!$E:$E,"Completed"),""))</f>
        <v/>
      </c>
      <c r="L944" s="2"/>
      <c r="M944" s="2"/>
      <c r="N944" s="2"/>
      <c r="O944" s="2"/>
      <c r="P944" s="1" t="str">
        <f>IF(A944="","",MAX(0,MIN(3,SUMIFS(Strike_Log!$C:$C,Strike_Log!$B:$B,A944,Strike_Log!$A:$A,"&gt;="&amp;IF(Config!$B$1004="Y",TODAY()-Config!$B$1005,DATE(1900,1,1)),Strike_Log!$I:$I,1))))</f>
        <v/>
      </c>
      <c r="Q944" s="1"/>
      <c r="R944" s="1"/>
      <c r="S944" s="1" t="str">
        <f>IF(A944="","",COUNTIFS(Assignments!$B:$B,A944,Assignments!$AE:$AE, "Y",Assignments!$D:$D,"&gt;="&amp;TODAY()-30))</f>
        <v/>
      </c>
      <c r="T944" s="1" t="str">
        <f>IF(A944="","",COUNTIFS(Assignments!$AF:$AF,A944,Assignments!$AE:$AE, "Y",Assignments!$D:$D,"&gt;="&amp;TODAY()-30))</f>
        <v/>
      </c>
      <c r="U944" s="1" t="str">
        <f>IF(A944="","",IFERROR(S944/MAX(1,COUNTIFS(Assignments!$B:$B,A944,Assignments!$D:$D,"&gt;="&amp;TODAY()-30)),""))</f>
        <v/>
      </c>
      <c r="V944" s="1" t="str">
        <f t="shared" si="4"/>
        <v/>
      </c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 t="str">
        <f>IF(A945="","",IFERROR(AVERAGEIFS(Assignments!$AO:$AO,Assignments!$B:$B,A945,Assignments!$E:$E,"Completed"),""))</f>
        <v/>
      </c>
      <c r="L945" s="2"/>
      <c r="M945" s="2"/>
      <c r="N945" s="2"/>
      <c r="O945" s="2"/>
      <c r="P945" s="1" t="str">
        <f>IF(A945="","",MAX(0,MIN(3,SUMIFS(Strike_Log!$C:$C,Strike_Log!$B:$B,A945,Strike_Log!$A:$A,"&gt;="&amp;IF(Config!$B$1004="Y",TODAY()-Config!$B$1005,DATE(1900,1,1)),Strike_Log!$I:$I,1))))</f>
        <v/>
      </c>
      <c r="Q945" s="1"/>
      <c r="R945" s="1"/>
      <c r="S945" s="1" t="str">
        <f>IF(A945="","",COUNTIFS(Assignments!$B:$B,A945,Assignments!$AE:$AE, "Y",Assignments!$D:$D,"&gt;="&amp;TODAY()-30))</f>
        <v/>
      </c>
      <c r="T945" s="1" t="str">
        <f>IF(A945="","",COUNTIFS(Assignments!$AF:$AF,A945,Assignments!$AE:$AE, "Y",Assignments!$D:$D,"&gt;="&amp;TODAY()-30))</f>
        <v/>
      </c>
      <c r="U945" s="1" t="str">
        <f>IF(A945="","",IFERROR(S945/MAX(1,COUNTIFS(Assignments!$B:$B,A945,Assignments!$D:$D,"&gt;="&amp;TODAY()-30)),""))</f>
        <v/>
      </c>
      <c r="V945" s="1" t="str">
        <f t="shared" si="4"/>
        <v/>
      </c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 t="str">
        <f>IF(A946="","",IFERROR(AVERAGEIFS(Assignments!$AO:$AO,Assignments!$B:$B,A946,Assignments!$E:$E,"Completed"),""))</f>
        <v/>
      </c>
      <c r="L946" s="2"/>
      <c r="M946" s="2"/>
      <c r="N946" s="2"/>
      <c r="O946" s="2"/>
      <c r="P946" s="1" t="str">
        <f>IF(A946="","",MAX(0,MIN(3,SUMIFS(Strike_Log!$C:$C,Strike_Log!$B:$B,A946,Strike_Log!$A:$A,"&gt;="&amp;IF(Config!$B$1004="Y",TODAY()-Config!$B$1005,DATE(1900,1,1)),Strike_Log!$I:$I,1))))</f>
        <v/>
      </c>
      <c r="Q946" s="1"/>
      <c r="R946" s="1"/>
      <c r="S946" s="1" t="str">
        <f>IF(A946="","",COUNTIFS(Assignments!$B:$B,A946,Assignments!$AE:$AE, "Y",Assignments!$D:$D,"&gt;="&amp;TODAY()-30))</f>
        <v/>
      </c>
      <c r="T946" s="1" t="str">
        <f>IF(A946="","",COUNTIFS(Assignments!$AF:$AF,A946,Assignments!$AE:$AE, "Y",Assignments!$D:$D,"&gt;="&amp;TODAY()-30))</f>
        <v/>
      </c>
      <c r="U946" s="1" t="str">
        <f>IF(A946="","",IFERROR(S946/MAX(1,COUNTIFS(Assignments!$B:$B,A946,Assignments!$D:$D,"&gt;="&amp;TODAY()-30)),""))</f>
        <v/>
      </c>
      <c r="V946" s="1" t="str">
        <f t="shared" si="4"/>
        <v/>
      </c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 t="str">
        <f>IF(A947="","",IFERROR(AVERAGEIFS(Assignments!$AO:$AO,Assignments!$B:$B,A947,Assignments!$E:$E,"Completed"),""))</f>
        <v/>
      </c>
      <c r="L947" s="2"/>
      <c r="M947" s="2"/>
      <c r="N947" s="2"/>
      <c r="O947" s="2"/>
      <c r="P947" s="1" t="str">
        <f>IF(A947="","",MAX(0,MIN(3,SUMIFS(Strike_Log!$C:$C,Strike_Log!$B:$B,A947,Strike_Log!$A:$A,"&gt;="&amp;IF(Config!$B$1004="Y",TODAY()-Config!$B$1005,DATE(1900,1,1)),Strike_Log!$I:$I,1))))</f>
        <v/>
      </c>
      <c r="Q947" s="1"/>
      <c r="R947" s="1"/>
      <c r="S947" s="1" t="str">
        <f>IF(A947="","",COUNTIFS(Assignments!$B:$B,A947,Assignments!$AE:$AE, "Y",Assignments!$D:$D,"&gt;="&amp;TODAY()-30))</f>
        <v/>
      </c>
      <c r="T947" s="1" t="str">
        <f>IF(A947="","",COUNTIFS(Assignments!$AF:$AF,A947,Assignments!$AE:$AE, "Y",Assignments!$D:$D,"&gt;="&amp;TODAY()-30))</f>
        <v/>
      </c>
      <c r="U947" s="1" t="str">
        <f>IF(A947="","",IFERROR(S947/MAX(1,COUNTIFS(Assignments!$B:$B,A947,Assignments!$D:$D,"&gt;="&amp;TODAY()-30)),""))</f>
        <v/>
      </c>
      <c r="V947" s="1" t="str">
        <f t="shared" si="4"/>
        <v/>
      </c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 t="str">
        <f>IF(A948="","",IFERROR(AVERAGEIFS(Assignments!$AO:$AO,Assignments!$B:$B,A948,Assignments!$E:$E,"Completed"),""))</f>
        <v/>
      </c>
      <c r="L948" s="2"/>
      <c r="M948" s="2"/>
      <c r="N948" s="2"/>
      <c r="O948" s="2"/>
      <c r="P948" s="1" t="str">
        <f>IF(A948="","",MAX(0,MIN(3,SUMIFS(Strike_Log!$C:$C,Strike_Log!$B:$B,A948,Strike_Log!$A:$A,"&gt;="&amp;IF(Config!$B$1004="Y",TODAY()-Config!$B$1005,DATE(1900,1,1)),Strike_Log!$I:$I,1))))</f>
        <v/>
      </c>
      <c r="Q948" s="1"/>
      <c r="R948" s="1"/>
      <c r="S948" s="1" t="str">
        <f>IF(A948="","",COUNTIFS(Assignments!$B:$B,A948,Assignments!$AE:$AE, "Y",Assignments!$D:$D,"&gt;="&amp;TODAY()-30))</f>
        <v/>
      </c>
      <c r="T948" s="1" t="str">
        <f>IF(A948="","",COUNTIFS(Assignments!$AF:$AF,A948,Assignments!$AE:$AE, "Y",Assignments!$D:$D,"&gt;="&amp;TODAY()-30))</f>
        <v/>
      </c>
      <c r="U948" s="1" t="str">
        <f>IF(A948="","",IFERROR(S948/MAX(1,COUNTIFS(Assignments!$B:$B,A948,Assignments!$D:$D,"&gt;="&amp;TODAY()-30)),""))</f>
        <v/>
      </c>
      <c r="V948" s="1" t="str">
        <f t="shared" si="4"/>
        <v/>
      </c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 t="str">
        <f>IF(A949="","",IFERROR(AVERAGEIFS(Assignments!$AO:$AO,Assignments!$B:$B,A949,Assignments!$E:$E,"Completed"),""))</f>
        <v/>
      </c>
      <c r="L949" s="2"/>
      <c r="M949" s="2"/>
      <c r="N949" s="2"/>
      <c r="O949" s="2"/>
      <c r="P949" s="1" t="str">
        <f>IF(A949="","",MAX(0,MIN(3,SUMIFS(Strike_Log!$C:$C,Strike_Log!$B:$B,A949,Strike_Log!$A:$A,"&gt;="&amp;IF(Config!$B$1004="Y",TODAY()-Config!$B$1005,DATE(1900,1,1)),Strike_Log!$I:$I,1))))</f>
        <v/>
      </c>
      <c r="Q949" s="1"/>
      <c r="R949" s="1"/>
      <c r="S949" s="1" t="str">
        <f>IF(A949="","",COUNTIFS(Assignments!$B:$B,A949,Assignments!$AE:$AE, "Y",Assignments!$D:$D,"&gt;="&amp;TODAY()-30))</f>
        <v/>
      </c>
      <c r="T949" s="1" t="str">
        <f>IF(A949="","",COUNTIFS(Assignments!$AF:$AF,A949,Assignments!$AE:$AE, "Y",Assignments!$D:$D,"&gt;="&amp;TODAY()-30))</f>
        <v/>
      </c>
      <c r="U949" s="1" t="str">
        <f>IF(A949="","",IFERROR(S949/MAX(1,COUNTIFS(Assignments!$B:$B,A949,Assignments!$D:$D,"&gt;="&amp;TODAY()-30)),""))</f>
        <v/>
      </c>
      <c r="V949" s="1" t="str">
        <f t="shared" si="4"/>
        <v/>
      </c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 t="str">
        <f>IF(A950="","",IFERROR(AVERAGEIFS(Assignments!$AO:$AO,Assignments!$B:$B,A950,Assignments!$E:$E,"Completed"),""))</f>
        <v/>
      </c>
      <c r="L950" s="2"/>
      <c r="M950" s="2"/>
      <c r="N950" s="2"/>
      <c r="O950" s="2"/>
      <c r="P950" s="1" t="str">
        <f>IF(A950="","",MAX(0,MIN(3,SUMIFS(Strike_Log!$C:$C,Strike_Log!$B:$B,A950,Strike_Log!$A:$A,"&gt;="&amp;IF(Config!$B$1004="Y",TODAY()-Config!$B$1005,DATE(1900,1,1)),Strike_Log!$I:$I,1))))</f>
        <v/>
      </c>
      <c r="Q950" s="1"/>
      <c r="R950" s="1"/>
      <c r="S950" s="1" t="str">
        <f>IF(A950="","",COUNTIFS(Assignments!$B:$B,A950,Assignments!$AE:$AE, "Y",Assignments!$D:$D,"&gt;="&amp;TODAY()-30))</f>
        <v/>
      </c>
      <c r="T950" s="1" t="str">
        <f>IF(A950="","",COUNTIFS(Assignments!$AF:$AF,A950,Assignments!$AE:$AE, "Y",Assignments!$D:$D,"&gt;="&amp;TODAY()-30))</f>
        <v/>
      </c>
      <c r="U950" s="1" t="str">
        <f>IF(A950="","",IFERROR(S950/MAX(1,COUNTIFS(Assignments!$B:$B,A950,Assignments!$D:$D,"&gt;="&amp;TODAY()-30)),""))</f>
        <v/>
      </c>
      <c r="V950" s="1" t="str">
        <f t="shared" si="4"/>
        <v/>
      </c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 t="str">
        <f>IF(A951="","",IFERROR(AVERAGEIFS(Assignments!$AO:$AO,Assignments!$B:$B,A951,Assignments!$E:$E,"Completed"),""))</f>
        <v/>
      </c>
      <c r="L951" s="2"/>
      <c r="M951" s="2"/>
      <c r="N951" s="2"/>
      <c r="O951" s="2"/>
      <c r="P951" s="1" t="str">
        <f>IF(A951="","",MAX(0,MIN(3,SUMIFS(Strike_Log!$C:$C,Strike_Log!$B:$B,A951,Strike_Log!$A:$A,"&gt;="&amp;IF(Config!$B$1004="Y",TODAY()-Config!$B$1005,DATE(1900,1,1)),Strike_Log!$I:$I,1))))</f>
        <v/>
      </c>
      <c r="Q951" s="1"/>
      <c r="R951" s="1"/>
      <c r="S951" s="1" t="str">
        <f>IF(A951="","",COUNTIFS(Assignments!$B:$B,A951,Assignments!$AE:$AE, "Y",Assignments!$D:$D,"&gt;="&amp;TODAY()-30))</f>
        <v/>
      </c>
      <c r="T951" s="1" t="str">
        <f>IF(A951="","",COUNTIFS(Assignments!$AF:$AF,A951,Assignments!$AE:$AE, "Y",Assignments!$D:$D,"&gt;="&amp;TODAY()-30))</f>
        <v/>
      </c>
      <c r="U951" s="1" t="str">
        <f>IF(A951="","",IFERROR(S951/MAX(1,COUNTIFS(Assignments!$B:$B,A951,Assignments!$D:$D,"&gt;="&amp;TODAY()-30)),""))</f>
        <v/>
      </c>
      <c r="V951" s="1" t="str">
        <f t="shared" si="4"/>
        <v/>
      </c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 t="str">
        <f>IF(A952="","",IFERROR(AVERAGEIFS(Assignments!$AO:$AO,Assignments!$B:$B,A952,Assignments!$E:$E,"Completed"),""))</f>
        <v/>
      </c>
      <c r="L952" s="2"/>
      <c r="M952" s="2"/>
      <c r="N952" s="2"/>
      <c r="O952" s="2"/>
      <c r="P952" s="1" t="str">
        <f>IF(A952="","",MAX(0,MIN(3,SUMIFS(Strike_Log!$C:$C,Strike_Log!$B:$B,A952,Strike_Log!$A:$A,"&gt;="&amp;IF(Config!$B$1004="Y",TODAY()-Config!$B$1005,DATE(1900,1,1)),Strike_Log!$I:$I,1))))</f>
        <v/>
      </c>
      <c r="Q952" s="1"/>
      <c r="R952" s="1"/>
      <c r="S952" s="1" t="str">
        <f>IF(A952="","",COUNTIFS(Assignments!$B:$B,A952,Assignments!$AE:$AE, "Y",Assignments!$D:$D,"&gt;="&amp;TODAY()-30))</f>
        <v/>
      </c>
      <c r="T952" s="1" t="str">
        <f>IF(A952="","",COUNTIFS(Assignments!$AF:$AF,A952,Assignments!$AE:$AE, "Y",Assignments!$D:$D,"&gt;="&amp;TODAY()-30))</f>
        <v/>
      </c>
      <c r="U952" s="1" t="str">
        <f>IF(A952="","",IFERROR(S952/MAX(1,COUNTIFS(Assignments!$B:$B,A952,Assignments!$D:$D,"&gt;="&amp;TODAY()-30)),""))</f>
        <v/>
      </c>
      <c r="V952" s="1" t="str">
        <f t="shared" si="4"/>
        <v/>
      </c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 t="str">
        <f>IF(A953="","",IFERROR(AVERAGEIFS(Assignments!$AO:$AO,Assignments!$B:$B,A953,Assignments!$E:$E,"Completed"),""))</f>
        <v/>
      </c>
      <c r="L953" s="2"/>
      <c r="M953" s="2"/>
      <c r="N953" s="2"/>
      <c r="O953" s="2"/>
      <c r="P953" s="1" t="str">
        <f>IF(A953="","",MAX(0,MIN(3,SUMIFS(Strike_Log!$C:$C,Strike_Log!$B:$B,A953,Strike_Log!$A:$A,"&gt;="&amp;IF(Config!$B$1004="Y",TODAY()-Config!$B$1005,DATE(1900,1,1)),Strike_Log!$I:$I,1))))</f>
        <v/>
      </c>
      <c r="Q953" s="1"/>
      <c r="R953" s="1"/>
      <c r="S953" s="1" t="str">
        <f>IF(A953="","",COUNTIFS(Assignments!$B:$B,A953,Assignments!$AE:$AE, "Y",Assignments!$D:$D,"&gt;="&amp;TODAY()-30))</f>
        <v/>
      </c>
      <c r="T953" s="1" t="str">
        <f>IF(A953="","",COUNTIFS(Assignments!$AF:$AF,A953,Assignments!$AE:$AE, "Y",Assignments!$D:$D,"&gt;="&amp;TODAY()-30))</f>
        <v/>
      </c>
      <c r="U953" s="1" t="str">
        <f>IF(A953="","",IFERROR(S953/MAX(1,COUNTIFS(Assignments!$B:$B,A953,Assignments!$D:$D,"&gt;="&amp;TODAY()-30)),""))</f>
        <v/>
      </c>
      <c r="V953" s="1" t="str">
        <f t="shared" si="4"/>
        <v/>
      </c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 t="str">
        <f>IF(A954="","",IFERROR(AVERAGEIFS(Assignments!$AO:$AO,Assignments!$B:$B,A954,Assignments!$E:$E,"Completed"),""))</f>
        <v/>
      </c>
      <c r="L954" s="2"/>
      <c r="M954" s="2"/>
      <c r="N954" s="2"/>
      <c r="O954" s="2"/>
      <c r="P954" s="1" t="str">
        <f>IF(A954="","",MAX(0,MIN(3,SUMIFS(Strike_Log!$C:$C,Strike_Log!$B:$B,A954,Strike_Log!$A:$A,"&gt;="&amp;IF(Config!$B$1004="Y",TODAY()-Config!$B$1005,DATE(1900,1,1)),Strike_Log!$I:$I,1))))</f>
        <v/>
      </c>
      <c r="Q954" s="1"/>
      <c r="R954" s="1"/>
      <c r="S954" s="1" t="str">
        <f>IF(A954="","",COUNTIFS(Assignments!$B:$B,A954,Assignments!$AE:$AE, "Y",Assignments!$D:$D,"&gt;="&amp;TODAY()-30))</f>
        <v/>
      </c>
      <c r="T954" s="1" t="str">
        <f>IF(A954="","",COUNTIFS(Assignments!$AF:$AF,A954,Assignments!$AE:$AE, "Y",Assignments!$D:$D,"&gt;="&amp;TODAY()-30))</f>
        <v/>
      </c>
      <c r="U954" s="1" t="str">
        <f>IF(A954="","",IFERROR(S954/MAX(1,COUNTIFS(Assignments!$B:$B,A954,Assignments!$D:$D,"&gt;="&amp;TODAY()-30)),""))</f>
        <v/>
      </c>
      <c r="V954" s="1" t="str">
        <f t="shared" si="4"/>
        <v/>
      </c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 t="str">
        <f>IF(A955="","",IFERROR(AVERAGEIFS(Assignments!$AO:$AO,Assignments!$B:$B,A955,Assignments!$E:$E,"Completed"),""))</f>
        <v/>
      </c>
      <c r="L955" s="2"/>
      <c r="M955" s="2"/>
      <c r="N955" s="2"/>
      <c r="O955" s="2"/>
      <c r="P955" s="1" t="str">
        <f>IF(A955="","",MAX(0,MIN(3,SUMIFS(Strike_Log!$C:$C,Strike_Log!$B:$B,A955,Strike_Log!$A:$A,"&gt;="&amp;IF(Config!$B$1004="Y",TODAY()-Config!$B$1005,DATE(1900,1,1)),Strike_Log!$I:$I,1))))</f>
        <v/>
      </c>
      <c r="Q955" s="1"/>
      <c r="R955" s="1"/>
      <c r="S955" s="1" t="str">
        <f>IF(A955="","",COUNTIFS(Assignments!$B:$B,A955,Assignments!$AE:$AE, "Y",Assignments!$D:$D,"&gt;="&amp;TODAY()-30))</f>
        <v/>
      </c>
      <c r="T955" s="1" t="str">
        <f>IF(A955="","",COUNTIFS(Assignments!$AF:$AF,A955,Assignments!$AE:$AE, "Y",Assignments!$D:$D,"&gt;="&amp;TODAY()-30))</f>
        <v/>
      </c>
      <c r="U955" s="1" t="str">
        <f>IF(A955="","",IFERROR(S955/MAX(1,COUNTIFS(Assignments!$B:$B,A955,Assignments!$D:$D,"&gt;="&amp;TODAY()-30)),""))</f>
        <v/>
      </c>
      <c r="V955" s="1" t="str">
        <f t="shared" si="4"/>
        <v/>
      </c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 t="str">
        <f>IF(A956="","",IFERROR(AVERAGEIFS(Assignments!$AO:$AO,Assignments!$B:$B,A956,Assignments!$E:$E,"Completed"),""))</f>
        <v/>
      </c>
      <c r="L956" s="2"/>
      <c r="M956" s="2"/>
      <c r="N956" s="2"/>
      <c r="O956" s="2"/>
      <c r="P956" s="1" t="str">
        <f>IF(A956="","",MAX(0,MIN(3,SUMIFS(Strike_Log!$C:$C,Strike_Log!$B:$B,A956,Strike_Log!$A:$A,"&gt;="&amp;IF(Config!$B$1004="Y",TODAY()-Config!$B$1005,DATE(1900,1,1)),Strike_Log!$I:$I,1))))</f>
        <v/>
      </c>
      <c r="Q956" s="1"/>
      <c r="R956" s="1"/>
      <c r="S956" s="1" t="str">
        <f>IF(A956="","",COUNTIFS(Assignments!$B:$B,A956,Assignments!$AE:$AE, "Y",Assignments!$D:$D,"&gt;="&amp;TODAY()-30))</f>
        <v/>
      </c>
      <c r="T956" s="1" t="str">
        <f>IF(A956="","",COUNTIFS(Assignments!$AF:$AF,A956,Assignments!$AE:$AE, "Y",Assignments!$D:$D,"&gt;="&amp;TODAY()-30))</f>
        <v/>
      </c>
      <c r="U956" s="1" t="str">
        <f>IF(A956="","",IFERROR(S956/MAX(1,COUNTIFS(Assignments!$B:$B,A956,Assignments!$D:$D,"&gt;="&amp;TODAY()-30)),""))</f>
        <v/>
      </c>
      <c r="V956" s="1" t="str">
        <f t="shared" si="4"/>
        <v/>
      </c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 t="str">
        <f>IF(A957="","",IFERROR(AVERAGEIFS(Assignments!$AO:$AO,Assignments!$B:$B,A957,Assignments!$E:$E,"Completed"),""))</f>
        <v/>
      </c>
      <c r="L957" s="2"/>
      <c r="M957" s="2"/>
      <c r="N957" s="2"/>
      <c r="O957" s="2"/>
      <c r="P957" s="1" t="str">
        <f>IF(A957="","",MAX(0,MIN(3,SUMIFS(Strike_Log!$C:$C,Strike_Log!$B:$B,A957,Strike_Log!$A:$A,"&gt;="&amp;IF(Config!$B$1004="Y",TODAY()-Config!$B$1005,DATE(1900,1,1)),Strike_Log!$I:$I,1))))</f>
        <v/>
      </c>
      <c r="Q957" s="1"/>
      <c r="R957" s="1"/>
      <c r="S957" s="1" t="str">
        <f>IF(A957="","",COUNTIFS(Assignments!$B:$B,A957,Assignments!$AE:$AE, "Y",Assignments!$D:$D,"&gt;="&amp;TODAY()-30))</f>
        <v/>
      </c>
      <c r="T957" s="1" t="str">
        <f>IF(A957="","",COUNTIFS(Assignments!$AF:$AF,A957,Assignments!$AE:$AE, "Y",Assignments!$D:$D,"&gt;="&amp;TODAY()-30))</f>
        <v/>
      </c>
      <c r="U957" s="1" t="str">
        <f>IF(A957="","",IFERROR(S957/MAX(1,COUNTIFS(Assignments!$B:$B,A957,Assignments!$D:$D,"&gt;="&amp;TODAY()-30)),""))</f>
        <v/>
      </c>
      <c r="V957" s="1" t="str">
        <f t="shared" si="4"/>
        <v/>
      </c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 t="str">
        <f>IF(A958="","",IFERROR(AVERAGEIFS(Assignments!$AO:$AO,Assignments!$B:$B,A958,Assignments!$E:$E,"Completed"),""))</f>
        <v/>
      </c>
      <c r="L958" s="2"/>
      <c r="M958" s="2"/>
      <c r="N958" s="2"/>
      <c r="O958" s="2"/>
      <c r="P958" s="1" t="str">
        <f>IF(A958="","",MAX(0,MIN(3,SUMIFS(Strike_Log!$C:$C,Strike_Log!$B:$B,A958,Strike_Log!$A:$A,"&gt;="&amp;IF(Config!$B$1004="Y",TODAY()-Config!$B$1005,DATE(1900,1,1)),Strike_Log!$I:$I,1))))</f>
        <v/>
      </c>
      <c r="Q958" s="1"/>
      <c r="R958" s="1"/>
      <c r="S958" s="1" t="str">
        <f>IF(A958="","",COUNTIFS(Assignments!$B:$B,A958,Assignments!$AE:$AE, "Y",Assignments!$D:$D,"&gt;="&amp;TODAY()-30))</f>
        <v/>
      </c>
      <c r="T958" s="1" t="str">
        <f>IF(A958="","",COUNTIFS(Assignments!$AF:$AF,A958,Assignments!$AE:$AE, "Y",Assignments!$D:$D,"&gt;="&amp;TODAY()-30))</f>
        <v/>
      </c>
      <c r="U958" s="1" t="str">
        <f>IF(A958="","",IFERROR(S958/MAX(1,COUNTIFS(Assignments!$B:$B,A958,Assignments!$D:$D,"&gt;="&amp;TODAY()-30)),""))</f>
        <v/>
      </c>
      <c r="V958" s="1" t="str">
        <f t="shared" si="4"/>
        <v/>
      </c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 t="str">
        <f>IF(A959="","",IFERROR(AVERAGEIFS(Assignments!$AO:$AO,Assignments!$B:$B,A959,Assignments!$E:$E,"Completed"),""))</f>
        <v/>
      </c>
      <c r="L959" s="2"/>
      <c r="M959" s="2"/>
      <c r="N959" s="2"/>
      <c r="O959" s="2"/>
      <c r="P959" s="1" t="str">
        <f>IF(A959="","",MAX(0,MIN(3,SUMIFS(Strike_Log!$C:$C,Strike_Log!$B:$B,A959,Strike_Log!$A:$A,"&gt;="&amp;IF(Config!$B$1004="Y",TODAY()-Config!$B$1005,DATE(1900,1,1)),Strike_Log!$I:$I,1))))</f>
        <v/>
      </c>
      <c r="Q959" s="1"/>
      <c r="R959" s="1"/>
      <c r="S959" s="1" t="str">
        <f>IF(A959="","",COUNTIFS(Assignments!$B:$B,A959,Assignments!$AE:$AE, "Y",Assignments!$D:$D,"&gt;="&amp;TODAY()-30))</f>
        <v/>
      </c>
      <c r="T959" s="1" t="str">
        <f>IF(A959="","",COUNTIFS(Assignments!$AF:$AF,A959,Assignments!$AE:$AE, "Y",Assignments!$D:$D,"&gt;="&amp;TODAY()-30))</f>
        <v/>
      </c>
      <c r="U959" s="1" t="str">
        <f>IF(A959="","",IFERROR(S959/MAX(1,COUNTIFS(Assignments!$B:$B,A959,Assignments!$D:$D,"&gt;="&amp;TODAY()-30)),""))</f>
        <v/>
      </c>
      <c r="V959" s="1" t="str">
        <f t="shared" si="4"/>
        <v/>
      </c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 t="str">
        <f>IF(A960="","",IFERROR(AVERAGEIFS(Assignments!$AO:$AO,Assignments!$B:$B,A960,Assignments!$E:$E,"Completed"),""))</f>
        <v/>
      </c>
      <c r="L960" s="2"/>
      <c r="M960" s="2"/>
      <c r="N960" s="2"/>
      <c r="O960" s="2"/>
      <c r="P960" s="1" t="str">
        <f>IF(A960="","",MAX(0,MIN(3,SUMIFS(Strike_Log!$C:$C,Strike_Log!$B:$B,A960,Strike_Log!$A:$A,"&gt;="&amp;IF(Config!$B$1004="Y",TODAY()-Config!$B$1005,DATE(1900,1,1)),Strike_Log!$I:$I,1))))</f>
        <v/>
      </c>
      <c r="Q960" s="1"/>
      <c r="R960" s="1"/>
      <c r="S960" s="1" t="str">
        <f>IF(A960="","",COUNTIFS(Assignments!$B:$B,A960,Assignments!$AE:$AE, "Y",Assignments!$D:$D,"&gt;="&amp;TODAY()-30))</f>
        <v/>
      </c>
      <c r="T960" s="1" t="str">
        <f>IF(A960="","",COUNTIFS(Assignments!$AF:$AF,A960,Assignments!$AE:$AE, "Y",Assignments!$D:$D,"&gt;="&amp;TODAY()-30))</f>
        <v/>
      </c>
      <c r="U960" s="1" t="str">
        <f>IF(A960="","",IFERROR(S960/MAX(1,COUNTIFS(Assignments!$B:$B,A960,Assignments!$D:$D,"&gt;="&amp;TODAY()-30)),""))</f>
        <v/>
      </c>
      <c r="V960" s="1" t="str">
        <f t="shared" si="4"/>
        <v/>
      </c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 t="str">
        <f>IF(A961="","",IFERROR(AVERAGEIFS(Assignments!$AO:$AO,Assignments!$B:$B,A961,Assignments!$E:$E,"Completed"),""))</f>
        <v/>
      </c>
      <c r="L961" s="2"/>
      <c r="M961" s="2"/>
      <c r="N961" s="2"/>
      <c r="O961" s="2"/>
      <c r="P961" s="1" t="str">
        <f>IF(A961="","",MAX(0,MIN(3,SUMIFS(Strike_Log!$C:$C,Strike_Log!$B:$B,A961,Strike_Log!$A:$A,"&gt;="&amp;IF(Config!$B$1004="Y",TODAY()-Config!$B$1005,DATE(1900,1,1)),Strike_Log!$I:$I,1))))</f>
        <v/>
      </c>
      <c r="Q961" s="1"/>
      <c r="R961" s="1"/>
      <c r="S961" s="1" t="str">
        <f>IF(A961="","",COUNTIFS(Assignments!$B:$B,A961,Assignments!$AE:$AE, "Y",Assignments!$D:$D,"&gt;="&amp;TODAY()-30))</f>
        <v/>
      </c>
      <c r="T961" s="1" t="str">
        <f>IF(A961="","",COUNTIFS(Assignments!$AF:$AF,A961,Assignments!$AE:$AE, "Y",Assignments!$D:$D,"&gt;="&amp;TODAY()-30))</f>
        <v/>
      </c>
      <c r="U961" s="1" t="str">
        <f>IF(A961="","",IFERROR(S961/MAX(1,COUNTIFS(Assignments!$B:$B,A961,Assignments!$D:$D,"&gt;="&amp;TODAY()-30)),""))</f>
        <v/>
      </c>
      <c r="V961" s="1" t="str">
        <f t="shared" si="4"/>
        <v/>
      </c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 t="str">
        <f>IF(A962="","",IFERROR(AVERAGEIFS(Assignments!$AO:$AO,Assignments!$B:$B,A962,Assignments!$E:$E,"Completed"),""))</f>
        <v/>
      </c>
      <c r="L962" s="2"/>
      <c r="M962" s="2"/>
      <c r="N962" s="2"/>
      <c r="O962" s="2"/>
      <c r="P962" s="1" t="str">
        <f>IF(A962="","",MAX(0,MIN(3,SUMIFS(Strike_Log!$C:$C,Strike_Log!$B:$B,A962,Strike_Log!$A:$A,"&gt;="&amp;IF(Config!$B$1004="Y",TODAY()-Config!$B$1005,DATE(1900,1,1)),Strike_Log!$I:$I,1))))</f>
        <v/>
      </c>
      <c r="Q962" s="1"/>
      <c r="R962" s="1"/>
      <c r="S962" s="1" t="str">
        <f>IF(A962="","",COUNTIFS(Assignments!$B:$B,A962,Assignments!$AE:$AE, "Y",Assignments!$D:$D,"&gt;="&amp;TODAY()-30))</f>
        <v/>
      </c>
      <c r="T962" s="1" t="str">
        <f>IF(A962="","",COUNTIFS(Assignments!$AF:$AF,A962,Assignments!$AE:$AE, "Y",Assignments!$D:$D,"&gt;="&amp;TODAY()-30))</f>
        <v/>
      </c>
      <c r="U962" s="1" t="str">
        <f>IF(A962="","",IFERROR(S962/MAX(1,COUNTIFS(Assignments!$B:$B,A962,Assignments!$D:$D,"&gt;="&amp;TODAY()-30)),""))</f>
        <v/>
      </c>
      <c r="V962" s="1" t="str">
        <f t="shared" si="4"/>
        <v/>
      </c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 t="str">
        <f>IF(A963="","",IFERROR(AVERAGEIFS(Assignments!$AO:$AO,Assignments!$B:$B,A963,Assignments!$E:$E,"Completed"),""))</f>
        <v/>
      </c>
      <c r="L963" s="2"/>
      <c r="M963" s="2"/>
      <c r="N963" s="2"/>
      <c r="O963" s="2"/>
      <c r="P963" s="1" t="str">
        <f>IF(A963="","",MAX(0,MIN(3,SUMIFS(Strike_Log!$C:$C,Strike_Log!$B:$B,A963,Strike_Log!$A:$A,"&gt;="&amp;IF(Config!$B$1004="Y",TODAY()-Config!$B$1005,DATE(1900,1,1)),Strike_Log!$I:$I,1))))</f>
        <v/>
      </c>
      <c r="Q963" s="1"/>
      <c r="R963" s="1"/>
      <c r="S963" s="1" t="str">
        <f>IF(A963="","",COUNTIFS(Assignments!$B:$B,A963,Assignments!$AE:$AE, "Y",Assignments!$D:$D,"&gt;="&amp;TODAY()-30))</f>
        <v/>
      </c>
      <c r="T963" s="1" t="str">
        <f>IF(A963="","",COUNTIFS(Assignments!$AF:$AF,A963,Assignments!$AE:$AE, "Y",Assignments!$D:$D,"&gt;="&amp;TODAY()-30))</f>
        <v/>
      </c>
      <c r="U963" s="1" t="str">
        <f>IF(A963="","",IFERROR(S963/MAX(1,COUNTIFS(Assignments!$B:$B,A963,Assignments!$D:$D,"&gt;="&amp;TODAY()-30)),""))</f>
        <v/>
      </c>
      <c r="V963" s="1" t="str">
        <f t="shared" si="4"/>
        <v/>
      </c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 t="str">
        <f>IF(A964="","",IFERROR(AVERAGEIFS(Assignments!$AO:$AO,Assignments!$B:$B,A964,Assignments!$E:$E,"Completed"),""))</f>
        <v/>
      </c>
      <c r="L964" s="2"/>
      <c r="M964" s="2"/>
      <c r="N964" s="2"/>
      <c r="O964" s="2"/>
      <c r="P964" s="1" t="str">
        <f>IF(A964="","",MAX(0,MIN(3,SUMIFS(Strike_Log!$C:$C,Strike_Log!$B:$B,A964,Strike_Log!$A:$A,"&gt;="&amp;IF(Config!$B$1004="Y",TODAY()-Config!$B$1005,DATE(1900,1,1)),Strike_Log!$I:$I,1))))</f>
        <v/>
      </c>
      <c r="Q964" s="1"/>
      <c r="R964" s="1"/>
      <c r="S964" s="1" t="str">
        <f>IF(A964="","",COUNTIFS(Assignments!$B:$B,A964,Assignments!$AE:$AE, "Y",Assignments!$D:$D,"&gt;="&amp;TODAY()-30))</f>
        <v/>
      </c>
      <c r="T964" s="1" t="str">
        <f>IF(A964="","",COUNTIFS(Assignments!$AF:$AF,A964,Assignments!$AE:$AE, "Y",Assignments!$D:$D,"&gt;="&amp;TODAY()-30))</f>
        <v/>
      </c>
      <c r="U964" s="1" t="str">
        <f>IF(A964="","",IFERROR(S964/MAX(1,COUNTIFS(Assignments!$B:$B,A964,Assignments!$D:$D,"&gt;="&amp;TODAY()-30)),""))</f>
        <v/>
      </c>
      <c r="V964" s="1" t="str">
        <f t="shared" si="4"/>
        <v/>
      </c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 t="str">
        <f>IF(A965="","",IFERROR(AVERAGEIFS(Assignments!$AO:$AO,Assignments!$B:$B,A965,Assignments!$E:$E,"Completed"),""))</f>
        <v/>
      </c>
      <c r="L965" s="2"/>
      <c r="M965" s="2"/>
      <c r="N965" s="2"/>
      <c r="O965" s="2"/>
      <c r="P965" s="1" t="str">
        <f>IF(A965="","",MAX(0,MIN(3,SUMIFS(Strike_Log!$C:$C,Strike_Log!$B:$B,A965,Strike_Log!$A:$A,"&gt;="&amp;IF(Config!$B$1004="Y",TODAY()-Config!$B$1005,DATE(1900,1,1)),Strike_Log!$I:$I,1))))</f>
        <v/>
      </c>
      <c r="Q965" s="1"/>
      <c r="R965" s="1"/>
      <c r="S965" s="1" t="str">
        <f>IF(A965="","",COUNTIFS(Assignments!$B:$B,A965,Assignments!$AE:$AE, "Y",Assignments!$D:$D,"&gt;="&amp;TODAY()-30))</f>
        <v/>
      </c>
      <c r="T965" s="1" t="str">
        <f>IF(A965="","",COUNTIFS(Assignments!$AF:$AF,A965,Assignments!$AE:$AE, "Y",Assignments!$D:$D,"&gt;="&amp;TODAY()-30))</f>
        <v/>
      </c>
      <c r="U965" s="1" t="str">
        <f>IF(A965="","",IFERROR(S965/MAX(1,COUNTIFS(Assignments!$B:$B,A965,Assignments!$D:$D,"&gt;="&amp;TODAY()-30)),""))</f>
        <v/>
      </c>
      <c r="V965" s="1" t="str">
        <f t="shared" si="4"/>
        <v/>
      </c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 t="str">
        <f>IF(A966="","",IFERROR(AVERAGEIFS(Assignments!$AO:$AO,Assignments!$B:$B,A966,Assignments!$E:$E,"Completed"),""))</f>
        <v/>
      </c>
      <c r="L966" s="2"/>
      <c r="M966" s="2"/>
      <c r="N966" s="2"/>
      <c r="O966" s="2"/>
      <c r="P966" s="1" t="str">
        <f>IF(A966="","",MAX(0,MIN(3,SUMIFS(Strike_Log!$C:$C,Strike_Log!$B:$B,A966,Strike_Log!$A:$A,"&gt;="&amp;IF(Config!$B$1004="Y",TODAY()-Config!$B$1005,DATE(1900,1,1)),Strike_Log!$I:$I,1))))</f>
        <v/>
      </c>
      <c r="Q966" s="1"/>
      <c r="R966" s="1"/>
      <c r="S966" s="1" t="str">
        <f>IF(A966="","",COUNTIFS(Assignments!$B:$B,A966,Assignments!$AE:$AE, "Y",Assignments!$D:$D,"&gt;="&amp;TODAY()-30))</f>
        <v/>
      </c>
      <c r="T966" s="1" t="str">
        <f>IF(A966="","",COUNTIFS(Assignments!$AF:$AF,A966,Assignments!$AE:$AE, "Y",Assignments!$D:$D,"&gt;="&amp;TODAY()-30))</f>
        <v/>
      </c>
      <c r="U966" s="1" t="str">
        <f>IF(A966="","",IFERROR(S966/MAX(1,COUNTIFS(Assignments!$B:$B,A966,Assignments!$D:$D,"&gt;="&amp;TODAY()-30)),""))</f>
        <v/>
      </c>
      <c r="V966" s="1" t="str">
        <f t="shared" si="4"/>
        <v/>
      </c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 t="str">
        <f>IF(A967="","",IFERROR(AVERAGEIFS(Assignments!$AO:$AO,Assignments!$B:$B,A967,Assignments!$E:$E,"Completed"),""))</f>
        <v/>
      </c>
      <c r="L967" s="2"/>
      <c r="M967" s="2"/>
      <c r="N967" s="2"/>
      <c r="O967" s="2"/>
      <c r="P967" s="1" t="str">
        <f>IF(A967="","",MAX(0,MIN(3,SUMIFS(Strike_Log!$C:$C,Strike_Log!$B:$B,A967,Strike_Log!$A:$A,"&gt;="&amp;IF(Config!$B$1004="Y",TODAY()-Config!$B$1005,DATE(1900,1,1)),Strike_Log!$I:$I,1))))</f>
        <v/>
      </c>
      <c r="Q967" s="1"/>
      <c r="R967" s="1"/>
      <c r="S967" s="1" t="str">
        <f>IF(A967="","",COUNTIFS(Assignments!$B:$B,A967,Assignments!$AE:$AE, "Y",Assignments!$D:$D,"&gt;="&amp;TODAY()-30))</f>
        <v/>
      </c>
      <c r="T967" s="1" t="str">
        <f>IF(A967="","",COUNTIFS(Assignments!$AF:$AF,A967,Assignments!$AE:$AE, "Y",Assignments!$D:$D,"&gt;="&amp;TODAY()-30))</f>
        <v/>
      </c>
      <c r="U967" s="1" t="str">
        <f>IF(A967="","",IFERROR(S967/MAX(1,COUNTIFS(Assignments!$B:$B,A967,Assignments!$D:$D,"&gt;="&amp;TODAY()-30)),""))</f>
        <v/>
      </c>
      <c r="V967" s="1" t="str">
        <f t="shared" si="4"/>
        <v/>
      </c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 t="str">
        <f>IF(A968="","",IFERROR(AVERAGEIFS(Assignments!$AO:$AO,Assignments!$B:$B,A968,Assignments!$E:$E,"Completed"),""))</f>
        <v/>
      </c>
      <c r="L968" s="2"/>
      <c r="M968" s="2"/>
      <c r="N968" s="2"/>
      <c r="O968" s="2"/>
      <c r="P968" s="1" t="str">
        <f>IF(A968="","",MAX(0,MIN(3,SUMIFS(Strike_Log!$C:$C,Strike_Log!$B:$B,A968,Strike_Log!$A:$A,"&gt;="&amp;IF(Config!$B$1004="Y",TODAY()-Config!$B$1005,DATE(1900,1,1)),Strike_Log!$I:$I,1))))</f>
        <v/>
      </c>
      <c r="Q968" s="1"/>
      <c r="R968" s="1"/>
      <c r="S968" s="1" t="str">
        <f>IF(A968="","",COUNTIFS(Assignments!$B:$B,A968,Assignments!$AE:$AE, "Y",Assignments!$D:$D,"&gt;="&amp;TODAY()-30))</f>
        <v/>
      </c>
      <c r="T968" s="1" t="str">
        <f>IF(A968="","",COUNTIFS(Assignments!$AF:$AF,A968,Assignments!$AE:$AE, "Y",Assignments!$D:$D,"&gt;="&amp;TODAY()-30))</f>
        <v/>
      </c>
      <c r="U968" s="1" t="str">
        <f>IF(A968="","",IFERROR(S968/MAX(1,COUNTIFS(Assignments!$B:$B,A968,Assignments!$D:$D,"&gt;="&amp;TODAY()-30)),""))</f>
        <v/>
      </c>
      <c r="V968" s="1" t="str">
        <f t="shared" si="4"/>
        <v/>
      </c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 t="str">
        <f>IF(A969="","",IFERROR(AVERAGEIFS(Assignments!$AO:$AO,Assignments!$B:$B,A969,Assignments!$E:$E,"Completed"),""))</f>
        <v/>
      </c>
      <c r="L969" s="2"/>
      <c r="M969" s="2"/>
      <c r="N969" s="2"/>
      <c r="O969" s="2"/>
      <c r="P969" s="1" t="str">
        <f>IF(A969="","",MAX(0,MIN(3,SUMIFS(Strike_Log!$C:$C,Strike_Log!$B:$B,A969,Strike_Log!$A:$A,"&gt;="&amp;IF(Config!$B$1004="Y",TODAY()-Config!$B$1005,DATE(1900,1,1)),Strike_Log!$I:$I,1))))</f>
        <v/>
      </c>
      <c r="Q969" s="1"/>
      <c r="R969" s="1"/>
      <c r="S969" s="1" t="str">
        <f>IF(A969="","",COUNTIFS(Assignments!$B:$B,A969,Assignments!$AE:$AE, "Y",Assignments!$D:$D,"&gt;="&amp;TODAY()-30))</f>
        <v/>
      </c>
      <c r="T969" s="1" t="str">
        <f>IF(A969="","",COUNTIFS(Assignments!$AF:$AF,A969,Assignments!$AE:$AE, "Y",Assignments!$D:$D,"&gt;="&amp;TODAY()-30))</f>
        <v/>
      </c>
      <c r="U969" s="1" t="str">
        <f>IF(A969="","",IFERROR(S969/MAX(1,COUNTIFS(Assignments!$B:$B,A969,Assignments!$D:$D,"&gt;="&amp;TODAY()-30)),""))</f>
        <v/>
      </c>
      <c r="V969" s="1" t="str">
        <f t="shared" si="4"/>
        <v/>
      </c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 t="str">
        <f>IF(A970="","",IFERROR(AVERAGEIFS(Assignments!$AO:$AO,Assignments!$B:$B,A970,Assignments!$E:$E,"Completed"),""))</f>
        <v/>
      </c>
      <c r="L970" s="2"/>
      <c r="M970" s="2"/>
      <c r="N970" s="2"/>
      <c r="O970" s="2"/>
      <c r="P970" s="1" t="str">
        <f>IF(A970="","",MAX(0,MIN(3,SUMIFS(Strike_Log!$C:$C,Strike_Log!$B:$B,A970,Strike_Log!$A:$A,"&gt;="&amp;IF(Config!$B$1004="Y",TODAY()-Config!$B$1005,DATE(1900,1,1)),Strike_Log!$I:$I,1))))</f>
        <v/>
      </c>
      <c r="Q970" s="1"/>
      <c r="R970" s="1"/>
      <c r="S970" s="1" t="str">
        <f>IF(A970="","",COUNTIFS(Assignments!$B:$B,A970,Assignments!$AE:$AE, "Y",Assignments!$D:$D,"&gt;="&amp;TODAY()-30))</f>
        <v/>
      </c>
      <c r="T970" s="1" t="str">
        <f>IF(A970="","",COUNTIFS(Assignments!$AF:$AF,A970,Assignments!$AE:$AE, "Y",Assignments!$D:$D,"&gt;="&amp;TODAY()-30))</f>
        <v/>
      </c>
      <c r="U970" s="1" t="str">
        <f>IF(A970="","",IFERROR(S970/MAX(1,COUNTIFS(Assignments!$B:$B,A970,Assignments!$D:$D,"&gt;="&amp;TODAY()-30)),""))</f>
        <v/>
      </c>
      <c r="V970" s="1" t="str">
        <f t="shared" si="4"/>
        <v/>
      </c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 t="str">
        <f>IF(A971="","",IFERROR(AVERAGEIFS(Assignments!$AO:$AO,Assignments!$B:$B,A971,Assignments!$E:$E,"Completed"),""))</f>
        <v/>
      </c>
      <c r="L971" s="2"/>
      <c r="M971" s="2"/>
      <c r="N971" s="2"/>
      <c r="O971" s="2"/>
      <c r="P971" s="1" t="str">
        <f>IF(A971="","",MAX(0,MIN(3,SUMIFS(Strike_Log!$C:$C,Strike_Log!$B:$B,A971,Strike_Log!$A:$A,"&gt;="&amp;IF(Config!$B$1004="Y",TODAY()-Config!$B$1005,DATE(1900,1,1)),Strike_Log!$I:$I,1))))</f>
        <v/>
      </c>
      <c r="Q971" s="1"/>
      <c r="R971" s="1"/>
      <c r="S971" s="1" t="str">
        <f>IF(A971="","",COUNTIFS(Assignments!$B:$B,A971,Assignments!$AE:$AE, "Y",Assignments!$D:$D,"&gt;="&amp;TODAY()-30))</f>
        <v/>
      </c>
      <c r="T971" s="1" t="str">
        <f>IF(A971="","",COUNTIFS(Assignments!$AF:$AF,A971,Assignments!$AE:$AE, "Y",Assignments!$D:$D,"&gt;="&amp;TODAY()-30))</f>
        <v/>
      </c>
      <c r="U971" s="1" t="str">
        <f>IF(A971="","",IFERROR(S971/MAX(1,COUNTIFS(Assignments!$B:$B,A971,Assignments!$D:$D,"&gt;="&amp;TODAY()-30)),""))</f>
        <v/>
      </c>
      <c r="V971" s="1" t="str">
        <f t="shared" si="4"/>
        <v/>
      </c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 t="str">
        <f>IF(A972="","",IFERROR(AVERAGEIFS(Assignments!$AO:$AO,Assignments!$B:$B,A972,Assignments!$E:$E,"Completed"),""))</f>
        <v/>
      </c>
      <c r="L972" s="2"/>
      <c r="M972" s="2"/>
      <c r="N972" s="2"/>
      <c r="O972" s="2"/>
      <c r="P972" s="1" t="str">
        <f>IF(A972="","",MAX(0,MIN(3,SUMIFS(Strike_Log!$C:$C,Strike_Log!$B:$B,A972,Strike_Log!$A:$A,"&gt;="&amp;IF(Config!$B$1004="Y",TODAY()-Config!$B$1005,DATE(1900,1,1)),Strike_Log!$I:$I,1))))</f>
        <v/>
      </c>
      <c r="Q972" s="1"/>
      <c r="R972" s="1"/>
      <c r="S972" s="1" t="str">
        <f>IF(A972="","",COUNTIFS(Assignments!$B:$B,A972,Assignments!$AE:$AE, "Y",Assignments!$D:$D,"&gt;="&amp;TODAY()-30))</f>
        <v/>
      </c>
      <c r="T972" s="1" t="str">
        <f>IF(A972="","",COUNTIFS(Assignments!$AF:$AF,A972,Assignments!$AE:$AE, "Y",Assignments!$D:$D,"&gt;="&amp;TODAY()-30))</f>
        <v/>
      </c>
      <c r="U972" s="1" t="str">
        <f>IF(A972="","",IFERROR(S972/MAX(1,COUNTIFS(Assignments!$B:$B,A972,Assignments!$D:$D,"&gt;="&amp;TODAY()-30)),""))</f>
        <v/>
      </c>
      <c r="V972" s="1" t="str">
        <f t="shared" si="4"/>
        <v/>
      </c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 t="str">
        <f>IF(A973="","",IFERROR(AVERAGEIFS(Assignments!$AO:$AO,Assignments!$B:$B,A973,Assignments!$E:$E,"Completed"),""))</f>
        <v/>
      </c>
      <c r="L973" s="2"/>
      <c r="M973" s="2"/>
      <c r="N973" s="2"/>
      <c r="O973" s="2"/>
      <c r="P973" s="1" t="str">
        <f>IF(A973="","",MAX(0,MIN(3,SUMIFS(Strike_Log!$C:$C,Strike_Log!$B:$B,A973,Strike_Log!$A:$A,"&gt;="&amp;IF(Config!$B$1004="Y",TODAY()-Config!$B$1005,DATE(1900,1,1)),Strike_Log!$I:$I,1))))</f>
        <v/>
      </c>
      <c r="Q973" s="1"/>
      <c r="R973" s="1"/>
      <c r="S973" s="1" t="str">
        <f>IF(A973="","",COUNTIFS(Assignments!$B:$B,A973,Assignments!$AE:$AE, "Y",Assignments!$D:$D,"&gt;="&amp;TODAY()-30))</f>
        <v/>
      </c>
      <c r="T973" s="1" t="str">
        <f>IF(A973="","",COUNTIFS(Assignments!$AF:$AF,A973,Assignments!$AE:$AE, "Y",Assignments!$D:$D,"&gt;="&amp;TODAY()-30))</f>
        <v/>
      </c>
      <c r="U973" s="1" t="str">
        <f>IF(A973="","",IFERROR(S973/MAX(1,COUNTIFS(Assignments!$B:$B,A973,Assignments!$D:$D,"&gt;="&amp;TODAY()-30)),""))</f>
        <v/>
      </c>
      <c r="V973" s="1" t="str">
        <f t="shared" si="4"/>
        <v/>
      </c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 t="str">
        <f>IF(A974="","",IFERROR(AVERAGEIFS(Assignments!$AO:$AO,Assignments!$B:$B,A974,Assignments!$E:$E,"Completed"),""))</f>
        <v/>
      </c>
      <c r="L974" s="2"/>
      <c r="M974" s="2"/>
      <c r="N974" s="2"/>
      <c r="O974" s="2"/>
      <c r="P974" s="1" t="str">
        <f>IF(A974="","",MAX(0,MIN(3,SUMIFS(Strike_Log!$C:$C,Strike_Log!$B:$B,A974,Strike_Log!$A:$A,"&gt;="&amp;IF(Config!$B$1004="Y",TODAY()-Config!$B$1005,DATE(1900,1,1)),Strike_Log!$I:$I,1))))</f>
        <v/>
      </c>
      <c r="Q974" s="1"/>
      <c r="R974" s="1"/>
      <c r="S974" s="1" t="str">
        <f>IF(A974="","",COUNTIFS(Assignments!$B:$B,A974,Assignments!$AE:$AE, "Y",Assignments!$D:$D,"&gt;="&amp;TODAY()-30))</f>
        <v/>
      </c>
      <c r="T974" s="1" t="str">
        <f>IF(A974="","",COUNTIFS(Assignments!$AF:$AF,A974,Assignments!$AE:$AE, "Y",Assignments!$D:$D,"&gt;="&amp;TODAY()-30))</f>
        <v/>
      </c>
      <c r="U974" s="1" t="str">
        <f>IF(A974="","",IFERROR(S974/MAX(1,COUNTIFS(Assignments!$B:$B,A974,Assignments!$D:$D,"&gt;="&amp;TODAY()-30)),""))</f>
        <v/>
      </c>
      <c r="V974" s="1" t="str">
        <f t="shared" si="4"/>
        <v/>
      </c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 t="str">
        <f>IF(A975="","",IFERROR(AVERAGEIFS(Assignments!$AO:$AO,Assignments!$B:$B,A975,Assignments!$E:$E,"Completed"),""))</f>
        <v/>
      </c>
      <c r="L975" s="2"/>
      <c r="M975" s="2"/>
      <c r="N975" s="2"/>
      <c r="O975" s="2"/>
      <c r="P975" s="1" t="str">
        <f>IF(A975="","",MAX(0,MIN(3,SUMIFS(Strike_Log!$C:$C,Strike_Log!$B:$B,A975,Strike_Log!$A:$A,"&gt;="&amp;IF(Config!$B$1004="Y",TODAY()-Config!$B$1005,DATE(1900,1,1)),Strike_Log!$I:$I,1))))</f>
        <v/>
      </c>
      <c r="Q975" s="1"/>
      <c r="R975" s="1"/>
      <c r="S975" s="1" t="str">
        <f>IF(A975="","",COUNTIFS(Assignments!$B:$B,A975,Assignments!$AE:$AE, "Y",Assignments!$D:$D,"&gt;="&amp;TODAY()-30))</f>
        <v/>
      </c>
      <c r="T975" s="1" t="str">
        <f>IF(A975="","",COUNTIFS(Assignments!$AF:$AF,A975,Assignments!$AE:$AE, "Y",Assignments!$D:$D,"&gt;="&amp;TODAY()-30))</f>
        <v/>
      </c>
      <c r="U975" s="1" t="str">
        <f>IF(A975="","",IFERROR(S975/MAX(1,COUNTIFS(Assignments!$B:$B,A975,Assignments!$D:$D,"&gt;="&amp;TODAY()-30)),""))</f>
        <v/>
      </c>
      <c r="V975" s="1" t="str">
        <f t="shared" si="4"/>
        <v/>
      </c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 t="str">
        <f>IF(A976="","",IFERROR(AVERAGEIFS(Assignments!$AO:$AO,Assignments!$B:$B,A976,Assignments!$E:$E,"Completed"),""))</f>
        <v/>
      </c>
      <c r="L976" s="2"/>
      <c r="M976" s="2"/>
      <c r="N976" s="2"/>
      <c r="O976" s="2"/>
      <c r="P976" s="1" t="str">
        <f>IF(A976="","",MAX(0,MIN(3,SUMIFS(Strike_Log!$C:$C,Strike_Log!$B:$B,A976,Strike_Log!$A:$A,"&gt;="&amp;IF(Config!$B$1004="Y",TODAY()-Config!$B$1005,DATE(1900,1,1)),Strike_Log!$I:$I,1))))</f>
        <v/>
      </c>
      <c r="Q976" s="1"/>
      <c r="R976" s="1"/>
      <c r="S976" s="1" t="str">
        <f>IF(A976="","",COUNTIFS(Assignments!$B:$B,A976,Assignments!$AE:$AE, "Y",Assignments!$D:$D,"&gt;="&amp;TODAY()-30))</f>
        <v/>
      </c>
      <c r="T976" s="1" t="str">
        <f>IF(A976="","",COUNTIFS(Assignments!$AF:$AF,A976,Assignments!$AE:$AE, "Y",Assignments!$D:$D,"&gt;="&amp;TODAY()-30))</f>
        <v/>
      </c>
      <c r="U976" s="1" t="str">
        <f>IF(A976="","",IFERROR(S976/MAX(1,COUNTIFS(Assignments!$B:$B,A976,Assignments!$D:$D,"&gt;="&amp;TODAY()-30)),""))</f>
        <v/>
      </c>
      <c r="V976" s="1" t="str">
        <f t="shared" si="4"/>
        <v/>
      </c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 t="str">
        <f>IF(A977="","",IFERROR(AVERAGEIFS(Assignments!$AO:$AO,Assignments!$B:$B,A977,Assignments!$E:$E,"Completed"),""))</f>
        <v/>
      </c>
      <c r="L977" s="2"/>
      <c r="M977" s="2"/>
      <c r="N977" s="2"/>
      <c r="O977" s="2"/>
      <c r="P977" s="1" t="str">
        <f>IF(A977="","",MAX(0,MIN(3,SUMIFS(Strike_Log!$C:$C,Strike_Log!$B:$B,A977,Strike_Log!$A:$A,"&gt;="&amp;IF(Config!$B$1004="Y",TODAY()-Config!$B$1005,DATE(1900,1,1)),Strike_Log!$I:$I,1))))</f>
        <v/>
      </c>
      <c r="Q977" s="1"/>
      <c r="R977" s="1"/>
      <c r="S977" s="1" t="str">
        <f>IF(A977="","",COUNTIFS(Assignments!$B:$B,A977,Assignments!$AE:$AE, "Y",Assignments!$D:$D,"&gt;="&amp;TODAY()-30))</f>
        <v/>
      </c>
      <c r="T977" s="1" t="str">
        <f>IF(A977="","",COUNTIFS(Assignments!$AF:$AF,A977,Assignments!$AE:$AE, "Y",Assignments!$D:$D,"&gt;="&amp;TODAY()-30))</f>
        <v/>
      </c>
      <c r="U977" s="1" t="str">
        <f>IF(A977="","",IFERROR(S977/MAX(1,COUNTIFS(Assignments!$B:$B,A977,Assignments!$D:$D,"&gt;="&amp;TODAY()-30)),""))</f>
        <v/>
      </c>
      <c r="V977" s="1" t="str">
        <f t="shared" si="4"/>
        <v/>
      </c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 t="str">
        <f>IF(A978="","",IFERROR(AVERAGEIFS(Assignments!$AO:$AO,Assignments!$B:$B,A978,Assignments!$E:$E,"Completed"),""))</f>
        <v/>
      </c>
      <c r="L978" s="2"/>
      <c r="M978" s="2"/>
      <c r="N978" s="2"/>
      <c r="O978" s="2"/>
      <c r="P978" s="1" t="str">
        <f>IF(A978="","",MAX(0,MIN(3,SUMIFS(Strike_Log!$C:$C,Strike_Log!$B:$B,A978,Strike_Log!$A:$A,"&gt;="&amp;IF(Config!$B$1004="Y",TODAY()-Config!$B$1005,DATE(1900,1,1)),Strike_Log!$I:$I,1))))</f>
        <v/>
      </c>
      <c r="Q978" s="1"/>
      <c r="R978" s="1"/>
      <c r="S978" s="1" t="str">
        <f>IF(A978="","",COUNTIFS(Assignments!$B:$B,A978,Assignments!$AE:$AE, "Y",Assignments!$D:$D,"&gt;="&amp;TODAY()-30))</f>
        <v/>
      </c>
      <c r="T978" s="1" t="str">
        <f>IF(A978="","",COUNTIFS(Assignments!$AF:$AF,A978,Assignments!$AE:$AE, "Y",Assignments!$D:$D,"&gt;="&amp;TODAY()-30))</f>
        <v/>
      </c>
      <c r="U978" s="1" t="str">
        <f>IF(A978="","",IFERROR(S978/MAX(1,COUNTIFS(Assignments!$B:$B,A978,Assignments!$D:$D,"&gt;="&amp;TODAY()-30)),""))</f>
        <v/>
      </c>
      <c r="V978" s="1" t="str">
        <f t="shared" si="4"/>
        <v/>
      </c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 t="str">
        <f>IF(A979="","",IFERROR(AVERAGEIFS(Assignments!$AO:$AO,Assignments!$B:$B,A979,Assignments!$E:$E,"Completed"),""))</f>
        <v/>
      </c>
      <c r="L979" s="2"/>
      <c r="M979" s="2"/>
      <c r="N979" s="2"/>
      <c r="O979" s="2"/>
      <c r="P979" s="1" t="str">
        <f>IF(A979="","",MAX(0,MIN(3,SUMIFS(Strike_Log!$C:$C,Strike_Log!$B:$B,A979,Strike_Log!$A:$A,"&gt;="&amp;IF(Config!$B$1004="Y",TODAY()-Config!$B$1005,DATE(1900,1,1)),Strike_Log!$I:$I,1))))</f>
        <v/>
      </c>
      <c r="Q979" s="1"/>
      <c r="R979" s="1"/>
      <c r="S979" s="1" t="str">
        <f>IF(A979="","",COUNTIFS(Assignments!$B:$B,A979,Assignments!$AE:$AE, "Y",Assignments!$D:$D,"&gt;="&amp;TODAY()-30))</f>
        <v/>
      </c>
      <c r="T979" s="1" t="str">
        <f>IF(A979="","",COUNTIFS(Assignments!$AF:$AF,A979,Assignments!$AE:$AE, "Y",Assignments!$D:$D,"&gt;="&amp;TODAY()-30))</f>
        <v/>
      </c>
      <c r="U979" s="1" t="str">
        <f>IF(A979="","",IFERROR(S979/MAX(1,COUNTIFS(Assignments!$B:$B,A979,Assignments!$D:$D,"&gt;="&amp;TODAY()-30)),""))</f>
        <v/>
      </c>
      <c r="V979" s="1" t="str">
        <f t="shared" si="4"/>
        <v/>
      </c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 t="str">
        <f>IF(A980="","",IFERROR(AVERAGEIFS(Assignments!$AO:$AO,Assignments!$B:$B,A980,Assignments!$E:$E,"Completed"),""))</f>
        <v/>
      </c>
      <c r="L980" s="2"/>
      <c r="M980" s="2"/>
      <c r="N980" s="2"/>
      <c r="O980" s="2"/>
      <c r="P980" s="1" t="str">
        <f>IF(A980="","",MAX(0,MIN(3,SUMIFS(Strike_Log!$C:$C,Strike_Log!$B:$B,A980,Strike_Log!$A:$A,"&gt;="&amp;IF(Config!$B$1004="Y",TODAY()-Config!$B$1005,DATE(1900,1,1)),Strike_Log!$I:$I,1))))</f>
        <v/>
      </c>
      <c r="Q980" s="1"/>
      <c r="R980" s="1"/>
      <c r="S980" s="1" t="str">
        <f>IF(A980="","",COUNTIFS(Assignments!$B:$B,A980,Assignments!$AE:$AE, "Y",Assignments!$D:$D,"&gt;="&amp;TODAY()-30))</f>
        <v/>
      </c>
      <c r="T980" s="1" t="str">
        <f>IF(A980="","",COUNTIFS(Assignments!$AF:$AF,A980,Assignments!$AE:$AE, "Y",Assignments!$D:$D,"&gt;="&amp;TODAY()-30))</f>
        <v/>
      </c>
      <c r="U980" s="1" t="str">
        <f>IF(A980="","",IFERROR(S980/MAX(1,COUNTIFS(Assignments!$B:$B,A980,Assignments!$D:$D,"&gt;="&amp;TODAY()-30)),""))</f>
        <v/>
      </c>
      <c r="V980" s="1" t="str">
        <f t="shared" si="4"/>
        <v/>
      </c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 t="str">
        <f>IF(A981="","",IFERROR(AVERAGEIFS(Assignments!$AO:$AO,Assignments!$B:$B,A981,Assignments!$E:$E,"Completed"),""))</f>
        <v/>
      </c>
      <c r="L981" s="2"/>
      <c r="M981" s="2"/>
      <c r="N981" s="2"/>
      <c r="O981" s="2"/>
      <c r="P981" s="1" t="str">
        <f>IF(A981="","",MAX(0,MIN(3,SUMIFS(Strike_Log!$C:$C,Strike_Log!$B:$B,A981,Strike_Log!$A:$A,"&gt;="&amp;IF(Config!$B$1004="Y",TODAY()-Config!$B$1005,DATE(1900,1,1)),Strike_Log!$I:$I,1))))</f>
        <v/>
      </c>
      <c r="Q981" s="1"/>
      <c r="R981" s="1"/>
      <c r="S981" s="1" t="str">
        <f>IF(A981="","",COUNTIFS(Assignments!$B:$B,A981,Assignments!$AE:$AE, "Y",Assignments!$D:$D,"&gt;="&amp;TODAY()-30))</f>
        <v/>
      </c>
      <c r="T981" s="1" t="str">
        <f>IF(A981="","",COUNTIFS(Assignments!$AF:$AF,A981,Assignments!$AE:$AE, "Y",Assignments!$D:$D,"&gt;="&amp;TODAY()-30))</f>
        <v/>
      </c>
      <c r="U981" s="1" t="str">
        <f>IF(A981="","",IFERROR(S981/MAX(1,COUNTIFS(Assignments!$B:$B,A981,Assignments!$D:$D,"&gt;="&amp;TODAY()-30)),""))</f>
        <v/>
      </c>
      <c r="V981" s="1" t="str">
        <f t="shared" si="4"/>
        <v/>
      </c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 t="str">
        <f>IF(A982="","",IFERROR(AVERAGEIFS(Assignments!$AO:$AO,Assignments!$B:$B,A982,Assignments!$E:$E,"Completed"),""))</f>
        <v/>
      </c>
      <c r="L982" s="2"/>
      <c r="M982" s="2"/>
      <c r="N982" s="2"/>
      <c r="O982" s="2"/>
      <c r="P982" s="1" t="str">
        <f>IF(A982="","",MAX(0,MIN(3,SUMIFS(Strike_Log!$C:$C,Strike_Log!$B:$B,A982,Strike_Log!$A:$A,"&gt;="&amp;IF(Config!$B$1004="Y",TODAY()-Config!$B$1005,DATE(1900,1,1)),Strike_Log!$I:$I,1))))</f>
        <v/>
      </c>
      <c r="Q982" s="1"/>
      <c r="R982" s="1"/>
      <c r="S982" s="1" t="str">
        <f>IF(A982="","",COUNTIFS(Assignments!$B:$B,A982,Assignments!$AE:$AE, "Y",Assignments!$D:$D,"&gt;="&amp;TODAY()-30))</f>
        <v/>
      </c>
      <c r="T982" s="1" t="str">
        <f>IF(A982="","",COUNTIFS(Assignments!$AF:$AF,A982,Assignments!$AE:$AE, "Y",Assignments!$D:$D,"&gt;="&amp;TODAY()-30))</f>
        <v/>
      </c>
      <c r="U982" s="1" t="str">
        <f>IF(A982="","",IFERROR(S982/MAX(1,COUNTIFS(Assignments!$B:$B,A982,Assignments!$D:$D,"&gt;="&amp;TODAY()-30)),""))</f>
        <v/>
      </c>
      <c r="V982" s="1" t="str">
        <f t="shared" si="4"/>
        <v/>
      </c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 t="str">
        <f>IF(A983="","",IFERROR(AVERAGEIFS(Assignments!$AO:$AO,Assignments!$B:$B,A983,Assignments!$E:$E,"Completed"),""))</f>
        <v/>
      </c>
      <c r="L983" s="2"/>
      <c r="M983" s="2"/>
      <c r="N983" s="2"/>
      <c r="O983" s="2"/>
      <c r="P983" s="1" t="str">
        <f>IF(A983="","",MAX(0,MIN(3,SUMIFS(Strike_Log!$C:$C,Strike_Log!$B:$B,A983,Strike_Log!$A:$A,"&gt;="&amp;IF(Config!$B$1004="Y",TODAY()-Config!$B$1005,DATE(1900,1,1)),Strike_Log!$I:$I,1))))</f>
        <v/>
      </c>
      <c r="Q983" s="1"/>
      <c r="R983" s="1"/>
      <c r="S983" s="1" t="str">
        <f>IF(A983="","",COUNTIFS(Assignments!$B:$B,A983,Assignments!$AE:$AE, "Y",Assignments!$D:$D,"&gt;="&amp;TODAY()-30))</f>
        <v/>
      </c>
      <c r="T983" s="1" t="str">
        <f>IF(A983="","",COUNTIFS(Assignments!$AF:$AF,A983,Assignments!$AE:$AE, "Y",Assignments!$D:$D,"&gt;="&amp;TODAY()-30))</f>
        <v/>
      </c>
      <c r="U983" s="1" t="str">
        <f>IF(A983="","",IFERROR(S983/MAX(1,COUNTIFS(Assignments!$B:$B,A983,Assignments!$D:$D,"&gt;="&amp;TODAY()-30)),""))</f>
        <v/>
      </c>
      <c r="V983" s="1" t="str">
        <f t="shared" si="4"/>
        <v/>
      </c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 t="str">
        <f>IF(A984="","",IFERROR(AVERAGEIFS(Assignments!$AO:$AO,Assignments!$B:$B,A984,Assignments!$E:$E,"Completed"),""))</f>
        <v/>
      </c>
      <c r="L984" s="2"/>
      <c r="M984" s="2"/>
      <c r="N984" s="2"/>
      <c r="O984" s="2"/>
      <c r="P984" s="1" t="str">
        <f>IF(A984="","",MAX(0,MIN(3,SUMIFS(Strike_Log!$C:$C,Strike_Log!$B:$B,A984,Strike_Log!$A:$A,"&gt;="&amp;IF(Config!$B$1004="Y",TODAY()-Config!$B$1005,DATE(1900,1,1)),Strike_Log!$I:$I,1))))</f>
        <v/>
      </c>
      <c r="Q984" s="1"/>
      <c r="R984" s="1"/>
      <c r="S984" s="1" t="str">
        <f>IF(A984="","",COUNTIFS(Assignments!$B:$B,A984,Assignments!$AE:$AE, "Y",Assignments!$D:$D,"&gt;="&amp;TODAY()-30))</f>
        <v/>
      </c>
      <c r="T984" s="1" t="str">
        <f>IF(A984="","",COUNTIFS(Assignments!$AF:$AF,A984,Assignments!$AE:$AE, "Y",Assignments!$D:$D,"&gt;="&amp;TODAY()-30))</f>
        <v/>
      </c>
      <c r="U984" s="1" t="str">
        <f>IF(A984="","",IFERROR(S984/MAX(1,COUNTIFS(Assignments!$B:$B,A984,Assignments!$D:$D,"&gt;="&amp;TODAY()-30)),""))</f>
        <v/>
      </c>
      <c r="V984" s="1" t="str">
        <f t="shared" si="4"/>
        <v/>
      </c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 t="str">
        <f>IF(A985="","",IFERROR(AVERAGEIFS(Assignments!$AO:$AO,Assignments!$B:$B,A985,Assignments!$E:$E,"Completed"),""))</f>
        <v/>
      </c>
      <c r="L985" s="2"/>
      <c r="M985" s="2"/>
      <c r="N985" s="2"/>
      <c r="O985" s="2"/>
      <c r="P985" s="1" t="str">
        <f>IF(A985="","",MAX(0,MIN(3,SUMIFS(Strike_Log!$C:$C,Strike_Log!$B:$B,A985,Strike_Log!$A:$A,"&gt;="&amp;IF(Config!$B$1004="Y",TODAY()-Config!$B$1005,DATE(1900,1,1)),Strike_Log!$I:$I,1))))</f>
        <v/>
      </c>
      <c r="Q985" s="1"/>
      <c r="R985" s="1"/>
      <c r="S985" s="1" t="str">
        <f>IF(A985="","",COUNTIFS(Assignments!$B:$B,A985,Assignments!$AE:$AE, "Y",Assignments!$D:$D,"&gt;="&amp;TODAY()-30))</f>
        <v/>
      </c>
      <c r="T985" s="1" t="str">
        <f>IF(A985="","",COUNTIFS(Assignments!$AF:$AF,A985,Assignments!$AE:$AE, "Y",Assignments!$D:$D,"&gt;="&amp;TODAY()-30))</f>
        <v/>
      </c>
      <c r="U985" s="1" t="str">
        <f>IF(A985="","",IFERROR(S985/MAX(1,COUNTIFS(Assignments!$B:$B,A985,Assignments!$D:$D,"&gt;="&amp;TODAY()-30)),""))</f>
        <v/>
      </c>
      <c r="V985" s="1" t="str">
        <f t="shared" si="4"/>
        <v/>
      </c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 t="str">
        <f>IF(A986="","",IFERROR(AVERAGEIFS(Assignments!$AO:$AO,Assignments!$B:$B,A986,Assignments!$E:$E,"Completed"),""))</f>
        <v/>
      </c>
      <c r="L986" s="2"/>
      <c r="M986" s="2"/>
      <c r="N986" s="2"/>
      <c r="O986" s="2"/>
      <c r="P986" s="1" t="str">
        <f>IF(A986="","",MAX(0,MIN(3,SUMIFS(Strike_Log!$C:$C,Strike_Log!$B:$B,A986,Strike_Log!$A:$A,"&gt;="&amp;IF(Config!$B$1004="Y",TODAY()-Config!$B$1005,DATE(1900,1,1)),Strike_Log!$I:$I,1))))</f>
        <v/>
      </c>
      <c r="Q986" s="1"/>
      <c r="R986" s="1"/>
      <c r="S986" s="1" t="str">
        <f>IF(A986="","",COUNTIFS(Assignments!$B:$B,A986,Assignments!$AE:$AE, "Y",Assignments!$D:$D,"&gt;="&amp;TODAY()-30))</f>
        <v/>
      </c>
      <c r="T986" s="1" t="str">
        <f>IF(A986="","",COUNTIFS(Assignments!$AF:$AF,A986,Assignments!$AE:$AE, "Y",Assignments!$D:$D,"&gt;="&amp;TODAY()-30))</f>
        <v/>
      </c>
      <c r="U986" s="1" t="str">
        <f>IF(A986="","",IFERROR(S986/MAX(1,COUNTIFS(Assignments!$B:$B,A986,Assignments!$D:$D,"&gt;="&amp;TODAY()-30)),""))</f>
        <v/>
      </c>
      <c r="V986" s="1" t="str">
        <f t="shared" si="4"/>
        <v/>
      </c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 t="str">
        <f>IF(A987="","",IFERROR(AVERAGEIFS(Assignments!$AO:$AO,Assignments!$B:$B,A987,Assignments!$E:$E,"Completed"),""))</f>
        <v/>
      </c>
      <c r="L987" s="2"/>
      <c r="M987" s="2"/>
      <c r="N987" s="2"/>
      <c r="O987" s="2"/>
      <c r="P987" s="1" t="str">
        <f>IF(A987="","",MAX(0,MIN(3,SUMIFS(Strike_Log!$C:$C,Strike_Log!$B:$B,A987,Strike_Log!$A:$A,"&gt;="&amp;IF(Config!$B$1004="Y",TODAY()-Config!$B$1005,DATE(1900,1,1)),Strike_Log!$I:$I,1))))</f>
        <v/>
      </c>
      <c r="Q987" s="1"/>
      <c r="R987" s="1"/>
      <c r="S987" s="1" t="str">
        <f>IF(A987="","",COUNTIFS(Assignments!$B:$B,A987,Assignments!$AE:$AE, "Y",Assignments!$D:$D,"&gt;="&amp;TODAY()-30))</f>
        <v/>
      </c>
      <c r="T987" s="1" t="str">
        <f>IF(A987="","",COUNTIFS(Assignments!$AF:$AF,A987,Assignments!$AE:$AE, "Y",Assignments!$D:$D,"&gt;="&amp;TODAY()-30))</f>
        <v/>
      </c>
      <c r="U987" s="1" t="str">
        <f>IF(A987="","",IFERROR(S987/MAX(1,COUNTIFS(Assignments!$B:$B,A987,Assignments!$D:$D,"&gt;="&amp;TODAY()-30)),""))</f>
        <v/>
      </c>
      <c r="V987" s="1" t="str">
        <f t="shared" si="4"/>
        <v/>
      </c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 t="str">
        <f>IF(A988="","",IFERROR(AVERAGEIFS(Assignments!$AO:$AO,Assignments!$B:$B,A988,Assignments!$E:$E,"Completed"),""))</f>
        <v/>
      </c>
      <c r="L988" s="2"/>
      <c r="M988" s="2"/>
      <c r="N988" s="2"/>
      <c r="O988" s="2"/>
      <c r="P988" s="1" t="str">
        <f>IF(A988="","",MAX(0,MIN(3,SUMIFS(Strike_Log!$C:$C,Strike_Log!$B:$B,A988,Strike_Log!$A:$A,"&gt;="&amp;IF(Config!$B$1004="Y",TODAY()-Config!$B$1005,DATE(1900,1,1)),Strike_Log!$I:$I,1))))</f>
        <v/>
      </c>
      <c r="Q988" s="1"/>
      <c r="R988" s="1"/>
      <c r="S988" s="1" t="str">
        <f>IF(A988="","",COUNTIFS(Assignments!$B:$B,A988,Assignments!$AE:$AE, "Y",Assignments!$D:$D,"&gt;="&amp;TODAY()-30))</f>
        <v/>
      </c>
      <c r="T988" s="1" t="str">
        <f>IF(A988="","",COUNTIFS(Assignments!$AF:$AF,A988,Assignments!$AE:$AE, "Y",Assignments!$D:$D,"&gt;="&amp;TODAY()-30))</f>
        <v/>
      </c>
      <c r="U988" s="1" t="str">
        <f>IF(A988="","",IFERROR(S988/MAX(1,COUNTIFS(Assignments!$B:$B,A988,Assignments!$D:$D,"&gt;="&amp;TODAY()-30)),""))</f>
        <v/>
      </c>
      <c r="V988" s="1" t="str">
        <f t="shared" si="4"/>
        <v/>
      </c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 t="str">
        <f>IF(A989="","",IFERROR(AVERAGEIFS(Assignments!$AO:$AO,Assignments!$B:$B,A989,Assignments!$E:$E,"Completed"),""))</f>
        <v/>
      </c>
      <c r="L989" s="2"/>
      <c r="M989" s="2"/>
      <c r="N989" s="2"/>
      <c r="O989" s="2"/>
      <c r="P989" s="1" t="str">
        <f>IF(A989="","",MAX(0,MIN(3,SUMIFS(Strike_Log!$C:$C,Strike_Log!$B:$B,A989,Strike_Log!$A:$A,"&gt;="&amp;IF(Config!$B$1004="Y",TODAY()-Config!$B$1005,DATE(1900,1,1)),Strike_Log!$I:$I,1))))</f>
        <v/>
      </c>
      <c r="Q989" s="1"/>
      <c r="R989" s="1"/>
      <c r="S989" s="1" t="str">
        <f>IF(A989="","",COUNTIFS(Assignments!$B:$B,A989,Assignments!$AE:$AE, "Y",Assignments!$D:$D,"&gt;="&amp;TODAY()-30))</f>
        <v/>
      </c>
      <c r="T989" s="1" t="str">
        <f>IF(A989="","",COUNTIFS(Assignments!$AF:$AF,A989,Assignments!$AE:$AE, "Y",Assignments!$D:$D,"&gt;="&amp;TODAY()-30))</f>
        <v/>
      </c>
      <c r="U989" s="1" t="str">
        <f>IF(A989="","",IFERROR(S989/MAX(1,COUNTIFS(Assignments!$B:$B,A989,Assignments!$D:$D,"&gt;="&amp;TODAY()-30)),""))</f>
        <v/>
      </c>
      <c r="V989" s="1" t="str">
        <f t="shared" si="4"/>
        <v/>
      </c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 t="str">
        <f>IF(A990="","",IFERROR(AVERAGEIFS(Assignments!$AO:$AO,Assignments!$B:$B,A990,Assignments!$E:$E,"Completed"),""))</f>
        <v/>
      </c>
      <c r="L990" s="2"/>
      <c r="M990" s="2"/>
      <c r="N990" s="2"/>
      <c r="O990" s="2"/>
      <c r="P990" s="1" t="str">
        <f>IF(A990="","",MAX(0,MIN(3,SUMIFS(Strike_Log!$C:$C,Strike_Log!$B:$B,A990,Strike_Log!$A:$A,"&gt;="&amp;IF(Config!$B$1004="Y",TODAY()-Config!$B$1005,DATE(1900,1,1)),Strike_Log!$I:$I,1))))</f>
        <v/>
      </c>
      <c r="Q990" s="1"/>
      <c r="R990" s="1"/>
      <c r="S990" s="1" t="str">
        <f>IF(A990="","",COUNTIFS(Assignments!$B:$B,A990,Assignments!$AE:$AE, "Y",Assignments!$D:$D,"&gt;="&amp;TODAY()-30))</f>
        <v/>
      </c>
      <c r="T990" s="1" t="str">
        <f>IF(A990="","",COUNTIFS(Assignments!$AF:$AF,A990,Assignments!$AE:$AE, "Y",Assignments!$D:$D,"&gt;="&amp;TODAY()-30))</f>
        <v/>
      </c>
      <c r="U990" s="1" t="str">
        <f>IF(A990="","",IFERROR(S990/MAX(1,COUNTIFS(Assignments!$B:$B,A990,Assignments!$D:$D,"&gt;="&amp;TODAY()-30)),""))</f>
        <v/>
      </c>
      <c r="V990" s="1" t="str">
        <f t="shared" si="4"/>
        <v/>
      </c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 t="str">
        <f>IF(A991="","",IFERROR(AVERAGEIFS(Assignments!$AO:$AO,Assignments!$B:$B,A991,Assignments!$E:$E,"Completed"),""))</f>
        <v/>
      </c>
      <c r="L991" s="2"/>
      <c r="M991" s="2"/>
      <c r="N991" s="2"/>
      <c r="O991" s="2"/>
      <c r="P991" s="1" t="str">
        <f>IF(A991="","",MAX(0,MIN(3,SUMIFS(Strike_Log!$C:$C,Strike_Log!$B:$B,A991,Strike_Log!$A:$A,"&gt;="&amp;IF(Config!$B$1004="Y",TODAY()-Config!$B$1005,DATE(1900,1,1)),Strike_Log!$I:$I,1))))</f>
        <v/>
      </c>
      <c r="Q991" s="1"/>
      <c r="R991" s="1"/>
      <c r="S991" s="1" t="str">
        <f>IF(A991="","",COUNTIFS(Assignments!$B:$B,A991,Assignments!$AE:$AE, "Y",Assignments!$D:$D,"&gt;="&amp;TODAY()-30))</f>
        <v/>
      </c>
      <c r="T991" s="1" t="str">
        <f>IF(A991="","",COUNTIFS(Assignments!$AF:$AF,A991,Assignments!$AE:$AE, "Y",Assignments!$D:$D,"&gt;="&amp;TODAY()-30))</f>
        <v/>
      </c>
      <c r="U991" s="1" t="str">
        <f>IF(A991="","",IFERROR(S991/MAX(1,COUNTIFS(Assignments!$B:$B,A991,Assignments!$D:$D,"&gt;="&amp;TODAY()-30)),""))</f>
        <v/>
      </c>
      <c r="V991" s="1" t="str">
        <f t="shared" si="4"/>
        <v/>
      </c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 t="str">
        <f>IF(A992="","",IFERROR(AVERAGEIFS(Assignments!$AO:$AO,Assignments!$B:$B,A992,Assignments!$E:$E,"Completed"),""))</f>
        <v/>
      </c>
      <c r="L992" s="2"/>
      <c r="M992" s="2"/>
      <c r="N992" s="2"/>
      <c r="O992" s="2"/>
      <c r="P992" s="1" t="str">
        <f>IF(A992="","",MAX(0,MIN(3,SUMIFS(Strike_Log!$C:$C,Strike_Log!$B:$B,A992,Strike_Log!$A:$A,"&gt;="&amp;IF(Config!$B$1004="Y",TODAY()-Config!$B$1005,DATE(1900,1,1)),Strike_Log!$I:$I,1))))</f>
        <v/>
      </c>
      <c r="Q992" s="1"/>
      <c r="R992" s="1"/>
      <c r="S992" s="1" t="str">
        <f>IF(A992="","",COUNTIFS(Assignments!$B:$B,A992,Assignments!$AE:$AE, "Y",Assignments!$D:$D,"&gt;="&amp;TODAY()-30))</f>
        <v/>
      </c>
      <c r="T992" s="1" t="str">
        <f>IF(A992="","",COUNTIFS(Assignments!$AF:$AF,A992,Assignments!$AE:$AE, "Y",Assignments!$D:$D,"&gt;="&amp;TODAY()-30))</f>
        <v/>
      </c>
      <c r="U992" s="1" t="str">
        <f>IF(A992="","",IFERROR(S992/MAX(1,COUNTIFS(Assignments!$B:$B,A992,Assignments!$D:$D,"&gt;="&amp;TODAY()-30)),""))</f>
        <v/>
      </c>
      <c r="V992" s="1" t="str">
        <f t="shared" si="4"/>
        <v/>
      </c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 t="str">
        <f>IF(A993="","",IFERROR(AVERAGEIFS(Assignments!$AO:$AO,Assignments!$B:$B,A993,Assignments!$E:$E,"Completed"),""))</f>
        <v/>
      </c>
      <c r="L993" s="2"/>
      <c r="M993" s="2"/>
      <c r="N993" s="2"/>
      <c r="O993" s="2"/>
      <c r="P993" s="1" t="str">
        <f>IF(A993="","",MAX(0,MIN(3,SUMIFS(Strike_Log!$C:$C,Strike_Log!$B:$B,A993,Strike_Log!$A:$A,"&gt;="&amp;IF(Config!$B$1004="Y",TODAY()-Config!$B$1005,DATE(1900,1,1)),Strike_Log!$I:$I,1))))</f>
        <v/>
      </c>
      <c r="Q993" s="1"/>
      <c r="R993" s="1"/>
      <c r="S993" s="1" t="str">
        <f>IF(A993="","",COUNTIFS(Assignments!$B:$B,A993,Assignments!$AE:$AE, "Y",Assignments!$D:$D,"&gt;="&amp;TODAY()-30))</f>
        <v/>
      </c>
      <c r="T993" s="1" t="str">
        <f>IF(A993="","",COUNTIFS(Assignments!$AF:$AF,A993,Assignments!$AE:$AE, "Y",Assignments!$D:$D,"&gt;="&amp;TODAY()-30))</f>
        <v/>
      </c>
      <c r="U993" s="1" t="str">
        <f>IF(A993="","",IFERROR(S993/MAX(1,COUNTIFS(Assignments!$B:$B,A993,Assignments!$D:$D,"&gt;="&amp;TODAY()-30)),""))</f>
        <v/>
      </c>
      <c r="V993" s="1" t="str">
        <f t="shared" si="4"/>
        <v/>
      </c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 t="str">
        <f>IF(A994="","",IFERROR(AVERAGEIFS(Assignments!$AO:$AO,Assignments!$B:$B,A994,Assignments!$E:$E,"Completed"),""))</f>
        <v/>
      </c>
      <c r="L994" s="2"/>
      <c r="M994" s="2"/>
      <c r="N994" s="2"/>
      <c r="O994" s="2"/>
      <c r="P994" s="1" t="str">
        <f>IF(A994="","",MAX(0,MIN(3,SUMIFS(Strike_Log!$C:$C,Strike_Log!$B:$B,A994,Strike_Log!$A:$A,"&gt;="&amp;IF(Config!$B$1004="Y",TODAY()-Config!$B$1005,DATE(1900,1,1)),Strike_Log!$I:$I,1))))</f>
        <v/>
      </c>
      <c r="Q994" s="1"/>
      <c r="R994" s="1"/>
      <c r="S994" s="1" t="str">
        <f>IF(A994="","",COUNTIFS(Assignments!$B:$B,A994,Assignments!$AE:$AE, "Y",Assignments!$D:$D,"&gt;="&amp;TODAY()-30))</f>
        <v/>
      </c>
      <c r="T994" s="1" t="str">
        <f>IF(A994="","",COUNTIFS(Assignments!$AF:$AF,A994,Assignments!$AE:$AE, "Y",Assignments!$D:$D,"&gt;="&amp;TODAY()-30))</f>
        <v/>
      </c>
      <c r="U994" s="1" t="str">
        <f>IF(A994="","",IFERROR(S994/MAX(1,COUNTIFS(Assignments!$B:$B,A994,Assignments!$D:$D,"&gt;="&amp;TODAY()-30)),""))</f>
        <v/>
      </c>
      <c r="V994" s="1" t="str">
        <f t="shared" si="4"/>
        <v/>
      </c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 t="str">
        <f>IF(A995="","",IFERROR(AVERAGEIFS(Assignments!$AO:$AO,Assignments!$B:$B,A995,Assignments!$E:$E,"Completed"),""))</f>
        <v/>
      </c>
      <c r="L995" s="2"/>
      <c r="M995" s="2"/>
      <c r="N995" s="2"/>
      <c r="O995" s="2"/>
      <c r="P995" s="1" t="str">
        <f>IF(A995="","",MAX(0,MIN(3,SUMIFS(Strike_Log!$C:$C,Strike_Log!$B:$B,A995,Strike_Log!$A:$A,"&gt;="&amp;IF(Config!$B$1004="Y",TODAY()-Config!$B$1005,DATE(1900,1,1)),Strike_Log!$I:$I,1))))</f>
        <v/>
      </c>
      <c r="Q995" s="1"/>
      <c r="R995" s="1"/>
      <c r="S995" s="1" t="str">
        <f>IF(A995="","",COUNTIFS(Assignments!$B:$B,A995,Assignments!$AE:$AE, "Y",Assignments!$D:$D,"&gt;="&amp;TODAY()-30))</f>
        <v/>
      </c>
      <c r="T995" s="1" t="str">
        <f>IF(A995="","",COUNTIFS(Assignments!$AF:$AF,A995,Assignments!$AE:$AE, "Y",Assignments!$D:$D,"&gt;="&amp;TODAY()-30))</f>
        <v/>
      </c>
      <c r="U995" s="1" t="str">
        <f>IF(A995="","",IFERROR(S995/MAX(1,COUNTIFS(Assignments!$B:$B,A995,Assignments!$D:$D,"&gt;="&amp;TODAY()-30)),""))</f>
        <v/>
      </c>
      <c r="V995" s="1" t="str">
        <f t="shared" si="4"/>
        <v/>
      </c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 t="str">
        <f>IF(A996="","",IFERROR(AVERAGEIFS(Assignments!$AO:$AO,Assignments!$B:$B,A996,Assignments!$E:$E,"Completed"),""))</f>
        <v/>
      </c>
      <c r="L996" s="2"/>
      <c r="M996" s="2"/>
      <c r="N996" s="2"/>
      <c r="O996" s="2"/>
      <c r="P996" s="1" t="str">
        <f>IF(A996="","",MAX(0,MIN(3,SUMIFS(Strike_Log!$C:$C,Strike_Log!$B:$B,A996,Strike_Log!$A:$A,"&gt;="&amp;IF(Config!$B$1004="Y",TODAY()-Config!$B$1005,DATE(1900,1,1)),Strike_Log!$I:$I,1))))</f>
        <v/>
      </c>
      <c r="Q996" s="1"/>
      <c r="R996" s="1"/>
      <c r="S996" s="1" t="str">
        <f>IF(A996="","",COUNTIFS(Assignments!$B:$B,A996,Assignments!$AE:$AE, "Y",Assignments!$D:$D,"&gt;="&amp;TODAY()-30))</f>
        <v/>
      </c>
      <c r="T996" s="1" t="str">
        <f>IF(A996="","",COUNTIFS(Assignments!$AF:$AF,A996,Assignments!$AE:$AE, "Y",Assignments!$D:$D,"&gt;="&amp;TODAY()-30))</f>
        <v/>
      </c>
      <c r="U996" s="1" t="str">
        <f>IF(A996="","",IFERROR(S996/MAX(1,COUNTIFS(Assignments!$B:$B,A996,Assignments!$D:$D,"&gt;="&amp;TODAY()-30)),""))</f>
        <v/>
      </c>
      <c r="V996" s="1" t="str">
        <f t="shared" si="4"/>
        <v/>
      </c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 t="str">
        <f>IF(A997="","",IFERROR(AVERAGEIFS(Assignments!$AO:$AO,Assignments!$B:$B,A997,Assignments!$E:$E,"Completed"),""))</f>
        <v/>
      </c>
      <c r="L997" s="2"/>
      <c r="M997" s="2"/>
      <c r="N997" s="2"/>
      <c r="O997" s="2"/>
      <c r="P997" s="1" t="str">
        <f>IF(A997="","",MAX(0,MIN(3,SUMIFS(Strike_Log!$C:$C,Strike_Log!$B:$B,A997,Strike_Log!$A:$A,"&gt;="&amp;IF(Config!$B$1004="Y",TODAY()-Config!$B$1005,DATE(1900,1,1)),Strike_Log!$I:$I,1))))</f>
        <v/>
      </c>
      <c r="Q997" s="1"/>
      <c r="R997" s="1"/>
      <c r="S997" s="1" t="str">
        <f>IF(A997="","",COUNTIFS(Assignments!$B:$B,A997,Assignments!$AE:$AE, "Y",Assignments!$D:$D,"&gt;="&amp;TODAY()-30))</f>
        <v/>
      </c>
      <c r="T997" s="1" t="str">
        <f>IF(A997="","",COUNTIFS(Assignments!$AF:$AF,A997,Assignments!$AE:$AE, "Y",Assignments!$D:$D,"&gt;="&amp;TODAY()-30))</f>
        <v/>
      </c>
      <c r="U997" s="1" t="str">
        <f>IF(A997="","",IFERROR(S997/MAX(1,COUNTIFS(Assignments!$B:$B,A997,Assignments!$D:$D,"&gt;="&amp;TODAY()-30)),""))</f>
        <v/>
      </c>
      <c r="V997" s="1" t="str">
        <f t="shared" si="4"/>
        <v/>
      </c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 t="str">
        <f>IF(A998="","",IFERROR(AVERAGEIFS(Assignments!$AO:$AO,Assignments!$B:$B,A998,Assignments!$E:$E,"Completed"),""))</f>
        <v/>
      </c>
      <c r="L998" s="2"/>
      <c r="M998" s="2"/>
      <c r="N998" s="2"/>
      <c r="O998" s="2"/>
      <c r="P998" s="1" t="str">
        <f>IF(A998="","",MAX(0,MIN(3,SUMIFS(Strike_Log!$C:$C,Strike_Log!$B:$B,A998,Strike_Log!$A:$A,"&gt;="&amp;IF(Config!$B$1004="Y",TODAY()-Config!$B$1005,DATE(1900,1,1)),Strike_Log!$I:$I,1))))</f>
        <v/>
      </c>
      <c r="Q998" s="1"/>
      <c r="R998" s="1"/>
      <c r="S998" s="1" t="str">
        <f>IF(A998="","",COUNTIFS(Assignments!$B:$B,A998,Assignments!$AE:$AE, "Y",Assignments!$D:$D,"&gt;="&amp;TODAY()-30))</f>
        <v/>
      </c>
      <c r="T998" s="1" t="str">
        <f>IF(A998="","",COUNTIFS(Assignments!$AF:$AF,A998,Assignments!$AE:$AE, "Y",Assignments!$D:$D,"&gt;="&amp;TODAY()-30))</f>
        <v/>
      </c>
      <c r="U998" s="1" t="str">
        <f>IF(A998="","",IFERROR(S998/MAX(1,COUNTIFS(Assignments!$B:$B,A998,Assignments!$D:$D,"&gt;="&amp;TODAY()-30)),""))</f>
        <v/>
      </c>
      <c r="V998" s="1" t="str">
        <f t="shared" si="4"/>
        <v/>
      </c>
    </row>
  </sheetData>
  <autoFilter ref="$A$3:$N$81">
    <sortState ref="A3:N81">
      <sortCondition ref="A3:A81"/>
      <sortCondition ref="B3:B81"/>
    </sortState>
  </autoFilter>
  <mergeCells count="1">
    <mergeCell ref="A1:B2"/>
  </mergeCells>
  <dataValidations>
    <dataValidation type="list" allowBlank="1" sqref="C4:C81">
      <formula1>"Elite,Regular"</formula1>
    </dataValidation>
    <dataValidation type="decimal" allowBlank="1" sqref="P4:P501">
      <formula1>0.0</formula1>
      <formula2>3.0</formula2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12.71"/>
    <col customWidth="1" min="3" max="3" width="21.57"/>
    <col customWidth="1" min="4" max="4" width="17.0"/>
    <col customWidth="1" min="5" max="5" width="25.14"/>
    <col customWidth="1" min="6" max="6" width="30.0"/>
    <col customWidth="1" min="7" max="7" width="8.71"/>
  </cols>
  <sheetData>
    <row r="1" ht="15.0" customHeight="1">
      <c r="A1" s="15" t="s">
        <v>261</v>
      </c>
      <c r="E1" s="6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0" customHeight="1">
      <c r="E2" s="6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21.75" customHeight="1">
      <c r="A3" s="24" t="s">
        <v>95</v>
      </c>
      <c r="B3" s="23" t="s">
        <v>94</v>
      </c>
      <c r="C3" s="31" t="s">
        <v>262</v>
      </c>
      <c r="D3" s="32" t="s">
        <v>263</v>
      </c>
      <c r="E3" s="32" t="s">
        <v>264</v>
      </c>
      <c r="F3" s="31" t="s">
        <v>73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0" t="str">
        <f>Grinders!$B4</f>
        <v>7unds</v>
      </c>
      <c r="B4" s="2" t="str">
        <f t="array" ref="B4">XLOOKUP($A4, Grinders!$B$4:$B998, Grinders!$A$4:$A998)</f>
        <v>GRD-01</v>
      </c>
      <c r="C4" s="33" t="s">
        <v>265</v>
      </c>
      <c r="D4" s="20" t="s">
        <v>266</v>
      </c>
      <c r="E4" s="2" t="s">
        <v>63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0" t="str">
        <f>Grinders!$B5</f>
        <v>8fy1</v>
      </c>
      <c r="B5" s="2" t="str">
        <f t="array" ref="B5">XLOOKUP($A5, Grinders!$B$4:$B998, Grinders!$A$4:$A998)</f>
        <v>GRD-02</v>
      </c>
      <c r="C5" s="33" t="s">
        <v>267</v>
      </c>
      <c r="D5" s="20" t="s">
        <v>266</v>
      </c>
      <c r="E5" s="2" t="s">
        <v>63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0" t="str">
        <f>Grinders!$B6</f>
        <v>ahdedazs</v>
      </c>
      <c r="B6" s="2" t="str">
        <f t="array" ref="B6">XLOOKUP($A6, Grinders!$B$4:$B998, Grinders!$A$4:$A998)</f>
        <v>GRD-03</v>
      </c>
      <c r="C6" s="33" t="s">
        <v>267</v>
      </c>
      <c r="D6" s="20" t="s">
        <v>266</v>
      </c>
      <c r="E6" s="2" t="s">
        <v>63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" t="str">
        <f>Grinders!$B7</f>
        <v>andydpoy</v>
      </c>
      <c r="B7" s="2" t="str">
        <f t="array" ref="B7">XLOOKUP($A7, Grinders!$B$4:$B998, Grinders!$A$4:$A998)</f>
        <v>GRD-04</v>
      </c>
      <c r="C7" s="33" t="s">
        <v>267</v>
      </c>
      <c r="D7" s="20" t="s">
        <v>266</v>
      </c>
      <c r="E7" s="2" t="s">
        <v>63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" t="str">
        <f>Grinders!$B8</f>
        <v>anklesreborn</v>
      </c>
      <c r="B8" s="2" t="str">
        <f t="array" ref="B8">XLOOKUP($A8, Grinders!$B$4:$B998, Grinders!$A$4:$A998)</f>
        <v>GRD-05</v>
      </c>
      <c r="C8" s="33" t="s">
        <v>267</v>
      </c>
      <c r="D8" s="20" t="s">
        <v>266</v>
      </c>
      <c r="E8" s="2" t="s">
        <v>63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" t="str">
        <f>Grinders!$B9</f>
        <v>ant0513</v>
      </c>
      <c r="B9" s="2" t="str">
        <f t="array" ref="B9">XLOOKUP($A9, Grinders!$B$4:$B998, Grinders!$A$4:$A998)</f>
        <v>GRD-06</v>
      </c>
      <c r="C9" s="33" t="s">
        <v>267</v>
      </c>
      <c r="D9" s="20" t="s">
        <v>266</v>
      </c>
      <c r="E9" s="2" t="s">
        <v>63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" t="str">
        <f>Grinders!$B10</f>
        <v>asierxx</v>
      </c>
      <c r="B10" s="2" t="str">
        <f t="array" ref="B10">XLOOKUP($A10, Grinders!$B$4:$B998, Grinders!$A$4:$A998)</f>
        <v>GRD-07</v>
      </c>
      <c r="C10" s="33" t="s">
        <v>267</v>
      </c>
      <c r="D10" s="20" t="s">
        <v>266</v>
      </c>
      <c r="E10" s="2" t="s">
        <v>63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" t="str">
        <f>Grinders!$B11</f>
        <v>bigt20011_</v>
      </c>
      <c r="B11" s="2" t="str">
        <f t="array" ref="B11">XLOOKUP($A11, Grinders!$B$4:$B998, Grinders!$A$4:$A998)</f>
        <v>GRD-08</v>
      </c>
      <c r="C11" s="33" t="s">
        <v>267</v>
      </c>
      <c r="D11" s="20" t="s">
        <v>266</v>
      </c>
      <c r="E11" s="2" t="s">
        <v>63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" t="str">
        <f>Grinders!$B12</f>
        <v>boards4238</v>
      </c>
      <c r="B12" s="2" t="str">
        <f t="array" ref="B12">XLOOKUP($A12, Grinders!$B$4:$B998, Grinders!$A$4:$A998)</f>
        <v>GRD-09</v>
      </c>
      <c r="C12" s="33" t="s">
        <v>267</v>
      </c>
      <c r="D12" s="20" t="s">
        <v>266</v>
      </c>
      <c r="E12" s="2" t="s">
        <v>63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" t="str">
        <f>Grinders!$B13</f>
        <v>bumped240hz</v>
      </c>
      <c r="B13" s="2" t="str">
        <f t="array" ref="B13">XLOOKUP($A13, Grinders!$B$4:$B998, Grinders!$A$4:$A998)</f>
        <v>GRD-10</v>
      </c>
      <c r="C13" s="33" t="s">
        <v>267</v>
      </c>
      <c r="D13" s="20" t="s">
        <v>266</v>
      </c>
      <c r="E13" s="2" t="s">
        <v>63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" t="str">
        <f>Grinders!$B14</f>
        <v>bumpincombos</v>
      </c>
      <c r="B14" s="2" t="str">
        <f t="array" ref="B14">XLOOKUP($A14, Grinders!$B$4:$B998, Grinders!$A$4:$A998)</f>
        <v>GRD-11</v>
      </c>
      <c r="C14" s="33" t="s">
        <v>267</v>
      </c>
      <c r="D14" s="20" t="s">
        <v>266</v>
      </c>
      <c r="E14" s="2" t="s">
        <v>63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" t="str">
        <f>Grinders!$B15</f>
        <v>cerhzn</v>
      </c>
      <c r="B15" s="2" t="str">
        <f t="array" ref="B15">XLOOKUP($A15, Grinders!$B$4:$B998, Grinders!$A$4:$A998)</f>
        <v>GRD-12</v>
      </c>
      <c r="C15" s="33" t="s">
        <v>267</v>
      </c>
      <c r="D15" s="20" t="s">
        <v>266</v>
      </c>
      <c r="E15" s="2" t="s">
        <v>63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" t="str">
        <f>Grinders!$B16</f>
        <v>comptomuch</v>
      </c>
      <c r="B16" s="2" t="str">
        <f t="array" ref="B16">XLOOKUP($A16, Grinders!$B$4:$B998, Grinders!$A$4:$A998)</f>
        <v>GRD-13</v>
      </c>
      <c r="C16" s="33" t="s">
        <v>267</v>
      </c>
      <c r="D16" s="20" t="s">
        <v>266</v>
      </c>
      <c r="E16" s="2" t="s">
        <v>63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" t="str">
        <f>Grinders!$B17</f>
        <v>crazyrunz</v>
      </c>
      <c r="B17" s="2" t="str">
        <f t="array" ref="B17">XLOOKUP($A17, Grinders!$B$4:$B998, Grinders!$A$4:$A998)</f>
        <v>GRD-14</v>
      </c>
      <c r="C17" s="33" t="s">
        <v>267</v>
      </c>
      <c r="D17" s="20" t="s">
        <v>266</v>
      </c>
      <c r="E17" s="2" t="s">
        <v>63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" t="str">
        <f>Grinders!$B18</f>
        <v>darts.7</v>
      </c>
      <c r="B18" s="2" t="str">
        <f t="array" ref="B18">XLOOKUP($A18, Grinders!$B$4:$B998, Grinders!$A$4:$A998)</f>
        <v>GRD-15</v>
      </c>
      <c r="C18" s="33" t="s">
        <v>267</v>
      </c>
      <c r="D18" s="20" t="s">
        <v>266</v>
      </c>
      <c r="E18" s="2" t="s">
        <v>63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>
      <c r="A19" s="20" t="str">
        <f>Grinders!$B19</f>
        <v>773tc</v>
      </c>
      <c r="B19" s="2" t="str">
        <f t="array" ref="B19">XLOOKUP($A19, Grinders!$B$4:$B998, Grinders!$A$4:$A998)</f>
        <v>GRD-16</v>
      </c>
      <c r="C19" s="33" t="s">
        <v>267</v>
      </c>
      <c r="D19" s="20" t="s">
        <v>266</v>
      </c>
      <c r="E19" s="2" t="s">
        <v>63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20" t="str">
        <f>Grinders!$B20</f>
        <v>drew___x</v>
      </c>
      <c r="B20" s="2" t="str">
        <f t="array" ref="B20">XLOOKUP($A20, Grinders!$B$4:$B998, Grinders!$A$4:$A998)</f>
        <v>GRD-17</v>
      </c>
      <c r="C20" s="33" t="s">
        <v>267</v>
      </c>
      <c r="D20" s="20" t="s">
        <v>266</v>
      </c>
      <c r="E20" s="2" t="s">
        <v>63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20" t="str">
        <f>Grinders!$B21</f>
        <v>drilluh__</v>
      </c>
      <c r="B21" s="2" t="str">
        <f t="array" ref="B21">XLOOKUP($A21, Grinders!$B$4:$B998, Grinders!$A$4:$A998)</f>
        <v>GRD-18</v>
      </c>
      <c r="C21" s="33" t="s">
        <v>267</v>
      </c>
      <c r="D21" s="20" t="s">
        <v>266</v>
      </c>
      <c r="E21" s="2" t="s">
        <v>63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20" t="str">
        <f>Grinders!$B22</f>
        <v>earns2490</v>
      </c>
      <c r="B22" s="2" t="str">
        <f t="array" ref="B22">XLOOKUP($A22, Grinders!$B$4:$B998, Grinders!$A$4:$A998)</f>
        <v>GRD-19</v>
      </c>
      <c r="C22" s="33" t="s">
        <v>267</v>
      </c>
      <c r="D22" s="20" t="s">
        <v>266</v>
      </c>
      <c r="E22" s="2" t="s">
        <v>63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20" t="str">
        <f>Grinders!$B23</f>
        <v>egotito</v>
      </c>
      <c r="B23" s="2" t="str">
        <f t="array" ref="B23">XLOOKUP($A23, Grinders!$B$4:$B998, Grinders!$A$4:$A998)</f>
        <v>GRD-20</v>
      </c>
      <c r="C23" s="33" t="s">
        <v>267</v>
      </c>
      <c r="D23" s="20" t="s">
        <v>266</v>
      </c>
      <c r="E23" s="2" t="s">
        <v>63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20" t="str">
        <f>Grinders!$B24</f>
        <v>flyestt</v>
      </c>
      <c r="B24" s="2" t="str">
        <f t="array" ref="B24">XLOOKUP($A24, Grinders!$B$4:$B998, Grinders!$A$4:$A998)</f>
        <v>GRD-21</v>
      </c>
      <c r="C24" s="33" t="s">
        <v>267</v>
      </c>
      <c r="D24" s="20" t="s">
        <v>266</v>
      </c>
      <c r="E24" s="2" t="s">
        <v>63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20" t="str">
        <f>Grinders!$B25</f>
        <v>freeblessedtv</v>
      </c>
      <c r="B25" s="2" t="str">
        <f t="array" ref="B25">XLOOKUP($A25, Grinders!$B$4:$B998, Grinders!$A$4:$A998)</f>
        <v>GRD-22</v>
      </c>
      <c r="C25" s="33" t="s">
        <v>267</v>
      </c>
      <c r="D25" s="20" t="s">
        <v>266</v>
      </c>
      <c r="E25" s="2" t="s">
        <v>63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20" t="str">
        <f>Grinders!$B26</f>
        <v>gamblynnn</v>
      </c>
      <c r="B26" s="2" t="str">
        <f t="array" ref="B26">XLOOKUP($A26, Grinders!$B$4:$B998, Grinders!$A$4:$A998)</f>
        <v>GRD-23</v>
      </c>
      <c r="C26" s="33" t="s">
        <v>267</v>
      </c>
      <c r="D26" s="20" t="s">
        <v>266</v>
      </c>
      <c r="E26" s="2" t="s">
        <v>63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20" t="str">
        <f>Grinders!$B27</f>
        <v>gannon4868</v>
      </c>
      <c r="B27" s="2" t="str">
        <f t="array" ref="B27">XLOOKUP($A27, Grinders!$B$4:$B998, Grinders!$A$4:$A998)</f>
        <v>GRD-24</v>
      </c>
      <c r="C27" s="33" t="s">
        <v>267</v>
      </c>
      <c r="D27" s="20" t="s">
        <v>266</v>
      </c>
      <c r="E27" s="2" t="s">
        <v>63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20" t="str">
        <f>Grinders!$B28</f>
        <v>gexism</v>
      </c>
      <c r="B28" s="2" t="str">
        <f t="array" ref="B28">XLOOKUP($A28, Grinders!$B$4:$B998, Grinders!$A$4:$A998)</f>
        <v>GRD-25</v>
      </c>
      <c r="C28" s="33" t="s">
        <v>267</v>
      </c>
      <c r="D28" s="20" t="s">
        <v>266</v>
      </c>
      <c r="E28" s="2" t="s">
        <v>63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20" t="str">
        <f>Grinders!$B29</f>
        <v>gxufy</v>
      </c>
      <c r="B29" s="2" t="str">
        <f t="array" ref="B29">XLOOKUP($A29, Grinders!$B$4:$B998, Grinders!$A$4:$A998)</f>
        <v>GRD-26</v>
      </c>
      <c r="C29" s="33" t="s">
        <v>267</v>
      </c>
      <c r="D29" s="20" t="s">
        <v>266</v>
      </c>
      <c r="E29" s="2" t="s">
        <v>63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20" t="str">
        <f>Grinders!$B30</f>
        <v>hemisssometimes</v>
      </c>
      <c r="B30" s="2" t="str">
        <f t="array" ref="B30">XLOOKUP($A30, Grinders!$B$4:$B998, Grinders!$A$4:$A998)</f>
        <v>GRD-27</v>
      </c>
      <c r="C30" s="33" t="s">
        <v>267</v>
      </c>
      <c r="D30" s="20" t="s">
        <v>266</v>
      </c>
      <c r="E30" s="2" t="s">
        <v>63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0" t="str">
        <f>Grinders!$B31</f>
        <v>homiekirk</v>
      </c>
      <c r="B31" s="2" t="str">
        <f t="array" ref="B31">XLOOKUP($A31, Grinders!$B$4:$B998, Grinders!$A$4:$A998)</f>
        <v>GRD-28</v>
      </c>
      <c r="C31" s="33" t="s">
        <v>267</v>
      </c>
      <c r="D31" s="20" t="s">
        <v>266</v>
      </c>
      <c r="E31" s="2" t="s">
        <v>63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20" t="str">
        <f>Grinders!$B32</f>
        <v>hoop7663</v>
      </c>
      <c r="B32" s="2" t="str">
        <f t="array" ref="B32">XLOOKUP($A32, Grinders!$B$4:$B998, Grinders!$A$4:$A998)</f>
        <v>GRD-29</v>
      </c>
      <c r="C32" s="33" t="s">
        <v>267</v>
      </c>
      <c r="D32" s="20" t="s">
        <v>266</v>
      </c>
      <c r="E32" s="2" t="s">
        <v>63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0" t="str">
        <f>Grinders!$B33</f>
        <v>iiirxpctiii</v>
      </c>
      <c r="B33" s="2" t="str">
        <f t="array" ref="B33">XLOOKUP($A33, Grinders!$B$4:$B998, Grinders!$A$4:$A998)</f>
        <v>GRD-30</v>
      </c>
      <c r="C33" s="33" t="s">
        <v>267</v>
      </c>
      <c r="D33" s="20" t="s">
        <v>266</v>
      </c>
      <c r="E33" s="2" t="s">
        <v>63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0" t="str">
        <f>Grinders!$B34</f>
        <v>plqytake</v>
      </c>
      <c r="B34" s="2" t="str">
        <f t="array" ref="B34">XLOOKUP($A34, Grinders!$B$4:$B998, Grinders!$A$4:$A998)</f>
        <v>GRD-31</v>
      </c>
      <c r="C34" s="33" t="s">
        <v>267</v>
      </c>
      <c r="D34" s="20" t="s">
        <v>266</v>
      </c>
      <c r="E34" s="2" t="s">
        <v>63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0" t="str">
        <f>Grinders!$B35</f>
        <v>jalen7985</v>
      </c>
      <c r="B35" s="2" t="str">
        <f t="array" ref="B35">XLOOKUP($A35, Grinders!$B$4:$B998, Grinders!$A$4:$A998)</f>
        <v>GRD-32</v>
      </c>
      <c r="C35" s="33" t="s">
        <v>267</v>
      </c>
      <c r="D35" s="20" t="s">
        <v>266</v>
      </c>
      <c r="E35" s="2" t="s">
        <v>63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0" t="str">
        <f>Grinders!$B36</f>
        <v>jwrldx</v>
      </c>
      <c r="B36" s="2" t="str">
        <f t="array" ref="B36">XLOOKUP($A36, Grinders!$B$4:$B998, Grinders!$A$4:$A998)</f>
        <v>GRD-33</v>
      </c>
      <c r="C36" s="33" t="s">
        <v>267</v>
      </c>
      <c r="D36" s="20" t="s">
        <v>266</v>
      </c>
      <c r="E36" s="2" t="s">
        <v>63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0" t="str">
        <f>Grinders!$B37</f>
        <v>jitxx</v>
      </c>
      <c r="B37" s="2" t="str">
        <f t="array" ref="B37">XLOOKUP($A37, Grinders!$B$4:$B998, Grinders!$A$4:$A998)</f>
        <v>GRD-34</v>
      </c>
      <c r="C37" s="33" t="s">
        <v>267</v>
      </c>
      <c r="D37" s="20" t="s">
        <v>266</v>
      </c>
      <c r="E37" s="2" t="s">
        <v>63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30">
        <f>Grinders!$B38</f>
        <v>768288</v>
      </c>
      <c r="B38" s="2" t="str">
        <f t="array" ref="B38">XLOOKUP($A38, Grinders!$B$4:$B998, Grinders!$A$4:$A998)</f>
        <v>GRD-35</v>
      </c>
      <c r="C38" s="33" t="s">
        <v>267</v>
      </c>
      <c r="D38" s="20" t="s">
        <v>266</v>
      </c>
      <c r="E38" s="2" t="s">
        <v>63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0" t="str">
        <f>Grinders!$B39</f>
        <v>xoticashes</v>
      </c>
      <c r="B39" s="2" t="str">
        <f t="array" ref="B39">XLOOKUP($A39, Grinders!$B$4:$B998, Grinders!$A$4:$A998)</f>
        <v>GRD-36</v>
      </c>
      <c r="C39" s="33" t="s">
        <v>267</v>
      </c>
      <c r="D39" s="20" t="s">
        <v>266</v>
      </c>
      <c r="E39" s="2" t="s">
        <v>63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0" t="str">
        <f>Grinders!$B40</f>
        <v>kolioh</v>
      </c>
      <c r="B40" s="2" t="str">
        <f t="array" ref="B40">XLOOKUP($A40, Grinders!$B$4:$B998, Grinders!$A$4:$A998)</f>
        <v>GRD-37</v>
      </c>
      <c r="C40" s="33" t="s">
        <v>267</v>
      </c>
      <c r="D40" s="20" t="s">
        <v>266</v>
      </c>
      <c r="E40" s="2" t="s">
        <v>63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0" t="str">
        <f>Grinders!$B41</f>
        <v>korean_zombiie</v>
      </c>
      <c r="B41" s="2" t="str">
        <f t="array" ref="B41">XLOOKUP($A41, Grinders!$B$4:$B998, Grinders!$A$4:$A998)</f>
        <v>GRD-38</v>
      </c>
      <c r="C41" s="33" t="s">
        <v>267</v>
      </c>
      <c r="D41" s="20" t="s">
        <v>266</v>
      </c>
      <c r="E41" s="2" t="s">
        <v>63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0" t="str">
        <f>Grinders!$B42</f>
        <v>savage_telly</v>
      </c>
      <c r="B42" s="2" t="str">
        <f t="array" ref="B42">XLOOKUP($A42, Grinders!$B$4:$B998, Grinders!$A$4:$A998)</f>
        <v>GRD-39</v>
      </c>
      <c r="C42" s="33" t="s">
        <v>267</v>
      </c>
      <c r="D42" s="20" t="s">
        <v>266</v>
      </c>
      <c r="E42" s="2" t="s">
        <v>63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0" t="str">
        <f>Grinders!$B43</f>
        <v>notravelcalls</v>
      </c>
      <c r="B43" s="2" t="str">
        <f t="array" ref="B43">XLOOKUP($A43, Grinders!$B$4:$B998, Grinders!$A$4:$A998)</f>
        <v>GRD-40</v>
      </c>
      <c r="C43" s="33" t="s">
        <v>267</v>
      </c>
      <c r="D43" s="20" t="s">
        <v>266</v>
      </c>
      <c r="E43" s="2" t="s">
        <v>63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0" t="str">
        <f>Grinders!$B44</f>
        <v>rookietolegend</v>
      </c>
      <c r="B44" s="2" t="str">
        <f t="array" ref="B44">XLOOKUP($A44, Grinders!$B$4:$B998, Grinders!$A$4:$A998)</f>
        <v>GRD-41</v>
      </c>
      <c r="C44" s="33" t="s">
        <v>267</v>
      </c>
      <c r="D44" s="20" t="s">
        <v>266</v>
      </c>
      <c r="E44" s="2" t="s">
        <v>63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0" t="str">
        <f>Grinders!$B45</f>
        <v>nxsty4487</v>
      </c>
      <c r="B45" s="2" t="str">
        <f t="array" ref="B45">XLOOKUP($A45, Grinders!$B$4:$B998, Grinders!$A$4:$A998)</f>
        <v>GRD-42</v>
      </c>
      <c r="C45" s="33" t="s">
        <v>267</v>
      </c>
      <c r="D45" s="20" t="s">
        <v>266</v>
      </c>
      <c r="E45" s="2" t="s">
        <v>63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0" t="str">
        <f>Grinders!$B46</f>
        <v>idk566784</v>
      </c>
      <c r="B46" s="2" t="str">
        <f t="array" ref="B46">XLOOKUP($A46, Grinders!$B$4:$B998, Grinders!$A$4:$A998)</f>
        <v>GRD-43</v>
      </c>
      <c r="C46" s="33" t="s">
        <v>267</v>
      </c>
      <c r="D46" s="20" t="s">
        <v>266</v>
      </c>
      <c r="E46" s="2" t="s">
        <v>63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0" t="str">
        <f>Grinders!$B47</f>
        <v>plqckss</v>
      </c>
      <c r="B47" s="2" t="str">
        <f t="array" ref="B47">XLOOKUP($A47, Grinders!$B$4:$B998, Grinders!$A$4:$A998)</f>
        <v>GRD-44</v>
      </c>
      <c r="C47" s="33" t="s">
        <v>267</v>
      </c>
      <c r="D47" s="20" t="s">
        <v>266</v>
      </c>
      <c r="E47" s="2" t="s">
        <v>63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0" t="str">
        <f>Grinders!$B48</f>
        <v>poprevails</v>
      </c>
      <c r="B48" s="2" t="str">
        <f t="array" ref="B48">XLOOKUP($A48, Grinders!$B$4:$B998, Grinders!$A$4:$A998)</f>
        <v>GRD-45</v>
      </c>
      <c r="C48" s="33" t="s">
        <v>267</v>
      </c>
      <c r="D48" s="20" t="s">
        <v>266</v>
      </c>
      <c r="E48" s="2" t="s">
        <v>63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0" t="str">
        <f>Grinders!$B49</f>
        <v>pro5153</v>
      </c>
      <c r="B49" s="2" t="str">
        <f t="array" ref="B49">XLOOKUP($A49, Grinders!$B$4:$B998, Grinders!$A$4:$A998)</f>
        <v>GRD-46</v>
      </c>
      <c r="C49" s="33" t="s">
        <v>267</v>
      </c>
      <c r="D49" s="20" t="s">
        <v>266</v>
      </c>
      <c r="E49" s="2" t="s">
        <v>63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0" t="str">
        <f>Grinders!$B50</f>
        <v>provoke.</v>
      </c>
      <c r="B50" s="2" t="str">
        <f t="array" ref="B50">XLOOKUP($A50, Grinders!$B$4:$B998, Grinders!$A$4:$A998)</f>
        <v>GRD-47</v>
      </c>
      <c r="C50" s="33" t="s">
        <v>267</v>
      </c>
      <c r="D50" s="20" t="s">
        <v>266</v>
      </c>
      <c r="E50" s="2" t="s">
        <v>63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0" t="str">
        <f>Grinders!$B51</f>
        <v>qixoan</v>
      </c>
      <c r="B51" s="2" t="str">
        <f t="array" ref="B51">XLOOKUP($A51, Grinders!$B$4:$B998, Grinders!$A$4:$A998)</f>
        <v>GRD-48</v>
      </c>
      <c r="C51" s="33" t="s">
        <v>267</v>
      </c>
      <c r="D51" s="20" t="s">
        <v>266</v>
      </c>
      <c r="E51" s="2" t="s">
        <v>63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0" t="str">
        <f>Grinders!$B52</f>
        <v>quickslippp</v>
      </c>
      <c r="B52" s="2" t="str">
        <f t="array" ref="B52">XLOOKUP($A52, Grinders!$B$4:$B998, Grinders!$A$4:$A998)</f>
        <v>GRD-49</v>
      </c>
      <c r="C52" s="33" t="s">
        <v>267</v>
      </c>
      <c r="D52" s="20" t="s">
        <v>266</v>
      </c>
      <c r="E52" s="2" t="s">
        <v>63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0" t="str">
        <f>Grinders!$B53</f>
        <v>nodaysoffgrinder</v>
      </c>
      <c r="B53" s="2" t="str">
        <f t="array" ref="B53">XLOOKUP($A53, Grinders!$B$4:$B998, Grinders!$A$4:$A998)</f>
        <v>GRD-50</v>
      </c>
      <c r="C53" s="33" t="s">
        <v>267</v>
      </c>
      <c r="D53" s="20" t="s">
        <v>266</v>
      </c>
      <c r="E53" s="2" t="s">
        <v>63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0" t="str">
        <f>Grinders!$B54</f>
        <v>xorula</v>
      </c>
      <c r="B54" s="2" t="str">
        <f t="array" ref="B54">XLOOKUP($A54, Grinders!$B$4:$B998, Grinders!$A$4:$A998)</f>
        <v>GRD-51</v>
      </c>
      <c r="C54" s="33" t="s">
        <v>267</v>
      </c>
      <c r="D54" s="20" t="s">
        <v>266</v>
      </c>
      <c r="E54" s="2" t="s">
        <v>63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0" t="str">
        <f>Grinders!$B55</f>
        <v>plibert</v>
      </c>
      <c r="B55" s="2" t="str">
        <f t="array" ref="B55">XLOOKUP($A55, Grinders!$B$4:$B998, Grinders!$A$4:$A998)</f>
        <v>GRD-52</v>
      </c>
      <c r="C55" s="33" t="s">
        <v>267</v>
      </c>
      <c r="D55" s="20" t="s">
        <v>266</v>
      </c>
      <c r="E55" s="2" t="s">
        <v>63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0" t="str">
        <f>Grinders!$B56</f>
        <v>stayrdr</v>
      </c>
      <c r="B56" s="2" t="str">
        <f t="array" ref="B56">XLOOKUP($A56, Grinders!$B$4:$B998, Grinders!$A$4:$A998)</f>
        <v>GRD-53</v>
      </c>
      <c r="C56" s="33" t="s">
        <v>267</v>
      </c>
      <c r="D56" s="20" t="s">
        <v>266</v>
      </c>
      <c r="E56" s="2" t="s">
        <v>63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0" t="str">
        <f>Grinders!$B57</f>
        <v>llturboll</v>
      </c>
      <c r="B57" s="2" t="str">
        <f t="array" ref="B57">XLOOKUP($A57, Grinders!$B$4:$B998, Grinders!$A$4:$A998)</f>
        <v>GRD-54</v>
      </c>
      <c r="C57" s="33" t="s">
        <v>267</v>
      </c>
      <c r="D57" s="20" t="s">
        <v>266</v>
      </c>
      <c r="E57" s="2" t="s">
        <v>63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0" t="str">
        <f>Grinders!$B58</f>
        <v>teardagoat</v>
      </c>
      <c r="B58" s="2" t="str">
        <f t="array" ref="B58">XLOOKUP($A58, Grinders!$B$4:$B998, Grinders!$A$4:$A998)</f>
        <v>GRD-55</v>
      </c>
      <c r="C58" s="33" t="s">
        <v>267</v>
      </c>
      <c r="D58" s="20" t="s">
        <v>266</v>
      </c>
      <c r="E58" s="2" t="s">
        <v>63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0" t="str">
        <f>Grinders!$B59</f>
        <v>tengfg</v>
      </c>
      <c r="B59" s="2" t="str">
        <f t="array" ref="B59">XLOOKUP($A59, Grinders!$B$4:$B998, Grinders!$A$4:$A998)</f>
        <v>GRD-56</v>
      </c>
      <c r="C59" s="33" t="s">
        <v>267</v>
      </c>
      <c r="D59" s="20" t="s">
        <v>266</v>
      </c>
      <c r="E59" s="2" t="s">
        <v>63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0" t="str">
        <f>Grinders!$B60</f>
        <v>thanksevan</v>
      </c>
      <c r="B60" s="2" t="str">
        <f t="array" ref="B60">XLOOKUP($A60, Grinders!$B$4:$B998, Grinders!$A$4:$A998)</f>
        <v>GRD-57</v>
      </c>
      <c r="C60" s="33" t="s">
        <v>267</v>
      </c>
      <c r="D60" s="20" t="s">
        <v>266</v>
      </c>
      <c r="E60" s="2" t="s">
        <v>63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0" t="str">
        <f>Grinders!$B61</f>
        <v>tjack6291</v>
      </c>
      <c r="B61" s="2" t="str">
        <f t="array" ref="B61">XLOOKUP($A61, Grinders!$B$4:$B998, Grinders!$A$4:$A998)</f>
        <v>GRD-58</v>
      </c>
      <c r="C61" s="33" t="s">
        <v>267</v>
      </c>
      <c r="D61" s="20" t="s">
        <v>266</v>
      </c>
      <c r="E61" s="2" t="s">
        <v>63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0" t="str">
        <f>Grinders!$B62</f>
        <v>twizz1of1</v>
      </c>
      <c r="B62" s="2" t="str">
        <f t="array" ref="B62">XLOOKUP($A62, Grinders!$B$4:$B998, Grinders!$A$4:$A998)</f>
        <v>GRD-59</v>
      </c>
      <c r="C62" s="33" t="s">
        <v>267</v>
      </c>
      <c r="D62" s="20" t="s">
        <v>266</v>
      </c>
      <c r="E62" s="2" t="s">
        <v>63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0" t="str">
        <f>Grinders!$B63</f>
        <v>praisev6</v>
      </c>
      <c r="B63" s="2" t="str">
        <f t="array" ref="B63">XLOOKUP($A63, Grinders!$B$4:$B998, Grinders!$A$4:$A998)</f>
        <v>GRD-60</v>
      </c>
      <c r="C63" s="33" t="s">
        <v>267</v>
      </c>
      <c r="D63" s="20" t="s">
        <v>266</v>
      </c>
      <c r="E63" s="2" t="s">
        <v>63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0" t="str">
        <f>Grinders!$B64</f>
        <v>llwocky</v>
      </c>
      <c r="B64" s="2" t="str">
        <f t="array" ref="B64">XLOOKUP($A64, Grinders!$B$4:$B998, Grinders!$A$4:$A998)</f>
        <v>GRD-61</v>
      </c>
      <c r="C64" s="33" t="s">
        <v>267</v>
      </c>
      <c r="D64" s="20" t="s">
        <v>266</v>
      </c>
      <c r="E64" s="2" t="s">
        <v>63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0" t="str">
        <f>Grinders!$B65</f>
        <v>iiwolvezii</v>
      </c>
      <c r="B65" s="2" t="str">
        <f t="array" ref="B65">XLOOKUP($A65, Grinders!$B$4:$B998, Grinders!$A$4:$A998)</f>
        <v>GRD-62</v>
      </c>
      <c r="C65" s="33" t="s">
        <v>267</v>
      </c>
      <c r="D65" s="20" t="s">
        <v>266</v>
      </c>
      <c r="E65" s="2" t="s">
        <v>63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0" t="str">
        <f>Grinders!$B66</f>
        <v>xwuco</v>
      </c>
      <c r="B66" s="2" t="str">
        <f t="array" ref="B66">XLOOKUP($A66, Grinders!$B$4:$B998, Grinders!$A$4:$A998)</f>
        <v>GRD-63</v>
      </c>
      <c r="C66" s="33" t="s">
        <v>267</v>
      </c>
      <c r="D66" s="20" t="s">
        <v>266</v>
      </c>
      <c r="E66" s="2" t="s">
        <v>63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0" t="str">
        <f>Grinders!$B67</f>
        <v>xenon0038</v>
      </c>
      <c r="B67" s="2" t="str">
        <f t="array" ref="B67">XLOOKUP($A67, Grinders!$B$4:$B998, Grinders!$A$4:$A998)</f>
        <v>GRD-64</v>
      </c>
      <c r="C67" s="33" t="s">
        <v>267</v>
      </c>
      <c r="D67" s="20" t="s">
        <v>266</v>
      </c>
      <c r="E67" s="2" t="s">
        <v>63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0" t="str">
        <f>Grinders!$B68</f>
        <v>xlabgoat</v>
      </c>
      <c r="B68" s="2" t="str">
        <f t="array" ref="B68">XLOOKUP($A68, Grinders!$B$4:$B998, Grinders!$A$4:$A998)</f>
        <v>GRD-65</v>
      </c>
      <c r="C68" s="33" t="s">
        <v>267</v>
      </c>
      <c r="D68" s="20" t="s">
        <v>266</v>
      </c>
      <c r="E68" s="2" t="s">
        <v>63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0" t="str">
        <f>Grinders!$B69</f>
        <v>zb2kx</v>
      </c>
      <c r="B69" s="2" t="str">
        <f t="array" ref="B69">XLOOKUP($A69, Grinders!$B$4:$B998, Grinders!$A$4:$A998)</f>
        <v>GRD-66</v>
      </c>
      <c r="C69" s="33" t="s">
        <v>267</v>
      </c>
      <c r="D69" s="20" t="s">
        <v>266</v>
      </c>
      <c r="E69" s="2" t="s">
        <v>63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0" t="str">
        <f>Grinders!$B70</f>
        <v>jkrpt</v>
      </c>
      <c r="B70" s="2" t="str">
        <f t="array" ref="B70">XLOOKUP($A70, Grinders!$B$4:$B998, Grinders!$A$4:$A998)</f>
        <v>GRD-67</v>
      </c>
      <c r="C70" s="33" t="s">
        <v>267</v>
      </c>
      <c r="D70" s="20" t="s">
        <v>266</v>
      </c>
      <c r="E70" s="2" t="s">
        <v>63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0" t="str">
        <f>Grinders!$B71</f>
        <v>jumptv</v>
      </c>
      <c r="B71" s="2" t="str">
        <f t="array" ref="B71">XLOOKUP($A71, Grinders!$B$4:$B998, Grinders!$A$4:$A998)</f>
        <v>GRD-68</v>
      </c>
      <c r="C71" s="33" t="s">
        <v>267</v>
      </c>
      <c r="D71" s="20" t="s">
        <v>266</v>
      </c>
      <c r="E71" s="2" t="s">
        <v>63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0" t="str">
        <f>Grinders!$B72</f>
        <v>keemsx</v>
      </c>
      <c r="B72" s="2" t="str">
        <f t="array" ref="B72">XLOOKUP($A72, Grinders!$B$4:$B998, Grinders!$A$4:$A998)</f>
        <v>GRD-69</v>
      </c>
      <c r="C72" s="33" t="s">
        <v>267</v>
      </c>
      <c r="D72" s="20" t="s">
        <v>266</v>
      </c>
      <c r="E72" s="2" t="s">
        <v>63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0" t="str">
        <f>Grinders!$B73</f>
        <v>xbreezyy1</v>
      </c>
      <c r="B73" s="2" t="str">
        <f t="array" ref="B73">XLOOKUP($A73, Grinders!$B$4:$B998, Grinders!$A$4:$A998)</f>
        <v>GRD-70</v>
      </c>
      <c r="C73" s="33" t="s">
        <v>267</v>
      </c>
      <c r="D73" s="20" t="s">
        <v>266</v>
      </c>
      <c r="E73" s="2" t="s">
        <v>63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0" t="str">
        <f>Grinders!$B74</f>
        <v>luvgill</v>
      </c>
      <c r="B74" s="2" t="str">
        <f t="array" ref="B74">XLOOKUP($A74, Grinders!$B$4:$B998, Grinders!$A$4:$A998)</f>
        <v>GRD-71</v>
      </c>
      <c r="C74" s="33" t="s">
        <v>267</v>
      </c>
      <c r="D74" s="20" t="s">
        <v>266</v>
      </c>
      <c r="E74" s="2" t="s">
        <v>63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0" t="str">
        <f>Grinders!$B75</f>
        <v>philly223</v>
      </c>
      <c r="B75" s="2" t="str">
        <f t="array" ref="B75">XLOOKUP($A75, Grinders!$B$4:$B998, Grinders!$A$4:$A998)</f>
        <v>GRD-72</v>
      </c>
      <c r="C75" s="33" t="s">
        <v>267</v>
      </c>
      <c r="D75" s="20" t="s">
        <v>266</v>
      </c>
      <c r="E75" s="2" t="s">
        <v>63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0" t="str">
        <f>Grinders!$B76</f>
        <v>tr6nd</v>
      </c>
      <c r="B76" s="2" t="str">
        <f t="array" ref="B76">XLOOKUP($A76, Grinders!$B$4:$B998, Grinders!$A$4:$A998)</f>
        <v>GRD-73</v>
      </c>
      <c r="C76" s="33" t="s">
        <v>267</v>
      </c>
      <c r="D76" s="20" t="s">
        <v>266</v>
      </c>
      <c r="E76" s="2" t="s">
        <v>63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0" t="str">
        <f>Grinders!$B77</f>
        <v/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2"/>
      <c r="B220" s="2"/>
      <c r="C220" s="2"/>
      <c r="D220" s="2"/>
      <c r="E220" s="2"/>
      <c r="F220" s="2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2"/>
      <c r="B221" s="2"/>
      <c r="C221" s="2"/>
      <c r="D221" s="2"/>
      <c r="E221" s="2"/>
      <c r="F221" s="2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2"/>
      <c r="B222" s="2"/>
      <c r="C222" s="2"/>
      <c r="D222" s="2"/>
      <c r="E222" s="2"/>
      <c r="F222" s="2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2"/>
      <c r="B223" s="2"/>
      <c r="C223" s="2"/>
      <c r="D223" s="2"/>
      <c r="E223" s="2"/>
      <c r="F223" s="2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2"/>
      <c r="B224" s="2"/>
      <c r="C224" s="2"/>
      <c r="D224" s="2"/>
      <c r="E224" s="2"/>
      <c r="F224" s="2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2"/>
      <c r="B225" s="2"/>
      <c r="C225" s="2"/>
      <c r="D225" s="2"/>
      <c r="E225" s="2"/>
      <c r="F225" s="2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2"/>
      <c r="B226" s="2"/>
      <c r="C226" s="2"/>
      <c r="D226" s="2"/>
      <c r="E226" s="2"/>
      <c r="F226" s="2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2"/>
      <c r="B227" s="2"/>
      <c r="C227" s="2"/>
      <c r="D227" s="2"/>
      <c r="E227" s="2"/>
      <c r="F227" s="2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2"/>
      <c r="B228" s="2"/>
      <c r="C228" s="2"/>
      <c r="D228" s="2"/>
      <c r="E228" s="2"/>
      <c r="F228" s="2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2"/>
      <c r="B229" s="2"/>
      <c r="C229" s="2"/>
      <c r="D229" s="2"/>
      <c r="E229" s="2"/>
      <c r="F229" s="2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2"/>
      <c r="B230" s="2"/>
      <c r="C230" s="2"/>
      <c r="D230" s="2"/>
      <c r="E230" s="2"/>
      <c r="F230" s="2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2"/>
      <c r="B231" s="2"/>
      <c r="C231" s="2"/>
      <c r="D231" s="2"/>
      <c r="E231" s="2"/>
      <c r="F231" s="2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2"/>
      <c r="B232" s="2"/>
      <c r="C232" s="2"/>
      <c r="D232" s="2"/>
      <c r="E232" s="2"/>
      <c r="F232" s="2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2"/>
      <c r="B233" s="2"/>
      <c r="C233" s="2"/>
      <c r="D233" s="2"/>
      <c r="E233" s="2"/>
      <c r="F233" s="2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2"/>
      <c r="B234" s="2"/>
      <c r="C234" s="2"/>
      <c r="D234" s="2"/>
      <c r="E234" s="2"/>
      <c r="F234" s="2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2"/>
      <c r="B235" s="2"/>
      <c r="C235" s="2"/>
      <c r="D235" s="2"/>
      <c r="E235" s="2"/>
      <c r="F235" s="2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2"/>
      <c r="B236" s="2"/>
      <c r="C236" s="2"/>
      <c r="D236" s="2"/>
      <c r="E236" s="2"/>
      <c r="F236" s="2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2"/>
      <c r="B237" s="2"/>
      <c r="C237" s="2"/>
      <c r="D237" s="2"/>
      <c r="E237" s="2"/>
      <c r="F237" s="2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2"/>
      <c r="B238" s="2"/>
      <c r="C238" s="2"/>
      <c r="D238" s="2"/>
      <c r="E238" s="2"/>
      <c r="F238" s="2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2"/>
      <c r="B239" s="2"/>
      <c r="C239" s="2"/>
      <c r="D239" s="2"/>
      <c r="E239" s="2"/>
      <c r="F239" s="2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2"/>
      <c r="B240" s="2"/>
      <c r="C240" s="2"/>
      <c r="D240" s="2"/>
      <c r="E240" s="2"/>
      <c r="F240" s="2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2"/>
      <c r="B241" s="2"/>
      <c r="C241" s="2"/>
      <c r="D241" s="2"/>
      <c r="E241" s="2"/>
      <c r="F241" s="2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2"/>
      <c r="B242" s="2"/>
      <c r="C242" s="2"/>
      <c r="D242" s="2"/>
      <c r="E242" s="2"/>
      <c r="F242" s="2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2"/>
      <c r="B243" s="2"/>
      <c r="C243" s="2"/>
      <c r="D243" s="2"/>
      <c r="E243" s="2"/>
      <c r="F243" s="2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2"/>
      <c r="B244" s="2"/>
      <c r="C244" s="2"/>
      <c r="D244" s="2"/>
      <c r="E244" s="2"/>
      <c r="F244" s="2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2"/>
      <c r="B245" s="2"/>
      <c r="C245" s="2"/>
      <c r="D245" s="2"/>
      <c r="E245" s="2"/>
      <c r="F245" s="2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2"/>
      <c r="B246" s="2"/>
      <c r="C246" s="2"/>
      <c r="D246" s="2"/>
      <c r="E246" s="2"/>
      <c r="F246" s="2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2"/>
      <c r="B247" s="2"/>
      <c r="C247" s="2"/>
      <c r="D247" s="2"/>
      <c r="E247" s="2"/>
      <c r="F247" s="2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2"/>
      <c r="B248" s="2"/>
      <c r="C248" s="2"/>
      <c r="D248" s="2"/>
      <c r="E248" s="2"/>
      <c r="F248" s="2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2"/>
      <c r="B249" s="2"/>
      <c r="C249" s="2"/>
      <c r="D249" s="2"/>
      <c r="E249" s="2"/>
      <c r="F249" s="2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2"/>
      <c r="B250" s="2"/>
      <c r="C250" s="2"/>
      <c r="D250" s="2"/>
      <c r="E250" s="2"/>
      <c r="F250" s="2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2"/>
      <c r="B251" s="2"/>
      <c r="C251" s="2"/>
      <c r="D251" s="2"/>
      <c r="E251" s="2"/>
      <c r="F251" s="2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2"/>
      <c r="B252" s="2"/>
      <c r="C252" s="2"/>
      <c r="D252" s="2"/>
      <c r="E252" s="2"/>
      <c r="F252" s="2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2"/>
      <c r="B253" s="2"/>
      <c r="C253" s="2"/>
      <c r="D253" s="2"/>
      <c r="E253" s="2"/>
      <c r="F253" s="2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2"/>
      <c r="B254" s="2"/>
      <c r="C254" s="2"/>
      <c r="D254" s="2"/>
      <c r="E254" s="2"/>
      <c r="F254" s="2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2"/>
      <c r="B255" s="2"/>
      <c r="C255" s="2"/>
      <c r="D255" s="2"/>
      <c r="E255" s="2"/>
      <c r="F255" s="2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2"/>
      <c r="B256" s="2"/>
      <c r="C256" s="2"/>
      <c r="D256" s="2"/>
      <c r="E256" s="2"/>
      <c r="F256" s="2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2"/>
      <c r="B257" s="2"/>
      <c r="C257" s="2"/>
      <c r="D257" s="2"/>
      <c r="E257" s="2"/>
      <c r="F257" s="2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2"/>
      <c r="B258" s="2"/>
      <c r="C258" s="2"/>
      <c r="D258" s="2"/>
      <c r="E258" s="2"/>
      <c r="F258" s="2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2"/>
      <c r="B259" s="2"/>
      <c r="C259" s="2"/>
      <c r="D259" s="2"/>
      <c r="E259" s="2"/>
      <c r="F259" s="2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2"/>
      <c r="B260" s="2"/>
      <c r="C260" s="2"/>
      <c r="D260" s="2"/>
      <c r="E260" s="2"/>
      <c r="F260" s="2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2"/>
      <c r="B261" s="2"/>
      <c r="C261" s="2"/>
      <c r="D261" s="2"/>
      <c r="E261" s="2"/>
      <c r="F261" s="2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2"/>
      <c r="B262" s="2"/>
      <c r="C262" s="2"/>
      <c r="D262" s="2"/>
      <c r="E262" s="2"/>
      <c r="F262" s="2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2"/>
      <c r="B263" s="2"/>
      <c r="C263" s="2"/>
      <c r="D263" s="2"/>
      <c r="E263" s="2"/>
      <c r="F263" s="2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2"/>
      <c r="B264" s="2"/>
      <c r="C264" s="2"/>
      <c r="D264" s="2"/>
      <c r="E264" s="2"/>
      <c r="F264" s="2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2"/>
      <c r="B265" s="2"/>
      <c r="C265" s="2"/>
      <c r="D265" s="2"/>
      <c r="E265" s="2"/>
      <c r="F265" s="2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2"/>
      <c r="B266" s="2"/>
      <c r="C266" s="2"/>
      <c r="D266" s="2"/>
      <c r="E266" s="2"/>
      <c r="F266" s="2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2"/>
      <c r="B267" s="2"/>
      <c r="C267" s="2"/>
      <c r="D267" s="2"/>
      <c r="E267" s="2"/>
      <c r="F267" s="2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2"/>
      <c r="B268" s="2"/>
      <c r="C268" s="2"/>
      <c r="D268" s="2"/>
      <c r="E268" s="2"/>
      <c r="F268" s="2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2"/>
      <c r="B269" s="2"/>
      <c r="C269" s="2"/>
      <c r="D269" s="2"/>
      <c r="E269" s="2"/>
      <c r="F269" s="2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2"/>
      <c r="B270" s="2"/>
      <c r="C270" s="2"/>
      <c r="D270" s="2"/>
      <c r="E270" s="2"/>
      <c r="F270" s="2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2"/>
      <c r="B271" s="2"/>
      <c r="C271" s="2"/>
      <c r="D271" s="2"/>
      <c r="E271" s="2"/>
      <c r="F271" s="2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2"/>
      <c r="B272" s="2"/>
      <c r="C272" s="2"/>
      <c r="D272" s="2"/>
      <c r="E272" s="2"/>
      <c r="F272" s="2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2"/>
      <c r="B273" s="2"/>
      <c r="C273" s="2"/>
      <c r="D273" s="2"/>
      <c r="E273" s="2"/>
      <c r="F273" s="2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2"/>
      <c r="B274" s="2"/>
      <c r="C274" s="2"/>
      <c r="D274" s="2"/>
      <c r="E274" s="2"/>
      <c r="F274" s="2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2"/>
      <c r="B275" s="2"/>
      <c r="C275" s="2"/>
      <c r="D275" s="2"/>
      <c r="E275" s="2"/>
      <c r="F275" s="2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2"/>
      <c r="B276" s="2"/>
      <c r="C276" s="2"/>
      <c r="D276" s="2"/>
      <c r="E276" s="2"/>
      <c r="F276" s="2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2"/>
      <c r="B277" s="2"/>
      <c r="C277" s="2"/>
      <c r="D277" s="2"/>
      <c r="E277" s="2"/>
      <c r="F277" s="2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2"/>
      <c r="B278" s="2"/>
      <c r="C278" s="2"/>
      <c r="D278" s="2"/>
      <c r="E278" s="2"/>
      <c r="F278" s="2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2"/>
      <c r="B279" s="2"/>
      <c r="C279" s="2"/>
      <c r="D279" s="2"/>
      <c r="E279" s="2"/>
      <c r="F279" s="2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2"/>
      <c r="B280" s="2"/>
      <c r="C280" s="2"/>
      <c r="D280" s="2"/>
      <c r="E280" s="2"/>
      <c r="F280" s="2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2"/>
      <c r="B281" s="2"/>
      <c r="C281" s="2"/>
      <c r="D281" s="2"/>
      <c r="E281" s="2"/>
      <c r="F281" s="2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2"/>
      <c r="B282" s="2"/>
      <c r="C282" s="2"/>
      <c r="D282" s="2"/>
      <c r="E282" s="2"/>
      <c r="F282" s="2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2"/>
      <c r="B283" s="2"/>
      <c r="C283" s="2"/>
      <c r="D283" s="2"/>
      <c r="E283" s="2"/>
      <c r="F283" s="2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2"/>
      <c r="B284" s="2"/>
      <c r="C284" s="2"/>
      <c r="D284" s="2"/>
      <c r="E284" s="2"/>
      <c r="F284" s="2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2"/>
      <c r="B285" s="2"/>
      <c r="C285" s="2"/>
      <c r="D285" s="2"/>
      <c r="E285" s="2"/>
      <c r="F285" s="2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2"/>
      <c r="B286" s="2"/>
      <c r="C286" s="2"/>
      <c r="D286" s="2"/>
      <c r="E286" s="2"/>
      <c r="F286" s="2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2"/>
      <c r="B287" s="2"/>
      <c r="C287" s="2"/>
      <c r="D287" s="2"/>
      <c r="E287" s="2"/>
      <c r="F287" s="2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2"/>
      <c r="B288" s="2"/>
      <c r="C288" s="2"/>
      <c r="D288" s="2"/>
      <c r="E288" s="2"/>
      <c r="F288" s="2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2"/>
      <c r="B289" s="2"/>
      <c r="C289" s="2"/>
      <c r="D289" s="2"/>
      <c r="E289" s="2"/>
      <c r="F289" s="2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2"/>
      <c r="B290" s="2"/>
      <c r="C290" s="2"/>
      <c r="D290" s="2"/>
      <c r="E290" s="2"/>
      <c r="F290" s="2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2"/>
      <c r="B291" s="2"/>
      <c r="C291" s="2"/>
      <c r="D291" s="2"/>
      <c r="E291" s="2"/>
      <c r="F291" s="2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2"/>
      <c r="B292" s="2"/>
      <c r="C292" s="2"/>
      <c r="D292" s="2"/>
      <c r="E292" s="2"/>
      <c r="F292" s="2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2"/>
      <c r="B293" s="2"/>
      <c r="C293" s="2"/>
      <c r="D293" s="2"/>
      <c r="E293" s="2"/>
      <c r="F293" s="2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2"/>
      <c r="B294" s="2"/>
      <c r="C294" s="2"/>
      <c r="D294" s="2"/>
      <c r="E294" s="2"/>
      <c r="F294" s="2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2"/>
      <c r="B295" s="2"/>
      <c r="C295" s="2"/>
      <c r="D295" s="2"/>
      <c r="E295" s="2"/>
      <c r="F295" s="2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2"/>
      <c r="B296" s="2"/>
      <c r="C296" s="2"/>
      <c r="D296" s="2"/>
      <c r="E296" s="2"/>
      <c r="F296" s="2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2"/>
      <c r="B297" s="2"/>
      <c r="C297" s="2"/>
      <c r="D297" s="2"/>
      <c r="E297" s="2"/>
      <c r="F297" s="2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2"/>
      <c r="B298" s="2"/>
      <c r="C298" s="2"/>
      <c r="D298" s="2"/>
      <c r="E298" s="2"/>
      <c r="F298" s="2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2"/>
      <c r="B299" s="2"/>
      <c r="C299" s="2"/>
      <c r="D299" s="2"/>
      <c r="E299" s="2"/>
      <c r="F299" s="2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2"/>
      <c r="B300" s="2"/>
      <c r="C300" s="2"/>
      <c r="D300" s="2"/>
      <c r="E300" s="2"/>
      <c r="F300" s="2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2"/>
      <c r="B301" s="2"/>
      <c r="C301" s="2"/>
      <c r="D301" s="2"/>
      <c r="E301" s="2"/>
      <c r="F301" s="2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2"/>
      <c r="B302" s="2"/>
      <c r="C302" s="2"/>
      <c r="D302" s="2"/>
      <c r="E302" s="2"/>
      <c r="F302" s="2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2"/>
      <c r="B303" s="2"/>
      <c r="C303" s="2"/>
      <c r="D303" s="2"/>
      <c r="E303" s="2"/>
      <c r="F303" s="2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2"/>
      <c r="B304" s="2"/>
      <c r="C304" s="2"/>
      <c r="D304" s="2"/>
      <c r="E304" s="2"/>
      <c r="F304" s="2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2"/>
      <c r="B305" s="2"/>
      <c r="C305" s="2"/>
      <c r="D305" s="2"/>
      <c r="E305" s="2"/>
      <c r="F305" s="2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2"/>
      <c r="B306" s="2"/>
      <c r="C306" s="2"/>
      <c r="D306" s="2"/>
      <c r="E306" s="2"/>
      <c r="F306" s="2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2"/>
      <c r="B307" s="2"/>
      <c r="C307" s="2"/>
      <c r="D307" s="2"/>
      <c r="E307" s="2"/>
      <c r="F307" s="2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2"/>
      <c r="B308" s="2"/>
      <c r="C308" s="2"/>
      <c r="D308" s="2"/>
      <c r="E308" s="2"/>
      <c r="F308" s="2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2"/>
      <c r="B309" s="2"/>
      <c r="C309" s="2"/>
      <c r="D309" s="2"/>
      <c r="E309" s="2"/>
      <c r="F309" s="2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2"/>
      <c r="B310" s="2"/>
      <c r="C310" s="2"/>
      <c r="D310" s="2"/>
      <c r="E310" s="2"/>
      <c r="F310" s="2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2"/>
      <c r="B311" s="2"/>
      <c r="C311" s="2"/>
      <c r="D311" s="2"/>
      <c r="E311" s="2"/>
      <c r="F311" s="2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2"/>
      <c r="B312" s="2"/>
      <c r="C312" s="2"/>
      <c r="D312" s="2"/>
      <c r="E312" s="2"/>
      <c r="F312" s="2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2"/>
      <c r="B313" s="2"/>
      <c r="C313" s="2"/>
      <c r="D313" s="2"/>
      <c r="E313" s="2"/>
      <c r="F313" s="2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2"/>
      <c r="B314" s="2"/>
      <c r="C314" s="2"/>
      <c r="D314" s="2"/>
      <c r="E314" s="2"/>
      <c r="F314" s="2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2"/>
      <c r="B315" s="2"/>
      <c r="C315" s="2"/>
      <c r="D315" s="2"/>
      <c r="E315" s="2"/>
      <c r="F315" s="2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2"/>
      <c r="B316" s="2"/>
      <c r="C316" s="2"/>
      <c r="D316" s="2"/>
      <c r="E316" s="2"/>
      <c r="F316" s="2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2"/>
      <c r="B317" s="2"/>
      <c r="C317" s="2"/>
      <c r="D317" s="2"/>
      <c r="E317" s="2"/>
      <c r="F317" s="2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2"/>
      <c r="B318" s="2"/>
      <c r="C318" s="2"/>
      <c r="D318" s="2"/>
      <c r="E318" s="2"/>
      <c r="F318" s="2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2"/>
      <c r="B319" s="2"/>
      <c r="C319" s="2"/>
      <c r="D319" s="2"/>
      <c r="E319" s="2"/>
      <c r="F319" s="2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2"/>
      <c r="B320" s="2"/>
      <c r="C320" s="2"/>
      <c r="D320" s="2"/>
      <c r="E320" s="2"/>
      <c r="F320" s="2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2"/>
      <c r="B321" s="2"/>
      <c r="C321" s="2"/>
      <c r="D321" s="2"/>
      <c r="E321" s="2"/>
      <c r="F321" s="2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2"/>
      <c r="B322" s="2"/>
      <c r="C322" s="2"/>
      <c r="D322" s="2"/>
      <c r="E322" s="2"/>
      <c r="F322" s="2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2"/>
      <c r="B323" s="2"/>
      <c r="C323" s="2"/>
      <c r="D323" s="2"/>
      <c r="E323" s="2"/>
      <c r="F323" s="2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2"/>
      <c r="B324" s="2"/>
      <c r="C324" s="2"/>
      <c r="D324" s="2"/>
      <c r="E324" s="2"/>
      <c r="F324" s="2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2"/>
      <c r="B325" s="2"/>
      <c r="C325" s="2"/>
      <c r="D325" s="2"/>
      <c r="E325" s="2"/>
      <c r="F325" s="2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2"/>
      <c r="B326" s="2"/>
      <c r="C326" s="2"/>
      <c r="D326" s="2"/>
      <c r="E326" s="2"/>
      <c r="F326" s="2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2"/>
      <c r="B327" s="2"/>
      <c r="C327" s="2"/>
      <c r="D327" s="2"/>
      <c r="E327" s="2"/>
      <c r="F327" s="2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2"/>
      <c r="B328" s="2"/>
      <c r="C328" s="2"/>
      <c r="D328" s="2"/>
      <c r="E328" s="2"/>
      <c r="F328" s="2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2"/>
      <c r="B329" s="2"/>
      <c r="C329" s="2"/>
      <c r="D329" s="2"/>
      <c r="E329" s="2"/>
      <c r="F329" s="2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2"/>
      <c r="B330" s="2"/>
      <c r="C330" s="2"/>
      <c r="D330" s="2"/>
      <c r="E330" s="2"/>
      <c r="F330" s="2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2"/>
      <c r="B331" s="2"/>
      <c r="C331" s="2"/>
      <c r="D331" s="2"/>
      <c r="E331" s="2"/>
      <c r="F331" s="2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2"/>
      <c r="B332" s="2"/>
      <c r="C332" s="2"/>
      <c r="D332" s="2"/>
      <c r="E332" s="2"/>
      <c r="F332" s="2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2"/>
      <c r="B333" s="2"/>
      <c r="C333" s="2"/>
      <c r="D333" s="2"/>
      <c r="E333" s="2"/>
      <c r="F333" s="2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2"/>
      <c r="B334" s="2"/>
      <c r="C334" s="2"/>
      <c r="D334" s="2"/>
      <c r="E334" s="2"/>
      <c r="F334" s="2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2"/>
      <c r="B335" s="2"/>
      <c r="C335" s="2"/>
      <c r="D335" s="2"/>
      <c r="E335" s="2"/>
      <c r="F335" s="2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2"/>
      <c r="B336" s="2"/>
      <c r="C336" s="2"/>
      <c r="D336" s="2"/>
      <c r="E336" s="2"/>
      <c r="F336" s="2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2"/>
      <c r="B337" s="2"/>
      <c r="C337" s="2"/>
      <c r="D337" s="2"/>
      <c r="E337" s="2"/>
      <c r="F337" s="2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2"/>
      <c r="B338" s="2"/>
      <c r="C338" s="2"/>
      <c r="D338" s="2"/>
      <c r="E338" s="2"/>
      <c r="F338" s="2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2"/>
      <c r="B339" s="2"/>
      <c r="C339" s="2"/>
      <c r="D339" s="2"/>
      <c r="E339" s="2"/>
      <c r="F339" s="2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2"/>
      <c r="B340" s="2"/>
      <c r="C340" s="2"/>
      <c r="D340" s="2"/>
      <c r="E340" s="2"/>
      <c r="F340" s="2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2"/>
      <c r="B341" s="2"/>
      <c r="C341" s="2"/>
      <c r="D341" s="2"/>
      <c r="E341" s="2"/>
      <c r="F341" s="2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2"/>
      <c r="B342" s="2"/>
      <c r="C342" s="2"/>
      <c r="D342" s="2"/>
      <c r="E342" s="2"/>
      <c r="F342" s="2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2"/>
      <c r="B343" s="2"/>
      <c r="C343" s="2"/>
      <c r="D343" s="2"/>
      <c r="E343" s="2"/>
      <c r="F343" s="2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2"/>
      <c r="B344" s="2"/>
      <c r="C344" s="2"/>
      <c r="D344" s="2"/>
      <c r="E344" s="2"/>
      <c r="F344" s="2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2"/>
      <c r="B345" s="2"/>
      <c r="C345" s="2"/>
      <c r="D345" s="2"/>
      <c r="E345" s="2"/>
      <c r="F345" s="2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2"/>
      <c r="B346" s="2"/>
      <c r="C346" s="2"/>
      <c r="D346" s="2"/>
      <c r="E346" s="2"/>
      <c r="F346" s="2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2"/>
      <c r="B347" s="2"/>
      <c r="C347" s="2"/>
      <c r="D347" s="2"/>
      <c r="E347" s="2"/>
      <c r="F347" s="2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2"/>
      <c r="B348" s="2"/>
      <c r="C348" s="2"/>
      <c r="D348" s="2"/>
      <c r="E348" s="2"/>
      <c r="F348" s="2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2"/>
      <c r="B349" s="2"/>
      <c r="C349" s="2"/>
      <c r="D349" s="2"/>
      <c r="E349" s="2"/>
      <c r="F349" s="2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2"/>
      <c r="B350" s="2"/>
      <c r="C350" s="2"/>
      <c r="D350" s="2"/>
      <c r="E350" s="2"/>
      <c r="F350" s="2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2"/>
      <c r="B351" s="2"/>
      <c r="C351" s="2"/>
      <c r="D351" s="2"/>
      <c r="E351" s="2"/>
      <c r="F351" s="2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2"/>
      <c r="B352" s="2"/>
      <c r="C352" s="2"/>
      <c r="D352" s="2"/>
      <c r="E352" s="2"/>
      <c r="F352" s="2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2"/>
      <c r="B353" s="2"/>
      <c r="C353" s="2"/>
      <c r="D353" s="2"/>
      <c r="E353" s="2"/>
      <c r="F353" s="2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2"/>
      <c r="B354" s="2"/>
      <c r="C354" s="2"/>
      <c r="D354" s="2"/>
      <c r="E354" s="2"/>
      <c r="F354" s="2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2"/>
      <c r="B355" s="2"/>
      <c r="C355" s="2"/>
      <c r="D355" s="2"/>
      <c r="E355" s="2"/>
      <c r="F355" s="2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2"/>
      <c r="B356" s="2"/>
      <c r="C356" s="2"/>
      <c r="D356" s="2"/>
      <c r="E356" s="2"/>
      <c r="F356" s="2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2"/>
      <c r="B357" s="2"/>
      <c r="C357" s="2"/>
      <c r="D357" s="2"/>
      <c r="E357" s="2"/>
      <c r="F357" s="2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2"/>
      <c r="B358" s="2"/>
      <c r="C358" s="2"/>
      <c r="D358" s="2"/>
      <c r="E358" s="2"/>
      <c r="F358" s="2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2"/>
      <c r="B359" s="2"/>
      <c r="C359" s="2"/>
      <c r="D359" s="2"/>
      <c r="E359" s="2"/>
      <c r="F359" s="2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2"/>
      <c r="B360" s="2"/>
      <c r="C360" s="2"/>
      <c r="D360" s="2"/>
      <c r="E360" s="2"/>
      <c r="F360" s="2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2"/>
      <c r="B361" s="2"/>
      <c r="C361" s="2"/>
      <c r="D361" s="2"/>
      <c r="E361" s="2"/>
      <c r="F361" s="2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2"/>
      <c r="B362" s="2"/>
      <c r="C362" s="2"/>
      <c r="D362" s="2"/>
      <c r="E362" s="2"/>
      <c r="F362" s="2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2"/>
      <c r="B363" s="2"/>
      <c r="C363" s="2"/>
      <c r="D363" s="2"/>
      <c r="E363" s="2"/>
      <c r="F363" s="2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2"/>
      <c r="B364" s="2"/>
      <c r="C364" s="2"/>
      <c r="D364" s="2"/>
      <c r="E364" s="2"/>
      <c r="F364" s="2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2"/>
      <c r="B365" s="2"/>
      <c r="C365" s="2"/>
      <c r="D365" s="2"/>
      <c r="E365" s="2"/>
      <c r="F365" s="2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2"/>
      <c r="B366" s="2"/>
      <c r="C366" s="2"/>
      <c r="D366" s="2"/>
      <c r="E366" s="2"/>
      <c r="F366" s="2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2"/>
      <c r="B367" s="2"/>
      <c r="C367" s="2"/>
      <c r="D367" s="2"/>
      <c r="E367" s="2"/>
      <c r="F367" s="2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2"/>
      <c r="B368" s="2"/>
      <c r="C368" s="2"/>
      <c r="D368" s="2"/>
      <c r="E368" s="2"/>
      <c r="F368" s="2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2"/>
      <c r="B369" s="2"/>
      <c r="C369" s="2"/>
      <c r="D369" s="2"/>
      <c r="E369" s="2"/>
      <c r="F369" s="2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2"/>
      <c r="B370" s="2"/>
      <c r="C370" s="2"/>
      <c r="D370" s="2"/>
      <c r="E370" s="2"/>
      <c r="F370" s="2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2"/>
      <c r="B371" s="2"/>
      <c r="C371" s="2"/>
      <c r="D371" s="2"/>
      <c r="E371" s="2"/>
      <c r="F371" s="2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2"/>
      <c r="B372" s="2"/>
      <c r="C372" s="2"/>
      <c r="D372" s="2"/>
      <c r="E372" s="2"/>
      <c r="F372" s="2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2"/>
      <c r="B373" s="2"/>
      <c r="C373" s="2"/>
      <c r="D373" s="2"/>
      <c r="E373" s="2"/>
      <c r="F373" s="2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2"/>
      <c r="B374" s="2"/>
      <c r="C374" s="2"/>
      <c r="D374" s="2"/>
      <c r="E374" s="2"/>
      <c r="F374" s="2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2"/>
      <c r="B375" s="2"/>
      <c r="C375" s="2"/>
      <c r="D375" s="2"/>
      <c r="E375" s="2"/>
      <c r="F375" s="2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2"/>
      <c r="B376" s="2"/>
      <c r="C376" s="2"/>
      <c r="D376" s="2"/>
      <c r="E376" s="2"/>
      <c r="F376" s="2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2"/>
      <c r="B377" s="2"/>
      <c r="C377" s="2"/>
      <c r="D377" s="2"/>
      <c r="E377" s="2"/>
      <c r="F377" s="2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2"/>
      <c r="B378" s="2"/>
      <c r="C378" s="2"/>
      <c r="D378" s="2"/>
      <c r="E378" s="2"/>
      <c r="F378" s="2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2"/>
      <c r="B379" s="2"/>
      <c r="C379" s="2"/>
      <c r="D379" s="2"/>
      <c r="E379" s="2"/>
      <c r="F379" s="2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2"/>
      <c r="B380" s="2"/>
      <c r="C380" s="2"/>
      <c r="D380" s="2"/>
      <c r="E380" s="2"/>
      <c r="F380" s="2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2"/>
      <c r="B381" s="2"/>
      <c r="C381" s="2"/>
      <c r="D381" s="2"/>
      <c r="E381" s="2"/>
      <c r="F381" s="2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2"/>
      <c r="B382" s="2"/>
      <c r="C382" s="2"/>
      <c r="D382" s="2"/>
      <c r="E382" s="2"/>
      <c r="F382" s="2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2"/>
      <c r="B383" s="2"/>
      <c r="C383" s="2"/>
      <c r="D383" s="2"/>
      <c r="E383" s="2"/>
      <c r="F383" s="2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2"/>
      <c r="B384" s="2"/>
      <c r="C384" s="2"/>
      <c r="D384" s="2"/>
      <c r="E384" s="2"/>
      <c r="F384" s="2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2"/>
      <c r="B385" s="2"/>
      <c r="C385" s="2"/>
      <c r="D385" s="2"/>
      <c r="E385" s="2"/>
      <c r="F385" s="2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2"/>
      <c r="B386" s="2"/>
      <c r="C386" s="2"/>
      <c r="D386" s="2"/>
      <c r="E386" s="2"/>
      <c r="F386" s="2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2"/>
      <c r="B387" s="2"/>
      <c r="C387" s="2"/>
      <c r="D387" s="2"/>
      <c r="E387" s="2"/>
      <c r="F387" s="2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2"/>
      <c r="B388" s="2"/>
      <c r="C388" s="2"/>
      <c r="D388" s="2"/>
      <c r="E388" s="2"/>
      <c r="F388" s="2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2"/>
      <c r="B389" s="2"/>
      <c r="C389" s="2"/>
      <c r="D389" s="2"/>
      <c r="E389" s="2"/>
      <c r="F389" s="2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2"/>
      <c r="B390" s="2"/>
      <c r="C390" s="2"/>
      <c r="D390" s="2"/>
      <c r="E390" s="2"/>
      <c r="F390" s="2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2"/>
      <c r="B391" s="2"/>
      <c r="C391" s="2"/>
      <c r="D391" s="2"/>
      <c r="E391" s="2"/>
      <c r="F391" s="2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2"/>
      <c r="B392" s="2"/>
      <c r="C392" s="2"/>
      <c r="D392" s="2"/>
      <c r="E392" s="2"/>
      <c r="F392" s="2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2"/>
      <c r="B393" s="2"/>
      <c r="C393" s="2"/>
      <c r="D393" s="2"/>
      <c r="E393" s="2"/>
      <c r="F393" s="2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2"/>
      <c r="B394" s="2"/>
      <c r="C394" s="2"/>
      <c r="D394" s="2"/>
      <c r="E394" s="2"/>
      <c r="F394" s="2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2"/>
      <c r="B395" s="2"/>
      <c r="C395" s="2"/>
      <c r="D395" s="2"/>
      <c r="E395" s="2"/>
      <c r="F395" s="2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2"/>
      <c r="B396" s="2"/>
      <c r="C396" s="2"/>
      <c r="D396" s="2"/>
      <c r="E396" s="2"/>
      <c r="F396" s="2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2"/>
      <c r="B397" s="2"/>
      <c r="C397" s="2"/>
      <c r="D397" s="2"/>
      <c r="E397" s="2"/>
      <c r="F397" s="2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2"/>
      <c r="B398" s="2"/>
      <c r="C398" s="2"/>
      <c r="D398" s="2"/>
      <c r="E398" s="2"/>
      <c r="F398" s="2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2"/>
      <c r="B399" s="2"/>
      <c r="C399" s="2"/>
      <c r="D399" s="2"/>
      <c r="E399" s="2"/>
      <c r="F399" s="2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2"/>
      <c r="B400" s="2"/>
      <c r="C400" s="2"/>
      <c r="D400" s="2"/>
      <c r="E400" s="2"/>
      <c r="F400" s="2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2"/>
      <c r="B401" s="2"/>
      <c r="C401" s="2"/>
      <c r="D401" s="2"/>
      <c r="E401" s="2"/>
      <c r="F401" s="2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2"/>
      <c r="B402" s="2"/>
      <c r="C402" s="2"/>
      <c r="D402" s="2"/>
      <c r="E402" s="2"/>
      <c r="F402" s="2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2"/>
      <c r="B403" s="2"/>
      <c r="C403" s="2"/>
      <c r="D403" s="2"/>
      <c r="E403" s="2"/>
      <c r="F403" s="2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2"/>
      <c r="B404" s="2"/>
      <c r="C404" s="2"/>
      <c r="D404" s="2"/>
      <c r="E404" s="2"/>
      <c r="F404" s="2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2"/>
      <c r="B405" s="2"/>
      <c r="C405" s="2"/>
      <c r="D405" s="2"/>
      <c r="E405" s="2"/>
      <c r="F405" s="2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2"/>
      <c r="B406" s="2"/>
      <c r="C406" s="2"/>
      <c r="D406" s="2"/>
      <c r="E406" s="2"/>
      <c r="F406" s="2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2"/>
      <c r="B407" s="2"/>
      <c r="C407" s="2"/>
      <c r="D407" s="2"/>
      <c r="E407" s="2"/>
      <c r="F407" s="2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2"/>
      <c r="B408" s="2"/>
      <c r="C408" s="2"/>
      <c r="D408" s="2"/>
      <c r="E408" s="2"/>
      <c r="F408" s="2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2"/>
      <c r="B409" s="2"/>
      <c r="C409" s="2"/>
      <c r="D409" s="2"/>
      <c r="E409" s="2"/>
      <c r="F409" s="2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2"/>
      <c r="B410" s="2"/>
      <c r="C410" s="2"/>
      <c r="D410" s="2"/>
      <c r="E410" s="2"/>
      <c r="F410" s="2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2"/>
      <c r="B411" s="2"/>
      <c r="C411" s="2"/>
      <c r="D411" s="2"/>
      <c r="E411" s="2"/>
      <c r="F411" s="2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2"/>
      <c r="B412" s="2"/>
      <c r="C412" s="2"/>
      <c r="D412" s="2"/>
      <c r="E412" s="2"/>
      <c r="F412" s="2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2"/>
      <c r="B413" s="2"/>
      <c r="C413" s="2"/>
      <c r="D413" s="2"/>
      <c r="E413" s="2"/>
      <c r="F413" s="2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2"/>
      <c r="B414" s="2"/>
      <c r="C414" s="2"/>
      <c r="D414" s="2"/>
      <c r="E414" s="2"/>
      <c r="F414" s="2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2"/>
      <c r="B415" s="2"/>
      <c r="C415" s="2"/>
      <c r="D415" s="2"/>
      <c r="E415" s="2"/>
      <c r="F415" s="2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2"/>
      <c r="B416" s="2"/>
      <c r="C416" s="2"/>
      <c r="D416" s="2"/>
      <c r="E416" s="2"/>
      <c r="F416" s="2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2"/>
      <c r="B417" s="2"/>
      <c r="C417" s="2"/>
      <c r="D417" s="2"/>
      <c r="E417" s="2"/>
      <c r="F417" s="2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2"/>
      <c r="B418" s="2"/>
      <c r="C418" s="2"/>
      <c r="D418" s="2"/>
      <c r="E418" s="2"/>
      <c r="F418" s="2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2"/>
      <c r="B419" s="2"/>
      <c r="C419" s="2"/>
      <c r="D419" s="2"/>
      <c r="E419" s="2"/>
      <c r="F419" s="2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2"/>
      <c r="B420" s="2"/>
      <c r="C420" s="2"/>
      <c r="D420" s="2"/>
      <c r="E420" s="2"/>
      <c r="F420" s="2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2"/>
      <c r="B421" s="2"/>
      <c r="C421" s="2"/>
      <c r="D421" s="2"/>
      <c r="E421" s="2"/>
      <c r="F421" s="2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2"/>
      <c r="B422" s="2"/>
      <c r="C422" s="2"/>
      <c r="D422" s="2"/>
      <c r="E422" s="2"/>
      <c r="F422" s="2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2"/>
      <c r="B423" s="2"/>
      <c r="C423" s="2"/>
      <c r="D423" s="2"/>
      <c r="E423" s="2"/>
      <c r="F423" s="2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2"/>
      <c r="B424" s="2"/>
      <c r="C424" s="2"/>
      <c r="D424" s="2"/>
      <c r="E424" s="2"/>
      <c r="F424" s="2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2"/>
      <c r="B425" s="2"/>
      <c r="C425" s="2"/>
      <c r="D425" s="2"/>
      <c r="E425" s="2"/>
      <c r="F425" s="2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2"/>
      <c r="B426" s="2"/>
      <c r="C426" s="2"/>
      <c r="D426" s="2"/>
      <c r="E426" s="2"/>
      <c r="F426" s="2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2"/>
      <c r="B427" s="2"/>
      <c r="C427" s="2"/>
      <c r="D427" s="2"/>
      <c r="E427" s="2"/>
      <c r="F427" s="2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2"/>
      <c r="B428" s="2"/>
      <c r="C428" s="2"/>
      <c r="D428" s="2"/>
      <c r="E428" s="2"/>
      <c r="F428" s="2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2"/>
      <c r="B429" s="2"/>
      <c r="C429" s="2"/>
      <c r="D429" s="2"/>
      <c r="E429" s="2"/>
      <c r="F429" s="2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2"/>
      <c r="B430" s="2"/>
      <c r="C430" s="2"/>
      <c r="D430" s="2"/>
      <c r="E430" s="2"/>
      <c r="F430" s="2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2"/>
      <c r="B431" s="2"/>
      <c r="C431" s="2"/>
      <c r="D431" s="2"/>
      <c r="E431" s="2"/>
      <c r="F431" s="2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2"/>
      <c r="B432" s="2"/>
      <c r="C432" s="2"/>
      <c r="D432" s="2"/>
      <c r="E432" s="2"/>
      <c r="F432" s="2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2"/>
      <c r="B433" s="2"/>
      <c r="C433" s="2"/>
      <c r="D433" s="2"/>
      <c r="E433" s="2"/>
      <c r="F433" s="2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2"/>
      <c r="B434" s="2"/>
      <c r="C434" s="2"/>
      <c r="D434" s="2"/>
      <c r="E434" s="2"/>
      <c r="F434" s="2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2"/>
      <c r="B435" s="2"/>
      <c r="C435" s="2"/>
      <c r="D435" s="2"/>
      <c r="E435" s="2"/>
      <c r="F435" s="2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2"/>
      <c r="B436" s="2"/>
      <c r="C436" s="2"/>
      <c r="D436" s="2"/>
      <c r="E436" s="2"/>
      <c r="F436" s="2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2"/>
      <c r="B437" s="2"/>
      <c r="C437" s="2"/>
      <c r="D437" s="2"/>
      <c r="E437" s="2"/>
      <c r="F437" s="2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2"/>
      <c r="B438" s="2"/>
      <c r="C438" s="2"/>
      <c r="D438" s="2"/>
      <c r="E438" s="2"/>
      <c r="F438" s="2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2"/>
      <c r="B439" s="2"/>
      <c r="C439" s="2"/>
      <c r="D439" s="2"/>
      <c r="E439" s="2"/>
      <c r="F439" s="2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2"/>
      <c r="B440" s="2"/>
      <c r="C440" s="2"/>
      <c r="D440" s="2"/>
      <c r="E440" s="2"/>
      <c r="F440" s="2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2"/>
      <c r="B441" s="2"/>
      <c r="C441" s="2"/>
      <c r="D441" s="2"/>
      <c r="E441" s="2"/>
      <c r="F441" s="2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2"/>
      <c r="B442" s="2"/>
      <c r="C442" s="2"/>
      <c r="D442" s="2"/>
      <c r="E442" s="2"/>
      <c r="F442" s="2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2"/>
      <c r="B443" s="2"/>
      <c r="C443" s="2"/>
      <c r="D443" s="2"/>
      <c r="E443" s="2"/>
      <c r="F443" s="2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2"/>
      <c r="B444" s="2"/>
      <c r="C444" s="2"/>
      <c r="D444" s="2"/>
      <c r="E444" s="2"/>
      <c r="F444" s="2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2"/>
      <c r="B445" s="2"/>
      <c r="C445" s="2"/>
      <c r="D445" s="2"/>
      <c r="E445" s="2"/>
      <c r="F445" s="2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2"/>
      <c r="B446" s="2"/>
      <c r="C446" s="2"/>
      <c r="D446" s="2"/>
      <c r="E446" s="2"/>
      <c r="F446" s="2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2"/>
      <c r="B447" s="2"/>
      <c r="C447" s="2"/>
      <c r="D447" s="2"/>
      <c r="E447" s="2"/>
      <c r="F447" s="2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2"/>
      <c r="B448" s="2"/>
      <c r="C448" s="2"/>
      <c r="D448" s="2"/>
      <c r="E448" s="2"/>
      <c r="F448" s="2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2"/>
      <c r="B449" s="2"/>
      <c r="C449" s="2"/>
      <c r="D449" s="2"/>
      <c r="E449" s="2"/>
      <c r="F449" s="2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2"/>
      <c r="B450" s="2"/>
      <c r="C450" s="2"/>
      <c r="D450" s="2"/>
      <c r="E450" s="2"/>
      <c r="F450" s="2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2"/>
      <c r="B451" s="2"/>
      <c r="C451" s="2"/>
      <c r="D451" s="2"/>
      <c r="E451" s="2"/>
      <c r="F451" s="2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2"/>
      <c r="B452" s="2"/>
      <c r="C452" s="2"/>
      <c r="D452" s="2"/>
      <c r="E452" s="2"/>
      <c r="F452" s="2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2"/>
      <c r="B453" s="2"/>
      <c r="C453" s="2"/>
      <c r="D453" s="2"/>
      <c r="E453" s="2"/>
      <c r="F453" s="2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2"/>
      <c r="B454" s="2"/>
      <c r="C454" s="2"/>
      <c r="D454" s="2"/>
      <c r="E454" s="2"/>
      <c r="F454" s="2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2"/>
      <c r="B455" s="2"/>
      <c r="C455" s="2"/>
      <c r="D455" s="2"/>
      <c r="E455" s="2"/>
      <c r="F455" s="2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2"/>
      <c r="B456" s="2"/>
      <c r="C456" s="2"/>
      <c r="D456" s="2"/>
      <c r="E456" s="2"/>
      <c r="F456" s="2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2"/>
      <c r="B457" s="2"/>
      <c r="C457" s="2"/>
      <c r="D457" s="2"/>
      <c r="E457" s="2"/>
      <c r="F457" s="2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2"/>
      <c r="B458" s="2"/>
      <c r="C458" s="2"/>
      <c r="D458" s="2"/>
      <c r="E458" s="2"/>
      <c r="F458" s="2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2"/>
      <c r="B459" s="2"/>
      <c r="C459" s="2"/>
      <c r="D459" s="2"/>
      <c r="E459" s="2"/>
      <c r="F459" s="2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2"/>
      <c r="B460" s="2"/>
      <c r="C460" s="2"/>
      <c r="D460" s="2"/>
      <c r="E460" s="2"/>
      <c r="F460" s="2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2"/>
      <c r="B461" s="2"/>
      <c r="C461" s="2"/>
      <c r="D461" s="2"/>
      <c r="E461" s="2"/>
      <c r="F461" s="2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2"/>
      <c r="B462" s="2"/>
      <c r="C462" s="2"/>
      <c r="D462" s="2"/>
      <c r="E462" s="2"/>
      <c r="F462" s="2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2"/>
      <c r="B463" s="2"/>
      <c r="C463" s="2"/>
      <c r="D463" s="2"/>
      <c r="E463" s="2"/>
      <c r="F463" s="2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2"/>
      <c r="B464" s="2"/>
      <c r="C464" s="2"/>
      <c r="D464" s="2"/>
      <c r="E464" s="2"/>
      <c r="F464" s="2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2"/>
      <c r="B465" s="2"/>
      <c r="C465" s="2"/>
      <c r="D465" s="2"/>
      <c r="E465" s="2"/>
      <c r="F465" s="2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2"/>
      <c r="B466" s="2"/>
      <c r="C466" s="2"/>
      <c r="D466" s="2"/>
      <c r="E466" s="2"/>
      <c r="F466" s="2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2"/>
      <c r="B467" s="2"/>
      <c r="C467" s="2"/>
      <c r="D467" s="2"/>
      <c r="E467" s="2"/>
      <c r="F467" s="2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2"/>
      <c r="B468" s="2"/>
      <c r="C468" s="2"/>
      <c r="D468" s="2"/>
      <c r="E468" s="2"/>
      <c r="F468" s="2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2"/>
      <c r="B469" s="2"/>
      <c r="C469" s="2"/>
      <c r="D469" s="2"/>
      <c r="E469" s="2"/>
      <c r="F469" s="2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2"/>
      <c r="B470" s="2"/>
      <c r="C470" s="2"/>
      <c r="D470" s="2"/>
      <c r="E470" s="2"/>
      <c r="F470" s="2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2"/>
      <c r="B471" s="2"/>
      <c r="C471" s="2"/>
      <c r="D471" s="2"/>
      <c r="E471" s="2"/>
      <c r="F471" s="2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2"/>
      <c r="B472" s="2"/>
      <c r="C472" s="2"/>
      <c r="D472" s="2"/>
      <c r="E472" s="2"/>
      <c r="F472" s="2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2"/>
      <c r="B473" s="2"/>
      <c r="C473" s="2"/>
      <c r="D473" s="2"/>
      <c r="E473" s="2"/>
      <c r="F473" s="2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2"/>
      <c r="B474" s="2"/>
      <c r="C474" s="2"/>
      <c r="D474" s="2"/>
      <c r="E474" s="2"/>
      <c r="F474" s="2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2"/>
      <c r="B475" s="2"/>
      <c r="C475" s="2"/>
      <c r="D475" s="2"/>
      <c r="E475" s="2"/>
      <c r="F475" s="2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2"/>
      <c r="B476" s="2"/>
      <c r="C476" s="2"/>
      <c r="D476" s="2"/>
      <c r="E476" s="2"/>
      <c r="F476" s="2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2"/>
      <c r="B477" s="2"/>
      <c r="C477" s="2"/>
      <c r="D477" s="2"/>
      <c r="E477" s="2"/>
      <c r="F477" s="2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2"/>
      <c r="B478" s="2"/>
      <c r="C478" s="2"/>
      <c r="D478" s="2"/>
      <c r="E478" s="2"/>
      <c r="F478" s="2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2"/>
      <c r="B479" s="2"/>
      <c r="C479" s="2"/>
      <c r="D479" s="2"/>
      <c r="E479" s="2"/>
      <c r="F479" s="2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2"/>
      <c r="B480" s="2"/>
      <c r="C480" s="2"/>
      <c r="D480" s="2"/>
      <c r="E480" s="2"/>
      <c r="F480" s="2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2"/>
      <c r="B481" s="2"/>
      <c r="C481" s="2"/>
      <c r="D481" s="2"/>
      <c r="E481" s="2"/>
      <c r="F481" s="2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2"/>
      <c r="B482" s="2"/>
      <c r="C482" s="2"/>
      <c r="D482" s="2"/>
      <c r="E482" s="2"/>
      <c r="F482" s="2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2"/>
      <c r="B483" s="2"/>
      <c r="C483" s="2"/>
      <c r="D483" s="2"/>
      <c r="E483" s="2"/>
      <c r="F483" s="2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2"/>
      <c r="B484" s="2"/>
      <c r="C484" s="2"/>
      <c r="D484" s="2"/>
      <c r="E484" s="2"/>
      <c r="F484" s="2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2"/>
      <c r="B485" s="2"/>
      <c r="C485" s="2"/>
      <c r="D485" s="2"/>
      <c r="E485" s="2"/>
      <c r="F485" s="2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2"/>
      <c r="B486" s="2"/>
      <c r="C486" s="2"/>
      <c r="D486" s="2"/>
      <c r="E486" s="2"/>
      <c r="F486" s="2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2"/>
      <c r="B487" s="2"/>
      <c r="C487" s="2"/>
      <c r="D487" s="2"/>
      <c r="E487" s="2"/>
      <c r="F487" s="2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2"/>
      <c r="B488" s="2"/>
      <c r="C488" s="2"/>
      <c r="D488" s="2"/>
      <c r="E488" s="2"/>
      <c r="F488" s="2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2"/>
      <c r="B489" s="2"/>
      <c r="C489" s="2"/>
      <c r="D489" s="2"/>
      <c r="E489" s="2"/>
      <c r="F489" s="2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2"/>
      <c r="B490" s="2"/>
      <c r="C490" s="2"/>
      <c r="D490" s="2"/>
      <c r="E490" s="2"/>
      <c r="F490" s="2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2"/>
      <c r="B491" s="2"/>
      <c r="C491" s="2"/>
      <c r="D491" s="2"/>
      <c r="E491" s="2"/>
      <c r="F491" s="2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2"/>
      <c r="B492" s="2"/>
      <c r="C492" s="2"/>
      <c r="D492" s="2"/>
      <c r="E492" s="2"/>
      <c r="F492" s="2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2"/>
      <c r="B493" s="2"/>
      <c r="C493" s="2"/>
      <c r="D493" s="2"/>
      <c r="E493" s="2"/>
      <c r="F493" s="2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2"/>
      <c r="B494" s="2"/>
      <c r="C494" s="2"/>
      <c r="D494" s="2"/>
      <c r="E494" s="2"/>
      <c r="F494" s="2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2"/>
      <c r="B495" s="2"/>
      <c r="C495" s="2"/>
      <c r="D495" s="2"/>
      <c r="E495" s="2"/>
      <c r="F495" s="2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2"/>
      <c r="B496" s="2"/>
      <c r="C496" s="2"/>
      <c r="D496" s="2"/>
      <c r="E496" s="2"/>
      <c r="F496" s="2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2"/>
      <c r="B497" s="2"/>
      <c r="C497" s="2"/>
      <c r="D497" s="2"/>
      <c r="E497" s="2"/>
      <c r="F497" s="2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2"/>
      <c r="B498" s="2"/>
      <c r="C498" s="2"/>
      <c r="D498" s="2"/>
      <c r="E498" s="2"/>
      <c r="F498" s="2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2"/>
      <c r="B499" s="2"/>
      <c r="C499" s="2"/>
      <c r="D499" s="2"/>
      <c r="E499" s="2"/>
      <c r="F499" s="2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2"/>
      <c r="B500" s="2"/>
      <c r="C500" s="2"/>
      <c r="D500" s="2"/>
      <c r="E500" s="2"/>
      <c r="F500" s="2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2"/>
      <c r="B501" s="2"/>
      <c r="C501" s="2"/>
      <c r="D501" s="2"/>
      <c r="E501" s="2"/>
      <c r="F501" s="2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2"/>
      <c r="B502" s="2"/>
      <c r="C502" s="2"/>
      <c r="D502" s="2"/>
      <c r="E502" s="2"/>
      <c r="F502" s="2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2"/>
      <c r="B503" s="2"/>
      <c r="C503" s="2"/>
      <c r="D503" s="2"/>
      <c r="E503" s="2"/>
      <c r="F503" s="2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2"/>
      <c r="B504" s="2"/>
      <c r="C504" s="2"/>
      <c r="D504" s="2"/>
      <c r="E504" s="2"/>
      <c r="F504" s="2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2"/>
      <c r="B505" s="2"/>
      <c r="C505" s="2"/>
      <c r="D505" s="2"/>
      <c r="E505" s="2"/>
      <c r="F505" s="2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2"/>
      <c r="B506" s="2"/>
      <c r="C506" s="2"/>
      <c r="D506" s="2"/>
      <c r="E506" s="2"/>
      <c r="F506" s="2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2"/>
      <c r="B507" s="2"/>
      <c r="C507" s="2"/>
      <c r="D507" s="2"/>
      <c r="E507" s="2"/>
      <c r="F507" s="2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2"/>
      <c r="B508" s="2"/>
      <c r="C508" s="2"/>
      <c r="D508" s="2"/>
      <c r="E508" s="2"/>
      <c r="F508" s="2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2"/>
      <c r="B509" s="2"/>
      <c r="C509" s="2"/>
      <c r="D509" s="2"/>
      <c r="E509" s="2"/>
      <c r="F509" s="2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2"/>
      <c r="B510" s="2"/>
      <c r="C510" s="2"/>
      <c r="D510" s="2"/>
      <c r="E510" s="2"/>
      <c r="F510" s="2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2"/>
      <c r="B511" s="2"/>
      <c r="C511" s="2"/>
      <c r="D511" s="2"/>
      <c r="E511" s="2"/>
      <c r="F511" s="2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2"/>
      <c r="B512" s="2"/>
      <c r="C512" s="2"/>
      <c r="D512" s="2"/>
      <c r="E512" s="2"/>
      <c r="F512" s="2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2"/>
      <c r="B513" s="2"/>
      <c r="C513" s="2"/>
      <c r="D513" s="2"/>
      <c r="E513" s="2"/>
      <c r="F513" s="2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2"/>
      <c r="B514" s="2"/>
      <c r="C514" s="2"/>
      <c r="D514" s="2"/>
      <c r="E514" s="2"/>
      <c r="F514" s="2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2"/>
      <c r="B515" s="2"/>
      <c r="C515" s="2"/>
      <c r="D515" s="2"/>
      <c r="E515" s="2"/>
      <c r="F515" s="2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2"/>
      <c r="B516" s="2"/>
      <c r="C516" s="2"/>
      <c r="D516" s="2"/>
      <c r="E516" s="2"/>
      <c r="F516" s="2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2"/>
      <c r="B517" s="2"/>
      <c r="C517" s="2"/>
      <c r="D517" s="2"/>
      <c r="E517" s="2"/>
      <c r="F517" s="2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2"/>
      <c r="B518" s="2"/>
      <c r="C518" s="2"/>
      <c r="D518" s="2"/>
      <c r="E518" s="2"/>
      <c r="F518" s="2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2"/>
      <c r="B519" s="2"/>
      <c r="C519" s="2"/>
      <c r="D519" s="2"/>
      <c r="E519" s="2"/>
      <c r="F519" s="2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2"/>
      <c r="B520" s="2"/>
      <c r="C520" s="2"/>
      <c r="D520" s="2"/>
      <c r="E520" s="2"/>
      <c r="F520" s="2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2"/>
      <c r="B521" s="2"/>
      <c r="C521" s="2"/>
      <c r="D521" s="2"/>
      <c r="E521" s="2"/>
      <c r="F521" s="2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2"/>
      <c r="B522" s="2"/>
      <c r="C522" s="2"/>
      <c r="D522" s="2"/>
      <c r="E522" s="2"/>
      <c r="F522" s="2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2"/>
      <c r="B523" s="2"/>
      <c r="C523" s="2"/>
      <c r="D523" s="2"/>
      <c r="E523" s="2"/>
      <c r="F523" s="2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2"/>
      <c r="B524" s="2"/>
      <c r="C524" s="2"/>
      <c r="D524" s="2"/>
      <c r="E524" s="2"/>
      <c r="F524" s="2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2"/>
      <c r="B525" s="2"/>
      <c r="C525" s="2"/>
      <c r="D525" s="2"/>
      <c r="E525" s="2"/>
      <c r="F525" s="2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2"/>
      <c r="B526" s="2"/>
      <c r="C526" s="2"/>
      <c r="D526" s="2"/>
      <c r="E526" s="2"/>
      <c r="F526" s="2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2"/>
      <c r="B527" s="2"/>
      <c r="C527" s="2"/>
      <c r="D527" s="2"/>
      <c r="E527" s="2"/>
      <c r="F527" s="2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2"/>
      <c r="B528" s="2"/>
      <c r="C528" s="2"/>
      <c r="D528" s="2"/>
      <c r="E528" s="2"/>
      <c r="F528" s="2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2"/>
      <c r="B529" s="2"/>
      <c r="C529" s="2"/>
      <c r="D529" s="2"/>
      <c r="E529" s="2"/>
      <c r="F529" s="2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2"/>
      <c r="B530" s="2"/>
      <c r="C530" s="2"/>
      <c r="D530" s="2"/>
      <c r="E530" s="2"/>
      <c r="F530" s="2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2"/>
      <c r="B531" s="2"/>
      <c r="C531" s="2"/>
      <c r="D531" s="2"/>
      <c r="E531" s="2"/>
      <c r="F531" s="2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2"/>
      <c r="B532" s="2"/>
      <c r="C532" s="2"/>
      <c r="D532" s="2"/>
      <c r="E532" s="2"/>
      <c r="F532" s="2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2"/>
      <c r="B533" s="2"/>
      <c r="C533" s="2"/>
      <c r="D533" s="2"/>
      <c r="E533" s="2"/>
      <c r="F533" s="2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2"/>
      <c r="B534" s="2"/>
      <c r="C534" s="2"/>
      <c r="D534" s="2"/>
      <c r="E534" s="2"/>
      <c r="F534" s="2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2"/>
      <c r="B535" s="2"/>
      <c r="C535" s="2"/>
      <c r="D535" s="2"/>
      <c r="E535" s="2"/>
      <c r="F535" s="2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2"/>
      <c r="B536" s="2"/>
      <c r="C536" s="2"/>
      <c r="D536" s="2"/>
      <c r="E536" s="2"/>
      <c r="F536" s="2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2"/>
      <c r="B537" s="2"/>
      <c r="C537" s="2"/>
      <c r="D537" s="2"/>
      <c r="E537" s="2"/>
      <c r="F537" s="2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2"/>
      <c r="B538" s="2"/>
      <c r="C538" s="2"/>
      <c r="D538" s="2"/>
      <c r="E538" s="2"/>
      <c r="F538" s="2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2"/>
      <c r="B539" s="2"/>
      <c r="C539" s="2"/>
      <c r="D539" s="2"/>
      <c r="E539" s="2"/>
      <c r="F539" s="2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2"/>
      <c r="B540" s="2"/>
      <c r="C540" s="2"/>
      <c r="D540" s="2"/>
      <c r="E540" s="2"/>
      <c r="F540" s="2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2"/>
      <c r="B541" s="2"/>
      <c r="C541" s="2"/>
      <c r="D541" s="2"/>
      <c r="E541" s="2"/>
      <c r="F541" s="2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2"/>
      <c r="B542" s="2"/>
      <c r="C542" s="2"/>
      <c r="D542" s="2"/>
      <c r="E542" s="2"/>
      <c r="F542" s="2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2"/>
      <c r="B543" s="2"/>
      <c r="C543" s="2"/>
      <c r="D543" s="2"/>
      <c r="E543" s="2"/>
      <c r="F543" s="2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2"/>
      <c r="B544" s="2"/>
      <c r="C544" s="2"/>
      <c r="D544" s="2"/>
      <c r="E544" s="2"/>
      <c r="F544" s="2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2"/>
      <c r="B545" s="2"/>
      <c r="C545" s="2"/>
      <c r="D545" s="2"/>
      <c r="E545" s="2"/>
      <c r="F545" s="2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2"/>
      <c r="B546" s="2"/>
      <c r="C546" s="2"/>
      <c r="D546" s="2"/>
      <c r="E546" s="2"/>
      <c r="F546" s="2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2"/>
      <c r="B547" s="2"/>
      <c r="C547" s="2"/>
      <c r="D547" s="2"/>
      <c r="E547" s="2"/>
      <c r="F547" s="2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2"/>
      <c r="B548" s="2"/>
      <c r="C548" s="2"/>
      <c r="D548" s="2"/>
      <c r="E548" s="2"/>
      <c r="F548" s="2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2"/>
      <c r="B549" s="2"/>
      <c r="C549" s="2"/>
      <c r="D549" s="2"/>
      <c r="E549" s="2"/>
      <c r="F549" s="2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2"/>
      <c r="B550" s="2"/>
      <c r="C550" s="2"/>
      <c r="D550" s="2"/>
      <c r="E550" s="2"/>
      <c r="F550" s="2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2"/>
      <c r="B551" s="2"/>
      <c r="C551" s="2"/>
      <c r="D551" s="2"/>
      <c r="E551" s="2"/>
      <c r="F551" s="2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2"/>
      <c r="B552" s="2"/>
      <c r="C552" s="2"/>
      <c r="D552" s="2"/>
      <c r="E552" s="2"/>
      <c r="F552" s="2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2"/>
      <c r="B553" s="2"/>
      <c r="C553" s="2"/>
      <c r="D553" s="2"/>
      <c r="E553" s="2"/>
      <c r="F553" s="2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2"/>
      <c r="B554" s="2"/>
      <c r="C554" s="2"/>
      <c r="D554" s="2"/>
      <c r="E554" s="2"/>
      <c r="F554" s="2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2"/>
      <c r="B555" s="2"/>
      <c r="C555" s="2"/>
      <c r="D555" s="2"/>
      <c r="E555" s="2"/>
      <c r="F555" s="2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2"/>
      <c r="B556" s="2"/>
      <c r="C556" s="2"/>
      <c r="D556" s="2"/>
      <c r="E556" s="2"/>
      <c r="F556" s="2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2"/>
      <c r="B557" s="2"/>
      <c r="C557" s="2"/>
      <c r="D557" s="2"/>
      <c r="E557" s="2"/>
      <c r="F557" s="2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2"/>
      <c r="B558" s="2"/>
      <c r="C558" s="2"/>
      <c r="D558" s="2"/>
      <c r="E558" s="2"/>
      <c r="F558" s="2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2"/>
      <c r="B559" s="2"/>
      <c r="C559" s="2"/>
      <c r="D559" s="2"/>
      <c r="E559" s="2"/>
      <c r="F559" s="2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2"/>
      <c r="B560" s="2"/>
      <c r="C560" s="2"/>
      <c r="D560" s="2"/>
      <c r="E560" s="2"/>
      <c r="F560" s="2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2"/>
      <c r="B561" s="2"/>
      <c r="C561" s="2"/>
      <c r="D561" s="2"/>
      <c r="E561" s="2"/>
      <c r="F561" s="2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2"/>
      <c r="B562" s="2"/>
      <c r="C562" s="2"/>
      <c r="D562" s="2"/>
      <c r="E562" s="2"/>
      <c r="F562" s="2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2"/>
      <c r="B563" s="2"/>
      <c r="C563" s="2"/>
      <c r="D563" s="2"/>
      <c r="E563" s="2"/>
      <c r="F563" s="2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2"/>
      <c r="B564" s="2"/>
      <c r="C564" s="2"/>
      <c r="D564" s="2"/>
      <c r="E564" s="2"/>
      <c r="F564" s="2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2"/>
      <c r="B565" s="2"/>
      <c r="C565" s="2"/>
      <c r="D565" s="2"/>
      <c r="E565" s="2"/>
      <c r="F565" s="2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2"/>
      <c r="B566" s="2"/>
      <c r="C566" s="2"/>
      <c r="D566" s="2"/>
      <c r="E566" s="2"/>
      <c r="F566" s="2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2"/>
      <c r="B567" s="2"/>
      <c r="C567" s="2"/>
      <c r="D567" s="2"/>
      <c r="E567" s="2"/>
      <c r="F567" s="2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2"/>
      <c r="B568" s="2"/>
      <c r="C568" s="2"/>
      <c r="D568" s="2"/>
      <c r="E568" s="2"/>
      <c r="F568" s="2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2"/>
      <c r="B569" s="2"/>
      <c r="C569" s="2"/>
      <c r="D569" s="2"/>
      <c r="E569" s="2"/>
      <c r="F569" s="2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2"/>
      <c r="B570" s="2"/>
      <c r="C570" s="2"/>
      <c r="D570" s="2"/>
      <c r="E570" s="2"/>
      <c r="F570" s="2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2"/>
      <c r="B571" s="2"/>
      <c r="C571" s="2"/>
      <c r="D571" s="2"/>
      <c r="E571" s="2"/>
      <c r="F571" s="2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2"/>
      <c r="B572" s="2"/>
      <c r="C572" s="2"/>
      <c r="D572" s="2"/>
      <c r="E572" s="2"/>
      <c r="F572" s="2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2"/>
      <c r="B573" s="2"/>
      <c r="C573" s="2"/>
      <c r="D573" s="2"/>
      <c r="E573" s="2"/>
      <c r="F573" s="2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2"/>
      <c r="B574" s="2"/>
      <c r="C574" s="2"/>
      <c r="D574" s="2"/>
      <c r="E574" s="2"/>
      <c r="F574" s="2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2"/>
      <c r="B575" s="2"/>
      <c r="C575" s="2"/>
      <c r="D575" s="2"/>
      <c r="E575" s="2"/>
      <c r="F575" s="2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2"/>
      <c r="B576" s="2"/>
      <c r="C576" s="2"/>
      <c r="D576" s="2"/>
      <c r="E576" s="2"/>
      <c r="F576" s="2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2"/>
      <c r="B577" s="2"/>
      <c r="C577" s="2"/>
      <c r="D577" s="2"/>
      <c r="E577" s="2"/>
      <c r="F577" s="2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2"/>
      <c r="B578" s="2"/>
      <c r="C578" s="2"/>
      <c r="D578" s="2"/>
      <c r="E578" s="2"/>
      <c r="F578" s="2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2"/>
      <c r="B579" s="2"/>
      <c r="C579" s="2"/>
      <c r="D579" s="2"/>
      <c r="E579" s="2"/>
      <c r="F579" s="2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2"/>
      <c r="B580" s="2"/>
      <c r="C580" s="2"/>
      <c r="D580" s="2"/>
      <c r="E580" s="2"/>
      <c r="F580" s="2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2"/>
      <c r="B581" s="2"/>
      <c r="C581" s="2"/>
      <c r="D581" s="2"/>
      <c r="E581" s="2"/>
      <c r="F581" s="2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2"/>
      <c r="B582" s="2"/>
      <c r="C582" s="2"/>
      <c r="D582" s="2"/>
      <c r="E582" s="2"/>
      <c r="F582" s="2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2"/>
      <c r="B583" s="2"/>
      <c r="C583" s="2"/>
      <c r="D583" s="2"/>
      <c r="E583" s="2"/>
      <c r="F583" s="2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2"/>
      <c r="B584" s="2"/>
      <c r="C584" s="2"/>
      <c r="D584" s="2"/>
      <c r="E584" s="2"/>
      <c r="F584" s="2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2"/>
      <c r="B585" s="2"/>
      <c r="C585" s="2"/>
      <c r="D585" s="2"/>
      <c r="E585" s="2"/>
      <c r="F585" s="2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2"/>
      <c r="B586" s="2"/>
      <c r="C586" s="2"/>
      <c r="D586" s="2"/>
      <c r="E586" s="2"/>
      <c r="F586" s="2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2"/>
      <c r="B587" s="2"/>
      <c r="C587" s="2"/>
      <c r="D587" s="2"/>
      <c r="E587" s="2"/>
      <c r="F587" s="2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2"/>
      <c r="B588" s="2"/>
      <c r="C588" s="2"/>
      <c r="D588" s="2"/>
      <c r="E588" s="2"/>
      <c r="F588" s="2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2"/>
      <c r="B589" s="2"/>
      <c r="C589" s="2"/>
      <c r="D589" s="2"/>
      <c r="E589" s="2"/>
      <c r="F589" s="2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2"/>
      <c r="B590" s="2"/>
      <c r="C590" s="2"/>
      <c r="D590" s="2"/>
      <c r="E590" s="2"/>
      <c r="F590" s="2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2"/>
      <c r="B591" s="2"/>
      <c r="C591" s="2"/>
      <c r="D591" s="2"/>
      <c r="E591" s="2"/>
      <c r="F591" s="2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2"/>
      <c r="B592" s="2"/>
      <c r="C592" s="2"/>
      <c r="D592" s="2"/>
      <c r="E592" s="2"/>
      <c r="F592" s="2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2"/>
      <c r="B593" s="2"/>
      <c r="C593" s="2"/>
      <c r="D593" s="2"/>
      <c r="E593" s="2"/>
      <c r="F593" s="2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2"/>
      <c r="B594" s="2"/>
      <c r="C594" s="2"/>
      <c r="D594" s="2"/>
      <c r="E594" s="2"/>
      <c r="F594" s="2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2"/>
      <c r="B595" s="2"/>
      <c r="C595" s="2"/>
      <c r="D595" s="2"/>
      <c r="E595" s="2"/>
      <c r="F595" s="2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2"/>
      <c r="B596" s="2"/>
      <c r="C596" s="2"/>
      <c r="D596" s="2"/>
      <c r="E596" s="2"/>
      <c r="F596" s="2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2"/>
      <c r="B597" s="2"/>
      <c r="C597" s="2"/>
      <c r="D597" s="2"/>
      <c r="E597" s="2"/>
      <c r="F597" s="2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2"/>
      <c r="B598" s="2"/>
      <c r="C598" s="2"/>
      <c r="D598" s="2"/>
      <c r="E598" s="2"/>
      <c r="F598" s="2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2"/>
      <c r="B599" s="2"/>
      <c r="C599" s="2"/>
      <c r="D599" s="2"/>
      <c r="E599" s="2"/>
      <c r="F599" s="2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2"/>
      <c r="B600" s="2"/>
      <c r="C600" s="2"/>
      <c r="D600" s="2"/>
      <c r="E600" s="2"/>
      <c r="F600" s="2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2"/>
      <c r="B601" s="2"/>
      <c r="C601" s="2"/>
      <c r="D601" s="2"/>
      <c r="E601" s="2"/>
      <c r="F601" s="2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2"/>
      <c r="B602" s="2"/>
      <c r="C602" s="2"/>
      <c r="D602" s="2"/>
      <c r="E602" s="2"/>
      <c r="F602" s="2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2"/>
      <c r="B603" s="2"/>
      <c r="C603" s="2"/>
      <c r="D603" s="2"/>
      <c r="E603" s="2"/>
      <c r="F603" s="2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2"/>
      <c r="B604" s="2"/>
      <c r="C604" s="2"/>
      <c r="D604" s="2"/>
      <c r="E604" s="2"/>
      <c r="F604" s="2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2"/>
      <c r="B605" s="2"/>
      <c r="C605" s="2"/>
      <c r="D605" s="2"/>
      <c r="E605" s="2"/>
      <c r="F605" s="2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2"/>
      <c r="B606" s="2"/>
      <c r="C606" s="2"/>
      <c r="D606" s="2"/>
      <c r="E606" s="2"/>
      <c r="F606" s="2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2"/>
      <c r="B607" s="2"/>
      <c r="C607" s="2"/>
      <c r="D607" s="2"/>
      <c r="E607" s="2"/>
      <c r="F607" s="2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2"/>
      <c r="B608" s="2"/>
      <c r="C608" s="2"/>
      <c r="D608" s="2"/>
      <c r="E608" s="2"/>
      <c r="F608" s="2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2"/>
      <c r="B609" s="2"/>
      <c r="C609" s="2"/>
      <c r="D609" s="2"/>
      <c r="E609" s="2"/>
      <c r="F609" s="2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2"/>
      <c r="B610" s="2"/>
      <c r="C610" s="2"/>
      <c r="D610" s="2"/>
      <c r="E610" s="2"/>
      <c r="F610" s="2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2"/>
      <c r="B611" s="2"/>
      <c r="C611" s="2"/>
      <c r="D611" s="2"/>
      <c r="E611" s="2"/>
      <c r="F611" s="2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2"/>
      <c r="B612" s="2"/>
      <c r="C612" s="2"/>
      <c r="D612" s="2"/>
      <c r="E612" s="2"/>
      <c r="F612" s="2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2"/>
      <c r="B613" s="2"/>
      <c r="C613" s="2"/>
      <c r="D613" s="2"/>
      <c r="E613" s="2"/>
      <c r="F613" s="2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2"/>
      <c r="B614" s="2"/>
      <c r="C614" s="2"/>
      <c r="D614" s="2"/>
      <c r="E614" s="2"/>
      <c r="F614" s="2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2"/>
      <c r="B615" s="2"/>
      <c r="C615" s="2"/>
      <c r="D615" s="2"/>
      <c r="E615" s="2"/>
      <c r="F615" s="2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2"/>
      <c r="B616" s="2"/>
      <c r="C616" s="2"/>
      <c r="D616" s="2"/>
      <c r="E616" s="2"/>
      <c r="F616" s="2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2"/>
      <c r="B617" s="2"/>
      <c r="C617" s="2"/>
      <c r="D617" s="2"/>
      <c r="E617" s="2"/>
      <c r="F617" s="2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2"/>
      <c r="B618" s="2"/>
      <c r="C618" s="2"/>
      <c r="D618" s="2"/>
      <c r="E618" s="2"/>
      <c r="F618" s="2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2"/>
      <c r="B619" s="2"/>
      <c r="C619" s="2"/>
      <c r="D619" s="2"/>
      <c r="E619" s="2"/>
      <c r="F619" s="2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2"/>
      <c r="B620" s="2"/>
      <c r="C620" s="2"/>
      <c r="D620" s="2"/>
      <c r="E620" s="2"/>
      <c r="F620" s="2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2"/>
      <c r="B621" s="2"/>
      <c r="C621" s="2"/>
      <c r="D621" s="2"/>
      <c r="E621" s="2"/>
      <c r="F621" s="2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2"/>
      <c r="B622" s="2"/>
      <c r="C622" s="2"/>
      <c r="D622" s="2"/>
      <c r="E622" s="2"/>
      <c r="F622" s="2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2"/>
      <c r="B623" s="2"/>
      <c r="C623" s="2"/>
      <c r="D623" s="2"/>
      <c r="E623" s="2"/>
      <c r="F623" s="2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2"/>
      <c r="B624" s="2"/>
      <c r="C624" s="2"/>
      <c r="D624" s="2"/>
      <c r="E624" s="2"/>
      <c r="F624" s="2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2"/>
      <c r="B625" s="2"/>
      <c r="C625" s="2"/>
      <c r="D625" s="2"/>
      <c r="E625" s="2"/>
      <c r="F625" s="2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2"/>
      <c r="B626" s="2"/>
      <c r="C626" s="2"/>
      <c r="D626" s="2"/>
      <c r="E626" s="2"/>
      <c r="F626" s="2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2"/>
      <c r="B627" s="2"/>
      <c r="C627" s="2"/>
      <c r="D627" s="2"/>
      <c r="E627" s="2"/>
      <c r="F627" s="2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2"/>
      <c r="B628" s="2"/>
      <c r="C628" s="2"/>
      <c r="D628" s="2"/>
      <c r="E628" s="2"/>
      <c r="F628" s="2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2"/>
      <c r="B629" s="2"/>
      <c r="C629" s="2"/>
      <c r="D629" s="2"/>
      <c r="E629" s="2"/>
      <c r="F629" s="2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2"/>
      <c r="B630" s="2"/>
      <c r="C630" s="2"/>
      <c r="D630" s="2"/>
      <c r="E630" s="2"/>
      <c r="F630" s="2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2"/>
      <c r="B631" s="2"/>
      <c r="C631" s="2"/>
      <c r="D631" s="2"/>
      <c r="E631" s="2"/>
      <c r="F631" s="2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2"/>
      <c r="B632" s="2"/>
      <c r="C632" s="2"/>
      <c r="D632" s="2"/>
      <c r="E632" s="2"/>
      <c r="F632" s="2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2"/>
      <c r="B633" s="2"/>
      <c r="C633" s="2"/>
      <c r="D633" s="2"/>
      <c r="E633" s="2"/>
      <c r="F633" s="2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2"/>
      <c r="B634" s="2"/>
      <c r="C634" s="2"/>
      <c r="D634" s="2"/>
      <c r="E634" s="2"/>
      <c r="F634" s="2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2"/>
      <c r="B635" s="2"/>
      <c r="C635" s="2"/>
      <c r="D635" s="2"/>
      <c r="E635" s="2"/>
      <c r="F635" s="2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2"/>
      <c r="B636" s="2"/>
      <c r="C636" s="2"/>
      <c r="D636" s="2"/>
      <c r="E636" s="2"/>
      <c r="F636" s="2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2"/>
      <c r="B637" s="2"/>
      <c r="C637" s="2"/>
      <c r="D637" s="2"/>
      <c r="E637" s="2"/>
      <c r="F637" s="2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2"/>
      <c r="B638" s="2"/>
      <c r="C638" s="2"/>
      <c r="D638" s="2"/>
      <c r="E638" s="2"/>
      <c r="F638" s="2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2"/>
      <c r="B639" s="2"/>
      <c r="C639" s="2"/>
      <c r="D639" s="2"/>
      <c r="E639" s="2"/>
      <c r="F639" s="2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2"/>
      <c r="B640" s="2"/>
      <c r="C640" s="2"/>
      <c r="D640" s="2"/>
      <c r="E640" s="2"/>
      <c r="F640" s="2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2"/>
      <c r="B641" s="2"/>
      <c r="C641" s="2"/>
      <c r="D641" s="2"/>
      <c r="E641" s="2"/>
      <c r="F641" s="2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2"/>
      <c r="B642" s="2"/>
      <c r="C642" s="2"/>
      <c r="D642" s="2"/>
      <c r="E642" s="2"/>
      <c r="F642" s="2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2"/>
      <c r="B643" s="2"/>
      <c r="C643" s="2"/>
      <c r="D643" s="2"/>
      <c r="E643" s="2"/>
      <c r="F643" s="2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2"/>
      <c r="B644" s="2"/>
      <c r="C644" s="2"/>
      <c r="D644" s="2"/>
      <c r="E644" s="2"/>
      <c r="F644" s="2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2"/>
      <c r="B645" s="2"/>
      <c r="C645" s="2"/>
      <c r="D645" s="2"/>
      <c r="E645" s="2"/>
      <c r="F645" s="2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2"/>
      <c r="B646" s="2"/>
      <c r="C646" s="2"/>
      <c r="D646" s="2"/>
      <c r="E646" s="2"/>
      <c r="F646" s="2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2"/>
      <c r="B647" s="2"/>
      <c r="C647" s="2"/>
      <c r="D647" s="2"/>
      <c r="E647" s="2"/>
      <c r="F647" s="2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2"/>
      <c r="B648" s="2"/>
      <c r="C648" s="2"/>
      <c r="D648" s="2"/>
      <c r="E648" s="2"/>
      <c r="F648" s="2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2"/>
      <c r="B649" s="2"/>
      <c r="C649" s="2"/>
      <c r="D649" s="2"/>
      <c r="E649" s="2"/>
      <c r="F649" s="2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2"/>
      <c r="B650" s="2"/>
      <c r="C650" s="2"/>
      <c r="D650" s="2"/>
      <c r="E650" s="2"/>
      <c r="F650" s="2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2"/>
      <c r="B651" s="2"/>
      <c r="C651" s="2"/>
      <c r="D651" s="2"/>
      <c r="E651" s="2"/>
      <c r="F651" s="2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2"/>
      <c r="B652" s="2"/>
      <c r="C652" s="2"/>
      <c r="D652" s="2"/>
      <c r="E652" s="2"/>
      <c r="F652" s="2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2"/>
      <c r="B653" s="2"/>
      <c r="C653" s="2"/>
      <c r="D653" s="2"/>
      <c r="E653" s="2"/>
      <c r="F653" s="2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2"/>
      <c r="B654" s="2"/>
      <c r="C654" s="2"/>
      <c r="D654" s="2"/>
      <c r="E654" s="2"/>
      <c r="F654" s="2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2"/>
      <c r="B655" s="2"/>
      <c r="C655" s="2"/>
      <c r="D655" s="2"/>
      <c r="E655" s="2"/>
      <c r="F655" s="2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2"/>
      <c r="B656" s="2"/>
      <c r="C656" s="2"/>
      <c r="D656" s="2"/>
      <c r="E656" s="2"/>
      <c r="F656" s="2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2"/>
      <c r="B657" s="2"/>
      <c r="C657" s="2"/>
      <c r="D657" s="2"/>
      <c r="E657" s="2"/>
      <c r="F657" s="2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2"/>
      <c r="B658" s="2"/>
      <c r="C658" s="2"/>
      <c r="D658" s="2"/>
      <c r="E658" s="2"/>
      <c r="F658" s="2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2"/>
      <c r="B659" s="2"/>
      <c r="C659" s="2"/>
      <c r="D659" s="2"/>
      <c r="E659" s="2"/>
      <c r="F659" s="2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2"/>
      <c r="B660" s="2"/>
      <c r="C660" s="2"/>
      <c r="D660" s="2"/>
      <c r="E660" s="2"/>
      <c r="F660" s="2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2"/>
      <c r="B661" s="2"/>
      <c r="C661" s="2"/>
      <c r="D661" s="2"/>
      <c r="E661" s="2"/>
      <c r="F661" s="2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2"/>
      <c r="B662" s="2"/>
      <c r="C662" s="2"/>
      <c r="D662" s="2"/>
      <c r="E662" s="2"/>
      <c r="F662" s="2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2"/>
      <c r="B663" s="2"/>
      <c r="C663" s="2"/>
      <c r="D663" s="2"/>
      <c r="E663" s="2"/>
      <c r="F663" s="2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2"/>
      <c r="B664" s="2"/>
      <c r="C664" s="2"/>
      <c r="D664" s="2"/>
      <c r="E664" s="2"/>
      <c r="F664" s="2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2"/>
      <c r="B665" s="2"/>
      <c r="C665" s="2"/>
      <c r="D665" s="2"/>
      <c r="E665" s="2"/>
      <c r="F665" s="2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2"/>
      <c r="B666" s="2"/>
      <c r="C666" s="2"/>
      <c r="D666" s="2"/>
      <c r="E666" s="2"/>
      <c r="F666" s="2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2"/>
      <c r="B667" s="2"/>
      <c r="C667" s="2"/>
      <c r="D667" s="2"/>
      <c r="E667" s="2"/>
      <c r="F667" s="2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2"/>
      <c r="B668" s="2"/>
      <c r="C668" s="2"/>
      <c r="D668" s="2"/>
      <c r="E668" s="2"/>
      <c r="F668" s="2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2"/>
      <c r="B669" s="2"/>
      <c r="C669" s="2"/>
      <c r="D669" s="2"/>
      <c r="E669" s="2"/>
      <c r="F669" s="2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2"/>
      <c r="B670" s="2"/>
      <c r="C670" s="2"/>
      <c r="D670" s="2"/>
      <c r="E670" s="2"/>
      <c r="F670" s="2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2"/>
      <c r="B671" s="2"/>
      <c r="C671" s="2"/>
      <c r="D671" s="2"/>
      <c r="E671" s="2"/>
      <c r="F671" s="2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2"/>
      <c r="B672" s="2"/>
      <c r="C672" s="2"/>
      <c r="D672" s="2"/>
      <c r="E672" s="2"/>
      <c r="F672" s="2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2"/>
      <c r="B673" s="2"/>
      <c r="C673" s="2"/>
      <c r="D673" s="2"/>
      <c r="E673" s="2"/>
      <c r="F673" s="2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2"/>
      <c r="B674" s="2"/>
      <c r="C674" s="2"/>
      <c r="D674" s="2"/>
      <c r="E674" s="2"/>
      <c r="F674" s="2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2"/>
      <c r="B675" s="2"/>
      <c r="C675" s="2"/>
      <c r="D675" s="2"/>
      <c r="E675" s="2"/>
      <c r="F675" s="2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2"/>
      <c r="B676" s="2"/>
      <c r="C676" s="2"/>
      <c r="D676" s="2"/>
      <c r="E676" s="2"/>
      <c r="F676" s="2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2"/>
      <c r="B677" s="2"/>
      <c r="C677" s="2"/>
      <c r="D677" s="2"/>
      <c r="E677" s="2"/>
      <c r="F677" s="2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2"/>
      <c r="B678" s="2"/>
      <c r="C678" s="2"/>
      <c r="D678" s="2"/>
      <c r="E678" s="2"/>
      <c r="F678" s="2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2"/>
      <c r="B679" s="2"/>
      <c r="C679" s="2"/>
      <c r="D679" s="2"/>
      <c r="E679" s="2"/>
      <c r="F679" s="2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2"/>
      <c r="B680" s="2"/>
      <c r="C680" s="2"/>
      <c r="D680" s="2"/>
      <c r="E680" s="2"/>
      <c r="F680" s="2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2"/>
      <c r="B681" s="2"/>
      <c r="C681" s="2"/>
      <c r="D681" s="2"/>
      <c r="E681" s="2"/>
      <c r="F681" s="2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2"/>
      <c r="B682" s="2"/>
      <c r="C682" s="2"/>
      <c r="D682" s="2"/>
      <c r="E682" s="2"/>
      <c r="F682" s="2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2"/>
      <c r="B683" s="2"/>
      <c r="C683" s="2"/>
      <c r="D683" s="2"/>
      <c r="E683" s="2"/>
      <c r="F683" s="2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2"/>
      <c r="B684" s="2"/>
      <c r="C684" s="2"/>
      <c r="D684" s="2"/>
      <c r="E684" s="2"/>
      <c r="F684" s="2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2"/>
      <c r="B685" s="2"/>
      <c r="C685" s="2"/>
      <c r="D685" s="2"/>
      <c r="E685" s="2"/>
      <c r="F685" s="2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2"/>
      <c r="B686" s="2"/>
      <c r="C686" s="2"/>
      <c r="D686" s="2"/>
      <c r="E686" s="2"/>
      <c r="F686" s="2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2"/>
      <c r="B687" s="2"/>
      <c r="C687" s="2"/>
      <c r="D687" s="2"/>
      <c r="E687" s="2"/>
      <c r="F687" s="2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2"/>
      <c r="B688" s="2"/>
      <c r="C688" s="2"/>
      <c r="D688" s="2"/>
      <c r="E688" s="2"/>
      <c r="F688" s="2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2"/>
      <c r="B689" s="2"/>
      <c r="C689" s="2"/>
      <c r="D689" s="2"/>
      <c r="E689" s="2"/>
      <c r="F689" s="2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2"/>
      <c r="B690" s="2"/>
      <c r="C690" s="2"/>
      <c r="D690" s="2"/>
      <c r="E690" s="2"/>
      <c r="F690" s="2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2"/>
      <c r="B691" s="2"/>
      <c r="C691" s="2"/>
      <c r="D691" s="2"/>
      <c r="E691" s="2"/>
      <c r="F691" s="2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2"/>
      <c r="B692" s="2"/>
      <c r="C692" s="2"/>
      <c r="D692" s="2"/>
      <c r="E692" s="2"/>
      <c r="F692" s="2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2"/>
      <c r="B693" s="2"/>
      <c r="C693" s="2"/>
      <c r="D693" s="2"/>
      <c r="E693" s="2"/>
      <c r="F693" s="2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2"/>
      <c r="B694" s="2"/>
      <c r="C694" s="2"/>
      <c r="D694" s="2"/>
      <c r="E694" s="2"/>
      <c r="F694" s="2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2"/>
      <c r="B695" s="2"/>
      <c r="C695" s="2"/>
      <c r="D695" s="2"/>
      <c r="E695" s="2"/>
      <c r="F695" s="2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2"/>
      <c r="B696" s="2"/>
      <c r="C696" s="2"/>
      <c r="D696" s="2"/>
      <c r="E696" s="2"/>
      <c r="F696" s="2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2"/>
      <c r="B697" s="2"/>
      <c r="C697" s="2"/>
      <c r="D697" s="2"/>
      <c r="E697" s="2"/>
      <c r="F697" s="2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2"/>
      <c r="B698" s="2"/>
      <c r="C698" s="2"/>
      <c r="D698" s="2"/>
      <c r="E698" s="2"/>
      <c r="F698" s="2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2"/>
      <c r="B699" s="2"/>
      <c r="C699" s="2"/>
      <c r="D699" s="2"/>
      <c r="E699" s="2"/>
      <c r="F699" s="2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2"/>
      <c r="B700" s="2"/>
      <c r="C700" s="2"/>
      <c r="D700" s="2"/>
      <c r="E700" s="2"/>
      <c r="F700" s="2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2"/>
      <c r="B701" s="2"/>
      <c r="C701" s="2"/>
      <c r="D701" s="2"/>
      <c r="E701" s="2"/>
      <c r="F701" s="2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2"/>
      <c r="B702" s="2"/>
      <c r="C702" s="2"/>
      <c r="D702" s="2"/>
      <c r="E702" s="2"/>
      <c r="F702" s="2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2"/>
      <c r="B703" s="2"/>
      <c r="C703" s="2"/>
      <c r="D703" s="2"/>
      <c r="E703" s="2"/>
      <c r="F703" s="2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2"/>
      <c r="B704" s="2"/>
      <c r="C704" s="2"/>
      <c r="D704" s="2"/>
      <c r="E704" s="2"/>
      <c r="F704" s="2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2"/>
      <c r="B705" s="2"/>
      <c r="C705" s="2"/>
      <c r="D705" s="2"/>
      <c r="E705" s="2"/>
      <c r="F705" s="2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2"/>
      <c r="B706" s="2"/>
      <c r="C706" s="2"/>
      <c r="D706" s="2"/>
      <c r="E706" s="2"/>
      <c r="F706" s="2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2"/>
      <c r="B707" s="2"/>
      <c r="C707" s="2"/>
      <c r="D707" s="2"/>
      <c r="E707" s="2"/>
      <c r="F707" s="2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2"/>
      <c r="B708" s="2"/>
      <c r="C708" s="2"/>
      <c r="D708" s="2"/>
      <c r="E708" s="2"/>
      <c r="F708" s="2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2"/>
      <c r="B709" s="2"/>
      <c r="C709" s="2"/>
      <c r="D709" s="2"/>
      <c r="E709" s="2"/>
      <c r="F709" s="2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2"/>
      <c r="B710" s="2"/>
      <c r="C710" s="2"/>
      <c r="D710" s="2"/>
      <c r="E710" s="2"/>
      <c r="F710" s="2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2"/>
      <c r="B711" s="2"/>
      <c r="C711" s="2"/>
      <c r="D711" s="2"/>
      <c r="E711" s="2"/>
      <c r="F711" s="2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2"/>
      <c r="B712" s="2"/>
      <c r="C712" s="2"/>
      <c r="D712" s="2"/>
      <c r="E712" s="2"/>
      <c r="F712" s="2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2"/>
      <c r="B713" s="2"/>
      <c r="C713" s="2"/>
      <c r="D713" s="2"/>
      <c r="E713" s="2"/>
      <c r="F713" s="2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2"/>
      <c r="B714" s="2"/>
      <c r="C714" s="2"/>
      <c r="D714" s="2"/>
      <c r="E714" s="2"/>
      <c r="F714" s="2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2"/>
      <c r="B715" s="2"/>
      <c r="C715" s="2"/>
      <c r="D715" s="2"/>
      <c r="E715" s="2"/>
      <c r="F715" s="2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2"/>
      <c r="B716" s="2"/>
      <c r="C716" s="2"/>
      <c r="D716" s="2"/>
      <c r="E716" s="2"/>
      <c r="F716" s="2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2"/>
      <c r="B717" s="2"/>
      <c r="C717" s="2"/>
      <c r="D717" s="2"/>
      <c r="E717" s="2"/>
      <c r="F717" s="2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2"/>
      <c r="B718" s="2"/>
      <c r="C718" s="2"/>
      <c r="D718" s="2"/>
      <c r="E718" s="2"/>
      <c r="F718" s="2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2"/>
      <c r="B719" s="2"/>
      <c r="C719" s="2"/>
      <c r="D719" s="2"/>
      <c r="E719" s="2"/>
      <c r="F719" s="2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2"/>
      <c r="B720" s="2"/>
      <c r="C720" s="2"/>
      <c r="D720" s="2"/>
      <c r="E720" s="2"/>
      <c r="F720" s="2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2"/>
      <c r="B721" s="2"/>
      <c r="C721" s="2"/>
      <c r="D721" s="2"/>
      <c r="E721" s="2"/>
      <c r="F721" s="2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2"/>
      <c r="B722" s="2"/>
      <c r="C722" s="2"/>
      <c r="D722" s="2"/>
      <c r="E722" s="2"/>
      <c r="F722" s="2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2"/>
      <c r="B723" s="2"/>
      <c r="C723" s="2"/>
      <c r="D723" s="2"/>
      <c r="E723" s="2"/>
      <c r="F723" s="2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2"/>
      <c r="B724" s="2"/>
      <c r="C724" s="2"/>
      <c r="D724" s="2"/>
      <c r="E724" s="2"/>
      <c r="F724" s="2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2"/>
      <c r="B725" s="2"/>
      <c r="C725" s="2"/>
      <c r="D725" s="2"/>
      <c r="E725" s="2"/>
      <c r="F725" s="2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2"/>
      <c r="B726" s="2"/>
      <c r="C726" s="2"/>
      <c r="D726" s="2"/>
      <c r="E726" s="2"/>
      <c r="F726" s="2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2"/>
      <c r="B727" s="2"/>
      <c r="C727" s="2"/>
      <c r="D727" s="2"/>
      <c r="E727" s="2"/>
      <c r="F727" s="2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2"/>
      <c r="B728" s="2"/>
      <c r="C728" s="2"/>
      <c r="D728" s="2"/>
      <c r="E728" s="2"/>
      <c r="F728" s="2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2"/>
      <c r="B729" s="2"/>
      <c r="C729" s="2"/>
      <c r="D729" s="2"/>
      <c r="E729" s="2"/>
      <c r="F729" s="2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2"/>
      <c r="B730" s="2"/>
      <c r="C730" s="2"/>
      <c r="D730" s="2"/>
      <c r="E730" s="2"/>
      <c r="F730" s="2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2"/>
      <c r="B731" s="2"/>
      <c r="C731" s="2"/>
      <c r="D731" s="2"/>
      <c r="E731" s="2"/>
      <c r="F731" s="2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2"/>
      <c r="B732" s="2"/>
      <c r="C732" s="2"/>
      <c r="D732" s="2"/>
      <c r="E732" s="2"/>
      <c r="F732" s="2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2"/>
      <c r="B733" s="2"/>
      <c r="C733" s="2"/>
      <c r="D733" s="2"/>
      <c r="E733" s="2"/>
      <c r="F733" s="2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2"/>
      <c r="B734" s="2"/>
      <c r="C734" s="2"/>
      <c r="D734" s="2"/>
      <c r="E734" s="2"/>
      <c r="F734" s="2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2"/>
      <c r="B735" s="2"/>
      <c r="C735" s="2"/>
      <c r="D735" s="2"/>
      <c r="E735" s="2"/>
      <c r="F735" s="2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2"/>
      <c r="B736" s="2"/>
      <c r="C736" s="2"/>
      <c r="D736" s="2"/>
      <c r="E736" s="2"/>
      <c r="F736" s="2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2"/>
      <c r="B737" s="2"/>
      <c r="C737" s="2"/>
      <c r="D737" s="2"/>
      <c r="E737" s="2"/>
      <c r="F737" s="2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2"/>
      <c r="B738" s="2"/>
      <c r="C738" s="2"/>
      <c r="D738" s="2"/>
      <c r="E738" s="2"/>
      <c r="F738" s="2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2"/>
      <c r="B739" s="2"/>
      <c r="C739" s="2"/>
      <c r="D739" s="2"/>
      <c r="E739" s="2"/>
      <c r="F739" s="2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2"/>
      <c r="B740" s="2"/>
      <c r="C740" s="2"/>
      <c r="D740" s="2"/>
      <c r="E740" s="2"/>
      <c r="F740" s="2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2"/>
      <c r="B741" s="2"/>
      <c r="C741" s="2"/>
      <c r="D741" s="2"/>
      <c r="E741" s="2"/>
      <c r="F741" s="2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2"/>
      <c r="B742" s="2"/>
      <c r="C742" s="2"/>
      <c r="D742" s="2"/>
      <c r="E742" s="2"/>
      <c r="F742" s="2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2"/>
      <c r="B743" s="2"/>
      <c r="C743" s="2"/>
      <c r="D743" s="2"/>
      <c r="E743" s="2"/>
      <c r="F743" s="2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2"/>
      <c r="B744" s="2"/>
      <c r="C744" s="2"/>
      <c r="D744" s="2"/>
      <c r="E744" s="2"/>
      <c r="F744" s="2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2"/>
      <c r="B745" s="2"/>
      <c r="C745" s="2"/>
      <c r="D745" s="2"/>
      <c r="E745" s="2"/>
      <c r="F745" s="2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2"/>
      <c r="B746" s="2"/>
      <c r="C746" s="2"/>
      <c r="D746" s="2"/>
      <c r="E746" s="2"/>
      <c r="F746" s="2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2"/>
      <c r="B747" s="2"/>
      <c r="C747" s="2"/>
      <c r="D747" s="2"/>
      <c r="E747" s="2"/>
      <c r="F747" s="2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2"/>
      <c r="B748" s="2"/>
      <c r="C748" s="2"/>
      <c r="D748" s="2"/>
      <c r="E748" s="2"/>
      <c r="F748" s="2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2"/>
      <c r="B749" s="2"/>
      <c r="C749" s="2"/>
      <c r="D749" s="2"/>
      <c r="E749" s="2"/>
      <c r="F749" s="2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2"/>
      <c r="B750" s="2"/>
      <c r="C750" s="2"/>
      <c r="D750" s="2"/>
      <c r="E750" s="2"/>
      <c r="F750" s="2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2"/>
      <c r="B751" s="2"/>
      <c r="C751" s="2"/>
      <c r="D751" s="2"/>
      <c r="E751" s="2"/>
      <c r="F751" s="2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2"/>
      <c r="B752" s="2"/>
      <c r="C752" s="2"/>
      <c r="D752" s="2"/>
      <c r="E752" s="2"/>
      <c r="F752" s="2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2"/>
      <c r="B753" s="2"/>
      <c r="C753" s="2"/>
      <c r="D753" s="2"/>
      <c r="E753" s="2"/>
      <c r="F753" s="2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2"/>
      <c r="B754" s="2"/>
      <c r="C754" s="2"/>
      <c r="D754" s="2"/>
      <c r="E754" s="2"/>
      <c r="F754" s="2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2"/>
      <c r="B755" s="2"/>
      <c r="C755" s="2"/>
      <c r="D755" s="2"/>
      <c r="E755" s="2"/>
      <c r="F755" s="2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2"/>
      <c r="B756" s="2"/>
      <c r="C756" s="2"/>
      <c r="D756" s="2"/>
      <c r="E756" s="2"/>
      <c r="F756" s="2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2"/>
      <c r="B757" s="2"/>
      <c r="C757" s="2"/>
      <c r="D757" s="2"/>
      <c r="E757" s="2"/>
      <c r="F757" s="2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2"/>
      <c r="B758" s="2"/>
      <c r="C758" s="2"/>
      <c r="D758" s="2"/>
      <c r="E758" s="2"/>
      <c r="F758" s="2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2"/>
      <c r="B759" s="2"/>
      <c r="C759" s="2"/>
      <c r="D759" s="2"/>
      <c r="E759" s="2"/>
      <c r="F759" s="2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2"/>
      <c r="B760" s="2"/>
      <c r="C760" s="2"/>
      <c r="D760" s="2"/>
      <c r="E760" s="2"/>
      <c r="F760" s="2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2"/>
      <c r="B761" s="2"/>
      <c r="C761" s="2"/>
      <c r="D761" s="2"/>
      <c r="E761" s="2"/>
      <c r="F761" s="2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2"/>
      <c r="B762" s="2"/>
      <c r="C762" s="2"/>
      <c r="D762" s="2"/>
      <c r="E762" s="2"/>
      <c r="F762" s="2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2"/>
      <c r="B763" s="2"/>
      <c r="C763" s="2"/>
      <c r="D763" s="2"/>
      <c r="E763" s="2"/>
      <c r="F763" s="2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2"/>
      <c r="B764" s="2"/>
      <c r="C764" s="2"/>
      <c r="D764" s="2"/>
      <c r="E764" s="2"/>
      <c r="F764" s="2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2"/>
      <c r="B765" s="2"/>
      <c r="C765" s="2"/>
      <c r="D765" s="2"/>
      <c r="E765" s="2"/>
      <c r="F765" s="2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2"/>
      <c r="B766" s="2"/>
      <c r="C766" s="2"/>
      <c r="D766" s="2"/>
      <c r="E766" s="2"/>
      <c r="F766" s="2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2"/>
      <c r="B767" s="2"/>
      <c r="C767" s="2"/>
      <c r="D767" s="2"/>
      <c r="E767" s="2"/>
      <c r="F767" s="2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2"/>
      <c r="B768" s="2"/>
      <c r="C768" s="2"/>
      <c r="D768" s="2"/>
      <c r="E768" s="2"/>
      <c r="F768" s="2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2"/>
      <c r="B769" s="2"/>
      <c r="C769" s="2"/>
      <c r="D769" s="2"/>
      <c r="E769" s="2"/>
      <c r="F769" s="2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2"/>
      <c r="B770" s="2"/>
      <c r="C770" s="2"/>
      <c r="D770" s="2"/>
      <c r="E770" s="2"/>
      <c r="F770" s="2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2"/>
      <c r="B771" s="2"/>
      <c r="C771" s="2"/>
      <c r="D771" s="2"/>
      <c r="E771" s="2"/>
      <c r="F771" s="2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2"/>
      <c r="B772" s="2"/>
      <c r="C772" s="2"/>
      <c r="D772" s="2"/>
      <c r="E772" s="2"/>
      <c r="F772" s="2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2"/>
      <c r="B773" s="2"/>
      <c r="C773" s="2"/>
      <c r="D773" s="2"/>
      <c r="E773" s="2"/>
      <c r="F773" s="2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2"/>
      <c r="B774" s="2"/>
      <c r="C774" s="2"/>
      <c r="D774" s="2"/>
      <c r="E774" s="2"/>
      <c r="F774" s="2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2"/>
      <c r="B775" s="2"/>
      <c r="C775" s="2"/>
      <c r="D775" s="2"/>
      <c r="E775" s="2"/>
      <c r="F775" s="2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2"/>
      <c r="B776" s="2"/>
      <c r="C776" s="2"/>
      <c r="D776" s="2"/>
      <c r="E776" s="2"/>
      <c r="F776" s="2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2"/>
      <c r="B777" s="2"/>
      <c r="C777" s="2"/>
      <c r="D777" s="2"/>
      <c r="E777" s="2"/>
      <c r="F777" s="2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2"/>
      <c r="B778" s="2"/>
      <c r="C778" s="2"/>
      <c r="D778" s="2"/>
      <c r="E778" s="2"/>
      <c r="F778" s="2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2"/>
      <c r="B779" s="2"/>
      <c r="C779" s="2"/>
      <c r="D779" s="2"/>
      <c r="E779" s="2"/>
      <c r="F779" s="2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2"/>
      <c r="B780" s="2"/>
      <c r="C780" s="2"/>
      <c r="D780" s="2"/>
      <c r="E780" s="2"/>
      <c r="F780" s="2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2"/>
      <c r="B781" s="2"/>
      <c r="C781" s="2"/>
      <c r="D781" s="2"/>
      <c r="E781" s="2"/>
      <c r="F781" s="2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2"/>
      <c r="B782" s="2"/>
      <c r="C782" s="2"/>
      <c r="D782" s="2"/>
      <c r="E782" s="2"/>
      <c r="F782" s="2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2"/>
      <c r="B783" s="2"/>
      <c r="C783" s="2"/>
      <c r="D783" s="2"/>
      <c r="E783" s="2"/>
      <c r="F783" s="2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2"/>
      <c r="B784" s="2"/>
      <c r="C784" s="2"/>
      <c r="D784" s="2"/>
      <c r="E784" s="2"/>
      <c r="F784" s="2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2"/>
      <c r="B785" s="2"/>
      <c r="C785" s="2"/>
      <c r="D785" s="2"/>
      <c r="E785" s="2"/>
      <c r="F785" s="2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2"/>
      <c r="B786" s="2"/>
      <c r="C786" s="2"/>
      <c r="D786" s="2"/>
      <c r="E786" s="2"/>
      <c r="F786" s="2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2"/>
      <c r="B787" s="2"/>
      <c r="C787" s="2"/>
      <c r="D787" s="2"/>
      <c r="E787" s="2"/>
      <c r="F787" s="2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2"/>
      <c r="B788" s="2"/>
      <c r="C788" s="2"/>
      <c r="D788" s="2"/>
      <c r="E788" s="2"/>
      <c r="F788" s="2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2"/>
      <c r="B789" s="2"/>
      <c r="C789" s="2"/>
      <c r="D789" s="2"/>
      <c r="E789" s="2"/>
      <c r="F789" s="2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2"/>
      <c r="B790" s="2"/>
      <c r="C790" s="2"/>
      <c r="D790" s="2"/>
      <c r="E790" s="2"/>
      <c r="F790" s="2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2"/>
      <c r="B791" s="2"/>
      <c r="C791" s="2"/>
      <c r="D791" s="2"/>
      <c r="E791" s="2"/>
      <c r="F791" s="2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2"/>
      <c r="B792" s="2"/>
      <c r="C792" s="2"/>
      <c r="D792" s="2"/>
      <c r="E792" s="2"/>
      <c r="F792" s="2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2"/>
      <c r="B793" s="2"/>
      <c r="C793" s="2"/>
      <c r="D793" s="2"/>
      <c r="E793" s="2"/>
      <c r="F793" s="2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2"/>
      <c r="B794" s="2"/>
      <c r="C794" s="2"/>
      <c r="D794" s="2"/>
      <c r="E794" s="2"/>
      <c r="F794" s="2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2"/>
      <c r="B795" s="2"/>
      <c r="C795" s="2"/>
      <c r="D795" s="2"/>
      <c r="E795" s="2"/>
      <c r="F795" s="2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2"/>
      <c r="B796" s="2"/>
      <c r="C796" s="2"/>
      <c r="D796" s="2"/>
      <c r="E796" s="2"/>
      <c r="F796" s="2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2"/>
      <c r="B797" s="2"/>
      <c r="C797" s="2"/>
      <c r="D797" s="2"/>
      <c r="E797" s="2"/>
      <c r="F797" s="2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2"/>
      <c r="B798" s="2"/>
      <c r="C798" s="2"/>
      <c r="D798" s="2"/>
      <c r="E798" s="2"/>
      <c r="F798" s="2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2"/>
      <c r="B799" s="2"/>
      <c r="C799" s="2"/>
      <c r="D799" s="2"/>
      <c r="E799" s="2"/>
      <c r="F799" s="2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2"/>
      <c r="B800" s="2"/>
      <c r="C800" s="2"/>
      <c r="D800" s="2"/>
      <c r="E800" s="2"/>
      <c r="F800" s="2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2"/>
      <c r="B801" s="2"/>
      <c r="C801" s="2"/>
      <c r="D801" s="2"/>
      <c r="E801" s="2"/>
      <c r="F801" s="2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2"/>
      <c r="B802" s="2"/>
      <c r="C802" s="2"/>
      <c r="D802" s="2"/>
      <c r="E802" s="2"/>
      <c r="F802" s="2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2"/>
      <c r="B803" s="2"/>
      <c r="C803" s="2"/>
      <c r="D803" s="2"/>
      <c r="E803" s="2"/>
      <c r="F803" s="2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2"/>
      <c r="B804" s="2"/>
      <c r="C804" s="2"/>
      <c r="D804" s="2"/>
      <c r="E804" s="2"/>
      <c r="F804" s="2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2"/>
      <c r="B805" s="2"/>
      <c r="C805" s="2"/>
      <c r="D805" s="2"/>
      <c r="E805" s="2"/>
      <c r="F805" s="2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2"/>
      <c r="B806" s="2"/>
      <c r="C806" s="2"/>
      <c r="D806" s="2"/>
      <c r="E806" s="2"/>
      <c r="F806" s="2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2"/>
      <c r="B807" s="2"/>
      <c r="C807" s="2"/>
      <c r="D807" s="2"/>
      <c r="E807" s="2"/>
      <c r="F807" s="2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2"/>
      <c r="B808" s="2"/>
      <c r="C808" s="2"/>
      <c r="D808" s="2"/>
      <c r="E808" s="2"/>
      <c r="F808" s="2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2"/>
      <c r="B809" s="2"/>
      <c r="C809" s="2"/>
      <c r="D809" s="2"/>
      <c r="E809" s="2"/>
      <c r="F809" s="2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2"/>
      <c r="B810" s="2"/>
      <c r="C810" s="2"/>
      <c r="D810" s="2"/>
      <c r="E810" s="2"/>
      <c r="F810" s="2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2"/>
      <c r="B811" s="2"/>
      <c r="C811" s="2"/>
      <c r="D811" s="2"/>
      <c r="E811" s="2"/>
      <c r="F811" s="2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2"/>
      <c r="B812" s="2"/>
      <c r="C812" s="2"/>
      <c r="D812" s="2"/>
      <c r="E812" s="2"/>
      <c r="F812" s="2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2"/>
      <c r="B813" s="2"/>
      <c r="C813" s="2"/>
      <c r="D813" s="2"/>
      <c r="E813" s="2"/>
      <c r="F813" s="2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2"/>
      <c r="B814" s="2"/>
      <c r="C814" s="2"/>
      <c r="D814" s="2"/>
      <c r="E814" s="2"/>
      <c r="F814" s="2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2"/>
      <c r="B815" s="2"/>
      <c r="C815" s="2"/>
      <c r="D815" s="2"/>
      <c r="E815" s="2"/>
      <c r="F815" s="2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2"/>
      <c r="B816" s="2"/>
      <c r="C816" s="2"/>
      <c r="D816" s="2"/>
      <c r="E816" s="2"/>
      <c r="F816" s="2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2"/>
      <c r="B817" s="2"/>
      <c r="C817" s="2"/>
      <c r="D817" s="2"/>
      <c r="E817" s="2"/>
      <c r="F817" s="2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2"/>
      <c r="B818" s="2"/>
      <c r="C818" s="2"/>
      <c r="D818" s="2"/>
      <c r="E818" s="2"/>
      <c r="F818" s="2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2"/>
      <c r="B819" s="2"/>
      <c r="C819" s="2"/>
      <c r="D819" s="2"/>
      <c r="E819" s="2"/>
      <c r="F819" s="2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2"/>
      <c r="B820" s="2"/>
      <c r="C820" s="2"/>
      <c r="D820" s="2"/>
      <c r="E820" s="2"/>
      <c r="F820" s="2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2"/>
      <c r="B821" s="2"/>
      <c r="C821" s="2"/>
      <c r="D821" s="2"/>
      <c r="E821" s="2"/>
      <c r="F821" s="2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2"/>
      <c r="B822" s="2"/>
      <c r="C822" s="2"/>
      <c r="D822" s="2"/>
      <c r="E822" s="2"/>
      <c r="F822" s="2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2"/>
      <c r="B823" s="2"/>
      <c r="C823" s="2"/>
      <c r="D823" s="2"/>
      <c r="E823" s="2"/>
      <c r="F823" s="2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2"/>
      <c r="B824" s="2"/>
      <c r="C824" s="2"/>
      <c r="D824" s="2"/>
      <c r="E824" s="2"/>
      <c r="F824" s="2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2"/>
      <c r="B825" s="2"/>
      <c r="C825" s="2"/>
      <c r="D825" s="2"/>
      <c r="E825" s="2"/>
      <c r="F825" s="2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2"/>
      <c r="B826" s="2"/>
      <c r="C826" s="2"/>
      <c r="D826" s="2"/>
      <c r="E826" s="2"/>
      <c r="F826" s="2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2"/>
      <c r="B827" s="2"/>
      <c r="C827" s="2"/>
      <c r="D827" s="2"/>
      <c r="E827" s="2"/>
      <c r="F827" s="2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2"/>
      <c r="B828" s="2"/>
      <c r="C828" s="2"/>
      <c r="D828" s="2"/>
      <c r="E828" s="2"/>
      <c r="F828" s="2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2"/>
      <c r="B829" s="2"/>
      <c r="C829" s="2"/>
      <c r="D829" s="2"/>
      <c r="E829" s="2"/>
      <c r="F829" s="2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2"/>
      <c r="B830" s="2"/>
      <c r="C830" s="2"/>
      <c r="D830" s="2"/>
      <c r="E830" s="2"/>
      <c r="F830" s="2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2"/>
      <c r="B831" s="2"/>
      <c r="C831" s="2"/>
      <c r="D831" s="2"/>
      <c r="E831" s="2"/>
      <c r="F831" s="2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2"/>
      <c r="B832" s="2"/>
      <c r="C832" s="2"/>
      <c r="D832" s="2"/>
      <c r="E832" s="2"/>
      <c r="F832" s="2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2"/>
      <c r="B833" s="2"/>
      <c r="C833" s="2"/>
      <c r="D833" s="2"/>
      <c r="E833" s="2"/>
      <c r="F833" s="2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2"/>
      <c r="B834" s="2"/>
      <c r="C834" s="2"/>
      <c r="D834" s="2"/>
      <c r="E834" s="2"/>
      <c r="F834" s="2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2"/>
      <c r="B835" s="2"/>
      <c r="C835" s="2"/>
      <c r="D835" s="2"/>
      <c r="E835" s="2"/>
      <c r="F835" s="2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2"/>
      <c r="B836" s="2"/>
      <c r="C836" s="2"/>
      <c r="D836" s="2"/>
      <c r="E836" s="2"/>
      <c r="F836" s="2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2"/>
      <c r="B837" s="2"/>
      <c r="C837" s="2"/>
      <c r="D837" s="2"/>
      <c r="E837" s="2"/>
      <c r="F837" s="2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2"/>
      <c r="B838" s="2"/>
      <c r="C838" s="2"/>
      <c r="D838" s="2"/>
      <c r="E838" s="2"/>
      <c r="F838" s="2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2"/>
      <c r="B839" s="2"/>
      <c r="C839" s="2"/>
      <c r="D839" s="2"/>
      <c r="E839" s="2"/>
      <c r="F839" s="2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2"/>
      <c r="B840" s="2"/>
      <c r="C840" s="2"/>
      <c r="D840" s="2"/>
      <c r="E840" s="2"/>
      <c r="F840" s="2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2"/>
      <c r="B841" s="2"/>
      <c r="C841" s="2"/>
      <c r="D841" s="2"/>
      <c r="E841" s="2"/>
      <c r="F841" s="2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2"/>
      <c r="B842" s="2"/>
      <c r="C842" s="2"/>
      <c r="D842" s="2"/>
      <c r="E842" s="2"/>
      <c r="F842" s="2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2"/>
      <c r="B843" s="2"/>
      <c r="C843" s="2"/>
      <c r="D843" s="2"/>
      <c r="E843" s="2"/>
      <c r="F843" s="2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2"/>
      <c r="B844" s="2"/>
      <c r="C844" s="2"/>
      <c r="D844" s="2"/>
      <c r="E844" s="2"/>
      <c r="F844" s="2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2"/>
      <c r="B845" s="2"/>
      <c r="C845" s="2"/>
      <c r="D845" s="2"/>
      <c r="E845" s="2"/>
      <c r="F845" s="2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2"/>
      <c r="B846" s="2"/>
      <c r="C846" s="2"/>
      <c r="D846" s="2"/>
      <c r="E846" s="2"/>
      <c r="F846" s="2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2"/>
      <c r="B847" s="2"/>
      <c r="C847" s="2"/>
      <c r="D847" s="2"/>
      <c r="E847" s="2"/>
      <c r="F847" s="2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2"/>
      <c r="B848" s="2"/>
      <c r="C848" s="2"/>
      <c r="D848" s="2"/>
      <c r="E848" s="2"/>
      <c r="F848" s="2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2"/>
      <c r="B849" s="2"/>
      <c r="C849" s="2"/>
      <c r="D849" s="2"/>
      <c r="E849" s="2"/>
      <c r="F849" s="2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2"/>
      <c r="B850" s="2"/>
      <c r="C850" s="2"/>
      <c r="D850" s="2"/>
      <c r="E850" s="2"/>
      <c r="F850" s="2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2"/>
      <c r="B851" s="2"/>
      <c r="C851" s="2"/>
      <c r="D851" s="2"/>
      <c r="E851" s="2"/>
      <c r="F851" s="2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2"/>
      <c r="B852" s="2"/>
      <c r="C852" s="2"/>
      <c r="D852" s="2"/>
      <c r="E852" s="2"/>
      <c r="F852" s="2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2"/>
      <c r="B853" s="2"/>
      <c r="C853" s="2"/>
      <c r="D853" s="2"/>
      <c r="E853" s="2"/>
      <c r="F853" s="2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2"/>
      <c r="B854" s="2"/>
      <c r="C854" s="2"/>
      <c r="D854" s="2"/>
      <c r="E854" s="2"/>
      <c r="F854" s="2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2"/>
      <c r="B855" s="2"/>
      <c r="C855" s="2"/>
      <c r="D855" s="2"/>
      <c r="E855" s="2"/>
      <c r="F855" s="2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2"/>
      <c r="B856" s="2"/>
      <c r="C856" s="2"/>
      <c r="D856" s="2"/>
      <c r="E856" s="2"/>
      <c r="F856" s="2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2"/>
      <c r="B857" s="2"/>
      <c r="C857" s="2"/>
      <c r="D857" s="2"/>
      <c r="E857" s="2"/>
      <c r="F857" s="2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2"/>
      <c r="B858" s="2"/>
      <c r="C858" s="2"/>
      <c r="D858" s="2"/>
      <c r="E858" s="2"/>
      <c r="F858" s="2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2"/>
      <c r="B859" s="2"/>
      <c r="C859" s="2"/>
      <c r="D859" s="2"/>
      <c r="E859" s="2"/>
      <c r="F859" s="2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2"/>
      <c r="B860" s="2"/>
      <c r="C860" s="2"/>
      <c r="D860" s="2"/>
      <c r="E860" s="2"/>
      <c r="F860" s="2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2"/>
      <c r="B861" s="2"/>
      <c r="C861" s="2"/>
      <c r="D861" s="2"/>
      <c r="E861" s="2"/>
      <c r="F861" s="2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2"/>
      <c r="B862" s="2"/>
      <c r="C862" s="2"/>
      <c r="D862" s="2"/>
      <c r="E862" s="2"/>
      <c r="F862" s="2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2"/>
      <c r="B863" s="2"/>
      <c r="C863" s="2"/>
      <c r="D863" s="2"/>
      <c r="E863" s="2"/>
      <c r="F863" s="2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2"/>
      <c r="B864" s="2"/>
      <c r="C864" s="2"/>
      <c r="D864" s="2"/>
      <c r="E864" s="2"/>
      <c r="F864" s="2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2"/>
      <c r="B865" s="2"/>
      <c r="C865" s="2"/>
      <c r="D865" s="2"/>
      <c r="E865" s="2"/>
      <c r="F865" s="2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2"/>
      <c r="B866" s="2"/>
      <c r="C866" s="2"/>
      <c r="D866" s="2"/>
      <c r="E866" s="2"/>
      <c r="F866" s="2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2"/>
      <c r="B867" s="2"/>
      <c r="C867" s="2"/>
      <c r="D867" s="2"/>
      <c r="E867" s="2"/>
      <c r="F867" s="2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2"/>
      <c r="B868" s="2"/>
      <c r="C868" s="2"/>
      <c r="D868" s="2"/>
      <c r="E868" s="2"/>
      <c r="F868" s="2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2"/>
      <c r="B869" s="2"/>
      <c r="C869" s="2"/>
      <c r="D869" s="2"/>
      <c r="E869" s="2"/>
      <c r="F869" s="2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2"/>
      <c r="B870" s="2"/>
      <c r="C870" s="2"/>
      <c r="D870" s="2"/>
      <c r="E870" s="2"/>
      <c r="F870" s="2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2"/>
      <c r="B871" s="2"/>
      <c r="C871" s="2"/>
      <c r="D871" s="2"/>
      <c r="E871" s="2"/>
      <c r="F871" s="2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2"/>
      <c r="B872" s="2"/>
      <c r="C872" s="2"/>
      <c r="D872" s="2"/>
      <c r="E872" s="2"/>
      <c r="F872" s="2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2"/>
      <c r="B873" s="2"/>
      <c r="C873" s="2"/>
      <c r="D873" s="2"/>
      <c r="E873" s="2"/>
      <c r="F873" s="2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2"/>
      <c r="B874" s="2"/>
      <c r="C874" s="2"/>
      <c r="D874" s="2"/>
      <c r="E874" s="2"/>
      <c r="F874" s="2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2"/>
      <c r="B875" s="2"/>
      <c r="C875" s="2"/>
      <c r="D875" s="2"/>
      <c r="E875" s="2"/>
      <c r="F875" s="2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2"/>
      <c r="B876" s="2"/>
      <c r="C876" s="2"/>
      <c r="D876" s="2"/>
      <c r="E876" s="2"/>
      <c r="F876" s="2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2"/>
      <c r="B877" s="2"/>
      <c r="C877" s="2"/>
      <c r="D877" s="2"/>
      <c r="E877" s="2"/>
      <c r="F877" s="2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2"/>
      <c r="B878" s="2"/>
      <c r="C878" s="2"/>
      <c r="D878" s="2"/>
      <c r="E878" s="2"/>
      <c r="F878" s="2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2"/>
      <c r="B879" s="2"/>
      <c r="C879" s="2"/>
      <c r="D879" s="2"/>
      <c r="E879" s="2"/>
      <c r="F879" s="2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2"/>
      <c r="B880" s="2"/>
      <c r="C880" s="2"/>
      <c r="D880" s="2"/>
      <c r="E880" s="2"/>
      <c r="F880" s="2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2"/>
      <c r="B881" s="2"/>
      <c r="C881" s="2"/>
      <c r="D881" s="2"/>
      <c r="E881" s="2"/>
      <c r="F881" s="2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2"/>
      <c r="B882" s="2"/>
      <c r="C882" s="2"/>
      <c r="D882" s="2"/>
      <c r="E882" s="2"/>
      <c r="F882" s="2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2"/>
      <c r="B883" s="2"/>
      <c r="C883" s="2"/>
      <c r="D883" s="2"/>
      <c r="E883" s="2"/>
      <c r="F883" s="2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2"/>
      <c r="B884" s="2"/>
      <c r="C884" s="2"/>
      <c r="D884" s="2"/>
      <c r="E884" s="2"/>
      <c r="F884" s="2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2"/>
      <c r="B885" s="2"/>
      <c r="C885" s="2"/>
      <c r="D885" s="2"/>
      <c r="E885" s="2"/>
      <c r="F885" s="2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2"/>
      <c r="B886" s="2"/>
      <c r="C886" s="2"/>
      <c r="D886" s="2"/>
      <c r="E886" s="2"/>
      <c r="F886" s="2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2"/>
      <c r="B887" s="2"/>
      <c r="C887" s="2"/>
      <c r="D887" s="2"/>
      <c r="E887" s="2"/>
      <c r="F887" s="2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2"/>
      <c r="B888" s="2"/>
      <c r="C888" s="2"/>
      <c r="D888" s="2"/>
      <c r="E888" s="2"/>
      <c r="F888" s="2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2"/>
      <c r="B889" s="2"/>
      <c r="C889" s="2"/>
      <c r="D889" s="2"/>
      <c r="E889" s="2"/>
      <c r="F889" s="2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2"/>
      <c r="B890" s="2"/>
      <c r="C890" s="2"/>
      <c r="D890" s="2"/>
      <c r="E890" s="2"/>
      <c r="F890" s="2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2"/>
      <c r="B891" s="2"/>
      <c r="C891" s="2"/>
      <c r="D891" s="2"/>
      <c r="E891" s="2"/>
      <c r="F891" s="2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2"/>
      <c r="B892" s="2"/>
      <c r="C892" s="2"/>
      <c r="D892" s="2"/>
      <c r="E892" s="2"/>
      <c r="F892" s="2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2"/>
      <c r="B893" s="2"/>
      <c r="C893" s="2"/>
      <c r="D893" s="2"/>
      <c r="E893" s="2"/>
      <c r="F893" s="2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2"/>
      <c r="B894" s="2"/>
      <c r="C894" s="2"/>
      <c r="D894" s="2"/>
      <c r="E894" s="2"/>
      <c r="F894" s="2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2"/>
      <c r="B895" s="2"/>
      <c r="C895" s="2"/>
      <c r="D895" s="2"/>
      <c r="E895" s="2"/>
      <c r="F895" s="2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2"/>
      <c r="B896" s="2"/>
      <c r="C896" s="2"/>
      <c r="D896" s="2"/>
      <c r="E896" s="2"/>
      <c r="F896" s="2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2"/>
      <c r="B897" s="2"/>
      <c r="C897" s="2"/>
      <c r="D897" s="2"/>
      <c r="E897" s="2"/>
      <c r="F897" s="2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2"/>
      <c r="B898" s="2"/>
      <c r="C898" s="2"/>
      <c r="D898" s="2"/>
      <c r="E898" s="2"/>
      <c r="F898" s="2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2"/>
      <c r="B899" s="2"/>
      <c r="C899" s="2"/>
      <c r="D899" s="2"/>
      <c r="E899" s="2"/>
      <c r="F899" s="2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2"/>
      <c r="B900" s="2"/>
      <c r="C900" s="2"/>
      <c r="D900" s="2"/>
      <c r="E900" s="2"/>
      <c r="F900" s="2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2"/>
      <c r="B901" s="2"/>
      <c r="C901" s="2"/>
      <c r="D901" s="2"/>
      <c r="E901" s="2"/>
      <c r="F901" s="2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2"/>
      <c r="B902" s="2"/>
      <c r="C902" s="2"/>
      <c r="D902" s="2"/>
      <c r="E902" s="2"/>
      <c r="F902" s="2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2"/>
      <c r="B903" s="2"/>
      <c r="C903" s="2"/>
      <c r="D903" s="2"/>
      <c r="E903" s="2"/>
      <c r="F903" s="2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2"/>
      <c r="B904" s="2"/>
      <c r="C904" s="2"/>
      <c r="D904" s="2"/>
      <c r="E904" s="2"/>
      <c r="F904" s="2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2"/>
      <c r="B905" s="2"/>
      <c r="C905" s="2"/>
      <c r="D905" s="2"/>
      <c r="E905" s="2"/>
      <c r="F905" s="2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2"/>
      <c r="B906" s="2"/>
      <c r="C906" s="2"/>
      <c r="D906" s="2"/>
      <c r="E906" s="2"/>
      <c r="F906" s="2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2"/>
      <c r="B907" s="2"/>
      <c r="C907" s="2"/>
      <c r="D907" s="2"/>
      <c r="E907" s="2"/>
      <c r="F907" s="2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2"/>
      <c r="B908" s="2"/>
      <c r="C908" s="2"/>
      <c r="D908" s="2"/>
      <c r="E908" s="2"/>
      <c r="F908" s="2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2"/>
      <c r="B909" s="2"/>
      <c r="C909" s="2"/>
      <c r="D909" s="2"/>
      <c r="E909" s="2"/>
      <c r="F909" s="2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2"/>
      <c r="B910" s="2"/>
      <c r="C910" s="2"/>
      <c r="D910" s="2"/>
      <c r="E910" s="2"/>
      <c r="F910" s="2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2"/>
      <c r="B911" s="2"/>
      <c r="C911" s="2"/>
      <c r="D911" s="2"/>
      <c r="E911" s="2"/>
      <c r="F911" s="2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2"/>
      <c r="B912" s="2"/>
      <c r="C912" s="2"/>
      <c r="D912" s="2"/>
      <c r="E912" s="2"/>
      <c r="F912" s="2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2"/>
      <c r="B913" s="2"/>
      <c r="C913" s="2"/>
      <c r="D913" s="2"/>
      <c r="E913" s="2"/>
      <c r="F913" s="2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2"/>
      <c r="B914" s="2"/>
      <c r="C914" s="2"/>
      <c r="D914" s="2"/>
      <c r="E914" s="2"/>
      <c r="F914" s="2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2"/>
      <c r="B915" s="2"/>
      <c r="C915" s="2"/>
      <c r="D915" s="2"/>
      <c r="E915" s="2"/>
      <c r="F915" s="2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2"/>
      <c r="B916" s="2"/>
      <c r="C916" s="2"/>
      <c r="D916" s="2"/>
      <c r="E916" s="2"/>
      <c r="F916" s="2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2"/>
      <c r="B917" s="2"/>
      <c r="C917" s="2"/>
      <c r="D917" s="2"/>
      <c r="E917" s="2"/>
      <c r="F917" s="2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2"/>
      <c r="B918" s="2"/>
      <c r="C918" s="2"/>
      <c r="D918" s="2"/>
      <c r="E918" s="2"/>
      <c r="F918" s="2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2"/>
      <c r="B919" s="2"/>
      <c r="C919" s="2"/>
      <c r="D919" s="2"/>
      <c r="E919" s="2"/>
      <c r="F919" s="2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2"/>
      <c r="B920" s="2"/>
      <c r="C920" s="2"/>
      <c r="D920" s="2"/>
      <c r="E920" s="2"/>
      <c r="F920" s="2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2"/>
      <c r="B921" s="2"/>
      <c r="C921" s="2"/>
      <c r="D921" s="2"/>
      <c r="E921" s="2"/>
      <c r="F921" s="2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2"/>
      <c r="B922" s="2"/>
      <c r="C922" s="2"/>
      <c r="D922" s="2"/>
      <c r="E922" s="2"/>
      <c r="F922" s="2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2"/>
      <c r="B923" s="2"/>
      <c r="C923" s="2"/>
      <c r="D923" s="2"/>
      <c r="E923" s="2"/>
      <c r="F923" s="2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2"/>
      <c r="B924" s="2"/>
      <c r="C924" s="2"/>
      <c r="D924" s="2"/>
      <c r="E924" s="2"/>
      <c r="F924" s="2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2"/>
      <c r="B925" s="2"/>
      <c r="C925" s="2"/>
      <c r="D925" s="2"/>
      <c r="E925" s="2"/>
      <c r="F925" s="2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2"/>
      <c r="B926" s="2"/>
      <c r="C926" s="2"/>
      <c r="D926" s="2"/>
      <c r="E926" s="2"/>
      <c r="F926" s="2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2"/>
      <c r="B927" s="2"/>
      <c r="C927" s="2"/>
      <c r="D927" s="2"/>
      <c r="E927" s="2"/>
      <c r="F927" s="2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2"/>
      <c r="B928" s="2"/>
      <c r="C928" s="2"/>
      <c r="D928" s="2"/>
      <c r="E928" s="2"/>
      <c r="F928" s="2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2"/>
      <c r="B929" s="2"/>
      <c r="C929" s="2"/>
      <c r="D929" s="2"/>
      <c r="E929" s="2"/>
      <c r="F929" s="2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2"/>
      <c r="B930" s="2"/>
      <c r="C930" s="2"/>
      <c r="D930" s="2"/>
      <c r="E930" s="2"/>
      <c r="F930" s="2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2"/>
      <c r="B931" s="2"/>
      <c r="C931" s="2"/>
      <c r="D931" s="2"/>
      <c r="E931" s="2"/>
      <c r="F931" s="2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2"/>
      <c r="B932" s="2"/>
      <c r="C932" s="2"/>
      <c r="D932" s="2"/>
      <c r="E932" s="2"/>
      <c r="F932" s="2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2"/>
      <c r="B933" s="2"/>
      <c r="C933" s="2"/>
      <c r="D933" s="2"/>
      <c r="E933" s="2"/>
      <c r="F933" s="2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2"/>
      <c r="B934" s="2"/>
      <c r="C934" s="2"/>
      <c r="D934" s="2"/>
      <c r="E934" s="2"/>
      <c r="F934" s="2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2"/>
      <c r="B935" s="2"/>
      <c r="C935" s="2"/>
      <c r="D935" s="2"/>
      <c r="E935" s="2"/>
      <c r="F935" s="2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2"/>
      <c r="B936" s="2"/>
      <c r="C936" s="2"/>
      <c r="D936" s="2"/>
      <c r="E936" s="2"/>
      <c r="F936" s="2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2"/>
      <c r="B937" s="2"/>
      <c r="C937" s="2"/>
      <c r="D937" s="2"/>
      <c r="E937" s="2"/>
      <c r="F937" s="2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2"/>
      <c r="B938" s="2"/>
      <c r="C938" s="2"/>
      <c r="D938" s="2"/>
      <c r="E938" s="2"/>
      <c r="F938" s="2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2"/>
      <c r="B939" s="2"/>
      <c r="C939" s="2"/>
      <c r="D939" s="2"/>
      <c r="E939" s="2"/>
      <c r="F939" s="2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2"/>
      <c r="B940" s="2"/>
      <c r="C940" s="2"/>
      <c r="D940" s="2"/>
      <c r="E940" s="2"/>
      <c r="F940" s="2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2"/>
      <c r="B941" s="2"/>
      <c r="C941" s="2"/>
      <c r="D941" s="2"/>
      <c r="E941" s="2"/>
      <c r="F941" s="2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2"/>
      <c r="B942" s="2"/>
      <c r="C942" s="2"/>
      <c r="D942" s="2"/>
      <c r="E942" s="2"/>
      <c r="F942" s="2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2"/>
      <c r="B943" s="2"/>
      <c r="C943" s="2"/>
      <c r="D943" s="2"/>
      <c r="E943" s="2"/>
      <c r="F943" s="2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2"/>
      <c r="B944" s="2"/>
      <c r="C944" s="2"/>
      <c r="D944" s="2"/>
      <c r="E944" s="2"/>
      <c r="F944" s="2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2"/>
      <c r="B945" s="2"/>
      <c r="C945" s="2"/>
      <c r="D945" s="2"/>
      <c r="E945" s="2"/>
      <c r="F945" s="2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2"/>
      <c r="B946" s="2"/>
      <c r="C946" s="2"/>
      <c r="D946" s="2"/>
      <c r="E946" s="2"/>
      <c r="F946" s="2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2"/>
      <c r="B947" s="2"/>
      <c r="C947" s="2"/>
      <c r="D947" s="2"/>
      <c r="E947" s="2"/>
      <c r="F947" s="2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2"/>
      <c r="B948" s="2"/>
      <c r="C948" s="2"/>
      <c r="D948" s="2"/>
      <c r="E948" s="2"/>
      <c r="F948" s="2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2"/>
      <c r="B949" s="2"/>
      <c r="C949" s="2"/>
      <c r="D949" s="2"/>
      <c r="E949" s="2"/>
      <c r="F949" s="2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2"/>
      <c r="B950" s="2"/>
      <c r="C950" s="2"/>
      <c r="D950" s="2"/>
      <c r="E950" s="2"/>
      <c r="F950" s="2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2"/>
      <c r="B951" s="2"/>
      <c r="C951" s="2"/>
      <c r="D951" s="2"/>
      <c r="E951" s="2"/>
      <c r="F951" s="2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2"/>
      <c r="B952" s="2"/>
      <c r="C952" s="2"/>
      <c r="D952" s="2"/>
      <c r="E952" s="2"/>
      <c r="F952" s="2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2"/>
      <c r="B953" s="2"/>
      <c r="C953" s="2"/>
      <c r="D953" s="2"/>
      <c r="E953" s="2"/>
      <c r="F953" s="2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2"/>
      <c r="B954" s="2"/>
      <c r="C954" s="2"/>
      <c r="D954" s="2"/>
      <c r="E954" s="2"/>
      <c r="F954" s="2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2"/>
      <c r="B955" s="2"/>
      <c r="C955" s="2"/>
      <c r="D955" s="2"/>
      <c r="E955" s="2"/>
      <c r="F955" s="2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2"/>
      <c r="B956" s="2"/>
      <c r="C956" s="2"/>
      <c r="D956" s="2"/>
      <c r="E956" s="2"/>
      <c r="F956" s="2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2"/>
      <c r="B957" s="2"/>
      <c r="C957" s="2"/>
      <c r="D957" s="2"/>
      <c r="E957" s="2"/>
      <c r="F957" s="2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2"/>
      <c r="B958" s="2"/>
      <c r="C958" s="2"/>
      <c r="D958" s="2"/>
      <c r="E958" s="2"/>
      <c r="F958" s="2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2"/>
      <c r="B959" s="2"/>
      <c r="C959" s="2"/>
      <c r="D959" s="2"/>
      <c r="E959" s="2"/>
      <c r="F959" s="2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2"/>
      <c r="B960" s="2"/>
      <c r="C960" s="2"/>
      <c r="D960" s="2"/>
      <c r="E960" s="2"/>
      <c r="F960" s="2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2"/>
      <c r="B961" s="2"/>
      <c r="C961" s="2"/>
      <c r="D961" s="2"/>
      <c r="E961" s="2"/>
      <c r="F961" s="2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2"/>
      <c r="B962" s="2"/>
      <c r="C962" s="2"/>
      <c r="D962" s="2"/>
      <c r="E962" s="2"/>
      <c r="F962" s="2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2"/>
      <c r="B963" s="2"/>
      <c r="C963" s="2"/>
      <c r="D963" s="2"/>
      <c r="E963" s="2"/>
      <c r="F963" s="2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2"/>
      <c r="B964" s="2"/>
      <c r="C964" s="2"/>
      <c r="D964" s="2"/>
      <c r="E964" s="2"/>
      <c r="F964" s="2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2"/>
      <c r="B965" s="2"/>
      <c r="C965" s="2"/>
      <c r="D965" s="2"/>
      <c r="E965" s="2"/>
      <c r="F965" s="2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2"/>
      <c r="B966" s="2"/>
      <c r="C966" s="2"/>
      <c r="D966" s="2"/>
      <c r="E966" s="2"/>
      <c r="F966" s="2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2"/>
      <c r="B967" s="2"/>
      <c r="C967" s="2"/>
      <c r="D967" s="2"/>
      <c r="E967" s="2"/>
      <c r="F967" s="2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2"/>
      <c r="B968" s="2"/>
      <c r="C968" s="2"/>
      <c r="D968" s="2"/>
      <c r="E968" s="2"/>
      <c r="F968" s="2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2"/>
      <c r="B969" s="2"/>
      <c r="C969" s="2"/>
      <c r="D969" s="2"/>
      <c r="E969" s="2"/>
      <c r="F969" s="2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2"/>
      <c r="B970" s="2"/>
      <c r="C970" s="2"/>
      <c r="D970" s="2"/>
      <c r="E970" s="2"/>
      <c r="F970" s="2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2"/>
      <c r="B971" s="2"/>
      <c r="C971" s="2"/>
      <c r="D971" s="2"/>
      <c r="E971" s="2"/>
      <c r="F971" s="2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2"/>
      <c r="B972" s="2"/>
      <c r="C972" s="2"/>
      <c r="D972" s="2"/>
      <c r="E972" s="2"/>
      <c r="F972" s="2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2"/>
      <c r="B973" s="2"/>
      <c r="C973" s="2"/>
      <c r="D973" s="2"/>
      <c r="E973" s="2"/>
      <c r="F973" s="2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2"/>
      <c r="B974" s="2"/>
      <c r="C974" s="2"/>
      <c r="D974" s="2"/>
      <c r="E974" s="2"/>
      <c r="F974" s="2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2"/>
      <c r="B975" s="2"/>
      <c r="C975" s="2"/>
      <c r="D975" s="2"/>
      <c r="E975" s="2"/>
      <c r="F975" s="2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2"/>
      <c r="B976" s="2"/>
      <c r="C976" s="2"/>
      <c r="D976" s="2"/>
      <c r="E976" s="2"/>
      <c r="F976" s="2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2"/>
      <c r="B977" s="2"/>
      <c r="C977" s="2"/>
      <c r="D977" s="2"/>
      <c r="E977" s="2"/>
      <c r="F977" s="2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2"/>
      <c r="B978" s="2"/>
      <c r="C978" s="2"/>
      <c r="D978" s="2"/>
      <c r="E978" s="2"/>
      <c r="F978" s="2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2"/>
      <c r="B979" s="2"/>
      <c r="C979" s="2"/>
      <c r="D979" s="2"/>
      <c r="E979" s="2"/>
      <c r="F979" s="2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2"/>
      <c r="B980" s="2"/>
      <c r="C980" s="2"/>
      <c r="D980" s="2"/>
      <c r="E980" s="2"/>
      <c r="F980" s="2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2"/>
      <c r="B981" s="2"/>
      <c r="C981" s="2"/>
      <c r="D981" s="2"/>
      <c r="E981" s="2"/>
      <c r="F981" s="2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2"/>
      <c r="B982" s="2"/>
      <c r="C982" s="2"/>
      <c r="D982" s="2"/>
      <c r="E982" s="2"/>
      <c r="F982" s="2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2"/>
      <c r="B983" s="2"/>
      <c r="C983" s="2"/>
      <c r="D983" s="2"/>
      <c r="E983" s="2"/>
      <c r="F983" s="2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2"/>
      <c r="B984" s="2"/>
      <c r="C984" s="2"/>
      <c r="D984" s="2"/>
      <c r="E984" s="2"/>
      <c r="F984" s="2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2"/>
      <c r="B985" s="2"/>
      <c r="C985" s="2"/>
      <c r="D985" s="2"/>
      <c r="E985" s="2"/>
      <c r="F985" s="2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2"/>
      <c r="B986" s="2"/>
      <c r="C986" s="2"/>
      <c r="D986" s="2"/>
      <c r="E986" s="2"/>
      <c r="F986" s="2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2"/>
      <c r="B987" s="2"/>
      <c r="C987" s="2"/>
      <c r="D987" s="2"/>
      <c r="E987" s="2"/>
      <c r="F987" s="2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2"/>
      <c r="B988" s="2"/>
      <c r="C988" s="2"/>
      <c r="D988" s="2"/>
      <c r="E988" s="2"/>
      <c r="F988" s="2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2"/>
      <c r="B989" s="2"/>
      <c r="C989" s="2"/>
      <c r="D989" s="2"/>
      <c r="E989" s="2"/>
      <c r="F989" s="2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2"/>
      <c r="B990" s="2"/>
      <c r="C990" s="2"/>
      <c r="D990" s="2"/>
      <c r="E990" s="2"/>
      <c r="F990" s="2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2"/>
      <c r="B991" s="2"/>
      <c r="C991" s="2"/>
      <c r="D991" s="2"/>
      <c r="E991" s="2"/>
      <c r="F991" s="2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2"/>
      <c r="B992" s="2"/>
      <c r="C992" s="2"/>
      <c r="D992" s="2"/>
      <c r="E992" s="2"/>
      <c r="F992" s="2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2"/>
      <c r="B993" s="2"/>
      <c r="C993" s="2"/>
      <c r="D993" s="2"/>
      <c r="E993" s="2"/>
      <c r="F993" s="2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2"/>
      <c r="B994" s="2"/>
      <c r="C994" s="2"/>
      <c r="D994" s="2"/>
      <c r="E994" s="2"/>
      <c r="F994" s="2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2"/>
      <c r="B995" s="2"/>
      <c r="C995" s="2"/>
      <c r="D995" s="2"/>
      <c r="E995" s="2"/>
      <c r="F995" s="2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>
      <c r="A996" s="2"/>
      <c r="B996" s="2"/>
      <c r="C996" s="2"/>
      <c r="D996" s="2"/>
      <c r="E996" s="2"/>
      <c r="F996" s="2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>
      <c r="A997" s="2"/>
      <c r="B997" s="2"/>
      <c r="C997" s="2"/>
      <c r="D997" s="2"/>
      <c r="E997" s="2"/>
      <c r="F997" s="2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>
      <c r="A998" s="2"/>
      <c r="B998" s="2"/>
      <c r="C998" s="2"/>
      <c r="D998" s="2"/>
      <c r="E998" s="2"/>
      <c r="F998" s="2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</sheetData>
  <autoFilter ref="$A$3:$F$500"/>
  <mergeCells count="1">
    <mergeCell ref="A1:D2"/>
  </mergeCells>
  <dataValidations>
    <dataValidation type="list" allowBlank="1" sqref="E4:E203">
      <formula1>"Y,N"</formula1>
    </dataValidation>
    <dataValidation type="list" allowBlank="1" showErrorMessage="1" sqref="C4:C76">
      <formula1>Services!$A$4:$A998</formula1>
    </dataValidation>
    <dataValidation type="list" allowBlank="1" showErrorMessage="1" sqref="D4:D76">
      <formula1>"Standard,Pro,Master"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29"/>
    <col customWidth="1" min="2" max="2" width="23.57"/>
    <col customWidth="1" min="3" max="3" width="22.0"/>
    <col customWidth="1" min="4" max="4" width="19.14"/>
    <col customWidth="1" min="5" max="5" width="23.57"/>
    <col customWidth="1" min="6" max="6" width="14.29"/>
    <col customWidth="1" min="7" max="7" width="21.71"/>
    <col customWidth="1" hidden="1" min="8" max="8" width="14.0"/>
    <col customWidth="1" min="9" max="9" width="12.0"/>
    <col customWidth="1" min="10" max="10" width="30.0"/>
  </cols>
  <sheetData>
    <row r="1" ht="15.0" customHeight="1">
      <c r="A1" s="15" t="s">
        <v>268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1.75" customHeight="1">
      <c r="A3" s="32" t="s">
        <v>2</v>
      </c>
      <c r="B3" s="32" t="s">
        <v>269</v>
      </c>
      <c r="C3" s="31" t="s">
        <v>262</v>
      </c>
      <c r="D3" s="32" t="s">
        <v>270</v>
      </c>
      <c r="E3" s="32" t="s">
        <v>271</v>
      </c>
      <c r="F3" s="32" t="s">
        <v>272</v>
      </c>
      <c r="G3" s="32" t="s">
        <v>273</v>
      </c>
      <c r="H3" s="31" t="s">
        <v>274</v>
      </c>
      <c r="I3" s="31" t="s">
        <v>275</v>
      </c>
      <c r="J3" s="31" t="s">
        <v>73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0" t="s">
        <v>276</v>
      </c>
      <c r="B4" s="34">
        <v>46074.01597222222</v>
      </c>
      <c r="C4" s="20" t="s">
        <v>84</v>
      </c>
      <c r="D4" s="35">
        <v>25.0</v>
      </c>
      <c r="E4" s="36">
        <v>46076.82986111111</v>
      </c>
      <c r="F4" s="2" t="s">
        <v>277</v>
      </c>
      <c r="G4" s="2">
        <f t="array" ref="G4">IF($C4="", "", XLOOKUP($C4, Services!$A$4:$A998, Services!$C$4:$C998))</f>
        <v>1</v>
      </c>
      <c r="H4" s="2" t="str">
        <f t="shared" ref="H4:H998" si="1">"Retail"</f>
        <v>Retail</v>
      </c>
      <c r="I4" s="20" t="s">
        <v>278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0"/>
      <c r="B5" s="34"/>
      <c r="C5" s="20"/>
      <c r="D5" s="35"/>
      <c r="E5" s="36"/>
      <c r="F5" s="2"/>
      <c r="G5" s="2" t="str">
        <f t="array" ref="G5">IF($C5="", "", XLOOKUP($C5, Services!$A$4:$A998, Services!$C$4:$C998))</f>
        <v/>
      </c>
      <c r="H5" s="2" t="str">
        <f t="shared" si="1"/>
        <v>Retail</v>
      </c>
      <c r="I5" s="20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0"/>
      <c r="B6" s="34"/>
      <c r="C6" s="20"/>
      <c r="D6" s="35"/>
      <c r="E6" s="36"/>
      <c r="F6" s="2"/>
      <c r="G6" s="2" t="str">
        <f t="array" ref="G6">IF($C6="", "", XLOOKUP($C6, Services!$A$4:$A998, Services!$C$4:$C998))</f>
        <v/>
      </c>
      <c r="H6" s="2" t="str">
        <f t="shared" si="1"/>
        <v>Retail</v>
      </c>
      <c r="I6" s="20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0"/>
      <c r="B7" s="34"/>
      <c r="C7" s="20"/>
      <c r="D7" s="35"/>
      <c r="E7" s="36"/>
      <c r="F7" s="2"/>
      <c r="G7" s="2" t="str">
        <f t="array" ref="G7">IF($C7="", "", XLOOKUP($C7, Services!$A$4:$A998, Services!$C$4:$C998))</f>
        <v/>
      </c>
      <c r="H7" s="2" t="str">
        <f t="shared" si="1"/>
        <v>Retail</v>
      </c>
      <c r="I7" s="20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0"/>
      <c r="B8" s="34"/>
      <c r="C8" s="20"/>
      <c r="D8" s="35"/>
      <c r="E8" s="36"/>
      <c r="F8" s="2"/>
      <c r="G8" s="2" t="str">
        <f t="array" ref="G8">IF($C8="", "", XLOOKUP($C8, Services!$A$4:$A998, Services!$C$4:$C998))</f>
        <v/>
      </c>
      <c r="H8" s="2" t="str">
        <f t="shared" si="1"/>
        <v>Retail</v>
      </c>
      <c r="I8" s="20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0"/>
      <c r="B9" s="34"/>
      <c r="C9" s="20"/>
      <c r="D9" s="35"/>
      <c r="E9" s="36"/>
      <c r="F9" s="2"/>
      <c r="G9" s="2" t="str">
        <f t="array" ref="G9">IF($C9="", "", XLOOKUP($C9, Services!$A$4:$A998, Services!$C$4:$C998))</f>
        <v/>
      </c>
      <c r="H9" s="2" t="str">
        <f t="shared" si="1"/>
        <v>Retail</v>
      </c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0"/>
      <c r="B10" s="34"/>
      <c r="C10" s="20"/>
      <c r="D10" s="35"/>
      <c r="E10" s="36"/>
      <c r="F10" s="2"/>
      <c r="G10" s="2" t="str">
        <f t="array" ref="G10">IF($C10="", "", XLOOKUP($C10, Services!$A$4:$A998, Services!$C$4:$C998))</f>
        <v/>
      </c>
      <c r="H10" s="2" t="str">
        <f t="shared" si="1"/>
        <v>Retail</v>
      </c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0"/>
      <c r="B11" s="34"/>
      <c r="C11" s="20"/>
      <c r="D11" s="35"/>
      <c r="E11" s="36"/>
      <c r="F11" s="2"/>
      <c r="G11" s="2" t="str">
        <f t="array" ref="G11">IF($C11="", "", XLOOKUP($C11, Services!$A$4:$A998, Services!$C$4:$C998))</f>
        <v/>
      </c>
      <c r="H11" s="2" t="str">
        <f t="shared" si="1"/>
        <v>Retail</v>
      </c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0"/>
      <c r="B12" s="34"/>
      <c r="C12" s="20"/>
      <c r="D12" s="35"/>
      <c r="E12" s="36"/>
      <c r="F12" s="2"/>
      <c r="G12" s="2" t="str">
        <f t="array" ref="G12">IF($C12="", "", XLOOKUP($C12, Services!$A$4:$A998, Services!$C$4:$C998))</f>
        <v/>
      </c>
      <c r="H12" s="2" t="str">
        <f t="shared" si="1"/>
        <v>Retail</v>
      </c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0"/>
      <c r="B13" s="34"/>
      <c r="C13" s="20"/>
      <c r="D13" s="35"/>
      <c r="E13" s="36"/>
      <c r="F13" s="2"/>
      <c r="G13" s="2" t="str">
        <f t="array" ref="G13">IF($C13="", "", XLOOKUP($C13, Services!$A$4:$A998, Services!$C$4:$C998))</f>
        <v/>
      </c>
      <c r="H13" s="2" t="str">
        <f t="shared" si="1"/>
        <v>Retail</v>
      </c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0"/>
      <c r="B14" s="34"/>
      <c r="C14" s="20"/>
      <c r="D14" s="35"/>
      <c r="E14" s="36"/>
      <c r="F14" s="2"/>
      <c r="G14" s="2" t="str">
        <f t="array" ref="G14">IF($C14="", "", XLOOKUP($C14, Services!$A$4:$A998, Services!$C$4:$C998))</f>
        <v/>
      </c>
      <c r="H14" s="2" t="str">
        <f t="shared" si="1"/>
        <v>Retail</v>
      </c>
      <c r="I14" s="20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0"/>
      <c r="B15" s="34"/>
      <c r="C15" s="20"/>
      <c r="D15" s="35"/>
      <c r="E15" s="36"/>
      <c r="F15" s="2"/>
      <c r="G15" s="2" t="str">
        <f t="array" ref="G15">IF($C15="", "", XLOOKUP($C15, Services!$A$4:$A998, Services!$C$4:$C998))</f>
        <v/>
      </c>
      <c r="H15" s="2" t="str">
        <f t="shared" si="1"/>
        <v>Retail</v>
      </c>
      <c r="I15" s="20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0"/>
      <c r="B16" s="34"/>
      <c r="C16" s="20"/>
      <c r="D16" s="35"/>
      <c r="E16" s="36"/>
      <c r="F16" s="2"/>
      <c r="G16" s="2" t="str">
        <f t="array" ref="G16">IF($C16="", "", XLOOKUP($C16, Services!$A$4:$A998, Services!$C$4:$C998))</f>
        <v/>
      </c>
      <c r="H16" s="2" t="str">
        <f t="shared" si="1"/>
        <v>Retail</v>
      </c>
      <c r="I16" s="20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0"/>
      <c r="B17" s="34"/>
      <c r="C17" s="20"/>
      <c r="D17" s="35"/>
      <c r="E17" s="36"/>
      <c r="F17" s="2"/>
      <c r="G17" s="2" t="str">
        <f t="array" ref="G17">IF($C17="", "", XLOOKUP($C17, Services!$A$4:$A998, Services!$C$4:$C998))</f>
        <v/>
      </c>
      <c r="H17" s="2" t="str">
        <f t="shared" si="1"/>
        <v>Retail</v>
      </c>
      <c r="I17" s="20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0"/>
      <c r="B18" s="34"/>
      <c r="C18" s="20"/>
      <c r="D18" s="35"/>
      <c r="E18" s="36"/>
      <c r="F18" s="2"/>
      <c r="G18" s="2" t="str">
        <f t="array" ref="G18">IF($C18="", "", XLOOKUP($C18, Services!$A$4:$A998, Services!$C$4:$C998))</f>
        <v/>
      </c>
      <c r="H18" s="2" t="str">
        <f t="shared" si="1"/>
        <v>Retail</v>
      </c>
      <c r="I18" s="20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0"/>
      <c r="B19" s="34"/>
      <c r="C19" s="20"/>
      <c r="D19" s="35"/>
      <c r="E19" s="36"/>
      <c r="F19" s="2"/>
      <c r="G19" s="2" t="str">
        <f t="array" ref="G19">IF($C19="", "", XLOOKUP($C19, Services!$A$4:$A998, Services!$C$4:$C998))</f>
        <v/>
      </c>
      <c r="H19" s="2" t="str">
        <f t="shared" si="1"/>
        <v>Retail</v>
      </c>
      <c r="I19" s="20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0"/>
      <c r="B20" s="34"/>
      <c r="C20" s="20"/>
      <c r="D20" s="35"/>
      <c r="E20" s="36"/>
      <c r="F20" s="2"/>
      <c r="G20" s="2" t="str">
        <f t="array" ref="G20">IF($C20="", "", XLOOKUP($C20, Services!$A$4:$A998, Services!$C$4:$C998))</f>
        <v/>
      </c>
      <c r="H20" s="2" t="str">
        <f t="shared" si="1"/>
        <v>Retail</v>
      </c>
      <c r="I20" s="20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0"/>
      <c r="B21" s="34"/>
      <c r="C21" s="20"/>
      <c r="D21" s="35"/>
      <c r="E21" s="36"/>
      <c r="F21" s="2"/>
      <c r="G21" s="2" t="str">
        <f t="array" ref="G21">IF($C21="", "", XLOOKUP($C21, Services!$A$4:$A998, Services!$C$4:$C998))</f>
        <v/>
      </c>
      <c r="H21" s="2" t="str">
        <f t="shared" si="1"/>
        <v>Retail</v>
      </c>
      <c r="I21" s="20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0"/>
      <c r="B22" s="34"/>
      <c r="C22" s="20"/>
      <c r="D22" s="35"/>
      <c r="E22" s="36"/>
      <c r="F22" s="2"/>
      <c r="G22" s="2" t="str">
        <f t="array" ref="G22">IF($C22="", "", XLOOKUP($C22, Services!$A$4:$A998, Services!$C$4:$C998))</f>
        <v/>
      </c>
      <c r="H22" s="2" t="str">
        <f t="shared" si="1"/>
        <v>Retail</v>
      </c>
      <c r="I22" s="2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0"/>
      <c r="B23" s="34"/>
      <c r="C23" s="20"/>
      <c r="D23" s="35"/>
      <c r="E23" s="36"/>
      <c r="F23" s="2"/>
      <c r="G23" s="2" t="str">
        <f t="array" ref="G23">IF($C23="", "", XLOOKUP($C23, Services!$A$4:$A998, Services!$C$4:$C998))</f>
        <v/>
      </c>
      <c r="H23" s="2" t="str">
        <f t="shared" si="1"/>
        <v>Retail</v>
      </c>
      <c r="I23" s="2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0"/>
      <c r="B24" s="34"/>
      <c r="C24" s="20"/>
      <c r="D24" s="35"/>
      <c r="E24" s="36"/>
      <c r="F24" s="2"/>
      <c r="G24" s="2" t="str">
        <f t="array" ref="G24">IF($C24="", "", XLOOKUP($C24, Services!$A$4:$A998, Services!$C$4:$C998))</f>
        <v/>
      </c>
      <c r="H24" s="2" t="str">
        <f t="shared" si="1"/>
        <v>Retail</v>
      </c>
      <c r="I24" s="20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0"/>
      <c r="B25" s="34"/>
      <c r="C25" s="20"/>
      <c r="D25" s="35"/>
      <c r="E25" s="36"/>
      <c r="F25" s="2"/>
      <c r="G25" s="2" t="str">
        <f t="array" ref="G25">IF($C25="", "", XLOOKUP($C25, Services!$A$4:$A998, Services!$C$4:$C998))</f>
        <v/>
      </c>
      <c r="H25" s="2" t="str">
        <f t="shared" si="1"/>
        <v>Retail</v>
      </c>
      <c r="I25" s="20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0"/>
      <c r="B26" s="34"/>
      <c r="C26" s="20"/>
      <c r="D26" s="35"/>
      <c r="E26" s="36"/>
      <c r="F26" s="2"/>
      <c r="G26" s="2" t="str">
        <f t="array" ref="G26">IF($C26="", "", XLOOKUP($C26, Services!$A$4:$A998, Services!$C$4:$C998))</f>
        <v/>
      </c>
      <c r="H26" s="2" t="str">
        <f t="shared" si="1"/>
        <v>Retail</v>
      </c>
      <c r="I26" s="20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0"/>
      <c r="B27" s="34"/>
      <c r="C27" s="20"/>
      <c r="D27" s="35"/>
      <c r="E27" s="36"/>
      <c r="F27" s="2"/>
      <c r="G27" s="2" t="str">
        <f t="array" ref="G27">IF($C27="", "", XLOOKUP($C27, Services!$A$4:$A998, Services!$C$4:$C998))</f>
        <v/>
      </c>
      <c r="H27" s="2" t="str">
        <f t="shared" si="1"/>
        <v>Retail</v>
      </c>
      <c r="I27" s="20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0"/>
      <c r="B28" s="34"/>
      <c r="C28" s="20"/>
      <c r="D28" s="35"/>
      <c r="E28" s="36"/>
      <c r="F28" s="2"/>
      <c r="G28" s="2" t="str">
        <f t="array" ref="G28">IF($C28="", "", XLOOKUP($C28, Services!$A$4:$A998, Services!$C$4:$C998))</f>
        <v/>
      </c>
      <c r="H28" s="2" t="str">
        <f t="shared" si="1"/>
        <v>Retail</v>
      </c>
      <c r="I28" s="2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0"/>
      <c r="B29" s="34"/>
      <c r="C29" s="20"/>
      <c r="D29" s="35"/>
      <c r="E29" s="36"/>
      <c r="F29" s="2"/>
      <c r="G29" s="2" t="str">
        <f t="array" ref="G29">IF($C29="", "", XLOOKUP($C29, Services!$A$4:$A998, Services!$C$4:$C998))</f>
        <v/>
      </c>
      <c r="H29" s="2" t="str">
        <f t="shared" si="1"/>
        <v>Retail</v>
      </c>
      <c r="I29" s="2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0"/>
      <c r="B30" s="34"/>
      <c r="C30" s="20"/>
      <c r="D30" s="35"/>
      <c r="E30" s="36"/>
      <c r="F30" s="2"/>
      <c r="G30" s="2" t="str">
        <f t="array" ref="G30">IF($C30="", "", XLOOKUP($C30, Services!$A$4:$A998, Services!$C$4:$C998))</f>
        <v/>
      </c>
      <c r="H30" s="2" t="str">
        <f t="shared" si="1"/>
        <v>Retail</v>
      </c>
      <c r="I30" s="20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0"/>
      <c r="B31" s="34"/>
      <c r="C31" s="20"/>
      <c r="D31" s="35"/>
      <c r="E31" s="36"/>
      <c r="F31" s="2"/>
      <c r="G31" s="2" t="str">
        <f t="array" ref="G31">IF($C31="", "", XLOOKUP($C31, Services!$A$4:$A998, Services!$C$4:$C998))</f>
        <v/>
      </c>
      <c r="H31" s="2" t="str">
        <f t="shared" si="1"/>
        <v>Retail</v>
      </c>
      <c r="I31" s="20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0"/>
      <c r="B32" s="34"/>
      <c r="C32" s="20"/>
      <c r="D32" s="35"/>
      <c r="E32" s="36"/>
      <c r="F32" s="2"/>
      <c r="G32" s="2" t="str">
        <f t="array" ref="G32">IF($C32="", "", XLOOKUP($C32, Services!$A$4:$A998, Services!$C$4:$C998))</f>
        <v/>
      </c>
      <c r="H32" s="2" t="str">
        <f t="shared" si="1"/>
        <v>Retail</v>
      </c>
      <c r="I32" s="20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0"/>
      <c r="B33" s="34"/>
      <c r="C33" s="20"/>
      <c r="D33" s="35"/>
      <c r="E33" s="36"/>
      <c r="F33" s="2"/>
      <c r="G33" s="2" t="str">
        <f t="array" ref="G33">IF($C33="", "", XLOOKUP($C33, Services!$A$4:$A998, Services!$C$4:$C998))</f>
        <v/>
      </c>
      <c r="H33" s="2" t="str">
        <f t="shared" si="1"/>
        <v>Retail</v>
      </c>
      <c r="I33" s="20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0"/>
      <c r="B34" s="34"/>
      <c r="C34" s="20"/>
      <c r="D34" s="35"/>
      <c r="E34" s="36"/>
      <c r="F34" s="2"/>
      <c r="G34" s="2" t="str">
        <f t="array" ref="G34">IF($C34="", "", XLOOKUP($C34, Services!$A$4:$A998, Services!$C$4:$C998))</f>
        <v/>
      </c>
      <c r="H34" s="2" t="str">
        <f t="shared" si="1"/>
        <v>Retail</v>
      </c>
      <c r="I34" s="20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0"/>
      <c r="B35" s="34"/>
      <c r="C35" s="20"/>
      <c r="D35" s="35"/>
      <c r="E35" s="36"/>
      <c r="F35" s="2"/>
      <c r="G35" s="2" t="str">
        <f t="array" ref="G35">IF($C35="", "", XLOOKUP($C35, Services!$A$4:$A998, Services!$C$4:$C998))</f>
        <v/>
      </c>
      <c r="H35" s="2" t="str">
        <f t="shared" si="1"/>
        <v>Retail</v>
      </c>
      <c r="I35" s="20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0"/>
      <c r="B36" s="34"/>
      <c r="C36" s="20"/>
      <c r="D36" s="35"/>
      <c r="E36" s="36"/>
      <c r="F36" s="2"/>
      <c r="G36" s="2" t="str">
        <f t="array" ref="G36">IF($C36="", "", XLOOKUP($C36, Services!$A$4:$A998, Services!$C$4:$C998))</f>
        <v/>
      </c>
      <c r="H36" s="2" t="str">
        <f t="shared" si="1"/>
        <v>Retail</v>
      </c>
      <c r="I36" s="20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0"/>
      <c r="B37" s="34"/>
      <c r="C37" s="20"/>
      <c r="D37" s="35"/>
      <c r="E37" s="36"/>
      <c r="F37" s="2"/>
      <c r="G37" s="2" t="str">
        <f t="array" ref="G37">IF($C37="", "", XLOOKUP($C37, Services!$A$4:$A998, Services!$C$4:$C998))</f>
        <v/>
      </c>
      <c r="H37" s="2" t="str">
        <f t="shared" si="1"/>
        <v>Retail</v>
      </c>
      <c r="I37" s="20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0"/>
      <c r="B38" s="34"/>
      <c r="C38" s="20"/>
      <c r="D38" s="35"/>
      <c r="E38" s="36"/>
      <c r="F38" s="2"/>
      <c r="G38" s="2" t="str">
        <f t="array" ref="G38">IF($C38="", "", XLOOKUP($C38, Services!$A$4:$A998, Services!$C$4:$C998))</f>
        <v/>
      </c>
      <c r="H38" s="2" t="str">
        <f t="shared" si="1"/>
        <v>Retail</v>
      </c>
      <c r="I38" s="20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0"/>
      <c r="B39" s="34"/>
      <c r="C39" s="20"/>
      <c r="D39" s="35"/>
      <c r="E39" s="36"/>
      <c r="F39" s="2"/>
      <c r="G39" s="2" t="str">
        <f t="array" ref="G39">IF($C39="", "", XLOOKUP($C39, Services!$A$4:$A998, Services!$C$4:$C998))</f>
        <v/>
      </c>
      <c r="H39" s="2" t="str">
        <f t="shared" si="1"/>
        <v>Retail</v>
      </c>
      <c r="I39" s="20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0"/>
      <c r="B40" s="34"/>
      <c r="C40" s="20"/>
      <c r="D40" s="35"/>
      <c r="E40" s="36"/>
      <c r="F40" s="2"/>
      <c r="G40" s="2" t="str">
        <f t="array" ref="G40">IF($C40="", "", XLOOKUP($C40, Services!$A$4:$A998, Services!$C$4:$C998))</f>
        <v/>
      </c>
      <c r="H40" s="2" t="str">
        <f t="shared" si="1"/>
        <v>Retail</v>
      </c>
      <c r="I40" s="20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0"/>
      <c r="B41" s="34"/>
      <c r="C41" s="20"/>
      <c r="D41" s="35"/>
      <c r="E41" s="36"/>
      <c r="F41" s="2"/>
      <c r="G41" s="2" t="str">
        <f t="array" ref="G41">IF($C41="", "", XLOOKUP($C41, Services!$A$4:$A998, Services!$C$4:$C998))</f>
        <v/>
      </c>
      <c r="H41" s="2" t="str">
        <f t="shared" si="1"/>
        <v>Retail</v>
      </c>
      <c r="I41" s="20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0"/>
      <c r="B42" s="34"/>
      <c r="C42" s="20"/>
      <c r="D42" s="35"/>
      <c r="E42" s="36"/>
      <c r="F42" s="2"/>
      <c r="G42" s="2" t="str">
        <f t="array" ref="G42">IF($C42="", "", XLOOKUP($C42, Services!$A$4:$A998, Services!$C$4:$C998))</f>
        <v/>
      </c>
      <c r="H42" s="2" t="str">
        <f t="shared" si="1"/>
        <v>Retail</v>
      </c>
      <c r="I42" s="20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0"/>
      <c r="B43" s="34"/>
      <c r="C43" s="20"/>
      <c r="D43" s="35"/>
      <c r="E43" s="36"/>
      <c r="F43" s="2"/>
      <c r="G43" s="2" t="str">
        <f t="array" ref="G43">IF($C43="", "", XLOOKUP($C43, Services!$A$4:$A998, Services!$C$4:$C998))</f>
        <v/>
      </c>
      <c r="H43" s="2" t="str">
        <f t="shared" si="1"/>
        <v>Retail</v>
      </c>
      <c r="I43" s="20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0"/>
      <c r="B44" s="34"/>
      <c r="C44" s="20"/>
      <c r="D44" s="35"/>
      <c r="E44" s="36"/>
      <c r="F44" s="2"/>
      <c r="G44" s="2" t="str">
        <f t="array" ref="G44">IF($C44="", "", XLOOKUP($C44, Services!$A$4:$A998, Services!$C$4:$C998))</f>
        <v/>
      </c>
      <c r="H44" s="2" t="str">
        <f t="shared" si="1"/>
        <v>Retail</v>
      </c>
      <c r="I44" s="20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0"/>
      <c r="B45" s="34"/>
      <c r="C45" s="20"/>
      <c r="D45" s="35"/>
      <c r="E45" s="36"/>
      <c r="F45" s="2"/>
      <c r="G45" s="2" t="str">
        <f t="array" ref="G45">IF($C45="", "", XLOOKUP($C45, Services!$A$4:$A998, Services!$C$4:$C998))</f>
        <v/>
      </c>
      <c r="H45" s="2" t="str">
        <f t="shared" si="1"/>
        <v>Retail</v>
      </c>
      <c r="I45" s="20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0"/>
      <c r="B46" s="34"/>
      <c r="C46" s="20"/>
      <c r="D46" s="35"/>
      <c r="E46" s="36"/>
      <c r="F46" s="2"/>
      <c r="G46" s="2" t="str">
        <f t="array" ref="G46">IF($C46="", "", XLOOKUP($C46, Services!$A$4:$A998, Services!$C$4:$C998))</f>
        <v/>
      </c>
      <c r="H46" s="2" t="str">
        <f t="shared" si="1"/>
        <v>Retail</v>
      </c>
      <c r="I46" s="20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0"/>
      <c r="B47" s="34"/>
      <c r="C47" s="20"/>
      <c r="D47" s="35"/>
      <c r="E47" s="36"/>
      <c r="F47" s="2"/>
      <c r="G47" s="2" t="str">
        <f t="array" ref="G47">IF($C47="", "", XLOOKUP($C47, Services!$A$4:$A998, Services!$C$4:$C998))</f>
        <v/>
      </c>
      <c r="H47" s="2" t="str">
        <f t="shared" si="1"/>
        <v>Retail</v>
      </c>
      <c r="I47" s="20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0"/>
      <c r="B48" s="34"/>
      <c r="C48" s="20"/>
      <c r="D48" s="35"/>
      <c r="E48" s="36"/>
      <c r="F48" s="2"/>
      <c r="G48" s="2" t="str">
        <f t="array" ref="G48">IF($C48="", "", XLOOKUP($C48, Services!$A$4:$A998, Services!$C$4:$C998))</f>
        <v/>
      </c>
      <c r="H48" s="2" t="str">
        <f t="shared" si="1"/>
        <v>Retail</v>
      </c>
      <c r="I48" s="20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0"/>
      <c r="B49" s="34"/>
      <c r="C49" s="20"/>
      <c r="D49" s="35"/>
      <c r="E49" s="36"/>
      <c r="F49" s="2"/>
      <c r="G49" s="2" t="str">
        <f t="array" ref="G49">IF($C49="", "", XLOOKUP($C49, Services!$A$4:$A998, Services!$C$4:$C998))</f>
        <v/>
      </c>
      <c r="H49" s="2" t="str">
        <f t="shared" si="1"/>
        <v>Retail</v>
      </c>
      <c r="I49" s="20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0"/>
      <c r="B50" s="34"/>
      <c r="C50" s="20"/>
      <c r="D50" s="35"/>
      <c r="E50" s="36"/>
      <c r="F50" s="2"/>
      <c r="G50" s="2" t="str">
        <f t="array" ref="G50">IF($C50="", "", XLOOKUP($C50, Services!$A$4:$A998, Services!$C$4:$C998))</f>
        <v/>
      </c>
      <c r="H50" s="2" t="str">
        <f t="shared" si="1"/>
        <v>Retail</v>
      </c>
      <c r="I50" s="20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0"/>
      <c r="B51" s="34"/>
      <c r="C51" s="20"/>
      <c r="D51" s="35"/>
      <c r="E51" s="36"/>
      <c r="F51" s="2"/>
      <c r="G51" s="2" t="str">
        <f t="array" ref="G51">IF($C51="", "", XLOOKUP($C51, Services!$A$4:$A998, Services!$C$4:$C998))</f>
        <v/>
      </c>
      <c r="H51" s="2" t="str">
        <f t="shared" si="1"/>
        <v>Retail</v>
      </c>
      <c r="I51" s="20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0"/>
      <c r="B52" s="34"/>
      <c r="C52" s="20"/>
      <c r="D52" s="35"/>
      <c r="E52" s="36"/>
      <c r="F52" s="2"/>
      <c r="G52" s="2" t="str">
        <f t="array" ref="G52">IF($C52="", "", XLOOKUP($C52, Services!$A$4:$A998, Services!$C$4:$C998))</f>
        <v/>
      </c>
      <c r="H52" s="2" t="str">
        <f t="shared" si="1"/>
        <v>Retail</v>
      </c>
      <c r="I52" s="20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0"/>
      <c r="B53" s="34"/>
      <c r="C53" s="20"/>
      <c r="D53" s="35"/>
      <c r="E53" s="36"/>
      <c r="F53" s="2"/>
      <c r="G53" s="2" t="str">
        <f t="array" ref="G53">IF($C53="", "", XLOOKUP($C53, Services!$A$4:$A998, Services!$C$4:$C998))</f>
        <v/>
      </c>
      <c r="H53" s="2" t="str">
        <f t="shared" si="1"/>
        <v>Retail</v>
      </c>
      <c r="I53" s="20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0"/>
      <c r="B54" s="34"/>
      <c r="C54" s="20"/>
      <c r="D54" s="35"/>
      <c r="E54" s="36"/>
      <c r="F54" s="2"/>
      <c r="G54" s="2" t="str">
        <f t="array" ref="G54">IF($C54="", "", XLOOKUP($C54, Services!$A$4:$A998, Services!$C$4:$C998))</f>
        <v/>
      </c>
      <c r="H54" s="2" t="str">
        <f t="shared" si="1"/>
        <v>Retail</v>
      </c>
      <c r="I54" s="20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0"/>
      <c r="B55" s="34"/>
      <c r="C55" s="20"/>
      <c r="D55" s="35"/>
      <c r="E55" s="36"/>
      <c r="F55" s="2"/>
      <c r="G55" s="2" t="str">
        <f t="array" ref="G55">IF($C55="", "", XLOOKUP($C55, Services!$A$4:$A998, Services!$C$4:$C998))</f>
        <v/>
      </c>
      <c r="H55" s="2" t="str">
        <f t="shared" si="1"/>
        <v>Retail</v>
      </c>
      <c r="I55" s="20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0"/>
      <c r="B56" s="34"/>
      <c r="C56" s="20"/>
      <c r="D56" s="35"/>
      <c r="E56" s="36"/>
      <c r="F56" s="2"/>
      <c r="G56" s="2" t="str">
        <f t="array" ref="G56">IF($C56="", "", XLOOKUP($C56, Services!$A$4:$A998, Services!$C$4:$C998))</f>
        <v/>
      </c>
      <c r="H56" s="2" t="str">
        <f t="shared" si="1"/>
        <v>Retail</v>
      </c>
      <c r="I56" s="20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0"/>
      <c r="B57" s="34"/>
      <c r="C57" s="20"/>
      <c r="D57" s="35"/>
      <c r="E57" s="36"/>
      <c r="F57" s="2"/>
      <c r="G57" s="2" t="str">
        <f t="array" ref="G57">IF($C57="", "", XLOOKUP($C57, Services!$A$4:$A998, Services!$C$4:$C998))</f>
        <v/>
      </c>
      <c r="H57" s="2" t="str">
        <f t="shared" si="1"/>
        <v>Retail</v>
      </c>
      <c r="I57" s="20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0"/>
      <c r="B58" s="34"/>
      <c r="C58" s="20"/>
      <c r="D58" s="35"/>
      <c r="E58" s="36"/>
      <c r="F58" s="2"/>
      <c r="G58" s="2" t="str">
        <f t="array" ref="G58">IF($C58="", "", XLOOKUP($C58, Services!$A$4:$A998, Services!$C$4:$C998))</f>
        <v/>
      </c>
      <c r="H58" s="2" t="str">
        <f t="shared" si="1"/>
        <v>Retail</v>
      </c>
      <c r="I58" s="20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0"/>
      <c r="B59" s="34"/>
      <c r="C59" s="20"/>
      <c r="D59" s="35"/>
      <c r="E59" s="36"/>
      <c r="F59" s="2"/>
      <c r="G59" s="2" t="str">
        <f t="array" ref="G59">IF($C59="", "", XLOOKUP($C59, Services!$A$4:$A998, Services!$C$4:$C998))</f>
        <v/>
      </c>
      <c r="H59" s="2" t="str">
        <f t="shared" si="1"/>
        <v>Retail</v>
      </c>
      <c r="I59" s="2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0"/>
      <c r="B60" s="34"/>
      <c r="C60" s="20"/>
      <c r="D60" s="35"/>
      <c r="E60" s="36"/>
      <c r="F60" s="2"/>
      <c r="G60" s="2" t="str">
        <f t="array" ref="G60">IF($C60="", "", XLOOKUP($C60, Services!$A$4:$A998, Services!$C$4:$C998))</f>
        <v/>
      </c>
      <c r="H60" s="2" t="str">
        <f t="shared" si="1"/>
        <v>Retail</v>
      </c>
      <c r="I60" s="2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0"/>
      <c r="B61" s="34"/>
      <c r="C61" s="20"/>
      <c r="D61" s="35"/>
      <c r="E61" s="36"/>
      <c r="F61" s="2"/>
      <c r="G61" s="2" t="str">
        <f t="array" ref="G61">IF($C61="", "", XLOOKUP($C61, Services!$A$4:$A998, Services!$C$4:$C998))</f>
        <v/>
      </c>
      <c r="H61" s="2" t="str">
        <f t="shared" si="1"/>
        <v>Retail</v>
      </c>
      <c r="I61" s="20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0"/>
      <c r="B62" s="34"/>
      <c r="C62" s="20"/>
      <c r="D62" s="35"/>
      <c r="E62" s="36"/>
      <c r="F62" s="2"/>
      <c r="G62" s="2" t="str">
        <f t="array" ref="G62">IF($C62="", "", XLOOKUP($C62, Services!$A$4:$A998, Services!$C$4:$C998))</f>
        <v/>
      </c>
      <c r="H62" s="2" t="str">
        <f t="shared" si="1"/>
        <v>Retail</v>
      </c>
      <c r="I62" s="20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0"/>
      <c r="B63" s="34"/>
      <c r="C63" s="20"/>
      <c r="D63" s="35"/>
      <c r="E63" s="36"/>
      <c r="F63" s="2"/>
      <c r="G63" s="2" t="str">
        <f t="array" ref="G63">IF($C63="", "", XLOOKUP($C63, Services!$A$4:$A998, Services!$C$4:$C998))</f>
        <v/>
      </c>
      <c r="H63" s="2" t="str">
        <f t="shared" si="1"/>
        <v>Retail</v>
      </c>
      <c r="I63" s="20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0"/>
      <c r="B64" s="34"/>
      <c r="C64" s="20"/>
      <c r="D64" s="35"/>
      <c r="E64" s="36"/>
      <c r="F64" s="2"/>
      <c r="G64" s="2" t="str">
        <f t="array" ref="G64">IF($C64="", "", XLOOKUP($C64, Services!$A$4:$A998, Services!$C$4:$C998))</f>
        <v/>
      </c>
      <c r="H64" s="2" t="str">
        <f t="shared" si="1"/>
        <v>Retail</v>
      </c>
      <c r="I64" s="20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0"/>
      <c r="B65" s="34"/>
      <c r="C65" s="20"/>
      <c r="D65" s="35"/>
      <c r="E65" s="36"/>
      <c r="F65" s="2"/>
      <c r="G65" s="2" t="str">
        <f t="array" ref="G65">IF($C65="", "", XLOOKUP($C65, Services!$A$4:$A998, Services!$C$4:$C998))</f>
        <v/>
      </c>
      <c r="H65" s="2" t="str">
        <f t="shared" si="1"/>
        <v>Retail</v>
      </c>
      <c r="I65" s="20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0"/>
      <c r="B66" s="34"/>
      <c r="C66" s="20"/>
      <c r="D66" s="35"/>
      <c r="E66" s="36"/>
      <c r="F66" s="2"/>
      <c r="G66" s="2" t="str">
        <f t="array" ref="G66">IF($C66="", "", XLOOKUP($C66, Services!$A$4:$A998, Services!$C$4:$C998))</f>
        <v/>
      </c>
      <c r="H66" s="2" t="str">
        <f t="shared" si="1"/>
        <v>Retail</v>
      </c>
      <c r="I66" s="20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0"/>
      <c r="B67" s="34"/>
      <c r="C67" s="20"/>
      <c r="D67" s="35"/>
      <c r="E67" s="36"/>
      <c r="F67" s="2"/>
      <c r="G67" s="2" t="str">
        <f t="array" ref="G67">IF($C67="", "", XLOOKUP($C67, Services!$A$4:$A998, Services!$C$4:$C998))</f>
        <v/>
      </c>
      <c r="H67" s="2" t="str">
        <f t="shared" si="1"/>
        <v>Retail</v>
      </c>
      <c r="I67" s="20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0"/>
      <c r="B68" s="34"/>
      <c r="C68" s="20"/>
      <c r="D68" s="35"/>
      <c r="E68" s="36"/>
      <c r="F68" s="2"/>
      <c r="G68" s="2" t="str">
        <f t="array" ref="G68">IF($C68="", "", XLOOKUP($C68, Services!$A$4:$A998, Services!$C$4:$C998))</f>
        <v/>
      </c>
      <c r="H68" s="2" t="str">
        <f t="shared" si="1"/>
        <v>Retail</v>
      </c>
      <c r="I68" s="20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0"/>
      <c r="B69" s="34"/>
      <c r="C69" s="20"/>
      <c r="D69" s="35"/>
      <c r="E69" s="36"/>
      <c r="F69" s="2"/>
      <c r="G69" s="2" t="str">
        <f t="array" ref="G69">IF($C69="", "", XLOOKUP($C69, Services!$A$4:$A998, Services!$C$4:$C998))</f>
        <v/>
      </c>
      <c r="H69" s="2" t="str">
        <f t="shared" si="1"/>
        <v>Retail</v>
      </c>
      <c r="I69" s="20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0"/>
      <c r="B70" s="34"/>
      <c r="C70" s="20"/>
      <c r="D70" s="35"/>
      <c r="E70" s="36"/>
      <c r="F70" s="2"/>
      <c r="G70" s="2" t="str">
        <f t="array" ref="G70">IF($C70="", "", XLOOKUP($C70, Services!$A$4:$A998, Services!$C$4:$C998))</f>
        <v/>
      </c>
      <c r="H70" s="2" t="str">
        <f t="shared" si="1"/>
        <v>Retail</v>
      </c>
      <c r="I70" s="20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0"/>
      <c r="B71" s="34"/>
      <c r="C71" s="20"/>
      <c r="D71" s="35"/>
      <c r="E71" s="36"/>
      <c r="F71" s="2"/>
      <c r="G71" s="2" t="str">
        <f t="array" ref="G71">IF($C71="", "", XLOOKUP($C71, Services!$A$4:$A998, Services!$C$4:$C998))</f>
        <v/>
      </c>
      <c r="H71" s="2" t="str">
        <f t="shared" si="1"/>
        <v>Retail</v>
      </c>
      <c r="I71" s="20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0"/>
      <c r="B72" s="34"/>
      <c r="C72" s="20"/>
      <c r="D72" s="35"/>
      <c r="E72" s="36"/>
      <c r="F72" s="2"/>
      <c r="G72" s="2" t="str">
        <f t="array" ref="G72">IF($C72="", "", XLOOKUP($C72, Services!$A$4:$A998, Services!$C$4:$C998))</f>
        <v/>
      </c>
      <c r="H72" s="2" t="str">
        <f t="shared" si="1"/>
        <v>Retail</v>
      </c>
      <c r="I72" s="20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0"/>
      <c r="B73" s="34"/>
      <c r="C73" s="20"/>
      <c r="D73" s="35"/>
      <c r="E73" s="36"/>
      <c r="F73" s="2"/>
      <c r="G73" s="2" t="str">
        <f t="array" ref="G73">IF($C73="", "", XLOOKUP($C73, Services!$A$4:$A998, Services!$C$4:$C998))</f>
        <v/>
      </c>
      <c r="H73" s="2" t="str">
        <f t="shared" si="1"/>
        <v>Retail</v>
      </c>
      <c r="I73" s="20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0"/>
      <c r="B74" s="34"/>
      <c r="C74" s="20"/>
      <c r="D74" s="35"/>
      <c r="E74" s="36"/>
      <c r="F74" s="2"/>
      <c r="G74" s="2" t="str">
        <f t="array" ref="G74">IF($C74="", "", XLOOKUP($C74, Services!$A$4:$A998, Services!$C$4:$C998))</f>
        <v/>
      </c>
      <c r="H74" s="2" t="str">
        <f t="shared" si="1"/>
        <v>Retail</v>
      </c>
      <c r="I74" s="20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0"/>
      <c r="B75" s="34"/>
      <c r="C75" s="20"/>
      <c r="D75" s="35"/>
      <c r="E75" s="36"/>
      <c r="F75" s="2"/>
      <c r="G75" s="2" t="str">
        <f t="array" ref="G75">IF($C75="", "", XLOOKUP($C75, Services!$A$4:$A998, Services!$C$4:$C998))</f>
        <v/>
      </c>
      <c r="H75" s="2" t="str">
        <f t="shared" si="1"/>
        <v>Retail</v>
      </c>
      <c r="I75" s="20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0"/>
      <c r="B76" s="34"/>
      <c r="C76" s="20"/>
      <c r="D76" s="35"/>
      <c r="E76" s="36"/>
      <c r="F76" s="2"/>
      <c r="G76" s="2" t="str">
        <f t="array" ref="G76">IF($C76="", "", XLOOKUP($C76, Services!$A$4:$A998, Services!$C$4:$C998))</f>
        <v/>
      </c>
      <c r="H76" s="2" t="str">
        <f t="shared" si="1"/>
        <v>Retail</v>
      </c>
      <c r="I76" s="20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0"/>
      <c r="B77" s="34"/>
      <c r="C77" s="20"/>
      <c r="D77" s="35"/>
      <c r="E77" s="36"/>
      <c r="F77" s="2"/>
      <c r="G77" s="2" t="str">
        <f t="array" ref="G77">IF($C77="", "", XLOOKUP($C77, Services!$A$4:$A998, Services!$C$4:$C998))</f>
        <v/>
      </c>
      <c r="H77" s="2" t="str">
        <f t="shared" si="1"/>
        <v>Retail</v>
      </c>
      <c r="I77" s="20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0"/>
      <c r="B78" s="34"/>
      <c r="C78" s="20"/>
      <c r="D78" s="35"/>
      <c r="E78" s="36"/>
      <c r="F78" s="2"/>
      <c r="G78" s="2" t="str">
        <f t="array" ref="G78">IF($C78="", "", XLOOKUP($C78, Services!$A$4:$A998, Services!$C$4:$C998))</f>
        <v/>
      </c>
      <c r="H78" s="2" t="str">
        <f t="shared" si="1"/>
        <v>Retail</v>
      </c>
      <c r="I78" s="20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0"/>
      <c r="B79" s="34"/>
      <c r="C79" s="20"/>
      <c r="D79" s="35"/>
      <c r="E79" s="36"/>
      <c r="F79" s="2"/>
      <c r="G79" s="2" t="str">
        <f t="array" ref="G79">IF($C79="", "", XLOOKUP($C79, Services!$A$4:$A998, Services!$C$4:$C998))</f>
        <v/>
      </c>
      <c r="H79" s="2" t="str">
        <f t="shared" si="1"/>
        <v>Retail</v>
      </c>
      <c r="I79" s="20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0"/>
      <c r="B80" s="34"/>
      <c r="C80" s="20"/>
      <c r="D80" s="35"/>
      <c r="E80" s="36"/>
      <c r="F80" s="2"/>
      <c r="G80" s="2" t="str">
        <f t="array" ref="G80">IF($C80="", "", XLOOKUP($C80, Services!$A$4:$A998, Services!$C$4:$C998))</f>
        <v/>
      </c>
      <c r="H80" s="2" t="str">
        <f t="shared" si="1"/>
        <v>Retail</v>
      </c>
      <c r="I80" s="20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0"/>
      <c r="B81" s="34"/>
      <c r="C81" s="20"/>
      <c r="D81" s="35"/>
      <c r="E81" s="36"/>
      <c r="F81" s="2"/>
      <c r="G81" s="2" t="str">
        <f t="array" ref="G81">IF($C81="", "", XLOOKUP($C81, Services!$A$4:$A998, Services!$C$4:$C998))</f>
        <v/>
      </c>
      <c r="H81" s="2" t="str">
        <f t="shared" si="1"/>
        <v>Retail</v>
      </c>
      <c r="I81" s="20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0"/>
      <c r="B82" s="34"/>
      <c r="C82" s="20"/>
      <c r="D82" s="35"/>
      <c r="E82" s="36"/>
      <c r="F82" s="2"/>
      <c r="G82" s="2" t="str">
        <f t="array" ref="G82">IF($C82="", "", XLOOKUP($C82, Services!$A$4:$A998, Services!$C$4:$C998))</f>
        <v/>
      </c>
      <c r="H82" s="2" t="str">
        <f t="shared" si="1"/>
        <v>Retail</v>
      </c>
      <c r="I82" s="20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0"/>
      <c r="B83" s="34"/>
      <c r="C83" s="20"/>
      <c r="D83" s="35"/>
      <c r="E83" s="36"/>
      <c r="F83" s="2"/>
      <c r="G83" s="2" t="str">
        <f t="array" ref="G83">IF($C83="", "", XLOOKUP($C83, Services!$A$4:$A998, Services!$C$4:$C998))</f>
        <v/>
      </c>
      <c r="H83" s="2" t="str">
        <f t="shared" si="1"/>
        <v>Retail</v>
      </c>
      <c r="I83" s="20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0"/>
      <c r="B84" s="34"/>
      <c r="C84" s="20"/>
      <c r="D84" s="35"/>
      <c r="E84" s="36"/>
      <c r="F84" s="2"/>
      <c r="G84" s="2" t="str">
        <f t="array" ref="G84">IF($C84="", "", XLOOKUP($C84, Services!$A$4:$A998, Services!$C$4:$C998))</f>
        <v/>
      </c>
      <c r="H84" s="2" t="str">
        <f t="shared" si="1"/>
        <v>Retail</v>
      </c>
      <c r="I84" s="20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0"/>
      <c r="B85" s="34"/>
      <c r="C85" s="20"/>
      <c r="D85" s="35"/>
      <c r="E85" s="36"/>
      <c r="F85" s="2"/>
      <c r="G85" s="2" t="str">
        <f t="array" ref="G85">IF($C85="", "", XLOOKUP($C85, Services!$A$4:$A998, Services!$C$4:$C998))</f>
        <v/>
      </c>
      <c r="H85" s="2" t="str">
        <f t="shared" si="1"/>
        <v>Retail</v>
      </c>
      <c r="I85" s="20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0"/>
      <c r="B86" s="34"/>
      <c r="C86" s="20"/>
      <c r="D86" s="35"/>
      <c r="E86" s="36"/>
      <c r="F86" s="2"/>
      <c r="G86" s="2" t="str">
        <f t="array" ref="G86">IF($C86="", "", XLOOKUP($C86, Services!$A$4:$A998, Services!$C$4:$C998))</f>
        <v/>
      </c>
      <c r="H86" s="2" t="str">
        <f t="shared" si="1"/>
        <v>Retail</v>
      </c>
      <c r="I86" s="20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0"/>
      <c r="B87" s="34"/>
      <c r="C87" s="20"/>
      <c r="D87" s="35"/>
      <c r="E87" s="36"/>
      <c r="F87" s="2"/>
      <c r="G87" s="2" t="str">
        <f t="array" ref="G87">IF($C87="", "", XLOOKUP($C87, Services!$A$4:$A998, Services!$C$4:$C998))</f>
        <v/>
      </c>
      <c r="H87" s="2" t="str">
        <f t="shared" si="1"/>
        <v>Retail</v>
      </c>
      <c r="I87" s="20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0"/>
      <c r="B88" s="34"/>
      <c r="C88" s="20"/>
      <c r="D88" s="35"/>
      <c r="E88" s="36"/>
      <c r="F88" s="2"/>
      <c r="G88" s="2" t="str">
        <f t="array" ref="G88">IF($C88="", "", XLOOKUP($C88, Services!$A$4:$A998, Services!$C$4:$C998))</f>
        <v/>
      </c>
      <c r="H88" s="2" t="str">
        <f t="shared" si="1"/>
        <v>Retail</v>
      </c>
      <c r="I88" s="20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0"/>
      <c r="B89" s="34"/>
      <c r="C89" s="20"/>
      <c r="D89" s="35"/>
      <c r="E89" s="36"/>
      <c r="F89" s="2"/>
      <c r="G89" s="2" t="str">
        <f t="array" ref="G89">IF($C89="", "", XLOOKUP($C89, Services!$A$4:$A998, Services!$C$4:$C998))</f>
        <v/>
      </c>
      <c r="H89" s="2" t="str">
        <f t="shared" si="1"/>
        <v>Retail</v>
      </c>
      <c r="I89" s="20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0"/>
      <c r="B90" s="34"/>
      <c r="C90" s="20"/>
      <c r="D90" s="35"/>
      <c r="E90" s="36"/>
      <c r="F90" s="2"/>
      <c r="G90" s="2" t="str">
        <f t="array" ref="G90">IF($C90="", "", XLOOKUP($C90, Services!$A$4:$A998, Services!$C$4:$C998))</f>
        <v/>
      </c>
      <c r="H90" s="2" t="str">
        <f t="shared" si="1"/>
        <v>Retail</v>
      </c>
      <c r="I90" s="20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0"/>
      <c r="B91" s="34"/>
      <c r="C91" s="20"/>
      <c r="D91" s="35"/>
      <c r="E91" s="36"/>
      <c r="F91" s="2"/>
      <c r="G91" s="2" t="str">
        <f t="array" ref="G91">IF($C91="", "", XLOOKUP($C91, Services!$A$4:$A998, Services!$C$4:$C998))</f>
        <v/>
      </c>
      <c r="H91" s="2" t="str">
        <f t="shared" si="1"/>
        <v>Retail</v>
      </c>
      <c r="I91" s="20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0"/>
      <c r="B92" s="34"/>
      <c r="C92" s="20"/>
      <c r="D92" s="35"/>
      <c r="E92" s="36"/>
      <c r="F92" s="2"/>
      <c r="G92" s="2" t="str">
        <f t="array" ref="G92">IF($C92="", "", XLOOKUP($C92, Services!$A$4:$A998, Services!$C$4:$C998))</f>
        <v/>
      </c>
      <c r="H92" s="2" t="str">
        <f t="shared" si="1"/>
        <v>Retail</v>
      </c>
      <c r="I92" s="20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0"/>
      <c r="B93" s="34"/>
      <c r="C93" s="20"/>
      <c r="D93" s="35"/>
      <c r="E93" s="36"/>
      <c r="F93" s="2"/>
      <c r="G93" s="2" t="str">
        <f t="array" ref="G93">IF($C93="", "", XLOOKUP($C93, Services!$A$4:$A998, Services!$C$4:$C998))</f>
        <v/>
      </c>
      <c r="H93" s="2" t="str">
        <f t="shared" si="1"/>
        <v>Retail</v>
      </c>
      <c r="I93" s="20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0"/>
      <c r="B94" s="34"/>
      <c r="C94" s="20"/>
      <c r="D94" s="35"/>
      <c r="E94" s="36"/>
      <c r="F94" s="2"/>
      <c r="G94" s="2" t="str">
        <f t="array" ref="G94">IF($C94="", "", XLOOKUP($C94, Services!$A$4:$A998, Services!$C$4:$C998))</f>
        <v/>
      </c>
      <c r="H94" s="2" t="str">
        <f t="shared" si="1"/>
        <v>Retail</v>
      </c>
      <c r="I94" s="20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0"/>
      <c r="B95" s="34"/>
      <c r="C95" s="20"/>
      <c r="D95" s="35"/>
      <c r="E95" s="36"/>
      <c r="F95" s="2"/>
      <c r="G95" s="2" t="str">
        <f t="array" ref="G95">IF($C95="", "", XLOOKUP($C95, Services!$A$4:$A998, Services!$C$4:$C998))</f>
        <v/>
      </c>
      <c r="H95" s="2" t="str">
        <f t="shared" si="1"/>
        <v>Retail</v>
      </c>
      <c r="I95" s="20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0"/>
      <c r="B96" s="34"/>
      <c r="C96" s="20"/>
      <c r="D96" s="35"/>
      <c r="E96" s="36"/>
      <c r="F96" s="2"/>
      <c r="G96" s="2" t="str">
        <f t="array" ref="G96">IF($C96="", "", XLOOKUP($C96, Services!$A$4:$A998, Services!$C$4:$C998))</f>
        <v/>
      </c>
      <c r="H96" s="2" t="str">
        <f t="shared" si="1"/>
        <v>Retail</v>
      </c>
      <c r="I96" s="20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0"/>
      <c r="B97" s="34"/>
      <c r="C97" s="20"/>
      <c r="D97" s="35"/>
      <c r="E97" s="36"/>
      <c r="F97" s="2"/>
      <c r="G97" s="2" t="str">
        <f t="array" ref="G97">IF($C97="", "", XLOOKUP($C97, Services!$A$4:$A998, Services!$C$4:$C998))</f>
        <v/>
      </c>
      <c r="H97" s="2" t="str">
        <f t="shared" si="1"/>
        <v>Retail</v>
      </c>
      <c r="I97" s="20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0"/>
      <c r="B98" s="34"/>
      <c r="C98" s="20"/>
      <c r="D98" s="35"/>
      <c r="E98" s="36"/>
      <c r="F98" s="2"/>
      <c r="G98" s="2" t="str">
        <f t="array" ref="G98">IF($C98="", "", XLOOKUP($C98, Services!$A$4:$A998, Services!$C$4:$C998))</f>
        <v/>
      </c>
      <c r="H98" s="2" t="str">
        <f t="shared" si="1"/>
        <v>Retail</v>
      </c>
      <c r="I98" s="20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0"/>
      <c r="B99" s="34"/>
      <c r="C99" s="20"/>
      <c r="D99" s="35"/>
      <c r="E99" s="36"/>
      <c r="F99" s="2"/>
      <c r="G99" s="2" t="str">
        <f t="array" ref="G99">IF($C99="", "", XLOOKUP($C99, Services!$A$4:$A998, Services!$C$4:$C998))</f>
        <v/>
      </c>
      <c r="H99" s="2" t="str">
        <f t="shared" si="1"/>
        <v>Retail</v>
      </c>
      <c r="I99" s="20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0"/>
      <c r="B100" s="34"/>
      <c r="C100" s="20"/>
      <c r="D100" s="35"/>
      <c r="E100" s="36"/>
      <c r="F100" s="2"/>
      <c r="G100" s="2" t="str">
        <f t="array" ref="G100">IF($C100="", "", XLOOKUP($C100, Services!$A$4:$A998, Services!$C$4:$C998))</f>
        <v/>
      </c>
      <c r="H100" s="2" t="str">
        <f t="shared" si="1"/>
        <v>Retail</v>
      </c>
      <c r="I100" s="20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0"/>
      <c r="B101" s="34"/>
      <c r="C101" s="20"/>
      <c r="D101" s="35"/>
      <c r="E101" s="36"/>
      <c r="F101" s="2"/>
      <c r="G101" s="2" t="str">
        <f t="array" ref="G101">IF($C101="", "", XLOOKUP($C101, Services!$A$4:$A998, Services!$C$4:$C998))</f>
        <v/>
      </c>
      <c r="H101" s="2" t="str">
        <f t="shared" si="1"/>
        <v>Retail</v>
      </c>
      <c r="I101" s="20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0"/>
      <c r="B102" s="34"/>
      <c r="C102" s="20"/>
      <c r="D102" s="35"/>
      <c r="E102" s="36"/>
      <c r="F102" s="2"/>
      <c r="G102" s="2" t="str">
        <f t="array" ref="G102">IF($C102="", "", XLOOKUP($C102, Services!$A$4:$A998, Services!$C$4:$C998))</f>
        <v/>
      </c>
      <c r="H102" s="2" t="str">
        <f t="shared" si="1"/>
        <v>Retail</v>
      </c>
      <c r="I102" s="20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0"/>
      <c r="B103" s="34"/>
      <c r="C103" s="20"/>
      <c r="D103" s="35"/>
      <c r="E103" s="36"/>
      <c r="F103" s="2"/>
      <c r="G103" s="2" t="str">
        <f t="array" ref="G103">IF($C103="", "", XLOOKUP($C103, Services!$A$4:$A998, Services!$C$4:$C998))</f>
        <v/>
      </c>
      <c r="H103" s="2" t="str">
        <f t="shared" si="1"/>
        <v>Retail</v>
      </c>
      <c r="I103" s="20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0"/>
      <c r="B104" s="34"/>
      <c r="C104" s="20"/>
      <c r="D104" s="35"/>
      <c r="E104" s="36"/>
      <c r="F104" s="2"/>
      <c r="G104" s="2" t="str">
        <f t="array" ref="G104">IF($C104="", "", XLOOKUP($C104, Services!$A$4:$A998, Services!$C$4:$C998))</f>
        <v/>
      </c>
      <c r="H104" s="2" t="str">
        <f t="shared" si="1"/>
        <v>Retail</v>
      </c>
      <c r="I104" s="20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0"/>
      <c r="B105" s="34"/>
      <c r="C105" s="20"/>
      <c r="D105" s="35"/>
      <c r="E105" s="36"/>
      <c r="F105" s="2"/>
      <c r="G105" s="2" t="str">
        <f t="array" ref="G105">IF($C105="", "", XLOOKUP($C105, Services!$A$4:$A998, Services!$C$4:$C998))</f>
        <v/>
      </c>
      <c r="H105" s="2" t="str">
        <f t="shared" si="1"/>
        <v>Retail</v>
      </c>
      <c r="I105" s="20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0"/>
      <c r="B106" s="34"/>
      <c r="C106" s="20"/>
      <c r="D106" s="35"/>
      <c r="E106" s="36"/>
      <c r="F106" s="2"/>
      <c r="G106" s="2" t="str">
        <f t="array" ref="G106">IF($C106="", "", XLOOKUP($C106, Services!$A$4:$A998, Services!$C$4:$C998))</f>
        <v/>
      </c>
      <c r="H106" s="2" t="str">
        <f t="shared" si="1"/>
        <v>Retail</v>
      </c>
      <c r="I106" s="20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0"/>
      <c r="B107" s="34"/>
      <c r="C107" s="20"/>
      <c r="D107" s="35"/>
      <c r="E107" s="36"/>
      <c r="F107" s="2"/>
      <c r="G107" s="2" t="str">
        <f t="array" ref="G107">IF($C107="", "", XLOOKUP($C107, Services!$A$4:$A998, Services!$C$4:$C998))</f>
        <v/>
      </c>
      <c r="H107" s="2" t="str">
        <f t="shared" si="1"/>
        <v>Retail</v>
      </c>
      <c r="I107" s="20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0"/>
      <c r="B108" s="34"/>
      <c r="C108" s="20"/>
      <c r="D108" s="35"/>
      <c r="E108" s="36"/>
      <c r="F108" s="2"/>
      <c r="G108" s="2" t="str">
        <f t="array" ref="G108">IF($C108="", "", XLOOKUP($C108, Services!$A$4:$A998, Services!$C$4:$C998))</f>
        <v/>
      </c>
      <c r="H108" s="2" t="str">
        <f t="shared" si="1"/>
        <v>Retail</v>
      </c>
      <c r="I108" s="20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0"/>
      <c r="B109" s="34"/>
      <c r="C109" s="20"/>
      <c r="D109" s="35"/>
      <c r="E109" s="36"/>
      <c r="F109" s="2"/>
      <c r="G109" s="2" t="str">
        <f t="array" ref="G109">IF($C109="", "", XLOOKUP($C109, Services!$A$4:$A998, Services!$C$4:$C998))</f>
        <v/>
      </c>
      <c r="H109" s="2" t="str">
        <f t="shared" si="1"/>
        <v>Retail</v>
      </c>
      <c r="I109" s="20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0"/>
      <c r="B110" s="34"/>
      <c r="C110" s="20"/>
      <c r="D110" s="35"/>
      <c r="E110" s="36"/>
      <c r="F110" s="2"/>
      <c r="G110" s="2" t="str">
        <f t="array" ref="G110">IF($C110="", "", XLOOKUP($C110, Services!$A$4:$A998, Services!$C$4:$C998))</f>
        <v/>
      </c>
      <c r="H110" s="2" t="str">
        <f t="shared" si="1"/>
        <v>Retail</v>
      </c>
      <c r="I110" s="20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0"/>
      <c r="B111" s="34"/>
      <c r="C111" s="20"/>
      <c r="D111" s="35"/>
      <c r="E111" s="36"/>
      <c r="F111" s="2"/>
      <c r="G111" s="2" t="str">
        <f t="array" ref="G111">IF($C111="", "", XLOOKUP($C111, Services!$A$4:$A998, Services!$C$4:$C998))</f>
        <v/>
      </c>
      <c r="H111" s="2" t="str">
        <f t="shared" si="1"/>
        <v>Retail</v>
      </c>
      <c r="I111" s="20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0"/>
      <c r="B112" s="34"/>
      <c r="C112" s="20"/>
      <c r="D112" s="35"/>
      <c r="E112" s="36"/>
      <c r="F112" s="2"/>
      <c r="G112" s="2" t="str">
        <f t="array" ref="G112">IF($C112="", "", XLOOKUP($C112, Services!$A$4:$A998, Services!$C$4:$C998))</f>
        <v/>
      </c>
      <c r="H112" s="2" t="str">
        <f t="shared" si="1"/>
        <v>Retail</v>
      </c>
      <c r="I112" s="20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0"/>
      <c r="B113" s="34"/>
      <c r="C113" s="20"/>
      <c r="D113" s="35"/>
      <c r="E113" s="36"/>
      <c r="F113" s="2"/>
      <c r="G113" s="2" t="str">
        <f t="array" ref="G113">IF($C113="", "", XLOOKUP($C113, Services!$A$4:$A998, Services!$C$4:$C998))</f>
        <v/>
      </c>
      <c r="H113" s="2" t="str">
        <f t="shared" si="1"/>
        <v>Retail</v>
      </c>
      <c r="I113" s="20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0"/>
      <c r="B114" s="34"/>
      <c r="C114" s="20"/>
      <c r="D114" s="35"/>
      <c r="E114" s="36"/>
      <c r="F114" s="2"/>
      <c r="G114" s="2" t="str">
        <f t="array" ref="G114">IF($C114="", "", XLOOKUP($C114, Services!$A$4:$A998, Services!$C$4:$C998))</f>
        <v/>
      </c>
      <c r="H114" s="2" t="str">
        <f t="shared" si="1"/>
        <v>Retail</v>
      </c>
      <c r="I114" s="20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0"/>
      <c r="B115" s="34"/>
      <c r="C115" s="20"/>
      <c r="D115" s="35"/>
      <c r="E115" s="36"/>
      <c r="F115" s="2"/>
      <c r="G115" s="2" t="str">
        <f t="array" ref="G115">IF($C115="", "", XLOOKUP($C115, Services!$A$4:$A998, Services!$C$4:$C998))</f>
        <v/>
      </c>
      <c r="H115" s="2" t="str">
        <f t="shared" si="1"/>
        <v>Retail</v>
      </c>
      <c r="I115" s="20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0"/>
      <c r="B116" s="34"/>
      <c r="C116" s="20"/>
      <c r="D116" s="35"/>
      <c r="E116" s="36"/>
      <c r="F116" s="2"/>
      <c r="G116" s="2" t="str">
        <f t="array" ref="G116">IF($C116="", "", XLOOKUP($C116, Services!$A$4:$A998, Services!$C$4:$C998))</f>
        <v/>
      </c>
      <c r="H116" s="2" t="str">
        <f t="shared" si="1"/>
        <v>Retail</v>
      </c>
      <c r="I116" s="20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0"/>
      <c r="B117" s="34"/>
      <c r="C117" s="20"/>
      <c r="D117" s="35"/>
      <c r="E117" s="36"/>
      <c r="F117" s="2"/>
      <c r="G117" s="2" t="str">
        <f t="array" ref="G117">IF($C117="", "", XLOOKUP($C117, Services!$A$4:$A998, Services!$C$4:$C998))</f>
        <v/>
      </c>
      <c r="H117" s="2" t="str">
        <f t="shared" si="1"/>
        <v>Retail</v>
      </c>
      <c r="I117" s="20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0"/>
      <c r="B118" s="34"/>
      <c r="C118" s="20"/>
      <c r="D118" s="35"/>
      <c r="E118" s="36"/>
      <c r="F118" s="2"/>
      <c r="G118" s="2" t="str">
        <f t="array" ref="G118">IF($C118="", "", XLOOKUP($C118, Services!$A$4:$A998, Services!$C$4:$C998))</f>
        <v/>
      </c>
      <c r="H118" s="2" t="str">
        <f t="shared" si="1"/>
        <v>Retail</v>
      </c>
      <c r="I118" s="20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0"/>
      <c r="B119" s="34"/>
      <c r="C119" s="20"/>
      <c r="D119" s="35"/>
      <c r="E119" s="36"/>
      <c r="F119" s="2"/>
      <c r="G119" s="2" t="str">
        <f t="array" ref="G119">IF($C119="", "", XLOOKUP($C119, Services!$A$4:$A998, Services!$C$4:$C998))</f>
        <v/>
      </c>
      <c r="H119" s="2" t="str">
        <f t="shared" si="1"/>
        <v>Retail</v>
      </c>
      <c r="I119" s="20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0"/>
      <c r="B120" s="34"/>
      <c r="C120" s="20"/>
      <c r="D120" s="35"/>
      <c r="E120" s="36"/>
      <c r="F120" s="2"/>
      <c r="G120" s="2" t="str">
        <f t="array" ref="G120">IF($C120="", "", XLOOKUP($C120, Services!$A$4:$A998, Services!$C$4:$C998))</f>
        <v/>
      </c>
      <c r="H120" s="2" t="str">
        <f t="shared" si="1"/>
        <v>Retail</v>
      </c>
      <c r="I120" s="20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0"/>
      <c r="B121" s="34"/>
      <c r="C121" s="20"/>
      <c r="D121" s="35"/>
      <c r="E121" s="36"/>
      <c r="F121" s="2"/>
      <c r="G121" s="2" t="str">
        <f t="array" ref="G121">IF($C121="", "", XLOOKUP($C121, Services!$A$4:$A998, Services!$C$4:$C998))</f>
        <v/>
      </c>
      <c r="H121" s="2" t="str">
        <f t="shared" si="1"/>
        <v>Retail</v>
      </c>
      <c r="I121" s="20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0"/>
      <c r="B122" s="34"/>
      <c r="C122" s="20"/>
      <c r="D122" s="35"/>
      <c r="E122" s="36"/>
      <c r="F122" s="2"/>
      <c r="G122" s="2" t="str">
        <f t="array" ref="G122">IF($C122="", "", XLOOKUP($C122, Services!$A$4:$A998, Services!$C$4:$C998))</f>
        <v/>
      </c>
      <c r="H122" s="2" t="str">
        <f t="shared" si="1"/>
        <v>Retail</v>
      </c>
      <c r="I122" s="20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0"/>
      <c r="B123" s="34"/>
      <c r="C123" s="20"/>
      <c r="D123" s="35"/>
      <c r="E123" s="36"/>
      <c r="F123" s="2"/>
      <c r="G123" s="2" t="str">
        <f t="array" ref="G123">IF($C123="", "", XLOOKUP($C123, Services!$A$4:$A998, Services!$C$4:$C998))</f>
        <v/>
      </c>
      <c r="H123" s="2" t="str">
        <f t="shared" si="1"/>
        <v>Retail</v>
      </c>
      <c r="I123" s="20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0"/>
      <c r="B124" s="34"/>
      <c r="C124" s="20"/>
      <c r="D124" s="35"/>
      <c r="E124" s="36"/>
      <c r="F124" s="2"/>
      <c r="G124" s="2" t="str">
        <f t="array" ref="G124">IF($C124="", "", XLOOKUP($C124, Services!$A$4:$A998, Services!$C$4:$C998))</f>
        <v/>
      </c>
      <c r="H124" s="2" t="str">
        <f t="shared" si="1"/>
        <v>Retail</v>
      </c>
      <c r="I124" s="20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0"/>
      <c r="B125" s="34"/>
      <c r="C125" s="20"/>
      <c r="D125" s="35"/>
      <c r="E125" s="36"/>
      <c r="F125" s="2"/>
      <c r="G125" s="2" t="str">
        <f t="array" ref="G125">IF($C125="", "", XLOOKUP($C125, Services!$A$4:$A998, Services!$C$4:$C998))</f>
        <v/>
      </c>
      <c r="H125" s="2" t="str">
        <f t="shared" si="1"/>
        <v>Retail</v>
      </c>
      <c r="I125" s="20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0"/>
      <c r="B126" s="34"/>
      <c r="C126" s="20"/>
      <c r="D126" s="35"/>
      <c r="E126" s="36"/>
      <c r="F126" s="2"/>
      <c r="G126" s="2" t="str">
        <f t="array" ref="G126">IF($C126="", "", XLOOKUP($C126, Services!$A$4:$A998, Services!$C$4:$C998))</f>
        <v/>
      </c>
      <c r="H126" s="2" t="str">
        <f t="shared" si="1"/>
        <v>Retail</v>
      </c>
      <c r="I126" s="20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0"/>
      <c r="B127" s="34"/>
      <c r="C127" s="20"/>
      <c r="D127" s="35"/>
      <c r="E127" s="36"/>
      <c r="F127" s="2"/>
      <c r="G127" s="2" t="str">
        <f t="array" ref="G127">IF($C127="", "", XLOOKUP($C127, Services!$A$4:$A998, Services!$C$4:$C998))</f>
        <v/>
      </c>
      <c r="H127" s="2" t="str">
        <f t="shared" si="1"/>
        <v>Retail</v>
      </c>
      <c r="I127" s="20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0"/>
      <c r="B128" s="34"/>
      <c r="C128" s="20"/>
      <c r="D128" s="35"/>
      <c r="E128" s="36"/>
      <c r="F128" s="2"/>
      <c r="G128" s="2" t="str">
        <f t="array" ref="G128">IF($C128="", "", XLOOKUP($C128, Services!$A$4:$A998, Services!$C$4:$C998))</f>
        <v/>
      </c>
      <c r="H128" s="2" t="str">
        <f t="shared" si="1"/>
        <v>Retail</v>
      </c>
      <c r="I128" s="20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0"/>
      <c r="B129" s="34"/>
      <c r="C129" s="20"/>
      <c r="D129" s="35"/>
      <c r="E129" s="36"/>
      <c r="F129" s="2"/>
      <c r="G129" s="2" t="str">
        <f t="array" ref="G129">IF($C129="", "", XLOOKUP($C129, Services!$A$4:$A998, Services!$C$4:$C998))</f>
        <v/>
      </c>
      <c r="H129" s="2" t="str">
        <f t="shared" si="1"/>
        <v>Retail</v>
      </c>
      <c r="I129" s="20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0"/>
      <c r="B130" s="34"/>
      <c r="C130" s="20"/>
      <c r="D130" s="35"/>
      <c r="E130" s="36"/>
      <c r="F130" s="2"/>
      <c r="G130" s="2" t="str">
        <f t="array" ref="G130">IF($C130="", "", XLOOKUP($C130, Services!$A$4:$A998, Services!$C$4:$C998))</f>
        <v/>
      </c>
      <c r="H130" s="2" t="str">
        <f t="shared" si="1"/>
        <v>Retail</v>
      </c>
      <c r="I130" s="20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0"/>
      <c r="B131" s="34"/>
      <c r="C131" s="20"/>
      <c r="D131" s="35"/>
      <c r="E131" s="36"/>
      <c r="F131" s="2"/>
      <c r="G131" s="2" t="str">
        <f t="array" ref="G131">IF($C131="", "", XLOOKUP($C131, Services!$A$4:$A998, Services!$C$4:$C998))</f>
        <v/>
      </c>
      <c r="H131" s="2" t="str">
        <f t="shared" si="1"/>
        <v>Retail</v>
      </c>
      <c r="I131" s="20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0"/>
      <c r="B132" s="34"/>
      <c r="C132" s="20"/>
      <c r="D132" s="35"/>
      <c r="E132" s="36"/>
      <c r="F132" s="2"/>
      <c r="G132" s="2" t="str">
        <f t="array" ref="G132">IF($C132="", "", XLOOKUP($C132, Services!$A$4:$A998, Services!$C$4:$C998))</f>
        <v/>
      </c>
      <c r="H132" s="2" t="str">
        <f t="shared" si="1"/>
        <v>Retail</v>
      </c>
      <c r="I132" s="20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0"/>
      <c r="B133" s="34"/>
      <c r="C133" s="20"/>
      <c r="D133" s="35"/>
      <c r="E133" s="36"/>
      <c r="F133" s="2"/>
      <c r="G133" s="2" t="str">
        <f t="array" ref="G133">IF($C133="", "", XLOOKUP($C133, Services!$A$4:$A998, Services!$C$4:$C998))</f>
        <v/>
      </c>
      <c r="H133" s="2" t="str">
        <f t="shared" si="1"/>
        <v>Retail</v>
      </c>
      <c r="I133" s="20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0"/>
      <c r="B134" s="34"/>
      <c r="C134" s="20"/>
      <c r="D134" s="35"/>
      <c r="E134" s="36"/>
      <c r="F134" s="2"/>
      <c r="G134" s="2" t="str">
        <f t="array" ref="G134">IF($C134="", "", XLOOKUP($C134, Services!$A$4:$A998, Services!$C$4:$C998))</f>
        <v/>
      </c>
      <c r="H134" s="2" t="str">
        <f t="shared" si="1"/>
        <v>Retail</v>
      </c>
      <c r="I134" s="20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0"/>
      <c r="B135" s="34"/>
      <c r="C135" s="20"/>
      <c r="D135" s="35"/>
      <c r="E135" s="36"/>
      <c r="F135" s="2"/>
      <c r="G135" s="2" t="str">
        <f t="array" ref="G135">IF($C135="", "", XLOOKUP($C135, Services!$A$4:$A998, Services!$C$4:$C998))</f>
        <v/>
      </c>
      <c r="H135" s="2" t="str">
        <f t="shared" si="1"/>
        <v>Retail</v>
      </c>
      <c r="I135" s="20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0"/>
      <c r="B136" s="34"/>
      <c r="C136" s="20"/>
      <c r="D136" s="35"/>
      <c r="E136" s="36"/>
      <c r="F136" s="2"/>
      <c r="G136" s="2" t="str">
        <f t="array" ref="G136">IF($C136="", "", XLOOKUP($C136, Services!$A$4:$A998, Services!$C$4:$C998))</f>
        <v/>
      </c>
      <c r="H136" s="2" t="str">
        <f t="shared" si="1"/>
        <v>Retail</v>
      </c>
      <c r="I136" s="20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0"/>
      <c r="B137" s="34"/>
      <c r="C137" s="20"/>
      <c r="D137" s="35"/>
      <c r="E137" s="36"/>
      <c r="F137" s="2"/>
      <c r="G137" s="2" t="str">
        <f t="array" ref="G137">IF($C137="", "", XLOOKUP($C137, Services!$A$4:$A998, Services!$C$4:$C998))</f>
        <v/>
      </c>
      <c r="H137" s="2" t="str">
        <f t="shared" si="1"/>
        <v>Retail</v>
      </c>
      <c r="I137" s="20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0"/>
      <c r="B138" s="34"/>
      <c r="C138" s="20"/>
      <c r="D138" s="35"/>
      <c r="E138" s="36"/>
      <c r="F138" s="2"/>
      <c r="G138" s="2" t="str">
        <f t="array" ref="G138">IF($C138="", "", XLOOKUP($C138, Services!$A$4:$A998, Services!$C$4:$C998))</f>
        <v/>
      </c>
      <c r="H138" s="2" t="str">
        <f t="shared" si="1"/>
        <v>Retail</v>
      </c>
      <c r="I138" s="20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0"/>
      <c r="B139" s="34"/>
      <c r="C139" s="20"/>
      <c r="D139" s="35"/>
      <c r="E139" s="36"/>
      <c r="F139" s="2"/>
      <c r="G139" s="2" t="str">
        <f t="array" ref="G139">IF($C139="", "", XLOOKUP($C139, Services!$A$4:$A998, Services!$C$4:$C998))</f>
        <v/>
      </c>
      <c r="H139" s="2" t="str">
        <f t="shared" si="1"/>
        <v>Retail</v>
      </c>
      <c r="I139" s="20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0"/>
      <c r="B140" s="34"/>
      <c r="C140" s="20"/>
      <c r="D140" s="35"/>
      <c r="E140" s="36"/>
      <c r="F140" s="2"/>
      <c r="G140" s="2" t="str">
        <f t="array" ref="G140">IF($C140="", "", XLOOKUP($C140, Services!$A$4:$A998, Services!$C$4:$C998))</f>
        <v/>
      </c>
      <c r="H140" s="2" t="str">
        <f t="shared" si="1"/>
        <v>Retail</v>
      </c>
      <c r="I140" s="20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0"/>
      <c r="B141" s="34"/>
      <c r="C141" s="20"/>
      <c r="D141" s="35"/>
      <c r="E141" s="36"/>
      <c r="F141" s="2"/>
      <c r="G141" s="2" t="str">
        <f t="array" ref="G141">IF($C141="", "", XLOOKUP($C141, Services!$A$4:$A998, Services!$C$4:$C998))</f>
        <v/>
      </c>
      <c r="H141" s="2" t="str">
        <f t="shared" si="1"/>
        <v>Retail</v>
      </c>
      <c r="I141" s="20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0"/>
      <c r="B142" s="34"/>
      <c r="C142" s="20"/>
      <c r="D142" s="35"/>
      <c r="E142" s="36"/>
      <c r="F142" s="2"/>
      <c r="G142" s="2" t="str">
        <f t="array" ref="G142">IF($C142="", "", XLOOKUP($C142, Services!$A$4:$A998, Services!$C$4:$C998))</f>
        <v/>
      </c>
      <c r="H142" s="2" t="str">
        <f t="shared" si="1"/>
        <v>Retail</v>
      </c>
      <c r="I142" s="20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0"/>
      <c r="B143" s="34"/>
      <c r="C143" s="20"/>
      <c r="D143" s="35"/>
      <c r="E143" s="36"/>
      <c r="F143" s="2"/>
      <c r="G143" s="2" t="str">
        <f t="array" ref="G143">IF($C143="", "", XLOOKUP($C143, Services!$A$4:$A998, Services!$C$4:$C998))</f>
        <v/>
      </c>
      <c r="H143" s="2" t="str">
        <f t="shared" si="1"/>
        <v>Retail</v>
      </c>
      <c r="I143" s="20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0"/>
      <c r="B144" s="34"/>
      <c r="C144" s="20"/>
      <c r="D144" s="35"/>
      <c r="E144" s="36"/>
      <c r="F144" s="2"/>
      <c r="G144" s="2" t="str">
        <f t="array" ref="G144">IF($C144="", "", XLOOKUP($C144, Services!$A$4:$A998, Services!$C$4:$C998))</f>
        <v/>
      </c>
      <c r="H144" s="2" t="str">
        <f t="shared" si="1"/>
        <v>Retail</v>
      </c>
      <c r="I144" s="20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0"/>
      <c r="B145" s="34"/>
      <c r="C145" s="20"/>
      <c r="D145" s="35"/>
      <c r="E145" s="36"/>
      <c r="F145" s="2"/>
      <c r="G145" s="2" t="str">
        <f t="array" ref="G145">IF($C145="", "", XLOOKUP($C145, Services!$A$4:$A998, Services!$C$4:$C998))</f>
        <v/>
      </c>
      <c r="H145" s="2" t="str">
        <f t="shared" si="1"/>
        <v>Retail</v>
      </c>
      <c r="I145" s="20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0"/>
      <c r="B146" s="34"/>
      <c r="C146" s="20"/>
      <c r="D146" s="35"/>
      <c r="E146" s="36"/>
      <c r="F146" s="2"/>
      <c r="G146" s="2" t="str">
        <f t="array" ref="G146">IF($C146="", "", XLOOKUP($C146, Services!$A$4:$A998, Services!$C$4:$C998))</f>
        <v/>
      </c>
      <c r="H146" s="2" t="str">
        <f t="shared" si="1"/>
        <v>Retail</v>
      </c>
      <c r="I146" s="20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0"/>
      <c r="B147" s="34"/>
      <c r="C147" s="20"/>
      <c r="D147" s="35"/>
      <c r="E147" s="36"/>
      <c r="F147" s="2"/>
      <c r="G147" s="2" t="str">
        <f t="array" ref="G147">IF($C147="", "", XLOOKUP($C147, Services!$A$4:$A998, Services!$C$4:$C998))</f>
        <v/>
      </c>
      <c r="H147" s="2" t="str">
        <f t="shared" si="1"/>
        <v>Retail</v>
      </c>
      <c r="I147" s="20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0"/>
      <c r="B148" s="34"/>
      <c r="C148" s="20"/>
      <c r="D148" s="35"/>
      <c r="E148" s="36"/>
      <c r="F148" s="2"/>
      <c r="G148" s="2" t="str">
        <f t="array" ref="G148">IF($C148="", "", XLOOKUP($C148, Services!$A$4:$A998, Services!$C$4:$C998))</f>
        <v/>
      </c>
      <c r="H148" s="2" t="str">
        <f t="shared" si="1"/>
        <v>Retail</v>
      </c>
      <c r="I148" s="20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0"/>
      <c r="B149" s="34"/>
      <c r="C149" s="20"/>
      <c r="D149" s="35"/>
      <c r="E149" s="36"/>
      <c r="F149" s="2"/>
      <c r="G149" s="2" t="str">
        <f t="array" ref="G149">IF($C149="", "", XLOOKUP($C149, Services!$A$4:$A998, Services!$C$4:$C998))</f>
        <v/>
      </c>
      <c r="H149" s="2" t="str">
        <f t="shared" si="1"/>
        <v>Retail</v>
      </c>
      <c r="I149" s="20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0"/>
      <c r="B150" s="34"/>
      <c r="C150" s="20"/>
      <c r="D150" s="35"/>
      <c r="E150" s="36"/>
      <c r="F150" s="2"/>
      <c r="G150" s="2" t="str">
        <f t="array" ref="G150">IF($C150="", "", XLOOKUP($C150, Services!$A$4:$A998, Services!$C$4:$C998))</f>
        <v/>
      </c>
      <c r="H150" s="2" t="str">
        <f t="shared" si="1"/>
        <v>Retail</v>
      </c>
      <c r="I150" s="20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0"/>
      <c r="B151" s="34"/>
      <c r="C151" s="20"/>
      <c r="D151" s="35"/>
      <c r="E151" s="36"/>
      <c r="F151" s="2"/>
      <c r="G151" s="2" t="str">
        <f t="array" ref="G151">IF($C151="", "", XLOOKUP($C151, Services!$A$4:$A998, Services!$C$4:$C998))</f>
        <v/>
      </c>
      <c r="H151" s="2" t="str">
        <f t="shared" si="1"/>
        <v>Retail</v>
      </c>
      <c r="I151" s="20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0"/>
      <c r="B152" s="34"/>
      <c r="C152" s="20"/>
      <c r="D152" s="35"/>
      <c r="E152" s="36"/>
      <c r="F152" s="2"/>
      <c r="G152" s="2" t="str">
        <f t="array" ref="G152">IF($C152="", "", XLOOKUP($C152, Services!$A$4:$A998, Services!$C$4:$C998))</f>
        <v/>
      </c>
      <c r="H152" s="2" t="str">
        <f t="shared" si="1"/>
        <v>Retail</v>
      </c>
      <c r="I152" s="20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0"/>
      <c r="B153" s="34"/>
      <c r="C153" s="20"/>
      <c r="D153" s="35"/>
      <c r="E153" s="36"/>
      <c r="F153" s="2"/>
      <c r="G153" s="2" t="str">
        <f t="array" ref="G153">IF($C153="", "", XLOOKUP($C153, Services!$A$4:$A998, Services!$C$4:$C998))</f>
        <v/>
      </c>
      <c r="H153" s="2" t="str">
        <f t="shared" si="1"/>
        <v>Retail</v>
      </c>
      <c r="I153" s="20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0"/>
      <c r="B154" s="34"/>
      <c r="C154" s="20"/>
      <c r="D154" s="35"/>
      <c r="E154" s="36"/>
      <c r="F154" s="2"/>
      <c r="G154" s="2" t="str">
        <f t="array" ref="G154">IF($C154="", "", XLOOKUP($C154, Services!$A$4:$A998, Services!$C$4:$C998))</f>
        <v/>
      </c>
      <c r="H154" s="2" t="str">
        <f t="shared" si="1"/>
        <v>Retail</v>
      </c>
      <c r="I154" s="20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0"/>
      <c r="B155" s="34"/>
      <c r="C155" s="20"/>
      <c r="D155" s="35"/>
      <c r="E155" s="36"/>
      <c r="F155" s="2"/>
      <c r="G155" s="2" t="str">
        <f t="array" ref="G155">IF($C155="", "", XLOOKUP($C155, Services!$A$4:$A998, Services!$C$4:$C998))</f>
        <v/>
      </c>
      <c r="H155" s="2" t="str">
        <f t="shared" si="1"/>
        <v>Retail</v>
      </c>
      <c r="I155" s="20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0"/>
      <c r="B156" s="34"/>
      <c r="C156" s="20"/>
      <c r="D156" s="35"/>
      <c r="E156" s="36"/>
      <c r="F156" s="2"/>
      <c r="G156" s="2" t="str">
        <f t="array" ref="G156">IF($C156="", "", XLOOKUP($C156, Services!$A$4:$A998, Services!$C$4:$C998))</f>
        <v/>
      </c>
      <c r="H156" s="2" t="str">
        <f t="shared" si="1"/>
        <v>Retail</v>
      </c>
      <c r="I156" s="20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0"/>
      <c r="B157" s="34"/>
      <c r="C157" s="20"/>
      <c r="D157" s="35"/>
      <c r="E157" s="36"/>
      <c r="F157" s="2"/>
      <c r="G157" s="2" t="str">
        <f t="array" ref="G157">IF($C157="", "", XLOOKUP($C157, Services!$A$4:$A998, Services!$C$4:$C998))</f>
        <v/>
      </c>
      <c r="H157" s="2" t="str">
        <f t="shared" si="1"/>
        <v>Retail</v>
      </c>
      <c r="I157" s="20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0"/>
      <c r="B158" s="34"/>
      <c r="C158" s="20"/>
      <c r="D158" s="35"/>
      <c r="E158" s="36"/>
      <c r="F158" s="2"/>
      <c r="G158" s="2" t="str">
        <f t="array" ref="G158">IF($C158="", "", XLOOKUP($C158, Services!$A$4:$A998, Services!$C$4:$C998))</f>
        <v/>
      </c>
      <c r="H158" s="2" t="str">
        <f t="shared" si="1"/>
        <v>Retail</v>
      </c>
      <c r="I158" s="20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0"/>
      <c r="B159" s="34"/>
      <c r="C159" s="20"/>
      <c r="D159" s="35"/>
      <c r="E159" s="36"/>
      <c r="F159" s="2"/>
      <c r="G159" s="2" t="str">
        <f t="array" ref="G159">IF($C159="", "", XLOOKUP($C159, Services!$A$4:$A998, Services!$C$4:$C998))</f>
        <v/>
      </c>
      <c r="H159" s="2" t="str">
        <f t="shared" si="1"/>
        <v>Retail</v>
      </c>
      <c r="I159" s="20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0"/>
      <c r="B160" s="34"/>
      <c r="C160" s="20"/>
      <c r="D160" s="35"/>
      <c r="E160" s="36"/>
      <c r="F160" s="2"/>
      <c r="G160" s="2" t="str">
        <f t="array" ref="G160">IF($C160="", "", XLOOKUP($C160, Services!$A$4:$A998, Services!$C$4:$C998))</f>
        <v/>
      </c>
      <c r="H160" s="2" t="str">
        <f t="shared" si="1"/>
        <v>Retail</v>
      </c>
      <c r="I160" s="20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0"/>
      <c r="B161" s="34"/>
      <c r="C161" s="20"/>
      <c r="D161" s="35"/>
      <c r="E161" s="36"/>
      <c r="F161" s="2"/>
      <c r="G161" s="2" t="str">
        <f t="array" ref="G161">IF($C161="", "", XLOOKUP($C161, Services!$A$4:$A998, Services!$C$4:$C998))</f>
        <v/>
      </c>
      <c r="H161" s="2" t="str">
        <f t="shared" si="1"/>
        <v>Retail</v>
      </c>
      <c r="I161" s="20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0"/>
      <c r="B162" s="34"/>
      <c r="C162" s="20"/>
      <c r="D162" s="35"/>
      <c r="E162" s="36"/>
      <c r="F162" s="2"/>
      <c r="G162" s="2" t="str">
        <f t="array" ref="G162">IF($C162="", "", XLOOKUP($C162, Services!$A$4:$A998, Services!$C$4:$C998))</f>
        <v/>
      </c>
      <c r="H162" s="2" t="str">
        <f t="shared" si="1"/>
        <v>Retail</v>
      </c>
      <c r="I162" s="20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0"/>
      <c r="B163" s="34"/>
      <c r="C163" s="20"/>
      <c r="D163" s="35"/>
      <c r="E163" s="36"/>
      <c r="F163" s="2"/>
      <c r="G163" s="2" t="str">
        <f t="array" ref="G163">IF($C163="", "", XLOOKUP($C163, Services!$A$4:$A998, Services!$C$4:$C998))</f>
        <v/>
      </c>
      <c r="H163" s="2" t="str">
        <f t="shared" si="1"/>
        <v>Retail</v>
      </c>
      <c r="I163" s="20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0"/>
      <c r="B164" s="34"/>
      <c r="C164" s="20"/>
      <c r="D164" s="35"/>
      <c r="E164" s="36"/>
      <c r="F164" s="2"/>
      <c r="G164" s="2" t="str">
        <f t="array" ref="G164">IF($C164="", "", XLOOKUP($C164, Services!$A$4:$A998, Services!$C$4:$C998))</f>
        <v/>
      </c>
      <c r="H164" s="2" t="str">
        <f t="shared" si="1"/>
        <v>Retail</v>
      </c>
      <c r="I164" s="20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0"/>
      <c r="B165" s="34"/>
      <c r="C165" s="20"/>
      <c r="D165" s="35"/>
      <c r="E165" s="36"/>
      <c r="F165" s="2"/>
      <c r="G165" s="2" t="str">
        <f t="array" ref="G165">IF($C165="", "", XLOOKUP($C165, Services!$A$4:$A998, Services!$C$4:$C998))</f>
        <v/>
      </c>
      <c r="H165" s="2" t="str">
        <f t="shared" si="1"/>
        <v>Retail</v>
      </c>
      <c r="I165" s="20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0"/>
      <c r="B166" s="34"/>
      <c r="C166" s="20"/>
      <c r="D166" s="35"/>
      <c r="E166" s="36"/>
      <c r="F166" s="2"/>
      <c r="G166" s="2" t="str">
        <f t="array" ref="G166">IF($C166="", "", XLOOKUP($C166, Services!$A$4:$A998, Services!$C$4:$C998))</f>
        <v/>
      </c>
      <c r="H166" s="2" t="str">
        <f t="shared" si="1"/>
        <v>Retail</v>
      </c>
      <c r="I166" s="20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0"/>
      <c r="B167" s="34"/>
      <c r="C167" s="20"/>
      <c r="D167" s="35"/>
      <c r="E167" s="36"/>
      <c r="F167" s="2"/>
      <c r="G167" s="2" t="str">
        <f t="array" ref="G167">IF($C167="", "", XLOOKUP($C167, Services!$A$4:$A998, Services!$C$4:$C998))</f>
        <v/>
      </c>
      <c r="H167" s="2" t="str">
        <f t="shared" si="1"/>
        <v>Retail</v>
      </c>
      <c r="I167" s="20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0"/>
      <c r="B168" s="34"/>
      <c r="C168" s="20"/>
      <c r="D168" s="35"/>
      <c r="E168" s="36"/>
      <c r="F168" s="2"/>
      <c r="G168" s="2" t="str">
        <f t="array" ref="G168">IF($C168="", "", XLOOKUP($C168, Services!$A$4:$A998, Services!$C$4:$C998))</f>
        <v/>
      </c>
      <c r="H168" s="2" t="str">
        <f t="shared" si="1"/>
        <v>Retail</v>
      </c>
      <c r="I168" s="20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0"/>
      <c r="B169" s="34"/>
      <c r="C169" s="20"/>
      <c r="D169" s="35"/>
      <c r="E169" s="36"/>
      <c r="F169" s="2"/>
      <c r="G169" s="2" t="str">
        <f t="array" ref="G169">IF($C169="", "", XLOOKUP($C169, Services!$A$4:$A998, Services!$C$4:$C998))</f>
        <v/>
      </c>
      <c r="H169" s="2" t="str">
        <f t="shared" si="1"/>
        <v>Retail</v>
      </c>
      <c r="I169" s="20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0"/>
      <c r="B170" s="34"/>
      <c r="C170" s="20"/>
      <c r="D170" s="35"/>
      <c r="E170" s="36"/>
      <c r="F170" s="2"/>
      <c r="G170" s="2" t="str">
        <f t="array" ref="G170">IF($C170="", "", XLOOKUP($C170, Services!$A$4:$A998, Services!$C$4:$C998))</f>
        <v/>
      </c>
      <c r="H170" s="2" t="str">
        <f t="shared" si="1"/>
        <v>Retail</v>
      </c>
      <c r="I170" s="20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0"/>
      <c r="B171" s="34"/>
      <c r="C171" s="20"/>
      <c r="D171" s="35"/>
      <c r="E171" s="36"/>
      <c r="F171" s="2"/>
      <c r="G171" s="2" t="str">
        <f t="array" ref="G171">IF($C171="", "", XLOOKUP($C171, Services!$A$4:$A998, Services!$C$4:$C998))</f>
        <v/>
      </c>
      <c r="H171" s="2" t="str">
        <f t="shared" si="1"/>
        <v>Retail</v>
      </c>
      <c r="I171" s="20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0"/>
      <c r="B172" s="34"/>
      <c r="C172" s="20"/>
      <c r="D172" s="35"/>
      <c r="E172" s="36"/>
      <c r="F172" s="2"/>
      <c r="G172" s="2" t="str">
        <f t="array" ref="G172">IF($C172="", "", XLOOKUP($C172, Services!$A$4:$A998, Services!$C$4:$C998))</f>
        <v/>
      </c>
      <c r="H172" s="2" t="str">
        <f t="shared" si="1"/>
        <v>Retail</v>
      </c>
      <c r="I172" s="20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0"/>
      <c r="B173" s="34"/>
      <c r="C173" s="20"/>
      <c r="D173" s="35"/>
      <c r="E173" s="36"/>
      <c r="F173" s="2"/>
      <c r="G173" s="2" t="str">
        <f t="array" ref="G173">IF($C173="", "", XLOOKUP($C173, Services!$A$4:$A998, Services!$C$4:$C998))</f>
        <v/>
      </c>
      <c r="H173" s="2" t="str">
        <f t="shared" si="1"/>
        <v>Retail</v>
      </c>
      <c r="I173" s="20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0"/>
      <c r="B174" s="34"/>
      <c r="C174" s="20"/>
      <c r="D174" s="35"/>
      <c r="E174" s="36"/>
      <c r="F174" s="2"/>
      <c r="G174" s="2" t="str">
        <f t="array" ref="G174">IF($C174="", "", XLOOKUP($C174, Services!$A$4:$A998, Services!$C$4:$C998))</f>
        <v/>
      </c>
      <c r="H174" s="2" t="str">
        <f t="shared" si="1"/>
        <v>Retail</v>
      </c>
      <c r="I174" s="20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0"/>
      <c r="B175" s="34"/>
      <c r="C175" s="20"/>
      <c r="D175" s="35"/>
      <c r="E175" s="36"/>
      <c r="F175" s="2"/>
      <c r="G175" s="2" t="str">
        <f t="array" ref="G175">IF($C175="", "", XLOOKUP($C175, Services!$A$4:$A998, Services!$C$4:$C998))</f>
        <v/>
      </c>
      <c r="H175" s="2" t="str">
        <f t="shared" si="1"/>
        <v>Retail</v>
      </c>
      <c r="I175" s="20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0"/>
      <c r="B176" s="34"/>
      <c r="C176" s="20"/>
      <c r="D176" s="35"/>
      <c r="E176" s="36"/>
      <c r="F176" s="2"/>
      <c r="G176" s="2" t="str">
        <f t="array" ref="G176">IF($C176="", "", XLOOKUP($C176, Services!$A$4:$A998, Services!$C$4:$C998))</f>
        <v/>
      </c>
      <c r="H176" s="2" t="str">
        <f t="shared" si="1"/>
        <v>Retail</v>
      </c>
      <c r="I176" s="20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0"/>
      <c r="B177" s="34"/>
      <c r="C177" s="20"/>
      <c r="D177" s="35"/>
      <c r="E177" s="36"/>
      <c r="F177" s="2"/>
      <c r="G177" s="2" t="str">
        <f t="array" ref="G177">IF($C177="", "", XLOOKUP($C177, Services!$A$4:$A998, Services!$C$4:$C998))</f>
        <v/>
      </c>
      <c r="H177" s="2" t="str">
        <f t="shared" si="1"/>
        <v>Retail</v>
      </c>
      <c r="I177" s="20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0"/>
      <c r="B178" s="34"/>
      <c r="C178" s="20"/>
      <c r="D178" s="35"/>
      <c r="E178" s="36"/>
      <c r="F178" s="2"/>
      <c r="G178" s="2" t="str">
        <f t="array" ref="G178">IF($C178="", "", XLOOKUP($C178, Services!$A$4:$A998, Services!$C$4:$C998))</f>
        <v/>
      </c>
      <c r="H178" s="2" t="str">
        <f t="shared" si="1"/>
        <v>Retail</v>
      </c>
      <c r="I178" s="20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0"/>
      <c r="B179" s="34"/>
      <c r="C179" s="20"/>
      <c r="D179" s="35"/>
      <c r="E179" s="36"/>
      <c r="F179" s="2"/>
      <c r="G179" s="2" t="str">
        <f t="array" ref="G179">IF($C179="", "", XLOOKUP($C179, Services!$A$4:$A998, Services!$C$4:$C998))</f>
        <v/>
      </c>
      <c r="H179" s="2" t="str">
        <f t="shared" si="1"/>
        <v>Retail</v>
      </c>
      <c r="I179" s="20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0"/>
      <c r="B180" s="34"/>
      <c r="C180" s="20"/>
      <c r="D180" s="35"/>
      <c r="E180" s="36"/>
      <c r="F180" s="2"/>
      <c r="G180" s="2" t="str">
        <f t="array" ref="G180">IF($C180="", "", XLOOKUP($C180, Services!$A$4:$A998, Services!$C$4:$C998))</f>
        <v/>
      </c>
      <c r="H180" s="2" t="str">
        <f t="shared" si="1"/>
        <v>Retail</v>
      </c>
      <c r="I180" s="20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0"/>
      <c r="B181" s="34"/>
      <c r="C181" s="20"/>
      <c r="D181" s="35"/>
      <c r="E181" s="36"/>
      <c r="F181" s="2"/>
      <c r="G181" s="2" t="str">
        <f t="array" ref="G181">IF($C181="", "", XLOOKUP($C181, Services!$A$4:$A998, Services!$C$4:$C998))</f>
        <v/>
      </c>
      <c r="H181" s="2" t="str">
        <f t="shared" si="1"/>
        <v>Retail</v>
      </c>
      <c r="I181" s="20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0"/>
      <c r="B182" s="34"/>
      <c r="C182" s="20"/>
      <c r="D182" s="35"/>
      <c r="E182" s="36"/>
      <c r="F182" s="2"/>
      <c r="G182" s="2" t="str">
        <f t="array" ref="G182">IF($C182="", "", XLOOKUP($C182, Services!$A$4:$A998, Services!$C$4:$C998))</f>
        <v/>
      </c>
      <c r="H182" s="2" t="str">
        <f t="shared" si="1"/>
        <v>Retail</v>
      </c>
      <c r="I182" s="20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0"/>
      <c r="B183" s="34"/>
      <c r="C183" s="20"/>
      <c r="D183" s="35"/>
      <c r="E183" s="36"/>
      <c r="F183" s="2"/>
      <c r="G183" s="2" t="str">
        <f t="array" ref="G183">IF($C183="", "", XLOOKUP($C183, Services!$A$4:$A998, Services!$C$4:$C998))</f>
        <v/>
      </c>
      <c r="H183" s="2" t="str">
        <f t="shared" si="1"/>
        <v>Retail</v>
      </c>
      <c r="I183" s="20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0"/>
      <c r="B184" s="34"/>
      <c r="C184" s="20"/>
      <c r="D184" s="35"/>
      <c r="E184" s="36"/>
      <c r="F184" s="2"/>
      <c r="G184" s="2" t="str">
        <f t="array" ref="G184">IF($C184="", "", XLOOKUP($C184, Services!$A$4:$A998, Services!$C$4:$C998))</f>
        <v/>
      </c>
      <c r="H184" s="2" t="str">
        <f t="shared" si="1"/>
        <v>Retail</v>
      </c>
      <c r="I184" s="20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0"/>
      <c r="B185" s="34"/>
      <c r="C185" s="20"/>
      <c r="D185" s="35"/>
      <c r="E185" s="36"/>
      <c r="F185" s="2"/>
      <c r="G185" s="2" t="str">
        <f t="array" ref="G185">IF($C185="", "", XLOOKUP($C185, Services!$A$4:$A998, Services!$C$4:$C998))</f>
        <v/>
      </c>
      <c r="H185" s="2" t="str">
        <f t="shared" si="1"/>
        <v>Retail</v>
      </c>
      <c r="I185" s="20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0"/>
      <c r="B186" s="34"/>
      <c r="C186" s="20"/>
      <c r="D186" s="35"/>
      <c r="E186" s="36"/>
      <c r="F186" s="2"/>
      <c r="G186" s="2" t="str">
        <f t="array" ref="G186">IF($C186="", "", XLOOKUP($C186, Services!$A$4:$A998, Services!$C$4:$C998))</f>
        <v/>
      </c>
      <c r="H186" s="2" t="str">
        <f t="shared" si="1"/>
        <v>Retail</v>
      </c>
      <c r="I186" s="20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0"/>
      <c r="B187" s="34"/>
      <c r="C187" s="20"/>
      <c r="D187" s="35"/>
      <c r="E187" s="36"/>
      <c r="F187" s="2"/>
      <c r="G187" s="2" t="str">
        <f t="array" ref="G187">IF($C187="", "", XLOOKUP($C187, Services!$A$4:$A998, Services!$C$4:$C998))</f>
        <v/>
      </c>
      <c r="H187" s="2" t="str">
        <f t="shared" si="1"/>
        <v>Retail</v>
      </c>
      <c r="I187" s="20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0"/>
      <c r="B188" s="34"/>
      <c r="C188" s="20"/>
      <c r="D188" s="35"/>
      <c r="E188" s="36"/>
      <c r="F188" s="2"/>
      <c r="G188" s="2" t="str">
        <f t="array" ref="G188">IF($C188="", "", XLOOKUP($C188, Services!$A$4:$A998, Services!$C$4:$C998))</f>
        <v/>
      </c>
      <c r="H188" s="2" t="str">
        <f t="shared" si="1"/>
        <v>Retail</v>
      </c>
      <c r="I188" s="20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0"/>
      <c r="B189" s="34"/>
      <c r="C189" s="20"/>
      <c r="D189" s="35"/>
      <c r="E189" s="36"/>
      <c r="F189" s="2"/>
      <c r="G189" s="2" t="str">
        <f t="array" ref="G189">IF($C189="", "", XLOOKUP($C189, Services!$A$4:$A998, Services!$C$4:$C998))</f>
        <v/>
      </c>
      <c r="H189" s="2" t="str">
        <f t="shared" si="1"/>
        <v>Retail</v>
      </c>
      <c r="I189" s="20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0"/>
      <c r="B190" s="34"/>
      <c r="C190" s="20"/>
      <c r="D190" s="35"/>
      <c r="E190" s="36"/>
      <c r="F190" s="2"/>
      <c r="G190" s="2" t="str">
        <f t="array" ref="G190">IF($C190="", "", XLOOKUP($C190, Services!$A$4:$A998, Services!$C$4:$C998))</f>
        <v/>
      </c>
      <c r="H190" s="2" t="str">
        <f t="shared" si="1"/>
        <v>Retail</v>
      </c>
      <c r="I190" s="20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0"/>
      <c r="B191" s="34"/>
      <c r="C191" s="20"/>
      <c r="D191" s="35"/>
      <c r="E191" s="36"/>
      <c r="F191" s="2"/>
      <c r="G191" s="2" t="str">
        <f t="array" ref="G191">IF($C191="", "", XLOOKUP($C191, Services!$A$4:$A998, Services!$C$4:$C998))</f>
        <v/>
      </c>
      <c r="H191" s="2" t="str">
        <f t="shared" si="1"/>
        <v>Retail</v>
      </c>
      <c r="I191" s="20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0"/>
      <c r="B192" s="34"/>
      <c r="C192" s="20"/>
      <c r="D192" s="35"/>
      <c r="E192" s="36"/>
      <c r="F192" s="2"/>
      <c r="G192" s="2" t="str">
        <f t="array" ref="G192">IF($C192="", "", XLOOKUP($C192, Services!$A$4:$A998, Services!$C$4:$C998))</f>
        <v/>
      </c>
      <c r="H192" s="2" t="str">
        <f t="shared" si="1"/>
        <v>Retail</v>
      </c>
      <c r="I192" s="20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0"/>
      <c r="B193" s="34"/>
      <c r="C193" s="20"/>
      <c r="D193" s="35"/>
      <c r="E193" s="36"/>
      <c r="F193" s="2"/>
      <c r="G193" s="2" t="str">
        <f t="array" ref="G193">IF($C193="", "", XLOOKUP($C193, Services!$A$4:$A998, Services!$C$4:$C998))</f>
        <v/>
      </c>
      <c r="H193" s="2" t="str">
        <f t="shared" si="1"/>
        <v>Retail</v>
      </c>
      <c r="I193" s="20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0"/>
      <c r="B194" s="34"/>
      <c r="C194" s="20"/>
      <c r="D194" s="35"/>
      <c r="E194" s="36"/>
      <c r="F194" s="2"/>
      <c r="G194" s="2" t="str">
        <f t="array" ref="G194">IF($C194="", "", XLOOKUP($C194, Services!$A$4:$A998, Services!$C$4:$C998))</f>
        <v/>
      </c>
      <c r="H194" s="2" t="str">
        <f t="shared" si="1"/>
        <v>Retail</v>
      </c>
      <c r="I194" s="20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0"/>
      <c r="B195" s="34"/>
      <c r="C195" s="20"/>
      <c r="D195" s="35"/>
      <c r="E195" s="36"/>
      <c r="F195" s="2"/>
      <c r="G195" s="2" t="str">
        <f t="array" ref="G195">IF($C195="", "", XLOOKUP($C195, Services!$A$4:$A998, Services!$C$4:$C998))</f>
        <v/>
      </c>
      <c r="H195" s="2" t="str">
        <f t="shared" si="1"/>
        <v>Retail</v>
      </c>
      <c r="I195" s="20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0"/>
      <c r="B196" s="34"/>
      <c r="C196" s="20"/>
      <c r="D196" s="35"/>
      <c r="E196" s="36"/>
      <c r="F196" s="2"/>
      <c r="G196" s="2" t="str">
        <f t="array" ref="G196">IF($C196="", "", XLOOKUP($C196, Services!$A$4:$A998, Services!$C$4:$C998))</f>
        <v/>
      </c>
      <c r="H196" s="2" t="str">
        <f t="shared" si="1"/>
        <v>Retail</v>
      </c>
      <c r="I196" s="20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0"/>
      <c r="B197" s="34"/>
      <c r="C197" s="20"/>
      <c r="D197" s="35"/>
      <c r="E197" s="36"/>
      <c r="F197" s="2"/>
      <c r="G197" s="2" t="str">
        <f t="array" ref="G197">IF($C197="", "", XLOOKUP($C197, Services!$A$4:$A998, Services!$C$4:$C998))</f>
        <v/>
      </c>
      <c r="H197" s="2" t="str">
        <f t="shared" si="1"/>
        <v>Retail</v>
      </c>
      <c r="I197" s="20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0"/>
      <c r="B198" s="34"/>
      <c r="C198" s="20"/>
      <c r="D198" s="35"/>
      <c r="E198" s="36"/>
      <c r="F198" s="2"/>
      <c r="G198" s="2" t="str">
        <f t="array" ref="G198">IF($C198="", "", XLOOKUP($C198, Services!$A$4:$A998, Services!$C$4:$C998))</f>
        <v/>
      </c>
      <c r="H198" s="2" t="str">
        <f t="shared" si="1"/>
        <v>Retail</v>
      </c>
      <c r="I198" s="20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0"/>
      <c r="B199" s="34"/>
      <c r="C199" s="20"/>
      <c r="D199" s="35"/>
      <c r="E199" s="36"/>
      <c r="F199" s="2"/>
      <c r="G199" s="2" t="str">
        <f t="array" ref="G199">IF($C199="", "", XLOOKUP($C199, Services!$A$4:$A998, Services!$C$4:$C998))</f>
        <v/>
      </c>
      <c r="H199" s="2" t="str">
        <f t="shared" si="1"/>
        <v>Retail</v>
      </c>
      <c r="I199" s="20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0"/>
      <c r="B200" s="34"/>
      <c r="C200" s="20"/>
      <c r="D200" s="35"/>
      <c r="E200" s="36"/>
      <c r="F200" s="2"/>
      <c r="G200" s="2" t="str">
        <f t="array" ref="G200">IF($C200="", "", XLOOKUP($C200, Services!$A$4:$A998, Services!$C$4:$C998))</f>
        <v/>
      </c>
      <c r="H200" s="2" t="str">
        <f t="shared" si="1"/>
        <v>Retail</v>
      </c>
      <c r="I200" s="20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0"/>
      <c r="B201" s="34"/>
      <c r="C201" s="20"/>
      <c r="D201" s="35"/>
      <c r="E201" s="36"/>
      <c r="F201" s="2"/>
      <c r="G201" s="2" t="str">
        <f t="array" ref="G201">IF($C201="", "", XLOOKUP($C201, Services!$A$4:$A998, Services!$C$4:$C998))</f>
        <v/>
      </c>
      <c r="H201" s="2" t="str">
        <f t="shared" si="1"/>
        <v>Retail</v>
      </c>
      <c r="I201" s="20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0"/>
      <c r="B202" s="34"/>
      <c r="C202" s="20"/>
      <c r="D202" s="35"/>
      <c r="E202" s="36"/>
      <c r="F202" s="2"/>
      <c r="G202" s="2" t="str">
        <f t="array" ref="G202">IF($C202="", "", XLOOKUP($C202, Services!$A$4:$A998, Services!$C$4:$C998))</f>
        <v/>
      </c>
      <c r="H202" s="2" t="str">
        <f t="shared" si="1"/>
        <v>Retail</v>
      </c>
      <c r="I202" s="20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0"/>
      <c r="B203" s="34"/>
      <c r="C203" s="20"/>
      <c r="D203" s="35"/>
      <c r="E203" s="36"/>
      <c r="F203" s="2"/>
      <c r="G203" s="2" t="str">
        <f t="array" ref="G203">IF($C203="", "", XLOOKUP($C203, Services!$A$4:$A998, Services!$C$4:$C998))</f>
        <v/>
      </c>
      <c r="H203" s="2" t="str">
        <f t="shared" si="1"/>
        <v>Retail</v>
      </c>
      <c r="I203" s="20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0"/>
      <c r="B204" s="34"/>
      <c r="C204" s="20"/>
      <c r="D204" s="35"/>
      <c r="E204" s="36"/>
      <c r="F204" s="2"/>
      <c r="G204" s="2" t="str">
        <f t="array" ref="G204">IF($C204="", "", XLOOKUP($C204, Services!$A$4:$A998, Services!$C$4:$C998))</f>
        <v/>
      </c>
      <c r="H204" s="2" t="str">
        <f t="shared" si="1"/>
        <v>Retail</v>
      </c>
      <c r="I204" s="20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0"/>
      <c r="B205" s="34"/>
      <c r="C205" s="20"/>
      <c r="D205" s="35"/>
      <c r="E205" s="36"/>
      <c r="F205" s="2"/>
      <c r="G205" s="2" t="str">
        <f t="array" ref="G205">IF($C205="", "", XLOOKUP($C205, Services!$A$4:$A998, Services!$C$4:$C998))</f>
        <v/>
      </c>
      <c r="H205" s="2" t="str">
        <f t="shared" si="1"/>
        <v>Retail</v>
      </c>
      <c r="I205" s="20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0"/>
      <c r="B206" s="34"/>
      <c r="C206" s="20"/>
      <c r="D206" s="35"/>
      <c r="E206" s="36"/>
      <c r="F206" s="2"/>
      <c r="G206" s="2" t="str">
        <f t="array" ref="G206">IF($C206="", "", XLOOKUP($C206, Services!$A$4:$A998, Services!$C$4:$C998))</f>
        <v/>
      </c>
      <c r="H206" s="2" t="str">
        <f t="shared" si="1"/>
        <v>Retail</v>
      </c>
      <c r="I206" s="20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0"/>
      <c r="B207" s="34"/>
      <c r="C207" s="20"/>
      <c r="D207" s="35"/>
      <c r="E207" s="36"/>
      <c r="F207" s="2"/>
      <c r="G207" s="2" t="str">
        <f t="array" ref="G207">IF($C207="", "", XLOOKUP($C207, Services!$A$4:$A998, Services!$C$4:$C998))</f>
        <v/>
      </c>
      <c r="H207" s="2" t="str">
        <f t="shared" si="1"/>
        <v>Retail</v>
      </c>
      <c r="I207" s="20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0"/>
      <c r="B208" s="34"/>
      <c r="C208" s="20"/>
      <c r="D208" s="35"/>
      <c r="E208" s="36"/>
      <c r="F208" s="2"/>
      <c r="G208" s="2" t="str">
        <f t="array" ref="G208">IF($C208="", "", XLOOKUP($C208, Services!$A$4:$A998, Services!$C$4:$C998))</f>
        <v/>
      </c>
      <c r="H208" s="2" t="str">
        <f t="shared" si="1"/>
        <v>Retail</v>
      </c>
      <c r="I208" s="20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0"/>
      <c r="B209" s="34"/>
      <c r="C209" s="20"/>
      <c r="D209" s="35"/>
      <c r="E209" s="36"/>
      <c r="F209" s="2"/>
      <c r="G209" s="2" t="str">
        <f t="array" ref="G209">IF($C209="", "", XLOOKUP($C209, Services!$A$4:$A998, Services!$C$4:$C998))</f>
        <v/>
      </c>
      <c r="H209" s="2" t="str">
        <f t="shared" si="1"/>
        <v>Retail</v>
      </c>
      <c r="I209" s="20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0"/>
      <c r="B210" s="34"/>
      <c r="C210" s="20"/>
      <c r="D210" s="35"/>
      <c r="E210" s="36"/>
      <c r="F210" s="2"/>
      <c r="G210" s="2" t="str">
        <f t="array" ref="G210">IF($C210="", "", XLOOKUP($C210, Services!$A$4:$A998, Services!$C$4:$C998))</f>
        <v/>
      </c>
      <c r="H210" s="2" t="str">
        <f t="shared" si="1"/>
        <v>Retail</v>
      </c>
      <c r="I210" s="20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0"/>
      <c r="B211" s="34"/>
      <c r="C211" s="20"/>
      <c r="D211" s="35"/>
      <c r="E211" s="36"/>
      <c r="F211" s="2"/>
      <c r="G211" s="2" t="str">
        <f t="array" ref="G211">IF($C211="", "", XLOOKUP($C211, Services!$A$4:$A998, Services!$C$4:$C998))</f>
        <v/>
      </c>
      <c r="H211" s="2" t="str">
        <f t="shared" si="1"/>
        <v>Retail</v>
      </c>
      <c r="I211" s="20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0"/>
      <c r="B212" s="34"/>
      <c r="C212" s="20"/>
      <c r="D212" s="35"/>
      <c r="E212" s="36"/>
      <c r="F212" s="2"/>
      <c r="G212" s="2" t="str">
        <f t="array" ref="G212">IF($C212="", "", XLOOKUP($C212, Services!$A$4:$A998, Services!$C$4:$C998))</f>
        <v/>
      </c>
      <c r="H212" s="2" t="str">
        <f t="shared" si="1"/>
        <v>Retail</v>
      </c>
      <c r="I212" s="20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0"/>
      <c r="B213" s="34"/>
      <c r="C213" s="20"/>
      <c r="D213" s="35"/>
      <c r="E213" s="36"/>
      <c r="F213" s="2"/>
      <c r="G213" s="2" t="str">
        <f t="array" ref="G213">IF($C213="", "", XLOOKUP($C213, Services!$A$4:$A998, Services!$C$4:$C998))</f>
        <v/>
      </c>
      <c r="H213" s="2" t="str">
        <f t="shared" si="1"/>
        <v>Retail</v>
      </c>
      <c r="I213" s="20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0"/>
      <c r="B214" s="34"/>
      <c r="C214" s="20"/>
      <c r="D214" s="35"/>
      <c r="E214" s="36"/>
      <c r="F214" s="2"/>
      <c r="G214" s="2" t="str">
        <f t="array" ref="G214">IF($C214="", "", XLOOKUP($C214, Services!$A$4:$A998, Services!$C$4:$C998))</f>
        <v/>
      </c>
      <c r="H214" s="2" t="str">
        <f t="shared" si="1"/>
        <v>Retail</v>
      </c>
      <c r="I214" s="20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0"/>
      <c r="B215" s="34"/>
      <c r="C215" s="20"/>
      <c r="D215" s="35"/>
      <c r="E215" s="36"/>
      <c r="F215" s="2"/>
      <c r="G215" s="2" t="str">
        <f t="array" ref="G215">IF($C215="", "", XLOOKUP($C215, Services!$A$4:$A998, Services!$C$4:$C998))</f>
        <v/>
      </c>
      <c r="H215" s="2" t="str">
        <f t="shared" si="1"/>
        <v>Retail</v>
      </c>
      <c r="I215" s="20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0"/>
      <c r="B216" s="34"/>
      <c r="C216" s="20"/>
      <c r="D216" s="35"/>
      <c r="E216" s="36"/>
      <c r="F216" s="2"/>
      <c r="G216" s="2" t="str">
        <f t="array" ref="G216">IF($C216="", "", XLOOKUP($C216, Services!$A$4:$A998, Services!$C$4:$C998))</f>
        <v/>
      </c>
      <c r="H216" s="2" t="str">
        <f t="shared" si="1"/>
        <v>Retail</v>
      </c>
      <c r="I216" s="20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0"/>
      <c r="B217" s="34"/>
      <c r="C217" s="20"/>
      <c r="D217" s="35"/>
      <c r="E217" s="36"/>
      <c r="F217" s="2"/>
      <c r="G217" s="2" t="str">
        <f t="array" ref="G217">IF($C217="", "", XLOOKUP($C217, Services!$A$4:$A998, Services!$C$4:$C998))</f>
        <v/>
      </c>
      <c r="H217" s="2" t="str">
        <f t="shared" si="1"/>
        <v>Retail</v>
      </c>
      <c r="I217" s="20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0"/>
      <c r="B218" s="34"/>
      <c r="C218" s="20"/>
      <c r="D218" s="35"/>
      <c r="E218" s="36"/>
      <c r="F218" s="2"/>
      <c r="G218" s="2" t="str">
        <f t="array" ref="G218">IF($C218="", "", XLOOKUP($C218, Services!$A$4:$A998, Services!$C$4:$C998))</f>
        <v/>
      </c>
      <c r="H218" s="2" t="str">
        <f t="shared" si="1"/>
        <v>Retail</v>
      </c>
      <c r="I218" s="20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0"/>
      <c r="B219" s="34"/>
      <c r="C219" s="20"/>
      <c r="D219" s="35"/>
      <c r="E219" s="36"/>
      <c r="F219" s="2"/>
      <c r="G219" s="2" t="str">
        <f t="array" ref="G219">IF($C219="", "", XLOOKUP($C219, Services!$A$4:$A998, Services!$C$4:$C998))</f>
        <v/>
      </c>
      <c r="H219" s="2" t="str">
        <f t="shared" si="1"/>
        <v>Retail</v>
      </c>
      <c r="I219" s="20"/>
      <c r="J219" s="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20"/>
      <c r="B220" s="34"/>
      <c r="C220" s="20"/>
      <c r="D220" s="35"/>
      <c r="E220" s="36"/>
      <c r="F220" s="2"/>
      <c r="G220" s="2" t="str">
        <f t="array" ref="G220">IF($C220="", "", XLOOKUP($C220, Services!$A$4:$A998, Services!$C$4:$C998))</f>
        <v/>
      </c>
      <c r="H220" s="2" t="str">
        <f t="shared" si="1"/>
        <v>Retail</v>
      </c>
      <c r="I220" s="20"/>
      <c r="J220" s="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20"/>
      <c r="B221" s="34"/>
      <c r="C221" s="20"/>
      <c r="D221" s="35"/>
      <c r="E221" s="36"/>
      <c r="F221" s="2"/>
      <c r="G221" s="2" t="str">
        <f t="array" ref="G221">IF($C221="", "", XLOOKUP($C221, Services!$A$4:$A998, Services!$C$4:$C998))</f>
        <v/>
      </c>
      <c r="H221" s="2" t="str">
        <f t="shared" si="1"/>
        <v>Retail</v>
      </c>
      <c r="I221" s="20"/>
      <c r="J221" s="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20"/>
      <c r="B222" s="34"/>
      <c r="C222" s="20"/>
      <c r="D222" s="35"/>
      <c r="E222" s="36"/>
      <c r="F222" s="2"/>
      <c r="G222" s="2" t="str">
        <f t="array" ref="G222">IF($C222="", "", XLOOKUP($C222, Services!$A$4:$A998, Services!$C$4:$C998))</f>
        <v/>
      </c>
      <c r="H222" s="2" t="str">
        <f t="shared" si="1"/>
        <v>Retail</v>
      </c>
      <c r="I222" s="20"/>
      <c r="J222" s="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20"/>
      <c r="B223" s="34"/>
      <c r="C223" s="20"/>
      <c r="D223" s="35"/>
      <c r="E223" s="36"/>
      <c r="F223" s="2"/>
      <c r="G223" s="2" t="str">
        <f t="array" ref="G223">IF($C223="", "", XLOOKUP($C223, Services!$A$4:$A998, Services!$C$4:$C998))</f>
        <v/>
      </c>
      <c r="H223" s="2" t="str">
        <f t="shared" si="1"/>
        <v>Retail</v>
      </c>
      <c r="I223" s="20"/>
      <c r="J223" s="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20"/>
      <c r="B224" s="34"/>
      <c r="C224" s="20"/>
      <c r="D224" s="35"/>
      <c r="E224" s="36"/>
      <c r="F224" s="2"/>
      <c r="G224" s="2" t="str">
        <f t="array" ref="G224">IF($C224="", "", XLOOKUP($C224, Services!$A$4:$A998, Services!$C$4:$C998))</f>
        <v/>
      </c>
      <c r="H224" s="2" t="str">
        <f t="shared" si="1"/>
        <v>Retail</v>
      </c>
      <c r="I224" s="20"/>
      <c r="J224" s="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20"/>
      <c r="B225" s="34"/>
      <c r="C225" s="20"/>
      <c r="D225" s="35"/>
      <c r="E225" s="36"/>
      <c r="F225" s="2"/>
      <c r="G225" s="2" t="str">
        <f t="array" ref="G225">IF($C225="", "", XLOOKUP($C225, Services!$A$4:$A998, Services!$C$4:$C998))</f>
        <v/>
      </c>
      <c r="H225" s="2" t="str">
        <f t="shared" si="1"/>
        <v>Retail</v>
      </c>
      <c r="I225" s="20"/>
      <c r="J225" s="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20"/>
      <c r="B226" s="34"/>
      <c r="C226" s="20"/>
      <c r="D226" s="35"/>
      <c r="E226" s="36"/>
      <c r="F226" s="2"/>
      <c r="G226" s="2" t="str">
        <f t="array" ref="G226">IF($C226="", "", XLOOKUP($C226, Services!$A$4:$A998, Services!$C$4:$C998))</f>
        <v/>
      </c>
      <c r="H226" s="2" t="str">
        <f t="shared" si="1"/>
        <v>Retail</v>
      </c>
      <c r="I226" s="20"/>
      <c r="J226" s="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20"/>
      <c r="B227" s="34"/>
      <c r="C227" s="20"/>
      <c r="D227" s="35"/>
      <c r="E227" s="36"/>
      <c r="F227" s="2"/>
      <c r="G227" s="2" t="str">
        <f t="array" ref="G227">IF($C227="", "", XLOOKUP($C227, Services!$A$4:$A998, Services!$C$4:$C998))</f>
        <v/>
      </c>
      <c r="H227" s="2" t="str">
        <f t="shared" si="1"/>
        <v>Retail</v>
      </c>
      <c r="I227" s="20"/>
      <c r="J227" s="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20"/>
      <c r="B228" s="34"/>
      <c r="C228" s="20"/>
      <c r="D228" s="35"/>
      <c r="E228" s="36"/>
      <c r="F228" s="2"/>
      <c r="G228" s="2" t="str">
        <f t="array" ref="G228">IF($C228="", "", XLOOKUP($C228, Services!$A$4:$A998, Services!$C$4:$C998))</f>
        <v/>
      </c>
      <c r="H228" s="2" t="str">
        <f t="shared" si="1"/>
        <v>Retail</v>
      </c>
      <c r="I228" s="20"/>
      <c r="J228" s="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20"/>
      <c r="B229" s="34"/>
      <c r="C229" s="20"/>
      <c r="D229" s="35"/>
      <c r="E229" s="36"/>
      <c r="F229" s="2"/>
      <c r="G229" s="2" t="str">
        <f t="array" ref="G229">IF($C229="", "", XLOOKUP($C229, Services!$A$4:$A998, Services!$C$4:$C998))</f>
        <v/>
      </c>
      <c r="H229" s="2" t="str">
        <f t="shared" si="1"/>
        <v>Retail</v>
      </c>
      <c r="I229" s="20"/>
      <c r="J229" s="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20"/>
      <c r="B230" s="34"/>
      <c r="C230" s="20"/>
      <c r="D230" s="35"/>
      <c r="E230" s="36"/>
      <c r="F230" s="2"/>
      <c r="G230" s="2" t="str">
        <f t="array" ref="G230">IF($C230="", "", XLOOKUP($C230, Services!$A$4:$A998, Services!$C$4:$C998))</f>
        <v/>
      </c>
      <c r="H230" s="2" t="str">
        <f t="shared" si="1"/>
        <v>Retail</v>
      </c>
      <c r="I230" s="20"/>
      <c r="J230" s="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20"/>
      <c r="B231" s="34"/>
      <c r="C231" s="20"/>
      <c r="D231" s="35"/>
      <c r="E231" s="36"/>
      <c r="F231" s="2"/>
      <c r="G231" s="2" t="str">
        <f t="array" ref="G231">IF($C231="", "", XLOOKUP($C231, Services!$A$4:$A998, Services!$C$4:$C998))</f>
        <v/>
      </c>
      <c r="H231" s="2" t="str">
        <f t="shared" si="1"/>
        <v>Retail</v>
      </c>
      <c r="I231" s="20"/>
      <c r="J231" s="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20"/>
      <c r="B232" s="34"/>
      <c r="C232" s="20"/>
      <c r="D232" s="35"/>
      <c r="E232" s="36"/>
      <c r="F232" s="2"/>
      <c r="G232" s="2" t="str">
        <f t="array" ref="G232">IF($C232="", "", XLOOKUP($C232, Services!$A$4:$A998, Services!$C$4:$C998))</f>
        <v/>
      </c>
      <c r="H232" s="2" t="str">
        <f t="shared" si="1"/>
        <v>Retail</v>
      </c>
      <c r="I232" s="20"/>
      <c r="J232" s="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20"/>
      <c r="B233" s="34"/>
      <c r="C233" s="20"/>
      <c r="D233" s="35"/>
      <c r="E233" s="36"/>
      <c r="F233" s="2"/>
      <c r="G233" s="2" t="str">
        <f t="array" ref="G233">IF($C233="", "", XLOOKUP($C233, Services!$A$4:$A998, Services!$C$4:$C998))</f>
        <v/>
      </c>
      <c r="H233" s="2" t="str">
        <f t="shared" si="1"/>
        <v>Retail</v>
      </c>
      <c r="I233" s="20"/>
      <c r="J233" s="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20"/>
      <c r="B234" s="34"/>
      <c r="C234" s="20"/>
      <c r="D234" s="35"/>
      <c r="E234" s="36"/>
      <c r="F234" s="2"/>
      <c r="G234" s="2" t="str">
        <f t="array" ref="G234">IF($C234="", "", XLOOKUP($C234, Services!$A$4:$A998, Services!$C$4:$C998))</f>
        <v/>
      </c>
      <c r="H234" s="2" t="str">
        <f t="shared" si="1"/>
        <v>Retail</v>
      </c>
      <c r="I234" s="20"/>
      <c r="J234" s="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20"/>
      <c r="B235" s="34"/>
      <c r="C235" s="20"/>
      <c r="D235" s="35"/>
      <c r="E235" s="36"/>
      <c r="F235" s="2"/>
      <c r="G235" s="2" t="str">
        <f t="array" ref="G235">IF($C235="", "", XLOOKUP($C235, Services!$A$4:$A998, Services!$C$4:$C998))</f>
        <v/>
      </c>
      <c r="H235" s="2" t="str">
        <f t="shared" si="1"/>
        <v>Retail</v>
      </c>
      <c r="I235" s="20"/>
      <c r="J235" s="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20"/>
      <c r="B236" s="34"/>
      <c r="C236" s="20"/>
      <c r="D236" s="35"/>
      <c r="E236" s="36"/>
      <c r="F236" s="2"/>
      <c r="G236" s="2" t="str">
        <f t="array" ref="G236">IF($C236="", "", XLOOKUP($C236, Services!$A$4:$A998, Services!$C$4:$C998))</f>
        <v/>
      </c>
      <c r="H236" s="2" t="str">
        <f t="shared" si="1"/>
        <v>Retail</v>
      </c>
      <c r="I236" s="20"/>
      <c r="J236" s="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20"/>
      <c r="B237" s="34"/>
      <c r="C237" s="20"/>
      <c r="D237" s="35"/>
      <c r="E237" s="36"/>
      <c r="F237" s="2"/>
      <c r="G237" s="2" t="str">
        <f t="array" ref="G237">IF($C237="", "", XLOOKUP($C237, Services!$A$4:$A998, Services!$C$4:$C998))</f>
        <v/>
      </c>
      <c r="H237" s="2" t="str">
        <f t="shared" si="1"/>
        <v>Retail</v>
      </c>
      <c r="I237" s="20"/>
      <c r="J237" s="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20"/>
      <c r="B238" s="34"/>
      <c r="C238" s="20"/>
      <c r="D238" s="35"/>
      <c r="E238" s="36"/>
      <c r="F238" s="2"/>
      <c r="G238" s="2" t="str">
        <f t="array" ref="G238">IF($C238="", "", XLOOKUP($C238, Services!$A$4:$A998, Services!$C$4:$C998))</f>
        <v/>
      </c>
      <c r="H238" s="2" t="str">
        <f t="shared" si="1"/>
        <v>Retail</v>
      </c>
      <c r="I238" s="20"/>
      <c r="J238" s="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20"/>
      <c r="B239" s="34"/>
      <c r="C239" s="20"/>
      <c r="D239" s="35"/>
      <c r="E239" s="36"/>
      <c r="F239" s="2"/>
      <c r="G239" s="2" t="str">
        <f t="array" ref="G239">IF($C239="", "", XLOOKUP($C239, Services!$A$4:$A998, Services!$C$4:$C998))</f>
        <v/>
      </c>
      <c r="H239" s="2" t="str">
        <f t="shared" si="1"/>
        <v>Retail</v>
      </c>
      <c r="I239" s="20"/>
      <c r="J239" s="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20"/>
      <c r="B240" s="34"/>
      <c r="C240" s="20"/>
      <c r="D240" s="35"/>
      <c r="E240" s="36"/>
      <c r="F240" s="2"/>
      <c r="G240" s="2" t="str">
        <f t="array" ref="G240">IF($C240="", "", XLOOKUP($C240, Services!$A$4:$A998, Services!$C$4:$C998))</f>
        <v/>
      </c>
      <c r="H240" s="2" t="str">
        <f t="shared" si="1"/>
        <v>Retail</v>
      </c>
      <c r="I240" s="20"/>
      <c r="J240" s="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20"/>
      <c r="B241" s="34"/>
      <c r="C241" s="20"/>
      <c r="D241" s="35"/>
      <c r="E241" s="36"/>
      <c r="F241" s="2"/>
      <c r="G241" s="2" t="str">
        <f t="array" ref="G241">IF($C241="", "", XLOOKUP($C241, Services!$A$4:$A998, Services!$C$4:$C998))</f>
        <v/>
      </c>
      <c r="H241" s="2" t="str">
        <f t="shared" si="1"/>
        <v>Retail</v>
      </c>
      <c r="I241" s="20"/>
      <c r="J241" s="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20"/>
      <c r="B242" s="34"/>
      <c r="C242" s="20"/>
      <c r="D242" s="35"/>
      <c r="E242" s="36"/>
      <c r="F242" s="2"/>
      <c r="G242" s="2" t="str">
        <f t="array" ref="G242">IF($C242="", "", XLOOKUP($C242, Services!$A$4:$A998, Services!$C$4:$C998))</f>
        <v/>
      </c>
      <c r="H242" s="2" t="str">
        <f t="shared" si="1"/>
        <v>Retail</v>
      </c>
      <c r="I242" s="20"/>
      <c r="J242" s="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20"/>
      <c r="B243" s="34"/>
      <c r="C243" s="20"/>
      <c r="D243" s="35"/>
      <c r="E243" s="36"/>
      <c r="F243" s="2"/>
      <c r="G243" s="2" t="str">
        <f t="array" ref="G243">IF($C243="", "", XLOOKUP($C243, Services!$A$4:$A998, Services!$C$4:$C998))</f>
        <v/>
      </c>
      <c r="H243" s="2" t="str">
        <f t="shared" si="1"/>
        <v>Retail</v>
      </c>
      <c r="I243" s="20"/>
      <c r="J243" s="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20"/>
      <c r="B244" s="34"/>
      <c r="C244" s="20"/>
      <c r="D244" s="35"/>
      <c r="E244" s="36"/>
      <c r="F244" s="2"/>
      <c r="G244" s="2" t="str">
        <f t="array" ref="G244">IF($C244="", "", XLOOKUP($C244, Services!$A$4:$A998, Services!$C$4:$C998))</f>
        <v/>
      </c>
      <c r="H244" s="2" t="str">
        <f t="shared" si="1"/>
        <v>Retail</v>
      </c>
      <c r="I244" s="20"/>
      <c r="J244" s="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20"/>
      <c r="B245" s="34"/>
      <c r="C245" s="20"/>
      <c r="D245" s="35"/>
      <c r="E245" s="36"/>
      <c r="F245" s="2"/>
      <c r="G245" s="2" t="str">
        <f t="array" ref="G245">IF($C245="", "", XLOOKUP($C245, Services!$A$4:$A998, Services!$C$4:$C998))</f>
        <v/>
      </c>
      <c r="H245" s="2" t="str">
        <f t="shared" si="1"/>
        <v>Retail</v>
      </c>
      <c r="I245" s="20"/>
      <c r="J245" s="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20"/>
      <c r="B246" s="34"/>
      <c r="C246" s="20"/>
      <c r="D246" s="35"/>
      <c r="E246" s="36"/>
      <c r="F246" s="2"/>
      <c r="G246" s="2" t="str">
        <f t="array" ref="G246">IF($C246="", "", XLOOKUP($C246, Services!$A$4:$A998, Services!$C$4:$C998))</f>
        <v/>
      </c>
      <c r="H246" s="2" t="str">
        <f t="shared" si="1"/>
        <v>Retail</v>
      </c>
      <c r="I246" s="20"/>
      <c r="J246" s="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20"/>
      <c r="B247" s="34"/>
      <c r="C247" s="20"/>
      <c r="D247" s="35"/>
      <c r="E247" s="36"/>
      <c r="F247" s="2"/>
      <c r="G247" s="2" t="str">
        <f t="array" ref="G247">IF($C247="", "", XLOOKUP($C247, Services!$A$4:$A998, Services!$C$4:$C998))</f>
        <v/>
      </c>
      <c r="H247" s="2" t="str">
        <f t="shared" si="1"/>
        <v>Retail</v>
      </c>
      <c r="I247" s="20"/>
      <c r="J247" s="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20"/>
      <c r="B248" s="34"/>
      <c r="C248" s="20"/>
      <c r="D248" s="35"/>
      <c r="E248" s="36"/>
      <c r="F248" s="2"/>
      <c r="G248" s="2" t="str">
        <f t="array" ref="G248">IF($C248="", "", XLOOKUP($C248, Services!$A$4:$A998, Services!$C$4:$C998))</f>
        <v/>
      </c>
      <c r="H248" s="2" t="str">
        <f t="shared" si="1"/>
        <v>Retail</v>
      </c>
      <c r="I248" s="20"/>
      <c r="J248" s="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20"/>
      <c r="B249" s="34"/>
      <c r="C249" s="20"/>
      <c r="D249" s="35"/>
      <c r="E249" s="36"/>
      <c r="F249" s="2"/>
      <c r="G249" s="2" t="str">
        <f t="array" ref="G249">IF($C249="", "", XLOOKUP($C249, Services!$A$4:$A998, Services!$C$4:$C998))</f>
        <v/>
      </c>
      <c r="H249" s="2" t="str">
        <f t="shared" si="1"/>
        <v>Retail</v>
      </c>
      <c r="I249" s="20"/>
      <c r="J249" s="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20"/>
      <c r="B250" s="34"/>
      <c r="C250" s="20"/>
      <c r="D250" s="35"/>
      <c r="E250" s="36"/>
      <c r="F250" s="2"/>
      <c r="G250" s="2" t="str">
        <f t="array" ref="G250">IF($C250="", "", XLOOKUP($C250, Services!$A$4:$A998, Services!$C$4:$C998))</f>
        <v/>
      </c>
      <c r="H250" s="2" t="str">
        <f t="shared" si="1"/>
        <v>Retail</v>
      </c>
      <c r="I250" s="20"/>
      <c r="J250" s="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20"/>
      <c r="B251" s="34"/>
      <c r="C251" s="20"/>
      <c r="D251" s="35"/>
      <c r="E251" s="36"/>
      <c r="F251" s="2"/>
      <c r="G251" s="2" t="str">
        <f t="array" ref="G251">IF($C251="", "", XLOOKUP($C251, Services!$A$4:$A998, Services!$C$4:$C998))</f>
        <v/>
      </c>
      <c r="H251" s="2" t="str">
        <f t="shared" si="1"/>
        <v>Retail</v>
      </c>
      <c r="I251" s="20"/>
      <c r="J251" s="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20"/>
      <c r="B252" s="34"/>
      <c r="C252" s="20"/>
      <c r="D252" s="35"/>
      <c r="E252" s="36"/>
      <c r="F252" s="2"/>
      <c r="G252" s="2" t="str">
        <f t="array" ref="G252">IF($C252="", "", XLOOKUP($C252, Services!$A$4:$A998, Services!$C$4:$C998))</f>
        <v/>
      </c>
      <c r="H252" s="2" t="str">
        <f t="shared" si="1"/>
        <v>Retail</v>
      </c>
      <c r="I252" s="20"/>
      <c r="J252" s="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20"/>
      <c r="B253" s="34"/>
      <c r="C253" s="20"/>
      <c r="D253" s="35"/>
      <c r="E253" s="36"/>
      <c r="F253" s="2"/>
      <c r="G253" s="2" t="str">
        <f t="array" ref="G253">IF($C253="", "", XLOOKUP($C253, Services!$A$4:$A998, Services!$C$4:$C998))</f>
        <v/>
      </c>
      <c r="H253" s="2" t="str">
        <f t="shared" si="1"/>
        <v>Retail</v>
      </c>
      <c r="I253" s="20"/>
      <c r="J253" s="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20"/>
      <c r="B254" s="34"/>
      <c r="C254" s="20"/>
      <c r="D254" s="35"/>
      <c r="E254" s="36"/>
      <c r="F254" s="2"/>
      <c r="G254" s="2" t="str">
        <f t="array" ref="G254">IF($C254="", "", XLOOKUP($C254, Services!$A$4:$A998, Services!$C$4:$C998))</f>
        <v/>
      </c>
      <c r="H254" s="2" t="str">
        <f t="shared" si="1"/>
        <v>Retail</v>
      </c>
      <c r="I254" s="20"/>
      <c r="J254" s="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20"/>
      <c r="B255" s="34"/>
      <c r="C255" s="20"/>
      <c r="D255" s="35"/>
      <c r="E255" s="36"/>
      <c r="F255" s="2"/>
      <c r="G255" s="2" t="str">
        <f t="array" ref="G255">IF($C255="", "", XLOOKUP($C255, Services!$A$4:$A998, Services!$C$4:$C998))</f>
        <v/>
      </c>
      <c r="H255" s="2" t="str">
        <f t="shared" si="1"/>
        <v>Retail</v>
      </c>
      <c r="I255" s="20"/>
      <c r="J255" s="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20"/>
      <c r="B256" s="34"/>
      <c r="C256" s="20"/>
      <c r="D256" s="35"/>
      <c r="E256" s="36"/>
      <c r="F256" s="2"/>
      <c r="G256" s="2" t="str">
        <f t="array" ref="G256">IF($C256="", "", XLOOKUP($C256, Services!$A$4:$A998, Services!$C$4:$C998))</f>
        <v/>
      </c>
      <c r="H256" s="2" t="str">
        <f t="shared" si="1"/>
        <v>Retail</v>
      </c>
      <c r="I256" s="20"/>
      <c r="J256" s="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20"/>
      <c r="B257" s="34"/>
      <c r="C257" s="20"/>
      <c r="D257" s="35"/>
      <c r="E257" s="36"/>
      <c r="F257" s="2"/>
      <c r="G257" s="2" t="str">
        <f t="array" ref="G257">IF($C257="", "", XLOOKUP($C257, Services!$A$4:$A998, Services!$C$4:$C998))</f>
        <v/>
      </c>
      <c r="H257" s="2" t="str">
        <f t="shared" si="1"/>
        <v>Retail</v>
      </c>
      <c r="I257" s="20"/>
      <c r="J257" s="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20"/>
      <c r="B258" s="34"/>
      <c r="C258" s="20"/>
      <c r="D258" s="35"/>
      <c r="E258" s="36"/>
      <c r="F258" s="2"/>
      <c r="G258" s="2" t="str">
        <f t="array" ref="G258">IF($C258="", "", XLOOKUP($C258, Services!$A$4:$A998, Services!$C$4:$C998))</f>
        <v/>
      </c>
      <c r="H258" s="2" t="str">
        <f t="shared" si="1"/>
        <v>Retail</v>
      </c>
      <c r="I258" s="20"/>
      <c r="J258" s="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20"/>
      <c r="B259" s="34"/>
      <c r="C259" s="20"/>
      <c r="D259" s="35"/>
      <c r="E259" s="36"/>
      <c r="F259" s="2"/>
      <c r="G259" s="2" t="str">
        <f t="array" ref="G259">IF($C259="", "", XLOOKUP($C259, Services!$A$4:$A998, Services!$C$4:$C998))</f>
        <v/>
      </c>
      <c r="H259" s="2" t="str">
        <f t="shared" si="1"/>
        <v>Retail</v>
      </c>
      <c r="I259" s="20"/>
      <c r="J259" s="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20"/>
      <c r="B260" s="34"/>
      <c r="C260" s="20"/>
      <c r="D260" s="35"/>
      <c r="E260" s="36"/>
      <c r="F260" s="2"/>
      <c r="G260" s="2" t="str">
        <f t="array" ref="G260">IF($C260="", "", XLOOKUP($C260, Services!$A$4:$A998, Services!$C$4:$C998))</f>
        <v/>
      </c>
      <c r="H260" s="2" t="str">
        <f t="shared" si="1"/>
        <v>Retail</v>
      </c>
      <c r="I260" s="20"/>
      <c r="J260" s="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20"/>
      <c r="B261" s="34"/>
      <c r="C261" s="20"/>
      <c r="D261" s="35"/>
      <c r="E261" s="36"/>
      <c r="F261" s="2"/>
      <c r="G261" s="2" t="str">
        <f t="array" ref="G261">IF($C261="", "", XLOOKUP($C261, Services!$A$4:$A998, Services!$C$4:$C998))</f>
        <v/>
      </c>
      <c r="H261" s="2" t="str">
        <f t="shared" si="1"/>
        <v>Retail</v>
      </c>
      <c r="I261" s="20"/>
      <c r="J261" s="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20"/>
      <c r="B262" s="34"/>
      <c r="C262" s="20"/>
      <c r="D262" s="35"/>
      <c r="E262" s="36"/>
      <c r="F262" s="2"/>
      <c r="G262" s="2" t="str">
        <f t="array" ref="G262">IF($C262="", "", XLOOKUP($C262, Services!$A$4:$A998, Services!$C$4:$C998))</f>
        <v/>
      </c>
      <c r="H262" s="2" t="str">
        <f t="shared" si="1"/>
        <v>Retail</v>
      </c>
      <c r="I262" s="20"/>
      <c r="J262" s="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20"/>
      <c r="B263" s="34"/>
      <c r="C263" s="20"/>
      <c r="D263" s="35"/>
      <c r="E263" s="36"/>
      <c r="F263" s="2"/>
      <c r="G263" s="2" t="str">
        <f t="array" ref="G263">IF($C263="", "", XLOOKUP($C263, Services!$A$4:$A998, Services!$C$4:$C998))</f>
        <v/>
      </c>
      <c r="H263" s="2" t="str">
        <f t="shared" si="1"/>
        <v>Retail</v>
      </c>
      <c r="I263" s="20"/>
      <c r="J263" s="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20"/>
      <c r="B264" s="34"/>
      <c r="C264" s="20"/>
      <c r="D264" s="35"/>
      <c r="E264" s="36"/>
      <c r="F264" s="2"/>
      <c r="G264" s="2" t="str">
        <f t="array" ref="G264">IF($C264="", "", XLOOKUP($C264, Services!$A$4:$A998, Services!$C$4:$C998))</f>
        <v/>
      </c>
      <c r="H264" s="2" t="str">
        <f t="shared" si="1"/>
        <v>Retail</v>
      </c>
      <c r="I264" s="20"/>
      <c r="J264" s="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20"/>
      <c r="B265" s="34"/>
      <c r="C265" s="20"/>
      <c r="D265" s="35"/>
      <c r="E265" s="36"/>
      <c r="F265" s="2"/>
      <c r="G265" s="2" t="str">
        <f t="array" ref="G265">IF($C265="", "", XLOOKUP($C265, Services!$A$4:$A998, Services!$C$4:$C998))</f>
        <v/>
      </c>
      <c r="H265" s="2" t="str">
        <f t="shared" si="1"/>
        <v>Retail</v>
      </c>
      <c r="I265" s="20"/>
      <c r="J265" s="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20"/>
      <c r="B266" s="34"/>
      <c r="C266" s="20"/>
      <c r="D266" s="35"/>
      <c r="E266" s="36"/>
      <c r="F266" s="2"/>
      <c r="G266" s="2" t="str">
        <f t="array" ref="G266">IF($C266="", "", XLOOKUP($C266, Services!$A$4:$A998, Services!$C$4:$C998))</f>
        <v/>
      </c>
      <c r="H266" s="2" t="str">
        <f t="shared" si="1"/>
        <v>Retail</v>
      </c>
      <c r="I266" s="20"/>
      <c r="J266" s="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20"/>
      <c r="B267" s="34"/>
      <c r="C267" s="20"/>
      <c r="D267" s="35"/>
      <c r="E267" s="36"/>
      <c r="F267" s="2"/>
      <c r="G267" s="2" t="str">
        <f t="array" ref="G267">IF($C267="", "", XLOOKUP($C267, Services!$A$4:$A998, Services!$C$4:$C998))</f>
        <v/>
      </c>
      <c r="H267" s="2" t="str">
        <f t="shared" si="1"/>
        <v>Retail</v>
      </c>
      <c r="I267" s="20"/>
      <c r="J267" s="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20"/>
      <c r="B268" s="34"/>
      <c r="C268" s="20"/>
      <c r="D268" s="35"/>
      <c r="E268" s="36"/>
      <c r="F268" s="2"/>
      <c r="G268" s="2" t="str">
        <f t="array" ref="G268">IF($C268="", "", XLOOKUP($C268, Services!$A$4:$A998, Services!$C$4:$C998))</f>
        <v/>
      </c>
      <c r="H268" s="2" t="str">
        <f t="shared" si="1"/>
        <v>Retail</v>
      </c>
      <c r="I268" s="20"/>
      <c r="J268" s="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20"/>
      <c r="B269" s="34"/>
      <c r="C269" s="20"/>
      <c r="D269" s="35"/>
      <c r="E269" s="36"/>
      <c r="F269" s="2"/>
      <c r="G269" s="2" t="str">
        <f t="array" ref="G269">IF($C269="", "", XLOOKUP($C269, Services!$A$4:$A998, Services!$C$4:$C998))</f>
        <v/>
      </c>
      <c r="H269" s="2" t="str">
        <f t="shared" si="1"/>
        <v>Retail</v>
      </c>
      <c r="I269" s="20"/>
      <c r="J269" s="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20"/>
      <c r="B270" s="34"/>
      <c r="C270" s="20"/>
      <c r="D270" s="35"/>
      <c r="E270" s="36"/>
      <c r="F270" s="2"/>
      <c r="G270" s="2" t="str">
        <f t="array" ref="G270">IF($C270="", "", XLOOKUP($C270, Services!$A$4:$A998, Services!$C$4:$C998))</f>
        <v/>
      </c>
      <c r="H270" s="2" t="str">
        <f t="shared" si="1"/>
        <v>Retail</v>
      </c>
      <c r="I270" s="20"/>
      <c r="J270" s="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20"/>
      <c r="B271" s="34"/>
      <c r="C271" s="20"/>
      <c r="D271" s="35"/>
      <c r="E271" s="36"/>
      <c r="F271" s="2"/>
      <c r="G271" s="2" t="str">
        <f t="array" ref="G271">IF($C271="", "", XLOOKUP($C271, Services!$A$4:$A998, Services!$C$4:$C998))</f>
        <v/>
      </c>
      <c r="H271" s="2" t="str">
        <f t="shared" si="1"/>
        <v>Retail</v>
      </c>
      <c r="I271" s="20"/>
      <c r="J271" s="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20"/>
      <c r="B272" s="34"/>
      <c r="C272" s="20"/>
      <c r="D272" s="35"/>
      <c r="E272" s="36"/>
      <c r="F272" s="2"/>
      <c r="G272" s="2" t="str">
        <f t="array" ref="G272">IF($C272="", "", XLOOKUP($C272, Services!$A$4:$A998, Services!$C$4:$C998))</f>
        <v/>
      </c>
      <c r="H272" s="2" t="str">
        <f t="shared" si="1"/>
        <v>Retail</v>
      </c>
      <c r="I272" s="20"/>
      <c r="J272" s="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20"/>
      <c r="B273" s="34"/>
      <c r="C273" s="20"/>
      <c r="D273" s="35"/>
      <c r="E273" s="36"/>
      <c r="F273" s="2"/>
      <c r="G273" s="2" t="str">
        <f t="array" ref="G273">IF($C273="", "", XLOOKUP($C273, Services!$A$4:$A998, Services!$C$4:$C998))</f>
        <v/>
      </c>
      <c r="H273" s="2" t="str">
        <f t="shared" si="1"/>
        <v>Retail</v>
      </c>
      <c r="I273" s="20"/>
      <c r="J273" s="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20"/>
      <c r="B274" s="34"/>
      <c r="C274" s="20"/>
      <c r="D274" s="35"/>
      <c r="E274" s="36"/>
      <c r="F274" s="2"/>
      <c r="G274" s="2" t="str">
        <f t="array" ref="G274">IF($C274="", "", XLOOKUP($C274, Services!$A$4:$A998, Services!$C$4:$C998))</f>
        <v/>
      </c>
      <c r="H274" s="2" t="str">
        <f t="shared" si="1"/>
        <v>Retail</v>
      </c>
      <c r="I274" s="20"/>
      <c r="J274" s="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20"/>
      <c r="B275" s="34"/>
      <c r="C275" s="20"/>
      <c r="D275" s="35"/>
      <c r="E275" s="36"/>
      <c r="F275" s="2"/>
      <c r="G275" s="2" t="str">
        <f t="array" ref="G275">IF($C275="", "", XLOOKUP($C275, Services!$A$4:$A998, Services!$C$4:$C998))</f>
        <v/>
      </c>
      <c r="H275" s="2" t="str">
        <f t="shared" si="1"/>
        <v>Retail</v>
      </c>
      <c r="I275" s="20"/>
      <c r="J275" s="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20"/>
      <c r="B276" s="34"/>
      <c r="C276" s="20"/>
      <c r="D276" s="35"/>
      <c r="E276" s="36"/>
      <c r="F276" s="2"/>
      <c r="G276" s="2" t="str">
        <f t="array" ref="G276">IF($C276="", "", XLOOKUP($C276, Services!$A$4:$A998, Services!$C$4:$C998))</f>
        <v/>
      </c>
      <c r="H276" s="2" t="str">
        <f t="shared" si="1"/>
        <v>Retail</v>
      </c>
      <c r="I276" s="20"/>
      <c r="J276" s="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20"/>
      <c r="B277" s="34"/>
      <c r="C277" s="20"/>
      <c r="D277" s="35"/>
      <c r="E277" s="36"/>
      <c r="F277" s="2"/>
      <c r="G277" s="2" t="str">
        <f t="array" ref="G277">IF($C277="", "", XLOOKUP($C277, Services!$A$4:$A998, Services!$C$4:$C998))</f>
        <v/>
      </c>
      <c r="H277" s="2" t="str">
        <f t="shared" si="1"/>
        <v>Retail</v>
      </c>
      <c r="I277" s="20"/>
      <c r="J277" s="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20"/>
      <c r="B278" s="34"/>
      <c r="C278" s="20"/>
      <c r="D278" s="35"/>
      <c r="E278" s="36"/>
      <c r="F278" s="2"/>
      <c r="G278" s="2" t="str">
        <f t="array" ref="G278">IF($C278="", "", XLOOKUP($C278, Services!$A$4:$A998, Services!$C$4:$C998))</f>
        <v/>
      </c>
      <c r="H278" s="2" t="str">
        <f t="shared" si="1"/>
        <v>Retail</v>
      </c>
      <c r="I278" s="20"/>
      <c r="J278" s="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20"/>
      <c r="B279" s="34"/>
      <c r="C279" s="20"/>
      <c r="D279" s="35"/>
      <c r="E279" s="36"/>
      <c r="F279" s="2"/>
      <c r="G279" s="2" t="str">
        <f t="array" ref="G279">IF($C279="", "", XLOOKUP($C279, Services!$A$4:$A998, Services!$C$4:$C998))</f>
        <v/>
      </c>
      <c r="H279" s="2" t="str">
        <f t="shared" si="1"/>
        <v>Retail</v>
      </c>
      <c r="I279" s="20"/>
      <c r="J279" s="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20"/>
      <c r="B280" s="34"/>
      <c r="C280" s="20"/>
      <c r="D280" s="35"/>
      <c r="E280" s="36"/>
      <c r="F280" s="2"/>
      <c r="G280" s="2" t="str">
        <f t="array" ref="G280">IF($C280="", "", XLOOKUP($C280, Services!$A$4:$A998, Services!$C$4:$C998))</f>
        <v/>
      </c>
      <c r="H280" s="2" t="str">
        <f t="shared" si="1"/>
        <v>Retail</v>
      </c>
      <c r="I280" s="20"/>
      <c r="J280" s="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20"/>
      <c r="B281" s="34"/>
      <c r="C281" s="20"/>
      <c r="D281" s="35"/>
      <c r="E281" s="36"/>
      <c r="F281" s="2"/>
      <c r="G281" s="2" t="str">
        <f t="array" ref="G281">IF($C281="", "", XLOOKUP($C281, Services!$A$4:$A998, Services!$C$4:$C998))</f>
        <v/>
      </c>
      <c r="H281" s="2" t="str">
        <f t="shared" si="1"/>
        <v>Retail</v>
      </c>
      <c r="I281" s="20"/>
      <c r="J281" s="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20"/>
      <c r="B282" s="34"/>
      <c r="C282" s="20"/>
      <c r="D282" s="35"/>
      <c r="E282" s="36"/>
      <c r="F282" s="2"/>
      <c r="G282" s="2" t="str">
        <f t="array" ref="G282">IF($C282="", "", XLOOKUP($C282, Services!$A$4:$A998, Services!$C$4:$C998))</f>
        <v/>
      </c>
      <c r="H282" s="2" t="str">
        <f t="shared" si="1"/>
        <v>Retail</v>
      </c>
      <c r="I282" s="20"/>
      <c r="J282" s="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20"/>
      <c r="B283" s="34"/>
      <c r="C283" s="20"/>
      <c r="D283" s="35"/>
      <c r="E283" s="36"/>
      <c r="F283" s="2"/>
      <c r="G283" s="2" t="str">
        <f t="array" ref="G283">IF($C283="", "", XLOOKUP($C283, Services!$A$4:$A998, Services!$C$4:$C998))</f>
        <v/>
      </c>
      <c r="H283" s="2" t="str">
        <f t="shared" si="1"/>
        <v>Retail</v>
      </c>
      <c r="I283" s="20"/>
      <c r="J283" s="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20"/>
      <c r="B284" s="34"/>
      <c r="C284" s="20"/>
      <c r="D284" s="35"/>
      <c r="E284" s="36"/>
      <c r="F284" s="2"/>
      <c r="G284" s="2" t="str">
        <f t="array" ref="G284">IF($C284="", "", XLOOKUP($C284, Services!$A$4:$A998, Services!$C$4:$C998))</f>
        <v/>
      </c>
      <c r="H284" s="2" t="str">
        <f t="shared" si="1"/>
        <v>Retail</v>
      </c>
      <c r="I284" s="20"/>
      <c r="J284" s="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20"/>
      <c r="B285" s="34"/>
      <c r="C285" s="20"/>
      <c r="D285" s="35"/>
      <c r="E285" s="36"/>
      <c r="F285" s="2"/>
      <c r="G285" s="2" t="str">
        <f t="array" ref="G285">IF($C285="", "", XLOOKUP($C285, Services!$A$4:$A998, Services!$C$4:$C998))</f>
        <v/>
      </c>
      <c r="H285" s="2" t="str">
        <f t="shared" si="1"/>
        <v>Retail</v>
      </c>
      <c r="I285" s="20"/>
      <c r="J285" s="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20"/>
      <c r="B286" s="34"/>
      <c r="C286" s="20"/>
      <c r="D286" s="35"/>
      <c r="E286" s="36"/>
      <c r="F286" s="2"/>
      <c r="G286" s="2" t="str">
        <f t="array" ref="G286">IF($C286="", "", XLOOKUP($C286, Services!$A$4:$A998, Services!$C$4:$C998))</f>
        <v/>
      </c>
      <c r="H286" s="2" t="str">
        <f t="shared" si="1"/>
        <v>Retail</v>
      </c>
      <c r="I286" s="20"/>
      <c r="J286" s="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20"/>
      <c r="B287" s="34"/>
      <c r="C287" s="20"/>
      <c r="D287" s="35"/>
      <c r="E287" s="36"/>
      <c r="F287" s="2"/>
      <c r="G287" s="2" t="str">
        <f t="array" ref="G287">IF($C287="", "", XLOOKUP($C287, Services!$A$4:$A998, Services!$C$4:$C998))</f>
        <v/>
      </c>
      <c r="H287" s="2" t="str">
        <f t="shared" si="1"/>
        <v>Retail</v>
      </c>
      <c r="I287" s="20"/>
      <c r="J287" s="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20"/>
      <c r="B288" s="34"/>
      <c r="C288" s="20"/>
      <c r="D288" s="35"/>
      <c r="E288" s="36"/>
      <c r="F288" s="2"/>
      <c r="G288" s="2" t="str">
        <f t="array" ref="G288">IF($C288="", "", XLOOKUP($C288, Services!$A$4:$A998, Services!$C$4:$C998))</f>
        <v/>
      </c>
      <c r="H288" s="2" t="str">
        <f t="shared" si="1"/>
        <v>Retail</v>
      </c>
      <c r="I288" s="20"/>
      <c r="J288" s="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20"/>
      <c r="B289" s="34"/>
      <c r="C289" s="20"/>
      <c r="D289" s="35"/>
      <c r="E289" s="36"/>
      <c r="F289" s="2"/>
      <c r="G289" s="2" t="str">
        <f t="array" ref="G289">IF($C289="", "", XLOOKUP($C289, Services!$A$4:$A998, Services!$C$4:$C998))</f>
        <v/>
      </c>
      <c r="H289" s="2" t="str">
        <f t="shared" si="1"/>
        <v>Retail</v>
      </c>
      <c r="I289" s="20"/>
      <c r="J289" s="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20"/>
      <c r="B290" s="34"/>
      <c r="C290" s="20"/>
      <c r="D290" s="35"/>
      <c r="E290" s="36"/>
      <c r="F290" s="2"/>
      <c r="G290" s="2" t="str">
        <f t="array" ref="G290">IF($C290="", "", XLOOKUP($C290, Services!$A$4:$A998, Services!$C$4:$C998))</f>
        <v/>
      </c>
      <c r="H290" s="2" t="str">
        <f t="shared" si="1"/>
        <v>Retail</v>
      </c>
      <c r="I290" s="20"/>
      <c r="J290" s="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20"/>
      <c r="B291" s="34"/>
      <c r="C291" s="20"/>
      <c r="D291" s="35"/>
      <c r="E291" s="36"/>
      <c r="F291" s="2"/>
      <c r="G291" s="2" t="str">
        <f t="array" ref="G291">IF($C291="", "", XLOOKUP($C291, Services!$A$4:$A998, Services!$C$4:$C998))</f>
        <v/>
      </c>
      <c r="H291" s="2" t="str">
        <f t="shared" si="1"/>
        <v>Retail</v>
      </c>
      <c r="I291" s="20"/>
      <c r="J291" s="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20"/>
      <c r="B292" s="34"/>
      <c r="C292" s="20"/>
      <c r="D292" s="35"/>
      <c r="E292" s="36"/>
      <c r="F292" s="2"/>
      <c r="G292" s="2" t="str">
        <f t="array" ref="G292">IF($C292="", "", XLOOKUP($C292, Services!$A$4:$A998, Services!$C$4:$C998))</f>
        <v/>
      </c>
      <c r="H292" s="2" t="str">
        <f t="shared" si="1"/>
        <v>Retail</v>
      </c>
      <c r="I292" s="20"/>
      <c r="J292" s="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20"/>
      <c r="B293" s="34"/>
      <c r="C293" s="20"/>
      <c r="D293" s="35"/>
      <c r="E293" s="36"/>
      <c r="F293" s="2"/>
      <c r="G293" s="2" t="str">
        <f t="array" ref="G293">IF($C293="", "", XLOOKUP($C293, Services!$A$4:$A998, Services!$C$4:$C998))</f>
        <v/>
      </c>
      <c r="H293" s="2" t="str">
        <f t="shared" si="1"/>
        <v>Retail</v>
      </c>
      <c r="I293" s="20"/>
      <c r="J293" s="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20"/>
      <c r="B294" s="34"/>
      <c r="C294" s="20"/>
      <c r="D294" s="35"/>
      <c r="E294" s="36"/>
      <c r="F294" s="2"/>
      <c r="G294" s="2" t="str">
        <f t="array" ref="G294">IF($C294="", "", XLOOKUP($C294, Services!$A$4:$A998, Services!$C$4:$C998))</f>
        <v/>
      </c>
      <c r="H294" s="2" t="str">
        <f t="shared" si="1"/>
        <v>Retail</v>
      </c>
      <c r="I294" s="20"/>
      <c r="J294" s="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20"/>
      <c r="B295" s="34"/>
      <c r="C295" s="20"/>
      <c r="D295" s="35"/>
      <c r="E295" s="36"/>
      <c r="F295" s="2"/>
      <c r="G295" s="2" t="str">
        <f t="array" ref="G295">IF($C295="", "", XLOOKUP($C295, Services!$A$4:$A998, Services!$C$4:$C998))</f>
        <v/>
      </c>
      <c r="H295" s="2" t="str">
        <f t="shared" si="1"/>
        <v>Retail</v>
      </c>
      <c r="I295" s="20"/>
      <c r="J295" s="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20"/>
      <c r="B296" s="34"/>
      <c r="C296" s="20"/>
      <c r="D296" s="35"/>
      <c r="E296" s="36"/>
      <c r="F296" s="2"/>
      <c r="G296" s="2" t="str">
        <f t="array" ref="G296">IF($C296="", "", XLOOKUP($C296, Services!$A$4:$A998, Services!$C$4:$C998))</f>
        <v/>
      </c>
      <c r="H296" s="2" t="str">
        <f t="shared" si="1"/>
        <v>Retail</v>
      </c>
      <c r="I296" s="20"/>
      <c r="J296" s="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20"/>
      <c r="B297" s="34"/>
      <c r="C297" s="20"/>
      <c r="D297" s="35"/>
      <c r="E297" s="36"/>
      <c r="F297" s="2"/>
      <c r="G297" s="2" t="str">
        <f t="array" ref="G297">IF($C297="", "", XLOOKUP($C297, Services!$A$4:$A998, Services!$C$4:$C998))</f>
        <v/>
      </c>
      <c r="H297" s="2" t="str">
        <f t="shared" si="1"/>
        <v>Retail</v>
      </c>
      <c r="I297" s="20"/>
      <c r="J297" s="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20"/>
      <c r="B298" s="34"/>
      <c r="C298" s="20"/>
      <c r="D298" s="35"/>
      <c r="E298" s="36"/>
      <c r="F298" s="2"/>
      <c r="G298" s="2" t="str">
        <f t="array" ref="G298">IF($C298="", "", XLOOKUP($C298, Services!$A$4:$A998, Services!$C$4:$C998))</f>
        <v/>
      </c>
      <c r="H298" s="2" t="str">
        <f t="shared" si="1"/>
        <v>Retail</v>
      </c>
      <c r="I298" s="20"/>
      <c r="J298" s="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20"/>
      <c r="B299" s="34"/>
      <c r="C299" s="20"/>
      <c r="D299" s="35"/>
      <c r="E299" s="36"/>
      <c r="F299" s="2"/>
      <c r="G299" s="2" t="str">
        <f t="array" ref="G299">IF($C299="", "", XLOOKUP($C299, Services!$A$4:$A998, Services!$C$4:$C998))</f>
        <v/>
      </c>
      <c r="H299" s="2" t="str">
        <f t="shared" si="1"/>
        <v>Retail</v>
      </c>
      <c r="I299" s="20"/>
      <c r="J299" s="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20"/>
      <c r="B300" s="34"/>
      <c r="C300" s="20"/>
      <c r="D300" s="35"/>
      <c r="E300" s="36"/>
      <c r="F300" s="2"/>
      <c r="G300" s="2" t="str">
        <f t="array" ref="G300">IF($C300="", "", XLOOKUP($C300, Services!$A$4:$A998, Services!$C$4:$C998))</f>
        <v/>
      </c>
      <c r="H300" s="2" t="str">
        <f t="shared" si="1"/>
        <v>Retail</v>
      </c>
      <c r="I300" s="20"/>
      <c r="J300" s="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20"/>
      <c r="B301" s="34"/>
      <c r="C301" s="20"/>
      <c r="D301" s="35"/>
      <c r="E301" s="36"/>
      <c r="F301" s="2"/>
      <c r="G301" s="2" t="str">
        <f t="array" ref="G301">IF($C301="", "", XLOOKUP($C301, Services!$A$4:$A998, Services!$C$4:$C998))</f>
        <v/>
      </c>
      <c r="H301" s="2" t="str">
        <f t="shared" si="1"/>
        <v>Retail</v>
      </c>
      <c r="I301" s="20"/>
      <c r="J301" s="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20"/>
      <c r="B302" s="34"/>
      <c r="C302" s="20"/>
      <c r="D302" s="35"/>
      <c r="E302" s="36"/>
      <c r="F302" s="2"/>
      <c r="G302" s="2" t="str">
        <f t="array" ref="G302">IF($C302="", "", XLOOKUP($C302, Services!$A$4:$A998, Services!$C$4:$C998))</f>
        <v/>
      </c>
      <c r="H302" s="2" t="str">
        <f t="shared" si="1"/>
        <v>Retail</v>
      </c>
      <c r="I302" s="20"/>
      <c r="J302" s="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20"/>
      <c r="B303" s="34"/>
      <c r="C303" s="20"/>
      <c r="D303" s="35"/>
      <c r="E303" s="36"/>
      <c r="F303" s="2"/>
      <c r="G303" s="2" t="str">
        <f t="array" ref="G303">IF($C303="", "", XLOOKUP($C303, Services!$A$4:$A998, Services!$C$4:$C998))</f>
        <v/>
      </c>
      <c r="H303" s="2" t="str">
        <f t="shared" si="1"/>
        <v>Retail</v>
      </c>
      <c r="I303" s="20"/>
      <c r="J303" s="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20"/>
      <c r="B304" s="34"/>
      <c r="C304" s="20"/>
      <c r="D304" s="35"/>
      <c r="E304" s="36"/>
      <c r="F304" s="2"/>
      <c r="G304" s="2" t="str">
        <f t="array" ref="G304">IF($C304="", "", XLOOKUP($C304, Services!$A$4:$A998, Services!$C$4:$C998))</f>
        <v/>
      </c>
      <c r="H304" s="2" t="str">
        <f t="shared" si="1"/>
        <v>Retail</v>
      </c>
      <c r="I304" s="20"/>
      <c r="J304" s="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20"/>
      <c r="B305" s="34"/>
      <c r="C305" s="20"/>
      <c r="D305" s="35"/>
      <c r="E305" s="36"/>
      <c r="F305" s="2"/>
      <c r="G305" s="2" t="str">
        <f t="array" ref="G305">IF($C305="", "", XLOOKUP($C305, Services!$A$4:$A998, Services!$C$4:$C998))</f>
        <v/>
      </c>
      <c r="H305" s="2" t="str">
        <f t="shared" si="1"/>
        <v>Retail</v>
      </c>
      <c r="I305" s="20"/>
      <c r="J305" s="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20"/>
      <c r="B306" s="34"/>
      <c r="C306" s="20"/>
      <c r="D306" s="35"/>
      <c r="E306" s="36"/>
      <c r="F306" s="2"/>
      <c r="G306" s="2" t="str">
        <f t="array" ref="G306">IF($C306="", "", XLOOKUP($C306, Services!$A$4:$A998, Services!$C$4:$C998))</f>
        <v/>
      </c>
      <c r="H306" s="2" t="str">
        <f t="shared" si="1"/>
        <v>Retail</v>
      </c>
      <c r="I306" s="20"/>
      <c r="J306" s="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20"/>
      <c r="B307" s="34"/>
      <c r="C307" s="20"/>
      <c r="D307" s="35"/>
      <c r="E307" s="36"/>
      <c r="F307" s="2"/>
      <c r="G307" s="2" t="str">
        <f t="array" ref="G307">IF($C307="", "", XLOOKUP($C307, Services!$A$4:$A998, Services!$C$4:$C998))</f>
        <v/>
      </c>
      <c r="H307" s="2" t="str">
        <f t="shared" si="1"/>
        <v>Retail</v>
      </c>
      <c r="I307" s="20"/>
      <c r="J307" s="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20"/>
      <c r="B308" s="34"/>
      <c r="C308" s="20"/>
      <c r="D308" s="35"/>
      <c r="E308" s="36"/>
      <c r="F308" s="2"/>
      <c r="G308" s="2" t="str">
        <f t="array" ref="G308">IF($C308="", "", XLOOKUP($C308, Services!$A$4:$A998, Services!$C$4:$C998))</f>
        <v/>
      </c>
      <c r="H308" s="2" t="str">
        <f t="shared" si="1"/>
        <v>Retail</v>
      </c>
      <c r="I308" s="20"/>
      <c r="J308" s="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20"/>
      <c r="B309" s="34"/>
      <c r="C309" s="20"/>
      <c r="D309" s="35"/>
      <c r="E309" s="36"/>
      <c r="F309" s="2"/>
      <c r="G309" s="2" t="str">
        <f t="array" ref="G309">IF($C309="", "", XLOOKUP($C309, Services!$A$4:$A998, Services!$C$4:$C998))</f>
        <v/>
      </c>
      <c r="H309" s="2" t="str">
        <f t="shared" si="1"/>
        <v>Retail</v>
      </c>
      <c r="I309" s="20"/>
      <c r="J309" s="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20"/>
      <c r="B310" s="34"/>
      <c r="C310" s="20"/>
      <c r="D310" s="35"/>
      <c r="E310" s="36"/>
      <c r="F310" s="2"/>
      <c r="G310" s="2" t="str">
        <f t="array" ref="G310">IF($C310="", "", XLOOKUP($C310, Services!$A$4:$A998, Services!$C$4:$C998))</f>
        <v/>
      </c>
      <c r="H310" s="2" t="str">
        <f t="shared" si="1"/>
        <v>Retail</v>
      </c>
      <c r="I310" s="20"/>
      <c r="J310" s="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20"/>
      <c r="B311" s="34"/>
      <c r="C311" s="20"/>
      <c r="D311" s="35"/>
      <c r="E311" s="36"/>
      <c r="F311" s="2"/>
      <c r="G311" s="2" t="str">
        <f t="array" ref="G311">IF($C311="", "", XLOOKUP($C311, Services!$A$4:$A998, Services!$C$4:$C998))</f>
        <v/>
      </c>
      <c r="H311" s="2" t="str">
        <f t="shared" si="1"/>
        <v>Retail</v>
      </c>
      <c r="I311" s="20"/>
      <c r="J311" s="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20"/>
      <c r="B312" s="34"/>
      <c r="C312" s="20"/>
      <c r="D312" s="35"/>
      <c r="E312" s="36"/>
      <c r="F312" s="2"/>
      <c r="G312" s="2" t="str">
        <f t="array" ref="G312">IF($C312="", "", XLOOKUP($C312, Services!$A$4:$A998, Services!$C$4:$C998))</f>
        <v/>
      </c>
      <c r="H312" s="2" t="str">
        <f t="shared" si="1"/>
        <v>Retail</v>
      </c>
      <c r="I312" s="20"/>
      <c r="J312" s="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20"/>
      <c r="B313" s="34"/>
      <c r="C313" s="20"/>
      <c r="D313" s="35"/>
      <c r="E313" s="36"/>
      <c r="F313" s="2"/>
      <c r="G313" s="2" t="str">
        <f t="array" ref="G313">IF($C313="", "", XLOOKUP($C313, Services!$A$4:$A998, Services!$C$4:$C998))</f>
        <v/>
      </c>
      <c r="H313" s="2" t="str">
        <f t="shared" si="1"/>
        <v>Retail</v>
      </c>
      <c r="I313" s="20"/>
      <c r="J313" s="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20"/>
      <c r="B314" s="34"/>
      <c r="C314" s="20"/>
      <c r="D314" s="35"/>
      <c r="E314" s="36"/>
      <c r="F314" s="2"/>
      <c r="G314" s="2" t="str">
        <f t="array" ref="G314">IF($C314="", "", XLOOKUP($C314, Services!$A$4:$A998, Services!$C$4:$C998))</f>
        <v/>
      </c>
      <c r="H314" s="2" t="str">
        <f t="shared" si="1"/>
        <v>Retail</v>
      </c>
      <c r="I314" s="20"/>
      <c r="J314" s="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20"/>
      <c r="B315" s="34"/>
      <c r="C315" s="20"/>
      <c r="D315" s="35"/>
      <c r="E315" s="36"/>
      <c r="F315" s="2"/>
      <c r="G315" s="2" t="str">
        <f t="array" ref="G315">IF($C315="", "", XLOOKUP($C315, Services!$A$4:$A998, Services!$C$4:$C998))</f>
        <v/>
      </c>
      <c r="H315" s="2" t="str">
        <f t="shared" si="1"/>
        <v>Retail</v>
      </c>
      <c r="I315" s="20"/>
      <c r="J315" s="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20"/>
      <c r="B316" s="34"/>
      <c r="C316" s="20"/>
      <c r="D316" s="35"/>
      <c r="E316" s="36"/>
      <c r="F316" s="2"/>
      <c r="G316" s="2" t="str">
        <f t="array" ref="G316">IF($C316="", "", XLOOKUP($C316, Services!$A$4:$A998, Services!$C$4:$C998))</f>
        <v/>
      </c>
      <c r="H316" s="2" t="str">
        <f t="shared" si="1"/>
        <v>Retail</v>
      </c>
      <c r="I316" s="20"/>
      <c r="J316" s="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20"/>
      <c r="B317" s="34"/>
      <c r="C317" s="20"/>
      <c r="D317" s="35"/>
      <c r="E317" s="36"/>
      <c r="F317" s="2"/>
      <c r="G317" s="2" t="str">
        <f t="array" ref="G317">IF($C317="", "", XLOOKUP($C317, Services!$A$4:$A998, Services!$C$4:$C998))</f>
        <v/>
      </c>
      <c r="H317" s="2" t="str">
        <f t="shared" si="1"/>
        <v>Retail</v>
      </c>
      <c r="I317" s="20"/>
      <c r="J317" s="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20"/>
      <c r="B318" s="34"/>
      <c r="C318" s="20"/>
      <c r="D318" s="35"/>
      <c r="E318" s="36"/>
      <c r="F318" s="2"/>
      <c r="G318" s="2" t="str">
        <f t="array" ref="G318">IF($C318="", "", XLOOKUP($C318, Services!$A$4:$A998, Services!$C$4:$C998))</f>
        <v/>
      </c>
      <c r="H318" s="2" t="str">
        <f t="shared" si="1"/>
        <v>Retail</v>
      </c>
      <c r="I318" s="20"/>
      <c r="J318" s="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20"/>
      <c r="B319" s="34"/>
      <c r="C319" s="20"/>
      <c r="D319" s="35"/>
      <c r="E319" s="36"/>
      <c r="F319" s="2"/>
      <c r="G319" s="2" t="str">
        <f t="array" ref="G319">IF($C319="", "", XLOOKUP($C319, Services!$A$4:$A998, Services!$C$4:$C998))</f>
        <v/>
      </c>
      <c r="H319" s="2" t="str">
        <f t="shared" si="1"/>
        <v>Retail</v>
      </c>
      <c r="I319" s="20"/>
      <c r="J319" s="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20"/>
      <c r="B320" s="34"/>
      <c r="C320" s="20"/>
      <c r="D320" s="35"/>
      <c r="E320" s="36"/>
      <c r="F320" s="2"/>
      <c r="G320" s="2" t="str">
        <f t="array" ref="G320">IF($C320="", "", XLOOKUP($C320, Services!$A$4:$A998, Services!$C$4:$C998))</f>
        <v/>
      </c>
      <c r="H320" s="2" t="str">
        <f t="shared" si="1"/>
        <v>Retail</v>
      </c>
      <c r="I320" s="20"/>
      <c r="J320" s="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20"/>
      <c r="B321" s="34"/>
      <c r="C321" s="20"/>
      <c r="D321" s="35"/>
      <c r="E321" s="36"/>
      <c r="F321" s="2"/>
      <c r="G321" s="2" t="str">
        <f t="array" ref="G321">IF($C321="", "", XLOOKUP($C321, Services!$A$4:$A998, Services!$C$4:$C998))</f>
        <v/>
      </c>
      <c r="H321" s="2" t="str">
        <f t="shared" si="1"/>
        <v>Retail</v>
      </c>
      <c r="I321" s="20"/>
      <c r="J321" s="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20"/>
      <c r="B322" s="34"/>
      <c r="C322" s="20"/>
      <c r="D322" s="35"/>
      <c r="E322" s="36"/>
      <c r="F322" s="2"/>
      <c r="G322" s="2" t="str">
        <f t="array" ref="G322">IF($C322="", "", XLOOKUP($C322, Services!$A$4:$A998, Services!$C$4:$C998))</f>
        <v/>
      </c>
      <c r="H322" s="2" t="str">
        <f t="shared" si="1"/>
        <v>Retail</v>
      </c>
      <c r="I322" s="20"/>
      <c r="J322" s="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20"/>
      <c r="B323" s="34"/>
      <c r="C323" s="20"/>
      <c r="D323" s="35"/>
      <c r="E323" s="36"/>
      <c r="F323" s="2"/>
      <c r="G323" s="2" t="str">
        <f t="array" ref="G323">IF($C323="", "", XLOOKUP($C323, Services!$A$4:$A998, Services!$C$4:$C998))</f>
        <v/>
      </c>
      <c r="H323" s="2" t="str">
        <f t="shared" si="1"/>
        <v>Retail</v>
      </c>
      <c r="I323" s="20"/>
      <c r="J323" s="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20"/>
      <c r="B324" s="34"/>
      <c r="C324" s="20"/>
      <c r="D324" s="35"/>
      <c r="E324" s="36"/>
      <c r="F324" s="2"/>
      <c r="G324" s="2" t="str">
        <f t="array" ref="G324">IF($C324="", "", XLOOKUP($C324, Services!$A$4:$A998, Services!$C$4:$C998))</f>
        <v/>
      </c>
      <c r="H324" s="2" t="str">
        <f t="shared" si="1"/>
        <v>Retail</v>
      </c>
      <c r="I324" s="20"/>
      <c r="J324" s="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20"/>
      <c r="B325" s="34"/>
      <c r="C325" s="20"/>
      <c r="D325" s="35"/>
      <c r="E325" s="36"/>
      <c r="F325" s="2"/>
      <c r="G325" s="2" t="str">
        <f t="array" ref="G325">IF($C325="", "", XLOOKUP($C325, Services!$A$4:$A998, Services!$C$4:$C998))</f>
        <v/>
      </c>
      <c r="H325" s="2" t="str">
        <f t="shared" si="1"/>
        <v>Retail</v>
      </c>
      <c r="I325" s="20"/>
      <c r="J325" s="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20"/>
      <c r="B326" s="34"/>
      <c r="C326" s="20"/>
      <c r="D326" s="35"/>
      <c r="E326" s="36"/>
      <c r="F326" s="2"/>
      <c r="G326" s="2" t="str">
        <f t="array" ref="G326">IF($C326="", "", XLOOKUP($C326, Services!$A$4:$A998, Services!$C$4:$C998))</f>
        <v/>
      </c>
      <c r="H326" s="2" t="str">
        <f t="shared" si="1"/>
        <v>Retail</v>
      </c>
      <c r="I326" s="20"/>
      <c r="J326" s="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20"/>
      <c r="B327" s="34"/>
      <c r="C327" s="20"/>
      <c r="D327" s="35"/>
      <c r="E327" s="36"/>
      <c r="F327" s="2"/>
      <c r="G327" s="2" t="str">
        <f t="array" ref="G327">IF($C327="", "", XLOOKUP($C327, Services!$A$4:$A998, Services!$C$4:$C998))</f>
        <v/>
      </c>
      <c r="H327" s="2" t="str">
        <f t="shared" si="1"/>
        <v>Retail</v>
      </c>
      <c r="I327" s="20"/>
      <c r="J327" s="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20"/>
      <c r="B328" s="34"/>
      <c r="C328" s="20"/>
      <c r="D328" s="35"/>
      <c r="E328" s="36"/>
      <c r="F328" s="2"/>
      <c r="G328" s="2" t="str">
        <f t="array" ref="G328">IF($C328="", "", XLOOKUP($C328, Services!$A$4:$A998, Services!$C$4:$C998))</f>
        <v/>
      </c>
      <c r="H328" s="2" t="str">
        <f t="shared" si="1"/>
        <v>Retail</v>
      </c>
      <c r="I328" s="20"/>
      <c r="J328" s="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20"/>
      <c r="B329" s="34"/>
      <c r="C329" s="20"/>
      <c r="D329" s="35"/>
      <c r="E329" s="36"/>
      <c r="F329" s="2"/>
      <c r="G329" s="2" t="str">
        <f t="array" ref="G329">IF($C329="", "", XLOOKUP($C329, Services!$A$4:$A998, Services!$C$4:$C998))</f>
        <v/>
      </c>
      <c r="H329" s="2" t="str">
        <f t="shared" si="1"/>
        <v>Retail</v>
      </c>
      <c r="I329" s="20"/>
      <c r="J329" s="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20"/>
      <c r="B330" s="34"/>
      <c r="C330" s="20"/>
      <c r="D330" s="35"/>
      <c r="E330" s="36"/>
      <c r="F330" s="2"/>
      <c r="G330" s="2" t="str">
        <f t="array" ref="G330">IF($C330="", "", XLOOKUP($C330, Services!$A$4:$A998, Services!$C$4:$C998))</f>
        <v/>
      </c>
      <c r="H330" s="2" t="str">
        <f t="shared" si="1"/>
        <v>Retail</v>
      </c>
      <c r="I330" s="20"/>
      <c r="J330" s="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20"/>
      <c r="B331" s="34"/>
      <c r="C331" s="20"/>
      <c r="D331" s="35"/>
      <c r="E331" s="36"/>
      <c r="F331" s="2"/>
      <c r="G331" s="2" t="str">
        <f t="array" ref="G331">IF($C331="", "", XLOOKUP($C331, Services!$A$4:$A998, Services!$C$4:$C998))</f>
        <v/>
      </c>
      <c r="H331" s="2" t="str">
        <f t="shared" si="1"/>
        <v>Retail</v>
      </c>
      <c r="I331" s="20"/>
      <c r="J331" s="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20"/>
      <c r="B332" s="34"/>
      <c r="C332" s="20"/>
      <c r="D332" s="35"/>
      <c r="E332" s="36"/>
      <c r="F332" s="2"/>
      <c r="G332" s="2" t="str">
        <f t="array" ref="G332">IF($C332="", "", XLOOKUP($C332, Services!$A$4:$A998, Services!$C$4:$C998))</f>
        <v/>
      </c>
      <c r="H332" s="2" t="str">
        <f t="shared" si="1"/>
        <v>Retail</v>
      </c>
      <c r="I332" s="20"/>
      <c r="J332" s="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20"/>
      <c r="B333" s="34"/>
      <c r="C333" s="20"/>
      <c r="D333" s="35"/>
      <c r="E333" s="36"/>
      <c r="F333" s="2"/>
      <c r="G333" s="2" t="str">
        <f t="array" ref="G333">IF($C333="", "", XLOOKUP($C333, Services!$A$4:$A998, Services!$C$4:$C998))</f>
        <v/>
      </c>
      <c r="H333" s="2" t="str">
        <f t="shared" si="1"/>
        <v>Retail</v>
      </c>
      <c r="I333" s="20"/>
      <c r="J333" s="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20"/>
      <c r="B334" s="34"/>
      <c r="C334" s="20"/>
      <c r="D334" s="35"/>
      <c r="E334" s="36"/>
      <c r="F334" s="2"/>
      <c r="G334" s="2" t="str">
        <f t="array" ref="G334">IF($C334="", "", XLOOKUP($C334, Services!$A$4:$A998, Services!$C$4:$C998))</f>
        <v/>
      </c>
      <c r="H334" s="2" t="str">
        <f t="shared" si="1"/>
        <v>Retail</v>
      </c>
      <c r="I334" s="20"/>
      <c r="J334" s="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20"/>
      <c r="B335" s="34"/>
      <c r="C335" s="20"/>
      <c r="D335" s="35"/>
      <c r="E335" s="36"/>
      <c r="F335" s="2"/>
      <c r="G335" s="2" t="str">
        <f t="array" ref="G335">IF($C335="", "", XLOOKUP($C335, Services!$A$4:$A998, Services!$C$4:$C998))</f>
        <v/>
      </c>
      <c r="H335" s="2" t="str">
        <f t="shared" si="1"/>
        <v>Retail</v>
      </c>
      <c r="I335" s="20"/>
      <c r="J335" s="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20"/>
      <c r="B336" s="34"/>
      <c r="C336" s="20"/>
      <c r="D336" s="35"/>
      <c r="E336" s="36"/>
      <c r="F336" s="2"/>
      <c r="G336" s="2" t="str">
        <f t="array" ref="G336">IF($C336="", "", XLOOKUP($C336, Services!$A$4:$A998, Services!$C$4:$C998))</f>
        <v/>
      </c>
      <c r="H336" s="2" t="str">
        <f t="shared" si="1"/>
        <v>Retail</v>
      </c>
      <c r="I336" s="20"/>
      <c r="J336" s="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20"/>
      <c r="B337" s="34"/>
      <c r="C337" s="20"/>
      <c r="D337" s="35"/>
      <c r="E337" s="36"/>
      <c r="F337" s="2"/>
      <c r="G337" s="2" t="str">
        <f t="array" ref="G337">IF($C337="", "", XLOOKUP($C337, Services!$A$4:$A998, Services!$C$4:$C998))</f>
        <v/>
      </c>
      <c r="H337" s="2" t="str">
        <f t="shared" si="1"/>
        <v>Retail</v>
      </c>
      <c r="I337" s="20"/>
      <c r="J337" s="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20"/>
      <c r="B338" s="34"/>
      <c r="C338" s="20"/>
      <c r="D338" s="35"/>
      <c r="E338" s="36"/>
      <c r="F338" s="2"/>
      <c r="G338" s="2" t="str">
        <f t="array" ref="G338">IF($C338="", "", XLOOKUP($C338, Services!$A$4:$A998, Services!$C$4:$C998))</f>
        <v/>
      </c>
      <c r="H338" s="2" t="str">
        <f t="shared" si="1"/>
        <v>Retail</v>
      </c>
      <c r="I338" s="20"/>
      <c r="J338" s="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20"/>
      <c r="B339" s="34"/>
      <c r="C339" s="20"/>
      <c r="D339" s="35"/>
      <c r="E339" s="36"/>
      <c r="F339" s="2"/>
      <c r="G339" s="2" t="str">
        <f t="array" ref="G339">IF($C339="", "", XLOOKUP($C339, Services!$A$4:$A998, Services!$C$4:$C998))</f>
        <v/>
      </c>
      <c r="H339" s="2" t="str">
        <f t="shared" si="1"/>
        <v>Retail</v>
      </c>
      <c r="I339" s="20"/>
      <c r="J339" s="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20"/>
      <c r="B340" s="34"/>
      <c r="C340" s="20"/>
      <c r="D340" s="35"/>
      <c r="E340" s="36"/>
      <c r="F340" s="2"/>
      <c r="G340" s="2" t="str">
        <f t="array" ref="G340">IF($C340="", "", XLOOKUP($C340, Services!$A$4:$A998, Services!$C$4:$C998))</f>
        <v/>
      </c>
      <c r="H340" s="2" t="str">
        <f t="shared" si="1"/>
        <v>Retail</v>
      </c>
      <c r="I340" s="20"/>
      <c r="J340" s="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20"/>
      <c r="B341" s="34"/>
      <c r="C341" s="20"/>
      <c r="D341" s="35"/>
      <c r="E341" s="36"/>
      <c r="F341" s="2"/>
      <c r="G341" s="2" t="str">
        <f t="array" ref="G341">IF($C341="", "", XLOOKUP($C341, Services!$A$4:$A998, Services!$C$4:$C998))</f>
        <v/>
      </c>
      <c r="H341" s="2" t="str">
        <f t="shared" si="1"/>
        <v>Retail</v>
      </c>
      <c r="I341" s="20"/>
      <c r="J341" s="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20"/>
      <c r="B342" s="34"/>
      <c r="C342" s="20"/>
      <c r="D342" s="35"/>
      <c r="E342" s="36"/>
      <c r="F342" s="2"/>
      <c r="G342" s="2" t="str">
        <f t="array" ref="G342">IF($C342="", "", XLOOKUP($C342, Services!$A$4:$A998, Services!$C$4:$C998))</f>
        <v/>
      </c>
      <c r="H342" s="2" t="str">
        <f t="shared" si="1"/>
        <v>Retail</v>
      </c>
      <c r="I342" s="20"/>
      <c r="J342" s="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20"/>
      <c r="B343" s="34"/>
      <c r="C343" s="20"/>
      <c r="D343" s="35"/>
      <c r="E343" s="36"/>
      <c r="F343" s="2"/>
      <c r="G343" s="2" t="str">
        <f t="array" ref="G343">IF($C343="", "", XLOOKUP($C343, Services!$A$4:$A998, Services!$C$4:$C998))</f>
        <v/>
      </c>
      <c r="H343" s="2" t="str">
        <f t="shared" si="1"/>
        <v>Retail</v>
      </c>
      <c r="I343" s="20"/>
      <c r="J343" s="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20"/>
      <c r="B344" s="34"/>
      <c r="C344" s="20"/>
      <c r="D344" s="35"/>
      <c r="E344" s="36"/>
      <c r="F344" s="2"/>
      <c r="G344" s="2" t="str">
        <f t="array" ref="G344">IF($C344="", "", XLOOKUP($C344, Services!$A$4:$A998, Services!$C$4:$C998))</f>
        <v/>
      </c>
      <c r="H344" s="2" t="str">
        <f t="shared" si="1"/>
        <v>Retail</v>
      </c>
      <c r="I344" s="20"/>
      <c r="J344" s="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20"/>
      <c r="B345" s="34"/>
      <c r="C345" s="20"/>
      <c r="D345" s="35"/>
      <c r="E345" s="36"/>
      <c r="F345" s="2"/>
      <c r="G345" s="2" t="str">
        <f t="array" ref="G345">IF($C345="", "", XLOOKUP($C345, Services!$A$4:$A998, Services!$C$4:$C998))</f>
        <v/>
      </c>
      <c r="H345" s="2" t="str">
        <f t="shared" si="1"/>
        <v>Retail</v>
      </c>
      <c r="I345" s="20"/>
      <c r="J345" s="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20"/>
      <c r="B346" s="34"/>
      <c r="C346" s="20"/>
      <c r="D346" s="35"/>
      <c r="E346" s="36"/>
      <c r="F346" s="2"/>
      <c r="G346" s="2" t="str">
        <f t="array" ref="G346">IF($C346="", "", XLOOKUP($C346, Services!$A$4:$A998, Services!$C$4:$C998))</f>
        <v/>
      </c>
      <c r="H346" s="2" t="str">
        <f t="shared" si="1"/>
        <v>Retail</v>
      </c>
      <c r="I346" s="20"/>
      <c r="J346" s="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20"/>
      <c r="B347" s="34"/>
      <c r="C347" s="20"/>
      <c r="D347" s="35"/>
      <c r="E347" s="36"/>
      <c r="F347" s="2"/>
      <c r="G347" s="2" t="str">
        <f t="array" ref="G347">IF($C347="", "", XLOOKUP($C347, Services!$A$4:$A998, Services!$C$4:$C998))</f>
        <v/>
      </c>
      <c r="H347" s="2" t="str">
        <f t="shared" si="1"/>
        <v>Retail</v>
      </c>
      <c r="I347" s="20"/>
      <c r="J347" s="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20"/>
      <c r="B348" s="34"/>
      <c r="C348" s="20"/>
      <c r="D348" s="35"/>
      <c r="E348" s="36"/>
      <c r="F348" s="2"/>
      <c r="G348" s="2" t="str">
        <f t="array" ref="G348">IF($C348="", "", XLOOKUP($C348, Services!$A$4:$A998, Services!$C$4:$C998))</f>
        <v/>
      </c>
      <c r="H348" s="2" t="str">
        <f t="shared" si="1"/>
        <v>Retail</v>
      </c>
      <c r="I348" s="20"/>
      <c r="J348" s="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20"/>
      <c r="B349" s="34"/>
      <c r="C349" s="20"/>
      <c r="D349" s="35"/>
      <c r="E349" s="36"/>
      <c r="F349" s="2"/>
      <c r="G349" s="2" t="str">
        <f t="array" ref="G349">IF($C349="", "", XLOOKUP($C349, Services!$A$4:$A998, Services!$C$4:$C998))</f>
        <v/>
      </c>
      <c r="H349" s="2" t="str">
        <f t="shared" si="1"/>
        <v>Retail</v>
      </c>
      <c r="I349" s="20"/>
      <c r="J349" s="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20"/>
      <c r="B350" s="34"/>
      <c r="C350" s="20"/>
      <c r="D350" s="35"/>
      <c r="E350" s="36"/>
      <c r="F350" s="2"/>
      <c r="G350" s="2" t="str">
        <f t="array" ref="G350">IF($C350="", "", XLOOKUP($C350, Services!$A$4:$A998, Services!$C$4:$C998))</f>
        <v/>
      </c>
      <c r="H350" s="2" t="str">
        <f t="shared" si="1"/>
        <v>Retail</v>
      </c>
      <c r="I350" s="20"/>
      <c r="J350" s="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20"/>
      <c r="B351" s="34"/>
      <c r="C351" s="20"/>
      <c r="D351" s="35"/>
      <c r="E351" s="36"/>
      <c r="F351" s="2"/>
      <c r="G351" s="2" t="str">
        <f t="array" ref="G351">IF($C351="", "", XLOOKUP($C351, Services!$A$4:$A998, Services!$C$4:$C998))</f>
        <v/>
      </c>
      <c r="H351" s="2" t="str">
        <f t="shared" si="1"/>
        <v>Retail</v>
      </c>
      <c r="I351" s="20"/>
      <c r="J351" s="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20"/>
      <c r="B352" s="34"/>
      <c r="C352" s="20"/>
      <c r="D352" s="35"/>
      <c r="E352" s="36"/>
      <c r="F352" s="2"/>
      <c r="G352" s="2" t="str">
        <f t="array" ref="G352">IF($C352="", "", XLOOKUP($C352, Services!$A$4:$A998, Services!$C$4:$C998))</f>
        <v/>
      </c>
      <c r="H352" s="2" t="str">
        <f t="shared" si="1"/>
        <v>Retail</v>
      </c>
      <c r="I352" s="20"/>
      <c r="J352" s="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20"/>
      <c r="B353" s="34"/>
      <c r="C353" s="20"/>
      <c r="D353" s="35"/>
      <c r="E353" s="36"/>
      <c r="F353" s="2"/>
      <c r="G353" s="2" t="str">
        <f t="array" ref="G353">IF($C353="", "", XLOOKUP($C353, Services!$A$4:$A998, Services!$C$4:$C998))</f>
        <v/>
      </c>
      <c r="H353" s="2" t="str">
        <f t="shared" si="1"/>
        <v>Retail</v>
      </c>
      <c r="I353" s="20"/>
      <c r="J353" s="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20"/>
      <c r="B354" s="34"/>
      <c r="C354" s="20"/>
      <c r="D354" s="35"/>
      <c r="E354" s="36"/>
      <c r="F354" s="2"/>
      <c r="G354" s="2" t="str">
        <f t="array" ref="G354">IF($C354="", "", XLOOKUP($C354, Services!$A$4:$A998, Services!$C$4:$C998))</f>
        <v/>
      </c>
      <c r="H354" s="2" t="str">
        <f t="shared" si="1"/>
        <v>Retail</v>
      </c>
      <c r="I354" s="20"/>
      <c r="J354" s="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20"/>
      <c r="B355" s="34"/>
      <c r="C355" s="20"/>
      <c r="D355" s="35"/>
      <c r="E355" s="36"/>
      <c r="F355" s="2"/>
      <c r="G355" s="2" t="str">
        <f t="array" ref="G355">IF($C355="", "", XLOOKUP($C355, Services!$A$4:$A998, Services!$C$4:$C998))</f>
        <v/>
      </c>
      <c r="H355" s="2" t="str">
        <f t="shared" si="1"/>
        <v>Retail</v>
      </c>
      <c r="I355" s="20"/>
      <c r="J355" s="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20"/>
      <c r="B356" s="34"/>
      <c r="C356" s="20"/>
      <c r="D356" s="35"/>
      <c r="E356" s="36"/>
      <c r="F356" s="2"/>
      <c r="G356" s="2" t="str">
        <f t="array" ref="G356">IF($C356="", "", XLOOKUP($C356, Services!$A$4:$A998, Services!$C$4:$C998))</f>
        <v/>
      </c>
      <c r="H356" s="2" t="str">
        <f t="shared" si="1"/>
        <v>Retail</v>
      </c>
      <c r="I356" s="20"/>
      <c r="J356" s="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20"/>
      <c r="B357" s="34"/>
      <c r="C357" s="20"/>
      <c r="D357" s="35"/>
      <c r="E357" s="36"/>
      <c r="F357" s="2"/>
      <c r="G357" s="2" t="str">
        <f t="array" ref="G357">IF($C357="", "", XLOOKUP($C357, Services!$A$4:$A998, Services!$C$4:$C998))</f>
        <v/>
      </c>
      <c r="H357" s="2" t="str">
        <f t="shared" si="1"/>
        <v>Retail</v>
      </c>
      <c r="I357" s="20"/>
      <c r="J357" s="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20"/>
      <c r="B358" s="34"/>
      <c r="C358" s="20"/>
      <c r="D358" s="35"/>
      <c r="E358" s="36"/>
      <c r="F358" s="2"/>
      <c r="G358" s="2" t="str">
        <f t="array" ref="G358">IF($C358="", "", XLOOKUP($C358, Services!$A$4:$A998, Services!$C$4:$C998))</f>
        <v/>
      </c>
      <c r="H358" s="2" t="str">
        <f t="shared" si="1"/>
        <v>Retail</v>
      </c>
      <c r="I358" s="20"/>
      <c r="J358" s="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20"/>
      <c r="B359" s="34"/>
      <c r="C359" s="20"/>
      <c r="D359" s="35"/>
      <c r="E359" s="36"/>
      <c r="F359" s="2"/>
      <c r="G359" s="2" t="str">
        <f t="array" ref="G359">IF($C359="", "", XLOOKUP($C359, Services!$A$4:$A998, Services!$C$4:$C998))</f>
        <v/>
      </c>
      <c r="H359" s="2" t="str">
        <f t="shared" si="1"/>
        <v>Retail</v>
      </c>
      <c r="I359" s="20"/>
      <c r="J359" s="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20"/>
      <c r="B360" s="34"/>
      <c r="C360" s="20"/>
      <c r="D360" s="35"/>
      <c r="E360" s="36"/>
      <c r="F360" s="2"/>
      <c r="G360" s="2" t="str">
        <f t="array" ref="G360">IF($C360="", "", XLOOKUP($C360, Services!$A$4:$A998, Services!$C$4:$C998))</f>
        <v/>
      </c>
      <c r="H360" s="2" t="str">
        <f t="shared" si="1"/>
        <v>Retail</v>
      </c>
      <c r="I360" s="20"/>
      <c r="J360" s="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20"/>
      <c r="B361" s="34"/>
      <c r="C361" s="20"/>
      <c r="D361" s="35"/>
      <c r="E361" s="36"/>
      <c r="F361" s="2"/>
      <c r="G361" s="2" t="str">
        <f t="array" ref="G361">IF($C361="", "", XLOOKUP($C361, Services!$A$4:$A998, Services!$C$4:$C998))</f>
        <v/>
      </c>
      <c r="H361" s="2" t="str">
        <f t="shared" si="1"/>
        <v>Retail</v>
      </c>
      <c r="I361" s="20"/>
      <c r="J361" s="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20"/>
      <c r="B362" s="34"/>
      <c r="C362" s="20"/>
      <c r="D362" s="35"/>
      <c r="E362" s="36"/>
      <c r="F362" s="2"/>
      <c r="G362" s="2" t="str">
        <f t="array" ref="G362">IF($C362="", "", XLOOKUP($C362, Services!$A$4:$A998, Services!$C$4:$C998))</f>
        <v/>
      </c>
      <c r="H362" s="2" t="str">
        <f t="shared" si="1"/>
        <v>Retail</v>
      </c>
      <c r="I362" s="20"/>
      <c r="J362" s="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20"/>
      <c r="B363" s="34"/>
      <c r="C363" s="20"/>
      <c r="D363" s="35"/>
      <c r="E363" s="36"/>
      <c r="F363" s="2"/>
      <c r="G363" s="2" t="str">
        <f t="array" ref="G363">IF($C363="", "", XLOOKUP($C363, Services!$A$4:$A998, Services!$C$4:$C998))</f>
        <v/>
      </c>
      <c r="H363" s="2" t="str">
        <f t="shared" si="1"/>
        <v>Retail</v>
      </c>
      <c r="I363" s="20"/>
      <c r="J363" s="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20"/>
      <c r="B364" s="34"/>
      <c r="C364" s="20"/>
      <c r="D364" s="35"/>
      <c r="E364" s="36"/>
      <c r="F364" s="2"/>
      <c r="G364" s="2" t="str">
        <f t="array" ref="G364">IF($C364="", "", XLOOKUP($C364, Services!$A$4:$A998, Services!$C$4:$C998))</f>
        <v/>
      </c>
      <c r="H364" s="2" t="str">
        <f t="shared" si="1"/>
        <v>Retail</v>
      </c>
      <c r="I364" s="20"/>
      <c r="J364" s="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20"/>
      <c r="B365" s="34"/>
      <c r="C365" s="20"/>
      <c r="D365" s="35"/>
      <c r="E365" s="36"/>
      <c r="F365" s="2"/>
      <c r="G365" s="2" t="str">
        <f t="array" ref="G365">IF($C365="", "", XLOOKUP($C365, Services!$A$4:$A998, Services!$C$4:$C998))</f>
        <v/>
      </c>
      <c r="H365" s="2" t="str">
        <f t="shared" si="1"/>
        <v>Retail</v>
      </c>
      <c r="I365" s="20"/>
      <c r="J365" s="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20"/>
      <c r="B366" s="34"/>
      <c r="C366" s="20"/>
      <c r="D366" s="35"/>
      <c r="E366" s="36"/>
      <c r="F366" s="2"/>
      <c r="G366" s="2" t="str">
        <f t="array" ref="G366">IF($C366="", "", XLOOKUP($C366, Services!$A$4:$A998, Services!$C$4:$C998))</f>
        <v/>
      </c>
      <c r="H366" s="2" t="str">
        <f t="shared" si="1"/>
        <v>Retail</v>
      </c>
      <c r="I366" s="20"/>
      <c r="J366" s="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20"/>
      <c r="B367" s="34"/>
      <c r="C367" s="20"/>
      <c r="D367" s="35"/>
      <c r="E367" s="36"/>
      <c r="F367" s="2"/>
      <c r="G367" s="2" t="str">
        <f t="array" ref="G367">IF($C367="", "", XLOOKUP($C367, Services!$A$4:$A998, Services!$C$4:$C998))</f>
        <v/>
      </c>
      <c r="H367" s="2" t="str">
        <f t="shared" si="1"/>
        <v>Retail</v>
      </c>
      <c r="I367" s="20"/>
      <c r="J367" s="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20"/>
      <c r="B368" s="34"/>
      <c r="C368" s="20"/>
      <c r="D368" s="35"/>
      <c r="E368" s="36"/>
      <c r="F368" s="2"/>
      <c r="G368" s="2" t="str">
        <f t="array" ref="G368">IF($C368="", "", XLOOKUP($C368, Services!$A$4:$A998, Services!$C$4:$C998))</f>
        <v/>
      </c>
      <c r="H368" s="2" t="str">
        <f t="shared" si="1"/>
        <v>Retail</v>
      </c>
      <c r="I368" s="20"/>
      <c r="J368" s="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20"/>
      <c r="B369" s="34"/>
      <c r="C369" s="20"/>
      <c r="D369" s="35"/>
      <c r="E369" s="36"/>
      <c r="F369" s="2"/>
      <c r="G369" s="2" t="str">
        <f t="array" ref="G369">IF($C369="", "", XLOOKUP($C369, Services!$A$4:$A998, Services!$C$4:$C998))</f>
        <v/>
      </c>
      <c r="H369" s="2" t="str">
        <f t="shared" si="1"/>
        <v>Retail</v>
      </c>
      <c r="I369" s="20"/>
      <c r="J369" s="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20"/>
      <c r="B370" s="34"/>
      <c r="C370" s="20"/>
      <c r="D370" s="35"/>
      <c r="E370" s="36"/>
      <c r="F370" s="2"/>
      <c r="G370" s="2" t="str">
        <f t="array" ref="G370">IF($C370="", "", XLOOKUP($C370, Services!$A$4:$A998, Services!$C$4:$C998))</f>
        <v/>
      </c>
      <c r="H370" s="2" t="str">
        <f t="shared" si="1"/>
        <v>Retail</v>
      </c>
      <c r="I370" s="20"/>
      <c r="J370" s="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20"/>
      <c r="B371" s="34"/>
      <c r="C371" s="20"/>
      <c r="D371" s="35"/>
      <c r="E371" s="36"/>
      <c r="F371" s="2"/>
      <c r="G371" s="2" t="str">
        <f t="array" ref="G371">IF($C371="", "", XLOOKUP($C371, Services!$A$4:$A998, Services!$C$4:$C998))</f>
        <v/>
      </c>
      <c r="H371" s="2" t="str">
        <f t="shared" si="1"/>
        <v>Retail</v>
      </c>
      <c r="I371" s="20"/>
      <c r="J371" s="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20"/>
      <c r="B372" s="34"/>
      <c r="C372" s="20"/>
      <c r="D372" s="35"/>
      <c r="E372" s="36"/>
      <c r="F372" s="2"/>
      <c r="G372" s="2" t="str">
        <f t="array" ref="G372">IF($C372="", "", XLOOKUP($C372, Services!$A$4:$A998, Services!$C$4:$C998))</f>
        <v/>
      </c>
      <c r="H372" s="2" t="str">
        <f t="shared" si="1"/>
        <v>Retail</v>
      </c>
      <c r="I372" s="20"/>
      <c r="J372" s="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20"/>
      <c r="B373" s="34"/>
      <c r="C373" s="20"/>
      <c r="D373" s="35"/>
      <c r="E373" s="36"/>
      <c r="F373" s="2"/>
      <c r="G373" s="2" t="str">
        <f t="array" ref="G373">IF($C373="", "", XLOOKUP($C373, Services!$A$4:$A998, Services!$C$4:$C998))</f>
        <v/>
      </c>
      <c r="H373" s="2" t="str">
        <f t="shared" si="1"/>
        <v>Retail</v>
      </c>
      <c r="I373" s="20"/>
      <c r="J373" s="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20"/>
      <c r="B374" s="34"/>
      <c r="C374" s="20"/>
      <c r="D374" s="35"/>
      <c r="E374" s="36"/>
      <c r="F374" s="2"/>
      <c r="G374" s="2" t="str">
        <f t="array" ref="G374">IF($C374="", "", XLOOKUP($C374, Services!$A$4:$A998, Services!$C$4:$C998))</f>
        <v/>
      </c>
      <c r="H374" s="2" t="str">
        <f t="shared" si="1"/>
        <v>Retail</v>
      </c>
      <c r="I374" s="20"/>
      <c r="J374" s="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20"/>
      <c r="B375" s="34"/>
      <c r="C375" s="20"/>
      <c r="D375" s="35"/>
      <c r="E375" s="36"/>
      <c r="F375" s="2"/>
      <c r="G375" s="2" t="str">
        <f t="array" ref="G375">IF($C375="", "", XLOOKUP($C375, Services!$A$4:$A998, Services!$C$4:$C998))</f>
        <v/>
      </c>
      <c r="H375" s="2" t="str">
        <f t="shared" si="1"/>
        <v>Retail</v>
      </c>
      <c r="I375" s="20"/>
      <c r="J375" s="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20"/>
      <c r="B376" s="34"/>
      <c r="C376" s="20"/>
      <c r="D376" s="35"/>
      <c r="E376" s="36"/>
      <c r="F376" s="2"/>
      <c r="G376" s="2" t="str">
        <f t="array" ref="G376">IF($C376="", "", XLOOKUP($C376, Services!$A$4:$A998, Services!$C$4:$C998))</f>
        <v/>
      </c>
      <c r="H376" s="2" t="str">
        <f t="shared" si="1"/>
        <v>Retail</v>
      </c>
      <c r="I376" s="20"/>
      <c r="J376" s="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20"/>
      <c r="B377" s="34"/>
      <c r="C377" s="20"/>
      <c r="D377" s="35"/>
      <c r="E377" s="36"/>
      <c r="F377" s="2"/>
      <c r="G377" s="2" t="str">
        <f t="array" ref="G377">IF($C377="", "", XLOOKUP($C377, Services!$A$4:$A998, Services!$C$4:$C998))</f>
        <v/>
      </c>
      <c r="H377" s="2" t="str">
        <f t="shared" si="1"/>
        <v>Retail</v>
      </c>
      <c r="I377" s="20"/>
      <c r="J377" s="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20"/>
      <c r="B378" s="34"/>
      <c r="C378" s="20"/>
      <c r="D378" s="35"/>
      <c r="E378" s="36"/>
      <c r="F378" s="2"/>
      <c r="G378" s="2" t="str">
        <f t="array" ref="G378">IF($C378="", "", XLOOKUP($C378, Services!$A$4:$A998, Services!$C$4:$C998))</f>
        <v/>
      </c>
      <c r="H378" s="2" t="str">
        <f t="shared" si="1"/>
        <v>Retail</v>
      </c>
      <c r="I378" s="20"/>
      <c r="J378" s="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20"/>
      <c r="B379" s="34"/>
      <c r="C379" s="20"/>
      <c r="D379" s="35"/>
      <c r="E379" s="36"/>
      <c r="F379" s="2"/>
      <c r="G379" s="2" t="str">
        <f t="array" ref="G379">IF($C379="", "", XLOOKUP($C379, Services!$A$4:$A998, Services!$C$4:$C998))</f>
        <v/>
      </c>
      <c r="H379" s="2" t="str">
        <f t="shared" si="1"/>
        <v>Retail</v>
      </c>
      <c r="I379" s="20"/>
      <c r="J379" s="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20"/>
      <c r="B380" s="34"/>
      <c r="C380" s="20"/>
      <c r="D380" s="35"/>
      <c r="E380" s="36"/>
      <c r="F380" s="2"/>
      <c r="G380" s="2" t="str">
        <f t="array" ref="G380">IF($C380="", "", XLOOKUP($C380, Services!$A$4:$A998, Services!$C$4:$C998))</f>
        <v/>
      </c>
      <c r="H380" s="2" t="str">
        <f t="shared" si="1"/>
        <v>Retail</v>
      </c>
      <c r="I380" s="20"/>
      <c r="J380" s="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20"/>
      <c r="B381" s="34"/>
      <c r="C381" s="20"/>
      <c r="D381" s="35"/>
      <c r="E381" s="36"/>
      <c r="F381" s="2"/>
      <c r="G381" s="2" t="str">
        <f t="array" ref="G381">IF($C381="", "", XLOOKUP($C381, Services!$A$4:$A998, Services!$C$4:$C998))</f>
        <v/>
      </c>
      <c r="H381" s="2" t="str">
        <f t="shared" si="1"/>
        <v>Retail</v>
      </c>
      <c r="I381" s="20"/>
      <c r="J381" s="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20"/>
      <c r="B382" s="34"/>
      <c r="C382" s="20"/>
      <c r="D382" s="35"/>
      <c r="E382" s="36"/>
      <c r="F382" s="2"/>
      <c r="G382" s="2" t="str">
        <f t="array" ref="G382">IF($C382="", "", XLOOKUP($C382, Services!$A$4:$A998, Services!$C$4:$C998))</f>
        <v/>
      </c>
      <c r="H382" s="2" t="str">
        <f t="shared" si="1"/>
        <v>Retail</v>
      </c>
      <c r="I382" s="20"/>
      <c r="J382" s="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20"/>
      <c r="B383" s="34"/>
      <c r="C383" s="20"/>
      <c r="D383" s="35"/>
      <c r="E383" s="36"/>
      <c r="F383" s="2"/>
      <c r="G383" s="2" t="str">
        <f t="array" ref="G383">IF($C383="", "", XLOOKUP($C383, Services!$A$4:$A998, Services!$C$4:$C998))</f>
        <v/>
      </c>
      <c r="H383" s="2" t="str">
        <f t="shared" si="1"/>
        <v>Retail</v>
      </c>
      <c r="I383" s="20"/>
      <c r="J383" s="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20"/>
      <c r="B384" s="34"/>
      <c r="C384" s="20"/>
      <c r="D384" s="35"/>
      <c r="E384" s="36"/>
      <c r="F384" s="2"/>
      <c r="G384" s="2" t="str">
        <f t="array" ref="G384">IF($C384="", "", XLOOKUP($C384, Services!$A$4:$A998, Services!$C$4:$C998))</f>
        <v/>
      </c>
      <c r="H384" s="2" t="str">
        <f t="shared" si="1"/>
        <v>Retail</v>
      </c>
      <c r="I384" s="20"/>
      <c r="J384" s="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20"/>
      <c r="B385" s="34"/>
      <c r="C385" s="20"/>
      <c r="D385" s="35"/>
      <c r="E385" s="36"/>
      <c r="F385" s="2"/>
      <c r="G385" s="2" t="str">
        <f t="array" ref="G385">IF($C385="", "", XLOOKUP($C385, Services!$A$4:$A998, Services!$C$4:$C998))</f>
        <v/>
      </c>
      <c r="H385" s="2" t="str">
        <f t="shared" si="1"/>
        <v>Retail</v>
      </c>
      <c r="I385" s="20"/>
      <c r="J385" s="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20"/>
      <c r="B386" s="34"/>
      <c r="C386" s="20"/>
      <c r="D386" s="35"/>
      <c r="E386" s="36"/>
      <c r="F386" s="2"/>
      <c r="G386" s="2" t="str">
        <f t="array" ref="G386">IF($C386="", "", XLOOKUP($C386, Services!$A$4:$A998, Services!$C$4:$C998))</f>
        <v/>
      </c>
      <c r="H386" s="2" t="str">
        <f t="shared" si="1"/>
        <v>Retail</v>
      </c>
      <c r="I386" s="20"/>
      <c r="J386" s="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20"/>
      <c r="B387" s="34"/>
      <c r="C387" s="20"/>
      <c r="D387" s="35"/>
      <c r="E387" s="36"/>
      <c r="F387" s="2"/>
      <c r="G387" s="2" t="str">
        <f t="array" ref="G387">IF($C387="", "", XLOOKUP($C387, Services!$A$4:$A998, Services!$C$4:$C998))</f>
        <v/>
      </c>
      <c r="H387" s="2" t="str">
        <f t="shared" si="1"/>
        <v>Retail</v>
      </c>
      <c r="I387" s="20"/>
      <c r="J387" s="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20"/>
      <c r="B388" s="34"/>
      <c r="C388" s="20"/>
      <c r="D388" s="35"/>
      <c r="E388" s="36"/>
      <c r="F388" s="2"/>
      <c r="G388" s="2" t="str">
        <f t="array" ref="G388">IF($C388="", "", XLOOKUP($C388, Services!$A$4:$A998, Services!$C$4:$C998))</f>
        <v/>
      </c>
      <c r="H388" s="2" t="str">
        <f t="shared" si="1"/>
        <v>Retail</v>
      </c>
      <c r="I388" s="20"/>
      <c r="J388" s="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20"/>
      <c r="B389" s="34"/>
      <c r="C389" s="20"/>
      <c r="D389" s="35"/>
      <c r="E389" s="36"/>
      <c r="F389" s="2"/>
      <c r="G389" s="2" t="str">
        <f t="array" ref="G389">IF($C389="", "", XLOOKUP($C389, Services!$A$4:$A998, Services!$C$4:$C998))</f>
        <v/>
      </c>
      <c r="H389" s="2" t="str">
        <f t="shared" si="1"/>
        <v>Retail</v>
      </c>
      <c r="I389" s="20"/>
      <c r="J389" s="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20"/>
      <c r="B390" s="34"/>
      <c r="C390" s="20"/>
      <c r="D390" s="35"/>
      <c r="E390" s="36"/>
      <c r="F390" s="2"/>
      <c r="G390" s="2" t="str">
        <f t="array" ref="G390">IF($C390="", "", XLOOKUP($C390, Services!$A$4:$A998, Services!$C$4:$C998))</f>
        <v/>
      </c>
      <c r="H390" s="2" t="str">
        <f t="shared" si="1"/>
        <v>Retail</v>
      </c>
      <c r="I390" s="20"/>
      <c r="J390" s="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20"/>
      <c r="B391" s="34"/>
      <c r="C391" s="20"/>
      <c r="D391" s="35"/>
      <c r="E391" s="36"/>
      <c r="F391" s="2"/>
      <c r="G391" s="2" t="str">
        <f t="array" ref="G391">IF($C391="", "", XLOOKUP($C391, Services!$A$4:$A998, Services!$C$4:$C998))</f>
        <v/>
      </c>
      <c r="H391" s="2" t="str">
        <f t="shared" si="1"/>
        <v>Retail</v>
      </c>
      <c r="I391" s="20"/>
      <c r="J391" s="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20"/>
      <c r="B392" s="34"/>
      <c r="C392" s="20"/>
      <c r="D392" s="35"/>
      <c r="E392" s="36"/>
      <c r="F392" s="2"/>
      <c r="G392" s="2" t="str">
        <f t="array" ref="G392">IF($C392="", "", XLOOKUP($C392, Services!$A$4:$A998, Services!$C$4:$C998))</f>
        <v/>
      </c>
      <c r="H392" s="2" t="str">
        <f t="shared" si="1"/>
        <v>Retail</v>
      </c>
      <c r="I392" s="20"/>
      <c r="J392" s="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20"/>
      <c r="B393" s="34"/>
      <c r="C393" s="20"/>
      <c r="D393" s="35"/>
      <c r="E393" s="36"/>
      <c r="F393" s="2"/>
      <c r="G393" s="2" t="str">
        <f t="array" ref="G393">IF($C393="", "", XLOOKUP($C393, Services!$A$4:$A998, Services!$C$4:$C998))</f>
        <v/>
      </c>
      <c r="H393" s="2" t="str">
        <f t="shared" si="1"/>
        <v>Retail</v>
      </c>
      <c r="I393" s="20"/>
      <c r="J393" s="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20"/>
      <c r="B394" s="34"/>
      <c r="C394" s="20"/>
      <c r="D394" s="35"/>
      <c r="E394" s="36"/>
      <c r="F394" s="2"/>
      <c r="G394" s="2" t="str">
        <f t="array" ref="G394">IF($C394="", "", XLOOKUP($C394, Services!$A$4:$A998, Services!$C$4:$C998))</f>
        <v/>
      </c>
      <c r="H394" s="2" t="str">
        <f t="shared" si="1"/>
        <v>Retail</v>
      </c>
      <c r="I394" s="20"/>
      <c r="J394" s="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20"/>
      <c r="B395" s="34"/>
      <c r="C395" s="20"/>
      <c r="D395" s="35"/>
      <c r="E395" s="36"/>
      <c r="F395" s="2"/>
      <c r="G395" s="2" t="str">
        <f t="array" ref="G395">IF($C395="", "", XLOOKUP($C395, Services!$A$4:$A998, Services!$C$4:$C998))</f>
        <v/>
      </c>
      <c r="H395" s="2" t="str">
        <f t="shared" si="1"/>
        <v>Retail</v>
      </c>
      <c r="I395" s="20"/>
      <c r="J395" s="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20"/>
      <c r="B396" s="34"/>
      <c r="C396" s="20"/>
      <c r="D396" s="35"/>
      <c r="E396" s="36"/>
      <c r="F396" s="2"/>
      <c r="G396" s="2" t="str">
        <f t="array" ref="G396">IF($C396="", "", XLOOKUP($C396, Services!$A$4:$A998, Services!$C$4:$C998))</f>
        <v/>
      </c>
      <c r="H396" s="2" t="str">
        <f t="shared" si="1"/>
        <v>Retail</v>
      </c>
      <c r="I396" s="20"/>
      <c r="J396" s="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20"/>
      <c r="B397" s="34"/>
      <c r="C397" s="20"/>
      <c r="D397" s="35"/>
      <c r="E397" s="36"/>
      <c r="F397" s="2"/>
      <c r="G397" s="2" t="str">
        <f t="array" ref="G397">IF($C397="", "", XLOOKUP($C397, Services!$A$4:$A998, Services!$C$4:$C998))</f>
        <v/>
      </c>
      <c r="H397" s="2" t="str">
        <f t="shared" si="1"/>
        <v>Retail</v>
      </c>
      <c r="I397" s="20"/>
      <c r="J397" s="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20"/>
      <c r="B398" s="34"/>
      <c r="C398" s="20"/>
      <c r="D398" s="35"/>
      <c r="E398" s="36"/>
      <c r="F398" s="2"/>
      <c r="G398" s="2" t="str">
        <f t="array" ref="G398">IF($C398="", "", XLOOKUP($C398, Services!$A$4:$A998, Services!$C$4:$C998))</f>
        <v/>
      </c>
      <c r="H398" s="2" t="str">
        <f t="shared" si="1"/>
        <v>Retail</v>
      </c>
      <c r="I398" s="20"/>
      <c r="J398" s="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20"/>
      <c r="B399" s="34"/>
      <c r="C399" s="20"/>
      <c r="D399" s="35"/>
      <c r="E399" s="36"/>
      <c r="F399" s="2"/>
      <c r="G399" s="2" t="str">
        <f t="array" ref="G399">IF($C399="", "", XLOOKUP($C399, Services!$A$4:$A998, Services!$C$4:$C998))</f>
        <v/>
      </c>
      <c r="H399" s="2" t="str">
        <f t="shared" si="1"/>
        <v>Retail</v>
      </c>
      <c r="I399" s="20"/>
      <c r="J399" s="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20"/>
      <c r="B400" s="34"/>
      <c r="C400" s="20"/>
      <c r="D400" s="35"/>
      <c r="E400" s="36"/>
      <c r="F400" s="2"/>
      <c r="G400" s="2" t="str">
        <f t="array" ref="G400">IF($C400="", "", XLOOKUP($C400, Services!$A$4:$A998, Services!$C$4:$C998))</f>
        <v/>
      </c>
      <c r="H400" s="2" t="str">
        <f t="shared" si="1"/>
        <v>Retail</v>
      </c>
      <c r="I400" s="20"/>
      <c r="J400" s="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20"/>
      <c r="B401" s="34"/>
      <c r="C401" s="20"/>
      <c r="D401" s="35"/>
      <c r="E401" s="36"/>
      <c r="F401" s="2"/>
      <c r="G401" s="2" t="str">
        <f t="array" ref="G401">IF($C401="", "", XLOOKUP($C401, Services!$A$4:$A998, Services!$C$4:$C998))</f>
        <v/>
      </c>
      <c r="H401" s="2" t="str">
        <f t="shared" si="1"/>
        <v>Retail</v>
      </c>
      <c r="I401" s="20"/>
      <c r="J401" s="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20"/>
      <c r="B402" s="34"/>
      <c r="C402" s="20"/>
      <c r="D402" s="35"/>
      <c r="E402" s="36"/>
      <c r="F402" s="2"/>
      <c r="G402" s="2" t="str">
        <f t="array" ref="G402">IF($C402="", "", XLOOKUP($C402, Services!$A$4:$A998, Services!$C$4:$C998))</f>
        <v/>
      </c>
      <c r="H402" s="2" t="str">
        <f t="shared" si="1"/>
        <v>Retail</v>
      </c>
      <c r="I402" s="20"/>
      <c r="J402" s="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20"/>
      <c r="B403" s="34"/>
      <c r="C403" s="20"/>
      <c r="D403" s="35"/>
      <c r="E403" s="36"/>
      <c r="F403" s="2"/>
      <c r="G403" s="2" t="str">
        <f t="array" ref="G403">IF($C403="", "", XLOOKUP($C403, Services!$A$4:$A998, Services!$C$4:$C998))</f>
        <v/>
      </c>
      <c r="H403" s="2" t="str">
        <f t="shared" si="1"/>
        <v>Retail</v>
      </c>
      <c r="I403" s="20"/>
      <c r="J403" s="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20"/>
      <c r="B404" s="34"/>
      <c r="C404" s="20"/>
      <c r="D404" s="35"/>
      <c r="E404" s="36"/>
      <c r="F404" s="2"/>
      <c r="G404" s="2" t="str">
        <f t="array" ref="G404">IF($C404="", "", XLOOKUP($C404, Services!$A$4:$A998, Services!$C$4:$C998))</f>
        <v/>
      </c>
      <c r="H404" s="2" t="str">
        <f t="shared" si="1"/>
        <v>Retail</v>
      </c>
      <c r="I404" s="20"/>
      <c r="J404" s="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20"/>
      <c r="B405" s="34"/>
      <c r="C405" s="20"/>
      <c r="D405" s="35"/>
      <c r="E405" s="36"/>
      <c r="F405" s="2"/>
      <c r="G405" s="2" t="str">
        <f t="array" ref="G405">IF($C405="", "", XLOOKUP($C405, Services!$A$4:$A998, Services!$C$4:$C998))</f>
        <v/>
      </c>
      <c r="H405" s="2" t="str">
        <f t="shared" si="1"/>
        <v>Retail</v>
      </c>
      <c r="I405" s="20"/>
      <c r="J405" s="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20"/>
      <c r="B406" s="34"/>
      <c r="C406" s="20"/>
      <c r="D406" s="35"/>
      <c r="E406" s="36"/>
      <c r="F406" s="2"/>
      <c r="G406" s="2" t="str">
        <f t="array" ref="G406">IF($C406="", "", XLOOKUP($C406, Services!$A$4:$A998, Services!$C$4:$C998))</f>
        <v/>
      </c>
      <c r="H406" s="2" t="str">
        <f t="shared" si="1"/>
        <v>Retail</v>
      </c>
      <c r="I406" s="20"/>
      <c r="J406" s="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20"/>
      <c r="B407" s="34"/>
      <c r="C407" s="20"/>
      <c r="D407" s="35"/>
      <c r="E407" s="36"/>
      <c r="F407" s="2"/>
      <c r="G407" s="2" t="str">
        <f t="array" ref="G407">IF($C407="", "", XLOOKUP($C407, Services!$A$4:$A998, Services!$C$4:$C998))</f>
        <v/>
      </c>
      <c r="H407" s="2" t="str">
        <f t="shared" si="1"/>
        <v>Retail</v>
      </c>
      <c r="I407" s="20"/>
      <c r="J407" s="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20"/>
      <c r="B408" s="34"/>
      <c r="C408" s="20"/>
      <c r="D408" s="35"/>
      <c r="E408" s="36"/>
      <c r="F408" s="2"/>
      <c r="G408" s="2" t="str">
        <f t="array" ref="G408">IF($C408="", "", XLOOKUP($C408, Services!$A$4:$A998, Services!$C$4:$C998))</f>
        <v/>
      </c>
      <c r="H408" s="2" t="str">
        <f t="shared" si="1"/>
        <v>Retail</v>
      </c>
      <c r="I408" s="20"/>
      <c r="J408" s="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20"/>
      <c r="B409" s="34"/>
      <c r="C409" s="20"/>
      <c r="D409" s="35"/>
      <c r="E409" s="36"/>
      <c r="F409" s="2"/>
      <c r="G409" s="2" t="str">
        <f t="array" ref="G409">IF($C409="", "", XLOOKUP($C409, Services!$A$4:$A998, Services!$C$4:$C998))</f>
        <v/>
      </c>
      <c r="H409" s="2" t="str">
        <f t="shared" si="1"/>
        <v>Retail</v>
      </c>
      <c r="I409" s="20"/>
      <c r="J409" s="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20"/>
      <c r="B410" s="34"/>
      <c r="C410" s="20"/>
      <c r="D410" s="35"/>
      <c r="E410" s="36"/>
      <c r="F410" s="2"/>
      <c r="G410" s="2" t="str">
        <f t="array" ref="G410">IF($C410="", "", XLOOKUP($C410, Services!$A$4:$A998, Services!$C$4:$C998))</f>
        <v/>
      </c>
      <c r="H410" s="2" t="str">
        <f t="shared" si="1"/>
        <v>Retail</v>
      </c>
      <c r="I410" s="20"/>
      <c r="J410" s="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20"/>
      <c r="B411" s="34"/>
      <c r="C411" s="20"/>
      <c r="D411" s="35"/>
      <c r="E411" s="36"/>
      <c r="F411" s="2"/>
      <c r="G411" s="2" t="str">
        <f t="array" ref="G411">IF($C411="", "", XLOOKUP($C411, Services!$A$4:$A998, Services!$C$4:$C998))</f>
        <v/>
      </c>
      <c r="H411" s="2" t="str">
        <f t="shared" si="1"/>
        <v>Retail</v>
      </c>
      <c r="I411" s="20"/>
      <c r="J411" s="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20"/>
      <c r="B412" s="34"/>
      <c r="C412" s="20"/>
      <c r="D412" s="35"/>
      <c r="E412" s="36"/>
      <c r="F412" s="2"/>
      <c r="G412" s="2" t="str">
        <f t="array" ref="G412">IF($C412="", "", XLOOKUP($C412, Services!$A$4:$A998, Services!$C$4:$C998))</f>
        <v/>
      </c>
      <c r="H412" s="2" t="str">
        <f t="shared" si="1"/>
        <v>Retail</v>
      </c>
      <c r="I412" s="20"/>
      <c r="J412" s="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20"/>
      <c r="B413" s="34"/>
      <c r="C413" s="20"/>
      <c r="D413" s="35"/>
      <c r="E413" s="36"/>
      <c r="F413" s="2"/>
      <c r="G413" s="2" t="str">
        <f t="array" ref="G413">IF($C413="", "", XLOOKUP($C413, Services!$A$4:$A998, Services!$C$4:$C998))</f>
        <v/>
      </c>
      <c r="H413" s="2" t="str">
        <f t="shared" si="1"/>
        <v>Retail</v>
      </c>
      <c r="I413" s="20"/>
      <c r="J413" s="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20"/>
      <c r="B414" s="34"/>
      <c r="C414" s="20"/>
      <c r="D414" s="35"/>
      <c r="E414" s="36"/>
      <c r="F414" s="2"/>
      <c r="G414" s="2" t="str">
        <f t="array" ref="G414">IF($C414="", "", XLOOKUP($C414, Services!$A$4:$A998, Services!$C$4:$C998))</f>
        <v/>
      </c>
      <c r="H414" s="2" t="str">
        <f t="shared" si="1"/>
        <v>Retail</v>
      </c>
      <c r="I414" s="20"/>
      <c r="J414" s="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20"/>
      <c r="B415" s="34"/>
      <c r="C415" s="20"/>
      <c r="D415" s="35"/>
      <c r="E415" s="36"/>
      <c r="F415" s="2"/>
      <c r="G415" s="2" t="str">
        <f t="array" ref="G415">IF($C415="", "", XLOOKUP($C415, Services!$A$4:$A998, Services!$C$4:$C998))</f>
        <v/>
      </c>
      <c r="H415" s="2" t="str">
        <f t="shared" si="1"/>
        <v>Retail</v>
      </c>
      <c r="I415" s="20"/>
      <c r="J415" s="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20"/>
      <c r="B416" s="34"/>
      <c r="C416" s="20"/>
      <c r="D416" s="35"/>
      <c r="E416" s="36"/>
      <c r="F416" s="2"/>
      <c r="G416" s="2" t="str">
        <f t="array" ref="G416">IF($C416="", "", XLOOKUP($C416, Services!$A$4:$A998, Services!$C$4:$C998))</f>
        <v/>
      </c>
      <c r="H416" s="2" t="str">
        <f t="shared" si="1"/>
        <v>Retail</v>
      </c>
      <c r="I416" s="20"/>
      <c r="J416" s="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20"/>
      <c r="B417" s="34"/>
      <c r="C417" s="20"/>
      <c r="D417" s="35"/>
      <c r="E417" s="36"/>
      <c r="F417" s="2"/>
      <c r="G417" s="2" t="str">
        <f t="array" ref="G417">IF($C417="", "", XLOOKUP($C417, Services!$A$4:$A998, Services!$C$4:$C998))</f>
        <v/>
      </c>
      <c r="H417" s="2" t="str">
        <f t="shared" si="1"/>
        <v>Retail</v>
      </c>
      <c r="I417" s="20"/>
      <c r="J417" s="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20"/>
      <c r="B418" s="34"/>
      <c r="C418" s="20"/>
      <c r="D418" s="35"/>
      <c r="E418" s="36"/>
      <c r="F418" s="2"/>
      <c r="G418" s="2" t="str">
        <f t="array" ref="G418">IF($C418="", "", XLOOKUP($C418, Services!$A$4:$A998, Services!$C$4:$C998))</f>
        <v/>
      </c>
      <c r="H418" s="2" t="str">
        <f t="shared" si="1"/>
        <v>Retail</v>
      </c>
      <c r="I418" s="20"/>
      <c r="J418" s="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20"/>
      <c r="B419" s="34"/>
      <c r="C419" s="20"/>
      <c r="D419" s="35"/>
      <c r="E419" s="36"/>
      <c r="F419" s="2"/>
      <c r="G419" s="2" t="str">
        <f t="array" ref="G419">IF($C419="", "", XLOOKUP($C419, Services!$A$4:$A998, Services!$C$4:$C998))</f>
        <v/>
      </c>
      <c r="H419" s="2" t="str">
        <f t="shared" si="1"/>
        <v>Retail</v>
      </c>
      <c r="I419" s="20"/>
      <c r="J419" s="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20"/>
      <c r="B420" s="34"/>
      <c r="C420" s="20"/>
      <c r="D420" s="35"/>
      <c r="E420" s="36"/>
      <c r="F420" s="2"/>
      <c r="G420" s="2" t="str">
        <f t="array" ref="G420">IF($C420="", "", XLOOKUP($C420, Services!$A$4:$A998, Services!$C$4:$C998))</f>
        <v/>
      </c>
      <c r="H420" s="2" t="str">
        <f t="shared" si="1"/>
        <v>Retail</v>
      </c>
      <c r="I420" s="20"/>
      <c r="J420" s="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20"/>
      <c r="B421" s="34"/>
      <c r="C421" s="20"/>
      <c r="D421" s="35"/>
      <c r="E421" s="36"/>
      <c r="F421" s="2"/>
      <c r="G421" s="2" t="str">
        <f t="array" ref="G421">IF($C421="", "", XLOOKUP($C421, Services!$A$4:$A998, Services!$C$4:$C998))</f>
        <v/>
      </c>
      <c r="H421" s="2" t="str">
        <f t="shared" si="1"/>
        <v>Retail</v>
      </c>
      <c r="I421" s="20"/>
      <c r="J421" s="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20"/>
      <c r="B422" s="34"/>
      <c r="C422" s="20"/>
      <c r="D422" s="35"/>
      <c r="E422" s="36"/>
      <c r="F422" s="2"/>
      <c r="G422" s="2" t="str">
        <f t="array" ref="G422">IF($C422="", "", XLOOKUP($C422, Services!$A$4:$A998, Services!$C$4:$C998))</f>
        <v/>
      </c>
      <c r="H422" s="2" t="str">
        <f t="shared" si="1"/>
        <v>Retail</v>
      </c>
      <c r="I422" s="20"/>
      <c r="J422" s="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20"/>
      <c r="B423" s="34"/>
      <c r="C423" s="20"/>
      <c r="D423" s="35"/>
      <c r="E423" s="36"/>
      <c r="F423" s="2"/>
      <c r="G423" s="2" t="str">
        <f t="array" ref="G423">IF($C423="", "", XLOOKUP($C423, Services!$A$4:$A998, Services!$C$4:$C998))</f>
        <v/>
      </c>
      <c r="H423" s="2" t="str">
        <f t="shared" si="1"/>
        <v>Retail</v>
      </c>
      <c r="I423" s="20"/>
      <c r="J423" s="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20"/>
      <c r="B424" s="34"/>
      <c r="C424" s="20"/>
      <c r="D424" s="35"/>
      <c r="E424" s="36"/>
      <c r="F424" s="2"/>
      <c r="G424" s="2" t="str">
        <f t="array" ref="G424">IF($C424="", "", XLOOKUP($C424, Services!$A$4:$A998, Services!$C$4:$C998))</f>
        <v/>
      </c>
      <c r="H424" s="2" t="str">
        <f t="shared" si="1"/>
        <v>Retail</v>
      </c>
      <c r="I424" s="20"/>
      <c r="J424" s="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20"/>
      <c r="B425" s="34"/>
      <c r="C425" s="20"/>
      <c r="D425" s="35"/>
      <c r="E425" s="36"/>
      <c r="F425" s="2"/>
      <c r="G425" s="2" t="str">
        <f t="array" ref="G425">IF($C425="", "", XLOOKUP($C425, Services!$A$4:$A998, Services!$C$4:$C998))</f>
        <v/>
      </c>
      <c r="H425" s="2" t="str">
        <f t="shared" si="1"/>
        <v>Retail</v>
      </c>
      <c r="I425" s="20"/>
      <c r="J425" s="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20"/>
      <c r="B426" s="34"/>
      <c r="C426" s="20"/>
      <c r="D426" s="35"/>
      <c r="E426" s="36"/>
      <c r="F426" s="2"/>
      <c r="G426" s="2" t="str">
        <f t="array" ref="G426">IF($C426="", "", XLOOKUP($C426, Services!$A$4:$A998, Services!$C$4:$C998))</f>
        <v/>
      </c>
      <c r="H426" s="2" t="str">
        <f t="shared" si="1"/>
        <v>Retail</v>
      </c>
      <c r="I426" s="20"/>
      <c r="J426" s="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20"/>
      <c r="B427" s="34"/>
      <c r="C427" s="20"/>
      <c r="D427" s="35"/>
      <c r="E427" s="36"/>
      <c r="F427" s="2"/>
      <c r="G427" s="2" t="str">
        <f t="array" ref="G427">IF($C427="", "", XLOOKUP($C427, Services!$A$4:$A998, Services!$C$4:$C998))</f>
        <v/>
      </c>
      <c r="H427" s="2" t="str">
        <f t="shared" si="1"/>
        <v>Retail</v>
      </c>
      <c r="I427" s="20"/>
      <c r="J427" s="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20"/>
      <c r="B428" s="34"/>
      <c r="C428" s="20"/>
      <c r="D428" s="35"/>
      <c r="E428" s="36"/>
      <c r="F428" s="2"/>
      <c r="G428" s="2" t="str">
        <f t="array" ref="G428">IF($C428="", "", XLOOKUP($C428, Services!$A$4:$A998, Services!$C$4:$C998))</f>
        <v/>
      </c>
      <c r="H428" s="2" t="str">
        <f t="shared" si="1"/>
        <v>Retail</v>
      </c>
      <c r="I428" s="20"/>
      <c r="J428" s="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20"/>
      <c r="B429" s="34"/>
      <c r="C429" s="20"/>
      <c r="D429" s="35"/>
      <c r="E429" s="36"/>
      <c r="F429" s="2"/>
      <c r="G429" s="2" t="str">
        <f t="array" ref="G429">IF($C429="", "", XLOOKUP($C429, Services!$A$4:$A998, Services!$C$4:$C998))</f>
        <v/>
      </c>
      <c r="H429" s="2" t="str">
        <f t="shared" si="1"/>
        <v>Retail</v>
      </c>
      <c r="I429" s="20"/>
      <c r="J429" s="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20"/>
      <c r="B430" s="34"/>
      <c r="C430" s="20"/>
      <c r="D430" s="35"/>
      <c r="E430" s="36"/>
      <c r="F430" s="2"/>
      <c r="G430" s="2" t="str">
        <f t="array" ref="G430">IF($C430="", "", XLOOKUP($C430, Services!$A$4:$A998, Services!$C$4:$C998))</f>
        <v/>
      </c>
      <c r="H430" s="2" t="str">
        <f t="shared" si="1"/>
        <v>Retail</v>
      </c>
      <c r="I430" s="20"/>
      <c r="J430" s="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20"/>
      <c r="B431" s="34"/>
      <c r="C431" s="20"/>
      <c r="D431" s="35"/>
      <c r="E431" s="36"/>
      <c r="F431" s="2"/>
      <c r="G431" s="2" t="str">
        <f t="array" ref="G431">IF($C431="", "", XLOOKUP($C431, Services!$A$4:$A998, Services!$C$4:$C998))</f>
        <v/>
      </c>
      <c r="H431" s="2" t="str">
        <f t="shared" si="1"/>
        <v>Retail</v>
      </c>
      <c r="I431" s="20"/>
      <c r="J431" s="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20"/>
      <c r="B432" s="34"/>
      <c r="C432" s="20"/>
      <c r="D432" s="35"/>
      <c r="E432" s="36"/>
      <c r="F432" s="2"/>
      <c r="G432" s="2" t="str">
        <f t="array" ref="G432">IF($C432="", "", XLOOKUP($C432, Services!$A$4:$A998, Services!$C$4:$C998))</f>
        <v/>
      </c>
      <c r="H432" s="2" t="str">
        <f t="shared" si="1"/>
        <v>Retail</v>
      </c>
      <c r="I432" s="20"/>
      <c r="J432" s="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20"/>
      <c r="B433" s="34"/>
      <c r="C433" s="20"/>
      <c r="D433" s="35"/>
      <c r="E433" s="36"/>
      <c r="F433" s="2"/>
      <c r="G433" s="2" t="str">
        <f t="array" ref="G433">IF($C433="", "", XLOOKUP($C433, Services!$A$4:$A998, Services!$C$4:$C998))</f>
        <v/>
      </c>
      <c r="H433" s="2" t="str">
        <f t="shared" si="1"/>
        <v>Retail</v>
      </c>
      <c r="I433" s="20"/>
      <c r="J433" s="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20"/>
      <c r="B434" s="34"/>
      <c r="C434" s="20"/>
      <c r="D434" s="35"/>
      <c r="E434" s="36"/>
      <c r="F434" s="2"/>
      <c r="G434" s="2" t="str">
        <f t="array" ref="G434">IF($C434="", "", XLOOKUP($C434, Services!$A$4:$A998, Services!$C$4:$C998))</f>
        <v/>
      </c>
      <c r="H434" s="2" t="str">
        <f t="shared" si="1"/>
        <v>Retail</v>
      </c>
      <c r="I434" s="20"/>
      <c r="J434" s="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20"/>
      <c r="B435" s="34"/>
      <c r="C435" s="20"/>
      <c r="D435" s="35"/>
      <c r="E435" s="36"/>
      <c r="F435" s="2"/>
      <c r="G435" s="2" t="str">
        <f t="array" ref="G435">IF($C435="", "", XLOOKUP($C435, Services!$A$4:$A998, Services!$C$4:$C998))</f>
        <v/>
      </c>
      <c r="H435" s="2" t="str">
        <f t="shared" si="1"/>
        <v>Retail</v>
      </c>
      <c r="I435" s="20"/>
      <c r="J435" s="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20"/>
      <c r="B436" s="34"/>
      <c r="C436" s="20"/>
      <c r="D436" s="35"/>
      <c r="E436" s="36"/>
      <c r="F436" s="2"/>
      <c r="G436" s="2" t="str">
        <f t="array" ref="G436">IF($C436="", "", XLOOKUP($C436, Services!$A$4:$A998, Services!$C$4:$C998))</f>
        <v/>
      </c>
      <c r="H436" s="2" t="str">
        <f t="shared" si="1"/>
        <v>Retail</v>
      </c>
      <c r="I436" s="20"/>
      <c r="J436" s="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20"/>
      <c r="B437" s="34"/>
      <c r="C437" s="20"/>
      <c r="D437" s="35"/>
      <c r="E437" s="36"/>
      <c r="F437" s="2"/>
      <c r="G437" s="2" t="str">
        <f t="array" ref="G437">IF($C437="", "", XLOOKUP($C437, Services!$A$4:$A998, Services!$C$4:$C998))</f>
        <v/>
      </c>
      <c r="H437" s="2" t="str">
        <f t="shared" si="1"/>
        <v>Retail</v>
      </c>
      <c r="I437" s="20"/>
      <c r="J437" s="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20"/>
      <c r="B438" s="34"/>
      <c r="C438" s="20"/>
      <c r="D438" s="35"/>
      <c r="E438" s="36"/>
      <c r="F438" s="2"/>
      <c r="G438" s="2" t="str">
        <f t="array" ref="G438">IF($C438="", "", XLOOKUP($C438, Services!$A$4:$A998, Services!$C$4:$C998))</f>
        <v/>
      </c>
      <c r="H438" s="2" t="str">
        <f t="shared" si="1"/>
        <v>Retail</v>
      </c>
      <c r="I438" s="20"/>
      <c r="J438" s="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20"/>
      <c r="B439" s="34"/>
      <c r="C439" s="20"/>
      <c r="D439" s="35"/>
      <c r="E439" s="36"/>
      <c r="F439" s="2"/>
      <c r="G439" s="2" t="str">
        <f t="array" ref="G439">IF($C439="", "", XLOOKUP($C439, Services!$A$4:$A998, Services!$C$4:$C998))</f>
        <v/>
      </c>
      <c r="H439" s="2" t="str">
        <f t="shared" si="1"/>
        <v>Retail</v>
      </c>
      <c r="I439" s="20"/>
      <c r="J439" s="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20"/>
      <c r="B440" s="34"/>
      <c r="C440" s="20"/>
      <c r="D440" s="35"/>
      <c r="E440" s="36"/>
      <c r="F440" s="2"/>
      <c r="G440" s="2" t="str">
        <f t="array" ref="G440">IF($C440="", "", XLOOKUP($C440, Services!$A$4:$A998, Services!$C$4:$C998))</f>
        <v/>
      </c>
      <c r="H440" s="2" t="str">
        <f t="shared" si="1"/>
        <v>Retail</v>
      </c>
      <c r="I440" s="20"/>
      <c r="J440" s="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20"/>
      <c r="B441" s="34"/>
      <c r="C441" s="20"/>
      <c r="D441" s="35"/>
      <c r="E441" s="36"/>
      <c r="F441" s="2"/>
      <c r="G441" s="2" t="str">
        <f t="array" ref="G441">IF($C441="", "", XLOOKUP($C441, Services!$A$4:$A998, Services!$C$4:$C998))</f>
        <v/>
      </c>
      <c r="H441" s="2" t="str">
        <f t="shared" si="1"/>
        <v>Retail</v>
      </c>
      <c r="I441" s="20"/>
      <c r="J441" s="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20"/>
      <c r="B442" s="34"/>
      <c r="C442" s="20"/>
      <c r="D442" s="35"/>
      <c r="E442" s="36"/>
      <c r="F442" s="2"/>
      <c r="G442" s="2" t="str">
        <f t="array" ref="G442">IF($C442="", "", XLOOKUP($C442, Services!$A$4:$A998, Services!$C$4:$C998))</f>
        <v/>
      </c>
      <c r="H442" s="2" t="str">
        <f t="shared" si="1"/>
        <v>Retail</v>
      </c>
      <c r="I442" s="20"/>
      <c r="J442" s="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20"/>
      <c r="B443" s="34"/>
      <c r="C443" s="20"/>
      <c r="D443" s="35"/>
      <c r="E443" s="36"/>
      <c r="F443" s="2"/>
      <c r="G443" s="2" t="str">
        <f t="array" ref="G443">IF($C443="", "", XLOOKUP($C443, Services!$A$4:$A998, Services!$C$4:$C998))</f>
        <v/>
      </c>
      <c r="H443" s="2" t="str">
        <f t="shared" si="1"/>
        <v>Retail</v>
      </c>
      <c r="I443" s="20"/>
      <c r="J443" s="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20"/>
      <c r="B444" s="34"/>
      <c r="C444" s="20"/>
      <c r="D444" s="35"/>
      <c r="E444" s="36"/>
      <c r="F444" s="2"/>
      <c r="G444" s="2" t="str">
        <f t="array" ref="G444">IF($C444="", "", XLOOKUP($C444, Services!$A$4:$A998, Services!$C$4:$C998))</f>
        <v/>
      </c>
      <c r="H444" s="2" t="str">
        <f t="shared" si="1"/>
        <v>Retail</v>
      </c>
      <c r="I444" s="20"/>
      <c r="J444" s="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20"/>
      <c r="B445" s="34"/>
      <c r="C445" s="20"/>
      <c r="D445" s="35"/>
      <c r="E445" s="36"/>
      <c r="F445" s="2"/>
      <c r="G445" s="2" t="str">
        <f t="array" ref="G445">IF($C445="", "", XLOOKUP($C445, Services!$A$4:$A998, Services!$C$4:$C998))</f>
        <v/>
      </c>
      <c r="H445" s="2" t="str">
        <f t="shared" si="1"/>
        <v>Retail</v>
      </c>
      <c r="I445" s="20"/>
      <c r="J445" s="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20"/>
      <c r="B446" s="34"/>
      <c r="C446" s="20"/>
      <c r="D446" s="35"/>
      <c r="E446" s="36"/>
      <c r="F446" s="2"/>
      <c r="G446" s="2" t="str">
        <f t="array" ref="G446">IF($C446="", "", XLOOKUP($C446, Services!$A$4:$A998, Services!$C$4:$C998))</f>
        <v/>
      </c>
      <c r="H446" s="2" t="str">
        <f t="shared" si="1"/>
        <v>Retail</v>
      </c>
      <c r="I446" s="20"/>
      <c r="J446" s="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20"/>
      <c r="B447" s="34"/>
      <c r="C447" s="20"/>
      <c r="D447" s="35"/>
      <c r="E447" s="36"/>
      <c r="F447" s="2"/>
      <c r="G447" s="2" t="str">
        <f t="array" ref="G447">IF($C447="", "", XLOOKUP($C447, Services!$A$4:$A998, Services!$C$4:$C998))</f>
        <v/>
      </c>
      <c r="H447" s="2" t="str">
        <f t="shared" si="1"/>
        <v>Retail</v>
      </c>
      <c r="I447" s="20"/>
      <c r="J447" s="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20"/>
      <c r="B448" s="34"/>
      <c r="C448" s="20"/>
      <c r="D448" s="35"/>
      <c r="E448" s="36"/>
      <c r="F448" s="2"/>
      <c r="G448" s="2" t="str">
        <f t="array" ref="G448">IF($C448="", "", XLOOKUP($C448, Services!$A$4:$A998, Services!$C$4:$C998))</f>
        <v/>
      </c>
      <c r="H448" s="2" t="str">
        <f t="shared" si="1"/>
        <v>Retail</v>
      </c>
      <c r="I448" s="20"/>
      <c r="J448" s="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20"/>
      <c r="B449" s="34"/>
      <c r="C449" s="20"/>
      <c r="D449" s="35"/>
      <c r="E449" s="36"/>
      <c r="F449" s="2"/>
      <c r="G449" s="2" t="str">
        <f t="array" ref="G449">IF($C449="", "", XLOOKUP($C449, Services!$A$4:$A998, Services!$C$4:$C998))</f>
        <v/>
      </c>
      <c r="H449" s="2" t="str">
        <f t="shared" si="1"/>
        <v>Retail</v>
      </c>
      <c r="I449" s="20"/>
      <c r="J449" s="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20"/>
      <c r="B450" s="34"/>
      <c r="C450" s="20"/>
      <c r="D450" s="35"/>
      <c r="E450" s="36"/>
      <c r="F450" s="2"/>
      <c r="G450" s="2" t="str">
        <f t="array" ref="G450">IF($C450="", "", XLOOKUP($C450, Services!$A$4:$A998, Services!$C$4:$C998))</f>
        <v/>
      </c>
      <c r="H450" s="2" t="str">
        <f t="shared" si="1"/>
        <v>Retail</v>
      </c>
      <c r="I450" s="20"/>
      <c r="J450" s="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20"/>
      <c r="B451" s="34"/>
      <c r="C451" s="20"/>
      <c r="D451" s="35"/>
      <c r="E451" s="36"/>
      <c r="F451" s="2"/>
      <c r="G451" s="2" t="str">
        <f t="array" ref="G451">IF($C451="", "", XLOOKUP($C451, Services!$A$4:$A998, Services!$C$4:$C998))</f>
        <v/>
      </c>
      <c r="H451" s="2" t="str">
        <f t="shared" si="1"/>
        <v>Retail</v>
      </c>
      <c r="I451" s="20"/>
      <c r="J451" s="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20"/>
      <c r="B452" s="34"/>
      <c r="C452" s="20"/>
      <c r="D452" s="35"/>
      <c r="E452" s="36"/>
      <c r="F452" s="2"/>
      <c r="G452" s="2" t="str">
        <f t="array" ref="G452">IF($C452="", "", XLOOKUP($C452, Services!$A$4:$A998, Services!$C$4:$C998))</f>
        <v/>
      </c>
      <c r="H452" s="2" t="str">
        <f t="shared" si="1"/>
        <v>Retail</v>
      </c>
      <c r="I452" s="20"/>
      <c r="J452" s="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20"/>
      <c r="B453" s="34"/>
      <c r="C453" s="20"/>
      <c r="D453" s="35"/>
      <c r="E453" s="36"/>
      <c r="F453" s="2"/>
      <c r="G453" s="2" t="str">
        <f t="array" ref="G453">IF($C453="", "", XLOOKUP($C453, Services!$A$4:$A998, Services!$C$4:$C998))</f>
        <v/>
      </c>
      <c r="H453" s="2" t="str">
        <f t="shared" si="1"/>
        <v>Retail</v>
      </c>
      <c r="I453" s="20"/>
      <c r="J453" s="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20"/>
      <c r="B454" s="34"/>
      <c r="C454" s="20"/>
      <c r="D454" s="35"/>
      <c r="E454" s="36"/>
      <c r="F454" s="2"/>
      <c r="G454" s="2" t="str">
        <f t="array" ref="G454">IF($C454="", "", XLOOKUP($C454, Services!$A$4:$A998, Services!$C$4:$C998))</f>
        <v/>
      </c>
      <c r="H454" s="2" t="str">
        <f t="shared" si="1"/>
        <v>Retail</v>
      </c>
      <c r="I454" s="20"/>
      <c r="J454" s="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20"/>
      <c r="B455" s="34"/>
      <c r="C455" s="20"/>
      <c r="D455" s="35"/>
      <c r="E455" s="36"/>
      <c r="F455" s="2"/>
      <c r="G455" s="2" t="str">
        <f t="array" ref="G455">IF($C455="", "", XLOOKUP($C455, Services!$A$4:$A998, Services!$C$4:$C998))</f>
        <v/>
      </c>
      <c r="H455" s="2" t="str">
        <f t="shared" si="1"/>
        <v>Retail</v>
      </c>
      <c r="I455" s="20"/>
      <c r="J455" s="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20"/>
      <c r="B456" s="34"/>
      <c r="C456" s="20"/>
      <c r="D456" s="35"/>
      <c r="E456" s="36"/>
      <c r="F456" s="2"/>
      <c r="G456" s="2" t="str">
        <f t="array" ref="G456">IF($C456="", "", XLOOKUP($C456, Services!$A$4:$A998, Services!$C$4:$C998))</f>
        <v/>
      </c>
      <c r="H456" s="2" t="str">
        <f t="shared" si="1"/>
        <v>Retail</v>
      </c>
      <c r="I456" s="20"/>
      <c r="J456" s="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20"/>
      <c r="B457" s="34"/>
      <c r="C457" s="20"/>
      <c r="D457" s="35"/>
      <c r="E457" s="36"/>
      <c r="F457" s="2"/>
      <c r="G457" s="2" t="str">
        <f t="array" ref="G457">IF($C457="", "", XLOOKUP($C457, Services!$A$4:$A998, Services!$C$4:$C998))</f>
        <v/>
      </c>
      <c r="H457" s="2" t="str">
        <f t="shared" si="1"/>
        <v>Retail</v>
      </c>
      <c r="I457" s="20"/>
      <c r="J457" s="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20"/>
      <c r="B458" s="34"/>
      <c r="C458" s="20"/>
      <c r="D458" s="35"/>
      <c r="E458" s="36"/>
      <c r="F458" s="2"/>
      <c r="G458" s="2" t="str">
        <f t="array" ref="G458">IF($C458="", "", XLOOKUP($C458, Services!$A$4:$A998, Services!$C$4:$C998))</f>
        <v/>
      </c>
      <c r="H458" s="2" t="str">
        <f t="shared" si="1"/>
        <v>Retail</v>
      </c>
      <c r="I458" s="20"/>
      <c r="J458" s="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20"/>
      <c r="B459" s="34"/>
      <c r="C459" s="20"/>
      <c r="D459" s="35"/>
      <c r="E459" s="36"/>
      <c r="F459" s="2"/>
      <c r="G459" s="2" t="str">
        <f t="array" ref="G459">IF($C459="", "", XLOOKUP($C459, Services!$A$4:$A998, Services!$C$4:$C998))</f>
        <v/>
      </c>
      <c r="H459" s="2" t="str">
        <f t="shared" si="1"/>
        <v>Retail</v>
      </c>
      <c r="I459" s="20"/>
      <c r="J459" s="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20"/>
      <c r="B460" s="34"/>
      <c r="C460" s="20"/>
      <c r="D460" s="35"/>
      <c r="E460" s="36"/>
      <c r="F460" s="2"/>
      <c r="G460" s="2" t="str">
        <f t="array" ref="G460">IF($C460="", "", XLOOKUP($C460, Services!$A$4:$A998, Services!$C$4:$C998))</f>
        <v/>
      </c>
      <c r="H460" s="2" t="str">
        <f t="shared" si="1"/>
        <v>Retail</v>
      </c>
      <c r="I460" s="20"/>
      <c r="J460" s="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20"/>
      <c r="B461" s="34"/>
      <c r="C461" s="20"/>
      <c r="D461" s="35"/>
      <c r="E461" s="36"/>
      <c r="F461" s="2"/>
      <c r="G461" s="2" t="str">
        <f t="array" ref="G461">IF($C461="", "", XLOOKUP($C461, Services!$A$4:$A998, Services!$C$4:$C998))</f>
        <v/>
      </c>
      <c r="H461" s="2" t="str">
        <f t="shared" si="1"/>
        <v>Retail</v>
      </c>
      <c r="I461" s="20"/>
      <c r="J461" s="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20"/>
      <c r="B462" s="34"/>
      <c r="C462" s="20"/>
      <c r="D462" s="35"/>
      <c r="E462" s="36"/>
      <c r="F462" s="2"/>
      <c r="G462" s="2" t="str">
        <f t="array" ref="G462">IF($C462="", "", XLOOKUP($C462, Services!$A$4:$A998, Services!$C$4:$C998))</f>
        <v/>
      </c>
      <c r="H462" s="2" t="str">
        <f t="shared" si="1"/>
        <v>Retail</v>
      </c>
      <c r="I462" s="20"/>
      <c r="J462" s="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20"/>
      <c r="B463" s="34"/>
      <c r="C463" s="20"/>
      <c r="D463" s="35"/>
      <c r="E463" s="36"/>
      <c r="F463" s="2"/>
      <c r="G463" s="2" t="str">
        <f t="array" ref="G463">IF($C463="", "", XLOOKUP($C463, Services!$A$4:$A998, Services!$C$4:$C998))</f>
        <v/>
      </c>
      <c r="H463" s="2" t="str">
        <f t="shared" si="1"/>
        <v>Retail</v>
      </c>
      <c r="I463" s="20"/>
      <c r="J463" s="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20"/>
      <c r="B464" s="34"/>
      <c r="C464" s="20"/>
      <c r="D464" s="35"/>
      <c r="E464" s="36"/>
      <c r="F464" s="2"/>
      <c r="G464" s="2" t="str">
        <f t="array" ref="G464">IF($C464="", "", XLOOKUP($C464, Services!$A$4:$A998, Services!$C$4:$C998))</f>
        <v/>
      </c>
      <c r="H464" s="2" t="str">
        <f t="shared" si="1"/>
        <v>Retail</v>
      </c>
      <c r="I464" s="20"/>
      <c r="J464" s="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20"/>
      <c r="B465" s="34"/>
      <c r="C465" s="20"/>
      <c r="D465" s="35"/>
      <c r="E465" s="36"/>
      <c r="F465" s="2"/>
      <c r="G465" s="2" t="str">
        <f t="array" ref="G465">IF($C465="", "", XLOOKUP($C465, Services!$A$4:$A998, Services!$C$4:$C998))</f>
        <v/>
      </c>
      <c r="H465" s="2" t="str">
        <f t="shared" si="1"/>
        <v>Retail</v>
      </c>
      <c r="I465" s="20"/>
      <c r="J465" s="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20"/>
      <c r="B466" s="34"/>
      <c r="C466" s="20"/>
      <c r="D466" s="35"/>
      <c r="E466" s="36"/>
      <c r="F466" s="2"/>
      <c r="G466" s="2" t="str">
        <f t="array" ref="G466">IF($C466="", "", XLOOKUP($C466, Services!$A$4:$A998, Services!$C$4:$C998))</f>
        <v/>
      </c>
      <c r="H466" s="2" t="str">
        <f t="shared" si="1"/>
        <v>Retail</v>
      </c>
      <c r="I466" s="20"/>
      <c r="J466" s="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20"/>
      <c r="B467" s="34"/>
      <c r="C467" s="20"/>
      <c r="D467" s="35"/>
      <c r="E467" s="36"/>
      <c r="F467" s="2"/>
      <c r="G467" s="2" t="str">
        <f t="array" ref="G467">IF($C467="", "", XLOOKUP($C467, Services!$A$4:$A998, Services!$C$4:$C998))</f>
        <v/>
      </c>
      <c r="H467" s="2" t="str">
        <f t="shared" si="1"/>
        <v>Retail</v>
      </c>
      <c r="I467" s="20"/>
      <c r="J467" s="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20"/>
      <c r="B468" s="34"/>
      <c r="C468" s="20"/>
      <c r="D468" s="35"/>
      <c r="E468" s="36"/>
      <c r="F468" s="2"/>
      <c r="G468" s="2" t="str">
        <f t="array" ref="G468">IF($C468="", "", XLOOKUP($C468, Services!$A$4:$A998, Services!$C$4:$C998))</f>
        <v/>
      </c>
      <c r="H468" s="2" t="str">
        <f t="shared" si="1"/>
        <v>Retail</v>
      </c>
      <c r="I468" s="20"/>
      <c r="J468" s="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20"/>
      <c r="B469" s="34"/>
      <c r="C469" s="20"/>
      <c r="D469" s="35"/>
      <c r="E469" s="36"/>
      <c r="F469" s="2"/>
      <c r="G469" s="2" t="str">
        <f t="array" ref="G469">IF($C469="", "", XLOOKUP($C469, Services!$A$4:$A998, Services!$C$4:$C998))</f>
        <v/>
      </c>
      <c r="H469" s="2" t="str">
        <f t="shared" si="1"/>
        <v>Retail</v>
      </c>
      <c r="I469" s="20"/>
      <c r="J469" s="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20"/>
      <c r="B470" s="34"/>
      <c r="C470" s="20"/>
      <c r="D470" s="35"/>
      <c r="E470" s="36"/>
      <c r="F470" s="2"/>
      <c r="G470" s="2" t="str">
        <f t="array" ref="G470">IF($C470="", "", XLOOKUP($C470, Services!$A$4:$A998, Services!$C$4:$C998))</f>
        <v/>
      </c>
      <c r="H470" s="2" t="str">
        <f t="shared" si="1"/>
        <v>Retail</v>
      </c>
      <c r="I470" s="20"/>
      <c r="J470" s="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20"/>
      <c r="B471" s="34"/>
      <c r="C471" s="20"/>
      <c r="D471" s="35"/>
      <c r="E471" s="36"/>
      <c r="F471" s="2"/>
      <c r="G471" s="2" t="str">
        <f t="array" ref="G471">IF($C471="", "", XLOOKUP($C471, Services!$A$4:$A998, Services!$C$4:$C998))</f>
        <v/>
      </c>
      <c r="H471" s="2" t="str">
        <f t="shared" si="1"/>
        <v>Retail</v>
      </c>
      <c r="I471" s="20"/>
      <c r="J471" s="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20"/>
      <c r="B472" s="34"/>
      <c r="C472" s="20"/>
      <c r="D472" s="35"/>
      <c r="E472" s="36"/>
      <c r="F472" s="2"/>
      <c r="G472" s="2" t="str">
        <f t="array" ref="G472">IF($C472="", "", XLOOKUP($C472, Services!$A$4:$A998, Services!$C$4:$C998))</f>
        <v/>
      </c>
      <c r="H472" s="2" t="str">
        <f t="shared" si="1"/>
        <v>Retail</v>
      </c>
      <c r="I472" s="20"/>
      <c r="J472" s="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20"/>
      <c r="B473" s="34"/>
      <c r="C473" s="20"/>
      <c r="D473" s="35"/>
      <c r="E473" s="36"/>
      <c r="F473" s="2"/>
      <c r="G473" s="2" t="str">
        <f t="array" ref="G473">IF($C473="", "", XLOOKUP($C473, Services!$A$4:$A998, Services!$C$4:$C998))</f>
        <v/>
      </c>
      <c r="H473" s="2" t="str">
        <f t="shared" si="1"/>
        <v>Retail</v>
      </c>
      <c r="I473" s="20"/>
      <c r="J473" s="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20"/>
      <c r="B474" s="34"/>
      <c r="C474" s="20"/>
      <c r="D474" s="35"/>
      <c r="E474" s="36"/>
      <c r="F474" s="2"/>
      <c r="G474" s="2" t="str">
        <f t="array" ref="G474">IF($C474="", "", XLOOKUP($C474, Services!$A$4:$A998, Services!$C$4:$C998))</f>
        <v/>
      </c>
      <c r="H474" s="2" t="str">
        <f t="shared" si="1"/>
        <v>Retail</v>
      </c>
      <c r="I474" s="20"/>
      <c r="J474" s="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20"/>
      <c r="B475" s="34"/>
      <c r="C475" s="20"/>
      <c r="D475" s="35"/>
      <c r="E475" s="36"/>
      <c r="F475" s="2"/>
      <c r="G475" s="2" t="str">
        <f t="array" ref="G475">IF($C475="", "", XLOOKUP($C475, Services!$A$4:$A998, Services!$C$4:$C998))</f>
        <v/>
      </c>
      <c r="H475" s="2" t="str">
        <f t="shared" si="1"/>
        <v>Retail</v>
      </c>
      <c r="I475" s="20"/>
      <c r="J475" s="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20"/>
      <c r="B476" s="34"/>
      <c r="C476" s="20"/>
      <c r="D476" s="35"/>
      <c r="E476" s="36"/>
      <c r="F476" s="2"/>
      <c r="G476" s="2" t="str">
        <f t="array" ref="G476">IF($C476="", "", XLOOKUP($C476, Services!$A$4:$A998, Services!$C$4:$C998))</f>
        <v/>
      </c>
      <c r="H476" s="2" t="str">
        <f t="shared" si="1"/>
        <v>Retail</v>
      </c>
      <c r="I476" s="20"/>
      <c r="J476" s="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20"/>
      <c r="B477" s="34"/>
      <c r="C477" s="20"/>
      <c r="D477" s="35"/>
      <c r="E477" s="36"/>
      <c r="F477" s="2"/>
      <c r="G477" s="2" t="str">
        <f t="array" ref="G477">IF($C477="", "", XLOOKUP($C477, Services!$A$4:$A998, Services!$C$4:$C998))</f>
        <v/>
      </c>
      <c r="H477" s="2" t="str">
        <f t="shared" si="1"/>
        <v>Retail</v>
      </c>
      <c r="I477" s="20"/>
      <c r="J477" s="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20"/>
      <c r="B478" s="34"/>
      <c r="C478" s="20"/>
      <c r="D478" s="35"/>
      <c r="E478" s="36"/>
      <c r="F478" s="2"/>
      <c r="G478" s="2" t="str">
        <f t="array" ref="G478">IF($C478="", "", XLOOKUP($C478, Services!$A$4:$A998, Services!$C$4:$C998))</f>
        <v/>
      </c>
      <c r="H478" s="2" t="str">
        <f t="shared" si="1"/>
        <v>Retail</v>
      </c>
      <c r="I478" s="20"/>
      <c r="J478" s="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20"/>
      <c r="B479" s="34"/>
      <c r="C479" s="20"/>
      <c r="D479" s="35"/>
      <c r="E479" s="36"/>
      <c r="F479" s="2"/>
      <c r="G479" s="2" t="str">
        <f t="array" ref="G479">IF($C479="", "", XLOOKUP($C479, Services!$A$4:$A998, Services!$C$4:$C998))</f>
        <v/>
      </c>
      <c r="H479" s="2" t="str">
        <f t="shared" si="1"/>
        <v>Retail</v>
      </c>
      <c r="I479" s="20"/>
      <c r="J479" s="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20"/>
      <c r="B480" s="34"/>
      <c r="C480" s="20"/>
      <c r="D480" s="35"/>
      <c r="E480" s="36"/>
      <c r="F480" s="2"/>
      <c r="G480" s="2" t="str">
        <f t="array" ref="G480">IF($C480="", "", XLOOKUP($C480, Services!$A$4:$A998, Services!$C$4:$C998))</f>
        <v/>
      </c>
      <c r="H480" s="2" t="str">
        <f t="shared" si="1"/>
        <v>Retail</v>
      </c>
      <c r="I480" s="20"/>
      <c r="J480" s="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20"/>
      <c r="B481" s="34"/>
      <c r="C481" s="20"/>
      <c r="D481" s="35"/>
      <c r="E481" s="36"/>
      <c r="F481" s="2"/>
      <c r="G481" s="2" t="str">
        <f t="array" ref="G481">IF($C481="", "", XLOOKUP($C481, Services!$A$4:$A998, Services!$C$4:$C998))</f>
        <v/>
      </c>
      <c r="H481" s="2" t="str">
        <f t="shared" si="1"/>
        <v>Retail</v>
      </c>
      <c r="I481" s="20"/>
      <c r="J481" s="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20"/>
      <c r="B482" s="34"/>
      <c r="C482" s="20"/>
      <c r="D482" s="35"/>
      <c r="E482" s="36"/>
      <c r="F482" s="2"/>
      <c r="G482" s="2" t="str">
        <f t="array" ref="G482">IF($C482="", "", XLOOKUP($C482, Services!$A$4:$A998, Services!$C$4:$C998))</f>
        <v/>
      </c>
      <c r="H482" s="2" t="str">
        <f t="shared" si="1"/>
        <v>Retail</v>
      </c>
      <c r="I482" s="20"/>
      <c r="J482" s="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20"/>
      <c r="B483" s="34"/>
      <c r="C483" s="20"/>
      <c r="D483" s="35"/>
      <c r="E483" s="36"/>
      <c r="F483" s="2"/>
      <c r="G483" s="2" t="str">
        <f t="array" ref="G483">IF($C483="", "", XLOOKUP($C483, Services!$A$4:$A998, Services!$C$4:$C998))</f>
        <v/>
      </c>
      <c r="H483" s="2" t="str">
        <f t="shared" si="1"/>
        <v>Retail</v>
      </c>
      <c r="I483" s="20"/>
      <c r="J483" s="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20"/>
      <c r="B484" s="34"/>
      <c r="C484" s="20"/>
      <c r="D484" s="35"/>
      <c r="E484" s="36"/>
      <c r="F484" s="2"/>
      <c r="G484" s="2" t="str">
        <f t="array" ref="G484">IF($C484="", "", XLOOKUP($C484, Services!$A$4:$A998, Services!$C$4:$C998))</f>
        <v/>
      </c>
      <c r="H484" s="2" t="str">
        <f t="shared" si="1"/>
        <v>Retail</v>
      </c>
      <c r="I484" s="20"/>
      <c r="J484" s="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20"/>
      <c r="B485" s="34"/>
      <c r="C485" s="20"/>
      <c r="D485" s="35"/>
      <c r="E485" s="36"/>
      <c r="F485" s="2"/>
      <c r="G485" s="2" t="str">
        <f t="array" ref="G485">IF($C485="", "", XLOOKUP($C485, Services!$A$4:$A998, Services!$C$4:$C998))</f>
        <v/>
      </c>
      <c r="H485" s="2" t="str">
        <f t="shared" si="1"/>
        <v>Retail</v>
      </c>
      <c r="I485" s="20"/>
      <c r="J485" s="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20"/>
      <c r="B486" s="34"/>
      <c r="C486" s="20"/>
      <c r="D486" s="35"/>
      <c r="E486" s="36"/>
      <c r="F486" s="2"/>
      <c r="G486" s="2" t="str">
        <f t="array" ref="G486">IF($C486="", "", XLOOKUP($C486, Services!$A$4:$A998, Services!$C$4:$C998))</f>
        <v/>
      </c>
      <c r="H486" s="2" t="str">
        <f t="shared" si="1"/>
        <v>Retail</v>
      </c>
      <c r="I486" s="20"/>
      <c r="J486" s="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20"/>
      <c r="B487" s="34"/>
      <c r="C487" s="20"/>
      <c r="D487" s="35"/>
      <c r="E487" s="36"/>
      <c r="F487" s="2"/>
      <c r="G487" s="2" t="str">
        <f t="array" ref="G487">IF($C487="", "", XLOOKUP($C487, Services!$A$4:$A998, Services!$C$4:$C998))</f>
        <v/>
      </c>
      <c r="H487" s="2" t="str">
        <f t="shared" si="1"/>
        <v>Retail</v>
      </c>
      <c r="I487" s="20"/>
      <c r="J487" s="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20"/>
      <c r="B488" s="34"/>
      <c r="C488" s="20"/>
      <c r="D488" s="35"/>
      <c r="E488" s="36"/>
      <c r="F488" s="2"/>
      <c r="G488" s="2" t="str">
        <f t="array" ref="G488">IF($C488="", "", XLOOKUP($C488, Services!$A$4:$A998, Services!$C$4:$C998))</f>
        <v/>
      </c>
      <c r="H488" s="2" t="str">
        <f t="shared" si="1"/>
        <v>Retail</v>
      </c>
      <c r="I488" s="20"/>
      <c r="J488" s="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20"/>
      <c r="B489" s="34"/>
      <c r="C489" s="20"/>
      <c r="D489" s="35"/>
      <c r="E489" s="36"/>
      <c r="F489" s="2"/>
      <c r="G489" s="2" t="str">
        <f t="array" ref="G489">IF($C489="", "", XLOOKUP($C489, Services!$A$4:$A998, Services!$C$4:$C998))</f>
        <v/>
      </c>
      <c r="H489" s="2" t="str">
        <f t="shared" si="1"/>
        <v>Retail</v>
      </c>
      <c r="I489" s="20"/>
      <c r="J489" s="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20"/>
      <c r="B490" s="34"/>
      <c r="C490" s="20"/>
      <c r="D490" s="35"/>
      <c r="E490" s="36"/>
      <c r="F490" s="2"/>
      <c r="G490" s="2" t="str">
        <f t="array" ref="G490">IF($C490="", "", XLOOKUP($C490, Services!$A$4:$A998, Services!$C$4:$C998))</f>
        <v/>
      </c>
      <c r="H490" s="2" t="str">
        <f t="shared" si="1"/>
        <v>Retail</v>
      </c>
      <c r="I490" s="20"/>
      <c r="J490" s="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20"/>
      <c r="B491" s="34"/>
      <c r="C491" s="20"/>
      <c r="D491" s="35"/>
      <c r="E491" s="36"/>
      <c r="F491" s="2"/>
      <c r="G491" s="2" t="str">
        <f t="array" ref="G491">IF($C491="", "", XLOOKUP($C491, Services!$A$4:$A998, Services!$C$4:$C998))</f>
        <v/>
      </c>
      <c r="H491" s="2" t="str">
        <f t="shared" si="1"/>
        <v>Retail</v>
      </c>
      <c r="I491" s="20"/>
      <c r="J491" s="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20"/>
      <c r="B492" s="34"/>
      <c r="C492" s="20"/>
      <c r="D492" s="35"/>
      <c r="E492" s="36"/>
      <c r="F492" s="2"/>
      <c r="G492" s="2" t="str">
        <f t="array" ref="G492">IF($C492="", "", XLOOKUP($C492, Services!$A$4:$A998, Services!$C$4:$C998))</f>
        <v/>
      </c>
      <c r="H492" s="2" t="str">
        <f t="shared" si="1"/>
        <v>Retail</v>
      </c>
      <c r="I492" s="20"/>
      <c r="J492" s="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20"/>
      <c r="B493" s="34"/>
      <c r="C493" s="20"/>
      <c r="D493" s="35"/>
      <c r="E493" s="36"/>
      <c r="F493" s="2"/>
      <c r="G493" s="2" t="str">
        <f t="array" ref="G493">IF($C493="", "", XLOOKUP($C493, Services!$A$4:$A998, Services!$C$4:$C998))</f>
        <v/>
      </c>
      <c r="H493" s="2" t="str">
        <f t="shared" si="1"/>
        <v>Retail</v>
      </c>
      <c r="I493" s="20"/>
      <c r="J493" s="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20"/>
      <c r="B494" s="34"/>
      <c r="C494" s="20"/>
      <c r="D494" s="35"/>
      <c r="E494" s="36"/>
      <c r="F494" s="2"/>
      <c r="G494" s="2" t="str">
        <f t="array" ref="G494">IF($C494="", "", XLOOKUP($C494, Services!$A$4:$A998, Services!$C$4:$C998))</f>
        <v/>
      </c>
      <c r="H494" s="2" t="str">
        <f t="shared" si="1"/>
        <v>Retail</v>
      </c>
      <c r="I494" s="20"/>
      <c r="J494" s="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20"/>
      <c r="B495" s="34"/>
      <c r="C495" s="20"/>
      <c r="D495" s="35"/>
      <c r="E495" s="36"/>
      <c r="F495" s="2"/>
      <c r="G495" s="2" t="str">
        <f t="array" ref="G495">IF($C495="", "", XLOOKUP($C495, Services!$A$4:$A998, Services!$C$4:$C998))</f>
        <v/>
      </c>
      <c r="H495" s="2" t="str">
        <f t="shared" si="1"/>
        <v>Retail</v>
      </c>
      <c r="I495" s="20"/>
      <c r="J495" s="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20"/>
      <c r="B496" s="34"/>
      <c r="C496" s="20"/>
      <c r="D496" s="35"/>
      <c r="E496" s="36"/>
      <c r="F496" s="2"/>
      <c r="G496" s="2" t="str">
        <f t="array" ref="G496">IF($C496="", "", XLOOKUP($C496, Services!$A$4:$A998, Services!$C$4:$C998))</f>
        <v/>
      </c>
      <c r="H496" s="2" t="str">
        <f t="shared" si="1"/>
        <v>Retail</v>
      </c>
      <c r="I496" s="20"/>
      <c r="J496" s="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20"/>
      <c r="B497" s="34"/>
      <c r="C497" s="20"/>
      <c r="D497" s="35"/>
      <c r="E497" s="36"/>
      <c r="F497" s="2"/>
      <c r="G497" s="2" t="str">
        <f t="array" ref="G497">IF($C497="", "", XLOOKUP($C497, Services!$A$4:$A998, Services!$C$4:$C998))</f>
        <v/>
      </c>
      <c r="H497" s="2" t="str">
        <f t="shared" si="1"/>
        <v>Retail</v>
      </c>
      <c r="I497" s="20"/>
      <c r="J497" s="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20"/>
      <c r="B498" s="34"/>
      <c r="C498" s="20"/>
      <c r="D498" s="35"/>
      <c r="E498" s="36"/>
      <c r="F498" s="2"/>
      <c r="G498" s="2" t="str">
        <f t="array" ref="G498">IF($C498="", "", XLOOKUP($C498, Services!$A$4:$A998, Services!$C$4:$C998))</f>
        <v/>
      </c>
      <c r="H498" s="2" t="str">
        <f t="shared" si="1"/>
        <v>Retail</v>
      </c>
      <c r="I498" s="20"/>
      <c r="J498" s="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20"/>
      <c r="B499" s="34"/>
      <c r="C499" s="20"/>
      <c r="D499" s="35"/>
      <c r="E499" s="36"/>
      <c r="F499" s="2"/>
      <c r="G499" s="2" t="str">
        <f t="array" ref="G499">IF($C499="", "", XLOOKUP($C499, Services!$A$4:$A998, Services!$C$4:$C998))</f>
        <v/>
      </c>
      <c r="H499" s="2" t="str">
        <f t="shared" si="1"/>
        <v>Retail</v>
      </c>
      <c r="I499" s="20"/>
      <c r="J499" s="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20"/>
      <c r="B500" s="34"/>
      <c r="C500" s="20"/>
      <c r="D500" s="35"/>
      <c r="E500" s="36"/>
      <c r="F500" s="2"/>
      <c r="G500" s="2" t="str">
        <f t="array" ref="G500">IF($C500="", "", XLOOKUP($C500, Services!$A$4:$A998, Services!$C$4:$C998))</f>
        <v/>
      </c>
      <c r="H500" s="2" t="str">
        <f t="shared" si="1"/>
        <v>Retail</v>
      </c>
      <c r="I500" s="20"/>
      <c r="J500" s="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20"/>
      <c r="B501" s="34"/>
      <c r="C501" s="20"/>
      <c r="D501" s="35"/>
      <c r="E501" s="36"/>
      <c r="F501" s="2"/>
      <c r="G501" s="2" t="str">
        <f t="array" ref="G501">IF($C501="", "", XLOOKUP($C501, Services!$A$4:$A998, Services!$C$4:$C998))</f>
        <v/>
      </c>
      <c r="H501" s="2" t="str">
        <f t="shared" si="1"/>
        <v>Retail</v>
      </c>
      <c r="I501" s="20"/>
      <c r="J501" s="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20"/>
      <c r="B502" s="34"/>
      <c r="C502" s="20"/>
      <c r="D502" s="35"/>
      <c r="E502" s="36"/>
      <c r="F502" s="2"/>
      <c r="G502" s="2" t="str">
        <f t="array" ref="G502">IF($C502="", "", XLOOKUP($C502, Services!$A$4:$A998, Services!$C$4:$C998))</f>
        <v/>
      </c>
      <c r="H502" s="2" t="str">
        <f t="shared" si="1"/>
        <v>Retail</v>
      </c>
      <c r="I502" s="20"/>
      <c r="J502" s="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20"/>
      <c r="B503" s="34"/>
      <c r="C503" s="20"/>
      <c r="D503" s="35"/>
      <c r="E503" s="36"/>
      <c r="F503" s="2"/>
      <c r="G503" s="2" t="str">
        <f t="array" ref="G503">IF($C503="", "", XLOOKUP($C503, Services!$A$4:$A998, Services!$C$4:$C998))</f>
        <v/>
      </c>
      <c r="H503" s="2" t="str">
        <f t="shared" si="1"/>
        <v>Retail</v>
      </c>
      <c r="I503" s="20"/>
      <c r="J503" s="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20"/>
      <c r="B504" s="34"/>
      <c r="C504" s="20"/>
      <c r="D504" s="35"/>
      <c r="E504" s="36"/>
      <c r="F504" s="2"/>
      <c r="G504" s="2" t="str">
        <f t="array" ref="G504">IF($C504="", "", XLOOKUP($C504, Services!$A$4:$A998, Services!$C$4:$C998))</f>
        <v/>
      </c>
      <c r="H504" s="2" t="str">
        <f t="shared" si="1"/>
        <v>Retail</v>
      </c>
      <c r="I504" s="20"/>
      <c r="J504" s="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20"/>
      <c r="B505" s="34"/>
      <c r="C505" s="20"/>
      <c r="D505" s="35"/>
      <c r="E505" s="36"/>
      <c r="F505" s="2"/>
      <c r="G505" s="2" t="str">
        <f t="array" ref="G505">IF($C505="", "", XLOOKUP($C505, Services!$A$4:$A998, Services!$C$4:$C998))</f>
        <v/>
      </c>
      <c r="H505" s="2" t="str">
        <f t="shared" si="1"/>
        <v>Retail</v>
      </c>
      <c r="I505" s="20"/>
      <c r="J505" s="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20"/>
      <c r="B506" s="34"/>
      <c r="C506" s="20"/>
      <c r="D506" s="35"/>
      <c r="E506" s="36"/>
      <c r="F506" s="2"/>
      <c r="G506" s="2" t="str">
        <f t="array" ref="G506">IF($C506="", "", XLOOKUP($C506, Services!$A$4:$A998, Services!$C$4:$C998))</f>
        <v/>
      </c>
      <c r="H506" s="2" t="str">
        <f t="shared" si="1"/>
        <v>Retail</v>
      </c>
      <c r="I506" s="20"/>
      <c r="J506" s="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20"/>
      <c r="B507" s="34"/>
      <c r="C507" s="20"/>
      <c r="D507" s="35"/>
      <c r="E507" s="36"/>
      <c r="F507" s="2"/>
      <c r="G507" s="2" t="str">
        <f t="array" ref="G507">IF($C507="", "", XLOOKUP($C507, Services!$A$4:$A998, Services!$C$4:$C998))</f>
        <v/>
      </c>
      <c r="H507" s="2" t="str">
        <f t="shared" si="1"/>
        <v>Retail</v>
      </c>
      <c r="I507" s="20"/>
      <c r="J507" s="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20"/>
      <c r="B508" s="34"/>
      <c r="C508" s="20"/>
      <c r="D508" s="35"/>
      <c r="E508" s="36"/>
      <c r="F508" s="2"/>
      <c r="G508" s="2" t="str">
        <f t="array" ref="G508">IF($C508="", "", XLOOKUP($C508, Services!$A$4:$A998, Services!$C$4:$C998))</f>
        <v/>
      </c>
      <c r="H508" s="2" t="str">
        <f t="shared" si="1"/>
        <v>Retail</v>
      </c>
      <c r="I508" s="20"/>
      <c r="J508" s="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20"/>
      <c r="B509" s="34"/>
      <c r="C509" s="20"/>
      <c r="D509" s="35"/>
      <c r="E509" s="36"/>
      <c r="F509" s="2"/>
      <c r="G509" s="2" t="str">
        <f t="array" ref="G509">IF($C509="", "", XLOOKUP($C509, Services!$A$4:$A998, Services!$C$4:$C998))</f>
        <v/>
      </c>
      <c r="H509" s="2" t="str">
        <f t="shared" si="1"/>
        <v>Retail</v>
      </c>
      <c r="I509" s="20"/>
      <c r="J509" s="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20"/>
      <c r="B510" s="34"/>
      <c r="C510" s="20"/>
      <c r="D510" s="35"/>
      <c r="E510" s="36"/>
      <c r="F510" s="2"/>
      <c r="G510" s="2" t="str">
        <f t="array" ref="G510">IF($C510="", "", XLOOKUP($C510, Services!$A$4:$A998, Services!$C$4:$C998))</f>
        <v/>
      </c>
      <c r="H510" s="2" t="str">
        <f t="shared" si="1"/>
        <v>Retail</v>
      </c>
      <c r="I510" s="20"/>
      <c r="J510" s="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20"/>
      <c r="B511" s="34"/>
      <c r="C511" s="20"/>
      <c r="D511" s="35"/>
      <c r="E511" s="36"/>
      <c r="F511" s="2"/>
      <c r="G511" s="2" t="str">
        <f t="array" ref="G511">IF($C511="", "", XLOOKUP($C511, Services!$A$4:$A998, Services!$C$4:$C998))</f>
        <v/>
      </c>
      <c r="H511" s="2" t="str">
        <f t="shared" si="1"/>
        <v>Retail</v>
      </c>
      <c r="I511" s="20"/>
      <c r="J511" s="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20"/>
      <c r="B512" s="34"/>
      <c r="C512" s="20"/>
      <c r="D512" s="35"/>
      <c r="E512" s="36"/>
      <c r="F512" s="2"/>
      <c r="G512" s="2" t="str">
        <f t="array" ref="G512">IF($C512="", "", XLOOKUP($C512, Services!$A$4:$A998, Services!$C$4:$C998))</f>
        <v/>
      </c>
      <c r="H512" s="2" t="str">
        <f t="shared" si="1"/>
        <v>Retail</v>
      </c>
      <c r="I512" s="20"/>
      <c r="J512" s="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20"/>
      <c r="B513" s="34"/>
      <c r="C513" s="20"/>
      <c r="D513" s="35"/>
      <c r="E513" s="36"/>
      <c r="F513" s="2"/>
      <c r="G513" s="2" t="str">
        <f t="array" ref="G513">IF($C513="", "", XLOOKUP($C513, Services!$A$4:$A998, Services!$C$4:$C998))</f>
        <v/>
      </c>
      <c r="H513" s="2" t="str">
        <f t="shared" si="1"/>
        <v>Retail</v>
      </c>
      <c r="I513" s="20"/>
      <c r="J513" s="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20"/>
      <c r="B514" s="34"/>
      <c r="C514" s="20"/>
      <c r="D514" s="35"/>
      <c r="E514" s="36"/>
      <c r="F514" s="2"/>
      <c r="G514" s="2" t="str">
        <f t="array" ref="G514">IF($C514="", "", XLOOKUP($C514, Services!$A$4:$A998, Services!$C$4:$C998))</f>
        <v/>
      </c>
      <c r="H514" s="2" t="str">
        <f t="shared" si="1"/>
        <v>Retail</v>
      </c>
      <c r="I514" s="20"/>
      <c r="J514" s="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20"/>
      <c r="B515" s="34"/>
      <c r="C515" s="20"/>
      <c r="D515" s="35"/>
      <c r="E515" s="36"/>
      <c r="F515" s="2"/>
      <c r="G515" s="2" t="str">
        <f t="array" ref="G515">IF($C515="", "", XLOOKUP($C515, Services!$A$4:$A998, Services!$C$4:$C998))</f>
        <v/>
      </c>
      <c r="H515" s="2" t="str">
        <f t="shared" si="1"/>
        <v>Retail</v>
      </c>
      <c r="I515" s="20"/>
      <c r="J515" s="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20"/>
      <c r="B516" s="34"/>
      <c r="C516" s="20"/>
      <c r="D516" s="35"/>
      <c r="E516" s="36"/>
      <c r="F516" s="2"/>
      <c r="G516" s="2" t="str">
        <f t="array" ref="G516">IF($C516="", "", XLOOKUP($C516, Services!$A$4:$A998, Services!$C$4:$C998))</f>
        <v/>
      </c>
      <c r="H516" s="2" t="str">
        <f t="shared" si="1"/>
        <v>Retail</v>
      </c>
      <c r="I516" s="20"/>
      <c r="J516" s="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20"/>
      <c r="B517" s="34"/>
      <c r="C517" s="20"/>
      <c r="D517" s="35"/>
      <c r="E517" s="36"/>
      <c r="F517" s="2"/>
      <c r="G517" s="2" t="str">
        <f t="array" ref="G517">IF($C517="", "", XLOOKUP($C517, Services!$A$4:$A998, Services!$C$4:$C998))</f>
        <v/>
      </c>
      <c r="H517" s="2" t="str">
        <f t="shared" si="1"/>
        <v>Retail</v>
      </c>
      <c r="I517" s="20"/>
      <c r="J517" s="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20"/>
      <c r="B518" s="34"/>
      <c r="C518" s="20"/>
      <c r="D518" s="35"/>
      <c r="E518" s="36"/>
      <c r="F518" s="2"/>
      <c r="G518" s="2" t="str">
        <f t="array" ref="G518">IF($C518="", "", XLOOKUP($C518, Services!$A$4:$A998, Services!$C$4:$C998))</f>
        <v/>
      </c>
      <c r="H518" s="2" t="str">
        <f t="shared" si="1"/>
        <v>Retail</v>
      </c>
      <c r="I518" s="20"/>
      <c r="J518" s="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20"/>
      <c r="B519" s="34"/>
      <c r="C519" s="20"/>
      <c r="D519" s="35"/>
      <c r="E519" s="36"/>
      <c r="F519" s="2"/>
      <c r="G519" s="2" t="str">
        <f t="array" ref="G519">IF($C519="", "", XLOOKUP($C519, Services!$A$4:$A998, Services!$C$4:$C998))</f>
        <v/>
      </c>
      <c r="H519" s="2" t="str">
        <f t="shared" si="1"/>
        <v>Retail</v>
      </c>
      <c r="I519" s="20"/>
      <c r="J519" s="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20"/>
      <c r="B520" s="34"/>
      <c r="C520" s="20"/>
      <c r="D520" s="35"/>
      <c r="E520" s="36"/>
      <c r="F520" s="2"/>
      <c r="G520" s="2" t="str">
        <f t="array" ref="G520">IF($C520="", "", XLOOKUP($C520, Services!$A$4:$A998, Services!$C$4:$C998))</f>
        <v/>
      </c>
      <c r="H520" s="2" t="str">
        <f t="shared" si="1"/>
        <v>Retail</v>
      </c>
      <c r="I520" s="20"/>
      <c r="J520" s="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20"/>
      <c r="B521" s="34"/>
      <c r="C521" s="20"/>
      <c r="D521" s="35"/>
      <c r="E521" s="36"/>
      <c r="F521" s="2"/>
      <c r="G521" s="2" t="str">
        <f t="array" ref="G521">IF($C521="", "", XLOOKUP($C521, Services!$A$4:$A998, Services!$C$4:$C998))</f>
        <v/>
      </c>
      <c r="H521" s="2" t="str">
        <f t="shared" si="1"/>
        <v>Retail</v>
      </c>
      <c r="I521" s="20"/>
      <c r="J521" s="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20"/>
      <c r="B522" s="34"/>
      <c r="C522" s="20"/>
      <c r="D522" s="35"/>
      <c r="E522" s="36"/>
      <c r="F522" s="2"/>
      <c r="G522" s="2" t="str">
        <f t="array" ref="G522">IF($C522="", "", XLOOKUP($C522, Services!$A$4:$A998, Services!$C$4:$C998))</f>
        <v/>
      </c>
      <c r="H522" s="2" t="str">
        <f t="shared" si="1"/>
        <v>Retail</v>
      </c>
      <c r="I522" s="20"/>
      <c r="J522" s="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20"/>
      <c r="B523" s="34"/>
      <c r="C523" s="20"/>
      <c r="D523" s="35"/>
      <c r="E523" s="36"/>
      <c r="F523" s="2"/>
      <c r="G523" s="2" t="str">
        <f t="array" ref="G523">IF($C523="", "", XLOOKUP($C523, Services!$A$4:$A998, Services!$C$4:$C998))</f>
        <v/>
      </c>
      <c r="H523" s="2" t="str">
        <f t="shared" si="1"/>
        <v>Retail</v>
      </c>
      <c r="I523" s="20"/>
      <c r="J523" s="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20"/>
      <c r="B524" s="34"/>
      <c r="C524" s="20"/>
      <c r="D524" s="35"/>
      <c r="E524" s="36"/>
      <c r="F524" s="2"/>
      <c r="G524" s="2" t="str">
        <f t="array" ref="G524">IF($C524="", "", XLOOKUP($C524, Services!$A$4:$A998, Services!$C$4:$C998))</f>
        <v/>
      </c>
      <c r="H524" s="2" t="str">
        <f t="shared" si="1"/>
        <v>Retail</v>
      </c>
      <c r="I524" s="20"/>
      <c r="J524" s="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20"/>
      <c r="B525" s="34"/>
      <c r="C525" s="20"/>
      <c r="D525" s="35"/>
      <c r="E525" s="36"/>
      <c r="F525" s="2"/>
      <c r="G525" s="2" t="str">
        <f t="array" ref="G525">IF($C525="", "", XLOOKUP($C525, Services!$A$4:$A998, Services!$C$4:$C998))</f>
        <v/>
      </c>
      <c r="H525" s="2" t="str">
        <f t="shared" si="1"/>
        <v>Retail</v>
      </c>
      <c r="I525" s="20"/>
      <c r="J525" s="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20"/>
      <c r="B526" s="34"/>
      <c r="C526" s="20"/>
      <c r="D526" s="35"/>
      <c r="E526" s="36"/>
      <c r="F526" s="2"/>
      <c r="G526" s="2" t="str">
        <f t="array" ref="G526">IF($C526="", "", XLOOKUP($C526, Services!$A$4:$A998, Services!$C$4:$C998))</f>
        <v/>
      </c>
      <c r="H526" s="2" t="str">
        <f t="shared" si="1"/>
        <v>Retail</v>
      </c>
      <c r="I526" s="20"/>
      <c r="J526" s="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20"/>
      <c r="B527" s="34"/>
      <c r="C527" s="20"/>
      <c r="D527" s="35"/>
      <c r="E527" s="36"/>
      <c r="F527" s="2"/>
      <c r="G527" s="2" t="str">
        <f t="array" ref="G527">IF($C527="", "", XLOOKUP($C527, Services!$A$4:$A998, Services!$C$4:$C998))</f>
        <v/>
      </c>
      <c r="H527" s="2" t="str">
        <f t="shared" si="1"/>
        <v>Retail</v>
      </c>
      <c r="I527" s="20"/>
      <c r="J527" s="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20"/>
      <c r="B528" s="34"/>
      <c r="C528" s="20"/>
      <c r="D528" s="35"/>
      <c r="E528" s="36"/>
      <c r="F528" s="2"/>
      <c r="G528" s="2" t="str">
        <f t="array" ref="G528">IF($C528="", "", XLOOKUP($C528, Services!$A$4:$A998, Services!$C$4:$C998))</f>
        <v/>
      </c>
      <c r="H528" s="2" t="str">
        <f t="shared" si="1"/>
        <v>Retail</v>
      </c>
      <c r="I528" s="20"/>
      <c r="J528" s="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20"/>
      <c r="B529" s="34"/>
      <c r="C529" s="20"/>
      <c r="D529" s="35"/>
      <c r="E529" s="36"/>
      <c r="F529" s="2"/>
      <c r="G529" s="2" t="str">
        <f t="array" ref="G529">IF($C529="", "", XLOOKUP($C529, Services!$A$4:$A998, Services!$C$4:$C998))</f>
        <v/>
      </c>
      <c r="H529" s="2" t="str">
        <f t="shared" si="1"/>
        <v>Retail</v>
      </c>
      <c r="I529" s="20"/>
      <c r="J529" s="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20"/>
      <c r="B530" s="34"/>
      <c r="C530" s="20"/>
      <c r="D530" s="35"/>
      <c r="E530" s="36"/>
      <c r="F530" s="2"/>
      <c r="G530" s="2" t="str">
        <f t="array" ref="G530">IF($C530="", "", XLOOKUP($C530, Services!$A$4:$A998, Services!$C$4:$C998))</f>
        <v/>
      </c>
      <c r="H530" s="2" t="str">
        <f t="shared" si="1"/>
        <v>Retail</v>
      </c>
      <c r="I530" s="20"/>
      <c r="J530" s="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20"/>
      <c r="B531" s="34"/>
      <c r="C531" s="20"/>
      <c r="D531" s="35"/>
      <c r="E531" s="36"/>
      <c r="F531" s="2"/>
      <c r="G531" s="2" t="str">
        <f t="array" ref="G531">IF($C531="", "", XLOOKUP($C531, Services!$A$4:$A998, Services!$C$4:$C998))</f>
        <v/>
      </c>
      <c r="H531" s="2" t="str">
        <f t="shared" si="1"/>
        <v>Retail</v>
      </c>
      <c r="I531" s="20"/>
      <c r="J531" s="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20"/>
      <c r="B532" s="34"/>
      <c r="C532" s="20"/>
      <c r="D532" s="35"/>
      <c r="E532" s="36"/>
      <c r="F532" s="2"/>
      <c r="G532" s="2" t="str">
        <f t="array" ref="G532">IF($C532="", "", XLOOKUP($C532, Services!$A$4:$A998, Services!$C$4:$C998))</f>
        <v/>
      </c>
      <c r="H532" s="2" t="str">
        <f t="shared" si="1"/>
        <v>Retail</v>
      </c>
      <c r="I532" s="20"/>
      <c r="J532" s="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20"/>
      <c r="B533" s="34"/>
      <c r="C533" s="20"/>
      <c r="D533" s="35"/>
      <c r="E533" s="36"/>
      <c r="F533" s="2"/>
      <c r="G533" s="2" t="str">
        <f t="array" ref="G533">IF($C533="", "", XLOOKUP($C533, Services!$A$4:$A998, Services!$C$4:$C998))</f>
        <v/>
      </c>
      <c r="H533" s="2" t="str">
        <f t="shared" si="1"/>
        <v>Retail</v>
      </c>
      <c r="I533" s="20"/>
      <c r="J533" s="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20"/>
      <c r="B534" s="34"/>
      <c r="C534" s="20"/>
      <c r="D534" s="35"/>
      <c r="E534" s="36"/>
      <c r="F534" s="2"/>
      <c r="G534" s="2" t="str">
        <f t="array" ref="G534">IF($C534="", "", XLOOKUP($C534, Services!$A$4:$A998, Services!$C$4:$C998))</f>
        <v/>
      </c>
      <c r="H534" s="2" t="str">
        <f t="shared" si="1"/>
        <v>Retail</v>
      </c>
      <c r="I534" s="20"/>
      <c r="J534" s="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20"/>
      <c r="B535" s="34"/>
      <c r="C535" s="20"/>
      <c r="D535" s="35"/>
      <c r="E535" s="36"/>
      <c r="F535" s="2"/>
      <c r="G535" s="2" t="str">
        <f t="array" ref="G535">IF($C535="", "", XLOOKUP($C535, Services!$A$4:$A998, Services!$C$4:$C998))</f>
        <v/>
      </c>
      <c r="H535" s="2" t="str">
        <f t="shared" si="1"/>
        <v>Retail</v>
      </c>
      <c r="I535" s="20"/>
      <c r="J535" s="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20"/>
      <c r="B536" s="34"/>
      <c r="C536" s="20"/>
      <c r="D536" s="35"/>
      <c r="E536" s="36"/>
      <c r="F536" s="2"/>
      <c r="G536" s="2" t="str">
        <f t="array" ref="G536">IF($C536="", "", XLOOKUP($C536, Services!$A$4:$A998, Services!$C$4:$C998))</f>
        <v/>
      </c>
      <c r="H536" s="2" t="str">
        <f t="shared" si="1"/>
        <v>Retail</v>
      </c>
      <c r="I536" s="20"/>
      <c r="J536" s="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20"/>
      <c r="B537" s="34"/>
      <c r="C537" s="20"/>
      <c r="D537" s="35"/>
      <c r="E537" s="36"/>
      <c r="F537" s="2"/>
      <c r="G537" s="2" t="str">
        <f t="array" ref="G537">IF($C537="", "", XLOOKUP($C537, Services!$A$4:$A998, Services!$C$4:$C998))</f>
        <v/>
      </c>
      <c r="H537" s="2" t="str">
        <f t="shared" si="1"/>
        <v>Retail</v>
      </c>
      <c r="I537" s="20"/>
      <c r="J537" s="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20"/>
      <c r="B538" s="34"/>
      <c r="C538" s="20"/>
      <c r="D538" s="35"/>
      <c r="E538" s="36"/>
      <c r="F538" s="2"/>
      <c r="G538" s="2" t="str">
        <f t="array" ref="G538">IF($C538="", "", XLOOKUP($C538, Services!$A$4:$A998, Services!$C$4:$C998))</f>
        <v/>
      </c>
      <c r="H538" s="2" t="str">
        <f t="shared" si="1"/>
        <v>Retail</v>
      </c>
      <c r="I538" s="20"/>
      <c r="J538" s="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20"/>
      <c r="B539" s="34"/>
      <c r="C539" s="20"/>
      <c r="D539" s="35"/>
      <c r="E539" s="36"/>
      <c r="F539" s="2"/>
      <c r="G539" s="2" t="str">
        <f t="array" ref="G539">IF($C539="", "", XLOOKUP($C539, Services!$A$4:$A998, Services!$C$4:$C998))</f>
        <v/>
      </c>
      <c r="H539" s="2" t="str">
        <f t="shared" si="1"/>
        <v>Retail</v>
      </c>
      <c r="I539" s="20"/>
      <c r="J539" s="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20"/>
      <c r="B540" s="34"/>
      <c r="C540" s="20"/>
      <c r="D540" s="35"/>
      <c r="E540" s="36"/>
      <c r="F540" s="2"/>
      <c r="G540" s="2" t="str">
        <f t="array" ref="G540">IF($C540="", "", XLOOKUP($C540, Services!$A$4:$A998, Services!$C$4:$C998))</f>
        <v/>
      </c>
      <c r="H540" s="2" t="str">
        <f t="shared" si="1"/>
        <v>Retail</v>
      </c>
      <c r="I540" s="20"/>
      <c r="J540" s="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20"/>
      <c r="B541" s="34"/>
      <c r="C541" s="20"/>
      <c r="D541" s="35"/>
      <c r="E541" s="36"/>
      <c r="F541" s="2"/>
      <c r="G541" s="2" t="str">
        <f t="array" ref="G541">IF($C541="", "", XLOOKUP($C541, Services!$A$4:$A998, Services!$C$4:$C998))</f>
        <v/>
      </c>
      <c r="H541" s="2" t="str">
        <f t="shared" si="1"/>
        <v>Retail</v>
      </c>
      <c r="I541" s="20"/>
      <c r="J541" s="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20"/>
      <c r="B542" s="34"/>
      <c r="C542" s="20"/>
      <c r="D542" s="35"/>
      <c r="E542" s="36"/>
      <c r="F542" s="2"/>
      <c r="G542" s="2" t="str">
        <f t="array" ref="G542">IF($C542="", "", XLOOKUP($C542, Services!$A$4:$A998, Services!$C$4:$C998))</f>
        <v/>
      </c>
      <c r="H542" s="2" t="str">
        <f t="shared" si="1"/>
        <v>Retail</v>
      </c>
      <c r="I542" s="20"/>
      <c r="J542" s="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20"/>
      <c r="B543" s="34"/>
      <c r="C543" s="20"/>
      <c r="D543" s="35"/>
      <c r="E543" s="36"/>
      <c r="F543" s="2"/>
      <c r="G543" s="2" t="str">
        <f t="array" ref="G543">IF($C543="", "", XLOOKUP($C543, Services!$A$4:$A998, Services!$C$4:$C998))</f>
        <v/>
      </c>
      <c r="H543" s="2" t="str">
        <f t="shared" si="1"/>
        <v>Retail</v>
      </c>
      <c r="I543" s="20"/>
      <c r="J543" s="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20"/>
      <c r="B544" s="34"/>
      <c r="C544" s="20"/>
      <c r="D544" s="35"/>
      <c r="E544" s="36"/>
      <c r="F544" s="2"/>
      <c r="G544" s="2" t="str">
        <f t="array" ref="G544">IF($C544="", "", XLOOKUP($C544, Services!$A$4:$A998, Services!$C$4:$C998))</f>
        <v/>
      </c>
      <c r="H544" s="2" t="str">
        <f t="shared" si="1"/>
        <v>Retail</v>
      </c>
      <c r="I544" s="20"/>
      <c r="J544" s="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20"/>
      <c r="B545" s="34"/>
      <c r="C545" s="20"/>
      <c r="D545" s="35"/>
      <c r="E545" s="36"/>
      <c r="F545" s="2"/>
      <c r="G545" s="2" t="str">
        <f t="array" ref="G545">IF($C545="", "", XLOOKUP($C545, Services!$A$4:$A998, Services!$C$4:$C998))</f>
        <v/>
      </c>
      <c r="H545" s="2" t="str">
        <f t="shared" si="1"/>
        <v>Retail</v>
      </c>
      <c r="I545" s="20"/>
      <c r="J545" s="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20"/>
      <c r="B546" s="34"/>
      <c r="C546" s="20"/>
      <c r="D546" s="35"/>
      <c r="E546" s="36"/>
      <c r="F546" s="2"/>
      <c r="G546" s="2" t="str">
        <f t="array" ref="G546">IF($C546="", "", XLOOKUP($C546, Services!$A$4:$A998, Services!$C$4:$C998))</f>
        <v/>
      </c>
      <c r="H546" s="2" t="str">
        <f t="shared" si="1"/>
        <v>Retail</v>
      </c>
      <c r="I546" s="20"/>
      <c r="J546" s="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20"/>
      <c r="B547" s="34"/>
      <c r="C547" s="20"/>
      <c r="D547" s="35"/>
      <c r="E547" s="36"/>
      <c r="F547" s="2"/>
      <c r="G547" s="2" t="str">
        <f t="array" ref="G547">IF($C547="", "", XLOOKUP($C547, Services!$A$4:$A998, Services!$C$4:$C998))</f>
        <v/>
      </c>
      <c r="H547" s="2" t="str">
        <f t="shared" si="1"/>
        <v>Retail</v>
      </c>
      <c r="I547" s="20"/>
      <c r="J547" s="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20"/>
      <c r="B548" s="34"/>
      <c r="C548" s="20"/>
      <c r="D548" s="35"/>
      <c r="E548" s="36"/>
      <c r="F548" s="2"/>
      <c r="G548" s="2" t="str">
        <f t="array" ref="G548">IF($C548="", "", XLOOKUP($C548, Services!$A$4:$A998, Services!$C$4:$C998))</f>
        <v/>
      </c>
      <c r="H548" s="2" t="str">
        <f t="shared" si="1"/>
        <v>Retail</v>
      </c>
      <c r="I548" s="20"/>
      <c r="J548" s="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20"/>
      <c r="B549" s="34"/>
      <c r="C549" s="20"/>
      <c r="D549" s="35"/>
      <c r="E549" s="36"/>
      <c r="F549" s="2"/>
      <c r="G549" s="2" t="str">
        <f t="array" ref="G549">IF($C549="", "", XLOOKUP($C549, Services!$A$4:$A998, Services!$C$4:$C998))</f>
        <v/>
      </c>
      <c r="H549" s="2" t="str">
        <f t="shared" si="1"/>
        <v>Retail</v>
      </c>
      <c r="I549" s="20"/>
      <c r="J549" s="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20"/>
      <c r="B550" s="34"/>
      <c r="C550" s="20"/>
      <c r="D550" s="35"/>
      <c r="E550" s="36"/>
      <c r="F550" s="2"/>
      <c r="G550" s="2" t="str">
        <f t="array" ref="G550">IF($C550="", "", XLOOKUP($C550, Services!$A$4:$A998, Services!$C$4:$C998))</f>
        <v/>
      </c>
      <c r="H550" s="2" t="str">
        <f t="shared" si="1"/>
        <v>Retail</v>
      </c>
      <c r="I550" s="20"/>
      <c r="J550" s="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20"/>
      <c r="B551" s="34"/>
      <c r="C551" s="20"/>
      <c r="D551" s="35"/>
      <c r="E551" s="36"/>
      <c r="F551" s="2"/>
      <c r="G551" s="2" t="str">
        <f t="array" ref="G551">IF($C551="", "", XLOOKUP($C551, Services!$A$4:$A998, Services!$C$4:$C998))</f>
        <v/>
      </c>
      <c r="H551" s="2" t="str">
        <f t="shared" si="1"/>
        <v>Retail</v>
      </c>
      <c r="I551" s="20"/>
      <c r="J551" s="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20"/>
      <c r="B552" s="34"/>
      <c r="C552" s="20"/>
      <c r="D552" s="35"/>
      <c r="E552" s="36"/>
      <c r="F552" s="2"/>
      <c r="G552" s="2" t="str">
        <f t="array" ref="G552">IF($C552="", "", XLOOKUP($C552, Services!$A$4:$A998, Services!$C$4:$C998))</f>
        <v/>
      </c>
      <c r="H552" s="2" t="str">
        <f t="shared" si="1"/>
        <v>Retail</v>
      </c>
      <c r="I552" s="20"/>
      <c r="J552" s="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20"/>
      <c r="B553" s="34"/>
      <c r="C553" s="20"/>
      <c r="D553" s="35"/>
      <c r="E553" s="36"/>
      <c r="F553" s="2"/>
      <c r="G553" s="2" t="str">
        <f t="array" ref="G553">IF($C553="", "", XLOOKUP($C553, Services!$A$4:$A998, Services!$C$4:$C998))</f>
        <v/>
      </c>
      <c r="H553" s="2" t="str">
        <f t="shared" si="1"/>
        <v>Retail</v>
      </c>
      <c r="I553" s="20"/>
      <c r="J553" s="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20"/>
      <c r="B554" s="34"/>
      <c r="C554" s="20"/>
      <c r="D554" s="35"/>
      <c r="E554" s="36"/>
      <c r="F554" s="2"/>
      <c r="G554" s="2" t="str">
        <f t="array" ref="G554">IF($C554="", "", XLOOKUP($C554, Services!$A$4:$A998, Services!$C$4:$C998))</f>
        <v/>
      </c>
      <c r="H554" s="2" t="str">
        <f t="shared" si="1"/>
        <v>Retail</v>
      </c>
      <c r="I554" s="20"/>
      <c r="J554" s="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20"/>
      <c r="B555" s="34"/>
      <c r="C555" s="20"/>
      <c r="D555" s="35"/>
      <c r="E555" s="36"/>
      <c r="F555" s="2"/>
      <c r="G555" s="2" t="str">
        <f t="array" ref="G555">IF($C555="", "", XLOOKUP($C555, Services!$A$4:$A998, Services!$C$4:$C998))</f>
        <v/>
      </c>
      <c r="H555" s="2" t="str">
        <f t="shared" si="1"/>
        <v>Retail</v>
      </c>
      <c r="I555" s="20"/>
      <c r="J555" s="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20"/>
      <c r="B556" s="34"/>
      <c r="C556" s="20"/>
      <c r="D556" s="35"/>
      <c r="E556" s="36"/>
      <c r="F556" s="2"/>
      <c r="G556" s="2" t="str">
        <f t="array" ref="G556">IF($C556="", "", XLOOKUP($C556, Services!$A$4:$A998, Services!$C$4:$C998))</f>
        <v/>
      </c>
      <c r="H556" s="2" t="str">
        <f t="shared" si="1"/>
        <v>Retail</v>
      </c>
      <c r="I556" s="20"/>
      <c r="J556" s="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20"/>
      <c r="B557" s="34"/>
      <c r="C557" s="20"/>
      <c r="D557" s="35"/>
      <c r="E557" s="36"/>
      <c r="F557" s="2"/>
      <c r="G557" s="2" t="str">
        <f t="array" ref="G557">IF($C557="", "", XLOOKUP($C557, Services!$A$4:$A998, Services!$C$4:$C998))</f>
        <v/>
      </c>
      <c r="H557" s="2" t="str">
        <f t="shared" si="1"/>
        <v>Retail</v>
      </c>
      <c r="I557" s="20"/>
      <c r="J557" s="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20"/>
      <c r="B558" s="34"/>
      <c r="C558" s="20"/>
      <c r="D558" s="35"/>
      <c r="E558" s="36"/>
      <c r="F558" s="2"/>
      <c r="G558" s="2" t="str">
        <f t="array" ref="G558">IF($C558="", "", XLOOKUP($C558, Services!$A$4:$A998, Services!$C$4:$C998))</f>
        <v/>
      </c>
      <c r="H558" s="2" t="str">
        <f t="shared" si="1"/>
        <v>Retail</v>
      </c>
      <c r="I558" s="20"/>
      <c r="J558" s="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20"/>
      <c r="B559" s="34"/>
      <c r="C559" s="20"/>
      <c r="D559" s="35"/>
      <c r="E559" s="36"/>
      <c r="F559" s="2"/>
      <c r="G559" s="2" t="str">
        <f t="array" ref="G559">IF($C559="", "", XLOOKUP($C559, Services!$A$4:$A998, Services!$C$4:$C998))</f>
        <v/>
      </c>
      <c r="H559" s="2" t="str">
        <f t="shared" si="1"/>
        <v>Retail</v>
      </c>
      <c r="I559" s="20"/>
      <c r="J559" s="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20"/>
      <c r="B560" s="34"/>
      <c r="C560" s="20"/>
      <c r="D560" s="35"/>
      <c r="E560" s="36"/>
      <c r="F560" s="2"/>
      <c r="G560" s="2" t="str">
        <f t="array" ref="G560">IF($C560="", "", XLOOKUP($C560, Services!$A$4:$A998, Services!$C$4:$C998))</f>
        <v/>
      </c>
      <c r="H560" s="2" t="str">
        <f t="shared" si="1"/>
        <v>Retail</v>
      </c>
      <c r="I560" s="20"/>
      <c r="J560" s="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20"/>
      <c r="B561" s="34"/>
      <c r="C561" s="20"/>
      <c r="D561" s="35"/>
      <c r="E561" s="36"/>
      <c r="F561" s="2"/>
      <c r="G561" s="2" t="str">
        <f t="array" ref="G561">IF($C561="", "", XLOOKUP($C561, Services!$A$4:$A998, Services!$C$4:$C998))</f>
        <v/>
      </c>
      <c r="H561" s="2" t="str">
        <f t="shared" si="1"/>
        <v>Retail</v>
      </c>
      <c r="I561" s="20"/>
      <c r="J561" s="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20"/>
      <c r="B562" s="34"/>
      <c r="C562" s="20"/>
      <c r="D562" s="35"/>
      <c r="E562" s="36"/>
      <c r="F562" s="2"/>
      <c r="G562" s="2" t="str">
        <f t="array" ref="G562">IF($C562="", "", XLOOKUP($C562, Services!$A$4:$A998, Services!$C$4:$C998))</f>
        <v/>
      </c>
      <c r="H562" s="2" t="str">
        <f t="shared" si="1"/>
        <v>Retail</v>
      </c>
      <c r="I562" s="20"/>
      <c r="J562" s="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20"/>
      <c r="B563" s="34"/>
      <c r="C563" s="20"/>
      <c r="D563" s="35"/>
      <c r="E563" s="36"/>
      <c r="F563" s="2"/>
      <c r="G563" s="2" t="str">
        <f t="array" ref="G563">IF($C563="", "", XLOOKUP($C563, Services!$A$4:$A998, Services!$C$4:$C998))</f>
        <v/>
      </c>
      <c r="H563" s="2" t="str">
        <f t="shared" si="1"/>
        <v>Retail</v>
      </c>
      <c r="I563" s="20"/>
      <c r="J563" s="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20"/>
      <c r="B564" s="34"/>
      <c r="C564" s="20"/>
      <c r="D564" s="35"/>
      <c r="E564" s="36"/>
      <c r="F564" s="2"/>
      <c r="G564" s="2" t="str">
        <f t="array" ref="G564">IF($C564="", "", XLOOKUP($C564, Services!$A$4:$A998, Services!$C$4:$C998))</f>
        <v/>
      </c>
      <c r="H564" s="2" t="str">
        <f t="shared" si="1"/>
        <v>Retail</v>
      </c>
      <c r="I564" s="20"/>
      <c r="J564" s="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20"/>
      <c r="B565" s="34"/>
      <c r="C565" s="20"/>
      <c r="D565" s="35"/>
      <c r="E565" s="36"/>
      <c r="F565" s="2"/>
      <c r="G565" s="2" t="str">
        <f t="array" ref="G565">IF($C565="", "", XLOOKUP($C565, Services!$A$4:$A998, Services!$C$4:$C998))</f>
        <v/>
      </c>
      <c r="H565" s="2" t="str">
        <f t="shared" si="1"/>
        <v>Retail</v>
      </c>
      <c r="I565" s="20"/>
      <c r="J565" s="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20"/>
      <c r="B566" s="34"/>
      <c r="C566" s="20"/>
      <c r="D566" s="35"/>
      <c r="E566" s="36"/>
      <c r="F566" s="2"/>
      <c r="G566" s="2" t="str">
        <f t="array" ref="G566">IF($C566="", "", XLOOKUP($C566, Services!$A$4:$A998, Services!$C$4:$C998))</f>
        <v/>
      </c>
      <c r="H566" s="2" t="str">
        <f t="shared" si="1"/>
        <v>Retail</v>
      </c>
      <c r="I566" s="20"/>
      <c r="J566" s="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20"/>
      <c r="B567" s="34"/>
      <c r="C567" s="20"/>
      <c r="D567" s="35"/>
      <c r="E567" s="36"/>
      <c r="F567" s="2"/>
      <c r="G567" s="2" t="str">
        <f t="array" ref="G567">IF($C567="", "", XLOOKUP($C567, Services!$A$4:$A998, Services!$C$4:$C998))</f>
        <v/>
      </c>
      <c r="H567" s="2" t="str">
        <f t="shared" si="1"/>
        <v>Retail</v>
      </c>
      <c r="I567" s="20"/>
      <c r="J567" s="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20"/>
      <c r="B568" s="34"/>
      <c r="C568" s="20"/>
      <c r="D568" s="35"/>
      <c r="E568" s="36"/>
      <c r="F568" s="2"/>
      <c r="G568" s="2" t="str">
        <f t="array" ref="G568">IF($C568="", "", XLOOKUP($C568, Services!$A$4:$A998, Services!$C$4:$C998))</f>
        <v/>
      </c>
      <c r="H568" s="2" t="str">
        <f t="shared" si="1"/>
        <v>Retail</v>
      </c>
      <c r="I568" s="20"/>
      <c r="J568" s="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20"/>
      <c r="B569" s="34"/>
      <c r="C569" s="20"/>
      <c r="D569" s="35"/>
      <c r="E569" s="36"/>
      <c r="F569" s="2"/>
      <c r="G569" s="2" t="str">
        <f t="array" ref="G569">IF($C569="", "", XLOOKUP($C569, Services!$A$4:$A998, Services!$C$4:$C998))</f>
        <v/>
      </c>
      <c r="H569" s="2" t="str">
        <f t="shared" si="1"/>
        <v>Retail</v>
      </c>
      <c r="I569" s="20"/>
      <c r="J569" s="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20"/>
      <c r="B570" s="34"/>
      <c r="C570" s="20"/>
      <c r="D570" s="35"/>
      <c r="E570" s="36"/>
      <c r="F570" s="2"/>
      <c r="G570" s="2" t="str">
        <f t="array" ref="G570">IF($C570="", "", XLOOKUP($C570, Services!$A$4:$A998, Services!$C$4:$C998))</f>
        <v/>
      </c>
      <c r="H570" s="2" t="str">
        <f t="shared" si="1"/>
        <v>Retail</v>
      </c>
      <c r="I570" s="20"/>
      <c r="J570" s="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20"/>
      <c r="B571" s="34"/>
      <c r="C571" s="20"/>
      <c r="D571" s="35"/>
      <c r="E571" s="36"/>
      <c r="F571" s="2"/>
      <c r="G571" s="2" t="str">
        <f t="array" ref="G571">IF($C571="", "", XLOOKUP($C571, Services!$A$4:$A998, Services!$C$4:$C998))</f>
        <v/>
      </c>
      <c r="H571" s="2" t="str">
        <f t="shared" si="1"/>
        <v>Retail</v>
      </c>
      <c r="I571" s="20"/>
      <c r="J571" s="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20"/>
      <c r="B572" s="34"/>
      <c r="C572" s="20"/>
      <c r="D572" s="35"/>
      <c r="E572" s="36"/>
      <c r="F572" s="2"/>
      <c r="G572" s="2" t="str">
        <f t="array" ref="G572">IF($C572="", "", XLOOKUP($C572, Services!$A$4:$A998, Services!$C$4:$C998))</f>
        <v/>
      </c>
      <c r="H572" s="2" t="str">
        <f t="shared" si="1"/>
        <v>Retail</v>
      </c>
      <c r="I572" s="20"/>
      <c r="J572" s="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20"/>
      <c r="B573" s="34"/>
      <c r="C573" s="20"/>
      <c r="D573" s="35"/>
      <c r="E573" s="36"/>
      <c r="F573" s="2"/>
      <c r="G573" s="2" t="str">
        <f t="array" ref="G573">IF($C573="", "", XLOOKUP($C573, Services!$A$4:$A998, Services!$C$4:$C998))</f>
        <v/>
      </c>
      <c r="H573" s="2" t="str">
        <f t="shared" si="1"/>
        <v>Retail</v>
      </c>
      <c r="I573" s="20"/>
      <c r="J573" s="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20"/>
      <c r="B574" s="34"/>
      <c r="C574" s="20"/>
      <c r="D574" s="35"/>
      <c r="E574" s="36"/>
      <c r="F574" s="2"/>
      <c r="G574" s="2" t="str">
        <f t="array" ref="G574">IF($C574="", "", XLOOKUP($C574, Services!$A$4:$A998, Services!$C$4:$C998))</f>
        <v/>
      </c>
      <c r="H574" s="2" t="str">
        <f t="shared" si="1"/>
        <v>Retail</v>
      </c>
      <c r="I574" s="20"/>
      <c r="J574" s="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20"/>
      <c r="B575" s="34"/>
      <c r="C575" s="20"/>
      <c r="D575" s="35"/>
      <c r="E575" s="36"/>
      <c r="F575" s="2"/>
      <c r="G575" s="2" t="str">
        <f t="array" ref="G575">IF($C575="", "", XLOOKUP($C575, Services!$A$4:$A998, Services!$C$4:$C998))</f>
        <v/>
      </c>
      <c r="H575" s="2" t="str">
        <f t="shared" si="1"/>
        <v>Retail</v>
      </c>
      <c r="I575" s="20"/>
      <c r="J575" s="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20"/>
      <c r="B576" s="34"/>
      <c r="C576" s="20"/>
      <c r="D576" s="35"/>
      <c r="E576" s="36"/>
      <c r="F576" s="2"/>
      <c r="G576" s="2" t="str">
        <f t="array" ref="G576">IF($C576="", "", XLOOKUP($C576, Services!$A$4:$A998, Services!$C$4:$C998))</f>
        <v/>
      </c>
      <c r="H576" s="2" t="str">
        <f t="shared" si="1"/>
        <v>Retail</v>
      </c>
      <c r="I576" s="20"/>
      <c r="J576" s="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20"/>
      <c r="B577" s="34"/>
      <c r="C577" s="20"/>
      <c r="D577" s="35"/>
      <c r="E577" s="36"/>
      <c r="F577" s="2"/>
      <c r="G577" s="2" t="str">
        <f t="array" ref="G577">IF($C577="", "", XLOOKUP($C577, Services!$A$4:$A998, Services!$C$4:$C998))</f>
        <v/>
      </c>
      <c r="H577" s="2" t="str">
        <f t="shared" si="1"/>
        <v>Retail</v>
      </c>
      <c r="I577" s="20"/>
      <c r="J577" s="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20"/>
      <c r="B578" s="34"/>
      <c r="C578" s="20"/>
      <c r="D578" s="35"/>
      <c r="E578" s="36"/>
      <c r="F578" s="2"/>
      <c r="G578" s="2" t="str">
        <f t="array" ref="G578">IF($C578="", "", XLOOKUP($C578, Services!$A$4:$A998, Services!$C$4:$C998))</f>
        <v/>
      </c>
      <c r="H578" s="2" t="str">
        <f t="shared" si="1"/>
        <v>Retail</v>
      </c>
      <c r="I578" s="20"/>
      <c r="J578" s="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20"/>
      <c r="B579" s="34"/>
      <c r="C579" s="20"/>
      <c r="D579" s="35"/>
      <c r="E579" s="36"/>
      <c r="F579" s="2"/>
      <c r="G579" s="2" t="str">
        <f t="array" ref="G579">IF($C579="", "", XLOOKUP($C579, Services!$A$4:$A998, Services!$C$4:$C998))</f>
        <v/>
      </c>
      <c r="H579" s="2" t="str">
        <f t="shared" si="1"/>
        <v>Retail</v>
      </c>
      <c r="I579" s="20"/>
      <c r="J579" s="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20"/>
      <c r="B580" s="34"/>
      <c r="C580" s="20"/>
      <c r="D580" s="35"/>
      <c r="E580" s="36"/>
      <c r="F580" s="2"/>
      <c r="G580" s="2" t="str">
        <f t="array" ref="G580">IF($C580="", "", XLOOKUP($C580, Services!$A$4:$A998, Services!$C$4:$C998))</f>
        <v/>
      </c>
      <c r="H580" s="2" t="str">
        <f t="shared" si="1"/>
        <v>Retail</v>
      </c>
      <c r="I580" s="20"/>
      <c r="J580" s="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20"/>
      <c r="B581" s="34"/>
      <c r="C581" s="20"/>
      <c r="D581" s="35"/>
      <c r="E581" s="36"/>
      <c r="F581" s="2"/>
      <c r="G581" s="2" t="str">
        <f t="array" ref="G581">IF($C581="", "", XLOOKUP($C581, Services!$A$4:$A998, Services!$C$4:$C998))</f>
        <v/>
      </c>
      <c r="H581" s="2" t="str">
        <f t="shared" si="1"/>
        <v>Retail</v>
      </c>
      <c r="I581" s="20"/>
      <c r="J581" s="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20"/>
      <c r="B582" s="34"/>
      <c r="C582" s="20"/>
      <c r="D582" s="35"/>
      <c r="E582" s="36"/>
      <c r="F582" s="2"/>
      <c r="G582" s="2" t="str">
        <f t="array" ref="G582">IF($C582="", "", XLOOKUP($C582, Services!$A$4:$A998, Services!$C$4:$C998))</f>
        <v/>
      </c>
      <c r="H582" s="2" t="str">
        <f t="shared" si="1"/>
        <v>Retail</v>
      </c>
      <c r="I582" s="20"/>
      <c r="J582" s="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20"/>
      <c r="B583" s="34"/>
      <c r="C583" s="20"/>
      <c r="D583" s="35"/>
      <c r="E583" s="36"/>
      <c r="F583" s="2"/>
      <c r="G583" s="2" t="str">
        <f t="array" ref="G583">IF($C583="", "", XLOOKUP($C583, Services!$A$4:$A998, Services!$C$4:$C998))</f>
        <v/>
      </c>
      <c r="H583" s="2" t="str">
        <f t="shared" si="1"/>
        <v>Retail</v>
      </c>
      <c r="I583" s="20"/>
      <c r="J583" s="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20"/>
      <c r="B584" s="34"/>
      <c r="C584" s="20"/>
      <c r="D584" s="35"/>
      <c r="E584" s="36"/>
      <c r="F584" s="2"/>
      <c r="G584" s="2" t="str">
        <f t="array" ref="G584">IF($C584="", "", XLOOKUP($C584, Services!$A$4:$A998, Services!$C$4:$C998))</f>
        <v/>
      </c>
      <c r="H584" s="2" t="str">
        <f t="shared" si="1"/>
        <v>Retail</v>
      </c>
      <c r="I584" s="20"/>
      <c r="J584" s="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20"/>
      <c r="B585" s="34"/>
      <c r="C585" s="20"/>
      <c r="D585" s="35"/>
      <c r="E585" s="36"/>
      <c r="F585" s="2"/>
      <c r="G585" s="2" t="str">
        <f t="array" ref="G585">IF($C585="", "", XLOOKUP($C585, Services!$A$4:$A998, Services!$C$4:$C998))</f>
        <v/>
      </c>
      <c r="H585" s="2" t="str">
        <f t="shared" si="1"/>
        <v>Retail</v>
      </c>
      <c r="I585" s="20"/>
      <c r="J585" s="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20"/>
      <c r="B586" s="34"/>
      <c r="C586" s="20"/>
      <c r="D586" s="35"/>
      <c r="E586" s="36"/>
      <c r="F586" s="2"/>
      <c r="G586" s="2" t="str">
        <f t="array" ref="G586">IF($C586="", "", XLOOKUP($C586, Services!$A$4:$A998, Services!$C$4:$C998))</f>
        <v/>
      </c>
      <c r="H586" s="2" t="str">
        <f t="shared" si="1"/>
        <v>Retail</v>
      </c>
      <c r="I586" s="20"/>
      <c r="J586" s="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20"/>
      <c r="B587" s="34"/>
      <c r="C587" s="20"/>
      <c r="D587" s="35"/>
      <c r="E587" s="36"/>
      <c r="F587" s="2"/>
      <c r="G587" s="2" t="str">
        <f t="array" ref="G587">IF($C587="", "", XLOOKUP($C587, Services!$A$4:$A998, Services!$C$4:$C998))</f>
        <v/>
      </c>
      <c r="H587" s="2" t="str">
        <f t="shared" si="1"/>
        <v>Retail</v>
      </c>
      <c r="I587" s="20"/>
      <c r="J587" s="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20"/>
      <c r="B588" s="34"/>
      <c r="C588" s="20"/>
      <c r="D588" s="35"/>
      <c r="E588" s="36"/>
      <c r="F588" s="2"/>
      <c r="G588" s="2" t="str">
        <f t="array" ref="G588">IF($C588="", "", XLOOKUP($C588, Services!$A$4:$A998, Services!$C$4:$C998))</f>
        <v/>
      </c>
      <c r="H588" s="2" t="str">
        <f t="shared" si="1"/>
        <v>Retail</v>
      </c>
      <c r="I588" s="20"/>
      <c r="J588" s="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20"/>
      <c r="B589" s="34"/>
      <c r="C589" s="20"/>
      <c r="D589" s="35"/>
      <c r="E589" s="36"/>
      <c r="F589" s="2"/>
      <c r="G589" s="2" t="str">
        <f t="array" ref="G589">IF($C589="", "", XLOOKUP($C589, Services!$A$4:$A998, Services!$C$4:$C998))</f>
        <v/>
      </c>
      <c r="H589" s="2" t="str">
        <f t="shared" si="1"/>
        <v>Retail</v>
      </c>
      <c r="I589" s="20"/>
      <c r="J589" s="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20"/>
      <c r="B590" s="34"/>
      <c r="C590" s="20"/>
      <c r="D590" s="35"/>
      <c r="E590" s="36"/>
      <c r="F590" s="2"/>
      <c r="G590" s="2" t="str">
        <f t="array" ref="G590">IF($C590="", "", XLOOKUP($C590, Services!$A$4:$A998, Services!$C$4:$C998))</f>
        <v/>
      </c>
      <c r="H590" s="2" t="str">
        <f t="shared" si="1"/>
        <v>Retail</v>
      </c>
      <c r="I590" s="20"/>
      <c r="J590" s="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20"/>
      <c r="B591" s="34"/>
      <c r="C591" s="20"/>
      <c r="D591" s="35"/>
      <c r="E591" s="36"/>
      <c r="F591" s="2"/>
      <c r="G591" s="2" t="str">
        <f t="array" ref="G591">IF($C591="", "", XLOOKUP($C591, Services!$A$4:$A998, Services!$C$4:$C998))</f>
        <v/>
      </c>
      <c r="H591" s="2" t="str">
        <f t="shared" si="1"/>
        <v>Retail</v>
      </c>
      <c r="I591" s="20"/>
      <c r="J591" s="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20"/>
      <c r="B592" s="34"/>
      <c r="C592" s="20"/>
      <c r="D592" s="35"/>
      <c r="E592" s="36"/>
      <c r="F592" s="2"/>
      <c r="G592" s="2" t="str">
        <f t="array" ref="G592">IF($C592="", "", XLOOKUP($C592, Services!$A$4:$A998, Services!$C$4:$C998))</f>
        <v/>
      </c>
      <c r="H592" s="2" t="str">
        <f t="shared" si="1"/>
        <v>Retail</v>
      </c>
      <c r="I592" s="20"/>
      <c r="J592" s="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20"/>
      <c r="B593" s="34"/>
      <c r="C593" s="20"/>
      <c r="D593" s="35"/>
      <c r="E593" s="36"/>
      <c r="F593" s="2"/>
      <c r="G593" s="2" t="str">
        <f t="array" ref="G593">IF($C593="", "", XLOOKUP($C593, Services!$A$4:$A998, Services!$C$4:$C998))</f>
        <v/>
      </c>
      <c r="H593" s="2" t="str">
        <f t="shared" si="1"/>
        <v>Retail</v>
      </c>
      <c r="I593" s="20"/>
      <c r="J593" s="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20"/>
      <c r="B594" s="34"/>
      <c r="C594" s="20"/>
      <c r="D594" s="35"/>
      <c r="E594" s="36"/>
      <c r="F594" s="2"/>
      <c r="G594" s="2" t="str">
        <f t="array" ref="G594">IF($C594="", "", XLOOKUP($C594, Services!$A$4:$A998, Services!$C$4:$C998))</f>
        <v/>
      </c>
      <c r="H594" s="2" t="str">
        <f t="shared" si="1"/>
        <v>Retail</v>
      </c>
      <c r="I594" s="20"/>
      <c r="J594" s="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20"/>
      <c r="B595" s="34"/>
      <c r="C595" s="20"/>
      <c r="D595" s="35"/>
      <c r="E595" s="36"/>
      <c r="F595" s="2"/>
      <c r="G595" s="2" t="str">
        <f t="array" ref="G595">IF($C595="", "", XLOOKUP($C595, Services!$A$4:$A998, Services!$C$4:$C998))</f>
        <v/>
      </c>
      <c r="H595" s="2" t="str">
        <f t="shared" si="1"/>
        <v>Retail</v>
      </c>
      <c r="I595" s="20"/>
      <c r="J595" s="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20"/>
      <c r="B596" s="34"/>
      <c r="C596" s="20"/>
      <c r="D596" s="35"/>
      <c r="E596" s="36"/>
      <c r="F596" s="2"/>
      <c r="G596" s="2" t="str">
        <f t="array" ref="G596">IF($C596="", "", XLOOKUP($C596, Services!$A$4:$A998, Services!$C$4:$C998))</f>
        <v/>
      </c>
      <c r="H596" s="2" t="str">
        <f t="shared" si="1"/>
        <v>Retail</v>
      </c>
      <c r="I596" s="20"/>
      <c r="J596" s="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20"/>
      <c r="B597" s="34"/>
      <c r="C597" s="20"/>
      <c r="D597" s="35"/>
      <c r="E597" s="36"/>
      <c r="F597" s="2"/>
      <c r="G597" s="2" t="str">
        <f t="array" ref="G597">IF($C597="", "", XLOOKUP($C597, Services!$A$4:$A998, Services!$C$4:$C998))</f>
        <v/>
      </c>
      <c r="H597" s="2" t="str">
        <f t="shared" si="1"/>
        <v>Retail</v>
      </c>
      <c r="I597" s="20"/>
      <c r="J597" s="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20"/>
      <c r="B598" s="34"/>
      <c r="C598" s="20"/>
      <c r="D598" s="35"/>
      <c r="E598" s="36"/>
      <c r="F598" s="2"/>
      <c r="G598" s="2" t="str">
        <f t="array" ref="G598">IF($C598="", "", XLOOKUP($C598, Services!$A$4:$A998, Services!$C$4:$C998))</f>
        <v/>
      </c>
      <c r="H598" s="2" t="str">
        <f t="shared" si="1"/>
        <v>Retail</v>
      </c>
      <c r="I598" s="20"/>
      <c r="J598" s="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20"/>
      <c r="B599" s="34"/>
      <c r="C599" s="20"/>
      <c r="D599" s="35"/>
      <c r="E599" s="36"/>
      <c r="F599" s="2"/>
      <c r="G599" s="2" t="str">
        <f t="array" ref="G599">IF($C599="", "", XLOOKUP($C599, Services!$A$4:$A998, Services!$C$4:$C998))</f>
        <v/>
      </c>
      <c r="H599" s="2" t="str">
        <f t="shared" si="1"/>
        <v>Retail</v>
      </c>
      <c r="I599" s="20"/>
      <c r="J599" s="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20"/>
      <c r="B600" s="34"/>
      <c r="C600" s="20"/>
      <c r="D600" s="35"/>
      <c r="E600" s="36"/>
      <c r="F600" s="2"/>
      <c r="G600" s="2" t="str">
        <f t="array" ref="G600">IF($C600="", "", XLOOKUP($C600, Services!$A$4:$A998, Services!$C$4:$C998))</f>
        <v/>
      </c>
      <c r="H600" s="2" t="str">
        <f t="shared" si="1"/>
        <v>Retail</v>
      </c>
      <c r="I600" s="20"/>
      <c r="J600" s="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20"/>
      <c r="B601" s="34"/>
      <c r="C601" s="20"/>
      <c r="D601" s="35"/>
      <c r="E601" s="36"/>
      <c r="F601" s="2"/>
      <c r="G601" s="2" t="str">
        <f t="array" ref="G601">IF($C601="", "", XLOOKUP($C601, Services!$A$4:$A998, Services!$C$4:$C998))</f>
        <v/>
      </c>
      <c r="H601" s="2" t="str">
        <f t="shared" si="1"/>
        <v>Retail</v>
      </c>
      <c r="I601" s="20"/>
      <c r="J601" s="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20"/>
      <c r="B602" s="34"/>
      <c r="C602" s="20"/>
      <c r="D602" s="35"/>
      <c r="E602" s="36"/>
      <c r="F602" s="2"/>
      <c r="G602" s="2" t="str">
        <f t="array" ref="G602">IF($C602="", "", XLOOKUP($C602, Services!$A$4:$A998, Services!$C$4:$C998))</f>
        <v/>
      </c>
      <c r="H602" s="2" t="str">
        <f t="shared" si="1"/>
        <v>Retail</v>
      </c>
      <c r="I602" s="20"/>
      <c r="J602" s="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20"/>
      <c r="B603" s="34"/>
      <c r="C603" s="20"/>
      <c r="D603" s="35"/>
      <c r="E603" s="36"/>
      <c r="F603" s="2"/>
      <c r="G603" s="2" t="str">
        <f t="array" ref="G603">IF($C603="", "", XLOOKUP($C603, Services!$A$4:$A998, Services!$C$4:$C998))</f>
        <v/>
      </c>
      <c r="H603" s="2" t="str">
        <f t="shared" si="1"/>
        <v>Retail</v>
      </c>
      <c r="I603" s="20"/>
      <c r="J603" s="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20"/>
      <c r="B604" s="34"/>
      <c r="C604" s="20"/>
      <c r="D604" s="35"/>
      <c r="E604" s="36"/>
      <c r="F604" s="2"/>
      <c r="G604" s="2" t="str">
        <f t="array" ref="G604">IF($C604="", "", XLOOKUP($C604, Services!$A$4:$A998, Services!$C$4:$C998))</f>
        <v/>
      </c>
      <c r="H604" s="2" t="str">
        <f t="shared" si="1"/>
        <v>Retail</v>
      </c>
      <c r="I604" s="20"/>
      <c r="J604" s="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20"/>
      <c r="B605" s="34"/>
      <c r="C605" s="20"/>
      <c r="D605" s="35"/>
      <c r="E605" s="36"/>
      <c r="F605" s="2"/>
      <c r="G605" s="2" t="str">
        <f t="array" ref="G605">IF($C605="", "", XLOOKUP($C605, Services!$A$4:$A998, Services!$C$4:$C998))</f>
        <v/>
      </c>
      <c r="H605" s="2" t="str">
        <f t="shared" si="1"/>
        <v>Retail</v>
      </c>
      <c r="I605" s="20"/>
      <c r="J605" s="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20"/>
      <c r="B606" s="34"/>
      <c r="C606" s="20"/>
      <c r="D606" s="35"/>
      <c r="E606" s="36"/>
      <c r="F606" s="2"/>
      <c r="G606" s="2" t="str">
        <f t="array" ref="G606">IF($C606="", "", XLOOKUP($C606, Services!$A$4:$A998, Services!$C$4:$C998))</f>
        <v/>
      </c>
      <c r="H606" s="2" t="str">
        <f t="shared" si="1"/>
        <v>Retail</v>
      </c>
      <c r="I606" s="20"/>
      <c r="J606" s="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20"/>
      <c r="B607" s="34"/>
      <c r="C607" s="20"/>
      <c r="D607" s="35"/>
      <c r="E607" s="36"/>
      <c r="F607" s="2"/>
      <c r="G607" s="2" t="str">
        <f t="array" ref="G607">IF($C607="", "", XLOOKUP($C607, Services!$A$4:$A998, Services!$C$4:$C998))</f>
        <v/>
      </c>
      <c r="H607" s="2" t="str">
        <f t="shared" si="1"/>
        <v>Retail</v>
      </c>
      <c r="I607" s="20"/>
      <c r="J607" s="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20"/>
      <c r="B608" s="34"/>
      <c r="C608" s="20"/>
      <c r="D608" s="35"/>
      <c r="E608" s="36"/>
      <c r="F608" s="2"/>
      <c r="G608" s="2" t="str">
        <f t="array" ref="G608">IF($C608="", "", XLOOKUP($C608, Services!$A$4:$A998, Services!$C$4:$C998))</f>
        <v/>
      </c>
      <c r="H608" s="2" t="str">
        <f t="shared" si="1"/>
        <v>Retail</v>
      </c>
      <c r="I608" s="20"/>
      <c r="J608" s="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20"/>
      <c r="B609" s="34"/>
      <c r="C609" s="20"/>
      <c r="D609" s="35"/>
      <c r="E609" s="36"/>
      <c r="F609" s="2"/>
      <c r="G609" s="2" t="str">
        <f t="array" ref="G609">IF($C609="", "", XLOOKUP($C609, Services!$A$4:$A998, Services!$C$4:$C998))</f>
        <v/>
      </c>
      <c r="H609" s="2" t="str">
        <f t="shared" si="1"/>
        <v>Retail</v>
      </c>
      <c r="I609" s="20"/>
      <c r="J609" s="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20"/>
      <c r="B610" s="34"/>
      <c r="C610" s="20"/>
      <c r="D610" s="35"/>
      <c r="E610" s="36"/>
      <c r="F610" s="2"/>
      <c r="G610" s="2" t="str">
        <f t="array" ref="G610">IF($C610="", "", XLOOKUP($C610, Services!$A$4:$A998, Services!$C$4:$C998))</f>
        <v/>
      </c>
      <c r="H610" s="2" t="str">
        <f t="shared" si="1"/>
        <v>Retail</v>
      </c>
      <c r="I610" s="20"/>
      <c r="J610" s="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20"/>
      <c r="B611" s="34"/>
      <c r="C611" s="20"/>
      <c r="D611" s="35"/>
      <c r="E611" s="36"/>
      <c r="F611" s="2"/>
      <c r="G611" s="2" t="str">
        <f t="array" ref="G611">IF($C611="", "", XLOOKUP($C611, Services!$A$4:$A998, Services!$C$4:$C998))</f>
        <v/>
      </c>
      <c r="H611" s="2" t="str">
        <f t="shared" si="1"/>
        <v>Retail</v>
      </c>
      <c r="I611" s="20"/>
      <c r="J611" s="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20"/>
      <c r="B612" s="34"/>
      <c r="C612" s="20"/>
      <c r="D612" s="35"/>
      <c r="E612" s="36"/>
      <c r="F612" s="2"/>
      <c r="G612" s="2" t="str">
        <f t="array" ref="G612">IF($C612="", "", XLOOKUP($C612, Services!$A$4:$A998, Services!$C$4:$C998))</f>
        <v/>
      </c>
      <c r="H612" s="2" t="str">
        <f t="shared" si="1"/>
        <v>Retail</v>
      </c>
      <c r="I612" s="20"/>
      <c r="J612" s="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20"/>
      <c r="B613" s="34"/>
      <c r="C613" s="20"/>
      <c r="D613" s="35"/>
      <c r="E613" s="36"/>
      <c r="F613" s="2"/>
      <c r="G613" s="2" t="str">
        <f t="array" ref="G613">IF($C613="", "", XLOOKUP($C613, Services!$A$4:$A998, Services!$C$4:$C998))</f>
        <v/>
      </c>
      <c r="H613" s="2" t="str">
        <f t="shared" si="1"/>
        <v>Retail</v>
      </c>
      <c r="I613" s="20"/>
      <c r="J613" s="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20"/>
      <c r="B614" s="34"/>
      <c r="C614" s="20"/>
      <c r="D614" s="35"/>
      <c r="E614" s="36"/>
      <c r="F614" s="2"/>
      <c r="G614" s="2" t="str">
        <f t="array" ref="G614">IF($C614="", "", XLOOKUP($C614, Services!$A$4:$A998, Services!$C$4:$C998))</f>
        <v/>
      </c>
      <c r="H614" s="2" t="str">
        <f t="shared" si="1"/>
        <v>Retail</v>
      </c>
      <c r="I614" s="20"/>
      <c r="J614" s="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20"/>
      <c r="B615" s="34"/>
      <c r="C615" s="20"/>
      <c r="D615" s="35"/>
      <c r="E615" s="36"/>
      <c r="F615" s="2"/>
      <c r="G615" s="2" t="str">
        <f t="array" ref="G615">IF($C615="", "", XLOOKUP($C615, Services!$A$4:$A998, Services!$C$4:$C998))</f>
        <v/>
      </c>
      <c r="H615" s="2" t="str">
        <f t="shared" si="1"/>
        <v>Retail</v>
      </c>
      <c r="I615" s="20"/>
      <c r="J615" s="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20"/>
      <c r="B616" s="34"/>
      <c r="C616" s="20"/>
      <c r="D616" s="35"/>
      <c r="E616" s="36"/>
      <c r="F616" s="2"/>
      <c r="G616" s="2" t="str">
        <f t="array" ref="G616">IF($C616="", "", XLOOKUP($C616, Services!$A$4:$A998, Services!$C$4:$C998))</f>
        <v/>
      </c>
      <c r="H616" s="2" t="str">
        <f t="shared" si="1"/>
        <v>Retail</v>
      </c>
      <c r="I616" s="20"/>
      <c r="J616" s="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20"/>
      <c r="B617" s="34"/>
      <c r="C617" s="20"/>
      <c r="D617" s="35"/>
      <c r="E617" s="36"/>
      <c r="F617" s="2"/>
      <c r="G617" s="2" t="str">
        <f t="array" ref="G617">IF($C617="", "", XLOOKUP($C617, Services!$A$4:$A998, Services!$C$4:$C998))</f>
        <v/>
      </c>
      <c r="H617" s="2" t="str">
        <f t="shared" si="1"/>
        <v>Retail</v>
      </c>
      <c r="I617" s="20"/>
      <c r="J617" s="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20"/>
      <c r="B618" s="34"/>
      <c r="C618" s="20"/>
      <c r="D618" s="35"/>
      <c r="E618" s="36"/>
      <c r="F618" s="2"/>
      <c r="G618" s="2" t="str">
        <f t="array" ref="G618">IF($C618="", "", XLOOKUP($C618, Services!$A$4:$A998, Services!$C$4:$C998))</f>
        <v/>
      </c>
      <c r="H618" s="2" t="str">
        <f t="shared" si="1"/>
        <v>Retail</v>
      </c>
      <c r="I618" s="20"/>
      <c r="J618" s="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20"/>
      <c r="B619" s="34"/>
      <c r="C619" s="20"/>
      <c r="D619" s="35"/>
      <c r="E619" s="36"/>
      <c r="F619" s="2"/>
      <c r="G619" s="2" t="str">
        <f t="array" ref="G619">IF($C619="", "", XLOOKUP($C619, Services!$A$4:$A998, Services!$C$4:$C998))</f>
        <v/>
      </c>
      <c r="H619" s="2" t="str">
        <f t="shared" si="1"/>
        <v>Retail</v>
      </c>
      <c r="I619" s="20"/>
      <c r="J619" s="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20"/>
      <c r="B620" s="34"/>
      <c r="C620" s="20"/>
      <c r="D620" s="35"/>
      <c r="E620" s="36"/>
      <c r="F620" s="2"/>
      <c r="G620" s="2" t="str">
        <f t="array" ref="G620">IF($C620="", "", XLOOKUP($C620, Services!$A$4:$A998, Services!$C$4:$C998))</f>
        <v/>
      </c>
      <c r="H620" s="2" t="str">
        <f t="shared" si="1"/>
        <v>Retail</v>
      </c>
      <c r="I620" s="20"/>
      <c r="J620" s="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20"/>
      <c r="B621" s="34"/>
      <c r="C621" s="20"/>
      <c r="D621" s="35"/>
      <c r="E621" s="36"/>
      <c r="F621" s="2"/>
      <c r="G621" s="2" t="str">
        <f t="array" ref="G621">IF($C621="", "", XLOOKUP($C621, Services!$A$4:$A998, Services!$C$4:$C998))</f>
        <v/>
      </c>
      <c r="H621" s="2" t="str">
        <f t="shared" si="1"/>
        <v>Retail</v>
      </c>
      <c r="I621" s="20"/>
      <c r="J621" s="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20"/>
      <c r="B622" s="34"/>
      <c r="C622" s="20"/>
      <c r="D622" s="35"/>
      <c r="E622" s="36"/>
      <c r="F622" s="2"/>
      <c r="G622" s="2" t="str">
        <f t="array" ref="G622">IF($C622="", "", XLOOKUP($C622, Services!$A$4:$A998, Services!$C$4:$C998))</f>
        <v/>
      </c>
      <c r="H622" s="2" t="str">
        <f t="shared" si="1"/>
        <v>Retail</v>
      </c>
      <c r="I622" s="20"/>
      <c r="J622" s="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20"/>
      <c r="B623" s="34"/>
      <c r="C623" s="20"/>
      <c r="D623" s="35"/>
      <c r="E623" s="36"/>
      <c r="F623" s="2"/>
      <c r="G623" s="2" t="str">
        <f t="array" ref="G623">IF($C623="", "", XLOOKUP($C623, Services!$A$4:$A998, Services!$C$4:$C998))</f>
        <v/>
      </c>
      <c r="H623" s="2" t="str">
        <f t="shared" si="1"/>
        <v>Retail</v>
      </c>
      <c r="I623" s="20"/>
      <c r="J623" s="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20"/>
      <c r="B624" s="34"/>
      <c r="C624" s="20"/>
      <c r="D624" s="35"/>
      <c r="E624" s="36"/>
      <c r="F624" s="2"/>
      <c r="G624" s="2" t="str">
        <f t="array" ref="G624">IF($C624="", "", XLOOKUP($C624, Services!$A$4:$A998, Services!$C$4:$C998))</f>
        <v/>
      </c>
      <c r="H624" s="2" t="str">
        <f t="shared" si="1"/>
        <v>Retail</v>
      </c>
      <c r="I624" s="20"/>
      <c r="J624" s="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20"/>
      <c r="B625" s="34"/>
      <c r="C625" s="20"/>
      <c r="D625" s="35"/>
      <c r="E625" s="36"/>
      <c r="F625" s="2"/>
      <c r="G625" s="2" t="str">
        <f t="array" ref="G625">IF($C625="", "", XLOOKUP($C625, Services!$A$4:$A998, Services!$C$4:$C998))</f>
        <v/>
      </c>
      <c r="H625" s="2" t="str">
        <f t="shared" si="1"/>
        <v>Retail</v>
      </c>
      <c r="I625" s="20"/>
      <c r="J625" s="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20"/>
      <c r="B626" s="34"/>
      <c r="C626" s="20"/>
      <c r="D626" s="35"/>
      <c r="E626" s="36"/>
      <c r="F626" s="2"/>
      <c r="G626" s="2" t="str">
        <f t="array" ref="G626">IF($C626="", "", XLOOKUP($C626, Services!$A$4:$A998, Services!$C$4:$C998))</f>
        <v/>
      </c>
      <c r="H626" s="2" t="str">
        <f t="shared" si="1"/>
        <v>Retail</v>
      </c>
      <c r="I626" s="20"/>
      <c r="J626" s="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20"/>
      <c r="B627" s="34"/>
      <c r="C627" s="20"/>
      <c r="D627" s="35"/>
      <c r="E627" s="36"/>
      <c r="F627" s="2"/>
      <c r="G627" s="2" t="str">
        <f t="array" ref="G627">IF($C627="", "", XLOOKUP($C627, Services!$A$4:$A998, Services!$C$4:$C998))</f>
        <v/>
      </c>
      <c r="H627" s="2" t="str">
        <f t="shared" si="1"/>
        <v>Retail</v>
      </c>
      <c r="I627" s="20"/>
      <c r="J627" s="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20"/>
      <c r="B628" s="34"/>
      <c r="C628" s="20"/>
      <c r="D628" s="35"/>
      <c r="E628" s="36"/>
      <c r="F628" s="2"/>
      <c r="G628" s="2" t="str">
        <f t="array" ref="G628">IF($C628="", "", XLOOKUP($C628, Services!$A$4:$A998, Services!$C$4:$C998))</f>
        <v/>
      </c>
      <c r="H628" s="2" t="str">
        <f t="shared" si="1"/>
        <v>Retail</v>
      </c>
      <c r="I628" s="20"/>
      <c r="J628" s="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20"/>
      <c r="B629" s="34"/>
      <c r="C629" s="20"/>
      <c r="D629" s="35"/>
      <c r="E629" s="36"/>
      <c r="F629" s="2"/>
      <c r="G629" s="2" t="str">
        <f t="array" ref="G629">IF($C629="", "", XLOOKUP($C629, Services!$A$4:$A998, Services!$C$4:$C998))</f>
        <v/>
      </c>
      <c r="H629" s="2" t="str">
        <f t="shared" si="1"/>
        <v>Retail</v>
      </c>
      <c r="I629" s="20"/>
      <c r="J629" s="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20"/>
      <c r="B630" s="34"/>
      <c r="C630" s="20"/>
      <c r="D630" s="35"/>
      <c r="E630" s="36"/>
      <c r="F630" s="2"/>
      <c r="G630" s="2" t="str">
        <f t="array" ref="G630">IF($C630="", "", XLOOKUP($C630, Services!$A$4:$A998, Services!$C$4:$C998))</f>
        <v/>
      </c>
      <c r="H630" s="2" t="str">
        <f t="shared" si="1"/>
        <v>Retail</v>
      </c>
      <c r="I630" s="20"/>
      <c r="J630" s="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20"/>
      <c r="B631" s="34"/>
      <c r="C631" s="20"/>
      <c r="D631" s="35"/>
      <c r="E631" s="36"/>
      <c r="F631" s="2"/>
      <c r="G631" s="2" t="str">
        <f t="array" ref="G631">IF($C631="", "", XLOOKUP($C631, Services!$A$4:$A998, Services!$C$4:$C998))</f>
        <v/>
      </c>
      <c r="H631" s="2" t="str">
        <f t="shared" si="1"/>
        <v>Retail</v>
      </c>
      <c r="I631" s="20"/>
      <c r="J631" s="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20"/>
      <c r="B632" s="34"/>
      <c r="C632" s="20"/>
      <c r="D632" s="35"/>
      <c r="E632" s="36"/>
      <c r="F632" s="2"/>
      <c r="G632" s="2" t="str">
        <f t="array" ref="G632">IF($C632="", "", XLOOKUP($C632, Services!$A$4:$A998, Services!$C$4:$C998))</f>
        <v/>
      </c>
      <c r="H632" s="2" t="str">
        <f t="shared" si="1"/>
        <v>Retail</v>
      </c>
      <c r="I632" s="20"/>
      <c r="J632" s="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20"/>
      <c r="B633" s="34"/>
      <c r="C633" s="20"/>
      <c r="D633" s="35"/>
      <c r="E633" s="36"/>
      <c r="F633" s="2"/>
      <c r="G633" s="2" t="str">
        <f t="array" ref="G633">IF($C633="", "", XLOOKUP($C633, Services!$A$4:$A998, Services!$C$4:$C998))</f>
        <v/>
      </c>
      <c r="H633" s="2" t="str">
        <f t="shared" si="1"/>
        <v>Retail</v>
      </c>
      <c r="I633" s="20"/>
      <c r="J633" s="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20"/>
      <c r="B634" s="34"/>
      <c r="C634" s="20"/>
      <c r="D634" s="35"/>
      <c r="E634" s="36"/>
      <c r="F634" s="2"/>
      <c r="G634" s="2" t="str">
        <f t="array" ref="G634">IF($C634="", "", XLOOKUP($C634, Services!$A$4:$A998, Services!$C$4:$C998))</f>
        <v/>
      </c>
      <c r="H634" s="2" t="str">
        <f t="shared" si="1"/>
        <v>Retail</v>
      </c>
      <c r="I634" s="20"/>
      <c r="J634" s="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20"/>
      <c r="B635" s="34"/>
      <c r="C635" s="20"/>
      <c r="D635" s="35"/>
      <c r="E635" s="36"/>
      <c r="F635" s="2"/>
      <c r="G635" s="2" t="str">
        <f t="array" ref="G635">IF($C635="", "", XLOOKUP($C635, Services!$A$4:$A998, Services!$C$4:$C998))</f>
        <v/>
      </c>
      <c r="H635" s="2" t="str">
        <f t="shared" si="1"/>
        <v>Retail</v>
      </c>
      <c r="I635" s="20"/>
      <c r="J635" s="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20"/>
      <c r="B636" s="34"/>
      <c r="C636" s="20"/>
      <c r="D636" s="35"/>
      <c r="E636" s="36"/>
      <c r="F636" s="2"/>
      <c r="G636" s="2" t="str">
        <f t="array" ref="G636">IF($C636="", "", XLOOKUP($C636, Services!$A$4:$A998, Services!$C$4:$C998))</f>
        <v/>
      </c>
      <c r="H636" s="2" t="str">
        <f t="shared" si="1"/>
        <v>Retail</v>
      </c>
      <c r="I636" s="20"/>
      <c r="J636" s="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20"/>
      <c r="B637" s="34"/>
      <c r="C637" s="20"/>
      <c r="D637" s="35"/>
      <c r="E637" s="36"/>
      <c r="F637" s="2"/>
      <c r="G637" s="2" t="str">
        <f t="array" ref="G637">IF($C637="", "", XLOOKUP($C637, Services!$A$4:$A998, Services!$C$4:$C998))</f>
        <v/>
      </c>
      <c r="H637" s="2" t="str">
        <f t="shared" si="1"/>
        <v>Retail</v>
      </c>
      <c r="I637" s="20"/>
      <c r="J637" s="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20"/>
      <c r="B638" s="34"/>
      <c r="C638" s="20"/>
      <c r="D638" s="35"/>
      <c r="E638" s="36"/>
      <c r="F638" s="2"/>
      <c r="G638" s="2" t="str">
        <f t="array" ref="G638">IF($C638="", "", XLOOKUP($C638, Services!$A$4:$A998, Services!$C$4:$C998))</f>
        <v/>
      </c>
      <c r="H638" s="2" t="str">
        <f t="shared" si="1"/>
        <v>Retail</v>
      </c>
      <c r="I638" s="20"/>
      <c r="J638" s="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20"/>
      <c r="B639" s="34"/>
      <c r="C639" s="20"/>
      <c r="D639" s="35"/>
      <c r="E639" s="36"/>
      <c r="F639" s="2"/>
      <c r="G639" s="2" t="str">
        <f t="array" ref="G639">IF($C639="", "", XLOOKUP($C639, Services!$A$4:$A998, Services!$C$4:$C998))</f>
        <v/>
      </c>
      <c r="H639" s="2" t="str">
        <f t="shared" si="1"/>
        <v>Retail</v>
      </c>
      <c r="I639" s="20"/>
      <c r="J639" s="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20"/>
      <c r="B640" s="34"/>
      <c r="C640" s="20"/>
      <c r="D640" s="35"/>
      <c r="E640" s="36"/>
      <c r="F640" s="2"/>
      <c r="G640" s="2" t="str">
        <f t="array" ref="G640">IF($C640="", "", XLOOKUP($C640, Services!$A$4:$A998, Services!$C$4:$C998))</f>
        <v/>
      </c>
      <c r="H640" s="2" t="str">
        <f t="shared" si="1"/>
        <v>Retail</v>
      </c>
      <c r="I640" s="20"/>
      <c r="J640" s="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20"/>
      <c r="B641" s="34"/>
      <c r="C641" s="20"/>
      <c r="D641" s="35"/>
      <c r="E641" s="36"/>
      <c r="F641" s="2"/>
      <c r="G641" s="2" t="str">
        <f t="array" ref="G641">IF($C641="", "", XLOOKUP($C641, Services!$A$4:$A998, Services!$C$4:$C998))</f>
        <v/>
      </c>
      <c r="H641" s="2" t="str">
        <f t="shared" si="1"/>
        <v>Retail</v>
      </c>
      <c r="I641" s="20"/>
      <c r="J641" s="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20"/>
      <c r="B642" s="34"/>
      <c r="C642" s="20"/>
      <c r="D642" s="35"/>
      <c r="E642" s="36"/>
      <c r="F642" s="2"/>
      <c r="G642" s="2" t="str">
        <f t="array" ref="G642">IF($C642="", "", XLOOKUP($C642, Services!$A$4:$A998, Services!$C$4:$C998))</f>
        <v/>
      </c>
      <c r="H642" s="2" t="str">
        <f t="shared" si="1"/>
        <v>Retail</v>
      </c>
      <c r="I642" s="20"/>
      <c r="J642" s="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20"/>
      <c r="B643" s="34"/>
      <c r="C643" s="20"/>
      <c r="D643" s="35"/>
      <c r="E643" s="36"/>
      <c r="F643" s="2"/>
      <c r="G643" s="2" t="str">
        <f t="array" ref="G643">IF($C643="", "", XLOOKUP($C643, Services!$A$4:$A998, Services!$C$4:$C998))</f>
        <v/>
      </c>
      <c r="H643" s="2" t="str">
        <f t="shared" si="1"/>
        <v>Retail</v>
      </c>
      <c r="I643" s="20"/>
      <c r="J643" s="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20"/>
      <c r="B644" s="34"/>
      <c r="C644" s="20"/>
      <c r="D644" s="35"/>
      <c r="E644" s="36"/>
      <c r="F644" s="2"/>
      <c r="G644" s="2" t="str">
        <f t="array" ref="G644">IF($C644="", "", XLOOKUP($C644, Services!$A$4:$A998, Services!$C$4:$C998))</f>
        <v/>
      </c>
      <c r="H644" s="2" t="str">
        <f t="shared" si="1"/>
        <v>Retail</v>
      </c>
      <c r="I644" s="20"/>
      <c r="J644" s="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20"/>
      <c r="B645" s="34"/>
      <c r="C645" s="20"/>
      <c r="D645" s="35"/>
      <c r="E645" s="36"/>
      <c r="F645" s="2"/>
      <c r="G645" s="2" t="str">
        <f t="array" ref="G645">IF($C645="", "", XLOOKUP($C645, Services!$A$4:$A998, Services!$C$4:$C998))</f>
        <v/>
      </c>
      <c r="H645" s="2" t="str">
        <f t="shared" si="1"/>
        <v>Retail</v>
      </c>
      <c r="I645" s="20"/>
      <c r="J645" s="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20"/>
      <c r="B646" s="34"/>
      <c r="C646" s="20"/>
      <c r="D646" s="35"/>
      <c r="E646" s="36"/>
      <c r="F646" s="2"/>
      <c r="G646" s="2" t="str">
        <f t="array" ref="G646">IF($C646="", "", XLOOKUP($C646, Services!$A$4:$A998, Services!$C$4:$C998))</f>
        <v/>
      </c>
      <c r="H646" s="2" t="str">
        <f t="shared" si="1"/>
        <v>Retail</v>
      </c>
      <c r="I646" s="20"/>
      <c r="J646" s="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20"/>
      <c r="B647" s="34"/>
      <c r="C647" s="20"/>
      <c r="D647" s="35"/>
      <c r="E647" s="36"/>
      <c r="F647" s="2"/>
      <c r="G647" s="2" t="str">
        <f t="array" ref="G647">IF($C647="", "", XLOOKUP($C647, Services!$A$4:$A998, Services!$C$4:$C998))</f>
        <v/>
      </c>
      <c r="H647" s="2" t="str">
        <f t="shared" si="1"/>
        <v>Retail</v>
      </c>
      <c r="I647" s="20"/>
      <c r="J647" s="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20"/>
      <c r="B648" s="34"/>
      <c r="C648" s="20"/>
      <c r="D648" s="35"/>
      <c r="E648" s="36"/>
      <c r="F648" s="2"/>
      <c r="G648" s="2" t="str">
        <f t="array" ref="G648">IF($C648="", "", XLOOKUP($C648, Services!$A$4:$A998, Services!$C$4:$C998))</f>
        <v/>
      </c>
      <c r="H648" s="2" t="str">
        <f t="shared" si="1"/>
        <v>Retail</v>
      </c>
      <c r="I648" s="20"/>
      <c r="J648" s="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20"/>
      <c r="B649" s="34"/>
      <c r="C649" s="20"/>
      <c r="D649" s="35"/>
      <c r="E649" s="36"/>
      <c r="F649" s="2"/>
      <c r="G649" s="2" t="str">
        <f t="array" ref="G649">IF($C649="", "", XLOOKUP($C649, Services!$A$4:$A998, Services!$C$4:$C998))</f>
        <v/>
      </c>
      <c r="H649" s="2" t="str">
        <f t="shared" si="1"/>
        <v>Retail</v>
      </c>
      <c r="I649" s="20"/>
      <c r="J649" s="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20"/>
      <c r="B650" s="34"/>
      <c r="C650" s="20"/>
      <c r="D650" s="35"/>
      <c r="E650" s="36"/>
      <c r="F650" s="2"/>
      <c r="G650" s="2" t="str">
        <f t="array" ref="G650">IF($C650="", "", XLOOKUP($C650, Services!$A$4:$A998, Services!$C$4:$C998))</f>
        <v/>
      </c>
      <c r="H650" s="2" t="str">
        <f t="shared" si="1"/>
        <v>Retail</v>
      </c>
      <c r="I650" s="20"/>
      <c r="J650" s="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20"/>
      <c r="B651" s="34"/>
      <c r="C651" s="20"/>
      <c r="D651" s="35"/>
      <c r="E651" s="36"/>
      <c r="F651" s="2"/>
      <c r="G651" s="2" t="str">
        <f t="array" ref="G651">IF($C651="", "", XLOOKUP($C651, Services!$A$4:$A998, Services!$C$4:$C998))</f>
        <v/>
      </c>
      <c r="H651" s="2" t="str">
        <f t="shared" si="1"/>
        <v>Retail</v>
      </c>
      <c r="I651" s="20"/>
      <c r="J651" s="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20"/>
      <c r="B652" s="34"/>
      <c r="C652" s="20"/>
      <c r="D652" s="35"/>
      <c r="E652" s="36"/>
      <c r="F652" s="2"/>
      <c r="G652" s="2" t="str">
        <f t="array" ref="G652">IF($C652="", "", XLOOKUP($C652, Services!$A$4:$A998, Services!$C$4:$C998))</f>
        <v/>
      </c>
      <c r="H652" s="2" t="str">
        <f t="shared" si="1"/>
        <v>Retail</v>
      </c>
      <c r="I652" s="20"/>
      <c r="J652" s="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20"/>
      <c r="B653" s="34"/>
      <c r="C653" s="20"/>
      <c r="D653" s="35"/>
      <c r="E653" s="36"/>
      <c r="F653" s="2"/>
      <c r="G653" s="2" t="str">
        <f t="array" ref="G653">IF($C653="", "", XLOOKUP($C653, Services!$A$4:$A998, Services!$C$4:$C998))</f>
        <v/>
      </c>
      <c r="H653" s="2" t="str">
        <f t="shared" si="1"/>
        <v>Retail</v>
      </c>
      <c r="I653" s="20"/>
      <c r="J653" s="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20"/>
      <c r="B654" s="34"/>
      <c r="C654" s="20"/>
      <c r="D654" s="35"/>
      <c r="E654" s="36"/>
      <c r="F654" s="2"/>
      <c r="G654" s="2" t="str">
        <f t="array" ref="G654">IF($C654="", "", XLOOKUP($C654, Services!$A$4:$A998, Services!$C$4:$C998))</f>
        <v/>
      </c>
      <c r="H654" s="2" t="str">
        <f t="shared" si="1"/>
        <v>Retail</v>
      </c>
      <c r="I654" s="20"/>
      <c r="J654" s="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20"/>
      <c r="B655" s="34"/>
      <c r="C655" s="20"/>
      <c r="D655" s="35"/>
      <c r="E655" s="36"/>
      <c r="F655" s="2"/>
      <c r="G655" s="2" t="str">
        <f t="array" ref="G655">IF($C655="", "", XLOOKUP($C655, Services!$A$4:$A998, Services!$C$4:$C998))</f>
        <v/>
      </c>
      <c r="H655" s="2" t="str">
        <f t="shared" si="1"/>
        <v>Retail</v>
      </c>
      <c r="I655" s="20"/>
      <c r="J655" s="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20"/>
      <c r="B656" s="34"/>
      <c r="C656" s="20"/>
      <c r="D656" s="35"/>
      <c r="E656" s="36"/>
      <c r="F656" s="2"/>
      <c r="G656" s="2" t="str">
        <f t="array" ref="G656">IF($C656="", "", XLOOKUP($C656, Services!$A$4:$A998, Services!$C$4:$C998))</f>
        <v/>
      </c>
      <c r="H656" s="2" t="str">
        <f t="shared" si="1"/>
        <v>Retail</v>
      </c>
      <c r="I656" s="20"/>
      <c r="J656" s="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20"/>
      <c r="B657" s="34"/>
      <c r="C657" s="20"/>
      <c r="D657" s="35"/>
      <c r="E657" s="36"/>
      <c r="F657" s="2"/>
      <c r="G657" s="2" t="str">
        <f t="array" ref="G657">IF($C657="", "", XLOOKUP($C657, Services!$A$4:$A998, Services!$C$4:$C998))</f>
        <v/>
      </c>
      <c r="H657" s="2" t="str">
        <f t="shared" si="1"/>
        <v>Retail</v>
      </c>
      <c r="I657" s="20"/>
      <c r="J657" s="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20"/>
      <c r="B658" s="34"/>
      <c r="C658" s="20"/>
      <c r="D658" s="35"/>
      <c r="E658" s="36"/>
      <c r="F658" s="2"/>
      <c r="G658" s="2" t="str">
        <f t="array" ref="G658">IF($C658="", "", XLOOKUP($C658, Services!$A$4:$A998, Services!$C$4:$C998))</f>
        <v/>
      </c>
      <c r="H658" s="2" t="str">
        <f t="shared" si="1"/>
        <v>Retail</v>
      </c>
      <c r="I658" s="20"/>
      <c r="J658" s="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20"/>
      <c r="B659" s="34"/>
      <c r="C659" s="20"/>
      <c r="D659" s="35"/>
      <c r="E659" s="36"/>
      <c r="F659" s="2"/>
      <c r="G659" s="2" t="str">
        <f t="array" ref="G659">IF($C659="", "", XLOOKUP($C659, Services!$A$4:$A998, Services!$C$4:$C998))</f>
        <v/>
      </c>
      <c r="H659" s="2" t="str">
        <f t="shared" si="1"/>
        <v>Retail</v>
      </c>
      <c r="I659" s="20"/>
      <c r="J659" s="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20"/>
      <c r="B660" s="34"/>
      <c r="C660" s="20"/>
      <c r="D660" s="35"/>
      <c r="E660" s="36"/>
      <c r="F660" s="2"/>
      <c r="G660" s="2" t="str">
        <f t="array" ref="G660">IF($C660="", "", XLOOKUP($C660, Services!$A$4:$A998, Services!$C$4:$C998))</f>
        <v/>
      </c>
      <c r="H660" s="2" t="str">
        <f t="shared" si="1"/>
        <v>Retail</v>
      </c>
      <c r="I660" s="20"/>
      <c r="J660" s="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20"/>
      <c r="B661" s="34"/>
      <c r="C661" s="20"/>
      <c r="D661" s="35"/>
      <c r="E661" s="36"/>
      <c r="F661" s="2"/>
      <c r="G661" s="2" t="str">
        <f t="array" ref="G661">IF($C661="", "", XLOOKUP($C661, Services!$A$4:$A998, Services!$C$4:$C998))</f>
        <v/>
      </c>
      <c r="H661" s="2" t="str">
        <f t="shared" si="1"/>
        <v>Retail</v>
      </c>
      <c r="I661" s="20"/>
      <c r="J661" s="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20"/>
      <c r="B662" s="34"/>
      <c r="C662" s="20"/>
      <c r="D662" s="35"/>
      <c r="E662" s="36"/>
      <c r="F662" s="2"/>
      <c r="G662" s="2" t="str">
        <f t="array" ref="G662">IF($C662="", "", XLOOKUP($C662, Services!$A$4:$A998, Services!$C$4:$C998))</f>
        <v/>
      </c>
      <c r="H662" s="2" t="str">
        <f t="shared" si="1"/>
        <v>Retail</v>
      </c>
      <c r="I662" s="20"/>
      <c r="J662" s="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20"/>
      <c r="B663" s="34"/>
      <c r="C663" s="20"/>
      <c r="D663" s="35"/>
      <c r="E663" s="36"/>
      <c r="F663" s="2"/>
      <c r="G663" s="2" t="str">
        <f t="array" ref="G663">IF($C663="", "", XLOOKUP($C663, Services!$A$4:$A998, Services!$C$4:$C998))</f>
        <v/>
      </c>
      <c r="H663" s="2" t="str">
        <f t="shared" si="1"/>
        <v>Retail</v>
      </c>
      <c r="I663" s="20"/>
      <c r="J663" s="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20"/>
      <c r="B664" s="34"/>
      <c r="C664" s="20"/>
      <c r="D664" s="35"/>
      <c r="E664" s="36"/>
      <c r="F664" s="2"/>
      <c r="G664" s="2" t="str">
        <f t="array" ref="G664">IF($C664="", "", XLOOKUP($C664, Services!$A$4:$A998, Services!$C$4:$C998))</f>
        <v/>
      </c>
      <c r="H664" s="2" t="str">
        <f t="shared" si="1"/>
        <v>Retail</v>
      </c>
      <c r="I664" s="20"/>
      <c r="J664" s="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20"/>
      <c r="B665" s="34"/>
      <c r="C665" s="20"/>
      <c r="D665" s="35"/>
      <c r="E665" s="36"/>
      <c r="F665" s="2"/>
      <c r="G665" s="2" t="str">
        <f t="array" ref="G665">IF($C665="", "", XLOOKUP($C665, Services!$A$4:$A998, Services!$C$4:$C998))</f>
        <v/>
      </c>
      <c r="H665" s="2" t="str">
        <f t="shared" si="1"/>
        <v>Retail</v>
      </c>
      <c r="I665" s="20"/>
      <c r="J665" s="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20"/>
      <c r="B666" s="34"/>
      <c r="C666" s="20"/>
      <c r="D666" s="35"/>
      <c r="E666" s="36"/>
      <c r="F666" s="2"/>
      <c r="G666" s="2" t="str">
        <f t="array" ref="G666">IF($C666="", "", XLOOKUP($C666, Services!$A$4:$A998, Services!$C$4:$C998))</f>
        <v/>
      </c>
      <c r="H666" s="2" t="str">
        <f t="shared" si="1"/>
        <v>Retail</v>
      </c>
      <c r="I666" s="20"/>
      <c r="J666" s="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20"/>
      <c r="B667" s="34"/>
      <c r="C667" s="20"/>
      <c r="D667" s="35"/>
      <c r="E667" s="36"/>
      <c r="F667" s="2"/>
      <c r="G667" s="2" t="str">
        <f t="array" ref="G667">IF($C667="", "", XLOOKUP($C667, Services!$A$4:$A998, Services!$C$4:$C998))</f>
        <v/>
      </c>
      <c r="H667" s="2" t="str">
        <f t="shared" si="1"/>
        <v>Retail</v>
      </c>
      <c r="I667" s="20"/>
      <c r="J667" s="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20"/>
      <c r="B668" s="34"/>
      <c r="C668" s="20"/>
      <c r="D668" s="35"/>
      <c r="E668" s="36"/>
      <c r="F668" s="2"/>
      <c r="G668" s="2" t="str">
        <f t="array" ref="G668">IF($C668="", "", XLOOKUP($C668, Services!$A$4:$A998, Services!$C$4:$C998))</f>
        <v/>
      </c>
      <c r="H668" s="2" t="str">
        <f t="shared" si="1"/>
        <v>Retail</v>
      </c>
      <c r="I668" s="20"/>
      <c r="J668" s="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20"/>
      <c r="B669" s="34"/>
      <c r="C669" s="20"/>
      <c r="D669" s="35"/>
      <c r="E669" s="36"/>
      <c r="F669" s="2"/>
      <c r="G669" s="2" t="str">
        <f t="array" ref="G669">IF($C669="", "", XLOOKUP($C669, Services!$A$4:$A998, Services!$C$4:$C998))</f>
        <v/>
      </c>
      <c r="H669" s="2" t="str">
        <f t="shared" si="1"/>
        <v>Retail</v>
      </c>
      <c r="I669" s="20"/>
      <c r="J669" s="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20"/>
      <c r="B670" s="34"/>
      <c r="C670" s="20"/>
      <c r="D670" s="35"/>
      <c r="E670" s="36"/>
      <c r="F670" s="2"/>
      <c r="G670" s="2" t="str">
        <f t="array" ref="G670">IF($C670="", "", XLOOKUP($C670, Services!$A$4:$A998, Services!$C$4:$C998))</f>
        <v/>
      </c>
      <c r="H670" s="2" t="str">
        <f t="shared" si="1"/>
        <v>Retail</v>
      </c>
      <c r="I670" s="20"/>
      <c r="J670" s="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20"/>
      <c r="B671" s="34"/>
      <c r="C671" s="20"/>
      <c r="D671" s="35"/>
      <c r="E671" s="36"/>
      <c r="F671" s="2"/>
      <c r="G671" s="2" t="str">
        <f t="array" ref="G671">IF($C671="", "", XLOOKUP($C671, Services!$A$4:$A998, Services!$C$4:$C998))</f>
        <v/>
      </c>
      <c r="H671" s="2" t="str">
        <f t="shared" si="1"/>
        <v>Retail</v>
      </c>
      <c r="I671" s="20"/>
      <c r="J671" s="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20"/>
      <c r="B672" s="34"/>
      <c r="C672" s="20"/>
      <c r="D672" s="35"/>
      <c r="E672" s="36"/>
      <c r="F672" s="2"/>
      <c r="G672" s="2" t="str">
        <f t="array" ref="G672">IF($C672="", "", XLOOKUP($C672, Services!$A$4:$A998, Services!$C$4:$C998))</f>
        <v/>
      </c>
      <c r="H672" s="2" t="str">
        <f t="shared" si="1"/>
        <v>Retail</v>
      </c>
      <c r="I672" s="20"/>
      <c r="J672" s="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20"/>
      <c r="B673" s="34"/>
      <c r="C673" s="20"/>
      <c r="D673" s="35"/>
      <c r="E673" s="36"/>
      <c r="F673" s="2"/>
      <c r="G673" s="2" t="str">
        <f t="array" ref="G673">IF($C673="", "", XLOOKUP($C673, Services!$A$4:$A998, Services!$C$4:$C998))</f>
        <v/>
      </c>
      <c r="H673" s="2" t="str">
        <f t="shared" si="1"/>
        <v>Retail</v>
      </c>
      <c r="I673" s="20"/>
      <c r="J673" s="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20"/>
      <c r="B674" s="34"/>
      <c r="C674" s="20"/>
      <c r="D674" s="35"/>
      <c r="E674" s="36"/>
      <c r="F674" s="2"/>
      <c r="G674" s="2" t="str">
        <f t="array" ref="G674">IF($C674="", "", XLOOKUP($C674, Services!$A$4:$A998, Services!$C$4:$C998))</f>
        <v/>
      </c>
      <c r="H674" s="2" t="str">
        <f t="shared" si="1"/>
        <v>Retail</v>
      </c>
      <c r="I674" s="20"/>
      <c r="J674" s="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20"/>
      <c r="B675" s="34"/>
      <c r="C675" s="20"/>
      <c r="D675" s="35"/>
      <c r="E675" s="36"/>
      <c r="F675" s="2"/>
      <c r="G675" s="2" t="str">
        <f t="array" ref="G675">IF($C675="", "", XLOOKUP($C675, Services!$A$4:$A998, Services!$C$4:$C998))</f>
        <v/>
      </c>
      <c r="H675" s="2" t="str">
        <f t="shared" si="1"/>
        <v>Retail</v>
      </c>
      <c r="I675" s="20"/>
      <c r="J675" s="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20"/>
      <c r="B676" s="34"/>
      <c r="C676" s="20"/>
      <c r="D676" s="35"/>
      <c r="E676" s="36"/>
      <c r="F676" s="2"/>
      <c r="G676" s="2" t="str">
        <f t="array" ref="G676">IF($C676="", "", XLOOKUP($C676, Services!$A$4:$A998, Services!$C$4:$C998))</f>
        <v/>
      </c>
      <c r="H676" s="2" t="str">
        <f t="shared" si="1"/>
        <v>Retail</v>
      </c>
      <c r="I676" s="20"/>
      <c r="J676" s="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20"/>
      <c r="B677" s="34"/>
      <c r="C677" s="20"/>
      <c r="D677" s="35"/>
      <c r="E677" s="36"/>
      <c r="F677" s="2"/>
      <c r="G677" s="2" t="str">
        <f t="array" ref="G677">IF($C677="", "", XLOOKUP($C677, Services!$A$4:$A998, Services!$C$4:$C998))</f>
        <v/>
      </c>
      <c r="H677" s="2" t="str">
        <f t="shared" si="1"/>
        <v>Retail</v>
      </c>
      <c r="I677" s="20"/>
      <c r="J677" s="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20"/>
      <c r="B678" s="34"/>
      <c r="C678" s="20"/>
      <c r="D678" s="35"/>
      <c r="E678" s="36"/>
      <c r="F678" s="2"/>
      <c r="G678" s="2" t="str">
        <f t="array" ref="G678">IF($C678="", "", XLOOKUP($C678, Services!$A$4:$A998, Services!$C$4:$C998))</f>
        <v/>
      </c>
      <c r="H678" s="2" t="str">
        <f t="shared" si="1"/>
        <v>Retail</v>
      </c>
      <c r="I678" s="20"/>
      <c r="J678" s="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20"/>
      <c r="B679" s="34"/>
      <c r="C679" s="20"/>
      <c r="D679" s="35"/>
      <c r="E679" s="36"/>
      <c r="F679" s="2"/>
      <c r="G679" s="2" t="str">
        <f t="array" ref="G679">IF($C679="", "", XLOOKUP($C679, Services!$A$4:$A998, Services!$C$4:$C998))</f>
        <v/>
      </c>
      <c r="H679" s="2" t="str">
        <f t="shared" si="1"/>
        <v>Retail</v>
      </c>
      <c r="I679" s="20"/>
      <c r="J679" s="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20"/>
      <c r="B680" s="34"/>
      <c r="C680" s="20"/>
      <c r="D680" s="35"/>
      <c r="E680" s="36"/>
      <c r="F680" s="2"/>
      <c r="G680" s="2" t="str">
        <f t="array" ref="G680">IF($C680="", "", XLOOKUP($C680, Services!$A$4:$A998, Services!$C$4:$C998))</f>
        <v/>
      </c>
      <c r="H680" s="2" t="str">
        <f t="shared" si="1"/>
        <v>Retail</v>
      </c>
      <c r="I680" s="20"/>
      <c r="J680" s="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20"/>
      <c r="B681" s="34"/>
      <c r="C681" s="20"/>
      <c r="D681" s="35"/>
      <c r="E681" s="36"/>
      <c r="F681" s="2"/>
      <c r="G681" s="2" t="str">
        <f t="array" ref="G681">IF($C681="", "", XLOOKUP($C681, Services!$A$4:$A998, Services!$C$4:$C998))</f>
        <v/>
      </c>
      <c r="H681" s="2" t="str">
        <f t="shared" si="1"/>
        <v>Retail</v>
      </c>
      <c r="I681" s="20"/>
      <c r="J681" s="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20"/>
      <c r="B682" s="34"/>
      <c r="C682" s="20"/>
      <c r="D682" s="35"/>
      <c r="E682" s="36"/>
      <c r="F682" s="2"/>
      <c r="G682" s="2" t="str">
        <f t="array" ref="G682">IF($C682="", "", XLOOKUP($C682, Services!$A$4:$A998, Services!$C$4:$C998))</f>
        <v/>
      </c>
      <c r="H682" s="2" t="str">
        <f t="shared" si="1"/>
        <v>Retail</v>
      </c>
      <c r="I682" s="20"/>
      <c r="J682" s="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20"/>
      <c r="B683" s="34"/>
      <c r="C683" s="20"/>
      <c r="D683" s="35"/>
      <c r="E683" s="36"/>
      <c r="F683" s="2"/>
      <c r="G683" s="2" t="str">
        <f t="array" ref="G683">IF($C683="", "", XLOOKUP($C683, Services!$A$4:$A998, Services!$C$4:$C998))</f>
        <v/>
      </c>
      <c r="H683" s="2" t="str">
        <f t="shared" si="1"/>
        <v>Retail</v>
      </c>
      <c r="I683" s="20"/>
      <c r="J683" s="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20"/>
      <c r="B684" s="34"/>
      <c r="C684" s="20"/>
      <c r="D684" s="35"/>
      <c r="E684" s="36"/>
      <c r="F684" s="2"/>
      <c r="G684" s="2" t="str">
        <f t="array" ref="G684">IF($C684="", "", XLOOKUP($C684, Services!$A$4:$A998, Services!$C$4:$C998))</f>
        <v/>
      </c>
      <c r="H684" s="2" t="str">
        <f t="shared" si="1"/>
        <v>Retail</v>
      </c>
      <c r="I684" s="20"/>
      <c r="J684" s="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20"/>
      <c r="B685" s="34"/>
      <c r="C685" s="20"/>
      <c r="D685" s="35"/>
      <c r="E685" s="36"/>
      <c r="F685" s="2"/>
      <c r="G685" s="2" t="str">
        <f t="array" ref="G685">IF($C685="", "", XLOOKUP($C685, Services!$A$4:$A998, Services!$C$4:$C998))</f>
        <v/>
      </c>
      <c r="H685" s="2" t="str">
        <f t="shared" si="1"/>
        <v>Retail</v>
      </c>
      <c r="I685" s="20"/>
      <c r="J685" s="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20"/>
      <c r="B686" s="34"/>
      <c r="C686" s="20"/>
      <c r="D686" s="35"/>
      <c r="E686" s="36"/>
      <c r="F686" s="2"/>
      <c r="G686" s="2" t="str">
        <f t="array" ref="G686">IF($C686="", "", XLOOKUP($C686, Services!$A$4:$A998, Services!$C$4:$C998))</f>
        <v/>
      </c>
      <c r="H686" s="2" t="str">
        <f t="shared" si="1"/>
        <v>Retail</v>
      </c>
      <c r="I686" s="20"/>
      <c r="J686" s="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20"/>
      <c r="B687" s="34"/>
      <c r="C687" s="20"/>
      <c r="D687" s="35"/>
      <c r="E687" s="36"/>
      <c r="F687" s="2"/>
      <c r="G687" s="2" t="str">
        <f t="array" ref="G687">IF($C687="", "", XLOOKUP($C687, Services!$A$4:$A998, Services!$C$4:$C998))</f>
        <v/>
      </c>
      <c r="H687" s="2" t="str">
        <f t="shared" si="1"/>
        <v>Retail</v>
      </c>
      <c r="I687" s="20"/>
      <c r="J687" s="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20"/>
      <c r="B688" s="34"/>
      <c r="C688" s="20"/>
      <c r="D688" s="35"/>
      <c r="E688" s="36"/>
      <c r="F688" s="2"/>
      <c r="G688" s="2" t="str">
        <f t="array" ref="G688">IF($C688="", "", XLOOKUP($C688, Services!$A$4:$A998, Services!$C$4:$C998))</f>
        <v/>
      </c>
      <c r="H688" s="2" t="str">
        <f t="shared" si="1"/>
        <v>Retail</v>
      </c>
      <c r="I688" s="20"/>
      <c r="J688" s="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20"/>
      <c r="B689" s="34"/>
      <c r="C689" s="20"/>
      <c r="D689" s="35"/>
      <c r="E689" s="36"/>
      <c r="F689" s="2"/>
      <c r="G689" s="2" t="str">
        <f t="array" ref="G689">IF($C689="", "", XLOOKUP($C689, Services!$A$4:$A998, Services!$C$4:$C998))</f>
        <v/>
      </c>
      <c r="H689" s="2" t="str">
        <f t="shared" si="1"/>
        <v>Retail</v>
      </c>
      <c r="I689" s="20"/>
      <c r="J689" s="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20"/>
      <c r="B690" s="34"/>
      <c r="C690" s="20"/>
      <c r="D690" s="35"/>
      <c r="E690" s="36"/>
      <c r="F690" s="2"/>
      <c r="G690" s="2" t="str">
        <f t="array" ref="G690">IF($C690="", "", XLOOKUP($C690, Services!$A$4:$A998, Services!$C$4:$C998))</f>
        <v/>
      </c>
      <c r="H690" s="2" t="str">
        <f t="shared" si="1"/>
        <v>Retail</v>
      </c>
      <c r="I690" s="20"/>
      <c r="J690" s="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20"/>
      <c r="B691" s="34"/>
      <c r="C691" s="20"/>
      <c r="D691" s="35"/>
      <c r="E691" s="36"/>
      <c r="F691" s="2"/>
      <c r="G691" s="2" t="str">
        <f t="array" ref="G691">IF($C691="", "", XLOOKUP($C691, Services!$A$4:$A998, Services!$C$4:$C998))</f>
        <v/>
      </c>
      <c r="H691" s="2" t="str">
        <f t="shared" si="1"/>
        <v>Retail</v>
      </c>
      <c r="I691" s="20"/>
      <c r="J691" s="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20"/>
      <c r="B692" s="34"/>
      <c r="C692" s="20"/>
      <c r="D692" s="35"/>
      <c r="E692" s="36"/>
      <c r="F692" s="2"/>
      <c r="G692" s="2" t="str">
        <f t="array" ref="G692">IF($C692="", "", XLOOKUP($C692, Services!$A$4:$A998, Services!$C$4:$C998))</f>
        <v/>
      </c>
      <c r="H692" s="2" t="str">
        <f t="shared" si="1"/>
        <v>Retail</v>
      </c>
      <c r="I692" s="20"/>
      <c r="J692" s="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20"/>
      <c r="B693" s="34"/>
      <c r="C693" s="20"/>
      <c r="D693" s="35"/>
      <c r="E693" s="36"/>
      <c r="F693" s="2"/>
      <c r="G693" s="2" t="str">
        <f t="array" ref="G693">IF($C693="", "", XLOOKUP($C693, Services!$A$4:$A998, Services!$C$4:$C998))</f>
        <v/>
      </c>
      <c r="H693" s="2" t="str">
        <f t="shared" si="1"/>
        <v>Retail</v>
      </c>
      <c r="I693" s="20"/>
      <c r="J693" s="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20"/>
      <c r="B694" s="34"/>
      <c r="C694" s="20"/>
      <c r="D694" s="35"/>
      <c r="E694" s="36"/>
      <c r="F694" s="2"/>
      <c r="G694" s="2" t="str">
        <f t="array" ref="G694">IF($C694="", "", XLOOKUP($C694, Services!$A$4:$A998, Services!$C$4:$C998))</f>
        <v/>
      </c>
      <c r="H694" s="2" t="str">
        <f t="shared" si="1"/>
        <v>Retail</v>
      </c>
      <c r="I694" s="20"/>
      <c r="J694" s="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20"/>
      <c r="B695" s="34"/>
      <c r="C695" s="20"/>
      <c r="D695" s="35"/>
      <c r="E695" s="36"/>
      <c r="F695" s="2"/>
      <c r="G695" s="2" t="str">
        <f t="array" ref="G695">IF($C695="", "", XLOOKUP($C695, Services!$A$4:$A998, Services!$C$4:$C998))</f>
        <v/>
      </c>
      <c r="H695" s="2" t="str">
        <f t="shared" si="1"/>
        <v>Retail</v>
      </c>
      <c r="I695" s="20"/>
      <c r="J695" s="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20"/>
      <c r="B696" s="34"/>
      <c r="C696" s="20"/>
      <c r="D696" s="35"/>
      <c r="E696" s="36"/>
      <c r="F696" s="2"/>
      <c r="G696" s="2" t="str">
        <f t="array" ref="G696">IF($C696="", "", XLOOKUP($C696, Services!$A$4:$A998, Services!$C$4:$C998))</f>
        <v/>
      </c>
      <c r="H696" s="2" t="str">
        <f t="shared" si="1"/>
        <v>Retail</v>
      </c>
      <c r="I696" s="20"/>
      <c r="J696" s="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20"/>
      <c r="B697" s="34"/>
      <c r="C697" s="20"/>
      <c r="D697" s="35"/>
      <c r="E697" s="36"/>
      <c r="F697" s="2"/>
      <c r="G697" s="2" t="str">
        <f t="array" ref="G697">IF($C697="", "", XLOOKUP($C697, Services!$A$4:$A998, Services!$C$4:$C998))</f>
        <v/>
      </c>
      <c r="H697" s="2" t="str">
        <f t="shared" si="1"/>
        <v>Retail</v>
      </c>
      <c r="I697" s="20"/>
      <c r="J697" s="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20"/>
      <c r="B698" s="34"/>
      <c r="C698" s="20"/>
      <c r="D698" s="35"/>
      <c r="E698" s="36"/>
      <c r="F698" s="2"/>
      <c r="G698" s="2" t="str">
        <f t="array" ref="G698">IF($C698="", "", XLOOKUP($C698, Services!$A$4:$A998, Services!$C$4:$C998))</f>
        <v/>
      </c>
      <c r="H698" s="2" t="str">
        <f t="shared" si="1"/>
        <v>Retail</v>
      </c>
      <c r="I698" s="20"/>
      <c r="J698" s="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20"/>
      <c r="B699" s="34"/>
      <c r="C699" s="20"/>
      <c r="D699" s="35"/>
      <c r="E699" s="36"/>
      <c r="F699" s="2"/>
      <c r="G699" s="2" t="str">
        <f t="array" ref="G699">IF($C699="", "", XLOOKUP($C699, Services!$A$4:$A998, Services!$C$4:$C998))</f>
        <v/>
      </c>
      <c r="H699" s="2" t="str">
        <f t="shared" si="1"/>
        <v>Retail</v>
      </c>
      <c r="I699" s="20"/>
      <c r="J699" s="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20"/>
      <c r="B700" s="34"/>
      <c r="C700" s="20"/>
      <c r="D700" s="35"/>
      <c r="E700" s="36"/>
      <c r="F700" s="2"/>
      <c r="G700" s="2" t="str">
        <f t="array" ref="G700">IF($C700="", "", XLOOKUP($C700, Services!$A$4:$A998, Services!$C$4:$C998))</f>
        <v/>
      </c>
      <c r="H700" s="2" t="str">
        <f t="shared" si="1"/>
        <v>Retail</v>
      </c>
      <c r="I700" s="20"/>
      <c r="J700" s="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20"/>
      <c r="B701" s="34"/>
      <c r="C701" s="20"/>
      <c r="D701" s="35"/>
      <c r="E701" s="36"/>
      <c r="F701" s="2"/>
      <c r="G701" s="2" t="str">
        <f t="array" ref="G701">IF($C701="", "", XLOOKUP($C701, Services!$A$4:$A998, Services!$C$4:$C998))</f>
        <v/>
      </c>
      <c r="H701" s="2" t="str">
        <f t="shared" si="1"/>
        <v>Retail</v>
      </c>
      <c r="I701" s="20"/>
      <c r="J701" s="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20"/>
      <c r="B702" s="34"/>
      <c r="C702" s="20"/>
      <c r="D702" s="35"/>
      <c r="E702" s="36"/>
      <c r="F702" s="2"/>
      <c r="G702" s="2" t="str">
        <f t="array" ref="G702">IF($C702="", "", XLOOKUP($C702, Services!$A$4:$A998, Services!$C$4:$C998))</f>
        <v/>
      </c>
      <c r="H702" s="2" t="str">
        <f t="shared" si="1"/>
        <v>Retail</v>
      </c>
      <c r="I702" s="20"/>
      <c r="J702" s="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20"/>
      <c r="B703" s="34"/>
      <c r="C703" s="20"/>
      <c r="D703" s="35"/>
      <c r="E703" s="36"/>
      <c r="F703" s="2"/>
      <c r="G703" s="2" t="str">
        <f t="array" ref="G703">IF($C703="", "", XLOOKUP($C703, Services!$A$4:$A998, Services!$C$4:$C998))</f>
        <v/>
      </c>
      <c r="H703" s="2" t="str">
        <f t="shared" si="1"/>
        <v>Retail</v>
      </c>
      <c r="I703" s="20"/>
      <c r="J703" s="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20"/>
      <c r="B704" s="34"/>
      <c r="C704" s="20"/>
      <c r="D704" s="35"/>
      <c r="E704" s="36"/>
      <c r="F704" s="2"/>
      <c r="G704" s="2" t="str">
        <f t="array" ref="G704">IF($C704="", "", XLOOKUP($C704, Services!$A$4:$A998, Services!$C$4:$C998))</f>
        <v/>
      </c>
      <c r="H704" s="2" t="str">
        <f t="shared" si="1"/>
        <v>Retail</v>
      </c>
      <c r="I704" s="20"/>
      <c r="J704" s="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20"/>
      <c r="B705" s="34"/>
      <c r="C705" s="20"/>
      <c r="D705" s="35"/>
      <c r="E705" s="36"/>
      <c r="F705" s="2"/>
      <c r="G705" s="2" t="str">
        <f t="array" ref="G705">IF($C705="", "", XLOOKUP($C705, Services!$A$4:$A998, Services!$C$4:$C998))</f>
        <v/>
      </c>
      <c r="H705" s="2" t="str">
        <f t="shared" si="1"/>
        <v>Retail</v>
      </c>
      <c r="I705" s="20"/>
      <c r="J705" s="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20"/>
      <c r="B706" s="34"/>
      <c r="C706" s="20"/>
      <c r="D706" s="35"/>
      <c r="E706" s="36"/>
      <c r="F706" s="2"/>
      <c r="G706" s="2" t="str">
        <f t="array" ref="G706">IF($C706="", "", XLOOKUP($C706, Services!$A$4:$A998, Services!$C$4:$C998))</f>
        <v/>
      </c>
      <c r="H706" s="2" t="str">
        <f t="shared" si="1"/>
        <v>Retail</v>
      </c>
      <c r="I706" s="20"/>
      <c r="J706" s="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20"/>
      <c r="B707" s="34"/>
      <c r="C707" s="20"/>
      <c r="D707" s="35"/>
      <c r="E707" s="36"/>
      <c r="F707" s="2"/>
      <c r="G707" s="2" t="str">
        <f t="array" ref="G707">IF($C707="", "", XLOOKUP($C707, Services!$A$4:$A998, Services!$C$4:$C998))</f>
        <v/>
      </c>
      <c r="H707" s="2" t="str">
        <f t="shared" si="1"/>
        <v>Retail</v>
      </c>
      <c r="I707" s="20"/>
      <c r="J707" s="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20"/>
      <c r="B708" s="34"/>
      <c r="C708" s="20"/>
      <c r="D708" s="35"/>
      <c r="E708" s="36"/>
      <c r="F708" s="2"/>
      <c r="G708" s="2" t="str">
        <f t="array" ref="G708">IF($C708="", "", XLOOKUP($C708, Services!$A$4:$A998, Services!$C$4:$C998))</f>
        <v/>
      </c>
      <c r="H708" s="2" t="str">
        <f t="shared" si="1"/>
        <v>Retail</v>
      </c>
      <c r="I708" s="20"/>
      <c r="J708" s="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20"/>
      <c r="B709" s="34"/>
      <c r="C709" s="20"/>
      <c r="D709" s="35"/>
      <c r="E709" s="36"/>
      <c r="F709" s="2"/>
      <c r="G709" s="2" t="str">
        <f t="array" ref="G709">IF($C709="", "", XLOOKUP($C709, Services!$A$4:$A998, Services!$C$4:$C998))</f>
        <v/>
      </c>
      <c r="H709" s="2" t="str">
        <f t="shared" si="1"/>
        <v>Retail</v>
      </c>
      <c r="I709" s="20"/>
      <c r="J709" s="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20"/>
      <c r="B710" s="34"/>
      <c r="C710" s="20"/>
      <c r="D710" s="35"/>
      <c r="E710" s="36"/>
      <c r="F710" s="2"/>
      <c r="G710" s="2" t="str">
        <f t="array" ref="G710">IF($C710="", "", XLOOKUP($C710, Services!$A$4:$A998, Services!$C$4:$C998))</f>
        <v/>
      </c>
      <c r="H710" s="2" t="str">
        <f t="shared" si="1"/>
        <v>Retail</v>
      </c>
      <c r="I710" s="20"/>
      <c r="J710" s="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20"/>
      <c r="B711" s="34"/>
      <c r="C711" s="20"/>
      <c r="D711" s="35"/>
      <c r="E711" s="36"/>
      <c r="F711" s="2"/>
      <c r="G711" s="2" t="str">
        <f t="array" ref="G711">IF($C711="", "", XLOOKUP($C711, Services!$A$4:$A998, Services!$C$4:$C998))</f>
        <v/>
      </c>
      <c r="H711" s="2" t="str">
        <f t="shared" si="1"/>
        <v>Retail</v>
      </c>
      <c r="I711" s="20"/>
      <c r="J711" s="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20"/>
      <c r="B712" s="34"/>
      <c r="C712" s="20"/>
      <c r="D712" s="35"/>
      <c r="E712" s="36"/>
      <c r="F712" s="2"/>
      <c r="G712" s="2" t="str">
        <f t="array" ref="G712">IF($C712="", "", XLOOKUP($C712, Services!$A$4:$A998, Services!$C$4:$C998))</f>
        <v/>
      </c>
      <c r="H712" s="2" t="str">
        <f t="shared" si="1"/>
        <v>Retail</v>
      </c>
      <c r="I712" s="20"/>
      <c r="J712" s="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20"/>
      <c r="B713" s="34"/>
      <c r="C713" s="20"/>
      <c r="D713" s="35"/>
      <c r="E713" s="36"/>
      <c r="F713" s="2"/>
      <c r="G713" s="2" t="str">
        <f t="array" ref="G713">IF($C713="", "", XLOOKUP($C713, Services!$A$4:$A998, Services!$C$4:$C998))</f>
        <v/>
      </c>
      <c r="H713" s="2" t="str">
        <f t="shared" si="1"/>
        <v>Retail</v>
      </c>
      <c r="I713" s="20"/>
      <c r="J713" s="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20"/>
      <c r="B714" s="34"/>
      <c r="C714" s="20"/>
      <c r="D714" s="35"/>
      <c r="E714" s="36"/>
      <c r="F714" s="2"/>
      <c r="G714" s="2" t="str">
        <f t="array" ref="G714">IF($C714="", "", XLOOKUP($C714, Services!$A$4:$A998, Services!$C$4:$C998))</f>
        <v/>
      </c>
      <c r="H714" s="2" t="str">
        <f t="shared" si="1"/>
        <v>Retail</v>
      </c>
      <c r="I714" s="20"/>
      <c r="J714" s="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20"/>
      <c r="B715" s="34"/>
      <c r="C715" s="20"/>
      <c r="D715" s="35"/>
      <c r="E715" s="36"/>
      <c r="F715" s="2"/>
      <c r="G715" s="2" t="str">
        <f t="array" ref="G715">IF($C715="", "", XLOOKUP($C715, Services!$A$4:$A998, Services!$C$4:$C998))</f>
        <v/>
      </c>
      <c r="H715" s="2" t="str">
        <f t="shared" si="1"/>
        <v>Retail</v>
      </c>
      <c r="I715" s="20"/>
      <c r="J715" s="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20"/>
      <c r="B716" s="34"/>
      <c r="C716" s="20"/>
      <c r="D716" s="35"/>
      <c r="E716" s="36"/>
      <c r="F716" s="2"/>
      <c r="G716" s="2" t="str">
        <f t="array" ref="G716">IF($C716="", "", XLOOKUP($C716, Services!$A$4:$A998, Services!$C$4:$C998))</f>
        <v/>
      </c>
      <c r="H716" s="2" t="str">
        <f t="shared" si="1"/>
        <v>Retail</v>
      </c>
      <c r="I716" s="20"/>
      <c r="J716" s="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20"/>
      <c r="B717" s="34"/>
      <c r="C717" s="20"/>
      <c r="D717" s="35"/>
      <c r="E717" s="36"/>
      <c r="F717" s="2"/>
      <c r="G717" s="2" t="str">
        <f t="array" ref="G717">IF($C717="", "", XLOOKUP($C717, Services!$A$4:$A998, Services!$C$4:$C998))</f>
        <v/>
      </c>
      <c r="H717" s="2" t="str">
        <f t="shared" si="1"/>
        <v>Retail</v>
      </c>
      <c r="I717" s="20"/>
      <c r="J717" s="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20"/>
      <c r="B718" s="34"/>
      <c r="C718" s="20"/>
      <c r="D718" s="35"/>
      <c r="E718" s="36"/>
      <c r="F718" s="2"/>
      <c r="G718" s="2" t="str">
        <f t="array" ref="G718">IF($C718="", "", XLOOKUP($C718, Services!$A$4:$A998, Services!$C$4:$C998))</f>
        <v/>
      </c>
      <c r="H718" s="2" t="str">
        <f t="shared" si="1"/>
        <v>Retail</v>
      </c>
      <c r="I718" s="20"/>
      <c r="J718" s="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20"/>
      <c r="B719" s="34"/>
      <c r="C719" s="20"/>
      <c r="D719" s="35"/>
      <c r="E719" s="36"/>
      <c r="F719" s="2"/>
      <c r="G719" s="2" t="str">
        <f t="array" ref="G719">IF($C719="", "", XLOOKUP($C719, Services!$A$4:$A998, Services!$C$4:$C998))</f>
        <v/>
      </c>
      <c r="H719" s="2" t="str">
        <f t="shared" si="1"/>
        <v>Retail</v>
      </c>
      <c r="I719" s="20"/>
      <c r="J719" s="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20"/>
      <c r="B720" s="34"/>
      <c r="C720" s="20"/>
      <c r="D720" s="35"/>
      <c r="E720" s="36"/>
      <c r="F720" s="2"/>
      <c r="G720" s="2" t="str">
        <f t="array" ref="G720">IF($C720="", "", XLOOKUP($C720, Services!$A$4:$A998, Services!$C$4:$C998))</f>
        <v/>
      </c>
      <c r="H720" s="2" t="str">
        <f t="shared" si="1"/>
        <v>Retail</v>
      </c>
      <c r="I720" s="20"/>
      <c r="J720" s="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20"/>
      <c r="B721" s="34"/>
      <c r="C721" s="20"/>
      <c r="D721" s="35"/>
      <c r="E721" s="36"/>
      <c r="F721" s="2"/>
      <c r="G721" s="2" t="str">
        <f t="array" ref="G721">IF($C721="", "", XLOOKUP($C721, Services!$A$4:$A998, Services!$C$4:$C998))</f>
        <v/>
      </c>
      <c r="H721" s="2" t="str">
        <f t="shared" si="1"/>
        <v>Retail</v>
      </c>
      <c r="I721" s="20"/>
      <c r="J721" s="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20"/>
      <c r="B722" s="34"/>
      <c r="C722" s="20"/>
      <c r="D722" s="35"/>
      <c r="E722" s="36"/>
      <c r="F722" s="2"/>
      <c r="G722" s="2" t="str">
        <f t="array" ref="G722">IF($C722="", "", XLOOKUP($C722, Services!$A$4:$A998, Services!$C$4:$C998))</f>
        <v/>
      </c>
      <c r="H722" s="2" t="str">
        <f t="shared" si="1"/>
        <v>Retail</v>
      </c>
      <c r="I722" s="20"/>
      <c r="J722" s="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20"/>
      <c r="B723" s="34"/>
      <c r="C723" s="20"/>
      <c r="D723" s="35"/>
      <c r="E723" s="36"/>
      <c r="F723" s="2"/>
      <c r="G723" s="2" t="str">
        <f t="array" ref="G723">IF($C723="", "", XLOOKUP($C723, Services!$A$4:$A998, Services!$C$4:$C998))</f>
        <v/>
      </c>
      <c r="H723" s="2" t="str">
        <f t="shared" si="1"/>
        <v>Retail</v>
      </c>
      <c r="I723" s="20"/>
      <c r="J723" s="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20"/>
      <c r="B724" s="34"/>
      <c r="C724" s="20"/>
      <c r="D724" s="35"/>
      <c r="E724" s="36"/>
      <c r="F724" s="2"/>
      <c r="G724" s="2" t="str">
        <f t="array" ref="G724">IF($C724="", "", XLOOKUP($C724, Services!$A$4:$A998, Services!$C$4:$C998))</f>
        <v/>
      </c>
      <c r="H724" s="2" t="str">
        <f t="shared" si="1"/>
        <v>Retail</v>
      </c>
      <c r="I724" s="20"/>
      <c r="J724" s="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20"/>
      <c r="B725" s="34"/>
      <c r="C725" s="20"/>
      <c r="D725" s="35"/>
      <c r="E725" s="36"/>
      <c r="F725" s="2"/>
      <c r="G725" s="2" t="str">
        <f t="array" ref="G725">IF($C725="", "", XLOOKUP($C725, Services!$A$4:$A998, Services!$C$4:$C998))</f>
        <v/>
      </c>
      <c r="H725" s="2" t="str">
        <f t="shared" si="1"/>
        <v>Retail</v>
      </c>
      <c r="I725" s="20"/>
      <c r="J725" s="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20"/>
      <c r="B726" s="34"/>
      <c r="C726" s="20"/>
      <c r="D726" s="35"/>
      <c r="E726" s="36"/>
      <c r="F726" s="2"/>
      <c r="G726" s="2" t="str">
        <f t="array" ref="G726">IF($C726="", "", XLOOKUP($C726, Services!$A$4:$A998, Services!$C$4:$C998))</f>
        <v/>
      </c>
      <c r="H726" s="2" t="str">
        <f t="shared" si="1"/>
        <v>Retail</v>
      </c>
      <c r="I726" s="20"/>
      <c r="J726" s="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20"/>
      <c r="B727" s="34"/>
      <c r="C727" s="20"/>
      <c r="D727" s="35"/>
      <c r="E727" s="36"/>
      <c r="F727" s="2"/>
      <c r="G727" s="2" t="str">
        <f t="array" ref="G727">IF($C727="", "", XLOOKUP($C727, Services!$A$4:$A998, Services!$C$4:$C998))</f>
        <v/>
      </c>
      <c r="H727" s="2" t="str">
        <f t="shared" si="1"/>
        <v>Retail</v>
      </c>
      <c r="I727" s="20"/>
      <c r="J727" s="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20"/>
      <c r="B728" s="34"/>
      <c r="C728" s="20"/>
      <c r="D728" s="35"/>
      <c r="E728" s="36"/>
      <c r="F728" s="2"/>
      <c r="G728" s="2" t="str">
        <f t="array" ref="G728">IF($C728="", "", XLOOKUP($C728, Services!$A$4:$A998, Services!$C$4:$C998))</f>
        <v/>
      </c>
      <c r="H728" s="2" t="str">
        <f t="shared" si="1"/>
        <v>Retail</v>
      </c>
      <c r="I728" s="20"/>
      <c r="J728" s="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20"/>
      <c r="B729" s="34"/>
      <c r="C729" s="20"/>
      <c r="D729" s="35"/>
      <c r="E729" s="36"/>
      <c r="F729" s="2"/>
      <c r="G729" s="2" t="str">
        <f t="array" ref="G729">IF($C729="", "", XLOOKUP($C729, Services!$A$4:$A998, Services!$C$4:$C998))</f>
        <v/>
      </c>
      <c r="H729" s="2" t="str">
        <f t="shared" si="1"/>
        <v>Retail</v>
      </c>
      <c r="I729" s="20"/>
      <c r="J729" s="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20"/>
      <c r="B730" s="34"/>
      <c r="C730" s="20"/>
      <c r="D730" s="35"/>
      <c r="E730" s="36"/>
      <c r="F730" s="2"/>
      <c r="G730" s="2" t="str">
        <f t="array" ref="G730">IF($C730="", "", XLOOKUP($C730, Services!$A$4:$A998, Services!$C$4:$C998))</f>
        <v/>
      </c>
      <c r="H730" s="2" t="str">
        <f t="shared" si="1"/>
        <v>Retail</v>
      </c>
      <c r="I730" s="20"/>
      <c r="J730" s="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20"/>
      <c r="B731" s="34"/>
      <c r="C731" s="20"/>
      <c r="D731" s="35"/>
      <c r="E731" s="36"/>
      <c r="F731" s="2"/>
      <c r="G731" s="2" t="str">
        <f t="array" ref="G731">IF($C731="", "", XLOOKUP($C731, Services!$A$4:$A998, Services!$C$4:$C998))</f>
        <v/>
      </c>
      <c r="H731" s="2" t="str">
        <f t="shared" si="1"/>
        <v>Retail</v>
      </c>
      <c r="I731" s="20"/>
      <c r="J731" s="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20"/>
      <c r="B732" s="34"/>
      <c r="C732" s="20"/>
      <c r="D732" s="35"/>
      <c r="E732" s="36"/>
      <c r="F732" s="2"/>
      <c r="G732" s="2" t="str">
        <f t="array" ref="G732">IF($C732="", "", XLOOKUP($C732, Services!$A$4:$A998, Services!$C$4:$C998))</f>
        <v/>
      </c>
      <c r="H732" s="2" t="str">
        <f t="shared" si="1"/>
        <v>Retail</v>
      </c>
      <c r="I732" s="20"/>
      <c r="J732" s="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20"/>
      <c r="B733" s="34"/>
      <c r="C733" s="20"/>
      <c r="D733" s="35"/>
      <c r="E733" s="36"/>
      <c r="F733" s="2"/>
      <c r="G733" s="2" t="str">
        <f t="array" ref="G733">IF($C733="", "", XLOOKUP($C733, Services!$A$4:$A998, Services!$C$4:$C998))</f>
        <v/>
      </c>
      <c r="H733" s="2" t="str">
        <f t="shared" si="1"/>
        <v>Retail</v>
      </c>
      <c r="I733" s="20"/>
      <c r="J733" s="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20"/>
      <c r="B734" s="34"/>
      <c r="C734" s="20"/>
      <c r="D734" s="35"/>
      <c r="E734" s="36"/>
      <c r="F734" s="2"/>
      <c r="G734" s="2" t="str">
        <f t="array" ref="G734">IF($C734="", "", XLOOKUP($C734, Services!$A$4:$A998, Services!$C$4:$C998))</f>
        <v/>
      </c>
      <c r="H734" s="2" t="str">
        <f t="shared" si="1"/>
        <v>Retail</v>
      </c>
      <c r="I734" s="20"/>
      <c r="J734" s="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20"/>
      <c r="B735" s="34"/>
      <c r="C735" s="20"/>
      <c r="D735" s="35"/>
      <c r="E735" s="36"/>
      <c r="F735" s="2"/>
      <c r="G735" s="2" t="str">
        <f t="array" ref="G735">IF($C735="", "", XLOOKUP($C735, Services!$A$4:$A998, Services!$C$4:$C998))</f>
        <v/>
      </c>
      <c r="H735" s="2" t="str">
        <f t="shared" si="1"/>
        <v>Retail</v>
      </c>
      <c r="I735" s="20"/>
      <c r="J735" s="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20"/>
      <c r="B736" s="34"/>
      <c r="C736" s="20"/>
      <c r="D736" s="35"/>
      <c r="E736" s="36"/>
      <c r="F736" s="2"/>
      <c r="G736" s="2" t="str">
        <f t="array" ref="G736">IF($C736="", "", XLOOKUP($C736, Services!$A$4:$A998, Services!$C$4:$C998))</f>
        <v/>
      </c>
      <c r="H736" s="2" t="str">
        <f t="shared" si="1"/>
        <v>Retail</v>
      </c>
      <c r="I736" s="20"/>
      <c r="J736" s="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20"/>
      <c r="B737" s="34"/>
      <c r="C737" s="20"/>
      <c r="D737" s="35"/>
      <c r="E737" s="36"/>
      <c r="F737" s="2"/>
      <c r="G737" s="2" t="str">
        <f t="array" ref="G737">IF($C737="", "", XLOOKUP($C737, Services!$A$4:$A998, Services!$C$4:$C998))</f>
        <v/>
      </c>
      <c r="H737" s="2" t="str">
        <f t="shared" si="1"/>
        <v>Retail</v>
      </c>
      <c r="I737" s="20"/>
      <c r="J737" s="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20"/>
      <c r="B738" s="34"/>
      <c r="C738" s="20"/>
      <c r="D738" s="35"/>
      <c r="E738" s="36"/>
      <c r="F738" s="2"/>
      <c r="G738" s="2" t="str">
        <f t="array" ref="G738">IF($C738="", "", XLOOKUP($C738, Services!$A$4:$A998, Services!$C$4:$C998))</f>
        <v/>
      </c>
      <c r="H738" s="2" t="str">
        <f t="shared" si="1"/>
        <v>Retail</v>
      </c>
      <c r="I738" s="20"/>
      <c r="J738" s="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20"/>
      <c r="B739" s="34"/>
      <c r="C739" s="20"/>
      <c r="D739" s="35"/>
      <c r="E739" s="36"/>
      <c r="F739" s="2"/>
      <c r="G739" s="2" t="str">
        <f t="array" ref="G739">IF($C739="", "", XLOOKUP($C739, Services!$A$4:$A998, Services!$C$4:$C998))</f>
        <v/>
      </c>
      <c r="H739" s="2" t="str">
        <f t="shared" si="1"/>
        <v>Retail</v>
      </c>
      <c r="I739" s="20"/>
      <c r="J739" s="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20"/>
      <c r="B740" s="34"/>
      <c r="C740" s="20"/>
      <c r="D740" s="35"/>
      <c r="E740" s="36"/>
      <c r="F740" s="2"/>
      <c r="G740" s="2" t="str">
        <f t="array" ref="G740">IF($C740="", "", XLOOKUP($C740, Services!$A$4:$A998, Services!$C$4:$C998))</f>
        <v/>
      </c>
      <c r="H740" s="2" t="str">
        <f t="shared" si="1"/>
        <v>Retail</v>
      </c>
      <c r="I740" s="20"/>
      <c r="J740" s="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20"/>
      <c r="B741" s="34"/>
      <c r="C741" s="20"/>
      <c r="D741" s="35"/>
      <c r="E741" s="36"/>
      <c r="F741" s="2"/>
      <c r="G741" s="2" t="str">
        <f t="array" ref="G741">IF($C741="", "", XLOOKUP($C741, Services!$A$4:$A998, Services!$C$4:$C998))</f>
        <v/>
      </c>
      <c r="H741" s="2" t="str">
        <f t="shared" si="1"/>
        <v>Retail</v>
      </c>
      <c r="I741" s="20"/>
      <c r="J741" s="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20"/>
      <c r="B742" s="34"/>
      <c r="C742" s="20"/>
      <c r="D742" s="35"/>
      <c r="E742" s="36"/>
      <c r="F742" s="2"/>
      <c r="G742" s="2" t="str">
        <f t="array" ref="G742">IF($C742="", "", XLOOKUP($C742, Services!$A$4:$A998, Services!$C$4:$C998))</f>
        <v/>
      </c>
      <c r="H742" s="2" t="str">
        <f t="shared" si="1"/>
        <v>Retail</v>
      </c>
      <c r="I742" s="20"/>
      <c r="J742" s="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20"/>
      <c r="B743" s="34"/>
      <c r="C743" s="20"/>
      <c r="D743" s="35"/>
      <c r="E743" s="36"/>
      <c r="F743" s="2"/>
      <c r="G743" s="2" t="str">
        <f t="array" ref="G743">IF($C743="", "", XLOOKUP($C743, Services!$A$4:$A998, Services!$C$4:$C998))</f>
        <v/>
      </c>
      <c r="H743" s="2" t="str">
        <f t="shared" si="1"/>
        <v>Retail</v>
      </c>
      <c r="I743" s="20"/>
      <c r="J743" s="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20"/>
      <c r="B744" s="34"/>
      <c r="C744" s="20"/>
      <c r="D744" s="35"/>
      <c r="E744" s="36"/>
      <c r="F744" s="2"/>
      <c r="G744" s="2" t="str">
        <f t="array" ref="G744">IF($C744="", "", XLOOKUP($C744, Services!$A$4:$A998, Services!$C$4:$C998))</f>
        <v/>
      </c>
      <c r="H744" s="2" t="str">
        <f t="shared" si="1"/>
        <v>Retail</v>
      </c>
      <c r="I744" s="20"/>
      <c r="J744" s="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20"/>
      <c r="B745" s="34"/>
      <c r="C745" s="20"/>
      <c r="D745" s="35"/>
      <c r="E745" s="36"/>
      <c r="F745" s="2"/>
      <c r="G745" s="2" t="str">
        <f t="array" ref="G745">IF($C745="", "", XLOOKUP($C745, Services!$A$4:$A998, Services!$C$4:$C998))</f>
        <v/>
      </c>
      <c r="H745" s="2" t="str">
        <f t="shared" si="1"/>
        <v>Retail</v>
      </c>
      <c r="I745" s="20"/>
      <c r="J745" s="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20"/>
      <c r="B746" s="34"/>
      <c r="C746" s="20"/>
      <c r="D746" s="35"/>
      <c r="E746" s="36"/>
      <c r="F746" s="2"/>
      <c r="G746" s="2" t="str">
        <f t="array" ref="G746">IF($C746="", "", XLOOKUP($C746, Services!$A$4:$A998, Services!$C$4:$C998))</f>
        <v/>
      </c>
      <c r="H746" s="2" t="str">
        <f t="shared" si="1"/>
        <v>Retail</v>
      </c>
      <c r="I746" s="20"/>
      <c r="J746" s="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20"/>
      <c r="B747" s="34"/>
      <c r="C747" s="20"/>
      <c r="D747" s="35"/>
      <c r="E747" s="36"/>
      <c r="F747" s="2"/>
      <c r="G747" s="2" t="str">
        <f t="array" ref="G747">IF($C747="", "", XLOOKUP($C747, Services!$A$4:$A998, Services!$C$4:$C998))</f>
        <v/>
      </c>
      <c r="H747" s="2" t="str">
        <f t="shared" si="1"/>
        <v>Retail</v>
      </c>
      <c r="I747" s="20"/>
      <c r="J747" s="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20"/>
      <c r="B748" s="34"/>
      <c r="C748" s="20"/>
      <c r="D748" s="35"/>
      <c r="E748" s="36"/>
      <c r="F748" s="2"/>
      <c r="G748" s="2" t="str">
        <f t="array" ref="G748">IF($C748="", "", XLOOKUP($C748, Services!$A$4:$A998, Services!$C$4:$C998))</f>
        <v/>
      </c>
      <c r="H748" s="2" t="str">
        <f t="shared" si="1"/>
        <v>Retail</v>
      </c>
      <c r="I748" s="20"/>
      <c r="J748" s="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20"/>
      <c r="B749" s="34"/>
      <c r="C749" s="20"/>
      <c r="D749" s="35"/>
      <c r="E749" s="36"/>
      <c r="F749" s="2"/>
      <c r="G749" s="2" t="str">
        <f t="array" ref="G749">IF($C749="", "", XLOOKUP($C749, Services!$A$4:$A998, Services!$C$4:$C998))</f>
        <v/>
      </c>
      <c r="H749" s="2" t="str">
        <f t="shared" si="1"/>
        <v>Retail</v>
      </c>
      <c r="I749" s="20"/>
      <c r="J749" s="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20"/>
      <c r="B750" s="34"/>
      <c r="C750" s="20"/>
      <c r="D750" s="35"/>
      <c r="E750" s="36"/>
      <c r="F750" s="2"/>
      <c r="G750" s="2" t="str">
        <f t="array" ref="G750">IF($C750="", "", XLOOKUP($C750, Services!$A$4:$A998, Services!$C$4:$C998))</f>
        <v/>
      </c>
      <c r="H750" s="2" t="str">
        <f t="shared" si="1"/>
        <v>Retail</v>
      </c>
      <c r="I750" s="20"/>
      <c r="J750" s="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20"/>
      <c r="B751" s="34"/>
      <c r="C751" s="20"/>
      <c r="D751" s="35"/>
      <c r="E751" s="36"/>
      <c r="F751" s="2"/>
      <c r="G751" s="2" t="str">
        <f t="array" ref="G751">IF($C751="", "", XLOOKUP($C751, Services!$A$4:$A998, Services!$C$4:$C998))</f>
        <v/>
      </c>
      <c r="H751" s="2" t="str">
        <f t="shared" si="1"/>
        <v>Retail</v>
      </c>
      <c r="I751" s="20"/>
      <c r="J751" s="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20"/>
      <c r="B752" s="34"/>
      <c r="C752" s="20"/>
      <c r="D752" s="35"/>
      <c r="E752" s="36"/>
      <c r="F752" s="2"/>
      <c r="G752" s="2" t="str">
        <f t="array" ref="G752">IF($C752="", "", XLOOKUP($C752, Services!$A$4:$A998, Services!$C$4:$C998))</f>
        <v/>
      </c>
      <c r="H752" s="2" t="str">
        <f t="shared" si="1"/>
        <v>Retail</v>
      </c>
      <c r="I752" s="20"/>
      <c r="J752" s="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20"/>
      <c r="B753" s="34"/>
      <c r="C753" s="20"/>
      <c r="D753" s="35"/>
      <c r="E753" s="36"/>
      <c r="F753" s="2"/>
      <c r="G753" s="2" t="str">
        <f t="array" ref="G753">IF($C753="", "", XLOOKUP($C753, Services!$A$4:$A998, Services!$C$4:$C998))</f>
        <v/>
      </c>
      <c r="H753" s="2" t="str">
        <f t="shared" si="1"/>
        <v>Retail</v>
      </c>
      <c r="I753" s="20"/>
      <c r="J753" s="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20"/>
      <c r="B754" s="34"/>
      <c r="C754" s="20"/>
      <c r="D754" s="35"/>
      <c r="E754" s="36"/>
      <c r="F754" s="2"/>
      <c r="G754" s="2" t="str">
        <f t="array" ref="G754">IF($C754="", "", XLOOKUP($C754, Services!$A$4:$A998, Services!$C$4:$C998))</f>
        <v/>
      </c>
      <c r="H754" s="2" t="str">
        <f t="shared" si="1"/>
        <v>Retail</v>
      </c>
      <c r="I754" s="20"/>
      <c r="J754" s="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20"/>
      <c r="B755" s="34"/>
      <c r="C755" s="20"/>
      <c r="D755" s="35"/>
      <c r="E755" s="36"/>
      <c r="F755" s="2"/>
      <c r="G755" s="2" t="str">
        <f t="array" ref="G755">IF($C755="", "", XLOOKUP($C755, Services!$A$4:$A998, Services!$C$4:$C998))</f>
        <v/>
      </c>
      <c r="H755" s="2" t="str">
        <f t="shared" si="1"/>
        <v>Retail</v>
      </c>
      <c r="I755" s="20"/>
      <c r="J755" s="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20"/>
      <c r="B756" s="34"/>
      <c r="C756" s="20"/>
      <c r="D756" s="35"/>
      <c r="E756" s="36"/>
      <c r="F756" s="2"/>
      <c r="G756" s="2" t="str">
        <f t="array" ref="G756">IF($C756="", "", XLOOKUP($C756, Services!$A$4:$A998, Services!$C$4:$C998))</f>
        <v/>
      </c>
      <c r="H756" s="2" t="str">
        <f t="shared" si="1"/>
        <v>Retail</v>
      </c>
      <c r="I756" s="20"/>
      <c r="J756" s="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20"/>
      <c r="B757" s="34"/>
      <c r="C757" s="20"/>
      <c r="D757" s="35"/>
      <c r="E757" s="36"/>
      <c r="F757" s="2"/>
      <c r="G757" s="2" t="str">
        <f t="array" ref="G757">IF($C757="", "", XLOOKUP($C757, Services!$A$4:$A998, Services!$C$4:$C998))</f>
        <v/>
      </c>
      <c r="H757" s="2" t="str">
        <f t="shared" si="1"/>
        <v>Retail</v>
      </c>
      <c r="I757" s="20"/>
      <c r="J757" s="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20"/>
      <c r="B758" s="34"/>
      <c r="C758" s="20"/>
      <c r="D758" s="35"/>
      <c r="E758" s="36"/>
      <c r="F758" s="2"/>
      <c r="G758" s="2" t="str">
        <f t="array" ref="G758">IF($C758="", "", XLOOKUP($C758, Services!$A$4:$A998, Services!$C$4:$C998))</f>
        <v/>
      </c>
      <c r="H758" s="2" t="str">
        <f t="shared" si="1"/>
        <v>Retail</v>
      </c>
      <c r="I758" s="20"/>
      <c r="J758" s="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20"/>
      <c r="B759" s="34"/>
      <c r="C759" s="20"/>
      <c r="D759" s="35"/>
      <c r="E759" s="36"/>
      <c r="F759" s="2"/>
      <c r="G759" s="2" t="str">
        <f t="array" ref="G759">IF($C759="", "", XLOOKUP($C759, Services!$A$4:$A998, Services!$C$4:$C998))</f>
        <v/>
      </c>
      <c r="H759" s="2" t="str">
        <f t="shared" si="1"/>
        <v>Retail</v>
      </c>
      <c r="I759" s="20"/>
      <c r="J759" s="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20"/>
      <c r="B760" s="34"/>
      <c r="C760" s="20"/>
      <c r="D760" s="35"/>
      <c r="E760" s="36"/>
      <c r="F760" s="2"/>
      <c r="G760" s="2" t="str">
        <f t="array" ref="G760">IF($C760="", "", XLOOKUP($C760, Services!$A$4:$A998, Services!$C$4:$C998))</f>
        <v/>
      </c>
      <c r="H760" s="2" t="str">
        <f t="shared" si="1"/>
        <v>Retail</v>
      </c>
      <c r="I760" s="20"/>
      <c r="J760" s="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20"/>
      <c r="B761" s="34"/>
      <c r="C761" s="20"/>
      <c r="D761" s="35"/>
      <c r="E761" s="36"/>
      <c r="F761" s="2"/>
      <c r="G761" s="2" t="str">
        <f t="array" ref="G761">IF($C761="", "", XLOOKUP($C761, Services!$A$4:$A998, Services!$C$4:$C998))</f>
        <v/>
      </c>
      <c r="H761" s="2" t="str">
        <f t="shared" si="1"/>
        <v>Retail</v>
      </c>
      <c r="I761" s="20"/>
      <c r="J761" s="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20"/>
      <c r="B762" s="34"/>
      <c r="C762" s="20"/>
      <c r="D762" s="35"/>
      <c r="E762" s="36"/>
      <c r="F762" s="2"/>
      <c r="G762" s="2" t="str">
        <f t="array" ref="G762">IF($C762="", "", XLOOKUP($C762, Services!$A$4:$A998, Services!$C$4:$C998))</f>
        <v/>
      </c>
      <c r="H762" s="2" t="str">
        <f t="shared" si="1"/>
        <v>Retail</v>
      </c>
      <c r="I762" s="20"/>
      <c r="J762" s="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20"/>
      <c r="B763" s="34"/>
      <c r="C763" s="20"/>
      <c r="D763" s="35"/>
      <c r="E763" s="36"/>
      <c r="F763" s="2"/>
      <c r="G763" s="2" t="str">
        <f t="array" ref="G763">IF($C763="", "", XLOOKUP($C763, Services!$A$4:$A998, Services!$C$4:$C998))</f>
        <v/>
      </c>
      <c r="H763" s="2" t="str">
        <f t="shared" si="1"/>
        <v>Retail</v>
      </c>
      <c r="I763" s="20"/>
      <c r="J763" s="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20"/>
      <c r="B764" s="34"/>
      <c r="C764" s="20"/>
      <c r="D764" s="35"/>
      <c r="E764" s="36"/>
      <c r="F764" s="2"/>
      <c r="G764" s="2" t="str">
        <f t="array" ref="G764">IF($C764="", "", XLOOKUP($C764, Services!$A$4:$A998, Services!$C$4:$C998))</f>
        <v/>
      </c>
      <c r="H764" s="2" t="str">
        <f t="shared" si="1"/>
        <v>Retail</v>
      </c>
      <c r="I764" s="20"/>
      <c r="J764" s="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20"/>
      <c r="B765" s="34"/>
      <c r="C765" s="20"/>
      <c r="D765" s="35"/>
      <c r="E765" s="36"/>
      <c r="F765" s="2"/>
      <c r="G765" s="2" t="str">
        <f t="array" ref="G765">IF($C765="", "", XLOOKUP($C765, Services!$A$4:$A998, Services!$C$4:$C998))</f>
        <v/>
      </c>
      <c r="H765" s="2" t="str">
        <f t="shared" si="1"/>
        <v>Retail</v>
      </c>
      <c r="I765" s="20"/>
      <c r="J765" s="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20"/>
      <c r="B766" s="34"/>
      <c r="C766" s="20"/>
      <c r="D766" s="35"/>
      <c r="E766" s="36"/>
      <c r="F766" s="2"/>
      <c r="G766" s="2" t="str">
        <f t="array" ref="G766">IF($C766="", "", XLOOKUP($C766, Services!$A$4:$A998, Services!$C$4:$C998))</f>
        <v/>
      </c>
      <c r="H766" s="2" t="str">
        <f t="shared" si="1"/>
        <v>Retail</v>
      </c>
      <c r="I766" s="20"/>
      <c r="J766" s="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20"/>
      <c r="B767" s="34"/>
      <c r="C767" s="20"/>
      <c r="D767" s="35"/>
      <c r="E767" s="36"/>
      <c r="F767" s="2"/>
      <c r="G767" s="2" t="str">
        <f t="array" ref="G767">IF($C767="", "", XLOOKUP($C767, Services!$A$4:$A998, Services!$C$4:$C998))</f>
        <v/>
      </c>
      <c r="H767" s="2" t="str">
        <f t="shared" si="1"/>
        <v>Retail</v>
      </c>
      <c r="I767" s="20"/>
      <c r="J767" s="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20"/>
      <c r="B768" s="34"/>
      <c r="C768" s="20"/>
      <c r="D768" s="35"/>
      <c r="E768" s="36"/>
      <c r="F768" s="2"/>
      <c r="G768" s="2" t="str">
        <f t="array" ref="G768">IF($C768="", "", XLOOKUP($C768, Services!$A$4:$A998, Services!$C$4:$C998))</f>
        <v/>
      </c>
      <c r="H768" s="2" t="str">
        <f t="shared" si="1"/>
        <v>Retail</v>
      </c>
      <c r="I768" s="20"/>
      <c r="J768" s="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20"/>
      <c r="B769" s="34"/>
      <c r="C769" s="20"/>
      <c r="D769" s="35"/>
      <c r="E769" s="36"/>
      <c r="F769" s="2"/>
      <c r="G769" s="2" t="str">
        <f t="array" ref="G769">IF($C769="", "", XLOOKUP($C769, Services!$A$4:$A998, Services!$C$4:$C998))</f>
        <v/>
      </c>
      <c r="H769" s="2" t="str">
        <f t="shared" si="1"/>
        <v>Retail</v>
      </c>
      <c r="I769" s="20"/>
      <c r="J769" s="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20"/>
      <c r="B770" s="34"/>
      <c r="C770" s="20"/>
      <c r="D770" s="35"/>
      <c r="E770" s="36"/>
      <c r="F770" s="2"/>
      <c r="G770" s="2" t="str">
        <f t="array" ref="G770">IF($C770="", "", XLOOKUP($C770, Services!$A$4:$A998, Services!$C$4:$C998))</f>
        <v/>
      </c>
      <c r="H770" s="2" t="str">
        <f t="shared" si="1"/>
        <v>Retail</v>
      </c>
      <c r="I770" s="20"/>
      <c r="J770" s="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20"/>
      <c r="B771" s="34"/>
      <c r="C771" s="20"/>
      <c r="D771" s="35"/>
      <c r="E771" s="36"/>
      <c r="F771" s="2"/>
      <c r="G771" s="2" t="str">
        <f t="array" ref="G771">IF($C771="", "", XLOOKUP($C771, Services!$A$4:$A998, Services!$C$4:$C998))</f>
        <v/>
      </c>
      <c r="H771" s="2" t="str">
        <f t="shared" si="1"/>
        <v>Retail</v>
      </c>
      <c r="I771" s="20"/>
      <c r="J771" s="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20"/>
      <c r="B772" s="34"/>
      <c r="C772" s="20"/>
      <c r="D772" s="35"/>
      <c r="E772" s="36"/>
      <c r="F772" s="2"/>
      <c r="G772" s="2" t="str">
        <f t="array" ref="G772">IF($C772="", "", XLOOKUP($C772, Services!$A$4:$A998, Services!$C$4:$C998))</f>
        <v/>
      </c>
      <c r="H772" s="2" t="str">
        <f t="shared" si="1"/>
        <v>Retail</v>
      </c>
      <c r="I772" s="20"/>
      <c r="J772" s="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20"/>
      <c r="B773" s="34"/>
      <c r="C773" s="20"/>
      <c r="D773" s="35"/>
      <c r="E773" s="36"/>
      <c r="F773" s="2"/>
      <c r="G773" s="2" t="str">
        <f t="array" ref="G773">IF($C773="", "", XLOOKUP($C773, Services!$A$4:$A998, Services!$C$4:$C998))</f>
        <v/>
      </c>
      <c r="H773" s="2" t="str">
        <f t="shared" si="1"/>
        <v>Retail</v>
      </c>
      <c r="I773" s="20"/>
      <c r="J773" s="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20"/>
      <c r="B774" s="34"/>
      <c r="C774" s="20"/>
      <c r="D774" s="35"/>
      <c r="E774" s="36"/>
      <c r="F774" s="2"/>
      <c r="G774" s="2" t="str">
        <f t="array" ref="G774">IF($C774="", "", XLOOKUP($C774, Services!$A$4:$A998, Services!$C$4:$C998))</f>
        <v/>
      </c>
      <c r="H774" s="2" t="str">
        <f t="shared" si="1"/>
        <v>Retail</v>
      </c>
      <c r="I774" s="20"/>
      <c r="J774" s="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20"/>
      <c r="B775" s="34"/>
      <c r="C775" s="20"/>
      <c r="D775" s="35"/>
      <c r="E775" s="36"/>
      <c r="F775" s="2"/>
      <c r="G775" s="2" t="str">
        <f t="array" ref="G775">IF($C775="", "", XLOOKUP($C775, Services!$A$4:$A998, Services!$C$4:$C998))</f>
        <v/>
      </c>
      <c r="H775" s="2" t="str">
        <f t="shared" si="1"/>
        <v>Retail</v>
      </c>
      <c r="I775" s="20"/>
      <c r="J775" s="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20"/>
      <c r="B776" s="34"/>
      <c r="C776" s="20"/>
      <c r="D776" s="35"/>
      <c r="E776" s="36"/>
      <c r="F776" s="2"/>
      <c r="G776" s="2" t="str">
        <f t="array" ref="G776">IF($C776="", "", XLOOKUP($C776, Services!$A$4:$A998, Services!$C$4:$C998))</f>
        <v/>
      </c>
      <c r="H776" s="2" t="str">
        <f t="shared" si="1"/>
        <v>Retail</v>
      </c>
      <c r="I776" s="20"/>
      <c r="J776" s="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20"/>
      <c r="B777" s="34"/>
      <c r="C777" s="20"/>
      <c r="D777" s="35"/>
      <c r="E777" s="36"/>
      <c r="F777" s="2"/>
      <c r="G777" s="2" t="str">
        <f t="array" ref="G777">IF($C777="", "", XLOOKUP($C777, Services!$A$4:$A998, Services!$C$4:$C998))</f>
        <v/>
      </c>
      <c r="H777" s="2" t="str">
        <f t="shared" si="1"/>
        <v>Retail</v>
      </c>
      <c r="I777" s="20"/>
      <c r="J777" s="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20"/>
      <c r="B778" s="34"/>
      <c r="C778" s="20"/>
      <c r="D778" s="35"/>
      <c r="E778" s="36"/>
      <c r="F778" s="2"/>
      <c r="G778" s="2" t="str">
        <f t="array" ref="G778">IF($C778="", "", XLOOKUP($C778, Services!$A$4:$A998, Services!$C$4:$C998))</f>
        <v/>
      </c>
      <c r="H778" s="2" t="str">
        <f t="shared" si="1"/>
        <v>Retail</v>
      </c>
      <c r="I778" s="20"/>
      <c r="J778" s="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20"/>
      <c r="B779" s="34"/>
      <c r="C779" s="20"/>
      <c r="D779" s="35"/>
      <c r="E779" s="36"/>
      <c r="F779" s="2"/>
      <c r="G779" s="2" t="str">
        <f t="array" ref="G779">IF($C779="", "", XLOOKUP($C779, Services!$A$4:$A998, Services!$C$4:$C998))</f>
        <v/>
      </c>
      <c r="H779" s="2" t="str">
        <f t="shared" si="1"/>
        <v>Retail</v>
      </c>
      <c r="I779" s="20"/>
      <c r="J779" s="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20"/>
      <c r="B780" s="34"/>
      <c r="C780" s="20"/>
      <c r="D780" s="35"/>
      <c r="E780" s="36"/>
      <c r="F780" s="2"/>
      <c r="G780" s="2" t="str">
        <f t="array" ref="G780">IF($C780="", "", XLOOKUP($C780, Services!$A$4:$A998, Services!$C$4:$C998))</f>
        <v/>
      </c>
      <c r="H780" s="2" t="str">
        <f t="shared" si="1"/>
        <v>Retail</v>
      </c>
      <c r="I780" s="20"/>
      <c r="J780" s="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20"/>
      <c r="B781" s="34"/>
      <c r="C781" s="20"/>
      <c r="D781" s="35"/>
      <c r="E781" s="36"/>
      <c r="F781" s="2"/>
      <c r="G781" s="2" t="str">
        <f t="array" ref="G781">IF($C781="", "", XLOOKUP($C781, Services!$A$4:$A998, Services!$C$4:$C998))</f>
        <v/>
      </c>
      <c r="H781" s="2" t="str">
        <f t="shared" si="1"/>
        <v>Retail</v>
      </c>
      <c r="I781" s="20"/>
      <c r="J781" s="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20"/>
      <c r="B782" s="34"/>
      <c r="C782" s="20"/>
      <c r="D782" s="35"/>
      <c r="E782" s="36"/>
      <c r="F782" s="2"/>
      <c r="G782" s="2" t="str">
        <f t="array" ref="G782">IF($C782="", "", XLOOKUP($C782, Services!$A$4:$A998, Services!$C$4:$C998))</f>
        <v/>
      </c>
      <c r="H782" s="2" t="str">
        <f t="shared" si="1"/>
        <v>Retail</v>
      </c>
      <c r="I782" s="20"/>
      <c r="J782" s="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20"/>
      <c r="B783" s="34"/>
      <c r="C783" s="20"/>
      <c r="D783" s="35"/>
      <c r="E783" s="36"/>
      <c r="F783" s="2"/>
      <c r="G783" s="2" t="str">
        <f t="array" ref="G783">IF($C783="", "", XLOOKUP($C783, Services!$A$4:$A998, Services!$C$4:$C998))</f>
        <v/>
      </c>
      <c r="H783" s="2" t="str">
        <f t="shared" si="1"/>
        <v>Retail</v>
      </c>
      <c r="I783" s="20"/>
      <c r="J783" s="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20"/>
      <c r="B784" s="34"/>
      <c r="C784" s="20"/>
      <c r="D784" s="35"/>
      <c r="E784" s="36"/>
      <c r="F784" s="2"/>
      <c r="G784" s="2" t="str">
        <f t="array" ref="G784">IF($C784="", "", XLOOKUP($C784, Services!$A$4:$A998, Services!$C$4:$C998))</f>
        <v/>
      </c>
      <c r="H784" s="2" t="str">
        <f t="shared" si="1"/>
        <v>Retail</v>
      </c>
      <c r="I784" s="20"/>
      <c r="J784" s="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20"/>
      <c r="B785" s="34"/>
      <c r="C785" s="20"/>
      <c r="D785" s="35"/>
      <c r="E785" s="36"/>
      <c r="F785" s="2"/>
      <c r="G785" s="2" t="str">
        <f t="array" ref="G785">IF($C785="", "", XLOOKUP($C785, Services!$A$4:$A998, Services!$C$4:$C998))</f>
        <v/>
      </c>
      <c r="H785" s="2" t="str">
        <f t="shared" si="1"/>
        <v>Retail</v>
      </c>
      <c r="I785" s="20"/>
      <c r="J785" s="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20"/>
      <c r="B786" s="34"/>
      <c r="C786" s="20"/>
      <c r="D786" s="35"/>
      <c r="E786" s="36"/>
      <c r="F786" s="2"/>
      <c r="G786" s="2" t="str">
        <f t="array" ref="G786">IF($C786="", "", XLOOKUP($C786, Services!$A$4:$A998, Services!$C$4:$C998))</f>
        <v/>
      </c>
      <c r="H786" s="2" t="str">
        <f t="shared" si="1"/>
        <v>Retail</v>
      </c>
      <c r="I786" s="20"/>
      <c r="J786" s="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20"/>
      <c r="B787" s="34"/>
      <c r="C787" s="20"/>
      <c r="D787" s="35"/>
      <c r="E787" s="36"/>
      <c r="F787" s="2"/>
      <c r="G787" s="2" t="str">
        <f t="array" ref="G787">IF($C787="", "", XLOOKUP($C787, Services!$A$4:$A998, Services!$C$4:$C998))</f>
        <v/>
      </c>
      <c r="H787" s="2" t="str">
        <f t="shared" si="1"/>
        <v>Retail</v>
      </c>
      <c r="I787" s="20"/>
      <c r="J787" s="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20"/>
      <c r="B788" s="34"/>
      <c r="C788" s="20"/>
      <c r="D788" s="35"/>
      <c r="E788" s="36"/>
      <c r="F788" s="2"/>
      <c r="G788" s="2" t="str">
        <f t="array" ref="G788">IF($C788="", "", XLOOKUP($C788, Services!$A$4:$A998, Services!$C$4:$C998))</f>
        <v/>
      </c>
      <c r="H788" s="2" t="str">
        <f t="shared" si="1"/>
        <v>Retail</v>
      </c>
      <c r="I788" s="20"/>
      <c r="J788" s="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20"/>
      <c r="B789" s="34"/>
      <c r="C789" s="20"/>
      <c r="D789" s="35"/>
      <c r="E789" s="36"/>
      <c r="F789" s="2"/>
      <c r="G789" s="2" t="str">
        <f t="array" ref="G789">IF($C789="", "", XLOOKUP($C789, Services!$A$4:$A998, Services!$C$4:$C998))</f>
        <v/>
      </c>
      <c r="H789" s="2" t="str">
        <f t="shared" si="1"/>
        <v>Retail</v>
      </c>
      <c r="I789" s="20"/>
      <c r="J789" s="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20"/>
      <c r="B790" s="34"/>
      <c r="C790" s="20"/>
      <c r="D790" s="35"/>
      <c r="E790" s="36"/>
      <c r="F790" s="2"/>
      <c r="G790" s="2" t="str">
        <f t="array" ref="G790">IF($C790="", "", XLOOKUP($C790, Services!$A$4:$A998, Services!$C$4:$C998))</f>
        <v/>
      </c>
      <c r="H790" s="2" t="str">
        <f t="shared" si="1"/>
        <v>Retail</v>
      </c>
      <c r="I790" s="20"/>
      <c r="J790" s="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20"/>
      <c r="B791" s="34"/>
      <c r="C791" s="20"/>
      <c r="D791" s="35"/>
      <c r="E791" s="36"/>
      <c r="F791" s="2"/>
      <c r="G791" s="2" t="str">
        <f t="array" ref="G791">IF($C791="", "", XLOOKUP($C791, Services!$A$4:$A998, Services!$C$4:$C998))</f>
        <v/>
      </c>
      <c r="H791" s="2" t="str">
        <f t="shared" si="1"/>
        <v>Retail</v>
      </c>
      <c r="I791" s="20"/>
      <c r="J791" s="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20"/>
      <c r="B792" s="34"/>
      <c r="C792" s="20"/>
      <c r="D792" s="35"/>
      <c r="E792" s="36"/>
      <c r="F792" s="2"/>
      <c r="G792" s="2" t="str">
        <f t="array" ref="G792">IF($C792="", "", XLOOKUP($C792, Services!$A$4:$A998, Services!$C$4:$C998))</f>
        <v/>
      </c>
      <c r="H792" s="2" t="str">
        <f t="shared" si="1"/>
        <v>Retail</v>
      </c>
      <c r="I792" s="20"/>
      <c r="J792" s="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20"/>
      <c r="B793" s="34"/>
      <c r="C793" s="20"/>
      <c r="D793" s="35"/>
      <c r="E793" s="36"/>
      <c r="F793" s="2"/>
      <c r="G793" s="2" t="str">
        <f t="array" ref="G793">IF($C793="", "", XLOOKUP($C793, Services!$A$4:$A998, Services!$C$4:$C998))</f>
        <v/>
      </c>
      <c r="H793" s="2" t="str">
        <f t="shared" si="1"/>
        <v>Retail</v>
      </c>
      <c r="I793" s="20"/>
      <c r="J793" s="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20"/>
      <c r="B794" s="34"/>
      <c r="C794" s="20"/>
      <c r="D794" s="35"/>
      <c r="E794" s="36"/>
      <c r="F794" s="2"/>
      <c r="G794" s="2" t="str">
        <f t="array" ref="G794">IF($C794="", "", XLOOKUP($C794, Services!$A$4:$A998, Services!$C$4:$C998))</f>
        <v/>
      </c>
      <c r="H794" s="2" t="str">
        <f t="shared" si="1"/>
        <v>Retail</v>
      </c>
      <c r="I794" s="20"/>
      <c r="J794" s="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20"/>
      <c r="B795" s="34"/>
      <c r="C795" s="20"/>
      <c r="D795" s="35"/>
      <c r="E795" s="36"/>
      <c r="F795" s="2"/>
      <c r="G795" s="2" t="str">
        <f t="array" ref="G795">IF($C795="", "", XLOOKUP($C795, Services!$A$4:$A998, Services!$C$4:$C998))</f>
        <v/>
      </c>
      <c r="H795" s="2" t="str">
        <f t="shared" si="1"/>
        <v>Retail</v>
      </c>
      <c r="I795" s="20"/>
      <c r="J795" s="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20"/>
      <c r="B796" s="34"/>
      <c r="C796" s="20"/>
      <c r="D796" s="35"/>
      <c r="E796" s="36"/>
      <c r="F796" s="2"/>
      <c r="G796" s="2" t="str">
        <f t="array" ref="G796">IF($C796="", "", XLOOKUP($C796, Services!$A$4:$A998, Services!$C$4:$C998))</f>
        <v/>
      </c>
      <c r="H796" s="2" t="str">
        <f t="shared" si="1"/>
        <v>Retail</v>
      </c>
      <c r="I796" s="20"/>
      <c r="J796" s="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20"/>
      <c r="B797" s="34"/>
      <c r="C797" s="20"/>
      <c r="D797" s="35"/>
      <c r="E797" s="36"/>
      <c r="F797" s="2"/>
      <c r="G797" s="2" t="str">
        <f t="array" ref="G797">IF($C797="", "", XLOOKUP($C797, Services!$A$4:$A998, Services!$C$4:$C998))</f>
        <v/>
      </c>
      <c r="H797" s="2" t="str">
        <f t="shared" si="1"/>
        <v>Retail</v>
      </c>
      <c r="I797" s="20"/>
      <c r="J797" s="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20"/>
      <c r="B798" s="34"/>
      <c r="C798" s="20"/>
      <c r="D798" s="35"/>
      <c r="E798" s="36"/>
      <c r="F798" s="2"/>
      <c r="G798" s="2" t="str">
        <f t="array" ref="G798">IF($C798="", "", XLOOKUP($C798, Services!$A$4:$A998, Services!$C$4:$C998))</f>
        <v/>
      </c>
      <c r="H798" s="2" t="str">
        <f t="shared" si="1"/>
        <v>Retail</v>
      </c>
      <c r="I798" s="20"/>
      <c r="J798" s="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20"/>
      <c r="B799" s="34"/>
      <c r="C799" s="20"/>
      <c r="D799" s="35"/>
      <c r="E799" s="36"/>
      <c r="F799" s="2"/>
      <c r="G799" s="2" t="str">
        <f t="array" ref="G799">IF($C799="", "", XLOOKUP($C799, Services!$A$4:$A998, Services!$C$4:$C998))</f>
        <v/>
      </c>
      <c r="H799" s="2" t="str">
        <f t="shared" si="1"/>
        <v>Retail</v>
      </c>
      <c r="I799" s="20"/>
      <c r="J799" s="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20"/>
      <c r="B800" s="34"/>
      <c r="C800" s="20"/>
      <c r="D800" s="35"/>
      <c r="E800" s="36"/>
      <c r="F800" s="2"/>
      <c r="G800" s="2" t="str">
        <f t="array" ref="G800">IF($C800="", "", XLOOKUP($C800, Services!$A$4:$A998, Services!$C$4:$C998))</f>
        <v/>
      </c>
      <c r="H800" s="2" t="str">
        <f t="shared" si="1"/>
        <v>Retail</v>
      </c>
      <c r="I800" s="20"/>
      <c r="J800" s="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20"/>
      <c r="B801" s="34"/>
      <c r="C801" s="20"/>
      <c r="D801" s="35"/>
      <c r="E801" s="36"/>
      <c r="F801" s="2"/>
      <c r="G801" s="2" t="str">
        <f t="array" ref="G801">IF($C801="", "", XLOOKUP($C801, Services!$A$4:$A998, Services!$C$4:$C998))</f>
        <v/>
      </c>
      <c r="H801" s="2" t="str">
        <f t="shared" si="1"/>
        <v>Retail</v>
      </c>
      <c r="I801" s="20"/>
      <c r="J801" s="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20"/>
      <c r="B802" s="34"/>
      <c r="C802" s="20"/>
      <c r="D802" s="35"/>
      <c r="E802" s="36"/>
      <c r="F802" s="2"/>
      <c r="G802" s="2" t="str">
        <f t="array" ref="G802">IF($C802="", "", XLOOKUP($C802, Services!$A$4:$A998, Services!$C$4:$C998))</f>
        <v/>
      </c>
      <c r="H802" s="2" t="str">
        <f t="shared" si="1"/>
        <v>Retail</v>
      </c>
      <c r="I802" s="20"/>
      <c r="J802" s="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20"/>
      <c r="B803" s="34"/>
      <c r="C803" s="20"/>
      <c r="D803" s="35"/>
      <c r="E803" s="36"/>
      <c r="F803" s="2"/>
      <c r="G803" s="2" t="str">
        <f t="array" ref="G803">IF($C803="", "", XLOOKUP($C803, Services!$A$4:$A998, Services!$C$4:$C998))</f>
        <v/>
      </c>
      <c r="H803" s="2" t="str">
        <f t="shared" si="1"/>
        <v>Retail</v>
      </c>
      <c r="I803" s="20"/>
      <c r="J803" s="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20"/>
      <c r="B804" s="34"/>
      <c r="C804" s="20"/>
      <c r="D804" s="35"/>
      <c r="E804" s="36"/>
      <c r="F804" s="2"/>
      <c r="G804" s="2" t="str">
        <f t="array" ref="G804">IF($C804="", "", XLOOKUP($C804, Services!$A$4:$A998, Services!$C$4:$C998))</f>
        <v/>
      </c>
      <c r="H804" s="2" t="str">
        <f t="shared" si="1"/>
        <v>Retail</v>
      </c>
      <c r="I804" s="20"/>
      <c r="J804" s="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20"/>
      <c r="B805" s="34"/>
      <c r="C805" s="20"/>
      <c r="D805" s="35"/>
      <c r="E805" s="36"/>
      <c r="F805" s="2"/>
      <c r="G805" s="2" t="str">
        <f t="array" ref="G805">IF($C805="", "", XLOOKUP($C805, Services!$A$4:$A998, Services!$C$4:$C998))</f>
        <v/>
      </c>
      <c r="H805" s="2" t="str">
        <f t="shared" si="1"/>
        <v>Retail</v>
      </c>
      <c r="I805" s="20"/>
      <c r="J805" s="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20"/>
      <c r="B806" s="34"/>
      <c r="C806" s="20"/>
      <c r="D806" s="35"/>
      <c r="E806" s="36"/>
      <c r="F806" s="2"/>
      <c r="G806" s="2" t="str">
        <f t="array" ref="G806">IF($C806="", "", XLOOKUP($C806, Services!$A$4:$A998, Services!$C$4:$C998))</f>
        <v/>
      </c>
      <c r="H806" s="2" t="str">
        <f t="shared" si="1"/>
        <v>Retail</v>
      </c>
      <c r="I806" s="20"/>
      <c r="J806" s="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20"/>
      <c r="B807" s="34"/>
      <c r="C807" s="20"/>
      <c r="D807" s="35"/>
      <c r="E807" s="36"/>
      <c r="F807" s="2"/>
      <c r="G807" s="2" t="str">
        <f t="array" ref="G807">IF($C807="", "", XLOOKUP($C807, Services!$A$4:$A998, Services!$C$4:$C998))</f>
        <v/>
      </c>
      <c r="H807" s="2" t="str">
        <f t="shared" si="1"/>
        <v>Retail</v>
      </c>
      <c r="I807" s="20"/>
      <c r="J807" s="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20"/>
      <c r="B808" s="34"/>
      <c r="C808" s="20"/>
      <c r="D808" s="35"/>
      <c r="E808" s="36"/>
      <c r="F808" s="2"/>
      <c r="G808" s="2" t="str">
        <f t="array" ref="G808">IF($C808="", "", XLOOKUP($C808, Services!$A$4:$A998, Services!$C$4:$C998))</f>
        <v/>
      </c>
      <c r="H808" s="2" t="str">
        <f t="shared" si="1"/>
        <v>Retail</v>
      </c>
      <c r="I808" s="20"/>
      <c r="J808" s="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20"/>
      <c r="B809" s="34"/>
      <c r="C809" s="20"/>
      <c r="D809" s="35"/>
      <c r="E809" s="36"/>
      <c r="F809" s="2"/>
      <c r="G809" s="2" t="str">
        <f t="array" ref="G809">IF($C809="", "", XLOOKUP($C809, Services!$A$4:$A998, Services!$C$4:$C998))</f>
        <v/>
      </c>
      <c r="H809" s="2" t="str">
        <f t="shared" si="1"/>
        <v>Retail</v>
      </c>
      <c r="I809" s="20"/>
      <c r="J809" s="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20"/>
      <c r="B810" s="34"/>
      <c r="C810" s="20"/>
      <c r="D810" s="35"/>
      <c r="E810" s="36"/>
      <c r="F810" s="2"/>
      <c r="G810" s="2" t="str">
        <f t="array" ref="G810">IF($C810="", "", XLOOKUP($C810, Services!$A$4:$A998, Services!$C$4:$C998))</f>
        <v/>
      </c>
      <c r="H810" s="2" t="str">
        <f t="shared" si="1"/>
        <v>Retail</v>
      </c>
      <c r="I810" s="20"/>
      <c r="J810" s="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20"/>
      <c r="B811" s="34"/>
      <c r="C811" s="20"/>
      <c r="D811" s="35"/>
      <c r="E811" s="36"/>
      <c r="F811" s="2"/>
      <c r="G811" s="2" t="str">
        <f t="array" ref="G811">IF($C811="", "", XLOOKUP($C811, Services!$A$4:$A998, Services!$C$4:$C998))</f>
        <v/>
      </c>
      <c r="H811" s="2" t="str">
        <f t="shared" si="1"/>
        <v>Retail</v>
      </c>
      <c r="I811" s="20"/>
      <c r="J811" s="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20"/>
      <c r="B812" s="34"/>
      <c r="C812" s="20"/>
      <c r="D812" s="35"/>
      <c r="E812" s="36"/>
      <c r="F812" s="2"/>
      <c r="G812" s="2" t="str">
        <f t="array" ref="G812">IF($C812="", "", XLOOKUP($C812, Services!$A$4:$A998, Services!$C$4:$C998))</f>
        <v/>
      </c>
      <c r="H812" s="2" t="str">
        <f t="shared" si="1"/>
        <v>Retail</v>
      </c>
      <c r="I812" s="20"/>
      <c r="J812" s="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20"/>
      <c r="B813" s="34"/>
      <c r="C813" s="20"/>
      <c r="D813" s="35"/>
      <c r="E813" s="36"/>
      <c r="F813" s="2"/>
      <c r="G813" s="2" t="str">
        <f t="array" ref="G813">IF($C813="", "", XLOOKUP($C813, Services!$A$4:$A998, Services!$C$4:$C998))</f>
        <v/>
      </c>
      <c r="H813" s="2" t="str">
        <f t="shared" si="1"/>
        <v>Retail</v>
      </c>
      <c r="I813" s="20"/>
      <c r="J813" s="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20"/>
      <c r="B814" s="34"/>
      <c r="C814" s="20"/>
      <c r="D814" s="35"/>
      <c r="E814" s="36"/>
      <c r="F814" s="2"/>
      <c r="G814" s="2" t="str">
        <f t="array" ref="G814">IF($C814="", "", XLOOKUP($C814, Services!$A$4:$A998, Services!$C$4:$C998))</f>
        <v/>
      </c>
      <c r="H814" s="2" t="str">
        <f t="shared" si="1"/>
        <v>Retail</v>
      </c>
      <c r="I814" s="20"/>
      <c r="J814" s="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20"/>
      <c r="B815" s="34"/>
      <c r="C815" s="20"/>
      <c r="D815" s="35"/>
      <c r="E815" s="36"/>
      <c r="F815" s="2"/>
      <c r="G815" s="2" t="str">
        <f t="array" ref="G815">IF($C815="", "", XLOOKUP($C815, Services!$A$4:$A998, Services!$C$4:$C998))</f>
        <v/>
      </c>
      <c r="H815" s="2" t="str">
        <f t="shared" si="1"/>
        <v>Retail</v>
      </c>
      <c r="I815" s="20"/>
      <c r="J815" s="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20"/>
      <c r="B816" s="34"/>
      <c r="C816" s="20"/>
      <c r="D816" s="35"/>
      <c r="E816" s="36"/>
      <c r="F816" s="2"/>
      <c r="G816" s="2" t="str">
        <f t="array" ref="G816">IF($C816="", "", XLOOKUP($C816, Services!$A$4:$A998, Services!$C$4:$C998))</f>
        <v/>
      </c>
      <c r="H816" s="2" t="str">
        <f t="shared" si="1"/>
        <v>Retail</v>
      </c>
      <c r="I816" s="20"/>
      <c r="J816" s="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20"/>
      <c r="B817" s="34"/>
      <c r="C817" s="20"/>
      <c r="D817" s="35"/>
      <c r="E817" s="36"/>
      <c r="F817" s="2"/>
      <c r="G817" s="2" t="str">
        <f t="array" ref="G817">IF($C817="", "", XLOOKUP($C817, Services!$A$4:$A998, Services!$C$4:$C998))</f>
        <v/>
      </c>
      <c r="H817" s="2" t="str">
        <f t="shared" si="1"/>
        <v>Retail</v>
      </c>
      <c r="I817" s="20"/>
      <c r="J817" s="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20"/>
      <c r="B818" s="34"/>
      <c r="C818" s="20"/>
      <c r="D818" s="35"/>
      <c r="E818" s="36"/>
      <c r="F818" s="2"/>
      <c r="G818" s="2" t="str">
        <f t="array" ref="G818">IF($C818="", "", XLOOKUP($C818, Services!$A$4:$A998, Services!$C$4:$C998))</f>
        <v/>
      </c>
      <c r="H818" s="2" t="str">
        <f t="shared" si="1"/>
        <v>Retail</v>
      </c>
      <c r="I818" s="20"/>
      <c r="J818" s="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20"/>
      <c r="B819" s="34"/>
      <c r="C819" s="20"/>
      <c r="D819" s="35"/>
      <c r="E819" s="36"/>
      <c r="F819" s="2"/>
      <c r="G819" s="2" t="str">
        <f t="array" ref="G819">IF($C819="", "", XLOOKUP($C819, Services!$A$4:$A998, Services!$C$4:$C998))</f>
        <v/>
      </c>
      <c r="H819" s="2" t="str">
        <f t="shared" si="1"/>
        <v>Retail</v>
      </c>
      <c r="I819" s="20"/>
      <c r="J819" s="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20"/>
      <c r="B820" s="34"/>
      <c r="C820" s="20"/>
      <c r="D820" s="35"/>
      <c r="E820" s="36"/>
      <c r="F820" s="2"/>
      <c r="G820" s="2" t="str">
        <f t="array" ref="G820">IF($C820="", "", XLOOKUP($C820, Services!$A$4:$A998, Services!$C$4:$C998))</f>
        <v/>
      </c>
      <c r="H820" s="2" t="str">
        <f t="shared" si="1"/>
        <v>Retail</v>
      </c>
      <c r="I820" s="20"/>
      <c r="J820" s="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20"/>
      <c r="B821" s="34"/>
      <c r="C821" s="20"/>
      <c r="D821" s="35"/>
      <c r="E821" s="36"/>
      <c r="F821" s="2"/>
      <c r="G821" s="2" t="str">
        <f t="array" ref="G821">IF($C821="", "", XLOOKUP($C821, Services!$A$4:$A998, Services!$C$4:$C998))</f>
        <v/>
      </c>
      <c r="H821" s="2" t="str">
        <f t="shared" si="1"/>
        <v>Retail</v>
      </c>
      <c r="I821" s="20"/>
      <c r="J821" s="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20"/>
      <c r="B822" s="34"/>
      <c r="C822" s="20"/>
      <c r="D822" s="35"/>
      <c r="E822" s="36"/>
      <c r="F822" s="2"/>
      <c r="G822" s="2" t="str">
        <f t="array" ref="G822">IF($C822="", "", XLOOKUP($C822, Services!$A$4:$A998, Services!$C$4:$C998))</f>
        <v/>
      </c>
      <c r="H822" s="2" t="str">
        <f t="shared" si="1"/>
        <v>Retail</v>
      </c>
      <c r="I822" s="20"/>
      <c r="J822" s="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20"/>
      <c r="B823" s="34"/>
      <c r="C823" s="20"/>
      <c r="D823" s="35"/>
      <c r="E823" s="36"/>
      <c r="F823" s="2"/>
      <c r="G823" s="2" t="str">
        <f t="array" ref="G823">IF($C823="", "", XLOOKUP($C823, Services!$A$4:$A998, Services!$C$4:$C998))</f>
        <v/>
      </c>
      <c r="H823" s="2" t="str">
        <f t="shared" si="1"/>
        <v>Retail</v>
      </c>
      <c r="I823" s="20"/>
      <c r="J823" s="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20"/>
      <c r="B824" s="34"/>
      <c r="C824" s="20"/>
      <c r="D824" s="35"/>
      <c r="E824" s="36"/>
      <c r="F824" s="2"/>
      <c r="G824" s="2" t="str">
        <f t="array" ref="G824">IF($C824="", "", XLOOKUP($C824, Services!$A$4:$A998, Services!$C$4:$C998))</f>
        <v/>
      </c>
      <c r="H824" s="2" t="str">
        <f t="shared" si="1"/>
        <v>Retail</v>
      </c>
      <c r="I824" s="20"/>
      <c r="J824" s="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20"/>
      <c r="B825" s="34"/>
      <c r="C825" s="20"/>
      <c r="D825" s="35"/>
      <c r="E825" s="36"/>
      <c r="F825" s="2"/>
      <c r="G825" s="2" t="str">
        <f t="array" ref="G825">IF($C825="", "", XLOOKUP($C825, Services!$A$4:$A998, Services!$C$4:$C998))</f>
        <v/>
      </c>
      <c r="H825" s="2" t="str">
        <f t="shared" si="1"/>
        <v>Retail</v>
      </c>
      <c r="I825" s="20"/>
      <c r="J825" s="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20"/>
      <c r="B826" s="34"/>
      <c r="C826" s="20"/>
      <c r="D826" s="35"/>
      <c r="E826" s="36"/>
      <c r="F826" s="2"/>
      <c r="G826" s="2" t="str">
        <f t="array" ref="G826">IF($C826="", "", XLOOKUP($C826, Services!$A$4:$A998, Services!$C$4:$C998))</f>
        <v/>
      </c>
      <c r="H826" s="2" t="str">
        <f t="shared" si="1"/>
        <v>Retail</v>
      </c>
      <c r="I826" s="20"/>
      <c r="J826" s="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20"/>
      <c r="B827" s="34"/>
      <c r="C827" s="20"/>
      <c r="D827" s="35"/>
      <c r="E827" s="36"/>
      <c r="F827" s="2"/>
      <c r="G827" s="2" t="str">
        <f t="array" ref="G827">IF($C827="", "", XLOOKUP($C827, Services!$A$4:$A998, Services!$C$4:$C998))</f>
        <v/>
      </c>
      <c r="H827" s="2" t="str">
        <f t="shared" si="1"/>
        <v>Retail</v>
      </c>
      <c r="I827" s="20"/>
      <c r="J827" s="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20"/>
      <c r="B828" s="34"/>
      <c r="C828" s="20"/>
      <c r="D828" s="35"/>
      <c r="E828" s="36"/>
      <c r="F828" s="2"/>
      <c r="G828" s="2" t="str">
        <f t="array" ref="G828">IF($C828="", "", XLOOKUP($C828, Services!$A$4:$A998, Services!$C$4:$C998))</f>
        <v/>
      </c>
      <c r="H828" s="2" t="str">
        <f t="shared" si="1"/>
        <v>Retail</v>
      </c>
      <c r="I828" s="20"/>
      <c r="J828" s="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20"/>
      <c r="B829" s="34"/>
      <c r="C829" s="20"/>
      <c r="D829" s="35"/>
      <c r="E829" s="36"/>
      <c r="F829" s="2"/>
      <c r="G829" s="2" t="str">
        <f t="array" ref="G829">IF($C829="", "", XLOOKUP($C829, Services!$A$4:$A998, Services!$C$4:$C998))</f>
        <v/>
      </c>
      <c r="H829" s="2" t="str">
        <f t="shared" si="1"/>
        <v>Retail</v>
      </c>
      <c r="I829" s="20"/>
      <c r="J829" s="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20"/>
      <c r="B830" s="34"/>
      <c r="C830" s="20"/>
      <c r="D830" s="35"/>
      <c r="E830" s="36"/>
      <c r="F830" s="2"/>
      <c r="G830" s="2" t="str">
        <f t="array" ref="G830">IF($C830="", "", XLOOKUP($C830, Services!$A$4:$A998, Services!$C$4:$C998))</f>
        <v/>
      </c>
      <c r="H830" s="2" t="str">
        <f t="shared" si="1"/>
        <v>Retail</v>
      </c>
      <c r="I830" s="20"/>
      <c r="J830" s="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20"/>
      <c r="B831" s="34"/>
      <c r="C831" s="20"/>
      <c r="D831" s="35"/>
      <c r="E831" s="36"/>
      <c r="F831" s="2"/>
      <c r="G831" s="2" t="str">
        <f t="array" ref="G831">IF($C831="", "", XLOOKUP($C831, Services!$A$4:$A998, Services!$C$4:$C998))</f>
        <v/>
      </c>
      <c r="H831" s="2" t="str">
        <f t="shared" si="1"/>
        <v>Retail</v>
      </c>
      <c r="I831" s="20"/>
      <c r="J831" s="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20"/>
      <c r="B832" s="34"/>
      <c r="C832" s="20"/>
      <c r="D832" s="35"/>
      <c r="E832" s="36"/>
      <c r="F832" s="2"/>
      <c r="G832" s="2" t="str">
        <f t="array" ref="G832">IF($C832="", "", XLOOKUP($C832, Services!$A$4:$A998, Services!$C$4:$C998))</f>
        <v/>
      </c>
      <c r="H832" s="2" t="str">
        <f t="shared" si="1"/>
        <v>Retail</v>
      </c>
      <c r="I832" s="20"/>
      <c r="J832" s="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20"/>
      <c r="B833" s="34"/>
      <c r="C833" s="20"/>
      <c r="D833" s="35"/>
      <c r="E833" s="36"/>
      <c r="F833" s="2"/>
      <c r="G833" s="2" t="str">
        <f t="array" ref="G833">IF($C833="", "", XLOOKUP($C833, Services!$A$4:$A998, Services!$C$4:$C998))</f>
        <v/>
      </c>
      <c r="H833" s="2" t="str">
        <f t="shared" si="1"/>
        <v>Retail</v>
      </c>
      <c r="I833" s="20"/>
      <c r="J833" s="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20"/>
      <c r="B834" s="34"/>
      <c r="C834" s="20"/>
      <c r="D834" s="35"/>
      <c r="E834" s="36"/>
      <c r="F834" s="2"/>
      <c r="G834" s="2" t="str">
        <f t="array" ref="G834">IF($C834="", "", XLOOKUP($C834, Services!$A$4:$A998, Services!$C$4:$C998))</f>
        <v/>
      </c>
      <c r="H834" s="2" t="str">
        <f t="shared" si="1"/>
        <v>Retail</v>
      </c>
      <c r="I834" s="20"/>
      <c r="J834" s="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20"/>
      <c r="B835" s="34"/>
      <c r="C835" s="20"/>
      <c r="D835" s="35"/>
      <c r="E835" s="36"/>
      <c r="F835" s="2"/>
      <c r="G835" s="2" t="str">
        <f t="array" ref="G835">IF($C835="", "", XLOOKUP($C835, Services!$A$4:$A998, Services!$C$4:$C998))</f>
        <v/>
      </c>
      <c r="H835" s="2" t="str">
        <f t="shared" si="1"/>
        <v>Retail</v>
      </c>
      <c r="I835" s="20"/>
      <c r="J835" s="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20"/>
      <c r="B836" s="34"/>
      <c r="C836" s="20"/>
      <c r="D836" s="35"/>
      <c r="E836" s="36"/>
      <c r="F836" s="2"/>
      <c r="G836" s="2" t="str">
        <f t="array" ref="G836">IF($C836="", "", XLOOKUP($C836, Services!$A$4:$A998, Services!$C$4:$C998))</f>
        <v/>
      </c>
      <c r="H836" s="2" t="str">
        <f t="shared" si="1"/>
        <v>Retail</v>
      </c>
      <c r="I836" s="20"/>
      <c r="J836" s="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20"/>
      <c r="B837" s="34"/>
      <c r="C837" s="20"/>
      <c r="D837" s="35"/>
      <c r="E837" s="36"/>
      <c r="F837" s="2"/>
      <c r="G837" s="2" t="str">
        <f t="array" ref="G837">IF($C837="", "", XLOOKUP($C837, Services!$A$4:$A998, Services!$C$4:$C998))</f>
        <v/>
      </c>
      <c r="H837" s="2" t="str">
        <f t="shared" si="1"/>
        <v>Retail</v>
      </c>
      <c r="I837" s="20"/>
      <c r="J837" s="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20"/>
      <c r="B838" s="34"/>
      <c r="C838" s="20"/>
      <c r="D838" s="35"/>
      <c r="E838" s="36"/>
      <c r="F838" s="2"/>
      <c r="G838" s="2" t="str">
        <f t="array" ref="G838">IF($C838="", "", XLOOKUP($C838, Services!$A$4:$A998, Services!$C$4:$C998))</f>
        <v/>
      </c>
      <c r="H838" s="2" t="str">
        <f t="shared" si="1"/>
        <v>Retail</v>
      </c>
      <c r="I838" s="20"/>
      <c r="J838" s="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20"/>
      <c r="B839" s="34"/>
      <c r="C839" s="20"/>
      <c r="D839" s="35"/>
      <c r="E839" s="36"/>
      <c r="F839" s="2"/>
      <c r="G839" s="2" t="str">
        <f t="array" ref="G839">IF($C839="", "", XLOOKUP($C839, Services!$A$4:$A998, Services!$C$4:$C998))</f>
        <v/>
      </c>
      <c r="H839" s="2" t="str">
        <f t="shared" si="1"/>
        <v>Retail</v>
      </c>
      <c r="I839" s="20"/>
      <c r="J839" s="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20"/>
      <c r="B840" s="34"/>
      <c r="C840" s="20"/>
      <c r="D840" s="35"/>
      <c r="E840" s="36"/>
      <c r="F840" s="2"/>
      <c r="G840" s="2" t="str">
        <f t="array" ref="G840">IF($C840="", "", XLOOKUP($C840, Services!$A$4:$A998, Services!$C$4:$C998))</f>
        <v/>
      </c>
      <c r="H840" s="2" t="str">
        <f t="shared" si="1"/>
        <v>Retail</v>
      </c>
      <c r="I840" s="20"/>
      <c r="J840" s="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20"/>
      <c r="B841" s="34"/>
      <c r="C841" s="20"/>
      <c r="D841" s="35"/>
      <c r="E841" s="36"/>
      <c r="F841" s="2"/>
      <c r="G841" s="2" t="str">
        <f t="array" ref="G841">IF($C841="", "", XLOOKUP($C841, Services!$A$4:$A998, Services!$C$4:$C998))</f>
        <v/>
      </c>
      <c r="H841" s="2" t="str">
        <f t="shared" si="1"/>
        <v>Retail</v>
      </c>
      <c r="I841" s="20"/>
      <c r="J841" s="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20"/>
      <c r="B842" s="34"/>
      <c r="C842" s="20"/>
      <c r="D842" s="35"/>
      <c r="E842" s="36"/>
      <c r="F842" s="2"/>
      <c r="G842" s="2" t="str">
        <f t="array" ref="G842">IF($C842="", "", XLOOKUP($C842, Services!$A$4:$A998, Services!$C$4:$C998))</f>
        <v/>
      </c>
      <c r="H842" s="2" t="str">
        <f t="shared" si="1"/>
        <v>Retail</v>
      </c>
      <c r="I842" s="20"/>
      <c r="J842" s="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20"/>
      <c r="B843" s="34"/>
      <c r="C843" s="20"/>
      <c r="D843" s="35"/>
      <c r="E843" s="36"/>
      <c r="F843" s="2"/>
      <c r="G843" s="2" t="str">
        <f t="array" ref="G843">IF($C843="", "", XLOOKUP($C843, Services!$A$4:$A998, Services!$C$4:$C998))</f>
        <v/>
      </c>
      <c r="H843" s="2" t="str">
        <f t="shared" si="1"/>
        <v>Retail</v>
      </c>
      <c r="I843" s="20"/>
      <c r="J843" s="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20"/>
      <c r="B844" s="34"/>
      <c r="C844" s="20"/>
      <c r="D844" s="35"/>
      <c r="E844" s="36"/>
      <c r="F844" s="2"/>
      <c r="G844" s="2" t="str">
        <f t="array" ref="G844">IF($C844="", "", XLOOKUP($C844, Services!$A$4:$A998, Services!$C$4:$C998))</f>
        <v/>
      </c>
      <c r="H844" s="2" t="str">
        <f t="shared" si="1"/>
        <v>Retail</v>
      </c>
      <c r="I844" s="20"/>
      <c r="J844" s="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20"/>
      <c r="B845" s="34"/>
      <c r="C845" s="20"/>
      <c r="D845" s="35"/>
      <c r="E845" s="36"/>
      <c r="F845" s="2"/>
      <c r="G845" s="2" t="str">
        <f t="array" ref="G845">IF($C845="", "", XLOOKUP($C845, Services!$A$4:$A998, Services!$C$4:$C998))</f>
        <v/>
      </c>
      <c r="H845" s="2" t="str">
        <f t="shared" si="1"/>
        <v>Retail</v>
      </c>
      <c r="I845" s="20"/>
      <c r="J845" s="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20"/>
      <c r="B846" s="34"/>
      <c r="C846" s="20"/>
      <c r="D846" s="35"/>
      <c r="E846" s="36"/>
      <c r="F846" s="2"/>
      <c r="G846" s="2" t="str">
        <f t="array" ref="G846">IF($C846="", "", XLOOKUP($C846, Services!$A$4:$A998, Services!$C$4:$C998))</f>
        <v/>
      </c>
      <c r="H846" s="2" t="str">
        <f t="shared" si="1"/>
        <v>Retail</v>
      </c>
      <c r="I846" s="20"/>
      <c r="J846" s="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20"/>
      <c r="B847" s="34"/>
      <c r="C847" s="20"/>
      <c r="D847" s="35"/>
      <c r="E847" s="36"/>
      <c r="F847" s="2"/>
      <c r="G847" s="2" t="str">
        <f t="array" ref="G847">IF($C847="", "", XLOOKUP($C847, Services!$A$4:$A998, Services!$C$4:$C998))</f>
        <v/>
      </c>
      <c r="H847" s="2" t="str">
        <f t="shared" si="1"/>
        <v>Retail</v>
      </c>
      <c r="I847" s="20"/>
      <c r="J847" s="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20"/>
      <c r="B848" s="34"/>
      <c r="C848" s="20"/>
      <c r="D848" s="35"/>
      <c r="E848" s="36"/>
      <c r="F848" s="2"/>
      <c r="G848" s="2" t="str">
        <f t="array" ref="G848">IF($C848="", "", XLOOKUP($C848, Services!$A$4:$A998, Services!$C$4:$C998))</f>
        <v/>
      </c>
      <c r="H848" s="2" t="str">
        <f t="shared" si="1"/>
        <v>Retail</v>
      </c>
      <c r="I848" s="20"/>
      <c r="J848" s="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20"/>
      <c r="B849" s="34"/>
      <c r="C849" s="20"/>
      <c r="D849" s="35"/>
      <c r="E849" s="36"/>
      <c r="F849" s="2"/>
      <c r="G849" s="2" t="str">
        <f t="array" ref="G849">IF($C849="", "", XLOOKUP($C849, Services!$A$4:$A998, Services!$C$4:$C998))</f>
        <v/>
      </c>
      <c r="H849" s="2" t="str">
        <f t="shared" si="1"/>
        <v>Retail</v>
      </c>
      <c r="I849" s="20"/>
      <c r="J849" s="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20"/>
      <c r="B850" s="34"/>
      <c r="C850" s="20"/>
      <c r="D850" s="35"/>
      <c r="E850" s="36"/>
      <c r="F850" s="2"/>
      <c r="G850" s="2" t="str">
        <f t="array" ref="G850">IF($C850="", "", XLOOKUP($C850, Services!$A$4:$A998, Services!$C$4:$C998))</f>
        <v/>
      </c>
      <c r="H850" s="2" t="str">
        <f t="shared" si="1"/>
        <v>Retail</v>
      </c>
      <c r="I850" s="20"/>
      <c r="J850" s="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20"/>
      <c r="B851" s="34"/>
      <c r="C851" s="20"/>
      <c r="D851" s="35"/>
      <c r="E851" s="36"/>
      <c r="F851" s="2"/>
      <c r="G851" s="2" t="str">
        <f t="array" ref="G851">IF($C851="", "", XLOOKUP($C851, Services!$A$4:$A998, Services!$C$4:$C998))</f>
        <v/>
      </c>
      <c r="H851" s="2" t="str">
        <f t="shared" si="1"/>
        <v>Retail</v>
      </c>
      <c r="I851" s="20"/>
      <c r="J851" s="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20"/>
      <c r="B852" s="34"/>
      <c r="C852" s="20"/>
      <c r="D852" s="35"/>
      <c r="E852" s="36"/>
      <c r="F852" s="2"/>
      <c r="G852" s="2" t="str">
        <f t="array" ref="G852">IF($C852="", "", XLOOKUP($C852, Services!$A$4:$A998, Services!$C$4:$C998))</f>
        <v/>
      </c>
      <c r="H852" s="2" t="str">
        <f t="shared" si="1"/>
        <v>Retail</v>
      </c>
      <c r="I852" s="20"/>
      <c r="J852" s="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20"/>
      <c r="B853" s="34"/>
      <c r="C853" s="20"/>
      <c r="D853" s="35"/>
      <c r="E853" s="36"/>
      <c r="F853" s="2"/>
      <c r="G853" s="2" t="str">
        <f t="array" ref="G853">IF($C853="", "", XLOOKUP($C853, Services!$A$4:$A998, Services!$C$4:$C998))</f>
        <v/>
      </c>
      <c r="H853" s="2" t="str">
        <f t="shared" si="1"/>
        <v>Retail</v>
      </c>
      <c r="I853" s="20"/>
      <c r="J853" s="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20"/>
      <c r="B854" s="34"/>
      <c r="C854" s="20"/>
      <c r="D854" s="35"/>
      <c r="E854" s="36"/>
      <c r="F854" s="2"/>
      <c r="G854" s="2" t="str">
        <f t="array" ref="G854">IF($C854="", "", XLOOKUP($C854, Services!$A$4:$A998, Services!$C$4:$C998))</f>
        <v/>
      </c>
      <c r="H854" s="2" t="str">
        <f t="shared" si="1"/>
        <v>Retail</v>
      </c>
      <c r="I854" s="20"/>
      <c r="J854" s="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20"/>
      <c r="B855" s="34"/>
      <c r="C855" s="20"/>
      <c r="D855" s="35"/>
      <c r="E855" s="36"/>
      <c r="F855" s="2"/>
      <c r="G855" s="2" t="str">
        <f t="array" ref="G855">IF($C855="", "", XLOOKUP($C855, Services!$A$4:$A998, Services!$C$4:$C998))</f>
        <v/>
      </c>
      <c r="H855" s="2" t="str">
        <f t="shared" si="1"/>
        <v>Retail</v>
      </c>
      <c r="I855" s="20"/>
      <c r="J855" s="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20"/>
      <c r="B856" s="34"/>
      <c r="C856" s="20"/>
      <c r="D856" s="35"/>
      <c r="E856" s="36"/>
      <c r="F856" s="2"/>
      <c r="G856" s="2" t="str">
        <f t="array" ref="G856">IF($C856="", "", XLOOKUP($C856, Services!$A$4:$A998, Services!$C$4:$C998))</f>
        <v/>
      </c>
      <c r="H856" s="2" t="str">
        <f t="shared" si="1"/>
        <v>Retail</v>
      </c>
      <c r="I856" s="20"/>
      <c r="J856" s="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20"/>
      <c r="B857" s="34"/>
      <c r="C857" s="20"/>
      <c r="D857" s="35"/>
      <c r="E857" s="36"/>
      <c r="F857" s="2"/>
      <c r="G857" s="2" t="str">
        <f t="array" ref="G857">IF($C857="", "", XLOOKUP($C857, Services!$A$4:$A998, Services!$C$4:$C998))</f>
        <v/>
      </c>
      <c r="H857" s="2" t="str">
        <f t="shared" si="1"/>
        <v>Retail</v>
      </c>
      <c r="I857" s="20"/>
      <c r="J857" s="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20"/>
      <c r="B858" s="34"/>
      <c r="C858" s="20"/>
      <c r="D858" s="35"/>
      <c r="E858" s="36"/>
      <c r="F858" s="2"/>
      <c r="G858" s="2" t="str">
        <f t="array" ref="G858">IF($C858="", "", XLOOKUP($C858, Services!$A$4:$A998, Services!$C$4:$C998))</f>
        <v/>
      </c>
      <c r="H858" s="2" t="str">
        <f t="shared" si="1"/>
        <v>Retail</v>
      </c>
      <c r="I858" s="20"/>
      <c r="J858" s="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20"/>
      <c r="B859" s="34"/>
      <c r="C859" s="20"/>
      <c r="D859" s="35"/>
      <c r="E859" s="36"/>
      <c r="F859" s="2"/>
      <c r="G859" s="2" t="str">
        <f t="array" ref="G859">IF($C859="", "", XLOOKUP($C859, Services!$A$4:$A998, Services!$C$4:$C998))</f>
        <v/>
      </c>
      <c r="H859" s="2" t="str">
        <f t="shared" si="1"/>
        <v>Retail</v>
      </c>
      <c r="I859" s="20"/>
      <c r="J859" s="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20"/>
      <c r="B860" s="34"/>
      <c r="C860" s="20"/>
      <c r="D860" s="35"/>
      <c r="E860" s="36"/>
      <c r="F860" s="2"/>
      <c r="G860" s="2" t="str">
        <f t="array" ref="G860">IF($C860="", "", XLOOKUP($C860, Services!$A$4:$A998, Services!$C$4:$C998))</f>
        <v/>
      </c>
      <c r="H860" s="2" t="str">
        <f t="shared" si="1"/>
        <v>Retail</v>
      </c>
      <c r="I860" s="20"/>
      <c r="J860" s="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20"/>
      <c r="B861" s="34"/>
      <c r="C861" s="20"/>
      <c r="D861" s="35"/>
      <c r="E861" s="36"/>
      <c r="F861" s="2"/>
      <c r="G861" s="2" t="str">
        <f t="array" ref="G861">IF($C861="", "", XLOOKUP($C861, Services!$A$4:$A998, Services!$C$4:$C998))</f>
        <v/>
      </c>
      <c r="H861" s="2" t="str">
        <f t="shared" si="1"/>
        <v>Retail</v>
      </c>
      <c r="I861" s="20"/>
      <c r="J861" s="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20"/>
      <c r="B862" s="34"/>
      <c r="C862" s="20"/>
      <c r="D862" s="35"/>
      <c r="E862" s="36"/>
      <c r="F862" s="2"/>
      <c r="G862" s="2" t="str">
        <f t="array" ref="G862">IF($C862="", "", XLOOKUP($C862, Services!$A$4:$A998, Services!$C$4:$C998))</f>
        <v/>
      </c>
      <c r="H862" s="2" t="str">
        <f t="shared" si="1"/>
        <v>Retail</v>
      </c>
      <c r="I862" s="20"/>
      <c r="J862" s="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20"/>
      <c r="B863" s="34"/>
      <c r="C863" s="20"/>
      <c r="D863" s="35"/>
      <c r="E863" s="36"/>
      <c r="F863" s="2"/>
      <c r="G863" s="2" t="str">
        <f t="array" ref="G863">IF($C863="", "", XLOOKUP($C863, Services!$A$4:$A998, Services!$C$4:$C998))</f>
        <v/>
      </c>
      <c r="H863" s="2" t="str">
        <f t="shared" si="1"/>
        <v>Retail</v>
      </c>
      <c r="I863" s="20"/>
      <c r="J863" s="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20"/>
      <c r="B864" s="34"/>
      <c r="C864" s="20"/>
      <c r="D864" s="35"/>
      <c r="E864" s="36"/>
      <c r="F864" s="2"/>
      <c r="G864" s="2" t="str">
        <f t="array" ref="G864">IF($C864="", "", XLOOKUP($C864, Services!$A$4:$A998, Services!$C$4:$C998))</f>
        <v/>
      </c>
      <c r="H864" s="2" t="str">
        <f t="shared" si="1"/>
        <v>Retail</v>
      </c>
      <c r="I864" s="20"/>
      <c r="J864" s="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20"/>
      <c r="B865" s="34"/>
      <c r="C865" s="20"/>
      <c r="D865" s="35"/>
      <c r="E865" s="36"/>
      <c r="F865" s="2"/>
      <c r="G865" s="2" t="str">
        <f t="array" ref="G865">IF($C865="", "", XLOOKUP($C865, Services!$A$4:$A998, Services!$C$4:$C998))</f>
        <v/>
      </c>
      <c r="H865" s="2" t="str">
        <f t="shared" si="1"/>
        <v>Retail</v>
      </c>
      <c r="I865" s="20"/>
      <c r="J865" s="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20"/>
      <c r="B866" s="34"/>
      <c r="C866" s="20"/>
      <c r="D866" s="35"/>
      <c r="E866" s="36"/>
      <c r="F866" s="2"/>
      <c r="G866" s="2" t="str">
        <f t="array" ref="G866">IF($C866="", "", XLOOKUP($C866, Services!$A$4:$A998, Services!$C$4:$C998))</f>
        <v/>
      </c>
      <c r="H866" s="2" t="str">
        <f t="shared" si="1"/>
        <v>Retail</v>
      </c>
      <c r="I866" s="20"/>
      <c r="J866" s="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20"/>
      <c r="B867" s="34"/>
      <c r="C867" s="20"/>
      <c r="D867" s="35"/>
      <c r="E867" s="36"/>
      <c r="F867" s="2"/>
      <c r="G867" s="2" t="str">
        <f t="array" ref="G867">IF($C867="", "", XLOOKUP($C867, Services!$A$4:$A998, Services!$C$4:$C998))</f>
        <v/>
      </c>
      <c r="H867" s="2" t="str">
        <f t="shared" si="1"/>
        <v>Retail</v>
      </c>
      <c r="I867" s="20"/>
      <c r="J867" s="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20"/>
      <c r="B868" s="34"/>
      <c r="C868" s="20"/>
      <c r="D868" s="35"/>
      <c r="E868" s="36"/>
      <c r="F868" s="2"/>
      <c r="G868" s="2" t="str">
        <f t="array" ref="G868">IF($C868="", "", XLOOKUP($C868, Services!$A$4:$A998, Services!$C$4:$C998))</f>
        <v/>
      </c>
      <c r="H868" s="2" t="str">
        <f t="shared" si="1"/>
        <v>Retail</v>
      </c>
      <c r="I868" s="20"/>
      <c r="J868" s="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20"/>
      <c r="B869" s="34"/>
      <c r="C869" s="20"/>
      <c r="D869" s="35"/>
      <c r="E869" s="36"/>
      <c r="F869" s="2"/>
      <c r="G869" s="2" t="str">
        <f t="array" ref="G869">IF($C869="", "", XLOOKUP($C869, Services!$A$4:$A998, Services!$C$4:$C998))</f>
        <v/>
      </c>
      <c r="H869" s="2" t="str">
        <f t="shared" si="1"/>
        <v>Retail</v>
      </c>
      <c r="I869" s="20"/>
      <c r="J869" s="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20"/>
      <c r="B870" s="34"/>
      <c r="C870" s="20"/>
      <c r="D870" s="35"/>
      <c r="E870" s="36"/>
      <c r="F870" s="2"/>
      <c r="G870" s="2" t="str">
        <f t="array" ref="G870">IF($C870="", "", XLOOKUP($C870, Services!$A$4:$A998, Services!$C$4:$C998))</f>
        <v/>
      </c>
      <c r="H870" s="2" t="str">
        <f t="shared" si="1"/>
        <v>Retail</v>
      </c>
      <c r="I870" s="20"/>
      <c r="J870" s="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20"/>
      <c r="B871" s="34"/>
      <c r="C871" s="20"/>
      <c r="D871" s="35"/>
      <c r="E871" s="36"/>
      <c r="F871" s="2"/>
      <c r="G871" s="2" t="str">
        <f t="array" ref="G871">IF($C871="", "", XLOOKUP($C871, Services!$A$4:$A998, Services!$C$4:$C998))</f>
        <v/>
      </c>
      <c r="H871" s="2" t="str">
        <f t="shared" si="1"/>
        <v>Retail</v>
      </c>
      <c r="I871" s="20"/>
      <c r="J871" s="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20"/>
      <c r="B872" s="34"/>
      <c r="C872" s="20"/>
      <c r="D872" s="35"/>
      <c r="E872" s="36"/>
      <c r="F872" s="2"/>
      <c r="G872" s="2" t="str">
        <f t="array" ref="G872">IF($C872="", "", XLOOKUP($C872, Services!$A$4:$A998, Services!$C$4:$C998))</f>
        <v/>
      </c>
      <c r="H872" s="2" t="str">
        <f t="shared" si="1"/>
        <v>Retail</v>
      </c>
      <c r="I872" s="20"/>
      <c r="J872" s="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20"/>
      <c r="B873" s="34"/>
      <c r="C873" s="20"/>
      <c r="D873" s="35"/>
      <c r="E873" s="36"/>
      <c r="F873" s="2"/>
      <c r="G873" s="2" t="str">
        <f t="array" ref="G873">IF($C873="", "", XLOOKUP($C873, Services!$A$4:$A998, Services!$C$4:$C998))</f>
        <v/>
      </c>
      <c r="H873" s="2" t="str">
        <f t="shared" si="1"/>
        <v>Retail</v>
      </c>
      <c r="I873" s="20"/>
      <c r="J873" s="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20"/>
      <c r="B874" s="34"/>
      <c r="C874" s="20"/>
      <c r="D874" s="35"/>
      <c r="E874" s="36"/>
      <c r="F874" s="2"/>
      <c r="G874" s="2" t="str">
        <f t="array" ref="G874">IF($C874="", "", XLOOKUP($C874, Services!$A$4:$A998, Services!$C$4:$C998))</f>
        <v/>
      </c>
      <c r="H874" s="2" t="str">
        <f t="shared" si="1"/>
        <v>Retail</v>
      </c>
      <c r="I874" s="20"/>
      <c r="J874" s="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20"/>
      <c r="B875" s="34"/>
      <c r="C875" s="20"/>
      <c r="D875" s="35"/>
      <c r="E875" s="36"/>
      <c r="F875" s="2"/>
      <c r="G875" s="2" t="str">
        <f t="array" ref="G875">IF($C875="", "", XLOOKUP($C875, Services!$A$4:$A998, Services!$C$4:$C998))</f>
        <v/>
      </c>
      <c r="H875" s="2" t="str">
        <f t="shared" si="1"/>
        <v>Retail</v>
      </c>
      <c r="I875" s="20"/>
      <c r="J875" s="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20"/>
      <c r="B876" s="34"/>
      <c r="C876" s="20"/>
      <c r="D876" s="35"/>
      <c r="E876" s="36"/>
      <c r="F876" s="2"/>
      <c r="G876" s="2" t="str">
        <f t="array" ref="G876">IF($C876="", "", XLOOKUP($C876, Services!$A$4:$A998, Services!$C$4:$C998))</f>
        <v/>
      </c>
      <c r="H876" s="2" t="str">
        <f t="shared" si="1"/>
        <v>Retail</v>
      </c>
      <c r="I876" s="20"/>
      <c r="J876" s="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20"/>
      <c r="B877" s="34"/>
      <c r="C877" s="20"/>
      <c r="D877" s="35"/>
      <c r="E877" s="36"/>
      <c r="F877" s="2"/>
      <c r="G877" s="2" t="str">
        <f t="array" ref="G877">IF($C877="", "", XLOOKUP($C877, Services!$A$4:$A998, Services!$C$4:$C998))</f>
        <v/>
      </c>
      <c r="H877" s="2" t="str">
        <f t="shared" si="1"/>
        <v>Retail</v>
      </c>
      <c r="I877" s="20"/>
      <c r="J877" s="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20"/>
      <c r="B878" s="34"/>
      <c r="C878" s="20"/>
      <c r="D878" s="35"/>
      <c r="E878" s="36"/>
      <c r="F878" s="2"/>
      <c r="G878" s="2" t="str">
        <f t="array" ref="G878">IF($C878="", "", XLOOKUP($C878, Services!$A$4:$A998, Services!$C$4:$C998))</f>
        <v/>
      </c>
      <c r="H878" s="2" t="str">
        <f t="shared" si="1"/>
        <v>Retail</v>
      </c>
      <c r="I878" s="20"/>
      <c r="J878" s="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20"/>
      <c r="B879" s="34"/>
      <c r="C879" s="20"/>
      <c r="D879" s="35"/>
      <c r="E879" s="36"/>
      <c r="F879" s="2"/>
      <c r="G879" s="2" t="str">
        <f t="array" ref="G879">IF($C879="", "", XLOOKUP($C879, Services!$A$4:$A998, Services!$C$4:$C998))</f>
        <v/>
      </c>
      <c r="H879" s="2" t="str">
        <f t="shared" si="1"/>
        <v>Retail</v>
      </c>
      <c r="I879" s="20"/>
      <c r="J879" s="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20"/>
      <c r="B880" s="34"/>
      <c r="C880" s="20"/>
      <c r="D880" s="35"/>
      <c r="E880" s="36"/>
      <c r="F880" s="2"/>
      <c r="G880" s="2" t="str">
        <f t="array" ref="G880">IF($C880="", "", XLOOKUP($C880, Services!$A$4:$A998, Services!$C$4:$C998))</f>
        <v/>
      </c>
      <c r="H880" s="2" t="str">
        <f t="shared" si="1"/>
        <v>Retail</v>
      </c>
      <c r="I880" s="20"/>
      <c r="J880" s="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20"/>
      <c r="B881" s="34"/>
      <c r="C881" s="20"/>
      <c r="D881" s="35"/>
      <c r="E881" s="36"/>
      <c r="F881" s="2"/>
      <c r="G881" s="2" t="str">
        <f t="array" ref="G881">IF($C881="", "", XLOOKUP($C881, Services!$A$4:$A998, Services!$C$4:$C998))</f>
        <v/>
      </c>
      <c r="H881" s="2" t="str">
        <f t="shared" si="1"/>
        <v>Retail</v>
      </c>
      <c r="I881" s="20"/>
      <c r="J881" s="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20"/>
      <c r="B882" s="34"/>
      <c r="C882" s="20"/>
      <c r="D882" s="35"/>
      <c r="E882" s="36"/>
      <c r="F882" s="2"/>
      <c r="G882" s="2" t="str">
        <f t="array" ref="G882">IF($C882="", "", XLOOKUP($C882, Services!$A$4:$A998, Services!$C$4:$C998))</f>
        <v/>
      </c>
      <c r="H882" s="2" t="str">
        <f t="shared" si="1"/>
        <v>Retail</v>
      </c>
      <c r="I882" s="20"/>
      <c r="J882" s="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20"/>
      <c r="B883" s="34"/>
      <c r="C883" s="20"/>
      <c r="D883" s="35"/>
      <c r="E883" s="36"/>
      <c r="F883" s="2"/>
      <c r="G883" s="2" t="str">
        <f t="array" ref="G883">IF($C883="", "", XLOOKUP($C883, Services!$A$4:$A998, Services!$C$4:$C998))</f>
        <v/>
      </c>
      <c r="H883" s="2" t="str">
        <f t="shared" si="1"/>
        <v>Retail</v>
      </c>
      <c r="I883" s="20"/>
      <c r="J883" s="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20"/>
      <c r="B884" s="34"/>
      <c r="C884" s="20"/>
      <c r="D884" s="35"/>
      <c r="E884" s="36"/>
      <c r="F884" s="2"/>
      <c r="G884" s="2" t="str">
        <f t="array" ref="G884">IF($C884="", "", XLOOKUP($C884, Services!$A$4:$A998, Services!$C$4:$C998))</f>
        <v/>
      </c>
      <c r="H884" s="2" t="str">
        <f t="shared" si="1"/>
        <v>Retail</v>
      </c>
      <c r="I884" s="20"/>
      <c r="J884" s="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20"/>
      <c r="B885" s="34"/>
      <c r="C885" s="20"/>
      <c r="D885" s="35"/>
      <c r="E885" s="36"/>
      <c r="F885" s="2"/>
      <c r="G885" s="2" t="str">
        <f t="array" ref="G885">IF($C885="", "", XLOOKUP($C885, Services!$A$4:$A998, Services!$C$4:$C998))</f>
        <v/>
      </c>
      <c r="H885" s="2" t="str">
        <f t="shared" si="1"/>
        <v>Retail</v>
      </c>
      <c r="I885" s="20"/>
      <c r="J885" s="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20"/>
      <c r="B886" s="34"/>
      <c r="C886" s="20"/>
      <c r="D886" s="35"/>
      <c r="E886" s="36"/>
      <c r="F886" s="2"/>
      <c r="G886" s="2" t="str">
        <f t="array" ref="G886">IF($C886="", "", XLOOKUP($C886, Services!$A$4:$A998, Services!$C$4:$C998))</f>
        <v/>
      </c>
      <c r="H886" s="2" t="str">
        <f t="shared" si="1"/>
        <v>Retail</v>
      </c>
      <c r="I886" s="20"/>
      <c r="J886" s="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20"/>
      <c r="B887" s="34"/>
      <c r="C887" s="20"/>
      <c r="D887" s="35"/>
      <c r="E887" s="36"/>
      <c r="F887" s="2"/>
      <c r="G887" s="2" t="str">
        <f t="array" ref="G887">IF($C887="", "", XLOOKUP($C887, Services!$A$4:$A998, Services!$C$4:$C998))</f>
        <v/>
      </c>
      <c r="H887" s="2" t="str">
        <f t="shared" si="1"/>
        <v>Retail</v>
      </c>
      <c r="I887" s="20"/>
      <c r="J887" s="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20"/>
      <c r="B888" s="34"/>
      <c r="C888" s="20"/>
      <c r="D888" s="35"/>
      <c r="E888" s="36"/>
      <c r="F888" s="2"/>
      <c r="G888" s="2" t="str">
        <f t="array" ref="G888">IF($C888="", "", XLOOKUP($C888, Services!$A$4:$A998, Services!$C$4:$C998))</f>
        <v/>
      </c>
      <c r="H888" s="2" t="str">
        <f t="shared" si="1"/>
        <v>Retail</v>
      </c>
      <c r="I888" s="20"/>
      <c r="J888" s="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20"/>
      <c r="B889" s="34"/>
      <c r="C889" s="20"/>
      <c r="D889" s="35"/>
      <c r="E889" s="36"/>
      <c r="F889" s="2"/>
      <c r="G889" s="2" t="str">
        <f t="array" ref="G889">IF($C889="", "", XLOOKUP($C889, Services!$A$4:$A998, Services!$C$4:$C998))</f>
        <v/>
      </c>
      <c r="H889" s="2" t="str">
        <f t="shared" si="1"/>
        <v>Retail</v>
      </c>
      <c r="I889" s="20"/>
      <c r="J889" s="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20"/>
      <c r="B890" s="34"/>
      <c r="C890" s="20"/>
      <c r="D890" s="35"/>
      <c r="E890" s="36"/>
      <c r="F890" s="2"/>
      <c r="G890" s="2" t="str">
        <f t="array" ref="G890">IF($C890="", "", XLOOKUP($C890, Services!$A$4:$A998, Services!$C$4:$C998))</f>
        <v/>
      </c>
      <c r="H890" s="2" t="str">
        <f t="shared" si="1"/>
        <v>Retail</v>
      </c>
      <c r="I890" s="20"/>
      <c r="J890" s="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20"/>
      <c r="B891" s="34"/>
      <c r="C891" s="20"/>
      <c r="D891" s="35"/>
      <c r="E891" s="36"/>
      <c r="F891" s="2"/>
      <c r="G891" s="2" t="str">
        <f t="array" ref="G891">IF($C891="", "", XLOOKUP($C891, Services!$A$4:$A998, Services!$C$4:$C998))</f>
        <v/>
      </c>
      <c r="H891" s="2" t="str">
        <f t="shared" si="1"/>
        <v>Retail</v>
      </c>
      <c r="I891" s="20"/>
      <c r="J891" s="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20"/>
      <c r="B892" s="34"/>
      <c r="C892" s="20"/>
      <c r="D892" s="35"/>
      <c r="E892" s="36"/>
      <c r="F892" s="2"/>
      <c r="G892" s="2" t="str">
        <f t="array" ref="G892">IF($C892="", "", XLOOKUP($C892, Services!$A$4:$A998, Services!$C$4:$C998))</f>
        <v/>
      </c>
      <c r="H892" s="2" t="str">
        <f t="shared" si="1"/>
        <v>Retail</v>
      </c>
      <c r="I892" s="20"/>
      <c r="J892" s="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20"/>
      <c r="B893" s="34"/>
      <c r="C893" s="20"/>
      <c r="D893" s="35"/>
      <c r="E893" s="36"/>
      <c r="F893" s="2"/>
      <c r="G893" s="2" t="str">
        <f t="array" ref="G893">IF($C893="", "", XLOOKUP($C893, Services!$A$4:$A998, Services!$C$4:$C998))</f>
        <v/>
      </c>
      <c r="H893" s="2" t="str">
        <f t="shared" si="1"/>
        <v>Retail</v>
      </c>
      <c r="I893" s="20"/>
      <c r="J893" s="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20"/>
      <c r="B894" s="34"/>
      <c r="C894" s="20"/>
      <c r="D894" s="35"/>
      <c r="E894" s="36"/>
      <c r="F894" s="2"/>
      <c r="G894" s="2" t="str">
        <f t="array" ref="G894">IF($C894="", "", XLOOKUP($C894, Services!$A$4:$A998, Services!$C$4:$C998))</f>
        <v/>
      </c>
      <c r="H894" s="2" t="str">
        <f t="shared" si="1"/>
        <v>Retail</v>
      </c>
      <c r="I894" s="20"/>
      <c r="J894" s="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20"/>
      <c r="B895" s="34"/>
      <c r="C895" s="20"/>
      <c r="D895" s="35"/>
      <c r="E895" s="36"/>
      <c r="F895" s="2"/>
      <c r="G895" s="2" t="str">
        <f t="array" ref="G895">IF($C895="", "", XLOOKUP($C895, Services!$A$4:$A998, Services!$C$4:$C998))</f>
        <v/>
      </c>
      <c r="H895" s="2" t="str">
        <f t="shared" si="1"/>
        <v>Retail</v>
      </c>
      <c r="I895" s="20"/>
      <c r="J895" s="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20"/>
      <c r="B896" s="34"/>
      <c r="C896" s="20"/>
      <c r="D896" s="35"/>
      <c r="E896" s="36"/>
      <c r="F896" s="2"/>
      <c r="G896" s="2" t="str">
        <f t="array" ref="G896">IF($C896="", "", XLOOKUP($C896, Services!$A$4:$A998, Services!$C$4:$C998))</f>
        <v/>
      </c>
      <c r="H896" s="2" t="str">
        <f t="shared" si="1"/>
        <v>Retail</v>
      </c>
      <c r="I896" s="20"/>
      <c r="J896" s="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20"/>
      <c r="B897" s="34"/>
      <c r="C897" s="20"/>
      <c r="D897" s="35"/>
      <c r="E897" s="36"/>
      <c r="F897" s="2"/>
      <c r="G897" s="2" t="str">
        <f t="array" ref="G897">IF($C897="", "", XLOOKUP($C897, Services!$A$4:$A998, Services!$C$4:$C998))</f>
        <v/>
      </c>
      <c r="H897" s="2" t="str">
        <f t="shared" si="1"/>
        <v>Retail</v>
      </c>
      <c r="I897" s="20"/>
      <c r="J897" s="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20"/>
      <c r="B898" s="34"/>
      <c r="C898" s="20"/>
      <c r="D898" s="35"/>
      <c r="E898" s="36"/>
      <c r="F898" s="2"/>
      <c r="G898" s="2" t="str">
        <f t="array" ref="G898">IF($C898="", "", XLOOKUP($C898, Services!$A$4:$A998, Services!$C$4:$C998))</f>
        <v/>
      </c>
      <c r="H898" s="2" t="str">
        <f t="shared" si="1"/>
        <v>Retail</v>
      </c>
      <c r="I898" s="20"/>
      <c r="J898" s="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20"/>
      <c r="B899" s="34"/>
      <c r="C899" s="20"/>
      <c r="D899" s="35"/>
      <c r="E899" s="36"/>
      <c r="F899" s="2"/>
      <c r="G899" s="2" t="str">
        <f t="array" ref="G899">IF($C899="", "", XLOOKUP($C899, Services!$A$4:$A998, Services!$C$4:$C998))</f>
        <v/>
      </c>
      <c r="H899" s="2" t="str">
        <f t="shared" si="1"/>
        <v>Retail</v>
      </c>
      <c r="I899" s="20"/>
      <c r="J899" s="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20"/>
      <c r="B900" s="34"/>
      <c r="C900" s="20"/>
      <c r="D900" s="35"/>
      <c r="E900" s="36"/>
      <c r="F900" s="2"/>
      <c r="G900" s="2" t="str">
        <f t="array" ref="G900">IF($C900="", "", XLOOKUP($C900, Services!$A$4:$A998, Services!$C$4:$C998))</f>
        <v/>
      </c>
      <c r="H900" s="2" t="str">
        <f t="shared" si="1"/>
        <v>Retail</v>
      </c>
      <c r="I900" s="20"/>
      <c r="J900" s="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20"/>
      <c r="B901" s="34"/>
      <c r="C901" s="20"/>
      <c r="D901" s="35"/>
      <c r="E901" s="36"/>
      <c r="F901" s="2"/>
      <c r="G901" s="2" t="str">
        <f t="array" ref="G901">IF($C901="", "", XLOOKUP($C901, Services!$A$4:$A998, Services!$C$4:$C998))</f>
        <v/>
      </c>
      <c r="H901" s="2" t="str">
        <f t="shared" si="1"/>
        <v>Retail</v>
      </c>
      <c r="I901" s="20"/>
      <c r="J901" s="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20"/>
      <c r="B902" s="34"/>
      <c r="C902" s="20"/>
      <c r="D902" s="35"/>
      <c r="E902" s="36"/>
      <c r="F902" s="2"/>
      <c r="G902" s="2" t="str">
        <f t="array" ref="G902">IF($C902="", "", XLOOKUP($C902, Services!$A$4:$A998, Services!$C$4:$C998))</f>
        <v/>
      </c>
      <c r="H902" s="2" t="str">
        <f t="shared" si="1"/>
        <v>Retail</v>
      </c>
      <c r="I902" s="20"/>
      <c r="J902" s="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20"/>
      <c r="B903" s="34"/>
      <c r="C903" s="20"/>
      <c r="D903" s="35"/>
      <c r="E903" s="36"/>
      <c r="F903" s="2"/>
      <c r="G903" s="2" t="str">
        <f t="array" ref="G903">IF($C903="", "", XLOOKUP($C903, Services!$A$4:$A998, Services!$C$4:$C998))</f>
        <v/>
      </c>
      <c r="H903" s="2" t="str">
        <f t="shared" si="1"/>
        <v>Retail</v>
      </c>
      <c r="I903" s="20"/>
      <c r="J903" s="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20"/>
      <c r="B904" s="34"/>
      <c r="C904" s="20"/>
      <c r="D904" s="35"/>
      <c r="E904" s="36"/>
      <c r="F904" s="2"/>
      <c r="G904" s="2" t="str">
        <f t="array" ref="G904">IF($C904="", "", XLOOKUP($C904, Services!$A$4:$A998, Services!$C$4:$C998))</f>
        <v/>
      </c>
      <c r="H904" s="2" t="str">
        <f t="shared" si="1"/>
        <v>Retail</v>
      </c>
      <c r="I904" s="20"/>
      <c r="J904" s="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20"/>
      <c r="B905" s="34"/>
      <c r="C905" s="20"/>
      <c r="D905" s="35"/>
      <c r="E905" s="36"/>
      <c r="F905" s="2"/>
      <c r="G905" s="2" t="str">
        <f t="array" ref="G905">IF($C905="", "", XLOOKUP($C905, Services!$A$4:$A998, Services!$C$4:$C998))</f>
        <v/>
      </c>
      <c r="H905" s="2" t="str">
        <f t="shared" si="1"/>
        <v>Retail</v>
      </c>
      <c r="I905" s="20"/>
      <c r="J905" s="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20"/>
      <c r="B906" s="34"/>
      <c r="C906" s="20"/>
      <c r="D906" s="35"/>
      <c r="E906" s="36"/>
      <c r="F906" s="2"/>
      <c r="G906" s="2" t="str">
        <f t="array" ref="G906">IF($C906="", "", XLOOKUP($C906, Services!$A$4:$A998, Services!$C$4:$C998))</f>
        <v/>
      </c>
      <c r="H906" s="2" t="str">
        <f t="shared" si="1"/>
        <v>Retail</v>
      </c>
      <c r="I906" s="20"/>
      <c r="J906" s="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20"/>
      <c r="B907" s="34"/>
      <c r="C907" s="20"/>
      <c r="D907" s="35"/>
      <c r="E907" s="36"/>
      <c r="F907" s="2"/>
      <c r="G907" s="2" t="str">
        <f t="array" ref="G907">IF($C907="", "", XLOOKUP($C907, Services!$A$4:$A998, Services!$C$4:$C998))</f>
        <v/>
      </c>
      <c r="H907" s="2" t="str">
        <f t="shared" si="1"/>
        <v>Retail</v>
      </c>
      <c r="I907" s="20"/>
      <c r="J907" s="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20"/>
      <c r="B908" s="34"/>
      <c r="C908" s="20"/>
      <c r="D908" s="35"/>
      <c r="E908" s="36"/>
      <c r="F908" s="2"/>
      <c r="G908" s="2" t="str">
        <f t="array" ref="G908">IF($C908="", "", XLOOKUP($C908, Services!$A$4:$A998, Services!$C$4:$C998))</f>
        <v/>
      </c>
      <c r="H908" s="2" t="str">
        <f t="shared" si="1"/>
        <v>Retail</v>
      </c>
      <c r="I908" s="20"/>
      <c r="J908" s="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20"/>
      <c r="B909" s="34"/>
      <c r="C909" s="20"/>
      <c r="D909" s="35"/>
      <c r="E909" s="36"/>
      <c r="F909" s="2"/>
      <c r="G909" s="2" t="str">
        <f t="array" ref="G909">IF($C909="", "", XLOOKUP($C909, Services!$A$4:$A998, Services!$C$4:$C998))</f>
        <v/>
      </c>
      <c r="H909" s="2" t="str">
        <f t="shared" si="1"/>
        <v>Retail</v>
      </c>
      <c r="I909" s="20"/>
      <c r="J909" s="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20"/>
      <c r="B910" s="34"/>
      <c r="C910" s="20"/>
      <c r="D910" s="35"/>
      <c r="E910" s="36"/>
      <c r="F910" s="2"/>
      <c r="G910" s="2" t="str">
        <f t="array" ref="G910">IF($C910="", "", XLOOKUP($C910, Services!$A$4:$A998, Services!$C$4:$C998))</f>
        <v/>
      </c>
      <c r="H910" s="2" t="str">
        <f t="shared" si="1"/>
        <v>Retail</v>
      </c>
      <c r="I910" s="20"/>
      <c r="J910" s="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20"/>
      <c r="B911" s="34"/>
      <c r="C911" s="20"/>
      <c r="D911" s="35"/>
      <c r="E911" s="36"/>
      <c r="F911" s="2"/>
      <c r="G911" s="2" t="str">
        <f t="array" ref="G911">IF($C911="", "", XLOOKUP($C911, Services!$A$4:$A998, Services!$C$4:$C998))</f>
        <v/>
      </c>
      <c r="H911" s="2" t="str">
        <f t="shared" si="1"/>
        <v>Retail</v>
      </c>
      <c r="I911" s="20"/>
      <c r="J911" s="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20"/>
      <c r="B912" s="34"/>
      <c r="C912" s="20"/>
      <c r="D912" s="35"/>
      <c r="E912" s="36"/>
      <c r="F912" s="2"/>
      <c r="G912" s="2" t="str">
        <f t="array" ref="G912">IF($C912="", "", XLOOKUP($C912, Services!$A$4:$A998, Services!$C$4:$C998))</f>
        <v/>
      </c>
      <c r="H912" s="2" t="str">
        <f t="shared" si="1"/>
        <v>Retail</v>
      </c>
      <c r="I912" s="20"/>
      <c r="J912" s="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20"/>
      <c r="B913" s="34"/>
      <c r="C913" s="20"/>
      <c r="D913" s="35"/>
      <c r="E913" s="36"/>
      <c r="F913" s="2"/>
      <c r="G913" s="2" t="str">
        <f t="array" ref="G913">IF($C913="", "", XLOOKUP($C913, Services!$A$4:$A998, Services!$C$4:$C998))</f>
        <v/>
      </c>
      <c r="H913" s="2" t="str">
        <f t="shared" si="1"/>
        <v>Retail</v>
      </c>
      <c r="I913" s="20"/>
      <c r="J913" s="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20"/>
      <c r="B914" s="34"/>
      <c r="C914" s="20"/>
      <c r="D914" s="35"/>
      <c r="E914" s="36"/>
      <c r="F914" s="2"/>
      <c r="G914" s="2" t="str">
        <f t="array" ref="G914">IF($C914="", "", XLOOKUP($C914, Services!$A$4:$A998, Services!$C$4:$C998))</f>
        <v/>
      </c>
      <c r="H914" s="2" t="str">
        <f t="shared" si="1"/>
        <v>Retail</v>
      </c>
      <c r="I914" s="20"/>
      <c r="J914" s="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20"/>
      <c r="B915" s="34"/>
      <c r="C915" s="20"/>
      <c r="D915" s="35"/>
      <c r="E915" s="36"/>
      <c r="F915" s="2"/>
      <c r="G915" s="2" t="str">
        <f t="array" ref="G915">IF($C915="", "", XLOOKUP($C915, Services!$A$4:$A998, Services!$C$4:$C998))</f>
        <v/>
      </c>
      <c r="H915" s="2" t="str">
        <f t="shared" si="1"/>
        <v>Retail</v>
      </c>
      <c r="I915" s="20"/>
      <c r="J915" s="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20"/>
      <c r="B916" s="34"/>
      <c r="C916" s="20"/>
      <c r="D916" s="35"/>
      <c r="E916" s="36"/>
      <c r="F916" s="2"/>
      <c r="G916" s="2" t="str">
        <f t="array" ref="G916">IF($C916="", "", XLOOKUP($C916, Services!$A$4:$A998, Services!$C$4:$C998))</f>
        <v/>
      </c>
      <c r="H916" s="2" t="str">
        <f t="shared" si="1"/>
        <v>Retail</v>
      </c>
      <c r="I916" s="20"/>
      <c r="J916" s="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20"/>
      <c r="B917" s="34"/>
      <c r="C917" s="20"/>
      <c r="D917" s="35"/>
      <c r="E917" s="36"/>
      <c r="F917" s="2"/>
      <c r="G917" s="2" t="str">
        <f t="array" ref="G917">IF($C917="", "", XLOOKUP($C917, Services!$A$4:$A998, Services!$C$4:$C998))</f>
        <v/>
      </c>
      <c r="H917" s="2" t="str">
        <f t="shared" si="1"/>
        <v>Retail</v>
      </c>
      <c r="I917" s="20"/>
      <c r="J917" s="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20"/>
      <c r="B918" s="34"/>
      <c r="C918" s="20"/>
      <c r="D918" s="35"/>
      <c r="E918" s="36"/>
      <c r="F918" s="2"/>
      <c r="G918" s="2" t="str">
        <f t="array" ref="G918">IF($C918="", "", XLOOKUP($C918, Services!$A$4:$A998, Services!$C$4:$C998))</f>
        <v/>
      </c>
      <c r="H918" s="2" t="str">
        <f t="shared" si="1"/>
        <v>Retail</v>
      </c>
      <c r="I918" s="20"/>
      <c r="J918" s="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20"/>
      <c r="B919" s="34"/>
      <c r="C919" s="20"/>
      <c r="D919" s="35"/>
      <c r="E919" s="36"/>
      <c r="F919" s="2"/>
      <c r="G919" s="2" t="str">
        <f t="array" ref="G919">IF($C919="", "", XLOOKUP($C919, Services!$A$4:$A998, Services!$C$4:$C998))</f>
        <v/>
      </c>
      <c r="H919" s="2" t="str">
        <f t="shared" si="1"/>
        <v>Retail</v>
      </c>
      <c r="I919" s="20"/>
      <c r="J919" s="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20"/>
      <c r="B920" s="34"/>
      <c r="C920" s="20"/>
      <c r="D920" s="35"/>
      <c r="E920" s="36"/>
      <c r="F920" s="2"/>
      <c r="G920" s="2" t="str">
        <f t="array" ref="G920">IF($C920="", "", XLOOKUP($C920, Services!$A$4:$A998, Services!$C$4:$C998))</f>
        <v/>
      </c>
      <c r="H920" s="2" t="str">
        <f t="shared" si="1"/>
        <v>Retail</v>
      </c>
      <c r="I920" s="20"/>
      <c r="J920" s="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20"/>
      <c r="B921" s="34"/>
      <c r="C921" s="20"/>
      <c r="D921" s="35"/>
      <c r="E921" s="36"/>
      <c r="F921" s="2"/>
      <c r="G921" s="2" t="str">
        <f t="array" ref="G921">IF($C921="", "", XLOOKUP($C921, Services!$A$4:$A998, Services!$C$4:$C998))</f>
        <v/>
      </c>
      <c r="H921" s="2" t="str">
        <f t="shared" si="1"/>
        <v>Retail</v>
      </c>
      <c r="I921" s="20"/>
      <c r="J921" s="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20"/>
      <c r="B922" s="34"/>
      <c r="C922" s="20"/>
      <c r="D922" s="35"/>
      <c r="E922" s="36"/>
      <c r="F922" s="2"/>
      <c r="G922" s="2" t="str">
        <f t="array" ref="G922">IF($C922="", "", XLOOKUP($C922, Services!$A$4:$A998, Services!$C$4:$C998))</f>
        <v/>
      </c>
      <c r="H922" s="2" t="str">
        <f t="shared" si="1"/>
        <v>Retail</v>
      </c>
      <c r="I922" s="20"/>
      <c r="J922" s="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20"/>
      <c r="B923" s="34"/>
      <c r="C923" s="20"/>
      <c r="D923" s="35"/>
      <c r="E923" s="36"/>
      <c r="F923" s="2"/>
      <c r="G923" s="2" t="str">
        <f t="array" ref="G923">IF($C923="", "", XLOOKUP($C923, Services!$A$4:$A998, Services!$C$4:$C998))</f>
        <v/>
      </c>
      <c r="H923" s="2" t="str">
        <f t="shared" si="1"/>
        <v>Retail</v>
      </c>
      <c r="I923" s="20"/>
      <c r="J923" s="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20"/>
      <c r="B924" s="34"/>
      <c r="C924" s="20"/>
      <c r="D924" s="35"/>
      <c r="E924" s="36"/>
      <c r="F924" s="2"/>
      <c r="G924" s="2" t="str">
        <f t="array" ref="G924">IF($C924="", "", XLOOKUP($C924, Services!$A$4:$A998, Services!$C$4:$C998))</f>
        <v/>
      </c>
      <c r="H924" s="2" t="str">
        <f t="shared" si="1"/>
        <v>Retail</v>
      </c>
      <c r="I924" s="20"/>
      <c r="J924" s="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20"/>
      <c r="B925" s="34"/>
      <c r="C925" s="20"/>
      <c r="D925" s="35"/>
      <c r="E925" s="36"/>
      <c r="F925" s="2"/>
      <c r="G925" s="2" t="str">
        <f t="array" ref="G925">IF($C925="", "", XLOOKUP($C925, Services!$A$4:$A998, Services!$C$4:$C998))</f>
        <v/>
      </c>
      <c r="H925" s="2" t="str">
        <f t="shared" si="1"/>
        <v>Retail</v>
      </c>
      <c r="I925" s="20"/>
      <c r="J925" s="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20"/>
      <c r="B926" s="34"/>
      <c r="C926" s="20"/>
      <c r="D926" s="35"/>
      <c r="E926" s="36"/>
      <c r="F926" s="2"/>
      <c r="G926" s="2" t="str">
        <f t="array" ref="G926">IF($C926="", "", XLOOKUP($C926, Services!$A$4:$A998, Services!$C$4:$C998))</f>
        <v/>
      </c>
      <c r="H926" s="2" t="str">
        <f t="shared" si="1"/>
        <v>Retail</v>
      </c>
      <c r="I926" s="20"/>
      <c r="J926" s="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20"/>
      <c r="B927" s="34"/>
      <c r="C927" s="20"/>
      <c r="D927" s="35"/>
      <c r="E927" s="36"/>
      <c r="F927" s="2"/>
      <c r="G927" s="2" t="str">
        <f t="array" ref="G927">IF($C927="", "", XLOOKUP($C927, Services!$A$4:$A998, Services!$C$4:$C998))</f>
        <v/>
      </c>
      <c r="H927" s="2" t="str">
        <f t="shared" si="1"/>
        <v>Retail</v>
      </c>
      <c r="I927" s="20"/>
      <c r="J927" s="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20"/>
      <c r="B928" s="34"/>
      <c r="C928" s="20"/>
      <c r="D928" s="35"/>
      <c r="E928" s="36"/>
      <c r="F928" s="2"/>
      <c r="G928" s="2" t="str">
        <f t="array" ref="G928">IF($C928="", "", XLOOKUP($C928, Services!$A$4:$A998, Services!$C$4:$C998))</f>
        <v/>
      </c>
      <c r="H928" s="2" t="str">
        <f t="shared" si="1"/>
        <v>Retail</v>
      </c>
      <c r="I928" s="20"/>
      <c r="J928" s="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20"/>
      <c r="B929" s="34"/>
      <c r="C929" s="20"/>
      <c r="D929" s="35"/>
      <c r="E929" s="36"/>
      <c r="F929" s="2"/>
      <c r="G929" s="2" t="str">
        <f t="array" ref="G929">IF($C929="", "", XLOOKUP($C929, Services!$A$4:$A998, Services!$C$4:$C998))</f>
        <v/>
      </c>
      <c r="H929" s="2" t="str">
        <f t="shared" si="1"/>
        <v>Retail</v>
      </c>
      <c r="I929" s="20"/>
      <c r="J929" s="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20"/>
      <c r="B930" s="34"/>
      <c r="C930" s="20"/>
      <c r="D930" s="35"/>
      <c r="E930" s="36"/>
      <c r="F930" s="2"/>
      <c r="G930" s="2" t="str">
        <f t="array" ref="G930">IF($C930="", "", XLOOKUP($C930, Services!$A$4:$A998, Services!$C$4:$C998))</f>
        <v/>
      </c>
      <c r="H930" s="2" t="str">
        <f t="shared" si="1"/>
        <v>Retail</v>
      </c>
      <c r="I930" s="20"/>
      <c r="J930" s="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20"/>
      <c r="B931" s="34"/>
      <c r="C931" s="20"/>
      <c r="D931" s="35"/>
      <c r="E931" s="36"/>
      <c r="F931" s="2"/>
      <c r="G931" s="2" t="str">
        <f t="array" ref="G931">IF($C931="", "", XLOOKUP($C931, Services!$A$4:$A998, Services!$C$4:$C998))</f>
        <v/>
      </c>
      <c r="H931" s="2" t="str">
        <f t="shared" si="1"/>
        <v>Retail</v>
      </c>
      <c r="I931" s="20"/>
      <c r="J931" s="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20"/>
      <c r="B932" s="34"/>
      <c r="C932" s="20"/>
      <c r="D932" s="35"/>
      <c r="E932" s="36"/>
      <c r="F932" s="2"/>
      <c r="G932" s="2" t="str">
        <f t="array" ref="G932">IF($C932="", "", XLOOKUP($C932, Services!$A$4:$A998, Services!$C$4:$C998))</f>
        <v/>
      </c>
      <c r="H932" s="2" t="str">
        <f t="shared" si="1"/>
        <v>Retail</v>
      </c>
      <c r="I932" s="20"/>
      <c r="J932" s="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20"/>
      <c r="B933" s="34"/>
      <c r="C933" s="20"/>
      <c r="D933" s="35"/>
      <c r="E933" s="36"/>
      <c r="F933" s="2"/>
      <c r="G933" s="2" t="str">
        <f t="array" ref="G933">IF($C933="", "", XLOOKUP($C933, Services!$A$4:$A998, Services!$C$4:$C998))</f>
        <v/>
      </c>
      <c r="H933" s="2" t="str">
        <f t="shared" si="1"/>
        <v>Retail</v>
      </c>
      <c r="I933" s="20"/>
      <c r="J933" s="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20"/>
      <c r="B934" s="34"/>
      <c r="C934" s="20"/>
      <c r="D934" s="35"/>
      <c r="E934" s="36"/>
      <c r="F934" s="2"/>
      <c r="G934" s="2" t="str">
        <f t="array" ref="G934">IF($C934="", "", XLOOKUP($C934, Services!$A$4:$A998, Services!$C$4:$C998))</f>
        <v/>
      </c>
      <c r="H934" s="2" t="str">
        <f t="shared" si="1"/>
        <v>Retail</v>
      </c>
      <c r="I934" s="20"/>
      <c r="J934" s="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20"/>
      <c r="B935" s="34"/>
      <c r="C935" s="20"/>
      <c r="D935" s="35"/>
      <c r="E935" s="36"/>
      <c r="F935" s="2"/>
      <c r="G935" s="2" t="str">
        <f t="array" ref="G935">IF($C935="", "", XLOOKUP($C935, Services!$A$4:$A998, Services!$C$4:$C998))</f>
        <v/>
      </c>
      <c r="H935" s="2" t="str">
        <f t="shared" si="1"/>
        <v>Retail</v>
      </c>
      <c r="I935" s="20"/>
      <c r="J935" s="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20"/>
      <c r="B936" s="34"/>
      <c r="C936" s="20"/>
      <c r="D936" s="35"/>
      <c r="E936" s="36"/>
      <c r="F936" s="2"/>
      <c r="G936" s="2" t="str">
        <f t="array" ref="G936">IF($C936="", "", XLOOKUP($C936, Services!$A$4:$A998, Services!$C$4:$C998))</f>
        <v/>
      </c>
      <c r="H936" s="2" t="str">
        <f t="shared" si="1"/>
        <v>Retail</v>
      </c>
      <c r="I936" s="20"/>
      <c r="J936" s="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20"/>
      <c r="B937" s="34"/>
      <c r="C937" s="20"/>
      <c r="D937" s="35"/>
      <c r="E937" s="36"/>
      <c r="F937" s="2"/>
      <c r="G937" s="2" t="str">
        <f t="array" ref="G937">IF($C937="", "", XLOOKUP($C937, Services!$A$4:$A998, Services!$C$4:$C998))</f>
        <v/>
      </c>
      <c r="H937" s="2" t="str">
        <f t="shared" si="1"/>
        <v>Retail</v>
      </c>
      <c r="I937" s="20"/>
      <c r="J937" s="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20"/>
      <c r="B938" s="34"/>
      <c r="C938" s="20"/>
      <c r="D938" s="35"/>
      <c r="E938" s="36"/>
      <c r="F938" s="2"/>
      <c r="G938" s="2" t="str">
        <f t="array" ref="G938">IF($C938="", "", XLOOKUP($C938, Services!$A$4:$A998, Services!$C$4:$C998))</f>
        <v/>
      </c>
      <c r="H938" s="2" t="str">
        <f t="shared" si="1"/>
        <v>Retail</v>
      </c>
      <c r="I938" s="20"/>
      <c r="J938" s="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20"/>
      <c r="B939" s="34"/>
      <c r="C939" s="20"/>
      <c r="D939" s="35"/>
      <c r="E939" s="36"/>
      <c r="F939" s="2"/>
      <c r="G939" s="2" t="str">
        <f t="array" ref="G939">IF($C939="", "", XLOOKUP($C939, Services!$A$4:$A998, Services!$C$4:$C998))</f>
        <v/>
      </c>
      <c r="H939" s="2" t="str">
        <f t="shared" si="1"/>
        <v>Retail</v>
      </c>
      <c r="I939" s="20"/>
      <c r="J939" s="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20"/>
      <c r="B940" s="34"/>
      <c r="C940" s="20"/>
      <c r="D940" s="35"/>
      <c r="E940" s="36"/>
      <c r="F940" s="2"/>
      <c r="G940" s="2" t="str">
        <f t="array" ref="G940">IF($C940="", "", XLOOKUP($C940, Services!$A$4:$A998, Services!$C$4:$C998))</f>
        <v/>
      </c>
      <c r="H940" s="2" t="str">
        <f t="shared" si="1"/>
        <v>Retail</v>
      </c>
      <c r="I940" s="20"/>
      <c r="J940" s="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20"/>
      <c r="B941" s="34"/>
      <c r="C941" s="20"/>
      <c r="D941" s="35"/>
      <c r="E941" s="36"/>
      <c r="F941" s="2"/>
      <c r="G941" s="2" t="str">
        <f t="array" ref="G941">IF($C941="", "", XLOOKUP($C941, Services!$A$4:$A998, Services!$C$4:$C998))</f>
        <v/>
      </c>
      <c r="H941" s="2" t="str">
        <f t="shared" si="1"/>
        <v>Retail</v>
      </c>
      <c r="I941" s="20"/>
      <c r="J941" s="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20"/>
      <c r="B942" s="34"/>
      <c r="C942" s="20"/>
      <c r="D942" s="35"/>
      <c r="E942" s="36"/>
      <c r="F942" s="2"/>
      <c r="G942" s="2" t="str">
        <f t="array" ref="G942">IF($C942="", "", XLOOKUP($C942, Services!$A$4:$A998, Services!$C$4:$C998))</f>
        <v/>
      </c>
      <c r="H942" s="2" t="str">
        <f t="shared" si="1"/>
        <v>Retail</v>
      </c>
      <c r="I942" s="20"/>
      <c r="J942" s="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20"/>
      <c r="B943" s="34"/>
      <c r="C943" s="20"/>
      <c r="D943" s="35"/>
      <c r="E943" s="36"/>
      <c r="F943" s="2"/>
      <c r="G943" s="2" t="str">
        <f t="array" ref="G943">IF($C943="", "", XLOOKUP($C943, Services!$A$4:$A998, Services!$C$4:$C998))</f>
        <v/>
      </c>
      <c r="H943" s="2" t="str">
        <f t="shared" si="1"/>
        <v>Retail</v>
      </c>
      <c r="I943" s="20"/>
      <c r="J943" s="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20"/>
      <c r="B944" s="34"/>
      <c r="C944" s="20"/>
      <c r="D944" s="35"/>
      <c r="E944" s="36"/>
      <c r="F944" s="2"/>
      <c r="G944" s="2" t="str">
        <f t="array" ref="G944">IF($C944="", "", XLOOKUP($C944, Services!$A$4:$A998, Services!$C$4:$C998))</f>
        <v/>
      </c>
      <c r="H944" s="2" t="str">
        <f t="shared" si="1"/>
        <v>Retail</v>
      </c>
      <c r="I944" s="20"/>
      <c r="J944" s="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20"/>
      <c r="B945" s="34"/>
      <c r="C945" s="20"/>
      <c r="D945" s="35"/>
      <c r="E945" s="36"/>
      <c r="F945" s="2"/>
      <c r="G945" s="2" t="str">
        <f t="array" ref="G945">IF($C945="", "", XLOOKUP($C945, Services!$A$4:$A998, Services!$C$4:$C998))</f>
        <v/>
      </c>
      <c r="H945" s="2" t="str">
        <f t="shared" si="1"/>
        <v>Retail</v>
      </c>
      <c r="I945" s="20"/>
      <c r="J945" s="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20"/>
      <c r="B946" s="34"/>
      <c r="C946" s="20"/>
      <c r="D946" s="35"/>
      <c r="E946" s="36"/>
      <c r="F946" s="2"/>
      <c r="G946" s="2" t="str">
        <f t="array" ref="G946">IF($C946="", "", XLOOKUP($C946, Services!$A$4:$A998, Services!$C$4:$C998))</f>
        <v/>
      </c>
      <c r="H946" s="2" t="str">
        <f t="shared" si="1"/>
        <v>Retail</v>
      </c>
      <c r="I946" s="20"/>
      <c r="J946" s="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20"/>
      <c r="B947" s="34"/>
      <c r="C947" s="20"/>
      <c r="D947" s="35"/>
      <c r="E947" s="36"/>
      <c r="F947" s="2"/>
      <c r="G947" s="2" t="str">
        <f t="array" ref="G947">IF($C947="", "", XLOOKUP($C947, Services!$A$4:$A998, Services!$C$4:$C998))</f>
        <v/>
      </c>
      <c r="H947" s="2" t="str">
        <f t="shared" si="1"/>
        <v>Retail</v>
      </c>
      <c r="I947" s="20"/>
      <c r="J947" s="2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20"/>
      <c r="B948" s="34"/>
      <c r="C948" s="20"/>
      <c r="D948" s="35"/>
      <c r="E948" s="36"/>
      <c r="F948" s="2"/>
      <c r="G948" s="2" t="str">
        <f t="array" ref="G948">IF($C948="", "", XLOOKUP($C948, Services!$A$4:$A998, Services!$C$4:$C998))</f>
        <v/>
      </c>
      <c r="H948" s="2" t="str">
        <f t="shared" si="1"/>
        <v>Retail</v>
      </c>
      <c r="I948" s="20"/>
      <c r="J948" s="2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20"/>
      <c r="B949" s="34"/>
      <c r="C949" s="20"/>
      <c r="D949" s="35"/>
      <c r="E949" s="36"/>
      <c r="F949" s="2"/>
      <c r="G949" s="2" t="str">
        <f t="array" ref="G949">IF($C949="", "", XLOOKUP($C949, Services!$A$4:$A998, Services!$C$4:$C998))</f>
        <v/>
      </c>
      <c r="H949" s="2" t="str">
        <f t="shared" si="1"/>
        <v>Retail</v>
      </c>
      <c r="I949" s="20"/>
      <c r="J949" s="2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20"/>
      <c r="B950" s="34"/>
      <c r="C950" s="20"/>
      <c r="D950" s="35"/>
      <c r="E950" s="36"/>
      <c r="F950" s="2"/>
      <c r="G950" s="2" t="str">
        <f t="array" ref="G950">IF($C950="", "", XLOOKUP($C950, Services!$A$4:$A998, Services!$C$4:$C998))</f>
        <v/>
      </c>
      <c r="H950" s="2" t="str">
        <f t="shared" si="1"/>
        <v>Retail</v>
      </c>
      <c r="I950" s="20"/>
      <c r="J950" s="2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20"/>
      <c r="B951" s="34"/>
      <c r="C951" s="20"/>
      <c r="D951" s="35"/>
      <c r="E951" s="36"/>
      <c r="F951" s="2"/>
      <c r="G951" s="2" t="str">
        <f t="array" ref="G951">IF($C951="", "", XLOOKUP($C951, Services!$A$4:$A998, Services!$C$4:$C998))</f>
        <v/>
      </c>
      <c r="H951" s="2" t="str">
        <f t="shared" si="1"/>
        <v>Retail</v>
      </c>
      <c r="I951" s="20"/>
      <c r="J951" s="2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20"/>
      <c r="B952" s="34"/>
      <c r="C952" s="20"/>
      <c r="D952" s="35"/>
      <c r="E952" s="36"/>
      <c r="F952" s="2"/>
      <c r="G952" s="2" t="str">
        <f t="array" ref="G952">IF($C952="", "", XLOOKUP($C952, Services!$A$4:$A998, Services!$C$4:$C998))</f>
        <v/>
      </c>
      <c r="H952" s="2" t="str">
        <f t="shared" si="1"/>
        <v>Retail</v>
      </c>
      <c r="I952" s="20"/>
      <c r="J952" s="2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20"/>
      <c r="B953" s="34"/>
      <c r="C953" s="20"/>
      <c r="D953" s="35"/>
      <c r="E953" s="36"/>
      <c r="F953" s="2"/>
      <c r="G953" s="2" t="str">
        <f t="array" ref="G953">IF($C953="", "", XLOOKUP($C953, Services!$A$4:$A998, Services!$C$4:$C998))</f>
        <v/>
      </c>
      <c r="H953" s="2" t="str">
        <f t="shared" si="1"/>
        <v>Retail</v>
      </c>
      <c r="I953" s="20"/>
      <c r="J953" s="2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20"/>
      <c r="B954" s="34"/>
      <c r="C954" s="20"/>
      <c r="D954" s="35"/>
      <c r="E954" s="36"/>
      <c r="F954" s="2"/>
      <c r="G954" s="2" t="str">
        <f t="array" ref="G954">IF($C954="", "", XLOOKUP($C954, Services!$A$4:$A998, Services!$C$4:$C998))</f>
        <v/>
      </c>
      <c r="H954" s="2" t="str">
        <f t="shared" si="1"/>
        <v>Retail</v>
      </c>
      <c r="I954" s="20"/>
      <c r="J954" s="2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20"/>
      <c r="B955" s="34"/>
      <c r="C955" s="20"/>
      <c r="D955" s="35"/>
      <c r="E955" s="36"/>
      <c r="F955" s="2"/>
      <c r="G955" s="2" t="str">
        <f t="array" ref="G955">IF($C955="", "", XLOOKUP($C955, Services!$A$4:$A998, Services!$C$4:$C998))</f>
        <v/>
      </c>
      <c r="H955" s="2" t="str">
        <f t="shared" si="1"/>
        <v>Retail</v>
      </c>
      <c r="I955" s="20"/>
      <c r="J955" s="2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20"/>
      <c r="B956" s="34"/>
      <c r="C956" s="20"/>
      <c r="D956" s="35"/>
      <c r="E956" s="36"/>
      <c r="F956" s="2"/>
      <c r="G956" s="2" t="str">
        <f t="array" ref="G956">IF($C956="", "", XLOOKUP($C956, Services!$A$4:$A998, Services!$C$4:$C998))</f>
        <v/>
      </c>
      <c r="H956" s="2" t="str">
        <f t="shared" si="1"/>
        <v>Retail</v>
      </c>
      <c r="I956" s="20"/>
      <c r="J956" s="2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20"/>
      <c r="B957" s="34"/>
      <c r="C957" s="20"/>
      <c r="D957" s="35"/>
      <c r="E957" s="36"/>
      <c r="F957" s="2"/>
      <c r="G957" s="2" t="str">
        <f t="array" ref="G957">IF($C957="", "", XLOOKUP($C957, Services!$A$4:$A998, Services!$C$4:$C998))</f>
        <v/>
      </c>
      <c r="H957" s="2" t="str">
        <f t="shared" si="1"/>
        <v>Retail</v>
      </c>
      <c r="I957" s="20"/>
      <c r="J957" s="2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20"/>
      <c r="B958" s="34"/>
      <c r="C958" s="20"/>
      <c r="D958" s="35"/>
      <c r="E958" s="36"/>
      <c r="F958" s="2"/>
      <c r="G958" s="2" t="str">
        <f t="array" ref="G958">IF($C958="", "", XLOOKUP($C958, Services!$A$4:$A998, Services!$C$4:$C998))</f>
        <v/>
      </c>
      <c r="H958" s="2" t="str">
        <f t="shared" si="1"/>
        <v>Retail</v>
      </c>
      <c r="I958" s="20"/>
      <c r="J958" s="2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20"/>
      <c r="B959" s="34"/>
      <c r="C959" s="20"/>
      <c r="D959" s="35"/>
      <c r="E959" s="36"/>
      <c r="F959" s="2"/>
      <c r="G959" s="2" t="str">
        <f t="array" ref="G959">IF($C959="", "", XLOOKUP($C959, Services!$A$4:$A998, Services!$C$4:$C998))</f>
        <v/>
      </c>
      <c r="H959" s="2" t="str">
        <f t="shared" si="1"/>
        <v>Retail</v>
      </c>
      <c r="I959" s="20"/>
      <c r="J959" s="2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20"/>
      <c r="B960" s="34"/>
      <c r="C960" s="20"/>
      <c r="D960" s="35"/>
      <c r="E960" s="36"/>
      <c r="F960" s="2"/>
      <c r="G960" s="2" t="str">
        <f t="array" ref="G960">IF($C960="", "", XLOOKUP($C960, Services!$A$4:$A998, Services!$C$4:$C998))</f>
        <v/>
      </c>
      <c r="H960" s="2" t="str">
        <f t="shared" si="1"/>
        <v>Retail</v>
      </c>
      <c r="I960" s="20"/>
      <c r="J960" s="2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20"/>
      <c r="B961" s="34"/>
      <c r="C961" s="20"/>
      <c r="D961" s="35"/>
      <c r="E961" s="36"/>
      <c r="F961" s="2"/>
      <c r="G961" s="2" t="str">
        <f t="array" ref="G961">IF($C961="", "", XLOOKUP($C961, Services!$A$4:$A998, Services!$C$4:$C998))</f>
        <v/>
      </c>
      <c r="H961" s="2" t="str">
        <f t="shared" si="1"/>
        <v>Retail</v>
      </c>
      <c r="I961" s="20"/>
      <c r="J961" s="2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20"/>
      <c r="B962" s="34"/>
      <c r="C962" s="20"/>
      <c r="D962" s="35"/>
      <c r="E962" s="36"/>
      <c r="F962" s="2"/>
      <c r="G962" s="2" t="str">
        <f t="array" ref="G962">IF($C962="", "", XLOOKUP($C962, Services!$A$4:$A998, Services!$C$4:$C998))</f>
        <v/>
      </c>
      <c r="H962" s="2" t="str">
        <f t="shared" si="1"/>
        <v>Retail</v>
      </c>
      <c r="I962" s="20"/>
      <c r="J962" s="2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20"/>
      <c r="B963" s="34"/>
      <c r="C963" s="20"/>
      <c r="D963" s="35"/>
      <c r="E963" s="36"/>
      <c r="F963" s="2"/>
      <c r="G963" s="2" t="str">
        <f t="array" ref="G963">IF($C963="", "", XLOOKUP($C963, Services!$A$4:$A998, Services!$C$4:$C998))</f>
        <v/>
      </c>
      <c r="H963" s="2" t="str">
        <f t="shared" si="1"/>
        <v>Retail</v>
      </c>
      <c r="I963" s="20"/>
      <c r="J963" s="2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20"/>
      <c r="B964" s="34"/>
      <c r="C964" s="20"/>
      <c r="D964" s="35"/>
      <c r="E964" s="36"/>
      <c r="F964" s="2"/>
      <c r="G964" s="2" t="str">
        <f t="array" ref="G964">IF($C964="", "", XLOOKUP($C964, Services!$A$4:$A998, Services!$C$4:$C998))</f>
        <v/>
      </c>
      <c r="H964" s="2" t="str">
        <f t="shared" si="1"/>
        <v>Retail</v>
      </c>
      <c r="I964" s="20"/>
      <c r="J964" s="2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20"/>
      <c r="B965" s="34"/>
      <c r="C965" s="20"/>
      <c r="D965" s="35"/>
      <c r="E965" s="36"/>
      <c r="F965" s="2"/>
      <c r="G965" s="2" t="str">
        <f t="array" ref="G965">IF($C965="", "", XLOOKUP($C965, Services!$A$4:$A998, Services!$C$4:$C998))</f>
        <v/>
      </c>
      <c r="H965" s="2" t="str">
        <f t="shared" si="1"/>
        <v>Retail</v>
      </c>
      <c r="I965" s="20"/>
      <c r="J965" s="2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20"/>
      <c r="B966" s="34"/>
      <c r="C966" s="20"/>
      <c r="D966" s="35"/>
      <c r="E966" s="36"/>
      <c r="F966" s="2"/>
      <c r="G966" s="2" t="str">
        <f t="array" ref="G966">IF($C966="", "", XLOOKUP($C966, Services!$A$4:$A998, Services!$C$4:$C998))</f>
        <v/>
      </c>
      <c r="H966" s="2" t="str">
        <f t="shared" si="1"/>
        <v>Retail</v>
      </c>
      <c r="I966" s="20"/>
      <c r="J966" s="2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20"/>
      <c r="B967" s="34"/>
      <c r="C967" s="20"/>
      <c r="D967" s="35"/>
      <c r="E967" s="36"/>
      <c r="F967" s="2"/>
      <c r="G967" s="2" t="str">
        <f t="array" ref="G967">IF($C967="", "", XLOOKUP($C967, Services!$A$4:$A998, Services!$C$4:$C998))</f>
        <v/>
      </c>
      <c r="H967" s="2" t="str">
        <f t="shared" si="1"/>
        <v>Retail</v>
      </c>
      <c r="I967" s="20"/>
      <c r="J967" s="2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20"/>
      <c r="B968" s="34"/>
      <c r="C968" s="20"/>
      <c r="D968" s="35"/>
      <c r="E968" s="36"/>
      <c r="F968" s="2"/>
      <c r="G968" s="2" t="str">
        <f t="array" ref="G968">IF($C968="", "", XLOOKUP($C968, Services!$A$4:$A998, Services!$C$4:$C998))</f>
        <v/>
      </c>
      <c r="H968" s="2" t="str">
        <f t="shared" si="1"/>
        <v>Retail</v>
      </c>
      <c r="I968" s="20"/>
      <c r="J968" s="2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20"/>
      <c r="B969" s="34"/>
      <c r="C969" s="20"/>
      <c r="D969" s="35"/>
      <c r="E969" s="36"/>
      <c r="F969" s="2"/>
      <c r="G969" s="2" t="str">
        <f t="array" ref="G969">IF($C969="", "", XLOOKUP($C969, Services!$A$4:$A998, Services!$C$4:$C998))</f>
        <v/>
      </c>
      <c r="H969" s="2" t="str">
        <f t="shared" si="1"/>
        <v>Retail</v>
      </c>
      <c r="I969" s="20"/>
      <c r="J969" s="2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20"/>
      <c r="B970" s="34"/>
      <c r="C970" s="20"/>
      <c r="D970" s="35"/>
      <c r="E970" s="36"/>
      <c r="F970" s="2"/>
      <c r="G970" s="2" t="str">
        <f t="array" ref="G970">IF($C970="", "", XLOOKUP($C970, Services!$A$4:$A998, Services!$C$4:$C998))</f>
        <v/>
      </c>
      <c r="H970" s="2" t="str">
        <f t="shared" si="1"/>
        <v>Retail</v>
      </c>
      <c r="I970" s="20"/>
      <c r="J970" s="2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20"/>
      <c r="B971" s="34"/>
      <c r="C971" s="20"/>
      <c r="D971" s="35"/>
      <c r="E971" s="36"/>
      <c r="F971" s="2"/>
      <c r="G971" s="2" t="str">
        <f t="array" ref="G971">IF($C971="", "", XLOOKUP($C971, Services!$A$4:$A998, Services!$C$4:$C998))</f>
        <v/>
      </c>
      <c r="H971" s="2" t="str">
        <f t="shared" si="1"/>
        <v>Retail</v>
      </c>
      <c r="I971" s="20"/>
      <c r="J971" s="2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20"/>
      <c r="B972" s="34"/>
      <c r="C972" s="20"/>
      <c r="D972" s="35"/>
      <c r="E972" s="36"/>
      <c r="F972" s="2"/>
      <c r="G972" s="2" t="str">
        <f t="array" ref="G972">IF($C972="", "", XLOOKUP($C972, Services!$A$4:$A998, Services!$C$4:$C998))</f>
        <v/>
      </c>
      <c r="H972" s="2" t="str">
        <f t="shared" si="1"/>
        <v>Retail</v>
      </c>
      <c r="I972" s="20"/>
      <c r="J972" s="2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20"/>
      <c r="B973" s="34"/>
      <c r="C973" s="20"/>
      <c r="D973" s="35"/>
      <c r="E973" s="36"/>
      <c r="F973" s="2"/>
      <c r="G973" s="2" t="str">
        <f t="array" ref="G973">IF($C973="", "", XLOOKUP($C973, Services!$A$4:$A998, Services!$C$4:$C998))</f>
        <v/>
      </c>
      <c r="H973" s="2" t="str">
        <f t="shared" si="1"/>
        <v>Retail</v>
      </c>
      <c r="I973" s="20"/>
      <c r="J973" s="2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20"/>
      <c r="B974" s="34"/>
      <c r="C974" s="20"/>
      <c r="D974" s="35"/>
      <c r="E974" s="36"/>
      <c r="F974" s="2"/>
      <c r="G974" s="2" t="str">
        <f t="array" ref="G974">IF($C974="", "", XLOOKUP($C974, Services!$A$4:$A998, Services!$C$4:$C998))</f>
        <v/>
      </c>
      <c r="H974" s="2" t="str">
        <f t="shared" si="1"/>
        <v>Retail</v>
      </c>
      <c r="I974" s="20"/>
      <c r="J974" s="2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20"/>
      <c r="B975" s="34"/>
      <c r="C975" s="20"/>
      <c r="D975" s="35"/>
      <c r="E975" s="36"/>
      <c r="F975" s="2"/>
      <c r="G975" s="2" t="str">
        <f t="array" ref="G975">IF($C975="", "", XLOOKUP($C975, Services!$A$4:$A998, Services!$C$4:$C998))</f>
        <v/>
      </c>
      <c r="H975" s="2" t="str">
        <f t="shared" si="1"/>
        <v>Retail</v>
      </c>
      <c r="I975" s="20"/>
      <c r="J975" s="2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20"/>
      <c r="B976" s="34"/>
      <c r="C976" s="20"/>
      <c r="D976" s="35"/>
      <c r="E976" s="36"/>
      <c r="F976" s="2"/>
      <c r="G976" s="2" t="str">
        <f t="array" ref="G976">IF($C976="", "", XLOOKUP($C976, Services!$A$4:$A998, Services!$C$4:$C998))</f>
        <v/>
      </c>
      <c r="H976" s="2" t="str">
        <f t="shared" si="1"/>
        <v>Retail</v>
      </c>
      <c r="I976" s="20"/>
      <c r="J976" s="2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20"/>
      <c r="B977" s="34"/>
      <c r="C977" s="20"/>
      <c r="D977" s="35"/>
      <c r="E977" s="36"/>
      <c r="F977" s="2"/>
      <c r="G977" s="2" t="str">
        <f t="array" ref="G977">IF($C977="", "", XLOOKUP($C977, Services!$A$4:$A998, Services!$C$4:$C998))</f>
        <v/>
      </c>
      <c r="H977" s="2" t="str">
        <f t="shared" si="1"/>
        <v>Retail</v>
      </c>
      <c r="I977" s="20"/>
      <c r="J977" s="2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20"/>
      <c r="B978" s="34"/>
      <c r="C978" s="20"/>
      <c r="D978" s="35"/>
      <c r="E978" s="36"/>
      <c r="F978" s="2"/>
      <c r="G978" s="2" t="str">
        <f t="array" ref="G978">IF($C978="", "", XLOOKUP($C978, Services!$A$4:$A998, Services!$C$4:$C998))</f>
        <v/>
      </c>
      <c r="H978" s="2" t="str">
        <f t="shared" si="1"/>
        <v>Retail</v>
      </c>
      <c r="I978" s="20"/>
      <c r="J978" s="2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20"/>
      <c r="B979" s="34"/>
      <c r="C979" s="20"/>
      <c r="D979" s="35"/>
      <c r="E979" s="36"/>
      <c r="F979" s="2"/>
      <c r="G979" s="2" t="str">
        <f t="array" ref="G979">IF($C979="", "", XLOOKUP($C979, Services!$A$4:$A998, Services!$C$4:$C998))</f>
        <v/>
      </c>
      <c r="H979" s="2" t="str">
        <f t="shared" si="1"/>
        <v>Retail</v>
      </c>
      <c r="I979" s="20"/>
      <c r="J979" s="2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20"/>
      <c r="B980" s="34"/>
      <c r="C980" s="20"/>
      <c r="D980" s="35"/>
      <c r="E980" s="36"/>
      <c r="F980" s="2"/>
      <c r="G980" s="2" t="str">
        <f t="array" ref="G980">IF($C980="", "", XLOOKUP($C980, Services!$A$4:$A998, Services!$C$4:$C998))</f>
        <v/>
      </c>
      <c r="H980" s="2" t="str">
        <f t="shared" si="1"/>
        <v>Retail</v>
      </c>
      <c r="I980" s="20"/>
      <c r="J980" s="2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20"/>
      <c r="B981" s="34"/>
      <c r="C981" s="20"/>
      <c r="D981" s="35"/>
      <c r="E981" s="36"/>
      <c r="F981" s="2"/>
      <c r="G981" s="2" t="str">
        <f t="array" ref="G981">IF($C981="", "", XLOOKUP($C981, Services!$A$4:$A998, Services!$C$4:$C998))</f>
        <v/>
      </c>
      <c r="H981" s="2" t="str">
        <f t="shared" si="1"/>
        <v>Retail</v>
      </c>
      <c r="I981" s="20"/>
      <c r="J981" s="2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20"/>
      <c r="B982" s="34"/>
      <c r="C982" s="20"/>
      <c r="D982" s="35"/>
      <c r="E982" s="36"/>
      <c r="F982" s="2"/>
      <c r="G982" s="2" t="str">
        <f t="array" ref="G982">IF($C982="", "", XLOOKUP($C982, Services!$A$4:$A998, Services!$C$4:$C998))</f>
        <v/>
      </c>
      <c r="H982" s="2" t="str">
        <f t="shared" si="1"/>
        <v>Retail</v>
      </c>
      <c r="I982" s="20"/>
      <c r="J982" s="2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20"/>
      <c r="B983" s="34"/>
      <c r="C983" s="20"/>
      <c r="D983" s="35"/>
      <c r="E983" s="36"/>
      <c r="F983" s="2"/>
      <c r="G983" s="2" t="str">
        <f t="array" ref="G983">IF($C983="", "", XLOOKUP($C983, Services!$A$4:$A998, Services!$C$4:$C998))</f>
        <v/>
      </c>
      <c r="H983" s="2" t="str">
        <f t="shared" si="1"/>
        <v>Retail</v>
      </c>
      <c r="I983" s="20"/>
      <c r="J983" s="2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20"/>
      <c r="B984" s="34"/>
      <c r="C984" s="20"/>
      <c r="D984" s="35"/>
      <c r="E984" s="36"/>
      <c r="F984" s="2"/>
      <c r="G984" s="2" t="str">
        <f t="array" ref="G984">IF($C984="", "", XLOOKUP($C984, Services!$A$4:$A998, Services!$C$4:$C998))</f>
        <v/>
      </c>
      <c r="H984" s="2" t="str">
        <f t="shared" si="1"/>
        <v>Retail</v>
      </c>
      <c r="I984" s="20"/>
      <c r="J984" s="2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20"/>
      <c r="B985" s="34"/>
      <c r="C985" s="20"/>
      <c r="D985" s="35"/>
      <c r="E985" s="36"/>
      <c r="F985" s="2"/>
      <c r="G985" s="2" t="str">
        <f t="array" ref="G985">IF($C985="", "", XLOOKUP($C985, Services!$A$4:$A998, Services!$C$4:$C998))</f>
        <v/>
      </c>
      <c r="H985" s="2" t="str">
        <f t="shared" si="1"/>
        <v>Retail</v>
      </c>
      <c r="I985" s="20"/>
      <c r="J985" s="2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20"/>
      <c r="B986" s="34"/>
      <c r="C986" s="20"/>
      <c r="D986" s="35"/>
      <c r="E986" s="36"/>
      <c r="F986" s="2"/>
      <c r="G986" s="2" t="str">
        <f t="array" ref="G986">IF($C986="", "", XLOOKUP($C986, Services!$A$4:$A998, Services!$C$4:$C998))</f>
        <v/>
      </c>
      <c r="H986" s="2" t="str">
        <f t="shared" si="1"/>
        <v>Retail</v>
      </c>
      <c r="I986" s="20"/>
      <c r="J986" s="2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20"/>
      <c r="B987" s="34"/>
      <c r="C987" s="20"/>
      <c r="D987" s="35"/>
      <c r="E987" s="36"/>
      <c r="F987" s="2"/>
      <c r="G987" s="2" t="str">
        <f t="array" ref="G987">IF($C987="", "", XLOOKUP($C987, Services!$A$4:$A998, Services!$C$4:$C998))</f>
        <v/>
      </c>
      <c r="H987" s="2" t="str">
        <f t="shared" si="1"/>
        <v>Retail</v>
      </c>
      <c r="I987" s="20"/>
      <c r="J987" s="2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20"/>
      <c r="B988" s="34"/>
      <c r="C988" s="20"/>
      <c r="D988" s="35"/>
      <c r="E988" s="36"/>
      <c r="F988" s="2"/>
      <c r="G988" s="2" t="str">
        <f t="array" ref="G988">IF($C988="", "", XLOOKUP($C988, Services!$A$4:$A998, Services!$C$4:$C998))</f>
        <v/>
      </c>
      <c r="H988" s="2" t="str">
        <f t="shared" si="1"/>
        <v>Retail</v>
      </c>
      <c r="I988" s="20"/>
      <c r="J988" s="2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20"/>
      <c r="B989" s="34"/>
      <c r="C989" s="20"/>
      <c r="D989" s="35"/>
      <c r="E989" s="36"/>
      <c r="F989" s="2"/>
      <c r="G989" s="2" t="str">
        <f t="array" ref="G989">IF($C989="", "", XLOOKUP($C989, Services!$A$4:$A998, Services!$C$4:$C998))</f>
        <v/>
      </c>
      <c r="H989" s="2" t="str">
        <f t="shared" si="1"/>
        <v>Retail</v>
      </c>
      <c r="I989" s="20"/>
      <c r="J989" s="2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20"/>
      <c r="B990" s="34"/>
      <c r="C990" s="20"/>
      <c r="D990" s="35"/>
      <c r="E990" s="36"/>
      <c r="F990" s="2"/>
      <c r="G990" s="2" t="str">
        <f t="array" ref="G990">IF($C990="", "", XLOOKUP($C990, Services!$A$4:$A998, Services!$C$4:$C998))</f>
        <v/>
      </c>
      <c r="H990" s="2" t="str">
        <f t="shared" si="1"/>
        <v>Retail</v>
      </c>
      <c r="I990" s="20"/>
      <c r="J990" s="2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20"/>
      <c r="B991" s="34"/>
      <c r="C991" s="20"/>
      <c r="D991" s="35"/>
      <c r="E991" s="36"/>
      <c r="F991" s="2"/>
      <c r="G991" s="2" t="str">
        <f t="array" ref="G991">IF($C991="", "", XLOOKUP($C991, Services!$A$4:$A998, Services!$C$4:$C998))</f>
        <v/>
      </c>
      <c r="H991" s="2" t="str">
        <f t="shared" si="1"/>
        <v>Retail</v>
      </c>
      <c r="I991" s="20"/>
      <c r="J991" s="2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20"/>
      <c r="B992" s="34"/>
      <c r="C992" s="20"/>
      <c r="D992" s="35"/>
      <c r="E992" s="36"/>
      <c r="F992" s="2"/>
      <c r="G992" s="2" t="str">
        <f t="array" ref="G992">IF($C992="", "", XLOOKUP($C992, Services!$A$4:$A998, Services!$C$4:$C998))</f>
        <v/>
      </c>
      <c r="H992" s="2" t="str">
        <f t="shared" si="1"/>
        <v>Retail</v>
      </c>
      <c r="I992" s="20"/>
      <c r="J992" s="2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20"/>
      <c r="B993" s="34"/>
      <c r="C993" s="20"/>
      <c r="D993" s="35"/>
      <c r="E993" s="36"/>
      <c r="F993" s="2"/>
      <c r="G993" s="2" t="str">
        <f t="array" ref="G993">IF($C993="", "", XLOOKUP($C993, Services!$A$4:$A998, Services!$C$4:$C998))</f>
        <v/>
      </c>
      <c r="H993" s="2" t="str">
        <f t="shared" si="1"/>
        <v>Retail</v>
      </c>
      <c r="I993" s="20"/>
      <c r="J993" s="2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20"/>
      <c r="B994" s="34"/>
      <c r="C994" s="20"/>
      <c r="D994" s="35"/>
      <c r="E994" s="36"/>
      <c r="F994" s="2"/>
      <c r="G994" s="2" t="str">
        <f t="array" ref="G994">IF($C994="", "", XLOOKUP($C994, Services!$A$4:$A998, Services!$C$4:$C998))</f>
        <v/>
      </c>
      <c r="H994" s="2" t="str">
        <f t="shared" si="1"/>
        <v>Retail</v>
      </c>
      <c r="I994" s="20"/>
      <c r="J994" s="2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20"/>
      <c r="B995" s="34"/>
      <c r="C995" s="20"/>
      <c r="D995" s="35"/>
      <c r="E995" s="36"/>
      <c r="F995" s="2"/>
      <c r="G995" s="2" t="str">
        <f t="array" ref="G995">IF($C995="", "", XLOOKUP($C995, Services!$A$4:$A998, Services!$C$4:$C998))</f>
        <v/>
      </c>
      <c r="H995" s="2" t="str">
        <f t="shared" si="1"/>
        <v>Retail</v>
      </c>
      <c r="I995" s="20"/>
      <c r="J995" s="2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20"/>
      <c r="B996" s="34"/>
      <c r="C996" s="20"/>
      <c r="D996" s="35"/>
      <c r="E996" s="36"/>
      <c r="F996" s="2"/>
      <c r="G996" s="2" t="str">
        <f t="array" ref="G996">IF($C996="", "", XLOOKUP($C996, Services!$A$4:$A998, Services!$C$4:$C998))</f>
        <v/>
      </c>
      <c r="H996" s="2" t="str">
        <f t="shared" si="1"/>
        <v>Retail</v>
      </c>
      <c r="I996" s="20"/>
      <c r="J996" s="2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20"/>
      <c r="B997" s="34"/>
      <c r="C997" s="20"/>
      <c r="D997" s="35"/>
      <c r="E997" s="36"/>
      <c r="F997" s="2"/>
      <c r="G997" s="2" t="str">
        <f t="array" ref="G997">IF($C997="", "", XLOOKUP($C997, Services!$A$4:$A998, Services!$C$4:$C998))</f>
        <v/>
      </c>
      <c r="H997" s="2" t="str">
        <f t="shared" si="1"/>
        <v>Retail</v>
      </c>
      <c r="I997" s="20"/>
      <c r="J997" s="2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20"/>
      <c r="B998" s="34"/>
      <c r="C998" s="20"/>
      <c r="D998" s="35"/>
      <c r="E998" s="36"/>
      <c r="F998" s="2"/>
      <c r="G998" s="2" t="str">
        <f t="array" ref="G998">IF($C998="", "", XLOOKUP($C998, Services!$A$4:$A998, Services!$C$4:$C998))</f>
        <v/>
      </c>
      <c r="H998" s="2" t="str">
        <f t="shared" si="1"/>
        <v>Retail</v>
      </c>
      <c r="I998" s="20"/>
      <c r="J998" s="2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autoFilter ref="$A$3:$J$303"/>
  <mergeCells count="1">
    <mergeCell ref="A1:B2"/>
  </mergeCells>
  <dataValidations>
    <dataValidation type="list" allowBlank="1" sqref="F4:F998">
      <formula1>"Y,N"</formula1>
    </dataValidation>
    <dataValidation type="list" allowBlank="1" sqref="I4:I998">
      <formula1>"Open,Assigned,Completed,Cancelled"</formula1>
    </dataValidation>
    <dataValidation type="list" allowBlank="1" showErrorMessage="1" sqref="C4:C998">
      <formula1>Services!$A$4:$A998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3" width="10.0"/>
    <col customWidth="1" min="4" max="4" width="12.0"/>
    <col customWidth="1" min="5" max="5" width="18.0"/>
    <col customWidth="1" min="6" max="6" width="20.0"/>
    <col customWidth="1" min="7" max="7" width="30.0"/>
  </cols>
  <sheetData>
    <row r="1">
      <c r="A1" s="37" t="s">
        <v>279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21.75" customHeight="1">
      <c r="A5" s="38" t="s">
        <v>280</v>
      </c>
      <c r="B5" s="38" t="s">
        <v>281</v>
      </c>
      <c r="C5" s="38" t="s">
        <v>282</v>
      </c>
      <c r="D5" s="38" t="s">
        <v>283</v>
      </c>
      <c r="E5" s="38" t="s">
        <v>284</v>
      </c>
      <c r="F5" s="38" t="s">
        <v>285</v>
      </c>
      <c r="G5" s="38" t="s">
        <v>73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39" t="s">
        <v>286</v>
      </c>
      <c r="AB5" s="39" t="s">
        <v>287</v>
      </c>
      <c r="AC5" s="39" t="s">
        <v>288</v>
      </c>
      <c r="AD5" s="39" t="s">
        <v>289</v>
      </c>
      <c r="AE5" s="39" t="s">
        <v>290</v>
      </c>
    </row>
    <row r="6">
      <c r="A6" s="40" t="s">
        <v>291</v>
      </c>
      <c r="B6" s="40" t="s">
        <v>292</v>
      </c>
      <c r="C6" s="40" t="s">
        <v>113</v>
      </c>
      <c r="D6" s="40">
        <v>350.0</v>
      </c>
      <c r="E6" s="41">
        <v>46071.78819444445</v>
      </c>
      <c r="F6" s="41">
        <v>46075.82986111111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B6" s="39"/>
      <c r="AC6" s="39">
        <f t="shared" ref="AC6:AC1000" si="1">IF(AND(AA6&lt;&gt;"",AB6="Y"),AA6,D6)</f>
        <v>350</v>
      </c>
      <c r="AD6" s="39" t="str">
        <f t="shared" ref="AD6:AD1000" si="2">IF(OR(B6="",C6=""),"",B6&amp;"|"&amp;C6)</f>
        <v>O1001|GRD-01</v>
      </c>
      <c r="AE6" s="39" t="str">
        <f t="shared" ref="AE6:AE1000" si="3">IF(AA6&lt;&gt;"",IF(AB6="Y","Accepted",IF(AB6="N","Declined","Pending")),"No Counter")</f>
        <v>No Counter</v>
      </c>
    </row>
    <row r="7">
      <c r="A7" s="40" t="s">
        <v>293</v>
      </c>
      <c r="B7" s="40" t="s">
        <v>292</v>
      </c>
      <c r="C7" s="40" t="s">
        <v>294</v>
      </c>
      <c r="D7" s="40">
        <v>150.0</v>
      </c>
      <c r="E7" s="41">
        <v>46071.78819444445</v>
      </c>
      <c r="F7" s="41">
        <v>46076.82986111111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B7" s="39"/>
      <c r="AC7" s="39">
        <f t="shared" si="1"/>
        <v>150</v>
      </c>
      <c r="AD7" s="39" t="str">
        <f t="shared" si="2"/>
        <v>O1001|G002</v>
      </c>
      <c r="AE7" s="39" t="str">
        <f t="shared" si="3"/>
        <v>No Counter</v>
      </c>
    </row>
    <row r="8">
      <c r="A8" s="40" t="s">
        <v>295</v>
      </c>
      <c r="B8" s="40" t="s">
        <v>296</v>
      </c>
      <c r="C8" s="40" t="s">
        <v>297</v>
      </c>
      <c r="D8" s="40">
        <v>400.0</v>
      </c>
      <c r="E8" s="41">
        <v>46071.79513888889</v>
      </c>
      <c r="F8" s="41">
        <v>46073.82986111111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B8" s="39"/>
      <c r="AC8" s="39">
        <f t="shared" si="1"/>
        <v>400</v>
      </c>
      <c r="AD8" s="39" t="str">
        <f t="shared" si="2"/>
        <v>O1002|G003</v>
      </c>
      <c r="AE8" s="39" t="str">
        <f t="shared" si="3"/>
        <v>No Counter</v>
      </c>
    </row>
    <row r="9">
      <c r="A9" s="40" t="s">
        <v>298</v>
      </c>
      <c r="B9" s="40" t="s">
        <v>296</v>
      </c>
      <c r="C9" s="40" t="s">
        <v>299</v>
      </c>
      <c r="D9" s="40">
        <v>420.0</v>
      </c>
      <c r="E9" s="41">
        <v>46071.79861111111</v>
      </c>
      <c r="F9" s="41">
        <v>46073.32986111111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B9" s="39"/>
      <c r="AC9" s="39">
        <f t="shared" si="1"/>
        <v>420</v>
      </c>
      <c r="AD9" s="39" t="str">
        <f t="shared" si="2"/>
        <v>O1002|G001</v>
      </c>
      <c r="AE9" s="39" t="str">
        <f t="shared" si="3"/>
        <v>No Counter</v>
      </c>
    </row>
    <row r="10">
      <c r="A10" s="40" t="s">
        <v>300</v>
      </c>
      <c r="B10" s="40" t="s">
        <v>301</v>
      </c>
      <c r="C10" s="40" t="s">
        <v>302</v>
      </c>
      <c r="D10" s="40">
        <v>800.0</v>
      </c>
      <c r="E10" s="41">
        <v>46071.57986111111</v>
      </c>
      <c r="F10" s="41">
        <v>46077.82986111111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B10" s="39"/>
      <c r="AC10" s="39">
        <f t="shared" si="1"/>
        <v>800</v>
      </c>
      <c r="AD10" s="39" t="str">
        <f t="shared" si="2"/>
        <v>O1003|G004</v>
      </c>
      <c r="AE10" s="39" t="str">
        <f t="shared" si="3"/>
        <v>No Counter</v>
      </c>
    </row>
    <row r="11">
      <c r="A11" s="40" t="s">
        <v>303</v>
      </c>
      <c r="B11" s="40" t="s">
        <v>301</v>
      </c>
      <c r="C11" s="40" t="s">
        <v>299</v>
      </c>
      <c r="D11" s="40">
        <v>700.0</v>
      </c>
      <c r="E11" s="41">
        <v>46071.62152777778</v>
      </c>
      <c r="F11" s="41">
        <v>46078.82986111111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B11" s="39"/>
      <c r="AC11" s="39">
        <f t="shared" si="1"/>
        <v>700</v>
      </c>
      <c r="AD11" s="39" t="str">
        <f t="shared" si="2"/>
        <v>O1003|G001</v>
      </c>
      <c r="AE11" s="39" t="str">
        <f t="shared" si="3"/>
        <v>No Counter</v>
      </c>
    </row>
    <row r="1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B12" s="39"/>
      <c r="AC12" s="39" t="str">
        <f t="shared" si="1"/>
        <v/>
      </c>
      <c r="AD12" s="39" t="str">
        <f t="shared" si="2"/>
        <v/>
      </c>
      <c r="AE12" s="39" t="str">
        <f t="shared" si="3"/>
        <v>No Counter</v>
      </c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B13" s="39"/>
      <c r="AC13" s="39" t="str">
        <f t="shared" si="1"/>
        <v/>
      </c>
      <c r="AD13" s="39" t="str">
        <f t="shared" si="2"/>
        <v/>
      </c>
      <c r="AE13" s="39" t="str">
        <f t="shared" si="3"/>
        <v>No Counter</v>
      </c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B14" s="39"/>
      <c r="AC14" s="39" t="str">
        <f t="shared" si="1"/>
        <v/>
      </c>
      <c r="AD14" s="39" t="str">
        <f t="shared" si="2"/>
        <v/>
      </c>
      <c r="AE14" s="39" t="str">
        <f t="shared" si="3"/>
        <v>No Counter</v>
      </c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B15" s="39"/>
      <c r="AC15" s="39" t="str">
        <f t="shared" si="1"/>
        <v/>
      </c>
      <c r="AD15" s="39" t="str">
        <f t="shared" si="2"/>
        <v/>
      </c>
      <c r="AE15" s="39" t="str">
        <f t="shared" si="3"/>
        <v>No Counter</v>
      </c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B16" s="39"/>
      <c r="AC16" s="39" t="str">
        <f t="shared" si="1"/>
        <v/>
      </c>
      <c r="AD16" s="39" t="str">
        <f t="shared" si="2"/>
        <v/>
      </c>
      <c r="AE16" s="39" t="str">
        <f t="shared" si="3"/>
        <v>No Counter</v>
      </c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B17" s="39"/>
      <c r="AC17" s="39" t="str">
        <f t="shared" si="1"/>
        <v/>
      </c>
      <c r="AD17" s="39" t="str">
        <f t="shared" si="2"/>
        <v/>
      </c>
      <c r="AE17" s="39" t="str">
        <f t="shared" si="3"/>
        <v>No Counter</v>
      </c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B18" s="39"/>
      <c r="AC18" s="39" t="str">
        <f t="shared" si="1"/>
        <v/>
      </c>
      <c r="AD18" s="39" t="str">
        <f t="shared" si="2"/>
        <v/>
      </c>
      <c r="AE18" s="39" t="str">
        <f t="shared" si="3"/>
        <v>No Counter</v>
      </c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B19" s="39"/>
      <c r="AC19" s="39" t="str">
        <f t="shared" si="1"/>
        <v/>
      </c>
      <c r="AD19" s="39" t="str">
        <f t="shared" si="2"/>
        <v/>
      </c>
      <c r="AE19" s="39" t="str">
        <f t="shared" si="3"/>
        <v>No Counter</v>
      </c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B20" s="39"/>
      <c r="AC20" s="39" t="str">
        <f t="shared" si="1"/>
        <v/>
      </c>
      <c r="AD20" s="39" t="str">
        <f t="shared" si="2"/>
        <v/>
      </c>
      <c r="AE20" s="39" t="str">
        <f t="shared" si="3"/>
        <v>No Counter</v>
      </c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B21" s="39"/>
      <c r="AC21" s="39" t="str">
        <f t="shared" si="1"/>
        <v/>
      </c>
      <c r="AD21" s="39" t="str">
        <f t="shared" si="2"/>
        <v/>
      </c>
      <c r="AE21" s="39" t="str">
        <f t="shared" si="3"/>
        <v>No Counter</v>
      </c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B22" s="39"/>
      <c r="AC22" s="39" t="str">
        <f t="shared" si="1"/>
        <v/>
      </c>
      <c r="AD22" s="39" t="str">
        <f t="shared" si="2"/>
        <v/>
      </c>
      <c r="AE22" s="39" t="str">
        <f t="shared" si="3"/>
        <v>No Counter</v>
      </c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B23" s="39"/>
      <c r="AC23" s="39" t="str">
        <f t="shared" si="1"/>
        <v/>
      </c>
      <c r="AD23" s="39" t="str">
        <f t="shared" si="2"/>
        <v/>
      </c>
      <c r="AE23" s="39" t="str">
        <f t="shared" si="3"/>
        <v>No Counter</v>
      </c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B24" s="39"/>
      <c r="AC24" s="39" t="str">
        <f t="shared" si="1"/>
        <v/>
      </c>
      <c r="AD24" s="39" t="str">
        <f t="shared" si="2"/>
        <v/>
      </c>
      <c r="AE24" s="39" t="str">
        <f t="shared" si="3"/>
        <v>No Counter</v>
      </c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B25" s="39"/>
      <c r="AC25" s="39" t="str">
        <f t="shared" si="1"/>
        <v/>
      </c>
      <c r="AD25" s="39" t="str">
        <f t="shared" si="2"/>
        <v/>
      </c>
      <c r="AE25" s="39" t="str">
        <f t="shared" si="3"/>
        <v>No Counter</v>
      </c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B26" s="39"/>
      <c r="AC26" s="39" t="str">
        <f t="shared" si="1"/>
        <v/>
      </c>
      <c r="AD26" s="39" t="str">
        <f t="shared" si="2"/>
        <v/>
      </c>
      <c r="AE26" s="39" t="str">
        <f t="shared" si="3"/>
        <v>No Counter</v>
      </c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B27" s="39"/>
      <c r="AC27" s="39" t="str">
        <f t="shared" si="1"/>
        <v/>
      </c>
      <c r="AD27" s="39" t="str">
        <f t="shared" si="2"/>
        <v/>
      </c>
      <c r="AE27" s="39" t="str">
        <f t="shared" si="3"/>
        <v>No Counter</v>
      </c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B28" s="39"/>
      <c r="AC28" s="39" t="str">
        <f t="shared" si="1"/>
        <v/>
      </c>
      <c r="AD28" s="39" t="str">
        <f t="shared" si="2"/>
        <v/>
      </c>
      <c r="AE28" s="39" t="str">
        <f t="shared" si="3"/>
        <v>No Counter</v>
      </c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B29" s="39"/>
      <c r="AC29" s="39" t="str">
        <f t="shared" si="1"/>
        <v/>
      </c>
      <c r="AD29" s="39" t="str">
        <f t="shared" si="2"/>
        <v/>
      </c>
      <c r="AE29" s="39" t="str">
        <f t="shared" si="3"/>
        <v>No Counter</v>
      </c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B30" s="39"/>
      <c r="AC30" s="39" t="str">
        <f t="shared" si="1"/>
        <v/>
      </c>
      <c r="AD30" s="39" t="str">
        <f t="shared" si="2"/>
        <v/>
      </c>
      <c r="AE30" s="39" t="str">
        <f t="shared" si="3"/>
        <v>No Counter</v>
      </c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B31" s="39"/>
      <c r="AC31" s="39" t="str">
        <f t="shared" si="1"/>
        <v/>
      </c>
      <c r="AD31" s="39" t="str">
        <f t="shared" si="2"/>
        <v/>
      </c>
      <c r="AE31" s="39" t="str">
        <f t="shared" si="3"/>
        <v>No Counter</v>
      </c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B32" s="39"/>
      <c r="AC32" s="39" t="str">
        <f t="shared" si="1"/>
        <v/>
      </c>
      <c r="AD32" s="39" t="str">
        <f t="shared" si="2"/>
        <v/>
      </c>
      <c r="AE32" s="39" t="str">
        <f t="shared" si="3"/>
        <v>No Counter</v>
      </c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B33" s="39"/>
      <c r="AC33" s="39" t="str">
        <f t="shared" si="1"/>
        <v/>
      </c>
      <c r="AD33" s="39" t="str">
        <f t="shared" si="2"/>
        <v/>
      </c>
      <c r="AE33" s="39" t="str">
        <f t="shared" si="3"/>
        <v>No Counter</v>
      </c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B34" s="39"/>
      <c r="AC34" s="39" t="str">
        <f t="shared" si="1"/>
        <v/>
      </c>
      <c r="AD34" s="39" t="str">
        <f t="shared" si="2"/>
        <v/>
      </c>
      <c r="AE34" s="39" t="str">
        <f t="shared" si="3"/>
        <v>No Counter</v>
      </c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B35" s="39"/>
      <c r="AC35" s="39" t="str">
        <f t="shared" si="1"/>
        <v/>
      </c>
      <c r="AD35" s="39" t="str">
        <f t="shared" si="2"/>
        <v/>
      </c>
      <c r="AE35" s="39" t="str">
        <f t="shared" si="3"/>
        <v>No Counter</v>
      </c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B36" s="39"/>
      <c r="AC36" s="39" t="str">
        <f t="shared" si="1"/>
        <v/>
      </c>
      <c r="AD36" s="39" t="str">
        <f t="shared" si="2"/>
        <v/>
      </c>
      <c r="AE36" s="39" t="str">
        <f t="shared" si="3"/>
        <v>No Counter</v>
      </c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B37" s="39"/>
      <c r="AC37" s="39" t="str">
        <f t="shared" si="1"/>
        <v/>
      </c>
      <c r="AD37" s="39" t="str">
        <f t="shared" si="2"/>
        <v/>
      </c>
      <c r="AE37" s="39" t="str">
        <f t="shared" si="3"/>
        <v>No Counter</v>
      </c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B38" s="39"/>
      <c r="AC38" s="39" t="str">
        <f t="shared" si="1"/>
        <v/>
      </c>
      <c r="AD38" s="39" t="str">
        <f t="shared" si="2"/>
        <v/>
      </c>
      <c r="AE38" s="39" t="str">
        <f t="shared" si="3"/>
        <v>No Counter</v>
      </c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B39" s="39"/>
      <c r="AC39" s="39" t="str">
        <f t="shared" si="1"/>
        <v/>
      </c>
      <c r="AD39" s="39" t="str">
        <f t="shared" si="2"/>
        <v/>
      </c>
      <c r="AE39" s="39" t="str">
        <f t="shared" si="3"/>
        <v>No Counter</v>
      </c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B40" s="39"/>
      <c r="AC40" s="39" t="str">
        <f t="shared" si="1"/>
        <v/>
      </c>
      <c r="AD40" s="39" t="str">
        <f t="shared" si="2"/>
        <v/>
      </c>
      <c r="AE40" s="39" t="str">
        <f t="shared" si="3"/>
        <v>No Counter</v>
      </c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B41" s="39"/>
      <c r="AC41" s="39" t="str">
        <f t="shared" si="1"/>
        <v/>
      </c>
      <c r="AD41" s="39" t="str">
        <f t="shared" si="2"/>
        <v/>
      </c>
      <c r="AE41" s="39" t="str">
        <f t="shared" si="3"/>
        <v>No Counter</v>
      </c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B42" s="39"/>
      <c r="AC42" s="39" t="str">
        <f t="shared" si="1"/>
        <v/>
      </c>
      <c r="AD42" s="39" t="str">
        <f t="shared" si="2"/>
        <v/>
      </c>
      <c r="AE42" s="39" t="str">
        <f t="shared" si="3"/>
        <v>No Counter</v>
      </c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B43" s="39"/>
      <c r="AC43" s="39" t="str">
        <f t="shared" si="1"/>
        <v/>
      </c>
      <c r="AD43" s="39" t="str">
        <f t="shared" si="2"/>
        <v/>
      </c>
      <c r="AE43" s="39" t="str">
        <f t="shared" si="3"/>
        <v>No Counter</v>
      </c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B44" s="39"/>
      <c r="AC44" s="39" t="str">
        <f t="shared" si="1"/>
        <v/>
      </c>
      <c r="AD44" s="39" t="str">
        <f t="shared" si="2"/>
        <v/>
      </c>
      <c r="AE44" s="39" t="str">
        <f t="shared" si="3"/>
        <v>No Counter</v>
      </c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B45" s="39"/>
      <c r="AC45" s="39" t="str">
        <f t="shared" si="1"/>
        <v/>
      </c>
      <c r="AD45" s="39" t="str">
        <f t="shared" si="2"/>
        <v/>
      </c>
      <c r="AE45" s="39" t="str">
        <f t="shared" si="3"/>
        <v>No Counter</v>
      </c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B46" s="39"/>
      <c r="AC46" s="39" t="str">
        <f t="shared" si="1"/>
        <v/>
      </c>
      <c r="AD46" s="39" t="str">
        <f t="shared" si="2"/>
        <v/>
      </c>
      <c r="AE46" s="39" t="str">
        <f t="shared" si="3"/>
        <v>No Counter</v>
      </c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B47" s="39"/>
      <c r="AC47" s="39" t="str">
        <f t="shared" si="1"/>
        <v/>
      </c>
      <c r="AD47" s="39" t="str">
        <f t="shared" si="2"/>
        <v/>
      </c>
      <c r="AE47" s="39" t="str">
        <f t="shared" si="3"/>
        <v>No Counter</v>
      </c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B48" s="39"/>
      <c r="AC48" s="39" t="str">
        <f t="shared" si="1"/>
        <v/>
      </c>
      <c r="AD48" s="39" t="str">
        <f t="shared" si="2"/>
        <v/>
      </c>
      <c r="AE48" s="39" t="str">
        <f t="shared" si="3"/>
        <v>No Counter</v>
      </c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B49" s="39"/>
      <c r="AC49" s="39" t="str">
        <f t="shared" si="1"/>
        <v/>
      </c>
      <c r="AD49" s="39" t="str">
        <f t="shared" si="2"/>
        <v/>
      </c>
      <c r="AE49" s="39" t="str">
        <f t="shared" si="3"/>
        <v>No Counter</v>
      </c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B50" s="39"/>
      <c r="AC50" s="39" t="str">
        <f t="shared" si="1"/>
        <v/>
      </c>
      <c r="AD50" s="39" t="str">
        <f t="shared" si="2"/>
        <v/>
      </c>
      <c r="AE50" s="39" t="str">
        <f t="shared" si="3"/>
        <v>No Counter</v>
      </c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B51" s="39"/>
      <c r="AC51" s="39" t="str">
        <f t="shared" si="1"/>
        <v/>
      </c>
      <c r="AD51" s="39" t="str">
        <f t="shared" si="2"/>
        <v/>
      </c>
      <c r="AE51" s="39" t="str">
        <f t="shared" si="3"/>
        <v>No Counter</v>
      </c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B52" s="39"/>
      <c r="AC52" s="39" t="str">
        <f t="shared" si="1"/>
        <v/>
      </c>
      <c r="AD52" s="39" t="str">
        <f t="shared" si="2"/>
        <v/>
      </c>
      <c r="AE52" s="39" t="str">
        <f t="shared" si="3"/>
        <v>No Counter</v>
      </c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B53" s="39"/>
      <c r="AC53" s="39" t="str">
        <f t="shared" si="1"/>
        <v/>
      </c>
      <c r="AD53" s="39" t="str">
        <f t="shared" si="2"/>
        <v/>
      </c>
      <c r="AE53" s="39" t="str">
        <f t="shared" si="3"/>
        <v>No Counter</v>
      </c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B54" s="39"/>
      <c r="AC54" s="39" t="str">
        <f t="shared" si="1"/>
        <v/>
      </c>
      <c r="AD54" s="39" t="str">
        <f t="shared" si="2"/>
        <v/>
      </c>
      <c r="AE54" s="39" t="str">
        <f t="shared" si="3"/>
        <v>No Counter</v>
      </c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B55" s="39"/>
      <c r="AC55" s="39" t="str">
        <f t="shared" si="1"/>
        <v/>
      </c>
      <c r="AD55" s="39" t="str">
        <f t="shared" si="2"/>
        <v/>
      </c>
      <c r="AE55" s="39" t="str">
        <f t="shared" si="3"/>
        <v>No Counter</v>
      </c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B56" s="39"/>
      <c r="AC56" s="39" t="str">
        <f t="shared" si="1"/>
        <v/>
      </c>
      <c r="AD56" s="39" t="str">
        <f t="shared" si="2"/>
        <v/>
      </c>
      <c r="AE56" s="39" t="str">
        <f t="shared" si="3"/>
        <v>No Counter</v>
      </c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B57" s="39"/>
      <c r="AC57" s="39" t="str">
        <f t="shared" si="1"/>
        <v/>
      </c>
      <c r="AD57" s="39" t="str">
        <f t="shared" si="2"/>
        <v/>
      </c>
      <c r="AE57" s="39" t="str">
        <f t="shared" si="3"/>
        <v>No Counter</v>
      </c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B58" s="39"/>
      <c r="AC58" s="39" t="str">
        <f t="shared" si="1"/>
        <v/>
      </c>
      <c r="AD58" s="39" t="str">
        <f t="shared" si="2"/>
        <v/>
      </c>
      <c r="AE58" s="39" t="str">
        <f t="shared" si="3"/>
        <v>No Counter</v>
      </c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B59" s="39"/>
      <c r="AC59" s="39" t="str">
        <f t="shared" si="1"/>
        <v/>
      </c>
      <c r="AD59" s="39" t="str">
        <f t="shared" si="2"/>
        <v/>
      </c>
      <c r="AE59" s="39" t="str">
        <f t="shared" si="3"/>
        <v>No Counter</v>
      </c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B60" s="39"/>
      <c r="AC60" s="39" t="str">
        <f t="shared" si="1"/>
        <v/>
      </c>
      <c r="AD60" s="39" t="str">
        <f t="shared" si="2"/>
        <v/>
      </c>
      <c r="AE60" s="39" t="str">
        <f t="shared" si="3"/>
        <v>No Counter</v>
      </c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B61" s="39"/>
      <c r="AC61" s="39" t="str">
        <f t="shared" si="1"/>
        <v/>
      </c>
      <c r="AD61" s="39" t="str">
        <f t="shared" si="2"/>
        <v/>
      </c>
      <c r="AE61" s="39" t="str">
        <f t="shared" si="3"/>
        <v>No Counter</v>
      </c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B62" s="39"/>
      <c r="AC62" s="39" t="str">
        <f t="shared" si="1"/>
        <v/>
      </c>
      <c r="AD62" s="39" t="str">
        <f t="shared" si="2"/>
        <v/>
      </c>
      <c r="AE62" s="39" t="str">
        <f t="shared" si="3"/>
        <v>No Counter</v>
      </c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B63" s="39"/>
      <c r="AC63" s="39" t="str">
        <f t="shared" si="1"/>
        <v/>
      </c>
      <c r="AD63" s="39" t="str">
        <f t="shared" si="2"/>
        <v/>
      </c>
      <c r="AE63" s="39" t="str">
        <f t="shared" si="3"/>
        <v>No Counter</v>
      </c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B64" s="39"/>
      <c r="AC64" s="39" t="str">
        <f t="shared" si="1"/>
        <v/>
      </c>
      <c r="AD64" s="39" t="str">
        <f t="shared" si="2"/>
        <v/>
      </c>
      <c r="AE64" s="39" t="str">
        <f t="shared" si="3"/>
        <v>No Counter</v>
      </c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B65" s="39"/>
      <c r="AC65" s="39" t="str">
        <f t="shared" si="1"/>
        <v/>
      </c>
      <c r="AD65" s="39" t="str">
        <f t="shared" si="2"/>
        <v/>
      </c>
      <c r="AE65" s="39" t="str">
        <f t="shared" si="3"/>
        <v>No Counter</v>
      </c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B66" s="39"/>
      <c r="AC66" s="39" t="str">
        <f t="shared" si="1"/>
        <v/>
      </c>
      <c r="AD66" s="39" t="str">
        <f t="shared" si="2"/>
        <v/>
      </c>
      <c r="AE66" s="39" t="str">
        <f t="shared" si="3"/>
        <v>No Counter</v>
      </c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B67" s="39"/>
      <c r="AC67" s="39" t="str">
        <f t="shared" si="1"/>
        <v/>
      </c>
      <c r="AD67" s="39" t="str">
        <f t="shared" si="2"/>
        <v/>
      </c>
      <c r="AE67" s="39" t="str">
        <f t="shared" si="3"/>
        <v>No Counter</v>
      </c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B68" s="39"/>
      <c r="AC68" s="39" t="str">
        <f t="shared" si="1"/>
        <v/>
      </c>
      <c r="AD68" s="39" t="str">
        <f t="shared" si="2"/>
        <v/>
      </c>
      <c r="AE68" s="39" t="str">
        <f t="shared" si="3"/>
        <v>No Counter</v>
      </c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B69" s="39"/>
      <c r="AC69" s="39" t="str">
        <f t="shared" si="1"/>
        <v/>
      </c>
      <c r="AD69" s="39" t="str">
        <f t="shared" si="2"/>
        <v/>
      </c>
      <c r="AE69" s="39" t="str">
        <f t="shared" si="3"/>
        <v>No Counter</v>
      </c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B70" s="39"/>
      <c r="AC70" s="39" t="str">
        <f t="shared" si="1"/>
        <v/>
      </c>
      <c r="AD70" s="39" t="str">
        <f t="shared" si="2"/>
        <v/>
      </c>
      <c r="AE70" s="39" t="str">
        <f t="shared" si="3"/>
        <v>No Counter</v>
      </c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B71" s="39"/>
      <c r="AC71" s="39" t="str">
        <f t="shared" si="1"/>
        <v/>
      </c>
      <c r="AD71" s="39" t="str">
        <f t="shared" si="2"/>
        <v/>
      </c>
      <c r="AE71" s="39" t="str">
        <f t="shared" si="3"/>
        <v>No Counter</v>
      </c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B72" s="39"/>
      <c r="AC72" s="39" t="str">
        <f t="shared" si="1"/>
        <v/>
      </c>
      <c r="AD72" s="39" t="str">
        <f t="shared" si="2"/>
        <v/>
      </c>
      <c r="AE72" s="39" t="str">
        <f t="shared" si="3"/>
        <v>No Counter</v>
      </c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B73" s="39"/>
      <c r="AC73" s="39" t="str">
        <f t="shared" si="1"/>
        <v/>
      </c>
      <c r="AD73" s="39" t="str">
        <f t="shared" si="2"/>
        <v/>
      </c>
      <c r="AE73" s="39" t="str">
        <f t="shared" si="3"/>
        <v>No Counter</v>
      </c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B74" s="39"/>
      <c r="AC74" s="39" t="str">
        <f t="shared" si="1"/>
        <v/>
      </c>
      <c r="AD74" s="39" t="str">
        <f t="shared" si="2"/>
        <v/>
      </c>
      <c r="AE74" s="39" t="str">
        <f t="shared" si="3"/>
        <v>No Counter</v>
      </c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B75" s="39"/>
      <c r="AC75" s="39" t="str">
        <f t="shared" si="1"/>
        <v/>
      </c>
      <c r="AD75" s="39" t="str">
        <f t="shared" si="2"/>
        <v/>
      </c>
      <c r="AE75" s="39" t="str">
        <f t="shared" si="3"/>
        <v>No Counter</v>
      </c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B76" s="39"/>
      <c r="AC76" s="39" t="str">
        <f t="shared" si="1"/>
        <v/>
      </c>
      <c r="AD76" s="39" t="str">
        <f t="shared" si="2"/>
        <v/>
      </c>
      <c r="AE76" s="39" t="str">
        <f t="shared" si="3"/>
        <v>No Counter</v>
      </c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B77" s="39"/>
      <c r="AC77" s="39" t="str">
        <f t="shared" si="1"/>
        <v/>
      </c>
      <c r="AD77" s="39" t="str">
        <f t="shared" si="2"/>
        <v/>
      </c>
      <c r="AE77" s="39" t="str">
        <f t="shared" si="3"/>
        <v>No Counter</v>
      </c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B78" s="39"/>
      <c r="AC78" s="39" t="str">
        <f t="shared" si="1"/>
        <v/>
      </c>
      <c r="AD78" s="39" t="str">
        <f t="shared" si="2"/>
        <v/>
      </c>
      <c r="AE78" s="39" t="str">
        <f t="shared" si="3"/>
        <v>No Counter</v>
      </c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B79" s="39"/>
      <c r="AC79" s="39" t="str">
        <f t="shared" si="1"/>
        <v/>
      </c>
      <c r="AD79" s="39" t="str">
        <f t="shared" si="2"/>
        <v/>
      </c>
      <c r="AE79" s="39" t="str">
        <f t="shared" si="3"/>
        <v>No Counter</v>
      </c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B80" s="39"/>
      <c r="AC80" s="39" t="str">
        <f t="shared" si="1"/>
        <v/>
      </c>
      <c r="AD80" s="39" t="str">
        <f t="shared" si="2"/>
        <v/>
      </c>
      <c r="AE80" s="39" t="str">
        <f t="shared" si="3"/>
        <v>No Counter</v>
      </c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B81" s="39"/>
      <c r="AC81" s="39" t="str">
        <f t="shared" si="1"/>
        <v/>
      </c>
      <c r="AD81" s="39" t="str">
        <f t="shared" si="2"/>
        <v/>
      </c>
      <c r="AE81" s="39" t="str">
        <f t="shared" si="3"/>
        <v>No Counter</v>
      </c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B82" s="39"/>
      <c r="AC82" s="39" t="str">
        <f t="shared" si="1"/>
        <v/>
      </c>
      <c r="AD82" s="39" t="str">
        <f t="shared" si="2"/>
        <v/>
      </c>
      <c r="AE82" s="39" t="str">
        <f t="shared" si="3"/>
        <v>No Counter</v>
      </c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B83" s="39"/>
      <c r="AC83" s="39" t="str">
        <f t="shared" si="1"/>
        <v/>
      </c>
      <c r="AD83" s="39" t="str">
        <f t="shared" si="2"/>
        <v/>
      </c>
      <c r="AE83" s="39" t="str">
        <f t="shared" si="3"/>
        <v>No Counter</v>
      </c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B84" s="39"/>
      <c r="AC84" s="39" t="str">
        <f t="shared" si="1"/>
        <v/>
      </c>
      <c r="AD84" s="39" t="str">
        <f t="shared" si="2"/>
        <v/>
      </c>
      <c r="AE84" s="39" t="str">
        <f t="shared" si="3"/>
        <v>No Counter</v>
      </c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B85" s="39"/>
      <c r="AC85" s="39" t="str">
        <f t="shared" si="1"/>
        <v/>
      </c>
      <c r="AD85" s="39" t="str">
        <f t="shared" si="2"/>
        <v/>
      </c>
      <c r="AE85" s="39" t="str">
        <f t="shared" si="3"/>
        <v>No Counter</v>
      </c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B86" s="39"/>
      <c r="AC86" s="39" t="str">
        <f t="shared" si="1"/>
        <v/>
      </c>
      <c r="AD86" s="39" t="str">
        <f t="shared" si="2"/>
        <v/>
      </c>
      <c r="AE86" s="39" t="str">
        <f t="shared" si="3"/>
        <v>No Counter</v>
      </c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B87" s="39"/>
      <c r="AC87" s="39" t="str">
        <f t="shared" si="1"/>
        <v/>
      </c>
      <c r="AD87" s="39" t="str">
        <f t="shared" si="2"/>
        <v/>
      </c>
      <c r="AE87" s="39" t="str">
        <f t="shared" si="3"/>
        <v>No Counter</v>
      </c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B88" s="39"/>
      <c r="AC88" s="39" t="str">
        <f t="shared" si="1"/>
        <v/>
      </c>
      <c r="AD88" s="39" t="str">
        <f t="shared" si="2"/>
        <v/>
      </c>
      <c r="AE88" s="39" t="str">
        <f t="shared" si="3"/>
        <v>No Counter</v>
      </c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B89" s="39"/>
      <c r="AC89" s="39" t="str">
        <f t="shared" si="1"/>
        <v/>
      </c>
      <c r="AD89" s="39" t="str">
        <f t="shared" si="2"/>
        <v/>
      </c>
      <c r="AE89" s="39" t="str">
        <f t="shared" si="3"/>
        <v>No Counter</v>
      </c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B90" s="39"/>
      <c r="AC90" s="39" t="str">
        <f t="shared" si="1"/>
        <v/>
      </c>
      <c r="AD90" s="39" t="str">
        <f t="shared" si="2"/>
        <v/>
      </c>
      <c r="AE90" s="39" t="str">
        <f t="shared" si="3"/>
        <v>No Counter</v>
      </c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B91" s="39"/>
      <c r="AC91" s="39" t="str">
        <f t="shared" si="1"/>
        <v/>
      </c>
      <c r="AD91" s="39" t="str">
        <f t="shared" si="2"/>
        <v/>
      </c>
      <c r="AE91" s="39" t="str">
        <f t="shared" si="3"/>
        <v>No Counter</v>
      </c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B92" s="39"/>
      <c r="AC92" s="39" t="str">
        <f t="shared" si="1"/>
        <v/>
      </c>
      <c r="AD92" s="39" t="str">
        <f t="shared" si="2"/>
        <v/>
      </c>
      <c r="AE92" s="39" t="str">
        <f t="shared" si="3"/>
        <v>No Counter</v>
      </c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B93" s="39"/>
      <c r="AC93" s="39" t="str">
        <f t="shared" si="1"/>
        <v/>
      </c>
      <c r="AD93" s="39" t="str">
        <f t="shared" si="2"/>
        <v/>
      </c>
      <c r="AE93" s="39" t="str">
        <f t="shared" si="3"/>
        <v>No Counter</v>
      </c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B94" s="39"/>
      <c r="AC94" s="39" t="str">
        <f t="shared" si="1"/>
        <v/>
      </c>
      <c r="AD94" s="39" t="str">
        <f t="shared" si="2"/>
        <v/>
      </c>
      <c r="AE94" s="39" t="str">
        <f t="shared" si="3"/>
        <v>No Counter</v>
      </c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B95" s="39"/>
      <c r="AC95" s="39" t="str">
        <f t="shared" si="1"/>
        <v/>
      </c>
      <c r="AD95" s="39" t="str">
        <f t="shared" si="2"/>
        <v/>
      </c>
      <c r="AE95" s="39" t="str">
        <f t="shared" si="3"/>
        <v>No Counter</v>
      </c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B96" s="39"/>
      <c r="AC96" s="39" t="str">
        <f t="shared" si="1"/>
        <v/>
      </c>
      <c r="AD96" s="39" t="str">
        <f t="shared" si="2"/>
        <v/>
      </c>
      <c r="AE96" s="39" t="str">
        <f t="shared" si="3"/>
        <v>No Counter</v>
      </c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B97" s="39"/>
      <c r="AC97" s="39" t="str">
        <f t="shared" si="1"/>
        <v/>
      </c>
      <c r="AD97" s="39" t="str">
        <f t="shared" si="2"/>
        <v/>
      </c>
      <c r="AE97" s="39" t="str">
        <f t="shared" si="3"/>
        <v>No Counter</v>
      </c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B98" s="39"/>
      <c r="AC98" s="39" t="str">
        <f t="shared" si="1"/>
        <v/>
      </c>
      <c r="AD98" s="39" t="str">
        <f t="shared" si="2"/>
        <v/>
      </c>
      <c r="AE98" s="39" t="str">
        <f t="shared" si="3"/>
        <v>No Counter</v>
      </c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B99" s="39"/>
      <c r="AC99" s="39" t="str">
        <f t="shared" si="1"/>
        <v/>
      </c>
      <c r="AD99" s="39" t="str">
        <f t="shared" si="2"/>
        <v/>
      </c>
      <c r="AE99" s="39" t="str">
        <f t="shared" si="3"/>
        <v>No Counter</v>
      </c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B100" s="39"/>
      <c r="AC100" s="39" t="str">
        <f t="shared" si="1"/>
        <v/>
      </c>
      <c r="AD100" s="39" t="str">
        <f t="shared" si="2"/>
        <v/>
      </c>
      <c r="AE100" s="39" t="str">
        <f t="shared" si="3"/>
        <v>No Counter</v>
      </c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B101" s="39"/>
      <c r="AC101" s="39" t="str">
        <f t="shared" si="1"/>
        <v/>
      </c>
      <c r="AD101" s="39" t="str">
        <f t="shared" si="2"/>
        <v/>
      </c>
      <c r="AE101" s="39" t="str">
        <f t="shared" si="3"/>
        <v>No Counter</v>
      </c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B102" s="39"/>
      <c r="AC102" s="39" t="str">
        <f t="shared" si="1"/>
        <v/>
      </c>
      <c r="AD102" s="39" t="str">
        <f t="shared" si="2"/>
        <v/>
      </c>
      <c r="AE102" s="39" t="str">
        <f t="shared" si="3"/>
        <v>No Counter</v>
      </c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B103" s="39"/>
      <c r="AC103" s="39" t="str">
        <f t="shared" si="1"/>
        <v/>
      </c>
      <c r="AD103" s="39" t="str">
        <f t="shared" si="2"/>
        <v/>
      </c>
      <c r="AE103" s="39" t="str">
        <f t="shared" si="3"/>
        <v>No Counter</v>
      </c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B104" s="39"/>
      <c r="AC104" s="39" t="str">
        <f t="shared" si="1"/>
        <v/>
      </c>
      <c r="AD104" s="39" t="str">
        <f t="shared" si="2"/>
        <v/>
      </c>
      <c r="AE104" s="39" t="str">
        <f t="shared" si="3"/>
        <v>No Counter</v>
      </c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B105" s="39"/>
      <c r="AC105" s="39" t="str">
        <f t="shared" si="1"/>
        <v/>
      </c>
      <c r="AD105" s="39" t="str">
        <f t="shared" si="2"/>
        <v/>
      </c>
      <c r="AE105" s="39" t="str">
        <f t="shared" si="3"/>
        <v>No Counter</v>
      </c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B106" s="39"/>
      <c r="AC106" s="39" t="str">
        <f t="shared" si="1"/>
        <v/>
      </c>
      <c r="AD106" s="39" t="str">
        <f t="shared" si="2"/>
        <v/>
      </c>
      <c r="AE106" s="39" t="str">
        <f t="shared" si="3"/>
        <v>No Counter</v>
      </c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B107" s="39"/>
      <c r="AC107" s="39" t="str">
        <f t="shared" si="1"/>
        <v/>
      </c>
      <c r="AD107" s="39" t="str">
        <f t="shared" si="2"/>
        <v/>
      </c>
      <c r="AE107" s="39" t="str">
        <f t="shared" si="3"/>
        <v>No Counter</v>
      </c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B108" s="39"/>
      <c r="AC108" s="39" t="str">
        <f t="shared" si="1"/>
        <v/>
      </c>
      <c r="AD108" s="39" t="str">
        <f t="shared" si="2"/>
        <v/>
      </c>
      <c r="AE108" s="39" t="str">
        <f t="shared" si="3"/>
        <v>No Counter</v>
      </c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B109" s="39"/>
      <c r="AC109" s="39" t="str">
        <f t="shared" si="1"/>
        <v/>
      </c>
      <c r="AD109" s="39" t="str">
        <f t="shared" si="2"/>
        <v/>
      </c>
      <c r="AE109" s="39" t="str">
        <f t="shared" si="3"/>
        <v>No Counter</v>
      </c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B110" s="39"/>
      <c r="AC110" s="39" t="str">
        <f t="shared" si="1"/>
        <v/>
      </c>
      <c r="AD110" s="39" t="str">
        <f t="shared" si="2"/>
        <v/>
      </c>
      <c r="AE110" s="39" t="str">
        <f t="shared" si="3"/>
        <v>No Counter</v>
      </c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B111" s="39"/>
      <c r="AC111" s="39" t="str">
        <f t="shared" si="1"/>
        <v/>
      </c>
      <c r="AD111" s="39" t="str">
        <f t="shared" si="2"/>
        <v/>
      </c>
      <c r="AE111" s="39" t="str">
        <f t="shared" si="3"/>
        <v>No Counter</v>
      </c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B112" s="39"/>
      <c r="AC112" s="39" t="str">
        <f t="shared" si="1"/>
        <v/>
      </c>
      <c r="AD112" s="39" t="str">
        <f t="shared" si="2"/>
        <v/>
      </c>
      <c r="AE112" s="39" t="str">
        <f t="shared" si="3"/>
        <v>No Counter</v>
      </c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B113" s="39"/>
      <c r="AC113" s="39" t="str">
        <f t="shared" si="1"/>
        <v/>
      </c>
      <c r="AD113" s="39" t="str">
        <f t="shared" si="2"/>
        <v/>
      </c>
      <c r="AE113" s="39" t="str">
        <f t="shared" si="3"/>
        <v>No Counter</v>
      </c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B114" s="39"/>
      <c r="AC114" s="39" t="str">
        <f t="shared" si="1"/>
        <v/>
      </c>
      <c r="AD114" s="39" t="str">
        <f t="shared" si="2"/>
        <v/>
      </c>
      <c r="AE114" s="39" t="str">
        <f t="shared" si="3"/>
        <v>No Counter</v>
      </c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B115" s="39"/>
      <c r="AC115" s="39" t="str">
        <f t="shared" si="1"/>
        <v/>
      </c>
      <c r="AD115" s="39" t="str">
        <f t="shared" si="2"/>
        <v/>
      </c>
      <c r="AE115" s="39" t="str">
        <f t="shared" si="3"/>
        <v>No Counter</v>
      </c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B116" s="39"/>
      <c r="AC116" s="39" t="str">
        <f t="shared" si="1"/>
        <v/>
      </c>
      <c r="AD116" s="39" t="str">
        <f t="shared" si="2"/>
        <v/>
      </c>
      <c r="AE116" s="39" t="str">
        <f t="shared" si="3"/>
        <v>No Counter</v>
      </c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B117" s="39"/>
      <c r="AC117" s="39" t="str">
        <f t="shared" si="1"/>
        <v/>
      </c>
      <c r="AD117" s="39" t="str">
        <f t="shared" si="2"/>
        <v/>
      </c>
      <c r="AE117" s="39" t="str">
        <f t="shared" si="3"/>
        <v>No Counter</v>
      </c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B118" s="39"/>
      <c r="AC118" s="39" t="str">
        <f t="shared" si="1"/>
        <v/>
      </c>
      <c r="AD118" s="39" t="str">
        <f t="shared" si="2"/>
        <v/>
      </c>
      <c r="AE118" s="39" t="str">
        <f t="shared" si="3"/>
        <v>No Counter</v>
      </c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B119" s="39"/>
      <c r="AC119" s="39" t="str">
        <f t="shared" si="1"/>
        <v/>
      </c>
      <c r="AD119" s="39" t="str">
        <f t="shared" si="2"/>
        <v/>
      </c>
      <c r="AE119" s="39" t="str">
        <f t="shared" si="3"/>
        <v>No Counter</v>
      </c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B120" s="39"/>
      <c r="AC120" s="39" t="str">
        <f t="shared" si="1"/>
        <v/>
      </c>
      <c r="AD120" s="39" t="str">
        <f t="shared" si="2"/>
        <v/>
      </c>
      <c r="AE120" s="39" t="str">
        <f t="shared" si="3"/>
        <v>No Counter</v>
      </c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B121" s="39"/>
      <c r="AC121" s="39" t="str">
        <f t="shared" si="1"/>
        <v/>
      </c>
      <c r="AD121" s="39" t="str">
        <f t="shared" si="2"/>
        <v/>
      </c>
      <c r="AE121" s="39" t="str">
        <f t="shared" si="3"/>
        <v>No Counter</v>
      </c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B122" s="39"/>
      <c r="AC122" s="39" t="str">
        <f t="shared" si="1"/>
        <v/>
      </c>
      <c r="AD122" s="39" t="str">
        <f t="shared" si="2"/>
        <v/>
      </c>
      <c r="AE122" s="39" t="str">
        <f t="shared" si="3"/>
        <v>No Counter</v>
      </c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B123" s="39"/>
      <c r="AC123" s="39" t="str">
        <f t="shared" si="1"/>
        <v/>
      </c>
      <c r="AD123" s="39" t="str">
        <f t="shared" si="2"/>
        <v/>
      </c>
      <c r="AE123" s="39" t="str">
        <f t="shared" si="3"/>
        <v>No Counter</v>
      </c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B124" s="39"/>
      <c r="AC124" s="39" t="str">
        <f t="shared" si="1"/>
        <v/>
      </c>
      <c r="AD124" s="39" t="str">
        <f t="shared" si="2"/>
        <v/>
      </c>
      <c r="AE124" s="39" t="str">
        <f t="shared" si="3"/>
        <v>No Counter</v>
      </c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B125" s="39"/>
      <c r="AC125" s="39" t="str">
        <f t="shared" si="1"/>
        <v/>
      </c>
      <c r="AD125" s="39" t="str">
        <f t="shared" si="2"/>
        <v/>
      </c>
      <c r="AE125" s="39" t="str">
        <f t="shared" si="3"/>
        <v>No Counter</v>
      </c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B126" s="39"/>
      <c r="AC126" s="39" t="str">
        <f t="shared" si="1"/>
        <v/>
      </c>
      <c r="AD126" s="39" t="str">
        <f t="shared" si="2"/>
        <v/>
      </c>
      <c r="AE126" s="39" t="str">
        <f t="shared" si="3"/>
        <v>No Counter</v>
      </c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B127" s="39"/>
      <c r="AC127" s="39" t="str">
        <f t="shared" si="1"/>
        <v/>
      </c>
      <c r="AD127" s="39" t="str">
        <f t="shared" si="2"/>
        <v/>
      </c>
      <c r="AE127" s="39" t="str">
        <f t="shared" si="3"/>
        <v>No Counter</v>
      </c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B128" s="39"/>
      <c r="AC128" s="39" t="str">
        <f t="shared" si="1"/>
        <v/>
      </c>
      <c r="AD128" s="39" t="str">
        <f t="shared" si="2"/>
        <v/>
      </c>
      <c r="AE128" s="39" t="str">
        <f t="shared" si="3"/>
        <v>No Counter</v>
      </c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B129" s="39"/>
      <c r="AC129" s="39" t="str">
        <f t="shared" si="1"/>
        <v/>
      </c>
      <c r="AD129" s="39" t="str">
        <f t="shared" si="2"/>
        <v/>
      </c>
      <c r="AE129" s="39" t="str">
        <f t="shared" si="3"/>
        <v>No Counter</v>
      </c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B130" s="39"/>
      <c r="AC130" s="39" t="str">
        <f t="shared" si="1"/>
        <v/>
      </c>
      <c r="AD130" s="39" t="str">
        <f t="shared" si="2"/>
        <v/>
      </c>
      <c r="AE130" s="39" t="str">
        <f t="shared" si="3"/>
        <v>No Counter</v>
      </c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B131" s="39"/>
      <c r="AC131" s="39" t="str">
        <f t="shared" si="1"/>
        <v/>
      </c>
      <c r="AD131" s="39" t="str">
        <f t="shared" si="2"/>
        <v/>
      </c>
      <c r="AE131" s="39" t="str">
        <f t="shared" si="3"/>
        <v>No Counter</v>
      </c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B132" s="39"/>
      <c r="AC132" s="39" t="str">
        <f t="shared" si="1"/>
        <v/>
      </c>
      <c r="AD132" s="39" t="str">
        <f t="shared" si="2"/>
        <v/>
      </c>
      <c r="AE132" s="39" t="str">
        <f t="shared" si="3"/>
        <v>No Counter</v>
      </c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B133" s="39"/>
      <c r="AC133" s="39" t="str">
        <f t="shared" si="1"/>
        <v/>
      </c>
      <c r="AD133" s="39" t="str">
        <f t="shared" si="2"/>
        <v/>
      </c>
      <c r="AE133" s="39" t="str">
        <f t="shared" si="3"/>
        <v>No Counter</v>
      </c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B134" s="39"/>
      <c r="AC134" s="39" t="str">
        <f t="shared" si="1"/>
        <v/>
      </c>
      <c r="AD134" s="39" t="str">
        <f t="shared" si="2"/>
        <v/>
      </c>
      <c r="AE134" s="39" t="str">
        <f t="shared" si="3"/>
        <v>No Counter</v>
      </c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B135" s="39"/>
      <c r="AC135" s="39" t="str">
        <f t="shared" si="1"/>
        <v/>
      </c>
      <c r="AD135" s="39" t="str">
        <f t="shared" si="2"/>
        <v/>
      </c>
      <c r="AE135" s="39" t="str">
        <f t="shared" si="3"/>
        <v>No Counter</v>
      </c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B136" s="39"/>
      <c r="AC136" s="39" t="str">
        <f t="shared" si="1"/>
        <v/>
      </c>
      <c r="AD136" s="39" t="str">
        <f t="shared" si="2"/>
        <v/>
      </c>
      <c r="AE136" s="39" t="str">
        <f t="shared" si="3"/>
        <v>No Counter</v>
      </c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B137" s="39"/>
      <c r="AC137" s="39" t="str">
        <f t="shared" si="1"/>
        <v/>
      </c>
      <c r="AD137" s="39" t="str">
        <f t="shared" si="2"/>
        <v/>
      </c>
      <c r="AE137" s="39" t="str">
        <f t="shared" si="3"/>
        <v>No Counter</v>
      </c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B138" s="39"/>
      <c r="AC138" s="39" t="str">
        <f t="shared" si="1"/>
        <v/>
      </c>
      <c r="AD138" s="39" t="str">
        <f t="shared" si="2"/>
        <v/>
      </c>
      <c r="AE138" s="39" t="str">
        <f t="shared" si="3"/>
        <v>No Counter</v>
      </c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B139" s="39"/>
      <c r="AC139" s="39" t="str">
        <f t="shared" si="1"/>
        <v/>
      </c>
      <c r="AD139" s="39" t="str">
        <f t="shared" si="2"/>
        <v/>
      </c>
      <c r="AE139" s="39" t="str">
        <f t="shared" si="3"/>
        <v>No Counter</v>
      </c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B140" s="39"/>
      <c r="AC140" s="39" t="str">
        <f t="shared" si="1"/>
        <v/>
      </c>
      <c r="AD140" s="39" t="str">
        <f t="shared" si="2"/>
        <v/>
      </c>
      <c r="AE140" s="39" t="str">
        <f t="shared" si="3"/>
        <v>No Counter</v>
      </c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B141" s="39"/>
      <c r="AC141" s="39" t="str">
        <f t="shared" si="1"/>
        <v/>
      </c>
      <c r="AD141" s="39" t="str">
        <f t="shared" si="2"/>
        <v/>
      </c>
      <c r="AE141" s="39" t="str">
        <f t="shared" si="3"/>
        <v>No Counter</v>
      </c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B142" s="39"/>
      <c r="AC142" s="39" t="str">
        <f t="shared" si="1"/>
        <v/>
      </c>
      <c r="AD142" s="39" t="str">
        <f t="shared" si="2"/>
        <v/>
      </c>
      <c r="AE142" s="39" t="str">
        <f t="shared" si="3"/>
        <v>No Counter</v>
      </c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B143" s="39"/>
      <c r="AC143" s="39" t="str">
        <f t="shared" si="1"/>
        <v/>
      </c>
      <c r="AD143" s="39" t="str">
        <f t="shared" si="2"/>
        <v/>
      </c>
      <c r="AE143" s="39" t="str">
        <f t="shared" si="3"/>
        <v>No Counter</v>
      </c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B144" s="39"/>
      <c r="AC144" s="39" t="str">
        <f t="shared" si="1"/>
        <v/>
      </c>
      <c r="AD144" s="39" t="str">
        <f t="shared" si="2"/>
        <v/>
      </c>
      <c r="AE144" s="39" t="str">
        <f t="shared" si="3"/>
        <v>No Counter</v>
      </c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B145" s="39"/>
      <c r="AC145" s="39" t="str">
        <f t="shared" si="1"/>
        <v/>
      </c>
      <c r="AD145" s="39" t="str">
        <f t="shared" si="2"/>
        <v/>
      </c>
      <c r="AE145" s="39" t="str">
        <f t="shared" si="3"/>
        <v>No Counter</v>
      </c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B146" s="39"/>
      <c r="AC146" s="39" t="str">
        <f t="shared" si="1"/>
        <v/>
      </c>
      <c r="AD146" s="39" t="str">
        <f t="shared" si="2"/>
        <v/>
      </c>
      <c r="AE146" s="39" t="str">
        <f t="shared" si="3"/>
        <v>No Counter</v>
      </c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B147" s="39"/>
      <c r="AC147" s="39" t="str">
        <f t="shared" si="1"/>
        <v/>
      </c>
      <c r="AD147" s="39" t="str">
        <f t="shared" si="2"/>
        <v/>
      </c>
      <c r="AE147" s="39" t="str">
        <f t="shared" si="3"/>
        <v>No Counter</v>
      </c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B148" s="39"/>
      <c r="AC148" s="39" t="str">
        <f t="shared" si="1"/>
        <v/>
      </c>
      <c r="AD148" s="39" t="str">
        <f t="shared" si="2"/>
        <v/>
      </c>
      <c r="AE148" s="39" t="str">
        <f t="shared" si="3"/>
        <v>No Counter</v>
      </c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B149" s="39"/>
      <c r="AC149" s="39" t="str">
        <f t="shared" si="1"/>
        <v/>
      </c>
      <c r="AD149" s="39" t="str">
        <f t="shared" si="2"/>
        <v/>
      </c>
      <c r="AE149" s="39" t="str">
        <f t="shared" si="3"/>
        <v>No Counter</v>
      </c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B150" s="39"/>
      <c r="AC150" s="39" t="str">
        <f t="shared" si="1"/>
        <v/>
      </c>
      <c r="AD150" s="39" t="str">
        <f t="shared" si="2"/>
        <v/>
      </c>
      <c r="AE150" s="39" t="str">
        <f t="shared" si="3"/>
        <v>No Counter</v>
      </c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B151" s="39"/>
      <c r="AC151" s="39" t="str">
        <f t="shared" si="1"/>
        <v/>
      </c>
      <c r="AD151" s="39" t="str">
        <f t="shared" si="2"/>
        <v/>
      </c>
      <c r="AE151" s="39" t="str">
        <f t="shared" si="3"/>
        <v>No Counter</v>
      </c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B152" s="39"/>
      <c r="AC152" s="39" t="str">
        <f t="shared" si="1"/>
        <v/>
      </c>
      <c r="AD152" s="39" t="str">
        <f t="shared" si="2"/>
        <v/>
      </c>
      <c r="AE152" s="39" t="str">
        <f t="shared" si="3"/>
        <v>No Counter</v>
      </c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B153" s="39"/>
      <c r="AC153" s="39" t="str">
        <f t="shared" si="1"/>
        <v/>
      </c>
      <c r="AD153" s="39" t="str">
        <f t="shared" si="2"/>
        <v/>
      </c>
      <c r="AE153" s="39" t="str">
        <f t="shared" si="3"/>
        <v>No Counter</v>
      </c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B154" s="39"/>
      <c r="AC154" s="39" t="str">
        <f t="shared" si="1"/>
        <v/>
      </c>
      <c r="AD154" s="39" t="str">
        <f t="shared" si="2"/>
        <v/>
      </c>
      <c r="AE154" s="39" t="str">
        <f t="shared" si="3"/>
        <v>No Counter</v>
      </c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B155" s="39"/>
      <c r="AC155" s="39" t="str">
        <f t="shared" si="1"/>
        <v/>
      </c>
      <c r="AD155" s="39" t="str">
        <f t="shared" si="2"/>
        <v/>
      </c>
      <c r="AE155" s="39" t="str">
        <f t="shared" si="3"/>
        <v>No Counter</v>
      </c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B156" s="39"/>
      <c r="AC156" s="39" t="str">
        <f t="shared" si="1"/>
        <v/>
      </c>
      <c r="AD156" s="39" t="str">
        <f t="shared" si="2"/>
        <v/>
      </c>
      <c r="AE156" s="39" t="str">
        <f t="shared" si="3"/>
        <v>No Counter</v>
      </c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B157" s="39"/>
      <c r="AC157" s="39" t="str">
        <f t="shared" si="1"/>
        <v/>
      </c>
      <c r="AD157" s="39" t="str">
        <f t="shared" si="2"/>
        <v/>
      </c>
      <c r="AE157" s="39" t="str">
        <f t="shared" si="3"/>
        <v>No Counter</v>
      </c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B158" s="39"/>
      <c r="AC158" s="39" t="str">
        <f t="shared" si="1"/>
        <v/>
      </c>
      <c r="AD158" s="39" t="str">
        <f t="shared" si="2"/>
        <v/>
      </c>
      <c r="AE158" s="39" t="str">
        <f t="shared" si="3"/>
        <v>No Counter</v>
      </c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B159" s="39"/>
      <c r="AC159" s="39" t="str">
        <f t="shared" si="1"/>
        <v/>
      </c>
      <c r="AD159" s="39" t="str">
        <f t="shared" si="2"/>
        <v/>
      </c>
      <c r="AE159" s="39" t="str">
        <f t="shared" si="3"/>
        <v>No Counter</v>
      </c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B160" s="39"/>
      <c r="AC160" s="39" t="str">
        <f t="shared" si="1"/>
        <v/>
      </c>
      <c r="AD160" s="39" t="str">
        <f t="shared" si="2"/>
        <v/>
      </c>
      <c r="AE160" s="39" t="str">
        <f t="shared" si="3"/>
        <v>No Counter</v>
      </c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B161" s="39"/>
      <c r="AC161" s="39" t="str">
        <f t="shared" si="1"/>
        <v/>
      </c>
      <c r="AD161" s="39" t="str">
        <f t="shared" si="2"/>
        <v/>
      </c>
      <c r="AE161" s="39" t="str">
        <f t="shared" si="3"/>
        <v>No Counter</v>
      </c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B162" s="39"/>
      <c r="AC162" s="39" t="str">
        <f t="shared" si="1"/>
        <v/>
      </c>
      <c r="AD162" s="39" t="str">
        <f t="shared" si="2"/>
        <v/>
      </c>
      <c r="AE162" s="39" t="str">
        <f t="shared" si="3"/>
        <v>No Counter</v>
      </c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B163" s="39"/>
      <c r="AC163" s="39" t="str">
        <f t="shared" si="1"/>
        <v/>
      </c>
      <c r="AD163" s="39" t="str">
        <f t="shared" si="2"/>
        <v/>
      </c>
      <c r="AE163" s="39" t="str">
        <f t="shared" si="3"/>
        <v>No Counter</v>
      </c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B164" s="39"/>
      <c r="AC164" s="39" t="str">
        <f t="shared" si="1"/>
        <v/>
      </c>
      <c r="AD164" s="39" t="str">
        <f t="shared" si="2"/>
        <v/>
      </c>
      <c r="AE164" s="39" t="str">
        <f t="shared" si="3"/>
        <v>No Counter</v>
      </c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B165" s="39"/>
      <c r="AC165" s="39" t="str">
        <f t="shared" si="1"/>
        <v/>
      </c>
      <c r="AD165" s="39" t="str">
        <f t="shared" si="2"/>
        <v/>
      </c>
      <c r="AE165" s="39" t="str">
        <f t="shared" si="3"/>
        <v>No Counter</v>
      </c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B166" s="39"/>
      <c r="AC166" s="39" t="str">
        <f t="shared" si="1"/>
        <v/>
      </c>
      <c r="AD166" s="39" t="str">
        <f t="shared" si="2"/>
        <v/>
      </c>
      <c r="AE166" s="39" t="str">
        <f t="shared" si="3"/>
        <v>No Counter</v>
      </c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B167" s="39"/>
      <c r="AC167" s="39" t="str">
        <f t="shared" si="1"/>
        <v/>
      </c>
      <c r="AD167" s="39" t="str">
        <f t="shared" si="2"/>
        <v/>
      </c>
      <c r="AE167" s="39" t="str">
        <f t="shared" si="3"/>
        <v>No Counter</v>
      </c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B168" s="39"/>
      <c r="AC168" s="39" t="str">
        <f t="shared" si="1"/>
        <v/>
      </c>
      <c r="AD168" s="39" t="str">
        <f t="shared" si="2"/>
        <v/>
      </c>
      <c r="AE168" s="39" t="str">
        <f t="shared" si="3"/>
        <v>No Counter</v>
      </c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B169" s="39"/>
      <c r="AC169" s="39" t="str">
        <f t="shared" si="1"/>
        <v/>
      </c>
      <c r="AD169" s="39" t="str">
        <f t="shared" si="2"/>
        <v/>
      </c>
      <c r="AE169" s="39" t="str">
        <f t="shared" si="3"/>
        <v>No Counter</v>
      </c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B170" s="39"/>
      <c r="AC170" s="39" t="str">
        <f t="shared" si="1"/>
        <v/>
      </c>
      <c r="AD170" s="39" t="str">
        <f t="shared" si="2"/>
        <v/>
      </c>
      <c r="AE170" s="39" t="str">
        <f t="shared" si="3"/>
        <v>No Counter</v>
      </c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B171" s="39"/>
      <c r="AC171" s="39" t="str">
        <f t="shared" si="1"/>
        <v/>
      </c>
      <c r="AD171" s="39" t="str">
        <f t="shared" si="2"/>
        <v/>
      </c>
      <c r="AE171" s="39" t="str">
        <f t="shared" si="3"/>
        <v>No Counter</v>
      </c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B172" s="39"/>
      <c r="AC172" s="39" t="str">
        <f t="shared" si="1"/>
        <v/>
      </c>
      <c r="AD172" s="39" t="str">
        <f t="shared" si="2"/>
        <v/>
      </c>
      <c r="AE172" s="39" t="str">
        <f t="shared" si="3"/>
        <v>No Counter</v>
      </c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B173" s="39"/>
      <c r="AC173" s="39" t="str">
        <f t="shared" si="1"/>
        <v/>
      </c>
      <c r="AD173" s="39" t="str">
        <f t="shared" si="2"/>
        <v/>
      </c>
      <c r="AE173" s="39" t="str">
        <f t="shared" si="3"/>
        <v>No Counter</v>
      </c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B174" s="39"/>
      <c r="AC174" s="39" t="str">
        <f t="shared" si="1"/>
        <v/>
      </c>
      <c r="AD174" s="39" t="str">
        <f t="shared" si="2"/>
        <v/>
      </c>
      <c r="AE174" s="39" t="str">
        <f t="shared" si="3"/>
        <v>No Counter</v>
      </c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B175" s="39"/>
      <c r="AC175" s="39" t="str">
        <f t="shared" si="1"/>
        <v/>
      </c>
      <c r="AD175" s="39" t="str">
        <f t="shared" si="2"/>
        <v/>
      </c>
      <c r="AE175" s="39" t="str">
        <f t="shared" si="3"/>
        <v>No Counter</v>
      </c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B176" s="39"/>
      <c r="AC176" s="39" t="str">
        <f t="shared" si="1"/>
        <v/>
      </c>
      <c r="AD176" s="39" t="str">
        <f t="shared" si="2"/>
        <v/>
      </c>
      <c r="AE176" s="39" t="str">
        <f t="shared" si="3"/>
        <v>No Counter</v>
      </c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B177" s="39"/>
      <c r="AC177" s="39" t="str">
        <f t="shared" si="1"/>
        <v/>
      </c>
      <c r="AD177" s="39" t="str">
        <f t="shared" si="2"/>
        <v/>
      </c>
      <c r="AE177" s="39" t="str">
        <f t="shared" si="3"/>
        <v>No Counter</v>
      </c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B178" s="39"/>
      <c r="AC178" s="39" t="str">
        <f t="shared" si="1"/>
        <v/>
      </c>
      <c r="AD178" s="39" t="str">
        <f t="shared" si="2"/>
        <v/>
      </c>
      <c r="AE178" s="39" t="str">
        <f t="shared" si="3"/>
        <v>No Counter</v>
      </c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B179" s="39"/>
      <c r="AC179" s="39" t="str">
        <f t="shared" si="1"/>
        <v/>
      </c>
      <c r="AD179" s="39" t="str">
        <f t="shared" si="2"/>
        <v/>
      </c>
      <c r="AE179" s="39" t="str">
        <f t="shared" si="3"/>
        <v>No Counter</v>
      </c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B180" s="39"/>
      <c r="AC180" s="39" t="str">
        <f t="shared" si="1"/>
        <v/>
      </c>
      <c r="AD180" s="39" t="str">
        <f t="shared" si="2"/>
        <v/>
      </c>
      <c r="AE180" s="39" t="str">
        <f t="shared" si="3"/>
        <v>No Counter</v>
      </c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B181" s="39"/>
      <c r="AC181" s="39" t="str">
        <f t="shared" si="1"/>
        <v/>
      </c>
      <c r="AD181" s="39" t="str">
        <f t="shared" si="2"/>
        <v/>
      </c>
      <c r="AE181" s="39" t="str">
        <f t="shared" si="3"/>
        <v>No Counter</v>
      </c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B182" s="39"/>
      <c r="AC182" s="39" t="str">
        <f t="shared" si="1"/>
        <v/>
      </c>
      <c r="AD182" s="39" t="str">
        <f t="shared" si="2"/>
        <v/>
      </c>
      <c r="AE182" s="39" t="str">
        <f t="shared" si="3"/>
        <v>No Counter</v>
      </c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B183" s="39"/>
      <c r="AC183" s="39" t="str">
        <f t="shared" si="1"/>
        <v/>
      </c>
      <c r="AD183" s="39" t="str">
        <f t="shared" si="2"/>
        <v/>
      </c>
      <c r="AE183" s="39" t="str">
        <f t="shared" si="3"/>
        <v>No Counter</v>
      </c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B184" s="39"/>
      <c r="AC184" s="39" t="str">
        <f t="shared" si="1"/>
        <v/>
      </c>
      <c r="AD184" s="39" t="str">
        <f t="shared" si="2"/>
        <v/>
      </c>
      <c r="AE184" s="39" t="str">
        <f t="shared" si="3"/>
        <v>No Counter</v>
      </c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B185" s="39"/>
      <c r="AC185" s="39" t="str">
        <f t="shared" si="1"/>
        <v/>
      </c>
      <c r="AD185" s="39" t="str">
        <f t="shared" si="2"/>
        <v/>
      </c>
      <c r="AE185" s="39" t="str">
        <f t="shared" si="3"/>
        <v>No Counter</v>
      </c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B186" s="39"/>
      <c r="AC186" s="39" t="str">
        <f t="shared" si="1"/>
        <v/>
      </c>
      <c r="AD186" s="39" t="str">
        <f t="shared" si="2"/>
        <v/>
      </c>
      <c r="AE186" s="39" t="str">
        <f t="shared" si="3"/>
        <v>No Counter</v>
      </c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B187" s="39"/>
      <c r="AC187" s="39" t="str">
        <f t="shared" si="1"/>
        <v/>
      </c>
      <c r="AD187" s="39" t="str">
        <f t="shared" si="2"/>
        <v/>
      </c>
      <c r="AE187" s="39" t="str">
        <f t="shared" si="3"/>
        <v>No Counter</v>
      </c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B188" s="39"/>
      <c r="AC188" s="39" t="str">
        <f t="shared" si="1"/>
        <v/>
      </c>
      <c r="AD188" s="39" t="str">
        <f t="shared" si="2"/>
        <v/>
      </c>
      <c r="AE188" s="39" t="str">
        <f t="shared" si="3"/>
        <v>No Counter</v>
      </c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B189" s="39"/>
      <c r="AC189" s="39" t="str">
        <f t="shared" si="1"/>
        <v/>
      </c>
      <c r="AD189" s="39" t="str">
        <f t="shared" si="2"/>
        <v/>
      </c>
      <c r="AE189" s="39" t="str">
        <f t="shared" si="3"/>
        <v>No Counter</v>
      </c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B190" s="39"/>
      <c r="AC190" s="39" t="str">
        <f t="shared" si="1"/>
        <v/>
      </c>
      <c r="AD190" s="39" t="str">
        <f t="shared" si="2"/>
        <v/>
      </c>
      <c r="AE190" s="39" t="str">
        <f t="shared" si="3"/>
        <v>No Counter</v>
      </c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B191" s="39"/>
      <c r="AC191" s="39" t="str">
        <f t="shared" si="1"/>
        <v/>
      </c>
      <c r="AD191" s="39" t="str">
        <f t="shared" si="2"/>
        <v/>
      </c>
      <c r="AE191" s="39" t="str">
        <f t="shared" si="3"/>
        <v>No Counter</v>
      </c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B192" s="39"/>
      <c r="AC192" s="39" t="str">
        <f t="shared" si="1"/>
        <v/>
      </c>
      <c r="AD192" s="39" t="str">
        <f t="shared" si="2"/>
        <v/>
      </c>
      <c r="AE192" s="39" t="str">
        <f t="shared" si="3"/>
        <v>No Counter</v>
      </c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B193" s="39"/>
      <c r="AC193" s="39" t="str">
        <f t="shared" si="1"/>
        <v/>
      </c>
      <c r="AD193" s="39" t="str">
        <f t="shared" si="2"/>
        <v/>
      </c>
      <c r="AE193" s="39" t="str">
        <f t="shared" si="3"/>
        <v>No Counter</v>
      </c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B194" s="39"/>
      <c r="AC194" s="39" t="str">
        <f t="shared" si="1"/>
        <v/>
      </c>
      <c r="AD194" s="39" t="str">
        <f t="shared" si="2"/>
        <v/>
      </c>
      <c r="AE194" s="39" t="str">
        <f t="shared" si="3"/>
        <v>No Counter</v>
      </c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B195" s="39"/>
      <c r="AC195" s="39" t="str">
        <f t="shared" si="1"/>
        <v/>
      </c>
      <c r="AD195" s="39" t="str">
        <f t="shared" si="2"/>
        <v/>
      </c>
      <c r="AE195" s="39" t="str">
        <f t="shared" si="3"/>
        <v>No Counter</v>
      </c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B196" s="39"/>
      <c r="AC196" s="39" t="str">
        <f t="shared" si="1"/>
        <v/>
      </c>
      <c r="AD196" s="39" t="str">
        <f t="shared" si="2"/>
        <v/>
      </c>
      <c r="AE196" s="39" t="str">
        <f t="shared" si="3"/>
        <v>No Counter</v>
      </c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B197" s="39"/>
      <c r="AC197" s="39" t="str">
        <f t="shared" si="1"/>
        <v/>
      </c>
      <c r="AD197" s="39" t="str">
        <f t="shared" si="2"/>
        <v/>
      </c>
      <c r="AE197" s="39" t="str">
        <f t="shared" si="3"/>
        <v>No Counter</v>
      </c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B198" s="39"/>
      <c r="AC198" s="39" t="str">
        <f t="shared" si="1"/>
        <v/>
      </c>
      <c r="AD198" s="39" t="str">
        <f t="shared" si="2"/>
        <v/>
      </c>
      <c r="AE198" s="39" t="str">
        <f t="shared" si="3"/>
        <v>No Counter</v>
      </c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B199" s="39"/>
      <c r="AC199" s="39" t="str">
        <f t="shared" si="1"/>
        <v/>
      </c>
      <c r="AD199" s="39" t="str">
        <f t="shared" si="2"/>
        <v/>
      </c>
      <c r="AE199" s="39" t="str">
        <f t="shared" si="3"/>
        <v>No Counter</v>
      </c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B200" s="39"/>
      <c r="AC200" s="39" t="str">
        <f t="shared" si="1"/>
        <v/>
      </c>
      <c r="AD200" s="39" t="str">
        <f t="shared" si="2"/>
        <v/>
      </c>
      <c r="AE200" s="39" t="str">
        <f t="shared" si="3"/>
        <v>No Counter</v>
      </c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B201" s="39"/>
      <c r="AC201" s="39" t="str">
        <f t="shared" si="1"/>
        <v/>
      </c>
      <c r="AD201" s="39" t="str">
        <f t="shared" si="2"/>
        <v/>
      </c>
      <c r="AE201" s="39" t="str">
        <f t="shared" si="3"/>
        <v>No Counter</v>
      </c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B202" s="39"/>
      <c r="AC202" s="39" t="str">
        <f t="shared" si="1"/>
        <v/>
      </c>
      <c r="AD202" s="39" t="str">
        <f t="shared" si="2"/>
        <v/>
      </c>
      <c r="AE202" s="39" t="str">
        <f t="shared" si="3"/>
        <v>No Counter</v>
      </c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B203" s="39"/>
      <c r="AC203" s="39" t="str">
        <f t="shared" si="1"/>
        <v/>
      </c>
      <c r="AD203" s="39" t="str">
        <f t="shared" si="2"/>
        <v/>
      </c>
      <c r="AE203" s="39" t="str">
        <f t="shared" si="3"/>
        <v>No Counter</v>
      </c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B204" s="39"/>
      <c r="AC204" s="39" t="str">
        <f t="shared" si="1"/>
        <v/>
      </c>
      <c r="AD204" s="39" t="str">
        <f t="shared" si="2"/>
        <v/>
      </c>
      <c r="AE204" s="39" t="str">
        <f t="shared" si="3"/>
        <v>No Counter</v>
      </c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B205" s="39"/>
      <c r="AC205" s="39" t="str">
        <f t="shared" si="1"/>
        <v/>
      </c>
      <c r="AD205" s="39" t="str">
        <f t="shared" si="2"/>
        <v/>
      </c>
      <c r="AE205" s="39" t="str">
        <f t="shared" si="3"/>
        <v>No Counter</v>
      </c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B206" s="39"/>
      <c r="AC206" s="39" t="str">
        <f t="shared" si="1"/>
        <v/>
      </c>
      <c r="AD206" s="39" t="str">
        <f t="shared" si="2"/>
        <v/>
      </c>
      <c r="AE206" s="39" t="str">
        <f t="shared" si="3"/>
        <v>No Counter</v>
      </c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B207" s="39"/>
      <c r="AC207" s="39" t="str">
        <f t="shared" si="1"/>
        <v/>
      </c>
      <c r="AD207" s="39" t="str">
        <f t="shared" si="2"/>
        <v/>
      </c>
      <c r="AE207" s="39" t="str">
        <f t="shared" si="3"/>
        <v>No Counter</v>
      </c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B208" s="39"/>
      <c r="AC208" s="39" t="str">
        <f t="shared" si="1"/>
        <v/>
      </c>
      <c r="AD208" s="39" t="str">
        <f t="shared" si="2"/>
        <v/>
      </c>
      <c r="AE208" s="39" t="str">
        <f t="shared" si="3"/>
        <v>No Counter</v>
      </c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B209" s="39"/>
      <c r="AC209" s="39" t="str">
        <f t="shared" si="1"/>
        <v/>
      </c>
      <c r="AD209" s="39" t="str">
        <f t="shared" si="2"/>
        <v/>
      </c>
      <c r="AE209" s="39" t="str">
        <f t="shared" si="3"/>
        <v>No Counter</v>
      </c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B210" s="39"/>
      <c r="AC210" s="39" t="str">
        <f t="shared" si="1"/>
        <v/>
      </c>
      <c r="AD210" s="39" t="str">
        <f t="shared" si="2"/>
        <v/>
      </c>
      <c r="AE210" s="39" t="str">
        <f t="shared" si="3"/>
        <v>No Counter</v>
      </c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B211" s="39"/>
      <c r="AC211" s="39" t="str">
        <f t="shared" si="1"/>
        <v/>
      </c>
      <c r="AD211" s="39" t="str">
        <f t="shared" si="2"/>
        <v/>
      </c>
      <c r="AE211" s="39" t="str">
        <f t="shared" si="3"/>
        <v>No Counter</v>
      </c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B212" s="39"/>
      <c r="AC212" s="39" t="str">
        <f t="shared" si="1"/>
        <v/>
      </c>
      <c r="AD212" s="39" t="str">
        <f t="shared" si="2"/>
        <v/>
      </c>
      <c r="AE212" s="39" t="str">
        <f t="shared" si="3"/>
        <v>No Counter</v>
      </c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B213" s="39"/>
      <c r="AC213" s="39" t="str">
        <f t="shared" si="1"/>
        <v/>
      </c>
      <c r="AD213" s="39" t="str">
        <f t="shared" si="2"/>
        <v/>
      </c>
      <c r="AE213" s="39" t="str">
        <f t="shared" si="3"/>
        <v>No Counter</v>
      </c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B214" s="39"/>
      <c r="AC214" s="39" t="str">
        <f t="shared" si="1"/>
        <v/>
      </c>
      <c r="AD214" s="39" t="str">
        <f t="shared" si="2"/>
        <v/>
      </c>
      <c r="AE214" s="39" t="str">
        <f t="shared" si="3"/>
        <v>No Counter</v>
      </c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B215" s="39"/>
      <c r="AC215" s="39" t="str">
        <f t="shared" si="1"/>
        <v/>
      </c>
      <c r="AD215" s="39" t="str">
        <f t="shared" si="2"/>
        <v/>
      </c>
      <c r="AE215" s="39" t="str">
        <f t="shared" si="3"/>
        <v>No Counter</v>
      </c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B216" s="39"/>
      <c r="AC216" s="39" t="str">
        <f t="shared" si="1"/>
        <v/>
      </c>
      <c r="AD216" s="39" t="str">
        <f t="shared" si="2"/>
        <v/>
      </c>
      <c r="AE216" s="39" t="str">
        <f t="shared" si="3"/>
        <v>No Counter</v>
      </c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B217" s="39"/>
      <c r="AC217" s="39" t="str">
        <f t="shared" si="1"/>
        <v/>
      </c>
      <c r="AD217" s="39" t="str">
        <f t="shared" si="2"/>
        <v/>
      </c>
      <c r="AE217" s="39" t="str">
        <f t="shared" si="3"/>
        <v>No Counter</v>
      </c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B218" s="39"/>
      <c r="AC218" s="39" t="str">
        <f t="shared" si="1"/>
        <v/>
      </c>
      <c r="AD218" s="39" t="str">
        <f t="shared" si="2"/>
        <v/>
      </c>
      <c r="AE218" s="39" t="str">
        <f t="shared" si="3"/>
        <v>No Counter</v>
      </c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B219" s="39"/>
      <c r="AC219" s="39" t="str">
        <f t="shared" si="1"/>
        <v/>
      </c>
      <c r="AD219" s="39" t="str">
        <f t="shared" si="2"/>
        <v/>
      </c>
      <c r="AE219" s="39" t="str">
        <f t="shared" si="3"/>
        <v>No Counter</v>
      </c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B220" s="39"/>
      <c r="AC220" s="39" t="str">
        <f t="shared" si="1"/>
        <v/>
      </c>
      <c r="AD220" s="39" t="str">
        <f t="shared" si="2"/>
        <v/>
      </c>
      <c r="AE220" s="39" t="str">
        <f t="shared" si="3"/>
        <v>No Counter</v>
      </c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B221" s="39"/>
      <c r="AC221" s="39" t="str">
        <f t="shared" si="1"/>
        <v/>
      </c>
      <c r="AD221" s="39" t="str">
        <f t="shared" si="2"/>
        <v/>
      </c>
      <c r="AE221" s="39" t="str">
        <f t="shared" si="3"/>
        <v>No Counter</v>
      </c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B222" s="39"/>
      <c r="AC222" s="39" t="str">
        <f t="shared" si="1"/>
        <v/>
      </c>
      <c r="AD222" s="39" t="str">
        <f t="shared" si="2"/>
        <v/>
      </c>
      <c r="AE222" s="39" t="str">
        <f t="shared" si="3"/>
        <v>No Counter</v>
      </c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B223" s="39"/>
      <c r="AC223" s="39" t="str">
        <f t="shared" si="1"/>
        <v/>
      </c>
      <c r="AD223" s="39" t="str">
        <f t="shared" si="2"/>
        <v/>
      </c>
      <c r="AE223" s="39" t="str">
        <f t="shared" si="3"/>
        <v>No Counter</v>
      </c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B224" s="39"/>
      <c r="AC224" s="39" t="str">
        <f t="shared" si="1"/>
        <v/>
      </c>
      <c r="AD224" s="39" t="str">
        <f t="shared" si="2"/>
        <v/>
      </c>
      <c r="AE224" s="39" t="str">
        <f t="shared" si="3"/>
        <v>No Counter</v>
      </c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B225" s="39"/>
      <c r="AC225" s="39" t="str">
        <f t="shared" si="1"/>
        <v/>
      </c>
      <c r="AD225" s="39" t="str">
        <f t="shared" si="2"/>
        <v/>
      </c>
      <c r="AE225" s="39" t="str">
        <f t="shared" si="3"/>
        <v>No Counter</v>
      </c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B226" s="39"/>
      <c r="AC226" s="39" t="str">
        <f t="shared" si="1"/>
        <v/>
      </c>
      <c r="AD226" s="39" t="str">
        <f t="shared" si="2"/>
        <v/>
      </c>
      <c r="AE226" s="39" t="str">
        <f t="shared" si="3"/>
        <v>No Counter</v>
      </c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B227" s="39"/>
      <c r="AC227" s="39" t="str">
        <f t="shared" si="1"/>
        <v/>
      </c>
      <c r="AD227" s="39" t="str">
        <f t="shared" si="2"/>
        <v/>
      </c>
      <c r="AE227" s="39" t="str">
        <f t="shared" si="3"/>
        <v>No Counter</v>
      </c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B228" s="39"/>
      <c r="AC228" s="39" t="str">
        <f t="shared" si="1"/>
        <v/>
      </c>
      <c r="AD228" s="39" t="str">
        <f t="shared" si="2"/>
        <v/>
      </c>
      <c r="AE228" s="39" t="str">
        <f t="shared" si="3"/>
        <v>No Counter</v>
      </c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B229" s="39"/>
      <c r="AC229" s="39" t="str">
        <f t="shared" si="1"/>
        <v/>
      </c>
      <c r="AD229" s="39" t="str">
        <f t="shared" si="2"/>
        <v/>
      </c>
      <c r="AE229" s="39" t="str">
        <f t="shared" si="3"/>
        <v>No Counter</v>
      </c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B230" s="39"/>
      <c r="AC230" s="39" t="str">
        <f t="shared" si="1"/>
        <v/>
      </c>
      <c r="AD230" s="39" t="str">
        <f t="shared" si="2"/>
        <v/>
      </c>
      <c r="AE230" s="39" t="str">
        <f t="shared" si="3"/>
        <v>No Counter</v>
      </c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B231" s="39"/>
      <c r="AC231" s="39" t="str">
        <f t="shared" si="1"/>
        <v/>
      </c>
      <c r="AD231" s="39" t="str">
        <f t="shared" si="2"/>
        <v/>
      </c>
      <c r="AE231" s="39" t="str">
        <f t="shared" si="3"/>
        <v>No Counter</v>
      </c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B232" s="39"/>
      <c r="AC232" s="39" t="str">
        <f t="shared" si="1"/>
        <v/>
      </c>
      <c r="AD232" s="39" t="str">
        <f t="shared" si="2"/>
        <v/>
      </c>
      <c r="AE232" s="39" t="str">
        <f t="shared" si="3"/>
        <v>No Counter</v>
      </c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B233" s="39"/>
      <c r="AC233" s="39" t="str">
        <f t="shared" si="1"/>
        <v/>
      </c>
      <c r="AD233" s="39" t="str">
        <f t="shared" si="2"/>
        <v/>
      </c>
      <c r="AE233" s="39" t="str">
        <f t="shared" si="3"/>
        <v>No Counter</v>
      </c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B234" s="39"/>
      <c r="AC234" s="39" t="str">
        <f t="shared" si="1"/>
        <v/>
      </c>
      <c r="AD234" s="39" t="str">
        <f t="shared" si="2"/>
        <v/>
      </c>
      <c r="AE234" s="39" t="str">
        <f t="shared" si="3"/>
        <v>No Counter</v>
      </c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B235" s="39"/>
      <c r="AC235" s="39" t="str">
        <f t="shared" si="1"/>
        <v/>
      </c>
      <c r="AD235" s="39" t="str">
        <f t="shared" si="2"/>
        <v/>
      </c>
      <c r="AE235" s="39" t="str">
        <f t="shared" si="3"/>
        <v>No Counter</v>
      </c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B236" s="39"/>
      <c r="AC236" s="39" t="str">
        <f t="shared" si="1"/>
        <v/>
      </c>
      <c r="AD236" s="39" t="str">
        <f t="shared" si="2"/>
        <v/>
      </c>
      <c r="AE236" s="39" t="str">
        <f t="shared" si="3"/>
        <v>No Counter</v>
      </c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B237" s="39"/>
      <c r="AC237" s="39" t="str">
        <f t="shared" si="1"/>
        <v/>
      </c>
      <c r="AD237" s="39" t="str">
        <f t="shared" si="2"/>
        <v/>
      </c>
      <c r="AE237" s="39" t="str">
        <f t="shared" si="3"/>
        <v>No Counter</v>
      </c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B238" s="39"/>
      <c r="AC238" s="39" t="str">
        <f t="shared" si="1"/>
        <v/>
      </c>
      <c r="AD238" s="39" t="str">
        <f t="shared" si="2"/>
        <v/>
      </c>
      <c r="AE238" s="39" t="str">
        <f t="shared" si="3"/>
        <v>No Counter</v>
      </c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B239" s="39"/>
      <c r="AC239" s="39" t="str">
        <f t="shared" si="1"/>
        <v/>
      </c>
      <c r="AD239" s="39" t="str">
        <f t="shared" si="2"/>
        <v/>
      </c>
      <c r="AE239" s="39" t="str">
        <f t="shared" si="3"/>
        <v>No Counter</v>
      </c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B240" s="39"/>
      <c r="AC240" s="39" t="str">
        <f t="shared" si="1"/>
        <v/>
      </c>
      <c r="AD240" s="39" t="str">
        <f t="shared" si="2"/>
        <v/>
      </c>
      <c r="AE240" s="39" t="str">
        <f t="shared" si="3"/>
        <v>No Counter</v>
      </c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B241" s="39"/>
      <c r="AC241" s="39" t="str">
        <f t="shared" si="1"/>
        <v/>
      </c>
      <c r="AD241" s="39" t="str">
        <f t="shared" si="2"/>
        <v/>
      </c>
      <c r="AE241" s="39" t="str">
        <f t="shared" si="3"/>
        <v>No Counter</v>
      </c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B242" s="39"/>
      <c r="AC242" s="39" t="str">
        <f t="shared" si="1"/>
        <v/>
      </c>
      <c r="AD242" s="39" t="str">
        <f t="shared" si="2"/>
        <v/>
      </c>
      <c r="AE242" s="39" t="str">
        <f t="shared" si="3"/>
        <v>No Counter</v>
      </c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B243" s="39"/>
      <c r="AC243" s="39" t="str">
        <f t="shared" si="1"/>
        <v/>
      </c>
      <c r="AD243" s="39" t="str">
        <f t="shared" si="2"/>
        <v/>
      </c>
      <c r="AE243" s="39" t="str">
        <f t="shared" si="3"/>
        <v>No Counter</v>
      </c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B244" s="39"/>
      <c r="AC244" s="39" t="str">
        <f t="shared" si="1"/>
        <v/>
      </c>
      <c r="AD244" s="39" t="str">
        <f t="shared" si="2"/>
        <v/>
      </c>
      <c r="AE244" s="39" t="str">
        <f t="shared" si="3"/>
        <v>No Counter</v>
      </c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B245" s="39"/>
      <c r="AC245" s="39" t="str">
        <f t="shared" si="1"/>
        <v/>
      </c>
      <c r="AD245" s="39" t="str">
        <f t="shared" si="2"/>
        <v/>
      </c>
      <c r="AE245" s="39" t="str">
        <f t="shared" si="3"/>
        <v>No Counter</v>
      </c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B246" s="39"/>
      <c r="AC246" s="39" t="str">
        <f t="shared" si="1"/>
        <v/>
      </c>
      <c r="AD246" s="39" t="str">
        <f t="shared" si="2"/>
        <v/>
      </c>
      <c r="AE246" s="39" t="str">
        <f t="shared" si="3"/>
        <v>No Counter</v>
      </c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B247" s="39"/>
      <c r="AC247" s="39" t="str">
        <f t="shared" si="1"/>
        <v/>
      </c>
      <c r="AD247" s="39" t="str">
        <f t="shared" si="2"/>
        <v/>
      </c>
      <c r="AE247" s="39" t="str">
        <f t="shared" si="3"/>
        <v>No Counter</v>
      </c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B248" s="39"/>
      <c r="AC248" s="39" t="str">
        <f t="shared" si="1"/>
        <v/>
      </c>
      <c r="AD248" s="39" t="str">
        <f t="shared" si="2"/>
        <v/>
      </c>
      <c r="AE248" s="39" t="str">
        <f t="shared" si="3"/>
        <v>No Counter</v>
      </c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B249" s="39"/>
      <c r="AC249" s="39" t="str">
        <f t="shared" si="1"/>
        <v/>
      </c>
      <c r="AD249" s="39" t="str">
        <f t="shared" si="2"/>
        <v/>
      </c>
      <c r="AE249" s="39" t="str">
        <f t="shared" si="3"/>
        <v>No Counter</v>
      </c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B250" s="39"/>
      <c r="AC250" s="39" t="str">
        <f t="shared" si="1"/>
        <v/>
      </c>
      <c r="AD250" s="39" t="str">
        <f t="shared" si="2"/>
        <v/>
      </c>
      <c r="AE250" s="39" t="str">
        <f t="shared" si="3"/>
        <v>No Counter</v>
      </c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B251" s="39"/>
      <c r="AC251" s="39" t="str">
        <f t="shared" si="1"/>
        <v/>
      </c>
      <c r="AD251" s="39" t="str">
        <f t="shared" si="2"/>
        <v/>
      </c>
      <c r="AE251" s="39" t="str">
        <f t="shared" si="3"/>
        <v>No Counter</v>
      </c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B252" s="39"/>
      <c r="AC252" s="39" t="str">
        <f t="shared" si="1"/>
        <v/>
      </c>
      <c r="AD252" s="39" t="str">
        <f t="shared" si="2"/>
        <v/>
      </c>
      <c r="AE252" s="39" t="str">
        <f t="shared" si="3"/>
        <v>No Counter</v>
      </c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B253" s="39"/>
      <c r="AC253" s="39" t="str">
        <f t="shared" si="1"/>
        <v/>
      </c>
      <c r="AD253" s="39" t="str">
        <f t="shared" si="2"/>
        <v/>
      </c>
      <c r="AE253" s="39" t="str">
        <f t="shared" si="3"/>
        <v>No Counter</v>
      </c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B254" s="39"/>
      <c r="AC254" s="39" t="str">
        <f t="shared" si="1"/>
        <v/>
      </c>
      <c r="AD254" s="39" t="str">
        <f t="shared" si="2"/>
        <v/>
      </c>
      <c r="AE254" s="39" t="str">
        <f t="shared" si="3"/>
        <v>No Counter</v>
      </c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B255" s="39"/>
      <c r="AC255" s="39" t="str">
        <f t="shared" si="1"/>
        <v/>
      </c>
      <c r="AD255" s="39" t="str">
        <f t="shared" si="2"/>
        <v/>
      </c>
      <c r="AE255" s="39" t="str">
        <f t="shared" si="3"/>
        <v>No Counter</v>
      </c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B256" s="39"/>
      <c r="AC256" s="39" t="str">
        <f t="shared" si="1"/>
        <v/>
      </c>
      <c r="AD256" s="39" t="str">
        <f t="shared" si="2"/>
        <v/>
      </c>
      <c r="AE256" s="39" t="str">
        <f t="shared" si="3"/>
        <v>No Counter</v>
      </c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B257" s="39"/>
      <c r="AC257" s="39" t="str">
        <f t="shared" si="1"/>
        <v/>
      </c>
      <c r="AD257" s="39" t="str">
        <f t="shared" si="2"/>
        <v/>
      </c>
      <c r="AE257" s="39" t="str">
        <f t="shared" si="3"/>
        <v>No Counter</v>
      </c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B258" s="39"/>
      <c r="AC258" s="39" t="str">
        <f t="shared" si="1"/>
        <v/>
      </c>
      <c r="AD258" s="39" t="str">
        <f t="shared" si="2"/>
        <v/>
      </c>
      <c r="AE258" s="39" t="str">
        <f t="shared" si="3"/>
        <v>No Counter</v>
      </c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B259" s="39"/>
      <c r="AC259" s="39" t="str">
        <f t="shared" si="1"/>
        <v/>
      </c>
      <c r="AD259" s="39" t="str">
        <f t="shared" si="2"/>
        <v/>
      </c>
      <c r="AE259" s="39" t="str">
        <f t="shared" si="3"/>
        <v>No Counter</v>
      </c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B260" s="39"/>
      <c r="AC260" s="39" t="str">
        <f t="shared" si="1"/>
        <v/>
      </c>
      <c r="AD260" s="39" t="str">
        <f t="shared" si="2"/>
        <v/>
      </c>
      <c r="AE260" s="39" t="str">
        <f t="shared" si="3"/>
        <v>No Counter</v>
      </c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B261" s="39"/>
      <c r="AC261" s="39" t="str">
        <f t="shared" si="1"/>
        <v/>
      </c>
      <c r="AD261" s="39" t="str">
        <f t="shared" si="2"/>
        <v/>
      </c>
      <c r="AE261" s="39" t="str">
        <f t="shared" si="3"/>
        <v>No Counter</v>
      </c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B262" s="39"/>
      <c r="AC262" s="39" t="str">
        <f t="shared" si="1"/>
        <v/>
      </c>
      <c r="AD262" s="39" t="str">
        <f t="shared" si="2"/>
        <v/>
      </c>
      <c r="AE262" s="39" t="str">
        <f t="shared" si="3"/>
        <v>No Counter</v>
      </c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B263" s="39"/>
      <c r="AC263" s="39" t="str">
        <f t="shared" si="1"/>
        <v/>
      </c>
      <c r="AD263" s="39" t="str">
        <f t="shared" si="2"/>
        <v/>
      </c>
      <c r="AE263" s="39" t="str">
        <f t="shared" si="3"/>
        <v>No Counter</v>
      </c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B264" s="39"/>
      <c r="AC264" s="39" t="str">
        <f t="shared" si="1"/>
        <v/>
      </c>
      <c r="AD264" s="39" t="str">
        <f t="shared" si="2"/>
        <v/>
      </c>
      <c r="AE264" s="39" t="str">
        <f t="shared" si="3"/>
        <v>No Counter</v>
      </c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B265" s="39"/>
      <c r="AC265" s="39" t="str">
        <f t="shared" si="1"/>
        <v/>
      </c>
      <c r="AD265" s="39" t="str">
        <f t="shared" si="2"/>
        <v/>
      </c>
      <c r="AE265" s="39" t="str">
        <f t="shared" si="3"/>
        <v>No Counter</v>
      </c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B266" s="39"/>
      <c r="AC266" s="39" t="str">
        <f t="shared" si="1"/>
        <v/>
      </c>
      <c r="AD266" s="39" t="str">
        <f t="shared" si="2"/>
        <v/>
      </c>
      <c r="AE266" s="39" t="str">
        <f t="shared" si="3"/>
        <v>No Counter</v>
      </c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B267" s="39"/>
      <c r="AC267" s="39" t="str">
        <f t="shared" si="1"/>
        <v/>
      </c>
      <c r="AD267" s="39" t="str">
        <f t="shared" si="2"/>
        <v/>
      </c>
      <c r="AE267" s="39" t="str">
        <f t="shared" si="3"/>
        <v>No Counter</v>
      </c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B268" s="39"/>
      <c r="AC268" s="39" t="str">
        <f t="shared" si="1"/>
        <v/>
      </c>
      <c r="AD268" s="39" t="str">
        <f t="shared" si="2"/>
        <v/>
      </c>
      <c r="AE268" s="39" t="str">
        <f t="shared" si="3"/>
        <v>No Counter</v>
      </c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B269" s="39"/>
      <c r="AC269" s="39" t="str">
        <f t="shared" si="1"/>
        <v/>
      </c>
      <c r="AD269" s="39" t="str">
        <f t="shared" si="2"/>
        <v/>
      </c>
      <c r="AE269" s="39" t="str">
        <f t="shared" si="3"/>
        <v>No Counter</v>
      </c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B270" s="39"/>
      <c r="AC270" s="39" t="str">
        <f t="shared" si="1"/>
        <v/>
      </c>
      <c r="AD270" s="39" t="str">
        <f t="shared" si="2"/>
        <v/>
      </c>
      <c r="AE270" s="39" t="str">
        <f t="shared" si="3"/>
        <v>No Counter</v>
      </c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B271" s="39"/>
      <c r="AC271" s="39" t="str">
        <f t="shared" si="1"/>
        <v/>
      </c>
      <c r="AD271" s="39" t="str">
        <f t="shared" si="2"/>
        <v/>
      </c>
      <c r="AE271" s="39" t="str">
        <f t="shared" si="3"/>
        <v>No Counter</v>
      </c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B272" s="39"/>
      <c r="AC272" s="39" t="str">
        <f t="shared" si="1"/>
        <v/>
      </c>
      <c r="AD272" s="39" t="str">
        <f t="shared" si="2"/>
        <v/>
      </c>
      <c r="AE272" s="39" t="str">
        <f t="shared" si="3"/>
        <v>No Counter</v>
      </c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B273" s="39"/>
      <c r="AC273" s="39" t="str">
        <f t="shared" si="1"/>
        <v/>
      </c>
      <c r="AD273" s="39" t="str">
        <f t="shared" si="2"/>
        <v/>
      </c>
      <c r="AE273" s="39" t="str">
        <f t="shared" si="3"/>
        <v>No Counter</v>
      </c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B274" s="39"/>
      <c r="AC274" s="39" t="str">
        <f t="shared" si="1"/>
        <v/>
      </c>
      <c r="AD274" s="39" t="str">
        <f t="shared" si="2"/>
        <v/>
      </c>
      <c r="AE274" s="39" t="str">
        <f t="shared" si="3"/>
        <v>No Counter</v>
      </c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B275" s="39"/>
      <c r="AC275" s="39" t="str">
        <f t="shared" si="1"/>
        <v/>
      </c>
      <c r="AD275" s="39" t="str">
        <f t="shared" si="2"/>
        <v/>
      </c>
      <c r="AE275" s="39" t="str">
        <f t="shared" si="3"/>
        <v>No Counter</v>
      </c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B276" s="39"/>
      <c r="AC276" s="39" t="str">
        <f t="shared" si="1"/>
        <v/>
      </c>
      <c r="AD276" s="39" t="str">
        <f t="shared" si="2"/>
        <v/>
      </c>
      <c r="AE276" s="39" t="str">
        <f t="shared" si="3"/>
        <v>No Counter</v>
      </c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B277" s="39"/>
      <c r="AC277" s="39" t="str">
        <f t="shared" si="1"/>
        <v/>
      </c>
      <c r="AD277" s="39" t="str">
        <f t="shared" si="2"/>
        <v/>
      </c>
      <c r="AE277" s="39" t="str">
        <f t="shared" si="3"/>
        <v>No Counter</v>
      </c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B278" s="39"/>
      <c r="AC278" s="39" t="str">
        <f t="shared" si="1"/>
        <v/>
      </c>
      <c r="AD278" s="39" t="str">
        <f t="shared" si="2"/>
        <v/>
      </c>
      <c r="AE278" s="39" t="str">
        <f t="shared" si="3"/>
        <v>No Counter</v>
      </c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B279" s="39"/>
      <c r="AC279" s="39" t="str">
        <f t="shared" si="1"/>
        <v/>
      </c>
      <c r="AD279" s="39" t="str">
        <f t="shared" si="2"/>
        <v/>
      </c>
      <c r="AE279" s="39" t="str">
        <f t="shared" si="3"/>
        <v>No Counter</v>
      </c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B280" s="39"/>
      <c r="AC280" s="39" t="str">
        <f t="shared" si="1"/>
        <v/>
      </c>
      <c r="AD280" s="39" t="str">
        <f t="shared" si="2"/>
        <v/>
      </c>
      <c r="AE280" s="39" t="str">
        <f t="shared" si="3"/>
        <v>No Counter</v>
      </c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B281" s="39"/>
      <c r="AC281" s="39" t="str">
        <f t="shared" si="1"/>
        <v/>
      </c>
      <c r="AD281" s="39" t="str">
        <f t="shared" si="2"/>
        <v/>
      </c>
      <c r="AE281" s="39" t="str">
        <f t="shared" si="3"/>
        <v>No Counter</v>
      </c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B282" s="39"/>
      <c r="AC282" s="39" t="str">
        <f t="shared" si="1"/>
        <v/>
      </c>
      <c r="AD282" s="39" t="str">
        <f t="shared" si="2"/>
        <v/>
      </c>
      <c r="AE282" s="39" t="str">
        <f t="shared" si="3"/>
        <v>No Counter</v>
      </c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B283" s="39"/>
      <c r="AC283" s="39" t="str">
        <f t="shared" si="1"/>
        <v/>
      </c>
      <c r="AD283" s="39" t="str">
        <f t="shared" si="2"/>
        <v/>
      </c>
      <c r="AE283" s="39" t="str">
        <f t="shared" si="3"/>
        <v>No Counter</v>
      </c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B284" s="39"/>
      <c r="AC284" s="39" t="str">
        <f t="shared" si="1"/>
        <v/>
      </c>
      <c r="AD284" s="39" t="str">
        <f t="shared" si="2"/>
        <v/>
      </c>
      <c r="AE284" s="39" t="str">
        <f t="shared" si="3"/>
        <v>No Counter</v>
      </c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B285" s="39"/>
      <c r="AC285" s="39" t="str">
        <f t="shared" si="1"/>
        <v/>
      </c>
      <c r="AD285" s="39" t="str">
        <f t="shared" si="2"/>
        <v/>
      </c>
      <c r="AE285" s="39" t="str">
        <f t="shared" si="3"/>
        <v>No Counter</v>
      </c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B286" s="39"/>
      <c r="AC286" s="39" t="str">
        <f t="shared" si="1"/>
        <v/>
      </c>
      <c r="AD286" s="39" t="str">
        <f t="shared" si="2"/>
        <v/>
      </c>
      <c r="AE286" s="39" t="str">
        <f t="shared" si="3"/>
        <v>No Counter</v>
      </c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B287" s="39"/>
      <c r="AC287" s="39" t="str">
        <f t="shared" si="1"/>
        <v/>
      </c>
      <c r="AD287" s="39" t="str">
        <f t="shared" si="2"/>
        <v/>
      </c>
      <c r="AE287" s="39" t="str">
        <f t="shared" si="3"/>
        <v>No Counter</v>
      </c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B288" s="39"/>
      <c r="AC288" s="39" t="str">
        <f t="shared" si="1"/>
        <v/>
      </c>
      <c r="AD288" s="39" t="str">
        <f t="shared" si="2"/>
        <v/>
      </c>
      <c r="AE288" s="39" t="str">
        <f t="shared" si="3"/>
        <v>No Counter</v>
      </c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B289" s="39"/>
      <c r="AC289" s="39" t="str">
        <f t="shared" si="1"/>
        <v/>
      </c>
      <c r="AD289" s="39" t="str">
        <f t="shared" si="2"/>
        <v/>
      </c>
      <c r="AE289" s="39" t="str">
        <f t="shared" si="3"/>
        <v>No Counter</v>
      </c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B290" s="39"/>
      <c r="AC290" s="39" t="str">
        <f t="shared" si="1"/>
        <v/>
      </c>
      <c r="AD290" s="39" t="str">
        <f t="shared" si="2"/>
        <v/>
      </c>
      <c r="AE290" s="39" t="str">
        <f t="shared" si="3"/>
        <v>No Counter</v>
      </c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B291" s="39"/>
      <c r="AC291" s="39" t="str">
        <f t="shared" si="1"/>
        <v/>
      </c>
      <c r="AD291" s="39" t="str">
        <f t="shared" si="2"/>
        <v/>
      </c>
      <c r="AE291" s="39" t="str">
        <f t="shared" si="3"/>
        <v>No Counter</v>
      </c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B292" s="39"/>
      <c r="AC292" s="39" t="str">
        <f t="shared" si="1"/>
        <v/>
      </c>
      <c r="AD292" s="39" t="str">
        <f t="shared" si="2"/>
        <v/>
      </c>
      <c r="AE292" s="39" t="str">
        <f t="shared" si="3"/>
        <v>No Counter</v>
      </c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B293" s="39"/>
      <c r="AC293" s="39" t="str">
        <f t="shared" si="1"/>
        <v/>
      </c>
      <c r="AD293" s="39" t="str">
        <f t="shared" si="2"/>
        <v/>
      </c>
      <c r="AE293" s="39" t="str">
        <f t="shared" si="3"/>
        <v>No Counter</v>
      </c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B294" s="39"/>
      <c r="AC294" s="39" t="str">
        <f t="shared" si="1"/>
        <v/>
      </c>
      <c r="AD294" s="39" t="str">
        <f t="shared" si="2"/>
        <v/>
      </c>
      <c r="AE294" s="39" t="str">
        <f t="shared" si="3"/>
        <v>No Counter</v>
      </c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B295" s="39"/>
      <c r="AC295" s="39" t="str">
        <f t="shared" si="1"/>
        <v/>
      </c>
      <c r="AD295" s="39" t="str">
        <f t="shared" si="2"/>
        <v/>
      </c>
      <c r="AE295" s="39" t="str">
        <f t="shared" si="3"/>
        <v>No Counter</v>
      </c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B296" s="39"/>
      <c r="AC296" s="39" t="str">
        <f t="shared" si="1"/>
        <v/>
      </c>
      <c r="AD296" s="39" t="str">
        <f t="shared" si="2"/>
        <v/>
      </c>
      <c r="AE296" s="39" t="str">
        <f t="shared" si="3"/>
        <v>No Counter</v>
      </c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B297" s="39"/>
      <c r="AC297" s="39" t="str">
        <f t="shared" si="1"/>
        <v/>
      </c>
      <c r="AD297" s="39" t="str">
        <f t="shared" si="2"/>
        <v/>
      </c>
      <c r="AE297" s="39" t="str">
        <f t="shared" si="3"/>
        <v>No Counter</v>
      </c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B298" s="39"/>
      <c r="AC298" s="39" t="str">
        <f t="shared" si="1"/>
        <v/>
      </c>
      <c r="AD298" s="39" t="str">
        <f t="shared" si="2"/>
        <v/>
      </c>
      <c r="AE298" s="39" t="str">
        <f t="shared" si="3"/>
        <v>No Counter</v>
      </c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B299" s="39"/>
      <c r="AC299" s="39" t="str">
        <f t="shared" si="1"/>
        <v/>
      </c>
      <c r="AD299" s="39" t="str">
        <f t="shared" si="2"/>
        <v/>
      </c>
      <c r="AE299" s="39" t="str">
        <f t="shared" si="3"/>
        <v>No Counter</v>
      </c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B300" s="39"/>
      <c r="AC300" s="39" t="str">
        <f t="shared" si="1"/>
        <v/>
      </c>
      <c r="AD300" s="39" t="str">
        <f t="shared" si="2"/>
        <v/>
      </c>
      <c r="AE300" s="39" t="str">
        <f t="shared" si="3"/>
        <v>No Counter</v>
      </c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B301" s="39"/>
      <c r="AC301" s="39" t="str">
        <f t="shared" si="1"/>
        <v/>
      </c>
      <c r="AD301" s="39" t="str">
        <f t="shared" si="2"/>
        <v/>
      </c>
      <c r="AE301" s="39" t="str">
        <f t="shared" si="3"/>
        <v>No Counter</v>
      </c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B302" s="39"/>
      <c r="AC302" s="39" t="str">
        <f t="shared" si="1"/>
        <v/>
      </c>
      <c r="AD302" s="39" t="str">
        <f t="shared" si="2"/>
        <v/>
      </c>
      <c r="AE302" s="39" t="str">
        <f t="shared" si="3"/>
        <v>No Counter</v>
      </c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B303" s="39"/>
      <c r="AC303" s="39" t="str">
        <f t="shared" si="1"/>
        <v/>
      </c>
      <c r="AD303" s="39" t="str">
        <f t="shared" si="2"/>
        <v/>
      </c>
      <c r="AE303" s="39" t="str">
        <f t="shared" si="3"/>
        <v>No Counter</v>
      </c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B304" s="39"/>
      <c r="AC304" s="39" t="str">
        <f t="shared" si="1"/>
        <v/>
      </c>
      <c r="AD304" s="39" t="str">
        <f t="shared" si="2"/>
        <v/>
      </c>
      <c r="AE304" s="39" t="str">
        <f t="shared" si="3"/>
        <v>No Counter</v>
      </c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B305" s="39"/>
      <c r="AC305" s="39" t="str">
        <f t="shared" si="1"/>
        <v/>
      </c>
      <c r="AD305" s="39" t="str">
        <f t="shared" si="2"/>
        <v/>
      </c>
      <c r="AE305" s="39" t="str">
        <f t="shared" si="3"/>
        <v>No Counter</v>
      </c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B306" s="39"/>
      <c r="AC306" s="39" t="str">
        <f t="shared" si="1"/>
        <v/>
      </c>
      <c r="AD306" s="39" t="str">
        <f t="shared" si="2"/>
        <v/>
      </c>
      <c r="AE306" s="39" t="str">
        <f t="shared" si="3"/>
        <v>No Counter</v>
      </c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B307" s="39"/>
      <c r="AC307" s="39" t="str">
        <f t="shared" si="1"/>
        <v/>
      </c>
      <c r="AD307" s="39" t="str">
        <f t="shared" si="2"/>
        <v/>
      </c>
      <c r="AE307" s="39" t="str">
        <f t="shared" si="3"/>
        <v>No Counter</v>
      </c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B308" s="39"/>
      <c r="AC308" s="39" t="str">
        <f t="shared" si="1"/>
        <v/>
      </c>
      <c r="AD308" s="39" t="str">
        <f t="shared" si="2"/>
        <v/>
      </c>
      <c r="AE308" s="39" t="str">
        <f t="shared" si="3"/>
        <v>No Counter</v>
      </c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B309" s="39"/>
      <c r="AC309" s="39" t="str">
        <f t="shared" si="1"/>
        <v/>
      </c>
      <c r="AD309" s="39" t="str">
        <f t="shared" si="2"/>
        <v/>
      </c>
      <c r="AE309" s="39" t="str">
        <f t="shared" si="3"/>
        <v>No Counter</v>
      </c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B310" s="39"/>
      <c r="AC310" s="39" t="str">
        <f t="shared" si="1"/>
        <v/>
      </c>
      <c r="AD310" s="39" t="str">
        <f t="shared" si="2"/>
        <v/>
      </c>
      <c r="AE310" s="39" t="str">
        <f t="shared" si="3"/>
        <v>No Counter</v>
      </c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B311" s="39"/>
      <c r="AC311" s="39" t="str">
        <f t="shared" si="1"/>
        <v/>
      </c>
      <c r="AD311" s="39" t="str">
        <f t="shared" si="2"/>
        <v/>
      </c>
      <c r="AE311" s="39" t="str">
        <f t="shared" si="3"/>
        <v>No Counter</v>
      </c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B312" s="39"/>
      <c r="AC312" s="39" t="str">
        <f t="shared" si="1"/>
        <v/>
      </c>
      <c r="AD312" s="39" t="str">
        <f t="shared" si="2"/>
        <v/>
      </c>
      <c r="AE312" s="39" t="str">
        <f t="shared" si="3"/>
        <v>No Counter</v>
      </c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B313" s="39"/>
      <c r="AC313" s="39" t="str">
        <f t="shared" si="1"/>
        <v/>
      </c>
      <c r="AD313" s="39" t="str">
        <f t="shared" si="2"/>
        <v/>
      </c>
      <c r="AE313" s="39" t="str">
        <f t="shared" si="3"/>
        <v>No Counter</v>
      </c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B314" s="39"/>
      <c r="AC314" s="39" t="str">
        <f t="shared" si="1"/>
        <v/>
      </c>
      <c r="AD314" s="39" t="str">
        <f t="shared" si="2"/>
        <v/>
      </c>
      <c r="AE314" s="39" t="str">
        <f t="shared" si="3"/>
        <v>No Counter</v>
      </c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B315" s="39"/>
      <c r="AC315" s="39" t="str">
        <f t="shared" si="1"/>
        <v/>
      </c>
      <c r="AD315" s="39" t="str">
        <f t="shared" si="2"/>
        <v/>
      </c>
      <c r="AE315" s="39" t="str">
        <f t="shared" si="3"/>
        <v>No Counter</v>
      </c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B316" s="39"/>
      <c r="AC316" s="39" t="str">
        <f t="shared" si="1"/>
        <v/>
      </c>
      <c r="AD316" s="39" t="str">
        <f t="shared" si="2"/>
        <v/>
      </c>
      <c r="AE316" s="39" t="str">
        <f t="shared" si="3"/>
        <v>No Counter</v>
      </c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B317" s="39"/>
      <c r="AC317" s="39" t="str">
        <f t="shared" si="1"/>
        <v/>
      </c>
      <c r="AD317" s="39" t="str">
        <f t="shared" si="2"/>
        <v/>
      </c>
      <c r="AE317" s="39" t="str">
        <f t="shared" si="3"/>
        <v>No Counter</v>
      </c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B318" s="39"/>
      <c r="AC318" s="39" t="str">
        <f t="shared" si="1"/>
        <v/>
      </c>
      <c r="AD318" s="39" t="str">
        <f t="shared" si="2"/>
        <v/>
      </c>
      <c r="AE318" s="39" t="str">
        <f t="shared" si="3"/>
        <v>No Counter</v>
      </c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B319" s="39"/>
      <c r="AC319" s="39" t="str">
        <f t="shared" si="1"/>
        <v/>
      </c>
      <c r="AD319" s="39" t="str">
        <f t="shared" si="2"/>
        <v/>
      </c>
      <c r="AE319" s="39" t="str">
        <f t="shared" si="3"/>
        <v>No Counter</v>
      </c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B320" s="39"/>
      <c r="AC320" s="39" t="str">
        <f t="shared" si="1"/>
        <v/>
      </c>
      <c r="AD320" s="39" t="str">
        <f t="shared" si="2"/>
        <v/>
      </c>
      <c r="AE320" s="39" t="str">
        <f t="shared" si="3"/>
        <v>No Counter</v>
      </c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B321" s="39"/>
      <c r="AC321" s="39" t="str">
        <f t="shared" si="1"/>
        <v/>
      </c>
      <c r="AD321" s="39" t="str">
        <f t="shared" si="2"/>
        <v/>
      </c>
      <c r="AE321" s="39" t="str">
        <f t="shared" si="3"/>
        <v>No Counter</v>
      </c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B322" s="39"/>
      <c r="AC322" s="39" t="str">
        <f t="shared" si="1"/>
        <v/>
      </c>
      <c r="AD322" s="39" t="str">
        <f t="shared" si="2"/>
        <v/>
      </c>
      <c r="AE322" s="39" t="str">
        <f t="shared" si="3"/>
        <v>No Counter</v>
      </c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B323" s="39"/>
      <c r="AC323" s="39" t="str">
        <f t="shared" si="1"/>
        <v/>
      </c>
      <c r="AD323" s="39" t="str">
        <f t="shared" si="2"/>
        <v/>
      </c>
      <c r="AE323" s="39" t="str">
        <f t="shared" si="3"/>
        <v>No Counter</v>
      </c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B324" s="39"/>
      <c r="AC324" s="39" t="str">
        <f t="shared" si="1"/>
        <v/>
      </c>
      <c r="AD324" s="39" t="str">
        <f t="shared" si="2"/>
        <v/>
      </c>
      <c r="AE324" s="39" t="str">
        <f t="shared" si="3"/>
        <v>No Counter</v>
      </c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B325" s="39"/>
      <c r="AC325" s="39" t="str">
        <f t="shared" si="1"/>
        <v/>
      </c>
      <c r="AD325" s="39" t="str">
        <f t="shared" si="2"/>
        <v/>
      </c>
      <c r="AE325" s="39" t="str">
        <f t="shared" si="3"/>
        <v>No Counter</v>
      </c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B326" s="39"/>
      <c r="AC326" s="39" t="str">
        <f t="shared" si="1"/>
        <v/>
      </c>
      <c r="AD326" s="39" t="str">
        <f t="shared" si="2"/>
        <v/>
      </c>
      <c r="AE326" s="39" t="str">
        <f t="shared" si="3"/>
        <v>No Counter</v>
      </c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B327" s="39"/>
      <c r="AC327" s="39" t="str">
        <f t="shared" si="1"/>
        <v/>
      </c>
      <c r="AD327" s="39" t="str">
        <f t="shared" si="2"/>
        <v/>
      </c>
      <c r="AE327" s="39" t="str">
        <f t="shared" si="3"/>
        <v>No Counter</v>
      </c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B328" s="39"/>
      <c r="AC328" s="39" t="str">
        <f t="shared" si="1"/>
        <v/>
      </c>
      <c r="AD328" s="39" t="str">
        <f t="shared" si="2"/>
        <v/>
      </c>
      <c r="AE328" s="39" t="str">
        <f t="shared" si="3"/>
        <v>No Counter</v>
      </c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B329" s="39"/>
      <c r="AC329" s="39" t="str">
        <f t="shared" si="1"/>
        <v/>
      </c>
      <c r="AD329" s="39" t="str">
        <f t="shared" si="2"/>
        <v/>
      </c>
      <c r="AE329" s="39" t="str">
        <f t="shared" si="3"/>
        <v>No Counter</v>
      </c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B330" s="39"/>
      <c r="AC330" s="39" t="str">
        <f t="shared" si="1"/>
        <v/>
      </c>
      <c r="AD330" s="39" t="str">
        <f t="shared" si="2"/>
        <v/>
      </c>
      <c r="AE330" s="39" t="str">
        <f t="shared" si="3"/>
        <v>No Counter</v>
      </c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B331" s="39"/>
      <c r="AC331" s="39" t="str">
        <f t="shared" si="1"/>
        <v/>
      </c>
      <c r="AD331" s="39" t="str">
        <f t="shared" si="2"/>
        <v/>
      </c>
      <c r="AE331" s="39" t="str">
        <f t="shared" si="3"/>
        <v>No Counter</v>
      </c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B332" s="39"/>
      <c r="AC332" s="39" t="str">
        <f t="shared" si="1"/>
        <v/>
      </c>
      <c r="AD332" s="39" t="str">
        <f t="shared" si="2"/>
        <v/>
      </c>
      <c r="AE332" s="39" t="str">
        <f t="shared" si="3"/>
        <v>No Counter</v>
      </c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B333" s="39"/>
      <c r="AC333" s="39" t="str">
        <f t="shared" si="1"/>
        <v/>
      </c>
      <c r="AD333" s="39" t="str">
        <f t="shared" si="2"/>
        <v/>
      </c>
      <c r="AE333" s="39" t="str">
        <f t="shared" si="3"/>
        <v>No Counter</v>
      </c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B334" s="39"/>
      <c r="AC334" s="39" t="str">
        <f t="shared" si="1"/>
        <v/>
      </c>
      <c r="AD334" s="39" t="str">
        <f t="shared" si="2"/>
        <v/>
      </c>
      <c r="AE334" s="39" t="str">
        <f t="shared" si="3"/>
        <v>No Counter</v>
      </c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B335" s="39"/>
      <c r="AC335" s="39" t="str">
        <f t="shared" si="1"/>
        <v/>
      </c>
      <c r="AD335" s="39" t="str">
        <f t="shared" si="2"/>
        <v/>
      </c>
      <c r="AE335" s="39" t="str">
        <f t="shared" si="3"/>
        <v>No Counter</v>
      </c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B336" s="39"/>
      <c r="AC336" s="39" t="str">
        <f t="shared" si="1"/>
        <v/>
      </c>
      <c r="AD336" s="39" t="str">
        <f t="shared" si="2"/>
        <v/>
      </c>
      <c r="AE336" s="39" t="str">
        <f t="shared" si="3"/>
        <v>No Counter</v>
      </c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B337" s="39"/>
      <c r="AC337" s="39" t="str">
        <f t="shared" si="1"/>
        <v/>
      </c>
      <c r="AD337" s="39" t="str">
        <f t="shared" si="2"/>
        <v/>
      </c>
      <c r="AE337" s="39" t="str">
        <f t="shared" si="3"/>
        <v>No Counter</v>
      </c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B338" s="39"/>
      <c r="AC338" s="39" t="str">
        <f t="shared" si="1"/>
        <v/>
      </c>
      <c r="AD338" s="39" t="str">
        <f t="shared" si="2"/>
        <v/>
      </c>
      <c r="AE338" s="39" t="str">
        <f t="shared" si="3"/>
        <v>No Counter</v>
      </c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B339" s="39"/>
      <c r="AC339" s="39" t="str">
        <f t="shared" si="1"/>
        <v/>
      </c>
      <c r="AD339" s="39" t="str">
        <f t="shared" si="2"/>
        <v/>
      </c>
      <c r="AE339" s="39" t="str">
        <f t="shared" si="3"/>
        <v>No Counter</v>
      </c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B340" s="39"/>
      <c r="AC340" s="39" t="str">
        <f t="shared" si="1"/>
        <v/>
      </c>
      <c r="AD340" s="39" t="str">
        <f t="shared" si="2"/>
        <v/>
      </c>
      <c r="AE340" s="39" t="str">
        <f t="shared" si="3"/>
        <v>No Counter</v>
      </c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B341" s="39"/>
      <c r="AC341" s="39" t="str">
        <f t="shared" si="1"/>
        <v/>
      </c>
      <c r="AD341" s="39" t="str">
        <f t="shared" si="2"/>
        <v/>
      </c>
      <c r="AE341" s="39" t="str">
        <f t="shared" si="3"/>
        <v>No Counter</v>
      </c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B342" s="39"/>
      <c r="AC342" s="39" t="str">
        <f t="shared" si="1"/>
        <v/>
      </c>
      <c r="AD342" s="39" t="str">
        <f t="shared" si="2"/>
        <v/>
      </c>
      <c r="AE342" s="39" t="str">
        <f t="shared" si="3"/>
        <v>No Counter</v>
      </c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B343" s="39"/>
      <c r="AC343" s="39" t="str">
        <f t="shared" si="1"/>
        <v/>
      </c>
      <c r="AD343" s="39" t="str">
        <f t="shared" si="2"/>
        <v/>
      </c>
      <c r="AE343" s="39" t="str">
        <f t="shared" si="3"/>
        <v>No Counter</v>
      </c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B344" s="39"/>
      <c r="AC344" s="39" t="str">
        <f t="shared" si="1"/>
        <v/>
      </c>
      <c r="AD344" s="39" t="str">
        <f t="shared" si="2"/>
        <v/>
      </c>
      <c r="AE344" s="39" t="str">
        <f t="shared" si="3"/>
        <v>No Counter</v>
      </c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B345" s="39"/>
      <c r="AC345" s="39" t="str">
        <f t="shared" si="1"/>
        <v/>
      </c>
      <c r="AD345" s="39" t="str">
        <f t="shared" si="2"/>
        <v/>
      </c>
      <c r="AE345" s="39" t="str">
        <f t="shared" si="3"/>
        <v>No Counter</v>
      </c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B346" s="39"/>
      <c r="AC346" s="39" t="str">
        <f t="shared" si="1"/>
        <v/>
      </c>
      <c r="AD346" s="39" t="str">
        <f t="shared" si="2"/>
        <v/>
      </c>
      <c r="AE346" s="39" t="str">
        <f t="shared" si="3"/>
        <v>No Counter</v>
      </c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B347" s="39"/>
      <c r="AC347" s="39" t="str">
        <f t="shared" si="1"/>
        <v/>
      </c>
      <c r="AD347" s="39" t="str">
        <f t="shared" si="2"/>
        <v/>
      </c>
      <c r="AE347" s="39" t="str">
        <f t="shared" si="3"/>
        <v>No Counter</v>
      </c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B348" s="39"/>
      <c r="AC348" s="39" t="str">
        <f t="shared" si="1"/>
        <v/>
      </c>
      <c r="AD348" s="39" t="str">
        <f t="shared" si="2"/>
        <v/>
      </c>
      <c r="AE348" s="39" t="str">
        <f t="shared" si="3"/>
        <v>No Counter</v>
      </c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B349" s="39"/>
      <c r="AC349" s="39" t="str">
        <f t="shared" si="1"/>
        <v/>
      </c>
      <c r="AD349" s="39" t="str">
        <f t="shared" si="2"/>
        <v/>
      </c>
      <c r="AE349" s="39" t="str">
        <f t="shared" si="3"/>
        <v>No Counter</v>
      </c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B350" s="39"/>
      <c r="AC350" s="39" t="str">
        <f t="shared" si="1"/>
        <v/>
      </c>
      <c r="AD350" s="39" t="str">
        <f t="shared" si="2"/>
        <v/>
      </c>
      <c r="AE350" s="39" t="str">
        <f t="shared" si="3"/>
        <v>No Counter</v>
      </c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B351" s="39"/>
      <c r="AC351" s="39" t="str">
        <f t="shared" si="1"/>
        <v/>
      </c>
      <c r="AD351" s="39" t="str">
        <f t="shared" si="2"/>
        <v/>
      </c>
      <c r="AE351" s="39" t="str">
        <f t="shared" si="3"/>
        <v>No Counter</v>
      </c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B352" s="39"/>
      <c r="AC352" s="39" t="str">
        <f t="shared" si="1"/>
        <v/>
      </c>
      <c r="AD352" s="39" t="str">
        <f t="shared" si="2"/>
        <v/>
      </c>
      <c r="AE352" s="39" t="str">
        <f t="shared" si="3"/>
        <v>No Counter</v>
      </c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B353" s="39"/>
      <c r="AC353" s="39" t="str">
        <f t="shared" si="1"/>
        <v/>
      </c>
      <c r="AD353" s="39" t="str">
        <f t="shared" si="2"/>
        <v/>
      </c>
      <c r="AE353" s="39" t="str">
        <f t="shared" si="3"/>
        <v>No Counter</v>
      </c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B354" s="39"/>
      <c r="AC354" s="39" t="str">
        <f t="shared" si="1"/>
        <v/>
      </c>
      <c r="AD354" s="39" t="str">
        <f t="shared" si="2"/>
        <v/>
      </c>
      <c r="AE354" s="39" t="str">
        <f t="shared" si="3"/>
        <v>No Counter</v>
      </c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B355" s="39"/>
      <c r="AC355" s="39" t="str">
        <f t="shared" si="1"/>
        <v/>
      </c>
      <c r="AD355" s="39" t="str">
        <f t="shared" si="2"/>
        <v/>
      </c>
      <c r="AE355" s="39" t="str">
        <f t="shared" si="3"/>
        <v>No Counter</v>
      </c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B356" s="39"/>
      <c r="AC356" s="39" t="str">
        <f t="shared" si="1"/>
        <v/>
      </c>
      <c r="AD356" s="39" t="str">
        <f t="shared" si="2"/>
        <v/>
      </c>
      <c r="AE356" s="39" t="str">
        <f t="shared" si="3"/>
        <v>No Counter</v>
      </c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B357" s="39"/>
      <c r="AC357" s="39" t="str">
        <f t="shared" si="1"/>
        <v/>
      </c>
      <c r="AD357" s="39" t="str">
        <f t="shared" si="2"/>
        <v/>
      </c>
      <c r="AE357" s="39" t="str">
        <f t="shared" si="3"/>
        <v>No Counter</v>
      </c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B358" s="39"/>
      <c r="AC358" s="39" t="str">
        <f t="shared" si="1"/>
        <v/>
      </c>
      <c r="AD358" s="39" t="str">
        <f t="shared" si="2"/>
        <v/>
      </c>
      <c r="AE358" s="39" t="str">
        <f t="shared" si="3"/>
        <v>No Counter</v>
      </c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B359" s="39"/>
      <c r="AC359" s="39" t="str">
        <f t="shared" si="1"/>
        <v/>
      </c>
      <c r="AD359" s="39" t="str">
        <f t="shared" si="2"/>
        <v/>
      </c>
      <c r="AE359" s="39" t="str">
        <f t="shared" si="3"/>
        <v>No Counter</v>
      </c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B360" s="39"/>
      <c r="AC360" s="39" t="str">
        <f t="shared" si="1"/>
        <v/>
      </c>
      <c r="AD360" s="39" t="str">
        <f t="shared" si="2"/>
        <v/>
      </c>
      <c r="AE360" s="39" t="str">
        <f t="shared" si="3"/>
        <v>No Counter</v>
      </c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B361" s="39"/>
      <c r="AC361" s="39" t="str">
        <f t="shared" si="1"/>
        <v/>
      </c>
      <c r="AD361" s="39" t="str">
        <f t="shared" si="2"/>
        <v/>
      </c>
      <c r="AE361" s="39" t="str">
        <f t="shared" si="3"/>
        <v>No Counter</v>
      </c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B362" s="39"/>
      <c r="AC362" s="39" t="str">
        <f t="shared" si="1"/>
        <v/>
      </c>
      <c r="AD362" s="39" t="str">
        <f t="shared" si="2"/>
        <v/>
      </c>
      <c r="AE362" s="39" t="str">
        <f t="shared" si="3"/>
        <v>No Counter</v>
      </c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B363" s="39"/>
      <c r="AC363" s="39" t="str">
        <f t="shared" si="1"/>
        <v/>
      </c>
      <c r="AD363" s="39" t="str">
        <f t="shared" si="2"/>
        <v/>
      </c>
      <c r="AE363" s="39" t="str">
        <f t="shared" si="3"/>
        <v>No Counter</v>
      </c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B364" s="39"/>
      <c r="AC364" s="39" t="str">
        <f t="shared" si="1"/>
        <v/>
      </c>
      <c r="AD364" s="39" t="str">
        <f t="shared" si="2"/>
        <v/>
      </c>
      <c r="AE364" s="39" t="str">
        <f t="shared" si="3"/>
        <v>No Counter</v>
      </c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B365" s="39"/>
      <c r="AC365" s="39" t="str">
        <f t="shared" si="1"/>
        <v/>
      </c>
      <c r="AD365" s="39" t="str">
        <f t="shared" si="2"/>
        <v/>
      </c>
      <c r="AE365" s="39" t="str">
        <f t="shared" si="3"/>
        <v>No Counter</v>
      </c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B366" s="39"/>
      <c r="AC366" s="39" t="str">
        <f t="shared" si="1"/>
        <v/>
      </c>
      <c r="AD366" s="39" t="str">
        <f t="shared" si="2"/>
        <v/>
      </c>
      <c r="AE366" s="39" t="str">
        <f t="shared" si="3"/>
        <v>No Counter</v>
      </c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B367" s="39"/>
      <c r="AC367" s="39" t="str">
        <f t="shared" si="1"/>
        <v/>
      </c>
      <c r="AD367" s="39" t="str">
        <f t="shared" si="2"/>
        <v/>
      </c>
      <c r="AE367" s="39" t="str">
        <f t="shared" si="3"/>
        <v>No Counter</v>
      </c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B368" s="39"/>
      <c r="AC368" s="39" t="str">
        <f t="shared" si="1"/>
        <v/>
      </c>
      <c r="AD368" s="39" t="str">
        <f t="shared" si="2"/>
        <v/>
      </c>
      <c r="AE368" s="39" t="str">
        <f t="shared" si="3"/>
        <v>No Counter</v>
      </c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B369" s="39"/>
      <c r="AC369" s="39" t="str">
        <f t="shared" si="1"/>
        <v/>
      </c>
      <c r="AD369" s="39" t="str">
        <f t="shared" si="2"/>
        <v/>
      </c>
      <c r="AE369" s="39" t="str">
        <f t="shared" si="3"/>
        <v>No Counter</v>
      </c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B370" s="39"/>
      <c r="AC370" s="39" t="str">
        <f t="shared" si="1"/>
        <v/>
      </c>
      <c r="AD370" s="39" t="str">
        <f t="shared" si="2"/>
        <v/>
      </c>
      <c r="AE370" s="39" t="str">
        <f t="shared" si="3"/>
        <v>No Counter</v>
      </c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B371" s="39"/>
      <c r="AC371" s="39" t="str">
        <f t="shared" si="1"/>
        <v/>
      </c>
      <c r="AD371" s="39" t="str">
        <f t="shared" si="2"/>
        <v/>
      </c>
      <c r="AE371" s="39" t="str">
        <f t="shared" si="3"/>
        <v>No Counter</v>
      </c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B372" s="39"/>
      <c r="AC372" s="39" t="str">
        <f t="shared" si="1"/>
        <v/>
      </c>
      <c r="AD372" s="39" t="str">
        <f t="shared" si="2"/>
        <v/>
      </c>
      <c r="AE372" s="39" t="str">
        <f t="shared" si="3"/>
        <v>No Counter</v>
      </c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B373" s="39"/>
      <c r="AC373" s="39" t="str">
        <f t="shared" si="1"/>
        <v/>
      </c>
      <c r="AD373" s="39" t="str">
        <f t="shared" si="2"/>
        <v/>
      </c>
      <c r="AE373" s="39" t="str">
        <f t="shared" si="3"/>
        <v>No Counter</v>
      </c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B374" s="39"/>
      <c r="AC374" s="39" t="str">
        <f t="shared" si="1"/>
        <v/>
      </c>
      <c r="AD374" s="39" t="str">
        <f t="shared" si="2"/>
        <v/>
      </c>
      <c r="AE374" s="39" t="str">
        <f t="shared" si="3"/>
        <v>No Counter</v>
      </c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B375" s="39"/>
      <c r="AC375" s="39" t="str">
        <f t="shared" si="1"/>
        <v/>
      </c>
      <c r="AD375" s="39" t="str">
        <f t="shared" si="2"/>
        <v/>
      </c>
      <c r="AE375" s="39" t="str">
        <f t="shared" si="3"/>
        <v>No Counter</v>
      </c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B376" s="39"/>
      <c r="AC376" s="39" t="str">
        <f t="shared" si="1"/>
        <v/>
      </c>
      <c r="AD376" s="39" t="str">
        <f t="shared" si="2"/>
        <v/>
      </c>
      <c r="AE376" s="39" t="str">
        <f t="shared" si="3"/>
        <v>No Counter</v>
      </c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B377" s="39"/>
      <c r="AC377" s="39" t="str">
        <f t="shared" si="1"/>
        <v/>
      </c>
      <c r="AD377" s="39" t="str">
        <f t="shared" si="2"/>
        <v/>
      </c>
      <c r="AE377" s="39" t="str">
        <f t="shared" si="3"/>
        <v>No Counter</v>
      </c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B378" s="39"/>
      <c r="AC378" s="39" t="str">
        <f t="shared" si="1"/>
        <v/>
      </c>
      <c r="AD378" s="39" t="str">
        <f t="shared" si="2"/>
        <v/>
      </c>
      <c r="AE378" s="39" t="str">
        <f t="shared" si="3"/>
        <v>No Counter</v>
      </c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B379" s="39"/>
      <c r="AC379" s="39" t="str">
        <f t="shared" si="1"/>
        <v/>
      </c>
      <c r="AD379" s="39" t="str">
        <f t="shared" si="2"/>
        <v/>
      </c>
      <c r="AE379" s="39" t="str">
        <f t="shared" si="3"/>
        <v>No Counter</v>
      </c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B380" s="39"/>
      <c r="AC380" s="39" t="str">
        <f t="shared" si="1"/>
        <v/>
      </c>
      <c r="AD380" s="39" t="str">
        <f t="shared" si="2"/>
        <v/>
      </c>
      <c r="AE380" s="39" t="str">
        <f t="shared" si="3"/>
        <v>No Counter</v>
      </c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B381" s="39"/>
      <c r="AC381" s="39" t="str">
        <f t="shared" si="1"/>
        <v/>
      </c>
      <c r="AD381" s="39" t="str">
        <f t="shared" si="2"/>
        <v/>
      </c>
      <c r="AE381" s="39" t="str">
        <f t="shared" si="3"/>
        <v>No Counter</v>
      </c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B382" s="39"/>
      <c r="AC382" s="39" t="str">
        <f t="shared" si="1"/>
        <v/>
      </c>
      <c r="AD382" s="39" t="str">
        <f t="shared" si="2"/>
        <v/>
      </c>
      <c r="AE382" s="39" t="str">
        <f t="shared" si="3"/>
        <v>No Counter</v>
      </c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B383" s="39"/>
      <c r="AC383" s="39" t="str">
        <f t="shared" si="1"/>
        <v/>
      </c>
      <c r="AD383" s="39" t="str">
        <f t="shared" si="2"/>
        <v/>
      </c>
      <c r="AE383" s="39" t="str">
        <f t="shared" si="3"/>
        <v>No Counter</v>
      </c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B384" s="39"/>
      <c r="AC384" s="39" t="str">
        <f t="shared" si="1"/>
        <v/>
      </c>
      <c r="AD384" s="39" t="str">
        <f t="shared" si="2"/>
        <v/>
      </c>
      <c r="AE384" s="39" t="str">
        <f t="shared" si="3"/>
        <v>No Counter</v>
      </c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B385" s="39"/>
      <c r="AC385" s="39" t="str">
        <f t="shared" si="1"/>
        <v/>
      </c>
      <c r="AD385" s="39" t="str">
        <f t="shared" si="2"/>
        <v/>
      </c>
      <c r="AE385" s="39" t="str">
        <f t="shared" si="3"/>
        <v>No Counter</v>
      </c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B386" s="39"/>
      <c r="AC386" s="39" t="str">
        <f t="shared" si="1"/>
        <v/>
      </c>
      <c r="AD386" s="39" t="str">
        <f t="shared" si="2"/>
        <v/>
      </c>
      <c r="AE386" s="39" t="str">
        <f t="shared" si="3"/>
        <v>No Counter</v>
      </c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B387" s="39"/>
      <c r="AC387" s="39" t="str">
        <f t="shared" si="1"/>
        <v/>
      </c>
      <c r="AD387" s="39" t="str">
        <f t="shared" si="2"/>
        <v/>
      </c>
      <c r="AE387" s="39" t="str">
        <f t="shared" si="3"/>
        <v>No Counter</v>
      </c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B388" s="39"/>
      <c r="AC388" s="39" t="str">
        <f t="shared" si="1"/>
        <v/>
      </c>
      <c r="AD388" s="39" t="str">
        <f t="shared" si="2"/>
        <v/>
      </c>
      <c r="AE388" s="39" t="str">
        <f t="shared" si="3"/>
        <v>No Counter</v>
      </c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B389" s="39"/>
      <c r="AC389" s="39" t="str">
        <f t="shared" si="1"/>
        <v/>
      </c>
      <c r="AD389" s="39" t="str">
        <f t="shared" si="2"/>
        <v/>
      </c>
      <c r="AE389" s="39" t="str">
        <f t="shared" si="3"/>
        <v>No Counter</v>
      </c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B390" s="39"/>
      <c r="AC390" s="39" t="str">
        <f t="shared" si="1"/>
        <v/>
      </c>
      <c r="AD390" s="39" t="str">
        <f t="shared" si="2"/>
        <v/>
      </c>
      <c r="AE390" s="39" t="str">
        <f t="shared" si="3"/>
        <v>No Counter</v>
      </c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B391" s="39"/>
      <c r="AC391" s="39" t="str">
        <f t="shared" si="1"/>
        <v/>
      </c>
      <c r="AD391" s="39" t="str">
        <f t="shared" si="2"/>
        <v/>
      </c>
      <c r="AE391" s="39" t="str">
        <f t="shared" si="3"/>
        <v>No Counter</v>
      </c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B392" s="39"/>
      <c r="AC392" s="39" t="str">
        <f t="shared" si="1"/>
        <v/>
      </c>
      <c r="AD392" s="39" t="str">
        <f t="shared" si="2"/>
        <v/>
      </c>
      <c r="AE392" s="39" t="str">
        <f t="shared" si="3"/>
        <v>No Counter</v>
      </c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B393" s="39"/>
      <c r="AC393" s="39" t="str">
        <f t="shared" si="1"/>
        <v/>
      </c>
      <c r="AD393" s="39" t="str">
        <f t="shared" si="2"/>
        <v/>
      </c>
      <c r="AE393" s="39" t="str">
        <f t="shared" si="3"/>
        <v>No Counter</v>
      </c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B394" s="39"/>
      <c r="AC394" s="39" t="str">
        <f t="shared" si="1"/>
        <v/>
      </c>
      <c r="AD394" s="39" t="str">
        <f t="shared" si="2"/>
        <v/>
      </c>
      <c r="AE394" s="39" t="str">
        <f t="shared" si="3"/>
        <v>No Counter</v>
      </c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B395" s="39"/>
      <c r="AC395" s="39" t="str">
        <f t="shared" si="1"/>
        <v/>
      </c>
      <c r="AD395" s="39" t="str">
        <f t="shared" si="2"/>
        <v/>
      </c>
      <c r="AE395" s="39" t="str">
        <f t="shared" si="3"/>
        <v>No Counter</v>
      </c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B396" s="39"/>
      <c r="AC396" s="39" t="str">
        <f t="shared" si="1"/>
        <v/>
      </c>
      <c r="AD396" s="39" t="str">
        <f t="shared" si="2"/>
        <v/>
      </c>
      <c r="AE396" s="39" t="str">
        <f t="shared" si="3"/>
        <v>No Counter</v>
      </c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B397" s="39"/>
      <c r="AC397" s="39" t="str">
        <f t="shared" si="1"/>
        <v/>
      </c>
      <c r="AD397" s="39" t="str">
        <f t="shared" si="2"/>
        <v/>
      </c>
      <c r="AE397" s="39" t="str">
        <f t="shared" si="3"/>
        <v>No Counter</v>
      </c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B398" s="39"/>
      <c r="AC398" s="39" t="str">
        <f t="shared" si="1"/>
        <v/>
      </c>
      <c r="AD398" s="39" t="str">
        <f t="shared" si="2"/>
        <v/>
      </c>
      <c r="AE398" s="39" t="str">
        <f t="shared" si="3"/>
        <v>No Counter</v>
      </c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B399" s="39"/>
      <c r="AC399" s="39" t="str">
        <f t="shared" si="1"/>
        <v/>
      </c>
      <c r="AD399" s="39" t="str">
        <f t="shared" si="2"/>
        <v/>
      </c>
      <c r="AE399" s="39" t="str">
        <f t="shared" si="3"/>
        <v>No Counter</v>
      </c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B400" s="39"/>
      <c r="AC400" s="39" t="str">
        <f t="shared" si="1"/>
        <v/>
      </c>
      <c r="AD400" s="39" t="str">
        <f t="shared" si="2"/>
        <v/>
      </c>
      <c r="AE400" s="39" t="str">
        <f t="shared" si="3"/>
        <v>No Counter</v>
      </c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B401" s="39"/>
      <c r="AC401" s="39" t="str">
        <f t="shared" si="1"/>
        <v/>
      </c>
      <c r="AD401" s="39" t="str">
        <f t="shared" si="2"/>
        <v/>
      </c>
      <c r="AE401" s="39" t="str">
        <f t="shared" si="3"/>
        <v>No Counter</v>
      </c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B402" s="39"/>
      <c r="AC402" s="39" t="str">
        <f t="shared" si="1"/>
        <v/>
      </c>
      <c r="AD402" s="39" t="str">
        <f t="shared" si="2"/>
        <v/>
      </c>
      <c r="AE402" s="39" t="str">
        <f t="shared" si="3"/>
        <v>No Counter</v>
      </c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B403" s="39"/>
      <c r="AC403" s="39" t="str">
        <f t="shared" si="1"/>
        <v/>
      </c>
      <c r="AD403" s="39" t="str">
        <f t="shared" si="2"/>
        <v/>
      </c>
      <c r="AE403" s="39" t="str">
        <f t="shared" si="3"/>
        <v>No Counter</v>
      </c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B404" s="39"/>
      <c r="AC404" s="39" t="str">
        <f t="shared" si="1"/>
        <v/>
      </c>
      <c r="AD404" s="39" t="str">
        <f t="shared" si="2"/>
        <v/>
      </c>
      <c r="AE404" s="39" t="str">
        <f t="shared" si="3"/>
        <v>No Counter</v>
      </c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B405" s="39"/>
      <c r="AC405" s="39" t="str">
        <f t="shared" si="1"/>
        <v/>
      </c>
      <c r="AD405" s="39" t="str">
        <f t="shared" si="2"/>
        <v/>
      </c>
      <c r="AE405" s="39" t="str">
        <f t="shared" si="3"/>
        <v>No Counter</v>
      </c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B406" s="39"/>
      <c r="AC406" s="39" t="str">
        <f t="shared" si="1"/>
        <v/>
      </c>
      <c r="AD406" s="39" t="str">
        <f t="shared" si="2"/>
        <v/>
      </c>
      <c r="AE406" s="39" t="str">
        <f t="shared" si="3"/>
        <v>No Counter</v>
      </c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B407" s="39"/>
      <c r="AC407" s="39" t="str">
        <f t="shared" si="1"/>
        <v/>
      </c>
      <c r="AD407" s="39" t="str">
        <f t="shared" si="2"/>
        <v/>
      </c>
      <c r="AE407" s="39" t="str">
        <f t="shared" si="3"/>
        <v>No Counter</v>
      </c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B408" s="39"/>
      <c r="AC408" s="39" t="str">
        <f t="shared" si="1"/>
        <v/>
      </c>
      <c r="AD408" s="39" t="str">
        <f t="shared" si="2"/>
        <v/>
      </c>
      <c r="AE408" s="39" t="str">
        <f t="shared" si="3"/>
        <v>No Counter</v>
      </c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B409" s="39"/>
      <c r="AC409" s="39" t="str">
        <f t="shared" si="1"/>
        <v/>
      </c>
      <c r="AD409" s="39" t="str">
        <f t="shared" si="2"/>
        <v/>
      </c>
      <c r="AE409" s="39" t="str">
        <f t="shared" si="3"/>
        <v>No Counter</v>
      </c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B410" s="39"/>
      <c r="AC410" s="39" t="str">
        <f t="shared" si="1"/>
        <v/>
      </c>
      <c r="AD410" s="39" t="str">
        <f t="shared" si="2"/>
        <v/>
      </c>
      <c r="AE410" s="39" t="str">
        <f t="shared" si="3"/>
        <v>No Counter</v>
      </c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B411" s="39"/>
      <c r="AC411" s="39" t="str">
        <f t="shared" si="1"/>
        <v/>
      </c>
      <c r="AD411" s="39" t="str">
        <f t="shared" si="2"/>
        <v/>
      </c>
      <c r="AE411" s="39" t="str">
        <f t="shared" si="3"/>
        <v>No Counter</v>
      </c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B412" s="39"/>
      <c r="AC412" s="39" t="str">
        <f t="shared" si="1"/>
        <v/>
      </c>
      <c r="AD412" s="39" t="str">
        <f t="shared" si="2"/>
        <v/>
      </c>
      <c r="AE412" s="39" t="str">
        <f t="shared" si="3"/>
        <v>No Counter</v>
      </c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B413" s="39"/>
      <c r="AC413" s="39" t="str">
        <f t="shared" si="1"/>
        <v/>
      </c>
      <c r="AD413" s="39" t="str">
        <f t="shared" si="2"/>
        <v/>
      </c>
      <c r="AE413" s="39" t="str">
        <f t="shared" si="3"/>
        <v>No Counter</v>
      </c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B414" s="39"/>
      <c r="AC414" s="39" t="str">
        <f t="shared" si="1"/>
        <v/>
      </c>
      <c r="AD414" s="39" t="str">
        <f t="shared" si="2"/>
        <v/>
      </c>
      <c r="AE414" s="39" t="str">
        <f t="shared" si="3"/>
        <v>No Counter</v>
      </c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B415" s="39"/>
      <c r="AC415" s="39" t="str">
        <f t="shared" si="1"/>
        <v/>
      </c>
      <c r="AD415" s="39" t="str">
        <f t="shared" si="2"/>
        <v/>
      </c>
      <c r="AE415" s="39" t="str">
        <f t="shared" si="3"/>
        <v>No Counter</v>
      </c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B416" s="39"/>
      <c r="AC416" s="39" t="str">
        <f t="shared" si="1"/>
        <v/>
      </c>
      <c r="AD416" s="39" t="str">
        <f t="shared" si="2"/>
        <v/>
      </c>
      <c r="AE416" s="39" t="str">
        <f t="shared" si="3"/>
        <v>No Counter</v>
      </c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B417" s="39"/>
      <c r="AC417" s="39" t="str">
        <f t="shared" si="1"/>
        <v/>
      </c>
      <c r="AD417" s="39" t="str">
        <f t="shared" si="2"/>
        <v/>
      </c>
      <c r="AE417" s="39" t="str">
        <f t="shared" si="3"/>
        <v>No Counter</v>
      </c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B418" s="39"/>
      <c r="AC418" s="39" t="str">
        <f t="shared" si="1"/>
        <v/>
      </c>
      <c r="AD418" s="39" t="str">
        <f t="shared" si="2"/>
        <v/>
      </c>
      <c r="AE418" s="39" t="str">
        <f t="shared" si="3"/>
        <v>No Counter</v>
      </c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B419" s="39"/>
      <c r="AC419" s="39" t="str">
        <f t="shared" si="1"/>
        <v/>
      </c>
      <c r="AD419" s="39" t="str">
        <f t="shared" si="2"/>
        <v/>
      </c>
      <c r="AE419" s="39" t="str">
        <f t="shared" si="3"/>
        <v>No Counter</v>
      </c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B420" s="39"/>
      <c r="AC420" s="39" t="str">
        <f t="shared" si="1"/>
        <v/>
      </c>
      <c r="AD420" s="39" t="str">
        <f t="shared" si="2"/>
        <v/>
      </c>
      <c r="AE420" s="39" t="str">
        <f t="shared" si="3"/>
        <v>No Counter</v>
      </c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B421" s="39"/>
      <c r="AC421" s="39" t="str">
        <f t="shared" si="1"/>
        <v/>
      </c>
      <c r="AD421" s="39" t="str">
        <f t="shared" si="2"/>
        <v/>
      </c>
      <c r="AE421" s="39" t="str">
        <f t="shared" si="3"/>
        <v>No Counter</v>
      </c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B422" s="39"/>
      <c r="AC422" s="39" t="str">
        <f t="shared" si="1"/>
        <v/>
      </c>
      <c r="AD422" s="39" t="str">
        <f t="shared" si="2"/>
        <v/>
      </c>
      <c r="AE422" s="39" t="str">
        <f t="shared" si="3"/>
        <v>No Counter</v>
      </c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B423" s="39"/>
      <c r="AC423" s="39" t="str">
        <f t="shared" si="1"/>
        <v/>
      </c>
      <c r="AD423" s="39" t="str">
        <f t="shared" si="2"/>
        <v/>
      </c>
      <c r="AE423" s="39" t="str">
        <f t="shared" si="3"/>
        <v>No Counter</v>
      </c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B424" s="39"/>
      <c r="AC424" s="39" t="str">
        <f t="shared" si="1"/>
        <v/>
      </c>
      <c r="AD424" s="39" t="str">
        <f t="shared" si="2"/>
        <v/>
      </c>
      <c r="AE424" s="39" t="str">
        <f t="shared" si="3"/>
        <v>No Counter</v>
      </c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B425" s="39"/>
      <c r="AC425" s="39" t="str">
        <f t="shared" si="1"/>
        <v/>
      </c>
      <c r="AD425" s="39" t="str">
        <f t="shared" si="2"/>
        <v/>
      </c>
      <c r="AE425" s="39" t="str">
        <f t="shared" si="3"/>
        <v>No Counter</v>
      </c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B426" s="39"/>
      <c r="AC426" s="39" t="str">
        <f t="shared" si="1"/>
        <v/>
      </c>
      <c r="AD426" s="39" t="str">
        <f t="shared" si="2"/>
        <v/>
      </c>
      <c r="AE426" s="39" t="str">
        <f t="shared" si="3"/>
        <v>No Counter</v>
      </c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B427" s="39"/>
      <c r="AC427" s="39" t="str">
        <f t="shared" si="1"/>
        <v/>
      </c>
      <c r="AD427" s="39" t="str">
        <f t="shared" si="2"/>
        <v/>
      </c>
      <c r="AE427" s="39" t="str">
        <f t="shared" si="3"/>
        <v>No Counter</v>
      </c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B428" s="39"/>
      <c r="AC428" s="39" t="str">
        <f t="shared" si="1"/>
        <v/>
      </c>
      <c r="AD428" s="39" t="str">
        <f t="shared" si="2"/>
        <v/>
      </c>
      <c r="AE428" s="39" t="str">
        <f t="shared" si="3"/>
        <v>No Counter</v>
      </c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B429" s="39"/>
      <c r="AC429" s="39" t="str">
        <f t="shared" si="1"/>
        <v/>
      </c>
      <c r="AD429" s="39" t="str">
        <f t="shared" si="2"/>
        <v/>
      </c>
      <c r="AE429" s="39" t="str">
        <f t="shared" si="3"/>
        <v>No Counter</v>
      </c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B430" s="39"/>
      <c r="AC430" s="39" t="str">
        <f t="shared" si="1"/>
        <v/>
      </c>
      <c r="AD430" s="39" t="str">
        <f t="shared" si="2"/>
        <v/>
      </c>
      <c r="AE430" s="39" t="str">
        <f t="shared" si="3"/>
        <v>No Counter</v>
      </c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B431" s="39"/>
      <c r="AC431" s="39" t="str">
        <f t="shared" si="1"/>
        <v/>
      </c>
      <c r="AD431" s="39" t="str">
        <f t="shared" si="2"/>
        <v/>
      </c>
      <c r="AE431" s="39" t="str">
        <f t="shared" si="3"/>
        <v>No Counter</v>
      </c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B432" s="39"/>
      <c r="AC432" s="39" t="str">
        <f t="shared" si="1"/>
        <v/>
      </c>
      <c r="AD432" s="39" t="str">
        <f t="shared" si="2"/>
        <v/>
      </c>
      <c r="AE432" s="39" t="str">
        <f t="shared" si="3"/>
        <v>No Counter</v>
      </c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B433" s="39"/>
      <c r="AC433" s="39" t="str">
        <f t="shared" si="1"/>
        <v/>
      </c>
      <c r="AD433" s="39" t="str">
        <f t="shared" si="2"/>
        <v/>
      </c>
      <c r="AE433" s="39" t="str">
        <f t="shared" si="3"/>
        <v>No Counter</v>
      </c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B434" s="39"/>
      <c r="AC434" s="39" t="str">
        <f t="shared" si="1"/>
        <v/>
      </c>
      <c r="AD434" s="39" t="str">
        <f t="shared" si="2"/>
        <v/>
      </c>
      <c r="AE434" s="39" t="str">
        <f t="shared" si="3"/>
        <v>No Counter</v>
      </c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B435" s="39"/>
      <c r="AC435" s="39" t="str">
        <f t="shared" si="1"/>
        <v/>
      </c>
      <c r="AD435" s="39" t="str">
        <f t="shared" si="2"/>
        <v/>
      </c>
      <c r="AE435" s="39" t="str">
        <f t="shared" si="3"/>
        <v>No Counter</v>
      </c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B436" s="39"/>
      <c r="AC436" s="39" t="str">
        <f t="shared" si="1"/>
        <v/>
      </c>
      <c r="AD436" s="39" t="str">
        <f t="shared" si="2"/>
        <v/>
      </c>
      <c r="AE436" s="39" t="str">
        <f t="shared" si="3"/>
        <v>No Counter</v>
      </c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B437" s="39"/>
      <c r="AC437" s="39" t="str">
        <f t="shared" si="1"/>
        <v/>
      </c>
      <c r="AD437" s="39" t="str">
        <f t="shared" si="2"/>
        <v/>
      </c>
      <c r="AE437" s="39" t="str">
        <f t="shared" si="3"/>
        <v>No Counter</v>
      </c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B438" s="39"/>
      <c r="AC438" s="39" t="str">
        <f t="shared" si="1"/>
        <v/>
      </c>
      <c r="AD438" s="39" t="str">
        <f t="shared" si="2"/>
        <v/>
      </c>
      <c r="AE438" s="39" t="str">
        <f t="shared" si="3"/>
        <v>No Counter</v>
      </c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B439" s="39"/>
      <c r="AC439" s="39" t="str">
        <f t="shared" si="1"/>
        <v/>
      </c>
      <c r="AD439" s="39" t="str">
        <f t="shared" si="2"/>
        <v/>
      </c>
      <c r="AE439" s="39" t="str">
        <f t="shared" si="3"/>
        <v>No Counter</v>
      </c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B440" s="39"/>
      <c r="AC440" s="39" t="str">
        <f t="shared" si="1"/>
        <v/>
      </c>
      <c r="AD440" s="39" t="str">
        <f t="shared" si="2"/>
        <v/>
      </c>
      <c r="AE440" s="39" t="str">
        <f t="shared" si="3"/>
        <v>No Counter</v>
      </c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B441" s="39"/>
      <c r="AC441" s="39" t="str">
        <f t="shared" si="1"/>
        <v/>
      </c>
      <c r="AD441" s="39" t="str">
        <f t="shared" si="2"/>
        <v/>
      </c>
      <c r="AE441" s="39" t="str">
        <f t="shared" si="3"/>
        <v>No Counter</v>
      </c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B442" s="39"/>
      <c r="AC442" s="39" t="str">
        <f t="shared" si="1"/>
        <v/>
      </c>
      <c r="AD442" s="39" t="str">
        <f t="shared" si="2"/>
        <v/>
      </c>
      <c r="AE442" s="39" t="str">
        <f t="shared" si="3"/>
        <v>No Counter</v>
      </c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B443" s="39"/>
      <c r="AC443" s="39" t="str">
        <f t="shared" si="1"/>
        <v/>
      </c>
      <c r="AD443" s="39" t="str">
        <f t="shared" si="2"/>
        <v/>
      </c>
      <c r="AE443" s="39" t="str">
        <f t="shared" si="3"/>
        <v>No Counter</v>
      </c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B444" s="39"/>
      <c r="AC444" s="39" t="str">
        <f t="shared" si="1"/>
        <v/>
      </c>
      <c r="AD444" s="39" t="str">
        <f t="shared" si="2"/>
        <v/>
      </c>
      <c r="AE444" s="39" t="str">
        <f t="shared" si="3"/>
        <v>No Counter</v>
      </c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B445" s="39"/>
      <c r="AC445" s="39" t="str">
        <f t="shared" si="1"/>
        <v/>
      </c>
      <c r="AD445" s="39" t="str">
        <f t="shared" si="2"/>
        <v/>
      </c>
      <c r="AE445" s="39" t="str">
        <f t="shared" si="3"/>
        <v>No Counter</v>
      </c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B446" s="39"/>
      <c r="AC446" s="39" t="str">
        <f t="shared" si="1"/>
        <v/>
      </c>
      <c r="AD446" s="39" t="str">
        <f t="shared" si="2"/>
        <v/>
      </c>
      <c r="AE446" s="39" t="str">
        <f t="shared" si="3"/>
        <v>No Counter</v>
      </c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B447" s="39"/>
      <c r="AC447" s="39" t="str">
        <f t="shared" si="1"/>
        <v/>
      </c>
      <c r="AD447" s="39" t="str">
        <f t="shared" si="2"/>
        <v/>
      </c>
      <c r="AE447" s="39" t="str">
        <f t="shared" si="3"/>
        <v>No Counter</v>
      </c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B448" s="39"/>
      <c r="AC448" s="39" t="str">
        <f t="shared" si="1"/>
        <v/>
      </c>
      <c r="AD448" s="39" t="str">
        <f t="shared" si="2"/>
        <v/>
      </c>
      <c r="AE448" s="39" t="str">
        <f t="shared" si="3"/>
        <v>No Counter</v>
      </c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B449" s="39"/>
      <c r="AC449" s="39" t="str">
        <f t="shared" si="1"/>
        <v/>
      </c>
      <c r="AD449" s="39" t="str">
        <f t="shared" si="2"/>
        <v/>
      </c>
      <c r="AE449" s="39" t="str">
        <f t="shared" si="3"/>
        <v>No Counter</v>
      </c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B450" s="39"/>
      <c r="AC450" s="39" t="str">
        <f t="shared" si="1"/>
        <v/>
      </c>
      <c r="AD450" s="39" t="str">
        <f t="shared" si="2"/>
        <v/>
      </c>
      <c r="AE450" s="39" t="str">
        <f t="shared" si="3"/>
        <v>No Counter</v>
      </c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B451" s="39"/>
      <c r="AC451" s="39" t="str">
        <f t="shared" si="1"/>
        <v/>
      </c>
      <c r="AD451" s="39" t="str">
        <f t="shared" si="2"/>
        <v/>
      </c>
      <c r="AE451" s="39" t="str">
        <f t="shared" si="3"/>
        <v>No Counter</v>
      </c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B452" s="39"/>
      <c r="AC452" s="39" t="str">
        <f t="shared" si="1"/>
        <v/>
      </c>
      <c r="AD452" s="39" t="str">
        <f t="shared" si="2"/>
        <v/>
      </c>
      <c r="AE452" s="39" t="str">
        <f t="shared" si="3"/>
        <v>No Counter</v>
      </c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B453" s="39"/>
      <c r="AC453" s="39" t="str">
        <f t="shared" si="1"/>
        <v/>
      </c>
      <c r="AD453" s="39" t="str">
        <f t="shared" si="2"/>
        <v/>
      </c>
      <c r="AE453" s="39" t="str">
        <f t="shared" si="3"/>
        <v>No Counter</v>
      </c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B454" s="39"/>
      <c r="AC454" s="39" t="str">
        <f t="shared" si="1"/>
        <v/>
      </c>
      <c r="AD454" s="39" t="str">
        <f t="shared" si="2"/>
        <v/>
      </c>
      <c r="AE454" s="39" t="str">
        <f t="shared" si="3"/>
        <v>No Counter</v>
      </c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B455" s="39"/>
      <c r="AC455" s="39" t="str">
        <f t="shared" si="1"/>
        <v/>
      </c>
      <c r="AD455" s="39" t="str">
        <f t="shared" si="2"/>
        <v/>
      </c>
      <c r="AE455" s="39" t="str">
        <f t="shared" si="3"/>
        <v>No Counter</v>
      </c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B456" s="39"/>
      <c r="AC456" s="39" t="str">
        <f t="shared" si="1"/>
        <v/>
      </c>
      <c r="AD456" s="39" t="str">
        <f t="shared" si="2"/>
        <v/>
      </c>
      <c r="AE456" s="39" t="str">
        <f t="shared" si="3"/>
        <v>No Counter</v>
      </c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B457" s="39"/>
      <c r="AC457" s="39" t="str">
        <f t="shared" si="1"/>
        <v/>
      </c>
      <c r="AD457" s="39" t="str">
        <f t="shared" si="2"/>
        <v/>
      </c>
      <c r="AE457" s="39" t="str">
        <f t="shared" si="3"/>
        <v>No Counter</v>
      </c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B458" s="39"/>
      <c r="AC458" s="39" t="str">
        <f t="shared" si="1"/>
        <v/>
      </c>
      <c r="AD458" s="39" t="str">
        <f t="shared" si="2"/>
        <v/>
      </c>
      <c r="AE458" s="39" t="str">
        <f t="shared" si="3"/>
        <v>No Counter</v>
      </c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B459" s="39"/>
      <c r="AC459" s="39" t="str">
        <f t="shared" si="1"/>
        <v/>
      </c>
      <c r="AD459" s="39" t="str">
        <f t="shared" si="2"/>
        <v/>
      </c>
      <c r="AE459" s="39" t="str">
        <f t="shared" si="3"/>
        <v>No Counter</v>
      </c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B460" s="39"/>
      <c r="AC460" s="39" t="str">
        <f t="shared" si="1"/>
        <v/>
      </c>
      <c r="AD460" s="39" t="str">
        <f t="shared" si="2"/>
        <v/>
      </c>
      <c r="AE460" s="39" t="str">
        <f t="shared" si="3"/>
        <v>No Counter</v>
      </c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B461" s="39"/>
      <c r="AC461" s="39" t="str">
        <f t="shared" si="1"/>
        <v/>
      </c>
      <c r="AD461" s="39" t="str">
        <f t="shared" si="2"/>
        <v/>
      </c>
      <c r="AE461" s="39" t="str">
        <f t="shared" si="3"/>
        <v>No Counter</v>
      </c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B462" s="39"/>
      <c r="AC462" s="39" t="str">
        <f t="shared" si="1"/>
        <v/>
      </c>
      <c r="AD462" s="39" t="str">
        <f t="shared" si="2"/>
        <v/>
      </c>
      <c r="AE462" s="39" t="str">
        <f t="shared" si="3"/>
        <v>No Counter</v>
      </c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B463" s="39"/>
      <c r="AC463" s="39" t="str">
        <f t="shared" si="1"/>
        <v/>
      </c>
      <c r="AD463" s="39" t="str">
        <f t="shared" si="2"/>
        <v/>
      </c>
      <c r="AE463" s="39" t="str">
        <f t="shared" si="3"/>
        <v>No Counter</v>
      </c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B464" s="39"/>
      <c r="AC464" s="39" t="str">
        <f t="shared" si="1"/>
        <v/>
      </c>
      <c r="AD464" s="39" t="str">
        <f t="shared" si="2"/>
        <v/>
      </c>
      <c r="AE464" s="39" t="str">
        <f t="shared" si="3"/>
        <v>No Counter</v>
      </c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B465" s="39"/>
      <c r="AC465" s="39" t="str">
        <f t="shared" si="1"/>
        <v/>
      </c>
      <c r="AD465" s="39" t="str">
        <f t="shared" si="2"/>
        <v/>
      </c>
      <c r="AE465" s="39" t="str">
        <f t="shared" si="3"/>
        <v>No Counter</v>
      </c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B466" s="39"/>
      <c r="AC466" s="39" t="str">
        <f t="shared" si="1"/>
        <v/>
      </c>
      <c r="AD466" s="39" t="str">
        <f t="shared" si="2"/>
        <v/>
      </c>
      <c r="AE466" s="39" t="str">
        <f t="shared" si="3"/>
        <v>No Counter</v>
      </c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B467" s="39"/>
      <c r="AC467" s="39" t="str">
        <f t="shared" si="1"/>
        <v/>
      </c>
      <c r="AD467" s="39" t="str">
        <f t="shared" si="2"/>
        <v/>
      </c>
      <c r="AE467" s="39" t="str">
        <f t="shared" si="3"/>
        <v>No Counter</v>
      </c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B468" s="39"/>
      <c r="AC468" s="39" t="str">
        <f t="shared" si="1"/>
        <v/>
      </c>
      <c r="AD468" s="39" t="str">
        <f t="shared" si="2"/>
        <v/>
      </c>
      <c r="AE468" s="39" t="str">
        <f t="shared" si="3"/>
        <v>No Counter</v>
      </c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B469" s="39"/>
      <c r="AC469" s="39" t="str">
        <f t="shared" si="1"/>
        <v/>
      </c>
      <c r="AD469" s="39" t="str">
        <f t="shared" si="2"/>
        <v/>
      </c>
      <c r="AE469" s="39" t="str">
        <f t="shared" si="3"/>
        <v>No Counter</v>
      </c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B470" s="39"/>
      <c r="AC470" s="39" t="str">
        <f t="shared" si="1"/>
        <v/>
      </c>
      <c r="AD470" s="39" t="str">
        <f t="shared" si="2"/>
        <v/>
      </c>
      <c r="AE470" s="39" t="str">
        <f t="shared" si="3"/>
        <v>No Counter</v>
      </c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B471" s="39"/>
      <c r="AC471" s="39" t="str">
        <f t="shared" si="1"/>
        <v/>
      </c>
      <c r="AD471" s="39" t="str">
        <f t="shared" si="2"/>
        <v/>
      </c>
      <c r="AE471" s="39" t="str">
        <f t="shared" si="3"/>
        <v>No Counter</v>
      </c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B472" s="39"/>
      <c r="AC472" s="39" t="str">
        <f t="shared" si="1"/>
        <v/>
      </c>
      <c r="AD472" s="39" t="str">
        <f t="shared" si="2"/>
        <v/>
      </c>
      <c r="AE472" s="39" t="str">
        <f t="shared" si="3"/>
        <v>No Counter</v>
      </c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B473" s="39"/>
      <c r="AC473" s="39" t="str">
        <f t="shared" si="1"/>
        <v/>
      </c>
      <c r="AD473" s="39" t="str">
        <f t="shared" si="2"/>
        <v/>
      </c>
      <c r="AE473" s="39" t="str">
        <f t="shared" si="3"/>
        <v>No Counter</v>
      </c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B474" s="39"/>
      <c r="AC474" s="39" t="str">
        <f t="shared" si="1"/>
        <v/>
      </c>
      <c r="AD474" s="39" t="str">
        <f t="shared" si="2"/>
        <v/>
      </c>
      <c r="AE474" s="39" t="str">
        <f t="shared" si="3"/>
        <v>No Counter</v>
      </c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B475" s="39"/>
      <c r="AC475" s="39" t="str">
        <f t="shared" si="1"/>
        <v/>
      </c>
      <c r="AD475" s="39" t="str">
        <f t="shared" si="2"/>
        <v/>
      </c>
      <c r="AE475" s="39" t="str">
        <f t="shared" si="3"/>
        <v>No Counter</v>
      </c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B476" s="39"/>
      <c r="AC476" s="39" t="str">
        <f t="shared" si="1"/>
        <v/>
      </c>
      <c r="AD476" s="39" t="str">
        <f t="shared" si="2"/>
        <v/>
      </c>
      <c r="AE476" s="39" t="str">
        <f t="shared" si="3"/>
        <v>No Counter</v>
      </c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B477" s="39"/>
      <c r="AC477" s="39" t="str">
        <f t="shared" si="1"/>
        <v/>
      </c>
      <c r="AD477" s="39" t="str">
        <f t="shared" si="2"/>
        <v/>
      </c>
      <c r="AE477" s="39" t="str">
        <f t="shared" si="3"/>
        <v>No Counter</v>
      </c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B478" s="39"/>
      <c r="AC478" s="39" t="str">
        <f t="shared" si="1"/>
        <v/>
      </c>
      <c r="AD478" s="39" t="str">
        <f t="shared" si="2"/>
        <v/>
      </c>
      <c r="AE478" s="39" t="str">
        <f t="shared" si="3"/>
        <v>No Counter</v>
      </c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B479" s="39"/>
      <c r="AC479" s="39" t="str">
        <f t="shared" si="1"/>
        <v/>
      </c>
      <c r="AD479" s="39" t="str">
        <f t="shared" si="2"/>
        <v/>
      </c>
      <c r="AE479" s="39" t="str">
        <f t="shared" si="3"/>
        <v>No Counter</v>
      </c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B480" s="39"/>
      <c r="AC480" s="39" t="str">
        <f t="shared" si="1"/>
        <v/>
      </c>
      <c r="AD480" s="39" t="str">
        <f t="shared" si="2"/>
        <v/>
      </c>
      <c r="AE480" s="39" t="str">
        <f t="shared" si="3"/>
        <v>No Counter</v>
      </c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B481" s="39"/>
      <c r="AC481" s="39" t="str">
        <f t="shared" si="1"/>
        <v/>
      </c>
      <c r="AD481" s="39" t="str">
        <f t="shared" si="2"/>
        <v/>
      </c>
      <c r="AE481" s="39" t="str">
        <f t="shared" si="3"/>
        <v>No Counter</v>
      </c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B482" s="39"/>
      <c r="AC482" s="39" t="str">
        <f t="shared" si="1"/>
        <v/>
      </c>
      <c r="AD482" s="39" t="str">
        <f t="shared" si="2"/>
        <v/>
      </c>
      <c r="AE482" s="39" t="str">
        <f t="shared" si="3"/>
        <v>No Counter</v>
      </c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B483" s="39"/>
      <c r="AC483" s="39" t="str">
        <f t="shared" si="1"/>
        <v/>
      </c>
      <c r="AD483" s="39" t="str">
        <f t="shared" si="2"/>
        <v/>
      </c>
      <c r="AE483" s="39" t="str">
        <f t="shared" si="3"/>
        <v>No Counter</v>
      </c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B484" s="39"/>
      <c r="AC484" s="39" t="str">
        <f t="shared" si="1"/>
        <v/>
      </c>
      <c r="AD484" s="39" t="str">
        <f t="shared" si="2"/>
        <v/>
      </c>
      <c r="AE484" s="39" t="str">
        <f t="shared" si="3"/>
        <v>No Counter</v>
      </c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B485" s="39"/>
      <c r="AC485" s="39" t="str">
        <f t="shared" si="1"/>
        <v/>
      </c>
      <c r="AD485" s="39" t="str">
        <f t="shared" si="2"/>
        <v/>
      </c>
      <c r="AE485" s="39" t="str">
        <f t="shared" si="3"/>
        <v>No Counter</v>
      </c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B486" s="39"/>
      <c r="AC486" s="39" t="str">
        <f t="shared" si="1"/>
        <v/>
      </c>
      <c r="AD486" s="39" t="str">
        <f t="shared" si="2"/>
        <v/>
      </c>
      <c r="AE486" s="39" t="str">
        <f t="shared" si="3"/>
        <v>No Counter</v>
      </c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B487" s="39"/>
      <c r="AC487" s="39" t="str">
        <f t="shared" si="1"/>
        <v/>
      </c>
      <c r="AD487" s="39" t="str">
        <f t="shared" si="2"/>
        <v/>
      </c>
      <c r="AE487" s="39" t="str">
        <f t="shared" si="3"/>
        <v>No Counter</v>
      </c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B488" s="39"/>
      <c r="AC488" s="39" t="str">
        <f t="shared" si="1"/>
        <v/>
      </c>
      <c r="AD488" s="39" t="str">
        <f t="shared" si="2"/>
        <v/>
      </c>
      <c r="AE488" s="39" t="str">
        <f t="shared" si="3"/>
        <v>No Counter</v>
      </c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B489" s="39"/>
      <c r="AC489" s="39" t="str">
        <f t="shared" si="1"/>
        <v/>
      </c>
      <c r="AD489" s="39" t="str">
        <f t="shared" si="2"/>
        <v/>
      </c>
      <c r="AE489" s="39" t="str">
        <f t="shared" si="3"/>
        <v>No Counter</v>
      </c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B490" s="39"/>
      <c r="AC490" s="39" t="str">
        <f t="shared" si="1"/>
        <v/>
      </c>
      <c r="AD490" s="39" t="str">
        <f t="shared" si="2"/>
        <v/>
      </c>
      <c r="AE490" s="39" t="str">
        <f t="shared" si="3"/>
        <v>No Counter</v>
      </c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B491" s="39"/>
      <c r="AC491" s="39" t="str">
        <f t="shared" si="1"/>
        <v/>
      </c>
      <c r="AD491" s="39" t="str">
        <f t="shared" si="2"/>
        <v/>
      </c>
      <c r="AE491" s="39" t="str">
        <f t="shared" si="3"/>
        <v>No Counter</v>
      </c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B492" s="39"/>
      <c r="AC492" s="39" t="str">
        <f t="shared" si="1"/>
        <v/>
      </c>
      <c r="AD492" s="39" t="str">
        <f t="shared" si="2"/>
        <v/>
      </c>
      <c r="AE492" s="39" t="str">
        <f t="shared" si="3"/>
        <v>No Counter</v>
      </c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B493" s="39"/>
      <c r="AC493" s="39" t="str">
        <f t="shared" si="1"/>
        <v/>
      </c>
      <c r="AD493" s="39" t="str">
        <f t="shared" si="2"/>
        <v/>
      </c>
      <c r="AE493" s="39" t="str">
        <f t="shared" si="3"/>
        <v>No Counter</v>
      </c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B494" s="39"/>
      <c r="AC494" s="39" t="str">
        <f t="shared" si="1"/>
        <v/>
      </c>
      <c r="AD494" s="39" t="str">
        <f t="shared" si="2"/>
        <v/>
      </c>
      <c r="AE494" s="39" t="str">
        <f t="shared" si="3"/>
        <v>No Counter</v>
      </c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B495" s="39"/>
      <c r="AC495" s="39" t="str">
        <f t="shared" si="1"/>
        <v/>
      </c>
      <c r="AD495" s="39" t="str">
        <f t="shared" si="2"/>
        <v/>
      </c>
      <c r="AE495" s="39" t="str">
        <f t="shared" si="3"/>
        <v>No Counter</v>
      </c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B496" s="39"/>
      <c r="AC496" s="39" t="str">
        <f t="shared" si="1"/>
        <v/>
      </c>
      <c r="AD496" s="39" t="str">
        <f t="shared" si="2"/>
        <v/>
      </c>
      <c r="AE496" s="39" t="str">
        <f t="shared" si="3"/>
        <v>No Counter</v>
      </c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B497" s="39"/>
      <c r="AC497" s="39" t="str">
        <f t="shared" si="1"/>
        <v/>
      </c>
      <c r="AD497" s="39" t="str">
        <f t="shared" si="2"/>
        <v/>
      </c>
      <c r="AE497" s="39" t="str">
        <f t="shared" si="3"/>
        <v>No Counter</v>
      </c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B498" s="39"/>
      <c r="AC498" s="39" t="str">
        <f t="shared" si="1"/>
        <v/>
      </c>
      <c r="AD498" s="39" t="str">
        <f t="shared" si="2"/>
        <v/>
      </c>
      <c r="AE498" s="39" t="str">
        <f t="shared" si="3"/>
        <v>No Counter</v>
      </c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B499" s="39"/>
      <c r="AC499" s="39" t="str">
        <f t="shared" si="1"/>
        <v/>
      </c>
      <c r="AD499" s="39" t="str">
        <f t="shared" si="2"/>
        <v/>
      </c>
      <c r="AE499" s="39" t="str">
        <f t="shared" si="3"/>
        <v>No Counter</v>
      </c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B500" s="39"/>
      <c r="AC500" s="39" t="str">
        <f t="shared" si="1"/>
        <v/>
      </c>
      <c r="AD500" s="39" t="str">
        <f t="shared" si="2"/>
        <v/>
      </c>
      <c r="AE500" s="39" t="str">
        <f t="shared" si="3"/>
        <v>No Counter</v>
      </c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B501" s="39"/>
      <c r="AC501" s="39" t="str">
        <f t="shared" si="1"/>
        <v/>
      </c>
      <c r="AD501" s="39" t="str">
        <f t="shared" si="2"/>
        <v/>
      </c>
      <c r="AE501" s="39" t="str">
        <f t="shared" si="3"/>
        <v>No Counter</v>
      </c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B502" s="39"/>
      <c r="AC502" s="39" t="str">
        <f t="shared" si="1"/>
        <v/>
      </c>
      <c r="AD502" s="39" t="str">
        <f t="shared" si="2"/>
        <v/>
      </c>
      <c r="AE502" s="39" t="str">
        <f t="shared" si="3"/>
        <v>No Counter</v>
      </c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B503" s="39"/>
      <c r="AC503" s="39" t="str">
        <f t="shared" si="1"/>
        <v/>
      </c>
      <c r="AD503" s="39" t="str">
        <f t="shared" si="2"/>
        <v/>
      </c>
      <c r="AE503" s="39" t="str">
        <f t="shared" si="3"/>
        <v>No Counter</v>
      </c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B504" s="39"/>
      <c r="AC504" s="39" t="str">
        <f t="shared" si="1"/>
        <v/>
      </c>
      <c r="AD504" s="39" t="str">
        <f t="shared" si="2"/>
        <v/>
      </c>
      <c r="AE504" s="39" t="str">
        <f t="shared" si="3"/>
        <v>No Counter</v>
      </c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B505" s="39"/>
      <c r="AC505" s="39" t="str">
        <f t="shared" si="1"/>
        <v/>
      </c>
      <c r="AD505" s="39" t="str">
        <f t="shared" si="2"/>
        <v/>
      </c>
      <c r="AE505" s="39" t="str">
        <f t="shared" si="3"/>
        <v>No Counter</v>
      </c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C506" s="39" t="str">
        <f t="shared" si="1"/>
        <v/>
      </c>
      <c r="AD506" s="39" t="str">
        <f t="shared" si="2"/>
        <v/>
      </c>
      <c r="AE506" s="39" t="str">
        <f t="shared" si="3"/>
        <v>No Counter</v>
      </c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C507" s="39" t="str">
        <f t="shared" si="1"/>
        <v/>
      </c>
      <c r="AD507" s="39" t="str">
        <f t="shared" si="2"/>
        <v/>
      </c>
      <c r="AE507" s="39" t="str">
        <f t="shared" si="3"/>
        <v>No Counter</v>
      </c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C508" s="39" t="str">
        <f t="shared" si="1"/>
        <v/>
      </c>
      <c r="AD508" s="39" t="str">
        <f t="shared" si="2"/>
        <v/>
      </c>
      <c r="AE508" s="39" t="str">
        <f t="shared" si="3"/>
        <v>No Counter</v>
      </c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C509" s="39" t="str">
        <f t="shared" si="1"/>
        <v/>
      </c>
      <c r="AD509" s="39" t="str">
        <f t="shared" si="2"/>
        <v/>
      </c>
      <c r="AE509" s="39" t="str">
        <f t="shared" si="3"/>
        <v>No Counter</v>
      </c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C510" s="39" t="str">
        <f t="shared" si="1"/>
        <v/>
      </c>
      <c r="AD510" s="39" t="str">
        <f t="shared" si="2"/>
        <v/>
      </c>
      <c r="AE510" s="39" t="str">
        <f t="shared" si="3"/>
        <v>No Counter</v>
      </c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C511" s="39" t="str">
        <f t="shared" si="1"/>
        <v/>
      </c>
      <c r="AD511" s="39" t="str">
        <f t="shared" si="2"/>
        <v/>
      </c>
      <c r="AE511" s="39" t="str">
        <f t="shared" si="3"/>
        <v>No Counter</v>
      </c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C512" s="39" t="str">
        <f t="shared" si="1"/>
        <v/>
      </c>
      <c r="AD512" s="39" t="str">
        <f t="shared" si="2"/>
        <v/>
      </c>
      <c r="AE512" s="39" t="str">
        <f t="shared" si="3"/>
        <v>No Counter</v>
      </c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C513" s="39" t="str">
        <f t="shared" si="1"/>
        <v/>
      </c>
      <c r="AD513" s="39" t="str">
        <f t="shared" si="2"/>
        <v/>
      </c>
      <c r="AE513" s="39" t="str">
        <f t="shared" si="3"/>
        <v>No Counter</v>
      </c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C514" s="39" t="str">
        <f t="shared" si="1"/>
        <v/>
      </c>
      <c r="AD514" s="39" t="str">
        <f t="shared" si="2"/>
        <v/>
      </c>
      <c r="AE514" s="39" t="str">
        <f t="shared" si="3"/>
        <v>No Counter</v>
      </c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C515" s="39" t="str">
        <f t="shared" si="1"/>
        <v/>
      </c>
      <c r="AD515" s="39" t="str">
        <f t="shared" si="2"/>
        <v/>
      </c>
      <c r="AE515" s="39" t="str">
        <f t="shared" si="3"/>
        <v>No Counter</v>
      </c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C516" s="39" t="str">
        <f t="shared" si="1"/>
        <v/>
      </c>
      <c r="AD516" s="39" t="str">
        <f t="shared" si="2"/>
        <v/>
      </c>
      <c r="AE516" s="39" t="str">
        <f t="shared" si="3"/>
        <v>No Counter</v>
      </c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C517" s="39" t="str">
        <f t="shared" si="1"/>
        <v/>
      </c>
      <c r="AD517" s="39" t="str">
        <f t="shared" si="2"/>
        <v/>
      </c>
      <c r="AE517" s="39" t="str">
        <f t="shared" si="3"/>
        <v>No Counter</v>
      </c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C518" s="39" t="str">
        <f t="shared" si="1"/>
        <v/>
      </c>
      <c r="AD518" s="39" t="str">
        <f t="shared" si="2"/>
        <v/>
      </c>
      <c r="AE518" s="39" t="str">
        <f t="shared" si="3"/>
        <v>No Counter</v>
      </c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C519" s="39" t="str">
        <f t="shared" si="1"/>
        <v/>
      </c>
      <c r="AD519" s="39" t="str">
        <f t="shared" si="2"/>
        <v/>
      </c>
      <c r="AE519" s="39" t="str">
        <f t="shared" si="3"/>
        <v>No Counter</v>
      </c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C520" s="39" t="str">
        <f t="shared" si="1"/>
        <v/>
      </c>
      <c r="AD520" s="39" t="str">
        <f t="shared" si="2"/>
        <v/>
      </c>
      <c r="AE520" s="39" t="str">
        <f t="shared" si="3"/>
        <v>No Counter</v>
      </c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C521" s="39" t="str">
        <f t="shared" si="1"/>
        <v/>
      </c>
      <c r="AD521" s="39" t="str">
        <f t="shared" si="2"/>
        <v/>
      </c>
      <c r="AE521" s="39" t="str">
        <f t="shared" si="3"/>
        <v>No Counter</v>
      </c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C522" s="39" t="str">
        <f t="shared" si="1"/>
        <v/>
      </c>
      <c r="AD522" s="39" t="str">
        <f t="shared" si="2"/>
        <v/>
      </c>
      <c r="AE522" s="39" t="str">
        <f t="shared" si="3"/>
        <v>No Counter</v>
      </c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C523" s="39" t="str">
        <f t="shared" si="1"/>
        <v/>
      </c>
      <c r="AD523" s="39" t="str">
        <f t="shared" si="2"/>
        <v/>
      </c>
      <c r="AE523" s="39" t="str">
        <f t="shared" si="3"/>
        <v>No Counter</v>
      </c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C524" s="39" t="str">
        <f t="shared" si="1"/>
        <v/>
      </c>
      <c r="AD524" s="39" t="str">
        <f t="shared" si="2"/>
        <v/>
      </c>
      <c r="AE524" s="39" t="str">
        <f t="shared" si="3"/>
        <v>No Counter</v>
      </c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C525" s="39" t="str">
        <f t="shared" si="1"/>
        <v/>
      </c>
      <c r="AD525" s="39" t="str">
        <f t="shared" si="2"/>
        <v/>
      </c>
      <c r="AE525" s="39" t="str">
        <f t="shared" si="3"/>
        <v>No Counter</v>
      </c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C526" s="39" t="str">
        <f t="shared" si="1"/>
        <v/>
      </c>
      <c r="AD526" s="39" t="str">
        <f t="shared" si="2"/>
        <v/>
      </c>
      <c r="AE526" s="39" t="str">
        <f t="shared" si="3"/>
        <v>No Counter</v>
      </c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C527" s="39" t="str">
        <f t="shared" si="1"/>
        <v/>
      </c>
      <c r="AD527" s="39" t="str">
        <f t="shared" si="2"/>
        <v/>
      </c>
      <c r="AE527" s="39" t="str">
        <f t="shared" si="3"/>
        <v>No Counter</v>
      </c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C528" s="39" t="str">
        <f t="shared" si="1"/>
        <v/>
      </c>
      <c r="AD528" s="39" t="str">
        <f t="shared" si="2"/>
        <v/>
      </c>
      <c r="AE528" s="39" t="str">
        <f t="shared" si="3"/>
        <v>No Counter</v>
      </c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C529" s="39" t="str">
        <f t="shared" si="1"/>
        <v/>
      </c>
      <c r="AD529" s="39" t="str">
        <f t="shared" si="2"/>
        <v/>
      </c>
      <c r="AE529" s="39" t="str">
        <f t="shared" si="3"/>
        <v>No Counter</v>
      </c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C530" s="39" t="str">
        <f t="shared" si="1"/>
        <v/>
      </c>
      <c r="AD530" s="39" t="str">
        <f t="shared" si="2"/>
        <v/>
      </c>
      <c r="AE530" s="39" t="str">
        <f t="shared" si="3"/>
        <v>No Counter</v>
      </c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C531" s="39" t="str">
        <f t="shared" si="1"/>
        <v/>
      </c>
      <c r="AD531" s="39" t="str">
        <f t="shared" si="2"/>
        <v/>
      </c>
      <c r="AE531" s="39" t="str">
        <f t="shared" si="3"/>
        <v>No Counter</v>
      </c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C532" s="39" t="str">
        <f t="shared" si="1"/>
        <v/>
      </c>
      <c r="AD532" s="39" t="str">
        <f t="shared" si="2"/>
        <v/>
      </c>
      <c r="AE532" s="39" t="str">
        <f t="shared" si="3"/>
        <v>No Counter</v>
      </c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C533" s="39" t="str">
        <f t="shared" si="1"/>
        <v/>
      </c>
      <c r="AD533" s="39" t="str">
        <f t="shared" si="2"/>
        <v/>
      </c>
      <c r="AE533" s="39" t="str">
        <f t="shared" si="3"/>
        <v>No Counter</v>
      </c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C534" s="39" t="str">
        <f t="shared" si="1"/>
        <v/>
      </c>
      <c r="AD534" s="39" t="str">
        <f t="shared" si="2"/>
        <v/>
      </c>
      <c r="AE534" s="39" t="str">
        <f t="shared" si="3"/>
        <v>No Counter</v>
      </c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C535" s="39" t="str">
        <f t="shared" si="1"/>
        <v/>
      </c>
      <c r="AD535" s="39" t="str">
        <f t="shared" si="2"/>
        <v/>
      </c>
      <c r="AE535" s="39" t="str">
        <f t="shared" si="3"/>
        <v>No Counter</v>
      </c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C536" s="39" t="str">
        <f t="shared" si="1"/>
        <v/>
      </c>
      <c r="AD536" s="39" t="str">
        <f t="shared" si="2"/>
        <v/>
      </c>
      <c r="AE536" s="39" t="str">
        <f t="shared" si="3"/>
        <v>No Counter</v>
      </c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C537" s="39" t="str">
        <f t="shared" si="1"/>
        <v/>
      </c>
      <c r="AD537" s="39" t="str">
        <f t="shared" si="2"/>
        <v/>
      </c>
      <c r="AE537" s="39" t="str">
        <f t="shared" si="3"/>
        <v>No Counter</v>
      </c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C538" s="39" t="str">
        <f t="shared" si="1"/>
        <v/>
      </c>
      <c r="AD538" s="39" t="str">
        <f t="shared" si="2"/>
        <v/>
      </c>
      <c r="AE538" s="39" t="str">
        <f t="shared" si="3"/>
        <v>No Counter</v>
      </c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C539" s="39" t="str">
        <f t="shared" si="1"/>
        <v/>
      </c>
      <c r="AD539" s="39" t="str">
        <f t="shared" si="2"/>
        <v/>
      </c>
      <c r="AE539" s="39" t="str">
        <f t="shared" si="3"/>
        <v>No Counter</v>
      </c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C540" s="39" t="str">
        <f t="shared" si="1"/>
        <v/>
      </c>
      <c r="AD540" s="39" t="str">
        <f t="shared" si="2"/>
        <v/>
      </c>
      <c r="AE540" s="39" t="str">
        <f t="shared" si="3"/>
        <v>No Counter</v>
      </c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C541" s="39" t="str">
        <f t="shared" si="1"/>
        <v/>
      </c>
      <c r="AD541" s="39" t="str">
        <f t="shared" si="2"/>
        <v/>
      </c>
      <c r="AE541" s="39" t="str">
        <f t="shared" si="3"/>
        <v>No Counter</v>
      </c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C542" s="39" t="str">
        <f t="shared" si="1"/>
        <v/>
      </c>
      <c r="AD542" s="39" t="str">
        <f t="shared" si="2"/>
        <v/>
      </c>
      <c r="AE542" s="39" t="str">
        <f t="shared" si="3"/>
        <v>No Counter</v>
      </c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C543" s="39" t="str">
        <f t="shared" si="1"/>
        <v/>
      </c>
      <c r="AD543" s="39" t="str">
        <f t="shared" si="2"/>
        <v/>
      </c>
      <c r="AE543" s="39" t="str">
        <f t="shared" si="3"/>
        <v>No Counter</v>
      </c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C544" s="39" t="str">
        <f t="shared" si="1"/>
        <v/>
      </c>
      <c r="AD544" s="39" t="str">
        <f t="shared" si="2"/>
        <v/>
      </c>
      <c r="AE544" s="39" t="str">
        <f t="shared" si="3"/>
        <v>No Counter</v>
      </c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C545" s="39" t="str">
        <f t="shared" si="1"/>
        <v/>
      </c>
      <c r="AD545" s="39" t="str">
        <f t="shared" si="2"/>
        <v/>
      </c>
      <c r="AE545" s="39" t="str">
        <f t="shared" si="3"/>
        <v>No Counter</v>
      </c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C546" s="39" t="str">
        <f t="shared" si="1"/>
        <v/>
      </c>
      <c r="AD546" s="39" t="str">
        <f t="shared" si="2"/>
        <v/>
      </c>
      <c r="AE546" s="39" t="str">
        <f t="shared" si="3"/>
        <v>No Counter</v>
      </c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C547" s="39" t="str">
        <f t="shared" si="1"/>
        <v/>
      </c>
      <c r="AD547" s="39" t="str">
        <f t="shared" si="2"/>
        <v/>
      </c>
      <c r="AE547" s="39" t="str">
        <f t="shared" si="3"/>
        <v>No Counter</v>
      </c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C548" s="39" t="str">
        <f t="shared" si="1"/>
        <v/>
      </c>
      <c r="AD548" s="39" t="str">
        <f t="shared" si="2"/>
        <v/>
      </c>
      <c r="AE548" s="39" t="str">
        <f t="shared" si="3"/>
        <v>No Counter</v>
      </c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C549" s="39" t="str">
        <f t="shared" si="1"/>
        <v/>
      </c>
      <c r="AD549" s="39" t="str">
        <f t="shared" si="2"/>
        <v/>
      </c>
      <c r="AE549" s="39" t="str">
        <f t="shared" si="3"/>
        <v>No Counter</v>
      </c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C550" s="39" t="str">
        <f t="shared" si="1"/>
        <v/>
      </c>
      <c r="AD550" s="39" t="str">
        <f t="shared" si="2"/>
        <v/>
      </c>
      <c r="AE550" s="39" t="str">
        <f t="shared" si="3"/>
        <v>No Counter</v>
      </c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C551" s="39" t="str">
        <f t="shared" si="1"/>
        <v/>
      </c>
      <c r="AD551" s="39" t="str">
        <f t="shared" si="2"/>
        <v/>
      </c>
      <c r="AE551" s="39" t="str">
        <f t="shared" si="3"/>
        <v>No Counter</v>
      </c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C552" s="39" t="str">
        <f t="shared" si="1"/>
        <v/>
      </c>
      <c r="AD552" s="39" t="str">
        <f t="shared" si="2"/>
        <v/>
      </c>
      <c r="AE552" s="39" t="str">
        <f t="shared" si="3"/>
        <v>No Counter</v>
      </c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C553" s="39" t="str">
        <f t="shared" si="1"/>
        <v/>
      </c>
      <c r="AD553" s="39" t="str">
        <f t="shared" si="2"/>
        <v/>
      </c>
      <c r="AE553" s="39" t="str">
        <f t="shared" si="3"/>
        <v>No Counter</v>
      </c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C554" s="39" t="str">
        <f t="shared" si="1"/>
        <v/>
      </c>
      <c r="AD554" s="39" t="str">
        <f t="shared" si="2"/>
        <v/>
      </c>
      <c r="AE554" s="39" t="str">
        <f t="shared" si="3"/>
        <v>No Counter</v>
      </c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C555" s="39" t="str">
        <f t="shared" si="1"/>
        <v/>
      </c>
      <c r="AD555" s="39" t="str">
        <f t="shared" si="2"/>
        <v/>
      </c>
      <c r="AE555" s="39" t="str">
        <f t="shared" si="3"/>
        <v>No Counter</v>
      </c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C556" s="39" t="str">
        <f t="shared" si="1"/>
        <v/>
      </c>
      <c r="AD556" s="39" t="str">
        <f t="shared" si="2"/>
        <v/>
      </c>
      <c r="AE556" s="39" t="str">
        <f t="shared" si="3"/>
        <v>No Counter</v>
      </c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C557" s="39" t="str">
        <f t="shared" si="1"/>
        <v/>
      </c>
      <c r="AD557" s="39" t="str">
        <f t="shared" si="2"/>
        <v/>
      </c>
      <c r="AE557" s="39" t="str">
        <f t="shared" si="3"/>
        <v>No Counter</v>
      </c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C558" s="39" t="str">
        <f t="shared" si="1"/>
        <v/>
      </c>
      <c r="AD558" s="39" t="str">
        <f t="shared" si="2"/>
        <v/>
      </c>
      <c r="AE558" s="39" t="str">
        <f t="shared" si="3"/>
        <v>No Counter</v>
      </c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C559" s="39" t="str">
        <f t="shared" si="1"/>
        <v/>
      </c>
      <c r="AD559" s="39" t="str">
        <f t="shared" si="2"/>
        <v/>
      </c>
      <c r="AE559" s="39" t="str">
        <f t="shared" si="3"/>
        <v>No Counter</v>
      </c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C560" s="39" t="str">
        <f t="shared" si="1"/>
        <v/>
      </c>
      <c r="AD560" s="39" t="str">
        <f t="shared" si="2"/>
        <v/>
      </c>
      <c r="AE560" s="39" t="str">
        <f t="shared" si="3"/>
        <v>No Counter</v>
      </c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C561" s="39" t="str">
        <f t="shared" si="1"/>
        <v/>
      </c>
      <c r="AD561" s="39" t="str">
        <f t="shared" si="2"/>
        <v/>
      </c>
      <c r="AE561" s="39" t="str">
        <f t="shared" si="3"/>
        <v>No Counter</v>
      </c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C562" s="39" t="str">
        <f t="shared" si="1"/>
        <v/>
      </c>
      <c r="AD562" s="39" t="str">
        <f t="shared" si="2"/>
        <v/>
      </c>
      <c r="AE562" s="39" t="str">
        <f t="shared" si="3"/>
        <v>No Counter</v>
      </c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C563" s="39" t="str">
        <f t="shared" si="1"/>
        <v/>
      </c>
      <c r="AD563" s="39" t="str">
        <f t="shared" si="2"/>
        <v/>
      </c>
      <c r="AE563" s="39" t="str">
        <f t="shared" si="3"/>
        <v>No Counter</v>
      </c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C564" s="39" t="str">
        <f t="shared" si="1"/>
        <v/>
      </c>
      <c r="AD564" s="39" t="str">
        <f t="shared" si="2"/>
        <v/>
      </c>
      <c r="AE564" s="39" t="str">
        <f t="shared" si="3"/>
        <v>No Counter</v>
      </c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C565" s="39" t="str">
        <f t="shared" si="1"/>
        <v/>
      </c>
      <c r="AD565" s="39" t="str">
        <f t="shared" si="2"/>
        <v/>
      </c>
      <c r="AE565" s="39" t="str">
        <f t="shared" si="3"/>
        <v>No Counter</v>
      </c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C566" s="39" t="str">
        <f t="shared" si="1"/>
        <v/>
      </c>
      <c r="AD566" s="39" t="str">
        <f t="shared" si="2"/>
        <v/>
      </c>
      <c r="AE566" s="39" t="str">
        <f t="shared" si="3"/>
        <v>No Counter</v>
      </c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C567" s="39" t="str">
        <f t="shared" si="1"/>
        <v/>
      </c>
      <c r="AD567" s="39" t="str">
        <f t="shared" si="2"/>
        <v/>
      </c>
      <c r="AE567" s="39" t="str">
        <f t="shared" si="3"/>
        <v>No Counter</v>
      </c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C568" s="39" t="str">
        <f t="shared" si="1"/>
        <v/>
      </c>
      <c r="AD568" s="39" t="str">
        <f t="shared" si="2"/>
        <v/>
      </c>
      <c r="AE568" s="39" t="str">
        <f t="shared" si="3"/>
        <v>No Counter</v>
      </c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C569" s="39" t="str">
        <f t="shared" si="1"/>
        <v/>
      </c>
      <c r="AD569" s="39" t="str">
        <f t="shared" si="2"/>
        <v/>
      </c>
      <c r="AE569" s="39" t="str">
        <f t="shared" si="3"/>
        <v>No Counter</v>
      </c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C570" s="39" t="str">
        <f t="shared" si="1"/>
        <v/>
      </c>
      <c r="AD570" s="39" t="str">
        <f t="shared" si="2"/>
        <v/>
      </c>
      <c r="AE570" s="39" t="str">
        <f t="shared" si="3"/>
        <v>No Counter</v>
      </c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C571" s="39" t="str">
        <f t="shared" si="1"/>
        <v/>
      </c>
      <c r="AD571" s="39" t="str">
        <f t="shared" si="2"/>
        <v/>
      </c>
      <c r="AE571" s="39" t="str">
        <f t="shared" si="3"/>
        <v>No Counter</v>
      </c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C572" s="39" t="str">
        <f t="shared" si="1"/>
        <v/>
      </c>
      <c r="AD572" s="39" t="str">
        <f t="shared" si="2"/>
        <v/>
      </c>
      <c r="AE572" s="39" t="str">
        <f t="shared" si="3"/>
        <v>No Counter</v>
      </c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C573" s="39" t="str">
        <f t="shared" si="1"/>
        <v/>
      </c>
      <c r="AD573" s="39" t="str">
        <f t="shared" si="2"/>
        <v/>
      </c>
      <c r="AE573" s="39" t="str">
        <f t="shared" si="3"/>
        <v>No Counter</v>
      </c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C574" s="39" t="str">
        <f t="shared" si="1"/>
        <v/>
      </c>
      <c r="AD574" s="39" t="str">
        <f t="shared" si="2"/>
        <v/>
      </c>
      <c r="AE574" s="39" t="str">
        <f t="shared" si="3"/>
        <v>No Counter</v>
      </c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C575" s="39" t="str">
        <f t="shared" si="1"/>
        <v/>
      </c>
      <c r="AD575" s="39" t="str">
        <f t="shared" si="2"/>
        <v/>
      </c>
      <c r="AE575" s="39" t="str">
        <f t="shared" si="3"/>
        <v>No Counter</v>
      </c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C576" s="39" t="str">
        <f t="shared" si="1"/>
        <v/>
      </c>
      <c r="AD576" s="39" t="str">
        <f t="shared" si="2"/>
        <v/>
      </c>
      <c r="AE576" s="39" t="str">
        <f t="shared" si="3"/>
        <v>No Counter</v>
      </c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C577" s="39" t="str">
        <f t="shared" si="1"/>
        <v/>
      </c>
      <c r="AD577" s="39" t="str">
        <f t="shared" si="2"/>
        <v/>
      </c>
      <c r="AE577" s="39" t="str">
        <f t="shared" si="3"/>
        <v>No Counter</v>
      </c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C578" s="39" t="str">
        <f t="shared" si="1"/>
        <v/>
      </c>
      <c r="AD578" s="39" t="str">
        <f t="shared" si="2"/>
        <v/>
      </c>
      <c r="AE578" s="39" t="str">
        <f t="shared" si="3"/>
        <v>No Counter</v>
      </c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C579" s="39" t="str">
        <f t="shared" si="1"/>
        <v/>
      </c>
      <c r="AD579" s="39" t="str">
        <f t="shared" si="2"/>
        <v/>
      </c>
      <c r="AE579" s="39" t="str">
        <f t="shared" si="3"/>
        <v>No Counter</v>
      </c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C580" s="39" t="str">
        <f t="shared" si="1"/>
        <v/>
      </c>
      <c r="AD580" s="39" t="str">
        <f t="shared" si="2"/>
        <v/>
      </c>
      <c r="AE580" s="39" t="str">
        <f t="shared" si="3"/>
        <v>No Counter</v>
      </c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C581" s="39" t="str">
        <f t="shared" si="1"/>
        <v/>
      </c>
      <c r="AD581" s="39" t="str">
        <f t="shared" si="2"/>
        <v/>
      </c>
      <c r="AE581" s="39" t="str">
        <f t="shared" si="3"/>
        <v>No Counter</v>
      </c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C582" s="39" t="str">
        <f t="shared" si="1"/>
        <v/>
      </c>
      <c r="AD582" s="39" t="str">
        <f t="shared" si="2"/>
        <v/>
      </c>
      <c r="AE582" s="39" t="str">
        <f t="shared" si="3"/>
        <v>No Counter</v>
      </c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C583" s="39" t="str">
        <f t="shared" si="1"/>
        <v/>
      </c>
      <c r="AD583" s="39" t="str">
        <f t="shared" si="2"/>
        <v/>
      </c>
      <c r="AE583" s="39" t="str">
        <f t="shared" si="3"/>
        <v>No Counter</v>
      </c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C584" s="39" t="str">
        <f t="shared" si="1"/>
        <v/>
      </c>
      <c r="AD584" s="39" t="str">
        <f t="shared" si="2"/>
        <v/>
      </c>
      <c r="AE584" s="39" t="str">
        <f t="shared" si="3"/>
        <v>No Counter</v>
      </c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C585" s="39" t="str">
        <f t="shared" si="1"/>
        <v/>
      </c>
      <c r="AD585" s="39" t="str">
        <f t="shared" si="2"/>
        <v/>
      </c>
      <c r="AE585" s="39" t="str">
        <f t="shared" si="3"/>
        <v>No Counter</v>
      </c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C586" s="39" t="str">
        <f t="shared" si="1"/>
        <v/>
      </c>
      <c r="AD586" s="39" t="str">
        <f t="shared" si="2"/>
        <v/>
      </c>
      <c r="AE586" s="39" t="str">
        <f t="shared" si="3"/>
        <v>No Counter</v>
      </c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C587" s="39" t="str">
        <f t="shared" si="1"/>
        <v/>
      </c>
      <c r="AD587" s="39" t="str">
        <f t="shared" si="2"/>
        <v/>
      </c>
      <c r="AE587" s="39" t="str">
        <f t="shared" si="3"/>
        <v>No Counter</v>
      </c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C588" s="39" t="str">
        <f t="shared" si="1"/>
        <v/>
      </c>
      <c r="AD588" s="39" t="str">
        <f t="shared" si="2"/>
        <v/>
      </c>
      <c r="AE588" s="39" t="str">
        <f t="shared" si="3"/>
        <v>No Counter</v>
      </c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C589" s="39" t="str">
        <f t="shared" si="1"/>
        <v/>
      </c>
      <c r="AD589" s="39" t="str">
        <f t="shared" si="2"/>
        <v/>
      </c>
      <c r="AE589" s="39" t="str">
        <f t="shared" si="3"/>
        <v>No Counter</v>
      </c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C590" s="39" t="str">
        <f t="shared" si="1"/>
        <v/>
      </c>
      <c r="AD590" s="39" t="str">
        <f t="shared" si="2"/>
        <v/>
      </c>
      <c r="AE590" s="39" t="str">
        <f t="shared" si="3"/>
        <v>No Counter</v>
      </c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C591" s="39" t="str">
        <f t="shared" si="1"/>
        <v/>
      </c>
      <c r="AD591" s="39" t="str">
        <f t="shared" si="2"/>
        <v/>
      </c>
      <c r="AE591" s="39" t="str">
        <f t="shared" si="3"/>
        <v>No Counter</v>
      </c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C592" s="39" t="str">
        <f t="shared" si="1"/>
        <v/>
      </c>
      <c r="AD592" s="39" t="str">
        <f t="shared" si="2"/>
        <v/>
      </c>
      <c r="AE592" s="39" t="str">
        <f t="shared" si="3"/>
        <v>No Counter</v>
      </c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C593" s="39" t="str">
        <f t="shared" si="1"/>
        <v/>
      </c>
      <c r="AD593" s="39" t="str">
        <f t="shared" si="2"/>
        <v/>
      </c>
      <c r="AE593" s="39" t="str">
        <f t="shared" si="3"/>
        <v>No Counter</v>
      </c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C594" s="39" t="str">
        <f t="shared" si="1"/>
        <v/>
      </c>
      <c r="AD594" s="39" t="str">
        <f t="shared" si="2"/>
        <v/>
      </c>
      <c r="AE594" s="39" t="str">
        <f t="shared" si="3"/>
        <v>No Counter</v>
      </c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C595" s="39" t="str">
        <f t="shared" si="1"/>
        <v/>
      </c>
      <c r="AD595" s="39" t="str">
        <f t="shared" si="2"/>
        <v/>
      </c>
      <c r="AE595" s="39" t="str">
        <f t="shared" si="3"/>
        <v>No Counter</v>
      </c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C596" s="39" t="str">
        <f t="shared" si="1"/>
        <v/>
      </c>
      <c r="AD596" s="39" t="str">
        <f t="shared" si="2"/>
        <v/>
      </c>
      <c r="AE596" s="39" t="str">
        <f t="shared" si="3"/>
        <v>No Counter</v>
      </c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C597" s="39" t="str">
        <f t="shared" si="1"/>
        <v/>
      </c>
      <c r="AD597" s="39" t="str">
        <f t="shared" si="2"/>
        <v/>
      </c>
      <c r="AE597" s="39" t="str">
        <f t="shared" si="3"/>
        <v>No Counter</v>
      </c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C598" s="39" t="str">
        <f t="shared" si="1"/>
        <v/>
      </c>
      <c r="AD598" s="39" t="str">
        <f t="shared" si="2"/>
        <v/>
      </c>
      <c r="AE598" s="39" t="str">
        <f t="shared" si="3"/>
        <v>No Counter</v>
      </c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C599" s="39" t="str">
        <f t="shared" si="1"/>
        <v/>
      </c>
      <c r="AD599" s="39" t="str">
        <f t="shared" si="2"/>
        <v/>
      </c>
      <c r="AE599" s="39" t="str">
        <f t="shared" si="3"/>
        <v>No Counter</v>
      </c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C600" s="39" t="str">
        <f t="shared" si="1"/>
        <v/>
      </c>
      <c r="AD600" s="39" t="str">
        <f t="shared" si="2"/>
        <v/>
      </c>
      <c r="AE600" s="39" t="str">
        <f t="shared" si="3"/>
        <v>No Counter</v>
      </c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C601" s="39" t="str">
        <f t="shared" si="1"/>
        <v/>
      </c>
      <c r="AD601" s="39" t="str">
        <f t="shared" si="2"/>
        <v/>
      </c>
      <c r="AE601" s="39" t="str">
        <f t="shared" si="3"/>
        <v>No Counter</v>
      </c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C602" s="39" t="str">
        <f t="shared" si="1"/>
        <v/>
      </c>
      <c r="AD602" s="39" t="str">
        <f t="shared" si="2"/>
        <v/>
      </c>
      <c r="AE602" s="39" t="str">
        <f t="shared" si="3"/>
        <v>No Counter</v>
      </c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C603" s="39" t="str">
        <f t="shared" si="1"/>
        <v/>
      </c>
      <c r="AD603" s="39" t="str">
        <f t="shared" si="2"/>
        <v/>
      </c>
      <c r="AE603" s="39" t="str">
        <f t="shared" si="3"/>
        <v>No Counter</v>
      </c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C604" s="39" t="str">
        <f t="shared" si="1"/>
        <v/>
      </c>
      <c r="AD604" s="39" t="str">
        <f t="shared" si="2"/>
        <v/>
      </c>
      <c r="AE604" s="39" t="str">
        <f t="shared" si="3"/>
        <v>No Counter</v>
      </c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C605" s="39" t="str">
        <f t="shared" si="1"/>
        <v/>
      </c>
      <c r="AD605" s="39" t="str">
        <f t="shared" si="2"/>
        <v/>
      </c>
      <c r="AE605" s="39" t="str">
        <f t="shared" si="3"/>
        <v>No Counter</v>
      </c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C606" s="39" t="str">
        <f t="shared" si="1"/>
        <v/>
      </c>
      <c r="AD606" s="39" t="str">
        <f t="shared" si="2"/>
        <v/>
      </c>
      <c r="AE606" s="39" t="str">
        <f t="shared" si="3"/>
        <v>No Counter</v>
      </c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C607" s="39" t="str">
        <f t="shared" si="1"/>
        <v/>
      </c>
      <c r="AD607" s="39" t="str">
        <f t="shared" si="2"/>
        <v/>
      </c>
      <c r="AE607" s="39" t="str">
        <f t="shared" si="3"/>
        <v>No Counter</v>
      </c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C608" s="39" t="str">
        <f t="shared" si="1"/>
        <v/>
      </c>
      <c r="AD608" s="39" t="str">
        <f t="shared" si="2"/>
        <v/>
      </c>
      <c r="AE608" s="39" t="str">
        <f t="shared" si="3"/>
        <v>No Counter</v>
      </c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C609" s="39" t="str">
        <f t="shared" si="1"/>
        <v/>
      </c>
      <c r="AD609" s="39" t="str">
        <f t="shared" si="2"/>
        <v/>
      </c>
      <c r="AE609" s="39" t="str">
        <f t="shared" si="3"/>
        <v>No Counter</v>
      </c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C610" s="39" t="str">
        <f t="shared" si="1"/>
        <v/>
      </c>
      <c r="AD610" s="39" t="str">
        <f t="shared" si="2"/>
        <v/>
      </c>
      <c r="AE610" s="39" t="str">
        <f t="shared" si="3"/>
        <v>No Counter</v>
      </c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C611" s="39" t="str">
        <f t="shared" si="1"/>
        <v/>
      </c>
      <c r="AD611" s="39" t="str">
        <f t="shared" si="2"/>
        <v/>
      </c>
      <c r="AE611" s="39" t="str">
        <f t="shared" si="3"/>
        <v>No Counter</v>
      </c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C612" s="39" t="str">
        <f t="shared" si="1"/>
        <v/>
      </c>
      <c r="AD612" s="39" t="str">
        <f t="shared" si="2"/>
        <v/>
      </c>
      <c r="AE612" s="39" t="str">
        <f t="shared" si="3"/>
        <v>No Counter</v>
      </c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C613" s="39" t="str">
        <f t="shared" si="1"/>
        <v/>
      </c>
      <c r="AD613" s="39" t="str">
        <f t="shared" si="2"/>
        <v/>
      </c>
      <c r="AE613" s="39" t="str">
        <f t="shared" si="3"/>
        <v>No Counter</v>
      </c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C614" s="39" t="str">
        <f t="shared" si="1"/>
        <v/>
      </c>
      <c r="AD614" s="39" t="str">
        <f t="shared" si="2"/>
        <v/>
      </c>
      <c r="AE614" s="39" t="str">
        <f t="shared" si="3"/>
        <v>No Counter</v>
      </c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C615" s="39" t="str">
        <f t="shared" si="1"/>
        <v/>
      </c>
      <c r="AD615" s="39" t="str">
        <f t="shared" si="2"/>
        <v/>
      </c>
      <c r="AE615" s="39" t="str">
        <f t="shared" si="3"/>
        <v>No Counter</v>
      </c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C616" s="39" t="str">
        <f t="shared" si="1"/>
        <v/>
      </c>
      <c r="AD616" s="39" t="str">
        <f t="shared" si="2"/>
        <v/>
      </c>
      <c r="AE616" s="39" t="str">
        <f t="shared" si="3"/>
        <v>No Counter</v>
      </c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C617" s="39" t="str">
        <f t="shared" si="1"/>
        <v/>
      </c>
      <c r="AD617" s="39" t="str">
        <f t="shared" si="2"/>
        <v/>
      </c>
      <c r="AE617" s="39" t="str">
        <f t="shared" si="3"/>
        <v>No Counter</v>
      </c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C618" s="39" t="str">
        <f t="shared" si="1"/>
        <v/>
      </c>
      <c r="AD618" s="39" t="str">
        <f t="shared" si="2"/>
        <v/>
      </c>
      <c r="AE618" s="39" t="str">
        <f t="shared" si="3"/>
        <v>No Counter</v>
      </c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C619" s="39" t="str">
        <f t="shared" si="1"/>
        <v/>
      </c>
      <c r="AD619" s="39" t="str">
        <f t="shared" si="2"/>
        <v/>
      </c>
      <c r="AE619" s="39" t="str">
        <f t="shared" si="3"/>
        <v>No Counter</v>
      </c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C620" s="39" t="str">
        <f t="shared" si="1"/>
        <v/>
      </c>
      <c r="AD620" s="39" t="str">
        <f t="shared" si="2"/>
        <v/>
      </c>
      <c r="AE620" s="39" t="str">
        <f t="shared" si="3"/>
        <v>No Counter</v>
      </c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C621" s="39" t="str">
        <f t="shared" si="1"/>
        <v/>
      </c>
      <c r="AD621" s="39" t="str">
        <f t="shared" si="2"/>
        <v/>
      </c>
      <c r="AE621" s="39" t="str">
        <f t="shared" si="3"/>
        <v>No Counter</v>
      </c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C622" s="39" t="str">
        <f t="shared" si="1"/>
        <v/>
      </c>
      <c r="AD622" s="39" t="str">
        <f t="shared" si="2"/>
        <v/>
      </c>
      <c r="AE622" s="39" t="str">
        <f t="shared" si="3"/>
        <v>No Counter</v>
      </c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C623" s="39" t="str">
        <f t="shared" si="1"/>
        <v/>
      </c>
      <c r="AD623" s="39" t="str">
        <f t="shared" si="2"/>
        <v/>
      </c>
      <c r="AE623" s="39" t="str">
        <f t="shared" si="3"/>
        <v>No Counter</v>
      </c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C624" s="39" t="str">
        <f t="shared" si="1"/>
        <v/>
      </c>
      <c r="AD624" s="39" t="str">
        <f t="shared" si="2"/>
        <v/>
      </c>
      <c r="AE624" s="39" t="str">
        <f t="shared" si="3"/>
        <v>No Counter</v>
      </c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C625" s="39" t="str">
        <f t="shared" si="1"/>
        <v/>
      </c>
      <c r="AD625" s="39" t="str">
        <f t="shared" si="2"/>
        <v/>
      </c>
      <c r="AE625" s="39" t="str">
        <f t="shared" si="3"/>
        <v>No Counter</v>
      </c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C626" s="39" t="str">
        <f t="shared" si="1"/>
        <v/>
      </c>
      <c r="AD626" s="39" t="str">
        <f t="shared" si="2"/>
        <v/>
      </c>
      <c r="AE626" s="39" t="str">
        <f t="shared" si="3"/>
        <v>No Counter</v>
      </c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C627" s="39" t="str">
        <f t="shared" si="1"/>
        <v/>
      </c>
      <c r="AD627" s="39" t="str">
        <f t="shared" si="2"/>
        <v/>
      </c>
      <c r="AE627" s="39" t="str">
        <f t="shared" si="3"/>
        <v>No Counter</v>
      </c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C628" s="39" t="str">
        <f t="shared" si="1"/>
        <v/>
      </c>
      <c r="AD628" s="39" t="str">
        <f t="shared" si="2"/>
        <v/>
      </c>
      <c r="AE628" s="39" t="str">
        <f t="shared" si="3"/>
        <v>No Counter</v>
      </c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C629" s="39" t="str">
        <f t="shared" si="1"/>
        <v/>
      </c>
      <c r="AD629" s="39" t="str">
        <f t="shared" si="2"/>
        <v/>
      </c>
      <c r="AE629" s="39" t="str">
        <f t="shared" si="3"/>
        <v>No Counter</v>
      </c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C630" s="39" t="str">
        <f t="shared" si="1"/>
        <v/>
      </c>
      <c r="AD630" s="39" t="str">
        <f t="shared" si="2"/>
        <v/>
      </c>
      <c r="AE630" s="39" t="str">
        <f t="shared" si="3"/>
        <v>No Counter</v>
      </c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C631" s="39" t="str">
        <f t="shared" si="1"/>
        <v/>
      </c>
      <c r="AD631" s="39" t="str">
        <f t="shared" si="2"/>
        <v/>
      </c>
      <c r="AE631" s="39" t="str">
        <f t="shared" si="3"/>
        <v>No Counter</v>
      </c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C632" s="39" t="str">
        <f t="shared" si="1"/>
        <v/>
      </c>
      <c r="AD632" s="39" t="str">
        <f t="shared" si="2"/>
        <v/>
      </c>
      <c r="AE632" s="39" t="str">
        <f t="shared" si="3"/>
        <v>No Counter</v>
      </c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C633" s="39" t="str">
        <f t="shared" si="1"/>
        <v/>
      </c>
      <c r="AD633" s="39" t="str">
        <f t="shared" si="2"/>
        <v/>
      </c>
      <c r="AE633" s="39" t="str">
        <f t="shared" si="3"/>
        <v>No Counter</v>
      </c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C634" s="39" t="str">
        <f t="shared" si="1"/>
        <v/>
      </c>
      <c r="AD634" s="39" t="str">
        <f t="shared" si="2"/>
        <v/>
      </c>
      <c r="AE634" s="39" t="str">
        <f t="shared" si="3"/>
        <v>No Counter</v>
      </c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C635" s="39" t="str">
        <f t="shared" si="1"/>
        <v/>
      </c>
      <c r="AD635" s="39" t="str">
        <f t="shared" si="2"/>
        <v/>
      </c>
      <c r="AE635" s="39" t="str">
        <f t="shared" si="3"/>
        <v>No Counter</v>
      </c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C636" s="39" t="str">
        <f t="shared" si="1"/>
        <v/>
      </c>
      <c r="AD636" s="39" t="str">
        <f t="shared" si="2"/>
        <v/>
      </c>
      <c r="AE636" s="39" t="str">
        <f t="shared" si="3"/>
        <v>No Counter</v>
      </c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C637" s="39" t="str">
        <f t="shared" si="1"/>
        <v/>
      </c>
      <c r="AD637" s="39" t="str">
        <f t="shared" si="2"/>
        <v/>
      </c>
      <c r="AE637" s="39" t="str">
        <f t="shared" si="3"/>
        <v>No Counter</v>
      </c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C638" s="39" t="str">
        <f t="shared" si="1"/>
        <v/>
      </c>
      <c r="AD638" s="39" t="str">
        <f t="shared" si="2"/>
        <v/>
      </c>
      <c r="AE638" s="39" t="str">
        <f t="shared" si="3"/>
        <v>No Counter</v>
      </c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C639" s="39" t="str">
        <f t="shared" si="1"/>
        <v/>
      </c>
      <c r="AD639" s="39" t="str">
        <f t="shared" si="2"/>
        <v/>
      </c>
      <c r="AE639" s="39" t="str">
        <f t="shared" si="3"/>
        <v>No Counter</v>
      </c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C640" s="39" t="str">
        <f t="shared" si="1"/>
        <v/>
      </c>
      <c r="AD640" s="39" t="str">
        <f t="shared" si="2"/>
        <v/>
      </c>
      <c r="AE640" s="39" t="str">
        <f t="shared" si="3"/>
        <v>No Counter</v>
      </c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C641" s="39" t="str">
        <f t="shared" si="1"/>
        <v/>
      </c>
      <c r="AD641" s="39" t="str">
        <f t="shared" si="2"/>
        <v/>
      </c>
      <c r="AE641" s="39" t="str">
        <f t="shared" si="3"/>
        <v>No Counter</v>
      </c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C642" s="39" t="str">
        <f t="shared" si="1"/>
        <v/>
      </c>
      <c r="AD642" s="39" t="str">
        <f t="shared" si="2"/>
        <v/>
      </c>
      <c r="AE642" s="39" t="str">
        <f t="shared" si="3"/>
        <v>No Counter</v>
      </c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C643" s="39" t="str">
        <f t="shared" si="1"/>
        <v/>
      </c>
      <c r="AD643" s="39" t="str">
        <f t="shared" si="2"/>
        <v/>
      </c>
      <c r="AE643" s="39" t="str">
        <f t="shared" si="3"/>
        <v>No Counter</v>
      </c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C644" s="39" t="str">
        <f t="shared" si="1"/>
        <v/>
      </c>
      <c r="AD644" s="39" t="str">
        <f t="shared" si="2"/>
        <v/>
      </c>
      <c r="AE644" s="39" t="str">
        <f t="shared" si="3"/>
        <v>No Counter</v>
      </c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C645" s="39" t="str">
        <f t="shared" si="1"/>
        <v/>
      </c>
      <c r="AD645" s="39" t="str">
        <f t="shared" si="2"/>
        <v/>
      </c>
      <c r="AE645" s="39" t="str">
        <f t="shared" si="3"/>
        <v>No Counter</v>
      </c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C646" s="39" t="str">
        <f t="shared" si="1"/>
        <v/>
      </c>
      <c r="AD646" s="39" t="str">
        <f t="shared" si="2"/>
        <v/>
      </c>
      <c r="AE646" s="39" t="str">
        <f t="shared" si="3"/>
        <v>No Counter</v>
      </c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C647" s="39" t="str">
        <f t="shared" si="1"/>
        <v/>
      </c>
      <c r="AD647" s="39" t="str">
        <f t="shared" si="2"/>
        <v/>
      </c>
      <c r="AE647" s="39" t="str">
        <f t="shared" si="3"/>
        <v>No Counter</v>
      </c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C648" s="39" t="str">
        <f t="shared" si="1"/>
        <v/>
      </c>
      <c r="AD648" s="39" t="str">
        <f t="shared" si="2"/>
        <v/>
      </c>
      <c r="AE648" s="39" t="str">
        <f t="shared" si="3"/>
        <v>No Counter</v>
      </c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C649" s="39" t="str">
        <f t="shared" si="1"/>
        <v/>
      </c>
      <c r="AD649" s="39" t="str">
        <f t="shared" si="2"/>
        <v/>
      </c>
      <c r="AE649" s="39" t="str">
        <f t="shared" si="3"/>
        <v>No Counter</v>
      </c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C650" s="39" t="str">
        <f t="shared" si="1"/>
        <v/>
      </c>
      <c r="AD650" s="39" t="str">
        <f t="shared" si="2"/>
        <v/>
      </c>
      <c r="AE650" s="39" t="str">
        <f t="shared" si="3"/>
        <v>No Counter</v>
      </c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C651" s="39" t="str">
        <f t="shared" si="1"/>
        <v/>
      </c>
      <c r="AD651" s="39" t="str">
        <f t="shared" si="2"/>
        <v/>
      </c>
      <c r="AE651" s="39" t="str">
        <f t="shared" si="3"/>
        <v>No Counter</v>
      </c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C652" s="39" t="str">
        <f t="shared" si="1"/>
        <v/>
      </c>
      <c r="AD652" s="39" t="str">
        <f t="shared" si="2"/>
        <v/>
      </c>
      <c r="AE652" s="39" t="str">
        <f t="shared" si="3"/>
        <v>No Counter</v>
      </c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C653" s="39" t="str">
        <f t="shared" si="1"/>
        <v/>
      </c>
      <c r="AD653" s="39" t="str">
        <f t="shared" si="2"/>
        <v/>
      </c>
      <c r="AE653" s="39" t="str">
        <f t="shared" si="3"/>
        <v>No Counter</v>
      </c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C654" s="39" t="str">
        <f t="shared" si="1"/>
        <v/>
      </c>
      <c r="AD654" s="39" t="str">
        <f t="shared" si="2"/>
        <v/>
      </c>
      <c r="AE654" s="39" t="str">
        <f t="shared" si="3"/>
        <v>No Counter</v>
      </c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C655" s="39" t="str">
        <f t="shared" si="1"/>
        <v/>
      </c>
      <c r="AD655" s="39" t="str">
        <f t="shared" si="2"/>
        <v/>
      </c>
      <c r="AE655" s="39" t="str">
        <f t="shared" si="3"/>
        <v>No Counter</v>
      </c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C656" s="39" t="str">
        <f t="shared" si="1"/>
        <v/>
      </c>
      <c r="AD656" s="39" t="str">
        <f t="shared" si="2"/>
        <v/>
      </c>
      <c r="AE656" s="39" t="str">
        <f t="shared" si="3"/>
        <v>No Counter</v>
      </c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C657" s="39" t="str">
        <f t="shared" si="1"/>
        <v/>
      </c>
      <c r="AD657" s="39" t="str">
        <f t="shared" si="2"/>
        <v/>
      </c>
      <c r="AE657" s="39" t="str">
        <f t="shared" si="3"/>
        <v>No Counter</v>
      </c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C658" s="39" t="str">
        <f t="shared" si="1"/>
        <v/>
      </c>
      <c r="AD658" s="39" t="str">
        <f t="shared" si="2"/>
        <v/>
      </c>
      <c r="AE658" s="39" t="str">
        <f t="shared" si="3"/>
        <v>No Counter</v>
      </c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C659" s="39" t="str">
        <f t="shared" si="1"/>
        <v/>
      </c>
      <c r="AD659" s="39" t="str">
        <f t="shared" si="2"/>
        <v/>
      </c>
      <c r="AE659" s="39" t="str">
        <f t="shared" si="3"/>
        <v>No Counter</v>
      </c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C660" s="39" t="str">
        <f t="shared" si="1"/>
        <v/>
      </c>
      <c r="AD660" s="39" t="str">
        <f t="shared" si="2"/>
        <v/>
      </c>
      <c r="AE660" s="39" t="str">
        <f t="shared" si="3"/>
        <v>No Counter</v>
      </c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C661" s="39" t="str">
        <f t="shared" si="1"/>
        <v/>
      </c>
      <c r="AD661" s="39" t="str">
        <f t="shared" si="2"/>
        <v/>
      </c>
      <c r="AE661" s="39" t="str">
        <f t="shared" si="3"/>
        <v>No Counter</v>
      </c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C662" s="39" t="str">
        <f t="shared" si="1"/>
        <v/>
      </c>
      <c r="AD662" s="39" t="str">
        <f t="shared" si="2"/>
        <v/>
      </c>
      <c r="AE662" s="39" t="str">
        <f t="shared" si="3"/>
        <v>No Counter</v>
      </c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C663" s="39" t="str">
        <f t="shared" si="1"/>
        <v/>
      </c>
      <c r="AD663" s="39" t="str">
        <f t="shared" si="2"/>
        <v/>
      </c>
      <c r="AE663" s="39" t="str">
        <f t="shared" si="3"/>
        <v>No Counter</v>
      </c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C664" s="39" t="str">
        <f t="shared" si="1"/>
        <v/>
      </c>
      <c r="AD664" s="39" t="str">
        <f t="shared" si="2"/>
        <v/>
      </c>
      <c r="AE664" s="39" t="str">
        <f t="shared" si="3"/>
        <v>No Counter</v>
      </c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C665" s="39" t="str">
        <f t="shared" si="1"/>
        <v/>
      </c>
      <c r="AD665" s="39" t="str">
        <f t="shared" si="2"/>
        <v/>
      </c>
      <c r="AE665" s="39" t="str">
        <f t="shared" si="3"/>
        <v>No Counter</v>
      </c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C666" s="39" t="str">
        <f t="shared" si="1"/>
        <v/>
      </c>
      <c r="AD666" s="39" t="str">
        <f t="shared" si="2"/>
        <v/>
      </c>
      <c r="AE666" s="39" t="str">
        <f t="shared" si="3"/>
        <v>No Counter</v>
      </c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C667" s="39" t="str">
        <f t="shared" si="1"/>
        <v/>
      </c>
      <c r="AD667" s="39" t="str">
        <f t="shared" si="2"/>
        <v/>
      </c>
      <c r="AE667" s="39" t="str">
        <f t="shared" si="3"/>
        <v>No Counter</v>
      </c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C668" s="39" t="str">
        <f t="shared" si="1"/>
        <v/>
      </c>
      <c r="AD668" s="39" t="str">
        <f t="shared" si="2"/>
        <v/>
      </c>
      <c r="AE668" s="39" t="str">
        <f t="shared" si="3"/>
        <v>No Counter</v>
      </c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C669" s="39" t="str">
        <f t="shared" si="1"/>
        <v/>
      </c>
      <c r="AD669" s="39" t="str">
        <f t="shared" si="2"/>
        <v/>
      </c>
      <c r="AE669" s="39" t="str">
        <f t="shared" si="3"/>
        <v>No Counter</v>
      </c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C670" s="39" t="str">
        <f t="shared" si="1"/>
        <v/>
      </c>
      <c r="AD670" s="39" t="str">
        <f t="shared" si="2"/>
        <v/>
      </c>
      <c r="AE670" s="39" t="str">
        <f t="shared" si="3"/>
        <v>No Counter</v>
      </c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C671" s="39" t="str">
        <f t="shared" si="1"/>
        <v/>
      </c>
      <c r="AD671" s="39" t="str">
        <f t="shared" si="2"/>
        <v/>
      </c>
      <c r="AE671" s="39" t="str">
        <f t="shared" si="3"/>
        <v>No Counter</v>
      </c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C672" s="39" t="str">
        <f t="shared" si="1"/>
        <v/>
      </c>
      <c r="AD672" s="39" t="str">
        <f t="shared" si="2"/>
        <v/>
      </c>
      <c r="AE672" s="39" t="str">
        <f t="shared" si="3"/>
        <v>No Counter</v>
      </c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C673" s="39" t="str">
        <f t="shared" si="1"/>
        <v/>
      </c>
      <c r="AD673" s="39" t="str">
        <f t="shared" si="2"/>
        <v/>
      </c>
      <c r="AE673" s="39" t="str">
        <f t="shared" si="3"/>
        <v>No Counter</v>
      </c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C674" s="39" t="str">
        <f t="shared" si="1"/>
        <v/>
      </c>
      <c r="AD674" s="39" t="str">
        <f t="shared" si="2"/>
        <v/>
      </c>
      <c r="AE674" s="39" t="str">
        <f t="shared" si="3"/>
        <v>No Counter</v>
      </c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C675" s="39" t="str">
        <f t="shared" si="1"/>
        <v/>
      </c>
      <c r="AD675" s="39" t="str">
        <f t="shared" si="2"/>
        <v/>
      </c>
      <c r="AE675" s="39" t="str">
        <f t="shared" si="3"/>
        <v>No Counter</v>
      </c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C676" s="39" t="str">
        <f t="shared" si="1"/>
        <v/>
      </c>
      <c r="AD676" s="39" t="str">
        <f t="shared" si="2"/>
        <v/>
      </c>
      <c r="AE676" s="39" t="str">
        <f t="shared" si="3"/>
        <v>No Counter</v>
      </c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C677" s="39" t="str">
        <f t="shared" si="1"/>
        <v/>
      </c>
      <c r="AD677" s="39" t="str">
        <f t="shared" si="2"/>
        <v/>
      </c>
      <c r="AE677" s="39" t="str">
        <f t="shared" si="3"/>
        <v>No Counter</v>
      </c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C678" s="39" t="str">
        <f t="shared" si="1"/>
        <v/>
      </c>
      <c r="AD678" s="39" t="str">
        <f t="shared" si="2"/>
        <v/>
      </c>
      <c r="AE678" s="39" t="str">
        <f t="shared" si="3"/>
        <v>No Counter</v>
      </c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C679" s="39" t="str">
        <f t="shared" si="1"/>
        <v/>
      </c>
      <c r="AD679" s="39" t="str">
        <f t="shared" si="2"/>
        <v/>
      </c>
      <c r="AE679" s="39" t="str">
        <f t="shared" si="3"/>
        <v>No Counter</v>
      </c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C680" s="39" t="str">
        <f t="shared" si="1"/>
        <v/>
      </c>
      <c r="AD680" s="39" t="str">
        <f t="shared" si="2"/>
        <v/>
      </c>
      <c r="AE680" s="39" t="str">
        <f t="shared" si="3"/>
        <v>No Counter</v>
      </c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C681" s="39" t="str">
        <f t="shared" si="1"/>
        <v/>
      </c>
      <c r="AD681" s="39" t="str">
        <f t="shared" si="2"/>
        <v/>
      </c>
      <c r="AE681" s="39" t="str">
        <f t="shared" si="3"/>
        <v>No Counter</v>
      </c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C682" s="39" t="str">
        <f t="shared" si="1"/>
        <v/>
      </c>
      <c r="AD682" s="39" t="str">
        <f t="shared" si="2"/>
        <v/>
      </c>
      <c r="AE682" s="39" t="str">
        <f t="shared" si="3"/>
        <v>No Counter</v>
      </c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C683" s="39" t="str">
        <f t="shared" si="1"/>
        <v/>
      </c>
      <c r="AD683" s="39" t="str">
        <f t="shared" si="2"/>
        <v/>
      </c>
      <c r="AE683" s="39" t="str">
        <f t="shared" si="3"/>
        <v>No Counter</v>
      </c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C684" s="39" t="str">
        <f t="shared" si="1"/>
        <v/>
      </c>
      <c r="AD684" s="39" t="str">
        <f t="shared" si="2"/>
        <v/>
      </c>
      <c r="AE684" s="39" t="str">
        <f t="shared" si="3"/>
        <v>No Counter</v>
      </c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C685" s="39" t="str">
        <f t="shared" si="1"/>
        <v/>
      </c>
      <c r="AD685" s="39" t="str">
        <f t="shared" si="2"/>
        <v/>
      </c>
      <c r="AE685" s="39" t="str">
        <f t="shared" si="3"/>
        <v>No Counter</v>
      </c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C686" s="39" t="str">
        <f t="shared" si="1"/>
        <v/>
      </c>
      <c r="AD686" s="39" t="str">
        <f t="shared" si="2"/>
        <v/>
      </c>
      <c r="AE686" s="39" t="str">
        <f t="shared" si="3"/>
        <v>No Counter</v>
      </c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C687" s="39" t="str">
        <f t="shared" si="1"/>
        <v/>
      </c>
      <c r="AD687" s="39" t="str">
        <f t="shared" si="2"/>
        <v/>
      </c>
      <c r="AE687" s="39" t="str">
        <f t="shared" si="3"/>
        <v>No Counter</v>
      </c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C688" s="39" t="str">
        <f t="shared" si="1"/>
        <v/>
      </c>
      <c r="AD688" s="39" t="str">
        <f t="shared" si="2"/>
        <v/>
      </c>
      <c r="AE688" s="39" t="str">
        <f t="shared" si="3"/>
        <v>No Counter</v>
      </c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C689" s="39" t="str">
        <f t="shared" si="1"/>
        <v/>
      </c>
      <c r="AD689" s="39" t="str">
        <f t="shared" si="2"/>
        <v/>
      </c>
      <c r="AE689" s="39" t="str">
        <f t="shared" si="3"/>
        <v>No Counter</v>
      </c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C690" s="39" t="str">
        <f t="shared" si="1"/>
        <v/>
      </c>
      <c r="AD690" s="39" t="str">
        <f t="shared" si="2"/>
        <v/>
      </c>
      <c r="AE690" s="39" t="str">
        <f t="shared" si="3"/>
        <v>No Counter</v>
      </c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C691" s="39" t="str">
        <f t="shared" si="1"/>
        <v/>
      </c>
      <c r="AD691" s="39" t="str">
        <f t="shared" si="2"/>
        <v/>
      </c>
      <c r="AE691" s="39" t="str">
        <f t="shared" si="3"/>
        <v>No Counter</v>
      </c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C692" s="39" t="str">
        <f t="shared" si="1"/>
        <v/>
      </c>
      <c r="AD692" s="39" t="str">
        <f t="shared" si="2"/>
        <v/>
      </c>
      <c r="AE692" s="39" t="str">
        <f t="shared" si="3"/>
        <v>No Counter</v>
      </c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C693" s="39" t="str">
        <f t="shared" si="1"/>
        <v/>
      </c>
      <c r="AD693" s="39" t="str">
        <f t="shared" si="2"/>
        <v/>
      </c>
      <c r="AE693" s="39" t="str">
        <f t="shared" si="3"/>
        <v>No Counter</v>
      </c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C694" s="39" t="str">
        <f t="shared" si="1"/>
        <v/>
      </c>
      <c r="AD694" s="39" t="str">
        <f t="shared" si="2"/>
        <v/>
      </c>
      <c r="AE694" s="39" t="str">
        <f t="shared" si="3"/>
        <v>No Counter</v>
      </c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C695" s="39" t="str">
        <f t="shared" si="1"/>
        <v/>
      </c>
      <c r="AD695" s="39" t="str">
        <f t="shared" si="2"/>
        <v/>
      </c>
      <c r="AE695" s="39" t="str">
        <f t="shared" si="3"/>
        <v>No Counter</v>
      </c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C696" s="39" t="str">
        <f t="shared" si="1"/>
        <v/>
      </c>
      <c r="AD696" s="39" t="str">
        <f t="shared" si="2"/>
        <v/>
      </c>
      <c r="AE696" s="39" t="str">
        <f t="shared" si="3"/>
        <v>No Counter</v>
      </c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C697" s="39" t="str">
        <f t="shared" si="1"/>
        <v/>
      </c>
      <c r="AD697" s="39" t="str">
        <f t="shared" si="2"/>
        <v/>
      </c>
      <c r="AE697" s="39" t="str">
        <f t="shared" si="3"/>
        <v>No Counter</v>
      </c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C698" s="39" t="str">
        <f t="shared" si="1"/>
        <v/>
      </c>
      <c r="AD698" s="39" t="str">
        <f t="shared" si="2"/>
        <v/>
      </c>
      <c r="AE698" s="39" t="str">
        <f t="shared" si="3"/>
        <v>No Counter</v>
      </c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C699" s="39" t="str">
        <f t="shared" si="1"/>
        <v/>
      </c>
      <c r="AD699" s="39" t="str">
        <f t="shared" si="2"/>
        <v/>
      </c>
      <c r="AE699" s="39" t="str">
        <f t="shared" si="3"/>
        <v>No Counter</v>
      </c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C700" s="39" t="str">
        <f t="shared" si="1"/>
        <v/>
      </c>
      <c r="AD700" s="39" t="str">
        <f t="shared" si="2"/>
        <v/>
      </c>
      <c r="AE700" s="39" t="str">
        <f t="shared" si="3"/>
        <v>No Counter</v>
      </c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C701" s="39" t="str">
        <f t="shared" si="1"/>
        <v/>
      </c>
      <c r="AD701" s="39" t="str">
        <f t="shared" si="2"/>
        <v/>
      </c>
      <c r="AE701" s="39" t="str">
        <f t="shared" si="3"/>
        <v>No Counter</v>
      </c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C702" s="39" t="str">
        <f t="shared" si="1"/>
        <v/>
      </c>
      <c r="AD702" s="39" t="str">
        <f t="shared" si="2"/>
        <v/>
      </c>
      <c r="AE702" s="39" t="str">
        <f t="shared" si="3"/>
        <v>No Counter</v>
      </c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C703" s="39" t="str">
        <f t="shared" si="1"/>
        <v/>
      </c>
      <c r="AD703" s="39" t="str">
        <f t="shared" si="2"/>
        <v/>
      </c>
      <c r="AE703" s="39" t="str">
        <f t="shared" si="3"/>
        <v>No Counter</v>
      </c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C704" s="39" t="str">
        <f t="shared" si="1"/>
        <v/>
      </c>
      <c r="AD704" s="39" t="str">
        <f t="shared" si="2"/>
        <v/>
      </c>
      <c r="AE704" s="39" t="str">
        <f t="shared" si="3"/>
        <v>No Counter</v>
      </c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C705" s="39" t="str">
        <f t="shared" si="1"/>
        <v/>
      </c>
      <c r="AD705" s="39" t="str">
        <f t="shared" si="2"/>
        <v/>
      </c>
      <c r="AE705" s="39" t="str">
        <f t="shared" si="3"/>
        <v>No Counter</v>
      </c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C706" s="39" t="str">
        <f t="shared" si="1"/>
        <v/>
      </c>
      <c r="AD706" s="39" t="str">
        <f t="shared" si="2"/>
        <v/>
      </c>
      <c r="AE706" s="39" t="str">
        <f t="shared" si="3"/>
        <v>No Counter</v>
      </c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C707" s="39" t="str">
        <f t="shared" si="1"/>
        <v/>
      </c>
      <c r="AD707" s="39" t="str">
        <f t="shared" si="2"/>
        <v/>
      </c>
      <c r="AE707" s="39" t="str">
        <f t="shared" si="3"/>
        <v>No Counter</v>
      </c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C708" s="39" t="str">
        <f t="shared" si="1"/>
        <v/>
      </c>
      <c r="AD708" s="39" t="str">
        <f t="shared" si="2"/>
        <v/>
      </c>
      <c r="AE708" s="39" t="str">
        <f t="shared" si="3"/>
        <v>No Counter</v>
      </c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C709" s="39" t="str">
        <f t="shared" si="1"/>
        <v/>
      </c>
      <c r="AD709" s="39" t="str">
        <f t="shared" si="2"/>
        <v/>
      </c>
      <c r="AE709" s="39" t="str">
        <f t="shared" si="3"/>
        <v>No Counter</v>
      </c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C710" s="39" t="str">
        <f t="shared" si="1"/>
        <v/>
      </c>
      <c r="AD710" s="39" t="str">
        <f t="shared" si="2"/>
        <v/>
      </c>
      <c r="AE710" s="39" t="str">
        <f t="shared" si="3"/>
        <v>No Counter</v>
      </c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C711" s="39" t="str">
        <f t="shared" si="1"/>
        <v/>
      </c>
      <c r="AD711" s="39" t="str">
        <f t="shared" si="2"/>
        <v/>
      </c>
      <c r="AE711" s="39" t="str">
        <f t="shared" si="3"/>
        <v>No Counter</v>
      </c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C712" s="39" t="str">
        <f t="shared" si="1"/>
        <v/>
      </c>
      <c r="AD712" s="39" t="str">
        <f t="shared" si="2"/>
        <v/>
      </c>
      <c r="AE712" s="39" t="str">
        <f t="shared" si="3"/>
        <v>No Counter</v>
      </c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C713" s="39" t="str">
        <f t="shared" si="1"/>
        <v/>
      </c>
      <c r="AD713" s="39" t="str">
        <f t="shared" si="2"/>
        <v/>
      </c>
      <c r="AE713" s="39" t="str">
        <f t="shared" si="3"/>
        <v>No Counter</v>
      </c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C714" s="39" t="str">
        <f t="shared" si="1"/>
        <v/>
      </c>
      <c r="AD714" s="39" t="str">
        <f t="shared" si="2"/>
        <v/>
      </c>
      <c r="AE714" s="39" t="str">
        <f t="shared" si="3"/>
        <v>No Counter</v>
      </c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C715" s="39" t="str">
        <f t="shared" si="1"/>
        <v/>
      </c>
      <c r="AD715" s="39" t="str">
        <f t="shared" si="2"/>
        <v/>
      </c>
      <c r="AE715" s="39" t="str">
        <f t="shared" si="3"/>
        <v>No Counter</v>
      </c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C716" s="39" t="str">
        <f t="shared" si="1"/>
        <v/>
      </c>
      <c r="AD716" s="39" t="str">
        <f t="shared" si="2"/>
        <v/>
      </c>
      <c r="AE716" s="39" t="str">
        <f t="shared" si="3"/>
        <v>No Counter</v>
      </c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C717" s="39" t="str">
        <f t="shared" si="1"/>
        <v/>
      </c>
      <c r="AD717" s="39" t="str">
        <f t="shared" si="2"/>
        <v/>
      </c>
      <c r="AE717" s="39" t="str">
        <f t="shared" si="3"/>
        <v>No Counter</v>
      </c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C718" s="39" t="str">
        <f t="shared" si="1"/>
        <v/>
      </c>
      <c r="AD718" s="39" t="str">
        <f t="shared" si="2"/>
        <v/>
      </c>
      <c r="AE718" s="39" t="str">
        <f t="shared" si="3"/>
        <v>No Counter</v>
      </c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C719" s="39" t="str">
        <f t="shared" si="1"/>
        <v/>
      </c>
      <c r="AD719" s="39" t="str">
        <f t="shared" si="2"/>
        <v/>
      </c>
      <c r="AE719" s="39" t="str">
        <f t="shared" si="3"/>
        <v>No Counter</v>
      </c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C720" s="39" t="str">
        <f t="shared" si="1"/>
        <v/>
      </c>
      <c r="AD720" s="39" t="str">
        <f t="shared" si="2"/>
        <v/>
      </c>
      <c r="AE720" s="39" t="str">
        <f t="shared" si="3"/>
        <v>No Counter</v>
      </c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C721" s="39" t="str">
        <f t="shared" si="1"/>
        <v/>
      </c>
      <c r="AD721" s="39" t="str">
        <f t="shared" si="2"/>
        <v/>
      </c>
      <c r="AE721" s="39" t="str">
        <f t="shared" si="3"/>
        <v>No Counter</v>
      </c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C722" s="39" t="str">
        <f t="shared" si="1"/>
        <v/>
      </c>
      <c r="AD722" s="39" t="str">
        <f t="shared" si="2"/>
        <v/>
      </c>
      <c r="AE722" s="39" t="str">
        <f t="shared" si="3"/>
        <v>No Counter</v>
      </c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C723" s="39" t="str">
        <f t="shared" si="1"/>
        <v/>
      </c>
      <c r="AD723" s="39" t="str">
        <f t="shared" si="2"/>
        <v/>
      </c>
      <c r="AE723" s="39" t="str">
        <f t="shared" si="3"/>
        <v>No Counter</v>
      </c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C724" s="39" t="str">
        <f t="shared" si="1"/>
        <v/>
      </c>
      <c r="AD724" s="39" t="str">
        <f t="shared" si="2"/>
        <v/>
      </c>
      <c r="AE724" s="39" t="str">
        <f t="shared" si="3"/>
        <v>No Counter</v>
      </c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C725" s="39" t="str">
        <f t="shared" si="1"/>
        <v/>
      </c>
      <c r="AD725" s="39" t="str">
        <f t="shared" si="2"/>
        <v/>
      </c>
      <c r="AE725" s="39" t="str">
        <f t="shared" si="3"/>
        <v>No Counter</v>
      </c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C726" s="39" t="str">
        <f t="shared" si="1"/>
        <v/>
      </c>
      <c r="AD726" s="39" t="str">
        <f t="shared" si="2"/>
        <v/>
      </c>
      <c r="AE726" s="39" t="str">
        <f t="shared" si="3"/>
        <v>No Counter</v>
      </c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C727" s="39" t="str">
        <f t="shared" si="1"/>
        <v/>
      </c>
      <c r="AD727" s="39" t="str">
        <f t="shared" si="2"/>
        <v/>
      </c>
      <c r="AE727" s="39" t="str">
        <f t="shared" si="3"/>
        <v>No Counter</v>
      </c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C728" s="39" t="str">
        <f t="shared" si="1"/>
        <v/>
      </c>
      <c r="AD728" s="39" t="str">
        <f t="shared" si="2"/>
        <v/>
      </c>
      <c r="AE728" s="39" t="str">
        <f t="shared" si="3"/>
        <v>No Counter</v>
      </c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C729" s="39" t="str">
        <f t="shared" si="1"/>
        <v/>
      </c>
      <c r="AD729" s="39" t="str">
        <f t="shared" si="2"/>
        <v/>
      </c>
      <c r="AE729" s="39" t="str">
        <f t="shared" si="3"/>
        <v>No Counter</v>
      </c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C730" s="39" t="str">
        <f t="shared" si="1"/>
        <v/>
      </c>
      <c r="AD730" s="39" t="str">
        <f t="shared" si="2"/>
        <v/>
      </c>
      <c r="AE730" s="39" t="str">
        <f t="shared" si="3"/>
        <v>No Counter</v>
      </c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C731" s="39" t="str">
        <f t="shared" si="1"/>
        <v/>
      </c>
      <c r="AD731" s="39" t="str">
        <f t="shared" si="2"/>
        <v/>
      </c>
      <c r="AE731" s="39" t="str">
        <f t="shared" si="3"/>
        <v>No Counter</v>
      </c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C732" s="39" t="str">
        <f t="shared" si="1"/>
        <v/>
      </c>
      <c r="AD732" s="39" t="str">
        <f t="shared" si="2"/>
        <v/>
      </c>
      <c r="AE732" s="39" t="str">
        <f t="shared" si="3"/>
        <v>No Counter</v>
      </c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C733" s="39" t="str">
        <f t="shared" si="1"/>
        <v/>
      </c>
      <c r="AD733" s="39" t="str">
        <f t="shared" si="2"/>
        <v/>
      </c>
      <c r="AE733" s="39" t="str">
        <f t="shared" si="3"/>
        <v>No Counter</v>
      </c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C734" s="39" t="str">
        <f t="shared" si="1"/>
        <v/>
      </c>
      <c r="AD734" s="39" t="str">
        <f t="shared" si="2"/>
        <v/>
      </c>
      <c r="AE734" s="39" t="str">
        <f t="shared" si="3"/>
        <v>No Counter</v>
      </c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C735" s="39" t="str">
        <f t="shared" si="1"/>
        <v/>
      </c>
      <c r="AD735" s="39" t="str">
        <f t="shared" si="2"/>
        <v/>
      </c>
      <c r="AE735" s="39" t="str">
        <f t="shared" si="3"/>
        <v>No Counter</v>
      </c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C736" s="39" t="str">
        <f t="shared" si="1"/>
        <v/>
      </c>
      <c r="AD736" s="39" t="str">
        <f t="shared" si="2"/>
        <v/>
      </c>
      <c r="AE736" s="39" t="str">
        <f t="shared" si="3"/>
        <v>No Counter</v>
      </c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C737" s="39" t="str">
        <f t="shared" si="1"/>
        <v/>
      </c>
      <c r="AD737" s="39" t="str">
        <f t="shared" si="2"/>
        <v/>
      </c>
      <c r="AE737" s="39" t="str">
        <f t="shared" si="3"/>
        <v>No Counter</v>
      </c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C738" s="39" t="str">
        <f t="shared" si="1"/>
        <v/>
      </c>
      <c r="AD738" s="39" t="str">
        <f t="shared" si="2"/>
        <v/>
      </c>
      <c r="AE738" s="39" t="str">
        <f t="shared" si="3"/>
        <v>No Counter</v>
      </c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C739" s="39" t="str">
        <f t="shared" si="1"/>
        <v/>
      </c>
      <c r="AD739" s="39" t="str">
        <f t="shared" si="2"/>
        <v/>
      </c>
      <c r="AE739" s="39" t="str">
        <f t="shared" si="3"/>
        <v>No Counter</v>
      </c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C740" s="39" t="str">
        <f t="shared" si="1"/>
        <v/>
      </c>
      <c r="AD740" s="39" t="str">
        <f t="shared" si="2"/>
        <v/>
      </c>
      <c r="AE740" s="39" t="str">
        <f t="shared" si="3"/>
        <v>No Counter</v>
      </c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C741" s="39" t="str">
        <f t="shared" si="1"/>
        <v/>
      </c>
      <c r="AD741" s="39" t="str">
        <f t="shared" si="2"/>
        <v/>
      </c>
      <c r="AE741" s="39" t="str">
        <f t="shared" si="3"/>
        <v>No Counter</v>
      </c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C742" s="39" t="str">
        <f t="shared" si="1"/>
        <v/>
      </c>
      <c r="AD742" s="39" t="str">
        <f t="shared" si="2"/>
        <v/>
      </c>
      <c r="AE742" s="39" t="str">
        <f t="shared" si="3"/>
        <v>No Counter</v>
      </c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C743" s="39" t="str">
        <f t="shared" si="1"/>
        <v/>
      </c>
      <c r="AD743" s="39" t="str">
        <f t="shared" si="2"/>
        <v/>
      </c>
      <c r="AE743" s="39" t="str">
        <f t="shared" si="3"/>
        <v>No Counter</v>
      </c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C744" s="39" t="str">
        <f t="shared" si="1"/>
        <v/>
      </c>
      <c r="AD744" s="39" t="str">
        <f t="shared" si="2"/>
        <v/>
      </c>
      <c r="AE744" s="39" t="str">
        <f t="shared" si="3"/>
        <v>No Counter</v>
      </c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C745" s="39" t="str">
        <f t="shared" si="1"/>
        <v/>
      </c>
      <c r="AD745" s="39" t="str">
        <f t="shared" si="2"/>
        <v/>
      </c>
      <c r="AE745" s="39" t="str">
        <f t="shared" si="3"/>
        <v>No Counter</v>
      </c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C746" s="39" t="str">
        <f t="shared" si="1"/>
        <v/>
      </c>
      <c r="AD746" s="39" t="str">
        <f t="shared" si="2"/>
        <v/>
      </c>
      <c r="AE746" s="39" t="str">
        <f t="shared" si="3"/>
        <v>No Counter</v>
      </c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C747" s="39" t="str">
        <f t="shared" si="1"/>
        <v/>
      </c>
      <c r="AD747" s="39" t="str">
        <f t="shared" si="2"/>
        <v/>
      </c>
      <c r="AE747" s="39" t="str">
        <f t="shared" si="3"/>
        <v>No Counter</v>
      </c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C748" s="39" t="str">
        <f t="shared" si="1"/>
        <v/>
      </c>
      <c r="AD748" s="39" t="str">
        <f t="shared" si="2"/>
        <v/>
      </c>
      <c r="AE748" s="39" t="str">
        <f t="shared" si="3"/>
        <v>No Counter</v>
      </c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C749" s="39" t="str">
        <f t="shared" si="1"/>
        <v/>
      </c>
      <c r="AD749" s="39" t="str">
        <f t="shared" si="2"/>
        <v/>
      </c>
      <c r="AE749" s="39" t="str">
        <f t="shared" si="3"/>
        <v>No Counter</v>
      </c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C750" s="39" t="str">
        <f t="shared" si="1"/>
        <v/>
      </c>
      <c r="AD750" s="39" t="str">
        <f t="shared" si="2"/>
        <v/>
      </c>
      <c r="AE750" s="39" t="str">
        <f t="shared" si="3"/>
        <v>No Counter</v>
      </c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C751" s="39" t="str">
        <f t="shared" si="1"/>
        <v/>
      </c>
      <c r="AD751" s="39" t="str">
        <f t="shared" si="2"/>
        <v/>
      </c>
      <c r="AE751" s="39" t="str">
        <f t="shared" si="3"/>
        <v>No Counter</v>
      </c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C752" s="39" t="str">
        <f t="shared" si="1"/>
        <v/>
      </c>
      <c r="AD752" s="39" t="str">
        <f t="shared" si="2"/>
        <v/>
      </c>
      <c r="AE752" s="39" t="str">
        <f t="shared" si="3"/>
        <v>No Counter</v>
      </c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C753" s="39" t="str">
        <f t="shared" si="1"/>
        <v/>
      </c>
      <c r="AD753" s="39" t="str">
        <f t="shared" si="2"/>
        <v/>
      </c>
      <c r="AE753" s="39" t="str">
        <f t="shared" si="3"/>
        <v>No Counter</v>
      </c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C754" s="39" t="str">
        <f t="shared" si="1"/>
        <v/>
      </c>
      <c r="AD754" s="39" t="str">
        <f t="shared" si="2"/>
        <v/>
      </c>
      <c r="AE754" s="39" t="str">
        <f t="shared" si="3"/>
        <v>No Counter</v>
      </c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C755" s="39" t="str">
        <f t="shared" si="1"/>
        <v/>
      </c>
      <c r="AD755" s="39" t="str">
        <f t="shared" si="2"/>
        <v/>
      </c>
      <c r="AE755" s="39" t="str">
        <f t="shared" si="3"/>
        <v>No Counter</v>
      </c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C756" s="39" t="str">
        <f t="shared" si="1"/>
        <v/>
      </c>
      <c r="AD756" s="39" t="str">
        <f t="shared" si="2"/>
        <v/>
      </c>
      <c r="AE756" s="39" t="str">
        <f t="shared" si="3"/>
        <v>No Counter</v>
      </c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C757" s="39" t="str">
        <f t="shared" si="1"/>
        <v/>
      </c>
      <c r="AD757" s="39" t="str">
        <f t="shared" si="2"/>
        <v/>
      </c>
      <c r="AE757" s="39" t="str">
        <f t="shared" si="3"/>
        <v>No Counter</v>
      </c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C758" s="39" t="str">
        <f t="shared" si="1"/>
        <v/>
      </c>
      <c r="AD758" s="39" t="str">
        <f t="shared" si="2"/>
        <v/>
      </c>
      <c r="AE758" s="39" t="str">
        <f t="shared" si="3"/>
        <v>No Counter</v>
      </c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C759" s="39" t="str">
        <f t="shared" si="1"/>
        <v/>
      </c>
      <c r="AD759" s="39" t="str">
        <f t="shared" si="2"/>
        <v/>
      </c>
      <c r="AE759" s="39" t="str">
        <f t="shared" si="3"/>
        <v>No Counter</v>
      </c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C760" s="39" t="str">
        <f t="shared" si="1"/>
        <v/>
      </c>
      <c r="AD760" s="39" t="str">
        <f t="shared" si="2"/>
        <v/>
      </c>
      <c r="AE760" s="39" t="str">
        <f t="shared" si="3"/>
        <v>No Counter</v>
      </c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C761" s="39" t="str">
        <f t="shared" si="1"/>
        <v/>
      </c>
      <c r="AD761" s="39" t="str">
        <f t="shared" si="2"/>
        <v/>
      </c>
      <c r="AE761" s="39" t="str">
        <f t="shared" si="3"/>
        <v>No Counter</v>
      </c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C762" s="39" t="str">
        <f t="shared" si="1"/>
        <v/>
      </c>
      <c r="AD762" s="39" t="str">
        <f t="shared" si="2"/>
        <v/>
      </c>
      <c r="AE762" s="39" t="str">
        <f t="shared" si="3"/>
        <v>No Counter</v>
      </c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C763" s="39" t="str">
        <f t="shared" si="1"/>
        <v/>
      </c>
      <c r="AD763" s="39" t="str">
        <f t="shared" si="2"/>
        <v/>
      </c>
      <c r="AE763" s="39" t="str">
        <f t="shared" si="3"/>
        <v>No Counter</v>
      </c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C764" s="39" t="str">
        <f t="shared" si="1"/>
        <v/>
      </c>
      <c r="AD764" s="39" t="str">
        <f t="shared" si="2"/>
        <v/>
      </c>
      <c r="AE764" s="39" t="str">
        <f t="shared" si="3"/>
        <v>No Counter</v>
      </c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C765" s="39" t="str">
        <f t="shared" si="1"/>
        <v/>
      </c>
      <c r="AD765" s="39" t="str">
        <f t="shared" si="2"/>
        <v/>
      </c>
      <c r="AE765" s="39" t="str">
        <f t="shared" si="3"/>
        <v>No Counter</v>
      </c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C766" s="39" t="str">
        <f t="shared" si="1"/>
        <v/>
      </c>
      <c r="AD766" s="39" t="str">
        <f t="shared" si="2"/>
        <v/>
      </c>
      <c r="AE766" s="39" t="str">
        <f t="shared" si="3"/>
        <v>No Counter</v>
      </c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C767" s="39" t="str">
        <f t="shared" si="1"/>
        <v/>
      </c>
      <c r="AD767" s="39" t="str">
        <f t="shared" si="2"/>
        <v/>
      </c>
      <c r="AE767" s="39" t="str">
        <f t="shared" si="3"/>
        <v>No Counter</v>
      </c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C768" s="39" t="str">
        <f t="shared" si="1"/>
        <v/>
      </c>
      <c r="AD768" s="39" t="str">
        <f t="shared" si="2"/>
        <v/>
      </c>
      <c r="AE768" s="39" t="str">
        <f t="shared" si="3"/>
        <v>No Counter</v>
      </c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C769" s="39" t="str">
        <f t="shared" si="1"/>
        <v/>
      </c>
      <c r="AD769" s="39" t="str">
        <f t="shared" si="2"/>
        <v/>
      </c>
      <c r="AE769" s="39" t="str">
        <f t="shared" si="3"/>
        <v>No Counter</v>
      </c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C770" s="39" t="str">
        <f t="shared" si="1"/>
        <v/>
      </c>
      <c r="AD770" s="39" t="str">
        <f t="shared" si="2"/>
        <v/>
      </c>
      <c r="AE770" s="39" t="str">
        <f t="shared" si="3"/>
        <v>No Counter</v>
      </c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C771" s="39" t="str">
        <f t="shared" si="1"/>
        <v/>
      </c>
      <c r="AD771" s="39" t="str">
        <f t="shared" si="2"/>
        <v/>
      </c>
      <c r="AE771" s="39" t="str">
        <f t="shared" si="3"/>
        <v>No Counter</v>
      </c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C772" s="39" t="str">
        <f t="shared" si="1"/>
        <v/>
      </c>
      <c r="AD772" s="39" t="str">
        <f t="shared" si="2"/>
        <v/>
      </c>
      <c r="AE772" s="39" t="str">
        <f t="shared" si="3"/>
        <v>No Counter</v>
      </c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C773" s="39" t="str">
        <f t="shared" si="1"/>
        <v/>
      </c>
      <c r="AD773" s="39" t="str">
        <f t="shared" si="2"/>
        <v/>
      </c>
      <c r="AE773" s="39" t="str">
        <f t="shared" si="3"/>
        <v>No Counter</v>
      </c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C774" s="39" t="str">
        <f t="shared" si="1"/>
        <v/>
      </c>
      <c r="AD774" s="39" t="str">
        <f t="shared" si="2"/>
        <v/>
      </c>
      <c r="AE774" s="39" t="str">
        <f t="shared" si="3"/>
        <v>No Counter</v>
      </c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C775" s="39" t="str">
        <f t="shared" si="1"/>
        <v/>
      </c>
      <c r="AD775" s="39" t="str">
        <f t="shared" si="2"/>
        <v/>
      </c>
      <c r="AE775" s="39" t="str">
        <f t="shared" si="3"/>
        <v>No Counter</v>
      </c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C776" s="39" t="str">
        <f t="shared" si="1"/>
        <v/>
      </c>
      <c r="AD776" s="39" t="str">
        <f t="shared" si="2"/>
        <v/>
      </c>
      <c r="AE776" s="39" t="str">
        <f t="shared" si="3"/>
        <v>No Counter</v>
      </c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C777" s="39" t="str">
        <f t="shared" si="1"/>
        <v/>
      </c>
      <c r="AD777" s="39" t="str">
        <f t="shared" si="2"/>
        <v/>
      </c>
      <c r="AE777" s="39" t="str">
        <f t="shared" si="3"/>
        <v>No Counter</v>
      </c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C778" s="39" t="str">
        <f t="shared" si="1"/>
        <v/>
      </c>
      <c r="AD778" s="39" t="str">
        <f t="shared" si="2"/>
        <v/>
      </c>
      <c r="AE778" s="39" t="str">
        <f t="shared" si="3"/>
        <v>No Counter</v>
      </c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C779" s="39" t="str">
        <f t="shared" si="1"/>
        <v/>
      </c>
      <c r="AD779" s="39" t="str">
        <f t="shared" si="2"/>
        <v/>
      </c>
      <c r="AE779" s="39" t="str">
        <f t="shared" si="3"/>
        <v>No Counter</v>
      </c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C780" s="39" t="str">
        <f t="shared" si="1"/>
        <v/>
      </c>
      <c r="AD780" s="39" t="str">
        <f t="shared" si="2"/>
        <v/>
      </c>
      <c r="AE780" s="39" t="str">
        <f t="shared" si="3"/>
        <v>No Counter</v>
      </c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C781" s="39" t="str">
        <f t="shared" si="1"/>
        <v/>
      </c>
      <c r="AD781" s="39" t="str">
        <f t="shared" si="2"/>
        <v/>
      </c>
      <c r="AE781" s="39" t="str">
        <f t="shared" si="3"/>
        <v>No Counter</v>
      </c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C782" s="39" t="str">
        <f t="shared" si="1"/>
        <v/>
      </c>
      <c r="AD782" s="39" t="str">
        <f t="shared" si="2"/>
        <v/>
      </c>
      <c r="AE782" s="39" t="str">
        <f t="shared" si="3"/>
        <v>No Counter</v>
      </c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C783" s="39" t="str">
        <f t="shared" si="1"/>
        <v/>
      </c>
      <c r="AD783" s="39" t="str">
        <f t="shared" si="2"/>
        <v/>
      </c>
      <c r="AE783" s="39" t="str">
        <f t="shared" si="3"/>
        <v>No Counter</v>
      </c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C784" s="39" t="str">
        <f t="shared" si="1"/>
        <v/>
      </c>
      <c r="AD784" s="39" t="str">
        <f t="shared" si="2"/>
        <v/>
      </c>
      <c r="AE784" s="39" t="str">
        <f t="shared" si="3"/>
        <v>No Counter</v>
      </c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C785" s="39" t="str">
        <f t="shared" si="1"/>
        <v/>
      </c>
      <c r="AD785" s="39" t="str">
        <f t="shared" si="2"/>
        <v/>
      </c>
      <c r="AE785" s="39" t="str">
        <f t="shared" si="3"/>
        <v>No Counter</v>
      </c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C786" s="39" t="str">
        <f t="shared" si="1"/>
        <v/>
      </c>
      <c r="AD786" s="39" t="str">
        <f t="shared" si="2"/>
        <v/>
      </c>
      <c r="AE786" s="39" t="str">
        <f t="shared" si="3"/>
        <v>No Counter</v>
      </c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C787" s="39" t="str">
        <f t="shared" si="1"/>
        <v/>
      </c>
      <c r="AD787" s="39" t="str">
        <f t="shared" si="2"/>
        <v/>
      </c>
      <c r="AE787" s="39" t="str">
        <f t="shared" si="3"/>
        <v>No Counter</v>
      </c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C788" s="39" t="str">
        <f t="shared" si="1"/>
        <v/>
      </c>
      <c r="AD788" s="39" t="str">
        <f t="shared" si="2"/>
        <v/>
      </c>
      <c r="AE788" s="39" t="str">
        <f t="shared" si="3"/>
        <v>No Counter</v>
      </c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C789" s="39" t="str">
        <f t="shared" si="1"/>
        <v/>
      </c>
      <c r="AD789" s="39" t="str">
        <f t="shared" si="2"/>
        <v/>
      </c>
      <c r="AE789" s="39" t="str">
        <f t="shared" si="3"/>
        <v>No Counter</v>
      </c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C790" s="39" t="str">
        <f t="shared" si="1"/>
        <v/>
      </c>
      <c r="AD790" s="39" t="str">
        <f t="shared" si="2"/>
        <v/>
      </c>
      <c r="AE790" s="39" t="str">
        <f t="shared" si="3"/>
        <v>No Counter</v>
      </c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C791" s="39" t="str">
        <f t="shared" si="1"/>
        <v/>
      </c>
      <c r="AD791" s="39" t="str">
        <f t="shared" si="2"/>
        <v/>
      </c>
      <c r="AE791" s="39" t="str">
        <f t="shared" si="3"/>
        <v>No Counter</v>
      </c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C792" s="39" t="str">
        <f t="shared" si="1"/>
        <v/>
      </c>
      <c r="AD792" s="39" t="str">
        <f t="shared" si="2"/>
        <v/>
      </c>
      <c r="AE792" s="39" t="str">
        <f t="shared" si="3"/>
        <v>No Counter</v>
      </c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C793" s="39" t="str">
        <f t="shared" si="1"/>
        <v/>
      </c>
      <c r="AD793" s="39" t="str">
        <f t="shared" si="2"/>
        <v/>
      </c>
      <c r="AE793" s="39" t="str">
        <f t="shared" si="3"/>
        <v>No Counter</v>
      </c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C794" s="39" t="str">
        <f t="shared" si="1"/>
        <v/>
      </c>
      <c r="AD794" s="39" t="str">
        <f t="shared" si="2"/>
        <v/>
      </c>
      <c r="AE794" s="39" t="str">
        <f t="shared" si="3"/>
        <v>No Counter</v>
      </c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C795" s="39" t="str">
        <f t="shared" si="1"/>
        <v/>
      </c>
      <c r="AD795" s="39" t="str">
        <f t="shared" si="2"/>
        <v/>
      </c>
      <c r="AE795" s="39" t="str">
        <f t="shared" si="3"/>
        <v>No Counter</v>
      </c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C796" s="39" t="str">
        <f t="shared" si="1"/>
        <v/>
      </c>
      <c r="AD796" s="39" t="str">
        <f t="shared" si="2"/>
        <v/>
      </c>
      <c r="AE796" s="39" t="str">
        <f t="shared" si="3"/>
        <v>No Counter</v>
      </c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C797" s="39" t="str">
        <f t="shared" si="1"/>
        <v/>
      </c>
      <c r="AD797" s="39" t="str">
        <f t="shared" si="2"/>
        <v/>
      </c>
      <c r="AE797" s="39" t="str">
        <f t="shared" si="3"/>
        <v>No Counter</v>
      </c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C798" s="39" t="str">
        <f t="shared" si="1"/>
        <v/>
      </c>
      <c r="AD798" s="39" t="str">
        <f t="shared" si="2"/>
        <v/>
      </c>
      <c r="AE798" s="39" t="str">
        <f t="shared" si="3"/>
        <v>No Counter</v>
      </c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C799" s="39" t="str">
        <f t="shared" si="1"/>
        <v/>
      </c>
      <c r="AD799" s="39" t="str">
        <f t="shared" si="2"/>
        <v/>
      </c>
      <c r="AE799" s="39" t="str">
        <f t="shared" si="3"/>
        <v>No Counter</v>
      </c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C800" s="39" t="str">
        <f t="shared" si="1"/>
        <v/>
      </c>
      <c r="AD800" s="39" t="str">
        <f t="shared" si="2"/>
        <v/>
      </c>
      <c r="AE800" s="39" t="str">
        <f t="shared" si="3"/>
        <v>No Counter</v>
      </c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C801" s="39" t="str">
        <f t="shared" si="1"/>
        <v/>
      </c>
      <c r="AD801" s="39" t="str">
        <f t="shared" si="2"/>
        <v/>
      </c>
      <c r="AE801" s="39" t="str">
        <f t="shared" si="3"/>
        <v>No Counter</v>
      </c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C802" s="39" t="str">
        <f t="shared" si="1"/>
        <v/>
      </c>
      <c r="AD802" s="39" t="str">
        <f t="shared" si="2"/>
        <v/>
      </c>
      <c r="AE802" s="39" t="str">
        <f t="shared" si="3"/>
        <v>No Counter</v>
      </c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C803" s="39" t="str">
        <f t="shared" si="1"/>
        <v/>
      </c>
      <c r="AD803" s="39" t="str">
        <f t="shared" si="2"/>
        <v/>
      </c>
      <c r="AE803" s="39" t="str">
        <f t="shared" si="3"/>
        <v>No Counter</v>
      </c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C804" s="39" t="str">
        <f t="shared" si="1"/>
        <v/>
      </c>
      <c r="AD804" s="39" t="str">
        <f t="shared" si="2"/>
        <v/>
      </c>
      <c r="AE804" s="39" t="str">
        <f t="shared" si="3"/>
        <v>No Counter</v>
      </c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C805" s="39" t="str">
        <f t="shared" si="1"/>
        <v/>
      </c>
      <c r="AD805" s="39" t="str">
        <f t="shared" si="2"/>
        <v/>
      </c>
      <c r="AE805" s="39" t="str">
        <f t="shared" si="3"/>
        <v>No Counter</v>
      </c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C806" s="39" t="str">
        <f t="shared" si="1"/>
        <v/>
      </c>
      <c r="AD806" s="39" t="str">
        <f t="shared" si="2"/>
        <v/>
      </c>
      <c r="AE806" s="39" t="str">
        <f t="shared" si="3"/>
        <v>No Counter</v>
      </c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C807" s="39" t="str">
        <f t="shared" si="1"/>
        <v/>
      </c>
      <c r="AD807" s="39" t="str">
        <f t="shared" si="2"/>
        <v/>
      </c>
      <c r="AE807" s="39" t="str">
        <f t="shared" si="3"/>
        <v>No Counter</v>
      </c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C808" s="39" t="str">
        <f t="shared" si="1"/>
        <v/>
      </c>
      <c r="AD808" s="39" t="str">
        <f t="shared" si="2"/>
        <v/>
      </c>
      <c r="AE808" s="39" t="str">
        <f t="shared" si="3"/>
        <v>No Counter</v>
      </c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C809" s="39" t="str">
        <f t="shared" si="1"/>
        <v/>
      </c>
      <c r="AD809" s="39" t="str">
        <f t="shared" si="2"/>
        <v/>
      </c>
      <c r="AE809" s="39" t="str">
        <f t="shared" si="3"/>
        <v>No Counter</v>
      </c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C810" s="39" t="str">
        <f t="shared" si="1"/>
        <v/>
      </c>
      <c r="AD810" s="39" t="str">
        <f t="shared" si="2"/>
        <v/>
      </c>
      <c r="AE810" s="39" t="str">
        <f t="shared" si="3"/>
        <v>No Counter</v>
      </c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C811" s="39" t="str">
        <f t="shared" si="1"/>
        <v/>
      </c>
      <c r="AD811" s="39" t="str">
        <f t="shared" si="2"/>
        <v/>
      </c>
      <c r="AE811" s="39" t="str">
        <f t="shared" si="3"/>
        <v>No Counter</v>
      </c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C812" s="39" t="str">
        <f t="shared" si="1"/>
        <v/>
      </c>
      <c r="AD812" s="39" t="str">
        <f t="shared" si="2"/>
        <v/>
      </c>
      <c r="AE812" s="39" t="str">
        <f t="shared" si="3"/>
        <v>No Counter</v>
      </c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C813" s="39" t="str">
        <f t="shared" si="1"/>
        <v/>
      </c>
      <c r="AD813" s="39" t="str">
        <f t="shared" si="2"/>
        <v/>
      </c>
      <c r="AE813" s="39" t="str">
        <f t="shared" si="3"/>
        <v>No Counter</v>
      </c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C814" s="39" t="str">
        <f t="shared" si="1"/>
        <v/>
      </c>
      <c r="AD814" s="39" t="str">
        <f t="shared" si="2"/>
        <v/>
      </c>
      <c r="AE814" s="39" t="str">
        <f t="shared" si="3"/>
        <v>No Counter</v>
      </c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C815" s="39" t="str">
        <f t="shared" si="1"/>
        <v/>
      </c>
      <c r="AD815" s="39" t="str">
        <f t="shared" si="2"/>
        <v/>
      </c>
      <c r="AE815" s="39" t="str">
        <f t="shared" si="3"/>
        <v>No Counter</v>
      </c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C816" s="39" t="str">
        <f t="shared" si="1"/>
        <v/>
      </c>
      <c r="AD816" s="39" t="str">
        <f t="shared" si="2"/>
        <v/>
      </c>
      <c r="AE816" s="39" t="str">
        <f t="shared" si="3"/>
        <v>No Counter</v>
      </c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C817" s="39" t="str">
        <f t="shared" si="1"/>
        <v/>
      </c>
      <c r="AD817" s="39" t="str">
        <f t="shared" si="2"/>
        <v/>
      </c>
      <c r="AE817" s="39" t="str">
        <f t="shared" si="3"/>
        <v>No Counter</v>
      </c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C818" s="39" t="str">
        <f t="shared" si="1"/>
        <v/>
      </c>
      <c r="AD818" s="39" t="str">
        <f t="shared" si="2"/>
        <v/>
      </c>
      <c r="AE818" s="39" t="str">
        <f t="shared" si="3"/>
        <v>No Counter</v>
      </c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C819" s="39" t="str">
        <f t="shared" si="1"/>
        <v/>
      </c>
      <c r="AD819" s="39" t="str">
        <f t="shared" si="2"/>
        <v/>
      </c>
      <c r="AE819" s="39" t="str">
        <f t="shared" si="3"/>
        <v>No Counter</v>
      </c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C820" s="39" t="str">
        <f t="shared" si="1"/>
        <v/>
      </c>
      <c r="AD820" s="39" t="str">
        <f t="shared" si="2"/>
        <v/>
      </c>
      <c r="AE820" s="39" t="str">
        <f t="shared" si="3"/>
        <v>No Counter</v>
      </c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C821" s="39" t="str">
        <f t="shared" si="1"/>
        <v/>
      </c>
      <c r="AD821" s="39" t="str">
        <f t="shared" si="2"/>
        <v/>
      </c>
      <c r="AE821" s="39" t="str">
        <f t="shared" si="3"/>
        <v>No Counter</v>
      </c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C822" s="39" t="str">
        <f t="shared" si="1"/>
        <v/>
      </c>
      <c r="AD822" s="39" t="str">
        <f t="shared" si="2"/>
        <v/>
      </c>
      <c r="AE822" s="39" t="str">
        <f t="shared" si="3"/>
        <v>No Counter</v>
      </c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C823" s="39" t="str">
        <f t="shared" si="1"/>
        <v/>
      </c>
      <c r="AD823" s="39" t="str">
        <f t="shared" si="2"/>
        <v/>
      </c>
      <c r="AE823" s="39" t="str">
        <f t="shared" si="3"/>
        <v>No Counter</v>
      </c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C824" s="39" t="str">
        <f t="shared" si="1"/>
        <v/>
      </c>
      <c r="AD824" s="39" t="str">
        <f t="shared" si="2"/>
        <v/>
      </c>
      <c r="AE824" s="39" t="str">
        <f t="shared" si="3"/>
        <v>No Counter</v>
      </c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C825" s="39" t="str">
        <f t="shared" si="1"/>
        <v/>
      </c>
      <c r="AD825" s="39" t="str">
        <f t="shared" si="2"/>
        <v/>
      </c>
      <c r="AE825" s="39" t="str">
        <f t="shared" si="3"/>
        <v>No Counter</v>
      </c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C826" s="39" t="str">
        <f t="shared" si="1"/>
        <v/>
      </c>
      <c r="AD826" s="39" t="str">
        <f t="shared" si="2"/>
        <v/>
      </c>
      <c r="AE826" s="39" t="str">
        <f t="shared" si="3"/>
        <v>No Counter</v>
      </c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C827" s="39" t="str">
        <f t="shared" si="1"/>
        <v/>
      </c>
      <c r="AD827" s="39" t="str">
        <f t="shared" si="2"/>
        <v/>
      </c>
      <c r="AE827" s="39" t="str">
        <f t="shared" si="3"/>
        <v>No Counter</v>
      </c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C828" s="39" t="str">
        <f t="shared" si="1"/>
        <v/>
      </c>
      <c r="AD828" s="39" t="str">
        <f t="shared" si="2"/>
        <v/>
      </c>
      <c r="AE828" s="39" t="str">
        <f t="shared" si="3"/>
        <v>No Counter</v>
      </c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C829" s="39" t="str">
        <f t="shared" si="1"/>
        <v/>
      </c>
      <c r="AD829" s="39" t="str">
        <f t="shared" si="2"/>
        <v/>
      </c>
      <c r="AE829" s="39" t="str">
        <f t="shared" si="3"/>
        <v>No Counter</v>
      </c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C830" s="39" t="str">
        <f t="shared" si="1"/>
        <v/>
      </c>
      <c r="AD830" s="39" t="str">
        <f t="shared" si="2"/>
        <v/>
      </c>
      <c r="AE830" s="39" t="str">
        <f t="shared" si="3"/>
        <v>No Counter</v>
      </c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C831" s="39" t="str">
        <f t="shared" si="1"/>
        <v/>
      </c>
      <c r="AD831" s="39" t="str">
        <f t="shared" si="2"/>
        <v/>
      </c>
      <c r="AE831" s="39" t="str">
        <f t="shared" si="3"/>
        <v>No Counter</v>
      </c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C832" s="39" t="str">
        <f t="shared" si="1"/>
        <v/>
      </c>
      <c r="AD832" s="39" t="str">
        <f t="shared" si="2"/>
        <v/>
      </c>
      <c r="AE832" s="39" t="str">
        <f t="shared" si="3"/>
        <v>No Counter</v>
      </c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C833" s="39" t="str">
        <f t="shared" si="1"/>
        <v/>
      </c>
      <c r="AD833" s="39" t="str">
        <f t="shared" si="2"/>
        <v/>
      </c>
      <c r="AE833" s="39" t="str">
        <f t="shared" si="3"/>
        <v>No Counter</v>
      </c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C834" s="39" t="str">
        <f t="shared" si="1"/>
        <v/>
      </c>
      <c r="AD834" s="39" t="str">
        <f t="shared" si="2"/>
        <v/>
      </c>
      <c r="AE834" s="39" t="str">
        <f t="shared" si="3"/>
        <v>No Counter</v>
      </c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C835" s="39" t="str">
        <f t="shared" si="1"/>
        <v/>
      </c>
      <c r="AD835" s="39" t="str">
        <f t="shared" si="2"/>
        <v/>
      </c>
      <c r="AE835" s="39" t="str">
        <f t="shared" si="3"/>
        <v>No Counter</v>
      </c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C836" s="39" t="str">
        <f t="shared" si="1"/>
        <v/>
      </c>
      <c r="AD836" s="39" t="str">
        <f t="shared" si="2"/>
        <v/>
      </c>
      <c r="AE836" s="39" t="str">
        <f t="shared" si="3"/>
        <v>No Counter</v>
      </c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C837" s="39" t="str">
        <f t="shared" si="1"/>
        <v/>
      </c>
      <c r="AD837" s="39" t="str">
        <f t="shared" si="2"/>
        <v/>
      </c>
      <c r="AE837" s="39" t="str">
        <f t="shared" si="3"/>
        <v>No Counter</v>
      </c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C838" s="39" t="str">
        <f t="shared" si="1"/>
        <v/>
      </c>
      <c r="AD838" s="39" t="str">
        <f t="shared" si="2"/>
        <v/>
      </c>
      <c r="AE838" s="39" t="str">
        <f t="shared" si="3"/>
        <v>No Counter</v>
      </c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C839" s="39" t="str">
        <f t="shared" si="1"/>
        <v/>
      </c>
      <c r="AD839" s="39" t="str">
        <f t="shared" si="2"/>
        <v/>
      </c>
      <c r="AE839" s="39" t="str">
        <f t="shared" si="3"/>
        <v>No Counter</v>
      </c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C840" s="39" t="str">
        <f t="shared" si="1"/>
        <v/>
      </c>
      <c r="AD840" s="39" t="str">
        <f t="shared" si="2"/>
        <v/>
      </c>
      <c r="AE840" s="39" t="str">
        <f t="shared" si="3"/>
        <v>No Counter</v>
      </c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C841" s="39" t="str">
        <f t="shared" si="1"/>
        <v/>
      </c>
      <c r="AD841" s="39" t="str">
        <f t="shared" si="2"/>
        <v/>
      </c>
      <c r="AE841" s="39" t="str">
        <f t="shared" si="3"/>
        <v>No Counter</v>
      </c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C842" s="39" t="str">
        <f t="shared" si="1"/>
        <v/>
      </c>
      <c r="AD842" s="39" t="str">
        <f t="shared" si="2"/>
        <v/>
      </c>
      <c r="AE842" s="39" t="str">
        <f t="shared" si="3"/>
        <v>No Counter</v>
      </c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C843" s="39" t="str">
        <f t="shared" si="1"/>
        <v/>
      </c>
      <c r="AD843" s="39" t="str">
        <f t="shared" si="2"/>
        <v/>
      </c>
      <c r="AE843" s="39" t="str">
        <f t="shared" si="3"/>
        <v>No Counter</v>
      </c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C844" s="39" t="str">
        <f t="shared" si="1"/>
        <v/>
      </c>
      <c r="AD844" s="39" t="str">
        <f t="shared" si="2"/>
        <v/>
      </c>
      <c r="AE844" s="39" t="str">
        <f t="shared" si="3"/>
        <v>No Counter</v>
      </c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C845" s="39" t="str">
        <f t="shared" si="1"/>
        <v/>
      </c>
      <c r="AD845" s="39" t="str">
        <f t="shared" si="2"/>
        <v/>
      </c>
      <c r="AE845" s="39" t="str">
        <f t="shared" si="3"/>
        <v>No Counter</v>
      </c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C846" s="39" t="str">
        <f t="shared" si="1"/>
        <v/>
      </c>
      <c r="AD846" s="39" t="str">
        <f t="shared" si="2"/>
        <v/>
      </c>
      <c r="AE846" s="39" t="str">
        <f t="shared" si="3"/>
        <v>No Counter</v>
      </c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C847" s="39" t="str">
        <f t="shared" si="1"/>
        <v/>
      </c>
      <c r="AD847" s="39" t="str">
        <f t="shared" si="2"/>
        <v/>
      </c>
      <c r="AE847" s="39" t="str">
        <f t="shared" si="3"/>
        <v>No Counter</v>
      </c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C848" s="39" t="str">
        <f t="shared" si="1"/>
        <v/>
      </c>
      <c r="AD848" s="39" t="str">
        <f t="shared" si="2"/>
        <v/>
      </c>
      <c r="AE848" s="39" t="str">
        <f t="shared" si="3"/>
        <v>No Counter</v>
      </c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C849" s="39" t="str">
        <f t="shared" si="1"/>
        <v/>
      </c>
      <c r="AD849" s="39" t="str">
        <f t="shared" si="2"/>
        <v/>
      </c>
      <c r="AE849" s="39" t="str">
        <f t="shared" si="3"/>
        <v>No Counter</v>
      </c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C850" s="39" t="str">
        <f t="shared" si="1"/>
        <v/>
      </c>
      <c r="AD850" s="39" t="str">
        <f t="shared" si="2"/>
        <v/>
      </c>
      <c r="AE850" s="39" t="str">
        <f t="shared" si="3"/>
        <v>No Counter</v>
      </c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C851" s="39" t="str">
        <f t="shared" si="1"/>
        <v/>
      </c>
      <c r="AD851" s="39" t="str">
        <f t="shared" si="2"/>
        <v/>
      </c>
      <c r="AE851" s="39" t="str">
        <f t="shared" si="3"/>
        <v>No Counter</v>
      </c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C852" s="39" t="str">
        <f t="shared" si="1"/>
        <v/>
      </c>
      <c r="AD852" s="39" t="str">
        <f t="shared" si="2"/>
        <v/>
      </c>
      <c r="AE852" s="39" t="str">
        <f t="shared" si="3"/>
        <v>No Counter</v>
      </c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C853" s="39" t="str">
        <f t="shared" si="1"/>
        <v/>
      </c>
      <c r="AD853" s="39" t="str">
        <f t="shared" si="2"/>
        <v/>
      </c>
      <c r="AE853" s="39" t="str">
        <f t="shared" si="3"/>
        <v>No Counter</v>
      </c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C854" s="39" t="str">
        <f t="shared" si="1"/>
        <v/>
      </c>
      <c r="AD854" s="39" t="str">
        <f t="shared" si="2"/>
        <v/>
      </c>
      <c r="AE854" s="39" t="str">
        <f t="shared" si="3"/>
        <v>No Counter</v>
      </c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C855" s="39" t="str">
        <f t="shared" si="1"/>
        <v/>
      </c>
      <c r="AD855" s="39" t="str">
        <f t="shared" si="2"/>
        <v/>
      </c>
      <c r="AE855" s="39" t="str">
        <f t="shared" si="3"/>
        <v>No Counter</v>
      </c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C856" s="39" t="str">
        <f t="shared" si="1"/>
        <v/>
      </c>
      <c r="AD856" s="39" t="str">
        <f t="shared" si="2"/>
        <v/>
      </c>
      <c r="AE856" s="39" t="str">
        <f t="shared" si="3"/>
        <v>No Counter</v>
      </c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C857" s="39" t="str">
        <f t="shared" si="1"/>
        <v/>
      </c>
      <c r="AD857" s="39" t="str">
        <f t="shared" si="2"/>
        <v/>
      </c>
      <c r="AE857" s="39" t="str">
        <f t="shared" si="3"/>
        <v>No Counter</v>
      </c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C858" s="39" t="str">
        <f t="shared" si="1"/>
        <v/>
      </c>
      <c r="AD858" s="39" t="str">
        <f t="shared" si="2"/>
        <v/>
      </c>
      <c r="AE858" s="39" t="str">
        <f t="shared" si="3"/>
        <v>No Counter</v>
      </c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C859" s="39" t="str">
        <f t="shared" si="1"/>
        <v/>
      </c>
      <c r="AD859" s="39" t="str">
        <f t="shared" si="2"/>
        <v/>
      </c>
      <c r="AE859" s="39" t="str">
        <f t="shared" si="3"/>
        <v>No Counter</v>
      </c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C860" s="39" t="str">
        <f t="shared" si="1"/>
        <v/>
      </c>
      <c r="AD860" s="39" t="str">
        <f t="shared" si="2"/>
        <v/>
      </c>
      <c r="AE860" s="39" t="str">
        <f t="shared" si="3"/>
        <v>No Counter</v>
      </c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C861" s="39" t="str">
        <f t="shared" si="1"/>
        <v/>
      </c>
      <c r="AD861" s="39" t="str">
        <f t="shared" si="2"/>
        <v/>
      </c>
      <c r="AE861" s="39" t="str">
        <f t="shared" si="3"/>
        <v>No Counter</v>
      </c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C862" s="39" t="str">
        <f t="shared" si="1"/>
        <v/>
      </c>
      <c r="AD862" s="39" t="str">
        <f t="shared" si="2"/>
        <v/>
      </c>
      <c r="AE862" s="39" t="str">
        <f t="shared" si="3"/>
        <v>No Counter</v>
      </c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C863" s="39" t="str">
        <f t="shared" si="1"/>
        <v/>
      </c>
      <c r="AD863" s="39" t="str">
        <f t="shared" si="2"/>
        <v/>
      </c>
      <c r="AE863" s="39" t="str">
        <f t="shared" si="3"/>
        <v>No Counter</v>
      </c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C864" s="39" t="str">
        <f t="shared" si="1"/>
        <v/>
      </c>
      <c r="AD864" s="39" t="str">
        <f t="shared" si="2"/>
        <v/>
      </c>
      <c r="AE864" s="39" t="str">
        <f t="shared" si="3"/>
        <v>No Counter</v>
      </c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C865" s="39" t="str">
        <f t="shared" si="1"/>
        <v/>
      </c>
      <c r="AD865" s="39" t="str">
        <f t="shared" si="2"/>
        <v/>
      </c>
      <c r="AE865" s="39" t="str">
        <f t="shared" si="3"/>
        <v>No Counter</v>
      </c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C866" s="39" t="str">
        <f t="shared" si="1"/>
        <v/>
      </c>
      <c r="AD866" s="39" t="str">
        <f t="shared" si="2"/>
        <v/>
      </c>
      <c r="AE866" s="39" t="str">
        <f t="shared" si="3"/>
        <v>No Counter</v>
      </c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C867" s="39" t="str">
        <f t="shared" si="1"/>
        <v/>
      </c>
      <c r="AD867" s="39" t="str">
        <f t="shared" si="2"/>
        <v/>
      </c>
      <c r="AE867" s="39" t="str">
        <f t="shared" si="3"/>
        <v>No Counter</v>
      </c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C868" s="39" t="str">
        <f t="shared" si="1"/>
        <v/>
      </c>
      <c r="AD868" s="39" t="str">
        <f t="shared" si="2"/>
        <v/>
      </c>
      <c r="AE868" s="39" t="str">
        <f t="shared" si="3"/>
        <v>No Counter</v>
      </c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C869" s="39" t="str">
        <f t="shared" si="1"/>
        <v/>
      </c>
      <c r="AD869" s="39" t="str">
        <f t="shared" si="2"/>
        <v/>
      </c>
      <c r="AE869" s="39" t="str">
        <f t="shared" si="3"/>
        <v>No Counter</v>
      </c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C870" s="39" t="str">
        <f t="shared" si="1"/>
        <v/>
      </c>
      <c r="AD870" s="39" t="str">
        <f t="shared" si="2"/>
        <v/>
      </c>
      <c r="AE870" s="39" t="str">
        <f t="shared" si="3"/>
        <v>No Counter</v>
      </c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C871" s="39" t="str">
        <f t="shared" si="1"/>
        <v/>
      </c>
      <c r="AD871" s="39" t="str">
        <f t="shared" si="2"/>
        <v/>
      </c>
      <c r="AE871" s="39" t="str">
        <f t="shared" si="3"/>
        <v>No Counter</v>
      </c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C872" s="39" t="str">
        <f t="shared" si="1"/>
        <v/>
      </c>
      <c r="AD872" s="39" t="str">
        <f t="shared" si="2"/>
        <v/>
      </c>
      <c r="AE872" s="39" t="str">
        <f t="shared" si="3"/>
        <v>No Counter</v>
      </c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C873" s="39" t="str">
        <f t="shared" si="1"/>
        <v/>
      </c>
      <c r="AD873" s="39" t="str">
        <f t="shared" si="2"/>
        <v/>
      </c>
      <c r="AE873" s="39" t="str">
        <f t="shared" si="3"/>
        <v>No Counter</v>
      </c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C874" s="39" t="str">
        <f t="shared" si="1"/>
        <v/>
      </c>
      <c r="AD874" s="39" t="str">
        <f t="shared" si="2"/>
        <v/>
      </c>
      <c r="AE874" s="39" t="str">
        <f t="shared" si="3"/>
        <v>No Counter</v>
      </c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C875" s="39" t="str">
        <f t="shared" si="1"/>
        <v/>
      </c>
      <c r="AD875" s="39" t="str">
        <f t="shared" si="2"/>
        <v/>
      </c>
      <c r="AE875" s="39" t="str">
        <f t="shared" si="3"/>
        <v>No Counter</v>
      </c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C876" s="39" t="str">
        <f t="shared" si="1"/>
        <v/>
      </c>
      <c r="AD876" s="39" t="str">
        <f t="shared" si="2"/>
        <v/>
      </c>
      <c r="AE876" s="39" t="str">
        <f t="shared" si="3"/>
        <v>No Counter</v>
      </c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C877" s="39" t="str">
        <f t="shared" si="1"/>
        <v/>
      </c>
      <c r="AD877" s="39" t="str">
        <f t="shared" si="2"/>
        <v/>
      </c>
      <c r="AE877" s="39" t="str">
        <f t="shared" si="3"/>
        <v>No Counter</v>
      </c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C878" s="39" t="str">
        <f t="shared" si="1"/>
        <v/>
      </c>
      <c r="AD878" s="39" t="str">
        <f t="shared" si="2"/>
        <v/>
      </c>
      <c r="AE878" s="39" t="str">
        <f t="shared" si="3"/>
        <v>No Counter</v>
      </c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C879" s="39" t="str">
        <f t="shared" si="1"/>
        <v/>
      </c>
      <c r="AD879" s="39" t="str">
        <f t="shared" si="2"/>
        <v/>
      </c>
      <c r="AE879" s="39" t="str">
        <f t="shared" si="3"/>
        <v>No Counter</v>
      </c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C880" s="39" t="str">
        <f t="shared" si="1"/>
        <v/>
      </c>
      <c r="AD880" s="39" t="str">
        <f t="shared" si="2"/>
        <v/>
      </c>
      <c r="AE880" s="39" t="str">
        <f t="shared" si="3"/>
        <v>No Counter</v>
      </c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C881" s="39" t="str">
        <f t="shared" si="1"/>
        <v/>
      </c>
      <c r="AD881" s="39" t="str">
        <f t="shared" si="2"/>
        <v/>
      </c>
      <c r="AE881" s="39" t="str">
        <f t="shared" si="3"/>
        <v>No Counter</v>
      </c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C882" s="39" t="str">
        <f t="shared" si="1"/>
        <v/>
      </c>
      <c r="AD882" s="39" t="str">
        <f t="shared" si="2"/>
        <v/>
      </c>
      <c r="AE882" s="39" t="str">
        <f t="shared" si="3"/>
        <v>No Counter</v>
      </c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C883" s="39" t="str">
        <f t="shared" si="1"/>
        <v/>
      </c>
      <c r="AD883" s="39" t="str">
        <f t="shared" si="2"/>
        <v/>
      </c>
      <c r="AE883" s="39" t="str">
        <f t="shared" si="3"/>
        <v>No Counter</v>
      </c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C884" s="39" t="str">
        <f t="shared" si="1"/>
        <v/>
      </c>
      <c r="AD884" s="39" t="str">
        <f t="shared" si="2"/>
        <v/>
      </c>
      <c r="AE884" s="39" t="str">
        <f t="shared" si="3"/>
        <v>No Counter</v>
      </c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C885" s="39" t="str">
        <f t="shared" si="1"/>
        <v/>
      </c>
      <c r="AD885" s="39" t="str">
        <f t="shared" si="2"/>
        <v/>
      </c>
      <c r="AE885" s="39" t="str">
        <f t="shared" si="3"/>
        <v>No Counter</v>
      </c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C886" s="39" t="str">
        <f t="shared" si="1"/>
        <v/>
      </c>
      <c r="AD886" s="39" t="str">
        <f t="shared" si="2"/>
        <v/>
      </c>
      <c r="AE886" s="39" t="str">
        <f t="shared" si="3"/>
        <v>No Counter</v>
      </c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C887" s="39" t="str">
        <f t="shared" si="1"/>
        <v/>
      </c>
      <c r="AD887" s="39" t="str">
        <f t="shared" si="2"/>
        <v/>
      </c>
      <c r="AE887" s="39" t="str">
        <f t="shared" si="3"/>
        <v>No Counter</v>
      </c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C888" s="39" t="str">
        <f t="shared" si="1"/>
        <v/>
      </c>
      <c r="AD888" s="39" t="str">
        <f t="shared" si="2"/>
        <v/>
      </c>
      <c r="AE888" s="39" t="str">
        <f t="shared" si="3"/>
        <v>No Counter</v>
      </c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C889" s="39" t="str">
        <f t="shared" si="1"/>
        <v/>
      </c>
      <c r="AD889" s="39" t="str">
        <f t="shared" si="2"/>
        <v/>
      </c>
      <c r="AE889" s="39" t="str">
        <f t="shared" si="3"/>
        <v>No Counter</v>
      </c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C890" s="39" t="str">
        <f t="shared" si="1"/>
        <v/>
      </c>
      <c r="AD890" s="39" t="str">
        <f t="shared" si="2"/>
        <v/>
      </c>
      <c r="AE890" s="39" t="str">
        <f t="shared" si="3"/>
        <v>No Counter</v>
      </c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C891" s="39" t="str">
        <f t="shared" si="1"/>
        <v/>
      </c>
      <c r="AD891" s="39" t="str">
        <f t="shared" si="2"/>
        <v/>
      </c>
      <c r="AE891" s="39" t="str">
        <f t="shared" si="3"/>
        <v>No Counter</v>
      </c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C892" s="39" t="str">
        <f t="shared" si="1"/>
        <v/>
      </c>
      <c r="AD892" s="39" t="str">
        <f t="shared" si="2"/>
        <v/>
      </c>
      <c r="AE892" s="39" t="str">
        <f t="shared" si="3"/>
        <v>No Counter</v>
      </c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C893" s="39" t="str">
        <f t="shared" si="1"/>
        <v/>
      </c>
      <c r="AD893" s="39" t="str">
        <f t="shared" si="2"/>
        <v/>
      </c>
      <c r="AE893" s="39" t="str">
        <f t="shared" si="3"/>
        <v>No Counter</v>
      </c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C894" s="39" t="str">
        <f t="shared" si="1"/>
        <v/>
      </c>
      <c r="AD894" s="39" t="str">
        <f t="shared" si="2"/>
        <v/>
      </c>
      <c r="AE894" s="39" t="str">
        <f t="shared" si="3"/>
        <v>No Counter</v>
      </c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C895" s="39" t="str">
        <f t="shared" si="1"/>
        <v/>
      </c>
      <c r="AD895" s="39" t="str">
        <f t="shared" si="2"/>
        <v/>
      </c>
      <c r="AE895" s="39" t="str">
        <f t="shared" si="3"/>
        <v>No Counter</v>
      </c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C896" s="39" t="str">
        <f t="shared" si="1"/>
        <v/>
      </c>
      <c r="AD896" s="39" t="str">
        <f t="shared" si="2"/>
        <v/>
      </c>
      <c r="AE896" s="39" t="str">
        <f t="shared" si="3"/>
        <v>No Counter</v>
      </c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C897" s="39" t="str">
        <f t="shared" si="1"/>
        <v/>
      </c>
      <c r="AD897" s="39" t="str">
        <f t="shared" si="2"/>
        <v/>
      </c>
      <c r="AE897" s="39" t="str">
        <f t="shared" si="3"/>
        <v>No Counter</v>
      </c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C898" s="39" t="str">
        <f t="shared" si="1"/>
        <v/>
      </c>
      <c r="AD898" s="39" t="str">
        <f t="shared" si="2"/>
        <v/>
      </c>
      <c r="AE898" s="39" t="str">
        <f t="shared" si="3"/>
        <v>No Counter</v>
      </c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C899" s="39" t="str">
        <f t="shared" si="1"/>
        <v/>
      </c>
      <c r="AD899" s="39" t="str">
        <f t="shared" si="2"/>
        <v/>
      </c>
      <c r="AE899" s="39" t="str">
        <f t="shared" si="3"/>
        <v>No Counter</v>
      </c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C900" s="39" t="str">
        <f t="shared" si="1"/>
        <v/>
      </c>
      <c r="AD900" s="39" t="str">
        <f t="shared" si="2"/>
        <v/>
      </c>
      <c r="AE900" s="39" t="str">
        <f t="shared" si="3"/>
        <v>No Counter</v>
      </c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C901" s="39" t="str">
        <f t="shared" si="1"/>
        <v/>
      </c>
      <c r="AD901" s="39" t="str">
        <f t="shared" si="2"/>
        <v/>
      </c>
      <c r="AE901" s="39" t="str">
        <f t="shared" si="3"/>
        <v>No Counter</v>
      </c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C902" s="39" t="str">
        <f t="shared" si="1"/>
        <v/>
      </c>
      <c r="AD902" s="39" t="str">
        <f t="shared" si="2"/>
        <v/>
      </c>
      <c r="AE902" s="39" t="str">
        <f t="shared" si="3"/>
        <v>No Counter</v>
      </c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C903" s="39" t="str">
        <f t="shared" si="1"/>
        <v/>
      </c>
      <c r="AD903" s="39" t="str">
        <f t="shared" si="2"/>
        <v/>
      </c>
      <c r="AE903" s="39" t="str">
        <f t="shared" si="3"/>
        <v>No Counter</v>
      </c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C904" s="39" t="str">
        <f t="shared" si="1"/>
        <v/>
      </c>
      <c r="AD904" s="39" t="str">
        <f t="shared" si="2"/>
        <v/>
      </c>
      <c r="AE904" s="39" t="str">
        <f t="shared" si="3"/>
        <v>No Counter</v>
      </c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C905" s="39" t="str">
        <f t="shared" si="1"/>
        <v/>
      </c>
      <c r="AD905" s="39" t="str">
        <f t="shared" si="2"/>
        <v/>
      </c>
      <c r="AE905" s="39" t="str">
        <f t="shared" si="3"/>
        <v>No Counter</v>
      </c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C906" s="39" t="str">
        <f t="shared" si="1"/>
        <v/>
      </c>
      <c r="AD906" s="39" t="str">
        <f t="shared" si="2"/>
        <v/>
      </c>
      <c r="AE906" s="39" t="str">
        <f t="shared" si="3"/>
        <v>No Counter</v>
      </c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C907" s="39" t="str">
        <f t="shared" si="1"/>
        <v/>
      </c>
      <c r="AD907" s="39" t="str">
        <f t="shared" si="2"/>
        <v/>
      </c>
      <c r="AE907" s="39" t="str">
        <f t="shared" si="3"/>
        <v>No Counter</v>
      </c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C908" s="39" t="str">
        <f t="shared" si="1"/>
        <v/>
      </c>
      <c r="AD908" s="39" t="str">
        <f t="shared" si="2"/>
        <v/>
      </c>
      <c r="AE908" s="39" t="str">
        <f t="shared" si="3"/>
        <v>No Counter</v>
      </c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C909" s="39" t="str">
        <f t="shared" si="1"/>
        <v/>
      </c>
      <c r="AD909" s="39" t="str">
        <f t="shared" si="2"/>
        <v/>
      </c>
      <c r="AE909" s="39" t="str">
        <f t="shared" si="3"/>
        <v>No Counter</v>
      </c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C910" s="39" t="str">
        <f t="shared" si="1"/>
        <v/>
      </c>
      <c r="AD910" s="39" t="str">
        <f t="shared" si="2"/>
        <v/>
      </c>
      <c r="AE910" s="39" t="str">
        <f t="shared" si="3"/>
        <v>No Counter</v>
      </c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C911" s="39" t="str">
        <f t="shared" si="1"/>
        <v/>
      </c>
      <c r="AD911" s="39" t="str">
        <f t="shared" si="2"/>
        <v/>
      </c>
      <c r="AE911" s="39" t="str">
        <f t="shared" si="3"/>
        <v>No Counter</v>
      </c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C912" s="39" t="str">
        <f t="shared" si="1"/>
        <v/>
      </c>
      <c r="AD912" s="39" t="str">
        <f t="shared" si="2"/>
        <v/>
      </c>
      <c r="AE912" s="39" t="str">
        <f t="shared" si="3"/>
        <v>No Counter</v>
      </c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C913" s="39" t="str">
        <f t="shared" si="1"/>
        <v/>
      </c>
      <c r="AD913" s="39" t="str">
        <f t="shared" si="2"/>
        <v/>
      </c>
      <c r="AE913" s="39" t="str">
        <f t="shared" si="3"/>
        <v>No Counter</v>
      </c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C914" s="39" t="str">
        <f t="shared" si="1"/>
        <v/>
      </c>
      <c r="AD914" s="39" t="str">
        <f t="shared" si="2"/>
        <v/>
      </c>
      <c r="AE914" s="39" t="str">
        <f t="shared" si="3"/>
        <v>No Counter</v>
      </c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C915" s="39" t="str">
        <f t="shared" si="1"/>
        <v/>
      </c>
      <c r="AD915" s="39" t="str">
        <f t="shared" si="2"/>
        <v/>
      </c>
      <c r="AE915" s="39" t="str">
        <f t="shared" si="3"/>
        <v>No Counter</v>
      </c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C916" s="39" t="str">
        <f t="shared" si="1"/>
        <v/>
      </c>
      <c r="AD916" s="39" t="str">
        <f t="shared" si="2"/>
        <v/>
      </c>
      <c r="AE916" s="39" t="str">
        <f t="shared" si="3"/>
        <v>No Counter</v>
      </c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C917" s="39" t="str">
        <f t="shared" si="1"/>
        <v/>
      </c>
      <c r="AD917" s="39" t="str">
        <f t="shared" si="2"/>
        <v/>
      </c>
      <c r="AE917" s="39" t="str">
        <f t="shared" si="3"/>
        <v>No Counter</v>
      </c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C918" s="39" t="str">
        <f t="shared" si="1"/>
        <v/>
      </c>
      <c r="AD918" s="39" t="str">
        <f t="shared" si="2"/>
        <v/>
      </c>
      <c r="AE918" s="39" t="str">
        <f t="shared" si="3"/>
        <v>No Counter</v>
      </c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C919" s="39" t="str">
        <f t="shared" si="1"/>
        <v/>
      </c>
      <c r="AD919" s="39" t="str">
        <f t="shared" si="2"/>
        <v/>
      </c>
      <c r="AE919" s="39" t="str">
        <f t="shared" si="3"/>
        <v>No Counter</v>
      </c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C920" s="39" t="str">
        <f t="shared" si="1"/>
        <v/>
      </c>
      <c r="AD920" s="39" t="str">
        <f t="shared" si="2"/>
        <v/>
      </c>
      <c r="AE920" s="39" t="str">
        <f t="shared" si="3"/>
        <v>No Counter</v>
      </c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C921" s="39" t="str">
        <f t="shared" si="1"/>
        <v/>
      </c>
      <c r="AD921" s="39" t="str">
        <f t="shared" si="2"/>
        <v/>
      </c>
      <c r="AE921" s="39" t="str">
        <f t="shared" si="3"/>
        <v>No Counter</v>
      </c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C922" s="39" t="str">
        <f t="shared" si="1"/>
        <v/>
      </c>
      <c r="AD922" s="39" t="str">
        <f t="shared" si="2"/>
        <v/>
      </c>
      <c r="AE922" s="39" t="str">
        <f t="shared" si="3"/>
        <v>No Counter</v>
      </c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C923" s="39" t="str">
        <f t="shared" si="1"/>
        <v/>
      </c>
      <c r="AD923" s="39" t="str">
        <f t="shared" si="2"/>
        <v/>
      </c>
      <c r="AE923" s="39" t="str">
        <f t="shared" si="3"/>
        <v>No Counter</v>
      </c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C924" s="39" t="str">
        <f t="shared" si="1"/>
        <v/>
      </c>
      <c r="AD924" s="39" t="str">
        <f t="shared" si="2"/>
        <v/>
      </c>
      <c r="AE924" s="39" t="str">
        <f t="shared" si="3"/>
        <v>No Counter</v>
      </c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C925" s="39" t="str">
        <f t="shared" si="1"/>
        <v/>
      </c>
      <c r="AD925" s="39" t="str">
        <f t="shared" si="2"/>
        <v/>
      </c>
      <c r="AE925" s="39" t="str">
        <f t="shared" si="3"/>
        <v>No Counter</v>
      </c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C926" s="39" t="str">
        <f t="shared" si="1"/>
        <v/>
      </c>
      <c r="AD926" s="39" t="str">
        <f t="shared" si="2"/>
        <v/>
      </c>
      <c r="AE926" s="39" t="str">
        <f t="shared" si="3"/>
        <v>No Counter</v>
      </c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C927" s="39" t="str">
        <f t="shared" si="1"/>
        <v/>
      </c>
      <c r="AD927" s="39" t="str">
        <f t="shared" si="2"/>
        <v/>
      </c>
      <c r="AE927" s="39" t="str">
        <f t="shared" si="3"/>
        <v>No Counter</v>
      </c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C928" s="39" t="str">
        <f t="shared" si="1"/>
        <v/>
      </c>
      <c r="AD928" s="39" t="str">
        <f t="shared" si="2"/>
        <v/>
      </c>
      <c r="AE928" s="39" t="str">
        <f t="shared" si="3"/>
        <v>No Counter</v>
      </c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C929" s="39" t="str">
        <f t="shared" si="1"/>
        <v/>
      </c>
      <c r="AD929" s="39" t="str">
        <f t="shared" si="2"/>
        <v/>
      </c>
      <c r="AE929" s="39" t="str">
        <f t="shared" si="3"/>
        <v>No Counter</v>
      </c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C930" s="39" t="str">
        <f t="shared" si="1"/>
        <v/>
      </c>
      <c r="AD930" s="39" t="str">
        <f t="shared" si="2"/>
        <v/>
      </c>
      <c r="AE930" s="39" t="str">
        <f t="shared" si="3"/>
        <v>No Counter</v>
      </c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C931" s="39" t="str">
        <f t="shared" si="1"/>
        <v/>
      </c>
      <c r="AD931" s="39" t="str">
        <f t="shared" si="2"/>
        <v/>
      </c>
      <c r="AE931" s="39" t="str">
        <f t="shared" si="3"/>
        <v>No Counter</v>
      </c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C932" s="39" t="str">
        <f t="shared" si="1"/>
        <v/>
      </c>
      <c r="AD932" s="39" t="str">
        <f t="shared" si="2"/>
        <v/>
      </c>
      <c r="AE932" s="39" t="str">
        <f t="shared" si="3"/>
        <v>No Counter</v>
      </c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C933" s="39" t="str">
        <f t="shared" si="1"/>
        <v/>
      </c>
      <c r="AD933" s="39" t="str">
        <f t="shared" si="2"/>
        <v/>
      </c>
      <c r="AE933" s="39" t="str">
        <f t="shared" si="3"/>
        <v>No Counter</v>
      </c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C934" s="39" t="str">
        <f t="shared" si="1"/>
        <v/>
      </c>
      <c r="AD934" s="39" t="str">
        <f t="shared" si="2"/>
        <v/>
      </c>
      <c r="AE934" s="39" t="str">
        <f t="shared" si="3"/>
        <v>No Counter</v>
      </c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C935" s="39" t="str">
        <f t="shared" si="1"/>
        <v/>
      </c>
      <c r="AD935" s="39" t="str">
        <f t="shared" si="2"/>
        <v/>
      </c>
      <c r="AE935" s="39" t="str">
        <f t="shared" si="3"/>
        <v>No Counter</v>
      </c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C936" s="39" t="str">
        <f t="shared" si="1"/>
        <v/>
      </c>
      <c r="AD936" s="39" t="str">
        <f t="shared" si="2"/>
        <v/>
      </c>
      <c r="AE936" s="39" t="str">
        <f t="shared" si="3"/>
        <v>No Counter</v>
      </c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C937" s="39" t="str">
        <f t="shared" si="1"/>
        <v/>
      </c>
      <c r="AD937" s="39" t="str">
        <f t="shared" si="2"/>
        <v/>
      </c>
      <c r="AE937" s="39" t="str">
        <f t="shared" si="3"/>
        <v>No Counter</v>
      </c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C938" s="39" t="str">
        <f t="shared" si="1"/>
        <v/>
      </c>
      <c r="AD938" s="39" t="str">
        <f t="shared" si="2"/>
        <v/>
      </c>
      <c r="AE938" s="39" t="str">
        <f t="shared" si="3"/>
        <v>No Counter</v>
      </c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C939" s="39" t="str">
        <f t="shared" si="1"/>
        <v/>
      </c>
      <c r="AD939" s="39" t="str">
        <f t="shared" si="2"/>
        <v/>
      </c>
      <c r="AE939" s="39" t="str">
        <f t="shared" si="3"/>
        <v>No Counter</v>
      </c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C940" s="39" t="str">
        <f t="shared" si="1"/>
        <v/>
      </c>
      <c r="AD940" s="39" t="str">
        <f t="shared" si="2"/>
        <v/>
      </c>
      <c r="AE940" s="39" t="str">
        <f t="shared" si="3"/>
        <v>No Counter</v>
      </c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C941" s="39" t="str">
        <f t="shared" si="1"/>
        <v/>
      </c>
      <c r="AD941" s="39" t="str">
        <f t="shared" si="2"/>
        <v/>
      </c>
      <c r="AE941" s="39" t="str">
        <f t="shared" si="3"/>
        <v>No Counter</v>
      </c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C942" s="39" t="str">
        <f t="shared" si="1"/>
        <v/>
      </c>
      <c r="AD942" s="39" t="str">
        <f t="shared" si="2"/>
        <v/>
      </c>
      <c r="AE942" s="39" t="str">
        <f t="shared" si="3"/>
        <v>No Counter</v>
      </c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C943" s="39" t="str">
        <f t="shared" si="1"/>
        <v/>
      </c>
      <c r="AD943" s="39" t="str">
        <f t="shared" si="2"/>
        <v/>
      </c>
      <c r="AE943" s="39" t="str">
        <f t="shared" si="3"/>
        <v>No Counter</v>
      </c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C944" s="39" t="str">
        <f t="shared" si="1"/>
        <v/>
      </c>
      <c r="AD944" s="39" t="str">
        <f t="shared" si="2"/>
        <v/>
      </c>
      <c r="AE944" s="39" t="str">
        <f t="shared" si="3"/>
        <v>No Counter</v>
      </c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C945" s="39" t="str">
        <f t="shared" si="1"/>
        <v/>
      </c>
      <c r="AD945" s="39" t="str">
        <f t="shared" si="2"/>
        <v/>
      </c>
      <c r="AE945" s="39" t="str">
        <f t="shared" si="3"/>
        <v>No Counter</v>
      </c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C946" s="39" t="str">
        <f t="shared" si="1"/>
        <v/>
      </c>
      <c r="AD946" s="39" t="str">
        <f t="shared" si="2"/>
        <v/>
      </c>
      <c r="AE946" s="39" t="str">
        <f t="shared" si="3"/>
        <v>No Counter</v>
      </c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C947" s="39" t="str">
        <f t="shared" si="1"/>
        <v/>
      </c>
      <c r="AD947" s="39" t="str">
        <f t="shared" si="2"/>
        <v/>
      </c>
      <c r="AE947" s="39" t="str">
        <f t="shared" si="3"/>
        <v>No Counter</v>
      </c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C948" s="39" t="str">
        <f t="shared" si="1"/>
        <v/>
      </c>
      <c r="AD948" s="39" t="str">
        <f t="shared" si="2"/>
        <v/>
      </c>
      <c r="AE948" s="39" t="str">
        <f t="shared" si="3"/>
        <v>No Counter</v>
      </c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C949" s="39" t="str">
        <f t="shared" si="1"/>
        <v/>
      </c>
      <c r="AD949" s="39" t="str">
        <f t="shared" si="2"/>
        <v/>
      </c>
      <c r="AE949" s="39" t="str">
        <f t="shared" si="3"/>
        <v>No Counter</v>
      </c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C950" s="39" t="str">
        <f t="shared" si="1"/>
        <v/>
      </c>
      <c r="AD950" s="39" t="str">
        <f t="shared" si="2"/>
        <v/>
      </c>
      <c r="AE950" s="39" t="str">
        <f t="shared" si="3"/>
        <v>No Counter</v>
      </c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C951" s="39" t="str">
        <f t="shared" si="1"/>
        <v/>
      </c>
      <c r="AD951" s="39" t="str">
        <f t="shared" si="2"/>
        <v/>
      </c>
      <c r="AE951" s="39" t="str">
        <f t="shared" si="3"/>
        <v>No Counter</v>
      </c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C952" s="39" t="str">
        <f t="shared" si="1"/>
        <v/>
      </c>
      <c r="AD952" s="39" t="str">
        <f t="shared" si="2"/>
        <v/>
      </c>
      <c r="AE952" s="39" t="str">
        <f t="shared" si="3"/>
        <v>No Counter</v>
      </c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C953" s="39" t="str">
        <f t="shared" si="1"/>
        <v/>
      </c>
      <c r="AD953" s="39" t="str">
        <f t="shared" si="2"/>
        <v/>
      </c>
      <c r="AE953" s="39" t="str">
        <f t="shared" si="3"/>
        <v>No Counter</v>
      </c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C954" s="39" t="str">
        <f t="shared" si="1"/>
        <v/>
      </c>
      <c r="AD954" s="39" t="str">
        <f t="shared" si="2"/>
        <v/>
      </c>
      <c r="AE954" s="39" t="str">
        <f t="shared" si="3"/>
        <v>No Counter</v>
      </c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C955" s="39" t="str">
        <f t="shared" si="1"/>
        <v/>
      </c>
      <c r="AD955" s="39" t="str">
        <f t="shared" si="2"/>
        <v/>
      </c>
      <c r="AE955" s="39" t="str">
        <f t="shared" si="3"/>
        <v>No Counter</v>
      </c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C956" s="39" t="str">
        <f t="shared" si="1"/>
        <v/>
      </c>
      <c r="AD956" s="39" t="str">
        <f t="shared" si="2"/>
        <v/>
      </c>
      <c r="AE956" s="39" t="str">
        <f t="shared" si="3"/>
        <v>No Counter</v>
      </c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C957" s="39" t="str">
        <f t="shared" si="1"/>
        <v/>
      </c>
      <c r="AD957" s="39" t="str">
        <f t="shared" si="2"/>
        <v/>
      </c>
      <c r="AE957" s="39" t="str">
        <f t="shared" si="3"/>
        <v>No Counter</v>
      </c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C958" s="39" t="str">
        <f t="shared" si="1"/>
        <v/>
      </c>
      <c r="AD958" s="39" t="str">
        <f t="shared" si="2"/>
        <v/>
      </c>
      <c r="AE958" s="39" t="str">
        <f t="shared" si="3"/>
        <v>No Counter</v>
      </c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C959" s="39" t="str">
        <f t="shared" si="1"/>
        <v/>
      </c>
      <c r="AD959" s="39" t="str">
        <f t="shared" si="2"/>
        <v/>
      </c>
      <c r="AE959" s="39" t="str">
        <f t="shared" si="3"/>
        <v>No Counter</v>
      </c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C960" s="39" t="str">
        <f t="shared" si="1"/>
        <v/>
      </c>
      <c r="AD960" s="39" t="str">
        <f t="shared" si="2"/>
        <v/>
      </c>
      <c r="AE960" s="39" t="str">
        <f t="shared" si="3"/>
        <v>No Counter</v>
      </c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C961" s="39" t="str">
        <f t="shared" si="1"/>
        <v/>
      </c>
      <c r="AD961" s="39" t="str">
        <f t="shared" si="2"/>
        <v/>
      </c>
      <c r="AE961" s="39" t="str">
        <f t="shared" si="3"/>
        <v>No Counter</v>
      </c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C962" s="39" t="str">
        <f t="shared" si="1"/>
        <v/>
      </c>
      <c r="AD962" s="39" t="str">
        <f t="shared" si="2"/>
        <v/>
      </c>
      <c r="AE962" s="39" t="str">
        <f t="shared" si="3"/>
        <v>No Counter</v>
      </c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C963" s="39" t="str">
        <f t="shared" si="1"/>
        <v/>
      </c>
      <c r="AD963" s="39" t="str">
        <f t="shared" si="2"/>
        <v/>
      </c>
      <c r="AE963" s="39" t="str">
        <f t="shared" si="3"/>
        <v>No Counter</v>
      </c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C964" s="39" t="str">
        <f t="shared" si="1"/>
        <v/>
      </c>
      <c r="AD964" s="39" t="str">
        <f t="shared" si="2"/>
        <v/>
      </c>
      <c r="AE964" s="39" t="str">
        <f t="shared" si="3"/>
        <v>No Counter</v>
      </c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C965" s="39" t="str">
        <f t="shared" si="1"/>
        <v/>
      </c>
      <c r="AD965" s="39" t="str">
        <f t="shared" si="2"/>
        <v/>
      </c>
      <c r="AE965" s="39" t="str">
        <f t="shared" si="3"/>
        <v>No Counter</v>
      </c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C966" s="39" t="str">
        <f t="shared" si="1"/>
        <v/>
      </c>
      <c r="AD966" s="39" t="str">
        <f t="shared" si="2"/>
        <v/>
      </c>
      <c r="AE966" s="39" t="str">
        <f t="shared" si="3"/>
        <v>No Counter</v>
      </c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C967" s="39" t="str">
        <f t="shared" si="1"/>
        <v/>
      </c>
      <c r="AD967" s="39" t="str">
        <f t="shared" si="2"/>
        <v/>
      </c>
      <c r="AE967" s="39" t="str">
        <f t="shared" si="3"/>
        <v>No Counter</v>
      </c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C968" s="39" t="str">
        <f t="shared" si="1"/>
        <v/>
      </c>
      <c r="AD968" s="39" t="str">
        <f t="shared" si="2"/>
        <v/>
      </c>
      <c r="AE968" s="39" t="str">
        <f t="shared" si="3"/>
        <v>No Counter</v>
      </c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C969" s="39" t="str">
        <f t="shared" si="1"/>
        <v/>
      </c>
      <c r="AD969" s="39" t="str">
        <f t="shared" si="2"/>
        <v/>
      </c>
      <c r="AE969" s="39" t="str">
        <f t="shared" si="3"/>
        <v>No Counter</v>
      </c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C970" s="39" t="str">
        <f t="shared" si="1"/>
        <v/>
      </c>
      <c r="AD970" s="39" t="str">
        <f t="shared" si="2"/>
        <v/>
      </c>
      <c r="AE970" s="39" t="str">
        <f t="shared" si="3"/>
        <v>No Counter</v>
      </c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C971" s="39" t="str">
        <f t="shared" si="1"/>
        <v/>
      </c>
      <c r="AD971" s="39" t="str">
        <f t="shared" si="2"/>
        <v/>
      </c>
      <c r="AE971" s="39" t="str">
        <f t="shared" si="3"/>
        <v>No Counter</v>
      </c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C972" s="39" t="str">
        <f t="shared" si="1"/>
        <v/>
      </c>
      <c r="AD972" s="39" t="str">
        <f t="shared" si="2"/>
        <v/>
      </c>
      <c r="AE972" s="39" t="str">
        <f t="shared" si="3"/>
        <v>No Counter</v>
      </c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C973" s="39" t="str">
        <f t="shared" si="1"/>
        <v/>
      </c>
      <c r="AD973" s="39" t="str">
        <f t="shared" si="2"/>
        <v/>
      </c>
      <c r="AE973" s="39" t="str">
        <f t="shared" si="3"/>
        <v>No Counter</v>
      </c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C974" s="39" t="str">
        <f t="shared" si="1"/>
        <v/>
      </c>
      <c r="AD974" s="39" t="str">
        <f t="shared" si="2"/>
        <v/>
      </c>
      <c r="AE974" s="39" t="str">
        <f t="shared" si="3"/>
        <v>No Counter</v>
      </c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C975" s="39" t="str">
        <f t="shared" si="1"/>
        <v/>
      </c>
      <c r="AD975" s="39" t="str">
        <f t="shared" si="2"/>
        <v/>
      </c>
      <c r="AE975" s="39" t="str">
        <f t="shared" si="3"/>
        <v>No Counter</v>
      </c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C976" s="39" t="str">
        <f t="shared" si="1"/>
        <v/>
      </c>
      <c r="AD976" s="39" t="str">
        <f t="shared" si="2"/>
        <v/>
      </c>
      <c r="AE976" s="39" t="str">
        <f t="shared" si="3"/>
        <v>No Counter</v>
      </c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C977" s="39" t="str">
        <f t="shared" si="1"/>
        <v/>
      </c>
      <c r="AD977" s="39" t="str">
        <f t="shared" si="2"/>
        <v/>
      </c>
      <c r="AE977" s="39" t="str">
        <f t="shared" si="3"/>
        <v>No Counter</v>
      </c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C978" s="39" t="str">
        <f t="shared" si="1"/>
        <v/>
      </c>
      <c r="AD978" s="39" t="str">
        <f t="shared" si="2"/>
        <v/>
      </c>
      <c r="AE978" s="39" t="str">
        <f t="shared" si="3"/>
        <v>No Counter</v>
      </c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C979" s="39" t="str">
        <f t="shared" si="1"/>
        <v/>
      </c>
      <c r="AD979" s="39" t="str">
        <f t="shared" si="2"/>
        <v/>
      </c>
      <c r="AE979" s="39" t="str">
        <f t="shared" si="3"/>
        <v>No Counter</v>
      </c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C980" s="39" t="str">
        <f t="shared" si="1"/>
        <v/>
      </c>
      <c r="AD980" s="39" t="str">
        <f t="shared" si="2"/>
        <v/>
      </c>
      <c r="AE980" s="39" t="str">
        <f t="shared" si="3"/>
        <v>No Counter</v>
      </c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C981" s="39" t="str">
        <f t="shared" si="1"/>
        <v/>
      </c>
      <c r="AD981" s="39" t="str">
        <f t="shared" si="2"/>
        <v/>
      </c>
      <c r="AE981" s="39" t="str">
        <f t="shared" si="3"/>
        <v>No Counter</v>
      </c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C982" s="39" t="str">
        <f t="shared" si="1"/>
        <v/>
      </c>
      <c r="AD982" s="39" t="str">
        <f t="shared" si="2"/>
        <v/>
      </c>
      <c r="AE982" s="39" t="str">
        <f t="shared" si="3"/>
        <v>No Counter</v>
      </c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C983" s="39" t="str">
        <f t="shared" si="1"/>
        <v/>
      </c>
      <c r="AD983" s="39" t="str">
        <f t="shared" si="2"/>
        <v/>
      </c>
      <c r="AE983" s="39" t="str">
        <f t="shared" si="3"/>
        <v>No Counter</v>
      </c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C984" s="39" t="str">
        <f t="shared" si="1"/>
        <v/>
      </c>
      <c r="AD984" s="39" t="str">
        <f t="shared" si="2"/>
        <v/>
      </c>
      <c r="AE984" s="39" t="str">
        <f t="shared" si="3"/>
        <v>No Counter</v>
      </c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C985" s="39" t="str">
        <f t="shared" si="1"/>
        <v/>
      </c>
      <c r="AD985" s="39" t="str">
        <f t="shared" si="2"/>
        <v/>
      </c>
      <c r="AE985" s="39" t="str">
        <f t="shared" si="3"/>
        <v>No Counter</v>
      </c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C986" s="39" t="str">
        <f t="shared" si="1"/>
        <v/>
      </c>
      <c r="AD986" s="39" t="str">
        <f t="shared" si="2"/>
        <v/>
      </c>
      <c r="AE986" s="39" t="str">
        <f t="shared" si="3"/>
        <v>No Counter</v>
      </c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C987" s="39" t="str">
        <f t="shared" si="1"/>
        <v/>
      </c>
      <c r="AD987" s="39" t="str">
        <f t="shared" si="2"/>
        <v/>
      </c>
      <c r="AE987" s="39" t="str">
        <f t="shared" si="3"/>
        <v>No Counter</v>
      </c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C988" s="39" t="str">
        <f t="shared" si="1"/>
        <v/>
      </c>
      <c r="AD988" s="39" t="str">
        <f t="shared" si="2"/>
        <v/>
      </c>
      <c r="AE988" s="39" t="str">
        <f t="shared" si="3"/>
        <v>No Counter</v>
      </c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C989" s="39" t="str">
        <f t="shared" si="1"/>
        <v/>
      </c>
      <c r="AD989" s="39" t="str">
        <f t="shared" si="2"/>
        <v/>
      </c>
      <c r="AE989" s="39" t="str">
        <f t="shared" si="3"/>
        <v>No Counter</v>
      </c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C990" s="39" t="str">
        <f t="shared" si="1"/>
        <v/>
      </c>
      <c r="AD990" s="39" t="str">
        <f t="shared" si="2"/>
        <v/>
      </c>
      <c r="AE990" s="39" t="str">
        <f t="shared" si="3"/>
        <v>No Counter</v>
      </c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C991" s="39" t="str">
        <f t="shared" si="1"/>
        <v/>
      </c>
      <c r="AD991" s="39" t="str">
        <f t="shared" si="2"/>
        <v/>
      </c>
      <c r="AE991" s="39" t="str">
        <f t="shared" si="3"/>
        <v>No Counter</v>
      </c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C992" s="39" t="str">
        <f t="shared" si="1"/>
        <v/>
      </c>
      <c r="AD992" s="39" t="str">
        <f t="shared" si="2"/>
        <v/>
      </c>
      <c r="AE992" s="39" t="str">
        <f t="shared" si="3"/>
        <v>No Counter</v>
      </c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C993" s="39" t="str">
        <f t="shared" si="1"/>
        <v/>
      </c>
      <c r="AD993" s="39" t="str">
        <f t="shared" si="2"/>
        <v/>
      </c>
      <c r="AE993" s="39" t="str">
        <f t="shared" si="3"/>
        <v>No Counter</v>
      </c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C994" s="39" t="str">
        <f t="shared" si="1"/>
        <v/>
      </c>
      <c r="AD994" s="39" t="str">
        <f t="shared" si="2"/>
        <v/>
      </c>
      <c r="AE994" s="39" t="str">
        <f t="shared" si="3"/>
        <v>No Counter</v>
      </c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C995" s="39" t="str">
        <f t="shared" si="1"/>
        <v/>
      </c>
      <c r="AD995" s="39" t="str">
        <f t="shared" si="2"/>
        <v/>
      </c>
      <c r="AE995" s="39" t="str">
        <f t="shared" si="3"/>
        <v>No Counter</v>
      </c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C996" s="39" t="str">
        <f t="shared" si="1"/>
        <v/>
      </c>
      <c r="AD996" s="39" t="str">
        <f t="shared" si="2"/>
        <v/>
      </c>
      <c r="AE996" s="39" t="str">
        <f t="shared" si="3"/>
        <v>No Counter</v>
      </c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C997" s="39" t="str">
        <f t="shared" si="1"/>
        <v/>
      </c>
      <c r="AD997" s="39" t="str">
        <f t="shared" si="2"/>
        <v/>
      </c>
      <c r="AE997" s="39" t="str">
        <f t="shared" si="3"/>
        <v>No Counter</v>
      </c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C998" s="39" t="str">
        <f t="shared" si="1"/>
        <v/>
      </c>
      <c r="AD998" s="39" t="str">
        <f t="shared" si="2"/>
        <v/>
      </c>
      <c r="AE998" s="39" t="str">
        <f t="shared" si="3"/>
        <v>No Counter</v>
      </c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C999" s="39" t="str">
        <f t="shared" si="1"/>
        <v/>
      </c>
      <c r="AD999" s="39" t="str">
        <f t="shared" si="2"/>
        <v/>
      </c>
      <c r="AE999" s="39" t="str">
        <f t="shared" si="3"/>
        <v>No Counter</v>
      </c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C1000" s="39" t="str">
        <f t="shared" si="1"/>
        <v/>
      </c>
      <c r="AD1000" s="39" t="str">
        <f t="shared" si="2"/>
        <v/>
      </c>
      <c r="AE1000" s="39" t="str">
        <f t="shared" si="3"/>
        <v>No Counter</v>
      </c>
    </row>
  </sheetData>
  <autoFilter ref="$A$5:$G$205"/>
  <dataValidations>
    <dataValidation type="list" allowBlank="1" sqref="AB6:AB505">
      <formula1>"Y,N"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2.0"/>
    <col customWidth="1" min="2" max="3" width="10.0"/>
    <col customWidth="1" min="4" max="4" width="18.0"/>
    <col customWidth="1" min="5" max="5" width="12.0"/>
    <col customWidth="1" min="6" max="6" width="22.0"/>
    <col customWidth="1" min="7" max="7" width="14.0"/>
    <col customWidth="1" min="8" max="9" width="12.0"/>
    <col customWidth="1" min="10" max="10" width="10.0"/>
    <col customWidth="1" min="11" max="12" width="18.0"/>
    <col customWidth="1" min="13" max="13" width="12.0"/>
    <col customWidth="1" min="14" max="14" width="26.0"/>
  </cols>
  <sheetData>
    <row r="1">
      <c r="A1" s="37" t="s">
        <v>304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ht="21.75" customHeight="1">
      <c r="A5" s="38" t="s">
        <v>305</v>
      </c>
      <c r="B5" s="38" t="s">
        <v>282</v>
      </c>
      <c r="C5" s="38" t="s">
        <v>281</v>
      </c>
      <c r="D5" s="38" t="s">
        <v>306</v>
      </c>
      <c r="E5" s="38" t="s">
        <v>275</v>
      </c>
      <c r="F5" s="38" t="s">
        <v>262</v>
      </c>
      <c r="G5" s="38" t="s">
        <v>307</v>
      </c>
      <c r="H5" s="38" t="s">
        <v>283</v>
      </c>
      <c r="I5" s="38" t="s">
        <v>308</v>
      </c>
      <c r="J5" s="38" t="s">
        <v>7</v>
      </c>
      <c r="K5" s="38" t="s">
        <v>309</v>
      </c>
      <c r="L5" s="38" t="s">
        <v>310</v>
      </c>
      <c r="M5" s="38" t="s">
        <v>311</v>
      </c>
      <c r="N5" s="39" t="s">
        <v>312</v>
      </c>
      <c r="O5" s="38" t="s">
        <v>73</v>
      </c>
      <c r="P5" s="22" t="s">
        <v>313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39" t="s">
        <v>286</v>
      </c>
      <c r="AC5" s="39" t="s">
        <v>287</v>
      </c>
      <c r="AD5" s="39" t="s">
        <v>314</v>
      </c>
      <c r="AE5" s="39" t="s">
        <v>315</v>
      </c>
      <c r="AF5" s="39" t="s">
        <v>316</v>
      </c>
      <c r="AG5" s="39" t="s">
        <v>317</v>
      </c>
      <c r="AH5" s="39" t="s">
        <v>318</v>
      </c>
      <c r="AI5" s="39" t="s">
        <v>319</v>
      </c>
      <c r="AJ5" s="39" t="s">
        <v>320</v>
      </c>
      <c r="AK5" s="39" t="s">
        <v>321</v>
      </c>
      <c r="AL5" s="39" t="s">
        <v>322</v>
      </c>
      <c r="AM5" s="39" t="s">
        <v>323</v>
      </c>
      <c r="AN5" s="39" t="s">
        <v>324</v>
      </c>
      <c r="AO5" s="39" t="s">
        <v>325</v>
      </c>
      <c r="AP5" s="39" t="s">
        <v>326</v>
      </c>
      <c r="AQ5" s="39" t="s">
        <v>327</v>
      </c>
      <c r="AR5" s="39" t="s">
        <v>328</v>
      </c>
      <c r="AS5" s="39" t="s">
        <v>329</v>
      </c>
      <c r="AT5" s="39" t="s">
        <v>330</v>
      </c>
      <c r="AU5" s="39" t="s">
        <v>331</v>
      </c>
    </row>
    <row r="6">
      <c r="A6" s="42" t="s">
        <v>332</v>
      </c>
      <c r="B6" s="42" t="s">
        <v>113</v>
      </c>
      <c r="C6" s="40" t="s">
        <v>292</v>
      </c>
      <c r="D6" s="43">
        <v>46074.0</v>
      </c>
      <c r="E6" s="44" t="s">
        <v>333</v>
      </c>
      <c r="F6" s="40" t="str">
        <f>IF($C6="","",VLOOKUP($C6,Orders!$A$4:$J$303,3,FALSE))</f>
        <v>#N/A</v>
      </c>
      <c r="G6" s="40" t="str">
        <f>IF($C6="","",VLOOKUP($C6,Orders!$A$4:$J$303,4,FALSE))</f>
        <v>#N/A</v>
      </c>
      <c r="H6" s="22"/>
      <c r="I6" s="40" t="str">
        <f t="shared" ref="I6:I504" si="1">IF(OR(G6="", AD6=""),"", G6-AD6)</f>
        <v>#N/A</v>
      </c>
      <c r="J6" s="40" t="str">
        <f t="shared" ref="J6:J504" si="2">IF(OR(G6="", AD6=""),"", IF(G6=0,"",I6/G6))</f>
        <v>#N/A</v>
      </c>
      <c r="K6" s="40" t="str">
        <f>IF($C6="","",VLOOKUP($C6,Orders!$A$4:$J$303,5,FALSE))</f>
        <v>#N/A</v>
      </c>
      <c r="L6" s="43">
        <v>46074.0</v>
      </c>
      <c r="M6" s="40" t="str">
        <f t="shared" ref="M6:M305" si="3">IF($L6="","",IF($K6="","",IF($L6&lt;=$K6,"Y","N")))</f>
        <v>#N/A</v>
      </c>
      <c r="N6" s="22"/>
      <c r="O6" s="22"/>
      <c r="P6" s="22">
        <f t="shared" ref="P6:P1000" si="4">IF(OR($D6="",$L6=""),"",$L6-$D6)</f>
        <v>0</v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39" t="str">
        <f t="array" ref="AB6">IFERROR(INDEX(Bids!$AA:$AA, MATCH(C6&amp;"|"&amp;B6, Bids!$AD:$AD,0)),"")</f>
        <v/>
      </c>
      <c r="AC6" s="39" t="str">
        <f t="array" ref="AC6">IFERROR(INDEX(Bids!$AB:$AB, MATCH(C6&amp;"|"&amp;B6, Bids!$AD:$AD,0)),"")</f>
        <v/>
      </c>
      <c r="AD6" s="39">
        <f t="array" ref="AD6">IFERROR(INDEX(Bids!$AC:$AC, MATCH(C6&amp;"|"&amp;B6, Bids!$AD:$AD,0)), H6)</f>
        <v>350</v>
      </c>
      <c r="AE6" s="39"/>
      <c r="AG6" s="39"/>
      <c r="AH6" s="39">
        <f t="shared" ref="AH6:AH1000" si="5">IF(C6="","",IF(AE6="Y",IF(AH6="",AD6,AH6),AD6))</f>
        <v>350</v>
      </c>
      <c r="AI6" s="39">
        <f t="shared" ref="AI6:AI1000" si="6">IF(C6="","",IF(AE6="Y",IF(AI6="",0,AI6),0))</f>
        <v>0</v>
      </c>
      <c r="AM6" s="39" t="str">
        <f t="array" ref="AM6">IF(C6="","",IFERROR(XLOOKUP(C6,Orders!$A:$A,Orders!$E:$E,""),""))</f>
        <v/>
      </c>
      <c r="AN6" s="39" t="str">
        <f t="shared" ref="AN6:AN1000" si="7">IF(C6="","",IF(AL6&lt;&gt;"",AL6,IF(AK6&lt;&gt;"",AK6,IF(AJ6&lt;&gt;"",AJ6,AM6))))</f>
        <v/>
      </c>
      <c r="AO6" s="39" t="str">
        <f t="shared" ref="AO6:AO1000" si="8">IF(OR(L6="",AN6=""),"",IF(L6&lt;=AN6,1,0))</f>
        <v/>
      </c>
      <c r="AP6" s="39">
        <f t="shared" ref="AP6:AP1000" si="9">IF(C6="","",AH6+AI6)</f>
        <v>350</v>
      </c>
      <c r="AQ6" s="39" t="str">
        <f t="shared" ref="AQ6:AQ1000" si="10">IF(OR(G6="",AP6=""),"",G6-AP6)</f>
        <v>#N/A</v>
      </c>
      <c r="AR6" s="39" t="str">
        <f t="shared" ref="AR6:AR1000" si="11">IF(OR(G6="",AQ6=""),"",IF(G6=0,"",AQ6/G6))</f>
        <v>#N/A</v>
      </c>
      <c r="AS6" s="39">
        <f t="shared" ref="AS6:AS1000" si="12">IF(C6="","",IF(AE6="Y",-1,0))</f>
        <v>0</v>
      </c>
      <c r="AT6" s="39">
        <f t="shared" ref="AT6:AT1000" si="13">IF(C6="","",IF(AND(AE6="Y",AF6&lt;&gt;"",E6="Completed"),1,0))</f>
        <v>0</v>
      </c>
      <c r="AU6" s="39">
        <f t="shared" ref="AU6:AU1000" si="14">IF(C6="","",IF(AND(AE6="Y",AF6="",E6&lt;&gt;"Completed"),1,0))</f>
        <v>0</v>
      </c>
    </row>
    <row r="7">
      <c r="A7" s="22"/>
      <c r="B7" s="22"/>
      <c r="C7" s="22"/>
      <c r="D7" s="22"/>
      <c r="E7" s="40"/>
      <c r="F7" s="40" t="str">
        <f>IF($C7="","",VLOOKUP($C7,Orders!$A$4:$J$303,3,FALSE))</f>
        <v/>
      </c>
      <c r="G7" s="40" t="str">
        <f>IF($C7="","",VLOOKUP($C7,Orders!$A$4:$J$303,4,FALSE))</f>
        <v/>
      </c>
      <c r="H7" s="22"/>
      <c r="I7" s="40" t="str">
        <f t="shared" si="1"/>
        <v/>
      </c>
      <c r="J7" s="40" t="str">
        <f t="shared" si="2"/>
        <v/>
      </c>
      <c r="K7" s="40" t="str">
        <f>IF($C7="","",VLOOKUP($C7,Orders!$A$4:$J$303,5,FALSE))</f>
        <v/>
      </c>
      <c r="L7" s="22"/>
      <c r="M7" s="40" t="str">
        <f t="shared" si="3"/>
        <v/>
      </c>
      <c r="N7" s="22"/>
      <c r="O7" s="22"/>
      <c r="P7" s="22" t="str">
        <f t="shared" si="4"/>
        <v/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39" t="str">
        <f t="array" ref="AB7">IFERROR(INDEX(Bids!$AA:$AA, MATCH(C7&amp;"|"&amp;B7, Bids!$AD:$AD,0)),"")</f>
        <v/>
      </c>
      <c r="AC7" s="39" t="str">
        <f t="array" ref="AC7">IFERROR(INDEX(Bids!$AB:$AB, MATCH(C7&amp;"|"&amp;B7, Bids!$AD:$AD,0)),"")</f>
        <v/>
      </c>
      <c r="AD7" s="39" t="str">
        <f t="array" ref="AD7">IFERROR(INDEX(Bids!$AC:$AC, MATCH(C7&amp;"|"&amp;B7, Bids!$AD:$AD,0)), H7)</f>
        <v/>
      </c>
      <c r="AE7" s="39"/>
      <c r="AG7" s="39"/>
      <c r="AH7" s="39" t="str">
        <f t="shared" si="5"/>
        <v/>
      </c>
      <c r="AI7" s="39" t="str">
        <f t="shared" si="6"/>
        <v/>
      </c>
      <c r="AM7" s="39" t="str">
        <f t="array" ref="AM7">IF(C7="","",IFERROR(XLOOKUP(C7,Orders!$A:$A,Orders!$E:$E,""),""))</f>
        <v/>
      </c>
      <c r="AN7" s="39" t="str">
        <f t="shared" si="7"/>
        <v/>
      </c>
      <c r="AO7" s="39" t="str">
        <f t="shared" si="8"/>
        <v/>
      </c>
      <c r="AP7" s="39" t="str">
        <f t="shared" si="9"/>
        <v/>
      </c>
      <c r="AQ7" s="39" t="str">
        <f t="shared" si="10"/>
        <v/>
      </c>
      <c r="AR7" s="39" t="str">
        <f t="shared" si="11"/>
        <v/>
      </c>
      <c r="AS7" s="39" t="str">
        <f t="shared" si="12"/>
        <v/>
      </c>
      <c r="AT7" s="39" t="str">
        <f t="shared" si="13"/>
        <v/>
      </c>
      <c r="AU7" s="39" t="str">
        <f t="shared" si="14"/>
        <v/>
      </c>
    </row>
    <row r="8">
      <c r="A8" s="22"/>
      <c r="B8" s="22"/>
      <c r="C8" s="22"/>
      <c r="D8" s="22"/>
      <c r="E8" s="40"/>
      <c r="F8" s="40" t="str">
        <f>IF($C8="","",VLOOKUP($C8,Orders!$A$4:$J$303,3,FALSE))</f>
        <v/>
      </c>
      <c r="G8" s="40" t="str">
        <f>IF($C8="","",VLOOKUP($C8,Orders!$A$4:$J$303,4,FALSE))</f>
        <v/>
      </c>
      <c r="H8" s="22"/>
      <c r="I8" s="40" t="str">
        <f t="shared" si="1"/>
        <v/>
      </c>
      <c r="J8" s="40" t="str">
        <f t="shared" si="2"/>
        <v/>
      </c>
      <c r="K8" s="40" t="str">
        <f>IF($C8="","",VLOOKUP($C8,Orders!$A$4:$J$303,5,FALSE))</f>
        <v/>
      </c>
      <c r="L8" s="22"/>
      <c r="M8" s="40" t="str">
        <f t="shared" si="3"/>
        <v/>
      </c>
      <c r="N8" s="22"/>
      <c r="O8" s="22"/>
      <c r="P8" s="22" t="str">
        <f t="shared" si="4"/>
        <v/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39" t="str">
        <f t="array" ref="AB8">IFERROR(INDEX(Bids!$AA:$AA, MATCH(C8&amp;"|"&amp;B8, Bids!$AD:$AD,0)),"")</f>
        <v/>
      </c>
      <c r="AC8" s="39" t="str">
        <f t="array" ref="AC8">IFERROR(INDEX(Bids!$AB:$AB, MATCH(C8&amp;"|"&amp;B8, Bids!$AD:$AD,0)),"")</f>
        <v/>
      </c>
      <c r="AD8" s="39" t="str">
        <f t="array" ref="AD8">IFERROR(INDEX(Bids!$AC:$AC, MATCH(C8&amp;"|"&amp;B8, Bids!$AD:$AD,0)), H8)</f>
        <v/>
      </c>
      <c r="AE8" s="39"/>
      <c r="AG8" s="39"/>
      <c r="AH8" s="39" t="str">
        <f t="shared" si="5"/>
        <v/>
      </c>
      <c r="AI8" s="39" t="str">
        <f t="shared" si="6"/>
        <v/>
      </c>
      <c r="AM8" s="39" t="str">
        <f t="array" ref="AM8">IF(C8="","",IFERROR(XLOOKUP(C8,Orders!$A:$A,Orders!$E:$E,""),""))</f>
        <v/>
      </c>
      <c r="AN8" s="39" t="str">
        <f t="shared" si="7"/>
        <v/>
      </c>
      <c r="AO8" s="39" t="str">
        <f t="shared" si="8"/>
        <v/>
      </c>
      <c r="AP8" s="39" t="str">
        <f t="shared" si="9"/>
        <v/>
      </c>
      <c r="AQ8" s="39" t="str">
        <f t="shared" si="10"/>
        <v/>
      </c>
      <c r="AR8" s="39" t="str">
        <f t="shared" si="11"/>
        <v/>
      </c>
      <c r="AS8" s="39" t="str">
        <f t="shared" si="12"/>
        <v/>
      </c>
      <c r="AT8" s="39" t="str">
        <f t="shared" si="13"/>
        <v/>
      </c>
      <c r="AU8" s="39" t="str">
        <f t="shared" si="14"/>
        <v/>
      </c>
    </row>
    <row r="9">
      <c r="A9" s="22"/>
      <c r="B9" s="22"/>
      <c r="C9" s="22"/>
      <c r="D9" s="22"/>
      <c r="E9" s="40"/>
      <c r="F9" s="40" t="str">
        <f>IF($C9="","",VLOOKUP($C9,Orders!$A$4:$J$303,3,FALSE))</f>
        <v/>
      </c>
      <c r="G9" s="40" t="str">
        <f>IF($C9="","",VLOOKUP($C9,Orders!$A$4:$J$303,4,FALSE))</f>
        <v/>
      </c>
      <c r="H9" s="22"/>
      <c r="I9" s="40" t="str">
        <f t="shared" si="1"/>
        <v/>
      </c>
      <c r="J9" s="40" t="str">
        <f t="shared" si="2"/>
        <v/>
      </c>
      <c r="K9" s="40" t="str">
        <f>IF($C9="","",VLOOKUP($C9,Orders!$A$4:$J$303,5,FALSE))</f>
        <v/>
      </c>
      <c r="L9" s="22"/>
      <c r="M9" s="40" t="str">
        <f t="shared" si="3"/>
        <v/>
      </c>
      <c r="N9" s="22"/>
      <c r="O9" s="22"/>
      <c r="P9" s="22" t="str">
        <f t="shared" si="4"/>
        <v/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39" t="str">
        <f t="array" ref="AB9">IFERROR(INDEX(Bids!$AA:$AA, MATCH(C9&amp;"|"&amp;B9, Bids!$AD:$AD,0)),"")</f>
        <v/>
      </c>
      <c r="AC9" s="39" t="str">
        <f t="array" ref="AC9">IFERROR(INDEX(Bids!$AB:$AB, MATCH(C9&amp;"|"&amp;B9, Bids!$AD:$AD,0)),"")</f>
        <v/>
      </c>
      <c r="AD9" s="39" t="str">
        <f t="array" ref="AD9">IFERROR(INDEX(Bids!$AC:$AC, MATCH(C9&amp;"|"&amp;B9, Bids!$AD:$AD,0)), H9)</f>
        <v/>
      </c>
      <c r="AE9" s="39"/>
      <c r="AG9" s="39"/>
      <c r="AH9" s="39" t="str">
        <f t="shared" si="5"/>
        <v/>
      </c>
      <c r="AI9" s="39" t="str">
        <f t="shared" si="6"/>
        <v/>
      </c>
      <c r="AM9" s="39" t="str">
        <f t="array" ref="AM9">IF(C9="","",IFERROR(XLOOKUP(C9,Orders!$A:$A,Orders!$E:$E,""),""))</f>
        <v/>
      </c>
      <c r="AN9" s="39" t="str">
        <f t="shared" si="7"/>
        <v/>
      </c>
      <c r="AO9" s="39" t="str">
        <f t="shared" si="8"/>
        <v/>
      </c>
      <c r="AP9" s="39" t="str">
        <f t="shared" si="9"/>
        <v/>
      </c>
      <c r="AQ9" s="39" t="str">
        <f t="shared" si="10"/>
        <v/>
      </c>
      <c r="AR9" s="39" t="str">
        <f t="shared" si="11"/>
        <v/>
      </c>
      <c r="AS9" s="39" t="str">
        <f t="shared" si="12"/>
        <v/>
      </c>
      <c r="AT9" s="39" t="str">
        <f t="shared" si="13"/>
        <v/>
      </c>
      <c r="AU9" s="39" t="str">
        <f t="shared" si="14"/>
        <v/>
      </c>
    </row>
    <row r="10">
      <c r="A10" s="22"/>
      <c r="B10" s="22"/>
      <c r="C10" s="22"/>
      <c r="D10" s="22"/>
      <c r="E10" s="40"/>
      <c r="F10" s="40" t="str">
        <f>IF($C10="","",VLOOKUP($C10,Orders!$A$4:$J$303,3,FALSE))</f>
        <v/>
      </c>
      <c r="G10" s="40" t="str">
        <f>IF($C10="","",VLOOKUP($C10,Orders!$A$4:$J$303,4,FALSE))</f>
        <v/>
      </c>
      <c r="H10" s="22"/>
      <c r="I10" s="40" t="str">
        <f t="shared" si="1"/>
        <v/>
      </c>
      <c r="J10" s="40" t="str">
        <f t="shared" si="2"/>
        <v/>
      </c>
      <c r="K10" s="40" t="str">
        <f>IF($C10="","",VLOOKUP($C10,Orders!$A$4:$J$303,5,FALSE))</f>
        <v/>
      </c>
      <c r="L10" s="22"/>
      <c r="M10" s="40" t="str">
        <f t="shared" si="3"/>
        <v/>
      </c>
      <c r="N10" s="22"/>
      <c r="O10" s="22"/>
      <c r="P10" s="22" t="str">
        <f t="shared" si="4"/>
        <v/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39" t="str">
        <f t="array" ref="AB10">IFERROR(INDEX(Bids!$AA:$AA, MATCH(C10&amp;"|"&amp;B10, Bids!$AD:$AD,0)),"")</f>
        <v/>
      </c>
      <c r="AC10" s="39" t="str">
        <f t="array" ref="AC10">IFERROR(INDEX(Bids!$AB:$AB, MATCH(C10&amp;"|"&amp;B10, Bids!$AD:$AD,0)),"")</f>
        <v/>
      </c>
      <c r="AD10" s="39" t="str">
        <f t="array" ref="AD10">IFERROR(INDEX(Bids!$AC:$AC, MATCH(C10&amp;"|"&amp;B10, Bids!$AD:$AD,0)), H10)</f>
        <v/>
      </c>
      <c r="AE10" s="39"/>
      <c r="AG10" s="39"/>
      <c r="AH10" s="39" t="str">
        <f t="shared" si="5"/>
        <v/>
      </c>
      <c r="AI10" s="39" t="str">
        <f t="shared" si="6"/>
        <v/>
      </c>
      <c r="AM10" s="39" t="str">
        <f t="array" ref="AM10">IF(C10="","",IFERROR(XLOOKUP(C10,Orders!$A:$A,Orders!$E:$E,""),""))</f>
        <v/>
      </c>
      <c r="AN10" s="39" t="str">
        <f t="shared" si="7"/>
        <v/>
      </c>
      <c r="AO10" s="39" t="str">
        <f t="shared" si="8"/>
        <v/>
      </c>
      <c r="AP10" s="39" t="str">
        <f t="shared" si="9"/>
        <v/>
      </c>
      <c r="AQ10" s="39" t="str">
        <f t="shared" si="10"/>
        <v/>
      </c>
      <c r="AR10" s="39" t="str">
        <f t="shared" si="11"/>
        <v/>
      </c>
      <c r="AS10" s="39" t="str">
        <f t="shared" si="12"/>
        <v/>
      </c>
      <c r="AT10" s="39" t="str">
        <f t="shared" si="13"/>
        <v/>
      </c>
      <c r="AU10" s="39" t="str">
        <f t="shared" si="14"/>
        <v/>
      </c>
    </row>
    <row r="11">
      <c r="A11" s="22"/>
      <c r="B11" s="22"/>
      <c r="C11" s="22"/>
      <c r="D11" s="22"/>
      <c r="E11" s="40"/>
      <c r="F11" s="40" t="str">
        <f>IF($C11="","",VLOOKUP($C11,Orders!$A$4:$J$303,3,FALSE))</f>
        <v/>
      </c>
      <c r="G11" s="40" t="str">
        <f>IF($C11="","",VLOOKUP($C11,Orders!$A$4:$J$303,4,FALSE))</f>
        <v/>
      </c>
      <c r="H11" s="22"/>
      <c r="I11" s="40" t="str">
        <f t="shared" si="1"/>
        <v/>
      </c>
      <c r="J11" s="40" t="str">
        <f t="shared" si="2"/>
        <v/>
      </c>
      <c r="K11" s="40" t="str">
        <f>IF($C11="","",VLOOKUP($C11,Orders!$A$4:$J$303,5,FALSE))</f>
        <v/>
      </c>
      <c r="L11" s="22"/>
      <c r="M11" s="40" t="str">
        <f t="shared" si="3"/>
        <v/>
      </c>
      <c r="N11" s="22"/>
      <c r="O11" s="22"/>
      <c r="P11" s="22" t="str">
        <f t="shared" si="4"/>
        <v/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39" t="str">
        <f t="array" ref="AB11">IFERROR(INDEX(Bids!$AA:$AA, MATCH(C11&amp;"|"&amp;B11, Bids!$AD:$AD,0)),"")</f>
        <v/>
      </c>
      <c r="AC11" s="39" t="str">
        <f t="array" ref="AC11">IFERROR(INDEX(Bids!$AB:$AB, MATCH(C11&amp;"|"&amp;B11, Bids!$AD:$AD,0)),"")</f>
        <v/>
      </c>
      <c r="AD11" s="39" t="str">
        <f t="array" ref="AD11">IFERROR(INDEX(Bids!$AC:$AC, MATCH(C11&amp;"|"&amp;B11, Bids!$AD:$AD,0)), H11)</f>
        <v/>
      </c>
      <c r="AE11" s="39"/>
      <c r="AG11" s="39"/>
      <c r="AH11" s="39" t="str">
        <f t="shared" si="5"/>
        <v/>
      </c>
      <c r="AI11" s="39" t="str">
        <f t="shared" si="6"/>
        <v/>
      </c>
      <c r="AM11" s="39" t="str">
        <f t="array" ref="AM11">IF(C11="","",IFERROR(XLOOKUP(C11,Orders!$A:$A,Orders!$E:$E,""),""))</f>
        <v/>
      </c>
      <c r="AN11" s="39" t="str">
        <f t="shared" si="7"/>
        <v/>
      </c>
      <c r="AO11" s="39" t="str">
        <f t="shared" si="8"/>
        <v/>
      </c>
      <c r="AP11" s="39" t="str">
        <f t="shared" si="9"/>
        <v/>
      </c>
      <c r="AQ11" s="39" t="str">
        <f t="shared" si="10"/>
        <v/>
      </c>
      <c r="AR11" s="39" t="str">
        <f t="shared" si="11"/>
        <v/>
      </c>
      <c r="AS11" s="39" t="str">
        <f t="shared" si="12"/>
        <v/>
      </c>
      <c r="AT11" s="39" t="str">
        <f t="shared" si="13"/>
        <v/>
      </c>
      <c r="AU11" s="39" t="str">
        <f t="shared" si="14"/>
        <v/>
      </c>
    </row>
    <row r="12">
      <c r="A12" s="22"/>
      <c r="B12" s="22"/>
      <c r="C12" s="22"/>
      <c r="D12" s="22"/>
      <c r="E12" s="40"/>
      <c r="F12" s="40" t="str">
        <f>IF($C12="","",VLOOKUP($C12,Orders!$A$4:$J$303,3,FALSE))</f>
        <v/>
      </c>
      <c r="G12" s="40" t="str">
        <f>IF($C12="","",VLOOKUP($C12,Orders!$A$4:$J$303,4,FALSE))</f>
        <v/>
      </c>
      <c r="H12" s="22"/>
      <c r="I12" s="40" t="str">
        <f t="shared" si="1"/>
        <v/>
      </c>
      <c r="J12" s="40" t="str">
        <f t="shared" si="2"/>
        <v/>
      </c>
      <c r="K12" s="40" t="str">
        <f>IF($C12="","",VLOOKUP($C12,Orders!$A$4:$J$303,5,FALSE))</f>
        <v/>
      </c>
      <c r="L12" s="22"/>
      <c r="M12" s="40" t="str">
        <f t="shared" si="3"/>
        <v/>
      </c>
      <c r="N12" s="22"/>
      <c r="O12" s="22"/>
      <c r="P12" s="22" t="str">
        <f t="shared" si="4"/>
        <v/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39" t="str">
        <f t="array" ref="AB12">IFERROR(INDEX(Bids!$AA:$AA, MATCH(C12&amp;"|"&amp;B12, Bids!$AD:$AD,0)),"")</f>
        <v/>
      </c>
      <c r="AC12" s="39" t="str">
        <f t="array" ref="AC12">IFERROR(INDEX(Bids!$AB:$AB, MATCH(C12&amp;"|"&amp;B12, Bids!$AD:$AD,0)),"")</f>
        <v/>
      </c>
      <c r="AD12" s="39" t="str">
        <f t="array" ref="AD12">IFERROR(INDEX(Bids!$AC:$AC, MATCH(C12&amp;"|"&amp;B12, Bids!$AD:$AD,0)), H12)</f>
        <v/>
      </c>
      <c r="AE12" s="39"/>
      <c r="AG12" s="39"/>
      <c r="AH12" s="39" t="str">
        <f t="shared" si="5"/>
        <v/>
      </c>
      <c r="AI12" s="39" t="str">
        <f t="shared" si="6"/>
        <v/>
      </c>
      <c r="AM12" s="39" t="str">
        <f t="array" ref="AM12">IF(C12="","",IFERROR(XLOOKUP(C12,Orders!$A:$A,Orders!$E:$E,""),""))</f>
        <v/>
      </c>
      <c r="AN12" s="39" t="str">
        <f t="shared" si="7"/>
        <v/>
      </c>
      <c r="AO12" s="39" t="str">
        <f t="shared" si="8"/>
        <v/>
      </c>
      <c r="AP12" s="39" t="str">
        <f t="shared" si="9"/>
        <v/>
      </c>
      <c r="AQ12" s="39" t="str">
        <f t="shared" si="10"/>
        <v/>
      </c>
      <c r="AR12" s="39" t="str">
        <f t="shared" si="11"/>
        <v/>
      </c>
      <c r="AS12" s="39" t="str">
        <f t="shared" si="12"/>
        <v/>
      </c>
      <c r="AT12" s="39" t="str">
        <f t="shared" si="13"/>
        <v/>
      </c>
      <c r="AU12" s="39" t="str">
        <f t="shared" si="14"/>
        <v/>
      </c>
    </row>
    <row r="13">
      <c r="A13" s="22"/>
      <c r="B13" s="22"/>
      <c r="C13" s="22"/>
      <c r="D13" s="22"/>
      <c r="E13" s="40"/>
      <c r="F13" s="40" t="str">
        <f>IF($C13="","",VLOOKUP($C13,Orders!$A$4:$J$303,3,FALSE))</f>
        <v/>
      </c>
      <c r="G13" s="40" t="str">
        <f>IF($C13="","",VLOOKUP($C13,Orders!$A$4:$J$303,4,FALSE))</f>
        <v/>
      </c>
      <c r="H13" s="22"/>
      <c r="I13" s="40" t="str">
        <f t="shared" si="1"/>
        <v/>
      </c>
      <c r="J13" s="40" t="str">
        <f t="shared" si="2"/>
        <v/>
      </c>
      <c r="K13" s="40" t="str">
        <f>IF($C13="","",VLOOKUP($C13,Orders!$A$4:$J$303,5,FALSE))</f>
        <v/>
      </c>
      <c r="L13" s="22"/>
      <c r="M13" s="40" t="str">
        <f t="shared" si="3"/>
        <v/>
      </c>
      <c r="N13" s="22"/>
      <c r="O13" s="22"/>
      <c r="P13" s="22" t="str">
        <f t="shared" si="4"/>
        <v/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39" t="str">
        <f t="array" ref="AB13">IFERROR(INDEX(Bids!$AA:$AA, MATCH(C13&amp;"|"&amp;B13, Bids!$AD:$AD,0)),"")</f>
        <v/>
      </c>
      <c r="AC13" s="39" t="str">
        <f t="array" ref="AC13">IFERROR(INDEX(Bids!$AB:$AB, MATCH(C13&amp;"|"&amp;B13, Bids!$AD:$AD,0)),"")</f>
        <v/>
      </c>
      <c r="AD13" s="39" t="str">
        <f t="array" ref="AD13">IFERROR(INDEX(Bids!$AC:$AC, MATCH(C13&amp;"|"&amp;B13, Bids!$AD:$AD,0)), H13)</f>
        <v/>
      </c>
      <c r="AE13" s="39"/>
      <c r="AG13" s="39"/>
      <c r="AH13" s="39" t="str">
        <f t="shared" si="5"/>
        <v/>
      </c>
      <c r="AI13" s="39" t="str">
        <f t="shared" si="6"/>
        <v/>
      </c>
      <c r="AM13" s="39" t="str">
        <f t="array" ref="AM13">IF(C13="","",IFERROR(XLOOKUP(C13,Orders!$A:$A,Orders!$E:$E,""),""))</f>
        <v/>
      </c>
      <c r="AN13" s="39" t="str">
        <f t="shared" si="7"/>
        <v/>
      </c>
      <c r="AO13" s="39" t="str">
        <f t="shared" si="8"/>
        <v/>
      </c>
      <c r="AP13" s="39" t="str">
        <f t="shared" si="9"/>
        <v/>
      </c>
      <c r="AQ13" s="39" t="str">
        <f t="shared" si="10"/>
        <v/>
      </c>
      <c r="AR13" s="39" t="str">
        <f t="shared" si="11"/>
        <v/>
      </c>
      <c r="AS13" s="39" t="str">
        <f t="shared" si="12"/>
        <v/>
      </c>
      <c r="AT13" s="39" t="str">
        <f t="shared" si="13"/>
        <v/>
      </c>
      <c r="AU13" s="39" t="str">
        <f t="shared" si="14"/>
        <v/>
      </c>
    </row>
    <row r="14">
      <c r="A14" s="22"/>
      <c r="B14" s="22"/>
      <c r="C14" s="22"/>
      <c r="D14" s="22"/>
      <c r="E14" s="40"/>
      <c r="F14" s="40" t="str">
        <f>IF($C14="","",VLOOKUP($C14,Orders!$A$4:$J$303,3,FALSE))</f>
        <v/>
      </c>
      <c r="G14" s="40" t="str">
        <f>IF($C14="","",VLOOKUP($C14,Orders!$A$4:$J$303,4,FALSE))</f>
        <v/>
      </c>
      <c r="H14" s="22"/>
      <c r="I14" s="40" t="str">
        <f t="shared" si="1"/>
        <v/>
      </c>
      <c r="J14" s="40" t="str">
        <f t="shared" si="2"/>
        <v/>
      </c>
      <c r="K14" s="40" t="str">
        <f>IF($C14="","",VLOOKUP($C14,Orders!$A$4:$J$303,5,FALSE))</f>
        <v/>
      </c>
      <c r="L14" s="22"/>
      <c r="M14" s="40" t="str">
        <f t="shared" si="3"/>
        <v/>
      </c>
      <c r="N14" s="22"/>
      <c r="O14" s="22"/>
      <c r="P14" s="22" t="str">
        <f t="shared" si="4"/>
        <v/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39" t="str">
        <f t="array" ref="AB14">IFERROR(INDEX(Bids!$AA:$AA, MATCH(C14&amp;"|"&amp;B14, Bids!$AD:$AD,0)),"")</f>
        <v/>
      </c>
      <c r="AC14" s="39" t="str">
        <f t="array" ref="AC14">IFERROR(INDEX(Bids!$AB:$AB, MATCH(C14&amp;"|"&amp;B14, Bids!$AD:$AD,0)),"")</f>
        <v/>
      </c>
      <c r="AD14" s="39" t="str">
        <f t="array" ref="AD14">IFERROR(INDEX(Bids!$AC:$AC, MATCH(C14&amp;"|"&amp;B14, Bids!$AD:$AD,0)), H14)</f>
        <v/>
      </c>
      <c r="AE14" s="39"/>
      <c r="AG14" s="39"/>
      <c r="AH14" s="39" t="str">
        <f t="shared" si="5"/>
        <v/>
      </c>
      <c r="AI14" s="39" t="str">
        <f t="shared" si="6"/>
        <v/>
      </c>
      <c r="AM14" s="39" t="str">
        <f t="array" ref="AM14">IF(C14="","",IFERROR(XLOOKUP(C14,Orders!$A:$A,Orders!$E:$E,""),""))</f>
        <v/>
      </c>
      <c r="AN14" s="39" t="str">
        <f t="shared" si="7"/>
        <v/>
      </c>
      <c r="AO14" s="39" t="str">
        <f t="shared" si="8"/>
        <v/>
      </c>
      <c r="AP14" s="39" t="str">
        <f t="shared" si="9"/>
        <v/>
      </c>
      <c r="AQ14" s="39" t="str">
        <f t="shared" si="10"/>
        <v/>
      </c>
      <c r="AR14" s="39" t="str">
        <f t="shared" si="11"/>
        <v/>
      </c>
      <c r="AS14" s="39" t="str">
        <f t="shared" si="12"/>
        <v/>
      </c>
      <c r="AT14" s="39" t="str">
        <f t="shared" si="13"/>
        <v/>
      </c>
      <c r="AU14" s="39" t="str">
        <f t="shared" si="14"/>
        <v/>
      </c>
    </row>
    <row r="15">
      <c r="A15" s="22"/>
      <c r="B15" s="22"/>
      <c r="C15" s="22"/>
      <c r="D15" s="22"/>
      <c r="E15" s="40"/>
      <c r="F15" s="40" t="str">
        <f>IF($C15="","",VLOOKUP($C15,Orders!$A$4:$J$303,3,FALSE))</f>
        <v/>
      </c>
      <c r="G15" s="40" t="str">
        <f>IF($C15="","",VLOOKUP($C15,Orders!$A$4:$J$303,4,FALSE))</f>
        <v/>
      </c>
      <c r="H15" s="22"/>
      <c r="I15" s="40" t="str">
        <f t="shared" si="1"/>
        <v/>
      </c>
      <c r="J15" s="40" t="str">
        <f t="shared" si="2"/>
        <v/>
      </c>
      <c r="K15" s="40" t="str">
        <f>IF($C15="","",VLOOKUP($C15,Orders!$A$4:$J$303,5,FALSE))</f>
        <v/>
      </c>
      <c r="L15" s="22"/>
      <c r="M15" s="40" t="str">
        <f t="shared" si="3"/>
        <v/>
      </c>
      <c r="N15" s="22"/>
      <c r="O15" s="22"/>
      <c r="P15" s="22" t="str">
        <f t="shared" si="4"/>
        <v/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39" t="str">
        <f t="array" ref="AB15">IFERROR(INDEX(Bids!$AA:$AA, MATCH(C15&amp;"|"&amp;B15, Bids!$AD:$AD,0)),"")</f>
        <v/>
      </c>
      <c r="AC15" s="39" t="str">
        <f t="array" ref="AC15">IFERROR(INDEX(Bids!$AB:$AB, MATCH(C15&amp;"|"&amp;B15, Bids!$AD:$AD,0)),"")</f>
        <v/>
      </c>
      <c r="AD15" s="39" t="str">
        <f t="array" ref="AD15">IFERROR(INDEX(Bids!$AC:$AC, MATCH(C15&amp;"|"&amp;B15, Bids!$AD:$AD,0)), H15)</f>
        <v/>
      </c>
      <c r="AE15" s="39"/>
      <c r="AG15" s="39"/>
      <c r="AH15" s="39" t="str">
        <f t="shared" si="5"/>
        <v/>
      </c>
      <c r="AI15" s="39" t="str">
        <f t="shared" si="6"/>
        <v/>
      </c>
      <c r="AM15" s="39" t="str">
        <f t="array" ref="AM15">IF(C15="","",IFERROR(XLOOKUP(C15,Orders!$A:$A,Orders!$E:$E,""),""))</f>
        <v/>
      </c>
      <c r="AN15" s="39" t="str">
        <f t="shared" si="7"/>
        <v/>
      </c>
      <c r="AO15" s="39" t="str">
        <f t="shared" si="8"/>
        <v/>
      </c>
      <c r="AP15" s="39" t="str">
        <f t="shared" si="9"/>
        <v/>
      </c>
      <c r="AQ15" s="39" t="str">
        <f t="shared" si="10"/>
        <v/>
      </c>
      <c r="AR15" s="39" t="str">
        <f t="shared" si="11"/>
        <v/>
      </c>
      <c r="AS15" s="39" t="str">
        <f t="shared" si="12"/>
        <v/>
      </c>
      <c r="AT15" s="39" t="str">
        <f t="shared" si="13"/>
        <v/>
      </c>
      <c r="AU15" s="39" t="str">
        <f t="shared" si="14"/>
        <v/>
      </c>
    </row>
    <row r="16">
      <c r="A16" s="22"/>
      <c r="B16" s="22"/>
      <c r="C16" s="22"/>
      <c r="D16" s="22"/>
      <c r="E16" s="40"/>
      <c r="F16" s="40" t="str">
        <f>IF($C16="","",VLOOKUP($C16,Orders!$A$4:$J$303,3,FALSE))</f>
        <v/>
      </c>
      <c r="G16" s="40" t="str">
        <f>IF($C16="","",VLOOKUP($C16,Orders!$A$4:$J$303,4,FALSE))</f>
        <v/>
      </c>
      <c r="H16" s="22"/>
      <c r="I16" s="40" t="str">
        <f t="shared" si="1"/>
        <v/>
      </c>
      <c r="J16" s="40" t="str">
        <f t="shared" si="2"/>
        <v/>
      </c>
      <c r="K16" s="40" t="str">
        <f>IF($C16="","",VLOOKUP($C16,Orders!$A$4:$J$303,5,FALSE))</f>
        <v/>
      </c>
      <c r="L16" s="22"/>
      <c r="M16" s="40" t="str">
        <f t="shared" si="3"/>
        <v/>
      </c>
      <c r="N16" s="22"/>
      <c r="O16" s="22"/>
      <c r="P16" s="22" t="str">
        <f t="shared" si="4"/>
        <v/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39" t="str">
        <f t="array" ref="AB16">IFERROR(INDEX(Bids!$AA:$AA, MATCH(C16&amp;"|"&amp;B16, Bids!$AD:$AD,0)),"")</f>
        <v/>
      </c>
      <c r="AC16" s="39" t="str">
        <f t="array" ref="AC16">IFERROR(INDEX(Bids!$AB:$AB, MATCH(C16&amp;"|"&amp;B16, Bids!$AD:$AD,0)),"")</f>
        <v/>
      </c>
      <c r="AD16" s="39" t="str">
        <f t="array" ref="AD16">IFERROR(INDEX(Bids!$AC:$AC, MATCH(C16&amp;"|"&amp;B16, Bids!$AD:$AD,0)), H16)</f>
        <v/>
      </c>
      <c r="AE16" s="39"/>
      <c r="AG16" s="39"/>
      <c r="AH16" s="39" t="str">
        <f t="shared" si="5"/>
        <v/>
      </c>
      <c r="AI16" s="39" t="str">
        <f t="shared" si="6"/>
        <v/>
      </c>
      <c r="AM16" s="39" t="str">
        <f t="array" ref="AM16">IF(C16="","",IFERROR(XLOOKUP(C16,Orders!$A:$A,Orders!$E:$E,""),""))</f>
        <v/>
      </c>
      <c r="AN16" s="39" t="str">
        <f t="shared" si="7"/>
        <v/>
      </c>
      <c r="AO16" s="39" t="str">
        <f t="shared" si="8"/>
        <v/>
      </c>
      <c r="AP16" s="39" t="str">
        <f t="shared" si="9"/>
        <v/>
      </c>
      <c r="AQ16" s="39" t="str">
        <f t="shared" si="10"/>
        <v/>
      </c>
      <c r="AR16" s="39" t="str">
        <f t="shared" si="11"/>
        <v/>
      </c>
      <c r="AS16" s="39" t="str">
        <f t="shared" si="12"/>
        <v/>
      </c>
      <c r="AT16" s="39" t="str">
        <f t="shared" si="13"/>
        <v/>
      </c>
      <c r="AU16" s="39" t="str">
        <f t="shared" si="14"/>
        <v/>
      </c>
    </row>
    <row r="17">
      <c r="A17" s="22"/>
      <c r="B17" s="22"/>
      <c r="C17" s="22"/>
      <c r="D17" s="22"/>
      <c r="E17" s="40"/>
      <c r="F17" s="40" t="str">
        <f>IF($C17="","",VLOOKUP($C17,Orders!$A$4:$J$303,3,FALSE))</f>
        <v/>
      </c>
      <c r="G17" s="40" t="str">
        <f>IF($C17="","",VLOOKUP($C17,Orders!$A$4:$J$303,4,FALSE))</f>
        <v/>
      </c>
      <c r="H17" s="22"/>
      <c r="I17" s="40" t="str">
        <f t="shared" si="1"/>
        <v/>
      </c>
      <c r="J17" s="40" t="str">
        <f t="shared" si="2"/>
        <v/>
      </c>
      <c r="K17" s="40" t="str">
        <f>IF($C17="","",VLOOKUP($C17,Orders!$A$4:$J$303,5,FALSE))</f>
        <v/>
      </c>
      <c r="L17" s="22"/>
      <c r="M17" s="40" t="str">
        <f t="shared" si="3"/>
        <v/>
      </c>
      <c r="N17" s="22"/>
      <c r="O17" s="22"/>
      <c r="P17" s="22" t="str">
        <f t="shared" si="4"/>
        <v/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39" t="str">
        <f t="array" ref="AB17">IFERROR(INDEX(Bids!$AA:$AA, MATCH(C17&amp;"|"&amp;B17, Bids!$AD:$AD,0)),"")</f>
        <v/>
      </c>
      <c r="AC17" s="39" t="str">
        <f t="array" ref="AC17">IFERROR(INDEX(Bids!$AB:$AB, MATCH(C17&amp;"|"&amp;B17, Bids!$AD:$AD,0)),"")</f>
        <v/>
      </c>
      <c r="AD17" s="39" t="str">
        <f t="array" ref="AD17">IFERROR(INDEX(Bids!$AC:$AC, MATCH(C17&amp;"|"&amp;B17, Bids!$AD:$AD,0)), H17)</f>
        <v/>
      </c>
      <c r="AE17" s="39"/>
      <c r="AG17" s="39"/>
      <c r="AH17" s="39" t="str">
        <f t="shared" si="5"/>
        <v/>
      </c>
      <c r="AI17" s="39" t="str">
        <f t="shared" si="6"/>
        <v/>
      </c>
      <c r="AM17" s="39" t="str">
        <f t="array" ref="AM17">IF(C17="","",IFERROR(XLOOKUP(C17,Orders!$A:$A,Orders!$E:$E,""),""))</f>
        <v/>
      </c>
      <c r="AN17" s="39" t="str">
        <f t="shared" si="7"/>
        <v/>
      </c>
      <c r="AO17" s="39" t="str">
        <f t="shared" si="8"/>
        <v/>
      </c>
      <c r="AP17" s="39" t="str">
        <f t="shared" si="9"/>
        <v/>
      </c>
      <c r="AQ17" s="39" t="str">
        <f t="shared" si="10"/>
        <v/>
      </c>
      <c r="AR17" s="39" t="str">
        <f t="shared" si="11"/>
        <v/>
      </c>
      <c r="AS17" s="39" t="str">
        <f t="shared" si="12"/>
        <v/>
      </c>
      <c r="AT17" s="39" t="str">
        <f t="shared" si="13"/>
        <v/>
      </c>
      <c r="AU17" s="39" t="str">
        <f t="shared" si="14"/>
        <v/>
      </c>
    </row>
    <row r="18">
      <c r="A18" s="22"/>
      <c r="B18" s="22"/>
      <c r="C18" s="22"/>
      <c r="D18" s="22"/>
      <c r="E18" s="40"/>
      <c r="F18" s="40" t="str">
        <f>IF($C18="","",VLOOKUP($C18,Orders!$A$4:$J$303,3,FALSE))</f>
        <v/>
      </c>
      <c r="G18" s="40" t="str">
        <f>IF($C18="","",VLOOKUP($C18,Orders!$A$4:$J$303,4,FALSE))</f>
        <v/>
      </c>
      <c r="H18" s="22"/>
      <c r="I18" s="40" t="str">
        <f t="shared" si="1"/>
        <v/>
      </c>
      <c r="J18" s="40" t="str">
        <f t="shared" si="2"/>
        <v/>
      </c>
      <c r="K18" s="40" t="str">
        <f>IF($C18="","",VLOOKUP($C18,Orders!$A$4:$J$303,5,FALSE))</f>
        <v/>
      </c>
      <c r="L18" s="22"/>
      <c r="M18" s="40" t="str">
        <f t="shared" si="3"/>
        <v/>
      </c>
      <c r="N18" s="22"/>
      <c r="O18" s="22"/>
      <c r="P18" s="22" t="str">
        <f t="shared" si="4"/>
        <v/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39" t="str">
        <f t="array" ref="AB18">IFERROR(INDEX(Bids!$AA:$AA, MATCH(C18&amp;"|"&amp;B18, Bids!$AD:$AD,0)),"")</f>
        <v/>
      </c>
      <c r="AC18" s="39" t="str">
        <f t="array" ref="AC18">IFERROR(INDEX(Bids!$AB:$AB, MATCH(C18&amp;"|"&amp;B18, Bids!$AD:$AD,0)),"")</f>
        <v/>
      </c>
      <c r="AD18" s="39" t="str">
        <f t="array" ref="AD18">IFERROR(INDEX(Bids!$AC:$AC, MATCH(C18&amp;"|"&amp;B18, Bids!$AD:$AD,0)), H18)</f>
        <v/>
      </c>
      <c r="AE18" s="39"/>
      <c r="AG18" s="39"/>
      <c r="AH18" s="39" t="str">
        <f t="shared" si="5"/>
        <v/>
      </c>
      <c r="AI18" s="39" t="str">
        <f t="shared" si="6"/>
        <v/>
      </c>
      <c r="AM18" s="39" t="str">
        <f t="array" ref="AM18">IF(C18="","",IFERROR(XLOOKUP(C18,Orders!$A:$A,Orders!$E:$E,""),""))</f>
        <v/>
      </c>
      <c r="AN18" s="39" t="str">
        <f t="shared" si="7"/>
        <v/>
      </c>
      <c r="AO18" s="39" t="str">
        <f t="shared" si="8"/>
        <v/>
      </c>
      <c r="AP18" s="39" t="str">
        <f t="shared" si="9"/>
        <v/>
      </c>
      <c r="AQ18" s="39" t="str">
        <f t="shared" si="10"/>
        <v/>
      </c>
      <c r="AR18" s="39" t="str">
        <f t="shared" si="11"/>
        <v/>
      </c>
      <c r="AS18" s="39" t="str">
        <f t="shared" si="12"/>
        <v/>
      </c>
      <c r="AT18" s="39" t="str">
        <f t="shared" si="13"/>
        <v/>
      </c>
      <c r="AU18" s="39" t="str">
        <f t="shared" si="14"/>
        <v/>
      </c>
    </row>
    <row r="19">
      <c r="A19" s="22"/>
      <c r="B19" s="22"/>
      <c r="C19" s="22"/>
      <c r="D19" s="22"/>
      <c r="E19" s="40"/>
      <c r="F19" s="40" t="str">
        <f>IF($C19="","",VLOOKUP($C19,Orders!$A$4:$J$303,3,FALSE))</f>
        <v/>
      </c>
      <c r="G19" s="40" t="str">
        <f>IF($C19="","",VLOOKUP($C19,Orders!$A$4:$J$303,4,FALSE))</f>
        <v/>
      </c>
      <c r="H19" s="22"/>
      <c r="I19" s="40" t="str">
        <f t="shared" si="1"/>
        <v/>
      </c>
      <c r="J19" s="40" t="str">
        <f t="shared" si="2"/>
        <v/>
      </c>
      <c r="K19" s="40" t="str">
        <f>IF($C19="","",VLOOKUP($C19,Orders!$A$4:$J$303,5,FALSE))</f>
        <v/>
      </c>
      <c r="L19" s="22"/>
      <c r="M19" s="40" t="str">
        <f t="shared" si="3"/>
        <v/>
      </c>
      <c r="N19" s="22"/>
      <c r="O19" s="22"/>
      <c r="P19" s="22" t="str">
        <f t="shared" si="4"/>
        <v/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39" t="str">
        <f t="array" ref="AB19">IFERROR(INDEX(Bids!$AA:$AA, MATCH(C19&amp;"|"&amp;B19, Bids!$AD:$AD,0)),"")</f>
        <v/>
      </c>
      <c r="AC19" s="39" t="str">
        <f t="array" ref="AC19">IFERROR(INDEX(Bids!$AB:$AB, MATCH(C19&amp;"|"&amp;B19, Bids!$AD:$AD,0)),"")</f>
        <v/>
      </c>
      <c r="AD19" s="39" t="str">
        <f t="array" ref="AD19">IFERROR(INDEX(Bids!$AC:$AC, MATCH(C19&amp;"|"&amp;B19, Bids!$AD:$AD,0)), H19)</f>
        <v/>
      </c>
      <c r="AE19" s="39"/>
      <c r="AG19" s="39"/>
      <c r="AH19" s="39" t="str">
        <f t="shared" si="5"/>
        <v/>
      </c>
      <c r="AI19" s="39" t="str">
        <f t="shared" si="6"/>
        <v/>
      </c>
      <c r="AM19" s="39" t="str">
        <f t="array" ref="AM19">IF(C19="","",IFERROR(XLOOKUP(C19,Orders!$A:$A,Orders!$E:$E,""),""))</f>
        <v/>
      </c>
      <c r="AN19" s="39" t="str">
        <f t="shared" si="7"/>
        <v/>
      </c>
      <c r="AO19" s="39" t="str">
        <f t="shared" si="8"/>
        <v/>
      </c>
      <c r="AP19" s="39" t="str">
        <f t="shared" si="9"/>
        <v/>
      </c>
      <c r="AQ19" s="39" t="str">
        <f t="shared" si="10"/>
        <v/>
      </c>
      <c r="AR19" s="39" t="str">
        <f t="shared" si="11"/>
        <v/>
      </c>
      <c r="AS19" s="39" t="str">
        <f t="shared" si="12"/>
        <v/>
      </c>
      <c r="AT19" s="39" t="str">
        <f t="shared" si="13"/>
        <v/>
      </c>
      <c r="AU19" s="39" t="str">
        <f t="shared" si="14"/>
        <v/>
      </c>
    </row>
    <row r="20">
      <c r="A20" s="22"/>
      <c r="B20" s="22"/>
      <c r="C20" s="22"/>
      <c r="D20" s="22"/>
      <c r="E20" s="40"/>
      <c r="F20" s="40" t="str">
        <f>IF($C20="","",VLOOKUP($C20,Orders!$A$4:$J$303,3,FALSE))</f>
        <v/>
      </c>
      <c r="G20" s="40" t="str">
        <f>IF($C20="","",VLOOKUP($C20,Orders!$A$4:$J$303,4,FALSE))</f>
        <v/>
      </c>
      <c r="H20" s="22"/>
      <c r="I20" s="40" t="str">
        <f t="shared" si="1"/>
        <v/>
      </c>
      <c r="J20" s="40" t="str">
        <f t="shared" si="2"/>
        <v/>
      </c>
      <c r="K20" s="40" t="str">
        <f>IF($C20="","",VLOOKUP($C20,Orders!$A$4:$J$303,5,FALSE))</f>
        <v/>
      </c>
      <c r="L20" s="22"/>
      <c r="M20" s="40" t="str">
        <f t="shared" si="3"/>
        <v/>
      </c>
      <c r="N20" s="22"/>
      <c r="O20" s="22"/>
      <c r="P20" s="22" t="str">
        <f t="shared" si="4"/>
        <v/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39" t="str">
        <f t="array" ref="AB20">IFERROR(INDEX(Bids!$AA:$AA, MATCH(C20&amp;"|"&amp;B20, Bids!$AD:$AD,0)),"")</f>
        <v/>
      </c>
      <c r="AC20" s="39" t="str">
        <f t="array" ref="AC20">IFERROR(INDEX(Bids!$AB:$AB, MATCH(C20&amp;"|"&amp;B20, Bids!$AD:$AD,0)),"")</f>
        <v/>
      </c>
      <c r="AD20" s="39" t="str">
        <f t="array" ref="AD20">IFERROR(INDEX(Bids!$AC:$AC, MATCH(C20&amp;"|"&amp;B20, Bids!$AD:$AD,0)), H20)</f>
        <v/>
      </c>
      <c r="AE20" s="39"/>
      <c r="AG20" s="39"/>
      <c r="AH20" s="39" t="str">
        <f t="shared" si="5"/>
        <v/>
      </c>
      <c r="AI20" s="39" t="str">
        <f t="shared" si="6"/>
        <v/>
      </c>
      <c r="AM20" s="39" t="str">
        <f t="array" ref="AM20">IF(C20="","",IFERROR(XLOOKUP(C20,Orders!$A:$A,Orders!$E:$E,""),""))</f>
        <v/>
      </c>
      <c r="AN20" s="39" t="str">
        <f t="shared" si="7"/>
        <v/>
      </c>
      <c r="AO20" s="39" t="str">
        <f t="shared" si="8"/>
        <v/>
      </c>
      <c r="AP20" s="39" t="str">
        <f t="shared" si="9"/>
        <v/>
      </c>
      <c r="AQ20" s="39" t="str">
        <f t="shared" si="10"/>
        <v/>
      </c>
      <c r="AR20" s="39" t="str">
        <f t="shared" si="11"/>
        <v/>
      </c>
      <c r="AS20" s="39" t="str">
        <f t="shared" si="12"/>
        <v/>
      </c>
      <c r="AT20" s="39" t="str">
        <f t="shared" si="13"/>
        <v/>
      </c>
      <c r="AU20" s="39" t="str">
        <f t="shared" si="14"/>
        <v/>
      </c>
    </row>
    <row r="21" ht="15.75" customHeight="1">
      <c r="A21" s="22"/>
      <c r="B21" s="22"/>
      <c r="C21" s="22"/>
      <c r="D21" s="22"/>
      <c r="E21" s="40"/>
      <c r="F21" s="40" t="str">
        <f>IF($C21="","",VLOOKUP($C21,Orders!$A$4:$J$303,3,FALSE))</f>
        <v/>
      </c>
      <c r="G21" s="40" t="str">
        <f>IF($C21="","",VLOOKUP($C21,Orders!$A$4:$J$303,4,FALSE))</f>
        <v/>
      </c>
      <c r="H21" s="22"/>
      <c r="I21" s="40" t="str">
        <f t="shared" si="1"/>
        <v/>
      </c>
      <c r="J21" s="40" t="str">
        <f t="shared" si="2"/>
        <v/>
      </c>
      <c r="K21" s="40" t="str">
        <f>IF($C21="","",VLOOKUP($C21,Orders!$A$4:$J$303,5,FALSE))</f>
        <v/>
      </c>
      <c r="L21" s="22"/>
      <c r="M21" s="40" t="str">
        <f t="shared" si="3"/>
        <v/>
      </c>
      <c r="N21" s="22"/>
      <c r="O21" s="22"/>
      <c r="P21" s="22" t="str">
        <f t="shared" si="4"/>
        <v/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39" t="str">
        <f t="array" ref="AB21">IFERROR(INDEX(Bids!$AA:$AA, MATCH(C21&amp;"|"&amp;B21, Bids!$AD:$AD,0)),"")</f>
        <v/>
      </c>
      <c r="AC21" s="39" t="str">
        <f t="array" ref="AC21">IFERROR(INDEX(Bids!$AB:$AB, MATCH(C21&amp;"|"&amp;B21, Bids!$AD:$AD,0)),"")</f>
        <v/>
      </c>
      <c r="AD21" s="39" t="str">
        <f t="array" ref="AD21">IFERROR(INDEX(Bids!$AC:$AC, MATCH(C21&amp;"|"&amp;B21, Bids!$AD:$AD,0)), H21)</f>
        <v/>
      </c>
      <c r="AE21" s="39"/>
      <c r="AG21" s="39"/>
      <c r="AH21" s="39" t="str">
        <f t="shared" si="5"/>
        <v/>
      </c>
      <c r="AI21" s="39" t="str">
        <f t="shared" si="6"/>
        <v/>
      </c>
      <c r="AM21" s="39" t="str">
        <f t="array" ref="AM21">IF(C21="","",IFERROR(XLOOKUP(C21,Orders!$A:$A,Orders!$E:$E,""),""))</f>
        <v/>
      </c>
      <c r="AN21" s="39" t="str">
        <f t="shared" si="7"/>
        <v/>
      </c>
      <c r="AO21" s="39" t="str">
        <f t="shared" si="8"/>
        <v/>
      </c>
      <c r="AP21" s="39" t="str">
        <f t="shared" si="9"/>
        <v/>
      </c>
      <c r="AQ21" s="39" t="str">
        <f t="shared" si="10"/>
        <v/>
      </c>
      <c r="AR21" s="39" t="str">
        <f t="shared" si="11"/>
        <v/>
      </c>
      <c r="AS21" s="39" t="str">
        <f t="shared" si="12"/>
        <v/>
      </c>
      <c r="AT21" s="39" t="str">
        <f t="shared" si="13"/>
        <v/>
      </c>
      <c r="AU21" s="39" t="str">
        <f t="shared" si="14"/>
        <v/>
      </c>
    </row>
    <row r="22" ht="15.75" customHeight="1">
      <c r="A22" s="22"/>
      <c r="B22" s="22"/>
      <c r="C22" s="22"/>
      <c r="D22" s="22"/>
      <c r="E22" s="40"/>
      <c r="F22" s="40" t="str">
        <f>IF($C22="","",VLOOKUP($C22,Orders!$A$4:$J$303,3,FALSE))</f>
        <v/>
      </c>
      <c r="G22" s="40" t="str">
        <f>IF($C22="","",VLOOKUP($C22,Orders!$A$4:$J$303,4,FALSE))</f>
        <v/>
      </c>
      <c r="H22" s="22"/>
      <c r="I22" s="40" t="str">
        <f t="shared" si="1"/>
        <v/>
      </c>
      <c r="J22" s="40" t="str">
        <f t="shared" si="2"/>
        <v/>
      </c>
      <c r="K22" s="40" t="str">
        <f>IF($C22="","",VLOOKUP($C22,Orders!$A$4:$J$303,5,FALSE))</f>
        <v/>
      </c>
      <c r="L22" s="22"/>
      <c r="M22" s="40" t="str">
        <f t="shared" si="3"/>
        <v/>
      </c>
      <c r="N22" s="22"/>
      <c r="O22" s="22"/>
      <c r="P22" s="22" t="str">
        <f t="shared" si="4"/>
        <v/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39" t="str">
        <f t="array" ref="AB22">IFERROR(INDEX(Bids!$AA:$AA, MATCH(C22&amp;"|"&amp;B22, Bids!$AD:$AD,0)),"")</f>
        <v/>
      </c>
      <c r="AC22" s="39" t="str">
        <f t="array" ref="AC22">IFERROR(INDEX(Bids!$AB:$AB, MATCH(C22&amp;"|"&amp;B22, Bids!$AD:$AD,0)),"")</f>
        <v/>
      </c>
      <c r="AD22" s="39" t="str">
        <f t="array" ref="AD22">IFERROR(INDEX(Bids!$AC:$AC, MATCH(C22&amp;"|"&amp;B22, Bids!$AD:$AD,0)), H22)</f>
        <v/>
      </c>
      <c r="AE22" s="39"/>
      <c r="AG22" s="39"/>
      <c r="AH22" s="39" t="str">
        <f t="shared" si="5"/>
        <v/>
      </c>
      <c r="AI22" s="39" t="str">
        <f t="shared" si="6"/>
        <v/>
      </c>
      <c r="AM22" s="39" t="str">
        <f t="array" ref="AM22">IF(C22="","",IFERROR(XLOOKUP(C22,Orders!$A:$A,Orders!$E:$E,""),""))</f>
        <v/>
      </c>
      <c r="AN22" s="39" t="str">
        <f t="shared" si="7"/>
        <v/>
      </c>
      <c r="AO22" s="39" t="str">
        <f t="shared" si="8"/>
        <v/>
      </c>
      <c r="AP22" s="39" t="str">
        <f t="shared" si="9"/>
        <v/>
      </c>
      <c r="AQ22" s="39" t="str">
        <f t="shared" si="10"/>
        <v/>
      </c>
      <c r="AR22" s="39" t="str">
        <f t="shared" si="11"/>
        <v/>
      </c>
      <c r="AS22" s="39" t="str">
        <f t="shared" si="12"/>
        <v/>
      </c>
      <c r="AT22" s="39" t="str">
        <f t="shared" si="13"/>
        <v/>
      </c>
      <c r="AU22" s="39" t="str">
        <f t="shared" si="14"/>
        <v/>
      </c>
    </row>
    <row r="23" ht="15.75" customHeight="1">
      <c r="A23" s="22"/>
      <c r="B23" s="22"/>
      <c r="C23" s="22"/>
      <c r="D23" s="22"/>
      <c r="E23" s="40"/>
      <c r="F23" s="40" t="str">
        <f>IF($C23="","",VLOOKUP($C23,Orders!$A$4:$J$303,3,FALSE))</f>
        <v/>
      </c>
      <c r="G23" s="40" t="str">
        <f>IF($C23="","",VLOOKUP($C23,Orders!$A$4:$J$303,4,FALSE))</f>
        <v/>
      </c>
      <c r="H23" s="22"/>
      <c r="I23" s="40" t="str">
        <f t="shared" si="1"/>
        <v/>
      </c>
      <c r="J23" s="40" t="str">
        <f t="shared" si="2"/>
        <v/>
      </c>
      <c r="K23" s="40" t="str">
        <f>IF($C23="","",VLOOKUP($C23,Orders!$A$4:$J$303,5,FALSE))</f>
        <v/>
      </c>
      <c r="L23" s="22"/>
      <c r="M23" s="40" t="str">
        <f t="shared" si="3"/>
        <v/>
      </c>
      <c r="N23" s="22"/>
      <c r="O23" s="22"/>
      <c r="P23" s="22" t="str">
        <f t="shared" si="4"/>
        <v/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39" t="str">
        <f t="array" ref="AB23">IFERROR(INDEX(Bids!$AA:$AA, MATCH(C23&amp;"|"&amp;B23, Bids!$AD:$AD,0)),"")</f>
        <v/>
      </c>
      <c r="AC23" s="39" t="str">
        <f t="array" ref="AC23">IFERROR(INDEX(Bids!$AB:$AB, MATCH(C23&amp;"|"&amp;B23, Bids!$AD:$AD,0)),"")</f>
        <v/>
      </c>
      <c r="AD23" s="39" t="str">
        <f t="array" ref="AD23">IFERROR(INDEX(Bids!$AC:$AC, MATCH(C23&amp;"|"&amp;B23, Bids!$AD:$AD,0)), H23)</f>
        <v/>
      </c>
      <c r="AE23" s="39"/>
      <c r="AG23" s="39"/>
      <c r="AH23" s="39" t="str">
        <f t="shared" si="5"/>
        <v/>
      </c>
      <c r="AI23" s="39" t="str">
        <f t="shared" si="6"/>
        <v/>
      </c>
      <c r="AM23" s="39" t="str">
        <f t="array" ref="AM23">IF(C23="","",IFERROR(XLOOKUP(C23,Orders!$A:$A,Orders!$E:$E,""),""))</f>
        <v/>
      </c>
      <c r="AN23" s="39" t="str">
        <f t="shared" si="7"/>
        <v/>
      </c>
      <c r="AO23" s="39" t="str">
        <f t="shared" si="8"/>
        <v/>
      </c>
      <c r="AP23" s="39" t="str">
        <f t="shared" si="9"/>
        <v/>
      </c>
      <c r="AQ23" s="39" t="str">
        <f t="shared" si="10"/>
        <v/>
      </c>
      <c r="AR23" s="39" t="str">
        <f t="shared" si="11"/>
        <v/>
      </c>
      <c r="AS23" s="39" t="str">
        <f t="shared" si="12"/>
        <v/>
      </c>
      <c r="AT23" s="39" t="str">
        <f t="shared" si="13"/>
        <v/>
      </c>
      <c r="AU23" s="39" t="str">
        <f t="shared" si="14"/>
        <v/>
      </c>
    </row>
    <row r="24" ht="15.75" customHeight="1">
      <c r="A24" s="22"/>
      <c r="B24" s="22"/>
      <c r="C24" s="22"/>
      <c r="D24" s="22"/>
      <c r="E24" s="40"/>
      <c r="F24" s="40" t="str">
        <f>IF($C24="","",VLOOKUP($C24,Orders!$A$4:$J$303,3,FALSE))</f>
        <v/>
      </c>
      <c r="G24" s="40" t="str">
        <f>IF($C24="","",VLOOKUP($C24,Orders!$A$4:$J$303,4,FALSE))</f>
        <v/>
      </c>
      <c r="H24" s="22"/>
      <c r="I24" s="40" t="str">
        <f t="shared" si="1"/>
        <v/>
      </c>
      <c r="J24" s="40" t="str">
        <f t="shared" si="2"/>
        <v/>
      </c>
      <c r="K24" s="40" t="str">
        <f>IF($C24="","",VLOOKUP($C24,Orders!$A$4:$J$303,5,FALSE))</f>
        <v/>
      </c>
      <c r="L24" s="22"/>
      <c r="M24" s="40" t="str">
        <f t="shared" si="3"/>
        <v/>
      </c>
      <c r="N24" s="22"/>
      <c r="O24" s="22"/>
      <c r="P24" s="22" t="str">
        <f t="shared" si="4"/>
        <v/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39" t="str">
        <f t="array" ref="AB24">IFERROR(INDEX(Bids!$AA:$AA, MATCH(C24&amp;"|"&amp;B24, Bids!$AD:$AD,0)),"")</f>
        <v/>
      </c>
      <c r="AC24" s="39" t="str">
        <f t="array" ref="AC24">IFERROR(INDEX(Bids!$AB:$AB, MATCH(C24&amp;"|"&amp;B24, Bids!$AD:$AD,0)),"")</f>
        <v/>
      </c>
      <c r="AD24" s="39" t="str">
        <f t="array" ref="AD24">IFERROR(INDEX(Bids!$AC:$AC, MATCH(C24&amp;"|"&amp;B24, Bids!$AD:$AD,0)), H24)</f>
        <v/>
      </c>
      <c r="AE24" s="39"/>
      <c r="AG24" s="39"/>
      <c r="AH24" s="39" t="str">
        <f t="shared" si="5"/>
        <v/>
      </c>
      <c r="AI24" s="39" t="str">
        <f t="shared" si="6"/>
        <v/>
      </c>
      <c r="AM24" s="39" t="str">
        <f t="array" ref="AM24">IF(C24="","",IFERROR(XLOOKUP(C24,Orders!$A:$A,Orders!$E:$E,""),""))</f>
        <v/>
      </c>
      <c r="AN24" s="39" t="str">
        <f t="shared" si="7"/>
        <v/>
      </c>
      <c r="AO24" s="39" t="str">
        <f t="shared" si="8"/>
        <v/>
      </c>
      <c r="AP24" s="39" t="str">
        <f t="shared" si="9"/>
        <v/>
      </c>
      <c r="AQ24" s="39" t="str">
        <f t="shared" si="10"/>
        <v/>
      </c>
      <c r="AR24" s="39" t="str">
        <f t="shared" si="11"/>
        <v/>
      </c>
      <c r="AS24" s="39" t="str">
        <f t="shared" si="12"/>
        <v/>
      </c>
      <c r="AT24" s="39" t="str">
        <f t="shared" si="13"/>
        <v/>
      </c>
      <c r="AU24" s="39" t="str">
        <f t="shared" si="14"/>
        <v/>
      </c>
    </row>
    <row r="25" ht="15.75" customHeight="1">
      <c r="A25" s="22"/>
      <c r="B25" s="22"/>
      <c r="C25" s="22"/>
      <c r="D25" s="22"/>
      <c r="E25" s="40"/>
      <c r="F25" s="40" t="str">
        <f>IF($C25="","",VLOOKUP($C25,Orders!$A$4:$J$303,3,FALSE))</f>
        <v/>
      </c>
      <c r="G25" s="40" t="str">
        <f>IF($C25="","",VLOOKUP($C25,Orders!$A$4:$J$303,4,FALSE))</f>
        <v/>
      </c>
      <c r="H25" s="22"/>
      <c r="I25" s="40" t="str">
        <f t="shared" si="1"/>
        <v/>
      </c>
      <c r="J25" s="40" t="str">
        <f t="shared" si="2"/>
        <v/>
      </c>
      <c r="K25" s="40" t="str">
        <f>IF($C25="","",VLOOKUP($C25,Orders!$A$4:$J$303,5,FALSE))</f>
        <v/>
      </c>
      <c r="L25" s="22"/>
      <c r="M25" s="40" t="str">
        <f t="shared" si="3"/>
        <v/>
      </c>
      <c r="N25" s="22"/>
      <c r="O25" s="22"/>
      <c r="P25" s="22" t="str">
        <f t="shared" si="4"/>
        <v/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39" t="str">
        <f t="array" ref="AB25">IFERROR(INDEX(Bids!$AA:$AA, MATCH(C25&amp;"|"&amp;B25, Bids!$AD:$AD,0)),"")</f>
        <v/>
      </c>
      <c r="AC25" s="39" t="str">
        <f t="array" ref="AC25">IFERROR(INDEX(Bids!$AB:$AB, MATCH(C25&amp;"|"&amp;B25, Bids!$AD:$AD,0)),"")</f>
        <v/>
      </c>
      <c r="AD25" s="39" t="str">
        <f t="array" ref="AD25">IFERROR(INDEX(Bids!$AC:$AC, MATCH(C25&amp;"|"&amp;B25, Bids!$AD:$AD,0)), H25)</f>
        <v/>
      </c>
      <c r="AE25" s="39"/>
      <c r="AG25" s="39"/>
      <c r="AH25" s="39" t="str">
        <f t="shared" si="5"/>
        <v/>
      </c>
      <c r="AI25" s="39" t="str">
        <f t="shared" si="6"/>
        <v/>
      </c>
      <c r="AM25" s="39" t="str">
        <f t="array" ref="AM25">IF(C25="","",IFERROR(XLOOKUP(C25,Orders!$A:$A,Orders!$E:$E,""),""))</f>
        <v/>
      </c>
      <c r="AN25" s="39" t="str">
        <f t="shared" si="7"/>
        <v/>
      </c>
      <c r="AO25" s="39" t="str">
        <f t="shared" si="8"/>
        <v/>
      </c>
      <c r="AP25" s="39" t="str">
        <f t="shared" si="9"/>
        <v/>
      </c>
      <c r="AQ25" s="39" t="str">
        <f t="shared" si="10"/>
        <v/>
      </c>
      <c r="AR25" s="39" t="str">
        <f t="shared" si="11"/>
        <v/>
      </c>
      <c r="AS25" s="39" t="str">
        <f t="shared" si="12"/>
        <v/>
      </c>
      <c r="AT25" s="39" t="str">
        <f t="shared" si="13"/>
        <v/>
      </c>
      <c r="AU25" s="39" t="str">
        <f t="shared" si="14"/>
        <v/>
      </c>
    </row>
    <row r="26" ht="15.75" customHeight="1">
      <c r="A26" s="22"/>
      <c r="B26" s="22"/>
      <c r="C26" s="22"/>
      <c r="D26" s="22"/>
      <c r="E26" s="40"/>
      <c r="F26" s="40" t="str">
        <f>IF($C26="","",VLOOKUP($C26,Orders!$A$4:$J$303,3,FALSE))</f>
        <v/>
      </c>
      <c r="G26" s="40" t="str">
        <f>IF($C26="","",VLOOKUP($C26,Orders!$A$4:$J$303,4,FALSE))</f>
        <v/>
      </c>
      <c r="H26" s="22"/>
      <c r="I26" s="40" t="str">
        <f t="shared" si="1"/>
        <v/>
      </c>
      <c r="J26" s="40" t="str">
        <f t="shared" si="2"/>
        <v/>
      </c>
      <c r="K26" s="40" t="str">
        <f>IF($C26="","",VLOOKUP($C26,Orders!$A$4:$J$303,5,FALSE))</f>
        <v/>
      </c>
      <c r="L26" s="22"/>
      <c r="M26" s="40" t="str">
        <f t="shared" si="3"/>
        <v/>
      </c>
      <c r="N26" s="22"/>
      <c r="O26" s="22"/>
      <c r="P26" s="22" t="str">
        <f t="shared" si="4"/>
        <v/>
      </c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39" t="str">
        <f t="array" ref="AB26">IFERROR(INDEX(Bids!$AA:$AA, MATCH(C26&amp;"|"&amp;B26, Bids!$AD:$AD,0)),"")</f>
        <v/>
      </c>
      <c r="AC26" s="39" t="str">
        <f t="array" ref="AC26">IFERROR(INDEX(Bids!$AB:$AB, MATCH(C26&amp;"|"&amp;B26, Bids!$AD:$AD,0)),"")</f>
        <v/>
      </c>
      <c r="AD26" s="39" t="str">
        <f t="array" ref="AD26">IFERROR(INDEX(Bids!$AC:$AC, MATCH(C26&amp;"|"&amp;B26, Bids!$AD:$AD,0)), H26)</f>
        <v/>
      </c>
      <c r="AE26" s="39"/>
      <c r="AG26" s="39"/>
      <c r="AH26" s="39" t="str">
        <f t="shared" si="5"/>
        <v/>
      </c>
      <c r="AI26" s="39" t="str">
        <f t="shared" si="6"/>
        <v/>
      </c>
      <c r="AM26" s="39" t="str">
        <f t="array" ref="AM26">IF(C26="","",IFERROR(XLOOKUP(C26,Orders!$A:$A,Orders!$E:$E,""),""))</f>
        <v/>
      </c>
      <c r="AN26" s="39" t="str">
        <f t="shared" si="7"/>
        <v/>
      </c>
      <c r="AO26" s="39" t="str">
        <f t="shared" si="8"/>
        <v/>
      </c>
      <c r="AP26" s="39" t="str">
        <f t="shared" si="9"/>
        <v/>
      </c>
      <c r="AQ26" s="39" t="str">
        <f t="shared" si="10"/>
        <v/>
      </c>
      <c r="AR26" s="39" t="str">
        <f t="shared" si="11"/>
        <v/>
      </c>
      <c r="AS26" s="39" t="str">
        <f t="shared" si="12"/>
        <v/>
      </c>
      <c r="AT26" s="39" t="str">
        <f t="shared" si="13"/>
        <v/>
      </c>
      <c r="AU26" s="39" t="str">
        <f t="shared" si="14"/>
        <v/>
      </c>
    </row>
    <row r="27" ht="15.75" customHeight="1">
      <c r="A27" s="22"/>
      <c r="B27" s="22"/>
      <c r="C27" s="22"/>
      <c r="D27" s="22"/>
      <c r="E27" s="40"/>
      <c r="F27" s="40" t="str">
        <f>IF($C27="","",VLOOKUP($C27,Orders!$A$4:$J$303,3,FALSE))</f>
        <v/>
      </c>
      <c r="G27" s="40" t="str">
        <f>IF($C27="","",VLOOKUP($C27,Orders!$A$4:$J$303,4,FALSE))</f>
        <v/>
      </c>
      <c r="H27" s="22"/>
      <c r="I27" s="40" t="str">
        <f t="shared" si="1"/>
        <v/>
      </c>
      <c r="J27" s="40" t="str">
        <f t="shared" si="2"/>
        <v/>
      </c>
      <c r="K27" s="40" t="str">
        <f>IF($C27="","",VLOOKUP($C27,Orders!$A$4:$J$303,5,FALSE))</f>
        <v/>
      </c>
      <c r="L27" s="22"/>
      <c r="M27" s="40" t="str">
        <f t="shared" si="3"/>
        <v/>
      </c>
      <c r="N27" s="22"/>
      <c r="O27" s="22"/>
      <c r="P27" s="22" t="str">
        <f t="shared" si="4"/>
        <v/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39" t="str">
        <f t="array" ref="AB27">IFERROR(INDEX(Bids!$AA:$AA, MATCH(C27&amp;"|"&amp;B27, Bids!$AD:$AD,0)),"")</f>
        <v/>
      </c>
      <c r="AC27" s="39" t="str">
        <f t="array" ref="AC27">IFERROR(INDEX(Bids!$AB:$AB, MATCH(C27&amp;"|"&amp;B27, Bids!$AD:$AD,0)),"")</f>
        <v/>
      </c>
      <c r="AD27" s="39" t="str">
        <f t="array" ref="AD27">IFERROR(INDEX(Bids!$AC:$AC, MATCH(C27&amp;"|"&amp;B27, Bids!$AD:$AD,0)), H27)</f>
        <v/>
      </c>
      <c r="AE27" s="39"/>
      <c r="AG27" s="39"/>
      <c r="AH27" s="39" t="str">
        <f t="shared" si="5"/>
        <v/>
      </c>
      <c r="AI27" s="39" t="str">
        <f t="shared" si="6"/>
        <v/>
      </c>
      <c r="AM27" s="39" t="str">
        <f t="array" ref="AM27">IF(C27="","",IFERROR(XLOOKUP(C27,Orders!$A:$A,Orders!$E:$E,""),""))</f>
        <v/>
      </c>
      <c r="AN27" s="39" t="str">
        <f t="shared" si="7"/>
        <v/>
      </c>
      <c r="AO27" s="39" t="str">
        <f t="shared" si="8"/>
        <v/>
      </c>
      <c r="AP27" s="39" t="str">
        <f t="shared" si="9"/>
        <v/>
      </c>
      <c r="AQ27" s="39" t="str">
        <f t="shared" si="10"/>
        <v/>
      </c>
      <c r="AR27" s="39" t="str">
        <f t="shared" si="11"/>
        <v/>
      </c>
      <c r="AS27" s="39" t="str">
        <f t="shared" si="12"/>
        <v/>
      </c>
      <c r="AT27" s="39" t="str">
        <f t="shared" si="13"/>
        <v/>
      </c>
      <c r="AU27" s="39" t="str">
        <f t="shared" si="14"/>
        <v/>
      </c>
    </row>
    <row r="28" ht="15.75" customHeight="1">
      <c r="A28" s="22"/>
      <c r="B28" s="22"/>
      <c r="C28" s="22"/>
      <c r="D28" s="22"/>
      <c r="E28" s="40"/>
      <c r="F28" s="40" t="str">
        <f>IF($C28="","",VLOOKUP($C28,Orders!$A$4:$J$303,3,FALSE))</f>
        <v/>
      </c>
      <c r="G28" s="40" t="str">
        <f>IF($C28="","",VLOOKUP($C28,Orders!$A$4:$J$303,4,FALSE))</f>
        <v/>
      </c>
      <c r="H28" s="22"/>
      <c r="I28" s="40" t="str">
        <f t="shared" si="1"/>
        <v/>
      </c>
      <c r="J28" s="40" t="str">
        <f t="shared" si="2"/>
        <v/>
      </c>
      <c r="K28" s="40" t="str">
        <f>IF($C28="","",VLOOKUP($C28,Orders!$A$4:$J$303,5,FALSE))</f>
        <v/>
      </c>
      <c r="L28" s="22"/>
      <c r="M28" s="40" t="str">
        <f t="shared" si="3"/>
        <v/>
      </c>
      <c r="N28" s="22"/>
      <c r="O28" s="22"/>
      <c r="P28" s="22" t="str">
        <f t="shared" si="4"/>
        <v/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39" t="str">
        <f t="array" ref="AB28">IFERROR(INDEX(Bids!$AA:$AA, MATCH(C28&amp;"|"&amp;B28, Bids!$AD:$AD,0)),"")</f>
        <v/>
      </c>
      <c r="AC28" s="39" t="str">
        <f t="array" ref="AC28">IFERROR(INDEX(Bids!$AB:$AB, MATCH(C28&amp;"|"&amp;B28, Bids!$AD:$AD,0)),"")</f>
        <v/>
      </c>
      <c r="AD28" s="39" t="str">
        <f t="array" ref="AD28">IFERROR(INDEX(Bids!$AC:$AC, MATCH(C28&amp;"|"&amp;B28, Bids!$AD:$AD,0)), H28)</f>
        <v/>
      </c>
      <c r="AE28" s="39"/>
      <c r="AG28" s="39"/>
      <c r="AH28" s="39" t="str">
        <f t="shared" si="5"/>
        <v/>
      </c>
      <c r="AI28" s="39" t="str">
        <f t="shared" si="6"/>
        <v/>
      </c>
      <c r="AM28" s="39" t="str">
        <f t="array" ref="AM28">IF(C28="","",IFERROR(XLOOKUP(C28,Orders!$A:$A,Orders!$E:$E,""),""))</f>
        <v/>
      </c>
      <c r="AN28" s="39" t="str">
        <f t="shared" si="7"/>
        <v/>
      </c>
      <c r="AO28" s="39" t="str">
        <f t="shared" si="8"/>
        <v/>
      </c>
      <c r="AP28" s="39" t="str">
        <f t="shared" si="9"/>
        <v/>
      </c>
      <c r="AQ28" s="39" t="str">
        <f t="shared" si="10"/>
        <v/>
      </c>
      <c r="AR28" s="39" t="str">
        <f t="shared" si="11"/>
        <v/>
      </c>
      <c r="AS28" s="39" t="str">
        <f t="shared" si="12"/>
        <v/>
      </c>
      <c r="AT28" s="39" t="str">
        <f t="shared" si="13"/>
        <v/>
      </c>
      <c r="AU28" s="39" t="str">
        <f t="shared" si="14"/>
        <v/>
      </c>
    </row>
    <row r="29" ht="15.75" customHeight="1">
      <c r="A29" s="22"/>
      <c r="B29" s="22"/>
      <c r="C29" s="22"/>
      <c r="D29" s="22"/>
      <c r="E29" s="40"/>
      <c r="F29" s="40" t="str">
        <f>IF($C29="","",VLOOKUP($C29,Orders!$A$4:$J$303,3,FALSE))</f>
        <v/>
      </c>
      <c r="G29" s="40" t="str">
        <f>IF($C29="","",VLOOKUP($C29,Orders!$A$4:$J$303,4,FALSE))</f>
        <v/>
      </c>
      <c r="H29" s="22"/>
      <c r="I29" s="40" t="str">
        <f t="shared" si="1"/>
        <v/>
      </c>
      <c r="J29" s="40" t="str">
        <f t="shared" si="2"/>
        <v/>
      </c>
      <c r="K29" s="40" t="str">
        <f>IF($C29="","",VLOOKUP($C29,Orders!$A$4:$J$303,5,FALSE))</f>
        <v/>
      </c>
      <c r="L29" s="22"/>
      <c r="M29" s="40" t="str">
        <f t="shared" si="3"/>
        <v/>
      </c>
      <c r="N29" s="22"/>
      <c r="O29" s="22"/>
      <c r="P29" s="22" t="str">
        <f t="shared" si="4"/>
        <v/>
      </c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39" t="str">
        <f t="array" ref="AB29">IFERROR(INDEX(Bids!$AA:$AA, MATCH(C29&amp;"|"&amp;B29, Bids!$AD:$AD,0)),"")</f>
        <v/>
      </c>
      <c r="AC29" s="39" t="str">
        <f t="array" ref="AC29">IFERROR(INDEX(Bids!$AB:$AB, MATCH(C29&amp;"|"&amp;B29, Bids!$AD:$AD,0)),"")</f>
        <v/>
      </c>
      <c r="AD29" s="39" t="str">
        <f t="array" ref="AD29">IFERROR(INDEX(Bids!$AC:$AC, MATCH(C29&amp;"|"&amp;B29, Bids!$AD:$AD,0)), H29)</f>
        <v/>
      </c>
      <c r="AE29" s="39"/>
      <c r="AG29" s="39"/>
      <c r="AH29" s="39" t="str">
        <f t="shared" si="5"/>
        <v/>
      </c>
      <c r="AI29" s="39" t="str">
        <f t="shared" si="6"/>
        <v/>
      </c>
      <c r="AM29" s="39" t="str">
        <f t="array" ref="AM29">IF(C29="","",IFERROR(XLOOKUP(C29,Orders!$A:$A,Orders!$E:$E,""),""))</f>
        <v/>
      </c>
      <c r="AN29" s="39" t="str">
        <f t="shared" si="7"/>
        <v/>
      </c>
      <c r="AO29" s="39" t="str">
        <f t="shared" si="8"/>
        <v/>
      </c>
      <c r="AP29" s="39" t="str">
        <f t="shared" si="9"/>
        <v/>
      </c>
      <c r="AQ29" s="39" t="str">
        <f t="shared" si="10"/>
        <v/>
      </c>
      <c r="AR29" s="39" t="str">
        <f t="shared" si="11"/>
        <v/>
      </c>
      <c r="AS29" s="39" t="str">
        <f t="shared" si="12"/>
        <v/>
      </c>
      <c r="AT29" s="39" t="str">
        <f t="shared" si="13"/>
        <v/>
      </c>
      <c r="AU29" s="39" t="str">
        <f t="shared" si="14"/>
        <v/>
      </c>
    </row>
    <row r="30" ht="15.75" customHeight="1">
      <c r="A30" s="22"/>
      <c r="B30" s="22"/>
      <c r="C30" s="22"/>
      <c r="D30" s="22"/>
      <c r="E30" s="40"/>
      <c r="F30" s="40" t="str">
        <f>IF($C30="","",VLOOKUP($C30,Orders!$A$4:$J$303,3,FALSE))</f>
        <v/>
      </c>
      <c r="G30" s="40" t="str">
        <f>IF($C30="","",VLOOKUP($C30,Orders!$A$4:$J$303,4,FALSE))</f>
        <v/>
      </c>
      <c r="H30" s="22"/>
      <c r="I30" s="40" t="str">
        <f t="shared" si="1"/>
        <v/>
      </c>
      <c r="J30" s="40" t="str">
        <f t="shared" si="2"/>
        <v/>
      </c>
      <c r="K30" s="40" t="str">
        <f>IF($C30="","",VLOOKUP($C30,Orders!$A$4:$J$303,5,FALSE))</f>
        <v/>
      </c>
      <c r="L30" s="22"/>
      <c r="M30" s="40" t="str">
        <f t="shared" si="3"/>
        <v/>
      </c>
      <c r="N30" s="22"/>
      <c r="O30" s="22"/>
      <c r="P30" s="22" t="str">
        <f t="shared" si="4"/>
        <v/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39" t="str">
        <f t="array" ref="AB30">IFERROR(INDEX(Bids!$AA:$AA, MATCH(C30&amp;"|"&amp;B30, Bids!$AD:$AD,0)),"")</f>
        <v/>
      </c>
      <c r="AC30" s="39" t="str">
        <f t="array" ref="AC30">IFERROR(INDEX(Bids!$AB:$AB, MATCH(C30&amp;"|"&amp;B30, Bids!$AD:$AD,0)),"")</f>
        <v/>
      </c>
      <c r="AD30" s="39" t="str">
        <f t="array" ref="AD30">IFERROR(INDEX(Bids!$AC:$AC, MATCH(C30&amp;"|"&amp;B30, Bids!$AD:$AD,0)), H30)</f>
        <v/>
      </c>
      <c r="AE30" s="39"/>
      <c r="AG30" s="39"/>
      <c r="AH30" s="39" t="str">
        <f t="shared" si="5"/>
        <v/>
      </c>
      <c r="AI30" s="39" t="str">
        <f t="shared" si="6"/>
        <v/>
      </c>
      <c r="AM30" s="39" t="str">
        <f t="array" ref="AM30">IF(C30="","",IFERROR(XLOOKUP(C30,Orders!$A:$A,Orders!$E:$E,""),""))</f>
        <v/>
      </c>
      <c r="AN30" s="39" t="str">
        <f t="shared" si="7"/>
        <v/>
      </c>
      <c r="AO30" s="39" t="str">
        <f t="shared" si="8"/>
        <v/>
      </c>
      <c r="AP30" s="39" t="str">
        <f t="shared" si="9"/>
        <v/>
      </c>
      <c r="AQ30" s="39" t="str">
        <f t="shared" si="10"/>
        <v/>
      </c>
      <c r="AR30" s="39" t="str">
        <f t="shared" si="11"/>
        <v/>
      </c>
      <c r="AS30" s="39" t="str">
        <f t="shared" si="12"/>
        <v/>
      </c>
      <c r="AT30" s="39" t="str">
        <f t="shared" si="13"/>
        <v/>
      </c>
      <c r="AU30" s="39" t="str">
        <f t="shared" si="14"/>
        <v/>
      </c>
    </row>
    <row r="31" ht="15.75" customHeight="1">
      <c r="A31" s="22"/>
      <c r="B31" s="22"/>
      <c r="C31" s="22"/>
      <c r="D31" s="22"/>
      <c r="E31" s="40"/>
      <c r="F31" s="40" t="str">
        <f>IF($C31="","",VLOOKUP($C31,Orders!$A$4:$J$303,3,FALSE))</f>
        <v/>
      </c>
      <c r="G31" s="40" t="str">
        <f>IF($C31="","",VLOOKUP($C31,Orders!$A$4:$J$303,4,FALSE))</f>
        <v/>
      </c>
      <c r="H31" s="22"/>
      <c r="I31" s="40" t="str">
        <f t="shared" si="1"/>
        <v/>
      </c>
      <c r="J31" s="40" t="str">
        <f t="shared" si="2"/>
        <v/>
      </c>
      <c r="K31" s="40" t="str">
        <f>IF($C31="","",VLOOKUP($C31,Orders!$A$4:$J$303,5,FALSE))</f>
        <v/>
      </c>
      <c r="L31" s="22"/>
      <c r="M31" s="40" t="str">
        <f t="shared" si="3"/>
        <v/>
      </c>
      <c r="N31" s="22"/>
      <c r="O31" s="22"/>
      <c r="P31" s="22" t="str">
        <f t="shared" si="4"/>
        <v/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39" t="str">
        <f t="array" ref="AB31">IFERROR(INDEX(Bids!$AA:$AA, MATCH(C31&amp;"|"&amp;B31, Bids!$AD:$AD,0)),"")</f>
        <v/>
      </c>
      <c r="AC31" s="39" t="str">
        <f t="array" ref="AC31">IFERROR(INDEX(Bids!$AB:$AB, MATCH(C31&amp;"|"&amp;B31, Bids!$AD:$AD,0)),"")</f>
        <v/>
      </c>
      <c r="AD31" s="39" t="str">
        <f t="array" ref="AD31">IFERROR(INDEX(Bids!$AC:$AC, MATCH(C31&amp;"|"&amp;B31, Bids!$AD:$AD,0)), H31)</f>
        <v/>
      </c>
      <c r="AE31" s="39"/>
      <c r="AG31" s="39"/>
      <c r="AH31" s="39" t="str">
        <f t="shared" si="5"/>
        <v/>
      </c>
      <c r="AI31" s="39" t="str">
        <f t="shared" si="6"/>
        <v/>
      </c>
      <c r="AM31" s="39" t="str">
        <f t="array" ref="AM31">IF(C31="","",IFERROR(XLOOKUP(C31,Orders!$A:$A,Orders!$E:$E,""),""))</f>
        <v/>
      </c>
      <c r="AN31" s="39" t="str">
        <f t="shared" si="7"/>
        <v/>
      </c>
      <c r="AO31" s="39" t="str">
        <f t="shared" si="8"/>
        <v/>
      </c>
      <c r="AP31" s="39" t="str">
        <f t="shared" si="9"/>
        <v/>
      </c>
      <c r="AQ31" s="39" t="str">
        <f t="shared" si="10"/>
        <v/>
      </c>
      <c r="AR31" s="39" t="str">
        <f t="shared" si="11"/>
        <v/>
      </c>
      <c r="AS31" s="39" t="str">
        <f t="shared" si="12"/>
        <v/>
      </c>
      <c r="AT31" s="39" t="str">
        <f t="shared" si="13"/>
        <v/>
      </c>
      <c r="AU31" s="39" t="str">
        <f t="shared" si="14"/>
        <v/>
      </c>
    </row>
    <row r="32" ht="15.75" customHeight="1">
      <c r="A32" s="22"/>
      <c r="B32" s="22"/>
      <c r="C32" s="22"/>
      <c r="D32" s="22"/>
      <c r="E32" s="40"/>
      <c r="F32" s="40" t="str">
        <f>IF($C32="","",VLOOKUP($C32,Orders!$A$4:$J$303,3,FALSE))</f>
        <v/>
      </c>
      <c r="G32" s="40" t="str">
        <f>IF($C32="","",VLOOKUP($C32,Orders!$A$4:$J$303,4,FALSE))</f>
        <v/>
      </c>
      <c r="H32" s="22"/>
      <c r="I32" s="40" t="str">
        <f t="shared" si="1"/>
        <v/>
      </c>
      <c r="J32" s="40" t="str">
        <f t="shared" si="2"/>
        <v/>
      </c>
      <c r="K32" s="40" t="str">
        <f>IF($C32="","",VLOOKUP($C32,Orders!$A$4:$J$303,5,FALSE))</f>
        <v/>
      </c>
      <c r="L32" s="22"/>
      <c r="M32" s="40" t="str">
        <f t="shared" si="3"/>
        <v/>
      </c>
      <c r="N32" s="22"/>
      <c r="O32" s="22"/>
      <c r="P32" s="22" t="str">
        <f t="shared" si="4"/>
        <v/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39" t="str">
        <f t="array" ref="AB32">IFERROR(INDEX(Bids!$AA:$AA, MATCH(C32&amp;"|"&amp;B32, Bids!$AD:$AD,0)),"")</f>
        <v/>
      </c>
      <c r="AC32" s="39" t="str">
        <f t="array" ref="AC32">IFERROR(INDEX(Bids!$AB:$AB, MATCH(C32&amp;"|"&amp;B32, Bids!$AD:$AD,0)),"")</f>
        <v/>
      </c>
      <c r="AD32" s="39" t="str">
        <f t="array" ref="AD32">IFERROR(INDEX(Bids!$AC:$AC, MATCH(C32&amp;"|"&amp;B32, Bids!$AD:$AD,0)), H32)</f>
        <v/>
      </c>
      <c r="AE32" s="39"/>
      <c r="AG32" s="39"/>
      <c r="AH32" s="39" t="str">
        <f t="shared" si="5"/>
        <v/>
      </c>
      <c r="AI32" s="39" t="str">
        <f t="shared" si="6"/>
        <v/>
      </c>
      <c r="AM32" s="39" t="str">
        <f t="array" ref="AM32">IF(C32="","",IFERROR(XLOOKUP(C32,Orders!$A:$A,Orders!$E:$E,""),""))</f>
        <v/>
      </c>
      <c r="AN32" s="39" t="str">
        <f t="shared" si="7"/>
        <v/>
      </c>
      <c r="AO32" s="39" t="str">
        <f t="shared" si="8"/>
        <v/>
      </c>
      <c r="AP32" s="39" t="str">
        <f t="shared" si="9"/>
        <v/>
      </c>
      <c r="AQ32" s="39" t="str">
        <f t="shared" si="10"/>
        <v/>
      </c>
      <c r="AR32" s="39" t="str">
        <f t="shared" si="11"/>
        <v/>
      </c>
      <c r="AS32" s="39" t="str">
        <f t="shared" si="12"/>
        <v/>
      </c>
      <c r="AT32" s="39" t="str">
        <f t="shared" si="13"/>
        <v/>
      </c>
      <c r="AU32" s="39" t="str">
        <f t="shared" si="14"/>
        <v/>
      </c>
    </row>
    <row r="33" ht="15.75" customHeight="1">
      <c r="A33" s="22"/>
      <c r="B33" s="22"/>
      <c r="C33" s="22"/>
      <c r="D33" s="22"/>
      <c r="E33" s="40"/>
      <c r="F33" s="40" t="str">
        <f>IF($C33="","",VLOOKUP($C33,Orders!$A$4:$J$303,3,FALSE))</f>
        <v/>
      </c>
      <c r="G33" s="40" t="str">
        <f>IF($C33="","",VLOOKUP($C33,Orders!$A$4:$J$303,4,FALSE))</f>
        <v/>
      </c>
      <c r="H33" s="22"/>
      <c r="I33" s="40" t="str">
        <f t="shared" si="1"/>
        <v/>
      </c>
      <c r="J33" s="40" t="str">
        <f t="shared" si="2"/>
        <v/>
      </c>
      <c r="K33" s="40" t="str">
        <f>IF($C33="","",VLOOKUP($C33,Orders!$A$4:$J$303,5,FALSE))</f>
        <v/>
      </c>
      <c r="L33" s="22"/>
      <c r="M33" s="40" t="str">
        <f t="shared" si="3"/>
        <v/>
      </c>
      <c r="N33" s="22"/>
      <c r="O33" s="22"/>
      <c r="P33" s="22" t="str">
        <f t="shared" si="4"/>
        <v/>
      </c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39" t="str">
        <f t="array" ref="AB33">IFERROR(INDEX(Bids!$AA:$AA, MATCH(C33&amp;"|"&amp;B33, Bids!$AD:$AD,0)),"")</f>
        <v/>
      </c>
      <c r="AC33" s="39" t="str">
        <f t="array" ref="AC33">IFERROR(INDEX(Bids!$AB:$AB, MATCH(C33&amp;"|"&amp;B33, Bids!$AD:$AD,0)),"")</f>
        <v/>
      </c>
      <c r="AD33" s="39" t="str">
        <f t="array" ref="AD33">IFERROR(INDEX(Bids!$AC:$AC, MATCH(C33&amp;"|"&amp;B33, Bids!$AD:$AD,0)), H33)</f>
        <v/>
      </c>
      <c r="AE33" s="39"/>
      <c r="AG33" s="39"/>
      <c r="AH33" s="39" t="str">
        <f t="shared" si="5"/>
        <v/>
      </c>
      <c r="AI33" s="39" t="str">
        <f t="shared" si="6"/>
        <v/>
      </c>
      <c r="AM33" s="39" t="str">
        <f t="array" ref="AM33">IF(C33="","",IFERROR(XLOOKUP(C33,Orders!$A:$A,Orders!$E:$E,""),""))</f>
        <v/>
      </c>
      <c r="AN33" s="39" t="str">
        <f t="shared" si="7"/>
        <v/>
      </c>
      <c r="AO33" s="39" t="str">
        <f t="shared" si="8"/>
        <v/>
      </c>
      <c r="AP33" s="39" t="str">
        <f t="shared" si="9"/>
        <v/>
      </c>
      <c r="AQ33" s="39" t="str">
        <f t="shared" si="10"/>
        <v/>
      </c>
      <c r="AR33" s="39" t="str">
        <f t="shared" si="11"/>
        <v/>
      </c>
      <c r="AS33" s="39" t="str">
        <f t="shared" si="12"/>
        <v/>
      </c>
      <c r="AT33" s="39" t="str">
        <f t="shared" si="13"/>
        <v/>
      </c>
      <c r="AU33" s="39" t="str">
        <f t="shared" si="14"/>
        <v/>
      </c>
    </row>
    <row r="34" ht="15.75" customHeight="1">
      <c r="A34" s="22"/>
      <c r="B34" s="22"/>
      <c r="C34" s="22"/>
      <c r="D34" s="22"/>
      <c r="E34" s="40"/>
      <c r="F34" s="40" t="str">
        <f>IF($C34="","",VLOOKUP($C34,Orders!$A$4:$J$303,3,FALSE))</f>
        <v/>
      </c>
      <c r="G34" s="40" t="str">
        <f>IF($C34="","",VLOOKUP($C34,Orders!$A$4:$J$303,4,FALSE))</f>
        <v/>
      </c>
      <c r="H34" s="22"/>
      <c r="I34" s="40" t="str">
        <f t="shared" si="1"/>
        <v/>
      </c>
      <c r="J34" s="40" t="str">
        <f t="shared" si="2"/>
        <v/>
      </c>
      <c r="K34" s="40" t="str">
        <f>IF($C34="","",VLOOKUP($C34,Orders!$A$4:$J$303,5,FALSE))</f>
        <v/>
      </c>
      <c r="L34" s="22"/>
      <c r="M34" s="40" t="str">
        <f t="shared" si="3"/>
        <v/>
      </c>
      <c r="N34" s="22"/>
      <c r="O34" s="22"/>
      <c r="P34" s="22" t="str">
        <f t="shared" si="4"/>
        <v/>
      </c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39" t="str">
        <f t="array" ref="AB34">IFERROR(INDEX(Bids!$AA:$AA, MATCH(C34&amp;"|"&amp;B34, Bids!$AD:$AD,0)),"")</f>
        <v/>
      </c>
      <c r="AC34" s="39" t="str">
        <f t="array" ref="AC34">IFERROR(INDEX(Bids!$AB:$AB, MATCH(C34&amp;"|"&amp;B34, Bids!$AD:$AD,0)),"")</f>
        <v/>
      </c>
      <c r="AD34" s="39" t="str">
        <f t="array" ref="AD34">IFERROR(INDEX(Bids!$AC:$AC, MATCH(C34&amp;"|"&amp;B34, Bids!$AD:$AD,0)), H34)</f>
        <v/>
      </c>
      <c r="AE34" s="39"/>
      <c r="AG34" s="39"/>
      <c r="AH34" s="39" t="str">
        <f t="shared" si="5"/>
        <v/>
      </c>
      <c r="AI34" s="39" t="str">
        <f t="shared" si="6"/>
        <v/>
      </c>
      <c r="AM34" s="39" t="str">
        <f t="array" ref="AM34">IF(C34="","",IFERROR(XLOOKUP(C34,Orders!$A:$A,Orders!$E:$E,""),""))</f>
        <v/>
      </c>
      <c r="AN34" s="39" t="str">
        <f t="shared" si="7"/>
        <v/>
      </c>
      <c r="AO34" s="39" t="str">
        <f t="shared" si="8"/>
        <v/>
      </c>
      <c r="AP34" s="39" t="str">
        <f t="shared" si="9"/>
        <v/>
      </c>
      <c r="AQ34" s="39" t="str">
        <f t="shared" si="10"/>
        <v/>
      </c>
      <c r="AR34" s="39" t="str">
        <f t="shared" si="11"/>
        <v/>
      </c>
      <c r="AS34" s="39" t="str">
        <f t="shared" si="12"/>
        <v/>
      </c>
      <c r="AT34" s="39" t="str">
        <f t="shared" si="13"/>
        <v/>
      </c>
      <c r="AU34" s="39" t="str">
        <f t="shared" si="14"/>
        <v/>
      </c>
    </row>
    <row r="35" ht="15.75" customHeight="1">
      <c r="A35" s="22"/>
      <c r="B35" s="22"/>
      <c r="C35" s="22"/>
      <c r="D35" s="22"/>
      <c r="E35" s="40"/>
      <c r="F35" s="40" t="str">
        <f>IF($C35="","",VLOOKUP($C35,Orders!$A$4:$J$303,3,FALSE))</f>
        <v/>
      </c>
      <c r="G35" s="40" t="str">
        <f>IF($C35="","",VLOOKUP($C35,Orders!$A$4:$J$303,4,FALSE))</f>
        <v/>
      </c>
      <c r="H35" s="22"/>
      <c r="I35" s="40" t="str">
        <f t="shared" si="1"/>
        <v/>
      </c>
      <c r="J35" s="40" t="str">
        <f t="shared" si="2"/>
        <v/>
      </c>
      <c r="K35" s="40" t="str">
        <f>IF($C35="","",VLOOKUP($C35,Orders!$A$4:$J$303,5,FALSE))</f>
        <v/>
      </c>
      <c r="L35" s="22"/>
      <c r="M35" s="40" t="str">
        <f t="shared" si="3"/>
        <v/>
      </c>
      <c r="N35" s="22"/>
      <c r="O35" s="22"/>
      <c r="P35" s="22" t="str">
        <f t="shared" si="4"/>
        <v/>
      </c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39" t="str">
        <f t="array" ref="AB35">IFERROR(INDEX(Bids!$AA:$AA, MATCH(C35&amp;"|"&amp;B35, Bids!$AD:$AD,0)),"")</f>
        <v/>
      </c>
      <c r="AC35" s="39" t="str">
        <f t="array" ref="AC35">IFERROR(INDEX(Bids!$AB:$AB, MATCH(C35&amp;"|"&amp;B35, Bids!$AD:$AD,0)),"")</f>
        <v/>
      </c>
      <c r="AD35" s="39" t="str">
        <f t="array" ref="AD35">IFERROR(INDEX(Bids!$AC:$AC, MATCH(C35&amp;"|"&amp;B35, Bids!$AD:$AD,0)), H35)</f>
        <v/>
      </c>
      <c r="AE35" s="39"/>
      <c r="AG35" s="39"/>
      <c r="AH35" s="39" t="str">
        <f t="shared" si="5"/>
        <v/>
      </c>
      <c r="AI35" s="39" t="str">
        <f t="shared" si="6"/>
        <v/>
      </c>
      <c r="AM35" s="39" t="str">
        <f t="array" ref="AM35">IF(C35="","",IFERROR(XLOOKUP(C35,Orders!$A:$A,Orders!$E:$E,""),""))</f>
        <v/>
      </c>
      <c r="AN35" s="39" t="str">
        <f t="shared" si="7"/>
        <v/>
      </c>
      <c r="AO35" s="39" t="str">
        <f t="shared" si="8"/>
        <v/>
      </c>
      <c r="AP35" s="39" t="str">
        <f t="shared" si="9"/>
        <v/>
      </c>
      <c r="AQ35" s="39" t="str">
        <f t="shared" si="10"/>
        <v/>
      </c>
      <c r="AR35" s="39" t="str">
        <f t="shared" si="11"/>
        <v/>
      </c>
      <c r="AS35" s="39" t="str">
        <f t="shared" si="12"/>
        <v/>
      </c>
      <c r="AT35" s="39" t="str">
        <f t="shared" si="13"/>
        <v/>
      </c>
      <c r="AU35" s="39" t="str">
        <f t="shared" si="14"/>
        <v/>
      </c>
    </row>
    <row r="36" ht="15.75" customHeight="1">
      <c r="A36" s="22"/>
      <c r="B36" s="22"/>
      <c r="C36" s="22"/>
      <c r="D36" s="22"/>
      <c r="E36" s="40"/>
      <c r="F36" s="40" t="str">
        <f>IF($C36="","",VLOOKUP($C36,Orders!$A$4:$J$303,3,FALSE))</f>
        <v/>
      </c>
      <c r="G36" s="40" t="str">
        <f>IF($C36="","",VLOOKUP($C36,Orders!$A$4:$J$303,4,FALSE))</f>
        <v/>
      </c>
      <c r="H36" s="22"/>
      <c r="I36" s="40" t="str">
        <f t="shared" si="1"/>
        <v/>
      </c>
      <c r="J36" s="40" t="str">
        <f t="shared" si="2"/>
        <v/>
      </c>
      <c r="K36" s="40" t="str">
        <f>IF($C36="","",VLOOKUP($C36,Orders!$A$4:$J$303,5,FALSE))</f>
        <v/>
      </c>
      <c r="L36" s="22"/>
      <c r="M36" s="40" t="str">
        <f t="shared" si="3"/>
        <v/>
      </c>
      <c r="N36" s="22"/>
      <c r="O36" s="22"/>
      <c r="P36" s="22" t="str">
        <f t="shared" si="4"/>
        <v/>
      </c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39" t="str">
        <f t="array" ref="AB36">IFERROR(INDEX(Bids!$AA:$AA, MATCH(C36&amp;"|"&amp;B36, Bids!$AD:$AD,0)),"")</f>
        <v/>
      </c>
      <c r="AC36" s="39" t="str">
        <f t="array" ref="AC36">IFERROR(INDEX(Bids!$AB:$AB, MATCH(C36&amp;"|"&amp;B36, Bids!$AD:$AD,0)),"")</f>
        <v/>
      </c>
      <c r="AD36" s="39" t="str">
        <f t="array" ref="AD36">IFERROR(INDEX(Bids!$AC:$AC, MATCH(C36&amp;"|"&amp;B36, Bids!$AD:$AD,0)), H36)</f>
        <v/>
      </c>
      <c r="AE36" s="39"/>
      <c r="AG36" s="39"/>
      <c r="AH36" s="39" t="str">
        <f t="shared" si="5"/>
        <v/>
      </c>
      <c r="AI36" s="39" t="str">
        <f t="shared" si="6"/>
        <v/>
      </c>
      <c r="AM36" s="39" t="str">
        <f t="array" ref="AM36">IF(C36="","",IFERROR(XLOOKUP(C36,Orders!$A:$A,Orders!$E:$E,""),""))</f>
        <v/>
      </c>
      <c r="AN36" s="39" t="str">
        <f t="shared" si="7"/>
        <v/>
      </c>
      <c r="AO36" s="39" t="str">
        <f t="shared" si="8"/>
        <v/>
      </c>
      <c r="AP36" s="39" t="str">
        <f t="shared" si="9"/>
        <v/>
      </c>
      <c r="AQ36" s="39" t="str">
        <f t="shared" si="10"/>
        <v/>
      </c>
      <c r="AR36" s="39" t="str">
        <f t="shared" si="11"/>
        <v/>
      </c>
      <c r="AS36" s="39" t="str">
        <f t="shared" si="12"/>
        <v/>
      </c>
      <c r="AT36" s="39" t="str">
        <f t="shared" si="13"/>
        <v/>
      </c>
      <c r="AU36" s="39" t="str">
        <f t="shared" si="14"/>
        <v/>
      </c>
    </row>
    <row r="37" ht="15.75" customHeight="1">
      <c r="A37" s="22"/>
      <c r="B37" s="22"/>
      <c r="C37" s="22"/>
      <c r="D37" s="22"/>
      <c r="E37" s="40"/>
      <c r="F37" s="40" t="str">
        <f>IF($C37="","",VLOOKUP($C37,Orders!$A$4:$J$303,3,FALSE))</f>
        <v/>
      </c>
      <c r="G37" s="40" t="str">
        <f>IF($C37="","",VLOOKUP($C37,Orders!$A$4:$J$303,4,FALSE))</f>
        <v/>
      </c>
      <c r="H37" s="22"/>
      <c r="I37" s="40" t="str">
        <f t="shared" si="1"/>
        <v/>
      </c>
      <c r="J37" s="40" t="str">
        <f t="shared" si="2"/>
        <v/>
      </c>
      <c r="K37" s="40" t="str">
        <f>IF($C37="","",VLOOKUP($C37,Orders!$A$4:$J$303,5,FALSE))</f>
        <v/>
      </c>
      <c r="L37" s="22"/>
      <c r="M37" s="40" t="str">
        <f t="shared" si="3"/>
        <v/>
      </c>
      <c r="N37" s="22"/>
      <c r="O37" s="22"/>
      <c r="P37" s="22" t="str">
        <f t="shared" si="4"/>
        <v/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39" t="str">
        <f t="array" ref="AB37">IFERROR(INDEX(Bids!$AA:$AA, MATCH(C37&amp;"|"&amp;B37, Bids!$AD:$AD,0)),"")</f>
        <v/>
      </c>
      <c r="AC37" s="39" t="str">
        <f t="array" ref="AC37">IFERROR(INDEX(Bids!$AB:$AB, MATCH(C37&amp;"|"&amp;B37, Bids!$AD:$AD,0)),"")</f>
        <v/>
      </c>
      <c r="AD37" s="39" t="str">
        <f t="array" ref="AD37">IFERROR(INDEX(Bids!$AC:$AC, MATCH(C37&amp;"|"&amp;B37, Bids!$AD:$AD,0)), H37)</f>
        <v/>
      </c>
      <c r="AE37" s="39"/>
      <c r="AG37" s="39"/>
      <c r="AH37" s="39" t="str">
        <f t="shared" si="5"/>
        <v/>
      </c>
      <c r="AI37" s="39" t="str">
        <f t="shared" si="6"/>
        <v/>
      </c>
      <c r="AM37" s="39" t="str">
        <f t="array" ref="AM37">IF(C37="","",IFERROR(XLOOKUP(C37,Orders!$A:$A,Orders!$E:$E,""),""))</f>
        <v/>
      </c>
      <c r="AN37" s="39" t="str">
        <f t="shared" si="7"/>
        <v/>
      </c>
      <c r="AO37" s="39" t="str">
        <f t="shared" si="8"/>
        <v/>
      </c>
      <c r="AP37" s="39" t="str">
        <f t="shared" si="9"/>
        <v/>
      </c>
      <c r="AQ37" s="39" t="str">
        <f t="shared" si="10"/>
        <v/>
      </c>
      <c r="AR37" s="39" t="str">
        <f t="shared" si="11"/>
        <v/>
      </c>
      <c r="AS37" s="39" t="str">
        <f t="shared" si="12"/>
        <v/>
      </c>
      <c r="AT37" s="39" t="str">
        <f t="shared" si="13"/>
        <v/>
      </c>
      <c r="AU37" s="39" t="str">
        <f t="shared" si="14"/>
        <v/>
      </c>
    </row>
    <row r="38" ht="15.75" customHeight="1">
      <c r="A38" s="22"/>
      <c r="B38" s="22"/>
      <c r="C38" s="22"/>
      <c r="D38" s="22"/>
      <c r="E38" s="40"/>
      <c r="F38" s="40" t="str">
        <f>IF($C38="","",VLOOKUP($C38,Orders!$A$4:$J$303,3,FALSE))</f>
        <v/>
      </c>
      <c r="G38" s="40" t="str">
        <f>IF($C38="","",VLOOKUP($C38,Orders!$A$4:$J$303,4,FALSE))</f>
        <v/>
      </c>
      <c r="H38" s="22"/>
      <c r="I38" s="40" t="str">
        <f t="shared" si="1"/>
        <v/>
      </c>
      <c r="J38" s="40" t="str">
        <f t="shared" si="2"/>
        <v/>
      </c>
      <c r="K38" s="40" t="str">
        <f>IF($C38="","",VLOOKUP($C38,Orders!$A$4:$J$303,5,FALSE))</f>
        <v/>
      </c>
      <c r="L38" s="22"/>
      <c r="M38" s="40" t="str">
        <f t="shared" si="3"/>
        <v/>
      </c>
      <c r="N38" s="22"/>
      <c r="O38" s="22"/>
      <c r="P38" s="22" t="str">
        <f t="shared" si="4"/>
        <v/>
      </c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39" t="str">
        <f t="array" ref="AB38">IFERROR(INDEX(Bids!$AA:$AA, MATCH(C38&amp;"|"&amp;B38, Bids!$AD:$AD,0)),"")</f>
        <v/>
      </c>
      <c r="AC38" s="39" t="str">
        <f t="array" ref="AC38">IFERROR(INDEX(Bids!$AB:$AB, MATCH(C38&amp;"|"&amp;B38, Bids!$AD:$AD,0)),"")</f>
        <v/>
      </c>
      <c r="AD38" s="39" t="str">
        <f t="array" ref="AD38">IFERROR(INDEX(Bids!$AC:$AC, MATCH(C38&amp;"|"&amp;B38, Bids!$AD:$AD,0)), H38)</f>
        <v/>
      </c>
      <c r="AE38" s="39"/>
      <c r="AG38" s="39"/>
      <c r="AH38" s="39" t="str">
        <f t="shared" si="5"/>
        <v/>
      </c>
      <c r="AI38" s="39" t="str">
        <f t="shared" si="6"/>
        <v/>
      </c>
      <c r="AM38" s="39" t="str">
        <f t="array" ref="AM38">IF(C38="","",IFERROR(XLOOKUP(C38,Orders!$A:$A,Orders!$E:$E,""),""))</f>
        <v/>
      </c>
      <c r="AN38" s="39" t="str">
        <f t="shared" si="7"/>
        <v/>
      </c>
      <c r="AO38" s="39" t="str">
        <f t="shared" si="8"/>
        <v/>
      </c>
      <c r="AP38" s="39" t="str">
        <f t="shared" si="9"/>
        <v/>
      </c>
      <c r="AQ38" s="39" t="str">
        <f t="shared" si="10"/>
        <v/>
      </c>
      <c r="AR38" s="39" t="str">
        <f t="shared" si="11"/>
        <v/>
      </c>
      <c r="AS38" s="39" t="str">
        <f t="shared" si="12"/>
        <v/>
      </c>
      <c r="AT38" s="39" t="str">
        <f t="shared" si="13"/>
        <v/>
      </c>
      <c r="AU38" s="39" t="str">
        <f t="shared" si="14"/>
        <v/>
      </c>
    </row>
    <row r="39" ht="15.75" customHeight="1">
      <c r="A39" s="22"/>
      <c r="B39" s="22"/>
      <c r="C39" s="22"/>
      <c r="D39" s="22"/>
      <c r="E39" s="40"/>
      <c r="F39" s="40" t="str">
        <f>IF($C39="","",VLOOKUP($C39,Orders!$A$4:$J$303,3,FALSE))</f>
        <v/>
      </c>
      <c r="G39" s="40" t="str">
        <f>IF($C39="","",VLOOKUP($C39,Orders!$A$4:$J$303,4,FALSE))</f>
        <v/>
      </c>
      <c r="H39" s="22"/>
      <c r="I39" s="40" t="str">
        <f t="shared" si="1"/>
        <v/>
      </c>
      <c r="J39" s="40" t="str">
        <f t="shared" si="2"/>
        <v/>
      </c>
      <c r="K39" s="40" t="str">
        <f>IF($C39="","",VLOOKUP($C39,Orders!$A$4:$J$303,5,FALSE))</f>
        <v/>
      </c>
      <c r="L39" s="22"/>
      <c r="M39" s="40" t="str">
        <f t="shared" si="3"/>
        <v/>
      </c>
      <c r="N39" s="22"/>
      <c r="O39" s="22"/>
      <c r="P39" s="22" t="str">
        <f t="shared" si="4"/>
        <v/>
      </c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39" t="str">
        <f t="array" ref="AB39">IFERROR(INDEX(Bids!$AA:$AA, MATCH(C39&amp;"|"&amp;B39, Bids!$AD:$AD,0)),"")</f>
        <v/>
      </c>
      <c r="AC39" s="39" t="str">
        <f t="array" ref="AC39">IFERROR(INDEX(Bids!$AB:$AB, MATCH(C39&amp;"|"&amp;B39, Bids!$AD:$AD,0)),"")</f>
        <v/>
      </c>
      <c r="AD39" s="39" t="str">
        <f t="array" ref="AD39">IFERROR(INDEX(Bids!$AC:$AC, MATCH(C39&amp;"|"&amp;B39, Bids!$AD:$AD,0)), H39)</f>
        <v/>
      </c>
      <c r="AE39" s="39"/>
      <c r="AG39" s="39"/>
      <c r="AH39" s="39" t="str">
        <f t="shared" si="5"/>
        <v/>
      </c>
      <c r="AI39" s="39" t="str">
        <f t="shared" si="6"/>
        <v/>
      </c>
      <c r="AM39" s="39" t="str">
        <f t="array" ref="AM39">IF(C39="","",IFERROR(XLOOKUP(C39,Orders!$A:$A,Orders!$E:$E,""),""))</f>
        <v/>
      </c>
      <c r="AN39" s="39" t="str">
        <f t="shared" si="7"/>
        <v/>
      </c>
      <c r="AO39" s="39" t="str">
        <f t="shared" si="8"/>
        <v/>
      </c>
      <c r="AP39" s="39" t="str">
        <f t="shared" si="9"/>
        <v/>
      </c>
      <c r="AQ39" s="39" t="str">
        <f t="shared" si="10"/>
        <v/>
      </c>
      <c r="AR39" s="39" t="str">
        <f t="shared" si="11"/>
        <v/>
      </c>
      <c r="AS39" s="39" t="str">
        <f t="shared" si="12"/>
        <v/>
      </c>
      <c r="AT39" s="39" t="str">
        <f t="shared" si="13"/>
        <v/>
      </c>
      <c r="AU39" s="39" t="str">
        <f t="shared" si="14"/>
        <v/>
      </c>
    </row>
    <row r="40" ht="15.75" customHeight="1">
      <c r="A40" s="22"/>
      <c r="B40" s="22"/>
      <c r="C40" s="22"/>
      <c r="D40" s="22"/>
      <c r="E40" s="40"/>
      <c r="F40" s="40" t="str">
        <f>IF($C40="","",VLOOKUP($C40,Orders!$A$4:$J$303,3,FALSE))</f>
        <v/>
      </c>
      <c r="G40" s="40" t="str">
        <f>IF($C40="","",VLOOKUP($C40,Orders!$A$4:$J$303,4,FALSE))</f>
        <v/>
      </c>
      <c r="H40" s="22"/>
      <c r="I40" s="40" t="str">
        <f t="shared" si="1"/>
        <v/>
      </c>
      <c r="J40" s="40" t="str">
        <f t="shared" si="2"/>
        <v/>
      </c>
      <c r="K40" s="40" t="str">
        <f>IF($C40="","",VLOOKUP($C40,Orders!$A$4:$J$303,5,FALSE))</f>
        <v/>
      </c>
      <c r="L40" s="22"/>
      <c r="M40" s="40" t="str">
        <f t="shared" si="3"/>
        <v/>
      </c>
      <c r="N40" s="22"/>
      <c r="O40" s="22"/>
      <c r="P40" s="22" t="str">
        <f t="shared" si="4"/>
        <v/>
      </c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39" t="str">
        <f t="array" ref="AB40">IFERROR(INDEX(Bids!$AA:$AA, MATCH(C40&amp;"|"&amp;B40, Bids!$AD:$AD,0)),"")</f>
        <v/>
      </c>
      <c r="AC40" s="39" t="str">
        <f t="array" ref="AC40">IFERROR(INDEX(Bids!$AB:$AB, MATCH(C40&amp;"|"&amp;B40, Bids!$AD:$AD,0)),"")</f>
        <v/>
      </c>
      <c r="AD40" s="39" t="str">
        <f t="array" ref="AD40">IFERROR(INDEX(Bids!$AC:$AC, MATCH(C40&amp;"|"&amp;B40, Bids!$AD:$AD,0)), H40)</f>
        <v/>
      </c>
      <c r="AE40" s="39"/>
      <c r="AG40" s="39"/>
      <c r="AH40" s="39" t="str">
        <f t="shared" si="5"/>
        <v/>
      </c>
      <c r="AI40" s="39" t="str">
        <f t="shared" si="6"/>
        <v/>
      </c>
      <c r="AM40" s="39" t="str">
        <f t="array" ref="AM40">IF(C40="","",IFERROR(XLOOKUP(C40,Orders!$A:$A,Orders!$E:$E,""),""))</f>
        <v/>
      </c>
      <c r="AN40" s="39" t="str">
        <f t="shared" si="7"/>
        <v/>
      </c>
      <c r="AO40" s="39" t="str">
        <f t="shared" si="8"/>
        <v/>
      </c>
      <c r="AP40" s="39" t="str">
        <f t="shared" si="9"/>
        <v/>
      </c>
      <c r="AQ40" s="39" t="str">
        <f t="shared" si="10"/>
        <v/>
      </c>
      <c r="AR40" s="39" t="str">
        <f t="shared" si="11"/>
        <v/>
      </c>
      <c r="AS40" s="39" t="str">
        <f t="shared" si="12"/>
        <v/>
      </c>
      <c r="AT40" s="39" t="str">
        <f t="shared" si="13"/>
        <v/>
      </c>
      <c r="AU40" s="39" t="str">
        <f t="shared" si="14"/>
        <v/>
      </c>
    </row>
    <row r="41" ht="15.75" customHeight="1">
      <c r="A41" s="22"/>
      <c r="B41" s="22"/>
      <c r="C41" s="22"/>
      <c r="D41" s="22"/>
      <c r="E41" s="40"/>
      <c r="F41" s="40" t="str">
        <f>IF($C41="","",VLOOKUP($C41,Orders!$A$4:$J$303,3,FALSE))</f>
        <v/>
      </c>
      <c r="G41" s="40" t="str">
        <f>IF($C41="","",VLOOKUP($C41,Orders!$A$4:$J$303,4,FALSE))</f>
        <v/>
      </c>
      <c r="H41" s="22"/>
      <c r="I41" s="40" t="str">
        <f t="shared" si="1"/>
        <v/>
      </c>
      <c r="J41" s="40" t="str">
        <f t="shared" si="2"/>
        <v/>
      </c>
      <c r="K41" s="40" t="str">
        <f>IF($C41="","",VLOOKUP($C41,Orders!$A$4:$J$303,5,FALSE))</f>
        <v/>
      </c>
      <c r="L41" s="22"/>
      <c r="M41" s="40" t="str">
        <f t="shared" si="3"/>
        <v/>
      </c>
      <c r="N41" s="22"/>
      <c r="O41" s="22"/>
      <c r="P41" s="22" t="str">
        <f t="shared" si="4"/>
        <v/>
      </c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39" t="str">
        <f t="array" ref="AB41">IFERROR(INDEX(Bids!$AA:$AA, MATCH(C41&amp;"|"&amp;B41, Bids!$AD:$AD,0)),"")</f>
        <v/>
      </c>
      <c r="AC41" s="39" t="str">
        <f t="array" ref="AC41">IFERROR(INDEX(Bids!$AB:$AB, MATCH(C41&amp;"|"&amp;B41, Bids!$AD:$AD,0)),"")</f>
        <v/>
      </c>
      <c r="AD41" s="39" t="str">
        <f t="array" ref="AD41">IFERROR(INDEX(Bids!$AC:$AC, MATCH(C41&amp;"|"&amp;B41, Bids!$AD:$AD,0)), H41)</f>
        <v/>
      </c>
      <c r="AE41" s="39"/>
      <c r="AG41" s="39"/>
      <c r="AH41" s="39" t="str">
        <f t="shared" si="5"/>
        <v/>
      </c>
      <c r="AI41" s="39" t="str">
        <f t="shared" si="6"/>
        <v/>
      </c>
      <c r="AM41" s="39" t="str">
        <f t="array" ref="AM41">IF(C41="","",IFERROR(XLOOKUP(C41,Orders!$A:$A,Orders!$E:$E,""),""))</f>
        <v/>
      </c>
      <c r="AN41" s="39" t="str">
        <f t="shared" si="7"/>
        <v/>
      </c>
      <c r="AO41" s="39" t="str">
        <f t="shared" si="8"/>
        <v/>
      </c>
      <c r="AP41" s="39" t="str">
        <f t="shared" si="9"/>
        <v/>
      </c>
      <c r="AQ41" s="39" t="str">
        <f t="shared" si="10"/>
        <v/>
      </c>
      <c r="AR41" s="39" t="str">
        <f t="shared" si="11"/>
        <v/>
      </c>
      <c r="AS41" s="39" t="str">
        <f t="shared" si="12"/>
        <v/>
      </c>
      <c r="AT41" s="39" t="str">
        <f t="shared" si="13"/>
        <v/>
      </c>
      <c r="AU41" s="39" t="str">
        <f t="shared" si="14"/>
        <v/>
      </c>
    </row>
    <row r="42" ht="15.75" customHeight="1">
      <c r="A42" s="22"/>
      <c r="B42" s="22"/>
      <c r="C42" s="22"/>
      <c r="D42" s="22"/>
      <c r="E42" s="40"/>
      <c r="F42" s="40" t="str">
        <f>IF($C42="","",VLOOKUP($C42,Orders!$A$4:$J$303,3,FALSE))</f>
        <v/>
      </c>
      <c r="G42" s="40" t="str">
        <f>IF($C42="","",VLOOKUP($C42,Orders!$A$4:$J$303,4,FALSE))</f>
        <v/>
      </c>
      <c r="H42" s="22"/>
      <c r="I42" s="40" t="str">
        <f t="shared" si="1"/>
        <v/>
      </c>
      <c r="J42" s="40" t="str">
        <f t="shared" si="2"/>
        <v/>
      </c>
      <c r="K42" s="40" t="str">
        <f>IF($C42="","",VLOOKUP($C42,Orders!$A$4:$J$303,5,FALSE))</f>
        <v/>
      </c>
      <c r="L42" s="22"/>
      <c r="M42" s="40" t="str">
        <f t="shared" si="3"/>
        <v/>
      </c>
      <c r="N42" s="22"/>
      <c r="O42" s="22"/>
      <c r="P42" s="22" t="str">
        <f t="shared" si="4"/>
        <v/>
      </c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39" t="str">
        <f t="array" ref="AB42">IFERROR(INDEX(Bids!$AA:$AA, MATCH(C42&amp;"|"&amp;B42, Bids!$AD:$AD,0)),"")</f>
        <v/>
      </c>
      <c r="AC42" s="39" t="str">
        <f t="array" ref="AC42">IFERROR(INDEX(Bids!$AB:$AB, MATCH(C42&amp;"|"&amp;B42, Bids!$AD:$AD,0)),"")</f>
        <v/>
      </c>
      <c r="AD42" s="39" t="str">
        <f t="array" ref="AD42">IFERROR(INDEX(Bids!$AC:$AC, MATCH(C42&amp;"|"&amp;B42, Bids!$AD:$AD,0)), H42)</f>
        <v/>
      </c>
      <c r="AE42" s="39"/>
      <c r="AG42" s="39"/>
      <c r="AH42" s="39" t="str">
        <f t="shared" si="5"/>
        <v/>
      </c>
      <c r="AI42" s="39" t="str">
        <f t="shared" si="6"/>
        <v/>
      </c>
      <c r="AM42" s="39" t="str">
        <f t="array" ref="AM42">IF(C42="","",IFERROR(XLOOKUP(C42,Orders!$A:$A,Orders!$E:$E,""),""))</f>
        <v/>
      </c>
      <c r="AN42" s="39" t="str">
        <f t="shared" si="7"/>
        <v/>
      </c>
      <c r="AO42" s="39" t="str">
        <f t="shared" si="8"/>
        <v/>
      </c>
      <c r="AP42" s="39" t="str">
        <f t="shared" si="9"/>
        <v/>
      </c>
      <c r="AQ42" s="39" t="str">
        <f t="shared" si="10"/>
        <v/>
      </c>
      <c r="AR42" s="39" t="str">
        <f t="shared" si="11"/>
        <v/>
      </c>
      <c r="AS42" s="39" t="str">
        <f t="shared" si="12"/>
        <v/>
      </c>
      <c r="AT42" s="39" t="str">
        <f t="shared" si="13"/>
        <v/>
      </c>
      <c r="AU42" s="39" t="str">
        <f t="shared" si="14"/>
        <v/>
      </c>
    </row>
    <row r="43" ht="15.75" customHeight="1">
      <c r="A43" s="22"/>
      <c r="B43" s="22"/>
      <c r="C43" s="22"/>
      <c r="D43" s="22"/>
      <c r="E43" s="40"/>
      <c r="F43" s="40" t="str">
        <f>IF($C43="","",VLOOKUP($C43,Orders!$A$4:$J$303,3,FALSE))</f>
        <v/>
      </c>
      <c r="G43" s="40" t="str">
        <f>IF($C43="","",VLOOKUP($C43,Orders!$A$4:$J$303,4,FALSE))</f>
        <v/>
      </c>
      <c r="H43" s="22"/>
      <c r="I43" s="40" t="str">
        <f t="shared" si="1"/>
        <v/>
      </c>
      <c r="J43" s="40" t="str">
        <f t="shared" si="2"/>
        <v/>
      </c>
      <c r="K43" s="40" t="str">
        <f>IF($C43="","",VLOOKUP($C43,Orders!$A$4:$J$303,5,FALSE))</f>
        <v/>
      </c>
      <c r="L43" s="22"/>
      <c r="M43" s="40" t="str">
        <f t="shared" si="3"/>
        <v/>
      </c>
      <c r="N43" s="22"/>
      <c r="O43" s="22"/>
      <c r="P43" s="22" t="str">
        <f t="shared" si="4"/>
        <v/>
      </c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39" t="str">
        <f t="array" ref="AB43">IFERROR(INDEX(Bids!$AA:$AA, MATCH(C43&amp;"|"&amp;B43, Bids!$AD:$AD,0)),"")</f>
        <v/>
      </c>
      <c r="AC43" s="39" t="str">
        <f t="array" ref="AC43">IFERROR(INDEX(Bids!$AB:$AB, MATCH(C43&amp;"|"&amp;B43, Bids!$AD:$AD,0)),"")</f>
        <v/>
      </c>
      <c r="AD43" s="39" t="str">
        <f t="array" ref="AD43">IFERROR(INDEX(Bids!$AC:$AC, MATCH(C43&amp;"|"&amp;B43, Bids!$AD:$AD,0)), H43)</f>
        <v/>
      </c>
      <c r="AE43" s="39"/>
      <c r="AG43" s="39"/>
      <c r="AH43" s="39" t="str">
        <f t="shared" si="5"/>
        <v/>
      </c>
      <c r="AI43" s="39" t="str">
        <f t="shared" si="6"/>
        <v/>
      </c>
      <c r="AM43" s="39" t="str">
        <f t="array" ref="AM43">IF(C43="","",IFERROR(XLOOKUP(C43,Orders!$A:$A,Orders!$E:$E,""),""))</f>
        <v/>
      </c>
      <c r="AN43" s="39" t="str">
        <f t="shared" si="7"/>
        <v/>
      </c>
      <c r="AO43" s="39" t="str">
        <f t="shared" si="8"/>
        <v/>
      </c>
      <c r="AP43" s="39" t="str">
        <f t="shared" si="9"/>
        <v/>
      </c>
      <c r="AQ43" s="39" t="str">
        <f t="shared" si="10"/>
        <v/>
      </c>
      <c r="AR43" s="39" t="str">
        <f t="shared" si="11"/>
        <v/>
      </c>
      <c r="AS43" s="39" t="str">
        <f t="shared" si="12"/>
        <v/>
      </c>
      <c r="AT43" s="39" t="str">
        <f t="shared" si="13"/>
        <v/>
      </c>
      <c r="AU43" s="39" t="str">
        <f t="shared" si="14"/>
        <v/>
      </c>
    </row>
    <row r="44" ht="15.75" customHeight="1">
      <c r="A44" s="22"/>
      <c r="B44" s="22"/>
      <c r="C44" s="22"/>
      <c r="D44" s="22"/>
      <c r="E44" s="40"/>
      <c r="F44" s="40" t="str">
        <f>IF($C44="","",VLOOKUP($C44,Orders!$A$4:$J$303,3,FALSE))</f>
        <v/>
      </c>
      <c r="G44" s="40" t="str">
        <f>IF($C44="","",VLOOKUP($C44,Orders!$A$4:$J$303,4,FALSE))</f>
        <v/>
      </c>
      <c r="H44" s="22"/>
      <c r="I44" s="40" t="str">
        <f t="shared" si="1"/>
        <v/>
      </c>
      <c r="J44" s="40" t="str">
        <f t="shared" si="2"/>
        <v/>
      </c>
      <c r="K44" s="40" t="str">
        <f>IF($C44="","",VLOOKUP($C44,Orders!$A$4:$J$303,5,FALSE))</f>
        <v/>
      </c>
      <c r="L44" s="22"/>
      <c r="M44" s="40" t="str">
        <f t="shared" si="3"/>
        <v/>
      </c>
      <c r="N44" s="22"/>
      <c r="O44" s="22"/>
      <c r="P44" s="22" t="str">
        <f t="shared" si="4"/>
        <v/>
      </c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39" t="str">
        <f t="array" ref="AB44">IFERROR(INDEX(Bids!$AA:$AA, MATCH(C44&amp;"|"&amp;B44, Bids!$AD:$AD,0)),"")</f>
        <v/>
      </c>
      <c r="AC44" s="39" t="str">
        <f t="array" ref="AC44">IFERROR(INDEX(Bids!$AB:$AB, MATCH(C44&amp;"|"&amp;B44, Bids!$AD:$AD,0)),"")</f>
        <v/>
      </c>
      <c r="AD44" s="39" t="str">
        <f t="array" ref="AD44">IFERROR(INDEX(Bids!$AC:$AC, MATCH(C44&amp;"|"&amp;B44, Bids!$AD:$AD,0)), H44)</f>
        <v/>
      </c>
      <c r="AE44" s="39"/>
      <c r="AG44" s="39"/>
      <c r="AH44" s="39" t="str">
        <f t="shared" si="5"/>
        <v/>
      </c>
      <c r="AI44" s="39" t="str">
        <f t="shared" si="6"/>
        <v/>
      </c>
      <c r="AM44" s="39" t="str">
        <f t="array" ref="AM44">IF(C44="","",IFERROR(XLOOKUP(C44,Orders!$A:$A,Orders!$E:$E,""),""))</f>
        <v/>
      </c>
      <c r="AN44" s="39" t="str">
        <f t="shared" si="7"/>
        <v/>
      </c>
      <c r="AO44" s="39" t="str">
        <f t="shared" si="8"/>
        <v/>
      </c>
      <c r="AP44" s="39" t="str">
        <f t="shared" si="9"/>
        <v/>
      </c>
      <c r="AQ44" s="39" t="str">
        <f t="shared" si="10"/>
        <v/>
      </c>
      <c r="AR44" s="39" t="str">
        <f t="shared" si="11"/>
        <v/>
      </c>
      <c r="AS44" s="39" t="str">
        <f t="shared" si="12"/>
        <v/>
      </c>
      <c r="AT44" s="39" t="str">
        <f t="shared" si="13"/>
        <v/>
      </c>
      <c r="AU44" s="39" t="str">
        <f t="shared" si="14"/>
        <v/>
      </c>
    </row>
    <row r="45" ht="15.75" customHeight="1">
      <c r="A45" s="22"/>
      <c r="B45" s="22"/>
      <c r="C45" s="22"/>
      <c r="D45" s="22"/>
      <c r="E45" s="40"/>
      <c r="F45" s="40" t="str">
        <f>IF($C45="","",VLOOKUP($C45,Orders!$A$4:$J$303,3,FALSE))</f>
        <v/>
      </c>
      <c r="G45" s="40" t="str">
        <f>IF($C45="","",VLOOKUP($C45,Orders!$A$4:$J$303,4,FALSE))</f>
        <v/>
      </c>
      <c r="H45" s="22"/>
      <c r="I45" s="40" t="str">
        <f t="shared" si="1"/>
        <v/>
      </c>
      <c r="J45" s="40" t="str">
        <f t="shared" si="2"/>
        <v/>
      </c>
      <c r="K45" s="40" t="str">
        <f>IF($C45="","",VLOOKUP($C45,Orders!$A$4:$J$303,5,FALSE))</f>
        <v/>
      </c>
      <c r="L45" s="22"/>
      <c r="M45" s="40" t="str">
        <f t="shared" si="3"/>
        <v/>
      </c>
      <c r="N45" s="22"/>
      <c r="O45" s="22"/>
      <c r="P45" s="22" t="str">
        <f t="shared" si="4"/>
        <v/>
      </c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39" t="str">
        <f t="array" ref="AB45">IFERROR(INDEX(Bids!$AA:$AA, MATCH(C45&amp;"|"&amp;B45, Bids!$AD:$AD,0)),"")</f>
        <v/>
      </c>
      <c r="AC45" s="39" t="str">
        <f t="array" ref="AC45">IFERROR(INDEX(Bids!$AB:$AB, MATCH(C45&amp;"|"&amp;B45, Bids!$AD:$AD,0)),"")</f>
        <v/>
      </c>
      <c r="AD45" s="39" t="str">
        <f t="array" ref="AD45">IFERROR(INDEX(Bids!$AC:$AC, MATCH(C45&amp;"|"&amp;B45, Bids!$AD:$AD,0)), H45)</f>
        <v/>
      </c>
      <c r="AE45" s="39"/>
      <c r="AG45" s="39"/>
      <c r="AH45" s="39" t="str">
        <f t="shared" si="5"/>
        <v/>
      </c>
      <c r="AI45" s="39" t="str">
        <f t="shared" si="6"/>
        <v/>
      </c>
      <c r="AM45" s="39" t="str">
        <f t="array" ref="AM45">IF(C45="","",IFERROR(XLOOKUP(C45,Orders!$A:$A,Orders!$E:$E,""),""))</f>
        <v/>
      </c>
      <c r="AN45" s="39" t="str">
        <f t="shared" si="7"/>
        <v/>
      </c>
      <c r="AO45" s="39" t="str">
        <f t="shared" si="8"/>
        <v/>
      </c>
      <c r="AP45" s="39" t="str">
        <f t="shared" si="9"/>
        <v/>
      </c>
      <c r="AQ45" s="39" t="str">
        <f t="shared" si="10"/>
        <v/>
      </c>
      <c r="AR45" s="39" t="str">
        <f t="shared" si="11"/>
        <v/>
      </c>
      <c r="AS45" s="39" t="str">
        <f t="shared" si="12"/>
        <v/>
      </c>
      <c r="AT45" s="39" t="str">
        <f t="shared" si="13"/>
        <v/>
      </c>
      <c r="AU45" s="39" t="str">
        <f t="shared" si="14"/>
        <v/>
      </c>
    </row>
    <row r="46" ht="15.75" customHeight="1">
      <c r="A46" s="22"/>
      <c r="B46" s="22"/>
      <c r="C46" s="22"/>
      <c r="D46" s="22"/>
      <c r="E46" s="40"/>
      <c r="F46" s="40" t="str">
        <f>IF($C46="","",VLOOKUP($C46,Orders!$A$4:$J$303,3,FALSE))</f>
        <v/>
      </c>
      <c r="G46" s="40" t="str">
        <f>IF($C46="","",VLOOKUP($C46,Orders!$A$4:$J$303,4,FALSE))</f>
        <v/>
      </c>
      <c r="H46" s="22"/>
      <c r="I46" s="40" t="str">
        <f t="shared" si="1"/>
        <v/>
      </c>
      <c r="J46" s="40" t="str">
        <f t="shared" si="2"/>
        <v/>
      </c>
      <c r="K46" s="40" t="str">
        <f>IF($C46="","",VLOOKUP($C46,Orders!$A$4:$J$303,5,FALSE))</f>
        <v/>
      </c>
      <c r="L46" s="22"/>
      <c r="M46" s="40" t="str">
        <f t="shared" si="3"/>
        <v/>
      </c>
      <c r="N46" s="22"/>
      <c r="O46" s="22"/>
      <c r="P46" s="22" t="str">
        <f t="shared" si="4"/>
        <v/>
      </c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39" t="str">
        <f t="array" ref="AB46">IFERROR(INDEX(Bids!$AA:$AA, MATCH(C46&amp;"|"&amp;B46, Bids!$AD:$AD,0)),"")</f>
        <v/>
      </c>
      <c r="AC46" s="39" t="str">
        <f t="array" ref="AC46">IFERROR(INDEX(Bids!$AB:$AB, MATCH(C46&amp;"|"&amp;B46, Bids!$AD:$AD,0)),"")</f>
        <v/>
      </c>
      <c r="AD46" s="39" t="str">
        <f t="array" ref="AD46">IFERROR(INDEX(Bids!$AC:$AC, MATCH(C46&amp;"|"&amp;B46, Bids!$AD:$AD,0)), H46)</f>
        <v/>
      </c>
      <c r="AE46" s="39"/>
      <c r="AG46" s="39"/>
      <c r="AH46" s="39" t="str">
        <f t="shared" si="5"/>
        <v/>
      </c>
      <c r="AI46" s="39" t="str">
        <f t="shared" si="6"/>
        <v/>
      </c>
      <c r="AM46" s="39" t="str">
        <f t="array" ref="AM46">IF(C46="","",IFERROR(XLOOKUP(C46,Orders!$A:$A,Orders!$E:$E,""),""))</f>
        <v/>
      </c>
      <c r="AN46" s="39" t="str">
        <f t="shared" si="7"/>
        <v/>
      </c>
      <c r="AO46" s="39" t="str">
        <f t="shared" si="8"/>
        <v/>
      </c>
      <c r="AP46" s="39" t="str">
        <f t="shared" si="9"/>
        <v/>
      </c>
      <c r="AQ46" s="39" t="str">
        <f t="shared" si="10"/>
        <v/>
      </c>
      <c r="AR46" s="39" t="str">
        <f t="shared" si="11"/>
        <v/>
      </c>
      <c r="AS46" s="39" t="str">
        <f t="shared" si="12"/>
        <v/>
      </c>
      <c r="AT46" s="39" t="str">
        <f t="shared" si="13"/>
        <v/>
      </c>
      <c r="AU46" s="39" t="str">
        <f t="shared" si="14"/>
        <v/>
      </c>
    </row>
    <row r="47" ht="15.75" customHeight="1">
      <c r="A47" s="22"/>
      <c r="B47" s="22"/>
      <c r="C47" s="22"/>
      <c r="D47" s="22"/>
      <c r="E47" s="40"/>
      <c r="F47" s="40" t="str">
        <f>IF($C47="","",VLOOKUP($C47,Orders!$A$4:$J$303,3,FALSE))</f>
        <v/>
      </c>
      <c r="G47" s="40" t="str">
        <f>IF($C47="","",VLOOKUP($C47,Orders!$A$4:$J$303,4,FALSE))</f>
        <v/>
      </c>
      <c r="H47" s="22"/>
      <c r="I47" s="40" t="str">
        <f t="shared" si="1"/>
        <v/>
      </c>
      <c r="J47" s="40" t="str">
        <f t="shared" si="2"/>
        <v/>
      </c>
      <c r="K47" s="40" t="str">
        <f>IF($C47="","",VLOOKUP($C47,Orders!$A$4:$J$303,5,FALSE))</f>
        <v/>
      </c>
      <c r="L47" s="22"/>
      <c r="M47" s="40" t="str">
        <f t="shared" si="3"/>
        <v/>
      </c>
      <c r="N47" s="22"/>
      <c r="O47" s="22"/>
      <c r="P47" s="22" t="str">
        <f t="shared" si="4"/>
        <v/>
      </c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39" t="str">
        <f t="array" ref="AB47">IFERROR(INDEX(Bids!$AA:$AA, MATCH(C47&amp;"|"&amp;B47, Bids!$AD:$AD,0)),"")</f>
        <v/>
      </c>
      <c r="AC47" s="39" t="str">
        <f t="array" ref="AC47">IFERROR(INDEX(Bids!$AB:$AB, MATCH(C47&amp;"|"&amp;B47, Bids!$AD:$AD,0)),"")</f>
        <v/>
      </c>
      <c r="AD47" s="39" t="str">
        <f t="array" ref="AD47">IFERROR(INDEX(Bids!$AC:$AC, MATCH(C47&amp;"|"&amp;B47, Bids!$AD:$AD,0)), H47)</f>
        <v/>
      </c>
      <c r="AE47" s="39"/>
      <c r="AG47" s="39"/>
      <c r="AH47" s="39" t="str">
        <f t="shared" si="5"/>
        <v/>
      </c>
      <c r="AI47" s="39" t="str">
        <f t="shared" si="6"/>
        <v/>
      </c>
      <c r="AM47" s="39" t="str">
        <f t="array" ref="AM47">IF(C47="","",IFERROR(XLOOKUP(C47,Orders!$A:$A,Orders!$E:$E,""),""))</f>
        <v/>
      </c>
      <c r="AN47" s="39" t="str">
        <f t="shared" si="7"/>
        <v/>
      </c>
      <c r="AO47" s="39" t="str">
        <f t="shared" si="8"/>
        <v/>
      </c>
      <c r="AP47" s="39" t="str">
        <f t="shared" si="9"/>
        <v/>
      </c>
      <c r="AQ47" s="39" t="str">
        <f t="shared" si="10"/>
        <v/>
      </c>
      <c r="AR47" s="39" t="str">
        <f t="shared" si="11"/>
        <v/>
      </c>
      <c r="AS47" s="39" t="str">
        <f t="shared" si="12"/>
        <v/>
      </c>
      <c r="AT47" s="39" t="str">
        <f t="shared" si="13"/>
        <v/>
      </c>
      <c r="AU47" s="39" t="str">
        <f t="shared" si="14"/>
        <v/>
      </c>
    </row>
    <row r="48" ht="15.75" customHeight="1">
      <c r="A48" s="22"/>
      <c r="B48" s="22"/>
      <c r="C48" s="22"/>
      <c r="D48" s="22"/>
      <c r="E48" s="40"/>
      <c r="F48" s="40" t="str">
        <f>IF($C48="","",VLOOKUP($C48,Orders!$A$4:$J$303,3,FALSE))</f>
        <v/>
      </c>
      <c r="G48" s="40" t="str">
        <f>IF($C48="","",VLOOKUP($C48,Orders!$A$4:$J$303,4,FALSE))</f>
        <v/>
      </c>
      <c r="H48" s="22"/>
      <c r="I48" s="40" t="str">
        <f t="shared" si="1"/>
        <v/>
      </c>
      <c r="J48" s="40" t="str">
        <f t="shared" si="2"/>
        <v/>
      </c>
      <c r="K48" s="40" t="str">
        <f>IF($C48="","",VLOOKUP($C48,Orders!$A$4:$J$303,5,FALSE))</f>
        <v/>
      </c>
      <c r="L48" s="22"/>
      <c r="M48" s="40" t="str">
        <f t="shared" si="3"/>
        <v/>
      </c>
      <c r="N48" s="22"/>
      <c r="O48" s="22"/>
      <c r="P48" s="22" t="str">
        <f t="shared" si="4"/>
        <v/>
      </c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39" t="str">
        <f t="array" ref="AB48">IFERROR(INDEX(Bids!$AA:$AA, MATCH(C48&amp;"|"&amp;B48, Bids!$AD:$AD,0)),"")</f>
        <v/>
      </c>
      <c r="AC48" s="39" t="str">
        <f t="array" ref="AC48">IFERROR(INDEX(Bids!$AB:$AB, MATCH(C48&amp;"|"&amp;B48, Bids!$AD:$AD,0)),"")</f>
        <v/>
      </c>
      <c r="AD48" s="39" t="str">
        <f t="array" ref="AD48">IFERROR(INDEX(Bids!$AC:$AC, MATCH(C48&amp;"|"&amp;B48, Bids!$AD:$AD,0)), H48)</f>
        <v/>
      </c>
      <c r="AE48" s="39"/>
      <c r="AG48" s="39"/>
      <c r="AH48" s="39" t="str">
        <f t="shared" si="5"/>
        <v/>
      </c>
      <c r="AI48" s="39" t="str">
        <f t="shared" si="6"/>
        <v/>
      </c>
      <c r="AM48" s="39" t="str">
        <f t="array" ref="AM48">IF(C48="","",IFERROR(XLOOKUP(C48,Orders!$A:$A,Orders!$E:$E,""),""))</f>
        <v/>
      </c>
      <c r="AN48" s="39" t="str">
        <f t="shared" si="7"/>
        <v/>
      </c>
      <c r="AO48" s="39" t="str">
        <f t="shared" si="8"/>
        <v/>
      </c>
      <c r="AP48" s="39" t="str">
        <f t="shared" si="9"/>
        <v/>
      </c>
      <c r="AQ48" s="39" t="str">
        <f t="shared" si="10"/>
        <v/>
      </c>
      <c r="AR48" s="39" t="str">
        <f t="shared" si="11"/>
        <v/>
      </c>
      <c r="AS48" s="39" t="str">
        <f t="shared" si="12"/>
        <v/>
      </c>
      <c r="AT48" s="39" t="str">
        <f t="shared" si="13"/>
        <v/>
      </c>
      <c r="AU48" s="39" t="str">
        <f t="shared" si="14"/>
        <v/>
      </c>
    </row>
    <row r="49" ht="15.75" customHeight="1">
      <c r="A49" s="22"/>
      <c r="B49" s="22"/>
      <c r="C49" s="22"/>
      <c r="D49" s="22"/>
      <c r="E49" s="40"/>
      <c r="F49" s="40" t="str">
        <f>IF($C49="","",VLOOKUP($C49,Orders!$A$4:$J$303,3,FALSE))</f>
        <v/>
      </c>
      <c r="G49" s="40" t="str">
        <f>IF($C49="","",VLOOKUP($C49,Orders!$A$4:$J$303,4,FALSE))</f>
        <v/>
      </c>
      <c r="H49" s="22"/>
      <c r="I49" s="40" t="str">
        <f t="shared" si="1"/>
        <v/>
      </c>
      <c r="J49" s="40" t="str">
        <f t="shared" si="2"/>
        <v/>
      </c>
      <c r="K49" s="40" t="str">
        <f>IF($C49="","",VLOOKUP($C49,Orders!$A$4:$J$303,5,FALSE))</f>
        <v/>
      </c>
      <c r="L49" s="22"/>
      <c r="M49" s="40" t="str">
        <f t="shared" si="3"/>
        <v/>
      </c>
      <c r="N49" s="22"/>
      <c r="O49" s="22"/>
      <c r="P49" s="22" t="str">
        <f t="shared" si="4"/>
        <v/>
      </c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39" t="str">
        <f t="array" ref="AB49">IFERROR(INDEX(Bids!$AA:$AA, MATCH(C49&amp;"|"&amp;B49, Bids!$AD:$AD,0)),"")</f>
        <v/>
      </c>
      <c r="AC49" s="39" t="str">
        <f t="array" ref="AC49">IFERROR(INDEX(Bids!$AB:$AB, MATCH(C49&amp;"|"&amp;B49, Bids!$AD:$AD,0)),"")</f>
        <v/>
      </c>
      <c r="AD49" s="39" t="str">
        <f t="array" ref="AD49">IFERROR(INDEX(Bids!$AC:$AC, MATCH(C49&amp;"|"&amp;B49, Bids!$AD:$AD,0)), H49)</f>
        <v/>
      </c>
      <c r="AE49" s="39"/>
      <c r="AG49" s="39"/>
      <c r="AH49" s="39" t="str">
        <f t="shared" si="5"/>
        <v/>
      </c>
      <c r="AI49" s="39" t="str">
        <f t="shared" si="6"/>
        <v/>
      </c>
      <c r="AM49" s="39" t="str">
        <f t="array" ref="AM49">IF(C49="","",IFERROR(XLOOKUP(C49,Orders!$A:$A,Orders!$E:$E,""),""))</f>
        <v/>
      </c>
      <c r="AN49" s="39" t="str">
        <f t="shared" si="7"/>
        <v/>
      </c>
      <c r="AO49" s="39" t="str">
        <f t="shared" si="8"/>
        <v/>
      </c>
      <c r="AP49" s="39" t="str">
        <f t="shared" si="9"/>
        <v/>
      </c>
      <c r="AQ49" s="39" t="str">
        <f t="shared" si="10"/>
        <v/>
      </c>
      <c r="AR49" s="39" t="str">
        <f t="shared" si="11"/>
        <v/>
      </c>
      <c r="AS49" s="39" t="str">
        <f t="shared" si="12"/>
        <v/>
      </c>
      <c r="AT49" s="39" t="str">
        <f t="shared" si="13"/>
        <v/>
      </c>
      <c r="AU49" s="39" t="str">
        <f t="shared" si="14"/>
        <v/>
      </c>
    </row>
    <row r="50" ht="15.75" customHeight="1">
      <c r="A50" s="22"/>
      <c r="B50" s="22"/>
      <c r="C50" s="22"/>
      <c r="D50" s="22"/>
      <c r="E50" s="40"/>
      <c r="F50" s="40" t="str">
        <f>IF($C50="","",VLOOKUP($C50,Orders!$A$4:$J$303,3,FALSE))</f>
        <v/>
      </c>
      <c r="G50" s="40" t="str">
        <f>IF($C50="","",VLOOKUP($C50,Orders!$A$4:$J$303,4,FALSE))</f>
        <v/>
      </c>
      <c r="H50" s="22"/>
      <c r="I50" s="40" t="str">
        <f t="shared" si="1"/>
        <v/>
      </c>
      <c r="J50" s="40" t="str">
        <f t="shared" si="2"/>
        <v/>
      </c>
      <c r="K50" s="40" t="str">
        <f>IF($C50="","",VLOOKUP($C50,Orders!$A$4:$J$303,5,FALSE))</f>
        <v/>
      </c>
      <c r="L50" s="22"/>
      <c r="M50" s="40" t="str">
        <f t="shared" si="3"/>
        <v/>
      </c>
      <c r="N50" s="22"/>
      <c r="O50" s="22"/>
      <c r="P50" s="22" t="str">
        <f t="shared" si="4"/>
        <v/>
      </c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39" t="str">
        <f t="array" ref="AB50">IFERROR(INDEX(Bids!$AA:$AA, MATCH(C50&amp;"|"&amp;B50, Bids!$AD:$AD,0)),"")</f>
        <v/>
      </c>
      <c r="AC50" s="39" t="str">
        <f t="array" ref="AC50">IFERROR(INDEX(Bids!$AB:$AB, MATCH(C50&amp;"|"&amp;B50, Bids!$AD:$AD,0)),"")</f>
        <v/>
      </c>
      <c r="AD50" s="39" t="str">
        <f t="array" ref="AD50">IFERROR(INDEX(Bids!$AC:$AC, MATCH(C50&amp;"|"&amp;B50, Bids!$AD:$AD,0)), H50)</f>
        <v/>
      </c>
      <c r="AE50" s="39"/>
      <c r="AG50" s="39"/>
      <c r="AH50" s="39" t="str">
        <f t="shared" si="5"/>
        <v/>
      </c>
      <c r="AI50" s="39" t="str">
        <f t="shared" si="6"/>
        <v/>
      </c>
      <c r="AM50" s="39" t="str">
        <f t="array" ref="AM50">IF(C50="","",IFERROR(XLOOKUP(C50,Orders!$A:$A,Orders!$E:$E,""),""))</f>
        <v/>
      </c>
      <c r="AN50" s="39" t="str">
        <f t="shared" si="7"/>
        <v/>
      </c>
      <c r="AO50" s="39" t="str">
        <f t="shared" si="8"/>
        <v/>
      </c>
      <c r="AP50" s="39" t="str">
        <f t="shared" si="9"/>
        <v/>
      </c>
      <c r="AQ50" s="39" t="str">
        <f t="shared" si="10"/>
        <v/>
      </c>
      <c r="AR50" s="39" t="str">
        <f t="shared" si="11"/>
        <v/>
      </c>
      <c r="AS50" s="39" t="str">
        <f t="shared" si="12"/>
        <v/>
      </c>
      <c r="AT50" s="39" t="str">
        <f t="shared" si="13"/>
        <v/>
      </c>
      <c r="AU50" s="39" t="str">
        <f t="shared" si="14"/>
        <v/>
      </c>
    </row>
    <row r="51" ht="15.75" customHeight="1">
      <c r="A51" s="22"/>
      <c r="B51" s="22"/>
      <c r="C51" s="22"/>
      <c r="D51" s="22"/>
      <c r="E51" s="40"/>
      <c r="F51" s="40" t="str">
        <f>IF($C51="","",VLOOKUP($C51,Orders!$A$4:$J$303,3,FALSE))</f>
        <v/>
      </c>
      <c r="G51" s="40" t="str">
        <f>IF($C51="","",VLOOKUP($C51,Orders!$A$4:$J$303,4,FALSE))</f>
        <v/>
      </c>
      <c r="H51" s="22"/>
      <c r="I51" s="40" t="str">
        <f t="shared" si="1"/>
        <v/>
      </c>
      <c r="J51" s="40" t="str">
        <f t="shared" si="2"/>
        <v/>
      </c>
      <c r="K51" s="40" t="str">
        <f>IF($C51="","",VLOOKUP($C51,Orders!$A$4:$J$303,5,FALSE))</f>
        <v/>
      </c>
      <c r="L51" s="22"/>
      <c r="M51" s="40" t="str">
        <f t="shared" si="3"/>
        <v/>
      </c>
      <c r="N51" s="22"/>
      <c r="O51" s="22"/>
      <c r="P51" s="22" t="str">
        <f t="shared" si="4"/>
        <v/>
      </c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39" t="str">
        <f t="array" ref="AB51">IFERROR(INDEX(Bids!$AA:$AA, MATCH(C51&amp;"|"&amp;B51, Bids!$AD:$AD,0)),"")</f>
        <v/>
      </c>
      <c r="AC51" s="39" t="str">
        <f t="array" ref="AC51">IFERROR(INDEX(Bids!$AB:$AB, MATCH(C51&amp;"|"&amp;B51, Bids!$AD:$AD,0)),"")</f>
        <v/>
      </c>
      <c r="AD51" s="39" t="str">
        <f t="array" ref="AD51">IFERROR(INDEX(Bids!$AC:$AC, MATCH(C51&amp;"|"&amp;B51, Bids!$AD:$AD,0)), H51)</f>
        <v/>
      </c>
      <c r="AE51" s="39"/>
      <c r="AG51" s="39"/>
      <c r="AH51" s="39" t="str">
        <f t="shared" si="5"/>
        <v/>
      </c>
      <c r="AI51" s="39" t="str">
        <f t="shared" si="6"/>
        <v/>
      </c>
      <c r="AM51" s="39" t="str">
        <f t="array" ref="AM51">IF(C51="","",IFERROR(XLOOKUP(C51,Orders!$A:$A,Orders!$E:$E,""),""))</f>
        <v/>
      </c>
      <c r="AN51" s="39" t="str">
        <f t="shared" si="7"/>
        <v/>
      </c>
      <c r="AO51" s="39" t="str">
        <f t="shared" si="8"/>
        <v/>
      </c>
      <c r="AP51" s="39" t="str">
        <f t="shared" si="9"/>
        <v/>
      </c>
      <c r="AQ51" s="39" t="str">
        <f t="shared" si="10"/>
        <v/>
      </c>
      <c r="AR51" s="39" t="str">
        <f t="shared" si="11"/>
        <v/>
      </c>
      <c r="AS51" s="39" t="str">
        <f t="shared" si="12"/>
        <v/>
      </c>
      <c r="AT51" s="39" t="str">
        <f t="shared" si="13"/>
        <v/>
      </c>
      <c r="AU51" s="39" t="str">
        <f t="shared" si="14"/>
        <v/>
      </c>
    </row>
    <row r="52" ht="15.75" customHeight="1">
      <c r="A52" s="22"/>
      <c r="B52" s="22"/>
      <c r="C52" s="22"/>
      <c r="D52" s="22"/>
      <c r="E52" s="40"/>
      <c r="F52" s="40" t="str">
        <f>IF($C52="","",VLOOKUP($C52,Orders!$A$4:$J$303,3,FALSE))</f>
        <v/>
      </c>
      <c r="G52" s="40" t="str">
        <f>IF($C52="","",VLOOKUP($C52,Orders!$A$4:$J$303,4,FALSE))</f>
        <v/>
      </c>
      <c r="H52" s="22"/>
      <c r="I52" s="40" t="str">
        <f t="shared" si="1"/>
        <v/>
      </c>
      <c r="J52" s="40" t="str">
        <f t="shared" si="2"/>
        <v/>
      </c>
      <c r="K52" s="40" t="str">
        <f>IF($C52="","",VLOOKUP($C52,Orders!$A$4:$J$303,5,FALSE))</f>
        <v/>
      </c>
      <c r="L52" s="22"/>
      <c r="M52" s="40" t="str">
        <f t="shared" si="3"/>
        <v/>
      </c>
      <c r="N52" s="22"/>
      <c r="O52" s="22"/>
      <c r="P52" s="22" t="str">
        <f t="shared" si="4"/>
        <v/>
      </c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39" t="str">
        <f t="array" ref="AB52">IFERROR(INDEX(Bids!$AA:$AA, MATCH(C52&amp;"|"&amp;B52, Bids!$AD:$AD,0)),"")</f>
        <v/>
      </c>
      <c r="AC52" s="39" t="str">
        <f t="array" ref="AC52">IFERROR(INDEX(Bids!$AB:$AB, MATCH(C52&amp;"|"&amp;B52, Bids!$AD:$AD,0)),"")</f>
        <v/>
      </c>
      <c r="AD52" s="39" t="str">
        <f t="array" ref="AD52">IFERROR(INDEX(Bids!$AC:$AC, MATCH(C52&amp;"|"&amp;B52, Bids!$AD:$AD,0)), H52)</f>
        <v/>
      </c>
      <c r="AE52" s="39"/>
      <c r="AG52" s="39"/>
      <c r="AH52" s="39" t="str">
        <f t="shared" si="5"/>
        <v/>
      </c>
      <c r="AI52" s="39" t="str">
        <f t="shared" si="6"/>
        <v/>
      </c>
      <c r="AM52" s="39" t="str">
        <f t="array" ref="AM52">IF(C52="","",IFERROR(XLOOKUP(C52,Orders!$A:$A,Orders!$E:$E,""),""))</f>
        <v/>
      </c>
      <c r="AN52" s="39" t="str">
        <f t="shared" si="7"/>
        <v/>
      </c>
      <c r="AO52" s="39" t="str">
        <f t="shared" si="8"/>
        <v/>
      </c>
      <c r="AP52" s="39" t="str">
        <f t="shared" si="9"/>
        <v/>
      </c>
      <c r="AQ52" s="39" t="str">
        <f t="shared" si="10"/>
        <v/>
      </c>
      <c r="AR52" s="39" t="str">
        <f t="shared" si="11"/>
        <v/>
      </c>
      <c r="AS52" s="39" t="str">
        <f t="shared" si="12"/>
        <v/>
      </c>
      <c r="AT52" s="39" t="str">
        <f t="shared" si="13"/>
        <v/>
      </c>
      <c r="AU52" s="39" t="str">
        <f t="shared" si="14"/>
        <v/>
      </c>
    </row>
    <row r="53" ht="15.75" customHeight="1">
      <c r="A53" s="22"/>
      <c r="B53" s="22"/>
      <c r="C53" s="22"/>
      <c r="D53" s="22"/>
      <c r="E53" s="40"/>
      <c r="F53" s="40" t="str">
        <f>IF($C53="","",VLOOKUP($C53,Orders!$A$4:$J$303,3,FALSE))</f>
        <v/>
      </c>
      <c r="G53" s="40" t="str">
        <f>IF($C53="","",VLOOKUP($C53,Orders!$A$4:$J$303,4,FALSE))</f>
        <v/>
      </c>
      <c r="H53" s="22"/>
      <c r="I53" s="40" t="str">
        <f t="shared" si="1"/>
        <v/>
      </c>
      <c r="J53" s="40" t="str">
        <f t="shared" si="2"/>
        <v/>
      </c>
      <c r="K53" s="40" t="str">
        <f>IF($C53="","",VLOOKUP($C53,Orders!$A$4:$J$303,5,FALSE))</f>
        <v/>
      </c>
      <c r="L53" s="22"/>
      <c r="M53" s="40" t="str">
        <f t="shared" si="3"/>
        <v/>
      </c>
      <c r="N53" s="22"/>
      <c r="O53" s="22"/>
      <c r="P53" s="22" t="str">
        <f t="shared" si="4"/>
        <v/>
      </c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39" t="str">
        <f t="array" ref="AB53">IFERROR(INDEX(Bids!$AA:$AA, MATCH(C53&amp;"|"&amp;B53, Bids!$AD:$AD,0)),"")</f>
        <v/>
      </c>
      <c r="AC53" s="39" t="str">
        <f t="array" ref="AC53">IFERROR(INDEX(Bids!$AB:$AB, MATCH(C53&amp;"|"&amp;B53, Bids!$AD:$AD,0)),"")</f>
        <v/>
      </c>
      <c r="AD53" s="39" t="str">
        <f t="array" ref="AD53">IFERROR(INDEX(Bids!$AC:$AC, MATCH(C53&amp;"|"&amp;B53, Bids!$AD:$AD,0)), H53)</f>
        <v/>
      </c>
      <c r="AE53" s="39"/>
      <c r="AG53" s="39"/>
      <c r="AH53" s="39" t="str">
        <f t="shared" si="5"/>
        <v/>
      </c>
      <c r="AI53" s="39" t="str">
        <f t="shared" si="6"/>
        <v/>
      </c>
      <c r="AM53" s="39" t="str">
        <f t="array" ref="AM53">IF(C53="","",IFERROR(XLOOKUP(C53,Orders!$A:$A,Orders!$E:$E,""),""))</f>
        <v/>
      </c>
      <c r="AN53" s="39" t="str">
        <f t="shared" si="7"/>
        <v/>
      </c>
      <c r="AO53" s="39" t="str">
        <f t="shared" si="8"/>
        <v/>
      </c>
      <c r="AP53" s="39" t="str">
        <f t="shared" si="9"/>
        <v/>
      </c>
      <c r="AQ53" s="39" t="str">
        <f t="shared" si="10"/>
        <v/>
      </c>
      <c r="AR53" s="39" t="str">
        <f t="shared" si="11"/>
        <v/>
      </c>
      <c r="AS53" s="39" t="str">
        <f t="shared" si="12"/>
        <v/>
      </c>
      <c r="AT53" s="39" t="str">
        <f t="shared" si="13"/>
        <v/>
      </c>
      <c r="AU53" s="39" t="str">
        <f t="shared" si="14"/>
        <v/>
      </c>
    </row>
    <row r="54" ht="15.75" customHeight="1">
      <c r="A54" s="22"/>
      <c r="B54" s="22"/>
      <c r="C54" s="22"/>
      <c r="D54" s="22"/>
      <c r="E54" s="40"/>
      <c r="F54" s="40" t="str">
        <f>IF($C54="","",VLOOKUP($C54,Orders!$A$4:$J$303,3,FALSE))</f>
        <v/>
      </c>
      <c r="G54" s="40" t="str">
        <f>IF($C54="","",VLOOKUP($C54,Orders!$A$4:$J$303,4,FALSE))</f>
        <v/>
      </c>
      <c r="H54" s="22"/>
      <c r="I54" s="40" t="str">
        <f t="shared" si="1"/>
        <v/>
      </c>
      <c r="J54" s="40" t="str">
        <f t="shared" si="2"/>
        <v/>
      </c>
      <c r="K54" s="40" t="str">
        <f>IF($C54="","",VLOOKUP($C54,Orders!$A$4:$J$303,5,FALSE))</f>
        <v/>
      </c>
      <c r="L54" s="22"/>
      <c r="M54" s="40" t="str">
        <f t="shared" si="3"/>
        <v/>
      </c>
      <c r="N54" s="22"/>
      <c r="O54" s="22"/>
      <c r="P54" s="22" t="str">
        <f t="shared" si="4"/>
        <v/>
      </c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39" t="str">
        <f t="array" ref="AB54">IFERROR(INDEX(Bids!$AA:$AA, MATCH(C54&amp;"|"&amp;B54, Bids!$AD:$AD,0)),"")</f>
        <v/>
      </c>
      <c r="AC54" s="39" t="str">
        <f t="array" ref="AC54">IFERROR(INDEX(Bids!$AB:$AB, MATCH(C54&amp;"|"&amp;B54, Bids!$AD:$AD,0)),"")</f>
        <v/>
      </c>
      <c r="AD54" s="39" t="str">
        <f t="array" ref="AD54">IFERROR(INDEX(Bids!$AC:$AC, MATCH(C54&amp;"|"&amp;B54, Bids!$AD:$AD,0)), H54)</f>
        <v/>
      </c>
      <c r="AE54" s="39"/>
      <c r="AG54" s="39"/>
      <c r="AH54" s="39" t="str">
        <f t="shared" si="5"/>
        <v/>
      </c>
      <c r="AI54" s="39" t="str">
        <f t="shared" si="6"/>
        <v/>
      </c>
      <c r="AM54" s="39" t="str">
        <f t="array" ref="AM54">IF(C54="","",IFERROR(XLOOKUP(C54,Orders!$A:$A,Orders!$E:$E,""),""))</f>
        <v/>
      </c>
      <c r="AN54" s="39" t="str">
        <f t="shared" si="7"/>
        <v/>
      </c>
      <c r="AO54" s="39" t="str">
        <f t="shared" si="8"/>
        <v/>
      </c>
      <c r="AP54" s="39" t="str">
        <f t="shared" si="9"/>
        <v/>
      </c>
      <c r="AQ54" s="39" t="str">
        <f t="shared" si="10"/>
        <v/>
      </c>
      <c r="AR54" s="39" t="str">
        <f t="shared" si="11"/>
        <v/>
      </c>
      <c r="AS54" s="39" t="str">
        <f t="shared" si="12"/>
        <v/>
      </c>
      <c r="AT54" s="39" t="str">
        <f t="shared" si="13"/>
        <v/>
      </c>
      <c r="AU54" s="39" t="str">
        <f t="shared" si="14"/>
        <v/>
      </c>
    </row>
    <row r="55" ht="15.75" customHeight="1">
      <c r="A55" s="22"/>
      <c r="B55" s="22"/>
      <c r="C55" s="22"/>
      <c r="D55" s="22"/>
      <c r="E55" s="40"/>
      <c r="F55" s="40" t="str">
        <f>IF($C55="","",VLOOKUP($C55,Orders!$A$4:$J$303,3,FALSE))</f>
        <v/>
      </c>
      <c r="G55" s="40" t="str">
        <f>IF($C55="","",VLOOKUP($C55,Orders!$A$4:$J$303,4,FALSE))</f>
        <v/>
      </c>
      <c r="H55" s="22"/>
      <c r="I55" s="40" t="str">
        <f t="shared" si="1"/>
        <v/>
      </c>
      <c r="J55" s="40" t="str">
        <f t="shared" si="2"/>
        <v/>
      </c>
      <c r="K55" s="40" t="str">
        <f>IF($C55="","",VLOOKUP($C55,Orders!$A$4:$J$303,5,FALSE))</f>
        <v/>
      </c>
      <c r="L55" s="22"/>
      <c r="M55" s="40" t="str">
        <f t="shared" si="3"/>
        <v/>
      </c>
      <c r="N55" s="22"/>
      <c r="O55" s="22"/>
      <c r="P55" s="22" t="str">
        <f t="shared" si="4"/>
        <v/>
      </c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39" t="str">
        <f t="array" ref="AB55">IFERROR(INDEX(Bids!$AA:$AA, MATCH(C55&amp;"|"&amp;B55, Bids!$AD:$AD,0)),"")</f>
        <v/>
      </c>
      <c r="AC55" s="39" t="str">
        <f t="array" ref="AC55">IFERROR(INDEX(Bids!$AB:$AB, MATCH(C55&amp;"|"&amp;B55, Bids!$AD:$AD,0)),"")</f>
        <v/>
      </c>
      <c r="AD55" s="39" t="str">
        <f t="array" ref="AD55">IFERROR(INDEX(Bids!$AC:$AC, MATCH(C55&amp;"|"&amp;B55, Bids!$AD:$AD,0)), H55)</f>
        <v/>
      </c>
      <c r="AE55" s="39"/>
      <c r="AG55" s="39"/>
      <c r="AH55" s="39" t="str">
        <f t="shared" si="5"/>
        <v/>
      </c>
      <c r="AI55" s="39" t="str">
        <f t="shared" si="6"/>
        <v/>
      </c>
      <c r="AM55" s="39" t="str">
        <f t="array" ref="AM55">IF(C55="","",IFERROR(XLOOKUP(C55,Orders!$A:$A,Orders!$E:$E,""),""))</f>
        <v/>
      </c>
      <c r="AN55" s="39" t="str">
        <f t="shared" si="7"/>
        <v/>
      </c>
      <c r="AO55" s="39" t="str">
        <f t="shared" si="8"/>
        <v/>
      </c>
      <c r="AP55" s="39" t="str">
        <f t="shared" si="9"/>
        <v/>
      </c>
      <c r="AQ55" s="39" t="str">
        <f t="shared" si="10"/>
        <v/>
      </c>
      <c r="AR55" s="39" t="str">
        <f t="shared" si="11"/>
        <v/>
      </c>
      <c r="AS55" s="39" t="str">
        <f t="shared" si="12"/>
        <v/>
      </c>
      <c r="AT55" s="39" t="str">
        <f t="shared" si="13"/>
        <v/>
      </c>
      <c r="AU55" s="39" t="str">
        <f t="shared" si="14"/>
        <v/>
      </c>
    </row>
    <row r="56" ht="15.75" customHeight="1">
      <c r="A56" s="22"/>
      <c r="B56" s="22"/>
      <c r="C56" s="22"/>
      <c r="D56" s="22"/>
      <c r="E56" s="40"/>
      <c r="F56" s="40" t="str">
        <f>IF($C56="","",VLOOKUP($C56,Orders!$A$4:$J$303,3,FALSE))</f>
        <v/>
      </c>
      <c r="G56" s="40" t="str">
        <f>IF($C56="","",VLOOKUP($C56,Orders!$A$4:$J$303,4,FALSE))</f>
        <v/>
      </c>
      <c r="H56" s="22"/>
      <c r="I56" s="40" t="str">
        <f t="shared" si="1"/>
        <v/>
      </c>
      <c r="J56" s="40" t="str">
        <f t="shared" si="2"/>
        <v/>
      </c>
      <c r="K56" s="40" t="str">
        <f>IF($C56="","",VLOOKUP($C56,Orders!$A$4:$J$303,5,FALSE))</f>
        <v/>
      </c>
      <c r="L56" s="22"/>
      <c r="M56" s="40" t="str">
        <f t="shared" si="3"/>
        <v/>
      </c>
      <c r="N56" s="22"/>
      <c r="O56" s="22"/>
      <c r="P56" s="22" t="str">
        <f t="shared" si="4"/>
        <v/>
      </c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39" t="str">
        <f t="array" ref="AB56">IFERROR(INDEX(Bids!$AA:$AA, MATCH(C56&amp;"|"&amp;B56, Bids!$AD:$AD,0)),"")</f>
        <v/>
      </c>
      <c r="AC56" s="39" t="str">
        <f t="array" ref="AC56">IFERROR(INDEX(Bids!$AB:$AB, MATCH(C56&amp;"|"&amp;B56, Bids!$AD:$AD,0)),"")</f>
        <v/>
      </c>
      <c r="AD56" s="39" t="str">
        <f t="array" ref="AD56">IFERROR(INDEX(Bids!$AC:$AC, MATCH(C56&amp;"|"&amp;B56, Bids!$AD:$AD,0)), H56)</f>
        <v/>
      </c>
      <c r="AE56" s="39"/>
      <c r="AG56" s="39"/>
      <c r="AH56" s="39" t="str">
        <f t="shared" si="5"/>
        <v/>
      </c>
      <c r="AI56" s="39" t="str">
        <f t="shared" si="6"/>
        <v/>
      </c>
      <c r="AM56" s="39" t="str">
        <f t="array" ref="AM56">IF(C56="","",IFERROR(XLOOKUP(C56,Orders!$A:$A,Orders!$E:$E,""),""))</f>
        <v/>
      </c>
      <c r="AN56" s="39" t="str">
        <f t="shared" si="7"/>
        <v/>
      </c>
      <c r="AO56" s="39" t="str">
        <f t="shared" si="8"/>
        <v/>
      </c>
      <c r="AP56" s="39" t="str">
        <f t="shared" si="9"/>
        <v/>
      </c>
      <c r="AQ56" s="39" t="str">
        <f t="shared" si="10"/>
        <v/>
      </c>
      <c r="AR56" s="39" t="str">
        <f t="shared" si="11"/>
        <v/>
      </c>
      <c r="AS56" s="39" t="str">
        <f t="shared" si="12"/>
        <v/>
      </c>
      <c r="AT56" s="39" t="str">
        <f t="shared" si="13"/>
        <v/>
      </c>
      <c r="AU56" s="39" t="str">
        <f t="shared" si="14"/>
        <v/>
      </c>
    </row>
    <row r="57" ht="15.75" customHeight="1">
      <c r="A57" s="22"/>
      <c r="B57" s="22"/>
      <c r="C57" s="22"/>
      <c r="D57" s="22"/>
      <c r="E57" s="40"/>
      <c r="F57" s="40" t="str">
        <f>IF($C57="","",VLOOKUP($C57,Orders!$A$4:$J$303,3,FALSE))</f>
        <v/>
      </c>
      <c r="G57" s="40" t="str">
        <f>IF($C57="","",VLOOKUP($C57,Orders!$A$4:$J$303,4,FALSE))</f>
        <v/>
      </c>
      <c r="H57" s="22"/>
      <c r="I57" s="40" t="str">
        <f t="shared" si="1"/>
        <v/>
      </c>
      <c r="J57" s="40" t="str">
        <f t="shared" si="2"/>
        <v/>
      </c>
      <c r="K57" s="40" t="str">
        <f>IF($C57="","",VLOOKUP($C57,Orders!$A$4:$J$303,5,FALSE))</f>
        <v/>
      </c>
      <c r="L57" s="22"/>
      <c r="M57" s="40" t="str">
        <f t="shared" si="3"/>
        <v/>
      </c>
      <c r="N57" s="22"/>
      <c r="O57" s="22"/>
      <c r="P57" s="22" t="str">
        <f t="shared" si="4"/>
        <v/>
      </c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39" t="str">
        <f t="array" ref="AB57">IFERROR(INDEX(Bids!$AA:$AA, MATCH(C57&amp;"|"&amp;B57, Bids!$AD:$AD,0)),"")</f>
        <v/>
      </c>
      <c r="AC57" s="39" t="str">
        <f t="array" ref="AC57">IFERROR(INDEX(Bids!$AB:$AB, MATCH(C57&amp;"|"&amp;B57, Bids!$AD:$AD,0)),"")</f>
        <v/>
      </c>
      <c r="AD57" s="39" t="str">
        <f t="array" ref="AD57">IFERROR(INDEX(Bids!$AC:$AC, MATCH(C57&amp;"|"&amp;B57, Bids!$AD:$AD,0)), H57)</f>
        <v/>
      </c>
      <c r="AE57" s="39"/>
      <c r="AG57" s="39"/>
      <c r="AH57" s="39" t="str">
        <f t="shared" si="5"/>
        <v/>
      </c>
      <c r="AI57" s="39" t="str">
        <f t="shared" si="6"/>
        <v/>
      </c>
      <c r="AM57" s="39" t="str">
        <f t="array" ref="AM57">IF(C57="","",IFERROR(XLOOKUP(C57,Orders!$A:$A,Orders!$E:$E,""),""))</f>
        <v/>
      </c>
      <c r="AN57" s="39" t="str">
        <f t="shared" si="7"/>
        <v/>
      </c>
      <c r="AO57" s="39" t="str">
        <f t="shared" si="8"/>
        <v/>
      </c>
      <c r="AP57" s="39" t="str">
        <f t="shared" si="9"/>
        <v/>
      </c>
      <c r="AQ57" s="39" t="str">
        <f t="shared" si="10"/>
        <v/>
      </c>
      <c r="AR57" s="39" t="str">
        <f t="shared" si="11"/>
        <v/>
      </c>
      <c r="AS57" s="39" t="str">
        <f t="shared" si="12"/>
        <v/>
      </c>
      <c r="AT57" s="39" t="str">
        <f t="shared" si="13"/>
        <v/>
      </c>
      <c r="AU57" s="39" t="str">
        <f t="shared" si="14"/>
        <v/>
      </c>
    </row>
    <row r="58" ht="15.75" customHeight="1">
      <c r="A58" s="22"/>
      <c r="B58" s="22"/>
      <c r="C58" s="22"/>
      <c r="D58" s="22"/>
      <c r="E58" s="40"/>
      <c r="F58" s="40" t="str">
        <f>IF($C58="","",VLOOKUP($C58,Orders!$A$4:$J$303,3,FALSE))</f>
        <v/>
      </c>
      <c r="G58" s="40" t="str">
        <f>IF($C58="","",VLOOKUP($C58,Orders!$A$4:$J$303,4,FALSE))</f>
        <v/>
      </c>
      <c r="H58" s="22"/>
      <c r="I58" s="40" t="str">
        <f t="shared" si="1"/>
        <v/>
      </c>
      <c r="J58" s="40" t="str">
        <f t="shared" si="2"/>
        <v/>
      </c>
      <c r="K58" s="40" t="str">
        <f>IF($C58="","",VLOOKUP($C58,Orders!$A$4:$J$303,5,FALSE))</f>
        <v/>
      </c>
      <c r="L58" s="22"/>
      <c r="M58" s="40" t="str">
        <f t="shared" si="3"/>
        <v/>
      </c>
      <c r="N58" s="22"/>
      <c r="O58" s="22"/>
      <c r="P58" s="22" t="str">
        <f t="shared" si="4"/>
        <v/>
      </c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39" t="str">
        <f t="array" ref="AB58">IFERROR(INDEX(Bids!$AA:$AA, MATCH(C58&amp;"|"&amp;B58, Bids!$AD:$AD,0)),"")</f>
        <v/>
      </c>
      <c r="AC58" s="39" t="str">
        <f t="array" ref="AC58">IFERROR(INDEX(Bids!$AB:$AB, MATCH(C58&amp;"|"&amp;B58, Bids!$AD:$AD,0)),"")</f>
        <v/>
      </c>
      <c r="AD58" s="39" t="str">
        <f t="array" ref="AD58">IFERROR(INDEX(Bids!$AC:$AC, MATCH(C58&amp;"|"&amp;B58, Bids!$AD:$AD,0)), H58)</f>
        <v/>
      </c>
      <c r="AE58" s="39"/>
      <c r="AG58" s="39"/>
      <c r="AH58" s="39" t="str">
        <f t="shared" si="5"/>
        <v/>
      </c>
      <c r="AI58" s="39" t="str">
        <f t="shared" si="6"/>
        <v/>
      </c>
      <c r="AM58" s="39" t="str">
        <f t="array" ref="AM58">IF(C58="","",IFERROR(XLOOKUP(C58,Orders!$A:$A,Orders!$E:$E,""),""))</f>
        <v/>
      </c>
      <c r="AN58" s="39" t="str">
        <f t="shared" si="7"/>
        <v/>
      </c>
      <c r="AO58" s="39" t="str">
        <f t="shared" si="8"/>
        <v/>
      </c>
      <c r="AP58" s="39" t="str">
        <f t="shared" si="9"/>
        <v/>
      </c>
      <c r="AQ58" s="39" t="str">
        <f t="shared" si="10"/>
        <v/>
      </c>
      <c r="AR58" s="39" t="str">
        <f t="shared" si="11"/>
        <v/>
      </c>
      <c r="AS58" s="39" t="str">
        <f t="shared" si="12"/>
        <v/>
      </c>
      <c r="AT58" s="39" t="str">
        <f t="shared" si="13"/>
        <v/>
      </c>
      <c r="AU58" s="39" t="str">
        <f t="shared" si="14"/>
        <v/>
      </c>
    </row>
    <row r="59" ht="15.75" customHeight="1">
      <c r="A59" s="22"/>
      <c r="B59" s="22"/>
      <c r="C59" s="22"/>
      <c r="D59" s="22"/>
      <c r="E59" s="40"/>
      <c r="F59" s="40" t="str">
        <f>IF($C59="","",VLOOKUP($C59,Orders!$A$4:$J$303,3,FALSE))</f>
        <v/>
      </c>
      <c r="G59" s="40" t="str">
        <f>IF($C59="","",VLOOKUP($C59,Orders!$A$4:$J$303,4,FALSE))</f>
        <v/>
      </c>
      <c r="H59" s="22"/>
      <c r="I59" s="40" t="str">
        <f t="shared" si="1"/>
        <v/>
      </c>
      <c r="J59" s="40" t="str">
        <f t="shared" si="2"/>
        <v/>
      </c>
      <c r="K59" s="40" t="str">
        <f>IF($C59="","",VLOOKUP($C59,Orders!$A$4:$J$303,5,FALSE))</f>
        <v/>
      </c>
      <c r="L59" s="22"/>
      <c r="M59" s="40" t="str">
        <f t="shared" si="3"/>
        <v/>
      </c>
      <c r="N59" s="22"/>
      <c r="O59" s="22"/>
      <c r="P59" s="22" t="str">
        <f t="shared" si="4"/>
        <v/>
      </c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39" t="str">
        <f t="array" ref="AB59">IFERROR(INDEX(Bids!$AA:$AA, MATCH(C59&amp;"|"&amp;B59, Bids!$AD:$AD,0)),"")</f>
        <v/>
      </c>
      <c r="AC59" s="39" t="str">
        <f t="array" ref="AC59">IFERROR(INDEX(Bids!$AB:$AB, MATCH(C59&amp;"|"&amp;B59, Bids!$AD:$AD,0)),"")</f>
        <v/>
      </c>
      <c r="AD59" s="39" t="str">
        <f t="array" ref="AD59">IFERROR(INDEX(Bids!$AC:$AC, MATCH(C59&amp;"|"&amp;B59, Bids!$AD:$AD,0)), H59)</f>
        <v/>
      </c>
      <c r="AE59" s="39"/>
      <c r="AG59" s="39"/>
      <c r="AH59" s="39" t="str">
        <f t="shared" si="5"/>
        <v/>
      </c>
      <c r="AI59" s="39" t="str">
        <f t="shared" si="6"/>
        <v/>
      </c>
      <c r="AM59" s="39" t="str">
        <f t="array" ref="AM59">IF(C59="","",IFERROR(XLOOKUP(C59,Orders!$A:$A,Orders!$E:$E,""),""))</f>
        <v/>
      </c>
      <c r="AN59" s="39" t="str">
        <f t="shared" si="7"/>
        <v/>
      </c>
      <c r="AO59" s="39" t="str">
        <f t="shared" si="8"/>
        <v/>
      </c>
      <c r="AP59" s="39" t="str">
        <f t="shared" si="9"/>
        <v/>
      </c>
      <c r="AQ59" s="39" t="str">
        <f t="shared" si="10"/>
        <v/>
      </c>
      <c r="AR59" s="39" t="str">
        <f t="shared" si="11"/>
        <v/>
      </c>
      <c r="AS59" s="39" t="str">
        <f t="shared" si="12"/>
        <v/>
      </c>
      <c r="AT59" s="39" t="str">
        <f t="shared" si="13"/>
        <v/>
      </c>
      <c r="AU59" s="39" t="str">
        <f t="shared" si="14"/>
        <v/>
      </c>
    </row>
    <row r="60" ht="15.75" customHeight="1">
      <c r="A60" s="22"/>
      <c r="B60" s="22"/>
      <c r="C60" s="22"/>
      <c r="D60" s="22"/>
      <c r="E60" s="40"/>
      <c r="F60" s="40" t="str">
        <f>IF($C60="","",VLOOKUP($C60,Orders!$A$4:$J$303,3,FALSE))</f>
        <v/>
      </c>
      <c r="G60" s="40" t="str">
        <f>IF($C60="","",VLOOKUP($C60,Orders!$A$4:$J$303,4,FALSE))</f>
        <v/>
      </c>
      <c r="H60" s="22"/>
      <c r="I60" s="40" t="str">
        <f t="shared" si="1"/>
        <v/>
      </c>
      <c r="J60" s="40" t="str">
        <f t="shared" si="2"/>
        <v/>
      </c>
      <c r="K60" s="40" t="str">
        <f>IF($C60="","",VLOOKUP($C60,Orders!$A$4:$J$303,5,FALSE))</f>
        <v/>
      </c>
      <c r="L60" s="22"/>
      <c r="M60" s="40" t="str">
        <f t="shared" si="3"/>
        <v/>
      </c>
      <c r="N60" s="22"/>
      <c r="O60" s="22"/>
      <c r="P60" s="22" t="str">
        <f t="shared" si="4"/>
        <v/>
      </c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39" t="str">
        <f t="array" ref="AB60">IFERROR(INDEX(Bids!$AA:$AA, MATCH(C60&amp;"|"&amp;B60, Bids!$AD:$AD,0)),"")</f>
        <v/>
      </c>
      <c r="AC60" s="39" t="str">
        <f t="array" ref="AC60">IFERROR(INDEX(Bids!$AB:$AB, MATCH(C60&amp;"|"&amp;B60, Bids!$AD:$AD,0)),"")</f>
        <v/>
      </c>
      <c r="AD60" s="39" t="str">
        <f t="array" ref="AD60">IFERROR(INDEX(Bids!$AC:$AC, MATCH(C60&amp;"|"&amp;B60, Bids!$AD:$AD,0)), H60)</f>
        <v/>
      </c>
      <c r="AE60" s="39"/>
      <c r="AG60" s="39"/>
      <c r="AH60" s="39" t="str">
        <f t="shared" si="5"/>
        <v/>
      </c>
      <c r="AI60" s="39" t="str">
        <f t="shared" si="6"/>
        <v/>
      </c>
      <c r="AM60" s="39" t="str">
        <f t="array" ref="AM60">IF(C60="","",IFERROR(XLOOKUP(C60,Orders!$A:$A,Orders!$E:$E,""),""))</f>
        <v/>
      </c>
      <c r="AN60" s="39" t="str">
        <f t="shared" si="7"/>
        <v/>
      </c>
      <c r="AO60" s="39" t="str">
        <f t="shared" si="8"/>
        <v/>
      </c>
      <c r="AP60" s="39" t="str">
        <f t="shared" si="9"/>
        <v/>
      </c>
      <c r="AQ60" s="39" t="str">
        <f t="shared" si="10"/>
        <v/>
      </c>
      <c r="AR60" s="39" t="str">
        <f t="shared" si="11"/>
        <v/>
      </c>
      <c r="AS60" s="39" t="str">
        <f t="shared" si="12"/>
        <v/>
      </c>
      <c r="AT60" s="39" t="str">
        <f t="shared" si="13"/>
        <v/>
      </c>
      <c r="AU60" s="39" t="str">
        <f t="shared" si="14"/>
        <v/>
      </c>
    </row>
    <row r="61" ht="15.75" customHeight="1">
      <c r="A61" s="22"/>
      <c r="B61" s="22"/>
      <c r="C61" s="22"/>
      <c r="D61" s="22"/>
      <c r="E61" s="40"/>
      <c r="F61" s="40" t="str">
        <f>IF($C61="","",VLOOKUP($C61,Orders!$A$4:$J$303,3,FALSE))</f>
        <v/>
      </c>
      <c r="G61" s="40" t="str">
        <f>IF($C61="","",VLOOKUP($C61,Orders!$A$4:$J$303,4,FALSE))</f>
        <v/>
      </c>
      <c r="H61" s="22"/>
      <c r="I61" s="40" t="str">
        <f t="shared" si="1"/>
        <v/>
      </c>
      <c r="J61" s="40" t="str">
        <f t="shared" si="2"/>
        <v/>
      </c>
      <c r="K61" s="40" t="str">
        <f>IF($C61="","",VLOOKUP($C61,Orders!$A$4:$J$303,5,FALSE))</f>
        <v/>
      </c>
      <c r="L61" s="22"/>
      <c r="M61" s="40" t="str">
        <f t="shared" si="3"/>
        <v/>
      </c>
      <c r="N61" s="22"/>
      <c r="O61" s="22"/>
      <c r="P61" s="22" t="str">
        <f t="shared" si="4"/>
        <v/>
      </c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39" t="str">
        <f t="array" ref="AB61">IFERROR(INDEX(Bids!$AA:$AA, MATCH(C61&amp;"|"&amp;B61, Bids!$AD:$AD,0)),"")</f>
        <v/>
      </c>
      <c r="AC61" s="39" t="str">
        <f t="array" ref="AC61">IFERROR(INDEX(Bids!$AB:$AB, MATCH(C61&amp;"|"&amp;B61, Bids!$AD:$AD,0)),"")</f>
        <v/>
      </c>
      <c r="AD61" s="39" t="str">
        <f t="array" ref="AD61">IFERROR(INDEX(Bids!$AC:$AC, MATCH(C61&amp;"|"&amp;B61, Bids!$AD:$AD,0)), H61)</f>
        <v/>
      </c>
      <c r="AE61" s="39"/>
      <c r="AG61" s="39"/>
      <c r="AH61" s="39" t="str">
        <f t="shared" si="5"/>
        <v/>
      </c>
      <c r="AI61" s="39" t="str">
        <f t="shared" si="6"/>
        <v/>
      </c>
      <c r="AM61" s="39" t="str">
        <f t="array" ref="AM61">IF(C61="","",IFERROR(XLOOKUP(C61,Orders!$A:$A,Orders!$E:$E,""),""))</f>
        <v/>
      </c>
      <c r="AN61" s="39" t="str">
        <f t="shared" si="7"/>
        <v/>
      </c>
      <c r="AO61" s="39" t="str">
        <f t="shared" si="8"/>
        <v/>
      </c>
      <c r="AP61" s="39" t="str">
        <f t="shared" si="9"/>
        <v/>
      </c>
      <c r="AQ61" s="39" t="str">
        <f t="shared" si="10"/>
        <v/>
      </c>
      <c r="AR61" s="39" t="str">
        <f t="shared" si="11"/>
        <v/>
      </c>
      <c r="AS61" s="39" t="str">
        <f t="shared" si="12"/>
        <v/>
      </c>
      <c r="AT61" s="39" t="str">
        <f t="shared" si="13"/>
        <v/>
      </c>
      <c r="AU61" s="39" t="str">
        <f t="shared" si="14"/>
        <v/>
      </c>
    </row>
    <row r="62" ht="15.75" customHeight="1">
      <c r="A62" s="22"/>
      <c r="B62" s="22"/>
      <c r="C62" s="22"/>
      <c r="D62" s="22"/>
      <c r="E62" s="40"/>
      <c r="F62" s="40" t="str">
        <f>IF($C62="","",VLOOKUP($C62,Orders!$A$4:$J$303,3,FALSE))</f>
        <v/>
      </c>
      <c r="G62" s="40" t="str">
        <f>IF($C62="","",VLOOKUP($C62,Orders!$A$4:$J$303,4,FALSE))</f>
        <v/>
      </c>
      <c r="H62" s="22"/>
      <c r="I62" s="40" t="str">
        <f t="shared" si="1"/>
        <v/>
      </c>
      <c r="J62" s="40" t="str">
        <f t="shared" si="2"/>
        <v/>
      </c>
      <c r="K62" s="40" t="str">
        <f>IF($C62="","",VLOOKUP($C62,Orders!$A$4:$J$303,5,FALSE))</f>
        <v/>
      </c>
      <c r="L62" s="22"/>
      <c r="M62" s="40" t="str">
        <f t="shared" si="3"/>
        <v/>
      </c>
      <c r="N62" s="22"/>
      <c r="O62" s="22"/>
      <c r="P62" s="22" t="str">
        <f t="shared" si="4"/>
        <v/>
      </c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39" t="str">
        <f t="array" ref="AB62">IFERROR(INDEX(Bids!$AA:$AA, MATCH(C62&amp;"|"&amp;B62, Bids!$AD:$AD,0)),"")</f>
        <v/>
      </c>
      <c r="AC62" s="39" t="str">
        <f t="array" ref="AC62">IFERROR(INDEX(Bids!$AB:$AB, MATCH(C62&amp;"|"&amp;B62, Bids!$AD:$AD,0)),"")</f>
        <v/>
      </c>
      <c r="AD62" s="39" t="str">
        <f t="array" ref="AD62">IFERROR(INDEX(Bids!$AC:$AC, MATCH(C62&amp;"|"&amp;B62, Bids!$AD:$AD,0)), H62)</f>
        <v/>
      </c>
      <c r="AE62" s="39"/>
      <c r="AG62" s="39"/>
      <c r="AH62" s="39" t="str">
        <f t="shared" si="5"/>
        <v/>
      </c>
      <c r="AI62" s="39" t="str">
        <f t="shared" si="6"/>
        <v/>
      </c>
      <c r="AM62" s="39" t="str">
        <f t="array" ref="AM62">IF(C62="","",IFERROR(XLOOKUP(C62,Orders!$A:$A,Orders!$E:$E,""),""))</f>
        <v/>
      </c>
      <c r="AN62" s="39" t="str">
        <f t="shared" si="7"/>
        <v/>
      </c>
      <c r="AO62" s="39" t="str">
        <f t="shared" si="8"/>
        <v/>
      </c>
      <c r="AP62" s="39" t="str">
        <f t="shared" si="9"/>
        <v/>
      </c>
      <c r="AQ62" s="39" t="str">
        <f t="shared" si="10"/>
        <v/>
      </c>
      <c r="AR62" s="39" t="str">
        <f t="shared" si="11"/>
        <v/>
      </c>
      <c r="AS62" s="39" t="str">
        <f t="shared" si="12"/>
        <v/>
      </c>
      <c r="AT62" s="39" t="str">
        <f t="shared" si="13"/>
        <v/>
      </c>
      <c r="AU62" s="39" t="str">
        <f t="shared" si="14"/>
        <v/>
      </c>
    </row>
    <row r="63" ht="15.75" customHeight="1">
      <c r="A63" s="22"/>
      <c r="B63" s="22"/>
      <c r="C63" s="22"/>
      <c r="D63" s="22"/>
      <c r="E63" s="40"/>
      <c r="F63" s="40" t="str">
        <f>IF($C63="","",VLOOKUP($C63,Orders!$A$4:$J$303,3,FALSE))</f>
        <v/>
      </c>
      <c r="G63" s="40" t="str">
        <f>IF($C63="","",VLOOKUP($C63,Orders!$A$4:$J$303,4,FALSE))</f>
        <v/>
      </c>
      <c r="H63" s="22"/>
      <c r="I63" s="40" t="str">
        <f t="shared" si="1"/>
        <v/>
      </c>
      <c r="J63" s="40" t="str">
        <f t="shared" si="2"/>
        <v/>
      </c>
      <c r="K63" s="40" t="str">
        <f>IF($C63="","",VLOOKUP($C63,Orders!$A$4:$J$303,5,FALSE))</f>
        <v/>
      </c>
      <c r="L63" s="22"/>
      <c r="M63" s="40" t="str">
        <f t="shared" si="3"/>
        <v/>
      </c>
      <c r="N63" s="22"/>
      <c r="O63" s="22"/>
      <c r="P63" s="22" t="str">
        <f t="shared" si="4"/>
        <v/>
      </c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39" t="str">
        <f t="array" ref="AB63">IFERROR(INDEX(Bids!$AA:$AA, MATCH(C63&amp;"|"&amp;B63, Bids!$AD:$AD,0)),"")</f>
        <v/>
      </c>
      <c r="AC63" s="39" t="str">
        <f t="array" ref="AC63">IFERROR(INDEX(Bids!$AB:$AB, MATCH(C63&amp;"|"&amp;B63, Bids!$AD:$AD,0)),"")</f>
        <v/>
      </c>
      <c r="AD63" s="39" t="str">
        <f t="array" ref="AD63">IFERROR(INDEX(Bids!$AC:$AC, MATCH(C63&amp;"|"&amp;B63, Bids!$AD:$AD,0)), H63)</f>
        <v/>
      </c>
      <c r="AE63" s="39"/>
      <c r="AG63" s="39"/>
      <c r="AH63" s="39" t="str">
        <f t="shared" si="5"/>
        <v/>
      </c>
      <c r="AI63" s="39" t="str">
        <f t="shared" si="6"/>
        <v/>
      </c>
      <c r="AM63" s="39" t="str">
        <f t="array" ref="AM63">IF(C63="","",IFERROR(XLOOKUP(C63,Orders!$A:$A,Orders!$E:$E,""),""))</f>
        <v/>
      </c>
      <c r="AN63" s="39" t="str">
        <f t="shared" si="7"/>
        <v/>
      </c>
      <c r="AO63" s="39" t="str">
        <f t="shared" si="8"/>
        <v/>
      </c>
      <c r="AP63" s="39" t="str">
        <f t="shared" si="9"/>
        <v/>
      </c>
      <c r="AQ63" s="39" t="str">
        <f t="shared" si="10"/>
        <v/>
      </c>
      <c r="AR63" s="39" t="str">
        <f t="shared" si="11"/>
        <v/>
      </c>
      <c r="AS63" s="39" t="str">
        <f t="shared" si="12"/>
        <v/>
      </c>
      <c r="AT63" s="39" t="str">
        <f t="shared" si="13"/>
        <v/>
      </c>
      <c r="AU63" s="39" t="str">
        <f t="shared" si="14"/>
        <v/>
      </c>
    </row>
    <row r="64" ht="15.75" customHeight="1">
      <c r="A64" s="22"/>
      <c r="B64" s="22"/>
      <c r="C64" s="22"/>
      <c r="D64" s="22"/>
      <c r="E64" s="40"/>
      <c r="F64" s="40" t="str">
        <f>IF($C64="","",VLOOKUP($C64,Orders!$A$4:$J$303,3,FALSE))</f>
        <v/>
      </c>
      <c r="G64" s="40" t="str">
        <f>IF($C64="","",VLOOKUP($C64,Orders!$A$4:$J$303,4,FALSE))</f>
        <v/>
      </c>
      <c r="H64" s="22"/>
      <c r="I64" s="40" t="str">
        <f t="shared" si="1"/>
        <v/>
      </c>
      <c r="J64" s="40" t="str">
        <f t="shared" si="2"/>
        <v/>
      </c>
      <c r="K64" s="40" t="str">
        <f>IF($C64="","",VLOOKUP($C64,Orders!$A$4:$J$303,5,FALSE))</f>
        <v/>
      </c>
      <c r="L64" s="22"/>
      <c r="M64" s="40" t="str">
        <f t="shared" si="3"/>
        <v/>
      </c>
      <c r="N64" s="22"/>
      <c r="O64" s="22"/>
      <c r="P64" s="22" t="str">
        <f t="shared" si="4"/>
        <v/>
      </c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39" t="str">
        <f t="array" ref="AB64">IFERROR(INDEX(Bids!$AA:$AA, MATCH(C64&amp;"|"&amp;B64, Bids!$AD:$AD,0)),"")</f>
        <v/>
      </c>
      <c r="AC64" s="39" t="str">
        <f t="array" ref="AC64">IFERROR(INDEX(Bids!$AB:$AB, MATCH(C64&amp;"|"&amp;B64, Bids!$AD:$AD,0)),"")</f>
        <v/>
      </c>
      <c r="AD64" s="39" t="str">
        <f t="array" ref="AD64">IFERROR(INDEX(Bids!$AC:$AC, MATCH(C64&amp;"|"&amp;B64, Bids!$AD:$AD,0)), H64)</f>
        <v/>
      </c>
      <c r="AE64" s="39"/>
      <c r="AG64" s="39"/>
      <c r="AH64" s="39" t="str">
        <f t="shared" si="5"/>
        <v/>
      </c>
      <c r="AI64" s="39" t="str">
        <f t="shared" si="6"/>
        <v/>
      </c>
      <c r="AM64" s="39" t="str">
        <f t="array" ref="AM64">IF(C64="","",IFERROR(XLOOKUP(C64,Orders!$A:$A,Orders!$E:$E,""),""))</f>
        <v/>
      </c>
      <c r="AN64" s="39" t="str">
        <f t="shared" si="7"/>
        <v/>
      </c>
      <c r="AO64" s="39" t="str">
        <f t="shared" si="8"/>
        <v/>
      </c>
      <c r="AP64" s="39" t="str">
        <f t="shared" si="9"/>
        <v/>
      </c>
      <c r="AQ64" s="39" t="str">
        <f t="shared" si="10"/>
        <v/>
      </c>
      <c r="AR64" s="39" t="str">
        <f t="shared" si="11"/>
        <v/>
      </c>
      <c r="AS64" s="39" t="str">
        <f t="shared" si="12"/>
        <v/>
      </c>
      <c r="AT64" s="39" t="str">
        <f t="shared" si="13"/>
        <v/>
      </c>
      <c r="AU64" s="39" t="str">
        <f t="shared" si="14"/>
        <v/>
      </c>
    </row>
    <row r="65" ht="15.75" customHeight="1">
      <c r="A65" s="22"/>
      <c r="B65" s="22"/>
      <c r="C65" s="22"/>
      <c r="D65" s="22"/>
      <c r="E65" s="40"/>
      <c r="F65" s="40" t="str">
        <f>IF($C65="","",VLOOKUP($C65,Orders!$A$4:$J$303,3,FALSE))</f>
        <v/>
      </c>
      <c r="G65" s="40" t="str">
        <f>IF($C65="","",VLOOKUP($C65,Orders!$A$4:$J$303,4,FALSE))</f>
        <v/>
      </c>
      <c r="H65" s="22"/>
      <c r="I65" s="40" t="str">
        <f t="shared" si="1"/>
        <v/>
      </c>
      <c r="J65" s="40" t="str">
        <f t="shared" si="2"/>
        <v/>
      </c>
      <c r="K65" s="40" t="str">
        <f>IF($C65="","",VLOOKUP($C65,Orders!$A$4:$J$303,5,FALSE))</f>
        <v/>
      </c>
      <c r="L65" s="22"/>
      <c r="M65" s="40" t="str">
        <f t="shared" si="3"/>
        <v/>
      </c>
      <c r="N65" s="22"/>
      <c r="O65" s="22"/>
      <c r="P65" s="22" t="str">
        <f t="shared" si="4"/>
        <v/>
      </c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39" t="str">
        <f t="array" ref="AB65">IFERROR(INDEX(Bids!$AA:$AA, MATCH(C65&amp;"|"&amp;B65, Bids!$AD:$AD,0)),"")</f>
        <v/>
      </c>
      <c r="AC65" s="39" t="str">
        <f t="array" ref="AC65">IFERROR(INDEX(Bids!$AB:$AB, MATCH(C65&amp;"|"&amp;B65, Bids!$AD:$AD,0)),"")</f>
        <v/>
      </c>
      <c r="AD65" s="39" t="str">
        <f t="array" ref="AD65">IFERROR(INDEX(Bids!$AC:$AC, MATCH(C65&amp;"|"&amp;B65, Bids!$AD:$AD,0)), H65)</f>
        <v/>
      </c>
      <c r="AE65" s="39"/>
      <c r="AG65" s="39"/>
      <c r="AH65" s="39" t="str">
        <f t="shared" si="5"/>
        <v/>
      </c>
      <c r="AI65" s="39" t="str">
        <f t="shared" si="6"/>
        <v/>
      </c>
      <c r="AM65" s="39" t="str">
        <f t="array" ref="AM65">IF(C65="","",IFERROR(XLOOKUP(C65,Orders!$A:$A,Orders!$E:$E,""),""))</f>
        <v/>
      </c>
      <c r="AN65" s="39" t="str">
        <f t="shared" si="7"/>
        <v/>
      </c>
      <c r="AO65" s="39" t="str">
        <f t="shared" si="8"/>
        <v/>
      </c>
      <c r="AP65" s="39" t="str">
        <f t="shared" si="9"/>
        <v/>
      </c>
      <c r="AQ65" s="39" t="str">
        <f t="shared" si="10"/>
        <v/>
      </c>
      <c r="AR65" s="39" t="str">
        <f t="shared" si="11"/>
        <v/>
      </c>
      <c r="AS65" s="39" t="str">
        <f t="shared" si="12"/>
        <v/>
      </c>
      <c r="AT65" s="39" t="str">
        <f t="shared" si="13"/>
        <v/>
      </c>
      <c r="AU65" s="39" t="str">
        <f t="shared" si="14"/>
        <v/>
      </c>
    </row>
    <row r="66" ht="15.75" customHeight="1">
      <c r="A66" s="22"/>
      <c r="B66" s="22"/>
      <c r="C66" s="22"/>
      <c r="D66" s="22"/>
      <c r="E66" s="40"/>
      <c r="F66" s="40" t="str">
        <f>IF($C66="","",VLOOKUP($C66,Orders!$A$4:$J$303,3,FALSE))</f>
        <v/>
      </c>
      <c r="G66" s="40" t="str">
        <f>IF($C66="","",VLOOKUP($C66,Orders!$A$4:$J$303,4,FALSE))</f>
        <v/>
      </c>
      <c r="H66" s="22"/>
      <c r="I66" s="40" t="str">
        <f t="shared" si="1"/>
        <v/>
      </c>
      <c r="J66" s="40" t="str">
        <f t="shared" si="2"/>
        <v/>
      </c>
      <c r="K66" s="40" t="str">
        <f>IF($C66="","",VLOOKUP($C66,Orders!$A$4:$J$303,5,FALSE))</f>
        <v/>
      </c>
      <c r="L66" s="22"/>
      <c r="M66" s="40" t="str">
        <f t="shared" si="3"/>
        <v/>
      </c>
      <c r="N66" s="22"/>
      <c r="O66" s="22"/>
      <c r="P66" s="22" t="str">
        <f t="shared" si="4"/>
        <v/>
      </c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39" t="str">
        <f t="array" ref="AB66">IFERROR(INDEX(Bids!$AA:$AA, MATCH(C66&amp;"|"&amp;B66, Bids!$AD:$AD,0)),"")</f>
        <v/>
      </c>
      <c r="AC66" s="39" t="str">
        <f t="array" ref="AC66">IFERROR(INDEX(Bids!$AB:$AB, MATCH(C66&amp;"|"&amp;B66, Bids!$AD:$AD,0)),"")</f>
        <v/>
      </c>
      <c r="AD66" s="39" t="str">
        <f t="array" ref="AD66">IFERROR(INDEX(Bids!$AC:$AC, MATCH(C66&amp;"|"&amp;B66, Bids!$AD:$AD,0)), H66)</f>
        <v/>
      </c>
      <c r="AE66" s="39"/>
      <c r="AG66" s="39"/>
      <c r="AH66" s="39" t="str">
        <f t="shared" si="5"/>
        <v/>
      </c>
      <c r="AI66" s="39" t="str">
        <f t="shared" si="6"/>
        <v/>
      </c>
      <c r="AM66" s="39" t="str">
        <f t="array" ref="AM66">IF(C66="","",IFERROR(XLOOKUP(C66,Orders!$A:$A,Orders!$E:$E,""),""))</f>
        <v/>
      </c>
      <c r="AN66" s="39" t="str">
        <f t="shared" si="7"/>
        <v/>
      </c>
      <c r="AO66" s="39" t="str">
        <f t="shared" si="8"/>
        <v/>
      </c>
      <c r="AP66" s="39" t="str">
        <f t="shared" si="9"/>
        <v/>
      </c>
      <c r="AQ66" s="39" t="str">
        <f t="shared" si="10"/>
        <v/>
      </c>
      <c r="AR66" s="39" t="str">
        <f t="shared" si="11"/>
        <v/>
      </c>
      <c r="AS66" s="39" t="str">
        <f t="shared" si="12"/>
        <v/>
      </c>
      <c r="AT66" s="39" t="str">
        <f t="shared" si="13"/>
        <v/>
      </c>
      <c r="AU66" s="39" t="str">
        <f t="shared" si="14"/>
        <v/>
      </c>
    </row>
    <row r="67" ht="15.75" customHeight="1">
      <c r="A67" s="22"/>
      <c r="B67" s="22"/>
      <c r="C67" s="22"/>
      <c r="D67" s="22"/>
      <c r="E67" s="40"/>
      <c r="F67" s="40" t="str">
        <f>IF($C67="","",VLOOKUP($C67,Orders!$A$4:$J$303,3,FALSE))</f>
        <v/>
      </c>
      <c r="G67" s="40" t="str">
        <f>IF($C67="","",VLOOKUP($C67,Orders!$A$4:$J$303,4,FALSE))</f>
        <v/>
      </c>
      <c r="H67" s="22"/>
      <c r="I67" s="40" t="str">
        <f t="shared" si="1"/>
        <v/>
      </c>
      <c r="J67" s="40" t="str">
        <f t="shared" si="2"/>
        <v/>
      </c>
      <c r="K67" s="40" t="str">
        <f>IF($C67="","",VLOOKUP($C67,Orders!$A$4:$J$303,5,FALSE))</f>
        <v/>
      </c>
      <c r="L67" s="22"/>
      <c r="M67" s="40" t="str">
        <f t="shared" si="3"/>
        <v/>
      </c>
      <c r="N67" s="22"/>
      <c r="O67" s="22"/>
      <c r="P67" s="22" t="str">
        <f t="shared" si="4"/>
        <v/>
      </c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39" t="str">
        <f t="array" ref="AB67">IFERROR(INDEX(Bids!$AA:$AA, MATCH(C67&amp;"|"&amp;B67, Bids!$AD:$AD,0)),"")</f>
        <v/>
      </c>
      <c r="AC67" s="39" t="str">
        <f t="array" ref="AC67">IFERROR(INDEX(Bids!$AB:$AB, MATCH(C67&amp;"|"&amp;B67, Bids!$AD:$AD,0)),"")</f>
        <v/>
      </c>
      <c r="AD67" s="39" t="str">
        <f t="array" ref="AD67">IFERROR(INDEX(Bids!$AC:$AC, MATCH(C67&amp;"|"&amp;B67, Bids!$AD:$AD,0)), H67)</f>
        <v/>
      </c>
      <c r="AE67" s="39"/>
      <c r="AG67" s="39"/>
      <c r="AH67" s="39" t="str">
        <f t="shared" si="5"/>
        <v/>
      </c>
      <c r="AI67" s="39" t="str">
        <f t="shared" si="6"/>
        <v/>
      </c>
      <c r="AM67" s="39" t="str">
        <f t="array" ref="AM67">IF(C67="","",IFERROR(XLOOKUP(C67,Orders!$A:$A,Orders!$E:$E,""),""))</f>
        <v/>
      </c>
      <c r="AN67" s="39" t="str">
        <f t="shared" si="7"/>
        <v/>
      </c>
      <c r="AO67" s="39" t="str">
        <f t="shared" si="8"/>
        <v/>
      </c>
      <c r="AP67" s="39" t="str">
        <f t="shared" si="9"/>
        <v/>
      </c>
      <c r="AQ67" s="39" t="str">
        <f t="shared" si="10"/>
        <v/>
      </c>
      <c r="AR67" s="39" t="str">
        <f t="shared" si="11"/>
        <v/>
      </c>
      <c r="AS67" s="39" t="str">
        <f t="shared" si="12"/>
        <v/>
      </c>
      <c r="AT67" s="39" t="str">
        <f t="shared" si="13"/>
        <v/>
      </c>
      <c r="AU67" s="39" t="str">
        <f t="shared" si="14"/>
        <v/>
      </c>
    </row>
    <row r="68" ht="15.75" customHeight="1">
      <c r="A68" s="22"/>
      <c r="B68" s="22"/>
      <c r="C68" s="22"/>
      <c r="D68" s="22"/>
      <c r="E68" s="40"/>
      <c r="F68" s="40" t="str">
        <f>IF($C68="","",VLOOKUP($C68,Orders!$A$4:$J$303,3,FALSE))</f>
        <v/>
      </c>
      <c r="G68" s="40" t="str">
        <f>IF($C68="","",VLOOKUP($C68,Orders!$A$4:$J$303,4,FALSE))</f>
        <v/>
      </c>
      <c r="H68" s="22"/>
      <c r="I68" s="40" t="str">
        <f t="shared" si="1"/>
        <v/>
      </c>
      <c r="J68" s="40" t="str">
        <f t="shared" si="2"/>
        <v/>
      </c>
      <c r="K68" s="40" t="str">
        <f>IF($C68="","",VLOOKUP($C68,Orders!$A$4:$J$303,5,FALSE))</f>
        <v/>
      </c>
      <c r="L68" s="22"/>
      <c r="M68" s="40" t="str">
        <f t="shared" si="3"/>
        <v/>
      </c>
      <c r="N68" s="22"/>
      <c r="O68" s="22"/>
      <c r="P68" s="22" t="str">
        <f t="shared" si="4"/>
        <v/>
      </c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39" t="str">
        <f t="array" ref="AB68">IFERROR(INDEX(Bids!$AA:$AA, MATCH(C68&amp;"|"&amp;B68, Bids!$AD:$AD,0)),"")</f>
        <v/>
      </c>
      <c r="AC68" s="39" t="str">
        <f t="array" ref="AC68">IFERROR(INDEX(Bids!$AB:$AB, MATCH(C68&amp;"|"&amp;B68, Bids!$AD:$AD,0)),"")</f>
        <v/>
      </c>
      <c r="AD68" s="39" t="str">
        <f t="array" ref="AD68">IFERROR(INDEX(Bids!$AC:$AC, MATCH(C68&amp;"|"&amp;B68, Bids!$AD:$AD,0)), H68)</f>
        <v/>
      </c>
      <c r="AE68" s="39"/>
      <c r="AG68" s="39"/>
      <c r="AH68" s="39" t="str">
        <f t="shared" si="5"/>
        <v/>
      </c>
      <c r="AI68" s="39" t="str">
        <f t="shared" si="6"/>
        <v/>
      </c>
      <c r="AM68" s="39" t="str">
        <f t="array" ref="AM68">IF(C68="","",IFERROR(XLOOKUP(C68,Orders!$A:$A,Orders!$E:$E,""),""))</f>
        <v/>
      </c>
      <c r="AN68" s="39" t="str">
        <f t="shared" si="7"/>
        <v/>
      </c>
      <c r="AO68" s="39" t="str">
        <f t="shared" si="8"/>
        <v/>
      </c>
      <c r="AP68" s="39" t="str">
        <f t="shared" si="9"/>
        <v/>
      </c>
      <c r="AQ68" s="39" t="str">
        <f t="shared" si="10"/>
        <v/>
      </c>
      <c r="AR68" s="39" t="str">
        <f t="shared" si="11"/>
        <v/>
      </c>
      <c r="AS68" s="39" t="str">
        <f t="shared" si="12"/>
        <v/>
      </c>
      <c r="AT68" s="39" t="str">
        <f t="shared" si="13"/>
        <v/>
      </c>
      <c r="AU68" s="39" t="str">
        <f t="shared" si="14"/>
        <v/>
      </c>
    </row>
    <row r="69" ht="15.75" customHeight="1">
      <c r="A69" s="22"/>
      <c r="B69" s="22"/>
      <c r="C69" s="22"/>
      <c r="D69" s="22"/>
      <c r="E69" s="40"/>
      <c r="F69" s="40" t="str">
        <f>IF($C69="","",VLOOKUP($C69,Orders!$A$4:$J$303,3,FALSE))</f>
        <v/>
      </c>
      <c r="G69" s="40" t="str">
        <f>IF($C69="","",VLOOKUP($C69,Orders!$A$4:$J$303,4,FALSE))</f>
        <v/>
      </c>
      <c r="H69" s="22"/>
      <c r="I69" s="40" t="str">
        <f t="shared" si="1"/>
        <v/>
      </c>
      <c r="J69" s="40" t="str">
        <f t="shared" si="2"/>
        <v/>
      </c>
      <c r="K69" s="40" t="str">
        <f>IF($C69="","",VLOOKUP($C69,Orders!$A$4:$J$303,5,FALSE))</f>
        <v/>
      </c>
      <c r="L69" s="22"/>
      <c r="M69" s="40" t="str">
        <f t="shared" si="3"/>
        <v/>
      </c>
      <c r="N69" s="22"/>
      <c r="O69" s="22"/>
      <c r="P69" s="22" t="str">
        <f t="shared" si="4"/>
        <v/>
      </c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39" t="str">
        <f t="array" ref="AB69">IFERROR(INDEX(Bids!$AA:$AA, MATCH(C69&amp;"|"&amp;B69, Bids!$AD:$AD,0)),"")</f>
        <v/>
      </c>
      <c r="AC69" s="39" t="str">
        <f t="array" ref="AC69">IFERROR(INDEX(Bids!$AB:$AB, MATCH(C69&amp;"|"&amp;B69, Bids!$AD:$AD,0)),"")</f>
        <v/>
      </c>
      <c r="AD69" s="39" t="str">
        <f t="array" ref="AD69">IFERROR(INDEX(Bids!$AC:$AC, MATCH(C69&amp;"|"&amp;B69, Bids!$AD:$AD,0)), H69)</f>
        <v/>
      </c>
      <c r="AE69" s="39"/>
      <c r="AG69" s="39"/>
      <c r="AH69" s="39" t="str">
        <f t="shared" si="5"/>
        <v/>
      </c>
      <c r="AI69" s="39" t="str">
        <f t="shared" si="6"/>
        <v/>
      </c>
      <c r="AM69" s="39" t="str">
        <f t="array" ref="AM69">IF(C69="","",IFERROR(XLOOKUP(C69,Orders!$A:$A,Orders!$E:$E,""),""))</f>
        <v/>
      </c>
      <c r="AN69" s="39" t="str">
        <f t="shared" si="7"/>
        <v/>
      </c>
      <c r="AO69" s="39" t="str">
        <f t="shared" si="8"/>
        <v/>
      </c>
      <c r="AP69" s="39" t="str">
        <f t="shared" si="9"/>
        <v/>
      </c>
      <c r="AQ69" s="39" t="str">
        <f t="shared" si="10"/>
        <v/>
      </c>
      <c r="AR69" s="39" t="str">
        <f t="shared" si="11"/>
        <v/>
      </c>
      <c r="AS69" s="39" t="str">
        <f t="shared" si="12"/>
        <v/>
      </c>
      <c r="AT69" s="39" t="str">
        <f t="shared" si="13"/>
        <v/>
      </c>
      <c r="AU69" s="39" t="str">
        <f t="shared" si="14"/>
        <v/>
      </c>
    </row>
    <row r="70" ht="15.75" customHeight="1">
      <c r="A70" s="22"/>
      <c r="B70" s="22"/>
      <c r="C70" s="22"/>
      <c r="D70" s="22"/>
      <c r="E70" s="40"/>
      <c r="F70" s="40" t="str">
        <f>IF($C70="","",VLOOKUP($C70,Orders!$A$4:$J$303,3,FALSE))</f>
        <v/>
      </c>
      <c r="G70" s="40" t="str">
        <f>IF($C70="","",VLOOKUP($C70,Orders!$A$4:$J$303,4,FALSE))</f>
        <v/>
      </c>
      <c r="H70" s="22"/>
      <c r="I70" s="40" t="str">
        <f t="shared" si="1"/>
        <v/>
      </c>
      <c r="J70" s="40" t="str">
        <f t="shared" si="2"/>
        <v/>
      </c>
      <c r="K70" s="40" t="str">
        <f>IF($C70="","",VLOOKUP($C70,Orders!$A$4:$J$303,5,FALSE))</f>
        <v/>
      </c>
      <c r="L70" s="22"/>
      <c r="M70" s="40" t="str">
        <f t="shared" si="3"/>
        <v/>
      </c>
      <c r="N70" s="22"/>
      <c r="O70" s="22"/>
      <c r="P70" s="22" t="str">
        <f t="shared" si="4"/>
        <v/>
      </c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39" t="str">
        <f t="array" ref="AB70">IFERROR(INDEX(Bids!$AA:$AA, MATCH(C70&amp;"|"&amp;B70, Bids!$AD:$AD,0)),"")</f>
        <v/>
      </c>
      <c r="AC70" s="39" t="str">
        <f t="array" ref="AC70">IFERROR(INDEX(Bids!$AB:$AB, MATCH(C70&amp;"|"&amp;B70, Bids!$AD:$AD,0)),"")</f>
        <v/>
      </c>
      <c r="AD70" s="39" t="str">
        <f t="array" ref="AD70">IFERROR(INDEX(Bids!$AC:$AC, MATCH(C70&amp;"|"&amp;B70, Bids!$AD:$AD,0)), H70)</f>
        <v/>
      </c>
      <c r="AE70" s="39"/>
      <c r="AG70" s="39"/>
      <c r="AH70" s="39" t="str">
        <f t="shared" si="5"/>
        <v/>
      </c>
      <c r="AI70" s="39" t="str">
        <f t="shared" si="6"/>
        <v/>
      </c>
      <c r="AM70" s="39" t="str">
        <f t="array" ref="AM70">IF(C70="","",IFERROR(XLOOKUP(C70,Orders!$A:$A,Orders!$E:$E,""),""))</f>
        <v/>
      </c>
      <c r="AN70" s="39" t="str">
        <f t="shared" si="7"/>
        <v/>
      </c>
      <c r="AO70" s="39" t="str">
        <f t="shared" si="8"/>
        <v/>
      </c>
      <c r="AP70" s="39" t="str">
        <f t="shared" si="9"/>
        <v/>
      </c>
      <c r="AQ70" s="39" t="str">
        <f t="shared" si="10"/>
        <v/>
      </c>
      <c r="AR70" s="39" t="str">
        <f t="shared" si="11"/>
        <v/>
      </c>
      <c r="AS70" s="39" t="str">
        <f t="shared" si="12"/>
        <v/>
      </c>
      <c r="AT70" s="39" t="str">
        <f t="shared" si="13"/>
        <v/>
      </c>
      <c r="AU70" s="39" t="str">
        <f t="shared" si="14"/>
        <v/>
      </c>
    </row>
    <row r="71" ht="15.75" customHeight="1">
      <c r="A71" s="22"/>
      <c r="B71" s="22"/>
      <c r="C71" s="22"/>
      <c r="D71" s="22"/>
      <c r="E71" s="40"/>
      <c r="F71" s="40" t="str">
        <f>IF($C71="","",VLOOKUP($C71,Orders!$A$4:$J$303,3,FALSE))</f>
        <v/>
      </c>
      <c r="G71" s="40" t="str">
        <f>IF($C71="","",VLOOKUP($C71,Orders!$A$4:$J$303,4,FALSE))</f>
        <v/>
      </c>
      <c r="H71" s="22"/>
      <c r="I71" s="40" t="str">
        <f t="shared" si="1"/>
        <v/>
      </c>
      <c r="J71" s="40" t="str">
        <f t="shared" si="2"/>
        <v/>
      </c>
      <c r="K71" s="40" t="str">
        <f>IF($C71="","",VLOOKUP($C71,Orders!$A$4:$J$303,5,FALSE))</f>
        <v/>
      </c>
      <c r="L71" s="22"/>
      <c r="M71" s="40" t="str">
        <f t="shared" si="3"/>
        <v/>
      </c>
      <c r="N71" s="22"/>
      <c r="O71" s="22"/>
      <c r="P71" s="22" t="str">
        <f t="shared" si="4"/>
        <v/>
      </c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39" t="str">
        <f t="array" ref="AB71">IFERROR(INDEX(Bids!$AA:$AA, MATCH(C71&amp;"|"&amp;B71, Bids!$AD:$AD,0)),"")</f>
        <v/>
      </c>
      <c r="AC71" s="39" t="str">
        <f t="array" ref="AC71">IFERROR(INDEX(Bids!$AB:$AB, MATCH(C71&amp;"|"&amp;B71, Bids!$AD:$AD,0)),"")</f>
        <v/>
      </c>
      <c r="AD71" s="39" t="str">
        <f t="array" ref="AD71">IFERROR(INDEX(Bids!$AC:$AC, MATCH(C71&amp;"|"&amp;B71, Bids!$AD:$AD,0)), H71)</f>
        <v/>
      </c>
      <c r="AE71" s="39"/>
      <c r="AG71" s="39"/>
      <c r="AH71" s="39" t="str">
        <f t="shared" si="5"/>
        <v/>
      </c>
      <c r="AI71" s="39" t="str">
        <f t="shared" si="6"/>
        <v/>
      </c>
      <c r="AM71" s="39" t="str">
        <f t="array" ref="AM71">IF(C71="","",IFERROR(XLOOKUP(C71,Orders!$A:$A,Orders!$E:$E,""),""))</f>
        <v/>
      </c>
      <c r="AN71" s="39" t="str">
        <f t="shared" si="7"/>
        <v/>
      </c>
      <c r="AO71" s="39" t="str">
        <f t="shared" si="8"/>
        <v/>
      </c>
      <c r="AP71" s="39" t="str">
        <f t="shared" si="9"/>
        <v/>
      </c>
      <c r="AQ71" s="39" t="str">
        <f t="shared" si="10"/>
        <v/>
      </c>
      <c r="AR71" s="39" t="str">
        <f t="shared" si="11"/>
        <v/>
      </c>
      <c r="AS71" s="39" t="str">
        <f t="shared" si="12"/>
        <v/>
      </c>
      <c r="AT71" s="39" t="str">
        <f t="shared" si="13"/>
        <v/>
      </c>
      <c r="AU71" s="39" t="str">
        <f t="shared" si="14"/>
        <v/>
      </c>
    </row>
    <row r="72" ht="15.75" customHeight="1">
      <c r="A72" s="22"/>
      <c r="B72" s="22"/>
      <c r="C72" s="22"/>
      <c r="D72" s="22"/>
      <c r="E72" s="40"/>
      <c r="F72" s="40" t="str">
        <f>IF($C72="","",VLOOKUP($C72,Orders!$A$4:$J$303,3,FALSE))</f>
        <v/>
      </c>
      <c r="G72" s="40" t="str">
        <f>IF($C72="","",VLOOKUP($C72,Orders!$A$4:$J$303,4,FALSE))</f>
        <v/>
      </c>
      <c r="H72" s="22"/>
      <c r="I72" s="40" t="str">
        <f t="shared" si="1"/>
        <v/>
      </c>
      <c r="J72" s="40" t="str">
        <f t="shared" si="2"/>
        <v/>
      </c>
      <c r="K72" s="40" t="str">
        <f>IF($C72="","",VLOOKUP($C72,Orders!$A$4:$J$303,5,FALSE))</f>
        <v/>
      </c>
      <c r="L72" s="22"/>
      <c r="M72" s="40" t="str">
        <f t="shared" si="3"/>
        <v/>
      </c>
      <c r="N72" s="22"/>
      <c r="O72" s="22"/>
      <c r="P72" s="22" t="str">
        <f t="shared" si="4"/>
        <v/>
      </c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39" t="str">
        <f t="array" ref="AB72">IFERROR(INDEX(Bids!$AA:$AA, MATCH(C72&amp;"|"&amp;B72, Bids!$AD:$AD,0)),"")</f>
        <v/>
      </c>
      <c r="AC72" s="39" t="str">
        <f t="array" ref="AC72">IFERROR(INDEX(Bids!$AB:$AB, MATCH(C72&amp;"|"&amp;B72, Bids!$AD:$AD,0)),"")</f>
        <v/>
      </c>
      <c r="AD72" s="39" t="str">
        <f t="array" ref="AD72">IFERROR(INDEX(Bids!$AC:$AC, MATCH(C72&amp;"|"&amp;B72, Bids!$AD:$AD,0)), H72)</f>
        <v/>
      </c>
      <c r="AE72" s="39"/>
      <c r="AG72" s="39"/>
      <c r="AH72" s="39" t="str">
        <f t="shared" si="5"/>
        <v/>
      </c>
      <c r="AI72" s="39" t="str">
        <f t="shared" si="6"/>
        <v/>
      </c>
      <c r="AM72" s="39" t="str">
        <f t="array" ref="AM72">IF(C72="","",IFERROR(XLOOKUP(C72,Orders!$A:$A,Orders!$E:$E,""),""))</f>
        <v/>
      </c>
      <c r="AN72" s="39" t="str">
        <f t="shared" si="7"/>
        <v/>
      </c>
      <c r="AO72" s="39" t="str">
        <f t="shared" si="8"/>
        <v/>
      </c>
      <c r="AP72" s="39" t="str">
        <f t="shared" si="9"/>
        <v/>
      </c>
      <c r="AQ72" s="39" t="str">
        <f t="shared" si="10"/>
        <v/>
      </c>
      <c r="AR72" s="39" t="str">
        <f t="shared" si="11"/>
        <v/>
      </c>
      <c r="AS72" s="39" t="str">
        <f t="shared" si="12"/>
        <v/>
      </c>
      <c r="AT72" s="39" t="str">
        <f t="shared" si="13"/>
        <v/>
      </c>
      <c r="AU72" s="39" t="str">
        <f t="shared" si="14"/>
        <v/>
      </c>
    </row>
    <row r="73" ht="15.75" customHeight="1">
      <c r="A73" s="22"/>
      <c r="B73" s="22"/>
      <c r="C73" s="22"/>
      <c r="D73" s="22"/>
      <c r="E73" s="40"/>
      <c r="F73" s="40" t="str">
        <f>IF($C73="","",VLOOKUP($C73,Orders!$A$4:$J$303,3,FALSE))</f>
        <v/>
      </c>
      <c r="G73" s="40" t="str">
        <f>IF($C73="","",VLOOKUP($C73,Orders!$A$4:$J$303,4,FALSE))</f>
        <v/>
      </c>
      <c r="H73" s="22"/>
      <c r="I73" s="40" t="str">
        <f t="shared" si="1"/>
        <v/>
      </c>
      <c r="J73" s="40" t="str">
        <f t="shared" si="2"/>
        <v/>
      </c>
      <c r="K73" s="40" t="str">
        <f>IF($C73="","",VLOOKUP($C73,Orders!$A$4:$J$303,5,FALSE))</f>
        <v/>
      </c>
      <c r="L73" s="22"/>
      <c r="M73" s="40" t="str">
        <f t="shared" si="3"/>
        <v/>
      </c>
      <c r="N73" s="22"/>
      <c r="O73" s="22"/>
      <c r="P73" s="22" t="str">
        <f t="shared" si="4"/>
        <v/>
      </c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39" t="str">
        <f t="array" ref="AB73">IFERROR(INDEX(Bids!$AA:$AA, MATCH(C73&amp;"|"&amp;B73, Bids!$AD:$AD,0)),"")</f>
        <v/>
      </c>
      <c r="AC73" s="39" t="str">
        <f t="array" ref="AC73">IFERROR(INDEX(Bids!$AB:$AB, MATCH(C73&amp;"|"&amp;B73, Bids!$AD:$AD,0)),"")</f>
        <v/>
      </c>
      <c r="AD73" s="39" t="str">
        <f t="array" ref="AD73">IFERROR(INDEX(Bids!$AC:$AC, MATCH(C73&amp;"|"&amp;B73, Bids!$AD:$AD,0)), H73)</f>
        <v/>
      </c>
      <c r="AE73" s="39"/>
      <c r="AG73" s="39"/>
      <c r="AH73" s="39" t="str">
        <f t="shared" si="5"/>
        <v/>
      </c>
      <c r="AI73" s="39" t="str">
        <f t="shared" si="6"/>
        <v/>
      </c>
      <c r="AM73" s="39" t="str">
        <f t="array" ref="AM73">IF(C73="","",IFERROR(XLOOKUP(C73,Orders!$A:$A,Orders!$E:$E,""),""))</f>
        <v/>
      </c>
      <c r="AN73" s="39" t="str">
        <f t="shared" si="7"/>
        <v/>
      </c>
      <c r="AO73" s="39" t="str">
        <f t="shared" si="8"/>
        <v/>
      </c>
      <c r="AP73" s="39" t="str">
        <f t="shared" si="9"/>
        <v/>
      </c>
      <c r="AQ73" s="39" t="str">
        <f t="shared" si="10"/>
        <v/>
      </c>
      <c r="AR73" s="39" t="str">
        <f t="shared" si="11"/>
        <v/>
      </c>
      <c r="AS73" s="39" t="str">
        <f t="shared" si="12"/>
        <v/>
      </c>
      <c r="AT73" s="39" t="str">
        <f t="shared" si="13"/>
        <v/>
      </c>
      <c r="AU73" s="39" t="str">
        <f t="shared" si="14"/>
        <v/>
      </c>
    </row>
    <row r="74" ht="15.75" customHeight="1">
      <c r="A74" s="22"/>
      <c r="B74" s="22"/>
      <c r="C74" s="22"/>
      <c r="D74" s="22"/>
      <c r="E74" s="40"/>
      <c r="F74" s="40" t="str">
        <f>IF($C74="","",VLOOKUP($C74,Orders!$A$4:$J$303,3,FALSE))</f>
        <v/>
      </c>
      <c r="G74" s="40" t="str">
        <f>IF($C74="","",VLOOKUP($C74,Orders!$A$4:$J$303,4,FALSE))</f>
        <v/>
      </c>
      <c r="H74" s="22"/>
      <c r="I74" s="40" t="str">
        <f t="shared" si="1"/>
        <v/>
      </c>
      <c r="J74" s="40" t="str">
        <f t="shared" si="2"/>
        <v/>
      </c>
      <c r="K74" s="40" t="str">
        <f>IF($C74="","",VLOOKUP($C74,Orders!$A$4:$J$303,5,FALSE))</f>
        <v/>
      </c>
      <c r="L74" s="22"/>
      <c r="M74" s="40" t="str">
        <f t="shared" si="3"/>
        <v/>
      </c>
      <c r="N74" s="22"/>
      <c r="O74" s="22"/>
      <c r="P74" s="22" t="str">
        <f t="shared" si="4"/>
        <v/>
      </c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39" t="str">
        <f t="array" ref="AB74">IFERROR(INDEX(Bids!$AA:$AA, MATCH(C74&amp;"|"&amp;B74, Bids!$AD:$AD,0)),"")</f>
        <v/>
      </c>
      <c r="AC74" s="39" t="str">
        <f t="array" ref="AC74">IFERROR(INDEX(Bids!$AB:$AB, MATCH(C74&amp;"|"&amp;B74, Bids!$AD:$AD,0)),"")</f>
        <v/>
      </c>
      <c r="AD74" s="39" t="str">
        <f t="array" ref="AD74">IFERROR(INDEX(Bids!$AC:$AC, MATCH(C74&amp;"|"&amp;B74, Bids!$AD:$AD,0)), H74)</f>
        <v/>
      </c>
      <c r="AE74" s="39"/>
      <c r="AG74" s="39"/>
      <c r="AH74" s="39" t="str">
        <f t="shared" si="5"/>
        <v/>
      </c>
      <c r="AI74" s="39" t="str">
        <f t="shared" si="6"/>
        <v/>
      </c>
      <c r="AM74" s="39" t="str">
        <f t="array" ref="AM74">IF(C74="","",IFERROR(XLOOKUP(C74,Orders!$A:$A,Orders!$E:$E,""),""))</f>
        <v/>
      </c>
      <c r="AN74" s="39" t="str">
        <f t="shared" si="7"/>
        <v/>
      </c>
      <c r="AO74" s="39" t="str">
        <f t="shared" si="8"/>
        <v/>
      </c>
      <c r="AP74" s="39" t="str">
        <f t="shared" si="9"/>
        <v/>
      </c>
      <c r="AQ74" s="39" t="str">
        <f t="shared" si="10"/>
        <v/>
      </c>
      <c r="AR74" s="39" t="str">
        <f t="shared" si="11"/>
        <v/>
      </c>
      <c r="AS74" s="39" t="str">
        <f t="shared" si="12"/>
        <v/>
      </c>
      <c r="AT74" s="39" t="str">
        <f t="shared" si="13"/>
        <v/>
      </c>
      <c r="AU74" s="39" t="str">
        <f t="shared" si="14"/>
        <v/>
      </c>
    </row>
    <row r="75" ht="15.75" customHeight="1">
      <c r="A75" s="22"/>
      <c r="B75" s="22"/>
      <c r="C75" s="22"/>
      <c r="D75" s="22"/>
      <c r="E75" s="40"/>
      <c r="F75" s="40" t="str">
        <f>IF($C75="","",VLOOKUP($C75,Orders!$A$4:$J$303,3,FALSE))</f>
        <v/>
      </c>
      <c r="G75" s="40" t="str">
        <f>IF($C75="","",VLOOKUP($C75,Orders!$A$4:$J$303,4,FALSE))</f>
        <v/>
      </c>
      <c r="H75" s="22"/>
      <c r="I75" s="40" t="str">
        <f t="shared" si="1"/>
        <v/>
      </c>
      <c r="J75" s="40" t="str">
        <f t="shared" si="2"/>
        <v/>
      </c>
      <c r="K75" s="40" t="str">
        <f>IF($C75="","",VLOOKUP($C75,Orders!$A$4:$J$303,5,FALSE))</f>
        <v/>
      </c>
      <c r="L75" s="22"/>
      <c r="M75" s="40" t="str">
        <f t="shared" si="3"/>
        <v/>
      </c>
      <c r="N75" s="22"/>
      <c r="O75" s="22"/>
      <c r="P75" s="22" t="str">
        <f t="shared" si="4"/>
        <v/>
      </c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39" t="str">
        <f t="array" ref="AB75">IFERROR(INDEX(Bids!$AA:$AA, MATCH(C75&amp;"|"&amp;B75, Bids!$AD:$AD,0)),"")</f>
        <v/>
      </c>
      <c r="AC75" s="39" t="str">
        <f t="array" ref="AC75">IFERROR(INDEX(Bids!$AB:$AB, MATCH(C75&amp;"|"&amp;B75, Bids!$AD:$AD,0)),"")</f>
        <v/>
      </c>
      <c r="AD75" s="39" t="str">
        <f t="array" ref="AD75">IFERROR(INDEX(Bids!$AC:$AC, MATCH(C75&amp;"|"&amp;B75, Bids!$AD:$AD,0)), H75)</f>
        <v/>
      </c>
      <c r="AE75" s="39"/>
      <c r="AG75" s="39"/>
      <c r="AH75" s="39" t="str">
        <f t="shared" si="5"/>
        <v/>
      </c>
      <c r="AI75" s="39" t="str">
        <f t="shared" si="6"/>
        <v/>
      </c>
      <c r="AM75" s="39" t="str">
        <f t="array" ref="AM75">IF(C75="","",IFERROR(XLOOKUP(C75,Orders!$A:$A,Orders!$E:$E,""),""))</f>
        <v/>
      </c>
      <c r="AN75" s="39" t="str">
        <f t="shared" si="7"/>
        <v/>
      </c>
      <c r="AO75" s="39" t="str">
        <f t="shared" si="8"/>
        <v/>
      </c>
      <c r="AP75" s="39" t="str">
        <f t="shared" si="9"/>
        <v/>
      </c>
      <c r="AQ75" s="39" t="str">
        <f t="shared" si="10"/>
        <v/>
      </c>
      <c r="AR75" s="39" t="str">
        <f t="shared" si="11"/>
        <v/>
      </c>
      <c r="AS75" s="39" t="str">
        <f t="shared" si="12"/>
        <v/>
      </c>
      <c r="AT75" s="39" t="str">
        <f t="shared" si="13"/>
        <v/>
      </c>
      <c r="AU75" s="39" t="str">
        <f t="shared" si="14"/>
        <v/>
      </c>
    </row>
    <row r="76" ht="15.75" customHeight="1">
      <c r="A76" s="22"/>
      <c r="B76" s="22"/>
      <c r="C76" s="22"/>
      <c r="D76" s="22"/>
      <c r="E76" s="40"/>
      <c r="F76" s="40" t="str">
        <f>IF($C76="","",VLOOKUP($C76,Orders!$A$4:$J$303,3,FALSE))</f>
        <v/>
      </c>
      <c r="G76" s="40" t="str">
        <f>IF($C76="","",VLOOKUP($C76,Orders!$A$4:$J$303,4,FALSE))</f>
        <v/>
      </c>
      <c r="H76" s="22"/>
      <c r="I76" s="40" t="str">
        <f t="shared" si="1"/>
        <v/>
      </c>
      <c r="J76" s="40" t="str">
        <f t="shared" si="2"/>
        <v/>
      </c>
      <c r="K76" s="40" t="str">
        <f>IF($C76="","",VLOOKUP($C76,Orders!$A$4:$J$303,5,FALSE))</f>
        <v/>
      </c>
      <c r="L76" s="22"/>
      <c r="M76" s="40" t="str">
        <f t="shared" si="3"/>
        <v/>
      </c>
      <c r="N76" s="22"/>
      <c r="O76" s="22"/>
      <c r="P76" s="22" t="str">
        <f t="shared" si="4"/>
        <v/>
      </c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39" t="str">
        <f t="array" ref="AB76">IFERROR(INDEX(Bids!$AA:$AA, MATCH(C76&amp;"|"&amp;B76, Bids!$AD:$AD,0)),"")</f>
        <v/>
      </c>
      <c r="AC76" s="39" t="str">
        <f t="array" ref="AC76">IFERROR(INDEX(Bids!$AB:$AB, MATCH(C76&amp;"|"&amp;B76, Bids!$AD:$AD,0)),"")</f>
        <v/>
      </c>
      <c r="AD76" s="39" t="str">
        <f t="array" ref="AD76">IFERROR(INDEX(Bids!$AC:$AC, MATCH(C76&amp;"|"&amp;B76, Bids!$AD:$AD,0)), H76)</f>
        <v/>
      </c>
      <c r="AE76" s="39"/>
      <c r="AG76" s="39"/>
      <c r="AH76" s="39" t="str">
        <f t="shared" si="5"/>
        <v/>
      </c>
      <c r="AI76" s="39" t="str">
        <f t="shared" si="6"/>
        <v/>
      </c>
      <c r="AM76" s="39" t="str">
        <f t="array" ref="AM76">IF(C76="","",IFERROR(XLOOKUP(C76,Orders!$A:$A,Orders!$E:$E,""),""))</f>
        <v/>
      </c>
      <c r="AN76" s="39" t="str">
        <f t="shared" si="7"/>
        <v/>
      </c>
      <c r="AO76" s="39" t="str">
        <f t="shared" si="8"/>
        <v/>
      </c>
      <c r="AP76" s="39" t="str">
        <f t="shared" si="9"/>
        <v/>
      </c>
      <c r="AQ76" s="39" t="str">
        <f t="shared" si="10"/>
        <v/>
      </c>
      <c r="AR76" s="39" t="str">
        <f t="shared" si="11"/>
        <v/>
      </c>
      <c r="AS76" s="39" t="str">
        <f t="shared" si="12"/>
        <v/>
      </c>
      <c r="AT76" s="39" t="str">
        <f t="shared" si="13"/>
        <v/>
      </c>
      <c r="AU76" s="39" t="str">
        <f t="shared" si="14"/>
        <v/>
      </c>
    </row>
    <row r="77" ht="15.75" customHeight="1">
      <c r="A77" s="22"/>
      <c r="B77" s="22"/>
      <c r="C77" s="22"/>
      <c r="D77" s="22"/>
      <c r="E77" s="40"/>
      <c r="F77" s="40" t="str">
        <f>IF($C77="","",VLOOKUP($C77,Orders!$A$4:$J$303,3,FALSE))</f>
        <v/>
      </c>
      <c r="G77" s="40" t="str">
        <f>IF($C77="","",VLOOKUP($C77,Orders!$A$4:$J$303,4,FALSE))</f>
        <v/>
      </c>
      <c r="H77" s="22"/>
      <c r="I77" s="40" t="str">
        <f t="shared" si="1"/>
        <v/>
      </c>
      <c r="J77" s="40" t="str">
        <f t="shared" si="2"/>
        <v/>
      </c>
      <c r="K77" s="40" t="str">
        <f>IF($C77="","",VLOOKUP($C77,Orders!$A$4:$J$303,5,FALSE))</f>
        <v/>
      </c>
      <c r="L77" s="22"/>
      <c r="M77" s="40" t="str">
        <f t="shared" si="3"/>
        <v/>
      </c>
      <c r="N77" s="22"/>
      <c r="O77" s="22"/>
      <c r="P77" s="22" t="str">
        <f t="shared" si="4"/>
        <v/>
      </c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39" t="str">
        <f t="array" ref="AB77">IFERROR(INDEX(Bids!$AA:$AA, MATCH(C77&amp;"|"&amp;B77, Bids!$AD:$AD,0)),"")</f>
        <v/>
      </c>
      <c r="AC77" s="39" t="str">
        <f t="array" ref="AC77">IFERROR(INDEX(Bids!$AB:$AB, MATCH(C77&amp;"|"&amp;B77, Bids!$AD:$AD,0)),"")</f>
        <v/>
      </c>
      <c r="AD77" s="39" t="str">
        <f t="array" ref="AD77">IFERROR(INDEX(Bids!$AC:$AC, MATCH(C77&amp;"|"&amp;B77, Bids!$AD:$AD,0)), H77)</f>
        <v/>
      </c>
      <c r="AE77" s="39"/>
      <c r="AG77" s="39"/>
      <c r="AH77" s="39" t="str">
        <f t="shared" si="5"/>
        <v/>
      </c>
      <c r="AI77" s="39" t="str">
        <f t="shared" si="6"/>
        <v/>
      </c>
      <c r="AM77" s="39" t="str">
        <f t="array" ref="AM77">IF(C77="","",IFERROR(XLOOKUP(C77,Orders!$A:$A,Orders!$E:$E,""),""))</f>
        <v/>
      </c>
      <c r="AN77" s="39" t="str">
        <f t="shared" si="7"/>
        <v/>
      </c>
      <c r="AO77" s="39" t="str">
        <f t="shared" si="8"/>
        <v/>
      </c>
      <c r="AP77" s="39" t="str">
        <f t="shared" si="9"/>
        <v/>
      </c>
      <c r="AQ77" s="39" t="str">
        <f t="shared" si="10"/>
        <v/>
      </c>
      <c r="AR77" s="39" t="str">
        <f t="shared" si="11"/>
        <v/>
      </c>
      <c r="AS77" s="39" t="str">
        <f t="shared" si="12"/>
        <v/>
      </c>
      <c r="AT77" s="39" t="str">
        <f t="shared" si="13"/>
        <v/>
      </c>
      <c r="AU77" s="39" t="str">
        <f t="shared" si="14"/>
        <v/>
      </c>
    </row>
    <row r="78" ht="15.75" customHeight="1">
      <c r="A78" s="22"/>
      <c r="B78" s="22"/>
      <c r="C78" s="22"/>
      <c r="D78" s="22"/>
      <c r="E78" s="40"/>
      <c r="F78" s="40" t="str">
        <f>IF($C78="","",VLOOKUP($C78,Orders!$A$4:$J$303,3,FALSE))</f>
        <v/>
      </c>
      <c r="G78" s="40" t="str">
        <f>IF($C78="","",VLOOKUP($C78,Orders!$A$4:$J$303,4,FALSE))</f>
        <v/>
      </c>
      <c r="H78" s="22"/>
      <c r="I78" s="40" t="str">
        <f t="shared" si="1"/>
        <v/>
      </c>
      <c r="J78" s="40" t="str">
        <f t="shared" si="2"/>
        <v/>
      </c>
      <c r="K78" s="40" t="str">
        <f>IF($C78="","",VLOOKUP($C78,Orders!$A$4:$J$303,5,FALSE))</f>
        <v/>
      </c>
      <c r="L78" s="22"/>
      <c r="M78" s="40" t="str">
        <f t="shared" si="3"/>
        <v/>
      </c>
      <c r="N78" s="22"/>
      <c r="O78" s="22"/>
      <c r="P78" s="22" t="str">
        <f t="shared" si="4"/>
        <v/>
      </c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39" t="str">
        <f t="array" ref="AB78">IFERROR(INDEX(Bids!$AA:$AA, MATCH(C78&amp;"|"&amp;B78, Bids!$AD:$AD,0)),"")</f>
        <v/>
      </c>
      <c r="AC78" s="39" t="str">
        <f t="array" ref="AC78">IFERROR(INDEX(Bids!$AB:$AB, MATCH(C78&amp;"|"&amp;B78, Bids!$AD:$AD,0)),"")</f>
        <v/>
      </c>
      <c r="AD78" s="39" t="str">
        <f t="array" ref="AD78">IFERROR(INDEX(Bids!$AC:$AC, MATCH(C78&amp;"|"&amp;B78, Bids!$AD:$AD,0)), H78)</f>
        <v/>
      </c>
      <c r="AE78" s="39"/>
      <c r="AG78" s="39"/>
      <c r="AH78" s="39" t="str">
        <f t="shared" si="5"/>
        <v/>
      </c>
      <c r="AI78" s="39" t="str">
        <f t="shared" si="6"/>
        <v/>
      </c>
      <c r="AM78" s="39" t="str">
        <f t="array" ref="AM78">IF(C78="","",IFERROR(XLOOKUP(C78,Orders!$A:$A,Orders!$E:$E,""),""))</f>
        <v/>
      </c>
      <c r="AN78" s="39" t="str">
        <f t="shared" si="7"/>
        <v/>
      </c>
      <c r="AO78" s="39" t="str">
        <f t="shared" si="8"/>
        <v/>
      </c>
      <c r="AP78" s="39" t="str">
        <f t="shared" si="9"/>
        <v/>
      </c>
      <c r="AQ78" s="39" t="str">
        <f t="shared" si="10"/>
        <v/>
      </c>
      <c r="AR78" s="39" t="str">
        <f t="shared" si="11"/>
        <v/>
      </c>
      <c r="AS78" s="39" t="str">
        <f t="shared" si="12"/>
        <v/>
      </c>
      <c r="AT78" s="39" t="str">
        <f t="shared" si="13"/>
        <v/>
      </c>
      <c r="AU78" s="39" t="str">
        <f t="shared" si="14"/>
        <v/>
      </c>
    </row>
    <row r="79" ht="15.75" customHeight="1">
      <c r="A79" s="22"/>
      <c r="B79" s="22"/>
      <c r="C79" s="22"/>
      <c r="D79" s="22"/>
      <c r="E79" s="40"/>
      <c r="F79" s="40" t="str">
        <f>IF($C79="","",VLOOKUP($C79,Orders!$A$4:$J$303,3,FALSE))</f>
        <v/>
      </c>
      <c r="G79" s="40" t="str">
        <f>IF($C79="","",VLOOKUP($C79,Orders!$A$4:$J$303,4,FALSE))</f>
        <v/>
      </c>
      <c r="H79" s="22"/>
      <c r="I79" s="40" t="str">
        <f t="shared" si="1"/>
        <v/>
      </c>
      <c r="J79" s="40" t="str">
        <f t="shared" si="2"/>
        <v/>
      </c>
      <c r="K79" s="40" t="str">
        <f>IF($C79="","",VLOOKUP($C79,Orders!$A$4:$J$303,5,FALSE))</f>
        <v/>
      </c>
      <c r="L79" s="22"/>
      <c r="M79" s="40" t="str">
        <f t="shared" si="3"/>
        <v/>
      </c>
      <c r="N79" s="22"/>
      <c r="O79" s="22"/>
      <c r="P79" s="22" t="str">
        <f t="shared" si="4"/>
        <v/>
      </c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39" t="str">
        <f t="array" ref="AB79">IFERROR(INDEX(Bids!$AA:$AA, MATCH(C79&amp;"|"&amp;B79, Bids!$AD:$AD,0)),"")</f>
        <v/>
      </c>
      <c r="AC79" s="39" t="str">
        <f t="array" ref="AC79">IFERROR(INDEX(Bids!$AB:$AB, MATCH(C79&amp;"|"&amp;B79, Bids!$AD:$AD,0)),"")</f>
        <v/>
      </c>
      <c r="AD79" s="39" t="str">
        <f t="array" ref="AD79">IFERROR(INDEX(Bids!$AC:$AC, MATCH(C79&amp;"|"&amp;B79, Bids!$AD:$AD,0)), H79)</f>
        <v/>
      </c>
      <c r="AE79" s="39"/>
      <c r="AG79" s="39"/>
      <c r="AH79" s="39" t="str">
        <f t="shared" si="5"/>
        <v/>
      </c>
      <c r="AI79" s="39" t="str">
        <f t="shared" si="6"/>
        <v/>
      </c>
      <c r="AM79" s="39" t="str">
        <f t="array" ref="AM79">IF(C79="","",IFERROR(XLOOKUP(C79,Orders!$A:$A,Orders!$E:$E,""),""))</f>
        <v/>
      </c>
      <c r="AN79" s="39" t="str">
        <f t="shared" si="7"/>
        <v/>
      </c>
      <c r="AO79" s="39" t="str">
        <f t="shared" si="8"/>
        <v/>
      </c>
      <c r="AP79" s="39" t="str">
        <f t="shared" si="9"/>
        <v/>
      </c>
      <c r="AQ79" s="39" t="str">
        <f t="shared" si="10"/>
        <v/>
      </c>
      <c r="AR79" s="39" t="str">
        <f t="shared" si="11"/>
        <v/>
      </c>
      <c r="AS79" s="39" t="str">
        <f t="shared" si="12"/>
        <v/>
      </c>
      <c r="AT79" s="39" t="str">
        <f t="shared" si="13"/>
        <v/>
      </c>
      <c r="AU79" s="39" t="str">
        <f t="shared" si="14"/>
        <v/>
      </c>
    </row>
    <row r="80" ht="15.75" customHeight="1">
      <c r="A80" s="22"/>
      <c r="B80" s="22"/>
      <c r="C80" s="22"/>
      <c r="D80" s="22"/>
      <c r="E80" s="40"/>
      <c r="F80" s="40" t="str">
        <f>IF($C80="","",VLOOKUP($C80,Orders!$A$4:$J$303,3,FALSE))</f>
        <v/>
      </c>
      <c r="G80" s="40" t="str">
        <f>IF($C80="","",VLOOKUP($C80,Orders!$A$4:$J$303,4,FALSE))</f>
        <v/>
      </c>
      <c r="H80" s="22"/>
      <c r="I80" s="40" t="str">
        <f t="shared" si="1"/>
        <v/>
      </c>
      <c r="J80" s="40" t="str">
        <f t="shared" si="2"/>
        <v/>
      </c>
      <c r="K80" s="40" t="str">
        <f>IF($C80="","",VLOOKUP($C80,Orders!$A$4:$J$303,5,FALSE))</f>
        <v/>
      </c>
      <c r="L80" s="22"/>
      <c r="M80" s="40" t="str">
        <f t="shared" si="3"/>
        <v/>
      </c>
      <c r="N80" s="22"/>
      <c r="O80" s="22"/>
      <c r="P80" s="22" t="str">
        <f t="shared" si="4"/>
        <v/>
      </c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39" t="str">
        <f t="array" ref="AB80">IFERROR(INDEX(Bids!$AA:$AA, MATCH(C80&amp;"|"&amp;B80, Bids!$AD:$AD,0)),"")</f>
        <v/>
      </c>
      <c r="AC80" s="39" t="str">
        <f t="array" ref="AC80">IFERROR(INDEX(Bids!$AB:$AB, MATCH(C80&amp;"|"&amp;B80, Bids!$AD:$AD,0)),"")</f>
        <v/>
      </c>
      <c r="AD80" s="39" t="str">
        <f t="array" ref="AD80">IFERROR(INDEX(Bids!$AC:$AC, MATCH(C80&amp;"|"&amp;B80, Bids!$AD:$AD,0)), H80)</f>
        <v/>
      </c>
      <c r="AE80" s="39"/>
      <c r="AG80" s="39"/>
      <c r="AH80" s="39" t="str">
        <f t="shared" si="5"/>
        <v/>
      </c>
      <c r="AI80" s="39" t="str">
        <f t="shared" si="6"/>
        <v/>
      </c>
      <c r="AM80" s="39" t="str">
        <f t="array" ref="AM80">IF(C80="","",IFERROR(XLOOKUP(C80,Orders!$A:$A,Orders!$E:$E,""),""))</f>
        <v/>
      </c>
      <c r="AN80" s="39" t="str">
        <f t="shared" si="7"/>
        <v/>
      </c>
      <c r="AO80" s="39" t="str">
        <f t="shared" si="8"/>
        <v/>
      </c>
      <c r="AP80" s="39" t="str">
        <f t="shared" si="9"/>
        <v/>
      </c>
      <c r="AQ80" s="39" t="str">
        <f t="shared" si="10"/>
        <v/>
      </c>
      <c r="AR80" s="39" t="str">
        <f t="shared" si="11"/>
        <v/>
      </c>
      <c r="AS80" s="39" t="str">
        <f t="shared" si="12"/>
        <v/>
      </c>
      <c r="AT80" s="39" t="str">
        <f t="shared" si="13"/>
        <v/>
      </c>
      <c r="AU80" s="39" t="str">
        <f t="shared" si="14"/>
        <v/>
      </c>
    </row>
    <row r="81" ht="15.75" customHeight="1">
      <c r="A81" s="22"/>
      <c r="B81" s="22"/>
      <c r="C81" s="22"/>
      <c r="D81" s="22"/>
      <c r="E81" s="40"/>
      <c r="F81" s="40" t="str">
        <f>IF($C81="","",VLOOKUP($C81,Orders!$A$4:$J$303,3,FALSE))</f>
        <v/>
      </c>
      <c r="G81" s="40" t="str">
        <f>IF($C81="","",VLOOKUP($C81,Orders!$A$4:$J$303,4,FALSE))</f>
        <v/>
      </c>
      <c r="H81" s="22"/>
      <c r="I81" s="40" t="str">
        <f t="shared" si="1"/>
        <v/>
      </c>
      <c r="J81" s="40" t="str">
        <f t="shared" si="2"/>
        <v/>
      </c>
      <c r="K81" s="40" t="str">
        <f>IF($C81="","",VLOOKUP($C81,Orders!$A$4:$J$303,5,FALSE))</f>
        <v/>
      </c>
      <c r="L81" s="22"/>
      <c r="M81" s="40" t="str">
        <f t="shared" si="3"/>
        <v/>
      </c>
      <c r="N81" s="22"/>
      <c r="O81" s="22"/>
      <c r="P81" s="22" t="str">
        <f t="shared" si="4"/>
        <v/>
      </c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39" t="str">
        <f t="array" ref="AB81">IFERROR(INDEX(Bids!$AA:$AA, MATCH(C81&amp;"|"&amp;B81, Bids!$AD:$AD,0)),"")</f>
        <v/>
      </c>
      <c r="AC81" s="39" t="str">
        <f t="array" ref="AC81">IFERROR(INDEX(Bids!$AB:$AB, MATCH(C81&amp;"|"&amp;B81, Bids!$AD:$AD,0)),"")</f>
        <v/>
      </c>
      <c r="AD81" s="39" t="str">
        <f t="array" ref="AD81">IFERROR(INDEX(Bids!$AC:$AC, MATCH(C81&amp;"|"&amp;B81, Bids!$AD:$AD,0)), H81)</f>
        <v/>
      </c>
      <c r="AE81" s="39"/>
      <c r="AG81" s="39"/>
      <c r="AH81" s="39" t="str">
        <f t="shared" si="5"/>
        <v/>
      </c>
      <c r="AI81" s="39" t="str">
        <f t="shared" si="6"/>
        <v/>
      </c>
      <c r="AM81" s="39" t="str">
        <f t="array" ref="AM81">IF(C81="","",IFERROR(XLOOKUP(C81,Orders!$A:$A,Orders!$E:$E,""),""))</f>
        <v/>
      </c>
      <c r="AN81" s="39" t="str">
        <f t="shared" si="7"/>
        <v/>
      </c>
      <c r="AO81" s="39" t="str">
        <f t="shared" si="8"/>
        <v/>
      </c>
      <c r="AP81" s="39" t="str">
        <f t="shared" si="9"/>
        <v/>
      </c>
      <c r="AQ81" s="39" t="str">
        <f t="shared" si="10"/>
        <v/>
      </c>
      <c r="AR81" s="39" t="str">
        <f t="shared" si="11"/>
        <v/>
      </c>
      <c r="AS81" s="39" t="str">
        <f t="shared" si="12"/>
        <v/>
      </c>
      <c r="AT81" s="39" t="str">
        <f t="shared" si="13"/>
        <v/>
      </c>
      <c r="AU81" s="39" t="str">
        <f t="shared" si="14"/>
        <v/>
      </c>
    </row>
    <row r="82" ht="15.75" customHeight="1">
      <c r="A82" s="22"/>
      <c r="B82" s="22"/>
      <c r="C82" s="22"/>
      <c r="D82" s="22"/>
      <c r="E82" s="40"/>
      <c r="F82" s="40" t="str">
        <f>IF($C82="","",VLOOKUP($C82,Orders!$A$4:$J$303,3,FALSE))</f>
        <v/>
      </c>
      <c r="G82" s="40" t="str">
        <f>IF($C82="","",VLOOKUP($C82,Orders!$A$4:$J$303,4,FALSE))</f>
        <v/>
      </c>
      <c r="H82" s="22"/>
      <c r="I82" s="40" t="str">
        <f t="shared" si="1"/>
        <v/>
      </c>
      <c r="J82" s="40" t="str">
        <f t="shared" si="2"/>
        <v/>
      </c>
      <c r="K82" s="40" t="str">
        <f>IF($C82="","",VLOOKUP($C82,Orders!$A$4:$J$303,5,FALSE))</f>
        <v/>
      </c>
      <c r="L82" s="22"/>
      <c r="M82" s="40" t="str">
        <f t="shared" si="3"/>
        <v/>
      </c>
      <c r="N82" s="22"/>
      <c r="O82" s="22"/>
      <c r="P82" s="22" t="str">
        <f t="shared" si="4"/>
        <v/>
      </c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39" t="str">
        <f t="array" ref="AB82">IFERROR(INDEX(Bids!$AA:$AA, MATCH(C82&amp;"|"&amp;B82, Bids!$AD:$AD,0)),"")</f>
        <v/>
      </c>
      <c r="AC82" s="39" t="str">
        <f t="array" ref="AC82">IFERROR(INDEX(Bids!$AB:$AB, MATCH(C82&amp;"|"&amp;B82, Bids!$AD:$AD,0)),"")</f>
        <v/>
      </c>
      <c r="AD82" s="39" t="str">
        <f t="array" ref="AD82">IFERROR(INDEX(Bids!$AC:$AC, MATCH(C82&amp;"|"&amp;B82, Bids!$AD:$AD,0)), H82)</f>
        <v/>
      </c>
      <c r="AE82" s="39"/>
      <c r="AG82" s="39"/>
      <c r="AH82" s="39" t="str">
        <f t="shared" si="5"/>
        <v/>
      </c>
      <c r="AI82" s="39" t="str">
        <f t="shared" si="6"/>
        <v/>
      </c>
      <c r="AM82" s="39" t="str">
        <f t="array" ref="AM82">IF(C82="","",IFERROR(XLOOKUP(C82,Orders!$A:$A,Orders!$E:$E,""),""))</f>
        <v/>
      </c>
      <c r="AN82" s="39" t="str">
        <f t="shared" si="7"/>
        <v/>
      </c>
      <c r="AO82" s="39" t="str">
        <f t="shared" si="8"/>
        <v/>
      </c>
      <c r="AP82" s="39" t="str">
        <f t="shared" si="9"/>
        <v/>
      </c>
      <c r="AQ82" s="39" t="str">
        <f t="shared" si="10"/>
        <v/>
      </c>
      <c r="AR82" s="39" t="str">
        <f t="shared" si="11"/>
        <v/>
      </c>
      <c r="AS82" s="39" t="str">
        <f t="shared" si="12"/>
        <v/>
      </c>
      <c r="AT82" s="39" t="str">
        <f t="shared" si="13"/>
        <v/>
      </c>
      <c r="AU82" s="39" t="str">
        <f t="shared" si="14"/>
        <v/>
      </c>
    </row>
    <row r="83" ht="15.75" customHeight="1">
      <c r="A83" s="22"/>
      <c r="B83" s="22"/>
      <c r="C83" s="22"/>
      <c r="D83" s="22"/>
      <c r="E83" s="40"/>
      <c r="F83" s="40" t="str">
        <f>IF($C83="","",VLOOKUP($C83,Orders!$A$4:$J$303,3,FALSE))</f>
        <v/>
      </c>
      <c r="G83" s="40" t="str">
        <f>IF($C83="","",VLOOKUP($C83,Orders!$A$4:$J$303,4,FALSE))</f>
        <v/>
      </c>
      <c r="H83" s="22"/>
      <c r="I83" s="40" t="str">
        <f t="shared" si="1"/>
        <v/>
      </c>
      <c r="J83" s="40" t="str">
        <f t="shared" si="2"/>
        <v/>
      </c>
      <c r="K83" s="40" t="str">
        <f>IF($C83="","",VLOOKUP($C83,Orders!$A$4:$J$303,5,FALSE))</f>
        <v/>
      </c>
      <c r="L83" s="22"/>
      <c r="M83" s="40" t="str">
        <f t="shared" si="3"/>
        <v/>
      </c>
      <c r="N83" s="22"/>
      <c r="O83" s="22"/>
      <c r="P83" s="22" t="str">
        <f t="shared" si="4"/>
        <v/>
      </c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39" t="str">
        <f t="array" ref="AB83">IFERROR(INDEX(Bids!$AA:$AA, MATCH(C83&amp;"|"&amp;B83, Bids!$AD:$AD,0)),"")</f>
        <v/>
      </c>
      <c r="AC83" s="39" t="str">
        <f t="array" ref="AC83">IFERROR(INDEX(Bids!$AB:$AB, MATCH(C83&amp;"|"&amp;B83, Bids!$AD:$AD,0)),"")</f>
        <v/>
      </c>
      <c r="AD83" s="39" t="str">
        <f t="array" ref="AD83">IFERROR(INDEX(Bids!$AC:$AC, MATCH(C83&amp;"|"&amp;B83, Bids!$AD:$AD,0)), H83)</f>
        <v/>
      </c>
      <c r="AE83" s="39"/>
      <c r="AG83" s="39"/>
      <c r="AH83" s="39" t="str">
        <f t="shared" si="5"/>
        <v/>
      </c>
      <c r="AI83" s="39" t="str">
        <f t="shared" si="6"/>
        <v/>
      </c>
      <c r="AM83" s="39" t="str">
        <f t="array" ref="AM83">IF(C83="","",IFERROR(XLOOKUP(C83,Orders!$A:$A,Orders!$E:$E,""),""))</f>
        <v/>
      </c>
      <c r="AN83" s="39" t="str">
        <f t="shared" si="7"/>
        <v/>
      </c>
      <c r="AO83" s="39" t="str">
        <f t="shared" si="8"/>
        <v/>
      </c>
      <c r="AP83" s="39" t="str">
        <f t="shared" si="9"/>
        <v/>
      </c>
      <c r="AQ83" s="39" t="str">
        <f t="shared" si="10"/>
        <v/>
      </c>
      <c r="AR83" s="39" t="str">
        <f t="shared" si="11"/>
        <v/>
      </c>
      <c r="AS83" s="39" t="str">
        <f t="shared" si="12"/>
        <v/>
      </c>
      <c r="AT83" s="39" t="str">
        <f t="shared" si="13"/>
        <v/>
      </c>
      <c r="AU83" s="39" t="str">
        <f t="shared" si="14"/>
        <v/>
      </c>
    </row>
    <row r="84" ht="15.75" customHeight="1">
      <c r="A84" s="22"/>
      <c r="B84" s="22"/>
      <c r="C84" s="22"/>
      <c r="D84" s="22"/>
      <c r="E84" s="40"/>
      <c r="F84" s="40" t="str">
        <f>IF($C84="","",VLOOKUP($C84,Orders!$A$4:$J$303,3,FALSE))</f>
        <v/>
      </c>
      <c r="G84" s="40" t="str">
        <f>IF($C84="","",VLOOKUP($C84,Orders!$A$4:$J$303,4,FALSE))</f>
        <v/>
      </c>
      <c r="H84" s="22"/>
      <c r="I84" s="40" t="str">
        <f t="shared" si="1"/>
        <v/>
      </c>
      <c r="J84" s="40" t="str">
        <f t="shared" si="2"/>
        <v/>
      </c>
      <c r="K84" s="40" t="str">
        <f>IF($C84="","",VLOOKUP($C84,Orders!$A$4:$J$303,5,FALSE))</f>
        <v/>
      </c>
      <c r="L84" s="22"/>
      <c r="M84" s="40" t="str">
        <f t="shared" si="3"/>
        <v/>
      </c>
      <c r="N84" s="22"/>
      <c r="O84" s="22"/>
      <c r="P84" s="22" t="str">
        <f t="shared" si="4"/>
        <v/>
      </c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39" t="str">
        <f t="array" ref="AB84">IFERROR(INDEX(Bids!$AA:$AA, MATCH(C84&amp;"|"&amp;B84, Bids!$AD:$AD,0)),"")</f>
        <v/>
      </c>
      <c r="AC84" s="39" t="str">
        <f t="array" ref="AC84">IFERROR(INDEX(Bids!$AB:$AB, MATCH(C84&amp;"|"&amp;B84, Bids!$AD:$AD,0)),"")</f>
        <v/>
      </c>
      <c r="AD84" s="39" t="str">
        <f t="array" ref="AD84">IFERROR(INDEX(Bids!$AC:$AC, MATCH(C84&amp;"|"&amp;B84, Bids!$AD:$AD,0)), H84)</f>
        <v/>
      </c>
      <c r="AE84" s="39"/>
      <c r="AG84" s="39"/>
      <c r="AH84" s="39" t="str">
        <f t="shared" si="5"/>
        <v/>
      </c>
      <c r="AI84" s="39" t="str">
        <f t="shared" si="6"/>
        <v/>
      </c>
      <c r="AM84" s="39" t="str">
        <f t="array" ref="AM84">IF(C84="","",IFERROR(XLOOKUP(C84,Orders!$A:$A,Orders!$E:$E,""),""))</f>
        <v/>
      </c>
      <c r="AN84" s="39" t="str">
        <f t="shared" si="7"/>
        <v/>
      </c>
      <c r="AO84" s="39" t="str">
        <f t="shared" si="8"/>
        <v/>
      </c>
      <c r="AP84" s="39" t="str">
        <f t="shared" si="9"/>
        <v/>
      </c>
      <c r="AQ84" s="39" t="str">
        <f t="shared" si="10"/>
        <v/>
      </c>
      <c r="AR84" s="39" t="str">
        <f t="shared" si="11"/>
        <v/>
      </c>
      <c r="AS84" s="39" t="str">
        <f t="shared" si="12"/>
        <v/>
      </c>
      <c r="AT84" s="39" t="str">
        <f t="shared" si="13"/>
        <v/>
      </c>
      <c r="AU84" s="39" t="str">
        <f t="shared" si="14"/>
        <v/>
      </c>
    </row>
    <row r="85" ht="15.75" customHeight="1">
      <c r="A85" s="22"/>
      <c r="B85" s="22"/>
      <c r="C85" s="22"/>
      <c r="D85" s="22"/>
      <c r="E85" s="40"/>
      <c r="F85" s="40" t="str">
        <f>IF($C85="","",VLOOKUP($C85,Orders!$A$4:$J$303,3,FALSE))</f>
        <v/>
      </c>
      <c r="G85" s="40" t="str">
        <f>IF($C85="","",VLOOKUP($C85,Orders!$A$4:$J$303,4,FALSE))</f>
        <v/>
      </c>
      <c r="H85" s="22"/>
      <c r="I85" s="40" t="str">
        <f t="shared" si="1"/>
        <v/>
      </c>
      <c r="J85" s="40" t="str">
        <f t="shared" si="2"/>
        <v/>
      </c>
      <c r="K85" s="40" t="str">
        <f>IF($C85="","",VLOOKUP($C85,Orders!$A$4:$J$303,5,FALSE))</f>
        <v/>
      </c>
      <c r="L85" s="22"/>
      <c r="M85" s="40" t="str">
        <f t="shared" si="3"/>
        <v/>
      </c>
      <c r="N85" s="22"/>
      <c r="O85" s="22"/>
      <c r="P85" s="22" t="str">
        <f t="shared" si="4"/>
        <v/>
      </c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39" t="str">
        <f t="array" ref="AB85">IFERROR(INDEX(Bids!$AA:$AA, MATCH(C85&amp;"|"&amp;B85, Bids!$AD:$AD,0)),"")</f>
        <v/>
      </c>
      <c r="AC85" s="39" t="str">
        <f t="array" ref="AC85">IFERROR(INDEX(Bids!$AB:$AB, MATCH(C85&amp;"|"&amp;B85, Bids!$AD:$AD,0)),"")</f>
        <v/>
      </c>
      <c r="AD85" s="39" t="str">
        <f t="array" ref="AD85">IFERROR(INDEX(Bids!$AC:$AC, MATCH(C85&amp;"|"&amp;B85, Bids!$AD:$AD,0)), H85)</f>
        <v/>
      </c>
      <c r="AE85" s="39"/>
      <c r="AG85" s="39"/>
      <c r="AH85" s="39" t="str">
        <f t="shared" si="5"/>
        <v/>
      </c>
      <c r="AI85" s="39" t="str">
        <f t="shared" si="6"/>
        <v/>
      </c>
      <c r="AM85" s="39" t="str">
        <f t="array" ref="AM85">IF(C85="","",IFERROR(XLOOKUP(C85,Orders!$A:$A,Orders!$E:$E,""),""))</f>
        <v/>
      </c>
      <c r="AN85" s="39" t="str">
        <f t="shared" si="7"/>
        <v/>
      </c>
      <c r="AO85" s="39" t="str">
        <f t="shared" si="8"/>
        <v/>
      </c>
      <c r="AP85" s="39" t="str">
        <f t="shared" si="9"/>
        <v/>
      </c>
      <c r="AQ85" s="39" t="str">
        <f t="shared" si="10"/>
        <v/>
      </c>
      <c r="AR85" s="39" t="str">
        <f t="shared" si="11"/>
        <v/>
      </c>
      <c r="AS85" s="39" t="str">
        <f t="shared" si="12"/>
        <v/>
      </c>
      <c r="AT85" s="39" t="str">
        <f t="shared" si="13"/>
        <v/>
      </c>
      <c r="AU85" s="39" t="str">
        <f t="shared" si="14"/>
        <v/>
      </c>
    </row>
    <row r="86" ht="15.75" customHeight="1">
      <c r="A86" s="22"/>
      <c r="B86" s="22"/>
      <c r="C86" s="22"/>
      <c r="D86" s="22"/>
      <c r="E86" s="40"/>
      <c r="F86" s="40" t="str">
        <f>IF($C86="","",VLOOKUP($C86,Orders!$A$4:$J$303,3,FALSE))</f>
        <v/>
      </c>
      <c r="G86" s="40" t="str">
        <f>IF($C86="","",VLOOKUP($C86,Orders!$A$4:$J$303,4,FALSE))</f>
        <v/>
      </c>
      <c r="H86" s="22"/>
      <c r="I86" s="40" t="str">
        <f t="shared" si="1"/>
        <v/>
      </c>
      <c r="J86" s="40" t="str">
        <f t="shared" si="2"/>
        <v/>
      </c>
      <c r="K86" s="40" t="str">
        <f>IF($C86="","",VLOOKUP($C86,Orders!$A$4:$J$303,5,FALSE))</f>
        <v/>
      </c>
      <c r="L86" s="22"/>
      <c r="M86" s="40" t="str">
        <f t="shared" si="3"/>
        <v/>
      </c>
      <c r="N86" s="22"/>
      <c r="O86" s="22"/>
      <c r="P86" s="22" t="str">
        <f t="shared" si="4"/>
        <v/>
      </c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39" t="str">
        <f t="array" ref="AB86">IFERROR(INDEX(Bids!$AA:$AA, MATCH(C86&amp;"|"&amp;B86, Bids!$AD:$AD,0)),"")</f>
        <v/>
      </c>
      <c r="AC86" s="39" t="str">
        <f t="array" ref="AC86">IFERROR(INDEX(Bids!$AB:$AB, MATCH(C86&amp;"|"&amp;B86, Bids!$AD:$AD,0)),"")</f>
        <v/>
      </c>
      <c r="AD86" s="39" t="str">
        <f t="array" ref="AD86">IFERROR(INDEX(Bids!$AC:$AC, MATCH(C86&amp;"|"&amp;B86, Bids!$AD:$AD,0)), H86)</f>
        <v/>
      </c>
      <c r="AE86" s="39"/>
      <c r="AG86" s="39"/>
      <c r="AH86" s="39" t="str">
        <f t="shared" si="5"/>
        <v/>
      </c>
      <c r="AI86" s="39" t="str">
        <f t="shared" si="6"/>
        <v/>
      </c>
      <c r="AM86" s="39" t="str">
        <f t="array" ref="AM86">IF(C86="","",IFERROR(XLOOKUP(C86,Orders!$A:$A,Orders!$E:$E,""),""))</f>
        <v/>
      </c>
      <c r="AN86" s="39" t="str">
        <f t="shared" si="7"/>
        <v/>
      </c>
      <c r="AO86" s="39" t="str">
        <f t="shared" si="8"/>
        <v/>
      </c>
      <c r="AP86" s="39" t="str">
        <f t="shared" si="9"/>
        <v/>
      </c>
      <c r="AQ86" s="39" t="str">
        <f t="shared" si="10"/>
        <v/>
      </c>
      <c r="AR86" s="39" t="str">
        <f t="shared" si="11"/>
        <v/>
      </c>
      <c r="AS86" s="39" t="str">
        <f t="shared" si="12"/>
        <v/>
      </c>
      <c r="AT86" s="39" t="str">
        <f t="shared" si="13"/>
        <v/>
      </c>
      <c r="AU86" s="39" t="str">
        <f t="shared" si="14"/>
        <v/>
      </c>
    </row>
    <row r="87" ht="15.75" customHeight="1">
      <c r="A87" s="22"/>
      <c r="B87" s="22"/>
      <c r="C87" s="22"/>
      <c r="D87" s="22"/>
      <c r="E87" s="40"/>
      <c r="F87" s="40" t="str">
        <f>IF($C87="","",VLOOKUP($C87,Orders!$A$4:$J$303,3,FALSE))</f>
        <v/>
      </c>
      <c r="G87" s="40" t="str">
        <f>IF($C87="","",VLOOKUP($C87,Orders!$A$4:$J$303,4,FALSE))</f>
        <v/>
      </c>
      <c r="H87" s="22"/>
      <c r="I87" s="40" t="str">
        <f t="shared" si="1"/>
        <v/>
      </c>
      <c r="J87" s="40" t="str">
        <f t="shared" si="2"/>
        <v/>
      </c>
      <c r="K87" s="40" t="str">
        <f>IF($C87="","",VLOOKUP($C87,Orders!$A$4:$J$303,5,FALSE))</f>
        <v/>
      </c>
      <c r="L87" s="22"/>
      <c r="M87" s="40" t="str">
        <f t="shared" si="3"/>
        <v/>
      </c>
      <c r="N87" s="22"/>
      <c r="O87" s="22"/>
      <c r="P87" s="22" t="str">
        <f t="shared" si="4"/>
        <v/>
      </c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39" t="str">
        <f t="array" ref="AB87">IFERROR(INDEX(Bids!$AA:$AA, MATCH(C87&amp;"|"&amp;B87, Bids!$AD:$AD,0)),"")</f>
        <v/>
      </c>
      <c r="AC87" s="39" t="str">
        <f t="array" ref="AC87">IFERROR(INDEX(Bids!$AB:$AB, MATCH(C87&amp;"|"&amp;B87, Bids!$AD:$AD,0)),"")</f>
        <v/>
      </c>
      <c r="AD87" s="39" t="str">
        <f t="array" ref="AD87">IFERROR(INDEX(Bids!$AC:$AC, MATCH(C87&amp;"|"&amp;B87, Bids!$AD:$AD,0)), H87)</f>
        <v/>
      </c>
      <c r="AE87" s="39"/>
      <c r="AG87" s="39"/>
      <c r="AH87" s="39" t="str">
        <f t="shared" si="5"/>
        <v/>
      </c>
      <c r="AI87" s="39" t="str">
        <f t="shared" si="6"/>
        <v/>
      </c>
      <c r="AM87" s="39" t="str">
        <f t="array" ref="AM87">IF(C87="","",IFERROR(XLOOKUP(C87,Orders!$A:$A,Orders!$E:$E,""),""))</f>
        <v/>
      </c>
      <c r="AN87" s="39" t="str">
        <f t="shared" si="7"/>
        <v/>
      </c>
      <c r="AO87" s="39" t="str">
        <f t="shared" si="8"/>
        <v/>
      </c>
      <c r="AP87" s="39" t="str">
        <f t="shared" si="9"/>
        <v/>
      </c>
      <c r="AQ87" s="39" t="str">
        <f t="shared" si="10"/>
        <v/>
      </c>
      <c r="AR87" s="39" t="str">
        <f t="shared" si="11"/>
        <v/>
      </c>
      <c r="AS87" s="39" t="str">
        <f t="shared" si="12"/>
        <v/>
      </c>
      <c r="AT87" s="39" t="str">
        <f t="shared" si="13"/>
        <v/>
      </c>
      <c r="AU87" s="39" t="str">
        <f t="shared" si="14"/>
        <v/>
      </c>
    </row>
    <row r="88" ht="15.75" customHeight="1">
      <c r="A88" s="22"/>
      <c r="B88" s="22"/>
      <c r="C88" s="22"/>
      <c r="D88" s="22"/>
      <c r="E88" s="40"/>
      <c r="F88" s="40" t="str">
        <f>IF($C88="","",VLOOKUP($C88,Orders!$A$4:$J$303,3,FALSE))</f>
        <v/>
      </c>
      <c r="G88" s="40" t="str">
        <f>IF($C88="","",VLOOKUP($C88,Orders!$A$4:$J$303,4,FALSE))</f>
        <v/>
      </c>
      <c r="H88" s="22"/>
      <c r="I88" s="40" t="str">
        <f t="shared" si="1"/>
        <v/>
      </c>
      <c r="J88" s="40" t="str">
        <f t="shared" si="2"/>
        <v/>
      </c>
      <c r="K88" s="40" t="str">
        <f>IF($C88="","",VLOOKUP($C88,Orders!$A$4:$J$303,5,FALSE))</f>
        <v/>
      </c>
      <c r="L88" s="22"/>
      <c r="M88" s="40" t="str">
        <f t="shared" si="3"/>
        <v/>
      </c>
      <c r="N88" s="22"/>
      <c r="O88" s="22"/>
      <c r="P88" s="22" t="str">
        <f t="shared" si="4"/>
        <v/>
      </c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39" t="str">
        <f t="array" ref="AB88">IFERROR(INDEX(Bids!$AA:$AA, MATCH(C88&amp;"|"&amp;B88, Bids!$AD:$AD,0)),"")</f>
        <v/>
      </c>
      <c r="AC88" s="39" t="str">
        <f t="array" ref="AC88">IFERROR(INDEX(Bids!$AB:$AB, MATCH(C88&amp;"|"&amp;B88, Bids!$AD:$AD,0)),"")</f>
        <v/>
      </c>
      <c r="AD88" s="39" t="str">
        <f t="array" ref="AD88">IFERROR(INDEX(Bids!$AC:$AC, MATCH(C88&amp;"|"&amp;B88, Bids!$AD:$AD,0)), H88)</f>
        <v/>
      </c>
      <c r="AE88" s="39"/>
      <c r="AG88" s="39"/>
      <c r="AH88" s="39" t="str">
        <f t="shared" si="5"/>
        <v/>
      </c>
      <c r="AI88" s="39" t="str">
        <f t="shared" si="6"/>
        <v/>
      </c>
      <c r="AM88" s="39" t="str">
        <f t="array" ref="AM88">IF(C88="","",IFERROR(XLOOKUP(C88,Orders!$A:$A,Orders!$E:$E,""),""))</f>
        <v/>
      </c>
      <c r="AN88" s="39" t="str">
        <f t="shared" si="7"/>
        <v/>
      </c>
      <c r="AO88" s="39" t="str">
        <f t="shared" si="8"/>
        <v/>
      </c>
      <c r="AP88" s="39" t="str">
        <f t="shared" si="9"/>
        <v/>
      </c>
      <c r="AQ88" s="39" t="str">
        <f t="shared" si="10"/>
        <v/>
      </c>
      <c r="AR88" s="39" t="str">
        <f t="shared" si="11"/>
        <v/>
      </c>
      <c r="AS88" s="39" t="str">
        <f t="shared" si="12"/>
        <v/>
      </c>
      <c r="AT88" s="39" t="str">
        <f t="shared" si="13"/>
        <v/>
      </c>
      <c r="AU88" s="39" t="str">
        <f t="shared" si="14"/>
        <v/>
      </c>
    </row>
    <row r="89" ht="15.75" customHeight="1">
      <c r="A89" s="22"/>
      <c r="B89" s="22"/>
      <c r="C89" s="22"/>
      <c r="D89" s="22"/>
      <c r="E89" s="40"/>
      <c r="F89" s="40" t="str">
        <f>IF($C89="","",VLOOKUP($C89,Orders!$A$4:$J$303,3,FALSE))</f>
        <v/>
      </c>
      <c r="G89" s="40" t="str">
        <f>IF($C89="","",VLOOKUP($C89,Orders!$A$4:$J$303,4,FALSE))</f>
        <v/>
      </c>
      <c r="H89" s="22"/>
      <c r="I89" s="40" t="str">
        <f t="shared" si="1"/>
        <v/>
      </c>
      <c r="J89" s="40" t="str">
        <f t="shared" si="2"/>
        <v/>
      </c>
      <c r="K89" s="40" t="str">
        <f>IF($C89="","",VLOOKUP($C89,Orders!$A$4:$J$303,5,FALSE))</f>
        <v/>
      </c>
      <c r="L89" s="22"/>
      <c r="M89" s="40" t="str">
        <f t="shared" si="3"/>
        <v/>
      </c>
      <c r="N89" s="22"/>
      <c r="O89" s="22"/>
      <c r="P89" s="22" t="str">
        <f t="shared" si="4"/>
        <v/>
      </c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39" t="str">
        <f t="array" ref="AB89">IFERROR(INDEX(Bids!$AA:$AA, MATCH(C89&amp;"|"&amp;B89, Bids!$AD:$AD,0)),"")</f>
        <v/>
      </c>
      <c r="AC89" s="39" t="str">
        <f t="array" ref="AC89">IFERROR(INDEX(Bids!$AB:$AB, MATCH(C89&amp;"|"&amp;B89, Bids!$AD:$AD,0)),"")</f>
        <v/>
      </c>
      <c r="AD89" s="39" t="str">
        <f t="array" ref="AD89">IFERROR(INDEX(Bids!$AC:$AC, MATCH(C89&amp;"|"&amp;B89, Bids!$AD:$AD,0)), H89)</f>
        <v/>
      </c>
      <c r="AE89" s="39"/>
      <c r="AG89" s="39"/>
      <c r="AH89" s="39" t="str">
        <f t="shared" si="5"/>
        <v/>
      </c>
      <c r="AI89" s="39" t="str">
        <f t="shared" si="6"/>
        <v/>
      </c>
      <c r="AM89" s="39" t="str">
        <f t="array" ref="AM89">IF(C89="","",IFERROR(XLOOKUP(C89,Orders!$A:$A,Orders!$E:$E,""),""))</f>
        <v/>
      </c>
      <c r="AN89" s="39" t="str">
        <f t="shared" si="7"/>
        <v/>
      </c>
      <c r="AO89" s="39" t="str">
        <f t="shared" si="8"/>
        <v/>
      </c>
      <c r="AP89" s="39" t="str">
        <f t="shared" si="9"/>
        <v/>
      </c>
      <c r="AQ89" s="39" t="str">
        <f t="shared" si="10"/>
        <v/>
      </c>
      <c r="AR89" s="39" t="str">
        <f t="shared" si="11"/>
        <v/>
      </c>
      <c r="AS89" s="39" t="str">
        <f t="shared" si="12"/>
        <v/>
      </c>
      <c r="AT89" s="39" t="str">
        <f t="shared" si="13"/>
        <v/>
      </c>
      <c r="AU89" s="39" t="str">
        <f t="shared" si="14"/>
        <v/>
      </c>
    </row>
    <row r="90" ht="15.75" customHeight="1">
      <c r="A90" s="22"/>
      <c r="B90" s="22"/>
      <c r="C90" s="22"/>
      <c r="D90" s="22"/>
      <c r="E90" s="40"/>
      <c r="F90" s="40" t="str">
        <f>IF($C90="","",VLOOKUP($C90,Orders!$A$4:$J$303,3,FALSE))</f>
        <v/>
      </c>
      <c r="G90" s="40" t="str">
        <f>IF($C90="","",VLOOKUP($C90,Orders!$A$4:$J$303,4,FALSE))</f>
        <v/>
      </c>
      <c r="H90" s="22"/>
      <c r="I90" s="40" t="str">
        <f t="shared" si="1"/>
        <v/>
      </c>
      <c r="J90" s="40" t="str">
        <f t="shared" si="2"/>
        <v/>
      </c>
      <c r="K90" s="40" t="str">
        <f>IF($C90="","",VLOOKUP($C90,Orders!$A$4:$J$303,5,FALSE))</f>
        <v/>
      </c>
      <c r="L90" s="22"/>
      <c r="M90" s="40" t="str">
        <f t="shared" si="3"/>
        <v/>
      </c>
      <c r="N90" s="22"/>
      <c r="O90" s="22"/>
      <c r="P90" s="22" t="str">
        <f t="shared" si="4"/>
        <v/>
      </c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39" t="str">
        <f t="array" ref="AB90">IFERROR(INDEX(Bids!$AA:$AA, MATCH(C90&amp;"|"&amp;B90, Bids!$AD:$AD,0)),"")</f>
        <v/>
      </c>
      <c r="AC90" s="39" t="str">
        <f t="array" ref="AC90">IFERROR(INDEX(Bids!$AB:$AB, MATCH(C90&amp;"|"&amp;B90, Bids!$AD:$AD,0)),"")</f>
        <v/>
      </c>
      <c r="AD90" s="39" t="str">
        <f t="array" ref="AD90">IFERROR(INDEX(Bids!$AC:$AC, MATCH(C90&amp;"|"&amp;B90, Bids!$AD:$AD,0)), H90)</f>
        <v/>
      </c>
      <c r="AE90" s="39"/>
      <c r="AG90" s="39"/>
      <c r="AH90" s="39" t="str">
        <f t="shared" si="5"/>
        <v/>
      </c>
      <c r="AI90" s="39" t="str">
        <f t="shared" si="6"/>
        <v/>
      </c>
      <c r="AM90" s="39" t="str">
        <f t="array" ref="AM90">IF(C90="","",IFERROR(XLOOKUP(C90,Orders!$A:$A,Orders!$E:$E,""),""))</f>
        <v/>
      </c>
      <c r="AN90" s="39" t="str">
        <f t="shared" si="7"/>
        <v/>
      </c>
      <c r="AO90" s="39" t="str">
        <f t="shared" si="8"/>
        <v/>
      </c>
      <c r="AP90" s="39" t="str">
        <f t="shared" si="9"/>
        <v/>
      </c>
      <c r="AQ90" s="39" t="str">
        <f t="shared" si="10"/>
        <v/>
      </c>
      <c r="AR90" s="39" t="str">
        <f t="shared" si="11"/>
        <v/>
      </c>
      <c r="AS90" s="39" t="str">
        <f t="shared" si="12"/>
        <v/>
      </c>
      <c r="AT90" s="39" t="str">
        <f t="shared" si="13"/>
        <v/>
      </c>
      <c r="AU90" s="39" t="str">
        <f t="shared" si="14"/>
        <v/>
      </c>
    </row>
    <row r="91" ht="15.75" customHeight="1">
      <c r="A91" s="22"/>
      <c r="B91" s="22"/>
      <c r="C91" s="22"/>
      <c r="D91" s="22"/>
      <c r="E91" s="40"/>
      <c r="F91" s="40" t="str">
        <f>IF($C91="","",VLOOKUP($C91,Orders!$A$4:$J$303,3,FALSE))</f>
        <v/>
      </c>
      <c r="G91" s="40" t="str">
        <f>IF($C91="","",VLOOKUP($C91,Orders!$A$4:$J$303,4,FALSE))</f>
        <v/>
      </c>
      <c r="H91" s="22"/>
      <c r="I91" s="40" t="str">
        <f t="shared" si="1"/>
        <v/>
      </c>
      <c r="J91" s="40" t="str">
        <f t="shared" si="2"/>
        <v/>
      </c>
      <c r="K91" s="40" t="str">
        <f>IF($C91="","",VLOOKUP($C91,Orders!$A$4:$J$303,5,FALSE))</f>
        <v/>
      </c>
      <c r="L91" s="22"/>
      <c r="M91" s="40" t="str">
        <f t="shared" si="3"/>
        <v/>
      </c>
      <c r="N91" s="22"/>
      <c r="O91" s="22"/>
      <c r="P91" s="22" t="str">
        <f t="shared" si="4"/>
        <v/>
      </c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39" t="str">
        <f t="array" ref="AB91">IFERROR(INDEX(Bids!$AA:$AA, MATCH(C91&amp;"|"&amp;B91, Bids!$AD:$AD,0)),"")</f>
        <v/>
      </c>
      <c r="AC91" s="39" t="str">
        <f t="array" ref="AC91">IFERROR(INDEX(Bids!$AB:$AB, MATCH(C91&amp;"|"&amp;B91, Bids!$AD:$AD,0)),"")</f>
        <v/>
      </c>
      <c r="AD91" s="39" t="str">
        <f t="array" ref="AD91">IFERROR(INDEX(Bids!$AC:$AC, MATCH(C91&amp;"|"&amp;B91, Bids!$AD:$AD,0)), H91)</f>
        <v/>
      </c>
      <c r="AE91" s="39"/>
      <c r="AG91" s="39"/>
      <c r="AH91" s="39" t="str">
        <f t="shared" si="5"/>
        <v/>
      </c>
      <c r="AI91" s="39" t="str">
        <f t="shared" si="6"/>
        <v/>
      </c>
      <c r="AM91" s="39" t="str">
        <f t="array" ref="AM91">IF(C91="","",IFERROR(XLOOKUP(C91,Orders!$A:$A,Orders!$E:$E,""),""))</f>
        <v/>
      </c>
      <c r="AN91" s="39" t="str">
        <f t="shared" si="7"/>
        <v/>
      </c>
      <c r="AO91" s="39" t="str">
        <f t="shared" si="8"/>
        <v/>
      </c>
      <c r="AP91" s="39" t="str">
        <f t="shared" si="9"/>
        <v/>
      </c>
      <c r="AQ91" s="39" t="str">
        <f t="shared" si="10"/>
        <v/>
      </c>
      <c r="AR91" s="39" t="str">
        <f t="shared" si="11"/>
        <v/>
      </c>
      <c r="AS91" s="39" t="str">
        <f t="shared" si="12"/>
        <v/>
      </c>
      <c r="AT91" s="39" t="str">
        <f t="shared" si="13"/>
        <v/>
      </c>
      <c r="AU91" s="39" t="str">
        <f t="shared" si="14"/>
        <v/>
      </c>
    </row>
    <row r="92" ht="15.75" customHeight="1">
      <c r="A92" s="22"/>
      <c r="B92" s="22"/>
      <c r="C92" s="22"/>
      <c r="D92" s="22"/>
      <c r="E92" s="40"/>
      <c r="F92" s="40" t="str">
        <f>IF($C92="","",VLOOKUP($C92,Orders!$A$4:$J$303,3,FALSE))</f>
        <v/>
      </c>
      <c r="G92" s="40" t="str">
        <f>IF($C92="","",VLOOKUP($C92,Orders!$A$4:$J$303,4,FALSE))</f>
        <v/>
      </c>
      <c r="H92" s="22"/>
      <c r="I92" s="40" t="str">
        <f t="shared" si="1"/>
        <v/>
      </c>
      <c r="J92" s="40" t="str">
        <f t="shared" si="2"/>
        <v/>
      </c>
      <c r="K92" s="40" t="str">
        <f>IF($C92="","",VLOOKUP($C92,Orders!$A$4:$J$303,5,FALSE))</f>
        <v/>
      </c>
      <c r="L92" s="22"/>
      <c r="M92" s="40" t="str">
        <f t="shared" si="3"/>
        <v/>
      </c>
      <c r="N92" s="22"/>
      <c r="O92" s="22"/>
      <c r="P92" s="22" t="str">
        <f t="shared" si="4"/>
        <v/>
      </c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39" t="str">
        <f t="array" ref="AB92">IFERROR(INDEX(Bids!$AA:$AA, MATCH(C92&amp;"|"&amp;B92, Bids!$AD:$AD,0)),"")</f>
        <v/>
      </c>
      <c r="AC92" s="39" t="str">
        <f t="array" ref="AC92">IFERROR(INDEX(Bids!$AB:$AB, MATCH(C92&amp;"|"&amp;B92, Bids!$AD:$AD,0)),"")</f>
        <v/>
      </c>
      <c r="AD92" s="39" t="str">
        <f t="array" ref="AD92">IFERROR(INDEX(Bids!$AC:$AC, MATCH(C92&amp;"|"&amp;B92, Bids!$AD:$AD,0)), H92)</f>
        <v/>
      </c>
      <c r="AE92" s="39"/>
      <c r="AG92" s="39"/>
      <c r="AH92" s="39" t="str">
        <f t="shared" si="5"/>
        <v/>
      </c>
      <c r="AI92" s="39" t="str">
        <f t="shared" si="6"/>
        <v/>
      </c>
      <c r="AM92" s="39" t="str">
        <f t="array" ref="AM92">IF(C92="","",IFERROR(XLOOKUP(C92,Orders!$A:$A,Orders!$E:$E,""),""))</f>
        <v/>
      </c>
      <c r="AN92" s="39" t="str">
        <f t="shared" si="7"/>
        <v/>
      </c>
      <c r="AO92" s="39" t="str">
        <f t="shared" si="8"/>
        <v/>
      </c>
      <c r="AP92" s="39" t="str">
        <f t="shared" si="9"/>
        <v/>
      </c>
      <c r="AQ92" s="39" t="str">
        <f t="shared" si="10"/>
        <v/>
      </c>
      <c r="AR92" s="39" t="str">
        <f t="shared" si="11"/>
        <v/>
      </c>
      <c r="AS92" s="39" t="str">
        <f t="shared" si="12"/>
        <v/>
      </c>
      <c r="AT92" s="39" t="str">
        <f t="shared" si="13"/>
        <v/>
      </c>
      <c r="AU92" s="39" t="str">
        <f t="shared" si="14"/>
        <v/>
      </c>
    </row>
    <row r="93" ht="15.75" customHeight="1">
      <c r="A93" s="22"/>
      <c r="B93" s="22"/>
      <c r="C93" s="22"/>
      <c r="D93" s="22"/>
      <c r="E93" s="40"/>
      <c r="F93" s="40" t="str">
        <f>IF($C93="","",VLOOKUP($C93,Orders!$A$4:$J$303,3,FALSE))</f>
        <v/>
      </c>
      <c r="G93" s="40" t="str">
        <f>IF($C93="","",VLOOKUP($C93,Orders!$A$4:$J$303,4,FALSE))</f>
        <v/>
      </c>
      <c r="H93" s="22"/>
      <c r="I93" s="40" t="str">
        <f t="shared" si="1"/>
        <v/>
      </c>
      <c r="J93" s="40" t="str">
        <f t="shared" si="2"/>
        <v/>
      </c>
      <c r="K93" s="40" t="str">
        <f>IF($C93="","",VLOOKUP($C93,Orders!$A$4:$J$303,5,FALSE))</f>
        <v/>
      </c>
      <c r="L93" s="22"/>
      <c r="M93" s="40" t="str">
        <f t="shared" si="3"/>
        <v/>
      </c>
      <c r="N93" s="22"/>
      <c r="O93" s="22"/>
      <c r="P93" s="22" t="str">
        <f t="shared" si="4"/>
        <v/>
      </c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39" t="str">
        <f t="array" ref="AB93">IFERROR(INDEX(Bids!$AA:$AA, MATCH(C93&amp;"|"&amp;B93, Bids!$AD:$AD,0)),"")</f>
        <v/>
      </c>
      <c r="AC93" s="39" t="str">
        <f t="array" ref="AC93">IFERROR(INDEX(Bids!$AB:$AB, MATCH(C93&amp;"|"&amp;B93, Bids!$AD:$AD,0)),"")</f>
        <v/>
      </c>
      <c r="AD93" s="39" t="str">
        <f t="array" ref="AD93">IFERROR(INDEX(Bids!$AC:$AC, MATCH(C93&amp;"|"&amp;B93, Bids!$AD:$AD,0)), H93)</f>
        <v/>
      </c>
      <c r="AE93" s="39"/>
      <c r="AG93" s="39"/>
      <c r="AH93" s="39" t="str">
        <f t="shared" si="5"/>
        <v/>
      </c>
      <c r="AI93" s="39" t="str">
        <f t="shared" si="6"/>
        <v/>
      </c>
      <c r="AM93" s="39" t="str">
        <f t="array" ref="AM93">IF(C93="","",IFERROR(XLOOKUP(C93,Orders!$A:$A,Orders!$E:$E,""),""))</f>
        <v/>
      </c>
      <c r="AN93" s="39" t="str">
        <f t="shared" si="7"/>
        <v/>
      </c>
      <c r="AO93" s="39" t="str">
        <f t="shared" si="8"/>
        <v/>
      </c>
      <c r="AP93" s="39" t="str">
        <f t="shared" si="9"/>
        <v/>
      </c>
      <c r="AQ93" s="39" t="str">
        <f t="shared" si="10"/>
        <v/>
      </c>
      <c r="AR93" s="39" t="str">
        <f t="shared" si="11"/>
        <v/>
      </c>
      <c r="AS93" s="39" t="str">
        <f t="shared" si="12"/>
        <v/>
      </c>
      <c r="AT93" s="39" t="str">
        <f t="shared" si="13"/>
        <v/>
      </c>
      <c r="AU93" s="39" t="str">
        <f t="shared" si="14"/>
        <v/>
      </c>
    </row>
    <row r="94" ht="15.75" customHeight="1">
      <c r="A94" s="22"/>
      <c r="B94" s="22"/>
      <c r="C94" s="22"/>
      <c r="D94" s="22"/>
      <c r="E94" s="40"/>
      <c r="F94" s="40" t="str">
        <f>IF($C94="","",VLOOKUP($C94,Orders!$A$4:$J$303,3,FALSE))</f>
        <v/>
      </c>
      <c r="G94" s="40" t="str">
        <f>IF($C94="","",VLOOKUP($C94,Orders!$A$4:$J$303,4,FALSE))</f>
        <v/>
      </c>
      <c r="H94" s="22"/>
      <c r="I94" s="40" t="str">
        <f t="shared" si="1"/>
        <v/>
      </c>
      <c r="J94" s="40" t="str">
        <f t="shared" si="2"/>
        <v/>
      </c>
      <c r="K94" s="40" t="str">
        <f>IF($C94="","",VLOOKUP($C94,Orders!$A$4:$J$303,5,FALSE))</f>
        <v/>
      </c>
      <c r="L94" s="22"/>
      <c r="M94" s="40" t="str">
        <f t="shared" si="3"/>
        <v/>
      </c>
      <c r="N94" s="22"/>
      <c r="O94" s="22"/>
      <c r="P94" s="22" t="str">
        <f t="shared" si="4"/>
        <v/>
      </c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39" t="str">
        <f t="array" ref="AB94">IFERROR(INDEX(Bids!$AA:$AA, MATCH(C94&amp;"|"&amp;B94, Bids!$AD:$AD,0)),"")</f>
        <v/>
      </c>
      <c r="AC94" s="39" t="str">
        <f t="array" ref="AC94">IFERROR(INDEX(Bids!$AB:$AB, MATCH(C94&amp;"|"&amp;B94, Bids!$AD:$AD,0)),"")</f>
        <v/>
      </c>
      <c r="AD94" s="39" t="str">
        <f t="array" ref="AD94">IFERROR(INDEX(Bids!$AC:$AC, MATCH(C94&amp;"|"&amp;B94, Bids!$AD:$AD,0)), H94)</f>
        <v/>
      </c>
      <c r="AE94" s="39"/>
      <c r="AG94" s="39"/>
      <c r="AH94" s="39" t="str">
        <f t="shared" si="5"/>
        <v/>
      </c>
      <c r="AI94" s="39" t="str">
        <f t="shared" si="6"/>
        <v/>
      </c>
      <c r="AM94" s="39" t="str">
        <f t="array" ref="AM94">IF(C94="","",IFERROR(XLOOKUP(C94,Orders!$A:$A,Orders!$E:$E,""),""))</f>
        <v/>
      </c>
      <c r="AN94" s="39" t="str">
        <f t="shared" si="7"/>
        <v/>
      </c>
      <c r="AO94" s="39" t="str">
        <f t="shared" si="8"/>
        <v/>
      </c>
      <c r="AP94" s="39" t="str">
        <f t="shared" si="9"/>
        <v/>
      </c>
      <c r="AQ94" s="39" t="str">
        <f t="shared" si="10"/>
        <v/>
      </c>
      <c r="AR94" s="39" t="str">
        <f t="shared" si="11"/>
        <v/>
      </c>
      <c r="AS94" s="39" t="str">
        <f t="shared" si="12"/>
        <v/>
      </c>
      <c r="AT94" s="39" t="str">
        <f t="shared" si="13"/>
        <v/>
      </c>
      <c r="AU94" s="39" t="str">
        <f t="shared" si="14"/>
        <v/>
      </c>
    </row>
    <row r="95" ht="15.75" customHeight="1">
      <c r="A95" s="22"/>
      <c r="B95" s="22"/>
      <c r="C95" s="22"/>
      <c r="D95" s="22"/>
      <c r="E95" s="40"/>
      <c r="F95" s="40" t="str">
        <f>IF($C95="","",VLOOKUP($C95,Orders!$A$4:$J$303,3,FALSE))</f>
        <v/>
      </c>
      <c r="G95" s="40" t="str">
        <f>IF($C95="","",VLOOKUP($C95,Orders!$A$4:$J$303,4,FALSE))</f>
        <v/>
      </c>
      <c r="H95" s="22"/>
      <c r="I95" s="40" t="str">
        <f t="shared" si="1"/>
        <v/>
      </c>
      <c r="J95" s="40" t="str">
        <f t="shared" si="2"/>
        <v/>
      </c>
      <c r="K95" s="40" t="str">
        <f>IF($C95="","",VLOOKUP($C95,Orders!$A$4:$J$303,5,FALSE))</f>
        <v/>
      </c>
      <c r="L95" s="22"/>
      <c r="M95" s="40" t="str">
        <f t="shared" si="3"/>
        <v/>
      </c>
      <c r="N95" s="22"/>
      <c r="O95" s="22"/>
      <c r="P95" s="22" t="str">
        <f t="shared" si="4"/>
        <v/>
      </c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39" t="str">
        <f t="array" ref="AB95">IFERROR(INDEX(Bids!$AA:$AA, MATCH(C95&amp;"|"&amp;B95, Bids!$AD:$AD,0)),"")</f>
        <v/>
      </c>
      <c r="AC95" s="39" t="str">
        <f t="array" ref="AC95">IFERROR(INDEX(Bids!$AB:$AB, MATCH(C95&amp;"|"&amp;B95, Bids!$AD:$AD,0)),"")</f>
        <v/>
      </c>
      <c r="AD95" s="39" t="str">
        <f t="array" ref="AD95">IFERROR(INDEX(Bids!$AC:$AC, MATCH(C95&amp;"|"&amp;B95, Bids!$AD:$AD,0)), H95)</f>
        <v/>
      </c>
      <c r="AE95" s="39"/>
      <c r="AG95" s="39"/>
      <c r="AH95" s="39" t="str">
        <f t="shared" si="5"/>
        <v/>
      </c>
      <c r="AI95" s="39" t="str">
        <f t="shared" si="6"/>
        <v/>
      </c>
      <c r="AM95" s="39" t="str">
        <f t="array" ref="AM95">IF(C95="","",IFERROR(XLOOKUP(C95,Orders!$A:$A,Orders!$E:$E,""),""))</f>
        <v/>
      </c>
      <c r="AN95" s="39" t="str">
        <f t="shared" si="7"/>
        <v/>
      </c>
      <c r="AO95" s="39" t="str">
        <f t="shared" si="8"/>
        <v/>
      </c>
      <c r="AP95" s="39" t="str">
        <f t="shared" si="9"/>
        <v/>
      </c>
      <c r="AQ95" s="39" t="str">
        <f t="shared" si="10"/>
        <v/>
      </c>
      <c r="AR95" s="39" t="str">
        <f t="shared" si="11"/>
        <v/>
      </c>
      <c r="AS95" s="39" t="str">
        <f t="shared" si="12"/>
        <v/>
      </c>
      <c r="AT95" s="39" t="str">
        <f t="shared" si="13"/>
        <v/>
      </c>
      <c r="AU95" s="39" t="str">
        <f t="shared" si="14"/>
        <v/>
      </c>
    </row>
    <row r="96" ht="15.75" customHeight="1">
      <c r="A96" s="22"/>
      <c r="B96" s="22"/>
      <c r="C96" s="22"/>
      <c r="D96" s="22"/>
      <c r="E96" s="40"/>
      <c r="F96" s="40" t="str">
        <f>IF($C96="","",VLOOKUP($C96,Orders!$A$4:$J$303,3,FALSE))</f>
        <v/>
      </c>
      <c r="G96" s="40" t="str">
        <f>IF($C96="","",VLOOKUP($C96,Orders!$A$4:$J$303,4,FALSE))</f>
        <v/>
      </c>
      <c r="H96" s="22"/>
      <c r="I96" s="40" t="str">
        <f t="shared" si="1"/>
        <v/>
      </c>
      <c r="J96" s="40" t="str">
        <f t="shared" si="2"/>
        <v/>
      </c>
      <c r="K96" s="40" t="str">
        <f>IF($C96="","",VLOOKUP($C96,Orders!$A$4:$J$303,5,FALSE))</f>
        <v/>
      </c>
      <c r="L96" s="22"/>
      <c r="M96" s="40" t="str">
        <f t="shared" si="3"/>
        <v/>
      </c>
      <c r="N96" s="22"/>
      <c r="O96" s="22"/>
      <c r="P96" s="22" t="str">
        <f t="shared" si="4"/>
        <v/>
      </c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39" t="str">
        <f t="array" ref="AB96">IFERROR(INDEX(Bids!$AA:$AA, MATCH(C96&amp;"|"&amp;B96, Bids!$AD:$AD,0)),"")</f>
        <v/>
      </c>
      <c r="AC96" s="39" t="str">
        <f t="array" ref="AC96">IFERROR(INDEX(Bids!$AB:$AB, MATCH(C96&amp;"|"&amp;B96, Bids!$AD:$AD,0)),"")</f>
        <v/>
      </c>
      <c r="AD96" s="39" t="str">
        <f t="array" ref="AD96">IFERROR(INDEX(Bids!$AC:$AC, MATCH(C96&amp;"|"&amp;B96, Bids!$AD:$AD,0)), H96)</f>
        <v/>
      </c>
      <c r="AE96" s="39"/>
      <c r="AG96" s="39"/>
      <c r="AH96" s="39" t="str">
        <f t="shared" si="5"/>
        <v/>
      </c>
      <c r="AI96" s="39" t="str">
        <f t="shared" si="6"/>
        <v/>
      </c>
      <c r="AM96" s="39" t="str">
        <f t="array" ref="AM96">IF(C96="","",IFERROR(XLOOKUP(C96,Orders!$A:$A,Orders!$E:$E,""),""))</f>
        <v/>
      </c>
      <c r="AN96" s="39" t="str">
        <f t="shared" si="7"/>
        <v/>
      </c>
      <c r="AO96" s="39" t="str">
        <f t="shared" si="8"/>
        <v/>
      </c>
      <c r="AP96" s="39" t="str">
        <f t="shared" si="9"/>
        <v/>
      </c>
      <c r="AQ96" s="39" t="str">
        <f t="shared" si="10"/>
        <v/>
      </c>
      <c r="AR96" s="39" t="str">
        <f t="shared" si="11"/>
        <v/>
      </c>
      <c r="AS96" s="39" t="str">
        <f t="shared" si="12"/>
        <v/>
      </c>
      <c r="AT96" s="39" t="str">
        <f t="shared" si="13"/>
        <v/>
      </c>
      <c r="AU96" s="39" t="str">
        <f t="shared" si="14"/>
        <v/>
      </c>
    </row>
    <row r="97" ht="15.75" customHeight="1">
      <c r="A97" s="22"/>
      <c r="B97" s="22"/>
      <c r="C97" s="22"/>
      <c r="D97" s="22"/>
      <c r="E97" s="40"/>
      <c r="F97" s="40" t="str">
        <f>IF($C97="","",VLOOKUP($C97,Orders!$A$4:$J$303,3,FALSE))</f>
        <v/>
      </c>
      <c r="G97" s="40" t="str">
        <f>IF($C97="","",VLOOKUP($C97,Orders!$A$4:$J$303,4,FALSE))</f>
        <v/>
      </c>
      <c r="H97" s="22"/>
      <c r="I97" s="40" t="str">
        <f t="shared" si="1"/>
        <v/>
      </c>
      <c r="J97" s="40" t="str">
        <f t="shared" si="2"/>
        <v/>
      </c>
      <c r="K97" s="40" t="str">
        <f>IF($C97="","",VLOOKUP($C97,Orders!$A$4:$J$303,5,FALSE))</f>
        <v/>
      </c>
      <c r="L97" s="22"/>
      <c r="M97" s="40" t="str">
        <f t="shared" si="3"/>
        <v/>
      </c>
      <c r="N97" s="22"/>
      <c r="O97" s="22"/>
      <c r="P97" s="22" t="str">
        <f t="shared" si="4"/>
        <v/>
      </c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39" t="str">
        <f t="array" ref="AB97">IFERROR(INDEX(Bids!$AA:$AA, MATCH(C97&amp;"|"&amp;B97, Bids!$AD:$AD,0)),"")</f>
        <v/>
      </c>
      <c r="AC97" s="39" t="str">
        <f t="array" ref="AC97">IFERROR(INDEX(Bids!$AB:$AB, MATCH(C97&amp;"|"&amp;B97, Bids!$AD:$AD,0)),"")</f>
        <v/>
      </c>
      <c r="AD97" s="39" t="str">
        <f t="array" ref="AD97">IFERROR(INDEX(Bids!$AC:$AC, MATCH(C97&amp;"|"&amp;B97, Bids!$AD:$AD,0)), H97)</f>
        <v/>
      </c>
      <c r="AE97" s="39"/>
      <c r="AG97" s="39"/>
      <c r="AH97" s="39" t="str">
        <f t="shared" si="5"/>
        <v/>
      </c>
      <c r="AI97" s="39" t="str">
        <f t="shared" si="6"/>
        <v/>
      </c>
      <c r="AM97" s="39" t="str">
        <f t="array" ref="AM97">IF(C97="","",IFERROR(XLOOKUP(C97,Orders!$A:$A,Orders!$E:$E,""),""))</f>
        <v/>
      </c>
      <c r="AN97" s="39" t="str">
        <f t="shared" si="7"/>
        <v/>
      </c>
      <c r="AO97" s="39" t="str">
        <f t="shared" si="8"/>
        <v/>
      </c>
      <c r="AP97" s="39" t="str">
        <f t="shared" si="9"/>
        <v/>
      </c>
      <c r="AQ97" s="39" t="str">
        <f t="shared" si="10"/>
        <v/>
      </c>
      <c r="AR97" s="39" t="str">
        <f t="shared" si="11"/>
        <v/>
      </c>
      <c r="AS97" s="39" t="str">
        <f t="shared" si="12"/>
        <v/>
      </c>
      <c r="AT97" s="39" t="str">
        <f t="shared" si="13"/>
        <v/>
      </c>
      <c r="AU97" s="39" t="str">
        <f t="shared" si="14"/>
        <v/>
      </c>
    </row>
    <row r="98" ht="15.75" customHeight="1">
      <c r="A98" s="22"/>
      <c r="B98" s="22"/>
      <c r="C98" s="22"/>
      <c r="D98" s="22"/>
      <c r="E98" s="40"/>
      <c r="F98" s="40" t="str">
        <f>IF($C98="","",VLOOKUP($C98,Orders!$A$4:$J$303,3,FALSE))</f>
        <v/>
      </c>
      <c r="G98" s="40" t="str">
        <f>IF($C98="","",VLOOKUP($C98,Orders!$A$4:$J$303,4,FALSE))</f>
        <v/>
      </c>
      <c r="H98" s="22"/>
      <c r="I98" s="40" t="str">
        <f t="shared" si="1"/>
        <v/>
      </c>
      <c r="J98" s="40" t="str">
        <f t="shared" si="2"/>
        <v/>
      </c>
      <c r="K98" s="40" t="str">
        <f>IF($C98="","",VLOOKUP($C98,Orders!$A$4:$J$303,5,FALSE))</f>
        <v/>
      </c>
      <c r="L98" s="22"/>
      <c r="M98" s="40" t="str">
        <f t="shared" si="3"/>
        <v/>
      </c>
      <c r="N98" s="22"/>
      <c r="O98" s="22"/>
      <c r="P98" s="22" t="str">
        <f t="shared" si="4"/>
        <v/>
      </c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39" t="str">
        <f t="array" ref="AB98">IFERROR(INDEX(Bids!$AA:$AA, MATCH(C98&amp;"|"&amp;B98, Bids!$AD:$AD,0)),"")</f>
        <v/>
      </c>
      <c r="AC98" s="39" t="str">
        <f t="array" ref="AC98">IFERROR(INDEX(Bids!$AB:$AB, MATCH(C98&amp;"|"&amp;B98, Bids!$AD:$AD,0)),"")</f>
        <v/>
      </c>
      <c r="AD98" s="39" t="str">
        <f t="array" ref="AD98">IFERROR(INDEX(Bids!$AC:$AC, MATCH(C98&amp;"|"&amp;B98, Bids!$AD:$AD,0)), H98)</f>
        <v/>
      </c>
      <c r="AE98" s="39"/>
      <c r="AG98" s="39"/>
      <c r="AH98" s="39" t="str">
        <f t="shared" si="5"/>
        <v/>
      </c>
      <c r="AI98" s="39" t="str">
        <f t="shared" si="6"/>
        <v/>
      </c>
      <c r="AM98" s="39" t="str">
        <f t="array" ref="AM98">IF(C98="","",IFERROR(XLOOKUP(C98,Orders!$A:$A,Orders!$E:$E,""),""))</f>
        <v/>
      </c>
      <c r="AN98" s="39" t="str">
        <f t="shared" si="7"/>
        <v/>
      </c>
      <c r="AO98" s="39" t="str">
        <f t="shared" si="8"/>
        <v/>
      </c>
      <c r="AP98" s="39" t="str">
        <f t="shared" si="9"/>
        <v/>
      </c>
      <c r="AQ98" s="39" t="str">
        <f t="shared" si="10"/>
        <v/>
      </c>
      <c r="AR98" s="39" t="str">
        <f t="shared" si="11"/>
        <v/>
      </c>
      <c r="AS98" s="39" t="str">
        <f t="shared" si="12"/>
        <v/>
      </c>
      <c r="AT98" s="39" t="str">
        <f t="shared" si="13"/>
        <v/>
      </c>
      <c r="AU98" s="39" t="str">
        <f t="shared" si="14"/>
        <v/>
      </c>
    </row>
    <row r="99" ht="15.75" customHeight="1">
      <c r="A99" s="22"/>
      <c r="B99" s="22"/>
      <c r="C99" s="22"/>
      <c r="D99" s="22"/>
      <c r="E99" s="40"/>
      <c r="F99" s="40" t="str">
        <f>IF($C99="","",VLOOKUP($C99,Orders!$A$4:$J$303,3,FALSE))</f>
        <v/>
      </c>
      <c r="G99" s="40" t="str">
        <f>IF($C99="","",VLOOKUP($C99,Orders!$A$4:$J$303,4,FALSE))</f>
        <v/>
      </c>
      <c r="H99" s="22"/>
      <c r="I99" s="40" t="str">
        <f t="shared" si="1"/>
        <v/>
      </c>
      <c r="J99" s="40" t="str">
        <f t="shared" si="2"/>
        <v/>
      </c>
      <c r="K99" s="40" t="str">
        <f>IF($C99="","",VLOOKUP($C99,Orders!$A$4:$J$303,5,FALSE))</f>
        <v/>
      </c>
      <c r="L99" s="22"/>
      <c r="M99" s="40" t="str">
        <f t="shared" si="3"/>
        <v/>
      </c>
      <c r="N99" s="22"/>
      <c r="O99" s="22"/>
      <c r="P99" s="22" t="str">
        <f t="shared" si="4"/>
        <v/>
      </c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39" t="str">
        <f t="array" ref="AB99">IFERROR(INDEX(Bids!$AA:$AA, MATCH(C99&amp;"|"&amp;B99, Bids!$AD:$AD,0)),"")</f>
        <v/>
      </c>
      <c r="AC99" s="39" t="str">
        <f t="array" ref="AC99">IFERROR(INDEX(Bids!$AB:$AB, MATCH(C99&amp;"|"&amp;B99, Bids!$AD:$AD,0)),"")</f>
        <v/>
      </c>
      <c r="AD99" s="39" t="str">
        <f t="array" ref="AD99">IFERROR(INDEX(Bids!$AC:$AC, MATCH(C99&amp;"|"&amp;B99, Bids!$AD:$AD,0)), H99)</f>
        <v/>
      </c>
      <c r="AE99" s="39"/>
      <c r="AG99" s="39"/>
      <c r="AH99" s="39" t="str">
        <f t="shared" si="5"/>
        <v/>
      </c>
      <c r="AI99" s="39" t="str">
        <f t="shared" si="6"/>
        <v/>
      </c>
      <c r="AM99" s="39" t="str">
        <f t="array" ref="AM99">IF(C99="","",IFERROR(XLOOKUP(C99,Orders!$A:$A,Orders!$E:$E,""),""))</f>
        <v/>
      </c>
      <c r="AN99" s="39" t="str">
        <f t="shared" si="7"/>
        <v/>
      </c>
      <c r="AO99" s="39" t="str">
        <f t="shared" si="8"/>
        <v/>
      </c>
      <c r="AP99" s="39" t="str">
        <f t="shared" si="9"/>
        <v/>
      </c>
      <c r="AQ99" s="39" t="str">
        <f t="shared" si="10"/>
        <v/>
      </c>
      <c r="AR99" s="39" t="str">
        <f t="shared" si="11"/>
        <v/>
      </c>
      <c r="AS99" s="39" t="str">
        <f t="shared" si="12"/>
        <v/>
      </c>
      <c r="AT99" s="39" t="str">
        <f t="shared" si="13"/>
        <v/>
      </c>
      <c r="AU99" s="39" t="str">
        <f t="shared" si="14"/>
        <v/>
      </c>
    </row>
    <row r="100" ht="15.75" customHeight="1">
      <c r="A100" s="22"/>
      <c r="B100" s="22"/>
      <c r="C100" s="22"/>
      <c r="D100" s="22"/>
      <c r="E100" s="40"/>
      <c r="F100" s="40" t="str">
        <f>IF($C100="","",VLOOKUP($C100,Orders!$A$4:$J$303,3,FALSE))</f>
        <v/>
      </c>
      <c r="G100" s="40" t="str">
        <f>IF($C100="","",VLOOKUP($C100,Orders!$A$4:$J$303,4,FALSE))</f>
        <v/>
      </c>
      <c r="H100" s="22"/>
      <c r="I100" s="40" t="str">
        <f t="shared" si="1"/>
        <v/>
      </c>
      <c r="J100" s="40" t="str">
        <f t="shared" si="2"/>
        <v/>
      </c>
      <c r="K100" s="40" t="str">
        <f>IF($C100="","",VLOOKUP($C100,Orders!$A$4:$J$303,5,FALSE))</f>
        <v/>
      </c>
      <c r="L100" s="22"/>
      <c r="M100" s="40" t="str">
        <f t="shared" si="3"/>
        <v/>
      </c>
      <c r="N100" s="22"/>
      <c r="O100" s="22"/>
      <c r="P100" s="22" t="str">
        <f t="shared" si="4"/>
        <v/>
      </c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39" t="str">
        <f t="array" ref="AB100">IFERROR(INDEX(Bids!$AA:$AA, MATCH(C100&amp;"|"&amp;B100, Bids!$AD:$AD,0)),"")</f>
        <v/>
      </c>
      <c r="AC100" s="39" t="str">
        <f t="array" ref="AC100">IFERROR(INDEX(Bids!$AB:$AB, MATCH(C100&amp;"|"&amp;B100, Bids!$AD:$AD,0)),"")</f>
        <v/>
      </c>
      <c r="AD100" s="39" t="str">
        <f t="array" ref="AD100">IFERROR(INDEX(Bids!$AC:$AC, MATCH(C100&amp;"|"&amp;B100, Bids!$AD:$AD,0)), H100)</f>
        <v/>
      </c>
      <c r="AE100" s="39"/>
      <c r="AG100" s="39"/>
      <c r="AH100" s="39" t="str">
        <f t="shared" si="5"/>
        <v/>
      </c>
      <c r="AI100" s="39" t="str">
        <f t="shared" si="6"/>
        <v/>
      </c>
      <c r="AM100" s="39" t="str">
        <f t="array" ref="AM100">IF(C100="","",IFERROR(XLOOKUP(C100,Orders!$A:$A,Orders!$E:$E,""),""))</f>
        <v/>
      </c>
      <c r="AN100" s="39" t="str">
        <f t="shared" si="7"/>
        <v/>
      </c>
      <c r="AO100" s="39" t="str">
        <f t="shared" si="8"/>
        <v/>
      </c>
      <c r="AP100" s="39" t="str">
        <f t="shared" si="9"/>
        <v/>
      </c>
      <c r="AQ100" s="39" t="str">
        <f t="shared" si="10"/>
        <v/>
      </c>
      <c r="AR100" s="39" t="str">
        <f t="shared" si="11"/>
        <v/>
      </c>
      <c r="AS100" s="39" t="str">
        <f t="shared" si="12"/>
        <v/>
      </c>
      <c r="AT100" s="39" t="str">
        <f t="shared" si="13"/>
        <v/>
      </c>
      <c r="AU100" s="39" t="str">
        <f t="shared" si="14"/>
        <v/>
      </c>
    </row>
    <row r="101" ht="15.75" customHeight="1">
      <c r="A101" s="22"/>
      <c r="B101" s="22"/>
      <c r="C101" s="22"/>
      <c r="D101" s="22"/>
      <c r="E101" s="40"/>
      <c r="F101" s="40" t="str">
        <f>IF($C101="","",VLOOKUP($C101,Orders!$A$4:$J$303,3,FALSE))</f>
        <v/>
      </c>
      <c r="G101" s="40" t="str">
        <f>IF($C101="","",VLOOKUP($C101,Orders!$A$4:$J$303,4,FALSE))</f>
        <v/>
      </c>
      <c r="H101" s="22"/>
      <c r="I101" s="40" t="str">
        <f t="shared" si="1"/>
        <v/>
      </c>
      <c r="J101" s="40" t="str">
        <f t="shared" si="2"/>
        <v/>
      </c>
      <c r="K101" s="40" t="str">
        <f>IF($C101="","",VLOOKUP($C101,Orders!$A$4:$J$303,5,FALSE))</f>
        <v/>
      </c>
      <c r="L101" s="22"/>
      <c r="M101" s="40" t="str">
        <f t="shared" si="3"/>
        <v/>
      </c>
      <c r="N101" s="22"/>
      <c r="O101" s="22"/>
      <c r="P101" s="22" t="str">
        <f t="shared" si="4"/>
        <v/>
      </c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39" t="str">
        <f t="array" ref="AB101">IFERROR(INDEX(Bids!$AA:$AA, MATCH(C101&amp;"|"&amp;B101, Bids!$AD:$AD,0)),"")</f>
        <v/>
      </c>
      <c r="AC101" s="39" t="str">
        <f t="array" ref="AC101">IFERROR(INDEX(Bids!$AB:$AB, MATCH(C101&amp;"|"&amp;B101, Bids!$AD:$AD,0)),"")</f>
        <v/>
      </c>
      <c r="AD101" s="39" t="str">
        <f t="array" ref="AD101">IFERROR(INDEX(Bids!$AC:$AC, MATCH(C101&amp;"|"&amp;B101, Bids!$AD:$AD,0)), H101)</f>
        <v/>
      </c>
      <c r="AE101" s="39"/>
      <c r="AG101" s="39"/>
      <c r="AH101" s="39" t="str">
        <f t="shared" si="5"/>
        <v/>
      </c>
      <c r="AI101" s="39" t="str">
        <f t="shared" si="6"/>
        <v/>
      </c>
      <c r="AM101" s="39" t="str">
        <f t="array" ref="AM101">IF(C101="","",IFERROR(XLOOKUP(C101,Orders!$A:$A,Orders!$E:$E,""),""))</f>
        <v/>
      </c>
      <c r="AN101" s="39" t="str">
        <f t="shared" si="7"/>
        <v/>
      </c>
      <c r="AO101" s="39" t="str">
        <f t="shared" si="8"/>
        <v/>
      </c>
      <c r="AP101" s="39" t="str">
        <f t="shared" si="9"/>
        <v/>
      </c>
      <c r="AQ101" s="39" t="str">
        <f t="shared" si="10"/>
        <v/>
      </c>
      <c r="AR101" s="39" t="str">
        <f t="shared" si="11"/>
        <v/>
      </c>
      <c r="AS101" s="39" t="str">
        <f t="shared" si="12"/>
        <v/>
      </c>
      <c r="AT101" s="39" t="str">
        <f t="shared" si="13"/>
        <v/>
      </c>
      <c r="AU101" s="39" t="str">
        <f t="shared" si="14"/>
        <v/>
      </c>
    </row>
    <row r="102" ht="15.75" customHeight="1">
      <c r="A102" s="22"/>
      <c r="B102" s="22"/>
      <c r="C102" s="22"/>
      <c r="D102" s="22"/>
      <c r="E102" s="40"/>
      <c r="F102" s="40" t="str">
        <f>IF($C102="","",VLOOKUP($C102,Orders!$A$4:$J$303,3,FALSE))</f>
        <v/>
      </c>
      <c r="G102" s="40" t="str">
        <f>IF($C102="","",VLOOKUP($C102,Orders!$A$4:$J$303,4,FALSE))</f>
        <v/>
      </c>
      <c r="H102" s="22"/>
      <c r="I102" s="40" t="str">
        <f t="shared" si="1"/>
        <v/>
      </c>
      <c r="J102" s="40" t="str">
        <f t="shared" si="2"/>
        <v/>
      </c>
      <c r="K102" s="40" t="str">
        <f>IF($C102="","",VLOOKUP($C102,Orders!$A$4:$J$303,5,FALSE))</f>
        <v/>
      </c>
      <c r="L102" s="22"/>
      <c r="M102" s="40" t="str">
        <f t="shared" si="3"/>
        <v/>
      </c>
      <c r="N102" s="22"/>
      <c r="O102" s="22"/>
      <c r="P102" s="22" t="str">
        <f t="shared" si="4"/>
        <v/>
      </c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39" t="str">
        <f t="array" ref="AB102">IFERROR(INDEX(Bids!$AA:$AA, MATCH(C102&amp;"|"&amp;B102, Bids!$AD:$AD,0)),"")</f>
        <v/>
      </c>
      <c r="AC102" s="39" t="str">
        <f t="array" ref="AC102">IFERROR(INDEX(Bids!$AB:$AB, MATCH(C102&amp;"|"&amp;B102, Bids!$AD:$AD,0)),"")</f>
        <v/>
      </c>
      <c r="AD102" s="39" t="str">
        <f t="array" ref="AD102">IFERROR(INDEX(Bids!$AC:$AC, MATCH(C102&amp;"|"&amp;B102, Bids!$AD:$AD,0)), H102)</f>
        <v/>
      </c>
      <c r="AE102" s="39"/>
      <c r="AG102" s="39"/>
      <c r="AH102" s="39" t="str">
        <f t="shared" si="5"/>
        <v/>
      </c>
      <c r="AI102" s="39" t="str">
        <f t="shared" si="6"/>
        <v/>
      </c>
      <c r="AM102" s="39" t="str">
        <f t="array" ref="AM102">IF(C102="","",IFERROR(XLOOKUP(C102,Orders!$A:$A,Orders!$E:$E,""),""))</f>
        <v/>
      </c>
      <c r="AN102" s="39" t="str">
        <f t="shared" si="7"/>
        <v/>
      </c>
      <c r="AO102" s="39" t="str">
        <f t="shared" si="8"/>
        <v/>
      </c>
      <c r="AP102" s="39" t="str">
        <f t="shared" si="9"/>
        <v/>
      </c>
      <c r="AQ102" s="39" t="str">
        <f t="shared" si="10"/>
        <v/>
      </c>
      <c r="AR102" s="39" t="str">
        <f t="shared" si="11"/>
        <v/>
      </c>
      <c r="AS102" s="39" t="str">
        <f t="shared" si="12"/>
        <v/>
      </c>
      <c r="AT102" s="39" t="str">
        <f t="shared" si="13"/>
        <v/>
      </c>
      <c r="AU102" s="39" t="str">
        <f t="shared" si="14"/>
        <v/>
      </c>
    </row>
    <row r="103" ht="15.75" customHeight="1">
      <c r="A103" s="22"/>
      <c r="B103" s="22"/>
      <c r="C103" s="22"/>
      <c r="D103" s="22"/>
      <c r="E103" s="40"/>
      <c r="F103" s="40" t="str">
        <f>IF($C103="","",VLOOKUP($C103,Orders!$A$4:$J$303,3,FALSE))</f>
        <v/>
      </c>
      <c r="G103" s="40" t="str">
        <f>IF($C103="","",VLOOKUP($C103,Orders!$A$4:$J$303,4,FALSE))</f>
        <v/>
      </c>
      <c r="H103" s="22"/>
      <c r="I103" s="40" t="str">
        <f t="shared" si="1"/>
        <v/>
      </c>
      <c r="J103" s="40" t="str">
        <f t="shared" si="2"/>
        <v/>
      </c>
      <c r="K103" s="40" t="str">
        <f>IF($C103="","",VLOOKUP($C103,Orders!$A$4:$J$303,5,FALSE))</f>
        <v/>
      </c>
      <c r="L103" s="22"/>
      <c r="M103" s="40" t="str">
        <f t="shared" si="3"/>
        <v/>
      </c>
      <c r="N103" s="22"/>
      <c r="O103" s="22"/>
      <c r="P103" s="22" t="str">
        <f t="shared" si="4"/>
        <v/>
      </c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39" t="str">
        <f t="array" ref="AB103">IFERROR(INDEX(Bids!$AA:$AA, MATCH(C103&amp;"|"&amp;B103, Bids!$AD:$AD,0)),"")</f>
        <v/>
      </c>
      <c r="AC103" s="39" t="str">
        <f t="array" ref="AC103">IFERROR(INDEX(Bids!$AB:$AB, MATCH(C103&amp;"|"&amp;B103, Bids!$AD:$AD,0)),"")</f>
        <v/>
      </c>
      <c r="AD103" s="39" t="str">
        <f t="array" ref="AD103">IFERROR(INDEX(Bids!$AC:$AC, MATCH(C103&amp;"|"&amp;B103, Bids!$AD:$AD,0)), H103)</f>
        <v/>
      </c>
      <c r="AE103" s="39"/>
      <c r="AG103" s="39"/>
      <c r="AH103" s="39" t="str">
        <f t="shared" si="5"/>
        <v/>
      </c>
      <c r="AI103" s="39" t="str">
        <f t="shared" si="6"/>
        <v/>
      </c>
      <c r="AM103" s="39" t="str">
        <f t="array" ref="AM103">IF(C103="","",IFERROR(XLOOKUP(C103,Orders!$A:$A,Orders!$E:$E,""),""))</f>
        <v/>
      </c>
      <c r="AN103" s="39" t="str">
        <f t="shared" si="7"/>
        <v/>
      </c>
      <c r="AO103" s="39" t="str">
        <f t="shared" si="8"/>
        <v/>
      </c>
      <c r="AP103" s="39" t="str">
        <f t="shared" si="9"/>
        <v/>
      </c>
      <c r="AQ103" s="39" t="str">
        <f t="shared" si="10"/>
        <v/>
      </c>
      <c r="AR103" s="39" t="str">
        <f t="shared" si="11"/>
        <v/>
      </c>
      <c r="AS103" s="39" t="str">
        <f t="shared" si="12"/>
        <v/>
      </c>
      <c r="AT103" s="39" t="str">
        <f t="shared" si="13"/>
        <v/>
      </c>
      <c r="AU103" s="39" t="str">
        <f t="shared" si="14"/>
        <v/>
      </c>
    </row>
    <row r="104" ht="15.75" customHeight="1">
      <c r="A104" s="22"/>
      <c r="B104" s="22"/>
      <c r="C104" s="22"/>
      <c r="D104" s="22"/>
      <c r="E104" s="40"/>
      <c r="F104" s="40" t="str">
        <f>IF($C104="","",VLOOKUP($C104,Orders!$A$4:$J$303,3,FALSE))</f>
        <v/>
      </c>
      <c r="G104" s="40" t="str">
        <f>IF($C104="","",VLOOKUP($C104,Orders!$A$4:$J$303,4,FALSE))</f>
        <v/>
      </c>
      <c r="H104" s="22"/>
      <c r="I104" s="40" t="str">
        <f t="shared" si="1"/>
        <v/>
      </c>
      <c r="J104" s="40" t="str">
        <f t="shared" si="2"/>
        <v/>
      </c>
      <c r="K104" s="40" t="str">
        <f>IF($C104="","",VLOOKUP($C104,Orders!$A$4:$J$303,5,FALSE))</f>
        <v/>
      </c>
      <c r="L104" s="22"/>
      <c r="M104" s="40" t="str">
        <f t="shared" si="3"/>
        <v/>
      </c>
      <c r="N104" s="22"/>
      <c r="O104" s="22"/>
      <c r="P104" s="22" t="str">
        <f t="shared" si="4"/>
        <v/>
      </c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39" t="str">
        <f t="array" ref="AB104">IFERROR(INDEX(Bids!$AA:$AA, MATCH(C104&amp;"|"&amp;B104, Bids!$AD:$AD,0)),"")</f>
        <v/>
      </c>
      <c r="AC104" s="39" t="str">
        <f t="array" ref="AC104">IFERROR(INDEX(Bids!$AB:$AB, MATCH(C104&amp;"|"&amp;B104, Bids!$AD:$AD,0)),"")</f>
        <v/>
      </c>
      <c r="AD104" s="39" t="str">
        <f t="array" ref="AD104">IFERROR(INDEX(Bids!$AC:$AC, MATCH(C104&amp;"|"&amp;B104, Bids!$AD:$AD,0)), H104)</f>
        <v/>
      </c>
      <c r="AE104" s="39"/>
      <c r="AG104" s="39"/>
      <c r="AH104" s="39" t="str">
        <f t="shared" si="5"/>
        <v/>
      </c>
      <c r="AI104" s="39" t="str">
        <f t="shared" si="6"/>
        <v/>
      </c>
      <c r="AM104" s="39" t="str">
        <f t="array" ref="AM104">IF(C104="","",IFERROR(XLOOKUP(C104,Orders!$A:$A,Orders!$E:$E,""),""))</f>
        <v/>
      </c>
      <c r="AN104" s="39" t="str">
        <f t="shared" si="7"/>
        <v/>
      </c>
      <c r="AO104" s="39" t="str">
        <f t="shared" si="8"/>
        <v/>
      </c>
      <c r="AP104" s="39" t="str">
        <f t="shared" si="9"/>
        <v/>
      </c>
      <c r="AQ104" s="39" t="str">
        <f t="shared" si="10"/>
        <v/>
      </c>
      <c r="AR104" s="39" t="str">
        <f t="shared" si="11"/>
        <v/>
      </c>
      <c r="AS104" s="39" t="str">
        <f t="shared" si="12"/>
        <v/>
      </c>
      <c r="AT104" s="39" t="str">
        <f t="shared" si="13"/>
        <v/>
      </c>
      <c r="AU104" s="39" t="str">
        <f t="shared" si="14"/>
        <v/>
      </c>
    </row>
    <row r="105" ht="15.75" customHeight="1">
      <c r="A105" s="22"/>
      <c r="B105" s="22"/>
      <c r="C105" s="22"/>
      <c r="D105" s="22"/>
      <c r="E105" s="40"/>
      <c r="F105" s="40" t="str">
        <f>IF($C105="","",VLOOKUP($C105,Orders!$A$4:$J$303,3,FALSE))</f>
        <v/>
      </c>
      <c r="G105" s="40" t="str">
        <f>IF($C105="","",VLOOKUP($C105,Orders!$A$4:$J$303,4,FALSE))</f>
        <v/>
      </c>
      <c r="H105" s="22"/>
      <c r="I105" s="40" t="str">
        <f t="shared" si="1"/>
        <v/>
      </c>
      <c r="J105" s="40" t="str">
        <f t="shared" si="2"/>
        <v/>
      </c>
      <c r="K105" s="40" t="str">
        <f>IF($C105="","",VLOOKUP($C105,Orders!$A$4:$J$303,5,FALSE))</f>
        <v/>
      </c>
      <c r="L105" s="22"/>
      <c r="M105" s="40" t="str">
        <f t="shared" si="3"/>
        <v/>
      </c>
      <c r="N105" s="22"/>
      <c r="O105" s="22"/>
      <c r="P105" s="22" t="str">
        <f t="shared" si="4"/>
        <v/>
      </c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39" t="str">
        <f t="array" ref="AB105">IFERROR(INDEX(Bids!$AA:$AA, MATCH(C105&amp;"|"&amp;B105, Bids!$AD:$AD,0)),"")</f>
        <v/>
      </c>
      <c r="AC105" s="39" t="str">
        <f t="array" ref="AC105">IFERROR(INDEX(Bids!$AB:$AB, MATCH(C105&amp;"|"&amp;B105, Bids!$AD:$AD,0)),"")</f>
        <v/>
      </c>
      <c r="AD105" s="39" t="str">
        <f t="array" ref="AD105">IFERROR(INDEX(Bids!$AC:$AC, MATCH(C105&amp;"|"&amp;B105, Bids!$AD:$AD,0)), H105)</f>
        <v/>
      </c>
      <c r="AE105" s="39"/>
      <c r="AG105" s="39"/>
      <c r="AH105" s="39" t="str">
        <f t="shared" si="5"/>
        <v/>
      </c>
      <c r="AI105" s="39" t="str">
        <f t="shared" si="6"/>
        <v/>
      </c>
      <c r="AM105" s="39" t="str">
        <f t="array" ref="AM105">IF(C105="","",IFERROR(XLOOKUP(C105,Orders!$A:$A,Orders!$E:$E,""),""))</f>
        <v/>
      </c>
      <c r="AN105" s="39" t="str">
        <f t="shared" si="7"/>
        <v/>
      </c>
      <c r="AO105" s="39" t="str">
        <f t="shared" si="8"/>
        <v/>
      </c>
      <c r="AP105" s="39" t="str">
        <f t="shared" si="9"/>
        <v/>
      </c>
      <c r="AQ105" s="39" t="str">
        <f t="shared" si="10"/>
        <v/>
      </c>
      <c r="AR105" s="39" t="str">
        <f t="shared" si="11"/>
        <v/>
      </c>
      <c r="AS105" s="39" t="str">
        <f t="shared" si="12"/>
        <v/>
      </c>
      <c r="AT105" s="39" t="str">
        <f t="shared" si="13"/>
        <v/>
      </c>
      <c r="AU105" s="39" t="str">
        <f t="shared" si="14"/>
        <v/>
      </c>
    </row>
    <row r="106" ht="15.75" customHeight="1">
      <c r="A106" s="22"/>
      <c r="B106" s="22"/>
      <c r="C106" s="22"/>
      <c r="D106" s="22"/>
      <c r="E106" s="40"/>
      <c r="F106" s="40" t="str">
        <f>IF($C106="","",VLOOKUP($C106,Orders!$A$4:$J$303,3,FALSE))</f>
        <v/>
      </c>
      <c r="G106" s="40" t="str">
        <f>IF($C106="","",VLOOKUP($C106,Orders!$A$4:$J$303,4,FALSE))</f>
        <v/>
      </c>
      <c r="H106" s="22"/>
      <c r="I106" s="40" t="str">
        <f t="shared" si="1"/>
        <v/>
      </c>
      <c r="J106" s="40" t="str">
        <f t="shared" si="2"/>
        <v/>
      </c>
      <c r="K106" s="40" t="str">
        <f>IF($C106="","",VLOOKUP($C106,Orders!$A$4:$J$303,5,FALSE))</f>
        <v/>
      </c>
      <c r="L106" s="22"/>
      <c r="M106" s="40" t="str">
        <f t="shared" si="3"/>
        <v/>
      </c>
      <c r="N106" s="22"/>
      <c r="O106" s="22"/>
      <c r="P106" s="22" t="str">
        <f t="shared" si="4"/>
        <v/>
      </c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39" t="str">
        <f t="array" ref="AB106">IFERROR(INDEX(Bids!$AA:$AA, MATCH(C106&amp;"|"&amp;B106, Bids!$AD:$AD,0)),"")</f>
        <v/>
      </c>
      <c r="AC106" s="39" t="str">
        <f t="array" ref="AC106">IFERROR(INDEX(Bids!$AB:$AB, MATCH(C106&amp;"|"&amp;B106, Bids!$AD:$AD,0)),"")</f>
        <v/>
      </c>
      <c r="AD106" s="39" t="str">
        <f t="array" ref="AD106">IFERROR(INDEX(Bids!$AC:$AC, MATCH(C106&amp;"|"&amp;B106, Bids!$AD:$AD,0)), H106)</f>
        <v/>
      </c>
      <c r="AE106" s="39"/>
      <c r="AG106" s="39"/>
      <c r="AH106" s="39" t="str">
        <f t="shared" si="5"/>
        <v/>
      </c>
      <c r="AI106" s="39" t="str">
        <f t="shared" si="6"/>
        <v/>
      </c>
      <c r="AM106" s="39" t="str">
        <f t="array" ref="AM106">IF(C106="","",IFERROR(XLOOKUP(C106,Orders!$A:$A,Orders!$E:$E,""),""))</f>
        <v/>
      </c>
      <c r="AN106" s="39" t="str">
        <f t="shared" si="7"/>
        <v/>
      </c>
      <c r="AO106" s="39" t="str">
        <f t="shared" si="8"/>
        <v/>
      </c>
      <c r="AP106" s="39" t="str">
        <f t="shared" si="9"/>
        <v/>
      </c>
      <c r="AQ106" s="39" t="str">
        <f t="shared" si="10"/>
        <v/>
      </c>
      <c r="AR106" s="39" t="str">
        <f t="shared" si="11"/>
        <v/>
      </c>
      <c r="AS106" s="39" t="str">
        <f t="shared" si="12"/>
        <v/>
      </c>
      <c r="AT106" s="39" t="str">
        <f t="shared" si="13"/>
        <v/>
      </c>
      <c r="AU106" s="39" t="str">
        <f t="shared" si="14"/>
        <v/>
      </c>
    </row>
    <row r="107" ht="15.75" customHeight="1">
      <c r="A107" s="22"/>
      <c r="B107" s="22"/>
      <c r="C107" s="22"/>
      <c r="D107" s="22"/>
      <c r="E107" s="40"/>
      <c r="F107" s="40" t="str">
        <f>IF($C107="","",VLOOKUP($C107,Orders!$A$4:$J$303,3,FALSE))</f>
        <v/>
      </c>
      <c r="G107" s="40" t="str">
        <f>IF($C107="","",VLOOKUP($C107,Orders!$A$4:$J$303,4,FALSE))</f>
        <v/>
      </c>
      <c r="H107" s="22"/>
      <c r="I107" s="40" t="str">
        <f t="shared" si="1"/>
        <v/>
      </c>
      <c r="J107" s="40" t="str">
        <f t="shared" si="2"/>
        <v/>
      </c>
      <c r="K107" s="40" t="str">
        <f>IF($C107="","",VLOOKUP($C107,Orders!$A$4:$J$303,5,FALSE))</f>
        <v/>
      </c>
      <c r="L107" s="22"/>
      <c r="M107" s="40" t="str">
        <f t="shared" si="3"/>
        <v/>
      </c>
      <c r="N107" s="22"/>
      <c r="O107" s="22"/>
      <c r="P107" s="22" t="str">
        <f t="shared" si="4"/>
        <v/>
      </c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39" t="str">
        <f t="array" ref="AB107">IFERROR(INDEX(Bids!$AA:$AA, MATCH(C107&amp;"|"&amp;B107, Bids!$AD:$AD,0)),"")</f>
        <v/>
      </c>
      <c r="AC107" s="39" t="str">
        <f t="array" ref="AC107">IFERROR(INDEX(Bids!$AB:$AB, MATCH(C107&amp;"|"&amp;B107, Bids!$AD:$AD,0)),"")</f>
        <v/>
      </c>
      <c r="AD107" s="39" t="str">
        <f t="array" ref="AD107">IFERROR(INDEX(Bids!$AC:$AC, MATCH(C107&amp;"|"&amp;B107, Bids!$AD:$AD,0)), H107)</f>
        <v/>
      </c>
      <c r="AE107" s="39"/>
      <c r="AG107" s="39"/>
      <c r="AH107" s="39" t="str">
        <f t="shared" si="5"/>
        <v/>
      </c>
      <c r="AI107" s="39" t="str">
        <f t="shared" si="6"/>
        <v/>
      </c>
      <c r="AM107" s="39" t="str">
        <f t="array" ref="AM107">IF(C107="","",IFERROR(XLOOKUP(C107,Orders!$A:$A,Orders!$E:$E,""),""))</f>
        <v/>
      </c>
      <c r="AN107" s="39" t="str">
        <f t="shared" si="7"/>
        <v/>
      </c>
      <c r="AO107" s="39" t="str">
        <f t="shared" si="8"/>
        <v/>
      </c>
      <c r="AP107" s="39" t="str">
        <f t="shared" si="9"/>
        <v/>
      </c>
      <c r="AQ107" s="39" t="str">
        <f t="shared" si="10"/>
        <v/>
      </c>
      <c r="AR107" s="39" t="str">
        <f t="shared" si="11"/>
        <v/>
      </c>
      <c r="AS107" s="39" t="str">
        <f t="shared" si="12"/>
        <v/>
      </c>
      <c r="AT107" s="39" t="str">
        <f t="shared" si="13"/>
        <v/>
      </c>
      <c r="AU107" s="39" t="str">
        <f t="shared" si="14"/>
        <v/>
      </c>
    </row>
    <row r="108" ht="15.75" customHeight="1">
      <c r="A108" s="22"/>
      <c r="B108" s="22"/>
      <c r="C108" s="22"/>
      <c r="D108" s="22"/>
      <c r="E108" s="40"/>
      <c r="F108" s="40" t="str">
        <f>IF($C108="","",VLOOKUP($C108,Orders!$A$4:$J$303,3,FALSE))</f>
        <v/>
      </c>
      <c r="G108" s="40" t="str">
        <f>IF($C108="","",VLOOKUP($C108,Orders!$A$4:$J$303,4,FALSE))</f>
        <v/>
      </c>
      <c r="H108" s="22"/>
      <c r="I108" s="40" t="str">
        <f t="shared" si="1"/>
        <v/>
      </c>
      <c r="J108" s="40" t="str">
        <f t="shared" si="2"/>
        <v/>
      </c>
      <c r="K108" s="40" t="str">
        <f>IF($C108="","",VLOOKUP($C108,Orders!$A$4:$J$303,5,FALSE))</f>
        <v/>
      </c>
      <c r="L108" s="22"/>
      <c r="M108" s="40" t="str">
        <f t="shared" si="3"/>
        <v/>
      </c>
      <c r="N108" s="22"/>
      <c r="O108" s="22"/>
      <c r="P108" s="22" t="str">
        <f t="shared" si="4"/>
        <v/>
      </c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39" t="str">
        <f t="array" ref="AB108">IFERROR(INDEX(Bids!$AA:$AA, MATCH(C108&amp;"|"&amp;B108, Bids!$AD:$AD,0)),"")</f>
        <v/>
      </c>
      <c r="AC108" s="39" t="str">
        <f t="array" ref="AC108">IFERROR(INDEX(Bids!$AB:$AB, MATCH(C108&amp;"|"&amp;B108, Bids!$AD:$AD,0)),"")</f>
        <v/>
      </c>
      <c r="AD108" s="39" t="str">
        <f t="array" ref="AD108">IFERROR(INDEX(Bids!$AC:$AC, MATCH(C108&amp;"|"&amp;B108, Bids!$AD:$AD,0)), H108)</f>
        <v/>
      </c>
      <c r="AE108" s="39"/>
      <c r="AG108" s="39"/>
      <c r="AH108" s="39" t="str">
        <f t="shared" si="5"/>
        <v/>
      </c>
      <c r="AI108" s="39" t="str">
        <f t="shared" si="6"/>
        <v/>
      </c>
      <c r="AM108" s="39" t="str">
        <f t="array" ref="AM108">IF(C108="","",IFERROR(XLOOKUP(C108,Orders!$A:$A,Orders!$E:$E,""),""))</f>
        <v/>
      </c>
      <c r="AN108" s="39" t="str">
        <f t="shared" si="7"/>
        <v/>
      </c>
      <c r="AO108" s="39" t="str">
        <f t="shared" si="8"/>
        <v/>
      </c>
      <c r="AP108" s="39" t="str">
        <f t="shared" si="9"/>
        <v/>
      </c>
      <c r="AQ108" s="39" t="str">
        <f t="shared" si="10"/>
        <v/>
      </c>
      <c r="AR108" s="39" t="str">
        <f t="shared" si="11"/>
        <v/>
      </c>
      <c r="AS108" s="39" t="str">
        <f t="shared" si="12"/>
        <v/>
      </c>
      <c r="AT108" s="39" t="str">
        <f t="shared" si="13"/>
        <v/>
      </c>
      <c r="AU108" s="39" t="str">
        <f t="shared" si="14"/>
        <v/>
      </c>
    </row>
    <row r="109" ht="15.75" customHeight="1">
      <c r="A109" s="22"/>
      <c r="B109" s="22"/>
      <c r="C109" s="22"/>
      <c r="D109" s="22"/>
      <c r="E109" s="40"/>
      <c r="F109" s="40" t="str">
        <f>IF($C109="","",VLOOKUP($C109,Orders!$A$4:$J$303,3,FALSE))</f>
        <v/>
      </c>
      <c r="G109" s="40" t="str">
        <f>IF($C109="","",VLOOKUP($C109,Orders!$A$4:$J$303,4,FALSE))</f>
        <v/>
      </c>
      <c r="H109" s="22"/>
      <c r="I109" s="40" t="str">
        <f t="shared" si="1"/>
        <v/>
      </c>
      <c r="J109" s="40" t="str">
        <f t="shared" si="2"/>
        <v/>
      </c>
      <c r="K109" s="40" t="str">
        <f>IF($C109="","",VLOOKUP($C109,Orders!$A$4:$J$303,5,FALSE))</f>
        <v/>
      </c>
      <c r="L109" s="22"/>
      <c r="M109" s="40" t="str">
        <f t="shared" si="3"/>
        <v/>
      </c>
      <c r="N109" s="22"/>
      <c r="O109" s="22"/>
      <c r="P109" s="22" t="str">
        <f t="shared" si="4"/>
        <v/>
      </c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39" t="str">
        <f t="array" ref="AB109">IFERROR(INDEX(Bids!$AA:$AA, MATCH(C109&amp;"|"&amp;B109, Bids!$AD:$AD,0)),"")</f>
        <v/>
      </c>
      <c r="AC109" s="39" t="str">
        <f t="array" ref="AC109">IFERROR(INDEX(Bids!$AB:$AB, MATCH(C109&amp;"|"&amp;B109, Bids!$AD:$AD,0)),"")</f>
        <v/>
      </c>
      <c r="AD109" s="39" t="str">
        <f t="array" ref="AD109">IFERROR(INDEX(Bids!$AC:$AC, MATCH(C109&amp;"|"&amp;B109, Bids!$AD:$AD,0)), H109)</f>
        <v/>
      </c>
      <c r="AE109" s="39"/>
      <c r="AG109" s="39"/>
      <c r="AH109" s="39" t="str">
        <f t="shared" si="5"/>
        <v/>
      </c>
      <c r="AI109" s="39" t="str">
        <f t="shared" si="6"/>
        <v/>
      </c>
      <c r="AM109" s="39" t="str">
        <f t="array" ref="AM109">IF(C109="","",IFERROR(XLOOKUP(C109,Orders!$A:$A,Orders!$E:$E,""),""))</f>
        <v/>
      </c>
      <c r="AN109" s="39" t="str">
        <f t="shared" si="7"/>
        <v/>
      </c>
      <c r="AO109" s="39" t="str">
        <f t="shared" si="8"/>
        <v/>
      </c>
      <c r="AP109" s="39" t="str">
        <f t="shared" si="9"/>
        <v/>
      </c>
      <c r="AQ109" s="39" t="str">
        <f t="shared" si="10"/>
        <v/>
      </c>
      <c r="AR109" s="39" t="str">
        <f t="shared" si="11"/>
        <v/>
      </c>
      <c r="AS109" s="39" t="str">
        <f t="shared" si="12"/>
        <v/>
      </c>
      <c r="AT109" s="39" t="str">
        <f t="shared" si="13"/>
        <v/>
      </c>
      <c r="AU109" s="39" t="str">
        <f t="shared" si="14"/>
        <v/>
      </c>
    </row>
    <row r="110" ht="15.75" customHeight="1">
      <c r="A110" s="22"/>
      <c r="B110" s="22"/>
      <c r="C110" s="22"/>
      <c r="D110" s="22"/>
      <c r="E110" s="40"/>
      <c r="F110" s="40" t="str">
        <f>IF($C110="","",VLOOKUP($C110,Orders!$A$4:$J$303,3,FALSE))</f>
        <v/>
      </c>
      <c r="G110" s="40" t="str">
        <f>IF($C110="","",VLOOKUP($C110,Orders!$A$4:$J$303,4,FALSE))</f>
        <v/>
      </c>
      <c r="H110" s="22"/>
      <c r="I110" s="40" t="str">
        <f t="shared" si="1"/>
        <v/>
      </c>
      <c r="J110" s="40" t="str">
        <f t="shared" si="2"/>
        <v/>
      </c>
      <c r="K110" s="40" t="str">
        <f>IF($C110="","",VLOOKUP($C110,Orders!$A$4:$J$303,5,FALSE))</f>
        <v/>
      </c>
      <c r="L110" s="22"/>
      <c r="M110" s="40" t="str">
        <f t="shared" si="3"/>
        <v/>
      </c>
      <c r="N110" s="22"/>
      <c r="O110" s="22"/>
      <c r="P110" s="22" t="str">
        <f t="shared" si="4"/>
        <v/>
      </c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39" t="str">
        <f t="array" ref="AB110">IFERROR(INDEX(Bids!$AA:$AA, MATCH(C110&amp;"|"&amp;B110, Bids!$AD:$AD,0)),"")</f>
        <v/>
      </c>
      <c r="AC110" s="39" t="str">
        <f t="array" ref="AC110">IFERROR(INDEX(Bids!$AB:$AB, MATCH(C110&amp;"|"&amp;B110, Bids!$AD:$AD,0)),"")</f>
        <v/>
      </c>
      <c r="AD110" s="39" t="str">
        <f t="array" ref="AD110">IFERROR(INDEX(Bids!$AC:$AC, MATCH(C110&amp;"|"&amp;B110, Bids!$AD:$AD,0)), H110)</f>
        <v/>
      </c>
      <c r="AE110" s="39"/>
      <c r="AG110" s="39"/>
      <c r="AH110" s="39" t="str">
        <f t="shared" si="5"/>
        <v/>
      </c>
      <c r="AI110" s="39" t="str">
        <f t="shared" si="6"/>
        <v/>
      </c>
      <c r="AM110" s="39" t="str">
        <f t="array" ref="AM110">IF(C110="","",IFERROR(XLOOKUP(C110,Orders!$A:$A,Orders!$E:$E,""),""))</f>
        <v/>
      </c>
      <c r="AN110" s="39" t="str">
        <f t="shared" si="7"/>
        <v/>
      </c>
      <c r="AO110" s="39" t="str">
        <f t="shared" si="8"/>
        <v/>
      </c>
      <c r="AP110" s="39" t="str">
        <f t="shared" si="9"/>
        <v/>
      </c>
      <c r="AQ110" s="39" t="str">
        <f t="shared" si="10"/>
        <v/>
      </c>
      <c r="AR110" s="39" t="str">
        <f t="shared" si="11"/>
        <v/>
      </c>
      <c r="AS110" s="39" t="str">
        <f t="shared" si="12"/>
        <v/>
      </c>
      <c r="AT110" s="39" t="str">
        <f t="shared" si="13"/>
        <v/>
      </c>
      <c r="AU110" s="39" t="str">
        <f t="shared" si="14"/>
        <v/>
      </c>
    </row>
    <row r="111" ht="15.75" customHeight="1">
      <c r="A111" s="22"/>
      <c r="B111" s="22"/>
      <c r="C111" s="22"/>
      <c r="D111" s="22"/>
      <c r="E111" s="40"/>
      <c r="F111" s="40" t="str">
        <f>IF($C111="","",VLOOKUP($C111,Orders!$A$4:$J$303,3,FALSE))</f>
        <v/>
      </c>
      <c r="G111" s="40" t="str">
        <f>IF($C111="","",VLOOKUP($C111,Orders!$A$4:$J$303,4,FALSE))</f>
        <v/>
      </c>
      <c r="H111" s="22"/>
      <c r="I111" s="40" t="str">
        <f t="shared" si="1"/>
        <v/>
      </c>
      <c r="J111" s="40" t="str">
        <f t="shared" si="2"/>
        <v/>
      </c>
      <c r="K111" s="40" t="str">
        <f>IF($C111="","",VLOOKUP($C111,Orders!$A$4:$J$303,5,FALSE))</f>
        <v/>
      </c>
      <c r="L111" s="22"/>
      <c r="M111" s="40" t="str">
        <f t="shared" si="3"/>
        <v/>
      </c>
      <c r="N111" s="22"/>
      <c r="O111" s="22"/>
      <c r="P111" s="22" t="str">
        <f t="shared" si="4"/>
        <v/>
      </c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39" t="str">
        <f t="array" ref="AB111">IFERROR(INDEX(Bids!$AA:$AA, MATCH(C111&amp;"|"&amp;B111, Bids!$AD:$AD,0)),"")</f>
        <v/>
      </c>
      <c r="AC111" s="39" t="str">
        <f t="array" ref="AC111">IFERROR(INDEX(Bids!$AB:$AB, MATCH(C111&amp;"|"&amp;B111, Bids!$AD:$AD,0)),"")</f>
        <v/>
      </c>
      <c r="AD111" s="39" t="str">
        <f t="array" ref="AD111">IFERROR(INDEX(Bids!$AC:$AC, MATCH(C111&amp;"|"&amp;B111, Bids!$AD:$AD,0)), H111)</f>
        <v/>
      </c>
      <c r="AE111" s="39"/>
      <c r="AG111" s="39"/>
      <c r="AH111" s="39" t="str">
        <f t="shared" si="5"/>
        <v/>
      </c>
      <c r="AI111" s="39" t="str">
        <f t="shared" si="6"/>
        <v/>
      </c>
      <c r="AM111" s="39" t="str">
        <f t="array" ref="AM111">IF(C111="","",IFERROR(XLOOKUP(C111,Orders!$A:$A,Orders!$E:$E,""),""))</f>
        <v/>
      </c>
      <c r="AN111" s="39" t="str">
        <f t="shared" si="7"/>
        <v/>
      </c>
      <c r="AO111" s="39" t="str">
        <f t="shared" si="8"/>
        <v/>
      </c>
      <c r="AP111" s="39" t="str">
        <f t="shared" si="9"/>
        <v/>
      </c>
      <c r="AQ111" s="39" t="str">
        <f t="shared" si="10"/>
        <v/>
      </c>
      <c r="AR111" s="39" t="str">
        <f t="shared" si="11"/>
        <v/>
      </c>
      <c r="AS111" s="39" t="str">
        <f t="shared" si="12"/>
        <v/>
      </c>
      <c r="AT111" s="39" t="str">
        <f t="shared" si="13"/>
        <v/>
      </c>
      <c r="AU111" s="39" t="str">
        <f t="shared" si="14"/>
        <v/>
      </c>
    </row>
    <row r="112" ht="15.75" customHeight="1">
      <c r="A112" s="22"/>
      <c r="B112" s="22"/>
      <c r="C112" s="22"/>
      <c r="D112" s="22"/>
      <c r="E112" s="40"/>
      <c r="F112" s="40" t="str">
        <f>IF($C112="","",VLOOKUP($C112,Orders!$A$4:$J$303,3,FALSE))</f>
        <v/>
      </c>
      <c r="G112" s="40" t="str">
        <f>IF($C112="","",VLOOKUP($C112,Orders!$A$4:$J$303,4,FALSE))</f>
        <v/>
      </c>
      <c r="H112" s="22"/>
      <c r="I112" s="40" t="str">
        <f t="shared" si="1"/>
        <v/>
      </c>
      <c r="J112" s="40" t="str">
        <f t="shared" si="2"/>
        <v/>
      </c>
      <c r="K112" s="40" t="str">
        <f>IF($C112="","",VLOOKUP($C112,Orders!$A$4:$J$303,5,FALSE))</f>
        <v/>
      </c>
      <c r="L112" s="22"/>
      <c r="M112" s="40" t="str">
        <f t="shared" si="3"/>
        <v/>
      </c>
      <c r="N112" s="22"/>
      <c r="O112" s="22"/>
      <c r="P112" s="22" t="str">
        <f t="shared" si="4"/>
        <v/>
      </c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39" t="str">
        <f t="array" ref="AB112">IFERROR(INDEX(Bids!$AA:$AA, MATCH(C112&amp;"|"&amp;B112, Bids!$AD:$AD,0)),"")</f>
        <v/>
      </c>
      <c r="AC112" s="39" t="str">
        <f t="array" ref="AC112">IFERROR(INDEX(Bids!$AB:$AB, MATCH(C112&amp;"|"&amp;B112, Bids!$AD:$AD,0)),"")</f>
        <v/>
      </c>
      <c r="AD112" s="39" t="str">
        <f t="array" ref="AD112">IFERROR(INDEX(Bids!$AC:$AC, MATCH(C112&amp;"|"&amp;B112, Bids!$AD:$AD,0)), H112)</f>
        <v/>
      </c>
      <c r="AE112" s="39"/>
      <c r="AG112" s="39"/>
      <c r="AH112" s="39" t="str">
        <f t="shared" si="5"/>
        <v/>
      </c>
      <c r="AI112" s="39" t="str">
        <f t="shared" si="6"/>
        <v/>
      </c>
      <c r="AM112" s="39" t="str">
        <f t="array" ref="AM112">IF(C112="","",IFERROR(XLOOKUP(C112,Orders!$A:$A,Orders!$E:$E,""),""))</f>
        <v/>
      </c>
      <c r="AN112" s="39" t="str">
        <f t="shared" si="7"/>
        <v/>
      </c>
      <c r="AO112" s="39" t="str">
        <f t="shared" si="8"/>
        <v/>
      </c>
      <c r="AP112" s="39" t="str">
        <f t="shared" si="9"/>
        <v/>
      </c>
      <c r="AQ112" s="39" t="str">
        <f t="shared" si="10"/>
        <v/>
      </c>
      <c r="AR112" s="39" t="str">
        <f t="shared" si="11"/>
        <v/>
      </c>
      <c r="AS112" s="39" t="str">
        <f t="shared" si="12"/>
        <v/>
      </c>
      <c r="AT112" s="39" t="str">
        <f t="shared" si="13"/>
        <v/>
      </c>
      <c r="AU112" s="39" t="str">
        <f t="shared" si="14"/>
        <v/>
      </c>
    </row>
    <row r="113" ht="15.75" customHeight="1">
      <c r="A113" s="22"/>
      <c r="B113" s="22"/>
      <c r="C113" s="22"/>
      <c r="D113" s="22"/>
      <c r="E113" s="40"/>
      <c r="F113" s="40" t="str">
        <f>IF($C113="","",VLOOKUP($C113,Orders!$A$4:$J$303,3,FALSE))</f>
        <v/>
      </c>
      <c r="G113" s="40" t="str">
        <f>IF($C113="","",VLOOKUP($C113,Orders!$A$4:$J$303,4,FALSE))</f>
        <v/>
      </c>
      <c r="H113" s="22"/>
      <c r="I113" s="40" t="str">
        <f t="shared" si="1"/>
        <v/>
      </c>
      <c r="J113" s="40" t="str">
        <f t="shared" si="2"/>
        <v/>
      </c>
      <c r="K113" s="40" t="str">
        <f>IF($C113="","",VLOOKUP($C113,Orders!$A$4:$J$303,5,FALSE))</f>
        <v/>
      </c>
      <c r="L113" s="22"/>
      <c r="M113" s="40" t="str">
        <f t="shared" si="3"/>
        <v/>
      </c>
      <c r="N113" s="22"/>
      <c r="O113" s="22"/>
      <c r="P113" s="22" t="str">
        <f t="shared" si="4"/>
        <v/>
      </c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39" t="str">
        <f t="array" ref="AB113">IFERROR(INDEX(Bids!$AA:$AA, MATCH(C113&amp;"|"&amp;B113, Bids!$AD:$AD,0)),"")</f>
        <v/>
      </c>
      <c r="AC113" s="39" t="str">
        <f t="array" ref="AC113">IFERROR(INDEX(Bids!$AB:$AB, MATCH(C113&amp;"|"&amp;B113, Bids!$AD:$AD,0)),"")</f>
        <v/>
      </c>
      <c r="AD113" s="39" t="str">
        <f t="array" ref="AD113">IFERROR(INDEX(Bids!$AC:$AC, MATCH(C113&amp;"|"&amp;B113, Bids!$AD:$AD,0)), H113)</f>
        <v/>
      </c>
      <c r="AE113" s="39"/>
      <c r="AG113" s="39"/>
      <c r="AH113" s="39" t="str">
        <f t="shared" si="5"/>
        <v/>
      </c>
      <c r="AI113" s="39" t="str">
        <f t="shared" si="6"/>
        <v/>
      </c>
      <c r="AM113" s="39" t="str">
        <f t="array" ref="AM113">IF(C113="","",IFERROR(XLOOKUP(C113,Orders!$A:$A,Orders!$E:$E,""),""))</f>
        <v/>
      </c>
      <c r="AN113" s="39" t="str">
        <f t="shared" si="7"/>
        <v/>
      </c>
      <c r="AO113" s="39" t="str">
        <f t="shared" si="8"/>
        <v/>
      </c>
      <c r="AP113" s="39" t="str">
        <f t="shared" si="9"/>
        <v/>
      </c>
      <c r="AQ113" s="39" t="str">
        <f t="shared" si="10"/>
        <v/>
      </c>
      <c r="AR113" s="39" t="str">
        <f t="shared" si="11"/>
        <v/>
      </c>
      <c r="AS113" s="39" t="str">
        <f t="shared" si="12"/>
        <v/>
      </c>
      <c r="AT113" s="39" t="str">
        <f t="shared" si="13"/>
        <v/>
      </c>
      <c r="AU113" s="39" t="str">
        <f t="shared" si="14"/>
        <v/>
      </c>
    </row>
    <row r="114" ht="15.75" customHeight="1">
      <c r="A114" s="22"/>
      <c r="B114" s="22"/>
      <c r="C114" s="22"/>
      <c r="D114" s="22"/>
      <c r="E114" s="40"/>
      <c r="F114" s="40" t="str">
        <f>IF($C114="","",VLOOKUP($C114,Orders!$A$4:$J$303,3,FALSE))</f>
        <v/>
      </c>
      <c r="G114" s="40" t="str">
        <f>IF($C114="","",VLOOKUP($C114,Orders!$A$4:$J$303,4,FALSE))</f>
        <v/>
      </c>
      <c r="H114" s="22"/>
      <c r="I114" s="40" t="str">
        <f t="shared" si="1"/>
        <v/>
      </c>
      <c r="J114" s="40" t="str">
        <f t="shared" si="2"/>
        <v/>
      </c>
      <c r="K114" s="40" t="str">
        <f>IF($C114="","",VLOOKUP($C114,Orders!$A$4:$J$303,5,FALSE))</f>
        <v/>
      </c>
      <c r="L114" s="22"/>
      <c r="M114" s="40" t="str">
        <f t="shared" si="3"/>
        <v/>
      </c>
      <c r="N114" s="22"/>
      <c r="O114" s="22"/>
      <c r="P114" s="22" t="str">
        <f t="shared" si="4"/>
        <v/>
      </c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39" t="str">
        <f t="array" ref="AB114">IFERROR(INDEX(Bids!$AA:$AA, MATCH(C114&amp;"|"&amp;B114, Bids!$AD:$AD,0)),"")</f>
        <v/>
      </c>
      <c r="AC114" s="39" t="str">
        <f t="array" ref="AC114">IFERROR(INDEX(Bids!$AB:$AB, MATCH(C114&amp;"|"&amp;B114, Bids!$AD:$AD,0)),"")</f>
        <v/>
      </c>
      <c r="AD114" s="39" t="str">
        <f t="array" ref="AD114">IFERROR(INDEX(Bids!$AC:$AC, MATCH(C114&amp;"|"&amp;B114, Bids!$AD:$AD,0)), H114)</f>
        <v/>
      </c>
      <c r="AE114" s="39"/>
      <c r="AG114" s="39"/>
      <c r="AH114" s="39" t="str">
        <f t="shared" si="5"/>
        <v/>
      </c>
      <c r="AI114" s="39" t="str">
        <f t="shared" si="6"/>
        <v/>
      </c>
      <c r="AM114" s="39" t="str">
        <f t="array" ref="AM114">IF(C114="","",IFERROR(XLOOKUP(C114,Orders!$A:$A,Orders!$E:$E,""),""))</f>
        <v/>
      </c>
      <c r="AN114" s="39" t="str">
        <f t="shared" si="7"/>
        <v/>
      </c>
      <c r="AO114" s="39" t="str">
        <f t="shared" si="8"/>
        <v/>
      </c>
      <c r="AP114" s="39" t="str">
        <f t="shared" si="9"/>
        <v/>
      </c>
      <c r="AQ114" s="39" t="str">
        <f t="shared" si="10"/>
        <v/>
      </c>
      <c r="AR114" s="39" t="str">
        <f t="shared" si="11"/>
        <v/>
      </c>
      <c r="AS114" s="39" t="str">
        <f t="shared" si="12"/>
        <v/>
      </c>
      <c r="AT114" s="39" t="str">
        <f t="shared" si="13"/>
        <v/>
      </c>
      <c r="AU114" s="39" t="str">
        <f t="shared" si="14"/>
        <v/>
      </c>
    </row>
    <row r="115" ht="15.75" customHeight="1">
      <c r="A115" s="22"/>
      <c r="B115" s="22"/>
      <c r="C115" s="22"/>
      <c r="D115" s="22"/>
      <c r="E115" s="40"/>
      <c r="F115" s="40" t="str">
        <f>IF($C115="","",VLOOKUP($C115,Orders!$A$4:$J$303,3,FALSE))</f>
        <v/>
      </c>
      <c r="G115" s="40" t="str">
        <f>IF($C115="","",VLOOKUP($C115,Orders!$A$4:$J$303,4,FALSE))</f>
        <v/>
      </c>
      <c r="H115" s="22"/>
      <c r="I115" s="40" t="str">
        <f t="shared" si="1"/>
        <v/>
      </c>
      <c r="J115" s="40" t="str">
        <f t="shared" si="2"/>
        <v/>
      </c>
      <c r="K115" s="40" t="str">
        <f>IF($C115="","",VLOOKUP($C115,Orders!$A$4:$J$303,5,FALSE))</f>
        <v/>
      </c>
      <c r="L115" s="22"/>
      <c r="M115" s="40" t="str">
        <f t="shared" si="3"/>
        <v/>
      </c>
      <c r="N115" s="22"/>
      <c r="O115" s="22"/>
      <c r="P115" s="22" t="str">
        <f t="shared" si="4"/>
        <v/>
      </c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39" t="str">
        <f t="array" ref="AB115">IFERROR(INDEX(Bids!$AA:$AA, MATCH(C115&amp;"|"&amp;B115, Bids!$AD:$AD,0)),"")</f>
        <v/>
      </c>
      <c r="AC115" s="39" t="str">
        <f t="array" ref="AC115">IFERROR(INDEX(Bids!$AB:$AB, MATCH(C115&amp;"|"&amp;B115, Bids!$AD:$AD,0)),"")</f>
        <v/>
      </c>
      <c r="AD115" s="39" t="str">
        <f t="array" ref="AD115">IFERROR(INDEX(Bids!$AC:$AC, MATCH(C115&amp;"|"&amp;B115, Bids!$AD:$AD,0)), H115)</f>
        <v/>
      </c>
      <c r="AE115" s="39"/>
      <c r="AG115" s="39"/>
      <c r="AH115" s="39" t="str">
        <f t="shared" si="5"/>
        <v/>
      </c>
      <c r="AI115" s="39" t="str">
        <f t="shared" si="6"/>
        <v/>
      </c>
      <c r="AM115" s="39" t="str">
        <f t="array" ref="AM115">IF(C115="","",IFERROR(XLOOKUP(C115,Orders!$A:$A,Orders!$E:$E,""),""))</f>
        <v/>
      </c>
      <c r="AN115" s="39" t="str">
        <f t="shared" si="7"/>
        <v/>
      </c>
      <c r="AO115" s="39" t="str">
        <f t="shared" si="8"/>
        <v/>
      </c>
      <c r="AP115" s="39" t="str">
        <f t="shared" si="9"/>
        <v/>
      </c>
      <c r="AQ115" s="39" t="str">
        <f t="shared" si="10"/>
        <v/>
      </c>
      <c r="AR115" s="39" t="str">
        <f t="shared" si="11"/>
        <v/>
      </c>
      <c r="AS115" s="39" t="str">
        <f t="shared" si="12"/>
        <v/>
      </c>
      <c r="AT115" s="39" t="str">
        <f t="shared" si="13"/>
        <v/>
      </c>
      <c r="AU115" s="39" t="str">
        <f t="shared" si="14"/>
        <v/>
      </c>
    </row>
    <row r="116" ht="15.75" customHeight="1">
      <c r="A116" s="22"/>
      <c r="B116" s="22"/>
      <c r="C116" s="22"/>
      <c r="D116" s="22"/>
      <c r="E116" s="40"/>
      <c r="F116" s="40" t="str">
        <f>IF($C116="","",VLOOKUP($C116,Orders!$A$4:$J$303,3,FALSE))</f>
        <v/>
      </c>
      <c r="G116" s="40" t="str">
        <f>IF($C116="","",VLOOKUP($C116,Orders!$A$4:$J$303,4,FALSE))</f>
        <v/>
      </c>
      <c r="H116" s="22"/>
      <c r="I116" s="40" t="str">
        <f t="shared" si="1"/>
        <v/>
      </c>
      <c r="J116" s="40" t="str">
        <f t="shared" si="2"/>
        <v/>
      </c>
      <c r="K116" s="40" t="str">
        <f>IF($C116="","",VLOOKUP($C116,Orders!$A$4:$J$303,5,FALSE))</f>
        <v/>
      </c>
      <c r="L116" s="22"/>
      <c r="M116" s="40" t="str">
        <f t="shared" si="3"/>
        <v/>
      </c>
      <c r="N116" s="22"/>
      <c r="O116" s="22"/>
      <c r="P116" s="22" t="str">
        <f t="shared" si="4"/>
        <v/>
      </c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39" t="str">
        <f t="array" ref="AB116">IFERROR(INDEX(Bids!$AA:$AA, MATCH(C116&amp;"|"&amp;B116, Bids!$AD:$AD,0)),"")</f>
        <v/>
      </c>
      <c r="AC116" s="39" t="str">
        <f t="array" ref="AC116">IFERROR(INDEX(Bids!$AB:$AB, MATCH(C116&amp;"|"&amp;B116, Bids!$AD:$AD,0)),"")</f>
        <v/>
      </c>
      <c r="AD116" s="39" t="str">
        <f t="array" ref="AD116">IFERROR(INDEX(Bids!$AC:$AC, MATCH(C116&amp;"|"&amp;B116, Bids!$AD:$AD,0)), H116)</f>
        <v/>
      </c>
      <c r="AE116" s="39"/>
      <c r="AG116" s="39"/>
      <c r="AH116" s="39" t="str">
        <f t="shared" si="5"/>
        <v/>
      </c>
      <c r="AI116" s="39" t="str">
        <f t="shared" si="6"/>
        <v/>
      </c>
      <c r="AM116" s="39" t="str">
        <f t="array" ref="AM116">IF(C116="","",IFERROR(XLOOKUP(C116,Orders!$A:$A,Orders!$E:$E,""),""))</f>
        <v/>
      </c>
      <c r="AN116" s="39" t="str">
        <f t="shared" si="7"/>
        <v/>
      </c>
      <c r="AO116" s="39" t="str">
        <f t="shared" si="8"/>
        <v/>
      </c>
      <c r="AP116" s="39" t="str">
        <f t="shared" si="9"/>
        <v/>
      </c>
      <c r="AQ116" s="39" t="str">
        <f t="shared" si="10"/>
        <v/>
      </c>
      <c r="AR116" s="39" t="str">
        <f t="shared" si="11"/>
        <v/>
      </c>
      <c r="AS116" s="39" t="str">
        <f t="shared" si="12"/>
        <v/>
      </c>
      <c r="AT116" s="39" t="str">
        <f t="shared" si="13"/>
        <v/>
      </c>
      <c r="AU116" s="39" t="str">
        <f t="shared" si="14"/>
        <v/>
      </c>
    </row>
    <row r="117" ht="15.75" customHeight="1">
      <c r="A117" s="22"/>
      <c r="B117" s="22"/>
      <c r="C117" s="22"/>
      <c r="D117" s="22"/>
      <c r="E117" s="40"/>
      <c r="F117" s="40" t="str">
        <f>IF($C117="","",VLOOKUP($C117,Orders!$A$4:$J$303,3,FALSE))</f>
        <v/>
      </c>
      <c r="G117" s="40" t="str">
        <f>IF($C117="","",VLOOKUP($C117,Orders!$A$4:$J$303,4,FALSE))</f>
        <v/>
      </c>
      <c r="H117" s="22"/>
      <c r="I117" s="40" t="str">
        <f t="shared" si="1"/>
        <v/>
      </c>
      <c r="J117" s="40" t="str">
        <f t="shared" si="2"/>
        <v/>
      </c>
      <c r="K117" s="40" t="str">
        <f>IF($C117="","",VLOOKUP($C117,Orders!$A$4:$J$303,5,FALSE))</f>
        <v/>
      </c>
      <c r="L117" s="22"/>
      <c r="M117" s="40" t="str">
        <f t="shared" si="3"/>
        <v/>
      </c>
      <c r="N117" s="22"/>
      <c r="O117" s="22"/>
      <c r="P117" s="22" t="str">
        <f t="shared" si="4"/>
        <v/>
      </c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39" t="str">
        <f t="array" ref="AB117">IFERROR(INDEX(Bids!$AA:$AA, MATCH(C117&amp;"|"&amp;B117, Bids!$AD:$AD,0)),"")</f>
        <v/>
      </c>
      <c r="AC117" s="39" t="str">
        <f t="array" ref="AC117">IFERROR(INDEX(Bids!$AB:$AB, MATCH(C117&amp;"|"&amp;B117, Bids!$AD:$AD,0)),"")</f>
        <v/>
      </c>
      <c r="AD117" s="39" t="str">
        <f t="array" ref="AD117">IFERROR(INDEX(Bids!$AC:$AC, MATCH(C117&amp;"|"&amp;B117, Bids!$AD:$AD,0)), H117)</f>
        <v/>
      </c>
      <c r="AE117" s="39"/>
      <c r="AG117" s="39"/>
      <c r="AH117" s="39" t="str">
        <f t="shared" si="5"/>
        <v/>
      </c>
      <c r="AI117" s="39" t="str">
        <f t="shared" si="6"/>
        <v/>
      </c>
      <c r="AM117" s="39" t="str">
        <f t="array" ref="AM117">IF(C117="","",IFERROR(XLOOKUP(C117,Orders!$A:$A,Orders!$E:$E,""),""))</f>
        <v/>
      </c>
      <c r="AN117" s="39" t="str">
        <f t="shared" si="7"/>
        <v/>
      </c>
      <c r="AO117" s="39" t="str">
        <f t="shared" si="8"/>
        <v/>
      </c>
      <c r="AP117" s="39" t="str">
        <f t="shared" si="9"/>
        <v/>
      </c>
      <c r="AQ117" s="39" t="str">
        <f t="shared" si="10"/>
        <v/>
      </c>
      <c r="AR117" s="39" t="str">
        <f t="shared" si="11"/>
        <v/>
      </c>
      <c r="AS117" s="39" t="str">
        <f t="shared" si="12"/>
        <v/>
      </c>
      <c r="AT117" s="39" t="str">
        <f t="shared" si="13"/>
        <v/>
      </c>
      <c r="AU117" s="39" t="str">
        <f t="shared" si="14"/>
        <v/>
      </c>
    </row>
    <row r="118" ht="15.75" customHeight="1">
      <c r="A118" s="22"/>
      <c r="B118" s="22"/>
      <c r="C118" s="22"/>
      <c r="D118" s="22"/>
      <c r="E118" s="40"/>
      <c r="F118" s="40" t="str">
        <f>IF($C118="","",VLOOKUP($C118,Orders!$A$4:$J$303,3,FALSE))</f>
        <v/>
      </c>
      <c r="G118" s="40" t="str">
        <f>IF($C118="","",VLOOKUP($C118,Orders!$A$4:$J$303,4,FALSE))</f>
        <v/>
      </c>
      <c r="H118" s="22"/>
      <c r="I118" s="40" t="str">
        <f t="shared" si="1"/>
        <v/>
      </c>
      <c r="J118" s="40" t="str">
        <f t="shared" si="2"/>
        <v/>
      </c>
      <c r="K118" s="40" t="str">
        <f>IF($C118="","",VLOOKUP($C118,Orders!$A$4:$J$303,5,FALSE))</f>
        <v/>
      </c>
      <c r="L118" s="22"/>
      <c r="M118" s="40" t="str">
        <f t="shared" si="3"/>
        <v/>
      </c>
      <c r="N118" s="22"/>
      <c r="O118" s="22"/>
      <c r="P118" s="22" t="str">
        <f t="shared" si="4"/>
        <v/>
      </c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39" t="str">
        <f t="array" ref="AB118">IFERROR(INDEX(Bids!$AA:$AA, MATCH(C118&amp;"|"&amp;B118, Bids!$AD:$AD,0)),"")</f>
        <v/>
      </c>
      <c r="AC118" s="39" t="str">
        <f t="array" ref="AC118">IFERROR(INDEX(Bids!$AB:$AB, MATCH(C118&amp;"|"&amp;B118, Bids!$AD:$AD,0)),"")</f>
        <v/>
      </c>
      <c r="AD118" s="39" t="str">
        <f t="array" ref="AD118">IFERROR(INDEX(Bids!$AC:$AC, MATCH(C118&amp;"|"&amp;B118, Bids!$AD:$AD,0)), H118)</f>
        <v/>
      </c>
      <c r="AE118" s="39"/>
      <c r="AG118" s="39"/>
      <c r="AH118" s="39" t="str">
        <f t="shared" si="5"/>
        <v/>
      </c>
      <c r="AI118" s="39" t="str">
        <f t="shared" si="6"/>
        <v/>
      </c>
      <c r="AM118" s="39" t="str">
        <f t="array" ref="AM118">IF(C118="","",IFERROR(XLOOKUP(C118,Orders!$A:$A,Orders!$E:$E,""),""))</f>
        <v/>
      </c>
      <c r="AN118" s="39" t="str">
        <f t="shared" si="7"/>
        <v/>
      </c>
      <c r="AO118" s="39" t="str">
        <f t="shared" si="8"/>
        <v/>
      </c>
      <c r="AP118" s="39" t="str">
        <f t="shared" si="9"/>
        <v/>
      </c>
      <c r="AQ118" s="39" t="str">
        <f t="shared" si="10"/>
        <v/>
      </c>
      <c r="AR118" s="39" t="str">
        <f t="shared" si="11"/>
        <v/>
      </c>
      <c r="AS118" s="39" t="str">
        <f t="shared" si="12"/>
        <v/>
      </c>
      <c r="AT118" s="39" t="str">
        <f t="shared" si="13"/>
        <v/>
      </c>
      <c r="AU118" s="39" t="str">
        <f t="shared" si="14"/>
        <v/>
      </c>
    </row>
    <row r="119" ht="15.75" customHeight="1">
      <c r="A119" s="22"/>
      <c r="B119" s="22"/>
      <c r="C119" s="22"/>
      <c r="D119" s="22"/>
      <c r="E119" s="40"/>
      <c r="F119" s="40" t="str">
        <f>IF($C119="","",VLOOKUP($C119,Orders!$A$4:$J$303,3,FALSE))</f>
        <v/>
      </c>
      <c r="G119" s="40" t="str">
        <f>IF($C119="","",VLOOKUP($C119,Orders!$A$4:$J$303,4,FALSE))</f>
        <v/>
      </c>
      <c r="H119" s="22"/>
      <c r="I119" s="40" t="str">
        <f t="shared" si="1"/>
        <v/>
      </c>
      <c r="J119" s="40" t="str">
        <f t="shared" si="2"/>
        <v/>
      </c>
      <c r="K119" s="40" t="str">
        <f>IF($C119="","",VLOOKUP($C119,Orders!$A$4:$J$303,5,FALSE))</f>
        <v/>
      </c>
      <c r="L119" s="22"/>
      <c r="M119" s="40" t="str">
        <f t="shared" si="3"/>
        <v/>
      </c>
      <c r="N119" s="22"/>
      <c r="O119" s="22"/>
      <c r="P119" s="22" t="str">
        <f t="shared" si="4"/>
        <v/>
      </c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39" t="str">
        <f t="array" ref="AB119">IFERROR(INDEX(Bids!$AA:$AA, MATCH(C119&amp;"|"&amp;B119, Bids!$AD:$AD,0)),"")</f>
        <v/>
      </c>
      <c r="AC119" s="39" t="str">
        <f t="array" ref="AC119">IFERROR(INDEX(Bids!$AB:$AB, MATCH(C119&amp;"|"&amp;B119, Bids!$AD:$AD,0)),"")</f>
        <v/>
      </c>
      <c r="AD119" s="39" t="str">
        <f t="array" ref="AD119">IFERROR(INDEX(Bids!$AC:$AC, MATCH(C119&amp;"|"&amp;B119, Bids!$AD:$AD,0)), H119)</f>
        <v/>
      </c>
      <c r="AE119" s="39"/>
      <c r="AG119" s="39"/>
      <c r="AH119" s="39" t="str">
        <f t="shared" si="5"/>
        <v/>
      </c>
      <c r="AI119" s="39" t="str">
        <f t="shared" si="6"/>
        <v/>
      </c>
      <c r="AM119" s="39" t="str">
        <f t="array" ref="AM119">IF(C119="","",IFERROR(XLOOKUP(C119,Orders!$A:$A,Orders!$E:$E,""),""))</f>
        <v/>
      </c>
      <c r="AN119" s="39" t="str">
        <f t="shared" si="7"/>
        <v/>
      </c>
      <c r="AO119" s="39" t="str">
        <f t="shared" si="8"/>
        <v/>
      </c>
      <c r="AP119" s="39" t="str">
        <f t="shared" si="9"/>
        <v/>
      </c>
      <c r="AQ119" s="39" t="str">
        <f t="shared" si="10"/>
        <v/>
      </c>
      <c r="AR119" s="39" t="str">
        <f t="shared" si="11"/>
        <v/>
      </c>
      <c r="AS119" s="39" t="str">
        <f t="shared" si="12"/>
        <v/>
      </c>
      <c r="AT119" s="39" t="str">
        <f t="shared" si="13"/>
        <v/>
      </c>
      <c r="AU119" s="39" t="str">
        <f t="shared" si="14"/>
        <v/>
      </c>
    </row>
    <row r="120" ht="15.75" customHeight="1">
      <c r="A120" s="22"/>
      <c r="B120" s="22"/>
      <c r="C120" s="22"/>
      <c r="D120" s="22"/>
      <c r="E120" s="40"/>
      <c r="F120" s="40" t="str">
        <f>IF($C120="","",VLOOKUP($C120,Orders!$A$4:$J$303,3,FALSE))</f>
        <v/>
      </c>
      <c r="G120" s="40" t="str">
        <f>IF($C120="","",VLOOKUP($C120,Orders!$A$4:$J$303,4,FALSE))</f>
        <v/>
      </c>
      <c r="H120" s="22"/>
      <c r="I120" s="40" t="str">
        <f t="shared" si="1"/>
        <v/>
      </c>
      <c r="J120" s="40" t="str">
        <f t="shared" si="2"/>
        <v/>
      </c>
      <c r="K120" s="40" t="str">
        <f>IF($C120="","",VLOOKUP($C120,Orders!$A$4:$J$303,5,FALSE))</f>
        <v/>
      </c>
      <c r="L120" s="22"/>
      <c r="M120" s="40" t="str">
        <f t="shared" si="3"/>
        <v/>
      </c>
      <c r="N120" s="22"/>
      <c r="O120" s="22"/>
      <c r="P120" s="22" t="str">
        <f t="shared" si="4"/>
        <v/>
      </c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39" t="str">
        <f t="array" ref="AB120">IFERROR(INDEX(Bids!$AA:$AA, MATCH(C120&amp;"|"&amp;B120, Bids!$AD:$AD,0)),"")</f>
        <v/>
      </c>
      <c r="AC120" s="39" t="str">
        <f t="array" ref="AC120">IFERROR(INDEX(Bids!$AB:$AB, MATCH(C120&amp;"|"&amp;B120, Bids!$AD:$AD,0)),"")</f>
        <v/>
      </c>
      <c r="AD120" s="39" t="str">
        <f t="array" ref="AD120">IFERROR(INDEX(Bids!$AC:$AC, MATCH(C120&amp;"|"&amp;B120, Bids!$AD:$AD,0)), H120)</f>
        <v/>
      </c>
      <c r="AE120" s="39"/>
      <c r="AG120" s="39"/>
      <c r="AH120" s="39" t="str">
        <f t="shared" si="5"/>
        <v/>
      </c>
      <c r="AI120" s="39" t="str">
        <f t="shared" si="6"/>
        <v/>
      </c>
      <c r="AM120" s="39" t="str">
        <f t="array" ref="AM120">IF(C120="","",IFERROR(XLOOKUP(C120,Orders!$A:$A,Orders!$E:$E,""),""))</f>
        <v/>
      </c>
      <c r="AN120" s="39" t="str">
        <f t="shared" si="7"/>
        <v/>
      </c>
      <c r="AO120" s="39" t="str">
        <f t="shared" si="8"/>
        <v/>
      </c>
      <c r="AP120" s="39" t="str">
        <f t="shared" si="9"/>
        <v/>
      </c>
      <c r="AQ120" s="39" t="str">
        <f t="shared" si="10"/>
        <v/>
      </c>
      <c r="AR120" s="39" t="str">
        <f t="shared" si="11"/>
        <v/>
      </c>
      <c r="AS120" s="39" t="str">
        <f t="shared" si="12"/>
        <v/>
      </c>
      <c r="AT120" s="39" t="str">
        <f t="shared" si="13"/>
        <v/>
      </c>
      <c r="AU120" s="39" t="str">
        <f t="shared" si="14"/>
        <v/>
      </c>
    </row>
    <row r="121" ht="15.75" customHeight="1">
      <c r="A121" s="22"/>
      <c r="B121" s="22"/>
      <c r="C121" s="22"/>
      <c r="D121" s="22"/>
      <c r="E121" s="40"/>
      <c r="F121" s="40" t="str">
        <f>IF($C121="","",VLOOKUP($C121,Orders!$A$4:$J$303,3,FALSE))</f>
        <v/>
      </c>
      <c r="G121" s="40" t="str">
        <f>IF($C121="","",VLOOKUP($C121,Orders!$A$4:$J$303,4,FALSE))</f>
        <v/>
      </c>
      <c r="H121" s="22"/>
      <c r="I121" s="40" t="str">
        <f t="shared" si="1"/>
        <v/>
      </c>
      <c r="J121" s="40" t="str">
        <f t="shared" si="2"/>
        <v/>
      </c>
      <c r="K121" s="40" t="str">
        <f>IF($C121="","",VLOOKUP($C121,Orders!$A$4:$J$303,5,FALSE))</f>
        <v/>
      </c>
      <c r="L121" s="22"/>
      <c r="M121" s="40" t="str">
        <f t="shared" si="3"/>
        <v/>
      </c>
      <c r="N121" s="22"/>
      <c r="O121" s="22"/>
      <c r="P121" s="22" t="str">
        <f t="shared" si="4"/>
        <v/>
      </c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39" t="str">
        <f t="array" ref="AB121">IFERROR(INDEX(Bids!$AA:$AA, MATCH(C121&amp;"|"&amp;B121, Bids!$AD:$AD,0)),"")</f>
        <v/>
      </c>
      <c r="AC121" s="39" t="str">
        <f t="array" ref="AC121">IFERROR(INDEX(Bids!$AB:$AB, MATCH(C121&amp;"|"&amp;B121, Bids!$AD:$AD,0)),"")</f>
        <v/>
      </c>
      <c r="AD121" s="39" t="str">
        <f t="array" ref="AD121">IFERROR(INDEX(Bids!$AC:$AC, MATCH(C121&amp;"|"&amp;B121, Bids!$AD:$AD,0)), H121)</f>
        <v/>
      </c>
      <c r="AE121" s="39"/>
      <c r="AG121" s="39"/>
      <c r="AH121" s="39" t="str">
        <f t="shared" si="5"/>
        <v/>
      </c>
      <c r="AI121" s="39" t="str">
        <f t="shared" si="6"/>
        <v/>
      </c>
      <c r="AM121" s="39" t="str">
        <f t="array" ref="AM121">IF(C121="","",IFERROR(XLOOKUP(C121,Orders!$A:$A,Orders!$E:$E,""),""))</f>
        <v/>
      </c>
      <c r="AN121" s="39" t="str">
        <f t="shared" si="7"/>
        <v/>
      </c>
      <c r="AO121" s="39" t="str">
        <f t="shared" si="8"/>
        <v/>
      </c>
      <c r="AP121" s="39" t="str">
        <f t="shared" si="9"/>
        <v/>
      </c>
      <c r="AQ121" s="39" t="str">
        <f t="shared" si="10"/>
        <v/>
      </c>
      <c r="AR121" s="39" t="str">
        <f t="shared" si="11"/>
        <v/>
      </c>
      <c r="AS121" s="39" t="str">
        <f t="shared" si="12"/>
        <v/>
      </c>
      <c r="AT121" s="39" t="str">
        <f t="shared" si="13"/>
        <v/>
      </c>
      <c r="AU121" s="39" t="str">
        <f t="shared" si="14"/>
        <v/>
      </c>
    </row>
    <row r="122" ht="15.75" customHeight="1">
      <c r="A122" s="22"/>
      <c r="B122" s="22"/>
      <c r="C122" s="22"/>
      <c r="D122" s="22"/>
      <c r="E122" s="40"/>
      <c r="F122" s="40" t="str">
        <f>IF($C122="","",VLOOKUP($C122,Orders!$A$4:$J$303,3,FALSE))</f>
        <v/>
      </c>
      <c r="G122" s="40" t="str">
        <f>IF($C122="","",VLOOKUP($C122,Orders!$A$4:$J$303,4,FALSE))</f>
        <v/>
      </c>
      <c r="H122" s="22"/>
      <c r="I122" s="40" t="str">
        <f t="shared" si="1"/>
        <v/>
      </c>
      <c r="J122" s="40" t="str">
        <f t="shared" si="2"/>
        <v/>
      </c>
      <c r="K122" s="40" t="str">
        <f>IF($C122="","",VLOOKUP($C122,Orders!$A$4:$J$303,5,FALSE))</f>
        <v/>
      </c>
      <c r="L122" s="22"/>
      <c r="M122" s="40" t="str">
        <f t="shared" si="3"/>
        <v/>
      </c>
      <c r="N122" s="22"/>
      <c r="O122" s="22"/>
      <c r="P122" s="22" t="str">
        <f t="shared" si="4"/>
        <v/>
      </c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39" t="str">
        <f t="array" ref="AB122">IFERROR(INDEX(Bids!$AA:$AA, MATCH(C122&amp;"|"&amp;B122, Bids!$AD:$AD,0)),"")</f>
        <v/>
      </c>
      <c r="AC122" s="39" t="str">
        <f t="array" ref="AC122">IFERROR(INDEX(Bids!$AB:$AB, MATCH(C122&amp;"|"&amp;B122, Bids!$AD:$AD,0)),"")</f>
        <v/>
      </c>
      <c r="AD122" s="39" t="str">
        <f t="array" ref="AD122">IFERROR(INDEX(Bids!$AC:$AC, MATCH(C122&amp;"|"&amp;B122, Bids!$AD:$AD,0)), H122)</f>
        <v/>
      </c>
      <c r="AE122" s="39"/>
      <c r="AG122" s="39"/>
      <c r="AH122" s="39" t="str">
        <f t="shared" si="5"/>
        <v/>
      </c>
      <c r="AI122" s="39" t="str">
        <f t="shared" si="6"/>
        <v/>
      </c>
      <c r="AM122" s="39" t="str">
        <f t="array" ref="AM122">IF(C122="","",IFERROR(XLOOKUP(C122,Orders!$A:$A,Orders!$E:$E,""),""))</f>
        <v/>
      </c>
      <c r="AN122" s="39" t="str">
        <f t="shared" si="7"/>
        <v/>
      </c>
      <c r="AO122" s="39" t="str">
        <f t="shared" si="8"/>
        <v/>
      </c>
      <c r="AP122" s="39" t="str">
        <f t="shared" si="9"/>
        <v/>
      </c>
      <c r="AQ122" s="39" t="str">
        <f t="shared" si="10"/>
        <v/>
      </c>
      <c r="AR122" s="39" t="str">
        <f t="shared" si="11"/>
        <v/>
      </c>
      <c r="AS122" s="39" t="str">
        <f t="shared" si="12"/>
        <v/>
      </c>
      <c r="AT122" s="39" t="str">
        <f t="shared" si="13"/>
        <v/>
      </c>
      <c r="AU122" s="39" t="str">
        <f t="shared" si="14"/>
        <v/>
      </c>
    </row>
    <row r="123" ht="15.75" customHeight="1">
      <c r="A123" s="22"/>
      <c r="B123" s="22"/>
      <c r="C123" s="22"/>
      <c r="D123" s="22"/>
      <c r="E123" s="40"/>
      <c r="F123" s="40" t="str">
        <f>IF($C123="","",VLOOKUP($C123,Orders!$A$4:$J$303,3,FALSE))</f>
        <v/>
      </c>
      <c r="G123" s="40" t="str">
        <f>IF($C123="","",VLOOKUP($C123,Orders!$A$4:$J$303,4,FALSE))</f>
        <v/>
      </c>
      <c r="H123" s="22"/>
      <c r="I123" s="40" t="str">
        <f t="shared" si="1"/>
        <v/>
      </c>
      <c r="J123" s="40" t="str">
        <f t="shared" si="2"/>
        <v/>
      </c>
      <c r="K123" s="40" t="str">
        <f>IF($C123="","",VLOOKUP($C123,Orders!$A$4:$J$303,5,FALSE))</f>
        <v/>
      </c>
      <c r="L123" s="22"/>
      <c r="M123" s="40" t="str">
        <f t="shared" si="3"/>
        <v/>
      </c>
      <c r="N123" s="22"/>
      <c r="O123" s="22"/>
      <c r="P123" s="22" t="str">
        <f t="shared" si="4"/>
        <v/>
      </c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39" t="str">
        <f t="array" ref="AB123">IFERROR(INDEX(Bids!$AA:$AA, MATCH(C123&amp;"|"&amp;B123, Bids!$AD:$AD,0)),"")</f>
        <v/>
      </c>
      <c r="AC123" s="39" t="str">
        <f t="array" ref="AC123">IFERROR(INDEX(Bids!$AB:$AB, MATCH(C123&amp;"|"&amp;B123, Bids!$AD:$AD,0)),"")</f>
        <v/>
      </c>
      <c r="AD123" s="39" t="str">
        <f t="array" ref="AD123">IFERROR(INDEX(Bids!$AC:$AC, MATCH(C123&amp;"|"&amp;B123, Bids!$AD:$AD,0)), H123)</f>
        <v/>
      </c>
      <c r="AE123" s="39"/>
      <c r="AG123" s="39"/>
      <c r="AH123" s="39" t="str">
        <f t="shared" si="5"/>
        <v/>
      </c>
      <c r="AI123" s="39" t="str">
        <f t="shared" si="6"/>
        <v/>
      </c>
      <c r="AM123" s="39" t="str">
        <f t="array" ref="AM123">IF(C123="","",IFERROR(XLOOKUP(C123,Orders!$A:$A,Orders!$E:$E,""),""))</f>
        <v/>
      </c>
      <c r="AN123" s="39" t="str">
        <f t="shared" si="7"/>
        <v/>
      </c>
      <c r="AO123" s="39" t="str">
        <f t="shared" si="8"/>
        <v/>
      </c>
      <c r="AP123" s="39" t="str">
        <f t="shared" si="9"/>
        <v/>
      </c>
      <c r="AQ123" s="39" t="str">
        <f t="shared" si="10"/>
        <v/>
      </c>
      <c r="AR123" s="39" t="str">
        <f t="shared" si="11"/>
        <v/>
      </c>
      <c r="AS123" s="39" t="str">
        <f t="shared" si="12"/>
        <v/>
      </c>
      <c r="AT123" s="39" t="str">
        <f t="shared" si="13"/>
        <v/>
      </c>
      <c r="AU123" s="39" t="str">
        <f t="shared" si="14"/>
        <v/>
      </c>
    </row>
    <row r="124" ht="15.75" customHeight="1">
      <c r="A124" s="22"/>
      <c r="B124" s="22"/>
      <c r="C124" s="22"/>
      <c r="D124" s="22"/>
      <c r="E124" s="40"/>
      <c r="F124" s="40" t="str">
        <f>IF($C124="","",VLOOKUP($C124,Orders!$A$4:$J$303,3,FALSE))</f>
        <v/>
      </c>
      <c r="G124" s="40" t="str">
        <f>IF($C124="","",VLOOKUP($C124,Orders!$A$4:$J$303,4,FALSE))</f>
        <v/>
      </c>
      <c r="H124" s="22"/>
      <c r="I124" s="40" t="str">
        <f t="shared" si="1"/>
        <v/>
      </c>
      <c r="J124" s="40" t="str">
        <f t="shared" si="2"/>
        <v/>
      </c>
      <c r="K124" s="40" t="str">
        <f>IF($C124="","",VLOOKUP($C124,Orders!$A$4:$J$303,5,FALSE))</f>
        <v/>
      </c>
      <c r="L124" s="22"/>
      <c r="M124" s="40" t="str">
        <f t="shared" si="3"/>
        <v/>
      </c>
      <c r="N124" s="22"/>
      <c r="O124" s="22"/>
      <c r="P124" s="22" t="str">
        <f t="shared" si="4"/>
        <v/>
      </c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39" t="str">
        <f t="array" ref="AB124">IFERROR(INDEX(Bids!$AA:$AA, MATCH(C124&amp;"|"&amp;B124, Bids!$AD:$AD,0)),"")</f>
        <v/>
      </c>
      <c r="AC124" s="39" t="str">
        <f t="array" ref="AC124">IFERROR(INDEX(Bids!$AB:$AB, MATCH(C124&amp;"|"&amp;B124, Bids!$AD:$AD,0)),"")</f>
        <v/>
      </c>
      <c r="AD124" s="39" t="str">
        <f t="array" ref="AD124">IFERROR(INDEX(Bids!$AC:$AC, MATCH(C124&amp;"|"&amp;B124, Bids!$AD:$AD,0)), H124)</f>
        <v/>
      </c>
      <c r="AE124" s="39"/>
      <c r="AG124" s="39"/>
      <c r="AH124" s="39" t="str">
        <f t="shared" si="5"/>
        <v/>
      </c>
      <c r="AI124" s="39" t="str">
        <f t="shared" si="6"/>
        <v/>
      </c>
      <c r="AM124" s="39" t="str">
        <f t="array" ref="AM124">IF(C124="","",IFERROR(XLOOKUP(C124,Orders!$A:$A,Orders!$E:$E,""),""))</f>
        <v/>
      </c>
      <c r="AN124" s="39" t="str">
        <f t="shared" si="7"/>
        <v/>
      </c>
      <c r="AO124" s="39" t="str">
        <f t="shared" si="8"/>
        <v/>
      </c>
      <c r="AP124" s="39" t="str">
        <f t="shared" si="9"/>
        <v/>
      </c>
      <c r="AQ124" s="39" t="str">
        <f t="shared" si="10"/>
        <v/>
      </c>
      <c r="AR124" s="39" t="str">
        <f t="shared" si="11"/>
        <v/>
      </c>
      <c r="AS124" s="39" t="str">
        <f t="shared" si="12"/>
        <v/>
      </c>
      <c r="AT124" s="39" t="str">
        <f t="shared" si="13"/>
        <v/>
      </c>
      <c r="AU124" s="39" t="str">
        <f t="shared" si="14"/>
        <v/>
      </c>
    </row>
    <row r="125" ht="15.75" customHeight="1">
      <c r="A125" s="22"/>
      <c r="B125" s="22"/>
      <c r="C125" s="22"/>
      <c r="D125" s="22"/>
      <c r="E125" s="40"/>
      <c r="F125" s="40" t="str">
        <f>IF($C125="","",VLOOKUP($C125,Orders!$A$4:$J$303,3,FALSE))</f>
        <v/>
      </c>
      <c r="G125" s="40" t="str">
        <f>IF($C125="","",VLOOKUP($C125,Orders!$A$4:$J$303,4,FALSE))</f>
        <v/>
      </c>
      <c r="H125" s="22"/>
      <c r="I125" s="40" t="str">
        <f t="shared" si="1"/>
        <v/>
      </c>
      <c r="J125" s="40" t="str">
        <f t="shared" si="2"/>
        <v/>
      </c>
      <c r="K125" s="40" t="str">
        <f>IF($C125="","",VLOOKUP($C125,Orders!$A$4:$J$303,5,FALSE))</f>
        <v/>
      </c>
      <c r="L125" s="22"/>
      <c r="M125" s="40" t="str">
        <f t="shared" si="3"/>
        <v/>
      </c>
      <c r="N125" s="22"/>
      <c r="O125" s="22"/>
      <c r="P125" s="22" t="str">
        <f t="shared" si="4"/>
        <v/>
      </c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39" t="str">
        <f t="array" ref="AB125">IFERROR(INDEX(Bids!$AA:$AA, MATCH(C125&amp;"|"&amp;B125, Bids!$AD:$AD,0)),"")</f>
        <v/>
      </c>
      <c r="AC125" s="39" t="str">
        <f t="array" ref="AC125">IFERROR(INDEX(Bids!$AB:$AB, MATCH(C125&amp;"|"&amp;B125, Bids!$AD:$AD,0)),"")</f>
        <v/>
      </c>
      <c r="AD125" s="39" t="str">
        <f t="array" ref="AD125">IFERROR(INDEX(Bids!$AC:$AC, MATCH(C125&amp;"|"&amp;B125, Bids!$AD:$AD,0)), H125)</f>
        <v/>
      </c>
      <c r="AE125" s="39"/>
      <c r="AG125" s="39"/>
      <c r="AH125" s="39" t="str">
        <f t="shared" si="5"/>
        <v/>
      </c>
      <c r="AI125" s="39" t="str">
        <f t="shared" si="6"/>
        <v/>
      </c>
      <c r="AM125" s="39" t="str">
        <f t="array" ref="AM125">IF(C125="","",IFERROR(XLOOKUP(C125,Orders!$A:$A,Orders!$E:$E,""),""))</f>
        <v/>
      </c>
      <c r="AN125" s="39" t="str">
        <f t="shared" si="7"/>
        <v/>
      </c>
      <c r="AO125" s="39" t="str">
        <f t="shared" si="8"/>
        <v/>
      </c>
      <c r="AP125" s="39" t="str">
        <f t="shared" si="9"/>
        <v/>
      </c>
      <c r="AQ125" s="39" t="str">
        <f t="shared" si="10"/>
        <v/>
      </c>
      <c r="AR125" s="39" t="str">
        <f t="shared" si="11"/>
        <v/>
      </c>
      <c r="AS125" s="39" t="str">
        <f t="shared" si="12"/>
        <v/>
      </c>
      <c r="AT125" s="39" t="str">
        <f t="shared" si="13"/>
        <v/>
      </c>
      <c r="AU125" s="39" t="str">
        <f t="shared" si="14"/>
        <v/>
      </c>
    </row>
    <row r="126" ht="15.75" customHeight="1">
      <c r="A126" s="22"/>
      <c r="B126" s="22"/>
      <c r="C126" s="22"/>
      <c r="D126" s="22"/>
      <c r="E126" s="40"/>
      <c r="F126" s="40" t="str">
        <f>IF($C126="","",VLOOKUP($C126,Orders!$A$4:$J$303,3,FALSE))</f>
        <v/>
      </c>
      <c r="G126" s="40" t="str">
        <f>IF($C126="","",VLOOKUP($C126,Orders!$A$4:$J$303,4,FALSE))</f>
        <v/>
      </c>
      <c r="H126" s="22"/>
      <c r="I126" s="40" t="str">
        <f t="shared" si="1"/>
        <v/>
      </c>
      <c r="J126" s="40" t="str">
        <f t="shared" si="2"/>
        <v/>
      </c>
      <c r="K126" s="40" t="str">
        <f>IF($C126="","",VLOOKUP($C126,Orders!$A$4:$J$303,5,FALSE))</f>
        <v/>
      </c>
      <c r="L126" s="22"/>
      <c r="M126" s="40" t="str">
        <f t="shared" si="3"/>
        <v/>
      </c>
      <c r="N126" s="22"/>
      <c r="O126" s="22"/>
      <c r="P126" s="22" t="str">
        <f t="shared" si="4"/>
        <v/>
      </c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39" t="str">
        <f t="array" ref="AB126">IFERROR(INDEX(Bids!$AA:$AA, MATCH(C126&amp;"|"&amp;B126, Bids!$AD:$AD,0)),"")</f>
        <v/>
      </c>
      <c r="AC126" s="39" t="str">
        <f t="array" ref="AC126">IFERROR(INDEX(Bids!$AB:$AB, MATCH(C126&amp;"|"&amp;B126, Bids!$AD:$AD,0)),"")</f>
        <v/>
      </c>
      <c r="AD126" s="39" t="str">
        <f t="array" ref="AD126">IFERROR(INDEX(Bids!$AC:$AC, MATCH(C126&amp;"|"&amp;B126, Bids!$AD:$AD,0)), H126)</f>
        <v/>
      </c>
      <c r="AE126" s="39"/>
      <c r="AG126" s="39"/>
      <c r="AH126" s="39" t="str">
        <f t="shared" si="5"/>
        <v/>
      </c>
      <c r="AI126" s="39" t="str">
        <f t="shared" si="6"/>
        <v/>
      </c>
      <c r="AM126" s="39" t="str">
        <f t="array" ref="AM126">IF(C126="","",IFERROR(XLOOKUP(C126,Orders!$A:$A,Orders!$E:$E,""),""))</f>
        <v/>
      </c>
      <c r="AN126" s="39" t="str">
        <f t="shared" si="7"/>
        <v/>
      </c>
      <c r="AO126" s="39" t="str">
        <f t="shared" si="8"/>
        <v/>
      </c>
      <c r="AP126" s="39" t="str">
        <f t="shared" si="9"/>
        <v/>
      </c>
      <c r="AQ126" s="39" t="str">
        <f t="shared" si="10"/>
        <v/>
      </c>
      <c r="AR126" s="39" t="str">
        <f t="shared" si="11"/>
        <v/>
      </c>
      <c r="AS126" s="39" t="str">
        <f t="shared" si="12"/>
        <v/>
      </c>
      <c r="AT126" s="39" t="str">
        <f t="shared" si="13"/>
        <v/>
      </c>
      <c r="AU126" s="39" t="str">
        <f t="shared" si="14"/>
        <v/>
      </c>
    </row>
    <row r="127" ht="15.75" customHeight="1">
      <c r="A127" s="22"/>
      <c r="B127" s="22"/>
      <c r="C127" s="22"/>
      <c r="D127" s="22"/>
      <c r="E127" s="40"/>
      <c r="F127" s="40" t="str">
        <f>IF($C127="","",VLOOKUP($C127,Orders!$A$4:$J$303,3,FALSE))</f>
        <v/>
      </c>
      <c r="G127" s="40" t="str">
        <f>IF($C127="","",VLOOKUP($C127,Orders!$A$4:$J$303,4,FALSE))</f>
        <v/>
      </c>
      <c r="H127" s="22"/>
      <c r="I127" s="40" t="str">
        <f t="shared" si="1"/>
        <v/>
      </c>
      <c r="J127" s="40" t="str">
        <f t="shared" si="2"/>
        <v/>
      </c>
      <c r="K127" s="40" t="str">
        <f>IF($C127="","",VLOOKUP($C127,Orders!$A$4:$J$303,5,FALSE))</f>
        <v/>
      </c>
      <c r="L127" s="22"/>
      <c r="M127" s="40" t="str">
        <f t="shared" si="3"/>
        <v/>
      </c>
      <c r="N127" s="22"/>
      <c r="O127" s="22"/>
      <c r="P127" s="22" t="str">
        <f t="shared" si="4"/>
        <v/>
      </c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39" t="str">
        <f t="array" ref="AB127">IFERROR(INDEX(Bids!$AA:$AA, MATCH(C127&amp;"|"&amp;B127, Bids!$AD:$AD,0)),"")</f>
        <v/>
      </c>
      <c r="AC127" s="39" t="str">
        <f t="array" ref="AC127">IFERROR(INDEX(Bids!$AB:$AB, MATCH(C127&amp;"|"&amp;B127, Bids!$AD:$AD,0)),"")</f>
        <v/>
      </c>
      <c r="AD127" s="39" t="str">
        <f t="array" ref="AD127">IFERROR(INDEX(Bids!$AC:$AC, MATCH(C127&amp;"|"&amp;B127, Bids!$AD:$AD,0)), H127)</f>
        <v/>
      </c>
      <c r="AE127" s="39"/>
      <c r="AG127" s="39"/>
      <c r="AH127" s="39" t="str">
        <f t="shared" si="5"/>
        <v/>
      </c>
      <c r="AI127" s="39" t="str">
        <f t="shared" si="6"/>
        <v/>
      </c>
      <c r="AM127" s="39" t="str">
        <f t="array" ref="AM127">IF(C127="","",IFERROR(XLOOKUP(C127,Orders!$A:$A,Orders!$E:$E,""),""))</f>
        <v/>
      </c>
      <c r="AN127" s="39" t="str">
        <f t="shared" si="7"/>
        <v/>
      </c>
      <c r="AO127" s="39" t="str">
        <f t="shared" si="8"/>
        <v/>
      </c>
      <c r="AP127" s="39" t="str">
        <f t="shared" si="9"/>
        <v/>
      </c>
      <c r="AQ127" s="39" t="str">
        <f t="shared" si="10"/>
        <v/>
      </c>
      <c r="AR127" s="39" t="str">
        <f t="shared" si="11"/>
        <v/>
      </c>
      <c r="AS127" s="39" t="str">
        <f t="shared" si="12"/>
        <v/>
      </c>
      <c r="AT127" s="39" t="str">
        <f t="shared" si="13"/>
        <v/>
      </c>
      <c r="AU127" s="39" t="str">
        <f t="shared" si="14"/>
        <v/>
      </c>
    </row>
    <row r="128" ht="15.75" customHeight="1">
      <c r="A128" s="22"/>
      <c r="B128" s="22"/>
      <c r="C128" s="22"/>
      <c r="D128" s="22"/>
      <c r="E128" s="40"/>
      <c r="F128" s="40" t="str">
        <f>IF($C128="","",VLOOKUP($C128,Orders!$A$4:$J$303,3,FALSE))</f>
        <v/>
      </c>
      <c r="G128" s="40" t="str">
        <f>IF($C128="","",VLOOKUP($C128,Orders!$A$4:$J$303,4,FALSE))</f>
        <v/>
      </c>
      <c r="H128" s="22"/>
      <c r="I128" s="40" t="str">
        <f t="shared" si="1"/>
        <v/>
      </c>
      <c r="J128" s="40" t="str">
        <f t="shared" si="2"/>
        <v/>
      </c>
      <c r="K128" s="40" t="str">
        <f>IF($C128="","",VLOOKUP($C128,Orders!$A$4:$J$303,5,FALSE))</f>
        <v/>
      </c>
      <c r="L128" s="22"/>
      <c r="M128" s="40" t="str">
        <f t="shared" si="3"/>
        <v/>
      </c>
      <c r="N128" s="22"/>
      <c r="O128" s="22"/>
      <c r="P128" s="22" t="str">
        <f t="shared" si="4"/>
        <v/>
      </c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39" t="str">
        <f t="array" ref="AB128">IFERROR(INDEX(Bids!$AA:$AA, MATCH(C128&amp;"|"&amp;B128, Bids!$AD:$AD,0)),"")</f>
        <v/>
      </c>
      <c r="AC128" s="39" t="str">
        <f t="array" ref="AC128">IFERROR(INDEX(Bids!$AB:$AB, MATCH(C128&amp;"|"&amp;B128, Bids!$AD:$AD,0)),"")</f>
        <v/>
      </c>
      <c r="AD128" s="39" t="str">
        <f t="array" ref="AD128">IFERROR(INDEX(Bids!$AC:$AC, MATCH(C128&amp;"|"&amp;B128, Bids!$AD:$AD,0)), H128)</f>
        <v/>
      </c>
      <c r="AE128" s="39"/>
      <c r="AG128" s="39"/>
      <c r="AH128" s="39" t="str">
        <f t="shared" si="5"/>
        <v/>
      </c>
      <c r="AI128" s="39" t="str">
        <f t="shared" si="6"/>
        <v/>
      </c>
      <c r="AM128" s="39" t="str">
        <f t="array" ref="AM128">IF(C128="","",IFERROR(XLOOKUP(C128,Orders!$A:$A,Orders!$E:$E,""),""))</f>
        <v/>
      </c>
      <c r="AN128" s="39" t="str">
        <f t="shared" si="7"/>
        <v/>
      </c>
      <c r="AO128" s="39" t="str">
        <f t="shared" si="8"/>
        <v/>
      </c>
      <c r="AP128" s="39" t="str">
        <f t="shared" si="9"/>
        <v/>
      </c>
      <c r="AQ128" s="39" t="str">
        <f t="shared" si="10"/>
        <v/>
      </c>
      <c r="AR128" s="39" t="str">
        <f t="shared" si="11"/>
        <v/>
      </c>
      <c r="AS128" s="39" t="str">
        <f t="shared" si="12"/>
        <v/>
      </c>
      <c r="AT128" s="39" t="str">
        <f t="shared" si="13"/>
        <v/>
      </c>
      <c r="AU128" s="39" t="str">
        <f t="shared" si="14"/>
        <v/>
      </c>
    </row>
    <row r="129" ht="15.75" customHeight="1">
      <c r="A129" s="22"/>
      <c r="B129" s="22"/>
      <c r="C129" s="22"/>
      <c r="D129" s="22"/>
      <c r="E129" s="40"/>
      <c r="F129" s="40" t="str">
        <f>IF($C129="","",VLOOKUP($C129,Orders!$A$4:$J$303,3,FALSE))</f>
        <v/>
      </c>
      <c r="G129" s="40" t="str">
        <f>IF($C129="","",VLOOKUP($C129,Orders!$A$4:$J$303,4,FALSE))</f>
        <v/>
      </c>
      <c r="H129" s="22"/>
      <c r="I129" s="40" t="str">
        <f t="shared" si="1"/>
        <v/>
      </c>
      <c r="J129" s="40" t="str">
        <f t="shared" si="2"/>
        <v/>
      </c>
      <c r="K129" s="40" t="str">
        <f>IF($C129="","",VLOOKUP($C129,Orders!$A$4:$J$303,5,FALSE))</f>
        <v/>
      </c>
      <c r="L129" s="22"/>
      <c r="M129" s="40" t="str">
        <f t="shared" si="3"/>
        <v/>
      </c>
      <c r="N129" s="22"/>
      <c r="O129" s="22"/>
      <c r="P129" s="22" t="str">
        <f t="shared" si="4"/>
        <v/>
      </c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39" t="str">
        <f t="array" ref="AB129">IFERROR(INDEX(Bids!$AA:$AA, MATCH(C129&amp;"|"&amp;B129, Bids!$AD:$AD,0)),"")</f>
        <v/>
      </c>
      <c r="AC129" s="39" t="str">
        <f t="array" ref="AC129">IFERROR(INDEX(Bids!$AB:$AB, MATCH(C129&amp;"|"&amp;B129, Bids!$AD:$AD,0)),"")</f>
        <v/>
      </c>
      <c r="AD129" s="39" t="str">
        <f t="array" ref="AD129">IFERROR(INDEX(Bids!$AC:$AC, MATCH(C129&amp;"|"&amp;B129, Bids!$AD:$AD,0)), H129)</f>
        <v/>
      </c>
      <c r="AE129" s="39"/>
      <c r="AG129" s="39"/>
      <c r="AH129" s="39" t="str">
        <f t="shared" si="5"/>
        <v/>
      </c>
      <c r="AI129" s="39" t="str">
        <f t="shared" si="6"/>
        <v/>
      </c>
      <c r="AM129" s="39" t="str">
        <f t="array" ref="AM129">IF(C129="","",IFERROR(XLOOKUP(C129,Orders!$A:$A,Orders!$E:$E,""),""))</f>
        <v/>
      </c>
      <c r="AN129" s="39" t="str">
        <f t="shared" si="7"/>
        <v/>
      </c>
      <c r="AO129" s="39" t="str">
        <f t="shared" si="8"/>
        <v/>
      </c>
      <c r="AP129" s="39" t="str">
        <f t="shared" si="9"/>
        <v/>
      </c>
      <c r="AQ129" s="39" t="str">
        <f t="shared" si="10"/>
        <v/>
      </c>
      <c r="AR129" s="39" t="str">
        <f t="shared" si="11"/>
        <v/>
      </c>
      <c r="AS129" s="39" t="str">
        <f t="shared" si="12"/>
        <v/>
      </c>
      <c r="AT129" s="39" t="str">
        <f t="shared" si="13"/>
        <v/>
      </c>
      <c r="AU129" s="39" t="str">
        <f t="shared" si="14"/>
        <v/>
      </c>
    </row>
    <row r="130" ht="15.75" customHeight="1">
      <c r="A130" s="22"/>
      <c r="B130" s="22"/>
      <c r="C130" s="22"/>
      <c r="D130" s="22"/>
      <c r="E130" s="40"/>
      <c r="F130" s="40" t="str">
        <f>IF($C130="","",VLOOKUP($C130,Orders!$A$4:$J$303,3,FALSE))</f>
        <v/>
      </c>
      <c r="G130" s="40" t="str">
        <f>IF($C130="","",VLOOKUP($C130,Orders!$A$4:$J$303,4,FALSE))</f>
        <v/>
      </c>
      <c r="H130" s="22"/>
      <c r="I130" s="40" t="str">
        <f t="shared" si="1"/>
        <v/>
      </c>
      <c r="J130" s="40" t="str">
        <f t="shared" si="2"/>
        <v/>
      </c>
      <c r="K130" s="40" t="str">
        <f>IF($C130="","",VLOOKUP($C130,Orders!$A$4:$J$303,5,FALSE))</f>
        <v/>
      </c>
      <c r="L130" s="22"/>
      <c r="M130" s="40" t="str">
        <f t="shared" si="3"/>
        <v/>
      </c>
      <c r="N130" s="22"/>
      <c r="O130" s="22"/>
      <c r="P130" s="22" t="str">
        <f t="shared" si="4"/>
        <v/>
      </c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39" t="str">
        <f t="array" ref="AB130">IFERROR(INDEX(Bids!$AA:$AA, MATCH(C130&amp;"|"&amp;B130, Bids!$AD:$AD,0)),"")</f>
        <v/>
      </c>
      <c r="AC130" s="39" t="str">
        <f t="array" ref="AC130">IFERROR(INDEX(Bids!$AB:$AB, MATCH(C130&amp;"|"&amp;B130, Bids!$AD:$AD,0)),"")</f>
        <v/>
      </c>
      <c r="AD130" s="39" t="str">
        <f t="array" ref="AD130">IFERROR(INDEX(Bids!$AC:$AC, MATCH(C130&amp;"|"&amp;B130, Bids!$AD:$AD,0)), H130)</f>
        <v/>
      </c>
      <c r="AE130" s="39"/>
      <c r="AG130" s="39"/>
      <c r="AH130" s="39" t="str">
        <f t="shared" si="5"/>
        <v/>
      </c>
      <c r="AI130" s="39" t="str">
        <f t="shared" si="6"/>
        <v/>
      </c>
      <c r="AM130" s="39" t="str">
        <f t="array" ref="AM130">IF(C130="","",IFERROR(XLOOKUP(C130,Orders!$A:$A,Orders!$E:$E,""),""))</f>
        <v/>
      </c>
      <c r="AN130" s="39" t="str">
        <f t="shared" si="7"/>
        <v/>
      </c>
      <c r="AO130" s="39" t="str">
        <f t="shared" si="8"/>
        <v/>
      </c>
      <c r="AP130" s="39" t="str">
        <f t="shared" si="9"/>
        <v/>
      </c>
      <c r="AQ130" s="39" t="str">
        <f t="shared" si="10"/>
        <v/>
      </c>
      <c r="AR130" s="39" t="str">
        <f t="shared" si="11"/>
        <v/>
      </c>
      <c r="AS130" s="39" t="str">
        <f t="shared" si="12"/>
        <v/>
      </c>
      <c r="AT130" s="39" t="str">
        <f t="shared" si="13"/>
        <v/>
      </c>
      <c r="AU130" s="39" t="str">
        <f t="shared" si="14"/>
        <v/>
      </c>
    </row>
    <row r="131" ht="15.75" customHeight="1">
      <c r="A131" s="22"/>
      <c r="B131" s="22"/>
      <c r="C131" s="22"/>
      <c r="D131" s="22"/>
      <c r="E131" s="40"/>
      <c r="F131" s="40" t="str">
        <f>IF($C131="","",VLOOKUP($C131,Orders!$A$4:$J$303,3,FALSE))</f>
        <v/>
      </c>
      <c r="G131" s="40" t="str">
        <f>IF($C131="","",VLOOKUP($C131,Orders!$A$4:$J$303,4,FALSE))</f>
        <v/>
      </c>
      <c r="H131" s="22"/>
      <c r="I131" s="40" t="str">
        <f t="shared" si="1"/>
        <v/>
      </c>
      <c r="J131" s="40" t="str">
        <f t="shared" si="2"/>
        <v/>
      </c>
      <c r="K131" s="40" t="str">
        <f>IF($C131="","",VLOOKUP($C131,Orders!$A$4:$J$303,5,FALSE))</f>
        <v/>
      </c>
      <c r="L131" s="22"/>
      <c r="M131" s="40" t="str">
        <f t="shared" si="3"/>
        <v/>
      </c>
      <c r="N131" s="22"/>
      <c r="O131" s="22"/>
      <c r="P131" s="22" t="str">
        <f t="shared" si="4"/>
        <v/>
      </c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39" t="str">
        <f t="array" ref="AB131">IFERROR(INDEX(Bids!$AA:$AA, MATCH(C131&amp;"|"&amp;B131, Bids!$AD:$AD,0)),"")</f>
        <v/>
      </c>
      <c r="AC131" s="39" t="str">
        <f t="array" ref="AC131">IFERROR(INDEX(Bids!$AB:$AB, MATCH(C131&amp;"|"&amp;B131, Bids!$AD:$AD,0)),"")</f>
        <v/>
      </c>
      <c r="AD131" s="39" t="str">
        <f t="array" ref="AD131">IFERROR(INDEX(Bids!$AC:$AC, MATCH(C131&amp;"|"&amp;B131, Bids!$AD:$AD,0)), H131)</f>
        <v/>
      </c>
      <c r="AE131" s="39"/>
      <c r="AG131" s="39"/>
      <c r="AH131" s="39" t="str">
        <f t="shared" si="5"/>
        <v/>
      </c>
      <c r="AI131" s="39" t="str">
        <f t="shared" si="6"/>
        <v/>
      </c>
      <c r="AM131" s="39" t="str">
        <f t="array" ref="AM131">IF(C131="","",IFERROR(XLOOKUP(C131,Orders!$A:$A,Orders!$E:$E,""),""))</f>
        <v/>
      </c>
      <c r="AN131" s="39" t="str">
        <f t="shared" si="7"/>
        <v/>
      </c>
      <c r="AO131" s="39" t="str">
        <f t="shared" si="8"/>
        <v/>
      </c>
      <c r="AP131" s="39" t="str">
        <f t="shared" si="9"/>
        <v/>
      </c>
      <c r="AQ131" s="39" t="str">
        <f t="shared" si="10"/>
        <v/>
      </c>
      <c r="AR131" s="39" t="str">
        <f t="shared" si="11"/>
        <v/>
      </c>
      <c r="AS131" s="39" t="str">
        <f t="shared" si="12"/>
        <v/>
      </c>
      <c r="AT131" s="39" t="str">
        <f t="shared" si="13"/>
        <v/>
      </c>
      <c r="AU131" s="39" t="str">
        <f t="shared" si="14"/>
        <v/>
      </c>
    </row>
    <row r="132" ht="15.75" customHeight="1">
      <c r="A132" s="22"/>
      <c r="B132" s="22"/>
      <c r="C132" s="22"/>
      <c r="D132" s="22"/>
      <c r="E132" s="40"/>
      <c r="F132" s="40" t="str">
        <f>IF($C132="","",VLOOKUP($C132,Orders!$A$4:$J$303,3,FALSE))</f>
        <v/>
      </c>
      <c r="G132" s="40" t="str">
        <f>IF($C132="","",VLOOKUP($C132,Orders!$A$4:$J$303,4,FALSE))</f>
        <v/>
      </c>
      <c r="H132" s="22"/>
      <c r="I132" s="40" t="str">
        <f t="shared" si="1"/>
        <v/>
      </c>
      <c r="J132" s="40" t="str">
        <f t="shared" si="2"/>
        <v/>
      </c>
      <c r="K132" s="40" t="str">
        <f>IF($C132="","",VLOOKUP($C132,Orders!$A$4:$J$303,5,FALSE))</f>
        <v/>
      </c>
      <c r="L132" s="22"/>
      <c r="M132" s="40" t="str">
        <f t="shared" si="3"/>
        <v/>
      </c>
      <c r="N132" s="22"/>
      <c r="O132" s="22"/>
      <c r="P132" s="22" t="str">
        <f t="shared" si="4"/>
        <v/>
      </c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39" t="str">
        <f t="array" ref="AB132">IFERROR(INDEX(Bids!$AA:$AA, MATCH(C132&amp;"|"&amp;B132, Bids!$AD:$AD,0)),"")</f>
        <v/>
      </c>
      <c r="AC132" s="39" t="str">
        <f t="array" ref="AC132">IFERROR(INDEX(Bids!$AB:$AB, MATCH(C132&amp;"|"&amp;B132, Bids!$AD:$AD,0)),"")</f>
        <v/>
      </c>
      <c r="AD132" s="39" t="str">
        <f t="array" ref="AD132">IFERROR(INDEX(Bids!$AC:$AC, MATCH(C132&amp;"|"&amp;B132, Bids!$AD:$AD,0)), H132)</f>
        <v/>
      </c>
      <c r="AE132" s="39"/>
      <c r="AG132" s="39"/>
      <c r="AH132" s="39" t="str">
        <f t="shared" si="5"/>
        <v/>
      </c>
      <c r="AI132" s="39" t="str">
        <f t="shared" si="6"/>
        <v/>
      </c>
      <c r="AM132" s="39" t="str">
        <f t="array" ref="AM132">IF(C132="","",IFERROR(XLOOKUP(C132,Orders!$A:$A,Orders!$E:$E,""),""))</f>
        <v/>
      </c>
      <c r="AN132" s="39" t="str">
        <f t="shared" si="7"/>
        <v/>
      </c>
      <c r="AO132" s="39" t="str">
        <f t="shared" si="8"/>
        <v/>
      </c>
      <c r="AP132" s="39" t="str">
        <f t="shared" si="9"/>
        <v/>
      </c>
      <c r="AQ132" s="39" t="str">
        <f t="shared" si="10"/>
        <v/>
      </c>
      <c r="AR132" s="39" t="str">
        <f t="shared" si="11"/>
        <v/>
      </c>
      <c r="AS132" s="39" t="str">
        <f t="shared" si="12"/>
        <v/>
      </c>
      <c r="AT132" s="39" t="str">
        <f t="shared" si="13"/>
        <v/>
      </c>
      <c r="AU132" s="39" t="str">
        <f t="shared" si="14"/>
        <v/>
      </c>
    </row>
    <row r="133" ht="15.75" customHeight="1">
      <c r="A133" s="22"/>
      <c r="B133" s="22"/>
      <c r="C133" s="22"/>
      <c r="D133" s="22"/>
      <c r="E133" s="40"/>
      <c r="F133" s="40" t="str">
        <f>IF($C133="","",VLOOKUP($C133,Orders!$A$4:$J$303,3,FALSE))</f>
        <v/>
      </c>
      <c r="G133" s="40" t="str">
        <f>IF($C133="","",VLOOKUP($C133,Orders!$A$4:$J$303,4,FALSE))</f>
        <v/>
      </c>
      <c r="H133" s="22"/>
      <c r="I133" s="40" t="str">
        <f t="shared" si="1"/>
        <v/>
      </c>
      <c r="J133" s="40" t="str">
        <f t="shared" si="2"/>
        <v/>
      </c>
      <c r="K133" s="40" t="str">
        <f>IF($C133="","",VLOOKUP($C133,Orders!$A$4:$J$303,5,FALSE))</f>
        <v/>
      </c>
      <c r="L133" s="22"/>
      <c r="M133" s="40" t="str">
        <f t="shared" si="3"/>
        <v/>
      </c>
      <c r="N133" s="22"/>
      <c r="O133" s="22"/>
      <c r="P133" s="22" t="str">
        <f t="shared" si="4"/>
        <v/>
      </c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39" t="str">
        <f t="array" ref="AB133">IFERROR(INDEX(Bids!$AA:$AA, MATCH(C133&amp;"|"&amp;B133, Bids!$AD:$AD,0)),"")</f>
        <v/>
      </c>
      <c r="AC133" s="39" t="str">
        <f t="array" ref="AC133">IFERROR(INDEX(Bids!$AB:$AB, MATCH(C133&amp;"|"&amp;B133, Bids!$AD:$AD,0)),"")</f>
        <v/>
      </c>
      <c r="AD133" s="39" t="str">
        <f t="array" ref="AD133">IFERROR(INDEX(Bids!$AC:$AC, MATCH(C133&amp;"|"&amp;B133, Bids!$AD:$AD,0)), H133)</f>
        <v/>
      </c>
      <c r="AE133" s="39"/>
      <c r="AG133" s="39"/>
      <c r="AH133" s="39" t="str">
        <f t="shared" si="5"/>
        <v/>
      </c>
      <c r="AI133" s="39" t="str">
        <f t="shared" si="6"/>
        <v/>
      </c>
      <c r="AM133" s="39" t="str">
        <f t="array" ref="AM133">IF(C133="","",IFERROR(XLOOKUP(C133,Orders!$A:$A,Orders!$E:$E,""),""))</f>
        <v/>
      </c>
      <c r="AN133" s="39" t="str">
        <f t="shared" si="7"/>
        <v/>
      </c>
      <c r="AO133" s="39" t="str">
        <f t="shared" si="8"/>
        <v/>
      </c>
      <c r="AP133" s="39" t="str">
        <f t="shared" si="9"/>
        <v/>
      </c>
      <c r="AQ133" s="39" t="str">
        <f t="shared" si="10"/>
        <v/>
      </c>
      <c r="AR133" s="39" t="str">
        <f t="shared" si="11"/>
        <v/>
      </c>
      <c r="AS133" s="39" t="str">
        <f t="shared" si="12"/>
        <v/>
      </c>
      <c r="AT133" s="39" t="str">
        <f t="shared" si="13"/>
        <v/>
      </c>
      <c r="AU133" s="39" t="str">
        <f t="shared" si="14"/>
        <v/>
      </c>
    </row>
    <row r="134" ht="15.75" customHeight="1">
      <c r="A134" s="22"/>
      <c r="B134" s="22"/>
      <c r="C134" s="22"/>
      <c r="D134" s="22"/>
      <c r="E134" s="40"/>
      <c r="F134" s="40" t="str">
        <f>IF($C134="","",VLOOKUP($C134,Orders!$A$4:$J$303,3,FALSE))</f>
        <v/>
      </c>
      <c r="G134" s="40" t="str">
        <f>IF($C134="","",VLOOKUP($C134,Orders!$A$4:$J$303,4,FALSE))</f>
        <v/>
      </c>
      <c r="H134" s="22"/>
      <c r="I134" s="40" t="str">
        <f t="shared" si="1"/>
        <v/>
      </c>
      <c r="J134" s="40" t="str">
        <f t="shared" si="2"/>
        <v/>
      </c>
      <c r="K134" s="40" t="str">
        <f>IF($C134="","",VLOOKUP($C134,Orders!$A$4:$J$303,5,FALSE))</f>
        <v/>
      </c>
      <c r="L134" s="22"/>
      <c r="M134" s="40" t="str">
        <f t="shared" si="3"/>
        <v/>
      </c>
      <c r="N134" s="22"/>
      <c r="O134" s="22"/>
      <c r="P134" s="22" t="str">
        <f t="shared" si="4"/>
        <v/>
      </c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39" t="str">
        <f t="array" ref="AB134">IFERROR(INDEX(Bids!$AA:$AA, MATCH(C134&amp;"|"&amp;B134, Bids!$AD:$AD,0)),"")</f>
        <v/>
      </c>
      <c r="AC134" s="39" t="str">
        <f t="array" ref="AC134">IFERROR(INDEX(Bids!$AB:$AB, MATCH(C134&amp;"|"&amp;B134, Bids!$AD:$AD,0)),"")</f>
        <v/>
      </c>
      <c r="AD134" s="39" t="str">
        <f t="array" ref="AD134">IFERROR(INDEX(Bids!$AC:$AC, MATCH(C134&amp;"|"&amp;B134, Bids!$AD:$AD,0)), H134)</f>
        <v/>
      </c>
      <c r="AE134" s="39"/>
      <c r="AG134" s="39"/>
      <c r="AH134" s="39" t="str">
        <f t="shared" si="5"/>
        <v/>
      </c>
      <c r="AI134" s="39" t="str">
        <f t="shared" si="6"/>
        <v/>
      </c>
      <c r="AM134" s="39" t="str">
        <f t="array" ref="AM134">IF(C134="","",IFERROR(XLOOKUP(C134,Orders!$A:$A,Orders!$E:$E,""),""))</f>
        <v/>
      </c>
      <c r="AN134" s="39" t="str">
        <f t="shared" si="7"/>
        <v/>
      </c>
      <c r="AO134" s="39" t="str">
        <f t="shared" si="8"/>
        <v/>
      </c>
      <c r="AP134" s="39" t="str">
        <f t="shared" si="9"/>
        <v/>
      </c>
      <c r="AQ134" s="39" t="str">
        <f t="shared" si="10"/>
        <v/>
      </c>
      <c r="AR134" s="39" t="str">
        <f t="shared" si="11"/>
        <v/>
      </c>
      <c r="AS134" s="39" t="str">
        <f t="shared" si="12"/>
        <v/>
      </c>
      <c r="AT134" s="39" t="str">
        <f t="shared" si="13"/>
        <v/>
      </c>
      <c r="AU134" s="39" t="str">
        <f t="shared" si="14"/>
        <v/>
      </c>
    </row>
    <row r="135" ht="15.75" customHeight="1">
      <c r="A135" s="22"/>
      <c r="B135" s="22"/>
      <c r="C135" s="22"/>
      <c r="D135" s="22"/>
      <c r="E135" s="40"/>
      <c r="F135" s="40" t="str">
        <f>IF($C135="","",VLOOKUP($C135,Orders!$A$4:$J$303,3,FALSE))</f>
        <v/>
      </c>
      <c r="G135" s="40" t="str">
        <f>IF($C135="","",VLOOKUP($C135,Orders!$A$4:$J$303,4,FALSE))</f>
        <v/>
      </c>
      <c r="H135" s="22"/>
      <c r="I135" s="40" t="str">
        <f t="shared" si="1"/>
        <v/>
      </c>
      <c r="J135" s="40" t="str">
        <f t="shared" si="2"/>
        <v/>
      </c>
      <c r="K135" s="40" t="str">
        <f>IF($C135="","",VLOOKUP($C135,Orders!$A$4:$J$303,5,FALSE))</f>
        <v/>
      </c>
      <c r="L135" s="22"/>
      <c r="M135" s="40" t="str">
        <f t="shared" si="3"/>
        <v/>
      </c>
      <c r="N135" s="22"/>
      <c r="O135" s="22"/>
      <c r="P135" s="22" t="str">
        <f t="shared" si="4"/>
        <v/>
      </c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39" t="str">
        <f t="array" ref="AB135">IFERROR(INDEX(Bids!$AA:$AA, MATCH(C135&amp;"|"&amp;B135, Bids!$AD:$AD,0)),"")</f>
        <v/>
      </c>
      <c r="AC135" s="39" t="str">
        <f t="array" ref="AC135">IFERROR(INDEX(Bids!$AB:$AB, MATCH(C135&amp;"|"&amp;B135, Bids!$AD:$AD,0)),"")</f>
        <v/>
      </c>
      <c r="AD135" s="39" t="str">
        <f t="array" ref="AD135">IFERROR(INDEX(Bids!$AC:$AC, MATCH(C135&amp;"|"&amp;B135, Bids!$AD:$AD,0)), H135)</f>
        <v/>
      </c>
      <c r="AE135" s="39"/>
      <c r="AG135" s="39"/>
      <c r="AH135" s="39" t="str">
        <f t="shared" si="5"/>
        <v/>
      </c>
      <c r="AI135" s="39" t="str">
        <f t="shared" si="6"/>
        <v/>
      </c>
      <c r="AM135" s="39" t="str">
        <f t="array" ref="AM135">IF(C135="","",IFERROR(XLOOKUP(C135,Orders!$A:$A,Orders!$E:$E,""),""))</f>
        <v/>
      </c>
      <c r="AN135" s="39" t="str">
        <f t="shared" si="7"/>
        <v/>
      </c>
      <c r="AO135" s="39" t="str">
        <f t="shared" si="8"/>
        <v/>
      </c>
      <c r="AP135" s="39" t="str">
        <f t="shared" si="9"/>
        <v/>
      </c>
      <c r="AQ135" s="39" t="str">
        <f t="shared" si="10"/>
        <v/>
      </c>
      <c r="AR135" s="39" t="str">
        <f t="shared" si="11"/>
        <v/>
      </c>
      <c r="AS135" s="39" t="str">
        <f t="shared" si="12"/>
        <v/>
      </c>
      <c r="AT135" s="39" t="str">
        <f t="shared" si="13"/>
        <v/>
      </c>
      <c r="AU135" s="39" t="str">
        <f t="shared" si="14"/>
        <v/>
      </c>
    </row>
    <row r="136" ht="15.75" customHeight="1">
      <c r="A136" s="22"/>
      <c r="B136" s="22"/>
      <c r="C136" s="22"/>
      <c r="D136" s="22"/>
      <c r="E136" s="40"/>
      <c r="F136" s="40" t="str">
        <f>IF($C136="","",VLOOKUP($C136,Orders!$A$4:$J$303,3,FALSE))</f>
        <v/>
      </c>
      <c r="G136" s="40" t="str">
        <f>IF($C136="","",VLOOKUP($C136,Orders!$A$4:$J$303,4,FALSE))</f>
        <v/>
      </c>
      <c r="H136" s="22"/>
      <c r="I136" s="40" t="str">
        <f t="shared" si="1"/>
        <v/>
      </c>
      <c r="J136" s="40" t="str">
        <f t="shared" si="2"/>
        <v/>
      </c>
      <c r="K136" s="40" t="str">
        <f>IF($C136="","",VLOOKUP($C136,Orders!$A$4:$J$303,5,FALSE))</f>
        <v/>
      </c>
      <c r="L136" s="22"/>
      <c r="M136" s="40" t="str">
        <f t="shared" si="3"/>
        <v/>
      </c>
      <c r="N136" s="22"/>
      <c r="O136" s="22"/>
      <c r="P136" s="22" t="str">
        <f t="shared" si="4"/>
        <v/>
      </c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39" t="str">
        <f t="array" ref="AB136">IFERROR(INDEX(Bids!$AA:$AA, MATCH(C136&amp;"|"&amp;B136, Bids!$AD:$AD,0)),"")</f>
        <v/>
      </c>
      <c r="AC136" s="39" t="str">
        <f t="array" ref="AC136">IFERROR(INDEX(Bids!$AB:$AB, MATCH(C136&amp;"|"&amp;B136, Bids!$AD:$AD,0)),"")</f>
        <v/>
      </c>
      <c r="AD136" s="39" t="str">
        <f t="array" ref="AD136">IFERROR(INDEX(Bids!$AC:$AC, MATCH(C136&amp;"|"&amp;B136, Bids!$AD:$AD,0)), H136)</f>
        <v/>
      </c>
      <c r="AE136" s="39"/>
      <c r="AG136" s="39"/>
      <c r="AH136" s="39" t="str">
        <f t="shared" si="5"/>
        <v/>
      </c>
      <c r="AI136" s="39" t="str">
        <f t="shared" si="6"/>
        <v/>
      </c>
      <c r="AM136" s="39" t="str">
        <f t="array" ref="AM136">IF(C136="","",IFERROR(XLOOKUP(C136,Orders!$A:$A,Orders!$E:$E,""),""))</f>
        <v/>
      </c>
      <c r="AN136" s="39" t="str">
        <f t="shared" si="7"/>
        <v/>
      </c>
      <c r="AO136" s="39" t="str">
        <f t="shared" si="8"/>
        <v/>
      </c>
      <c r="AP136" s="39" t="str">
        <f t="shared" si="9"/>
        <v/>
      </c>
      <c r="AQ136" s="39" t="str">
        <f t="shared" si="10"/>
        <v/>
      </c>
      <c r="AR136" s="39" t="str">
        <f t="shared" si="11"/>
        <v/>
      </c>
      <c r="AS136" s="39" t="str">
        <f t="shared" si="12"/>
        <v/>
      </c>
      <c r="AT136" s="39" t="str">
        <f t="shared" si="13"/>
        <v/>
      </c>
      <c r="AU136" s="39" t="str">
        <f t="shared" si="14"/>
        <v/>
      </c>
    </row>
    <row r="137" ht="15.75" customHeight="1">
      <c r="A137" s="22"/>
      <c r="B137" s="22"/>
      <c r="C137" s="22"/>
      <c r="D137" s="22"/>
      <c r="E137" s="40"/>
      <c r="F137" s="40" t="str">
        <f>IF($C137="","",VLOOKUP($C137,Orders!$A$4:$J$303,3,FALSE))</f>
        <v/>
      </c>
      <c r="G137" s="40" t="str">
        <f>IF($C137="","",VLOOKUP($C137,Orders!$A$4:$J$303,4,FALSE))</f>
        <v/>
      </c>
      <c r="H137" s="22"/>
      <c r="I137" s="40" t="str">
        <f t="shared" si="1"/>
        <v/>
      </c>
      <c r="J137" s="40" t="str">
        <f t="shared" si="2"/>
        <v/>
      </c>
      <c r="K137" s="40" t="str">
        <f>IF($C137="","",VLOOKUP($C137,Orders!$A$4:$J$303,5,FALSE))</f>
        <v/>
      </c>
      <c r="L137" s="22"/>
      <c r="M137" s="40" t="str">
        <f t="shared" si="3"/>
        <v/>
      </c>
      <c r="N137" s="22"/>
      <c r="O137" s="22"/>
      <c r="P137" s="22" t="str">
        <f t="shared" si="4"/>
        <v/>
      </c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39" t="str">
        <f t="array" ref="AB137">IFERROR(INDEX(Bids!$AA:$AA, MATCH(C137&amp;"|"&amp;B137, Bids!$AD:$AD,0)),"")</f>
        <v/>
      </c>
      <c r="AC137" s="39" t="str">
        <f t="array" ref="AC137">IFERROR(INDEX(Bids!$AB:$AB, MATCH(C137&amp;"|"&amp;B137, Bids!$AD:$AD,0)),"")</f>
        <v/>
      </c>
      <c r="AD137" s="39" t="str">
        <f t="array" ref="AD137">IFERROR(INDEX(Bids!$AC:$AC, MATCH(C137&amp;"|"&amp;B137, Bids!$AD:$AD,0)), H137)</f>
        <v/>
      </c>
      <c r="AE137" s="39"/>
      <c r="AG137" s="39"/>
      <c r="AH137" s="39" t="str">
        <f t="shared" si="5"/>
        <v/>
      </c>
      <c r="AI137" s="39" t="str">
        <f t="shared" si="6"/>
        <v/>
      </c>
      <c r="AM137" s="39" t="str">
        <f t="array" ref="AM137">IF(C137="","",IFERROR(XLOOKUP(C137,Orders!$A:$A,Orders!$E:$E,""),""))</f>
        <v/>
      </c>
      <c r="AN137" s="39" t="str">
        <f t="shared" si="7"/>
        <v/>
      </c>
      <c r="AO137" s="39" t="str">
        <f t="shared" si="8"/>
        <v/>
      </c>
      <c r="AP137" s="39" t="str">
        <f t="shared" si="9"/>
        <v/>
      </c>
      <c r="AQ137" s="39" t="str">
        <f t="shared" si="10"/>
        <v/>
      </c>
      <c r="AR137" s="39" t="str">
        <f t="shared" si="11"/>
        <v/>
      </c>
      <c r="AS137" s="39" t="str">
        <f t="shared" si="12"/>
        <v/>
      </c>
      <c r="AT137" s="39" t="str">
        <f t="shared" si="13"/>
        <v/>
      </c>
      <c r="AU137" s="39" t="str">
        <f t="shared" si="14"/>
        <v/>
      </c>
    </row>
    <row r="138" ht="15.75" customHeight="1">
      <c r="A138" s="22"/>
      <c r="B138" s="22"/>
      <c r="C138" s="22"/>
      <c r="D138" s="22"/>
      <c r="E138" s="40"/>
      <c r="F138" s="40" t="str">
        <f>IF($C138="","",VLOOKUP($C138,Orders!$A$4:$J$303,3,FALSE))</f>
        <v/>
      </c>
      <c r="G138" s="40" t="str">
        <f>IF($C138="","",VLOOKUP($C138,Orders!$A$4:$J$303,4,FALSE))</f>
        <v/>
      </c>
      <c r="H138" s="22"/>
      <c r="I138" s="40" t="str">
        <f t="shared" si="1"/>
        <v/>
      </c>
      <c r="J138" s="40" t="str">
        <f t="shared" si="2"/>
        <v/>
      </c>
      <c r="K138" s="40" t="str">
        <f>IF($C138="","",VLOOKUP($C138,Orders!$A$4:$J$303,5,FALSE))</f>
        <v/>
      </c>
      <c r="L138" s="22"/>
      <c r="M138" s="40" t="str">
        <f t="shared" si="3"/>
        <v/>
      </c>
      <c r="N138" s="22"/>
      <c r="O138" s="22"/>
      <c r="P138" s="22" t="str">
        <f t="shared" si="4"/>
        <v/>
      </c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39" t="str">
        <f t="array" ref="AB138">IFERROR(INDEX(Bids!$AA:$AA, MATCH(C138&amp;"|"&amp;B138, Bids!$AD:$AD,0)),"")</f>
        <v/>
      </c>
      <c r="AC138" s="39" t="str">
        <f t="array" ref="AC138">IFERROR(INDEX(Bids!$AB:$AB, MATCH(C138&amp;"|"&amp;B138, Bids!$AD:$AD,0)),"")</f>
        <v/>
      </c>
      <c r="AD138" s="39" t="str">
        <f t="array" ref="AD138">IFERROR(INDEX(Bids!$AC:$AC, MATCH(C138&amp;"|"&amp;B138, Bids!$AD:$AD,0)), H138)</f>
        <v/>
      </c>
      <c r="AE138" s="39"/>
      <c r="AG138" s="39"/>
      <c r="AH138" s="39" t="str">
        <f t="shared" si="5"/>
        <v/>
      </c>
      <c r="AI138" s="39" t="str">
        <f t="shared" si="6"/>
        <v/>
      </c>
      <c r="AM138" s="39" t="str">
        <f t="array" ref="AM138">IF(C138="","",IFERROR(XLOOKUP(C138,Orders!$A:$A,Orders!$E:$E,""),""))</f>
        <v/>
      </c>
      <c r="AN138" s="39" t="str">
        <f t="shared" si="7"/>
        <v/>
      </c>
      <c r="AO138" s="39" t="str">
        <f t="shared" si="8"/>
        <v/>
      </c>
      <c r="AP138" s="39" t="str">
        <f t="shared" si="9"/>
        <v/>
      </c>
      <c r="AQ138" s="39" t="str">
        <f t="shared" si="10"/>
        <v/>
      </c>
      <c r="AR138" s="39" t="str">
        <f t="shared" si="11"/>
        <v/>
      </c>
      <c r="AS138" s="39" t="str">
        <f t="shared" si="12"/>
        <v/>
      </c>
      <c r="AT138" s="39" t="str">
        <f t="shared" si="13"/>
        <v/>
      </c>
      <c r="AU138" s="39" t="str">
        <f t="shared" si="14"/>
        <v/>
      </c>
    </row>
    <row r="139" ht="15.75" customHeight="1">
      <c r="A139" s="22"/>
      <c r="B139" s="22"/>
      <c r="C139" s="22"/>
      <c r="D139" s="22"/>
      <c r="E139" s="40"/>
      <c r="F139" s="40" t="str">
        <f>IF($C139="","",VLOOKUP($C139,Orders!$A$4:$J$303,3,FALSE))</f>
        <v/>
      </c>
      <c r="G139" s="40" t="str">
        <f>IF($C139="","",VLOOKUP($C139,Orders!$A$4:$J$303,4,FALSE))</f>
        <v/>
      </c>
      <c r="H139" s="22"/>
      <c r="I139" s="40" t="str">
        <f t="shared" si="1"/>
        <v/>
      </c>
      <c r="J139" s="40" t="str">
        <f t="shared" si="2"/>
        <v/>
      </c>
      <c r="K139" s="40" t="str">
        <f>IF($C139="","",VLOOKUP($C139,Orders!$A$4:$J$303,5,FALSE))</f>
        <v/>
      </c>
      <c r="L139" s="22"/>
      <c r="M139" s="40" t="str">
        <f t="shared" si="3"/>
        <v/>
      </c>
      <c r="N139" s="22"/>
      <c r="O139" s="22"/>
      <c r="P139" s="22" t="str">
        <f t="shared" si="4"/>
        <v/>
      </c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39" t="str">
        <f t="array" ref="AB139">IFERROR(INDEX(Bids!$AA:$AA, MATCH(C139&amp;"|"&amp;B139, Bids!$AD:$AD,0)),"")</f>
        <v/>
      </c>
      <c r="AC139" s="39" t="str">
        <f t="array" ref="AC139">IFERROR(INDEX(Bids!$AB:$AB, MATCH(C139&amp;"|"&amp;B139, Bids!$AD:$AD,0)),"")</f>
        <v/>
      </c>
      <c r="AD139" s="39" t="str">
        <f t="array" ref="AD139">IFERROR(INDEX(Bids!$AC:$AC, MATCH(C139&amp;"|"&amp;B139, Bids!$AD:$AD,0)), H139)</f>
        <v/>
      </c>
      <c r="AE139" s="39"/>
      <c r="AG139" s="39"/>
      <c r="AH139" s="39" t="str">
        <f t="shared" si="5"/>
        <v/>
      </c>
      <c r="AI139" s="39" t="str">
        <f t="shared" si="6"/>
        <v/>
      </c>
      <c r="AM139" s="39" t="str">
        <f t="array" ref="AM139">IF(C139="","",IFERROR(XLOOKUP(C139,Orders!$A:$A,Orders!$E:$E,""),""))</f>
        <v/>
      </c>
      <c r="AN139" s="39" t="str">
        <f t="shared" si="7"/>
        <v/>
      </c>
      <c r="AO139" s="39" t="str">
        <f t="shared" si="8"/>
        <v/>
      </c>
      <c r="AP139" s="39" t="str">
        <f t="shared" si="9"/>
        <v/>
      </c>
      <c r="AQ139" s="39" t="str">
        <f t="shared" si="10"/>
        <v/>
      </c>
      <c r="AR139" s="39" t="str">
        <f t="shared" si="11"/>
        <v/>
      </c>
      <c r="AS139" s="39" t="str">
        <f t="shared" si="12"/>
        <v/>
      </c>
      <c r="AT139" s="39" t="str">
        <f t="shared" si="13"/>
        <v/>
      </c>
      <c r="AU139" s="39" t="str">
        <f t="shared" si="14"/>
        <v/>
      </c>
    </row>
    <row r="140" ht="15.75" customHeight="1">
      <c r="A140" s="22"/>
      <c r="B140" s="22"/>
      <c r="C140" s="22"/>
      <c r="D140" s="22"/>
      <c r="E140" s="40"/>
      <c r="F140" s="40" t="str">
        <f>IF($C140="","",VLOOKUP($C140,Orders!$A$4:$J$303,3,FALSE))</f>
        <v/>
      </c>
      <c r="G140" s="40" t="str">
        <f>IF($C140="","",VLOOKUP($C140,Orders!$A$4:$J$303,4,FALSE))</f>
        <v/>
      </c>
      <c r="H140" s="22"/>
      <c r="I140" s="40" t="str">
        <f t="shared" si="1"/>
        <v/>
      </c>
      <c r="J140" s="40" t="str">
        <f t="shared" si="2"/>
        <v/>
      </c>
      <c r="K140" s="40" t="str">
        <f>IF($C140="","",VLOOKUP($C140,Orders!$A$4:$J$303,5,FALSE))</f>
        <v/>
      </c>
      <c r="L140" s="22"/>
      <c r="M140" s="40" t="str">
        <f t="shared" si="3"/>
        <v/>
      </c>
      <c r="N140" s="22"/>
      <c r="O140" s="22"/>
      <c r="P140" s="22" t="str">
        <f t="shared" si="4"/>
        <v/>
      </c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39" t="str">
        <f t="array" ref="AB140">IFERROR(INDEX(Bids!$AA:$AA, MATCH(C140&amp;"|"&amp;B140, Bids!$AD:$AD,0)),"")</f>
        <v/>
      </c>
      <c r="AC140" s="39" t="str">
        <f t="array" ref="AC140">IFERROR(INDEX(Bids!$AB:$AB, MATCH(C140&amp;"|"&amp;B140, Bids!$AD:$AD,0)),"")</f>
        <v/>
      </c>
      <c r="AD140" s="39" t="str">
        <f t="array" ref="AD140">IFERROR(INDEX(Bids!$AC:$AC, MATCH(C140&amp;"|"&amp;B140, Bids!$AD:$AD,0)), H140)</f>
        <v/>
      </c>
      <c r="AE140" s="39"/>
      <c r="AG140" s="39"/>
      <c r="AH140" s="39" t="str">
        <f t="shared" si="5"/>
        <v/>
      </c>
      <c r="AI140" s="39" t="str">
        <f t="shared" si="6"/>
        <v/>
      </c>
      <c r="AM140" s="39" t="str">
        <f t="array" ref="AM140">IF(C140="","",IFERROR(XLOOKUP(C140,Orders!$A:$A,Orders!$E:$E,""),""))</f>
        <v/>
      </c>
      <c r="AN140" s="39" t="str">
        <f t="shared" si="7"/>
        <v/>
      </c>
      <c r="AO140" s="39" t="str">
        <f t="shared" si="8"/>
        <v/>
      </c>
      <c r="AP140" s="39" t="str">
        <f t="shared" si="9"/>
        <v/>
      </c>
      <c r="AQ140" s="39" t="str">
        <f t="shared" si="10"/>
        <v/>
      </c>
      <c r="AR140" s="39" t="str">
        <f t="shared" si="11"/>
        <v/>
      </c>
      <c r="AS140" s="39" t="str">
        <f t="shared" si="12"/>
        <v/>
      </c>
      <c r="AT140" s="39" t="str">
        <f t="shared" si="13"/>
        <v/>
      </c>
      <c r="AU140" s="39" t="str">
        <f t="shared" si="14"/>
        <v/>
      </c>
    </row>
    <row r="141" ht="15.75" customHeight="1">
      <c r="A141" s="22"/>
      <c r="B141" s="22"/>
      <c r="C141" s="22"/>
      <c r="D141" s="22"/>
      <c r="E141" s="40"/>
      <c r="F141" s="40" t="str">
        <f>IF($C141="","",VLOOKUP($C141,Orders!$A$4:$J$303,3,FALSE))</f>
        <v/>
      </c>
      <c r="G141" s="40" t="str">
        <f>IF($C141="","",VLOOKUP($C141,Orders!$A$4:$J$303,4,FALSE))</f>
        <v/>
      </c>
      <c r="H141" s="22"/>
      <c r="I141" s="40" t="str">
        <f t="shared" si="1"/>
        <v/>
      </c>
      <c r="J141" s="40" t="str">
        <f t="shared" si="2"/>
        <v/>
      </c>
      <c r="K141" s="40" t="str">
        <f>IF($C141="","",VLOOKUP($C141,Orders!$A$4:$J$303,5,FALSE))</f>
        <v/>
      </c>
      <c r="L141" s="22"/>
      <c r="M141" s="40" t="str">
        <f t="shared" si="3"/>
        <v/>
      </c>
      <c r="N141" s="22"/>
      <c r="O141" s="22"/>
      <c r="P141" s="22" t="str">
        <f t="shared" si="4"/>
        <v/>
      </c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39" t="str">
        <f t="array" ref="AB141">IFERROR(INDEX(Bids!$AA:$AA, MATCH(C141&amp;"|"&amp;B141, Bids!$AD:$AD,0)),"")</f>
        <v/>
      </c>
      <c r="AC141" s="39" t="str">
        <f t="array" ref="AC141">IFERROR(INDEX(Bids!$AB:$AB, MATCH(C141&amp;"|"&amp;B141, Bids!$AD:$AD,0)),"")</f>
        <v/>
      </c>
      <c r="AD141" s="39" t="str">
        <f t="array" ref="AD141">IFERROR(INDEX(Bids!$AC:$AC, MATCH(C141&amp;"|"&amp;B141, Bids!$AD:$AD,0)), H141)</f>
        <v/>
      </c>
      <c r="AE141" s="39"/>
      <c r="AG141" s="39"/>
      <c r="AH141" s="39" t="str">
        <f t="shared" si="5"/>
        <v/>
      </c>
      <c r="AI141" s="39" t="str">
        <f t="shared" si="6"/>
        <v/>
      </c>
      <c r="AM141" s="39" t="str">
        <f t="array" ref="AM141">IF(C141="","",IFERROR(XLOOKUP(C141,Orders!$A:$A,Orders!$E:$E,""),""))</f>
        <v/>
      </c>
      <c r="AN141" s="39" t="str">
        <f t="shared" si="7"/>
        <v/>
      </c>
      <c r="AO141" s="39" t="str">
        <f t="shared" si="8"/>
        <v/>
      </c>
      <c r="AP141" s="39" t="str">
        <f t="shared" si="9"/>
        <v/>
      </c>
      <c r="AQ141" s="39" t="str">
        <f t="shared" si="10"/>
        <v/>
      </c>
      <c r="AR141" s="39" t="str">
        <f t="shared" si="11"/>
        <v/>
      </c>
      <c r="AS141" s="39" t="str">
        <f t="shared" si="12"/>
        <v/>
      </c>
      <c r="AT141" s="39" t="str">
        <f t="shared" si="13"/>
        <v/>
      </c>
      <c r="AU141" s="39" t="str">
        <f t="shared" si="14"/>
        <v/>
      </c>
    </row>
    <row r="142" ht="15.75" customHeight="1">
      <c r="A142" s="22"/>
      <c r="B142" s="22"/>
      <c r="C142" s="22"/>
      <c r="D142" s="22"/>
      <c r="E142" s="40"/>
      <c r="F142" s="40" t="str">
        <f>IF($C142="","",VLOOKUP($C142,Orders!$A$4:$J$303,3,FALSE))</f>
        <v/>
      </c>
      <c r="G142" s="40" t="str">
        <f>IF($C142="","",VLOOKUP($C142,Orders!$A$4:$J$303,4,FALSE))</f>
        <v/>
      </c>
      <c r="H142" s="22"/>
      <c r="I142" s="40" t="str">
        <f t="shared" si="1"/>
        <v/>
      </c>
      <c r="J142" s="40" t="str">
        <f t="shared" si="2"/>
        <v/>
      </c>
      <c r="K142" s="40" t="str">
        <f>IF($C142="","",VLOOKUP($C142,Orders!$A$4:$J$303,5,FALSE))</f>
        <v/>
      </c>
      <c r="L142" s="22"/>
      <c r="M142" s="40" t="str">
        <f t="shared" si="3"/>
        <v/>
      </c>
      <c r="N142" s="22"/>
      <c r="O142" s="22"/>
      <c r="P142" s="22" t="str">
        <f t="shared" si="4"/>
        <v/>
      </c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39" t="str">
        <f t="array" ref="AB142">IFERROR(INDEX(Bids!$AA:$AA, MATCH(C142&amp;"|"&amp;B142, Bids!$AD:$AD,0)),"")</f>
        <v/>
      </c>
      <c r="AC142" s="39" t="str">
        <f t="array" ref="AC142">IFERROR(INDEX(Bids!$AB:$AB, MATCH(C142&amp;"|"&amp;B142, Bids!$AD:$AD,0)),"")</f>
        <v/>
      </c>
      <c r="AD142" s="39" t="str">
        <f t="array" ref="AD142">IFERROR(INDEX(Bids!$AC:$AC, MATCH(C142&amp;"|"&amp;B142, Bids!$AD:$AD,0)), H142)</f>
        <v/>
      </c>
      <c r="AE142" s="39"/>
      <c r="AG142" s="39"/>
      <c r="AH142" s="39" t="str">
        <f t="shared" si="5"/>
        <v/>
      </c>
      <c r="AI142" s="39" t="str">
        <f t="shared" si="6"/>
        <v/>
      </c>
      <c r="AM142" s="39" t="str">
        <f t="array" ref="AM142">IF(C142="","",IFERROR(XLOOKUP(C142,Orders!$A:$A,Orders!$E:$E,""),""))</f>
        <v/>
      </c>
      <c r="AN142" s="39" t="str">
        <f t="shared" si="7"/>
        <v/>
      </c>
      <c r="AO142" s="39" t="str">
        <f t="shared" si="8"/>
        <v/>
      </c>
      <c r="AP142" s="39" t="str">
        <f t="shared" si="9"/>
        <v/>
      </c>
      <c r="AQ142" s="39" t="str">
        <f t="shared" si="10"/>
        <v/>
      </c>
      <c r="AR142" s="39" t="str">
        <f t="shared" si="11"/>
        <v/>
      </c>
      <c r="AS142" s="39" t="str">
        <f t="shared" si="12"/>
        <v/>
      </c>
      <c r="AT142" s="39" t="str">
        <f t="shared" si="13"/>
        <v/>
      </c>
      <c r="AU142" s="39" t="str">
        <f t="shared" si="14"/>
        <v/>
      </c>
    </row>
    <row r="143" ht="15.75" customHeight="1">
      <c r="A143" s="22"/>
      <c r="B143" s="22"/>
      <c r="C143" s="22"/>
      <c r="D143" s="22"/>
      <c r="E143" s="40"/>
      <c r="F143" s="40" t="str">
        <f>IF($C143="","",VLOOKUP($C143,Orders!$A$4:$J$303,3,FALSE))</f>
        <v/>
      </c>
      <c r="G143" s="40" t="str">
        <f>IF($C143="","",VLOOKUP($C143,Orders!$A$4:$J$303,4,FALSE))</f>
        <v/>
      </c>
      <c r="H143" s="22"/>
      <c r="I143" s="40" t="str">
        <f t="shared" si="1"/>
        <v/>
      </c>
      <c r="J143" s="40" t="str">
        <f t="shared" si="2"/>
        <v/>
      </c>
      <c r="K143" s="40" t="str">
        <f>IF($C143="","",VLOOKUP($C143,Orders!$A$4:$J$303,5,FALSE))</f>
        <v/>
      </c>
      <c r="L143" s="22"/>
      <c r="M143" s="40" t="str">
        <f t="shared" si="3"/>
        <v/>
      </c>
      <c r="N143" s="22"/>
      <c r="O143" s="22"/>
      <c r="P143" s="22" t="str">
        <f t="shared" si="4"/>
        <v/>
      </c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39" t="str">
        <f t="array" ref="AB143">IFERROR(INDEX(Bids!$AA:$AA, MATCH(C143&amp;"|"&amp;B143, Bids!$AD:$AD,0)),"")</f>
        <v/>
      </c>
      <c r="AC143" s="39" t="str">
        <f t="array" ref="AC143">IFERROR(INDEX(Bids!$AB:$AB, MATCH(C143&amp;"|"&amp;B143, Bids!$AD:$AD,0)),"")</f>
        <v/>
      </c>
      <c r="AD143" s="39" t="str">
        <f t="array" ref="AD143">IFERROR(INDEX(Bids!$AC:$AC, MATCH(C143&amp;"|"&amp;B143, Bids!$AD:$AD,0)), H143)</f>
        <v/>
      </c>
      <c r="AE143" s="39"/>
      <c r="AG143" s="39"/>
      <c r="AH143" s="39" t="str">
        <f t="shared" si="5"/>
        <v/>
      </c>
      <c r="AI143" s="39" t="str">
        <f t="shared" si="6"/>
        <v/>
      </c>
      <c r="AM143" s="39" t="str">
        <f t="array" ref="AM143">IF(C143="","",IFERROR(XLOOKUP(C143,Orders!$A:$A,Orders!$E:$E,""),""))</f>
        <v/>
      </c>
      <c r="AN143" s="39" t="str">
        <f t="shared" si="7"/>
        <v/>
      </c>
      <c r="AO143" s="39" t="str">
        <f t="shared" si="8"/>
        <v/>
      </c>
      <c r="AP143" s="39" t="str">
        <f t="shared" si="9"/>
        <v/>
      </c>
      <c r="AQ143" s="39" t="str">
        <f t="shared" si="10"/>
        <v/>
      </c>
      <c r="AR143" s="39" t="str">
        <f t="shared" si="11"/>
        <v/>
      </c>
      <c r="AS143" s="39" t="str">
        <f t="shared" si="12"/>
        <v/>
      </c>
      <c r="AT143" s="39" t="str">
        <f t="shared" si="13"/>
        <v/>
      </c>
      <c r="AU143" s="39" t="str">
        <f t="shared" si="14"/>
        <v/>
      </c>
    </row>
    <row r="144" ht="15.75" customHeight="1">
      <c r="A144" s="22"/>
      <c r="B144" s="22"/>
      <c r="C144" s="22"/>
      <c r="D144" s="22"/>
      <c r="E144" s="40"/>
      <c r="F144" s="40" t="str">
        <f>IF($C144="","",VLOOKUP($C144,Orders!$A$4:$J$303,3,FALSE))</f>
        <v/>
      </c>
      <c r="G144" s="40" t="str">
        <f>IF($C144="","",VLOOKUP($C144,Orders!$A$4:$J$303,4,FALSE))</f>
        <v/>
      </c>
      <c r="H144" s="22"/>
      <c r="I144" s="40" t="str">
        <f t="shared" si="1"/>
        <v/>
      </c>
      <c r="J144" s="40" t="str">
        <f t="shared" si="2"/>
        <v/>
      </c>
      <c r="K144" s="40" t="str">
        <f>IF($C144="","",VLOOKUP($C144,Orders!$A$4:$J$303,5,FALSE))</f>
        <v/>
      </c>
      <c r="L144" s="22"/>
      <c r="M144" s="40" t="str">
        <f t="shared" si="3"/>
        <v/>
      </c>
      <c r="N144" s="22"/>
      <c r="O144" s="22"/>
      <c r="P144" s="22" t="str">
        <f t="shared" si="4"/>
        <v/>
      </c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39" t="str">
        <f t="array" ref="AB144">IFERROR(INDEX(Bids!$AA:$AA, MATCH(C144&amp;"|"&amp;B144, Bids!$AD:$AD,0)),"")</f>
        <v/>
      </c>
      <c r="AC144" s="39" t="str">
        <f t="array" ref="AC144">IFERROR(INDEX(Bids!$AB:$AB, MATCH(C144&amp;"|"&amp;B144, Bids!$AD:$AD,0)),"")</f>
        <v/>
      </c>
      <c r="AD144" s="39" t="str">
        <f t="array" ref="AD144">IFERROR(INDEX(Bids!$AC:$AC, MATCH(C144&amp;"|"&amp;B144, Bids!$AD:$AD,0)), H144)</f>
        <v/>
      </c>
      <c r="AE144" s="39"/>
      <c r="AG144" s="39"/>
      <c r="AH144" s="39" t="str">
        <f t="shared" si="5"/>
        <v/>
      </c>
      <c r="AI144" s="39" t="str">
        <f t="shared" si="6"/>
        <v/>
      </c>
      <c r="AM144" s="39" t="str">
        <f t="array" ref="AM144">IF(C144="","",IFERROR(XLOOKUP(C144,Orders!$A:$A,Orders!$E:$E,""),""))</f>
        <v/>
      </c>
      <c r="AN144" s="39" t="str">
        <f t="shared" si="7"/>
        <v/>
      </c>
      <c r="AO144" s="39" t="str">
        <f t="shared" si="8"/>
        <v/>
      </c>
      <c r="AP144" s="39" t="str">
        <f t="shared" si="9"/>
        <v/>
      </c>
      <c r="AQ144" s="39" t="str">
        <f t="shared" si="10"/>
        <v/>
      </c>
      <c r="AR144" s="39" t="str">
        <f t="shared" si="11"/>
        <v/>
      </c>
      <c r="AS144" s="39" t="str">
        <f t="shared" si="12"/>
        <v/>
      </c>
      <c r="AT144" s="39" t="str">
        <f t="shared" si="13"/>
        <v/>
      </c>
      <c r="AU144" s="39" t="str">
        <f t="shared" si="14"/>
        <v/>
      </c>
    </row>
    <row r="145" ht="15.75" customHeight="1">
      <c r="A145" s="22"/>
      <c r="B145" s="22"/>
      <c r="C145" s="22"/>
      <c r="D145" s="22"/>
      <c r="E145" s="40"/>
      <c r="F145" s="40" t="str">
        <f>IF($C145="","",VLOOKUP($C145,Orders!$A$4:$J$303,3,FALSE))</f>
        <v/>
      </c>
      <c r="G145" s="40" t="str">
        <f>IF($C145="","",VLOOKUP($C145,Orders!$A$4:$J$303,4,FALSE))</f>
        <v/>
      </c>
      <c r="H145" s="22"/>
      <c r="I145" s="40" t="str">
        <f t="shared" si="1"/>
        <v/>
      </c>
      <c r="J145" s="40" t="str">
        <f t="shared" si="2"/>
        <v/>
      </c>
      <c r="K145" s="40" t="str">
        <f>IF($C145="","",VLOOKUP($C145,Orders!$A$4:$J$303,5,FALSE))</f>
        <v/>
      </c>
      <c r="L145" s="22"/>
      <c r="M145" s="40" t="str">
        <f t="shared" si="3"/>
        <v/>
      </c>
      <c r="N145" s="22"/>
      <c r="O145" s="22"/>
      <c r="P145" s="22" t="str">
        <f t="shared" si="4"/>
        <v/>
      </c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39" t="str">
        <f t="array" ref="AB145">IFERROR(INDEX(Bids!$AA:$AA, MATCH(C145&amp;"|"&amp;B145, Bids!$AD:$AD,0)),"")</f>
        <v/>
      </c>
      <c r="AC145" s="39" t="str">
        <f t="array" ref="AC145">IFERROR(INDEX(Bids!$AB:$AB, MATCH(C145&amp;"|"&amp;B145, Bids!$AD:$AD,0)),"")</f>
        <v/>
      </c>
      <c r="AD145" s="39" t="str">
        <f t="array" ref="AD145">IFERROR(INDEX(Bids!$AC:$AC, MATCH(C145&amp;"|"&amp;B145, Bids!$AD:$AD,0)), H145)</f>
        <v/>
      </c>
      <c r="AE145" s="39"/>
      <c r="AG145" s="39"/>
      <c r="AH145" s="39" t="str">
        <f t="shared" si="5"/>
        <v/>
      </c>
      <c r="AI145" s="39" t="str">
        <f t="shared" si="6"/>
        <v/>
      </c>
      <c r="AM145" s="39" t="str">
        <f t="array" ref="AM145">IF(C145="","",IFERROR(XLOOKUP(C145,Orders!$A:$A,Orders!$E:$E,""),""))</f>
        <v/>
      </c>
      <c r="AN145" s="39" t="str">
        <f t="shared" si="7"/>
        <v/>
      </c>
      <c r="AO145" s="39" t="str">
        <f t="shared" si="8"/>
        <v/>
      </c>
      <c r="AP145" s="39" t="str">
        <f t="shared" si="9"/>
        <v/>
      </c>
      <c r="AQ145" s="39" t="str">
        <f t="shared" si="10"/>
        <v/>
      </c>
      <c r="AR145" s="39" t="str">
        <f t="shared" si="11"/>
        <v/>
      </c>
      <c r="AS145" s="39" t="str">
        <f t="shared" si="12"/>
        <v/>
      </c>
      <c r="AT145" s="39" t="str">
        <f t="shared" si="13"/>
        <v/>
      </c>
      <c r="AU145" s="39" t="str">
        <f t="shared" si="14"/>
        <v/>
      </c>
    </row>
    <row r="146" ht="15.75" customHeight="1">
      <c r="A146" s="22"/>
      <c r="B146" s="22"/>
      <c r="C146" s="22"/>
      <c r="D146" s="22"/>
      <c r="E146" s="40"/>
      <c r="F146" s="40" t="str">
        <f>IF($C146="","",VLOOKUP($C146,Orders!$A$4:$J$303,3,FALSE))</f>
        <v/>
      </c>
      <c r="G146" s="40" t="str">
        <f>IF($C146="","",VLOOKUP($C146,Orders!$A$4:$J$303,4,FALSE))</f>
        <v/>
      </c>
      <c r="H146" s="22"/>
      <c r="I146" s="40" t="str">
        <f t="shared" si="1"/>
        <v/>
      </c>
      <c r="J146" s="40" t="str">
        <f t="shared" si="2"/>
        <v/>
      </c>
      <c r="K146" s="40" t="str">
        <f>IF($C146="","",VLOOKUP($C146,Orders!$A$4:$J$303,5,FALSE))</f>
        <v/>
      </c>
      <c r="L146" s="22"/>
      <c r="M146" s="40" t="str">
        <f t="shared" si="3"/>
        <v/>
      </c>
      <c r="N146" s="22"/>
      <c r="O146" s="22"/>
      <c r="P146" s="22" t="str">
        <f t="shared" si="4"/>
        <v/>
      </c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39" t="str">
        <f t="array" ref="AB146">IFERROR(INDEX(Bids!$AA:$AA, MATCH(C146&amp;"|"&amp;B146, Bids!$AD:$AD,0)),"")</f>
        <v/>
      </c>
      <c r="AC146" s="39" t="str">
        <f t="array" ref="AC146">IFERROR(INDEX(Bids!$AB:$AB, MATCH(C146&amp;"|"&amp;B146, Bids!$AD:$AD,0)),"")</f>
        <v/>
      </c>
      <c r="AD146" s="39" t="str">
        <f t="array" ref="AD146">IFERROR(INDEX(Bids!$AC:$AC, MATCH(C146&amp;"|"&amp;B146, Bids!$AD:$AD,0)), H146)</f>
        <v/>
      </c>
      <c r="AE146" s="39"/>
      <c r="AG146" s="39"/>
      <c r="AH146" s="39" t="str">
        <f t="shared" si="5"/>
        <v/>
      </c>
      <c r="AI146" s="39" t="str">
        <f t="shared" si="6"/>
        <v/>
      </c>
      <c r="AM146" s="39" t="str">
        <f t="array" ref="AM146">IF(C146="","",IFERROR(XLOOKUP(C146,Orders!$A:$A,Orders!$E:$E,""),""))</f>
        <v/>
      </c>
      <c r="AN146" s="39" t="str">
        <f t="shared" si="7"/>
        <v/>
      </c>
      <c r="AO146" s="39" t="str">
        <f t="shared" si="8"/>
        <v/>
      </c>
      <c r="AP146" s="39" t="str">
        <f t="shared" si="9"/>
        <v/>
      </c>
      <c r="AQ146" s="39" t="str">
        <f t="shared" si="10"/>
        <v/>
      </c>
      <c r="AR146" s="39" t="str">
        <f t="shared" si="11"/>
        <v/>
      </c>
      <c r="AS146" s="39" t="str">
        <f t="shared" si="12"/>
        <v/>
      </c>
      <c r="AT146" s="39" t="str">
        <f t="shared" si="13"/>
        <v/>
      </c>
      <c r="AU146" s="39" t="str">
        <f t="shared" si="14"/>
        <v/>
      </c>
    </row>
    <row r="147" ht="15.75" customHeight="1">
      <c r="A147" s="22"/>
      <c r="B147" s="22"/>
      <c r="C147" s="22"/>
      <c r="D147" s="22"/>
      <c r="E147" s="40"/>
      <c r="F147" s="40" t="str">
        <f>IF($C147="","",VLOOKUP($C147,Orders!$A$4:$J$303,3,FALSE))</f>
        <v/>
      </c>
      <c r="G147" s="40" t="str">
        <f>IF($C147="","",VLOOKUP($C147,Orders!$A$4:$J$303,4,FALSE))</f>
        <v/>
      </c>
      <c r="H147" s="22"/>
      <c r="I147" s="40" t="str">
        <f t="shared" si="1"/>
        <v/>
      </c>
      <c r="J147" s="40" t="str">
        <f t="shared" si="2"/>
        <v/>
      </c>
      <c r="K147" s="40" t="str">
        <f>IF($C147="","",VLOOKUP($C147,Orders!$A$4:$J$303,5,FALSE))</f>
        <v/>
      </c>
      <c r="L147" s="22"/>
      <c r="M147" s="40" t="str">
        <f t="shared" si="3"/>
        <v/>
      </c>
      <c r="N147" s="22"/>
      <c r="O147" s="22"/>
      <c r="P147" s="22" t="str">
        <f t="shared" si="4"/>
        <v/>
      </c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39" t="str">
        <f t="array" ref="AB147">IFERROR(INDEX(Bids!$AA:$AA, MATCH(C147&amp;"|"&amp;B147, Bids!$AD:$AD,0)),"")</f>
        <v/>
      </c>
      <c r="AC147" s="39" t="str">
        <f t="array" ref="AC147">IFERROR(INDEX(Bids!$AB:$AB, MATCH(C147&amp;"|"&amp;B147, Bids!$AD:$AD,0)),"")</f>
        <v/>
      </c>
      <c r="AD147" s="39" t="str">
        <f t="array" ref="AD147">IFERROR(INDEX(Bids!$AC:$AC, MATCH(C147&amp;"|"&amp;B147, Bids!$AD:$AD,0)), H147)</f>
        <v/>
      </c>
      <c r="AE147" s="39"/>
      <c r="AG147" s="39"/>
      <c r="AH147" s="39" t="str">
        <f t="shared" si="5"/>
        <v/>
      </c>
      <c r="AI147" s="39" t="str">
        <f t="shared" si="6"/>
        <v/>
      </c>
      <c r="AM147" s="39" t="str">
        <f t="array" ref="AM147">IF(C147="","",IFERROR(XLOOKUP(C147,Orders!$A:$A,Orders!$E:$E,""),""))</f>
        <v/>
      </c>
      <c r="AN147" s="39" t="str">
        <f t="shared" si="7"/>
        <v/>
      </c>
      <c r="AO147" s="39" t="str">
        <f t="shared" si="8"/>
        <v/>
      </c>
      <c r="AP147" s="39" t="str">
        <f t="shared" si="9"/>
        <v/>
      </c>
      <c r="AQ147" s="39" t="str">
        <f t="shared" si="10"/>
        <v/>
      </c>
      <c r="AR147" s="39" t="str">
        <f t="shared" si="11"/>
        <v/>
      </c>
      <c r="AS147" s="39" t="str">
        <f t="shared" si="12"/>
        <v/>
      </c>
      <c r="AT147" s="39" t="str">
        <f t="shared" si="13"/>
        <v/>
      </c>
      <c r="AU147" s="39" t="str">
        <f t="shared" si="14"/>
        <v/>
      </c>
    </row>
    <row r="148" ht="15.75" customHeight="1">
      <c r="A148" s="22"/>
      <c r="B148" s="22"/>
      <c r="C148" s="22"/>
      <c r="D148" s="22"/>
      <c r="E148" s="40"/>
      <c r="F148" s="40" t="str">
        <f>IF($C148="","",VLOOKUP($C148,Orders!$A$4:$J$303,3,FALSE))</f>
        <v/>
      </c>
      <c r="G148" s="40" t="str">
        <f>IF($C148="","",VLOOKUP($C148,Orders!$A$4:$J$303,4,FALSE))</f>
        <v/>
      </c>
      <c r="H148" s="22"/>
      <c r="I148" s="40" t="str">
        <f t="shared" si="1"/>
        <v/>
      </c>
      <c r="J148" s="40" t="str">
        <f t="shared" si="2"/>
        <v/>
      </c>
      <c r="K148" s="40" t="str">
        <f>IF($C148="","",VLOOKUP($C148,Orders!$A$4:$J$303,5,FALSE))</f>
        <v/>
      </c>
      <c r="L148" s="22"/>
      <c r="M148" s="40" t="str">
        <f t="shared" si="3"/>
        <v/>
      </c>
      <c r="N148" s="22"/>
      <c r="O148" s="22"/>
      <c r="P148" s="22" t="str">
        <f t="shared" si="4"/>
        <v/>
      </c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39" t="str">
        <f t="array" ref="AB148">IFERROR(INDEX(Bids!$AA:$AA, MATCH(C148&amp;"|"&amp;B148, Bids!$AD:$AD,0)),"")</f>
        <v/>
      </c>
      <c r="AC148" s="39" t="str">
        <f t="array" ref="AC148">IFERROR(INDEX(Bids!$AB:$AB, MATCH(C148&amp;"|"&amp;B148, Bids!$AD:$AD,0)),"")</f>
        <v/>
      </c>
      <c r="AD148" s="39" t="str">
        <f t="array" ref="AD148">IFERROR(INDEX(Bids!$AC:$AC, MATCH(C148&amp;"|"&amp;B148, Bids!$AD:$AD,0)), H148)</f>
        <v/>
      </c>
      <c r="AE148" s="39"/>
      <c r="AG148" s="39"/>
      <c r="AH148" s="39" t="str">
        <f t="shared" si="5"/>
        <v/>
      </c>
      <c r="AI148" s="39" t="str">
        <f t="shared" si="6"/>
        <v/>
      </c>
      <c r="AM148" s="39" t="str">
        <f t="array" ref="AM148">IF(C148="","",IFERROR(XLOOKUP(C148,Orders!$A:$A,Orders!$E:$E,""),""))</f>
        <v/>
      </c>
      <c r="AN148" s="39" t="str">
        <f t="shared" si="7"/>
        <v/>
      </c>
      <c r="AO148" s="39" t="str">
        <f t="shared" si="8"/>
        <v/>
      </c>
      <c r="AP148" s="39" t="str">
        <f t="shared" si="9"/>
        <v/>
      </c>
      <c r="AQ148" s="39" t="str">
        <f t="shared" si="10"/>
        <v/>
      </c>
      <c r="AR148" s="39" t="str">
        <f t="shared" si="11"/>
        <v/>
      </c>
      <c r="AS148" s="39" t="str">
        <f t="shared" si="12"/>
        <v/>
      </c>
      <c r="AT148" s="39" t="str">
        <f t="shared" si="13"/>
        <v/>
      </c>
      <c r="AU148" s="39" t="str">
        <f t="shared" si="14"/>
        <v/>
      </c>
    </row>
    <row r="149" ht="15.75" customHeight="1">
      <c r="A149" s="22"/>
      <c r="B149" s="22"/>
      <c r="C149" s="22"/>
      <c r="D149" s="22"/>
      <c r="E149" s="40"/>
      <c r="F149" s="40" t="str">
        <f>IF($C149="","",VLOOKUP($C149,Orders!$A$4:$J$303,3,FALSE))</f>
        <v/>
      </c>
      <c r="G149" s="40" t="str">
        <f>IF($C149="","",VLOOKUP($C149,Orders!$A$4:$J$303,4,FALSE))</f>
        <v/>
      </c>
      <c r="H149" s="22"/>
      <c r="I149" s="40" t="str">
        <f t="shared" si="1"/>
        <v/>
      </c>
      <c r="J149" s="40" t="str">
        <f t="shared" si="2"/>
        <v/>
      </c>
      <c r="K149" s="40" t="str">
        <f>IF($C149="","",VLOOKUP($C149,Orders!$A$4:$J$303,5,FALSE))</f>
        <v/>
      </c>
      <c r="L149" s="22"/>
      <c r="M149" s="40" t="str">
        <f t="shared" si="3"/>
        <v/>
      </c>
      <c r="N149" s="22"/>
      <c r="O149" s="22"/>
      <c r="P149" s="22" t="str">
        <f t="shared" si="4"/>
        <v/>
      </c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39" t="str">
        <f t="array" ref="AB149">IFERROR(INDEX(Bids!$AA:$AA, MATCH(C149&amp;"|"&amp;B149, Bids!$AD:$AD,0)),"")</f>
        <v/>
      </c>
      <c r="AC149" s="39" t="str">
        <f t="array" ref="AC149">IFERROR(INDEX(Bids!$AB:$AB, MATCH(C149&amp;"|"&amp;B149, Bids!$AD:$AD,0)),"")</f>
        <v/>
      </c>
      <c r="AD149" s="39" t="str">
        <f t="array" ref="AD149">IFERROR(INDEX(Bids!$AC:$AC, MATCH(C149&amp;"|"&amp;B149, Bids!$AD:$AD,0)), H149)</f>
        <v/>
      </c>
      <c r="AE149" s="39"/>
      <c r="AG149" s="39"/>
      <c r="AH149" s="39" t="str">
        <f t="shared" si="5"/>
        <v/>
      </c>
      <c r="AI149" s="39" t="str">
        <f t="shared" si="6"/>
        <v/>
      </c>
      <c r="AM149" s="39" t="str">
        <f t="array" ref="AM149">IF(C149="","",IFERROR(XLOOKUP(C149,Orders!$A:$A,Orders!$E:$E,""),""))</f>
        <v/>
      </c>
      <c r="AN149" s="39" t="str">
        <f t="shared" si="7"/>
        <v/>
      </c>
      <c r="AO149" s="39" t="str">
        <f t="shared" si="8"/>
        <v/>
      </c>
      <c r="AP149" s="39" t="str">
        <f t="shared" si="9"/>
        <v/>
      </c>
      <c r="AQ149" s="39" t="str">
        <f t="shared" si="10"/>
        <v/>
      </c>
      <c r="AR149" s="39" t="str">
        <f t="shared" si="11"/>
        <v/>
      </c>
      <c r="AS149" s="39" t="str">
        <f t="shared" si="12"/>
        <v/>
      </c>
      <c r="AT149" s="39" t="str">
        <f t="shared" si="13"/>
        <v/>
      </c>
      <c r="AU149" s="39" t="str">
        <f t="shared" si="14"/>
        <v/>
      </c>
    </row>
    <row r="150" ht="15.75" customHeight="1">
      <c r="A150" s="22"/>
      <c r="B150" s="22"/>
      <c r="C150" s="22"/>
      <c r="D150" s="22"/>
      <c r="E150" s="40"/>
      <c r="F150" s="40" t="str">
        <f>IF($C150="","",VLOOKUP($C150,Orders!$A$4:$J$303,3,FALSE))</f>
        <v/>
      </c>
      <c r="G150" s="40" t="str">
        <f>IF($C150="","",VLOOKUP($C150,Orders!$A$4:$J$303,4,FALSE))</f>
        <v/>
      </c>
      <c r="H150" s="22"/>
      <c r="I150" s="40" t="str">
        <f t="shared" si="1"/>
        <v/>
      </c>
      <c r="J150" s="40" t="str">
        <f t="shared" si="2"/>
        <v/>
      </c>
      <c r="K150" s="40" t="str">
        <f>IF($C150="","",VLOOKUP($C150,Orders!$A$4:$J$303,5,FALSE))</f>
        <v/>
      </c>
      <c r="L150" s="22"/>
      <c r="M150" s="40" t="str">
        <f t="shared" si="3"/>
        <v/>
      </c>
      <c r="N150" s="22"/>
      <c r="O150" s="22"/>
      <c r="P150" s="22" t="str">
        <f t="shared" si="4"/>
        <v/>
      </c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39" t="str">
        <f t="array" ref="AB150">IFERROR(INDEX(Bids!$AA:$AA, MATCH(C150&amp;"|"&amp;B150, Bids!$AD:$AD,0)),"")</f>
        <v/>
      </c>
      <c r="AC150" s="39" t="str">
        <f t="array" ref="AC150">IFERROR(INDEX(Bids!$AB:$AB, MATCH(C150&amp;"|"&amp;B150, Bids!$AD:$AD,0)),"")</f>
        <v/>
      </c>
      <c r="AD150" s="39" t="str">
        <f t="array" ref="AD150">IFERROR(INDEX(Bids!$AC:$AC, MATCH(C150&amp;"|"&amp;B150, Bids!$AD:$AD,0)), H150)</f>
        <v/>
      </c>
      <c r="AE150" s="39"/>
      <c r="AG150" s="39"/>
      <c r="AH150" s="39" t="str">
        <f t="shared" si="5"/>
        <v/>
      </c>
      <c r="AI150" s="39" t="str">
        <f t="shared" si="6"/>
        <v/>
      </c>
      <c r="AM150" s="39" t="str">
        <f t="array" ref="AM150">IF(C150="","",IFERROR(XLOOKUP(C150,Orders!$A:$A,Orders!$E:$E,""),""))</f>
        <v/>
      </c>
      <c r="AN150" s="39" t="str">
        <f t="shared" si="7"/>
        <v/>
      </c>
      <c r="AO150" s="39" t="str">
        <f t="shared" si="8"/>
        <v/>
      </c>
      <c r="AP150" s="39" t="str">
        <f t="shared" si="9"/>
        <v/>
      </c>
      <c r="AQ150" s="39" t="str">
        <f t="shared" si="10"/>
        <v/>
      </c>
      <c r="AR150" s="39" t="str">
        <f t="shared" si="11"/>
        <v/>
      </c>
      <c r="AS150" s="39" t="str">
        <f t="shared" si="12"/>
        <v/>
      </c>
      <c r="AT150" s="39" t="str">
        <f t="shared" si="13"/>
        <v/>
      </c>
      <c r="AU150" s="39" t="str">
        <f t="shared" si="14"/>
        <v/>
      </c>
    </row>
    <row r="151" ht="15.75" customHeight="1">
      <c r="A151" s="22"/>
      <c r="B151" s="22"/>
      <c r="C151" s="22"/>
      <c r="D151" s="22"/>
      <c r="E151" s="40"/>
      <c r="F151" s="40" t="str">
        <f>IF($C151="","",VLOOKUP($C151,Orders!$A$4:$J$303,3,FALSE))</f>
        <v/>
      </c>
      <c r="G151" s="40" t="str">
        <f>IF($C151="","",VLOOKUP($C151,Orders!$A$4:$J$303,4,FALSE))</f>
        <v/>
      </c>
      <c r="H151" s="22"/>
      <c r="I151" s="40" t="str">
        <f t="shared" si="1"/>
        <v/>
      </c>
      <c r="J151" s="40" t="str">
        <f t="shared" si="2"/>
        <v/>
      </c>
      <c r="K151" s="40" t="str">
        <f>IF($C151="","",VLOOKUP($C151,Orders!$A$4:$J$303,5,FALSE))</f>
        <v/>
      </c>
      <c r="L151" s="22"/>
      <c r="M151" s="40" t="str">
        <f t="shared" si="3"/>
        <v/>
      </c>
      <c r="N151" s="22"/>
      <c r="O151" s="22"/>
      <c r="P151" s="22" t="str">
        <f t="shared" si="4"/>
        <v/>
      </c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39" t="str">
        <f t="array" ref="AB151">IFERROR(INDEX(Bids!$AA:$AA, MATCH(C151&amp;"|"&amp;B151, Bids!$AD:$AD,0)),"")</f>
        <v/>
      </c>
      <c r="AC151" s="39" t="str">
        <f t="array" ref="AC151">IFERROR(INDEX(Bids!$AB:$AB, MATCH(C151&amp;"|"&amp;B151, Bids!$AD:$AD,0)),"")</f>
        <v/>
      </c>
      <c r="AD151" s="39" t="str">
        <f t="array" ref="AD151">IFERROR(INDEX(Bids!$AC:$AC, MATCH(C151&amp;"|"&amp;B151, Bids!$AD:$AD,0)), H151)</f>
        <v/>
      </c>
      <c r="AE151" s="39"/>
      <c r="AG151" s="39"/>
      <c r="AH151" s="39" t="str">
        <f t="shared" si="5"/>
        <v/>
      </c>
      <c r="AI151" s="39" t="str">
        <f t="shared" si="6"/>
        <v/>
      </c>
      <c r="AM151" s="39" t="str">
        <f t="array" ref="AM151">IF(C151="","",IFERROR(XLOOKUP(C151,Orders!$A:$A,Orders!$E:$E,""),""))</f>
        <v/>
      </c>
      <c r="AN151" s="39" t="str">
        <f t="shared" si="7"/>
        <v/>
      </c>
      <c r="AO151" s="39" t="str">
        <f t="shared" si="8"/>
        <v/>
      </c>
      <c r="AP151" s="39" t="str">
        <f t="shared" si="9"/>
        <v/>
      </c>
      <c r="AQ151" s="39" t="str">
        <f t="shared" si="10"/>
        <v/>
      </c>
      <c r="AR151" s="39" t="str">
        <f t="shared" si="11"/>
        <v/>
      </c>
      <c r="AS151" s="39" t="str">
        <f t="shared" si="12"/>
        <v/>
      </c>
      <c r="AT151" s="39" t="str">
        <f t="shared" si="13"/>
        <v/>
      </c>
      <c r="AU151" s="39" t="str">
        <f t="shared" si="14"/>
        <v/>
      </c>
    </row>
    <row r="152" ht="15.75" customHeight="1">
      <c r="A152" s="22"/>
      <c r="B152" s="22"/>
      <c r="C152" s="22"/>
      <c r="D152" s="22"/>
      <c r="E152" s="40"/>
      <c r="F152" s="40" t="str">
        <f>IF($C152="","",VLOOKUP($C152,Orders!$A$4:$J$303,3,FALSE))</f>
        <v/>
      </c>
      <c r="G152" s="40" t="str">
        <f>IF($C152="","",VLOOKUP($C152,Orders!$A$4:$J$303,4,FALSE))</f>
        <v/>
      </c>
      <c r="H152" s="22"/>
      <c r="I152" s="40" t="str">
        <f t="shared" si="1"/>
        <v/>
      </c>
      <c r="J152" s="40" t="str">
        <f t="shared" si="2"/>
        <v/>
      </c>
      <c r="K152" s="40" t="str">
        <f>IF($C152="","",VLOOKUP($C152,Orders!$A$4:$J$303,5,FALSE))</f>
        <v/>
      </c>
      <c r="L152" s="22"/>
      <c r="M152" s="40" t="str">
        <f t="shared" si="3"/>
        <v/>
      </c>
      <c r="N152" s="22"/>
      <c r="O152" s="22"/>
      <c r="P152" s="22" t="str">
        <f t="shared" si="4"/>
        <v/>
      </c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39" t="str">
        <f t="array" ref="AB152">IFERROR(INDEX(Bids!$AA:$AA, MATCH(C152&amp;"|"&amp;B152, Bids!$AD:$AD,0)),"")</f>
        <v/>
      </c>
      <c r="AC152" s="39" t="str">
        <f t="array" ref="AC152">IFERROR(INDEX(Bids!$AB:$AB, MATCH(C152&amp;"|"&amp;B152, Bids!$AD:$AD,0)),"")</f>
        <v/>
      </c>
      <c r="AD152" s="39" t="str">
        <f t="array" ref="AD152">IFERROR(INDEX(Bids!$AC:$AC, MATCH(C152&amp;"|"&amp;B152, Bids!$AD:$AD,0)), H152)</f>
        <v/>
      </c>
      <c r="AE152" s="39"/>
      <c r="AG152" s="39"/>
      <c r="AH152" s="39" t="str">
        <f t="shared" si="5"/>
        <v/>
      </c>
      <c r="AI152" s="39" t="str">
        <f t="shared" si="6"/>
        <v/>
      </c>
      <c r="AM152" s="39" t="str">
        <f t="array" ref="AM152">IF(C152="","",IFERROR(XLOOKUP(C152,Orders!$A:$A,Orders!$E:$E,""),""))</f>
        <v/>
      </c>
      <c r="AN152" s="39" t="str">
        <f t="shared" si="7"/>
        <v/>
      </c>
      <c r="AO152" s="39" t="str">
        <f t="shared" si="8"/>
        <v/>
      </c>
      <c r="AP152" s="39" t="str">
        <f t="shared" si="9"/>
        <v/>
      </c>
      <c r="AQ152" s="39" t="str">
        <f t="shared" si="10"/>
        <v/>
      </c>
      <c r="AR152" s="39" t="str">
        <f t="shared" si="11"/>
        <v/>
      </c>
      <c r="AS152" s="39" t="str">
        <f t="shared" si="12"/>
        <v/>
      </c>
      <c r="AT152" s="39" t="str">
        <f t="shared" si="13"/>
        <v/>
      </c>
      <c r="AU152" s="39" t="str">
        <f t="shared" si="14"/>
        <v/>
      </c>
    </row>
    <row r="153" ht="15.75" customHeight="1">
      <c r="A153" s="22"/>
      <c r="B153" s="22"/>
      <c r="C153" s="22"/>
      <c r="D153" s="22"/>
      <c r="E153" s="40"/>
      <c r="F153" s="40" t="str">
        <f>IF($C153="","",VLOOKUP($C153,Orders!$A$4:$J$303,3,FALSE))</f>
        <v/>
      </c>
      <c r="G153" s="40" t="str">
        <f>IF($C153="","",VLOOKUP($C153,Orders!$A$4:$J$303,4,FALSE))</f>
        <v/>
      </c>
      <c r="H153" s="22"/>
      <c r="I153" s="40" t="str">
        <f t="shared" si="1"/>
        <v/>
      </c>
      <c r="J153" s="40" t="str">
        <f t="shared" si="2"/>
        <v/>
      </c>
      <c r="K153" s="40" t="str">
        <f>IF($C153="","",VLOOKUP($C153,Orders!$A$4:$J$303,5,FALSE))</f>
        <v/>
      </c>
      <c r="L153" s="22"/>
      <c r="M153" s="40" t="str">
        <f t="shared" si="3"/>
        <v/>
      </c>
      <c r="N153" s="22"/>
      <c r="O153" s="22"/>
      <c r="P153" s="22" t="str">
        <f t="shared" si="4"/>
        <v/>
      </c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39" t="str">
        <f t="array" ref="AB153">IFERROR(INDEX(Bids!$AA:$AA, MATCH(C153&amp;"|"&amp;B153, Bids!$AD:$AD,0)),"")</f>
        <v/>
      </c>
      <c r="AC153" s="39" t="str">
        <f t="array" ref="AC153">IFERROR(INDEX(Bids!$AB:$AB, MATCH(C153&amp;"|"&amp;B153, Bids!$AD:$AD,0)),"")</f>
        <v/>
      </c>
      <c r="AD153" s="39" t="str">
        <f t="array" ref="AD153">IFERROR(INDEX(Bids!$AC:$AC, MATCH(C153&amp;"|"&amp;B153, Bids!$AD:$AD,0)), H153)</f>
        <v/>
      </c>
      <c r="AE153" s="39"/>
      <c r="AG153" s="39"/>
      <c r="AH153" s="39" t="str">
        <f t="shared" si="5"/>
        <v/>
      </c>
      <c r="AI153" s="39" t="str">
        <f t="shared" si="6"/>
        <v/>
      </c>
      <c r="AM153" s="39" t="str">
        <f t="array" ref="AM153">IF(C153="","",IFERROR(XLOOKUP(C153,Orders!$A:$A,Orders!$E:$E,""),""))</f>
        <v/>
      </c>
      <c r="AN153" s="39" t="str">
        <f t="shared" si="7"/>
        <v/>
      </c>
      <c r="AO153" s="39" t="str">
        <f t="shared" si="8"/>
        <v/>
      </c>
      <c r="AP153" s="39" t="str">
        <f t="shared" si="9"/>
        <v/>
      </c>
      <c r="AQ153" s="39" t="str">
        <f t="shared" si="10"/>
        <v/>
      </c>
      <c r="AR153" s="39" t="str">
        <f t="shared" si="11"/>
        <v/>
      </c>
      <c r="AS153" s="39" t="str">
        <f t="shared" si="12"/>
        <v/>
      </c>
      <c r="AT153" s="39" t="str">
        <f t="shared" si="13"/>
        <v/>
      </c>
      <c r="AU153" s="39" t="str">
        <f t="shared" si="14"/>
        <v/>
      </c>
    </row>
    <row r="154" ht="15.75" customHeight="1">
      <c r="A154" s="22"/>
      <c r="B154" s="22"/>
      <c r="C154" s="22"/>
      <c r="D154" s="22"/>
      <c r="E154" s="40"/>
      <c r="F154" s="40" t="str">
        <f>IF($C154="","",VLOOKUP($C154,Orders!$A$4:$J$303,3,FALSE))</f>
        <v/>
      </c>
      <c r="G154" s="40" t="str">
        <f>IF($C154="","",VLOOKUP($C154,Orders!$A$4:$J$303,4,FALSE))</f>
        <v/>
      </c>
      <c r="H154" s="22"/>
      <c r="I154" s="40" t="str">
        <f t="shared" si="1"/>
        <v/>
      </c>
      <c r="J154" s="40" t="str">
        <f t="shared" si="2"/>
        <v/>
      </c>
      <c r="K154" s="40" t="str">
        <f>IF($C154="","",VLOOKUP($C154,Orders!$A$4:$J$303,5,FALSE))</f>
        <v/>
      </c>
      <c r="L154" s="22"/>
      <c r="M154" s="40" t="str">
        <f t="shared" si="3"/>
        <v/>
      </c>
      <c r="N154" s="22"/>
      <c r="O154" s="22"/>
      <c r="P154" s="22" t="str">
        <f t="shared" si="4"/>
        <v/>
      </c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39" t="str">
        <f t="array" ref="AB154">IFERROR(INDEX(Bids!$AA:$AA, MATCH(C154&amp;"|"&amp;B154, Bids!$AD:$AD,0)),"")</f>
        <v/>
      </c>
      <c r="AC154" s="39" t="str">
        <f t="array" ref="AC154">IFERROR(INDEX(Bids!$AB:$AB, MATCH(C154&amp;"|"&amp;B154, Bids!$AD:$AD,0)),"")</f>
        <v/>
      </c>
      <c r="AD154" s="39" t="str">
        <f t="array" ref="AD154">IFERROR(INDEX(Bids!$AC:$AC, MATCH(C154&amp;"|"&amp;B154, Bids!$AD:$AD,0)), H154)</f>
        <v/>
      </c>
      <c r="AE154" s="39"/>
      <c r="AG154" s="39"/>
      <c r="AH154" s="39" t="str">
        <f t="shared" si="5"/>
        <v/>
      </c>
      <c r="AI154" s="39" t="str">
        <f t="shared" si="6"/>
        <v/>
      </c>
      <c r="AM154" s="39" t="str">
        <f t="array" ref="AM154">IF(C154="","",IFERROR(XLOOKUP(C154,Orders!$A:$A,Orders!$E:$E,""),""))</f>
        <v/>
      </c>
      <c r="AN154" s="39" t="str">
        <f t="shared" si="7"/>
        <v/>
      </c>
      <c r="AO154" s="39" t="str">
        <f t="shared" si="8"/>
        <v/>
      </c>
      <c r="AP154" s="39" t="str">
        <f t="shared" si="9"/>
        <v/>
      </c>
      <c r="AQ154" s="39" t="str">
        <f t="shared" si="10"/>
        <v/>
      </c>
      <c r="AR154" s="39" t="str">
        <f t="shared" si="11"/>
        <v/>
      </c>
      <c r="AS154" s="39" t="str">
        <f t="shared" si="12"/>
        <v/>
      </c>
      <c r="AT154" s="39" t="str">
        <f t="shared" si="13"/>
        <v/>
      </c>
      <c r="AU154" s="39" t="str">
        <f t="shared" si="14"/>
        <v/>
      </c>
    </row>
    <row r="155" ht="15.75" customHeight="1">
      <c r="A155" s="22"/>
      <c r="B155" s="22"/>
      <c r="C155" s="22"/>
      <c r="D155" s="22"/>
      <c r="E155" s="40"/>
      <c r="F155" s="40" t="str">
        <f>IF($C155="","",VLOOKUP($C155,Orders!$A$4:$J$303,3,FALSE))</f>
        <v/>
      </c>
      <c r="G155" s="40" t="str">
        <f>IF($C155="","",VLOOKUP($C155,Orders!$A$4:$J$303,4,FALSE))</f>
        <v/>
      </c>
      <c r="H155" s="22"/>
      <c r="I155" s="40" t="str">
        <f t="shared" si="1"/>
        <v/>
      </c>
      <c r="J155" s="40" t="str">
        <f t="shared" si="2"/>
        <v/>
      </c>
      <c r="K155" s="40" t="str">
        <f>IF($C155="","",VLOOKUP($C155,Orders!$A$4:$J$303,5,FALSE))</f>
        <v/>
      </c>
      <c r="L155" s="22"/>
      <c r="M155" s="40" t="str">
        <f t="shared" si="3"/>
        <v/>
      </c>
      <c r="N155" s="22"/>
      <c r="O155" s="22"/>
      <c r="P155" s="22" t="str">
        <f t="shared" si="4"/>
        <v/>
      </c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39" t="str">
        <f t="array" ref="AB155">IFERROR(INDEX(Bids!$AA:$AA, MATCH(C155&amp;"|"&amp;B155, Bids!$AD:$AD,0)),"")</f>
        <v/>
      </c>
      <c r="AC155" s="39" t="str">
        <f t="array" ref="AC155">IFERROR(INDEX(Bids!$AB:$AB, MATCH(C155&amp;"|"&amp;B155, Bids!$AD:$AD,0)),"")</f>
        <v/>
      </c>
      <c r="AD155" s="39" t="str">
        <f t="array" ref="AD155">IFERROR(INDEX(Bids!$AC:$AC, MATCH(C155&amp;"|"&amp;B155, Bids!$AD:$AD,0)), H155)</f>
        <v/>
      </c>
      <c r="AE155" s="39"/>
      <c r="AG155" s="39"/>
      <c r="AH155" s="39" t="str">
        <f t="shared" si="5"/>
        <v/>
      </c>
      <c r="AI155" s="39" t="str">
        <f t="shared" si="6"/>
        <v/>
      </c>
      <c r="AM155" s="39" t="str">
        <f t="array" ref="AM155">IF(C155="","",IFERROR(XLOOKUP(C155,Orders!$A:$A,Orders!$E:$E,""),""))</f>
        <v/>
      </c>
      <c r="AN155" s="39" t="str">
        <f t="shared" si="7"/>
        <v/>
      </c>
      <c r="AO155" s="39" t="str">
        <f t="shared" si="8"/>
        <v/>
      </c>
      <c r="AP155" s="39" t="str">
        <f t="shared" si="9"/>
        <v/>
      </c>
      <c r="AQ155" s="39" t="str">
        <f t="shared" si="10"/>
        <v/>
      </c>
      <c r="AR155" s="39" t="str">
        <f t="shared" si="11"/>
        <v/>
      </c>
      <c r="AS155" s="39" t="str">
        <f t="shared" si="12"/>
        <v/>
      </c>
      <c r="AT155" s="39" t="str">
        <f t="shared" si="13"/>
        <v/>
      </c>
      <c r="AU155" s="39" t="str">
        <f t="shared" si="14"/>
        <v/>
      </c>
    </row>
    <row r="156" ht="15.75" customHeight="1">
      <c r="A156" s="22"/>
      <c r="B156" s="22"/>
      <c r="C156" s="22"/>
      <c r="D156" s="22"/>
      <c r="E156" s="40"/>
      <c r="F156" s="40" t="str">
        <f>IF($C156="","",VLOOKUP($C156,Orders!$A$4:$J$303,3,FALSE))</f>
        <v/>
      </c>
      <c r="G156" s="40" t="str">
        <f>IF($C156="","",VLOOKUP($C156,Orders!$A$4:$J$303,4,FALSE))</f>
        <v/>
      </c>
      <c r="H156" s="22"/>
      <c r="I156" s="40" t="str">
        <f t="shared" si="1"/>
        <v/>
      </c>
      <c r="J156" s="40" t="str">
        <f t="shared" si="2"/>
        <v/>
      </c>
      <c r="K156" s="40" t="str">
        <f>IF($C156="","",VLOOKUP($C156,Orders!$A$4:$J$303,5,FALSE))</f>
        <v/>
      </c>
      <c r="L156" s="22"/>
      <c r="M156" s="40" t="str">
        <f t="shared" si="3"/>
        <v/>
      </c>
      <c r="N156" s="22"/>
      <c r="O156" s="22"/>
      <c r="P156" s="22" t="str">
        <f t="shared" si="4"/>
        <v/>
      </c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39" t="str">
        <f t="array" ref="AB156">IFERROR(INDEX(Bids!$AA:$AA, MATCH(C156&amp;"|"&amp;B156, Bids!$AD:$AD,0)),"")</f>
        <v/>
      </c>
      <c r="AC156" s="39" t="str">
        <f t="array" ref="AC156">IFERROR(INDEX(Bids!$AB:$AB, MATCH(C156&amp;"|"&amp;B156, Bids!$AD:$AD,0)),"")</f>
        <v/>
      </c>
      <c r="AD156" s="39" t="str">
        <f t="array" ref="AD156">IFERROR(INDEX(Bids!$AC:$AC, MATCH(C156&amp;"|"&amp;B156, Bids!$AD:$AD,0)), H156)</f>
        <v/>
      </c>
      <c r="AE156" s="39"/>
      <c r="AG156" s="39"/>
      <c r="AH156" s="39" t="str">
        <f t="shared" si="5"/>
        <v/>
      </c>
      <c r="AI156" s="39" t="str">
        <f t="shared" si="6"/>
        <v/>
      </c>
      <c r="AM156" s="39" t="str">
        <f t="array" ref="AM156">IF(C156="","",IFERROR(XLOOKUP(C156,Orders!$A:$A,Orders!$E:$E,""),""))</f>
        <v/>
      </c>
      <c r="AN156" s="39" t="str">
        <f t="shared" si="7"/>
        <v/>
      </c>
      <c r="AO156" s="39" t="str">
        <f t="shared" si="8"/>
        <v/>
      </c>
      <c r="AP156" s="39" t="str">
        <f t="shared" si="9"/>
        <v/>
      </c>
      <c r="AQ156" s="39" t="str">
        <f t="shared" si="10"/>
        <v/>
      </c>
      <c r="AR156" s="39" t="str">
        <f t="shared" si="11"/>
        <v/>
      </c>
      <c r="AS156" s="39" t="str">
        <f t="shared" si="12"/>
        <v/>
      </c>
      <c r="AT156" s="39" t="str">
        <f t="shared" si="13"/>
        <v/>
      </c>
      <c r="AU156" s="39" t="str">
        <f t="shared" si="14"/>
        <v/>
      </c>
    </row>
    <row r="157" ht="15.75" customHeight="1">
      <c r="A157" s="22"/>
      <c r="B157" s="22"/>
      <c r="C157" s="22"/>
      <c r="D157" s="22"/>
      <c r="E157" s="40"/>
      <c r="F157" s="40" t="str">
        <f>IF($C157="","",VLOOKUP($C157,Orders!$A$4:$J$303,3,FALSE))</f>
        <v/>
      </c>
      <c r="G157" s="40" t="str">
        <f>IF($C157="","",VLOOKUP($C157,Orders!$A$4:$J$303,4,FALSE))</f>
        <v/>
      </c>
      <c r="H157" s="22"/>
      <c r="I157" s="40" t="str">
        <f t="shared" si="1"/>
        <v/>
      </c>
      <c r="J157" s="40" t="str">
        <f t="shared" si="2"/>
        <v/>
      </c>
      <c r="K157" s="40" t="str">
        <f>IF($C157="","",VLOOKUP($C157,Orders!$A$4:$J$303,5,FALSE))</f>
        <v/>
      </c>
      <c r="L157" s="22"/>
      <c r="M157" s="40" t="str">
        <f t="shared" si="3"/>
        <v/>
      </c>
      <c r="N157" s="22"/>
      <c r="O157" s="22"/>
      <c r="P157" s="22" t="str">
        <f t="shared" si="4"/>
        <v/>
      </c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39" t="str">
        <f t="array" ref="AB157">IFERROR(INDEX(Bids!$AA:$AA, MATCH(C157&amp;"|"&amp;B157, Bids!$AD:$AD,0)),"")</f>
        <v/>
      </c>
      <c r="AC157" s="39" t="str">
        <f t="array" ref="AC157">IFERROR(INDEX(Bids!$AB:$AB, MATCH(C157&amp;"|"&amp;B157, Bids!$AD:$AD,0)),"")</f>
        <v/>
      </c>
      <c r="AD157" s="39" t="str">
        <f t="array" ref="AD157">IFERROR(INDEX(Bids!$AC:$AC, MATCH(C157&amp;"|"&amp;B157, Bids!$AD:$AD,0)), H157)</f>
        <v/>
      </c>
      <c r="AE157" s="39"/>
      <c r="AG157" s="39"/>
      <c r="AH157" s="39" t="str">
        <f t="shared" si="5"/>
        <v/>
      </c>
      <c r="AI157" s="39" t="str">
        <f t="shared" si="6"/>
        <v/>
      </c>
      <c r="AM157" s="39" t="str">
        <f t="array" ref="AM157">IF(C157="","",IFERROR(XLOOKUP(C157,Orders!$A:$A,Orders!$E:$E,""),""))</f>
        <v/>
      </c>
      <c r="AN157" s="39" t="str">
        <f t="shared" si="7"/>
        <v/>
      </c>
      <c r="AO157" s="39" t="str">
        <f t="shared" si="8"/>
        <v/>
      </c>
      <c r="AP157" s="39" t="str">
        <f t="shared" si="9"/>
        <v/>
      </c>
      <c r="AQ157" s="39" t="str">
        <f t="shared" si="10"/>
        <v/>
      </c>
      <c r="AR157" s="39" t="str">
        <f t="shared" si="11"/>
        <v/>
      </c>
      <c r="AS157" s="39" t="str">
        <f t="shared" si="12"/>
        <v/>
      </c>
      <c r="AT157" s="39" t="str">
        <f t="shared" si="13"/>
        <v/>
      </c>
      <c r="AU157" s="39" t="str">
        <f t="shared" si="14"/>
        <v/>
      </c>
    </row>
    <row r="158" ht="15.75" customHeight="1">
      <c r="A158" s="22"/>
      <c r="B158" s="22"/>
      <c r="C158" s="22"/>
      <c r="D158" s="22"/>
      <c r="E158" s="40"/>
      <c r="F158" s="40" t="str">
        <f>IF($C158="","",VLOOKUP($C158,Orders!$A$4:$J$303,3,FALSE))</f>
        <v/>
      </c>
      <c r="G158" s="40" t="str">
        <f>IF($C158="","",VLOOKUP($C158,Orders!$A$4:$J$303,4,FALSE))</f>
        <v/>
      </c>
      <c r="H158" s="22"/>
      <c r="I158" s="40" t="str">
        <f t="shared" si="1"/>
        <v/>
      </c>
      <c r="J158" s="40" t="str">
        <f t="shared" si="2"/>
        <v/>
      </c>
      <c r="K158" s="40" t="str">
        <f>IF($C158="","",VLOOKUP($C158,Orders!$A$4:$J$303,5,FALSE))</f>
        <v/>
      </c>
      <c r="L158" s="22"/>
      <c r="M158" s="40" t="str">
        <f t="shared" si="3"/>
        <v/>
      </c>
      <c r="N158" s="22"/>
      <c r="O158" s="22"/>
      <c r="P158" s="22" t="str">
        <f t="shared" si="4"/>
        <v/>
      </c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39" t="str">
        <f t="array" ref="AB158">IFERROR(INDEX(Bids!$AA:$AA, MATCH(C158&amp;"|"&amp;B158, Bids!$AD:$AD,0)),"")</f>
        <v/>
      </c>
      <c r="AC158" s="39" t="str">
        <f t="array" ref="AC158">IFERROR(INDEX(Bids!$AB:$AB, MATCH(C158&amp;"|"&amp;B158, Bids!$AD:$AD,0)),"")</f>
        <v/>
      </c>
      <c r="AD158" s="39" t="str">
        <f t="array" ref="AD158">IFERROR(INDEX(Bids!$AC:$AC, MATCH(C158&amp;"|"&amp;B158, Bids!$AD:$AD,0)), H158)</f>
        <v/>
      </c>
      <c r="AE158" s="39"/>
      <c r="AG158" s="39"/>
      <c r="AH158" s="39" t="str">
        <f t="shared" si="5"/>
        <v/>
      </c>
      <c r="AI158" s="39" t="str">
        <f t="shared" si="6"/>
        <v/>
      </c>
      <c r="AM158" s="39" t="str">
        <f t="array" ref="AM158">IF(C158="","",IFERROR(XLOOKUP(C158,Orders!$A:$A,Orders!$E:$E,""),""))</f>
        <v/>
      </c>
      <c r="AN158" s="39" t="str">
        <f t="shared" si="7"/>
        <v/>
      </c>
      <c r="AO158" s="39" t="str">
        <f t="shared" si="8"/>
        <v/>
      </c>
      <c r="AP158" s="39" t="str">
        <f t="shared" si="9"/>
        <v/>
      </c>
      <c r="AQ158" s="39" t="str">
        <f t="shared" si="10"/>
        <v/>
      </c>
      <c r="AR158" s="39" t="str">
        <f t="shared" si="11"/>
        <v/>
      </c>
      <c r="AS158" s="39" t="str">
        <f t="shared" si="12"/>
        <v/>
      </c>
      <c r="AT158" s="39" t="str">
        <f t="shared" si="13"/>
        <v/>
      </c>
      <c r="AU158" s="39" t="str">
        <f t="shared" si="14"/>
        <v/>
      </c>
    </row>
    <row r="159" ht="15.75" customHeight="1">
      <c r="A159" s="22"/>
      <c r="B159" s="22"/>
      <c r="C159" s="22"/>
      <c r="D159" s="22"/>
      <c r="E159" s="40"/>
      <c r="F159" s="40" t="str">
        <f>IF($C159="","",VLOOKUP($C159,Orders!$A$4:$J$303,3,FALSE))</f>
        <v/>
      </c>
      <c r="G159" s="40" t="str">
        <f>IF($C159="","",VLOOKUP($C159,Orders!$A$4:$J$303,4,FALSE))</f>
        <v/>
      </c>
      <c r="H159" s="22"/>
      <c r="I159" s="40" t="str">
        <f t="shared" si="1"/>
        <v/>
      </c>
      <c r="J159" s="40" t="str">
        <f t="shared" si="2"/>
        <v/>
      </c>
      <c r="K159" s="40" t="str">
        <f>IF($C159="","",VLOOKUP($C159,Orders!$A$4:$J$303,5,FALSE))</f>
        <v/>
      </c>
      <c r="L159" s="22"/>
      <c r="M159" s="40" t="str">
        <f t="shared" si="3"/>
        <v/>
      </c>
      <c r="N159" s="22"/>
      <c r="O159" s="22"/>
      <c r="P159" s="22" t="str">
        <f t="shared" si="4"/>
        <v/>
      </c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39" t="str">
        <f t="array" ref="AB159">IFERROR(INDEX(Bids!$AA:$AA, MATCH(C159&amp;"|"&amp;B159, Bids!$AD:$AD,0)),"")</f>
        <v/>
      </c>
      <c r="AC159" s="39" t="str">
        <f t="array" ref="AC159">IFERROR(INDEX(Bids!$AB:$AB, MATCH(C159&amp;"|"&amp;B159, Bids!$AD:$AD,0)),"")</f>
        <v/>
      </c>
      <c r="AD159" s="39" t="str">
        <f t="array" ref="AD159">IFERROR(INDEX(Bids!$AC:$AC, MATCH(C159&amp;"|"&amp;B159, Bids!$AD:$AD,0)), H159)</f>
        <v/>
      </c>
      <c r="AE159" s="39"/>
      <c r="AG159" s="39"/>
      <c r="AH159" s="39" t="str">
        <f t="shared" si="5"/>
        <v/>
      </c>
      <c r="AI159" s="39" t="str">
        <f t="shared" si="6"/>
        <v/>
      </c>
      <c r="AM159" s="39" t="str">
        <f t="array" ref="AM159">IF(C159="","",IFERROR(XLOOKUP(C159,Orders!$A:$A,Orders!$E:$E,""),""))</f>
        <v/>
      </c>
      <c r="AN159" s="39" t="str">
        <f t="shared" si="7"/>
        <v/>
      </c>
      <c r="AO159" s="39" t="str">
        <f t="shared" si="8"/>
        <v/>
      </c>
      <c r="AP159" s="39" t="str">
        <f t="shared" si="9"/>
        <v/>
      </c>
      <c r="AQ159" s="39" t="str">
        <f t="shared" si="10"/>
        <v/>
      </c>
      <c r="AR159" s="39" t="str">
        <f t="shared" si="11"/>
        <v/>
      </c>
      <c r="AS159" s="39" t="str">
        <f t="shared" si="12"/>
        <v/>
      </c>
      <c r="AT159" s="39" t="str">
        <f t="shared" si="13"/>
        <v/>
      </c>
      <c r="AU159" s="39" t="str">
        <f t="shared" si="14"/>
        <v/>
      </c>
    </row>
    <row r="160" ht="15.75" customHeight="1">
      <c r="A160" s="22"/>
      <c r="B160" s="22"/>
      <c r="C160" s="22"/>
      <c r="D160" s="22"/>
      <c r="E160" s="40"/>
      <c r="F160" s="40" t="str">
        <f>IF($C160="","",VLOOKUP($C160,Orders!$A$4:$J$303,3,FALSE))</f>
        <v/>
      </c>
      <c r="G160" s="40" t="str">
        <f>IF($C160="","",VLOOKUP($C160,Orders!$A$4:$J$303,4,FALSE))</f>
        <v/>
      </c>
      <c r="H160" s="22"/>
      <c r="I160" s="40" t="str">
        <f t="shared" si="1"/>
        <v/>
      </c>
      <c r="J160" s="40" t="str">
        <f t="shared" si="2"/>
        <v/>
      </c>
      <c r="K160" s="40" t="str">
        <f>IF($C160="","",VLOOKUP($C160,Orders!$A$4:$J$303,5,FALSE))</f>
        <v/>
      </c>
      <c r="L160" s="22"/>
      <c r="M160" s="40" t="str">
        <f t="shared" si="3"/>
        <v/>
      </c>
      <c r="N160" s="22"/>
      <c r="O160" s="22"/>
      <c r="P160" s="22" t="str">
        <f t="shared" si="4"/>
        <v/>
      </c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39" t="str">
        <f t="array" ref="AB160">IFERROR(INDEX(Bids!$AA:$AA, MATCH(C160&amp;"|"&amp;B160, Bids!$AD:$AD,0)),"")</f>
        <v/>
      </c>
      <c r="AC160" s="39" t="str">
        <f t="array" ref="AC160">IFERROR(INDEX(Bids!$AB:$AB, MATCH(C160&amp;"|"&amp;B160, Bids!$AD:$AD,0)),"")</f>
        <v/>
      </c>
      <c r="AD160" s="39" t="str">
        <f t="array" ref="AD160">IFERROR(INDEX(Bids!$AC:$AC, MATCH(C160&amp;"|"&amp;B160, Bids!$AD:$AD,0)), H160)</f>
        <v/>
      </c>
      <c r="AE160" s="39"/>
      <c r="AG160" s="39"/>
      <c r="AH160" s="39" t="str">
        <f t="shared" si="5"/>
        <v/>
      </c>
      <c r="AI160" s="39" t="str">
        <f t="shared" si="6"/>
        <v/>
      </c>
      <c r="AM160" s="39" t="str">
        <f t="array" ref="AM160">IF(C160="","",IFERROR(XLOOKUP(C160,Orders!$A:$A,Orders!$E:$E,""),""))</f>
        <v/>
      </c>
      <c r="AN160" s="39" t="str">
        <f t="shared" si="7"/>
        <v/>
      </c>
      <c r="AO160" s="39" t="str">
        <f t="shared" si="8"/>
        <v/>
      </c>
      <c r="AP160" s="39" t="str">
        <f t="shared" si="9"/>
        <v/>
      </c>
      <c r="AQ160" s="39" t="str">
        <f t="shared" si="10"/>
        <v/>
      </c>
      <c r="AR160" s="39" t="str">
        <f t="shared" si="11"/>
        <v/>
      </c>
      <c r="AS160" s="39" t="str">
        <f t="shared" si="12"/>
        <v/>
      </c>
      <c r="AT160" s="39" t="str">
        <f t="shared" si="13"/>
        <v/>
      </c>
      <c r="AU160" s="39" t="str">
        <f t="shared" si="14"/>
        <v/>
      </c>
    </row>
    <row r="161" ht="15.75" customHeight="1">
      <c r="A161" s="22"/>
      <c r="B161" s="22"/>
      <c r="C161" s="22"/>
      <c r="D161" s="22"/>
      <c r="E161" s="40"/>
      <c r="F161" s="40" t="str">
        <f>IF($C161="","",VLOOKUP($C161,Orders!$A$4:$J$303,3,FALSE))</f>
        <v/>
      </c>
      <c r="G161" s="40" t="str">
        <f>IF($C161="","",VLOOKUP($C161,Orders!$A$4:$J$303,4,FALSE))</f>
        <v/>
      </c>
      <c r="H161" s="22"/>
      <c r="I161" s="40" t="str">
        <f t="shared" si="1"/>
        <v/>
      </c>
      <c r="J161" s="40" t="str">
        <f t="shared" si="2"/>
        <v/>
      </c>
      <c r="K161" s="40" t="str">
        <f>IF($C161="","",VLOOKUP($C161,Orders!$A$4:$J$303,5,FALSE))</f>
        <v/>
      </c>
      <c r="L161" s="22"/>
      <c r="M161" s="40" t="str">
        <f t="shared" si="3"/>
        <v/>
      </c>
      <c r="N161" s="22"/>
      <c r="O161" s="22"/>
      <c r="P161" s="22" t="str">
        <f t="shared" si="4"/>
        <v/>
      </c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39" t="str">
        <f t="array" ref="AB161">IFERROR(INDEX(Bids!$AA:$AA, MATCH(C161&amp;"|"&amp;B161, Bids!$AD:$AD,0)),"")</f>
        <v/>
      </c>
      <c r="AC161" s="39" t="str">
        <f t="array" ref="AC161">IFERROR(INDEX(Bids!$AB:$AB, MATCH(C161&amp;"|"&amp;B161, Bids!$AD:$AD,0)),"")</f>
        <v/>
      </c>
      <c r="AD161" s="39" t="str">
        <f t="array" ref="AD161">IFERROR(INDEX(Bids!$AC:$AC, MATCH(C161&amp;"|"&amp;B161, Bids!$AD:$AD,0)), H161)</f>
        <v/>
      </c>
      <c r="AE161" s="39"/>
      <c r="AG161" s="39"/>
      <c r="AH161" s="39" t="str">
        <f t="shared" si="5"/>
        <v/>
      </c>
      <c r="AI161" s="39" t="str">
        <f t="shared" si="6"/>
        <v/>
      </c>
      <c r="AM161" s="39" t="str">
        <f t="array" ref="AM161">IF(C161="","",IFERROR(XLOOKUP(C161,Orders!$A:$A,Orders!$E:$E,""),""))</f>
        <v/>
      </c>
      <c r="AN161" s="39" t="str">
        <f t="shared" si="7"/>
        <v/>
      </c>
      <c r="AO161" s="39" t="str">
        <f t="shared" si="8"/>
        <v/>
      </c>
      <c r="AP161" s="39" t="str">
        <f t="shared" si="9"/>
        <v/>
      </c>
      <c r="AQ161" s="39" t="str">
        <f t="shared" si="10"/>
        <v/>
      </c>
      <c r="AR161" s="39" t="str">
        <f t="shared" si="11"/>
        <v/>
      </c>
      <c r="AS161" s="39" t="str">
        <f t="shared" si="12"/>
        <v/>
      </c>
      <c r="AT161" s="39" t="str">
        <f t="shared" si="13"/>
        <v/>
      </c>
      <c r="AU161" s="39" t="str">
        <f t="shared" si="14"/>
        <v/>
      </c>
    </row>
    <row r="162" ht="15.75" customHeight="1">
      <c r="A162" s="22"/>
      <c r="B162" s="22"/>
      <c r="C162" s="22"/>
      <c r="D162" s="22"/>
      <c r="E162" s="40"/>
      <c r="F162" s="40" t="str">
        <f>IF($C162="","",VLOOKUP($C162,Orders!$A$4:$J$303,3,FALSE))</f>
        <v/>
      </c>
      <c r="G162" s="40" t="str">
        <f>IF($C162="","",VLOOKUP($C162,Orders!$A$4:$J$303,4,FALSE))</f>
        <v/>
      </c>
      <c r="H162" s="22"/>
      <c r="I162" s="40" t="str">
        <f t="shared" si="1"/>
        <v/>
      </c>
      <c r="J162" s="40" t="str">
        <f t="shared" si="2"/>
        <v/>
      </c>
      <c r="K162" s="40" t="str">
        <f>IF($C162="","",VLOOKUP($C162,Orders!$A$4:$J$303,5,FALSE))</f>
        <v/>
      </c>
      <c r="L162" s="22"/>
      <c r="M162" s="40" t="str">
        <f t="shared" si="3"/>
        <v/>
      </c>
      <c r="N162" s="22"/>
      <c r="O162" s="22"/>
      <c r="P162" s="22" t="str">
        <f t="shared" si="4"/>
        <v/>
      </c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39" t="str">
        <f t="array" ref="AB162">IFERROR(INDEX(Bids!$AA:$AA, MATCH(C162&amp;"|"&amp;B162, Bids!$AD:$AD,0)),"")</f>
        <v/>
      </c>
      <c r="AC162" s="39" t="str">
        <f t="array" ref="AC162">IFERROR(INDEX(Bids!$AB:$AB, MATCH(C162&amp;"|"&amp;B162, Bids!$AD:$AD,0)),"")</f>
        <v/>
      </c>
      <c r="AD162" s="39" t="str">
        <f t="array" ref="AD162">IFERROR(INDEX(Bids!$AC:$AC, MATCH(C162&amp;"|"&amp;B162, Bids!$AD:$AD,0)), H162)</f>
        <v/>
      </c>
      <c r="AE162" s="39"/>
      <c r="AG162" s="39"/>
      <c r="AH162" s="39" t="str">
        <f t="shared" si="5"/>
        <v/>
      </c>
      <c r="AI162" s="39" t="str">
        <f t="shared" si="6"/>
        <v/>
      </c>
      <c r="AM162" s="39" t="str">
        <f t="array" ref="AM162">IF(C162="","",IFERROR(XLOOKUP(C162,Orders!$A:$A,Orders!$E:$E,""),""))</f>
        <v/>
      </c>
      <c r="AN162" s="39" t="str">
        <f t="shared" si="7"/>
        <v/>
      </c>
      <c r="AO162" s="39" t="str">
        <f t="shared" si="8"/>
        <v/>
      </c>
      <c r="AP162" s="39" t="str">
        <f t="shared" si="9"/>
        <v/>
      </c>
      <c r="AQ162" s="39" t="str">
        <f t="shared" si="10"/>
        <v/>
      </c>
      <c r="AR162" s="39" t="str">
        <f t="shared" si="11"/>
        <v/>
      </c>
      <c r="AS162" s="39" t="str">
        <f t="shared" si="12"/>
        <v/>
      </c>
      <c r="AT162" s="39" t="str">
        <f t="shared" si="13"/>
        <v/>
      </c>
      <c r="AU162" s="39" t="str">
        <f t="shared" si="14"/>
        <v/>
      </c>
    </row>
    <row r="163" ht="15.75" customHeight="1">
      <c r="A163" s="22"/>
      <c r="B163" s="22"/>
      <c r="C163" s="22"/>
      <c r="D163" s="22"/>
      <c r="E163" s="40"/>
      <c r="F163" s="40" t="str">
        <f>IF($C163="","",VLOOKUP($C163,Orders!$A$4:$J$303,3,FALSE))</f>
        <v/>
      </c>
      <c r="G163" s="40" t="str">
        <f>IF($C163="","",VLOOKUP($C163,Orders!$A$4:$J$303,4,FALSE))</f>
        <v/>
      </c>
      <c r="H163" s="22"/>
      <c r="I163" s="40" t="str">
        <f t="shared" si="1"/>
        <v/>
      </c>
      <c r="J163" s="40" t="str">
        <f t="shared" si="2"/>
        <v/>
      </c>
      <c r="K163" s="40" t="str">
        <f>IF($C163="","",VLOOKUP($C163,Orders!$A$4:$J$303,5,FALSE))</f>
        <v/>
      </c>
      <c r="L163" s="22"/>
      <c r="M163" s="40" t="str">
        <f t="shared" si="3"/>
        <v/>
      </c>
      <c r="N163" s="22"/>
      <c r="O163" s="22"/>
      <c r="P163" s="22" t="str">
        <f t="shared" si="4"/>
        <v/>
      </c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39" t="str">
        <f t="array" ref="AB163">IFERROR(INDEX(Bids!$AA:$AA, MATCH(C163&amp;"|"&amp;B163, Bids!$AD:$AD,0)),"")</f>
        <v/>
      </c>
      <c r="AC163" s="39" t="str">
        <f t="array" ref="AC163">IFERROR(INDEX(Bids!$AB:$AB, MATCH(C163&amp;"|"&amp;B163, Bids!$AD:$AD,0)),"")</f>
        <v/>
      </c>
      <c r="AD163" s="39" t="str">
        <f t="array" ref="AD163">IFERROR(INDEX(Bids!$AC:$AC, MATCH(C163&amp;"|"&amp;B163, Bids!$AD:$AD,0)), H163)</f>
        <v/>
      </c>
      <c r="AE163" s="39"/>
      <c r="AG163" s="39"/>
      <c r="AH163" s="39" t="str">
        <f t="shared" si="5"/>
        <v/>
      </c>
      <c r="AI163" s="39" t="str">
        <f t="shared" si="6"/>
        <v/>
      </c>
      <c r="AM163" s="39" t="str">
        <f t="array" ref="AM163">IF(C163="","",IFERROR(XLOOKUP(C163,Orders!$A:$A,Orders!$E:$E,""),""))</f>
        <v/>
      </c>
      <c r="AN163" s="39" t="str">
        <f t="shared" si="7"/>
        <v/>
      </c>
      <c r="AO163" s="39" t="str">
        <f t="shared" si="8"/>
        <v/>
      </c>
      <c r="AP163" s="39" t="str">
        <f t="shared" si="9"/>
        <v/>
      </c>
      <c r="AQ163" s="39" t="str">
        <f t="shared" si="10"/>
        <v/>
      </c>
      <c r="AR163" s="39" t="str">
        <f t="shared" si="11"/>
        <v/>
      </c>
      <c r="AS163" s="39" t="str">
        <f t="shared" si="12"/>
        <v/>
      </c>
      <c r="AT163" s="39" t="str">
        <f t="shared" si="13"/>
        <v/>
      </c>
      <c r="AU163" s="39" t="str">
        <f t="shared" si="14"/>
        <v/>
      </c>
    </row>
    <row r="164" ht="15.75" customHeight="1">
      <c r="A164" s="22"/>
      <c r="B164" s="22"/>
      <c r="C164" s="22"/>
      <c r="D164" s="22"/>
      <c r="E164" s="40"/>
      <c r="F164" s="40" t="str">
        <f>IF($C164="","",VLOOKUP($C164,Orders!$A$4:$J$303,3,FALSE))</f>
        <v/>
      </c>
      <c r="G164" s="40" t="str">
        <f>IF($C164="","",VLOOKUP($C164,Orders!$A$4:$J$303,4,FALSE))</f>
        <v/>
      </c>
      <c r="H164" s="22"/>
      <c r="I164" s="40" t="str">
        <f t="shared" si="1"/>
        <v/>
      </c>
      <c r="J164" s="40" t="str">
        <f t="shared" si="2"/>
        <v/>
      </c>
      <c r="K164" s="40" t="str">
        <f>IF($C164="","",VLOOKUP($C164,Orders!$A$4:$J$303,5,FALSE))</f>
        <v/>
      </c>
      <c r="L164" s="22"/>
      <c r="M164" s="40" t="str">
        <f t="shared" si="3"/>
        <v/>
      </c>
      <c r="N164" s="22"/>
      <c r="O164" s="22"/>
      <c r="P164" s="22" t="str">
        <f t="shared" si="4"/>
        <v/>
      </c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39" t="str">
        <f t="array" ref="AB164">IFERROR(INDEX(Bids!$AA:$AA, MATCH(C164&amp;"|"&amp;B164, Bids!$AD:$AD,0)),"")</f>
        <v/>
      </c>
      <c r="AC164" s="39" t="str">
        <f t="array" ref="AC164">IFERROR(INDEX(Bids!$AB:$AB, MATCH(C164&amp;"|"&amp;B164, Bids!$AD:$AD,0)),"")</f>
        <v/>
      </c>
      <c r="AD164" s="39" t="str">
        <f t="array" ref="AD164">IFERROR(INDEX(Bids!$AC:$AC, MATCH(C164&amp;"|"&amp;B164, Bids!$AD:$AD,0)), H164)</f>
        <v/>
      </c>
      <c r="AE164" s="39"/>
      <c r="AG164" s="39"/>
      <c r="AH164" s="39" t="str">
        <f t="shared" si="5"/>
        <v/>
      </c>
      <c r="AI164" s="39" t="str">
        <f t="shared" si="6"/>
        <v/>
      </c>
      <c r="AM164" s="39" t="str">
        <f t="array" ref="AM164">IF(C164="","",IFERROR(XLOOKUP(C164,Orders!$A:$A,Orders!$E:$E,""),""))</f>
        <v/>
      </c>
      <c r="AN164" s="39" t="str">
        <f t="shared" si="7"/>
        <v/>
      </c>
      <c r="AO164" s="39" t="str">
        <f t="shared" si="8"/>
        <v/>
      </c>
      <c r="AP164" s="39" t="str">
        <f t="shared" si="9"/>
        <v/>
      </c>
      <c r="AQ164" s="39" t="str">
        <f t="shared" si="10"/>
        <v/>
      </c>
      <c r="AR164" s="39" t="str">
        <f t="shared" si="11"/>
        <v/>
      </c>
      <c r="AS164" s="39" t="str">
        <f t="shared" si="12"/>
        <v/>
      </c>
      <c r="AT164" s="39" t="str">
        <f t="shared" si="13"/>
        <v/>
      </c>
      <c r="AU164" s="39" t="str">
        <f t="shared" si="14"/>
        <v/>
      </c>
    </row>
    <row r="165" ht="15.75" customHeight="1">
      <c r="A165" s="22"/>
      <c r="B165" s="22"/>
      <c r="C165" s="22"/>
      <c r="D165" s="22"/>
      <c r="E165" s="40"/>
      <c r="F165" s="40" t="str">
        <f>IF($C165="","",VLOOKUP($C165,Orders!$A$4:$J$303,3,FALSE))</f>
        <v/>
      </c>
      <c r="G165" s="40" t="str">
        <f>IF($C165="","",VLOOKUP($C165,Orders!$A$4:$J$303,4,FALSE))</f>
        <v/>
      </c>
      <c r="H165" s="22"/>
      <c r="I165" s="40" t="str">
        <f t="shared" si="1"/>
        <v/>
      </c>
      <c r="J165" s="40" t="str">
        <f t="shared" si="2"/>
        <v/>
      </c>
      <c r="K165" s="40" t="str">
        <f>IF($C165="","",VLOOKUP($C165,Orders!$A$4:$J$303,5,FALSE))</f>
        <v/>
      </c>
      <c r="L165" s="22"/>
      <c r="M165" s="40" t="str">
        <f t="shared" si="3"/>
        <v/>
      </c>
      <c r="N165" s="22"/>
      <c r="O165" s="22"/>
      <c r="P165" s="22" t="str">
        <f t="shared" si="4"/>
        <v/>
      </c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39" t="str">
        <f t="array" ref="AB165">IFERROR(INDEX(Bids!$AA:$AA, MATCH(C165&amp;"|"&amp;B165, Bids!$AD:$AD,0)),"")</f>
        <v/>
      </c>
      <c r="AC165" s="39" t="str">
        <f t="array" ref="AC165">IFERROR(INDEX(Bids!$AB:$AB, MATCH(C165&amp;"|"&amp;B165, Bids!$AD:$AD,0)),"")</f>
        <v/>
      </c>
      <c r="AD165" s="39" t="str">
        <f t="array" ref="AD165">IFERROR(INDEX(Bids!$AC:$AC, MATCH(C165&amp;"|"&amp;B165, Bids!$AD:$AD,0)), H165)</f>
        <v/>
      </c>
      <c r="AE165" s="39"/>
      <c r="AG165" s="39"/>
      <c r="AH165" s="39" t="str">
        <f t="shared" si="5"/>
        <v/>
      </c>
      <c r="AI165" s="39" t="str">
        <f t="shared" si="6"/>
        <v/>
      </c>
      <c r="AM165" s="39" t="str">
        <f t="array" ref="AM165">IF(C165="","",IFERROR(XLOOKUP(C165,Orders!$A:$A,Orders!$E:$E,""),""))</f>
        <v/>
      </c>
      <c r="AN165" s="39" t="str">
        <f t="shared" si="7"/>
        <v/>
      </c>
      <c r="AO165" s="39" t="str">
        <f t="shared" si="8"/>
        <v/>
      </c>
      <c r="AP165" s="39" t="str">
        <f t="shared" si="9"/>
        <v/>
      </c>
      <c r="AQ165" s="39" t="str">
        <f t="shared" si="10"/>
        <v/>
      </c>
      <c r="AR165" s="39" t="str">
        <f t="shared" si="11"/>
        <v/>
      </c>
      <c r="AS165" s="39" t="str">
        <f t="shared" si="12"/>
        <v/>
      </c>
      <c r="AT165" s="39" t="str">
        <f t="shared" si="13"/>
        <v/>
      </c>
      <c r="AU165" s="39" t="str">
        <f t="shared" si="14"/>
        <v/>
      </c>
    </row>
    <row r="166" ht="15.75" customHeight="1">
      <c r="A166" s="22"/>
      <c r="B166" s="22"/>
      <c r="C166" s="22"/>
      <c r="D166" s="22"/>
      <c r="E166" s="40"/>
      <c r="F166" s="40" t="str">
        <f>IF($C166="","",VLOOKUP($C166,Orders!$A$4:$J$303,3,FALSE))</f>
        <v/>
      </c>
      <c r="G166" s="40" t="str">
        <f>IF($C166="","",VLOOKUP($C166,Orders!$A$4:$J$303,4,FALSE))</f>
        <v/>
      </c>
      <c r="H166" s="22"/>
      <c r="I166" s="40" t="str">
        <f t="shared" si="1"/>
        <v/>
      </c>
      <c r="J166" s="40" t="str">
        <f t="shared" si="2"/>
        <v/>
      </c>
      <c r="K166" s="40" t="str">
        <f>IF($C166="","",VLOOKUP($C166,Orders!$A$4:$J$303,5,FALSE))</f>
        <v/>
      </c>
      <c r="L166" s="22"/>
      <c r="M166" s="40" t="str">
        <f t="shared" si="3"/>
        <v/>
      </c>
      <c r="N166" s="22"/>
      <c r="O166" s="22"/>
      <c r="P166" s="22" t="str">
        <f t="shared" si="4"/>
        <v/>
      </c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39" t="str">
        <f t="array" ref="AB166">IFERROR(INDEX(Bids!$AA:$AA, MATCH(C166&amp;"|"&amp;B166, Bids!$AD:$AD,0)),"")</f>
        <v/>
      </c>
      <c r="AC166" s="39" t="str">
        <f t="array" ref="AC166">IFERROR(INDEX(Bids!$AB:$AB, MATCH(C166&amp;"|"&amp;B166, Bids!$AD:$AD,0)),"")</f>
        <v/>
      </c>
      <c r="AD166" s="39" t="str">
        <f t="array" ref="AD166">IFERROR(INDEX(Bids!$AC:$AC, MATCH(C166&amp;"|"&amp;B166, Bids!$AD:$AD,0)), H166)</f>
        <v/>
      </c>
      <c r="AE166" s="39"/>
      <c r="AG166" s="39"/>
      <c r="AH166" s="39" t="str">
        <f t="shared" si="5"/>
        <v/>
      </c>
      <c r="AI166" s="39" t="str">
        <f t="shared" si="6"/>
        <v/>
      </c>
      <c r="AM166" s="39" t="str">
        <f t="array" ref="AM166">IF(C166="","",IFERROR(XLOOKUP(C166,Orders!$A:$A,Orders!$E:$E,""),""))</f>
        <v/>
      </c>
      <c r="AN166" s="39" t="str">
        <f t="shared" si="7"/>
        <v/>
      </c>
      <c r="AO166" s="39" t="str">
        <f t="shared" si="8"/>
        <v/>
      </c>
      <c r="AP166" s="39" t="str">
        <f t="shared" si="9"/>
        <v/>
      </c>
      <c r="AQ166" s="39" t="str">
        <f t="shared" si="10"/>
        <v/>
      </c>
      <c r="AR166" s="39" t="str">
        <f t="shared" si="11"/>
        <v/>
      </c>
      <c r="AS166" s="39" t="str">
        <f t="shared" si="12"/>
        <v/>
      </c>
      <c r="AT166" s="39" t="str">
        <f t="shared" si="13"/>
        <v/>
      </c>
      <c r="AU166" s="39" t="str">
        <f t="shared" si="14"/>
        <v/>
      </c>
    </row>
    <row r="167" ht="15.75" customHeight="1">
      <c r="A167" s="22"/>
      <c r="B167" s="22"/>
      <c r="C167" s="22"/>
      <c r="D167" s="22"/>
      <c r="E167" s="40"/>
      <c r="F167" s="40" t="str">
        <f>IF($C167="","",VLOOKUP($C167,Orders!$A$4:$J$303,3,FALSE))</f>
        <v/>
      </c>
      <c r="G167" s="40" t="str">
        <f>IF($C167="","",VLOOKUP($C167,Orders!$A$4:$J$303,4,FALSE))</f>
        <v/>
      </c>
      <c r="H167" s="22"/>
      <c r="I167" s="40" t="str">
        <f t="shared" si="1"/>
        <v/>
      </c>
      <c r="J167" s="40" t="str">
        <f t="shared" si="2"/>
        <v/>
      </c>
      <c r="K167" s="40" t="str">
        <f>IF($C167="","",VLOOKUP($C167,Orders!$A$4:$J$303,5,FALSE))</f>
        <v/>
      </c>
      <c r="L167" s="22"/>
      <c r="M167" s="40" t="str">
        <f t="shared" si="3"/>
        <v/>
      </c>
      <c r="N167" s="22"/>
      <c r="O167" s="22"/>
      <c r="P167" s="22" t="str">
        <f t="shared" si="4"/>
        <v/>
      </c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39" t="str">
        <f t="array" ref="AB167">IFERROR(INDEX(Bids!$AA:$AA, MATCH(C167&amp;"|"&amp;B167, Bids!$AD:$AD,0)),"")</f>
        <v/>
      </c>
      <c r="AC167" s="39" t="str">
        <f t="array" ref="AC167">IFERROR(INDEX(Bids!$AB:$AB, MATCH(C167&amp;"|"&amp;B167, Bids!$AD:$AD,0)),"")</f>
        <v/>
      </c>
      <c r="AD167" s="39" t="str">
        <f t="array" ref="AD167">IFERROR(INDEX(Bids!$AC:$AC, MATCH(C167&amp;"|"&amp;B167, Bids!$AD:$AD,0)), H167)</f>
        <v/>
      </c>
      <c r="AE167" s="39"/>
      <c r="AG167" s="39"/>
      <c r="AH167" s="39" t="str">
        <f t="shared" si="5"/>
        <v/>
      </c>
      <c r="AI167" s="39" t="str">
        <f t="shared" si="6"/>
        <v/>
      </c>
      <c r="AM167" s="39" t="str">
        <f t="array" ref="AM167">IF(C167="","",IFERROR(XLOOKUP(C167,Orders!$A:$A,Orders!$E:$E,""),""))</f>
        <v/>
      </c>
      <c r="AN167" s="39" t="str">
        <f t="shared" si="7"/>
        <v/>
      </c>
      <c r="AO167" s="39" t="str">
        <f t="shared" si="8"/>
        <v/>
      </c>
      <c r="AP167" s="39" t="str">
        <f t="shared" si="9"/>
        <v/>
      </c>
      <c r="AQ167" s="39" t="str">
        <f t="shared" si="10"/>
        <v/>
      </c>
      <c r="AR167" s="39" t="str">
        <f t="shared" si="11"/>
        <v/>
      </c>
      <c r="AS167" s="39" t="str">
        <f t="shared" si="12"/>
        <v/>
      </c>
      <c r="AT167" s="39" t="str">
        <f t="shared" si="13"/>
        <v/>
      </c>
      <c r="AU167" s="39" t="str">
        <f t="shared" si="14"/>
        <v/>
      </c>
    </row>
    <row r="168" ht="15.75" customHeight="1">
      <c r="A168" s="22"/>
      <c r="B168" s="22"/>
      <c r="C168" s="22"/>
      <c r="D168" s="22"/>
      <c r="E168" s="40"/>
      <c r="F168" s="40" t="str">
        <f>IF($C168="","",VLOOKUP($C168,Orders!$A$4:$J$303,3,FALSE))</f>
        <v/>
      </c>
      <c r="G168" s="40" t="str">
        <f>IF($C168="","",VLOOKUP($C168,Orders!$A$4:$J$303,4,FALSE))</f>
        <v/>
      </c>
      <c r="H168" s="22"/>
      <c r="I168" s="40" t="str">
        <f t="shared" si="1"/>
        <v/>
      </c>
      <c r="J168" s="40" t="str">
        <f t="shared" si="2"/>
        <v/>
      </c>
      <c r="K168" s="40" t="str">
        <f>IF($C168="","",VLOOKUP($C168,Orders!$A$4:$J$303,5,FALSE))</f>
        <v/>
      </c>
      <c r="L168" s="22"/>
      <c r="M168" s="40" t="str">
        <f t="shared" si="3"/>
        <v/>
      </c>
      <c r="N168" s="22"/>
      <c r="O168" s="22"/>
      <c r="P168" s="22" t="str">
        <f t="shared" si="4"/>
        <v/>
      </c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39" t="str">
        <f t="array" ref="AB168">IFERROR(INDEX(Bids!$AA:$AA, MATCH(C168&amp;"|"&amp;B168, Bids!$AD:$AD,0)),"")</f>
        <v/>
      </c>
      <c r="AC168" s="39" t="str">
        <f t="array" ref="AC168">IFERROR(INDEX(Bids!$AB:$AB, MATCH(C168&amp;"|"&amp;B168, Bids!$AD:$AD,0)),"")</f>
        <v/>
      </c>
      <c r="AD168" s="39" t="str">
        <f t="array" ref="AD168">IFERROR(INDEX(Bids!$AC:$AC, MATCH(C168&amp;"|"&amp;B168, Bids!$AD:$AD,0)), H168)</f>
        <v/>
      </c>
      <c r="AE168" s="39"/>
      <c r="AG168" s="39"/>
      <c r="AH168" s="39" t="str">
        <f t="shared" si="5"/>
        <v/>
      </c>
      <c r="AI168" s="39" t="str">
        <f t="shared" si="6"/>
        <v/>
      </c>
      <c r="AM168" s="39" t="str">
        <f t="array" ref="AM168">IF(C168="","",IFERROR(XLOOKUP(C168,Orders!$A:$A,Orders!$E:$E,""),""))</f>
        <v/>
      </c>
      <c r="AN168" s="39" t="str">
        <f t="shared" si="7"/>
        <v/>
      </c>
      <c r="AO168" s="39" t="str">
        <f t="shared" si="8"/>
        <v/>
      </c>
      <c r="AP168" s="39" t="str">
        <f t="shared" si="9"/>
        <v/>
      </c>
      <c r="AQ168" s="39" t="str">
        <f t="shared" si="10"/>
        <v/>
      </c>
      <c r="AR168" s="39" t="str">
        <f t="shared" si="11"/>
        <v/>
      </c>
      <c r="AS168" s="39" t="str">
        <f t="shared" si="12"/>
        <v/>
      </c>
      <c r="AT168" s="39" t="str">
        <f t="shared" si="13"/>
        <v/>
      </c>
      <c r="AU168" s="39" t="str">
        <f t="shared" si="14"/>
        <v/>
      </c>
    </row>
    <row r="169" ht="15.75" customHeight="1">
      <c r="A169" s="22"/>
      <c r="B169" s="22"/>
      <c r="C169" s="22"/>
      <c r="D169" s="22"/>
      <c r="E169" s="40"/>
      <c r="F169" s="40" t="str">
        <f>IF($C169="","",VLOOKUP($C169,Orders!$A$4:$J$303,3,FALSE))</f>
        <v/>
      </c>
      <c r="G169" s="40" t="str">
        <f>IF($C169="","",VLOOKUP($C169,Orders!$A$4:$J$303,4,FALSE))</f>
        <v/>
      </c>
      <c r="H169" s="22"/>
      <c r="I169" s="40" t="str">
        <f t="shared" si="1"/>
        <v/>
      </c>
      <c r="J169" s="40" t="str">
        <f t="shared" si="2"/>
        <v/>
      </c>
      <c r="K169" s="40" t="str">
        <f>IF($C169="","",VLOOKUP($C169,Orders!$A$4:$J$303,5,FALSE))</f>
        <v/>
      </c>
      <c r="L169" s="22"/>
      <c r="M169" s="40" t="str">
        <f t="shared" si="3"/>
        <v/>
      </c>
      <c r="N169" s="22"/>
      <c r="O169" s="22"/>
      <c r="P169" s="22" t="str">
        <f t="shared" si="4"/>
        <v/>
      </c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39" t="str">
        <f t="array" ref="AB169">IFERROR(INDEX(Bids!$AA:$AA, MATCH(C169&amp;"|"&amp;B169, Bids!$AD:$AD,0)),"")</f>
        <v/>
      </c>
      <c r="AC169" s="39" t="str">
        <f t="array" ref="AC169">IFERROR(INDEX(Bids!$AB:$AB, MATCH(C169&amp;"|"&amp;B169, Bids!$AD:$AD,0)),"")</f>
        <v/>
      </c>
      <c r="AD169" s="39" t="str">
        <f t="array" ref="AD169">IFERROR(INDEX(Bids!$AC:$AC, MATCH(C169&amp;"|"&amp;B169, Bids!$AD:$AD,0)), H169)</f>
        <v/>
      </c>
      <c r="AE169" s="39"/>
      <c r="AG169" s="39"/>
      <c r="AH169" s="39" t="str">
        <f t="shared" si="5"/>
        <v/>
      </c>
      <c r="AI169" s="39" t="str">
        <f t="shared" si="6"/>
        <v/>
      </c>
      <c r="AM169" s="39" t="str">
        <f t="array" ref="AM169">IF(C169="","",IFERROR(XLOOKUP(C169,Orders!$A:$A,Orders!$E:$E,""),""))</f>
        <v/>
      </c>
      <c r="AN169" s="39" t="str">
        <f t="shared" si="7"/>
        <v/>
      </c>
      <c r="AO169" s="39" t="str">
        <f t="shared" si="8"/>
        <v/>
      </c>
      <c r="AP169" s="39" t="str">
        <f t="shared" si="9"/>
        <v/>
      </c>
      <c r="AQ169" s="39" t="str">
        <f t="shared" si="10"/>
        <v/>
      </c>
      <c r="AR169" s="39" t="str">
        <f t="shared" si="11"/>
        <v/>
      </c>
      <c r="AS169" s="39" t="str">
        <f t="shared" si="12"/>
        <v/>
      </c>
      <c r="AT169" s="39" t="str">
        <f t="shared" si="13"/>
        <v/>
      </c>
      <c r="AU169" s="39" t="str">
        <f t="shared" si="14"/>
        <v/>
      </c>
    </row>
    <row r="170" ht="15.75" customHeight="1">
      <c r="A170" s="22"/>
      <c r="B170" s="22"/>
      <c r="C170" s="22"/>
      <c r="D170" s="22"/>
      <c r="E170" s="40"/>
      <c r="F170" s="40" t="str">
        <f>IF($C170="","",VLOOKUP($C170,Orders!$A$4:$J$303,3,FALSE))</f>
        <v/>
      </c>
      <c r="G170" s="40" t="str">
        <f>IF($C170="","",VLOOKUP($C170,Orders!$A$4:$J$303,4,FALSE))</f>
        <v/>
      </c>
      <c r="H170" s="22"/>
      <c r="I170" s="40" t="str">
        <f t="shared" si="1"/>
        <v/>
      </c>
      <c r="J170" s="40" t="str">
        <f t="shared" si="2"/>
        <v/>
      </c>
      <c r="K170" s="40" t="str">
        <f>IF($C170="","",VLOOKUP($C170,Orders!$A$4:$J$303,5,FALSE))</f>
        <v/>
      </c>
      <c r="L170" s="22"/>
      <c r="M170" s="40" t="str">
        <f t="shared" si="3"/>
        <v/>
      </c>
      <c r="N170" s="22"/>
      <c r="O170" s="22"/>
      <c r="P170" s="22" t="str">
        <f t="shared" si="4"/>
        <v/>
      </c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39" t="str">
        <f t="array" ref="AB170">IFERROR(INDEX(Bids!$AA:$AA, MATCH(C170&amp;"|"&amp;B170, Bids!$AD:$AD,0)),"")</f>
        <v/>
      </c>
      <c r="AC170" s="39" t="str">
        <f t="array" ref="AC170">IFERROR(INDEX(Bids!$AB:$AB, MATCH(C170&amp;"|"&amp;B170, Bids!$AD:$AD,0)),"")</f>
        <v/>
      </c>
      <c r="AD170" s="39" t="str">
        <f t="array" ref="AD170">IFERROR(INDEX(Bids!$AC:$AC, MATCH(C170&amp;"|"&amp;B170, Bids!$AD:$AD,0)), H170)</f>
        <v/>
      </c>
      <c r="AE170" s="39"/>
      <c r="AG170" s="39"/>
      <c r="AH170" s="39" t="str">
        <f t="shared" si="5"/>
        <v/>
      </c>
      <c r="AI170" s="39" t="str">
        <f t="shared" si="6"/>
        <v/>
      </c>
      <c r="AM170" s="39" t="str">
        <f t="array" ref="AM170">IF(C170="","",IFERROR(XLOOKUP(C170,Orders!$A:$A,Orders!$E:$E,""),""))</f>
        <v/>
      </c>
      <c r="AN170" s="39" t="str">
        <f t="shared" si="7"/>
        <v/>
      </c>
      <c r="AO170" s="39" t="str">
        <f t="shared" si="8"/>
        <v/>
      </c>
      <c r="AP170" s="39" t="str">
        <f t="shared" si="9"/>
        <v/>
      </c>
      <c r="AQ170" s="39" t="str">
        <f t="shared" si="10"/>
        <v/>
      </c>
      <c r="AR170" s="39" t="str">
        <f t="shared" si="11"/>
        <v/>
      </c>
      <c r="AS170" s="39" t="str">
        <f t="shared" si="12"/>
        <v/>
      </c>
      <c r="AT170" s="39" t="str">
        <f t="shared" si="13"/>
        <v/>
      </c>
      <c r="AU170" s="39" t="str">
        <f t="shared" si="14"/>
        <v/>
      </c>
    </row>
    <row r="171" ht="15.75" customHeight="1">
      <c r="A171" s="22"/>
      <c r="B171" s="22"/>
      <c r="C171" s="22"/>
      <c r="D171" s="22"/>
      <c r="E171" s="40"/>
      <c r="F171" s="40" t="str">
        <f>IF($C171="","",VLOOKUP($C171,Orders!$A$4:$J$303,3,FALSE))</f>
        <v/>
      </c>
      <c r="G171" s="40" t="str">
        <f>IF($C171="","",VLOOKUP($C171,Orders!$A$4:$J$303,4,FALSE))</f>
        <v/>
      </c>
      <c r="H171" s="22"/>
      <c r="I171" s="40" t="str">
        <f t="shared" si="1"/>
        <v/>
      </c>
      <c r="J171" s="40" t="str">
        <f t="shared" si="2"/>
        <v/>
      </c>
      <c r="K171" s="40" t="str">
        <f>IF($C171="","",VLOOKUP($C171,Orders!$A$4:$J$303,5,FALSE))</f>
        <v/>
      </c>
      <c r="L171" s="22"/>
      <c r="M171" s="40" t="str">
        <f t="shared" si="3"/>
        <v/>
      </c>
      <c r="N171" s="22"/>
      <c r="O171" s="22"/>
      <c r="P171" s="22" t="str">
        <f t="shared" si="4"/>
        <v/>
      </c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39" t="str">
        <f t="array" ref="AB171">IFERROR(INDEX(Bids!$AA:$AA, MATCH(C171&amp;"|"&amp;B171, Bids!$AD:$AD,0)),"")</f>
        <v/>
      </c>
      <c r="AC171" s="39" t="str">
        <f t="array" ref="AC171">IFERROR(INDEX(Bids!$AB:$AB, MATCH(C171&amp;"|"&amp;B171, Bids!$AD:$AD,0)),"")</f>
        <v/>
      </c>
      <c r="AD171" s="39" t="str">
        <f t="array" ref="AD171">IFERROR(INDEX(Bids!$AC:$AC, MATCH(C171&amp;"|"&amp;B171, Bids!$AD:$AD,0)), H171)</f>
        <v/>
      </c>
      <c r="AE171" s="39"/>
      <c r="AG171" s="39"/>
      <c r="AH171" s="39" t="str">
        <f t="shared" si="5"/>
        <v/>
      </c>
      <c r="AI171" s="39" t="str">
        <f t="shared" si="6"/>
        <v/>
      </c>
      <c r="AM171" s="39" t="str">
        <f t="array" ref="AM171">IF(C171="","",IFERROR(XLOOKUP(C171,Orders!$A:$A,Orders!$E:$E,""),""))</f>
        <v/>
      </c>
      <c r="AN171" s="39" t="str">
        <f t="shared" si="7"/>
        <v/>
      </c>
      <c r="AO171" s="39" t="str">
        <f t="shared" si="8"/>
        <v/>
      </c>
      <c r="AP171" s="39" t="str">
        <f t="shared" si="9"/>
        <v/>
      </c>
      <c r="AQ171" s="39" t="str">
        <f t="shared" si="10"/>
        <v/>
      </c>
      <c r="AR171" s="39" t="str">
        <f t="shared" si="11"/>
        <v/>
      </c>
      <c r="AS171" s="39" t="str">
        <f t="shared" si="12"/>
        <v/>
      </c>
      <c r="AT171" s="39" t="str">
        <f t="shared" si="13"/>
        <v/>
      </c>
      <c r="AU171" s="39" t="str">
        <f t="shared" si="14"/>
        <v/>
      </c>
    </row>
    <row r="172" ht="15.75" customHeight="1">
      <c r="A172" s="22"/>
      <c r="B172" s="22"/>
      <c r="C172" s="22"/>
      <c r="D172" s="22"/>
      <c r="E172" s="40"/>
      <c r="F172" s="40" t="str">
        <f>IF($C172="","",VLOOKUP($C172,Orders!$A$4:$J$303,3,FALSE))</f>
        <v/>
      </c>
      <c r="G172" s="40" t="str">
        <f>IF($C172="","",VLOOKUP($C172,Orders!$A$4:$J$303,4,FALSE))</f>
        <v/>
      </c>
      <c r="H172" s="22"/>
      <c r="I172" s="40" t="str">
        <f t="shared" si="1"/>
        <v/>
      </c>
      <c r="J172" s="40" t="str">
        <f t="shared" si="2"/>
        <v/>
      </c>
      <c r="K172" s="40" t="str">
        <f>IF($C172="","",VLOOKUP($C172,Orders!$A$4:$J$303,5,FALSE))</f>
        <v/>
      </c>
      <c r="L172" s="22"/>
      <c r="M172" s="40" t="str">
        <f t="shared" si="3"/>
        <v/>
      </c>
      <c r="N172" s="22"/>
      <c r="O172" s="22"/>
      <c r="P172" s="22" t="str">
        <f t="shared" si="4"/>
        <v/>
      </c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39" t="str">
        <f t="array" ref="AB172">IFERROR(INDEX(Bids!$AA:$AA, MATCH(C172&amp;"|"&amp;B172, Bids!$AD:$AD,0)),"")</f>
        <v/>
      </c>
      <c r="AC172" s="39" t="str">
        <f t="array" ref="AC172">IFERROR(INDEX(Bids!$AB:$AB, MATCH(C172&amp;"|"&amp;B172, Bids!$AD:$AD,0)),"")</f>
        <v/>
      </c>
      <c r="AD172" s="39" t="str">
        <f t="array" ref="AD172">IFERROR(INDEX(Bids!$AC:$AC, MATCH(C172&amp;"|"&amp;B172, Bids!$AD:$AD,0)), H172)</f>
        <v/>
      </c>
      <c r="AE172" s="39"/>
      <c r="AG172" s="39"/>
      <c r="AH172" s="39" t="str">
        <f t="shared" si="5"/>
        <v/>
      </c>
      <c r="AI172" s="39" t="str">
        <f t="shared" si="6"/>
        <v/>
      </c>
      <c r="AM172" s="39" t="str">
        <f t="array" ref="AM172">IF(C172="","",IFERROR(XLOOKUP(C172,Orders!$A:$A,Orders!$E:$E,""),""))</f>
        <v/>
      </c>
      <c r="AN172" s="39" t="str">
        <f t="shared" si="7"/>
        <v/>
      </c>
      <c r="AO172" s="39" t="str">
        <f t="shared" si="8"/>
        <v/>
      </c>
      <c r="AP172" s="39" t="str">
        <f t="shared" si="9"/>
        <v/>
      </c>
      <c r="AQ172" s="39" t="str">
        <f t="shared" si="10"/>
        <v/>
      </c>
      <c r="AR172" s="39" t="str">
        <f t="shared" si="11"/>
        <v/>
      </c>
      <c r="AS172" s="39" t="str">
        <f t="shared" si="12"/>
        <v/>
      </c>
      <c r="AT172" s="39" t="str">
        <f t="shared" si="13"/>
        <v/>
      </c>
      <c r="AU172" s="39" t="str">
        <f t="shared" si="14"/>
        <v/>
      </c>
    </row>
    <row r="173" ht="15.75" customHeight="1">
      <c r="A173" s="22"/>
      <c r="B173" s="22"/>
      <c r="C173" s="22"/>
      <c r="D173" s="22"/>
      <c r="E173" s="40"/>
      <c r="F173" s="40" t="str">
        <f>IF($C173="","",VLOOKUP($C173,Orders!$A$4:$J$303,3,FALSE))</f>
        <v/>
      </c>
      <c r="G173" s="40" t="str">
        <f>IF($C173="","",VLOOKUP($C173,Orders!$A$4:$J$303,4,FALSE))</f>
        <v/>
      </c>
      <c r="H173" s="22"/>
      <c r="I173" s="40" t="str">
        <f t="shared" si="1"/>
        <v/>
      </c>
      <c r="J173" s="40" t="str">
        <f t="shared" si="2"/>
        <v/>
      </c>
      <c r="K173" s="40" t="str">
        <f>IF($C173="","",VLOOKUP($C173,Orders!$A$4:$J$303,5,FALSE))</f>
        <v/>
      </c>
      <c r="L173" s="22"/>
      <c r="M173" s="40" t="str">
        <f t="shared" si="3"/>
        <v/>
      </c>
      <c r="N173" s="22"/>
      <c r="O173" s="22"/>
      <c r="P173" s="22" t="str">
        <f t="shared" si="4"/>
        <v/>
      </c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39" t="str">
        <f t="array" ref="AB173">IFERROR(INDEX(Bids!$AA:$AA, MATCH(C173&amp;"|"&amp;B173, Bids!$AD:$AD,0)),"")</f>
        <v/>
      </c>
      <c r="AC173" s="39" t="str">
        <f t="array" ref="AC173">IFERROR(INDEX(Bids!$AB:$AB, MATCH(C173&amp;"|"&amp;B173, Bids!$AD:$AD,0)),"")</f>
        <v/>
      </c>
      <c r="AD173" s="39" t="str">
        <f t="array" ref="AD173">IFERROR(INDEX(Bids!$AC:$AC, MATCH(C173&amp;"|"&amp;B173, Bids!$AD:$AD,0)), H173)</f>
        <v/>
      </c>
      <c r="AE173" s="39"/>
      <c r="AG173" s="39"/>
      <c r="AH173" s="39" t="str">
        <f t="shared" si="5"/>
        <v/>
      </c>
      <c r="AI173" s="39" t="str">
        <f t="shared" si="6"/>
        <v/>
      </c>
      <c r="AM173" s="39" t="str">
        <f t="array" ref="AM173">IF(C173="","",IFERROR(XLOOKUP(C173,Orders!$A:$A,Orders!$E:$E,""),""))</f>
        <v/>
      </c>
      <c r="AN173" s="39" t="str">
        <f t="shared" si="7"/>
        <v/>
      </c>
      <c r="AO173" s="39" t="str">
        <f t="shared" si="8"/>
        <v/>
      </c>
      <c r="AP173" s="39" t="str">
        <f t="shared" si="9"/>
        <v/>
      </c>
      <c r="AQ173" s="39" t="str">
        <f t="shared" si="10"/>
        <v/>
      </c>
      <c r="AR173" s="39" t="str">
        <f t="shared" si="11"/>
        <v/>
      </c>
      <c r="AS173" s="39" t="str">
        <f t="shared" si="12"/>
        <v/>
      </c>
      <c r="AT173" s="39" t="str">
        <f t="shared" si="13"/>
        <v/>
      </c>
      <c r="AU173" s="39" t="str">
        <f t="shared" si="14"/>
        <v/>
      </c>
    </row>
    <row r="174" ht="15.75" customHeight="1">
      <c r="A174" s="22"/>
      <c r="B174" s="22"/>
      <c r="C174" s="22"/>
      <c r="D174" s="22"/>
      <c r="E174" s="40"/>
      <c r="F174" s="40" t="str">
        <f>IF($C174="","",VLOOKUP($C174,Orders!$A$4:$J$303,3,FALSE))</f>
        <v/>
      </c>
      <c r="G174" s="40" t="str">
        <f>IF($C174="","",VLOOKUP($C174,Orders!$A$4:$J$303,4,FALSE))</f>
        <v/>
      </c>
      <c r="H174" s="22"/>
      <c r="I174" s="40" t="str">
        <f t="shared" si="1"/>
        <v/>
      </c>
      <c r="J174" s="40" t="str">
        <f t="shared" si="2"/>
        <v/>
      </c>
      <c r="K174" s="40" t="str">
        <f>IF($C174="","",VLOOKUP($C174,Orders!$A$4:$J$303,5,FALSE))</f>
        <v/>
      </c>
      <c r="L174" s="22"/>
      <c r="M174" s="40" t="str">
        <f t="shared" si="3"/>
        <v/>
      </c>
      <c r="N174" s="22"/>
      <c r="O174" s="22"/>
      <c r="P174" s="22" t="str">
        <f t="shared" si="4"/>
        <v/>
      </c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39" t="str">
        <f t="array" ref="AB174">IFERROR(INDEX(Bids!$AA:$AA, MATCH(C174&amp;"|"&amp;B174, Bids!$AD:$AD,0)),"")</f>
        <v/>
      </c>
      <c r="AC174" s="39" t="str">
        <f t="array" ref="AC174">IFERROR(INDEX(Bids!$AB:$AB, MATCH(C174&amp;"|"&amp;B174, Bids!$AD:$AD,0)),"")</f>
        <v/>
      </c>
      <c r="AD174" s="39" t="str">
        <f t="array" ref="AD174">IFERROR(INDEX(Bids!$AC:$AC, MATCH(C174&amp;"|"&amp;B174, Bids!$AD:$AD,0)), H174)</f>
        <v/>
      </c>
      <c r="AE174" s="39"/>
      <c r="AG174" s="39"/>
      <c r="AH174" s="39" t="str">
        <f t="shared" si="5"/>
        <v/>
      </c>
      <c r="AI174" s="39" t="str">
        <f t="shared" si="6"/>
        <v/>
      </c>
      <c r="AM174" s="39" t="str">
        <f t="array" ref="AM174">IF(C174="","",IFERROR(XLOOKUP(C174,Orders!$A:$A,Orders!$E:$E,""),""))</f>
        <v/>
      </c>
      <c r="AN174" s="39" t="str">
        <f t="shared" si="7"/>
        <v/>
      </c>
      <c r="AO174" s="39" t="str">
        <f t="shared" si="8"/>
        <v/>
      </c>
      <c r="AP174" s="39" t="str">
        <f t="shared" si="9"/>
        <v/>
      </c>
      <c r="AQ174" s="39" t="str">
        <f t="shared" si="10"/>
        <v/>
      </c>
      <c r="AR174" s="39" t="str">
        <f t="shared" si="11"/>
        <v/>
      </c>
      <c r="AS174" s="39" t="str">
        <f t="shared" si="12"/>
        <v/>
      </c>
      <c r="AT174" s="39" t="str">
        <f t="shared" si="13"/>
        <v/>
      </c>
      <c r="AU174" s="39" t="str">
        <f t="shared" si="14"/>
        <v/>
      </c>
    </row>
    <row r="175" ht="15.75" customHeight="1">
      <c r="A175" s="22"/>
      <c r="B175" s="22"/>
      <c r="C175" s="22"/>
      <c r="D175" s="22"/>
      <c r="E175" s="40"/>
      <c r="F175" s="40" t="str">
        <f>IF($C175="","",VLOOKUP($C175,Orders!$A$4:$J$303,3,FALSE))</f>
        <v/>
      </c>
      <c r="G175" s="40" t="str">
        <f>IF($C175="","",VLOOKUP($C175,Orders!$A$4:$J$303,4,FALSE))</f>
        <v/>
      </c>
      <c r="H175" s="22"/>
      <c r="I175" s="40" t="str">
        <f t="shared" si="1"/>
        <v/>
      </c>
      <c r="J175" s="40" t="str">
        <f t="shared" si="2"/>
        <v/>
      </c>
      <c r="K175" s="40" t="str">
        <f>IF($C175="","",VLOOKUP($C175,Orders!$A$4:$J$303,5,FALSE))</f>
        <v/>
      </c>
      <c r="L175" s="22"/>
      <c r="M175" s="40" t="str">
        <f t="shared" si="3"/>
        <v/>
      </c>
      <c r="N175" s="22"/>
      <c r="O175" s="22"/>
      <c r="P175" s="22" t="str">
        <f t="shared" si="4"/>
        <v/>
      </c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39" t="str">
        <f t="array" ref="AB175">IFERROR(INDEX(Bids!$AA:$AA, MATCH(C175&amp;"|"&amp;B175, Bids!$AD:$AD,0)),"")</f>
        <v/>
      </c>
      <c r="AC175" s="39" t="str">
        <f t="array" ref="AC175">IFERROR(INDEX(Bids!$AB:$AB, MATCH(C175&amp;"|"&amp;B175, Bids!$AD:$AD,0)),"")</f>
        <v/>
      </c>
      <c r="AD175" s="39" t="str">
        <f t="array" ref="AD175">IFERROR(INDEX(Bids!$AC:$AC, MATCH(C175&amp;"|"&amp;B175, Bids!$AD:$AD,0)), H175)</f>
        <v/>
      </c>
      <c r="AE175" s="39"/>
      <c r="AG175" s="39"/>
      <c r="AH175" s="39" t="str">
        <f t="shared" si="5"/>
        <v/>
      </c>
      <c r="AI175" s="39" t="str">
        <f t="shared" si="6"/>
        <v/>
      </c>
      <c r="AM175" s="39" t="str">
        <f t="array" ref="AM175">IF(C175="","",IFERROR(XLOOKUP(C175,Orders!$A:$A,Orders!$E:$E,""),""))</f>
        <v/>
      </c>
      <c r="AN175" s="39" t="str">
        <f t="shared" si="7"/>
        <v/>
      </c>
      <c r="AO175" s="39" t="str">
        <f t="shared" si="8"/>
        <v/>
      </c>
      <c r="AP175" s="39" t="str">
        <f t="shared" si="9"/>
        <v/>
      </c>
      <c r="AQ175" s="39" t="str">
        <f t="shared" si="10"/>
        <v/>
      </c>
      <c r="AR175" s="39" t="str">
        <f t="shared" si="11"/>
        <v/>
      </c>
      <c r="AS175" s="39" t="str">
        <f t="shared" si="12"/>
        <v/>
      </c>
      <c r="AT175" s="39" t="str">
        <f t="shared" si="13"/>
        <v/>
      </c>
      <c r="AU175" s="39" t="str">
        <f t="shared" si="14"/>
        <v/>
      </c>
    </row>
    <row r="176" ht="15.75" customHeight="1">
      <c r="A176" s="22"/>
      <c r="B176" s="22"/>
      <c r="C176" s="22"/>
      <c r="D176" s="22"/>
      <c r="E176" s="40"/>
      <c r="F176" s="40" t="str">
        <f>IF($C176="","",VLOOKUP($C176,Orders!$A$4:$J$303,3,FALSE))</f>
        <v/>
      </c>
      <c r="G176" s="40" t="str">
        <f>IF($C176="","",VLOOKUP($C176,Orders!$A$4:$J$303,4,FALSE))</f>
        <v/>
      </c>
      <c r="H176" s="22"/>
      <c r="I176" s="40" t="str">
        <f t="shared" si="1"/>
        <v/>
      </c>
      <c r="J176" s="40" t="str">
        <f t="shared" si="2"/>
        <v/>
      </c>
      <c r="K176" s="40" t="str">
        <f>IF($C176="","",VLOOKUP($C176,Orders!$A$4:$J$303,5,FALSE))</f>
        <v/>
      </c>
      <c r="L176" s="22"/>
      <c r="M176" s="40" t="str">
        <f t="shared" si="3"/>
        <v/>
      </c>
      <c r="N176" s="22"/>
      <c r="O176" s="22"/>
      <c r="P176" s="22" t="str">
        <f t="shared" si="4"/>
        <v/>
      </c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39" t="str">
        <f t="array" ref="AB176">IFERROR(INDEX(Bids!$AA:$AA, MATCH(C176&amp;"|"&amp;B176, Bids!$AD:$AD,0)),"")</f>
        <v/>
      </c>
      <c r="AC176" s="39" t="str">
        <f t="array" ref="AC176">IFERROR(INDEX(Bids!$AB:$AB, MATCH(C176&amp;"|"&amp;B176, Bids!$AD:$AD,0)),"")</f>
        <v/>
      </c>
      <c r="AD176" s="39" t="str">
        <f t="array" ref="AD176">IFERROR(INDEX(Bids!$AC:$AC, MATCH(C176&amp;"|"&amp;B176, Bids!$AD:$AD,0)), H176)</f>
        <v/>
      </c>
      <c r="AE176" s="39"/>
      <c r="AG176" s="39"/>
      <c r="AH176" s="39" t="str">
        <f t="shared" si="5"/>
        <v/>
      </c>
      <c r="AI176" s="39" t="str">
        <f t="shared" si="6"/>
        <v/>
      </c>
      <c r="AM176" s="39" t="str">
        <f t="array" ref="AM176">IF(C176="","",IFERROR(XLOOKUP(C176,Orders!$A:$A,Orders!$E:$E,""),""))</f>
        <v/>
      </c>
      <c r="AN176" s="39" t="str">
        <f t="shared" si="7"/>
        <v/>
      </c>
      <c r="AO176" s="39" t="str">
        <f t="shared" si="8"/>
        <v/>
      </c>
      <c r="AP176" s="39" t="str">
        <f t="shared" si="9"/>
        <v/>
      </c>
      <c r="AQ176" s="39" t="str">
        <f t="shared" si="10"/>
        <v/>
      </c>
      <c r="AR176" s="39" t="str">
        <f t="shared" si="11"/>
        <v/>
      </c>
      <c r="AS176" s="39" t="str">
        <f t="shared" si="12"/>
        <v/>
      </c>
      <c r="AT176" s="39" t="str">
        <f t="shared" si="13"/>
        <v/>
      </c>
      <c r="AU176" s="39" t="str">
        <f t="shared" si="14"/>
        <v/>
      </c>
    </row>
    <row r="177" ht="15.75" customHeight="1">
      <c r="A177" s="22"/>
      <c r="B177" s="22"/>
      <c r="C177" s="22"/>
      <c r="D177" s="22"/>
      <c r="E177" s="40"/>
      <c r="F177" s="40" t="str">
        <f>IF($C177="","",VLOOKUP($C177,Orders!$A$4:$J$303,3,FALSE))</f>
        <v/>
      </c>
      <c r="G177" s="40" t="str">
        <f>IF($C177="","",VLOOKUP($C177,Orders!$A$4:$J$303,4,FALSE))</f>
        <v/>
      </c>
      <c r="H177" s="22"/>
      <c r="I177" s="40" t="str">
        <f t="shared" si="1"/>
        <v/>
      </c>
      <c r="J177" s="40" t="str">
        <f t="shared" si="2"/>
        <v/>
      </c>
      <c r="K177" s="40" t="str">
        <f>IF($C177="","",VLOOKUP($C177,Orders!$A$4:$J$303,5,FALSE))</f>
        <v/>
      </c>
      <c r="L177" s="22"/>
      <c r="M177" s="40" t="str">
        <f t="shared" si="3"/>
        <v/>
      </c>
      <c r="N177" s="22"/>
      <c r="O177" s="22"/>
      <c r="P177" s="22" t="str">
        <f t="shared" si="4"/>
        <v/>
      </c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39" t="str">
        <f t="array" ref="AB177">IFERROR(INDEX(Bids!$AA:$AA, MATCH(C177&amp;"|"&amp;B177, Bids!$AD:$AD,0)),"")</f>
        <v/>
      </c>
      <c r="AC177" s="39" t="str">
        <f t="array" ref="AC177">IFERROR(INDEX(Bids!$AB:$AB, MATCH(C177&amp;"|"&amp;B177, Bids!$AD:$AD,0)),"")</f>
        <v/>
      </c>
      <c r="AD177" s="39" t="str">
        <f t="array" ref="AD177">IFERROR(INDEX(Bids!$AC:$AC, MATCH(C177&amp;"|"&amp;B177, Bids!$AD:$AD,0)), H177)</f>
        <v/>
      </c>
      <c r="AE177" s="39"/>
      <c r="AG177" s="39"/>
      <c r="AH177" s="39" t="str">
        <f t="shared" si="5"/>
        <v/>
      </c>
      <c r="AI177" s="39" t="str">
        <f t="shared" si="6"/>
        <v/>
      </c>
      <c r="AM177" s="39" t="str">
        <f t="array" ref="AM177">IF(C177="","",IFERROR(XLOOKUP(C177,Orders!$A:$A,Orders!$E:$E,""),""))</f>
        <v/>
      </c>
      <c r="AN177" s="39" t="str">
        <f t="shared" si="7"/>
        <v/>
      </c>
      <c r="AO177" s="39" t="str">
        <f t="shared" si="8"/>
        <v/>
      </c>
      <c r="AP177" s="39" t="str">
        <f t="shared" si="9"/>
        <v/>
      </c>
      <c r="AQ177" s="39" t="str">
        <f t="shared" si="10"/>
        <v/>
      </c>
      <c r="AR177" s="39" t="str">
        <f t="shared" si="11"/>
        <v/>
      </c>
      <c r="AS177" s="39" t="str">
        <f t="shared" si="12"/>
        <v/>
      </c>
      <c r="AT177" s="39" t="str">
        <f t="shared" si="13"/>
        <v/>
      </c>
      <c r="AU177" s="39" t="str">
        <f t="shared" si="14"/>
        <v/>
      </c>
    </row>
    <row r="178" ht="15.75" customHeight="1">
      <c r="A178" s="22"/>
      <c r="B178" s="22"/>
      <c r="C178" s="22"/>
      <c r="D178" s="22"/>
      <c r="E178" s="40"/>
      <c r="F178" s="40" t="str">
        <f>IF($C178="","",VLOOKUP($C178,Orders!$A$4:$J$303,3,FALSE))</f>
        <v/>
      </c>
      <c r="G178" s="40" t="str">
        <f>IF($C178="","",VLOOKUP($C178,Orders!$A$4:$J$303,4,FALSE))</f>
        <v/>
      </c>
      <c r="H178" s="22"/>
      <c r="I178" s="40" t="str">
        <f t="shared" si="1"/>
        <v/>
      </c>
      <c r="J178" s="40" t="str">
        <f t="shared" si="2"/>
        <v/>
      </c>
      <c r="K178" s="40" t="str">
        <f>IF($C178="","",VLOOKUP($C178,Orders!$A$4:$J$303,5,FALSE))</f>
        <v/>
      </c>
      <c r="L178" s="22"/>
      <c r="M178" s="40" t="str">
        <f t="shared" si="3"/>
        <v/>
      </c>
      <c r="N178" s="22"/>
      <c r="O178" s="22"/>
      <c r="P178" s="22" t="str">
        <f t="shared" si="4"/>
        <v/>
      </c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39" t="str">
        <f t="array" ref="AB178">IFERROR(INDEX(Bids!$AA:$AA, MATCH(C178&amp;"|"&amp;B178, Bids!$AD:$AD,0)),"")</f>
        <v/>
      </c>
      <c r="AC178" s="39" t="str">
        <f t="array" ref="AC178">IFERROR(INDEX(Bids!$AB:$AB, MATCH(C178&amp;"|"&amp;B178, Bids!$AD:$AD,0)),"")</f>
        <v/>
      </c>
      <c r="AD178" s="39" t="str">
        <f t="array" ref="AD178">IFERROR(INDEX(Bids!$AC:$AC, MATCH(C178&amp;"|"&amp;B178, Bids!$AD:$AD,0)), H178)</f>
        <v/>
      </c>
      <c r="AE178" s="39"/>
      <c r="AG178" s="39"/>
      <c r="AH178" s="39" t="str">
        <f t="shared" si="5"/>
        <v/>
      </c>
      <c r="AI178" s="39" t="str">
        <f t="shared" si="6"/>
        <v/>
      </c>
      <c r="AM178" s="39" t="str">
        <f t="array" ref="AM178">IF(C178="","",IFERROR(XLOOKUP(C178,Orders!$A:$A,Orders!$E:$E,""),""))</f>
        <v/>
      </c>
      <c r="AN178" s="39" t="str">
        <f t="shared" si="7"/>
        <v/>
      </c>
      <c r="AO178" s="39" t="str">
        <f t="shared" si="8"/>
        <v/>
      </c>
      <c r="AP178" s="39" t="str">
        <f t="shared" si="9"/>
        <v/>
      </c>
      <c r="AQ178" s="39" t="str">
        <f t="shared" si="10"/>
        <v/>
      </c>
      <c r="AR178" s="39" t="str">
        <f t="shared" si="11"/>
        <v/>
      </c>
      <c r="AS178" s="39" t="str">
        <f t="shared" si="12"/>
        <v/>
      </c>
      <c r="AT178" s="39" t="str">
        <f t="shared" si="13"/>
        <v/>
      </c>
      <c r="AU178" s="39" t="str">
        <f t="shared" si="14"/>
        <v/>
      </c>
    </row>
    <row r="179" ht="15.75" customHeight="1">
      <c r="A179" s="22"/>
      <c r="B179" s="22"/>
      <c r="C179" s="22"/>
      <c r="D179" s="22"/>
      <c r="E179" s="40"/>
      <c r="F179" s="40" t="str">
        <f>IF($C179="","",VLOOKUP($C179,Orders!$A$4:$J$303,3,FALSE))</f>
        <v/>
      </c>
      <c r="G179" s="40" t="str">
        <f>IF($C179="","",VLOOKUP($C179,Orders!$A$4:$J$303,4,FALSE))</f>
        <v/>
      </c>
      <c r="H179" s="22"/>
      <c r="I179" s="40" t="str">
        <f t="shared" si="1"/>
        <v/>
      </c>
      <c r="J179" s="40" t="str">
        <f t="shared" si="2"/>
        <v/>
      </c>
      <c r="K179" s="40" t="str">
        <f>IF($C179="","",VLOOKUP($C179,Orders!$A$4:$J$303,5,FALSE))</f>
        <v/>
      </c>
      <c r="L179" s="22"/>
      <c r="M179" s="40" t="str">
        <f t="shared" si="3"/>
        <v/>
      </c>
      <c r="N179" s="22"/>
      <c r="O179" s="22"/>
      <c r="P179" s="22" t="str">
        <f t="shared" si="4"/>
        <v/>
      </c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39" t="str">
        <f t="array" ref="AB179">IFERROR(INDEX(Bids!$AA:$AA, MATCH(C179&amp;"|"&amp;B179, Bids!$AD:$AD,0)),"")</f>
        <v/>
      </c>
      <c r="AC179" s="39" t="str">
        <f t="array" ref="AC179">IFERROR(INDEX(Bids!$AB:$AB, MATCH(C179&amp;"|"&amp;B179, Bids!$AD:$AD,0)),"")</f>
        <v/>
      </c>
      <c r="AD179" s="39" t="str">
        <f t="array" ref="AD179">IFERROR(INDEX(Bids!$AC:$AC, MATCH(C179&amp;"|"&amp;B179, Bids!$AD:$AD,0)), H179)</f>
        <v/>
      </c>
      <c r="AE179" s="39"/>
      <c r="AG179" s="39"/>
      <c r="AH179" s="39" t="str">
        <f t="shared" si="5"/>
        <v/>
      </c>
      <c r="AI179" s="39" t="str">
        <f t="shared" si="6"/>
        <v/>
      </c>
      <c r="AM179" s="39" t="str">
        <f t="array" ref="AM179">IF(C179="","",IFERROR(XLOOKUP(C179,Orders!$A:$A,Orders!$E:$E,""),""))</f>
        <v/>
      </c>
      <c r="AN179" s="39" t="str">
        <f t="shared" si="7"/>
        <v/>
      </c>
      <c r="AO179" s="39" t="str">
        <f t="shared" si="8"/>
        <v/>
      </c>
      <c r="AP179" s="39" t="str">
        <f t="shared" si="9"/>
        <v/>
      </c>
      <c r="AQ179" s="39" t="str">
        <f t="shared" si="10"/>
        <v/>
      </c>
      <c r="AR179" s="39" t="str">
        <f t="shared" si="11"/>
        <v/>
      </c>
      <c r="AS179" s="39" t="str">
        <f t="shared" si="12"/>
        <v/>
      </c>
      <c r="AT179" s="39" t="str">
        <f t="shared" si="13"/>
        <v/>
      </c>
      <c r="AU179" s="39" t="str">
        <f t="shared" si="14"/>
        <v/>
      </c>
    </row>
    <row r="180" ht="15.75" customHeight="1">
      <c r="A180" s="22"/>
      <c r="B180" s="22"/>
      <c r="C180" s="22"/>
      <c r="D180" s="22"/>
      <c r="E180" s="40"/>
      <c r="F180" s="40" t="str">
        <f>IF($C180="","",VLOOKUP($C180,Orders!$A$4:$J$303,3,FALSE))</f>
        <v/>
      </c>
      <c r="G180" s="40" t="str">
        <f>IF($C180="","",VLOOKUP($C180,Orders!$A$4:$J$303,4,FALSE))</f>
        <v/>
      </c>
      <c r="H180" s="22"/>
      <c r="I180" s="40" t="str">
        <f t="shared" si="1"/>
        <v/>
      </c>
      <c r="J180" s="40" t="str">
        <f t="shared" si="2"/>
        <v/>
      </c>
      <c r="K180" s="40" t="str">
        <f>IF($C180="","",VLOOKUP($C180,Orders!$A$4:$J$303,5,FALSE))</f>
        <v/>
      </c>
      <c r="L180" s="22"/>
      <c r="M180" s="40" t="str">
        <f t="shared" si="3"/>
        <v/>
      </c>
      <c r="N180" s="22"/>
      <c r="O180" s="22"/>
      <c r="P180" s="22" t="str">
        <f t="shared" si="4"/>
        <v/>
      </c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39" t="str">
        <f t="array" ref="AB180">IFERROR(INDEX(Bids!$AA:$AA, MATCH(C180&amp;"|"&amp;B180, Bids!$AD:$AD,0)),"")</f>
        <v/>
      </c>
      <c r="AC180" s="39" t="str">
        <f t="array" ref="AC180">IFERROR(INDEX(Bids!$AB:$AB, MATCH(C180&amp;"|"&amp;B180, Bids!$AD:$AD,0)),"")</f>
        <v/>
      </c>
      <c r="AD180" s="39" t="str">
        <f t="array" ref="AD180">IFERROR(INDEX(Bids!$AC:$AC, MATCH(C180&amp;"|"&amp;B180, Bids!$AD:$AD,0)), H180)</f>
        <v/>
      </c>
      <c r="AE180" s="39"/>
      <c r="AG180" s="39"/>
      <c r="AH180" s="39" t="str">
        <f t="shared" si="5"/>
        <v/>
      </c>
      <c r="AI180" s="39" t="str">
        <f t="shared" si="6"/>
        <v/>
      </c>
      <c r="AM180" s="39" t="str">
        <f t="array" ref="AM180">IF(C180="","",IFERROR(XLOOKUP(C180,Orders!$A:$A,Orders!$E:$E,""),""))</f>
        <v/>
      </c>
      <c r="AN180" s="39" t="str">
        <f t="shared" si="7"/>
        <v/>
      </c>
      <c r="AO180" s="39" t="str">
        <f t="shared" si="8"/>
        <v/>
      </c>
      <c r="AP180" s="39" t="str">
        <f t="shared" si="9"/>
        <v/>
      </c>
      <c r="AQ180" s="39" t="str">
        <f t="shared" si="10"/>
        <v/>
      </c>
      <c r="AR180" s="39" t="str">
        <f t="shared" si="11"/>
        <v/>
      </c>
      <c r="AS180" s="39" t="str">
        <f t="shared" si="12"/>
        <v/>
      </c>
      <c r="AT180" s="39" t="str">
        <f t="shared" si="13"/>
        <v/>
      </c>
      <c r="AU180" s="39" t="str">
        <f t="shared" si="14"/>
        <v/>
      </c>
    </row>
    <row r="181" ht="15.75" customHeight="1">
      <c r="A181" s="22"/>
      <c r="B181" s="22"/>
      <c r="C181" s="22"/>
      <c r="D181" s="22"/>
      <c r="E181" s="40"/>
      <c r="F181" s="40" t="str">
        <f>IF($C181="","",VLOOKUP($C181,Orders!$A$4:$J$303,3,FALSE))</f>
        <v/>
      </c>
      <c r="G181" s="40" t="str">
        <f>IF($C181="","",VLOOKUP($C181,Orders!$A$4:$J$303,4,FALSE))</f>
        <v/>
      </c>
      <c r="H181" s="22"/>
      <c r="I181" s="40" t="str">
        <f t="shared" si="1"/>
        <v/>
      </c>
      <c r="J181" s="40" t="str">
        <f t="shared" si="2"/>
        <v/>
      </c>
      <c r="K181" s="40" t="str">
        <f>IF($C181="","",VLOOKUP($C181,Orders!$A$4:$J$303,5,FALSE))</f>
        <v/>
      </c>
      <c r="L181" s="22"/>
      <c r="M181" s="40" t="str">
        <f t="shared" si="3"/>
        <v/>
      </c>
      <c r="N181" s="22"/>
      <c r="O181" s="22"/>
      <c r="P181" s="22" t="str">
        <f t="shared" si="4"/>
        <v/>
      </c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39" t="str">
        <f t="array" ref="AB181">IFERROR(INDEX(Bids!$AA:$AA, MATCH(C181&amp;"|"&amp;B181, Bids!$AD:$AD,0)),"")</f>
        <v/>
      </c>
      <c r="AC181" s="39" t="str">
        <f t="array" ref="AC181">IFERROR(INDEX(Bids!$AB:$AB, MATCH(C181&amp;"|"&amp;B181, Bids!$AD:$AD,0)),"")</f>
        <v/>
      </c>
      <c r="AD181" s="39" t="str">
        <f t="array" ref="AD181">IFERROR(INDEX(Bids!$AC:$AC, MATCH(C181&amp;"|"&amp;B181, Bids!$AD:$AD,0)), H181)</f>
        <v/>
      </c>
      <c r="AE181" s="39"/>
      <c r="AG181" s="39"/>
      <c r="AH181" s="39" t="str">
        <f t="shared" si="5"/>
        <v/>
      </c>
      <c r="AI181" s="39" t="str">
        <f t="shared" si="6"/>
        <v/>
      </c>
      <c r="AM181" s="39" t="str">
        <f t="array" ref="AM181">IF(C181="","",IFERROR(XLOOKUP(C181,Orders!$A:$A,Orders!$E:$E,""),""))</f>
        <v/>
      </c>
      <c r="AN181" s="39" t="str">
        <f t="shared" si="7"/>
        <v/>
      </c>
      <c r="AO181" s="39" t="str">
        <f t="shared" si="8"/>
        <v/>
      </c>
      <c r="AP181" s="39" t="str">
        <f t="shared" si="9"/>
        <v/>
      </c>
      <c r="AQ181" s="39" t="str">
        <f t="shared" si="10"/>
        <v/>
      </c>
      <c r="AR181" s="39" t="str">
        <f t="shared" si="11"/>
        <v/>
      </c>
      <c r="AS181" s="39" t="str">
        <f t="shared" si="12"/>
        <v/>
      </c>
      <c r="AT181" s="39" t="str">
        <f t="shared" si="13"/>
        <v/>
      </c>
      <c r="AU181" s="39" t="str">
        <f t="shared" si="14"/>
        <v/>
      </c>
    </row>
    <row r="182" ht="15.75" customHeight="1">
      <c r="A182" s="22"/>
      <c r="B182" s="22"/>
      <c r="C182" s="22"/>
      <c r="D182" s="22"/>
      <c r="E182" s="40"/>
      <c r="F182" s="40" t="str">
        <f>IF($C182="","",VLOOKUP($C182,Orders!$A$4:$J$303,3,FALSE))</f>
        <v/>
      </c>
      <c r="G182" s="40" t="str">
        <f>IF($C182="","",VLOOKUP($C182,Orders!$A$4:$J$303,4,FALSE))</f>
        <v/>
      </c>
      <c r="H182" s="22"/>
      <c r="I182" s="40" t="str">
        <f t="shared" si="1"/>
        <v/>
      </c>
      <c r="J182" s="40" t="str">
        <f t="shared" si="2"/>
        <v/>
      </c>
      <c r="K182" s="40" t="str">
        <f>IF($C182="","",VLOOKUP($C182,Orders!$A$4:$J$303,5,FALSE))</f>
        <v/>
      </c>
      <c r="L182" s="22"/>
      <c r="M182" s="40" t="str">
        <f t="shared" si="3"/>
        <v/>
      </c>
      <c r="N182" s="22"/>
      <c r="O182" s="22"/>
      <c r="P182" s="22" t="str">
        <f t="shared" si="4"/>
        <v/>
      </c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39" t="str">
        <f t="array" ref="AB182">IFERROR(INDEX(Bids!$AA:$AA, MATCH(C182&amp;"|"&amp;B182, Bids!$AD:$AD,0)),"")</f>
        <v/>
      </c>
      <c r="AC182" s="39" t="str">
        <f t="array" ref="AC182">IFERROR(INDEX(Bids!$AB:$AB, MATCH(C182&amp;"|"&amp;B182, Bids!$AD:$AD,0)),"")</f>
        <v/>
      </c>
      <c r="AD182" s="39" t="str">
        <f t="array" ref="AD182">IFERROR(INDEX(Bids!$AC:$AC, MATCH(C182&amp;"|"&amp;B182, Bids!$AD:$AD,0)), H182)</f>
        <v/>
      </c>
      <c r="AE182" s="39"/>
      <c r="AG182" s="39"/>
      <c r="AH182" s="39" t="str">
        <f t="shared" si="5"/>
        <v/>
      </c>
      <c r="AI182" s="39" t="str">
        <f t="shared" si="6"/>
        <v/>
      </c>
      <c r="AM182" s="39" t="str">
        <f t="array" ref="AM182">IF(C182="","",IFERROR(XLOOKUP(C182,Orders!$A:$A,Orders!$E:$E,""),""))</f>
        <v/>
      </c>
      <c r="AN182" s="39" t="str">
        <f t="shared" si="7"/>
        <v/>
      </c>
      <c r="AO182" s="39" t="str">
        <f t="shared" si="8"/>
        <v/>
      </c>
      <c r="AP182" s="39" t="str">
        <f t="shared" si="9"/>
        <v/>
      </c>
      <c r="AQ182" s="39" t="str">
        <f t="shared" si="10"/>
        <v/>
      </c>
      <c r="AR182" s="39" t="str">
        <f t="shared" si="11"/>
        <v/>
      </c>
      <c r="AS182" s="39" t="str">
        <f t="shared" si="12"/>
        <v/>
      </c>
      <c r="AT182" s="39" t="str">
        <f t="shared" si="13"/>
        <v/>
      </c>
      <c r="AU182" s="39" t="str">
        <f t="shared" si="14"/>
        <v/>
      </c>
    </row>
    <row r="183" ht="15.75" customHeight="1">
      <c r="A183" s="22"/>
      <c r="B183" s="22"/>
      <c r="C183" s="22"/>
      <c r="D183" s="22"/>
      <c r="E183" s="40"/>
      <c r="F183" s="40" t="str">
        <f>IF($C183="","",VLOOKUP($C183,Orders!$A$4:$J$303,3,FALSE))</f>
        <v/>
      </c>
      <c r="G183" s="40" t="str">
        <f>IF($C183="","",VLOOKUP($C183,Orders!$A$4:$J$303,4,FALSE))</f>
        <v/>
      </c>
      <c r="H183" s="22"/>
      <c r="I183" s="40" t="str">
        <f t="shared" si="1"/>
        <v/>
      </c>
      <c r="J183" s="40" t="str">
        <f t="shared" si="2"/>
        <v/>
      </c>
      <c r="K183" s="40" t="str">
        <f>IF($C183="","",VLOOKUP($C183,Orders!$A$4:$J$303,5,FALSE))</f>
        <v/>
      </c>
      <c r="L183" s="22"/>
      <c r="M183" s="40" t="str">
        <f t="shared" si="3"/>
        <v/>
      </c>
      <c r="N183" s="22"/>
      <c r="O183" s="22"/>
      <c r="P183" s="22" t="str">
        <f t="shared" si="4"/>
        <v/>
      </c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39" t="str">
        <f t="array" ref="AB183">IFERROR(INDEX(Bids!$AA:$AA, MATCH(C183&amp;"|"&amp;B183, Bids!$AD:$AD,0)),"")</f>
        <v/>
      </c>
      <c r="AC183" s="39" t="str">
        <f t="array" ref="AC183">IFERROR(INDEX(Bids!$AB:$AB, MATCH(C183&amp;"|"&amp;B183, Bids!$AD:$AD,0)),"")</f>
        <v/>
      </c>
      <c r="AD183" s="39" t="str">
        <f t="array" ref="AD183">IFERROR(INDEX(Bids!$AC:$AC, MATCH(C183&amp;"|"&amp;B183, Bids!$AD:$AD,0)), H183)</f>
        <v/>
      </c>
      <c r="AE183" s="39"/>
      <c r="AG183" s="39"/>
      <c r="AH183" s="39" t="str">
        <f t="shared" si="5"/>
        <v/>
      </c>
      <c r="AI183" s="39" t="str">
        <f t="shared" si="6"/>
        <v/>
      </c>
      <c r="AM183" s="39" t="str">
        <f t="array" ref="AM183">IF(C183="","",IFERROR(XLOOKUP(C183,Orders!$A:$A,Orders!$E:$E,""),""))</f>
        <v/>
      </c>
      <c r="AN183" s="39" t="str">
        <f t="shared" si="7"/>
        <v/>
      </c>
      <c r="AO183" s="39" t="str">
        <f t="shared" si="8"/>
        <v/>
      </c>
      <c r="AP183" s="39" t="str">
        <f t="shared" si="9"/>
        <v/>
      </c>
      <c r="AQ183" s="39" t="str">
        <f t="shared" si="10"/>
        <v/>
      </c>
      <c r="AR183" s="39" t="str">
        <f t="shared" si="11"/>
        <v/>
      </c>
      <c r="AS183" s="39" t="str">
        <f t="shared" si="12"/>
        <v/>
      </c>
      <c r="AT183" s="39" t="str">
        <f t="shared" si="13"/>
        <v/>
      </c>
      <c r="AU183" s="39" t="str">
        <f t="shared" si="14"/>
        <v/>
      </c>
    </row>
    <row r="184" ht="15.75" customHeight="1">
      <c r="A184" s="22"/>
      <c r="B184" s="22"/>
      <c r="C184" s="22"/>
      <c r="D184" s="22"/>
      <c r="E184" s="40"/>
      <c r="F184" s="40" t="str">
        <f>IF($C184="","",VLOOKUP($C184,Orders!$A$4:$J$303,3,FALSE))</f>
        <v/>
      </c>
      <c r="G184" s="40" t="str">
        <f>IF($C184="","",VLOOKUP($C184,Orders!$A$4:$J$303,4,FALSE))</f>
        <v/>
      </c>
      <c r="H184" s="22"/>
      <c r="I184" s="40" t="str">
        <f t="shared" si="1"/>
        <v/>
      </c>
      <c r="J184" s="40" t="str">
        <f t="shared" si="2"/>
        <v/>
      </c>
      <c r="K184" s="40" t="str">
        <f>IF($C184="","",VLOOKUP($C184,Orders!$A$4:$J$303,5,FALSE))</f>
        <v/>
      </c>
      <c r="L184" s="22"/>
      <c r="M184" s="40" t="str">
        <f t="shared" si="3"/>
        <v/>
      </c>
      <c r="N184" s="22"/>
      <c r="O184" s="22"/>
      <c r="P184" s="22" t="str">
        <f t="shared" si="4"/>
        <v/>
      </c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39" t="str">
        <f t="array" ref="AB184">IFERROR(INDEX(Bids!$AA:$AA, MATCH(C184&amp;"|"&amp;B184, Bids!$AD:$AD,0)),"")</f>
        <v/>
      </c>
      <c r="AC184" s="39" t="str">
        <f t="array" ref="AC184">IFERROR(INDEX(Bids!$AB:$AB, MATCH(C184&amp;"|"&amp;B184, Bids!$AD:$AD,0)),"")</f>
        <v/>
      </c>
      <c r="AD184" s="39" t="str">
        <f t="array" ref="AD184">IFERROR(INDEX(Bids!$AC:$AC, MATCH(C184&amp;"|"&amp;B184, Bids!$AD:$AD,0)), H184)</f>
        <v/>
      </c>
      <c r="AE184" s="39"/>
      <c r="AG184" s="39"/>
      <c r="AH184" s="39" t="str">
        <f t="shared" si="5"/>
        <v/>
      </c>
      <c r="AI184" s="39" t="str">
        <f t="shared" si="6"/>
        <v/>
      </c>
      <c r="AM184" s="39" t="str">
        <f t="array" ref="AM184">IF(C184="","",IFERROR(XLOOKUP(C184,Orders!$A:$A,Orders!$E:$E,""),""))</f>
        <v/>
      </c>
      <c r="AN184" s="39" t="str">
        <f t="shared" si="7"/>
        <v/>
      </c>
      <c r="AO184" s="39" t="str">
        <f t="shared" si="8"/>
        <v/>
      </c>
      <c r="AP184" s="39" t="str">
        <f t="shared" si="9"/>
        <v/>
      </c>
      <c r="AQ184" s="39" t="str">
        <f t="shared" si="10"/>
        <v/>
      </c>
      <c r="AR184" s="39" t="str">
        <f t="shared" si="11"/>
        <v/>
      </c>
      <c r="AS184" s="39" t="str">
        <f t="shared" si="12"/>
        <v/>
      </c>
      <c r="AT184" s="39" t="str">
        <f t="shared" si="13"/>
        <v/>
      </c>
      <c r="AU184" s="39" t="str">
        <f t="shared" si="14"/>
        <v/>
      </c>
    </row>
    <row r="185" ht="15.75" customHeight="1">
      <c r="A185" s="22"/>
      <c r="B185" s="22"/>
      <c r="C185" s="22"/>
      <c r="D185" s="22"/>
      <c r="E185" s="40"/>
      <c r="F185" s="40" t="str">
        <f>IF($C185="","",VLOOKUP($C185,Orders!$A$4:$J$303,3,FALSE))</f>
        <v/>
      </c>
      <c r="G185" s="40" t="str">
        <f>IF($C185="","",VLOOKUP($C185,Orders!$A$4:$J$303,4,FALSE))</f>
        <v/>
      </c>
      <c r="H185" s="22"/>
      <c r="I185" s="40" t="str">
        <f t="shared" si="1"/>
        <v/>
      </c>
      <c r="J185" s="40" t="str">
        <f t="shared" si="2"/>
        <v/>
      </c>
      <c r="K185" s="40" t="str">
        <f>IF($C185="","",VLOOKUP($C185,Orders!$A$4:$J$303,5,FALSE))</f>
        <v/>
      </c>
      <c r="L185" s="22"/>
      <c r="M185" s="40" t="str">
        <f t="shared" si="3"/>
        <v/>
      </c>
      <c r="N185" s="22"/>
      <c r="O185" s="22"/>
      <c r="P185" s="22" t="str">
        <f t="shared" si="4"/>
        <v/>
      </c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39" t="str">
        <f t="array" ref="AB185">IFERROR(INDEX(Bids!$AA:$AA, MATCH(C185&amp;"|"&amp;B185, Bids!$AD:$AD,0)),"")</f>
        <v/>
      </c>
      <c r="AC185" s="39" t="str">
        <f t="array" ref="AC185">IFERROR(INDEX(Bids!$AB:$AB, MATCH(C185&amp;"|"&amp;B185, Bids!$AD:$AD,0)),"")</f>
        <v/>
      </c>
      <c r="AD185" s="39" t="str">
        <f t="array" ref="AD185">IFERROR(INDEX(Bids!$AC:$AC, MATCH(C185&amp;"|"&amp;B185, Bids!$AD:$AD,0)), H185)</f>
        <v/>
      </c>
      <c r="AE185" s="39"/>
      <c r="AG185" s="39"/>
      <c r="AH185" s="39" t="str">
        <f t="shared" si="5"/>
        <v/>
      </c>
      <c r="AI185" s="39" t="str">
        <f t="shared" si="6"/>
        <v/>
      </c>
      <c r="AM185" s="39" t="str">
        <f t="array" ref="AM185">IF(C185="","",IFERROR(XLOOKUP(C185,Orders!$A:$A,Orders!$E:$E,""),""))</f>
        <v/>
      </c>
      <c r="AN185" s="39" t="str">
        <f t="shared" si="7"/>
        <v/>
      </c>
      <c r="AO185" s="39" t="str">
        <f t="shared" si="8"/>
        <v/>
      </c>
      <c r="AP185" s="39" t="str">
        <f t="shared" si="9"/>
        <v/>
      </c>
      <c r="AQ185" s="39" t="str">
        <f t="shared" si="10"/>
        <v/>
      </c>
      <c r="AR185" s="39" t="str">
        <f t="shared" si="11"/>
        <v/>
      </c>
      <c r="AS185" s="39" t="str">
        <f t="shared" si="12"/>
        <v/>
      </c>
      <c r="AT185" s="39" t="str">
        <f t="shared" si="13"/>
        <v/>
      </c>
      <c r="AU185" s="39" t="str">
        <f t="shared" si="14"/>
        <v/>
      </c>
    </row>
    <row r="186" ht="15.75" customHeight="1">
      <c r="A186" s="22"/>
      <c r="B186" s="22"/>
      <c r="C186" s="22"/>
      <c r="D186" s="22"/>
      <c r="E186" s="40"/>
      <c r="F186" s="40" t="str">
        <f>IF($C186="","",VLOOKUP($C186,Orders!$A$4:$J$303,3,FALSE))</f>
        <v/>
      </c>
      <c r="G186" s="40" t="str">
        <f>IF($C186="","",VLOOKUP($C186,Orders!$A$4:$J$303,4,FALSE))</f>
        <v/>
      </c>
      <c r="H186" s="22"/>
      <c r="I186" s="40" t="str">
        <f t="shared" si="1"/>
        <v/>
      </c>
      <c r="J186" s="40" t="str">
        <f t="shared" si="2"/>
        <v/>
      </c>
      <c r="K186" s="40" t="str">
        <f>IF($C186="","",VLOOKUP($C186,Orders!$A$4:$J$303,5,FALSE))</f>
        <v/>
      </c>
      <c r="L186" s="22"/>
      <c r="M186" s="40" t="str">
        <f t="shared" si="3"/>
        <v/>
      </c>
      <c r="N186" s="22"/>
      <c r="O186" s="22"/>
      <c r="P186" s="22" t="str">
        <f t="shared" si="4"/>
        <v/>
      </c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39" t="str">
        <f t="array" ref="AB186">IFERROR(INDEX(Bids!$AA:$AA, MATCH(C186&amp;"|"&amp;B186, Bids!$AD:$AD,0)),"")</f>
        <v/>
      </c>
      <c r="AC186" s="39" t="str">
        <f t="array" ref="AC186">IFERROR(INDEX(Bids!$AB:$AB, MATCH(C186&amp;"|"&amp;B186, Bids!$AD:$AD,0)),"")</f>
        <v/>
      </c>
      <c r="AD186" s="39" t="str">
        <f t="array" ref="AD186">IFERROR(INDEX(Bids!$AC:$AC, MATCH(C186&amp;"|"&amp;B186, Bids!$AD:$AD,0)), H186)</f>
        <v/>
      </c>
      <c r="AE186" s="39"/>
      <c r="AG186" s="39"/>
      <c r="AH186" s="39" t="str">
        <f t="shared" si="5"/>
        <v/>
      </c>
      <c r="AI186" s="39" t="str">
        <f t="shared" si="6"/>
        <v/>
      </c>
      <c r="AM186" s="39" t="str">
        <f t="array" ref="AM186">IF(C186="","",IFERROR(XLOOKUP(C186,Orders!$A:$A,Orders!$E:$E,""),""))</f>
        <v/>
      </c>
      <c r="AN186" s="39" t="str">
        <f t="shared" si="7"/>
        <v/>
      </c>
      <c r="AO186" s="39" t="str">
        <f t="shared" si="8"/>
        <v/>
      </c>
      <c r="AP186" s="39" t="str">
        <f t="shared" si="9"/>
        <v/>
      </c>
      <c r="AQ186" s="39" t="str">
        <f t="shared" si="10"/>
        <v/>
      </c>
      <c r="AR186" s="39" t="str">
        <f t="shared" si="11"/>
        <v/>
      </c>
      <c r="AS186" s="39" t="str">
        <f t="shared" si="12"/>
        <v/>
      </c>
      <c r="AT186" s="39" t="str">
        <f t="shared" si="13"/>
        <v/>
      </c>
      <c r="AU186" s="39" t="str">
        <f t="shared" si="14"/>
        <v/>
      </c>
    </row>
    <row r="187" ht="15.75" customHeight="1">
      <c r="A187" s="22"/>
      <c r="B187" s="22"/>
      <c r="C187" s="22"/>
      <c r="D187" s="22"/>
      <c r="E187" s="40"/>
      <c r="F187" s="40" t="str">
        <f>IF($C187="","",VLOOKUP($C187,Orders!$A$4:$J$303,3,FALSE))</f>
        <v/>
      </c>
      <c r="G187" s="40" t="str">
        <f>IF($C187="","",VLOOKUP($C187,Orders!$A$4:$J$303,4,FALSE))</f>
        <v/>
      </c>
      <c r="H187" s="22"/>
      <c r="I187" s="40" t="str">
        <f t="shared" si="1"/>
        <v/>
      </c>
      <c r="J187" s="40" t="str">
        <f t="shared" si="2"/>
        <v/>
      </c>
      <c r="K187" s="40" t="str">
        <f>IF($C187="","",VLOOKUP($C187,Orders!$A$4:$J$303,5,FALSE))</f>
        <v/>
      </c>
      <c r="L187" s="22"/>
      <c r="M187" s="40" t="str">
        <f t="shared" si="3"/>
        <v/>
      </c>
      <c r="N187" s="22"/>
      <c r="O187" s="22"/>
      <c r="P187" s="22" t="str">
        <f t="shared" si="4"/>
        <v/>
      </c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39" t="str">
        <f t="array" ref="AB187">IFERROR(INDEX(Bids!$AA:$AA, MATCH(C187&amp;"|"&amp;B187, Bids!$AD:$AD,0)),"")</f>
        <v/>
      </c>
      <c r="AC187" s="39" t="str">
        <f t="array" ref="AC187">IFERROR(INDEX(Bids!$AB:$AB, MATCH(C187&amp;"|"&amp;B187, Bids!$AD:$AD,0)),"")</f>
        <v/>
      </c>
      <c r="AD187" s="39" t="str">
        <f t="array" ref="AD187">IFERROR(INDEX(Bids!$AC:$AC, MATCH(C187&amp;"|"&amp;B187, Bids!$AD:$AD,0)), H187)</f>
        <v/>
      </c>
      <c r="AE187" s="39"/>
      <c r="AG187" s="39"/>
      <c r="AH187" s="39" t="str">
        <f t="shared" si="5"/>
        <v/>
      </c>
      <c r="AI187" s="39" t="str">
        <f t="shared" si="6"/>
        <v/>
      </c>
      <c r="AM187" s="39" t="str">
        <f t="array" ref="AM187">IF(C187="","",IFERROR(XLOOKUP(C187,Orders!$A:$A,Orders!$E:$E,""),""))</f>
        <v/>
      </c>
      <c r="AN187" s="39" t="str">
        <f t="shared" si="7"/>
        <v/>
      </c>
      <c r="AO187" s="39" t="str">
        <f t="shared" si="8"/>
        <v/>
      </c>
      <c r="AP187" s="39" t="str">
        <f t="shared" si="9"/>
        <v/>
      </c>
      <c r="AQ187" s="39" t="str">
        <f t="shared" si="10"/>
        <v/>
      </c>
      <c r="AR187" s="39" t="str">
        <f t="shared" si="11"/>
        <v/>
      </c>
      <c r="AS187" s="39" t="str">
        <f t="shared" si="12"/>
        <v/>
      </c>
      <c r="AT187" s="39" t="str">
        <f t="shared" si="13"/>
        <v/>
      </c>
      <c r="AU187" s="39" t="str">
        <f t="shared" si="14"/>
        <v/>
      </c>
    </row>
    <row r="188" ht="15.75" customHeight="1">
      <c r="A188" s="22"/>
      <c r="B188" s="22"/>
      <c r="C188" s="22"/>
      <c r="D188" s="22"/>
      <c r="E188" s="40"/>
      <c r="F188" s="40" t="str">
        <f>IF($C188="","",VLOOKUP($C188,Orders!$A$4:$J$303,3,FALSE))</f>
        <v/>
      </c>
      <c r="G188" s="40" t="str">
        <f>IF($C188="","",VLOOKUP($C188,Orders!$A$4:$J$303,4,FALSE))</f>
        <v/>
      </c>
      <c r="H188" s="22"/>
      <c r="I188" s="40" t="str">
        <f t="shared" si="1"/>
        <v/>
      </c>
      <c r="J188" s="40" t="str">
        <f t="shared" si="2"/>
        <v/>
      </c>
      <c r="K188" s="40" t="str">
        <f>IF($C188="","",VLOOKUP($C188,Orders!$A$4:$J$303,5,FALSE))</f>
        <v/>
      </c>
      <c r="L188" s="22"/>
      <c r="M188" s="40" t="str">
        <f t="shared" si="3"/>
        <v/>
      </c>
      <c r="N188" s="22"/>
      <c r="O188" s="22"/>
      <c r="P188" s="22" t="str">
        <f t="shared" si="4"/>
        <v/>
      </c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39" t="str">
        <f t="array" ref="AB188">IFERROR(INDEX(Bids!$AA:$AA, MATCH(C188&amp;"|"&amp;B188, Bids!$AD:$AD,0)),"")</f>
        <v/>
      </c>
      <c r="AC188" s="39" t="str">
        <f t="array" ref="AC188">IFERROR(INDEX(Bids!$AB:$AB, MATCH(C188&amp;"|"&amp;B188, Bids!$AD:$AD,0)),"")</f>
        <v/>
      </c>
      <c r="AD188" s="39" t="str">
        <f t="array" ref="AD188">IFERROR(INDEX(Bids!$AC:$AC, MATCH(C188&amp;"|"&amp;B188, Bids!$AD:$AD,0)), H188)</f>
        <v/>
      </c>
      <c r="AE188" s="39"/>
      <c r="AG188" s="39"/>
      <c r="AH188" s="39" t="str">
        <f t="shared" si="5"/>
        <v/>
      </c>
      <c r="AI188" s="39" t="str">
        <f t="shared" si="6"/>
        <v/>
      </c>
      <c r="AM188" s="39" t="str">
        <f t="array" ref="AM188">IF(C188="","",IFERROR(XLOOKUP(C188,Orders!$A:$A,Orders!$E:$E,""),""))</f>
        <v/>
      </c>
      <c r="AN188" s="39" t="str">
        <f t="shared" si="7"/>
        <v/>
      </c>
      <c r="AO188" s="39" t="str">
        <f t="shared" si="8"/>
        <v/>
      </c>
      <c r="AP188" s="39" t="str">
        <f t="shared" si="9"/>
        <v/>
      </c>
      <c r="AQ188" s="39" t="str">
        <f t="shared" si="10"/>
        <v/>
      </c>
      <c r="AR188" s="39" t="str">
        <f t="shared" si="11"/>
        <v/>
      </c>
      <c r="AS188" s="39" t="str">
        <f t="shared" si="12"/>
        <v/>
      </c>
      <c r="AT188" s="39" t="str">
        <f t="shared" si="13"/>
        <v/>
      </c>
      <c r="AU188" s="39" t="str">
        <f t="shared" si="14"/>
        <v/>
      </c>
    </row>
    <row r="189" ht="15.75" customHeight="1">
      <c r="A189" s="22"/>
      <c r="B189" s="22"/>
      <c r="C189" s="22"/>
      <c r="D189" s="22"/>
      <c r="E189" s="40"/>
      <c r="F189" s="40" t="str">
        <f>IF($C189="","",VLOOKUP($C189,Orders!$A$4:$J$303,3,FALSE))</f>
        <v/>
      </c>
      <c r="G189" s="40" t="str">
        <f>IF($C189="","",VLOOKUP($C189,Orders!$A$4:$J$303,4,FALSE))</f>
        <v/>
      </c>
      <c r="H189" s="22"/>
      <c r="I189" s="40" t="str">
        <f t="shared" si="1"/>
        <v/>
      </c>
      <c r="J189" s="40" t="str">
        <f t="shared" si="2"/>
        <v/>
      </c>
      <c r="K189" s="40" t="str">
        <f>IF($C189="","",VLOOKUP($C189,Orders!$A$4:$J$303,5,FALSE))</f>
        <v/>
      </c>
      <c r="L189" s="22"/>
      <c r="M189" s="40" t="str">
        <f t="shared" si="3"/>
        <v/>
      </c>
      <c r="N189" s="22"/>
      <c r="O189" s="22"/>
      <c r="P189" s="22" t="str">
        <f t="shared" si="4"/>
        <v/>
      </c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39" t="str">
        <f t="array" ref="AB189">IFERROR(INDEX(Bids!$AA:$AA, MATCH(C189&amp;"|"&amp;B189, Bids!$AD:$AD,0)),"")</f>
        <v/>
      </c>
      <c r="AC189" s="39" t="str">
        <f t="array" ref="AC189">IFERROR(INDEX(Bids!$AB:$AB, MATCH(C189&amp;"|"&amp;B189, Bids!$AD:$AD,0)),"")</f>
        <v/>
      </c>
      <c r="AD189" s="39" t="str">
        <f t="array" ref="AD189">IFERROR(INDEX(Bids!$AC:$AC, MATCH(C189&amp;"|"&amp;B189, Bids!$AD:$AD,0)), H189)</f>
        <v/>
      </c>
      <c r="AE189" s="39"/>
      <c r="AG189" s="39"/>
      <c r="AH189" s="39" t="str">
        <f t="shared" si="5"/>
        <v/>
      </c>
      <c r="AI189" s="39" t="str">
        <f t="shared" si="6"/>
        <v/>
      </c>
      <c r="AM189" s="39" t="str">
        <f t="array" ref="AM189">IF(C189="","",IFERROR(XLOOKUP(C189,Orders!$A:$A,Orders!$E:$E,""),""))</f>
        <v/>
      </c>
      <c r="AN189" s="39" t="str">
        <f t="shared" si="7"/>
        <v/>
      </c>
      <c r="AO189" s="39" t="str">
        <f t="shared" si="8"/>
        <v/>
      </c>
      <c r="AP189" s="39" t="str">
        <f t="shared" si="9"/>
        <v/>
      </c>
      <c r="AQ189" s="39" t="str">
        <f t="shared" si="10"/>
        <v/>
      </c>
      <c r="AR189" s="39" t="str">
        <f t="shared" si="11"/>
        <v/>
      </c>
      <c r="AS189" s="39" t="str">
        <f t="shared" si="12"/>
        <v/>
      </c>
      <c r="AT189" s="39" t="str">
        <f t="shared" si="13"/>
        <v/>
      </c>
      <c r="AU189" s="39" t="str">
        <f t="shared" si="14"/>
        <v/>
      </c>
    </row>
    <row r="190" ht="15.75" customHeight="1">
      <c r="A190" s="22"/>
      <c r="B190" s="22"/>
      <c r="C190" s="22"/>
      <c r="D190" s="22"/>
      <c r="E190" s="40"/>
      <c r="F190" s="40" t="str">
        <f>IF($C190="","",VLOOKUP($C190,Orders!$A$4:$J$303,3,FALSE))</f>
        <v/>
      </c>
      <c r="G190" s="40" t="str">
        <f>IF($C190="","",VLOOKUP($C190,Orders!$A$4:$J$303,4,FALSE))</f>
        <v/>
      </c>
      <c r="H190" s="22"/>
      <c r="I190" s="40" t="str">
        <f t="shared" si="1"/>
        <v/>
      </c>
      <c r="J190" s="40" t="str">
        <f t="shared" si="2"/>
        <v/>
      </c>
      <c r="K190" s="40" t="str">
        <f>IF($C190="","",VLOOKUP($C190,Orders!$A$4:$J$303,5,FALSE))</f>
        <v/>
      </c>
      <c r="L190" s="22"/>
      <c r="M190" s="40" t="str">
        <f t="shared" si="3"/>
        <v/>
      </c>
      <c r="N190" s="22"/>
      <c r="O190" s="22"/>
      <c r="P190" s="22" t="str">
        <f t="shared" si="4"/>
        <v/>
      </c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39" t="str">
        <f t="array" ref="AB190">IFERROR(INDEX(Bids!$AA:$AA, MATCH(C190&amp;"|"&amp;B190, Bids!$AD:$AD,0)),"")</f>
        <v/>
      </c>
      <c r="AC190" s="39" t="str">
        <f t="array" ref="AC190">IFERROR(INDEX(Bids!$AB:$AB, MATCH(C190&amp;"|"&amp;B190, Bids!$AD:$AD,0)),"")</f>
        <v/>
      </c>
      <c r="AD190" s="39" t="str">
        <f t="array" ref="AD190">IFERROR(INDEX(Bids!$AC:$AC, MATCH(C190&amp;"|"&amp;B190, Bids!$AD:$AD,0)), H190)</f>
        <v/>
      </c>
      <c r="AE190" s="39"/>
      <c r="AG190" s="39"/>
      <c r="AH190" s="39" t="str">
        <f t="shared" si="5"/>
        <v/>
      </c>
      <c r="AI190" s="39" t="str">
        <f t="shared" si="6"/>
        <v/>
      </c>
      <c r="AM190" s="39" t="str">
        <f t="array" ref="AM190">IF(C190="","",IFERROR(XLOOKUP(C190,Orders!$A:$A,Orders!$E:$E,""),""))</f>
        <v/>
      </c>
      <c r="AN190" s="39" t="str">
        <f t="shared" si="7"/>
        <v/>
      </c>
      <c r="AO190" s="39" t="str">
        <f t="shared" si="8"/>
        <v/>
      </c>
      <c r="AP190" s="39" t="str">
        <f t="shared" si="9"/>
        <v/>
      </c>
      <c r="AQ190" s="39" t="str">
        <f t="shared" si="10"/>
        <v/>
      </c>
      <c r="AR190" s="39" t="str">
        <f t="shared" si="11"/>
        <v/>
      </c>
      <c r="AS190" s="39" t="str">
        <f t="shared" si="12"/>
        <v/>
      </c>
      <c r="AT190" s="39" t="str">
        <f t="shared" si="13"/>
        <v/>
      </c>
      <c r="AU190" s="39" t="str">
        <f t="shared" si="14"/>
        <v/>
      </c>
    </row>
    <row r="191" ht="15.75" customHeight="1">
      <c r="A191" s="22"/>
      <c r="B191" s="22"/>
      <c r="C191" s="22"/>
      <c r="D191" s="22"/>
      <c r="E191" s="40"/>
      <c r="F191" s="40" t="str">
        <f>IF($C191="","",VLOOKUP($C191,Orders!$A$4:$J$303,3,FALSE))</f>
        <v/>
      </c>
      <c r="G191" s="40" t="str">
        <f>IF($C191="","",VLOOKUP($C191,Orders!$A$4:$J$303,4,FALSE))</f>
        <v/>
      </c>
      <c r="H191" s="22"/>
      <c r="I191" s="40" t="str">
        <f t="shared" si="1"/>
        <v/>
      </c>
      <c r="J191" s="40" t="str">
        <f t="shared" si="2"/>
        <v/>
      </c>
      <c r="K191" s="40" t="str">
        <f>IF($C191="","",VLOOKUP($C191,Orders!$A$4:$J$303,5,FALSE))</f>
        <v/>
      </c>
      <c r="L191" s="22"/>
      <c r="M191" s="40" t="str">
        <f t="shared" si="3"/>
        <v/>
      </c>
      <c r="N191" s="22"/>
      <c r="O191" s="22"/>
      <c r="P191" s="22" t="str">
        <f t="shared" si="4"/>
        <v/>
      </c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39" t="str">
        <f t="array" ref="AB191">IFERROR(INDEX(Bids!$AA:$AA, MATCH(C191&amp;"|"&amp;B191, Bids!$AD:$AD,0)),"")</f>
        <v/>
      </c>
      <c r="AC191" s="39" t="str">
        <f t="array" ref="AC191">IFERROR(INDEX(Bids!$AB:$AB, MATCH(C191&amp;"|"&amp;B191, Bids!$AD:$AD,0)),"")</f>
        <v/>
      </c>
      <c r="AD191" s="39" t="str">
        <f t="array" ref="AD191">IFERROR(INDEX(Bids!$AC:$AC, MATCH(C191&amp;"|"&amp;B191, Bids!$AD:$AD,0)), H191)</f>
        <v/>
      </c>
      <c r="AE191" s="39"/>
      <c r="AG191" s="39"/>
      <c r="AH191" s="39" t="str">
        <f t="shared" si="5"/>
        <v/>
      </c>
      <c r="AI191" s="39" t="str">
        <f t="shared" si="6"/>
        <v/>
      </c>
      <c r="AM191" s="39" t="str">
        <f t="array" ref="AM191">IF(C191="","",IFERROR(XLOOKUP(C191,Orders!$A:$A,Orders!$E:$E,""),""))</f>
        <v/>
      </c>
      <c r="AN191" s="39" t="str">
        <f t="shared" si="7"/>
        <v/>
      </c>
      <c r="AO191" s="39" t="str">
        <f t="shared" si="8"/>
        <v/>
      </c>
      <c r="AP191" s="39" t="str">
        <f t="shared" si="9"/>
        <v/>
      </c>
      <c r="AQ191" s="39" t="str">
        <f t="shared" si="10"/>
        <v/>
      </c>
      <c r="AR191" s="39" t="str">
        <f t="shared" si="11"/>
        <v/>
      </c>
      <c r="AS191" s="39" t="str">
        <f t="shared" si="12"/>
        <v/>
      </c>
      <c r="AT191" s="39" t="str">
        <f t="shared" si="13"/>
        <v/>
      </c>
      <c r="AU191" s="39" t="str">
        <f t="shared" si="14"/>
        <v/>
      </c>
    </row>
    <row r="192" ht="15.75" customHeight="1">
      <c r="A192" s="22"/>
      <c r="B192" s="22"/>
      <c r="C192" s="22"/>
      <c r="D192" s="22"/>
      <c r="E192" s="40"/>
      <c r="F192" s="40" t="str">
        <f>IF($C192="","",VLOOKUP($C192,Orders!$A$4:$J$303,3,FALSE))</f>
        <v/>
      </c>
      <c r="G192" s="40" t="str">
        <f>IF($C192="","",VLOOKUP($C192,Orders!$A$4:$J$303,4,FALSE))</f>
        <v/>
      </c>
      <c r="H192" s="22"/>
      <c r="I192" s="40" t="str">
        <f t="shared" si="1"/>
        <v/>
      </c>
      <c r="J192" s="40" t="str">
        <f t="shared" si="2"/>
        <v/>
      </c>
      <c r="K192" s="40" t="str">
        <f>IF($C192="","",VLOOKUP($C192,Orders!$A$4:$J$303,5,FALSE))</f>
        <v/>
      </c>
      <c r="L192" s="22"/>
      <c r="M192" s="40" t="str">
        <f t="shared" si="3"/>
        <v/>
      </c>
      <c r="N192" s="22"/>
      <c r="O192" s="22"/>
      <c r="P192" s="22" t="str">
        <f t="shared" si="4"/>
        <v/>
      </c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39" t="str">
        <f t="array" ref="AB192">IFERROR(INDEX(Bids!$AA:$AA, MATCH(C192&amp;"|"&amp;B192, Bids!$AD:$AD,0)),"")</f>
        <v/>
      </c>
      <c r="AC192" s="39" t="str">
        <f t="array" ref="AC192">IFERROR(INDEX(Bids!$AB:$AB, MATCH(C192&amp;"|"&amp;B192, Bids!$AD:$AD,0)),"")</f>
        <v/>
      </c>
      <c r="AD192" s="39" t="str">
        <f t="array" ref="AD192">IFERROR(INDEX(Bids!$AC:$AC, MATCH(C192&amp;"|"&amp;B192, Bids!$AD:$AD,0)), H192)</f>
        <v/>
      </c>
      <c r="AE192" s="39"/>
      <c r="AG192" s="39"/>
      <c r="AH192" s="39" t="str">
        <f t="shared" si="5"/>
        <v/>
      </c>
      <c r="AI192" s="39" t="str">
        <f t="shared" si="6"/>
        <v/>
      </c>
      <c r="AM192" s="39" t="str">
        <f t="array" ref="AM192">IF(C192="","",IFERROR(XLOOKUP(C192,Orders!$A:$A,Orders!$E:$E,""),""))</f>
        <v/>
      </c>
      <c r="AN192" s="39" t="str">
        <f t="shared" si="7"/>
        <v/>
      </c>
      <c r="AO192" s="39" t="str">
        <f t="shared" si="8"/>
        <v/>
      </c>
      <c r="AP192" s="39" t="str">
        <f t="shared" si="9"/>
        <v/>
      </c>
      <c r="AQ192" s="39" t="str">
        <f t="shared" si="10"/>
        <v/>
      </c>
      <c r="AR192" s="39" t="str">
        <f t="shared" si="11"/>
        <v/>
      </c>
      <c r="AS192" s="39" t="str">
        <f t="shared" si="12"/>
        <v/>
      </c>
      <c r="AT192" s="39" t="str">
        <f t="shared" si="13"/>
        <v/>
      </c>
      <c r="AU192" s="39" t="str">
        <f t="shared" si="14"/>
        <v/>
      </c>
    </row>
    <row r="193" ht="15.75" customHeight="1">
      <c r="A193" s="22"/>
      <c r="B193" s="22"/>
      <c r="C193" s="22"/>
      <c r="D193" s="22"/>
      <c r="E193" s="40"/>
      <c r="F193" s="40" t="str">
        <f>IF($C193="","",VLOOKUP($C193,Orders!$A$4:$J$303,3,FALSE))</f>
        <v/>
      </c>
      <c r="G193" s="40" t="str">
        <f>IF($C193="","",VLOOKUP($C193,Orders!$A$4:$J$303,4,FALSE))</f>
        <v/>
      </c>
      <c r="H193" s="22"/>
      <c r="I193" s="40" t="str">
        <f t="shared" si="1"/>
        <v/>
      </c>
      <c r="J193" s="40" t="str">
        <f t="shared" si="2"/>
        <v/>
      </c>
      <c r="K193" s="40" t="str">
        <f>IF($C193="","",VLOOKUP($C193,Orders!$A$4:$J$303,5,FALSE))</f>
        <v/>
      </c>
      <c r="L193" s="22"/>
      <c r="M193" s="40" t="str">
        <f t="shared" si="3"/>
        <v/>
      </c>
      <c r="N193" s="22"/>
      <c r="O193" s="22"/>
      <c r="P193" s="22" t="str">
        <f t="shared" si="4"/>
        <v/>
      </c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39" t="str">
        <f t="array" ref="AB193">IFERROR(INDEX(Bids!$AA:$AA, MATCH(C193&amp;"|"&amp;B193, Bids!$AD:$AD,0)),"")</f>
        <v/>
      </c>
      <c r="AC193" s="39" t="str">
        <f t="array" ref="AC193">IFERROR(INDEX(Bids!$AB:$AB, MATCH(C193&amp;"|"&amp;B193, Bids!$AD:$AD,0)),"")</f>
        <v/>
      </c>
      <c r="AD193" s="39" t="str">
        <f t="array" ref="AD193">IFERROR(INDEX(Bids!$AC:$AC, MATCH(C193&amp;"|"&amp;B193, Bids!$AD:$AD,0)), H193)</f>
        <v/>
      </c>
      <c r="AE193" s="39"/>
      <c r="AG193" s="39"/>
      <c r="AH193" s="39" t="str">
        <f t="shared" si="5"/>
        <v/>
      </c>
      <c r="AI193" s="39" t="str">
        <f t="shared" si="6"/>
        <v/>
      </c>
      <c r="AM193" s="39" t="str">
        <f t="array" ref="AM193">IF(C193="","",IFERROR(XLOOKUP(C193,Orders!$A:$A,Orders!$E:$E,""),""))</f>
        <v/>
      </c>
      <c r="AN193" s="39" t="str">
        <f t="shared" si="7"/>
        <v/>
      </c>
      <c r="AO193" s="39" t="str">
        <f t="shared" si="8"/>
        <v/>
      </c>
      <c r="AP193" s="39" t="str">
        <f t="shared" si="9"/>
        <v/>
      </c>
      <c r="AQ193" s="39" t="str">
        <f t="shared" si="10"/>
        <v/>
      </c>
      <c r="AR193" s="39" t="str">
        <f t="shared" si="11"/>
        <v/>
      </c>
      <c r="AS193" s="39" t="str">
        <f t="shared" si="12"/>
        <v/>
      </c>
      <c r="AT193" s="39" t="str">
        <f t="shared" si="13"/>
        <v/>
      </c>
      <c r="AU193" s="39" t="str">
        <f t="shared" si="14"/>
        <v/>
      </c>
    </row>
    <row r="194" ht="15.75" customHeight="1">
      <c r="A194" s="22"/>
      <c r="B194" s="22"/>
      <c r="C194" s="22"/>
      <c r="D194" s="22"/>
      <c r="E194" s="40"/>
      <c r="F194" s="40" t="str">
        <f>IF($C194="","",VLOOKUP($C194,Orders!$A$4:$J$303,3,FALSE))</f>
        <v/>
      </c>
      <c r="G194" s="40" t="str">
        <f>IF($C194="","",VLOOKUP($C194,Orders!$A$4:$J$303,4,FALSE))</f>
        <v/>
      </c>
      <c r="H194" s="22"/>
      <c r="I194" s="40" t="str">
        <f t="shared" si="1"/>
        <v/>
      </c>
      <c r="J194" s="40" t="str">
        <f t="shared" si="2"/>
        <v/>
      </c>
      <c r="K194" s="40" t="str">
        <f>IF($C194="","",VLOOKUP($C194,Orders!$A$4:$J$303,5,FALSE))</f>
        <v/>
      </c>
      <c r="L194" s="22"/>
      <c r="M194" s="40" t="str">
        <f t="shared" si="3"/>
        <v/>
      </c>
      <c r="N194" s="22"/>
      <c r="O194" s="22"/>
      <c r="P194" s="22" t="str">
        <f t="shared" si="4"/>
        <v/>
      </c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39" t="str">
        <f t="array" ref="AB194">IFERROR(INDEX(Bids!$AA:$AA, MATCH(C194&amp;"|"&amp;B194, Bids!$AD:$AD,0)),"")</f>
        <v/>
      </c>
      <c r="AC194" s="39" t="str">
        <f t="array" ref="AC194">IFERROR(INDEX(Bids!$AB:$AB, MATCH(C194&amp;"|"&amp;B194, Bids!$AD:$AD,0)),"")</f>
        <v/>
      </c>
      <c r="AD194" s="39" t="str">
        <f t="array" ref="AD194">IFERROR(INDEX(Bids!$AC:$AC, MATCH(C194&amp;"|"&amp;B194, Bids!$AD:$AD,0)), H194)</f>
        <v/>
      </c>
      <c r="AE194" s="39"/>
      <c r="AG194" s="39"/>
      <c r="AH194" s="39" t="str">
        <f t="shared" si="5"/>
        <v/>
      </c>
      <c r="AI194" s="39" t="str">
        <f t="shared" si="6"/>
        <v/>
      </c>
      <c r="AM194" s="39" t="str">
        <f t="array" ref="AM194">IF(C194="","",IFERROR(XLOOKUP(C194,Orders!$A:$A,Orders!$E:$E,""),""))</f>
        <v/>
      </c>
      <c r="AN194" s="39" t="str">
        <f t="shared" si="7"/>
        <v/>
      </c>
      <c r="AO194" s="39" t="str">
        <f t="shared" si="8"/>
        <v/>
      </c>
      <c r="AP194" s="39" t="str">
        <f t="shared" si="9"/>
        <v/>
      </c>
      <c r="AQ194" s="39" t="str">
        <f t="shared" si="10"/>
        <v/>
      </c>
      <c r="AR194" s="39" t="str">
        <f t="shared" si="11"/>
        <v/>
      </c>
      <c r="AS194" s="39" t="str">
        <f t="shared" si="12"/>
        <v/>
      </c>
      <c r="AT194" s="39" t="str">
        <f t="shared" si="13"/>
        <v/>
      </c>
      <c r="AU194" s="39" t="str">
        <f t="shared" si="14"/>
        <v/>
      </c>
    </row>
    <row r="195" ht="15.75" customHeight="1">
      <c r="A195" s="22"/>
      <c r="B195" s="22"/>
      <c r="C195" s="22"/>
      <c r="D195" s="22"/>
      <c r="E195" s="40"/>
      <c r="F195" s="40" t="str">
        <f>IF($C195="","",VLOOKUP($C195,Orders!$A$4:$J$303,3,FALSE))</f>
        <v/>
      </c>
      <c r="G195" s="40" t="str">
        <f>IF($C195="","",VLOOKUP($C195,Orders!$A$4:$J$303,4,FALSE))</f>
        <v/>
      </c>
      <c r="H195" s="22"/>
      <c r="I195" s="40" t="str">
        <f t="shared" si="1"/>
        <v/>
      </c>
      <c r="J195" s="40" t="str">
        <f t="shared" si="2"/>
        <v/>
      </c>
      <c r="K195" s="40" t="str">
        <f>IF($C195="","",VLOOKUP($C195,Orders!$A$4:$J$303,5,FALSE))</f>
        <v/>
      </c>
      <c r="L195" s="22"/>
      <c r="M195" s="40" t="str">
        <f t="shared" si="3"/>
        <v/>
      </c>
      <c r="N195" s="22"/>
      <c r="O195" s="22"/>
      <c r="P195" s="22" t="str">
        <f t="shared" si="4"/>
        <v/>
      </c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39" t="str">
        <f t="array" ref="AB195">IFERROR(INDEX(Bids!$AA:$AA, MATCH(C195&amp;"|"&amp;B195, Bids!$AD:$AD,0)),"")</f>
        <v/>
      </c>
      <c r="AC195" s="39" t="str">
        <f t="array" ref="AC195">IFERROR(INDEX(Bids!$AB:$AB, MATCH(C195&amp;"|"&amp;B195, Bids!$AD:$AD,0)),"")</f>
        <v/>
      </c>
      <c r="AD195" s="39" t="str">
        <f t="array" ref="AD195">IFERROR(INDEX(Bids!$AC:$AC, MATCH(C195&amp;"|"&amp;B195, Bids!$AD:$AD,0)), H195)</f>
        <v/>
      </c>
      <c r="AE195" s="39"/>
      <c r="AG195" s="39"/>
      <c r="AH195" s="39" t="str">
        <f t="shared" si="5"/>
        <v/>
      </c>
      <c r="AI195" s="39" t="str">
        <f t="shared" si="6"/>
        <v/>
      </c>
      <c r="AM195" s="39" t="str">
        <f t="array" ref="AM195">IF(C195="","",IFERROR(XLOOKUP(C195,Orders!$A:$A,Orders!$E:$E,""),""))</f>
        <v/>
      </c>
      <c r="AN195" s="39" t="str">
        <f t="shared" si="7"/>
        <v/>
      </c>
      <c r="AO195" s="39" t="str">
        <f t="shared" si="8"/>
        <v/>
      </c>
      <c r="AP195" s="39" t="str">
        <f t="shared" si="9"/>
        <v/>
      </c>
      <c r="AQ195" s="39" t="str">
        <f t="shared" si="10"/>
        <v/>
      </c>
      <c r="AR195" s="39" t="str">
        <f t="shared" si="11"/>
        <v/>
      </c>
      <c r="AS195" s="39" t="str">
        <f t="shared" si="12"/>
        <v/>
      </c>
      <c r="AT195" s="39" t="str">
        <f t="shared" si="13"/>
        <v/>
      </c>
      <c r="AU195" s="39" t="str">
        <f t="shared" si="14"/>
        <v/>
      </c>
    </row>
    <row r="196" ht="15.75" customHeight="1">
      <c r="A196" s="22"/>
      <c r="B196" s="22"/>
      <c r="C196" s="22"/>
      <c r="D196" s="22"/>
      <c r="E196" s="40"/>
      <c r="F196" s="40" t="str">
        <f>IF($C196="","",VLOOKUP($C196,Orders!$A$4:$J$303,3,FALSE))</f>
        <v/>
      </c>
      <c r="G196" s="40" t="str">
        <f>IF($C196="","",VLOOKUP($C196,Orders!$A$4:$J$303,4,FALSE))</f>
        <v/>
      </c>
      <c r="H196" s="22"/>
      <c r="I196" s="40" t="str">
        <f t="shared" si="1"/>
        <v/>
      </c>
      <c r="J196" s="40" t="str">
        <f t="shared" si="2"/>
        <v/>
      </c>
      <c r="K196" s="40" t="str">
        <f>IF($C196="","",VLOOKUP($C196,Orders!$A$4:$J$303,5,FALSE))</f>
        <v/>
      </c>
      <c r="L196" s="22"/>
      <c r="M196" s="40" t="str">
        <f t="shared" si="3"/>
        <v/>
      </c>
      <c r="N196" s="22"/>
      <c r="O196" s="22"/>
      <c r="P196" s="22" t="str">
        <f t="shared" si="4"/>
        <v/>
      </c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39" t="str">
        <f t="array" ref="AB196">IFERROR(INDEX(Bids!$AA:$AA, MATCH(C196&amp;"|"&amp;B196, Bids!$AD:$AD,0)),"")</f>
        <v/>
      </c>
      <c r="AC196" s="39" t="str">
        <f t="array" ref="AC196">IFERROR(INDEX(Bids!$AB:$AB, MATCH(C196&amp;"|"&amp;B196, Bids!$AD:$AD,0)),"")</f>
        <v/>
      </c>
      <c r="AD196" s="39" t="str">
        <f t="array" ref="AD196">IFERROR(INDEX(Bids!$AC:$AC, MATCH(C196&amp;"|"&amp;B196, Bids!$AD:$AD,0)), H196)</f>
        <v/>
      </c>
      <c r="AE196" s="39"/>
      <c r="AG196" s="39"/>
      <c r="AH196" s="39" t="str">
        <f t="shared" si="5"/>
        <v/>
      </c>
      <c r="AI196" s="39" t="str">
        <f t="shared" si="6"/>
        <v/>
      </c>
      <c r="AM196" s="39" t="str">
        <f t="array" ref="AM196">IF(C196="","",IFERROR(XLOOKUP(C196,Orders!$A:$A,Orders!$E:$E,""),""))</f>
        <v/>
      </c>
      <c r="AN196" s="39" t="str">
        <f t="shared" si="7"/>
        <v/>
      </c>
      <c r="AO196" s="39" t="str">
        <f t="shared" si="8"/>
        <v/>
      </c>
      <c r="AP196" s="39" t="str">
        <f t="shared" si="9"/>
        <v/>
      </c>
      <c r="AQ196" s="39" t="str">
        <f t="shared" si="10"/>
        <v/>
      </c>
      <c r="AR196" s="39" t="str">
        <f t="shared" si="11"/>
        <v/>
      </c>
      <c r="AS196" s="39" t="str">
        <f t="shared" si="12"/>
        <v/>
      </c>
      <c r="AT196" s="39" t="str">
        <f t="shared" si="13"/>
        <v/>
      </c>
      <c r="AU196" s="39" t="str">
        <f t="shared" si="14"/>
        <v/>
      </c>
    </row>
    <row r="197" ht="15.75" customHeight="1">
      <c r="A197" s="22"/>
      <c r="B197" s="22"/>
      <c r="C197" s="22"/>
      <c r="D197" s="22"/>
      <c r="E197" s="40"/>
      <c r="F197" s="40" t="str">
        <f>IF($C197="","",VLOOKUP($C197,Orders!$A$4:$J$303,3,FALSE))</f>
        <v/>
      </c>
      <c r="G197" s="40" t="str">
        <f>IF($C197="","",VLOOKUP($C197,Orders!$A$4:$J$303,4,FALSE))</f>
        <v/>
      </c>
      <c r="H197" s="22"/>
      <c r="I197" s="40" t="str">
        <f t="shared" si="1"/>
        <v/>
      </c>
      <c r="J197" s="40" t="str">
        <f t="shared" si="2"/>
        <v/>
      </c>
      <c r="K197" s="40" t="str">
        <f>IF($C197="","",VLOOKUP($C197,Orders!$A$4:$J$303,5,FALSE))</f>
        <v/>
      </c>
      <c r="L197" s="22"/>
      <c r="M197" s="40" t="str">
        <f t="shared" si="3"/>
        <v/>
      </c>
      <c r="N197" s="22"/>
      <c r="O197" s="22"/>
      <c r="P197" s="22" t="str">
        <f t="shared" si="4"/>
        <v/>
      </c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39" t="str">
        <f t="array" ref="AB197">IFERROR(INDEX(Bids!$AA:$AA, MATCH(C197&amp;"|"&amp;B197, Bids!$AD:$AD,0)),"")</f>
        <v/>
      </c>
      <c r="AC197" s="39" t="str">
        <f t="array" ref="AC197">IFERROR(INDEX(Bids!$AB:$AB, MATCH(C197&amp;"|"&amp;B197, Bids!$AD:$AD,0)),"")</f>
        <v/>
      </c>
      <c r="AD197" s="39" t="str">
        <f t="array" ref="AD197">IFERROR(INDEX(Bids!$AC:$AC, MATCH(C197&amp;"|"&amp;B197, Bids!$AD:$AD,0)), H197)</f>
        <v/>
      </c>
      <c r="AE197" s="39"/>
      <c r="AG197" s="39"/>
      <c r="AH197" s="39" t="str">
        <f t="shared" si="5"/>
        <v/>
      </c>
      <c r="AI197" s="39" t="str">
        <f t="shared" si="6"/>
        <v/>
      </c>
      <c r="AM197" s="39" t="str">
        <f t="array" ref="AM197">IF(C197="","",IFERROR(XLOOKUP(C197,Orders!$A:$A,Orders!$E:$E,""),""))</f>
        <v/>
      </c>
      <c r="AN197" s="39" t="str">
        <f t="shared" si="7"/>
        <v/>
      </c>
      <c r="AO197" s="39" t="str">
        <f t="shared" si="8"/>
        <v/>
      </c>
      <c r="AP197" s="39" t="str">
        <f t="shared" si="9"/>
        <v/>
      </c>
      <c r="AQ197" s="39" t="str">
        <f t="shared" si="10"/>
        <v/>
      </c>
      <c r="AR197" s="39" t="str">
        <f t="shared" si="11"/>
        <v/>
      </c>
      <c r="AS197" s="39" t="str">
        <f t="shared" si="12"/>
        <v/>
      </c>
      <c r="AT197" s="39" t="str">
        <f t="shared" si="13"/>
        <v/>
      </c>
      <c r="AU197" s="39" t="str">
        <f t="shared" si="14"/>
        <v/>
      </c>
    </row>
    <row r="198" ht="15.75" customHeight="1">
      <c r="A198" s="22"/>
      <c r="B198" s="22"/>
      <c r="C198" s="22"/>
      <c r="D198" s="22"/>
      <c r="E198" s="40"/>
      <c r="F198" s="40" t="str">
        <f>IF($C198="","",VLOOKUP($C198,Orders!$A$4:$J$303,3,FALSE))</f>
        <v/>
      </c>
      <c r="G198" s="40" t="str">
        <f>IF($C198="","",VLOOKUP($C198,Orders!$A$4:$J$303,4,FALSE))</f>
        <v/>
      </c>
      <c r="H198" s="22"/>
      <c r="I198" s="40" t="str">
        <f t="shared" si="1"/>
        <v/>
      </c>
      <c r="J198" s="40" t="str">
        <f t="shared" si="2"/>
        <v/>
      </c>
      <c r="K198" s="40" t="str">
        <f>IF($C198="","",VLOOKUP($C198,Orders!$A$4:$J$303,5,FALSE))</f>
        <v/>
      </c>
      <c r="L198" s="22"/>
      <c r="M198" s="40" t="str">
        <f t="shared" si="3"/>
        <v/>
      </c>
      <c r="N198" s="22"/>
      <c r="O198" s="22"/>
      <c r="P198" s="22" t="str">
        <f t="shared" si="4"/>
        <v/>
      </c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39" t="str">
        <f t="array" ref="AB198">IFERROR(INDEX(Bids!$AA:$AA, MATCH(C198&amp;"|"&amp;B198, Bids!$AD:$AD,0)),"")</f>
        <v/>
      </c>
      <c r="AC198" s="39" t="str">
        <f t="array" ref="AC198">IFERROR(INDEX(Bids!$AB:$AB, MATCH(C198&amp;"|"&amp;B198, Bids!$AD:$AD,0)),"")</f>
        <v/>
      </c>
      <c r="AD198" s="39" t="str">
        <f t="array" ref="AD198">IFERROR(INDEX(Bids!$AC:$AC, MATCH(C198&amp;"|"&amp;B198, Bids!$AD:$AD,0)), H198)</f>
        <v/>
      </c>
      <c r="AE198" s="39"/>
      <c r="AG198" s="39"/>
      <c r="AH198" s="39" t="str">
        <f t="shared" si="5"/>
        <v/>
      </c>
      <c r="AI198" s="39" t="str">
        <f t="shared" si="6"/>
        <v/>
      </c>
      <c r="AM198" s="39" t="str">
        <f t="array" ref="AM198">IF(C198="","",IFERROR(XLOOKUP(C198,Orders!$A:$A,Orders!$E:$E,""),""))</f>
        <v/>
      </c>
      <c r="AN198" s="39" t="str">
        <f t="shared" si="7"/>
        <v/>
      </c>
      <c r="AO198" s="39" t="str">
        <f t="shared" si="8"/>
        <v/>
      </c>
      <c r="AP198" s="39" t="str">
        <f t="shared" si="9"/>
        <v/>
      </c>
      <c r="AQ198" s="39" t="str">
        <f t="shared" si="10"/>
        <v/>
      </c>
      <c r="AR198" s="39" t="str">
        <f t="shared" si="11"/>
        <v/>
      </c>
      <c r="AS198" s="39" t="str">
        <f t="shared" si="12"/>
        <v/>
      </c>
      <c r="AT198" s="39" t="str">
        <f t="shared" si="13"/>
        <v/>
      </c>
      <c r="AU198" s="39" t="str">
        <f t="shared" si="14"/>
        <v/>
      </c>
    </row>
    <row r="199" ht="15.75" customHeight="1">
      <c r="A199" s="22"/>
      <c r="B199" s="22"/>
      <c r="C199" s="22"/>
      <c r="D199" s="22"/>
      <c r="E199" s="40"/>
      <c r="F199" s="40" t="str">
        <f>IF($C199="","",VLOOKUP($C199,Orders!$A$4:$J$303,3,FALSE))</f>
        <v/>
      </c>
      <c r="G199" s="40" t="str">
        <f>IF($C199="","",VLOOKUP($C199,Orders!$A$4:$J$303,4,FALSE))</f>
        <v/>
      </c>
      <c r="H199" s="22"/>
      <c r="I199" s="40" t="str">
        <f t="shared" si="1"/>
        <v/>
      </c>
      <c r="J199" s="40" t="str">
        <f t="shared" si="2"/>
        <v/>
      </c>
      <c r="K199" s="40" t="str">
        <f>IF($C199="","",VLOOKUP($C199,Orders!$A$4:$J$303,5,FALSE))</f>
        <v/>
      </c>
      <c r="L199" s="22"/>
      <c r="M199" s="40" t="str">
        <f t="shared" si="3"/>
        <v/>
      </c>
      <c r="N199" s="22"/>
      <c r="O199" s="22"/>
      <c r="P199" s="22" t="str">
        <f t="shared" si="4"/>
        <v/>
      </c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39" t="str">
        <f t="array" ref="AB199">IFERROR(INDEX(Bids!$AA:$AA, MATCH(C199&amp;"|"&amp;B199, Bids!$AD:$AD,0)),"")</f>
        <v/>
      </c>
      <c r="AC199" s="39" t="str">
        <f t="array" ref="AC199">IFERROR(INDEX(Bids!$AB:$AB, MATCH(C199&amp;"|"&amp;B199, Bids!$AD:$AD,0)),"")</f>
        <v/>
      </c>
      <c r="AD199" s="39" t="str">
        <f t="array" ref="AD199">IFERROR(INDEX(Bids!$AC:$AC, MATCH(C199&amp;"|"&amp;B199, Bids!$AD:$AD,0)), H199)</f>
        <v/>
      </c>
      <c r="AE199" s="39"/>
      <c r="AG199" s="39"/>
      <c r="AH199" s="39" t="str">
        <f t="shared" si="5"/>
        <v/>
      </c>
      <c r="AI199" s="39" t="str">
        <f t="shared" si="6"/>
        <v/>
      </c>
      <c r="AM199" s="39" t="str">
        <f t="array" ref="AM199">IF(C199="","",IFERROR(XLOOKUP(C199,Orders!$A:$A,Orders!$E:$E,""),""))</f>
        <v/>
      </c>
      <c r="AN199" s="39" t="str">
        <f t="shared" si="7"/>
        <v/>
      </c>
      <c r="AO199" s="39" t="str">
        <f t="shared" si="8"/>
        <v/>
      </c>
      <c r="AP199" s="39" t="str">
        <f t="shared" si="9"/>
        <v/>
      </c>
      <c r="AQ199" s="39" t="str">
        <f t="shared" si="10"/>
        <v/>
      </c>
      <c r="AR199" s="39" t="str">
        <f t="shared" si="11"/>
        <v/>
      </c>
      <c r="AS199" s="39" t="str">
        <f t="shared" si="12"/>
        <v/>
      </c>
      <c r="AT199" s="39" t="str">
        <f t="shared" si="13"/>
        <v/>
      </c>
      <c r="AU199" s="39" t="str">
        <f t="shared" si="14"/>
        <v/>
      </c>
    </row>
    <row r="200" ht="15.75" customHeight="1">
      <c r="A200" s="22"/>
      <c r="B200" s="22"/>
      <c r="C200" s="22"/>
      <c r="D200" s="22"/>
      <c r="E200" s="40"/>
      <c r="F200" s="40" t="str">
        <f>IF($C200="","",VLOOKUP($C200,Orders!$A$4:$J$303,3,FALSE))</f>
        <v/>
      </c>
      <c r="G200" s="40" t="str">
        <f>IF($C200="","",VLOOKUP($C200,Orders!$A$4:$J$303,4,FALSE))</f>
        <v/>
      </c>
      <c r="H200" s="22"/>
      <c r="I200" s="40" t="str">
        <f t="shared" si="1"/>
        <v/>
      </c>
      <c r="J200" s="40" t="str">
        <f t="shared" si="2"/>
        <v/>
      </c>
      <c r="K200" s="40" t="str">
        <f>IF($C200="","",VLOOKUP($C200,Orders!$A$4:$J$303,5,FALSE))</f>
        <v/>
      </c>
      <c r="L200" s="22"/>
      <c r="M200" s="40" t="str">
        <f t="shared" si="3"/>
        <v/>
      </c>
      <c r="N200" s="22"/>
      <c r="O200" s="22"/>
      <c r="P200" s="22" t="str">
        <f t="shared" si="4"/>
        <v/>
      </c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39" t="str">
        <f t="array" ref="AB200">IFERROR(INDEX(Bids!$AA:$AA, MATCH(C200&amp;"|"&amp;B200, Bids!$AD:$AD,0)),"")</f>
        <v/>
      </c>
      <c r="AC200" s="39" t="str">
        <f t="array" ref="AC200">IFERROR(INDEX(Bids!$AB:$AB, MATCH(C200&amp;"|"&amp;B200, Bids!$AD:$AD,0)),"")</f>
        <v/>
      </c>
      <c r="AD200" s="39" t="str">
        <f t="array" ref="AD200">IFERROR(INDEX(Bids!$AC:$AC, MATCH(C200&amp;"|"&amp;B200, Bids!$AD:$AD,0)), H200)</f>
        <v/>
      </c>
      <c r="AE200" s="39"/>
      <c r="AG200" s="39"/>
      <c r="AH200" s="39" t="str">
        <f t="shared" si="5"/>
        <v/>
      </c>
      <c r="AI200" s="39" t="str">
        <f t="shared" si="6"/>
        <v/>
      </c>
      <c r="AM200" s="39" t="str">
        <f t="array" ref="AM200">IF(C200="","",IFERROR(XLOOKUP(C200,Orders!$A:$A,Orders!$E:$E,""),""))</f>
        <v/>
      </c>
      <c r="AN200" s="39" t="str">
        <f t="shared" si="7"/>
        <v/>
      </c>
      <c r="AO200" s="39" t="str">
        <f t="shared" si="8"/>
        <v/>
      </c>
      <c r="AP200" s="39" t="str">
        <f t="shared" si="9"/>
        <v/>
      </c>
      <c r="AQ200" s="39" t="str">
        <f t="shared" si="10"/>
        <v/>
      </c>
      <c r="AR200" s="39" t="str">
        <f t="shared" si="11"/>
        <v/>
      </c>
      <c r="AS200" s="39" t="str">
        <f t="shared" si="12"/>
        <v/>
      </c>
      <c r="AT200" s="39" t="str">
        <f t="shared" si="13"/>
        <v/>
      </c>
      <c r="AU200" s="39" t="str">
        <f t="shared" si="14"/>
        <v/>
      </c>
    </row>
    <row r="201" ht="15.75" customHeight="1">
      <c r="A201" s="22"/>
      <c r="B201" s="22"/>
      <c r="C201" s="22"/>
      <c r="D201" s="22"/>
      <c r="E201" s="40"/>
      <c r="F201" s="40" t="str">
        <f>IF($C201="","",VLOOKUP($C201,Orders!$A$4:$J$303,3,FALSE))</f>
        <v/>
      </c>
      <c r="G201" s="40" t="str">
        <f>IF($C201="","",VLOOKUP($C201,Orders!$A$4:$J$303,4,FALSE))</f>
        <v/>
      </c>
      <c r="H201" s="22"/>
      <c r="I201" s="40" t="str">
        <f t="shared" si="1"/>
        <v/>
      </c>
      <c r="J201" s="40" t="str">
        <f t="shared" si="2"/>
        <v/>
      </c>
      <c r="K201" s="40" t="str">
        <f>IF($C201="","",VLOOKUP($C201,Orders!$A$4:$J$303,5,FALSE))</f>
        <v/>
      </c>
      <c r="L201" s="22"/>
      <c r="M201" s="40" t="str">
        <f t="shared" si="3"/>
        <v/>
      </c>
      <c r="N201" s="22"/>
      <c r="O201" s="22"/>
      <c r="P201" s="22" t="str">
        <f t="shared" si="4"/>
        <v/>
      </c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39" t="str">
        <f t="array" ref="AB201">IFERROR(INDEX(Bids!$AA:$AA, MATCH(C201&amp;"|"&amp;B201, Bids!$AD:$AD,0)),"")</f>
        <v/>
      </c>
      <c r="AC201" s="39" t="str">
        <f t="array" ref="AC201">IFERROR(INDEX(Bids!$AB:$AB, MATCH(C201&amp;"|"&amp;B201, Bids!$AD:$AD,0)),"")</f>
        <v/>
      </c>
      <c r="AD201" s="39" t="str">
        <f t="array" ref="AD201">IFERROR(INDEX(Bids!$AC:$AC, MATCH(C201&amp;"|"&amp;B201, Bids!$AD:$AD,0)), H201)</f>
        <v/>
      </c>
      <c r="AE201" s="39"/>
      <c r="AG201" s="39"/>
      <c r="AH201" s="39" t="str">
        <f t="shared" si="5"/>
        <v/>
      </c>
      <c r="AI201" s="39" t="str">
        <f t="shared" si="6"/>
        <v/>
      </c>
      <c r="AM201" s="39" t="str">
        <f t="array" ref="AM201">IF(C201="","",IFERROR(XLOOKUP(C201,Orders!$A:$A,Orders!$E:$E,""),""))</f>
        <v/>
      </c>
      <c r="AN201" s="39" t="str">
        <f t="shared" si="7"/>
        <v/>
      </c>
      <c r="AO201" s="39" t="str">
        <f t="shared" si="8"/>
        <v/>
      </c>
      <c r="AP201" s="39" t="str">
        <f t="shared" si="9"/>
        <v/>
      </c>
      <c r="AQ201" s="39" t="str">
        <f t="shared" si="10"/>
        <v/>
      </c>
      <c r="AR201" s="39" t="str">
        <f t="shared" si="11"/>
        <v/>
      </c>
      <c r="AS201" s="39" t="str">
        <f t="shared" si="12"/>
        <v/>
      </c>
      <c r="AT201" s="39" t="str">
        <f t="shared" si="13"/>
        <v/>
      </c>
      <c r="AU201" s="39" t="str">
        <f t="shared" si="14"/>
        <v/>
      </c>
    </row>
    <row r="202" ht="15.75" customHeight="1">
      <c r="A202" s="22"/>
      <c r="B202" s="22"/>
      <c r="C202" s="22"/>
      <c r="D202" s="22"/>
      <c r="E202" s="40"/>
      <c r="F202" s="40" t="str">
        <f>IF($C202="","",VLOOKUP($C202,Orders!$A$4:$J$303,3,FALSE))</f>
        <v/>
      </c>
      <c r="G202" s="40" t="str">
        <f>IF($C202="","",VLOOKUP($C202,Orders!$A$4:$J$303,4,FALSE))</f>
        <v/>
      </c>
      <c r="H202" s="22"/>
      <c r="I202" s="40" t="str">
        <f t="shared" si="1"/>
        <v/>
      </c>
      <c r="J202" s="40" t="str">
        <f t="shared" si="2"/>
        <v/>
      </c>
      <c r="K202" s="40" t="str">
        <f>IF($C202="","",VLOOKUP($C202,Orders!$A$4:$J$303,5,FALSE))</f>
        <v/>
      </c>
      <c r="L202" s="22"/>
      <c r="M202" s="40" t="str">
        <f t="shared" si="3"/>
        <v/>
      </c>
      <c r="N202" s="22"/>
      <c r="O202" s="22"/>
      <c r="P202" s="22" t="str">
        <f t="shared" si="4"/>
        <v/>
      </c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39" t="str">
        <f t="array" ref="AB202">IFERROR(INDEX(Bids!$AA:$AA, MATCH(C202&amp;"|"&amp;B202, Bids!$AD:$AD,0)),"")</f>
        <v/>
      </c>
      <c r="AC202" s="39" t="str">
        <f t="array" ref="AC202">IFERROR(INDEX(Bids!$AB:$AB, MATCH(C202&amp;"|"&amp;B202, Bids!$AD:$AD,0)),"")</f>
        <v/>
      </c>
      <c r="AD202" s="39" t="str">
        <f t="array" ref="AD202">IFERROR(INDEX(Bids!$AC:$AC, MATCH(C202&amp;"|"&amp;B202, Bids!$AD:$AD,0)), H202)</f>
        <v/>
      </c>
      <c r="AE202" s="39"/>
      <c r="AG202" s="39"/>
      <c r="AH202" s="39" t="str">
        <f t="shared" si="5"/>
        <v/>
      </c>
      <c r="AI202" s="39" t="str">
        <f t="shared" si="6"/>
        <v/>
      </c>
      <c r="AM202" s="39" t="str">
        <f t="array" ref="AM202">IF(C202="","",IFERROR(XLOOKUP(C202,Orders!$A:$A,Orders!$E:$E,""),""))</f>
        <v/>
      </c>
      <c r="AN202" s="39" t="str">
        <f t="shared" si="7"/>
        <v/>
      </c>
      <c r="AO202" s="39" t="str">
        <f t="shared" si="8"/>
        <v/>
      </c>
      <c r="AP202" s="39" t="str">
        <f t="shared" si="9"/>
        <v/>
      </c>
      <c r="AQ202" s="39" t="str">
        <f t="shared" si="10"/>
        <v/>
      </c>
      <c r="AR202" s="39" t="str">
        <f t="shared" si="11"/>
        <v/>
      </c>
      <c r="AS202" s="39" t="str">
        <f t="shared" si="12"/>
        <v/>
      </c>
      <c r="AT202" s="39" t="str">
        <f t="shared" si="13"/>
        <v/>
      </c>
      <c r="AU202" s="39" t="str">
        <f t="shared" si="14"/>
        <v/>
      </c>
    </row>
    <row r="203" ht="15.75" customHeight="1">
      <c r="A203" s="22"/>
      <c r="B203" s="22"/>
      <c r="C203" s="22"/>
      <c r="D203" s="22"/>
      <c r="E203" s="40"/>
      <c r="F203" s="40" t="str">
        <f>IF($C203="","",VLOOKUP($C203,Orders!$A$4:$J$303,3,FALSE))</f>
        <v/>
      </c>
      <c r="G203" s="40" t="str">
        <f>IF($C203="","",VLOOKUP($C203,Orders!$A$4:$J$303,4,FALSE))</f>
        <v/>
      </c>
      <c r="H203" s="22"/>
      <c r="I203" s="40" t="str">
        <f t="shared" si="1"/>
        <v/>
      </c>
      <c r="J203" s="40" t="str">
        <f t="shared" si="2"/>
        <v/>
      </c>
      <c r="K203" s="40" t="str">
        <f>IF($C203="","",VLOOKUP($C203,Orders!$A$4:$J$303,5,FALSE))</f>
        <v/>
      </c>
      <c r="L203" s="22"/>
      <c r="M203" s="40" t="str">
        <f t="shared" si="3"/>
        <v/>
      </c>
      <c r="N203" s="22"/>
      <c r="O203" s="22"/>
      <c r="P203" s="22" t="str">
        <f t="shared" si="4"/>
        <v/>
      </c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39" t="str">
        <f t="array" ref="AB203">IFERROR(INDEX(Bids!$AA:$AA, MATCH(C203&amp;"|"&amp;B203, Bids!$AD:$AD,0)),"")</f>
        <v/>
      </c>
      <c r="AC203" s="39" t="str">
        <f t="array" ref="AC203">IFERROR(INDEX(Bids!$AB:$AB, MATCH(C203&amp;"|"&amp;B203, Bids!$AD:$AD,0)),"")</f>
        <v/>
      </c>
      <c r="AD203" s="39" t="str">
        <f t="array" ref="AD203">IFERROR(INDEX(Bids!$AC:$AC, MATCH(C203&amp;"|"&amp;B203, Bids!$AD:$AD,0)), H203)</f>
        <v/>
      </c>
      <c r="AE203" s="39"/>
      <c r="AG203" s="39"/>
      <c r="AH203" s="39" t="str">
        <f t="shared" si="5"/>
        <v/>
      </c>
      <c r="AI203" s="39" t="str">
        <f t="shared" si="6"/>
        <v/>
      </c>
      <c r="AM203" s="39" t="str">
        <f t="array" ref="AM203">IF(C203="","",IFERROR(XLOOKUP(C203,Orders!$A:$A,Orders!$E:$E,""),""))</f>
        <v/>
      </c>
      <c r="AN203" s="39" t="str">
        <f t="shared" si="7"/>
        <v/>
      </c>
      <c r="AO203" s="39" t="str">
        <f t="shared" si="8"/>
        <v/>
      </c>
      <c r="AP203" s="39" t="str">
        <f t="shared" si="9"/>
        <v/>
      </c>
      <c r="AQ203" s="39" t="str">
        <f t="shared" si="10"/>
        <v/>
      </c>
      <c r="AR203" s="39" t="str">
        <f t="shared" si="11"/>
        <v/>
      </c>
      <c r="AS203" s="39" t="str">
        <f t="shared" si="12"/>
        <v/>
      </c>
      <c r="AT203" s="39" t="str">
        <f t="shared" si="13"/>
        <v/>
      </c>
      <c r="AU203" s="39" t="str">
        <f t="shared" si="14"/>
        <v/>
      </c>
    </row>
    <row r="204" ht="15.75" customHeight="1">
      <c r="A204" s="22"/>
      <c r="B204" s="22"/>
      <c r="C204" s="22"/>
      <c r="D204" s="22"/>
      <c r="E204" s="40"/>
      <c r="F204" s="40" t="str">
        <f>IF($C204="","",VLOOKUP($C204,Orders!$A$4:$J$303,3,FALSE))</f>
        <v/>
      </c>
      <c r="G204" s="40" t="str">
        <f>IF($C204="","",VLOOKUP($C204,Orders!$A$4:$J$303,4,FALSE))</f>
        <v/>
      </c>
      <c r="H204" s="22"/>
      <c r="I204" s="40" t="str">
        <f t="shared" si="1"/>
        <v/>
      </c>
      <c r="J204" s="40" t="str">
        <f t="shared" si="2"/>
        <v/>
      </c>
      <c r="K204" s="40" t="str">
        <f>IF($C204="","",VLOOKUP($C204,Orders!$A$4:$J$303,5,FALSE))</f>
        <v/>
      </c>
      <c r="L204" s="22"/>
      <c r="M204" s="40" t="str">
        <f t="shared" si="3"/>
        <v/>
      </c>
      <c r="N204" s="22"/>
      <c r="O204" s="22"/>
      <c r="P204" s="22" t="str">
        <f t="shared" si="4"/>
        <v/>
      </c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39" t="str">
        <f t="array" ref="AB204">IFERROR(INDEX(Bids!$AA:$AA, MATCH(C204&amp;"|"&amp;B204, Bids!$AD:$AD,0)),"")</f>
        <v/>
      </c>
      <c r="AC204" s="39" t="str">
        <f t="array" ref="AC204">IFERROR(INDEX(Bids!$AB:$AB, MATCH(C204&amp;"|"&amp;B204, Bids!$AD:$AD,0)),"")</f>
        <v/>
      </c>
      <c r="AD204" s="39" t="str">
        <f t="array" ref="AD204">IFERROR(INDEX(Bids!$AC:$AC, MATCH(C204&amp;"|"&amp;B204, Bids!$AD:$AD,0)), H204)</f>
        <v/>
      </c>
      <c r="AE204" s="39"/>
      <c r="AG204" s="39"/>
      <c r="AH204" s="39" t="str">
        <f t="shared" si="5"/>
        <v/>
      </c>
      <c r="AI204" s="39" t="str">
        <f t="shared" si="6"/>
        <v/>
      </c>
      <c r="AM204" s="39" t="str">
        <f t="array" ref="AM204">IF(C204="","",IFERROR(XLOOKUP(C204,Orders!$A:$A,Orders!$E:$E,""),""))</f>
        <v/>
      </c>
      <c r="AN204" s="39" t="str">
        <f t="shared" si="7"/>
        <v/>
      </c>
      <c r="AO204" s="39" t="str">
        <f t="shared" si="8"/>
        <v/>
      </c>
      <c r="AP204" s="39" t="str">
        <f t="shared" si="9"/>
        <v/>
      </c>
      <c r="AQ204" s="39" t="str">
        <f t="shared" si="10"/>
        <v/>
      </c>
      <c r="AR204" s="39" t="str">
        <f t="shared" si="11"/>
        <v/>
      </c>
      <c r="AS204" s="39" t="str">
        <f t="shared" si="12"/>
        <v/>
      </c>
      <c r="AT204" s="39" t="str">
        <f t="shared" si="13"/>
        <v/>
      </c>
      <c r="AU204" s="39" t="str">
        <f t="shared" si="14"/>
        <v/>
      </c>
    </row>
    <row r="205" ht="15.75" customHeight="1">
      <c r="A205" s="22"/>
      <c r="B205" s="22"/>
      <c r="C205" s="22"/>
      <c r="D205" s="22"/>
      <c r="E205" s="40"/>
      <c r="F205" s="40" t="str">
        <f>IF($C205="","",VLOOKUP($C205,Orders!$A$4:$J$303,3,FALSE))</f>
        <v/>
      </c>
      <c r="G205" s="40" t="str">
        <f>IF($C205="","",VLOOKUP($C205,Orders!$A$4:$J$303,4,FALSE))</f>
        <v/>
      </c>
      <c r="H205" s="22"/>
      <c r="I205" s="40" t="str">
        <f t="shared" si="1"/>
        <v/>
      </c>
      <c r="J205" s="40" t="str">
        <f t="shared" si="2"/>
        <v/>
      </c>
      <c r="K205" s="40" t="str">
        <f>IF($C205="","",VLOOKUP($C205,Orders!$A$4:$J$303,5,FALSE))</f>
        <v/>
      </c>
      <c r="L205" s="22"/>
      <c r="M205" s="40" t="str">
        <f t="shared" si="3"/>
        <v/>
      </c>
      <c r="N205" s="22"/>
      <c r="O205" s="22"/>
      <c r="P205" s="22" t="str">
        <f t="shared" si="4"/>
        <v/>
      </c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39" t="str">
        <f t="array" ref="AB205">IFERROR(INDEX(Bids!$AA:$AA, MATCH(C205&amp;"|"&amp;B205, Bids!$AD:$AD,0)),"")</f>
        <v/>
      </c>
      <c r="AC205" s="39" t="str">
        <f t="array" ref="AC205">IFERROR(INDEX(Bids!$AB:$AB, MATCH(C205&amp;"|"&amp;B205, Bids!$AD:$AD,0)),"")</f>
        <v/>
      </c>
      <c r="AD205" s="39" t="str">
        <f t="array" ref="AD205">IFERROR(INDEX(Bids!$AC:$AC, MATCH(C205&amp;"|"&amp;B205, Bids!$AD:$AD,0)), H205)</f>
        <v/>
      </c>
      <c r="AE205" s="39"/>
      <c r="AG205" s="39"/>
      <c r="AH205" s="39" t="str">
        <f t="shared" si="5"/>
        <v/>
      </c>
      <c r="AI205" s="39" t="str">
        <f t="shared" si="6"/>
        <v/>
      </c>
      <c r="AM205" s="39" t="str">
        <f t="array" ref="AM205">IF(C205="","",IFERROR(XLOOKUP(C205,Orders!$A:$A,Orders!$E:$E,""),""))</f>
        <v/>
      </c>
      <c r="AN205" s="39" t="str">
        <f t="shared" si="7"/>
        <v/>
      </c>
      <c r="AO205" s="39" t="str">
        <f t="shared" si="8"/>
        <v/>
      </c>
      <c r="AP205" s="39" t="str">
        <f t="shared" si="9"/>
        <v/>
      </c>
      <c r="AQ205" s="39" t="str">
        <f t="shared" si="10"/>
        <v/>
      </c>
      <c r="AR205" s="39" t="str">
        <f t="shared" si="11"/>
        <v/>
      </c>
      <c r="AS205" s="39" t="str">
        <f t="shared" si="12"/>
        <v/>
      </c>
      <c r="AT205" s="39" t="str">
        <f t="shared" si="13"/>
        <v/>
      </c>
      <c r="AU205" s="39" t="str">
        <f t="shared" si="14"/>
        <v/>
      </c>
    </row>
    <row r="206" ht="15.75" customHeight="1">
      <c r="A206" s="22"/>
      <c r="B206" s="22"/>
      <c r="C206" s="22"/>
      <c r="D206" s="22"/>
      <c r="E206" s="40"/>
      <c r="F206" s="40" t="str">
        <f>IF($C206="","",VLOOKUP($C206,Orders!$A$4:$J$303,3,FALSE))</f>
        <v/>
      </c>
      <c r="G206" s="40" t="str">
        <f>IF($C206="","",VLOOKUP($C206,Orders!$A$4:$J$303,4,FALSE))</f>
        <v/>
      </c>
      <c r="H206" s="22"/>
      <c r="I206" s="40" t="str">
        <f t="shared" si="1"/>
        <v/>
      </c>
      <c r="J206" s="40" t="str">
        <f t="shared" si="2"/>
        <v/>
      </c>
      <c r="K206" s="40" t="str">
        <f>IF($C206="","",VLOOKUP($C206,Orders!$A$4:$J$303,5,FALSE))</f>
        <v/>
      </c>
      <c r="L206" s="22"/>
      <c r="M206" s="40" t="str">
        <f t="shared" si="3"/>
        <v/>
      </c>
      <c r="N206" s="22"/>
      <c r="O206" s="22"/>
      <c r="P206" s="22" t="str">
        <f t="shared" si="4"/>
        <v/>
      </c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39" t="str">
        <f t="array" ref="AB206">IFERROR(INDEX(Bids!$AA:$AA, MATCH(C206&amp;"|"&amp;B206, Bids!$AD:$AD,0)),"")</f>
        <v/>
      </c>
      <c r="AC206" s="39" t="str">
        <f t="array" ref="AC206">IFERROR(INDEX(Bids!$AB:$AB, MATCH(C206&amp;"|"&amp;B206, Bids!$AD:$AD,0)),"")</f>
        <v/>
      </c>
      <c r="AD206" s="39" t="str">
        <f t="array" ref="AD206">IFERROR(INDEX(Bids!$AC:$AC, MATCH(C206&amp;"|"&amp;B206, Bids!$AD:$AD,0)), H206)</f>
        <v/>
      </c>
      <c r="AE206" s="39"/>
      <c r="AG206" s="39"/>
      <c r="AH206" s="39" t="str">
        <f t="shared" si="5"/>
        <v/>
      </c>
      <c r="AI206" s="39" t="str">
        <f t="shared" si="6"/>
        <v/>
      </c>
      <c r="AM206" s="39" t="str">
        <f t="array" ref="AM206">IF(C206="","",IFERROR(XLOOKUP(C206,Orders!$A:$A,Orders!$E:$E,""),""))</f>
        <v/>
      </c>
      <c r="AN206" s="39" t="str">
        <f t="shared" si="7"/>
        <v/>
      </c>
      <c r="AO206" s="39" t="str">
        <f t="shared" si="8"/>
        <v/>
      </c>
      <c r="AP206" s="39" t="str">
        <f t="shared" si="9"/>
        <v/>
      </c>
      <c r="AQ206" s="39" t="str">
        <f t="shared" si="10"/>
        <v/>
      </c>
      <c r="AR206" s="39" t="str">
        <f t="shared" si="11"/>
        <v/>
      </c>
      <c r="AS206" s="39" t="str">
        <f t="shared" si="12"/>
        <v/>
      </c>
      <c r="AT206" s="39" t="str">
        <f t="shared" si="13"/>
        <v/>
      </c>
      <c r="AU206" s="39" t="str">
        <f t="shared" si="14"/>
        <v/>
      </c>
    </row>
    <row r="207" ht="15.75" customHeight="1">
      <c r="A207" s="22"/>
      <c r="B207" s="22"/>
      <c r="C207" s="22"/>
      <c r="D207" s="22"/>
      <c r="E207" s="40"/>
      <c r="F207" s="40" t="str">
        <f>IF($C207="","",VLOOKUP($C207,Orders!$A$4:$J$303,3,FALSE))</f>
        <v/>
      </c>
      <c r="G207" s="40" t="str">
        <f>IF($C207="","",VLOOKUP($C207,Orders!$A$4:$J$303,4,FALSE))</f>
        <v/>
      </c>
      <c r="H207" s="22"/>
      <c r="I207" s="40" t="str">
        <f t="shared" si="1"/>
        <v/>
      </c>
      <c r="J207" s="40" t="str">
        <f t="shared" si="2"/>
        <v/>
      </c>
      <c r="K207" s="40" t="str">
        <f>IF($C207="","",VLOOKUP($C207,Orders!$A$4:$J$303,5,FALSE))</f>
        <v/>
      </c>
      <c r="L207" s="22"/>
      <c r="M207" s="40" t="str">
        <f t="shared" si="3"/>
        <v/>
      </c>
      <c r="N207" s="22"/>
      <c r="O207" s="22"/>
      <c r="P207" s="22" t="str">
        <f t="shared" si="4"/>
        <v/>
      </c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39" t="str">
        <f t="array" ref="AB207">IFERROR(INDEX(Bids!$AA:$AA, MATCH(C207&amp;"|"&amp;B207, Bids!$AD:$AD,0)),"")</f>
        <v/>
      </c>
      <c r="AC207" s="39" t="str">
        <f t="array" ref="AC207">IFERROR(INDEX(Bids!$AB:$AB, MATCH(C207&amp;"|"&amp;B207, Bids!$AD:$AD,0)),"")</f>
        <v/>
      </c>
      <c r="AD207" s="39" t="str">
        <f t="array" ref="AD207">IFERROR(INDEX(Bids!$AC:$AC, MATCH(C207&amp;"|"&amp;B207, Bids!$AD:$AD,0)), H207)</f>
        <v/>
      </c>
      <c r="AE207" s="39"/>
      <c r="AG207" s="39"/>
      <c r="AH207" s="39" t="str">
        <f t="shared" si="5"/>
        <v/>
      </c>
      <c r="AI207" s="39" t="str">
        <f t="shared" si="6"/>
        <v/>
      </c>
      <c r="AM207" s="39" t="str">
        <f t="array" ref="AM207">IF(C207="","",IFERROR(XLOOKUP(C207,Orders!$A:$A,Orders!$E:$E,""),""))</f>
        <v/>
      </c>
      <c r="AN207" s="39" t="str">
        <f t="shared" si="7"/>
        <v/>
      </c>
      <c r="AO207" s="39" t="str">
        <f t="shared" si="8"/>
        <v/>
      </c>
      <c r="AP207" s="39" t="str">
        <f t="shared" si="9"/>
        <v/>
      </c>
      <c r="AQ207" s="39" t="str">
        <f t="shared" si="10"/>
        <v/>
      </c>
      <c r="AR207" s="39" t="str">
        <f t="shared" si="11"/>
        <v/>
      </c>
      <c r="AS207" s="39" t="str">
        <f t="shared" si="12"/>
        <v/>
      </c>
      <c r="AT207" s="39" t="str">
        <f t="shared" si="13"/>
        <v/>
      </c>
      <c r="AU207" s="39" t="str">
        <f t="shared" si="14"/>
        <v/>
      </c>
    </row>
    <row r="208" ht="15.75" customHeight="1">
      <c r="A208" s="22"/>
      <c r="B208" s="22"/>
      <c r="C208" s="22"/>
      <c r="D208" s="22"/>
      <c r="E208" s="40"/>
      <c r="F208" s="40" t="str">
        <f>IF($C208="","",VLOOKUP($C208,Orders!$A$4:$J$303,3,FALSE))</f>
        <v/>
      </c>
      <c r="G208" s="40" t="str">
        <f>IF($C208="","",VLOOKUP($C208,Orders!$A$4:$J$303,4,FALSE))</f>
        <v/>
      </c>
      <c r="H208" s="22"/>
      <c r="I208" s="40" t="str">
        <f t="shared" si="1"/>
        <v/>
      </c>
      <c r="J208" s="40" t="str">
        <f t="shared" si="2"/>
        <v/>
      </c>
      <c r="K208" s="40" t="str">
        <f>IF($C208="","",VLOOKUP($C208,Orders!$A$4:$J$303,5,FALSE))</f>
        <v/>
      </c>
      <c r="L208" s="22"/>
      <c r="M208" s="40" t="str">
        <f t="shared" si="3"/>
        <v/>
      </c>
      <c r="N208" s="22"/>
      <c r="O208" s="22"/>
      <c r="P208" s="22" t="str">
        <f t="shared" si="4"/>
        <v/>
      </c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39" t="str">
        <f t="array" ref="AB208">IFERROR(INDEX(Bids!$AA:$AA, MATCH(C208&amp;"|"&amp;B208, Bids!$AD:$AD,0)),"")</f>
        <v/>
      </c>
      <c r="AC208" s="39" t="str">
        <f t="array" ref="AC208">IFERROR(INDEX(Bids!$AB:$AB, MATCH(C208&amp;"|"&amp;B208, Bids!$AD:$AD,0)),"")</f>
        <v/>
      </c>
      <c r="AD208" s="39" t="str">
        <f t="array" ref="AD208">IFERROR(INDEX(Bids!$AC:$AC, MATCH(C208&amp;"|"&amp;B208, Bids!$AD:$AD,0)), H208)</f>
        <v/>
      </c>
      <c r="AE208" s="39"/>
      <c r="AG208" s="39"/>
      <c r="AH208" s="39" t="str">
        <f t="shared" si="5"/>
        <v/>
      </c>
      <c r="AI208" s="39" t="str">
        <f t="shared" si="6"/>
        <v/>
      </c>
      <c r="AM208" s="39" t="str">
        <f t="array" ref="AM208">IF(C208="","",IFERROR(XLOOKUP(C208,Orders!$A:$A,Orders!$E:$E,""),""))</f>
        <v/>
      </c>
      <c r="AN208" s="39" t="str">
        <f t="shared" si="7"/>
        <v/>
      </c>
      <c r="AO208" s="39" t="str">
        <f t="shared" si="8"/>
        <v/>
      </c>
      <c r="AP208" s="39" t="str">
        <f t="shared" si="9"/>
        <v/>
      </c>
      <c r="AQ208" s="39" t="str">
        <f t="shared" si="10"/>
        <v/>
      </c>
      <c r="AR208" s="39" t="str">
        <f t="shared" si="11"/>
        <v/>
      </c>
      <c r="AS208" s="39" t="str">
        <f t="shared" si="12"/>
        <v/>
      </c>
      <c r="AT208" s="39" t="str">
        <f t="shared" si="13"/>
        <v/>
      </c>
      <c r="AU208" s="39" t="str">
        <f t="shared" si="14"/>
        <v/>
      </c>
    </row>
    <row r="209" ht="15.75" customHeight="1">
      <c r="A209" s="22"/>
      <c r="B209" s="22"/>
      <c r="C209" s="22"/>
      <c r="D209" s="22"/>
      <c r="E209" s="40"/>
      <c r="F209" s="40" t="str">
        <f>IF($C209="","",VLOOKUP($C209,Orders!$A$4:$J$303,3,FALSE))</f>
        <v/>
      </c>
      <c r="G209" s="40" t="str">
        <f>IF($C209="","",VLOOKUP($C209,Orders!$A$4:$J$303,4,FALSE))</f>
        <v/>
      </c>
      <c r="H209" s="22"/>
      <c r="I209" s="40" t="str">
        <f t="shared" si="1"/>
        <v/>
      </c>
      <c r="J209" s="40" t="str">
        <f t="shared" si="2"/>
        <v/>
      </c>
      <c r="K209" s="40" t="str">
        <f>IF($C209="","",VLOOKUP($C209,Orders!$A$4:$J$303,5,FALSE))</f>
        <v/>
      </c>
      <c r="L209" s="22"/>
      <c r="M209" s="40" t="str">
        <f t="shared" si="3"/>
        <v/>
      </c>
      <c r="N209" s="22"/>
      <c r="O209" s="22"/>
      <c r="P209" s="22" t="str">
        <f t="shared" si="4"/>
        <v/>
      </c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39" t="str">
        <f t="array" ref="AB209">IFERROR(INDEX(Bids!$AA:$AA, MATCH(C209&amp;"|"&amp;B209, Bids!$AD:$AD,0)),"")</f>
        <v/>
      </c>
      <c r="AC209" s="39" t="str">
        <f t="array" ref="AC209">IFERROR(INDEX(Bids!$AB:$AB, MATCH(C209&amp;"|"&amp;B209, Bids!$AD:$AD,0)),"")</f>
        <v/>
      </c>
      <c r="AD209" s="39" t="str">
        <f t="array" ref="AD209">IFERROR(INDEX(Bids!$AC:$AC, MATCH(C209&amp;"|"&amp;B209, Bids!$AD:$AD,0)), H209)</f>
        <v/>
      </c>
      <c r="AE209" s="39"/>
      <c r="AG209" s="39"/>
      <c r="AH209" s="39" t="str">
        <f t="shared" si="5"/>
        <v/>
      </c>
      <c r="AI209" s="39" t="str">
        <f t="shared" si="6"/>
        <v/>
      </c>
      <c r="AM209" s="39" t="str">
        <f t="array" ref="AM209">IF(C209="","",IFERROR(XLOOKUP(C209,Orders!$A:$A,Orders!$E:$E,""),""))</f>
        <v/>
      </c>
      <c r="AN209" s="39" t="str">
        <f t="shared" si="7"/>
        <v/>
      </c>
      <c r="AO209" s="39" t="str">
        <f t="shared" si="8"/>
        <v/>
      </c>
      <c r="AP209" s="39" t="str">
        <f t="shared" si="9"/>
        <v/>
      </c>
      <c r="AQ209" s="39" t="str">
        <f t="shared" si="10"/>
        <v/>
      </c>
      <c r="AR209" s="39" t="str">
        <f t="shared" si="11"/>
        <v/>
      </c>
      <c r="AS209" s="39" t="str">
        <f t="shared" si="12"/>
        <v/>
      </c>
      <c r="AT209" s="39" t="str">
        <f t="shared" si="13"/>
        <v/>
      </c>
      <c r="AU209" s="39" t="str">
        <f t="shared" si="14"/>
        <v/>
      </c>
    </row>
    <row r="210" ht="15.75" customHeight="1">
      <c r="A210" s="22"/>
      <c r="B210" s="22"/>
      <c r="C210" s="22"/>
      <c r="D210" s="22"/>
      <c r="E210" s="40"/>
      <c r="F210" s="40" t="str">
        <f>IF($C210="","",VLOOKUP($C210,Orders!$A$4:$J$303,3,FALSE))</f>
        <v/>
      </c>
      <c r="G210" s="40" t="str">
        <f>IF($C210="","",VLOOKUP($C210,Orders!$A$4:$J$303,4,FALSE))</f>
        <v/>
      </c>
      <c r="H210" s="22"/>
      <c r="I210" s="40" t="str">
        <f t="shared" si="1"/>
        <v/>
      </c>
      <c r="J210" s="40" t="str">
        <f t="shared" si="2"/>
        <v/>
      </c>
      <c r="K210" s="40" t="str">
        <f>IF($C210="","",VLOOKUP($C210,Orders!$A$4:$J$303,5,FALSE))</f>
        <v/>
      </c>
      <c r="L210" s="22"/>
      <c r="M210" s="40" t="str">
        <f t="shared" si="3"/>
        <v/>
      </c>
      <c r="N210" s="22"/>
      <c r="O210" s="22"/>
      <c r="P210" s="22" t="str">
        <f t="shared" si="4"/>
        <v/>
      </c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39" t="str">
        <f t="array" ref="AB210">IFERROR(INDEX(Bids!$AA:$AA, MATCH(C210&amp;"|"&amp;B210, Bids!$AD:$AD,0)),"")</f>
        <v/>
      </c>
      <c r="AC210" s="39" t="str">
        <f t="array" ref="AC210">IFERROR(INDEX(Bids!$AB:$AB, MATCH(C210&amp;"|"&amp;B210, Bids!$AD:$AD,0)),"")</f>
        <v/>
      </c>
      <c r="AD210" s="39" t="str">
        <f t="array" ref="AD210">IFERROR(INDEX(Bids!$AC:$AC, MATCH(C210&amp;"|"&amp;B210, Bids!$AD:$AD,0)), H210)</f>
        <v/>
      </c>
      <c r="AE210" s="39"/>
      <c r="AG210" s="39"/>
      <c r="AH210" s="39" t="str">
        <f t="shared" si="5"/>
        <v/>
      </c>
      <c r="AI210" s="39" t="str">
        <f t="shared" si="6"/>
        <v/>
      </c>
      <c r="AM210" s="39" t="str">
        <f t="array" ref="AM210">IF(C210="","",IFERROR(XLOOKUP(C210,Orders!$A:$A,Orders!$E:$E,""),""))</f>
        <v/>
      </c>
      <c r="AN210" s="39" t="str">
        <f t="shared" si="7"/>
        <v/>
      </c>
      <c r="AO210" s="39" t="str">
        <f t="shared" si="8"/>
        <v/>
      </c>
      <c r="AP210" s="39" t="str">
        <f t="shared" si="9"/>
        <v/>
      </c>
      <c r="AQ210" s="39" t="str">
        <f t="shared" si="10"/>
        <v/>
      </c>
      <c r="AR210" s="39" t="str">
        <f t="shared" si="11"/>
        <v/>
      </c>
      <c r="AS210" s="39" t="str">
        <f t="shared" si="12"/>
        <v/>
      </c>
      <c r="AT210" s="39" t="str">
        <f t="shared" si="13"/>
        <v/>
      </c>
      <c r="AU210" s="39" t="str">
        <f t="shared" si="14"/>
        <v/>
      </c>
    </row>
    <row r="211" ht="15.75" customHeight="1">
      <c r="A211" s="22"/>
      <c r="B211" s="22"/>
      <c r="C211" s="22"/>
      <c r="D211" s="22"/>
      <c r="E211" s="40"/>
      <c r="F211" s="40" t="str">
        <f>IF($C211="","",VLOOKUP($C211,Orders!$A$4:$J$303,3,FALSE))</f>
        <v/>
      </c>
      <c r="G211" s="40" t="str">
        <f>IF($C211="","",VLOOKUP($C211,Orders!$A$4:$J$303,4,FALSE))</f>
        <v/>
      </c>
      <c r="H211" s="22"/>
      <c r="I211" s="40" t="str">
        <f t="shared" si="1"/>
        <v/>
      </c>
      <c r="J211" s="40" t="str">
        <f t="shared" si="2"/>
        <v/>
      </c>
      <c r="K211" s="40" t="str">
        <f>IF($C211="","",VLOOKUP($C211,Orders!$A$4:$J$303,5,FALSE))</f>
        <v/>
      </c>
      <c r="L211" s="22"/>
      <c r="M211" s="40" t="str">
        <f t="shared" si="3"/>
        <v/>
      </c>
      <c r="N211" s="22"/>
      <c r="O211" s="22"/>
      <c r="P211" s="22" t="str">
        <f t="shared" si="4"/>
        <v/>
      </c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39" t="str">
        <f t="array" ref="AB211">IFERROR(INDEX(Bids!$AA:$AA, MATCH(C211&amp;"|"&amp;B211, Bids!$AD:$AD,0)),"")</f>
        <v/>
      </c>
      <c r="AC211" s="39" t="str">
        <f t="array" ref="AC211">IFERROR(INDEX(Bids!$AB:$AB, MATCH(C211&amp;"|"&amp;B211, Bids!$AD:$AD,0)),"")</f>
        <v/>
      </c>
      <c r="AD211" s="39" t="str">
        <f t="array" ref="AD211">IFERROR(INDEX(Bids!$AC:$AC, MATCH(C211&amp;"|"&amp;B211, Bids!$AD:$AD,0)), H211)</f>
        <v/>
      </c>
      <c r="AE211" s="39"/>
      <c r="AG211" s="39"/>
      <c r="AH211" s="39" t="str">
        <f t="shared" si="5"/>
        <v/>
      </c>
      <c r="AI211" s="39" t="str">
        <f t="shared" si="6"/>
        <v/>
      </c>
      <c r="AM211" s="39" t="str">
        <f t="array" ref="AM211">IF(C211="","",IFERROR(XLOOKUP(C211,Orders!$A:$A,Orders!$E:$E,""),""))</f>
        <v/>
      </c>
      <c r="AN211" s="39" t="str">
        <f t="shared" si="7"/>
        <v/>
      </c>
      <c r="AO211" s="39" t="str">
        <f t="shared" si="8"/>
        <v/>
      </c>
      <c r="AP211" s="39" t="str">
        <f t="shared" si="9"/>
        <v/>
      </c>
      <c r="AQ211" s="39" t="str">
        <f t="shared" si="10"/>
        <v/>
      </c>
      <c r="AR211" s="39" t="str">
        <f t="shared" si="11"/>
        <v/>
      </c>
      <c r="AS211" s="39" t="str">
        <f t="shared" si="12"/>
        <v/>
      </c>
      <c r="AT211" s="39" t="str">
        <f t="shared" si="13"/>
        <v/>
      </c>
      <c r="AU211" s="39" t="str">
        <f t="shared" si="14"/>
        <v/>
      </c>
    </row>
    <row r="212" ht="15.75" customHeight="1">
      <c r="A212" s="22"/>
      <c r="B212" s="22"/>
      <c r="C212" s="22"/>
      <c r="D212" s="22"/>
      <c r="E212" s="40"/>
      <c r="F212" s="40" t="str">
        <f>IF($C212="","",VLOOKUP($C212,Orders!$A$4:$J$303,3,FALSE))</f>
        <v/>
      </c>
      <c r="G212" s="40" t="str">
        <f>IF($C212="","",VLOOKUP($C212,Orders!$A$4:$J$303,4,FALSE))</f>
        <v/>
      </c>
      <c r="H212" s="22"/>
      <c r="I212" s="40" t="str">
        <f t="shared" si="1"/>
        <v/>
      </c>
      <c r="J212" s="40" t="str">
        <f t="shared" si="2"/>
        <v/>
      </c>
      <c r="K212" s="40" t="str">
        <f>IF($C212="","",VLOOKUP($C212,Orders!$A$4:$J$303,5,FALSE))</f>
        <v/>
      </c>
      <c r="L212" s="22"/>
      <c r="M212" s="40" t="str">
        <f t="shared" si="3"/>
        <v/>
      </c>
      <c r="N212" s="22"/>
      <c r="O212" s="22"/>
      <c r="P212" s="22" t="str">
        <f t="shared" si="4"/>
        <v/>
      </c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39" t="str">
        <f t="array" ref="AB212">IFERROR(INDEX(Bids!$AA:$AA, MATCH(C212&amp;"|"&amp;B212, Bids!$AD:$AD,0)),"")</f>
        <v/>
      </c>
      <c r="AC212" s="39" t="str">
        <f t="array" ref="AC212">IFERROR(INDEX(Bids!$AB:$AB, MATCH(C212&amp;"|"&amp;B212, Bids!$AD:$AD,0)),"")</f>
        <v/>
      </c>
      <c r="AD212" s="39" t="str">
        <f t="array" ref="AD212">IFERROR(INDEX(Bids!$AC:$AC, MATCH(C212&amp;"|"&amp;B212, Bids!$AD:$AD,0)), H212)</f>
        <v/>
      </c>
      <c r="AE212" s="39"/>
      <c r="AG212" s="39"/>
      <c r="AH212" s="39" t="str">
        <f t="shared" si="5"/>
        <v/>
      </c>
      <c r="AI212" s="39" t="str">
        <f t="shared" si="6"/>
        <v/>
      </c>
      <c r="AM212" s="39" t="str">
        <f t="array" ref="AM212">IF(C212="","",IFERROR(XLOOKUP(C212,Orders!$A:$A,Orders!$E:$E,""),""))</f>
        <v/>
      </c>
      <c r="AN212" s="39" t="str">
        <f t="shared" si="7"/>
        <v/>
      </c>
      <c r="AO212" s="39" t="str">
        <f t="shared" si="8"/>
        <v/>
      </c>
      <c r="AP212" s="39" t="str">
        <f t="shared" si="9"/>
        <v/>
      </c>
      <c r="AQ212" s="39" t="str">
        <f t="shared" si="10"/>
        <v/>
      </c>
      <c r="AR212" s="39" t="str">
        <f t="shared" si="11"/>
        <v/>
      </c>
      <c r="AS212" s="39" t="str">
        <f t="shared" si="12"/>
        <v/>
      </c>
      <c r="AT212" s="39" t="str">
        <f t="shared" si="13"/>
        <v/>
      </c>
      <c r="AU212" s="39" t="str">
        <f t="shared" si="14"/>
        <v/>
      </c>
    </row>
    <row r="213" ht="15.75" customHeight="1">
      <c r="A213" s="22"/>
      <c r="B213" s="22"/>
      <c r="C213" s="22"/>
      <c r="D213" s="22"/>
      <c r="E213" s="40"/>
      <c r="F213" s="40" t="str">
        <f>IF($C213="","",VLOOKUP($C213,Orders!$A$4:$J$303,3,FALSE))</f>
        <v/>
      </c>
      <c r="G213" s="40" t="str">
        <f>IF($C213="","",VLOOKUP($C213,Orders!$A$4:$J$303,4,FALSE))</f>
        <v/>
      </c>
      <c r="H213" s="22"/>
      <c r="I213" s="40" t="str">
        <f t="shared" si="1"/>
        <v/>
      </c>
      <c r="J213" s="40" t="str">
        <f t="shared" si="2"/>
        <v/>
      </c>
      <c r="K213" s="40" t="str">
        <f>IF($C213="","",VLOOKUP($C213,Orders!$A$4:$J$303,5,FALSE))</f>
        <v/>
      </c>
      <c r="L213" s="22"/>
      <c r="M213" s="40" t="str">
        <f t="shared" si="3"/>
        <v/>
      </c>
      <c r="N213" s="22"/>
      <c r="O213" s="22"/>
      <c r="P213" s="22" t="str">
        <f t="shared" si="4"/>
        <v/>
      </c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39" t="str">
        <f t="array" ref="AB213">IFERROR(INDEX(Bids!$AA:$AA, MATCH(C213&amp;"|"&amp;B213, Bids!$AD:$AD,0)),"")</f>
        <v/>
      </c>
      <c r="AC213" s="39" t="str">
        <f t="array" ref="AC213">IFERROR(INDEX(Bids!$AB:$AB, MATCH(C213&amp;"|"&amp;B213, Bids!$AD:$AD,0)),"")</f>
        <v/>
      </c>
      <c r="AD213" s="39" t="str">
        <f t="array" ref="AD213">IFERROR(INDEX(Bids!$AC:$AC, MATCH(C213&amp;"|"&amp;B213, Bids!$AD:$AD,0)), H213)</f>
        <v/>
      </c>
      <c r="AE213" s="39"/>
      <c r="AG213" s="39"/>
      <c r="AH213" s="39" t="str">
        <f t="shared" si="5"/>
        <v/>
      </c>
      <c r="AI213" s="39" t="str">
        <f t="shared" si="6"/>
        <v/>
      </c>
      <c r="AM213" s="39" t="str">
        <f t="array" ref="AM213">IF(C213="","",IFERROR(XLOOKUP(C213,Orders!$A:$A,Orders!$E:$E,""),""))</f>
        <v/>
      </c>
      <c r="AN213" s="39" t="str">
        <f t="shared" si="7"/>
        <v/>
      </c>
      <c r="AO213" s="39" t="str">
        <f t="shared" si="8"/>
        <v/>
      </c>
      <c r="AP213" s="39" t="str">
        <f t="shared" si="9"/>
        <v/>
      </c>
      <c r="AQ213" s="39" t="str">
        <f t="shared" si="10"/>
        <v/>
      </c>
      <c r="AR213" s="39" t="str">
        <f t="shared" si="11"/>
        <v/>
      </c>
      <c r="AS213" s="39" t="str">
        <f t="shared" si="12"/>
        <v/>
      </c>
      <c r="AT213" s="39" t="str">
        <f t="shared" si="13"/>
        <v/>
      </c>
      <c r="AU213" s="39" t="str">
        <f t="shared" si="14"/>
        <v/>
      </c>
    </row>
    <row r="214" ht="15.75" customHeight="1">
      <c r="A214" s="22"/>
      <c r="B214" s="22"/>
      <c r="C214" s="22"/>
      <c r="D214" s="22"/>
      <c r="E214" s="40"/>
      <c r="F214" s="40" t="str">
        <f>IF($C214="","",VLOOKUP($C214,Orders!$A$4:$J$303,3,FALSE))</f>
        <v/>
      </c>
      <c r="G214" s="40" t="str">
        <f>IF($C214="","",VLOOKUP($C214,Orders!$A$4:$J$303,4,FALSE))</f>
        <v/>
      </c>
      <c r="H214" s="22"/>
      <c r="I214" s="40" t="str">
        <f t="shared" si="1"/>
        <v/>
      </c>
      <c r="J214" s="40" t="str">
        <f t="shared" si="2"/>
        <v/>
      </c>
      <c r="K214" s="40" t="str">
        <f>IF($C214="","",VLOOKUP($C214,Orders!$A$4:$J$303,5,FALSE))</f>
        <v/>
      </c>
      <c r="L214" s="22"/>
      <c r="M214" s="40" t="str">
        <f t="shared" si="3"/>
        <v/>
      </c>
      <c r="N214" s="22"/>
      <c r="O214" s="22"/>
      <c r="P214" s="22" t="str">
        <f t="shared" si="4"/>
        <v/>
      </c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39" t="str">
        <f t="array" ref="AB214">IFERROR(INDEX(Bids!$AA:$AA, MATCH(C214&amp;"|"&amp;B214, Bids!$AD:$AD,0)),"")</f>
        <v/>
      </c>
      <c r="AC214" s="39" t="str">
        <f t="array" ref="AC214">IFERROR(INDEX(Bids!$AB:$AB, MATCH(C214&amp;"|"&amp;B214, Bids!$AD:$AD,0)),"")</f>
        <v/>
      </c>
      <c r="AD214" s="39" t="str">
        <f t="array" ref="AD214">IFERROR(INDEX(Bids!$AC:$AC, MATCH(C214&amp;"|"&amp;B214, Bids!$AD:$AD,0)), H214)</f>
        <v/>
      </c>
      <c r="AE214" s="39"/>
      <c r="AG214" s="39"/>
      <c r="AH214" s="39" t="str">
        <f t="shared" si="5"/>
        <v/>
      </c>
      <c r="AI214" s="39" t="str">
        <f t="shared" si="6"/>
        <v/>
      </c>
      <c r="AM214" s="39" t="str">
        <f t="array" ref="AM214">IF(C214="","",IFERROR(XLOOKUP(C214,Orders!$A:$A,Orders!$E:$E,""),""))</f>
        <v/>
      </c>
      <c r="AN214" s="39" t="str">
        <f t="shared" si="7"/>
        <v/>
      </c>
      <c r="AO214" s="39" t="str">
        <f t="shared" si="8"/>
        <v/>
      </c>
      <c r="AP214" s="39" t="str">
        <f t="shared" si="9"/>
        <v/>
      </c>
      <c r="AQ214" s="39" t="str">
        <f t="shared" si="10"/>
        <v/>
      </c>
      <c r="AR214" s="39" t="str">
        <f t="shared" si="11"/>
        <v/>
      </c>
      <c r="AS214" s="39" t="str">
        <f t="shared" si="12"/>
        <v/>
      </c>
      <c r="AT214" s="39" t="str">
        <f t="shared" si="13"/>
        <v/>
      </c>
      <c r="AU214" s="39" t="str">
        <f t="shared" si="14"/>
        <v/>
      </c>
    </row>
    <row r="215" ht="15.75" customHeight="1">
      <c r="A215" s="22"/>
      <c r="B215" s="22"/>
      <c r="C215" s="22"/>
      <c r="D215" s="22"/>
      <c r="E215" s="40"/>
      <c r="F215" s="40" t="str">
        <f>IF($C215="","",VLOOKUP($C215,Orders!$A$4:$J$303,3,FALSE))</f>
        <v/>
      </c>
      <c r="G215" s="40" t="str">
        <f>IF($C215="","",VLOOKUP($C215,Orders!$A$4:$J$303,4,FALSE))</f>
        <v/>
      </c>
      <c r="H215" s="22"/>
      <c r="I215" s="40" t="str">
        <f t="shared" si="1"/>
        <v/>
      </c>
      <c r="J215" s="40" t="str">
        <f t="shared" si="2"/>
        <v/>
      </c>
      <c r="K215" s="40" t="str">
        <f>IF($C215="","",VLOOKUP($C215,Orders!$A$4:$J$303,5,FALSE))</f>
        <v/>
      </c>
      <c r="L215" s="22"/>
      <c r="M215" s="40" t="str">
        <f t="shared" si="3"/>
        <v/>
      </c>
      <c r="N215" s="22"/>
      <c r="O215" s="22"/>
      <c r="P215" s="22" t="str">
        <f t="shared" si="4"/>
        <v/>
      </c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39" t="str">
        <f t="array" ref="AB215">IFERROR(INDEX(Bids!$AA:$AA, MATCH(C215&amp;"|"&amp;B215, Bids!$AD:$AD,0)),"")</f>
        <v/>
      </c>
      <c r="AC215" s="39" t="str">
        <f t="array" ref="AC215">IFERROR(INDEX(Bids!$AB:$AB, MATCH(C215&amp;"|"&amp;B215, Bids!$AD:$AD,0)),"")</f>
        <v/>
      </c>
      <c r="AD215" s="39" t="str">
        <f t="array" ref="AD215">IFERROR(INDEX(Bids!$AC:$AC, MATCH(C215&amp;"|"&amp;B215, Bids!$AD:$AD,0)), H215)</f>
        <v/>
      </c>
      <c r="AE215" s="39"/>
      <c r="AG215" s="39"/>
      <c r="AH215" s="39" t="str">
        <f t="shared" si="5"/>
        <v/>
      </c>
      <c r="AI215" s="39" t="str">
        <f t="shared" si="6"/>
        <v/>
      </c>
      <c r="AM215" s="39" t="str">
        <f t="array" ref="AM215">IF(C215="","",IFERROR(XLOOKUP(C215,Orders!$A:$A,Orders!$E:$E,""),""))</f>
        <v/>
      </c>
      <c r="AN215" s="39" t="str">
        <f t="shared" si="7"/>
        <v/>
      </c>
      <c r="AO215" s="39" t="str">
        <f t="shared" si="8"/>
        <v/>
      </c>
      <c r="AP215" s="39" t="str">
        <f t="shared" si="9"/>
        <v/>
      </c>
      <c r="AQ215" s="39" t="str">
        <f t="shared" si="10"/>
        <v/>
      </c>
      <c r="AR215" s="39" t="str">
        <f t="shared" si="11"/>
        <v/>
      </c>
      <c r="AS215" s="39" t="str">
        <f t="shared" si="12"/>
        <v/>
      </c>
      <c r="AT215" s="39" t="str">
        <f t="shared" si="13"/>
        <v/>
      </c>
      <c r="AU215" s="39" t="str">
        <f t="shared" si="14"/>
        <v/>
      </c>
    </row>
    <row r="216" ht="15.75" customHeight="1">
      <c r="A216" s="22"/>
      <c r="B216" s="22"/>
      <c r="C216" s="22"/>
      <c r="D216" s="22"/>
      <c r="E216" s="40"/>
      <c r="F216" s="40" t="str">
        <f>IF($C216="","",VLOOKUP($C216,Orders!$A$4:$J$303,3,FALSE))</f>
        <v/>
      </c>
      <c r="G216" s="40" t="str">
        <f>IF($C216="","",VLOOKUP($C216,Orders!$A$4:$J$303,4,FALSE))</f>
        <v/>
      </c>
      <c r="H216" s="22"/>
      <c r="I216" s="40" t="str">
        <f t="shared" si="1"/>
        <v/>
      </c>
      <c r="J216" s="40" t="str">
        <f t="shared" si="2"/>
        <v/>
      </c>
      <c r="K216" s="40" t="str">
        <f>IF($C216="","",VLOOKUP($C216,Orders!$A$4:$J$303,5,FALSE))</f>
        <v/>
      </c>
      <c r="L216" s="22"/>
      <c r="M216" s="40" t="str">
        <f t="shared" si="3"/>
        <v/>
      </c>
      <c r="N216" s="22"/>
      <c r="O216" s="22"/>
      <c r="P216" s="22" t="str">
        <f t="shared" si="4"/>
        <v/>
      </c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39" t="str">
        <f t="array" ref="AB216">IFERROR(INDEX(Bids!$AA:$AA, MATCH(C216&amp;"|"&amp;B216, Bids!$AD:$AD,0)),"")</f>
        <v/>
      </c>
      <c r="AC216" s="39" t="str">
        <f t="array" ref="AC216">IFERROR(INDEX(Bids!$AB:$AB, MATCH(C216&amp;"|"&amp;B216, Bids!$AD:$AD,0)),"")</f>
        <v/>
      </c>
      <c r="AD216" s="39" t="str">
        <f t="array" ref="AD216">IFERROR(INDEX(Bids!$AC:$AC, MATCH(C216&amp;"|"&amp;B216, Bids!$AD:$AD,0)), H216)</f>
        <v/>
      </c>
      <c r="AE216" s="39"/>
      <c r="AG216" s="39"/>
      <c r="AH216" s="39" t="str">
        <f t="shared" si="5"/>
        <v/>
      </c>
      <c r="AI216" s="39" t="str">
        <f t="shared" si="6"/>
        <v/>
      </c>
      <c r="AM216" s="39" t="str">
        <f t="array" ref="AM216">IF(C216="","",IFERROR(XLOOKUP(C216,Orders!$A:$A,Orders!$E:$E,""),""))</f>
        <v/>
      </c>
      <c r="AN216" s="39" t="str">
        <f t="shared" si="7"/>
        <v/>
      </c>
      <c r="AO216" s="39" t="str">
        <f t="shared" si="8"/>
        <v/>
      </c>
      <c r="AP216" s="39" t="str">
        <f t="shared" si="9"/>
        <v/>
      </c>
      <c r="AQ216" s="39" t="str">
        <f t="shared" si="10"/>
        <v/>
      </c>
      <c r="AR216" s="39" t="str">
        <f t="shared" si="11"/>
        <v/>
      </c>
      <c r="AS216" s="39" t="str">
        <f t="shared" si="12"/>
        <v/>
      </c>
      <c r="AT216" s="39" t="str">
        <f t="shared" si="13"/>
        <v/>
      </c>
      <c r="AU216" s="39" t="str">
        <f t="shared" si="14"/>
        <v/>
      </c>
    </row>
    <row r="217" ht="15.75" customHeight="1">
      <c r="A217" s="22"/>
      <c r="B217" s="22"/>
      <c r="C217" s="22"/>
      <c r="D217" s="22"/>
      <c r="E217" s="40"/>
      <c r="F217" s="40" t="str">
        <f>IF($C217="","",VLOOKUP($C217,Orders!$A$4:$J$303,3,FALSE))</f>
        <v/>
      </c>
      <c r="G217" s="40" t="str">
        <f>IF($C217="","",VLOOKUP($C217,Orders!$A$4:$J$303,4,FALSE))</f>
        <v/>
      </c>
      <c r="H217" s="22"/>
      <c r="I217" s="40" t="str">
        <f t="shared" si="1"/>
        <v/>
      </c>
      <c r="J217" s="40" t="str">
        <f t="shared" si="2"/>
        <v/>
      </c>
      <c r="K217" s="40" t="str">
        <f>IF($C217="","",VLOOKUP($C217,Orders!$A$4:$J$303,5,FALSE))</f>
        <v/>
      </c>
      <c r="L217" s="22"/>
      <c r="M217" s="40" t="str">
        <f t="shared" si="3"/>
        <v/>
      </c>
      <c r="N217" s="22"/>
      <c r="O217" s="22"/>
      <c r="P217" s="22" t="str">
        <f t="shared" si="4"/>
        <v/>
      </c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39" t="str">
        <f t="array" ref="AB217">IFERROR(INDEX(Bids!$AA:$AA, MATCH(C217&amp;"|"&amp;B217, Bids!$AD:$AD,0)),"")</f>
        <v/>
      </c>
      <c r="AC217" s="39" t="str">
        <f t="array" ref="AC217">IFERROR(INDEX(Bids!$AB:$AB, MATCH(C217&amp;"|"&amp;B217, Bids!$AD:$AD,0)),"")</f>
        <v/>
      </c>
      <c r="AD217" s="39" t="str">
        <f t="array" ref="AD217">IFERROR(INDEX(Bids!$AC:$AC, MATCH(C217&amp;"|"&amp;B217, Bids!$AD:$AD,0)), H217)</f>
        <v/>
      </c>
      <c r="AE217" s="39"/>
      <c r="AG217" s="39"/>
      <c r="AH217" s="39" t="str">
        <f t="shared" si="5"/>
        <v/>
      </c>
      <c r="AI217" s="39" t="str">
        <f t="shared" si="6"/>
        <v/>
      </c>
      <c r="AM217" s="39" t="str">
        <f t="array" ref="AM217">IF(C217="","",IFERROR(XLOOKUP(C217,Orders!$A:$A,Orders!$E:$E,""),""))</f>
        <v/>
      </c>
      <c r="AN217" s="39" t="str">
        <f t="shared" si="7"/>
        <v/>
      </c>
      <c r="AO217" s="39" t="str">
        <f t="shared" si="8"/>
        <v/>
      </c>
      <c r="AP217" s="39" t="str">
        <f t="shared" si="9"/>
        <v/>
      </c>
      <c r="AQ217" s="39" t="str">
        <f t="shared" si="10"/>
        <v/>
      </c>
      <c r="AR217" s="39" t="str">
        <f t="shared" si="11"/>
        <v/>
      </c>
      <c r="AS217" s="39" t="str">
        <f t="shared" si="12"/>
        <v/>
      </c>
      <c r="AT217" s="39" t="str">
        <f t="shared" si="13"/>
        <v/>
      </c>
      <c r="AU217" s="39" t="str">
        <f t="shared" si="14"/>
        <v/>
      </c>
    </row>
    <row r="218" ht="15.75" customHeight="1">
      <c r="A218" s="22"/>
      <c r="B218" s="22"/>
      <c r="C218" s="22"/>
      <c r="D218" s="22"/>
      <c r="E218" s="40"/>
      <c r="F218" s="40" t="str">
        <f>IF($C218="","",VLOOKUP($C218,Orders!$A$4:$J$303,3,FALSE))</f>
        <v/>
      </c>
      <c r="G218" s="40" t="str">
        <f>IF($C218="","",VLOOKUP($C218,Orders!$A$4:$J$303,4,FALSE))</f>
        <v/>
      </c>
      <c r="H218" s="22"/>
      <c r="I218" s="40" t="str">
        <f t="shared" si="1"/>
        <v/>
      </c>
      <c r="J218" s="40" t="str">
        <f t="shared" si="2"/>
        <v/>
      </c>
      <c r="K218" s="40" t="str">
        <f>IF($C218="","",VLOOKUP($C218,Orders!$A$4:$J$303,5,FALSE))</f>
        <v/>
      </c>
      <c r="L218" s="22"/>
      <c r="M218" s="40" t="str">
        <f t="shared" si="3"/>
        <v/>
      </c>
      <c r="N218" s="22"/>
      <c r="O218" s="22"/>
      <c r="P218" s="22" t="str">
        <f t="shared" si="4"/>
        <v/>
      </c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39" t="str">
        <f t="array" ref="AB218">IFERROR(INDEX(Bids!$AA:$AA, MATCH(C218&amp;"|"&amp;B218, Bids!$AD:$AD,0)),"")</f>
        <v/>
      </c>
      <c r="AC218" s="39" t="str">
        <f t="array" ref="AC218">IFERROR(INDEX(Bids!$AB:$AB, MATCH(C218&amp;"|"&amp;B218, Bids!$AD:$AD,0)),"")</f>
        <v/>
      </c>
      <c r="AD218" s="39" t="str">
        <f t="array" ref="AD218">IFERROR(INDEX(Bids!$AC:$AC, MATCH(C218&amp;"|"&amp;B218, Bids!$AD:$AD,0)), H218)</f>
        <v/>
      </c>
      <c r="AE218" s="39"/>
      <c r="AG218" s="39"/>
      <c r="AH218" s="39" t="str">
        <f t="shared" si="5"/>
        <v/>
      </c>
      <c r="AI218" s="39" t="str">
        <f t="shared" si="6"/>
        <v/>
      </c>
      <c r="AM218" s="39" t="str">
        <f t="array" ref="AM218">IF(C218="","",IFERROR(XLOOKUP(C218,Orders!$A:$A,Orders!$E:$E,""),""))</f>
        <v/>
      </c>
      <c r="AN218" s="39" t="str">
        <f t="shared" si="7"/>
        <v/>
      </c>
      <c r="AO218" s="39" t="str">
        <f t="shared" si="8"/>
        <v/>
      </c>
      <c r="AP218" s="39" t="str">
        <f t="shared" si="9"/>
        <v/>
      </c>
      <c r="AQ218" s="39" t="str">
        <f t="shared" si="10"/>
        <v/>
      </c>
      <c r="AR218" s="39" t="str">
        <f t="shared" si="11"/>
        <v/>
      </c>
      <c r="AS218" s="39" t="str">
        <f t="shared" si="12"/>
        <v/>
      </c>
      <c r="AT218" s="39" t="str">
        <f t="shared" si="13"/>
        <v/>
      </c>
      <c r="AU218" s="39" t="str">
        <f t="shared" si="14"/>
        <v/>
      </c>
    </row>
    <row r="219" ht="15.75" customHeight="1">
      <c r="A219" s="22"/>
      <c r="B219" s="22"/>
      <c r="C219" s="22"/>
      <c r="D219" s="22"/>
      <c r="E219" s="40"/>
      <c r="F219" s="40" t="str">
        <f>IF($C219="","",VLOOKUP($C219,Orders!$A$4:$J$303,3,FALSE))</f>
        <v/>
      </c>
      <c r="G219" s="40" t="str">
        <f>IF($C219="","",VLOOKUP($C219,Orders!$A$4:$J$303,4,FALSE))</f>
        <v/>
      </c>
      <c r="H219" s="22"/>
      <c r="I219" s="40" t="str">
        <f t="shared" si="1"/>
        <v/>
      </c>
      <c r="J219" s="40" t="str">
        <f t="shared" si="2"/>
        <v/>
      </c>
      <c r="K219" s="40" t="str">
        <f>IF($C219="","",VLOOKUP($C219,Orders!$A$4:$J$303,5,FALSE))</f>
        <v/>
      </c>
      <c r="L219" s="22"/>
      <c r="M219" s="40" t="str">
        <f t="shared" si="3"/>
        <v/>
      </c>
      <c r="N219" s="22"/>
      <c r="O219" s="22"/>
      <c r="P219" s="22" t="str">
        <f t="shared" si="4"/>
        <v/>
      </c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39" t="str">
        <f t="array" ref="AB219">IFERROR(INDEX(Bids!$AA:$AA, MATCH(C219&amp;"|"&amp;B219, Bids!$AD:$AD,0)),"")</f>
        <v/>
      </c>
      <c r="AC219" s="39" t="str">
        <f t="array" ref="AC219">IFERROR(INDEX(Bids!$AB:$AB, MATCH(C219&amp;"|"&amp;B219, Bids!$AD:$AD,0)),"")</f>
        <v/>
      </c>
      <c r="AD219" s="39" t="str">
        <f t="array" ref="AD219">IFERROR(INDEX(Bids!$AC:$AC, MATCH(C219&amp;"|"&amp;B219, Bids!$AD:$AD,0)), H219)</f>
        <v/>
      </c>
      <c r="AE219" s="39"/>
      <c r="AG219" s="39"/>
      <c r="AH219" s="39" t="str">
        <f t="shared" si="5"/>
        <v/>
      </c>
      <c r="AI219" s="39" t="str">
        <f t="shared" si="6"/>
        <v/>
      </c>
      <c r="AM219" s="39" t="str">
        <f t="array" ref="AM219">IF(C219="","",IFERROR(XLOOKUP(C219,Orders!$A:$A,Orders!$E:$E,""),""))</f>
        <v/>
      </c>
      <c r="AN219" s="39" t="str">
        <f t="shared" si="7"/>
        <v/>
      </c>
      <c r="AO219" s="39" t="str">
        <f t="shared" si="8"/>
        <v/>
      </c>
      <c r="AP219" s="39" t="str">
        <f t="shared" si="9"/>
        <v/>
      </c>
      <c r="AQ219" s="39" t="str">
        <f t="shared" si="10"/>
        <v/>
      </c>
      <c r="AR219" s="39" t="str">
        <f t="shared" si="11"/>
        <v/>
      </c>
      <c r="AS219" s="39" t="str">
        <f t="shared" si="12"/>
        <v/>
      </c>
      <c r="AT219" s="39" t="str">
        <f t="shared" si="13"/>
        <v/>
      </c>
      <c r="AU219" s="39" t="str">
        <f t="shared" si="14"/>
        <v/>
      </c>
    </row>
    <row r="220" ht="15.75" customHeight="1">
      <c r="A220" s="22"/>
      <c r="B220" s="22"/>
      <c r="C220" s="22"/>
      <c r="D220" s="22"/>
      <c r="E220" s="40"/>
      <c r="F220" s="40" t="str">
        <f>IF($C220="","",VLOOKUP($C220,Orders!$A$4:$J$303,3,FALSE))</f>
        <v/>
      </c>
      <c r="G220" s="40" t="str">
        <f>IF($C220="","",VLOOKUP($C220,Orders!$A$4:$J$303,4,FALSE))</f>
        <v/>
      </c>
      <c r="H220" s="22"/>
      <c r="I220" s="40" t="str">
        <f t="shared" si="1"/>
        <v/>
      </c>
      <c r="J220" s="40" t="str">
        <f t="shared" si="2"/>
        <v/>
      </c>
      <c r="K220" s="40" t="str">
        <f>IF($C220="","",VLOOKUP($C220,Orders!$A$4:$J$303,5,FALSE))</f>
        <v/>
      </c>
      <c r="L220" s="22"/>
      <c r="M220" s="40" t="str">
        <f t="shared" si="3"/>
        <v/>
      </c>
      <c r="N220" s="22"/>
      <c r="O220" s="22"/>
      <c r="P220" s="22" t="str">
        <f t="shared" si="4"/>
        <v/>
      </c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39" t="str">
        <f t="array" ref="AB220">IFERROR(INDEX(Bids!$AA:$AA, MATCH(C220&amp;"|"&amp;B220, Bids!$AD:$AD,0)),"")</f>
        <v/>
      </c>
      <c r="AC220" s="39" t="str">
        <f t="array" ref="AC220">IFERROR(INDEX(Bids!$AB:$AB, MATCH(C220&amp;"|"&amp;B220, Bids!$AD:$AD,0)),"")</f>
        <v/>
      </c>
      <c r="AD220" s="39" t="str">
        <f t="array" ref="AD220">IFERROR(INDEX(Bids!$AC:$AC, MATCH(C220&amp;"|"&amp;B220, Bids!$AD:$AD,0)), H220)</f>
        <v/>
      </c>
      <c r="AE220" s="39"/>
      <c r="AG220" s="39"/>
      <c r="AH220" s="39" t="str">
        <f t="shared" si="5"/>
        <v/>
      </c>
      <c r="AI220" s="39" t="str">
        <f t="shared" si="6"/>
        <v/>
      </c>
      <c r="AM220" s="39" t="str">
        <f t="array" ref="AM220">IF(C220="","",IFERROR(XLOOKUP(C220,Orders!$A:$A,Orders!$E:$E,""),""))</f>
        <v/>
      </c>
      <c r="AN220" s="39" t="str">
        <f t="shared" si="7"/>
        <v/>
      </c>
      <c r="AO220" s="39" t="str">
        <f t="shared" si="8"/>
        <v/>
      </c>
      <c r="AP220" s="39" t="str">
        <f t="shared" si="9"/>
        <v/>
      </c>
      <c r="AQ220" s="39" t="str">
        <f t="shared" si="10"/>
        <v/>
      </c>
      <c r="AR220" s="39" t="str">
        <f t="shared" si="11"/>
        <v/>
      </c>
      <c r="AS220" s="39" t="str">
        <f t="shared" si="12"/>
        <v/>
      </c>
      <c r="AT220" s="39" t="str">
        <f t="shared" si="13"/>
        <v/>
      </c>
      <c r="AU220" s="39" t="str">
        <f t="shared" si="14"/>
        <v/>
      </c>
    </row>
    <row r="221" ht="15.75" customHeight="1">
      <c r="A221" s="22"/>
      <c r="B221" s="22"/>
      <c r="C221" s="22"/>
      <c r="D221" s="22"/>
      <c r="E221" s="40"/>
      <c r="F221" s="40" t="str">
        <f>IF($C221="","",VLOOKUP($C221,Orders!$A$4:$J$303,3,FALSE))</f>
        <v/>
      </c>
      <c r="G221" s="40" t="str">
        <f>IF($C221="","",VLOOKUP($C221,Orders!$A$4:$J$303,4,FALSE))</f>
        <v/>
      </c>
      <c r="H221" s="22"/>
      <c r="I221" s="40" t="str">
        <f t="shared" si="1"/>
        <v/>
      </c>
      <c r="J221" s="40" t="str">
        <f t="shared" si="2"/>
        <v/>
      </c>
      <c r="K221" s="40" t="str">
        <f>IF($C221="","",VLOOKUP($C221,Orders!$A$4:$J$303,5,FALSE))</f>
        <v/>
      </c>
      <c r="L221" s="22"/>
      <c r="M221" s="40" t="str">
        <f t="shared" si="3"/>
        <v/>
      </c>
      <c r="N221" s="22"/>
      <c r="O221" s="22"/>
      <c r="P221" s="22" t="str">
        <f t="shared" si="4"/>
        <v/>
      </c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39" t="str">
        <f t="array" ref="AB221">IFERROR(INDEX(Bids!$AA:$AA, MATCH(C221&amp;"|"&amp;B221, Bids!$AD:$AD,0)),"")</f>
        <v/>
      </c>
      <c r="AC221" s="39" t="str">
        <f t="array" ref="AC221">IFERROR(INDEX(Bids!$AB:$AB, MATCH(C221&amp;"|"&amp;B221, Bids!$AD:$AD,0)),"")</f>
        <v/>
      </c>
      <c r="AD221" s="39" t="str">
        <f t="array" ref="AD221">IFERROR(INDEX(Bids!$AC:$AC, MATCH(C221&amp;"|"&amp;B221, Bids!$AD:$AD,0)), H221)</f>
        <v/>
      </c>
      <c r="AE221" s="39"/>
      <c r="AG221" s="39"/>
      <c r="AH221" s="39" t="str">
        <f t="shared" si="5"/>
        <v/>
      </c>
      <c r="AI221" s="39" t="str">
        <f t="shared" si="6"/>
        <v/>
      </c>
      <c r="AM221" s="39" t="str">
        <f t="array" ref="AM221">IF(C221="","",IFERROR(XLOOKUP(C221,Orders!$A:$A,Orders!$E:$E,""),""))</f>
        <v/>
      </c>
      <c r="AN221" s="39" t="str">
        <f t="shared" si="7"/>
        <v/>
      </c>
      <c r="AO221" s="39" t="str">
        <f t="shared" si="8"/>
        <v/>
      </c>
      <c r="AP221" s="39" t="str">
        <f t="shared" si="9"/>
        <v/>
      </c>
      <c r="AQ221" s="39" t="str">
        <f t="shared" si="10"/>
        <v/>
      </c>
      <c r="AR221" s="39" t="str">
        <f t="shared" si="11"/>
        <v/>
      </c>
      <c r="AS221" s="39" t="str">
        <f t="shared" si="12"/>
        <v/>
      </c>
      <c r="AT221" s="39" t="str">
        <f t="shared" si="13"/>
        <v/>
      </c>
      <c r="AU221" s="39" t="str">
        <f t="shared" si="14"/>
        <v/>
      </c>
    </row>
    <row r="222" ht="15.75" customHeight="1">
      <c r="A222" s="22"/>
      <c r="B222" s="22"/>
      <c r="C222" s="22"/>
      <c r="D222" s="22"/>
      <c r="E222" s="40"/>
      <c r="F222" s="40" t="str">
        <f>IF($C222="","",VLOOKUP($C222,Orders!$A$4:$J$303,3,FALSE))</f>
        <v/>
      </c>
      <c r="G222" s="40" t="str">
        <f>IF($C222="","",VLOOKUP($C222,Orders!$A$4:$J$303,4,FALSE))</f>
        <v/>
      </c>
      <c r="H222" s="22"/>
      <c r="I222" s="40" t="str">
        <f t="shared" si="1"/>
        <v/>
      </c>
      <c r="J222" s="40" t="str">
        <f t="shared" si="2"/>
        <v/>
      </c>
      <c r="K222" s="40" t="str">
        <f>IF($C222="","",VLOOKUP($C222,Orders!$A$4:$J$303,5,FALSE))</f>
        <v/>
      </c>
      <c r="L222" s="22"/>
      <c r="M222" s="40" t="str">
        <f t="shared" si="3"/>
        <v/>
      </c>
      <c r="N222" s="22"/>
      <c r="O222" s="22"/>
      <c r="P222" s="22" t="str">
        <f t="shared" si="4"/>
        <v/>
      </c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39" t="str">
        <f t="array" ref="AB222">IFERROR(INDEX(Bids!$AA:$AA, MATCH(C222&amp;"|"&amp;B222, Bids!$AD:$AD,0)),"")</f>
        <v/>
      </c>
      <c r="AC222" s="39" t="str">
        <f t="array" ref="AC222">IFERROR(INDEX(Bids!$AB:$AB, MATCH(C222&amp;"|"&amp;B222, Bids!$AD:$AD,0)),"")</f>
        <v/>
      </c>
      <c r="AD222" s="39" t="str">
        <f t="array" ref="AD222">IFERROR(INDEX(Bids!$AC:$AC, MATCH(C222&amp;"|"&amp;B222, Bids!$AD:$AD,0)), H222)</f>
        <v/>
      </c>
      <c r="AE222" s="39"/>
      <c r="AG222" s="39"/>
      <c r="AH222" s="39" t="str">
        <f t="shared" si="5"/>
        <v/>
      </c>
      <c r="AI222" s="39" t="str">
        <f t="shared" si="6"/>
        <v/>
      </c>
      <c r="AM222" s="39" t="str">
        <f t="array" ref="AM222">IF(C222="","",IFERROR(XLOOKUP(C222,Orders!$A:$A,Orders!$E:$E,""),""))</f>
        <v/>
      </c>
      <c r="AN222" s="39" t="str">
        <f t="shared" si="7"/>
        <v/>
      </c>
      <c r="AO222" s="39" t="str">
        <f t="shared" si="8"/>
        <v/>
      </c>
      <c r="AP222" s="39" t="str">
        <f t="shared" si="9"/>
        <v/>
      </c>
      <c r="AQ222" s="39" t="str">
        <f t="shared" si="10"/>
        <v/>
      </c>
      <c r="AR222" s="39" t="str">
        <f t="shared" si="11"/>
        <v/>
      </c>
      <c r="AS222" s="39" t="str">
        <f t="shared" si="12"/>
        <v/>
      </c>
      <c r="AT222" s="39" t="str">
        <f t="shared" si="13"/>
        <v/>
      </c>
      <c r="AU222" s="39" t="str">
        <f t="shared" si="14"/>
        <v/>
      </c>
    </row>
    <row r="223" ht="15.75" customHeight="1">
      <c r="A223" s="22"/>
      <c r="B223" s="22"/>
      <c r="C223" s="22"/>
      <c r="D223" s="22"/>
      <c r="E223" s="40"/>
      <c r="F223" s="40" t="str">
        <f>IF($C223="","",VLOOKUP($C223,Orders!$A$4:$J$303,3,FALSE))</f>
        <v/>
      </c>
      <c r="G223" s="40" t="str">
        <f>IF($C223="","",VLOOKUP($C223,Orders!$A$4:$J$303,4,FALSE))</f>
        <v/>
      </c>
      <c r="H223" s="22"/>
      <c r="I223" s="40" t="str">
        <f t="shared" si="1"/>
        <v/>
      </c>
      <c r="J223" s="40" t="str">
        <f t="shared" si="2"/>
        <v/>
      </c>
      <c r="K223" s="40" t="str">
        <f>IF($C223="","",VLOOKUP($C223,Orders!$A$4:$J$303,5,FALSE))</f>
        <v/>
      </c>
      <c r="L223" s="22"/>
      <c r="M223" s="40" t="str">
        <f t="shared" si="3"/>
        <v/>
      </c>
      <c r="N223" s="22"/>
      <c r="O223" s="22"/>
      <c r="P223" s="22" t="str">
        <f t="shared" si="4"/>
        <v/>
      </c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39" t="str">
        <f t="array" ref="AB223">IFERROR(INDEX(Bids!$AA:$AA, MATCH(C223&amp;"|"&amp;B223, Bids!$AD:$AD,0)),"")</f>
        <v/>
      </c>
      <c r="AC223" s="39" t="str">
        <f t="array" ref="AC223">IFERROR(INDEX(Bids!$AB:$AB, MATCH(C223&amp;"|"&amp;B223, Bids!$AD:$AD,0)),"")</f>
        <v/>
      </c>
      <c r="AD223" s="39" t="str">
        <f t="array" ref="AD223">IFERROR(INDEX(Bids!$AC:$AC, MATCH(C223&amp;"|"&amp;B223, Bids!$AD:$AD,0)), H223)</f>
        <v/>
      </c>
      <c r="AE223" s="39"/>
      <c r="AG223" s="39"/>
      <c r="AH223" s="39" t="str">
        <f t="shared" si="5"/>
        <v/>
      </c>
      <c r="AI223" s="39" t="str">
        <f t="shared" si="6"/>
        <v/>
      </c>
      <c r="AM223" s="39" t="str">
        <f t="array" ref="AM223">IF(C223="","",IFERROR(XLOOKUP(C223,Orders!$A:$A,Orders!$E:$E,""),""))</f>
        <v/>
      </c>
      <c r="AN223" s="39" t="str">
        <f t="shared" si="7"/>
        <v/>
      </c>
      <c r="AO223" s="39" t="str">
        <f t="shared" si="8"/>
        <v/>
      </c>
      <c r="AP223" s="39" t="str">
        <f t="shared" si="9"/>
        <v/>
      </c>
      <c r="AQ223" s="39" t="str">
        <f t="shared" si="10"/>
        <v/>
      </c>
      <c r="AR223" s="39" t="str">
        <f t="shared" si="11"/>
        <v/>
      </c>
      <c r="AS223" s="39" t="str">
        <f t="shared" si="12"/>
        <v/>
      </c>
      <c r="AT223" s="39" t="str">
        <f t="shared" si="13"/>
        <v/>
      </c>
      <c r="AU223" s="39" t="str">
        <f t="shared" si="14"/>
        <v/>
      </c>
    </row>
    <row r="224" ht="15.75" customHeight="1">
      <c r="A224" s="22"/>
      <c r="B224" s="22"/>
      <c r="C224" s="22"/>
      <c r="D224" s="22"/>
      <c r="E224" s="40"/>
      <c r="F224" s="40" t="str">
        <f>IF($C224="","",VLOOKUP($C224,Orders!$A$4:$J$303,3,FALSE))</f>
        <v/>
      </c>
      <c r="G224" s="40" t="str">
        <f>IF($C224="","",VLOOKUP($C224,Orders!$A$4:$J$303,4,FALSE))</f>
        <v/>
      </c>
      <c r="H224" s="22"/>
      <c r="I224" s="40" t="str">
        <f t="shared" si="1"/>
        <v/>
      </c>
      <c r="J224" s="40" t="str">
        <f t="shared" si="2"/>
        <v/>
      </c>
      <c r="K224" s="40" t="str">
        <f>IF($C224="","",VLOOKUP($C224,Orders!$A$4:$J$303,5,FALSE))</f>
        <v/>
      </c>
      <c r="L224" s="22"/>
      <c r="M224" s="40" t="str">
        <f t="shared" si="3"/>
        <v/>
      </c>
      <c r="N224" s="22"/>
      <c r="O224" s="22"/>
      <c r="P224" s="22" t="str">
        <f t="shared" si="4"/>
        <v/>
      </c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39" t="str">
        <f t="array" ref="AB224">IFERROR(INDEX(Bids!$AA:$AA, MATCH(C224&amp;"|"&amp;B224, Bids!$AD:$AD,0)),"")</f>
        <v/>
      </c>
      <c r="AC224" s="39" t="str">
        <f t="array" ref="AC224">IFERROR(INDEX(Bids!$AB:$AB, MATCH(C224&amp;"|"&amp;B224, Bids!$AD:$AD,0)),"")</f>
        <v/>
      </c>
      <c r="AD224" s="39" t="str">
        <f t="array" ref="AD224">IFERROR(INDEX(Bids!$AC:$AC, MATCH(C224&amp;"|"&amp;B224, Bids!$AD:$AD,0)), H224)</f>
        <v/>
      </c>
      <c r="AE224" s="39"/>
      <c r="AG224" s="39"/>
      <c r="AH224" s="39" t="str">
        <f t="shared" si="5"/>
        <v/>
      </c>
      <c r="AI224" s="39" t="str">
        <f t="shared" si="6"/>
        <v/>
      </c>
      <c r="AM224" s="39" t="str">
        <f t="array" ref="AM224">IF(C224="","",IFERROR(XLOOKUP(C224,Orders!$A:$A,Orders!$E:$E,""),""))</f>
        <v/>
      </c>
      <c r="AN224" s="39" t="str">
        <f t="shared" si="7"/>
        <v/>
      </c>
      <c r="AO224" s="39" t="str">
        <f t="shared" si="8"/>
        <v/>
      </c>
      <c r="AP224" s="39" t="str">
        <f t="shared" si="9"/>
        <v/>
      </c>
      <c r="AQ224" s="39" t="str">
        <f t="shared" si="10"/>
        <v/>
      </c>
      <c r="AR224" s="39" t="str">
        <f t="shared" si="11"/>
        <v/>
      </c>
      <c r="AS224" s="39" t="str">
        <f t="shared" si="12"/>
        <v/>
      </c>
      <c r="AT224" s="39" t="str">
        <f t="shared" si="13"/>
        <v/>
      </c>
      <c r="AU224" s="39" t="str">
        <f t="shared" si="14"/>
        <v/>
      </c>
    </row>
    <row r="225" ht="15.75" customHeight="1">
      <c r="A225" s="22"/>
      <c r="B225" s="22"/>
      <c r="C225" s="22"/>
      <c r="D225" s="22"/>
      <c r="E225" s="40"/>
      <c r="F225" s="40" t="str">
        <f>IF($C225="","",VLOOKUP($C225,Orders!$A$4:$J$303,3,FALSE))</f>
        <v/>
      </c>
      <c r="G225" s="40" t="str">
        <f>IF($C225="","",VLOOKUP($C225,Orders!$A$4:$J$303,4,FALSE))</f>
        <v/>
      </c>
      <c r="H225" s="22"/>
      <c r="I225" s="40" t="str">
        <f t="shared" si="1"/>
        <v/>
      </c>
      <c r="J225" s="40" t="str">
        <f t="shared" si="2"/>
        <v/>
      </c>
      <c r="K225" s="40" t="str">
        <f>IF($C225="","",VLOOKUP($C225,Orders!$A$4:$J$303,5,FALSE))</f>
        <v/>
      </c>
      <c r="L225" s="22"/>
      <c r="M225" s="40" t="str">
        <f t="shared" si="3"/>
        <v/>
      </c>
      <c r="N225" s="22"/>
      <c r="O225" s="22"/>
      <c r="P225" s="22" t="str">
        <f t="shared" si="4"/>
        <v/>
      </c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39" t="str">
        <f t="array" ref="AB225">IFERROR(INDEX(Bids!$AA:$AA, MATCH(C225&amp;"|"&amp;B225, Bids!$AD:$AD,0)),"")</f>
        <v/>
      </c>
      <c r="AC225" s="39" t="str">
        <f t="array" ref="AC225">IFERROR(INDEX(Bids!$AB:$AB, MATCH(C225&amp;"|"&amp;B225, Bids!$AD:$AD,0)),"")</f>
        <v/>
      </c>
      <c r="AD225" s="39" t="str">
        <f t="array" ref="AD225">IFERROR(INDEX(Bids!$AC:$AC, MATCH(C225&amp;"|"&amp;B225, Bids!$AD:$AD,0)), H225)</f>
        <v/>
      </c>
      <c r="AE225" s="39"/>
      <c r="AG225" s="39"/>
      <c r="AH225" s="39" t="str">
        <f t="shared" si="5"/>
        <v/>
      </c>
      <c r="AI225" s="39" t="str">
        <f t="shared" si="6"/>
        <v/>
      </c>
      <c r="AM225" s="39" t="str">
        <f t="array" ref="AM225">IF(C225="","",IFERROR(XLOOKUP(C225,Orders!$A:$A,Orders!$E:$E,""),""))</f>
        <v/>
      </c>
      <c r="AN225" s="39" t="str">
        <f t="shared" si="7"/>
        <v/>
      </c>
      <c r="AO225" s="39" t="str">
        <f t="shared" si="8"/>
        <v/>
      </c>
      <c r="AP225" s="39" t="str">
        <f t="shared" si="9"/>
        <v/>
      </c>
      <c r="AQ225" s="39" t="str">
        <f t="shared" si="10"/>
        <v/>
      </c>
      <c r="AR225" s="39" t="str">
        <f t="shared" si="11"/>
        <v/>
      </c>
      <c r="AS225" s="39" t="str">
        <f t="shared" si="12"/>
        <v/>
      </c>
      <c r="AT225" s="39" t="str">
        <f t="shared" si="13"/>
        <v/>
      </c>
      <c r="AU225" s="39" t="str">
        <f t="shared" si="14"/>
        <v/>
      </c>
    </row>
    <row r="226" ht="15.75" customHeight="1">
      <c r="A226" s="22"/>
      <c r="B226" s="22"/>
      <c r="C226" s="22"/>
      <c r="D226" s="22"/>
      <c r="E226" s="40"/>
      <c r="F226" s="40" t="str">
        <f>IF($C226="","",VLOOKUP($C226,Orders!$A$4:$J$303,3,FALSE))</f>
        <v/>
      </c>
      <c r="G226" s="40" t="str">
        <f>IF($C226="","",VLOOKUP($C226,Orders!$A$4:$J$303,4,FALSE))</f>
        <v/>
      </c>
      <c r="H226" s="22"/>
      <c r="I226" s="40" t="str">
        <f t="shared" si="1"/>
        <v/>
      </c>
      <c r="J226" s="40" t="str">
        <f t="shared" si="2"/>
        <v/>
      </c>
      <c r="K226" s="40" t="str">
        <f>IF($C226="","",VLOOKUP($C226,Orders!$A$4:$J$303,5,FALSE))</f>
        <v/>
      </c>
      <c r="L226" s="22"/>
      <c r="M226" s="40" t="str">
        <f t="shared" si="3"/>
        <v/>
      </c>
      <c r="N226" s="22"/>
      <c r="O226" s="22"/>
      <c r="P226" s="22" t="str">
        <f t="shared" si="4"/>
        <v/>
      </c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39" t="str">
        <f t="array" ref="AB226">IFERROR(INDEX(Bids!$AA:$AA, MATCH(C226&amp;"|"&amp;B226, Bids!$AD:$AD,0)),"")</f>
        <v/>
      </c>
      <c r="AC226" s="39" t="str">
        <f t="array" ref="AC226">IFERROR(INDEX(Bids!$AB:$AB, MATCH(C226&amp;"|"&amp;B226, Bids!$AD:$AD,0)),"")</f>
        <v/>
      </c>
      <c r="AD226" s="39" t="str">
        <f t="array" ref="AD226">IFERROR(INDEX(Bids!$AC:$AC, MATCH(C226&amp;"|"&amp;B226, Bids!$AD:$AD,0)), H226)</f>
        <v/>
      </c>
      <c r="AE226" s="39"/>
      <c r="AG226" s="39"/>
      <c r="AH226" s="39" t="str">
        <f t="shared" si="5"/>
        <v/>
      </c>
      <c r="AI226" s="39" t="str">
        <f t="shared" si="6"/>
        <v/>
      </c>
      <c r="AM226" s="39" t="str">
        <f t="array" ref="AM226">IF(C226="","",IFERROR(XLOOKUP(C226,Orders!$A:$A,Orders!$E:$E,""),""))</f>
        <v/>
      </c>
      <c r="AN226" s="39" t="str">
        <f t="shared" si="7"/>
        <v/>
      </c>
      <c r="AO226" s="39" t="str">
        <f t="shared" si="8"/>
        <v/>
      </c>
      <c r="AP226" s="39" t="str">
        <f t="shared" si="9"/>
        <v/>
      </c>
      <c r="AQ226" s="39" t="str">
        <f t="shared" si="10"/>
        <v/>
      </c>
      <c r="AR226" s="39" t="str">
        <f t="shared" si="11"/>
        <v/>
      </c>
      <c r="AS226" s="39" t="str">
        <f t="shared" si="12"/>
        <v/>
      </c>
      <c r="AT226" s="39" t="str">
        <f t="shared" si="13"/>
        <v/>
      </c>
      <c r="AU226" s="39" t="str">
        <f t="shared" si="14"/>
        <v/>
      </c>
    </row>
    <row r="227" ht="15.75" customHeight="1">
      <c r="A227" s="22"/>
      <c r="B227" s="22"/>
      <c r="C227" s="22"/>
      <c r="D227" s="22"/>
      <c r="E227" s="40"/>
      <c r="F227" s="40" t="str">
        <f>IF($C227="","",VLOOKUP($C227,Orders!$A$4:$J$303,3,FALSE))</f>
        <v/>
      </c>
      <c r="G227" s="40" t="str">
        <f>IF($C227="","",VLOOKUP($C227,Orders!$A$4:$J$303,4,FALSE))</f>
        <v/>
      </c>
      <c r="H227" s="22"/>
      <c r="I227" s="40" t="str">
        <f t="shared" si="1"/>
        <v/>
      </c>
      <c r="J227" s="40" t="str">
        <f t="shared" si="2"/>
        <v/>
      </c>
      <c r="K227" s="40" t="str">
        <f>IF($C227="","",VLOOKUP($C227,Orders!$A$4:$J$303,5,FALSE))</f>
        <v/>
      </c>
      <c r="L227" s="22"/>
      <c r="M227" s="40" t="str">
        <f t="shared" si="3"/>
        <v/>
      </c>
      <c r="N227" s="22"/>
      <c r="O227" s="22"/>
      <c r="P227" s="22" t="str">
        <f t="shared" si="4"/>
        <v/>
      </c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39" t="str">
        <f t="array" ref="AB227">IFERROR(INDEX(Bids!$AA:$AA, MATCH(C227&amp;"|"&amp;B227, Bids!$AD:$AD,0)),"")</f>
        <v/>
      </c>
      <c r="AC227" s="39" t="str">
        <f t="array" ref="AC227">IFERROR(INDEX(Bids!$AB:$AB, MATCH(C227&amp;"|"&amp;B227, Bids!$AD:$AD,0)),"")</f>
        <v/>
      </c>
      <c r="AD227" s="39" t="str">
        <f t="array" ref="AD227">IFERROR(INDEX(Bids!$AC:$AC, MATCH(C227&amp;"|"&amp;B227, Bids!$AD:$AD,0)), H227)</f>
        <v/>
      </c>
      <c r="AE227" s="39"/>
      <c r="AG227" s="39"/>
      <c r="AH227" s="39" t="str">
        <f t="shared" si="5"/>
        <v/>
      </c>
      <c r="AI227" s="39" t="str">
        <f t="shared" si="6"/>
        <v/>
      </c>
      <c r="AM227" s="39" t="str">
        <f t="array" ref="AM227">IF(C227="","",IFERROR(XLOOKUP(C227,Orders!$A:$A,Orders!$E:$E,""),""))</f>
        <v/>
      </c>
      <c r="AN227" s="39" t="str">
        <f t="shared" si="7"/>
        <v/>
      </c>
      <c r="AO227" s="39" t="str">
        <f t="shared" si="8"/>
        <v/>
      </c>
      <c r="AP227" s="39" t="str">
        <f t="shared" si="9"/>
        <v/>
      </c>
      <c r="AQ227" s="39" t="str">
        <f t="shared" si="10"/>
        <v/>
      </c>
      <c r="AR227" s="39" t="str">
        <f t="shared" si="11"/>
        <v/>
      </c>
      <c r="AS227" s="39" t="str">
        <f t="shared" si="12"/>
        <v/>
      </c>
      <c r="AT227" s="39" t="str">
        <f t="shared" si="13"/>
        <v/>
      </c>
      <c r="AU227" s="39" t="str">
        <f t="shared" si="14"/>
        <v/>
      </c>
    </row>
    <row r="228" ht="15.75" customHeight="1">
      <c r="A228" s="22"/>
      <c r="B228" s="22"/>
      <c r="C228" s="22"/>
      <c r="D228" s="22"/>
      <c r="E228" s="40"/>
      <c r="F228" s="40" t="str">
        <f>IF($C228="","",VLOOKUP($C228,Orders!$A$4:$J$303,3,FALSE))</f>
        <v/>
      </c>
      <c r="G228" s="40" t="str">
        <f>IF($C228="","",VLOOKUP($C228,Orders!$A$4:$J$303,4,FALSE))</f>
        <v/>
      </c>
      <c r="H228" s="22"/>
      <c r="I228" s="40" t="str">
        <f t="shared" si="1"/>
        <v/>
      </c>
      <c r="J228" s="40" t="str">
        <f t="shared" si="2"/>
        <v/>
      </c>
      <c r="K228" s="40" t="str">
        <f>IF($C228="","",VLOOKUP($C228,Orders!$A$4:$J$303,5,FALSE))</f>
        <v/>
      </c>
      <c r="L228" s="22"/>
      <c r="M228" s="40" t="str">
        <f t="shared" si="3"/>
        <v/>
      </c>
      <c r="N228" s="22"/>
      <c r="O228" s="22"/>
      <c r="P228" s="22" t="str">
        <f t="shared" si="4"/>
        <v/>
      </c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39" t="str">
        <f t="array" ref="AB228">IFERROR(INDEX(Bids!$AA:$AA, MATCH(C228&amp;"|"&amp;B228, Bids!$AD:$AD,0)),"")</f>
        <v/>
      </c>
      <c r="AC228" s="39" t="str">
        <f t="array" ref="AC228">IFERROR(INDEX(Bids!$AB:$AB, MATCH(C228&amp;"|"&amp;B228, Bids!$AD:$AD,0)),"")</f>
        <v/>
      </c>
      <c r="AD228" s="39" t="str">
        <f t="array" ref="AD228">IFERROR(INDEX(Bids!$AC:$AC, MATCH(C228&amp;"|"&amp;B228, Bids!$AD:$AD,0)), H228)</f>
        <v/>
      </c>
      <c r="AE228" s="39"/>
      <c r="AG228" s="39"/>
      <c r="AH228" s="39" t="str">
        <f t="shared" si="5"/>
        <v/>
      </c>
      <c r="AI228" s="39" t="str">
        <f t="shared" si="6"/>
        <v/>
      </c>
      <c r="AM228" s="39" t="str">
        <f t="array" ref="AM228">IF(C228="","",IFERROR(XLOOKUP(C228,Orders!$A:$A,Orders!$E:$E,""),""))</f>
        <v/>
      </c>
      <c r="AN228" s="39" t="str">
        <f t="shared" si="7"/>
        <v/>
      </c>
      <c r="AO228" s="39" t="str">
        <f t="shared" si="8"/>
        <v/>
      </c>
      <c r="AP228" s="39" t="str">
        <f t="shared" si="9"/>
        <v/>
      </c>
      <c r="AQ228" s="39" t="str">
        <f t="shared" si="10"/>
        <v/>
      </c>
      <c r="AR228" s="39" t="str">
        <f t="shared" si="11"/>
        <v/>
      </c>
      <c r="AS228" s="39" t="str">
        <f t="shared" si="12"/>
        <v/>
      </c>
      <c r="AT228" s="39" t="str">
        <f t="shared" si="13"/>
        <v/>
      </c>
      <c r="AU228" s="39" t="str">
        <f t="shared" si="14"/>
        <v/>
      </c>
    </row>
    <row r="229" ht="15.75" customHeight="1">
      <c r="A229" s="22"/>
      <c r="B229" s="22"/>
      <c r="C229" s="22"/>
      <c r="D229" s="22"/>
      <c r="E229" s="40"/>
      <c r="F229" s="40" t="str">
        <f>IF($C229="","",VLOOKUP($C229,Orders!$A$4:$J$303,3,FALSE))</f>
        <v/>
      </c>
      <c r="G229" s="40" t="str">
        <f>IF($C229="","",VLOOKUP($C229,Orders!$A$4:$J$303,4,FALSE))</f>
        <v/>
      </c>
      <c r="H229" s="22"/>
      <c r="I229" s="40" t="str">
        <f t="shared" si="1"/>
        <v/>
      </c>
      <c r="J229" s="40" t="str">
        <f t="shared" si="2"/>
        <v/>
      </c>
      <c r="K229" s="40" t="str">
        <f>IF($C229="","",VLOOKUP($C229,Orders!$A$4:$J$303,5,FALSE))</f>
        <v/>
      </c>
      <c r="L229" s="22"/>
      <c r="M229" s="40" t="str">
        <f t="shared" si="3"/>
        <v/>
      </c>
      <c r="N229" s="22"/>
      <c r="O229" s="22"/>
      <c r="P229" s="22" t="str">
        <f t="shared" si="4"/>
        <v/>
      </c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39" t="str">
        <f t="array" ref="AB229">IFERROR(INDEX(Bids!$AA:$AA, MATCH(C229&amp;"|"&amp;B229, Bids!$AD:$AD,0)),"")</f>
        <v/>
      </c>
      <c r="AC229" s="39" t="str">
        <f t="array" ref="AC229">IFERROR(INDEX(Bids!$AB:$AB, MATCH(C229&amp;"|"&amp;B229, Bids!$AD:$AD,0)),"")</f>
        <v/>
      </c>
      <c r="AD229" s="39" t="str">
        <f t="array" ref="AD229">IFERROR(INDEX(Bids!$AC:$AC, MATCH(C229&amp;"|"&amp;B229, Bids!$AD:$AD,0)), H229)</f>
        <v/>
      </c>
      <c r="AE229" s="39"/>
      <c r="AG229" s="39"/>
      <c r="AH229" s="39" t="str">
        <f t="shared" si="5"/>
        <v/>
      </c>
      <c r="AI229" s="39" t="str">
        <f t="shared" si="6"/>
        <v/>
      </c>
      <c r="AM229" s="39" t="str">
        <f t="array" ref="AM229">IF(C229="","",IFERROR(XLOOKUP(C229,Orders!$A:$A,Orders!$E:$E,""),""))</f>
        <v/>
      </c>
      <c r="AN229" s="39" t="str">
        <f t="shared" si="7"/>
        <v/>
      </c>
      <c r="AO229" s="39" t="str">
        <f t="shared" si="8"/>
        <v/>
      </c>
      <c r="AP229" s="39" t="str">
        <f t="shared" si="9"/>
        <v/>
      </c>
      <c r="AQ229" s="39" t="str">
        <f t="shared" si="10"/>
        <v/>
      </c>
      <c r="AR229" s="39" t="str">
        <f t="shared" si="11"/>
        <v/>
      </c>
      <c r="AS229" s="39" t="str">
        <f t="shared" si="12"/>
        <v/>
      </c>
      <c r="AT229" s="39" t="str">
        <f t="shared" si="13"/>
        <v/>
      </c>
      <c r="AU229" s="39" t="str">
        <f t="shared" si="14"/>
        <v/>
      </c>
    </row>
    <row r="230" ht="15.75" customHeight="1">
      <c r="A230" s="22"/>
      <c r="B230" s="22"/>
      <c r="C230" s="22"/>
      <c r="D230" s="22"/>
      <c r="E230" s="40"/>
      <c r="F230" s="40" t="str">
        <f>IF($C230="","",VLOOKUP($C230,Orders!$A$4:$J$303,3,FALSE))</f>
        <v/>
      </c>
      <c r="G230" s="40" t="str">
        <f>IF($C230="","",VLOOKUP($C230,Orders!$A$4:$J$303,4,FALSE))</f>
        <v/>
      </c>
      <c r="H230" s="22"/>
      <c r="I230" s="40" t="str">
        <f t="shared" si="1"/>
        <v/>
      </c>
      <c r="J230" s="40" t="str">
        <f t="shared" si="2"/>
        <v/>
      </c>
      <c r="K230" s="40" t="str">
        <f>IF($C230="","",VLOOKUP($C230,Orders!$A$4:$J$303,5,FALSE))</f>
        <v/>
      </c>
      <c r="L230" s="22"/>
      <c r="M230" s="40" t="str">
        <f t="shared" si="3"/>
        <v/>
      </c>
      <c r="N230" s="22"/>
      <c r="O230" s="22"/>
      <c r="P230" s="22" t="str">
        <f t="shared" si="4"/>
        <v/>
      </c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39" t="str">
        <f t="array" ref="AB230">IFERROR(INDEX(Bids!$AA:$AA, MATCH(C230&amp;"|"&amp;B230, Bids!$AD:$AD,0)),"")</f>
        <v/>
      </c>
      <c r="AC230" s="39" t="str">
        <f t="array" ref="AC230">IFERROR(INDEX(Bids!$AB:$AB, MATCH(C230&amp;"|"&amp;B230, Bids!$AD:$AD,0)),"")</f>
        <v/>
      </c>
      <c r="AD230" s="39" t="str">
        <f t="array" ref="AD230">IFERROR(INDEX(Bids!$AC:$AC, MATCH(C230&amp;"|"&amp;B230, Bids!$AD:$AD,0)), H230)</f>
        <v/>
      </c>
      <c r="AE230" s="39"/>
      <c r="AG230" s="39"/>
      <c r="AH230" s="39" t="str">
        <f t="shared" si="5"/>
        <v/>
      </c>
      <c r="AI230" s="39" t="str">
        <f t="shared" si="6"/>
        <v/>
      </c>
      <c r="AM230" s="39" t="str">
        <f t="array" ref="AM230">IF(C230="","",IFERROR(XLOOKUP(C230,Orders!$A:$A,Orders!$E:$E,""),""))</f>
        <v/>
      </c>
      <c r="AN230" s="39" t="str">
        <f t="shared" si="7"/>
        <v/>
      </c>
      <c r="AO230" s="39" t="str">
        <f t="shared" si="8"/>
        <v/>
      </c>
      <c r="AP230" s="39" t="str">
        <f t="shared" si="9"/>
        <v/>
      </c>
      <c r="AQ230" s="39" t="str">
        <f t="shared" si="10"/>
        <v/>
      </c>
      <c r="AR230" s="39" t="str">
        <f t="shared" si="11"/>
        <v/>
      </c>
      <c r="AS230" s="39" t="str">
        <f t="shared" si="12"/>
        <v/>
      </c>
      <c r="AT230" s="39" t="str">
        <f t="shared" si="13"/>
        <v/>
      </c>
      <c r="AU230" s="39" t="str">
        <f t="shared" si="14"/>
        <v/>
      </c>
    </row>
    <row r="231" ht="15.75" customHeight="1">
      <c r="A231" s="22"/>
      <c r="B231" s="22"/>
      <c r="C231" s="22"/>
      <c r="D231" s="22"/>
      <c r="E231" s="40"/>
      <c r="F231" s="40" t="str">
        <f>IF($C231="","",VLOOKUP($C231,Orders!$A$4:$J$303,3,FALSE))</f>
        <v/>
      </c>
      <c r="G231" s="40" t="str">
        <f>IF($C231="","",VLOOKUP($C231,Orders!$A$4:$J$303,4,FALSE))</f>
        <v/>
      </c>
      <c r="H231" s="22"/>
      <c r="I231" s="40" t="str">
        <f t="shared" si="1"/>
        <v/>
      </c>
      <c r="J231" s="40" t="str">
        <f t="shared" si="2"/>
        <v/>
      </c>
      <c r="K231" s="40" t="str">
        <f>IF($C231="","",VLOOKUP($C231,Orders!$A$4:$J$303,5,FALSE))</f>
        <v/>
      </c>
      <c r="L231" s="22"/>
      <c r="M231" s="40" t="str">
        <f t="shared" si="3"/>
        <v/>
      </c>
      <c r="N231" s="22"/>
      <c r="O231" s="22"/>
      <c r="P231" s="22" t="str">
        <f t="shared" si="4"/>
        <v/>
      </c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39" t="str">
        <f t="array" ref="AB231">IFERROR(INDEX(Bids!$AA:$AA, MATCH(C231&amp;"|"&amp;B231, Bids!$AD:$AD,0)),"")</f>
        <v/>
      </c>
      <c r="AC231" s="39" t="str">
        <f t="array" ref="AC231">IFERROR(INDEX(Bids!$AB:$AB, MATCH(C231&amp;"|"&amp;B231, Bids!$AD:$AD,0)),"")</f>
        <v/>
      </c>
      <c r="AD231" s="39" t="str">
        <f t="array" ref="AD231">IFERROR(INDEX(Bids!$AC:$AC, MATCH(C231&amp;"|"&amp;B231, Bids!$AD:$AD,0)), H231)</f>
        <v/>
      </c>
      <c r="AE231" s="39"/>
      <c r="AG231" s="39"/>
      <c r="AH231" s="39" t="str">
        <f t="shared" si="5"/>
        <v/>
      </c>
      <c r="AI231" s="39" t="str">
        <f t="shared" si="6"/>
        <v/>
      </c>
      <c r="AM231" s="39" t="str">
        <f t="array" ref="AM231">IF(C231="","",IFERROR(XLOOKUP(C231,Orders!$A:$A,Orders!$E:$E,""),""))</f>
        <v/>
      </c>
      <c r="AN231" s="39" t="str">
        <f t="shared" si="7"/>
        <v/>
      </c>
      <c r="AO231" s="39" t="str">
        <f t="shared" si="8"/>
        <v/>
      </c>
      <c r="AP231" s="39" t="str">
        <f t="shared" si="9"/>
        <v/>
      </c>
      <c r="AQ231" s="39" t="str">
        <f t="shared" si="10"/>
        <v/>
      </c>
      <c r="AR231" s="39" t="str">
        <f t="shared" si="11"/>
        <v/>
      </c>
      <c r="AS231" s="39" t="str">
        <f t="shared" si="12"/>
        <v/>
      </c>
      <c r="AT231" s="39" t="str">
        <f t="shared" si="13"/>
        <v/>
      </c>
      <c r="AU231" s="39" t="str">
        <f t="shared" si="14"/>
        <v/>
      </c>
    </row>
    <row r="232" ht="15.75" customHeight="1">
      <c r="A232" s="22"/>
      <c r="B232" s="22"/>
      <c r="C232" s="22"/>
      <c r="D232" s="22"/>
      <c r="E232" s="40"/>
      <c r="F232" s="40" t="str">
        <f>IF($C232="","",VLOOKUP($C232,Orders!$A$4:$J$303,3,FALSE))</f>
        <v/>
      </c>
      <c r="G232" s="40" t="str">
        <f>IF($C232="","",VLOOKUP($C232,Orders!$A$4:$J$303,4,FALSE))</f>
        <v/>
      </c>
      <c r="H232" s="22"/>
      <c r="I232" s="40" t="str">
        <f t="shared" si="1"/>
        <v/>
      </c>
      <c r="J232" s="40" t="str">
        <f t="shared" si="2"/>
        <v/>
      </c>
      <c r="K232" s="40" t="str">
        <f>IF($C232="","",VLOOKUP($C232,Orders!$A$4:$J$303,5,FALSE))</f>
        <v/>
      </c>
      <c r="L232" s="22"/>
      <c r="M232" s="40" t="str">
        <f t="shared" si="3"/>
        <v/>
      </c>
      <c r="N232" s="22"/>
      <c r="O232" s="22"/>
      <c r="P232" s="22" t="str">
        <f t="shared" si="4"/>
        <v/>
      </c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39" t="str">
        <f t="array" ref="AB232">IFERROR(INDEX(Bids!$AA:$AA, MATCH(C232&amp;"|"&amp;B232, Bids!$AD:$AD,0)),"")</f>
        <v/>
      </c>
      <c r="AC232" s="39" t="str">
        <f t="array" ref="AC232">IFERROR(INDEX(Bids!$AB:$AB, MATCH(C232&amp;"|"&amp;B232, Bids!$AD:$AD,0)),"")</f>
        <v/>
      </c>
      <c r="AD232" s="39" t="str">
        <f t="array" ref="AD232">IFERROR(INDEX(Bids!$AC:$AC, MATCH(C232&amp;"|"&amp;B232, Bids!$AD:$AD,0)), H232)</f>
        <v/>
      </c>
      <c r="AE232" s="39"/>
      <c r="AG232" s="39"/>
      <c r="AH232" s="39" t="str">
        <f t="shared" si="5"/>
        <v/>
      </c>
      <c r="AI232" s="39" t="str">
        <f t="shared" si="6"/>
        <v/>
      </c>
      <c r="AM232" s="39" t="str">
        <f t="array" ref="AM232">IF(C232="","",IFERROR(XLOOKUP(C232,Orders!$A:$A,Orders!$E:$E,""),""))</f>
        <v/>
      </c>
      <c r="AN232" s="39" t="str">
        <f t="shared" si="7"/>
        <v/>
      </c>
      <c r="AO232" s="39" t="str">
        <f t="shared" si="8"/>
        <v/>
      </c>
      <c r="AP232" s="39" t="str">
        <f t="shared" si="9"/>
        <v/>
      </c>
      <c r="AQ232" s="39" t="str">
        <f t="shared" si="10"/>
        <v/>
      </c>
      <c r="AR232" s="39" t="str">
        <f t="shared" si="11"/>
        <v/>
      </c>
      <c r="AS232" s="39" t="str">
        <f t="shared" si="12"/>
        <v/>
      </c>
      <c r="AT232" s="39" t="str">
        <f t="shared" si="13"/>
        <v/>
      </c>
      <c r="AU232" s="39" t="str">
        <f t="shared" si="14"/>
        <v/>
      </c>
    </row>
    <row r="233" ht="15.75" customHeight="1">
      <c r="A233" s="22"/>
      <c r="B233" s="22"/>
      <c r="C233" s="22"/>
      <c r="D233" s="22"/>
      <c r="E233" s="40"/>
      <c r="F233" s="40" t="str">
        <f>IF($C233="","",VLOOKUP($C233,Orders!$A$4:$J$303,3,FALSE))</f>
        <v/>
      </c>
      <c r="G233" s="40" t="str">
        <f>IF($C233="","",VLOOKUP($C233,Orders!$A$4:$J$303,4,FALSE))</f>
        <v/>
      </c>
      <c r="H233" s="22"/>
      <c r="I233" s="40" t="str">
        <f t="shared" si="1"/>
        <v/>
      </c>
      <c r="J233" s="40" t="str">
        <f t="shared" si="2"/>
        <v/>
      </c>
      <c r="K233" s="40" t="str">
        <f>IF($C233="","",VLOOKUP($C233,Orders!$A$4:$J$303,5,FALSE))</f>
        <v/>
      </c>
      <c r="L233" s="22"/>
      <c r="M233" s="40" t="str">
        <f t="shared" si="3"/>
        <v/>
      </c>
      <c r="N233" s="22"/>
      <c r="O233" s="22"/>
      <c r="P233" s="22" t="str">
        <f t="shared" si="4"/>
        <v/>
      </c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39" t="str">
        <f t="array" ref="AB233">IFERROR(INDEX(Bids!$AA:$AA, MATCH(C233&amp;"|"&amp;B233, Bids!$AD:$AD,0)),"")</f>
        <v/>
      </c>
      <c r="AC233" s="39" t="str">
        <f t="array" ref="AC233">IFERROR(INDEX(Bids!$AB:$AB, MATCH(C233&amp;"|"&amp;B233, Bids!$AD:$AD,0)),"")</f>
        <v/>
      </c>
      <c r="AD233" s="39" t="str">
        <f t="array" ref="AD233">IFERROR(INDEX(Bids!$AC:$AC, MATCH(C233&amp;"|"&amp;B233, Bids!$AD:$AD,0)), H233)</f>
        <v/>
      </c>
      <c r="AE233" s="39"/>
      <c r="AG233" s="39"/>
      <c r="AH233" s="39" t="str">
        <f t="shared" si="5"/>
        <v/>
      </c>
      <c r="AI233" s="39" t="str">
        <f t="shared" si="6"/>
        <v/>
      </c>
      <c r="AM233" s="39" t="str">
        <f t="array" ref="AM233">IF(C233="","",IFERROR(XLOOKUP(C233,Orders!$A:$A,Orders!$E:$E,""),""))</f>
        <v/>
      </c>
      <c r="AN233" s="39" t="str">
        <f t="shared" si="7"/>
        <v/>
      </c>
      <c r="AO233" s="39" t="str">
        <f t="shared" si="8"/>
        <v/>
      </c>
      <c r="AP233" s="39" t="str">
        <f t="shared" si="9"/>
        <v/>
      </c>
      <c r="AQ233" s="39" t="str">
        <f t="shared" si="10"/>
        <v/>
      </c>
      <c r="AR233" s="39" t="str">
        <f t="shared" si="11"/>
        <v/>
      </c>
      <c r="AS233" s="39" t="str">
        <f t="shared" si="12"/>
        <v/>
      </c>
      <c r="AT233" s="39" t="str">
        <f t="shared" si="13"/>
        <v/>
      </c>
      <c r="AU233" s="39" t="str">
        <f t="shared" si="14"/>
        <v/>
      </c>
    </row>
    <row r="234" ht="15.75" customHeight="1">
      <c r="A234" s="22"/>
      <c r="B234" s="22"/>
      <c r="C234" s="22"/>
      <c r="D234" s="22"/>
      <c r="E234" s="40"/>
      <c r="F234" s="40" t="str">
        <f>IF($C234="","",VLOOKUP($C234,Orders!$A$4:$J$303,3,FALSE))</f>
        <v/>
      </c>
      <c r="G234" s="40" t="str">
        <f>IF($C234="","",VLOOKUP($C234,Orders!$A$4:$J$303,4,FALSE))</f>
        <v/>
      </c>
      <c r="H234" s="22"/>
      <c r="I234" s="40" t="str">
        <f t="shared" si="1"/>
        <v/>
      </c>
      <c r="J234" s="40" t="str">
        <f t="shared" si="2"/>
        <v/>
      </c>
      <c r="K234" s="40" t="str">
        <f>IF($C234="","",VLOOKUP($C234,Orders!$A$4:$J$303,5,FALSE))</f>
        <v/>
      </c>
      <c r="L234" s="22"/>
      <c r="M234" s="40" t="str">
        <f t="shared" si="3"/>
        <v/>
      </c>
      <c r="N234" s="22"/>
      <c r="O234" s="22"/>
      <c r="P234" s="22" t="str">
        <f t="shared" si="4"/>
        <v/>
      </c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39" t="str">
        <f t="array" ref="AB234">IFERROR(INDEX(Bids!$AA:$AA, MATCH(C234&amp;"|"&amp;B234, Bids!$AD:$AD,0)),"")</f>
        <v/>
      </c>
      <c r="AC234" s="39" t="str">
        <f t="array" ref="AC234">IFERROR(INDEX(Bids!$AB:$AB, MATCH(C234&amp;"|"&amp;B234, Bids!$AD:$AD,0)),"")</f>
        <v/>
      </c>
      <c r="AD234" s="39" t="str">
        <f t="array" ref="AD234">IFERROR(INDEX(Bids!$AC:$AC, MATCH(C234&amp;"|"&amp;B234, Bids!$AD:$AD,0)), H234)</f>
        <v/>
      </c>
      <c r="AE234" s="39"/>
      <c r="AG234" s="39"/>
      <c r="AH234" s="39" t="str">
        <f t="shared" si="5"/>
        <v/>
      </c>
      <c r="AI234" s="39" t="str">
        <f t="shared" si="6"/>
        <v/>
      </c>
      <c r="AM234" s="39" t="str">
        <f t="array" ref="AM234">IF(C234="","",IFERROR(XLOOKUP(C234,Orders!$A:$A,Orders!$E:$E,""),""))</f>
        <v/>
      </c>
      <c r="AN234" s="39" t="str">
        <f t="shared" si="7"/>
        <v/>
      </c>
      <c r="AO234" s="39" t="str">
        <f t="shared" si="8"/>
        <v/>
      </c>
      <c r="AP234" s="39" t="str">
        <f t="shared" si="9"/>
        <v/>
      </c>
      <c r="AQ234" s="39" t="str">
        <f t="shared" si="10"/>
        <v/>
      </c>
      <c r="AR234" s="39" t="str">
        <f t="shared" si="11"/>
        <v/>
      </c>
      <c r="AS234" s="39" t="str">
        <f t="shared" si="12"/>
        <v/>
      </c>
      <c r="AT234" s="39" t="str">
        <f t="shared" si="13"/>
        <v/>
      </c>
      <c r="AU234" s="39" t="str">
        <f t="shared" si="14"/>
        <v/>
      </c>
    </row>
    <row r="235" ht="15.75" customHeight="1">
      <c r="A235" s="22"/>
      <c r="B235" s="22"/>
      <c r="C235" s="22"/>
      <c r="D235" s="22"/>
      <c r="E235" s="40"/>
      <c r="F235" s="40" t="str">
        <f>IF($C235="","",VLOOKUP($C235,Orders!$A$4:$J$303,3,FALSE))</f>
        <v/>
      </c>
      <c r="G235" s="40" t="str">
        <f>IF($C235="","",VLOOKUP($C235,Orders!$A$4:$J$303,4,FALSE))</f>
        <v/>
      </c>
      <c r="H235" s="22"/>
      <c r="I235" s="40" t="str">
        <f t="shared" si="1"/>
        <v/>
      </c>
      <c r="J235" s="40" t="str">
        <f t="shared" si="2"/>
        <v/>
      </c>
      <c r="K235" s="40" t="str">
        <f>IF($C235="","",VLOOKUP($C235,Orders!$A$4:$J$303,5,FALSE))</f>
        <v/>
      </c>
      <c r="L235" s="22"/>
      <c r="M235" s="40" t="str">
        <f t="shared" si="3"/>
        <v/>
      </c>
      <c r="N235" s="22"/>
      <c r="O235" s="22"/>
      <c r="P235" s="22" t="str">
        <f t="shared" si="4"/>
        <v/>
      </c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39" t="str">
        <f t="array" ref="AB235">IFERROR(INDEX(Bids!$AA:$AA, MATCH(C235&amp;"|"&amp;B235, Bids!$AD:$AD,0)),"")</f>
        <v/>
      </c>
      <c r="AC235" s="39" t="str">
        <f t="array" ref="AC235">IFERROR(INDEX(Bids!$AB:$AB, MATCH(C235&amp;"|"&amp;B235, Bids!$AD:$AD,0)),"")</f>
        <v/>
      </c>
      <c r="AD235" s="39" t="str">
        <f t="array" ref="AD235">IFERROR(INDEX(Bids!$AC:$AC, MATCH(C235&amp;"|"&amp;B235, Bids!$AD:$AD,0)), H235)</f>
        <v/>
      </c>
      <c r="AE235" s="39"/>
      <c r="AG235" s="39"/>
      <c r="AH235" s="39" t="str">
        <f t="shared" si="5"/>
        <v/>
      </c>
      <c r="AI235" s="39" t="str">
        <f t="shared" si="6"/>
        <v/>
      </c>
      <c r="AM235" s="39" t="str">
        <f t="array" ref="AM235">IF(C235="","",IFERROR(XLOOKUP(C235,Orders!$A:$A,Orders!$E:$E,""),""))</f>
        <v/>
      </c>
      <c r="AN235" s="39" t="str">
        <f t="shared" si="7"/>
        <v/>
      </c>
      <c r="AO235" s="39" t="str">
        <f t="shared" si="8"/>
        <v/>
      </c>
      <c r="AP235" s="39" t="str">
        <f t="shared" si="9"/>
        <v/>
      </c>
      <c r="AQ235" s="39" t="str">
        <f t="shared" si="10"/>
        <v/>
      </c>
      <c r="AR235" s="39" t="str">
        <f t="shared" si="11"/>
        <v/>
      </c>
      <c r="AS235" s="39" t="str">
        <f t="shared" si="12"/>
        <v/>
      </c>
      <c r="AT235" s="39" t="str">
        <f t="shared" si="13"/>
        <v/>
      </c>
      <c r="AU235" s="39" t="str">
        <f t="shared" si="14"/>
        <v/>
      </c>
    </row>
    <row r="236" ht="15.75" customHeight="1">
      <c r="A236" s="22"/>
      <c r="B236" s="22"/>
      <c r="C236" s="22"/>
      <c r="D236" s="22"/>
      <c r="E236" s="40"/>
      <c r="F236" s="40" t="str">
        <f>IF($C236="","",VLOOKUP($C236,Orders!$A$4:$J$303,3,FALSE))</f>
        <v/>
      </c>
      <c r="G236" s="40" t="str">
        <f>IF($C236="","",VLOOKUP($C236,Orders!$A$4:$J$303,4,FALSE))</f>
        <v/>
      </c>
      <c r="H236" s="22"/>
      <c r="I236" s="40" t="str">
        <f t="shared" si="1"/>
        <v/>
      </c>
      <c r="J236" s="40" t="str">
        <f t="shared" si="2"/>
        <v/>
      </c>
      <c r="K236" s="40" t="str">
        <f>IF($C236="","",VLOOKUP($C236,Orders!$A$4:$J$303,5,FALSE))</f>
        <v/>
      </c>
      <c r="L236" s="22"/>
      <c r="M236" s="40" t="str">
        <f t="shared" si="3"/>
        <v/>
      </c>
      <c r="N236" s="22"/>
      <c r="O236" s="22"/>
      <c r="P236" s="22" t="str">
        <f t="shared" si="4"/>
        <v/>
      </c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39" t="str">
        <f t="array" ref="AB236">IFERROR(INDEX(Bids!$AA:$AA, MATCH(C236&amp;"|"&amp;B236, Bids!$AD:$AD,0)),"")</f>
        <v/>
      </c>
      <c r="AC236" s="39" t="str">
        <f t="array" ref="AC236">IFERROR(INDEX(Bids!$AB:$AB, MATCH(C236&amp;"|"&amp;B236, Bids!$AD:$AD,0)),"")</f>
        <v/>
      </c>
      <c r="AD236" s="39" t="str">
        <f t="array" ref="AD236">IFERROR(INDEX(Bids!$AC:$AC, MATCH(C236&amp;"|"&amp;B236, Bids!$AD:$AD,0)), H236)</f>
        <v/>
      </c>
      <c r="AE236" s="39"/>
      <c r="AG236" s="39"/>
      <c r="AH236" s="39" t="str">
        <f t="shared" si="5"/>
        <v/>
      </c>
      <c r="AI236" s="39" t="str">
        <f t="shared" si="6"/>
        <v/>
      </c>
      <c r="AM236" s="39" t="str">
        <f t="array" ref="AM236">IF(C236="","",IFERROR(XLOOKUP(C236,Orders!$A:$A,Orders!$E:$E,""),""))</f>
        <v/>
      </c>
      <c r="AN236" s="39" t="str">
        <f t="shared" si="7"/>
        <v/>
      </c>
      <c r="AO236" s="39" t="str">
        <f t="shared" si="8"/>
        <v/>
      </c>
      <c r="AP236" s="39" t="str">
        <f t="shared" si="9"/>
        <v/>
      </c>
      <c r="AQ236" s="39" t="str">
        <f t="shared" si="10"/>
        <v/>
      </c>
      <c r="AR236" s="39" t="str">
        <f t="shared" si="11"/>
        <v/>
      </c>
      <c r="AS236" s="39" t="str">
        <f t="shared" si="12"/>
        <v/>
      </c>
      <c r="AT236" s="39" t="str">
        <f t="shared" si="13"/>
        <v/>
      </c>
      <c r="AU236" s="39" t="str">
        <f t="shared" si="14"/>
        <v/>
      </c>
    </row>
    <row r="237" ht="15.75" customHeight="1">
      <c r="A237" s="22"/>
      <c r="B237" s="22"/>
      <c r="C237" s="22"/>
      <c r="D237" s="22"/>
      <c r="E237" s="40"/>
      <c r="F237" s="40" t="str">
        <f>IF($C237="","",VLOOKUP($C237,Orders!$A$4:$J$303,3,FALSE))</f>
        <v/>
      </c>
      <c r="G237" s="40" t="str">
        <f>IF($C237="","",VLOOKUP($C237,Orders!$A$4:$J$303,4,FALSE))</f>
        <v/>
      </c>
      <c r="H237" s="22"/>
      <c r="I237" s="40" t="str">
        <f t="shared" si="1"/>
        <v/>
      </c>
      <c r="J237" s="40" t="str">
        <f t="shared" si="2"/>
        <v/>
      </c>
      <c r="K237" s="40" t="str">
        <f>IF($C237="","",VLOOKUP($C237,Orders!$A$4:$J$303,5,FALSE))</f>
        <v/>
      </c>
      <c r="L237" s="22"/>
      <c r="M237" s="40" t="str">
        <f t="shared" si="3"/>
        <v/>
      </c>
      <c r="N237" s="22"/>
      <c r="O237" s="22"/>
      <c r="P237" s="22" t="str">
        <f t="shared" si="4"/>
        <v/>
      </c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39" t="str">
        <f t="array" ref="AB237">IFERROR(INDEX(Bids!$AA:$AA, MATCH(C237&amp;"|"&amp;B237, Bids!$AD:$AD,0)),"")</f>
        <v/>
      </c>
      <c r="AC237" s="39" t="str">
        <f t="array" ref="AC237">IFERROR(INDEX(Bids!$AB:$AB, MATCH(C237&amp;"|"&amp;B237, Bids!$AD:$AD,0)),"")</f>
        <v/>
      </c>
      <c r="AD237" s="39" t="str">
        <f t="array" ref="AD237">IFERROR(INDEX(Bids!$AC:$AC, MATCH(C237&amp;"|"&amp;B237, Bids!$AD:$AD,0)), H237)</f>
        <v/>
      </c>
      <c r="AE237" s="39"/>
      <c r="AG237" s="39"/>
      <c r="AH237" s="39" t="str">
        <f t="shared" si="5"/>
        <v/>
      </c>
      <c r="AI237" s="39" t="str">
        <f t="shared" si="6"/>
        <v/>
      </c>
      <c r="AM237" s="39" t="str">
        <f t="array" ref="AM237">IF(C237="","",IFERROR(XLOOKUP(C237,Orders!$A:$A,Orders!$E:$E,""),""))</f>
        <v/>
      </c>
      <c r="AN237" s="39" t="str">
        <f t="shared" si="7"/>
        <v/>
      </c>
      <c r="AO237" s="39" t="str">
        <f t="shared" si="8"/>
        <v/>
      </c>
      <c r="AP237" s="39" t="str">
        <f t="shared" si="9"/>
        <v/>
      </c>
      <c r="AQ237" s="39" t="str">
        <f t="shared" si="10"/>
        <v/>
      </c>
      <c r="AR237" s="39" t="str">
        <f t="shared" si="11"/>
        <v/>
      </c>
      <c r="AS237" s="39" t="str">
        <f t="shared" si="12"/>
        <v/>
      </c>
      <c r="AT237" s="39" t="str">
        <f t="shared" si="13"/>
        <v/>
      </c>
      <c r="AU237" s="39" t="str">
        <f t="shared" si="14"/>
        <v/>
      </c>
    </row>
    <row r="238" ht="15.75" customHeight="1">
      <c r="A238" s="22"/>
      <c r="B238" s="22"/>
      <c r="C238" s="22"/>
      <c r="D238" s="22"/>
      <c r="E238" s="40"/>
      <c r="F238" s="40" t="str">
        <f>IF($C238="","",VLOOKUP($C238,Orders!$A$4:$J$303,3,FALSE))</f>
        <v/>
      </c>
      <c r="G238" s="40" t="str">
        <f>IF($C238="","",VLOOKUP($C238,Orders!$A$4:$J$303,4,FALSE))</f>
        <v/>
      </c>
      <c r="H238" s="22"/>
      <c r="I238" s="40" t="str">
        <f t="shared" si="1"/>
        <v/>
      </c>
      <c r="J238" s="40" t="str">
        <f t="shared" si="2"/>
        <v/>
      </c>
      <c r="K238" s="40" t="str">
        <f>IF($C238="","",VLOOKUP($C238,Orders!$A$4:$J$303,5,FALSE))</f>
        <v/>
      </c>
      <c r="L238" s="22"/>
      <c r="M238" s="40" t="str">
        <f t="shared" si="3"/>
        <v/>
      </c>
      <c r="N238" s="22"/>
      <c r="O238" s="22"/>
      <c r="P238" s="22" t="str">
        <f t="shared" si="4"/>
        <v/>
      </c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39" t="str">
        <f t="array" ref="AB238">IFERROR(INDEX(Bids!$AA:$AA, MATCH(C238&amp;"|"&amp;B238, Bids!$AD:$AD,0)),"")</f>
        <v/>
      </c>
      <c r="AC238" s="39" t="str">
        <f t="array" ref="AC238">IFERROR(INDEX(Bids!$AB:$AB, MATCH(C238&amp;"|"&amp;B238, Bids!$AD:$AD,0)),"")</f>
        <v/>
      </c>
      <c r="AD238" s="39" t="str">
        <f t="array" ref="AD238">IFERROR(INDEX(Bids!$AC:$AC, MATCH(C238&amp;"|"&amp;B238, Bids!$AD:$AD,0)), H238)</f>
        <v/>
      </c>
      <c r="AE238" s="39"/>
      <c r="AG238" s="39"/>
      <c r="AH238" s="39" t="str">
        <f t="shared" si="5"/>
        <v/>
      </c>
      <c r="AI238" s="39" t="str">
        <f t="shared" si="6"/>
        <v/>
      </c>
      <c r="AM238" s="39" t="str">
        <f t="array" ref="AM238">IF(C238="","",IFERROR(XLOOKUP(C238,Orders!$A:$A,Orders!$E:$E,""),""))</f>
        <v/>
      </c>
      <c r="AN238" s="39" t="str">
        <f t="shared" si="7"/>
        <v/>
      </c>
      <c r="AO238" s="39" t="str">
        <f t="shared" si="8"/>
        <v/>
      </c>
      <c r="AP238" s="39" t="str">
        <f t="shared" si="9"/>
        <v/>
      </c>
      <c r="AQ238" s="39" t="str">
        <f t="shared" si="10"/>
        <v/>
      </c>
      <c r="AR238" s="39" t="str">
        <f t="shared" si="11"/>
        <v/>
      </c>
      <c r="AS238" s="39" t="str">
        <f t="shared" si="12"/>
        <v/>
      </c>
      <c r="AT238" s="39" t="str">
        <f t="shared" si="13"/>
        <v/>
      </c>
      <c r="AU238" s="39" t="str">
        <f t="shared" si="14"/>
        <v/>
      </c>
    </row>
    <row r="239" ht="15.75" customHeight="1">
      <c r="A239" s="22"/>
      <c r="B239" s="22"/>
      <c r="C239" s="22"/>
      <c r="D239" s="22"/>
      <c r="E239" s="40"/>
      <c r="F239" s="40" t="str">
        <f>IF($C239="","",VLOOKUP($C239,Orders!$A$4:$J$303,3,FALSE))</f>
        <v/>
      </c>
      <c r="G239" s="40" t="str">
        <f>IF($C239="","",VLOOKUP($C239,Orders!$A$4:$J$303,4,FALSE))</f>
        <v/>
      </c>
      <c r="H239" s="22"/>
      <c r="I239" s="40" t="str">
        <f t="shared" si="1"/>
        <v/>
      </c>
      <c r="J239" s="40" t="str">
        <f t="shared" si="2"/>
        <v/>
      </c>
      <c r="K239" s="40" t="str">
        <f>IF($C239="","",VLOOKUP($C239,Orders!$A$4:$J$303,5,FALSE))</f>
        <v/>
      </c>
      <c r="L239" s="22"/>
      <c r="M239" s="40" t="str">
        <f t="shared" si="3"/>
        <v/>
      </c>
      <c r="N239" s="22"/>
      <c r="O239" s="22"/>
      <c r="P239" s="22" t="str">
        <f t="shared" si="4"/>
        <v/>
      </c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39" t="str">
        <f t="array" ref="AB239">IFERROR(INDEX(Bids!$AA:$AA, MATCH(C239&amp;"|"&amp;B239, Bids!$AD:$AD,0)),"")</f>
        <v/>
      </c>
      <c r="AC239" s="39" t="str">
        <f t="array" ref="AC239">IFERROR(INDEX(Bids!$AB:$AB, MATCH(C239&amp;"|"&amp;B239, Bids!$AD:$AD,0)),"")</f>
        <v/>
      </c>
      <c r="AD239" s="39" t="str">
        <f t="array" ref="AD239">IFERROR(INDEX(Bids!$AC:$AC, MATCH(C239&amp;"|"&amp;B239, Bids!$AD:$AD,0)), H239)</f>
        <v/>
      </c>
      <c r="AE239" s="39"/>
      <c r="AG239" s="39"/>
      <c r="AH239" s="39" t="str">
        <f t="shared" si="5"/>
        <v/>
      </c>
      <c r="AI239" s="39" t="str">
        <f t="shared" si="6"/>
        <v/>
      </c>
      <c r="AM239" s="39" t="str">
        <f t="array" ref="AM239">IF(C239="","",IFERROR(XLOOKUP(C239,Orders!$A:$A,Orders!$E:$E,""),""))</f>
        <v/>
      </c>
      <c r="AN239" s="39" t="str">
        <f t="shared" si="7"/>
        <v/>
      </c>
      <c r="AO239" s="39" t="str">
        <f t="shared" si="8"/>
        <v/>
      </c>
      <c r="AP239" s="39" t="str">
        <f t="shared" si="9"/>
        <v/>
      </c>
      <c r="AQ239" s="39" t="str">
        <f t="shared" si="10"/>
        <v/>
      </c>
      <c r="AR239" s="39" t="str">
        <f t="shared" si="11"/>
        <v/>
      </c>
      <c r="AS239" s="39" t="str">
        <f t="shared" si="12"/>
        <v/>
      </c>
      <c r="AT239" s="39" t="str">
        <f t="shared" si="13"/>
        <v/>
      </c>
      <c r="AU239" s="39" t="str">
        <f t="shared" si="14"/>
        <v/>
      </c>
    </row>
    <row r="240" ht="15.75" customHeight="1">
      <c r="A240" s="22"/>
      <c r="B240" s="22"/>
      <c r="C240" s="22"/>
      <c r="D240" s="22"/>
      <c r="E240" s="40"/>
      <c r="F240" s="40" t="str">
        <f>IF($C240="","",VLOOKUP($C240,Orders!$A$4:$J$303,3,FALSE))</f>
        <v/>
      </c>
      <c r="G240" s="40" t="str">
        <f>IF($C240="","",VLOOKUP($C240,Orders!$A$4:$J$303,4,FALSE))</f>
        <v/>
      </c>
      <c r="H240" s="22"/>
      <c r="I240" s="40" t="str">
        <f t="shared" si="1"/>
        <v/>
      </c>
      <c r="J240" s="40" t="str">
        <f t="shared" si="2"/>
        <v/>
      </c>
      <c r="K240" s="40" t="str">
        <f>IF($C240="","",VLOOKUP($C240,Orders!$A$4:$J$303,5,FALSE))</f>
        <v/>
      </c>
      <c r="L240" s="22"/>
      <c r="M240" s="40" t="str">
        <f t="shared" si="3"/>
        <v/>
      </c>
      <c r="N240" s="22"/>
      <c r="O240" s="22"/>
      <c r="P240" s="22" t="str">
        <f t="shared" si="4"/>
        <v/>
      </c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39" t="str">
        <f t="array" ref="AB240">IFERROR(INDEX(Bids!$AA:$AA, MATCH(C240&amp;"|"&amp;B240, Bids!$AD:$AD,0)),"")</f>
        <v/>
      </c>
      <c r="AC240" s="39" t="str">
        <f t="array" ref="AC240">IFERROR(INDEX(Bids!$AB:$AB, MATCH(C240&amp;"|"&amp;B240, Bids!$AD:$AD,0)),"")</f>
        <v/>
      </c>
      <c r="AD240" s="39" t="str">
        <f t="array" ref="AD240">IFERROR(INDEX(Bids!$AC:$AC, MATCH(C240&amp;"|"&amp;B240, Bids!$AD:$AD,0)), H240)</f>
        <v/>
      </c>
      <c r="AE240" s="39"/>
      <c r="AG240" s="39"/>
      <c r="AH240" s="39" t="str">
        <f t="shared" si="5"/>
        <v/>
      </c>
      <c r="AI240" s="39" t="str">
        <f t="shared" si="6"/>
        <v/>
      </c>
      <c r="AM240" s="39" t="str">
        <f t="array" ref="AM240">IF(C240="","",IFERROR(XLOOKUP(C240,Orders!$A:$A,Orders!$E:$E,""),""))</f>
        <v/>
      </c>
      <c r="AN240" s="39" t="str">
        <f t="shared" si="7"/>
        <v/>
      </c>
      <c r="AO240" s="39" t="str">
        <f t="shared" si="8"/>
        <v/>
      </c>
      <c r="AP240" s="39" t="str">
        <f t="shared" si="9"/>
        <v/>
      </c>
      <c r="AQ240" s="39" t="str">
        <f t="shared" si="10"/>
        <v/>
      </c>
      <c r="AR240" s="39" t="str">
        <f t="shared" si="11"/>
        <v/>
      </c>
      <c r="AS240" s="39" t="str">
        <f t="shared" si="12"/>
        <v/>
      </c>
      <c r="AT240" s="39" t="str">
        <f t="shared" si="13"/>
        <v/>
      </c>
      <c r="AU240" s="39" t="str">
        <f t="shared" si="14"/>
        <v/>
      </c>
    </row>
    <row r="241" ht="15.75" customHeight="1">
      <c r="A241" s="22"/>
      <c r="B241" s="22"/>
      <c r="C241" s="22"/>
      <c r="D241" s="22"/>
      <c r="E241" s="40"/>
      <c r="F241" s="40" t="str">
        <f>IF($C241="","",VLOOKUP($C241,Orders!$A$4:$J$303,3,FALSE))</f>
        <v/>
      </c>
      <c r="G241" s="40" t="str">
        <f>IF($C241="","",VLOOKUP($C241,Orders!$A$4:$J$303,4,FALSE))</f>
        <v/>
      </c>
      <c r="H241" s="22"/>
      <c r="I241" s="40" t="str">
        <f t="shared" si="1"/>
        <v/>
      </c>
      <c r="J241" s="40" t="str">
        <f t="shared" si="2"/>
        <v/>
      </c>
      <c r="K241" s="40" t="str">
        <f>IF($C241="","",VLOOKUP($C241,Orders!$A$4:$J$303,5,FALSE))</f>
        <v/>
      </c>
      <c r="L241" s="22"/>
      <c r="M241" s="40" t="str">
        <f t="shared" si="3"/>
        <v/>
      </c>
      <c r="N241" s="22"/>
      <c r="O241" s="22"/>
      <c r="P241" s="22" t="str">
        <f t="shared" si="4"/>
        <v/>
      </c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39" t="str">
        <f t="array" ref="AB241">IFERROR(INDEX(Bids!$AA:$AA, MATCH(C241&amp;"|"&amp;B241, Bids!$AD:$AD,0)),"")</f>
        <v/>
      </c>
      <c r="AC241" s="39" t="str">
        <f t="array" ref="AC241">IFERROR(INDEX(Bids!$AB:$AB, MATCH(C241&amp;"|"&amp;B241, Bids!$AD:$AD,0)),"")</f>
        <v/>
      </c>
      <c r="AD241" s="39" t="str">
        <f t="array" ref="AD241">IFERROR(INDEX(Bids!$AC:$AC, MATCH(C241&amp;"|"&amp;B241, Bids!$AD:$AD,0)), H241)</f>
        <v/>
      </c>
      <c r="AE241" s="39"/>
      <c r="AG241" s="39"/>
      <c r="AH241" s="39" t="str">
        <f t="shared" si="5"/>
        <v/>
      </c>
      <c r="AI241" s="39" t="str">
        <f t="shared" si="6"/>
        <v/>
      </c>
      <c r="AM241" s="39" t="str">
        <f t="array" ref="AM241">IF(C241="","",IFERROR(XLOOKUP(C241,Orders!$A:$A,Orders!$E:$E,""),""))</f>
        <v/>
      </c>
      <c r="AN241" s="39" t="str">
        <f t="shared" si="7"/>
        <v/>
      </c>
      <c r="AO241" s="39" t="str">
        <f t="shared" si="8"/>
        <v/>
      </c>
      <c r="AP241" s="39" t="str">
        <f t="shared" si="9"/>
        <v/>
      </c>
      <c r="AQ241" s="39" t="str">
        <f t="shared" si="10"/>
        <v/>
      </c>
      <c r="AR241" s="39" t="str">
        <f t="shared" si="11"/>
        <v/>
      </c>
      <c r="AS241" s="39" t="str">
        <f t="shared" si="12"/>
        <v/>
      </c>
      <c r="AT241" s="39" t="str">
        <f t="shared" si="13"/>
        <v/>
      </c>
      <c r="AU241" s="39" t="str">
        <f t="shared" si="14"/>
        <v/>
      </c>
    </row>
    <row r="242" ht="15.75" customHeight="1">
      <c r="A242" s="22"/>
      <c r="B242" s="22"/>
      <c r="C242" s="22"/>
      <c r="D242" s="22"/>
      <c r="E242" s="40"/>
      <c r="F242" s="40" t="str">
        <f>IF($C242="","",VLOOKUP($C242,Orders!$A$4:$J$303,3,FALSE))</f>
        <v/>
      </c>
      <c r="G242" s="40" t="str">
        <f>IF($C242="","",VLOOKUP($C242,Orders!$A$4:$J$303,4,FALSE))</f>
        <v/>
      </c>
      <c r="H242" s="22"/>
      <c r="I242" s="40" t="str">
        <f t="shared" si="1"/>
        <v/>
      </c>
      <c r="J242" s="40" t="str">
        <f t="shared" si="2"/>
        <v/>
      </c>
      <c r="K242" s="40" t="str">
        <f>IF($C242="","",VLOOKUP($C242,Orders!$A$4:$J$303,5,FALSE))</f>
        <v/>
      </c>
      <c r="L242" s="22"/>
      <c r="M242" s="40" t="str">
        <f t="shared" si="3"/>
        <v/>
      </c>
      <c r="N242" s="22"/>
      <c r="O242" s="22"/>
      <c r="P242" s="22" t="str">
        <f t="shared" si="4"/>
        <v/>
      </c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39" t="str">
        <f t="array" ref="AB242">IFERROR(INDEX(Bids!$AA:$AA, MATCH(C242&amp;"|"&amp;B242, Bids!$AD:$AD,0)),"")</f>
        <v/>
      </c>
      <c r="AC242" s="39" t="str">
        <f t="array" ref="AC242">IFERROR(INDEX(Bids!$AB:$AB, MATCH(C242&amp;"|"&amp;B242, Bids!$AD:$AD,0)),"")</f>
        <v/>
      </c>
      <c r="AD242" s="39" t="str">
        <f t="array" ref="AD242">IFERROR(INDEX(Bids!$AC:$AC, MATCH(C242&amp;"|"&amp;B242, Bids!$AD:$AD,0)), H242)</f>
        <v/>
      </c>
      <c r="AE242" s="39"/>
      <c r="AG242" s="39"/>
      <c r="AH242" s="39" t="str">
        <f t="shared" si="5"/>
        <v/>
      </c>
      <c r="AI242" s="39" t="str">
        <f t="shared" si="6"/>
        <v/>
      </c>
      <c r="AM242" s="39" t="str">
        <f t="array" ref="AM242">IF(C242="","",IFERROR(XLOOKUP(C242,Orders!$A:$A,Orders!$E:$E,""),""))</f>
        <v/>
      </c>
      <c r="AN242" s="39" t="str">
        <f t="shared" si="7"/>
        <v/>
      </c>
      <c r="AO242" s="39" t="str">
        <f t="shared" si="8"/>
        <v/>
      </c>
      <c r="AP242" s="39" t="str">
        <f t="shared" si="9"/>
        <v/>
      </c>
      <c r="AQ242" s="39" t="str">
        <f t="shared" si="10"/>
        <v/>
      </c>
      <c r="AR242" s="39" t="str">
        <f t="shared" si="11"/>
        <v/>
      </c>
      <c r="AS242" s="39" t="str">
        <f t="shared" si="12"/>
        <v/>
      </c>
      <c r="AT242" s="39" t="str">
        <f t="shared" si="13"/>
        <v/>
      </c>
      <c r="AU242" s="39" t="str">
        <f t="shared" si="14"/>
        <v/>
      </c>
    </row>
    <row r="243" ht="15.75" customHeight="1">
      <c r="A243" s="22"/>
      <c r="B243" s="22"/>
      <c r="C243" s="22"/>
      <c r="D243" s="22"/>
      <c r="E243" s="40"/>
      <c r="F243" s="40" t="str">
        <f>IF($C243="","",VLOOKUP($C243,Orders!$A$4:$J$303,3,FALSE))</f>
        <v/>
      </c>
      <c r="G243" s="40" t="str">
        <f>IF($C243="","",VLOOKUP($C243,Orders!$A$4:$J$303,4,FALSE))</f>
        <v/>
      </c>
      <c r="H243" s="22"/>
      <c r="I243" s="40" t="str">
        <f t="shared" si="1"/>
        <v/>
      </c>
      <c r="J243" s="40" t="str">
        <f t="shared" si="2"/>
        <v/>
      </c>
      <c r="K243" s="40" t="str">
        <f>IF($C243="","",VLOOKUP($C243,Orders!$A$4:$J$303,5,FALSE))</f>
        <v/>
      </c>
      <c r="L243" s="22"/>
      <c r="M243" s="40" t="str">
        <f t="shared" si="3"/>
        <v/>
      </c>
      <c r="N243" s="22"/>
      <c r="O243" s="22"/>
      <c r="P243" s="22" t="str">
        <f t="shared" si="4"/>
        <v/>
      </c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39" t="str">
        <f t="array" ref="AB243">IFERROR(INDEX(Bids!$AA:$AA, MATCH(C243&amp;"|"&amp;B243, Bids!$AD:$AD,0)),"")</f>
        <v/>
      </c>
      <c r="AC243" s="39" t="str">
        <f t="array" ref="AC243">IFERROR(INDEX(Bids!$AB:$AB, MATCH(C243&amp;"|"&amp;B243, Bids!$AD:$AD,0)),"")</f>
        <v/>
      </c>
      <c r="AD243" s="39" t="str">
        <f t="array" ref="AD243">IFERROR(INDEX(Bids!$AC:$AC, MATCH(C243&amp;"|"&amp;B243, Bids!$AD:$AD,0)), H243)</f>
        <v/>
      </c>
      <c r="AE243" s="39"/>
      <c r="AG243" s="39"/>
      <c r="AH243" s="39" t="str">
        <f t="shared" si="5"/>
        <v/>
      </c>
      <c r="AI243" s="39" t="str">
        <f t="shared" si="6"/>
        <v/>
      </c>
      <c r="AM243" s="39" t="str">
        <f t="array" ref="AM243">IF(C243="","",IFERROR(XLOOKUP(C243,Orders!$A:$A,Orders!$E:$E,""),""))</f>
        <v/>
      </c>
      <c r="AN243" s="39" t="str">
        <f t="shared" si="7"/>
        <v/>
      </c>
      <c r="AO243" s="39" t="str">
        <f t="shared" si="8"/>
        <v/>
      </c>
      <c r="AP243" s="39" t="str">
        <f t="shared" si="9"/>
        <v/>
      </c>
      <c r="AQ243" s="39" t="str">
        <f t="shared" si="10"/>
        <v/>
      </c>
      <c r="AR243" s="39" t="str">
        <f t="shared" si="11"/>
        <v/>
      </c>
      <c r="AS243" s="39" t="str">
        <f t="shared" si="12"/>
        <v/>
      </c>
      <c r="AT243" s="39" t="str">
        <f t="shared" si="13"/>
        <v/>
      </c>
      <c r="AU243" s="39" t="str">
        <f t="shared" si="14"/>
        <v/>
      </c>
    </row>
    <row r="244" ht="15.75" customHeight="1">
      <c r="A244" s="22"/>
      <c r="B244" s="22"/>
      <c r="C244" s="22"/>
      <c r="D244" s="22"/>
      <c r="E244" s="40"/>
      <c r="F244" s="40" t="str">
        <f>IF($C244="","",VLOOKUP($C244,Orders!$A$4:$J$303,3,FALSE))</f>
        <v/>
      </c>
      <c r="G244" s="40" t="str">
        <f>IF($C244="","",VLOOKUP($C244,Orders!$A$4:$J$303,4,FALSE))</f>
        <v/>
      </c>
      <c r="H244" s="22"/>
      <c r="I244" s="40" t="str">
        <f t="shared" si="1"/>
        <v/>
      </c>
      <c r="J244" s="40" t="str">
        <f t="shared" si="2"/>
        <v/>
      </c>
      <c r="K244" s="40" t="str">
        <f>IF($C244="","",VLOOKUP($C244,Orders!$A$4:$J$303,5,FALSE))</f>
        <v/>
      </c>
      <c r="L244" s="22"/>
      <c r="M244" s="40" t="str">
        <f t="shared" si="3"/>
        <v/>
      </c>
      <c r="N244" s="22"/>
      <c r="O244" s="22"/>
      <c r="P244" s="22" t="str">
        <f t="shared" si="4"/>
        <v/>
      </c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39" t="str">
        <f t="array" ref="AB244">IFERROR(INDEX(Bids!$AA:$AA, MATCH(C244&amp;"|"&amp;B244, Bids!$AD:$AD,0)),"")</f>
        <v/>
      </c>
      <c r="AC244" s="39" t="str">
        <f t="array" ref="AC244">IFERROR(INDEX(Bids!$AB:$AB, MATCH(C244&amp;"|"&amp;B244, Bids!$AD:$AD,0)),"")</f>
        <v/>
      </c>
      <c r="AD244" s="39" t="str">
        <f t="array" ref="AD244">IFERROR(INDEX(Bids!$AC:$AC, MATCH(C244&amp;"|"&amp;B244, Bids!$AD:$AD,0)), H244)</f>
        <v/>
      </c>
      <c r="AE244" s="39"/>
      <c r="AG244" s="39"/>
      <c r="AH244" s="39" t="str">
        <f t="shared" si="5"/>
        <v/>
      </c>
      <c r="AI244" s="39" t="str">
        <f t="shared" si="6"/>
        <v/>
      </c>
      <c r="AM244" s="39" t="str">
        <f t="array" ref="AM244">IF(C244="","",IFERROR(XLOOKUP(C244,Orders!$A:$A,Orders!$E:$E,""),""))</f>
        <v/>
      </c>
      <c r="AN244" s="39" t="str">
        <f t="shared" si="7"/>
        <v/>
      </c>
      <c r="AO244" s="39" t="str">
        <f t="shared" si="8"/>
        <v/>
      </c>
      <c r="AP244" s="39" t="str">
        <f t="shared" si="9"/>
        <v/>
      </c>
      <c r="AQ244" s="39" t="str">
        <f t="shared" si="10"/>
        <v/>
      </c>
      <c r="AR244" s="39" t="str">
        <f t="shared" si="11"/>
        <v/>
      </c>
      <c r="AS244" s="39" t="str">
        <f t="shared" si="12"/>
        <v/>
      </c>
      <c r="AT244" s="39" t="str">
        <f t="shared" si="13"/>
        <v/>
      </c>
      <c r="AU244" s="39" t="str">
        <f t="shared" si="14"/>
        <v/>
      </c>
    </row>
    <row r="245" ht="15.75" customHeight="1">
      <c r="A245" s="22"/>
      <c r="B245" s="22"/>
      <c r="C245" s="22"/>
      <c r="D245" s="22"/>
      <c r="E245" s="40"/>
      <c r="F245" s="40" t="str">
        <f>IF($C245="","",VLOOKUP($C245,Orders!$A$4:$J$303,3,FALSE))</f>
        <v/>
      </c>
      <c r="G245" s="40" t="str">
        <f>IF($C245="","",VLOOKUP($C245,Orders!$A$4:$J$303,4,FALSE))</f>
        <v/>
      </c>
      <c r="H245" s="22"/>
      <c r="I245" s="40" t="str">
        <f t="shared" si="1"/>
        <v/>
      </c>
      <c r="J245" s="40" t="str">
        <f t="shared" si="2"/>
        <v/>
      </c>
      <c r="K245" s="40" t="str">
        <f>IF($C245="","",VLOOKUP($C245,Orders!$A$4:$J$303,5,FALSE))</f>
        <v/>
      </c>
      <c r="L245" s="22"/>
      <c r="M245" s="40" t="str">
        <f t="shared" si="3"/>
        <v/>
      </c>
      <c r="N245" s="22"/>
      <c r="O245" s="22"/>
      <c r="P245" s="22" t="str">
        <f t="shared" si="4"/>
        <v/>
      </c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39" t="str">
        <f t="array" ref="AB245">IFERROR(INDEX(Bids!$AA:$AA, MATCH(C245&amp;"|"&amp;B245, Bids!$AD:$AD,0)),"")</f>
        <v/>
      </c>
      <c r="AC245" s="39" t="str">
        <f t="array" ref="AC245">IFERROR(INDEX(Bids!$AB:$AB, MATCH(C245&amp;"|"&amp;B245, Bids!$AD:$AD,0)),"")</f>
        <v/>
      </c>
      <c r="AD245" s="39" t="str">
        <f t="array" ref="AD245">IFERROR(INDEX(Bids!$AC:$AC, MATCH(C245&amp;"|"&amp;B245, Bids!$AD:$AD,0)), H245)</f>
        <v/>
      </c>
      <c r="AE245" s="39"/>
      <c r="AG245" s="39"/>
      <c r="AH245" s="39" t="str">
        <f t="shared" si="5"/>
        <v/>
      </c>
      <c r="AI245" s="39" t="str">
        <f t="shared" si="6"/>
        <v/>
      </c>
      <c r="AM245" s="39" t="str">
        <f t="array" ref="AM245">IF(C245="","",IFERROR(XLOOKUP(C245,Orders!$A:$A,Orders!$E:$E,""),""))</f>
        <v/>
      </c>
      <c r="AN245" s="39" t="str">
        <f t="shared" si="7"/>
        <v/>
      </c>
      <c r="AO245" s="39" t="str">
        <f t="shared" si="8"/>
        <v/>
      </c>
      <c r="AP245" s="39" t="str">
        <f t="shared" si="9"/>
        <v/>
      </c>
      <c r="AQ245" s="39" t="str">
        <f t="shared" si="10"/>
        <v/>
      </c>
      <c r="AR245" s="39" t="str">
        <f t="shared" si="11"/>
        <v/>
      </c>
      <c r="AS245" s="39" t="str">
        <f t="shared" si="12"/>
        <v/>
      </c>
      <c r="AT245" s="39" t="str">
        <f t="shared" si="13"/>
        <v/>
      </c>
      <c r="AU245" s="39" t="str">
        <f t="shared" si="14"/>
        <v/>
      </c>
    </row>
    <row r="246" ht="15.75" customHeight="1">
      <c r="A246" s="22"/>
      <c r="B246" s="22"/>
      <c r="C246" s="22"/>
      <c r="D246" s="22"/>
      <c r="E246" s="40"/>
      <c r="F246" s="40" t="str">
        <f>IF($C246="","",VLOOKUP($C246,Orders!$A$4:$J$303,3,FALSE))</f>
        <v/>
      </c>
      <c r="G246" s="40" t="str">
        <f>IF($C246="","",VLOOKUP($C246,Orders!$A$4:$J$303,4,FALSE))</f>
        <v/>
      </c>
      <c r="H246" s="22"/>
      <c r="I246" s="40" t="str">
        <f t="shared" si="1"/>
        <v/>
      </c>
      <c r="J246" s="40" t="str">
        <f t="shared" si="2"/>
        <v/>
      </c>
      <c r="K246" s="40" t="str">
        <f>IF($C246="","",VLOOKUP($C246,Orders!$A$4:$J$303,5,FALSE))</f>
        <v/>
      </c>
      <c r="L246" s="22"/>
      <c r="M246" s="40" t="str">
        <f t="shared" si="3"/>
        <v/>
      </c>
      <c r="N246" s="22"/>
      <c r="O246" s="22"/>
      <c r="P246" s="22" t="str">
        <f t="shared" si="4"/>
        <v/>
      </c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39" t="str">
        <f t="array" ref="AB246">IFERROR(INDEX(Bids!$AA:$AA, MATCH(C246&amp;"|"&amp;B246, Bids!$AD:$AD,0)),"")</f>
        <v/>
      </c>
      <c r="AC246" s="39" t="str">
        <f t="array" ref="AC246">IFERROR(INDEX(Bids!$AB:$AB, MATCH(C246&amp;"|"&amp;B246, Bids!$AD:$AD,0)),"")</f>
        <v/>
      </c>
      <c r="AD246" s="39" t="str">
        <f t="array" ref="AD246">IFERROR(INDEX(Bids!$AC:$AC, MATCH(C246&amp;"|"&amp;B246, Bids!$AD:$AD,0)), H246)</f>
        <v/>
      </c>
      <c r="AE246" s="39"/>
      <c r="AG246" s="39"/>
      <c r="AH246" s="39" t="str">
        <f t="shared" si="5"/>
        <v/>
      </c>
      <c r="AI246" s="39" t="str">
        <f t="shared" si="6"/>
        <v/>
      </c>
      <c r="AM246" s="39" t="str">
        <f t="array" ref="AM246">IF(C246="","",IFERROR(XLOOKUP(C246,Orders!$A:$A,Orders!$E:$E,""),""))</f>
        <v/>
      </c>
      <c r="AN246" s="39" t="str">
        <f t="shared" si="7"/>
        <v/>
      </c>
      <c r="AO246" s="39" t="str">
        <f t="shared" si="8"/>
        <v/>
      </c>
      <c r="AP246" s="39" t="str">
        <f t="shared" si="9"/>
        <v/>
      </c>
      <c r="AQ246" s="39" t="str">
        <f t="shared" si="10"/>
        <v/>
      </c>
      <c r="AR246" s="39" t="str">
        <f t="shared" si="11"/>
        <v/>
      </c>
      <c r="AS246" s="39" t="str">
        <f t="shared" si="12"/>
        <v/>
      </c>
      <c r="AT246" s="39" t="str">
        <f t="shared" si="13"/>
        <v/>
      </c>
      <c r="AU246" s="39" t="str">
        <f t="shared" si="14"/>
        <v/>
      </c>
    </row>
    <row r="247" ht="15.75" customHeight="1">
      <c r="A247" s="22"/>
      <c r="B247" s="22"/>
      <c r="C247" s="22"/>
      <c r="D247" s="22"/>
      <c r="E247" s="40"/>
      <c r="F247" s="40" t="str">
        <f>IF($C247="","",VLOOKUP($C247,Orders!$A$4:$J$303,3,FALSE))</f>
        <v/>
      </c>
      <c r="G247" s="40" t="str">
        <f>IF($C247="","",VLOOKUP($C247,Orders!$A$4:$J$303,4,FALSE))</f>
        <v/>
      </c>
      <c r="H247" s="22"/>
      <c r="I247" s="40" t="str">
        <f t="shared" si="1"/>
        <v/>
      </c>
      <c r="J247" s="40" t="str">
        <f t="shared" si="2"/>
        <v/>
      </c>
      <c r="K247" s="40" t="str">
        <f>IF($C247="","",VLOOKUP($C247,Orders!$A$4:$J$303,5,FALSE))</f>
        <v/>
      </c>
      <c r="L247" s="22"/>
      <c r="M247" s="40" t="str">
        <f t="shared" si="3"/>
        <v/>
      </c>
      <c r="N247" s="22"/>
      <c r="O247" s="22"/>
      <c r="P247" s="22" t="str">
        <f t="shared" si="4"/>
        <v/>
      </c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39" t="str">
        <f t="array" ref="AB247">IFERROR(INDEX(Bids!$AA:$AA, MATCH(C247&amp;"|"&amp;B247, Bids!$AD:$AD,0)),"")</f>
        <v/>
      </c>
      <c r="AC247" s="39" t="str">
        <f t="array" ref="AC247">IFERROR(INDEX(Bids!$AB:$AB, MATCH(C247&amp;"|"&amp;B247, Bids!$AD:$AD,0)),"")</f>
        <v/>
      </c>
      <c r="AD247" s="39" t="str">
        <f t="array" ref="AD247">IFERROR(INDEX(Bids!$AC:$AC, MATCH(C247&amp;"|"&amp;B247, Bids!$AD:$AD,0)), H247)</f>
        <v/>
      </c>
      <c r="AE247" s="39"/>
      <c r="AG247" s="39"/>
      <c r="AH247" s="39" t="str">
        <f t="shared" si="5"/>
        <v/>
      </c>
      <c r="AI247" s="39" t="str">
        <f t="shared" si="6"/>
        <v/>
      </c>
      <c r="AM247" s="39" t="str">
        <f t="array" ref="AM247">IF(C247="","",IFERROR(XLOOKUP(C247,Orders!$A:$A,Orders!$E:$E,""),""))</f>
        <v/>
      </c>
      <c r="AN247" s="39" t="str">
        <f t="shared" si="7"/>
        <v/>
      </c>
      <c r="AO247" s="39" t="str">
        <f t="shared" si="8"/>
        <v/>
      </c>
      <c r="AP247" s="39" t="str">
        <f t="shared" si="9"/>
        <v/>
      </c>
      <c r="AQ247" s="39" t="str">
        <f t="shared" si="10"/>
        <v/>
      </c>
      <c r="AR247" s="39" t="str">
        <f t="shared" si="11"/>
        <v/>
      </c>
      <c r="AS247" s="39" t="str">
        <f t="shared" si="12"/>
        <v/>
      </c>
      <c r="AT247" s="39" t="str">
        <f t="shared" si="13"/>
        <v/>
      </c>
      <c r="AU247" s="39" t="str">
        <f t="shared" si="14"/>
        <v/>
      </c>
    </row>
    <row r="248" ht="15.75" customHeight="1">
      <c r="A248" s="22"/>
      <c r="B248" s="22"/>
      <c r="C248" s="22"/>
      <c r="D248" s="22"/>
      <c r="E248" s="40"/>
      <c r="F248" s="40" t="str">
        <f>IF($C248="","",VLOOKUP($C248,Orders!$A$4:$J$303,3,FALSE))</f>
        <v/>
      </c>
      <c r="G248" s="40" t="str">
        <f>IF($C248="","",VLOOKUP($C248,Orders!$A$4:$J$303,4,FALSE))</f>
        <v/>
      </c>
      <c r="H248" s="22"/>
      <c r="I248" s="40" t="str">
        <f t="shared" si="1"/>
        <v/>
      </c>
      <c r="J248" s="40" t="str">
        <f t="shared" si="2"/>
        <v/>
      </c>
      <c r="K248" s="40" t="str">
        <f>IF($C248="","",VLOOKUP($C248,Orders!$A$4:$J$303,5,FALSE))</f>
        <v/>
      </c>
      <c r="L248" s="22"/>
      <c r="M248" s="40" t="str">
        <f t="shared" si="3"/>
        <v/>
      </c>
      <c r="N248" s="22"/>
      <c r="O248" s="22"/>
      <c r="P248" s="22" t="str">
        <f t="shared" si="4"/>
        <v/>
      </c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39" t="str">
        <f t="array" ref="AB248">IFERROR(INDEX(Bids!$AA:$AA, MATCH(C248&amp;"|"&amp;B248, Bids!$AD:$AD,0)),"")</f>
        <v/>
      </c>
      <c r="AC248" s="39" t="str">
        <f t="array" ref="AC248">IFERROR(INDEX(Bids!$AB:$AB, MATCH(C248&amp;"|"&amp;B248, Bids!$AD:$AD,0)),"")</f>
        <v/>
      </c>
      <c r="AD248" s="39" t="str">
        <f t="array" ref="AD248">IFERROR(INDEX(Bids!$AC:$AC, MATCH(C248&amp;"|"&amp;B248, Bids!$AD:$AD,0)), H248)</f>
        <v/>
      </c>
      <c r="AE248" s="39"/>
      <c r="AG248" s="39"/>
      <c r="AH248" s="39" t="str">
        <f t="shared" si="5"/>
        <v/>
      </c>
      <c r="AI248" s="39" t="str">
        <f t="shared" si="6"/>
        <v/>
      </c>
      <c r="AM248" s="39" t="str">
        <f t="array" ref="AM248">IF(C248="","",IFERROR(XLOOKUP(C248,Orders!$A:$A,Orders!$E:$E,""),""))</f>
        <v/>
      </c>
      <c r="AN248" s="39" t="str">
        <f t="shared" si="7"/>
        <v/>
      </c>
      <c r="AO248" s="39" t="str">
        <f t="shared" si="8"/>
        <v/>
      </c>
      <c r="AP248" s="39" t="str">
        <f t="shared" si="9"/>
        <v/>
      </c>
      <c r="AQ248" s="39" t="str">
        <f t="shared" si="10"/>
        <v/>
      </c>
      <c r="AR248" s="39" t="str">
        <f t="shared" si="11"/>
        <v/>
      </c>
      <c r="AS248" s="39" t="str">
        <f t="shared" si="12"/>
        <v/>
      </c>
      <c r="AT248" s="39" t="str">
        <f t="shared" si="13"/>
        <v/>
      </c>
      <c r="AU248" s="39" t="str">
        <f t="shared" si="14"/>
        <v/>
      </c>
    </row>
    <row r="249" ht="15.75" customHeight="1">
      <c r="A249" s="22"/>
      <c r="B249" s="22"/>
      <c r="C249" s="22"/>
      <c r="D249" s="22"/>
      <c r="E249" s="40"/>
      <c r="F249" s="40" t="str">
        <f>IF($C249="","",VLOOKUP($C249,Orders!$A$4:$J$303,3,FALSE))</f>
        <v/>
      </c>
      <c r="G249" s="40" t="str">
        <f>IF($C249="","",VLOOKUP($C249,Orders!$A$4:$J$303,4,FALSE))</f>
        <v/>
      </c>
      <c r="H249" s="22"/>
      <c r="I249" s="40" t="str">
        <f t="shared" si="1"/>
        <v/>
      </c>
      <c r="J249" s="40" t="str">
        <f t="shared" si="2"/>
        <v/>
      </c>
      <c r="K249" s="40" t="str">
        <f>IF($C249="","",VLOOKUP($C249,Orders!$A$4:$J$303,5,FALSE))</f>
        <v/>
      </c>
      <c r="L249" s="22"/>
      <c r="M249" s="40" t="str">
        <f t="shared" si="3"/>
        <v/>
      </c>
      <c r="N249" s="22"/>
      <c r="O249" s="22"/>
      <c r="P249" s="22" t="str">
        <f t="shared" si="4"/>
        <v/>
      </c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39" t="str">
        <f t="array" ref="AB249">IFERROR(INDEX(Bids!$AA:$AA, MATCH(C249&amp;"|"&amp;B249, Bids!$AD:$AD,0)),"")</f>
        <v/>
      </c>
      <c r="AC249" s="39" t="str">
        <f t="array" ref="AC249">IFERROR(INDEX(Bids!$AB:$AB, MATCH(C249&amp;"|"&amp;B249, Bids!$AD:$AD,0)),"")</f>
        <v/>
      </c>
      <c r="AD249" s="39" t="str">
        <f t="array" ref="AD249">IFERROR(INDEX(Bids!$AC:$AC, MATCH(C249&amp;"|"&amp;B249, Bids!$AD:$AD,0)), H249)</f>
        <v/>
      </c>
      <c r="AE249" s="39"/>
      <c r="AG249" s="39"/>
      <c r="AH249" s="39" t="str">
        <f t="shared" si="5"/>
        <v/>
      </c>
      <c r="AI249" s="39" t="str">
        <f t="shared" si="6"/>
        <v/>
      </c>
      <c r="AM249" s="39" t="str">
        <f t="array" ref="AM249">IF(C249="","",IFERROR(XLOOKUP(C249,Orders!$A:$A,Orders!$E:$E,""),""))</f>
        <v/>
      </c>
      <c r="AN249" s="39" t="str">
        <f t="shared" si="7"/>
        <v/>
      </c>
      <c r="AO249" s="39" t="str">
        <f t="shared" si="8"/>
        <v/>
      </c>
      <c r="AP249" s="39" t="str">
        <f t="shared" si="9"/>
        <v/>
      </c>
      <c r="AQ249" s="39" t="str">
        <f t="shared" si="10"/>
        <v/>
      </c>
      <c r="AR249" s="39" t="str">
        <f t="shared" si="11"/>
        <v/>
      </c>
      <c r="AS249" s="39" t="str">
        <f t="shared" si="12"/>
        <v/>
      </c>
      <c r="AT249" s="39" t="str">
        <f t="shared" si="13"/>
        <v/>
      </c>
      <c r="AU249" s="39" t="str">
        <f t="shared" si="14"/>
        <v/>
      </c>
    </row>
    <row r="250" ht="15.75" customHeight="1">
      <c r="A250" s="22"/>
      <c r="B250" s="22"/>
      <c r="C250" s="22"/>
      <c r="D250" s="22"/>
      <c r="E250" s="40"/>
      <c r="F250" s="40" t="str">
        <f>IF($C250="","",VLOOKUP($C250,Orders!$A$4:$J$303,3,FALSE))</f>
        <v/>
      </c>
      <c r="G250" s="40" t="str">
        <f>IF($C250="","",VLOOKUP($C250,Orders!$A$4:$J$303,4,FALSE))</f>
        <v/>
      </c>
      <c r="H250" s="22"/>
      <c r="I250" s="40" t="str">
        <f t="shared" si="1"/>
        <v/>
      </c>
      <c r="J250" s="40" t="str">
        <f t="shared" si="2"/>
        <v/>
      </c>
      <c r="K250" s="40" t="str">
        <f>IF($C250="","",VLOOKUP($C250,Orders!$A$4:$J$303,5,FALSE))</f>
        <v/>
      </c>
      <c r="L250" s="22"/>
      <c r="M250" s="40" t="str">
        <f t="shared" si="3"/>
        <v/>
      </c>
      <c r="N250" s="22"/>
      <c r="O250" s="22"/>
      <c r="P250" s="22" t="str">
        <f t="shared" si="4"/>
        <v/>
      </c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39" t="str">
        <f t="array" ref="AB250">IFERROR(INDEX(Bids!$AA:$AA, MATCH(C250&amp;"|"&amp;B250, Bids!$AD:$AD,0)),"")</f>
        <v/>
      </c>
      <c r="AC250" s="39" t="str">
        <f t="array" ref="AC250">IFERROR(INDEX(Bids!$AB:$AB, MATCH(C250&amp;"|"&amp;B250, Bids!$AD:$AD,0)),"")</f>
        <v/>
      </c>
      <c r="AD250" s="39" t="str">
        <f t="array" ref="AD250">IFERROR(INDEX(Bids!$AC:$AC, MATCH(C250&amp;"|"&amp;B250, Bids!$AD:$AD,0)), H250)</f>
        <v/>
      </c>
      <c r="AE250" s="39"/>
      <c r="AG250" s="39"/>
      <c r="AH250" s="39" t="str">
        <f t="shared" si="5"/>
        <v/>
      </c>
      <c r="AI250" s="39" t="str">
        <f t="shared" si="6"/>
        <v/>
      </c>
      <c r="AM250" s="39" t="str">
        <f t="array" ref="AM250">IF(C250="","",IFERROR(XLOOKUP(C250,Orders!$A:$A,Orders!$E:$E,""),""))</f>
        <v/>
      </c>
      <c r="AN250" s="39" t="str">
        <f t="shared" si="7"/>
        <v/>
      </c>
      <c r="AO250" s="39" t="str">
        <f t="shared" si="8"/>
        <v/>
      </c>
      <c r="AP250" s="39" t="str">
        <f t="shared" si="9"/>
        <v/>
      </c>
      <c r="AQ250" s="39" t="str">
        <f t="shared" si="10"/>
        <v/>
      </c>
      <c r="AR250" s="39" t="str">
        <f t="shared" si="11"/>
        <v/>
      </c>
      <c r="AS250" s="39" t="str">
        <f t="shared" si="12"/>
        <v/>
      </c>
      <c r="AT250" s="39" t="str">
        <f t="shared" si="13"/>
        <v/>
      </c>
      <c r="AU250" s="39" t="str">
        <f t="shared" si="14"/>
        <v/>
      </c>
    </row>
    <row r="251" ht="15.75" customHeight="1">
      <c r="A251" s="22"/>
      <c r="B251" s="22"/>
      <c r="C251" s="22"/>
      <c r="D251" s="22"/>
      <c r="E251" s="40"/>
      <c r="F251" s="40" t="str">
        <f>IF($C251="","",VLOOKUP($C251,Orders!$A$4:$J$303,3,FALSE))</f>
        <v/>
      </c>
      <c r="G251" s="40" t="str">
        <f>IF($C251="","",VLOOKUP($C251,Orders!$A$4:$J$303,4,FALSE))</f>
        <v/>
      </c>
      <c r="H251" s="22"/>
      <c r="I251" s="40" t="str">
        <f t="shared" si="1"/>
        <v/>
      </c>
      <c r="J251" s="40" t="str">
        <f t="shared" si="2"/>
        <v/>
      </c>
      <c r="K251" s="40" t="str">
        <f>IF($C251="","",VLOOKUP($C251,Orders!$A$4:$J$303,5,FALSE))</f>
        <v/>
      </c>
      <c r="L251" s="22"/>
      <c r="M251" s="40" t="str">
        <f t="shared" si="3"/>
        <v/>
      </c>
      <c r="N251" s="22"/>
      <c r="O251" s="22"/>
      <c r="P251" s="22" t="str">
        <f t="shared" si="4"/>
        <v/>
      </c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39" t="str">
        <f t="array" ref="AB251">IFERROR(INDEX(Bids!$AA:$AA, MATCH(C251&amp;"|"&amp;B251, Bids!$AD:$AD,0)),"")</f>
        <v/>
      </c>
      <c r="AC251" s="39" t="str">
        <f t="array" ref="AC251">IFERROR(INDEX(Bids!$AB:$AB, MATCH(C251&amp;"|"&amp;B251, Bids!$AD:$AD,0)),"")</f>
        <v/>
      </c>
      <c r="AD251" s="39" t="str">
        <f t="array" ref="AD251">IFERROR(INDEX(Bids!$AC:$AC, MATCH(C251&amp;"|"&amp;B251, Bids!$AD:$AD,0)), H251)</f>
        <v/>
      </c>
      <c r="AE251" s="39"/>
      <c r="AG251" s="39"/>
      <c r="AH251" s="39" t="str">
        <f t="shared" si="5"/>
        <v/>
      </c>
      <c r="AI251" s="39" t="str">
        <f t="shared" si="6"/>
        <v/>
      </c>
      <c r="AM251" s="39" t="str">
        <f t="array" ref="AM251">IF(C251="","",IFERROR(XLOOKUP(C251,Orders!$A:$A,Orders!$E:$E,""),""))</f>
        <v/>
      </c>
      <c r="AN251" s="39" t="str">
        <f t="shared" si="7"/>
        <v/>
      </c>
      <c r="AO251" s="39" t="str">
        <f t="shared" si="8"/>
        <v/>
      </c>
      <c r="AP251" s="39" t="str">
        <f t="shared" si="9"/>
        <v/>
      </c>
      <c r="AQ251" s="39" t="str">
        <f t="shared" si="10"/>
        <v/>
      </c>
      <c r="AR251" s="39" t="str">
        <f t="shared" si="11"/>
        <v/>
      </c>
      <c r="AS251" s="39" t="str">
        <f t="shared" si="12"/>
        <v/>
      </c>
      <c r="AT251" s="39" t="str">
        <f t="shared" si="13"/>
        <v/>
      </c>
      <c r="AU251" s="39" t="str">
        <f t="shared" si="14"/>
        <v/>
      </c>
    </row>
    <row r="252" ht="15.75" customHeight="1">
      <c r="A252" s="22"/>
      <c r="B252" s="22"/>
      <c r="C252" s="22"/>
      <c r="D252" s="22"/>
      <c r="E252" s="40"/>
      <c r="F252" s="40" t="str">
        <f>IF($C252="","",VLOOKUP($C252,Orders!$A$4:$J$303,3,FALSE))</f>
        <v/>
      </c>
      <c r="G252" s="40" t="str">
        <f>IF($C252="","",VLOOKUP($C252,Orders!$A$4:$J$303,4,FALSE))</f>
        <v/>
      </c>
      <c r="H252" s="22"/>
      <c r="I252" s="40" t="str">
        <f t="shared" si="1"/>
        <v/>
      </c>
      <c r="J252" s="40" t="str">
        <f t="shared" si="2"/>
        <v/>
      </c>
      <c r="K252" s="40" t="str">
        <f>IF($C252="","",VLOOKUP($C252,Orders!$A$4:$J$303,5,FALSE))</f>
        <v/>
      </c>
      <c r="L252" s="22"/>
      <c r="M252" s="40" t="str">
        <f t="shared" si="3"/>
        <v/>
      </c>
      <c r="N252" s="22"/>
      <c r="O252" s="22"/>
      <c r="P252" s="22" t="str">
        <f t="shared" si="4"/>
        <v/>
      </c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39" t="str">
        <f t="array" ref="AB252">IFERROR(INDEX(Bids!$AA:$AA, MATCH(C252&amp;"|"&amp;B252, Bids!$AD:$AD,0)),"")</f>
        <v/>
      </c>
      <c r="AC252" s="39" t="str">
        <f t="array" ref="AC252">IFERROR(INDEX(Bids!$AB:$AB, MATCH(C252&amp;"|"&amp;B252, Bids!$AD:$AD,0)),"")</f>
        <v/>
      </c>
      <c r="AD252" s="39" t="str">
        <f t="array" ref="AD252">IFERROR(INDEX(Bids!$AC:$AC, MATCH(C252&amp;"|"&amp;B252, Bids!$AD:$AD,0)), H252)</f>
        <v/>
      </c>
      <c r="AE252" s="39"/>
      <c r="AG252" s="39"/>
      <c r="AH252" s="39" t="str">
        <f t="shared" si="5"/>
        <v/>
      </c>
      <c r="AI252" s="39" t="str">
        <f t="shared" si="6"/>
        <v/>
      </c>
      <c r="AM252" s="39" t="str">
        <f t="array" ref="AM252">IF(C252="","",IFERROR(XLOOKUP(C252,Orders!$A:$A,Orders!$E:$E,""),""))</f>
        <v/>
      </c>
      <c r="AN252" s="39" t="str">
        <f t="shared" si="7"/>
        <v/>
      </c>
      <c r="AO252" s="39" t="str">
        <f t="shared" si="8"/>
        <v/>
      </c>
      <c r="AP252" s="39" t="str">
        <f t="shared" si="9"/>
        <v/>
      </c>
      <c r="AQ252" s="39" t="str">
        <f t="shared" si="10"/>
        <v/>
      </c>
      <c r="AR252" s="39" t="str">
        <f t="shared" si="11"/>
        <v/>
      </c>
      <c r="AS252" s="39" t="str">
        <f t="shared" si="12"/>
        <v/>
      </c>
      <c r="AT252" s="39" t="str">
        <f t="shared" si="13"/>
        <v/>
      </c>
      <c r="AU252" s="39" t="str">
        <f t="shared" si="14"/>
        <v/>
      </c>
    </row>
    <row r="253" ht="15.75" customHeight="1">
      <c r="A253" s="22"/>
      <c r="B253" s="22"/>
      <c r="C253" s="22"/>
      <c r="D253" s="22"/>
      <c r="E253" s="40"/>
      <c r="F253" s="40" t="str">
        <f>IF($C253="","",VLOOKUP($C253,Orders!$A$4:$J$303,3,FALSE))</f>
        <v/>
      </c>
      <c r="G253" s="40" t="str">
        <f>IF($C253="","",VLOOKUP($C253,Orders!$A$4:$J$303,4,FALSE))</f>
        <v/>
      </c>
      <c r="H253" s="22"/>
      <c r="I253" s="40" t="str">
        <f t="shared" si="1"/>
        <v/>
      </c>
      <c r="J253" s="40" t="str">
        <f t="shared" si="2"/>
        <v/>
      </c>
      <c r="K253" s="40" t="str">
        <f>IF($C253="","",VLOOKUP($C253,Orders!$A$4:$J$303,5,FALSE))</f>
        <v/>
      </c>
      <c r="L253" s="22"/>
      <c r="M253" s="40" t="str">
        <f t="shared" si="3"/>
        <v/>
      </c>
      <c r="N253" s="22"/>
      <c r="O253" s="22"/>
      <c r="P253" s="22" t="str">
        <f t="shared" si="4"/>
        <v/>
      </c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39" t="str">
        <f t="array" ref="AB253">IFERROR(INDEX(Bids!$AA:$AA, MATCH(C253&amp;"|"&amp;B253, Bids!$AD:$AD,0)),"")</f>
        <v/>
      </c>
      <c r="AC253" s="39" t="str">
        <f t="array" ref="AC253">IFERROR(INDEX(Bids!$AB:$AB, MATCH(C253&amp;"|"&amp;B253, Bids!$AD:$AD,0)),"")</f>
        <v/>
      </c>
      <c r="AD253" s="39" t="str">
        <f t="array" ref="AD253">IFERROR(INDEX(Bids!$AC:$AC, MATCH(C253&amp;"|"&amp;B253, Bids!$AD:$AD,0)), H253)</f>
        <v/>
      </c>
      <c r="AE253" s="39"/>
      <c r="AG253" s="39"/>
      <c r="AH253" s="39" t="str">
        <f t="shared" si="5"/>
        <v/>
      </c>
      <c r="AI253" s="39" t="str">
        <f t="shared" si="6"/>
        <v/>
      </c>
      <c r="AM253" s="39" t="str">
        <f t="array" ref="AM253">IF(C253="","",IFERROR(XLOOKUP(C253,Orders!$A:$A,Orders!$E:$E,""),""))</f>
        <v/>
      </c>
      <c r="AN253" s="39" t="str">
        <f t="shared" si="7"/>
        <v/>
      </c>
      <c r="AO253" s="39" t="str">
        <f t="shared" si="8"/>
        <v/>
      </c>
      <c r="AP253" s="39" t="str">
        <f t="shared" si="9"/>
        <v/>
      </c>
      <c r="AQ253" s="39" t="str">
        <f t="shared" si="10"/>
        <v/>
      </c>
      <c r="AR253" s="39" t="str">
        <f t="shared" si="11"/>
        <v/>
      </c>
      <c r="AS253" s="39" t="str">
        <f t="shared" si="12"/>
        <v/>
      </c>
      <c r="AT253" s="39" t="str">
        <f t="shared" si="13"/>
        <v/>
      </c>
      <c r="AU253" s="39" t="str">
        <f t="shared" si="14"/>
        <v/>
      </c>
    </row>
    <row r="254" ht="15.75" customHeight="1">
      <c r="A254" s="22"/>
      <c r="B254" s="22"/>
      <c r="C254" s="22"/>
      <c r="D254" s="22"/>
      <c r="E254" s="40"/>
      <c r="F254" s="40" t="str">
        <f>IF($C254="","",VLOOKUP($C254,Orders!$A$4:$J$303,3,FALSE))</f>
        <v/>
      </c>
      <c r="G254" s="40" t="str">
        <f>IF($C254="","",VLOOKUP($C254,Orders!$A$4:$J$303,4,FALSE))</f>
        <v/>
      </c>
      <c r="H254" s="22"/>
      <c r="I254" s="40" t="str">
        <f t="shared" si="1"/>
        <v/>
      </c>
      <c r="J254" s="40" t="str">
        <f t="shared" si="2"/>
        <v/>
      </c>
      <c r="K254" s="40" t="str">
        <f>IF($C254="","",VLOOKUP($C254,Orders!$A$4:$J$303,5,FALSE))</f>
        <v/>
      </c>
      <c r="L254" s="22"/>
      <c r="M254" s="40" t="str">
        <f t="shared" si="3"/>
        <v/>
      </c>
      <c r="N254" s="22"/>
      <c r="O254" s="22"/>
      <c r="P254" s="22" t="str">
        <f t="shared" si="4"/>
        <v/>
      </c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39" t="str">
        <f t="array" ref="AB254">IFERROR(INDEX(Bids!$AA:$AA, MATCH(C254&amp;"|"&amp;B254, Bids!$AD:$AD,0)),"")</f>
        <v/>
      </c>
      <c r="AC254" s="39" t="str">
        <f t="array" ref="AC254">IFERROR(INDEX(Bids!$AB:$AB, MATCH(C254&amp;"|"&amp;B254, Bids!$AD:$AD,0)),"")</f>
        <v/>
      </c>
      <c r="AD254" s="39" t="str">
        <f t="array" ref="AD254">IFERROR(INDEX(Bids!$AC:$AC, MATCH(C254&amp;"|"&amp;B254, Bids!$AD:$AD,0)), H254)</f>
        <v/>
      </c>
      <c r="AE254" s="39"/>
      <c r="AG254" s="39"/>
      <c r="AH254" s="39" t="str">
        <f t="shared" si="5"/>
        <v/>
      </c>
      <c r="AI254" s="39" t="str">
        <f t="shared" si="6"/>
        <v/>
      </c>
      <c r="AM254" s="39" t="str">
        <f t="array" ref="AM254">IF(C254="","",IFERROR(XLOOKUP(C254,Orders!$A:$A,Orders!$E:$E,""),""))</f>
        <v/>
      </c>
      <c r="AN254" s="39" t="str">
        <f t="shared" si="7"/>
        <v/>
      </c>
      <c r="AO254" s="39" t="str">
        <f t="shared" si="8"/>
        <v/>
      </c>
      <c r="AP254" s="39" t="str">
        <f t="shared" si="9"/>
        <v/>
      </c>
      <c r="AQ254" s="39" t="str">
        <f t="shared" si="10"/>
        <v/>
      </c>
      <c r="AR254" s="39" t="str">
        <f t="shared" si="11"/>
        <v/>
      </c>
      <c r="AS254" s="39" t="str">
        <f t="shared" si="12"/>
        <v/>
      </c>
      <c r="AT254" s="39" t="str">
        <f t="shared" si="13"/>
        <v/>
      </c>
      <c r="AU254" s="39" t="str">
        <f t="shared" si="14"/>
        <v/>
      </c>
    </row>
    <row r="255" ht="15.75" customHeight="1">
      <c r="A255" s="22"/>
      <c r="B255" s="22"/>
      <c r="C255" s="22"/>
      <c r="D255" s="22"/>
      <c r="E255" s="40"/>
      <c r="F255" s="40" t="str">
        <f>IF($C255="","",VLOOKUP($C255,Orders!$A$4:$J$303,3,FALSE))</f>
        <v/>
      </c>
      <c r="G255" s="40" t="str">
        <f>IF($C255="","",VLOOKUP($C255,Orders!$A$4:$J$303,4,FALSE))</f>
        <v/>
      </c>
      <c r="H255" s="22"/>
      <c r="I255" s="40" t="str">
        <f t="shared" si="1"/>
        <v/>
      </c>
      <c r="J255" s="40" t="str">
        <f t="shared" si="2"/>
        <v/>
      </c>
      <c r="K255" s="40" t="str">
        <f>IF($C255="","",VLOOKUP($C255,Orders!$A$4:$J$303,5,FALSE))</f>
        <v/>
      </c>
      <c r="L255" s="22"/>
      <c r="M255" s="40" t="str">
        <f t="shared" si="3"/>
        <v/>
      </c>
      <c r="N255" s="22"/>
      <c r="O255" s="22"/>
      <c r="P255" s="22" t="str">
        <f t="shared" si="4"/>
        <v/>
      </c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39" t="str">
        <f t="array" ref="AB255">IFERROR(INDEX(Bids!$AA:$AA, MATCH(C255&amp;"|"&amp;B255, Bids!$AD:$AD,0)),"")</f>
        <v/>
      </c>
      <c r="AC255" s="39" t="str">
        <f t="array" ref="AC255">IFERROR(INDEX(Bids!$AB:$AB, MATCH(C255&amp;"|"&amp;B255, Bids!$AD:$AD,0)),"")</f>
        <v/>
      </c>
      <c r="AD255" s="39" t="str">
        <f t="array" ref="AD255">IFERROR(INDEX(Bids!$AC:$AC, MATCH(C255&amp;"|"&amp;B255, Bids!$AD:$AD,0)), H255)</f>
        <v/>
      </c>
      <c r="AE255" s="39"/>
      <c r="AG255" s="39"/>
      <c r="AH255" s="39" t="str">
        <f t="shared" si="5"/>
        <v/>
      </c>
      <c r="AI255" s="39" t="str">
        <f t="shared" si="6"/>
        <v/>
      </c>
      <c r="AM255" s="39" t="str">
        <f t="array" ref="AM255">IF(C255="","",IFERROR(XLOOKUP(C255,Orders!$A:$A,Orders!$E:$E,""),""))</f>
        <v/>
      </c>
      <c r="AN255" s="39" t="str">
        <f t="shared" si="7"/>
        <v/>
      </c>
      <c r="AO255" s="39" t="str">
        <f t="shared" si="8"/>
        <v/>
      </c>
      <c r="AP255" s="39" t="str">
        <f t="shared" si="9"/>
        <v/>
      </c>
      <c r="AQ255" s="39" t="str">
        <f t="shared" si="10"/>
        <v/>
      </c>
      <c r="AR255" s="39" t="str">
        <f t="shared" si="11"/>
        <v/>
      </c>
      <c r="AS255" s="39" t="str">
        <f t="shared" si="12"/>
        <v/>
      </c>
      <c r="AT255" s="39" t="str">
        <f t="shared" si="13"/>
        <v/>
      </c>
      <c r="AU255" s="39" t="str">
        <f t="shared" si="14"/>
        <v/>
      </c>
    </row>
    <row r="256" ht="15.75" customHeight="1">
      <c r="A256" s="22"/>
      <c r="B256" s="22"/>
      <c r="C256" s="22"/>
      <c r="D256" s="22"/>
      <c r="E256" s="40"/>
      <c r="F256" s="40" t="str">
        <f>IF($C256="","",VLOOKUP($C256,Orders!$A$4:$J$303,3,FALSE))</f>
        <v/>
      </c>
      <c r="G256" s="40" t="str">
        <f>IF($C256="","",VLOOKUP($C256,Orders!$A$4:$J$303,4,FALSE))</f>
        <v/>
      </c>
      <c r="H256" s="22"/>
      <c r="I256" s="40" t="str">
        <f t="shared" si="1"/>
        <v/>
      </c>
      <c r="J256" s="40" t="str">
        <f t="shared" si="2"/>
        <v/>
      </c>
      <c r="K256" s="40" t="str">
        <f>IF($C256="","",VLOOKUP($C256,Orders!$A$4:$J$303,5,FALSE))</f>
        <v/>
      </c>
      <c r="L256" s="22"/>
      <c r="M256" s="40" t="str">
        <f t="shared" si="3"/>
        <v/>
      </c>
      <c r="N256" s="22"/>
      <c r="O256" s="22"/>
      <c r="P256" s="22" t="str">
        <f t="shared" si="4"/>
        <v/>
      </c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39" t="str">
        <f t="array" ref="AB256">IFERROR(INDEX(Bids!$AA:$AA, MATCH(C256&amp;"|"&amp;B256, Bids!$AD:$AD,0)),"")</f>
        <v/>
      </c>
      <c r="AC256" s="39" t="str">
        <f t="array" ref="AC256">IFERROR(INDEX(Bids!$AB:$AB, MATCH(C256&amp;"|"&amp;B256, Bids!$AD:$AD,0)),"")</f>
        <v/>
      </c>
      <c r="AD256" s="39" t="str">
        <f t="array" ref="AD256">IFERROR(INDEX(Bids!$AC:$AC, MATCH(C256&amp;"|"&amp;B256, Bids!$AD:$AD,0)), H256)</f>
        <v/>
      </c>
      <c r="AE256" s="39"/>
      <c r="AG256" s="39"/>
      <c r="AH256" s="39" t="str">
        <f t="shared" si="5"/>
        <v/>
      </c>
      <c r="AI256" s="39" t="str">
        <f t="shared" si="6"/>
        <v/>
      </c>
      <c r="AM256" s="39" t="str">
        <f t="array" ref="AM256">IF(C256="","",IFERROR(XLOOKUP(C256,Orders!$A:$A,Orders!$E:$E,""),""))</f>
        <v/>
      </c>
      <c r="AN256" s="39" t="str">
        <f t="shared" si="7"/>
        <v/>
      </c>
      <c r="AO256" s="39" t="str">
        <f t="shared" si="8"/>
        <v/>
      </c>
      <c r="AP256" s="39" t="str">
        <f t="shared" si="9"/>
        <v/>
      </c>
      <c r="AQ256" s="39" t="str">
        <f t="shared" si="10"/>
        <v/>
      </c>
      <c r="AR256" s="39" t="str">
        <f t="shared" si="11"/>
        <v/>
      </c>
      <c r="AS256" s="39" t="str">
        <f t="shared" si="12"/>
        <v/>
      </c>
      <c r="AT256" s="39" t="str">
        <f t="shared" si="13"/>
        <v/>
      </c>
      <c r="AU256" s="39" t="str">
        <f t="shared" si="14"/>
        <v/>
      </c>
    </row>
    <row r="257" ht="15.75" customHeight="1">
      <c r="A257" s="22"/>
      <c r="B257" s="22"/>
      <c r="C257" s="22"/>
      <c r="D257" s="22"/>
      <c r="E257" s="40"/>
      <c r="F257" s="40" t="str">
        <f>IF($C257="","",VLOOKUP($C257,Orders!$A$4:$J$303,3,FALSE))</f>
        <v/>
      </c>
      <c r="G257" s="40" t="str">
        <f>IF($C257="","",VLOOKUP($C257,Orders!$A$4:$J$303,4,FALSE))</f>
        <v/>
      </c>
      <c r="H257" s="22"/>
      <c r="I257" s="40" t="str">
        <f t="shared" si="1"/>
        <v/>
      </c>
      <c r="J257" s="40" t="str">
        <f t="shared" si="2"/>
        <v/>
      </c>
      <c r="K257" s="40" t="str">
        <f>IF($C257="","",VLOOKUP($C257,Orders!$A$4:$J$303,5,FALSE))</f>
        <v/>
      </c>
      <c r="L257" s="22"/>
      <c r="M257" s="40" t="str">
        <f t="shared" si="3"/>
        <v/>
      </c>
      <c r="N257" s="22"/>
      <c r="O257" s="22"/>
      <c r="P257" s="22" t="str">
        <f t="shared" si="4"/>
        <v/>
      </c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39" t="str">
        <f t="array" ref="AB257">IFERROR(INDEX(Bids!$AA:$AA, MATCH(C257&amp;"|"&amp;B257, Bids!$AD:$AD,0)),"")</f>
        <v/>
      </c>
      <c r="AC257" s="39" t="str">
        <f t="array" ref="AC257">IFERROR(INDEX(Bids!$AB:$AB, MATCH(C257&amp;"|"&amp;B257, Bids!$AD:$AD,0)),"")</f>
        <v/>
      </c>
      <c r="AD257" s="39" t="str">
        <f t="array" ref="AD257">IFERROR(INDEX(Bids!$AC:$AC, MATCH(C257&amp;"|"&amp;B257, Bids!$AD:$AD,0)), H257)</f>
        <v/>
      </c>
      <c r="AE257" s="39"/>
      <c r="AG257" s="39"/>
      <c r="AH257" s="39" t="str">
        <f t="shared" si="5"/>
        <v/>
      </c>
      <c r="AI257" s="39" t="str">
        <f t="shared" si="6"/>
        <v/>
      </c>
      <c r="AM257" s="39" t="str">
        <f t="array" ref="AM257">IF(C257="","",IFERROR(XLOOKUP(C257,Orders!$A:$A,Orders!$E:$E,""),""))</f>
        <v/>
      </c>
      <c r="AN257" s="39" t="str">
        <f t="shared" si="7"/>
        <v/>
      </c>
      <c r="AO257" s="39" t="str">
        <f t="shared" si="8"/>
        <v/>
      </c>
      <c r="AP257" s="39" t="str">
        <f t="shared" si="9"/>
        <v/>
      </c>
      <c r="AQ257" s="39" t="str">
        <f t="shared" si="10"/>
        <v/>
      </c>
      <c r="AR257" s="39" t="str">
        <f t="shared" si="11"/>
        <v/>
      </c>
      <c r="AS257" s="39" t="str">
        <f t="shared" si="12"/>
        <v/>
      </c>
      <c r="AT257" s="39" t="str">
        <f t="shared" si="13"/>
        <v/>
      </c>
      <c r="AU257" s="39" t="str">
        <f t="shared" si="14"/>
        <v/>
      </c>
    </row>
    <row r="258" ht="15.75" customHeight="1">
      <c r="A258" s="22"/>
      <c r="B258" s="22"/>
      <c r="C258" s="22"/>
      <c r="D258" s="22"/>
      <c r="E258" s="40"/>
      <c r="F258" s="40" t="str">
        <f>IF($C258="","",VLOOKUP($C258,Orders!$A$4:$J$303,3,FALSE))</f>
        <v/>
      </c>
      <c r="G258" s="40" t="str">
        <f>IF($C258="","",VLOOKUP($C258,Orders!$A$4:$J$303,4,FALSE))</f>
        <v/>
      </c>
      <c r="H258" s="22"/>
      <c r="I258" s="40" t="str">
        <f t="shared" si="1"/>
        <v/>
      </c>
      <c r="J258" s="40" t="str">
        <f t="shared" si="2"/>
        <v/>
      </c>
      <c r="K258" s="40" t="str">
        <f>IF($C258="","",VLOOKUP($C258,Orders!$A$4:$J$303,5,FALSE))</f>
        <v/>
      </c>
      <c r="L258" s="22"/>
      <c r="M258" s="40" t="str">
        <f t="shared" si="3"/>
        <v/>
      </c>
      <c r="N258" s="22"/>
      <c r="O258" s="22"/>
      <c r="P258" s="22" t="str">
        <f t="shared" si="4"/>
        <v/>
      </c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39" t="str">
        <f t="array" ref="AB258">IFERROR(INDEX(Bids!$AA:$AA, MATCH(C258&amp;"|"&amp;B258, Bids!$AD:$AD,0)),"")</f>
        <v/>
      </c>
      <c r="AC258" s="39" t="str">
        <f t="array" ref="AC258">IFERROR(INDEX(Bids!$AB:$AB, MATCH(C258&amp;"|"&amp;B258, Bids!$AD:$AD,0)),"")</f>
        <v/>
      </c>
      <c r="AD258" s="39" t="str">
        <f t="array" ref="AD258">IFERROR(INDEX(Bids!$AC:$AC, MATCH(C258&amp;"|"&amp;B258, Bids!$AD:$AD,0)), H258)</f>
        <v/>
      </c>
      <c r="AE258" s="39"/>
      <c r="AG258" s="39"/>
      <c r="AH258" s="39" t="str">
        <f t="shared" si="5"/>
        <v/>
      </c>
      <c r="AI258" s="39" t="str">
        <f t="shared" si="6"/>
        <v/>
      </c>
      <c r="AM258" s="39" t="str">
        <f t="array" ref="AM258">IF(C258="","",IFERROR(XLOOKUP(C258,Orders!$A:$A,Orders!$E:$E,""),""))</f>
        <v/>
      </c>
      <c r="AN258" s="39" t="str">
        <f t="shared" si="7"/>
        <v/>
      </c>
      <c r="AO258" s="39" t="str">
        <f t="shared" si="8"/>
        <v/>
      </c>
      <c r="AP258" s="39" t="str">
        <f t="shared" si="9"/>
        <v/>
      </c>
      <c r="AQ258" s="39" t="str">
        <f t="shared" si="10"/>
        <v/>
      </c>
      <c r="AR258" s="39" t="str">
        <f t="shared" si="11"/>
        <v/>
      </c>
      <c r="AS258" s="39" t="str">
        <f t="shared" si="12"/>
        <v/>
      </c>
      <c r="AT258" s="39" t="str">
        <f t="shared" si="13"/>
        <v/>
      </c>
      <c r="AU258" s="39" t="str">
        <f t="shared" si="14"/>
        <v/>
      </c>
    </row>
    <row r="259" ht="15.75" customHeight="1">
      <c r="A259" s="22"/>
      <c r="B259" s="22"/>
      <c r="C259" s="22"/>
      <c r="D259" s="22"/>
      <c r="E259" s="40"/>
      <c r="F259" s="40" t="str">
        <f>IF($C259="","",VLOOKUP($C259,Orders!$A$4:$J$303,3,FALSE))</f>
        <v/>
      </c>
      <c r="G259" s="40" t="str">
        <f>IF($C259="","",VLOOKUP($C259,Orders!$A$4:$J$303,4,FALSE))</f>
        <v/>
      </c>
      <c r="H259" s="22"/>
      <c r="I259" s="40" t="str">
        <f t="shared" si="1"/>
        <v/>
      </c>
      <c r="J259" s="40" t="str">
        <f t="shared" si="2"/>
        <v/>
      </c>
      <c r="K259" s="40" t="str">
        <f>IF($C259="","",VLOOKUP($C259,Orders!$A$4:$J$303,5,FALSE))</f>
        <v/>
      </c>
      <c r="L259" s="22"/>
      <c r="M259" s="40" t="str">
        <f t="shared" si="3"/>
        <v/>
      </c>
      <c r="N259" s="22"/>
      <c r="O259" s="22"/>
      <c r="P259" s="22" t="str">
        <f t="shared" si="4"/>
        <v/>
      </c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39" t="str">
        <f t="array" ref="AB259">IFERROR(INDEX(Bids!$AA:$AA, MATCH(C259&amp;"|"&amp;B259, Bids!$AD:$AD,0)),"")</f>
        <v/>
      </c>
      <c r="AC259" s="39" t="str">
        <f t="array" ref="AC259">IFERROR(INDEX(Bids!$AB:$AB, MATCH(C259&amp;"|"&amp;B259, Bids!$AD:$AD,0)),"")</f>
        <v/>
      </c>
      <c r="AD259" s="39" t="str">
        <f t="array" ref="AD259">IFERROR(INDEX(Bids!$AC:$AC, MATCH(C259&amp;"|"&amp;B259, Bids!$AD:$AD,0)), H259)</f>
        <v/>
      </c>
      <c r="AE259" s="39"/>
      <c r="AG259" s="39"/>
      <c r="AH259" s="39" t="str">
        <f t="shared" si="5"/>
        <v/>
      </c>
      <c r="AI259" s="39" t="str">
        <f t="shared" si="6"/>
        <v/>
      </c>
      <c r="AM259" s="39" t="str">
        <f t="array" ref="AM259">IF(C259="","",IFERROR(XLOOKUP(C259,Orders!$A:$A,Orders!$E:$E,""),""))</f>
        <v/>
      </c>
      <c r="AN259" s="39" t="str">
        <f t="shared" si="7"/>
        <v/>
      </c>
      <c r="AO259" s="39" t="str">
        <f t="shared" si="8"/>
        <v/>
      </c>
      <c r="AP259" s="39" t="str">
        <f t="shared" si="9"/>
        <v/>
      </c>
      <c r="AQ259" s="39" t="str">
        <f t="shared" si="10"/>
        <v/>
      </c>
      <c r="AR259" s="39" t="str">
        <f t="shared" si="11"/>
        <v/>
      </c>
      <c r="AS259" s="39" t="str">
        <f t="shared" si="12"/>
        <v/>
      </c>
      <c r="AT259" s="39" t="str">
        <f t="shared" si="13"/>
        <v/>
      </c>
      <c r="AU259" s="39" t="str">
        <f t="shared" si="14"/>
        <v/>
      </c>
    </row>
    <row r="260" ht="15.75" customHeight="1">
      <c r="A260" s="22"/>
      <c r="B260" s="22"/>
      <c r="C260" s="22"/>
      <c r="D260" s="22"/>
      <c r="E260" s="40"/>
      <c r="F260" s="40" t="str">
        <f>IF($C260="","",VLOOKUP($C260,Orders!$A$4:$J$303,3,FALSE))</f>
        <v/>
      </c>
      <c r="G260" s="40" t="str">
        <f>IF($C260="","",VLOOKUP($C260,Orders!$A$4:$J$303,4,FALSE))</f>
        <v/>
      </c>
      <c r="H260" s="22"/>
      <c r="I260" s="40" t="str">
        <f t="shared" si="1"/>
        <v/>
      </c>
      <c r="J260" s="40" t="str">
        <f t="shared" si="2"/>
        <v/>
      </c>
      <c r="K260" s="40" t="str">
        <f>IF($C260="","",VLOOKUP($C260,Orders!$A$4:$J$303,5,FALSE))</f>
        <v/>
      </c>
      <c r="L260" s="22"/>
      <c r="M260" s="40" t="str">
        <f t="shared" si="3"/>
        <v/>
      </c>
      <c r="N260" s="22"/>
      <c r="O260" s="22"/>
      <c r="P260" s="22" t="str">
        <f t="shared" si="4"/>
        <v/>
      </c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39" t="str">
        <f t="array" ref="AB260">IFERROR(INDEX(Bids!$AA:$AA, MATCH(C260&amp;"|"&amp;B260, Bids!$AD:$AD,0)),"")</f>
        <v/>
      </c>
      <c r="AC260" s="39" t="str">
        <f t="array" ref="AC260">IFERROR(INDEX(Bids!$AB:$AB, MATCH(C260&amp;"|"&amp;B260, Bids!$AD:$AD,0)),"")</f>
        <v/>
      </c>
      <c r="AD260" s="39" t="str">
        <f t="array" ref="AD260">IFERROR(INDEX(Bids!$AC:$AC, MATCH(C260&amp;"|"&amp;B260, Bids!$AD:$AD,0)), H260)</f>
        <v/>
      </c>
      <c r="AE260" s="39"/>
      <c r="AG260" s="39"/>
      <c r="AH260" s="39" t="str">
        <f t="shared" si="5"/>
        <v/>
      </c>
      <c r="AI260" s="39" t="str">
        <f t="shared" si="6"/>
        <v/>
      </c>
      <c r="AM260" s="39" t="str">
        <f t="array" ref="AM260">IF(C260="","",IFERROR(XLOOKUP(C260,Orders!$A:$A,Orders!$E:$E,""),""))</f>
        <v/>
      </c>
      <c r="AN260" s="39" t="str">
        <f t="shared" si="7"/>
        <v/>
      </c>
      <c r="AO260" s="39" t="str">
        <f t="shared" si="8"/>
        <v/>
      </c>
      <c r="AP260" s="39" t="str">
        <f t="shared" si="9"/>
        <v/>
      </c>
      <c r="AQ260" s="39" t="str">
        <f t="shared" si="10"/>
        <v/>
      </c>
      <c r="AR260" s="39" t="str">
        <f t="shared" si="11"/>
        <v/>
      </c>
      <c r="AS260" s="39" t="str">
        <f t="shared" si="12"/>
        <v/>
      </c>
      <c r="AT260" s="39" t="str">
        <f t="shared" si="13"/>
        <v/>
      </c>
      <c r="AU260" s="39" t="str">
        <f t="shared" si="14"/>
        <v/>
      </c>
    </row>
    <row r="261" ht="15.75" customHeight="1">
      <c r="A261" s="22"/>
      <c r="B261" s="22"/>
      <c r="C261" s="22"/>
      <c r="D261" s="22"/>
      <c r="E261" s="40"/>
      <c r="F261" s="40" t="str">
        <f>IF($C261="","",VLOOKUP($C261,Orders!$A$4:$J$303,3,FALSE))</f>
        <v/>
      </c>
      <c r="G261" s="40" t="str">
        <f>IF($C261="","",VLOOKUP($C261,Orders!$A$4:$J$303,4,FALSE))</f>
        <v/>
      </c>
      <c r="H261" s="22"/>
      <c r="I261" s="40" t="str">
        <f t="shared" si="1"/>
        <v/>
      </c>
      <c r="J261" s="40" t="str">
        <f t="shared" si="2"/>
        <v/>
      </c>
      <c r="K261" s="40" t="str">
        <f>IF($C261="","",VLOOKUP($C261,Orders!$A$4:$J$303,5,FALSE))</f>
        <v/>
      </c>
      <c r="L261" s="22"/>
      <c r="M261" s="40" t="str">
        <f t="shared" si="3"/>
        <v/>
      </c>
      <c r="N261" s="22"/>
      <c r="O261" s="22"/>
      <c r="P261" s="22" t="str">
        <f t="shared" si="4"/>
        <v/>
      </c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39" t="str">
        <f t="array" ref="AB261">IFERROR(INDEX(Bids!$AA:$AA, MATCH(C261&amp;"|"&amp;B261, Bids!$AD:$AD,0)),"")</f>
        <v/>
      </c>
      <c r="AC261" s="39" t="str">
        <f t="array" ref="AC261">IFERROR(INDEX(Bids!$AB:$AB, MATCH(C261&amp;"|"&amp;B261, Bids!$AD:$AD,0)),"")</f>
        <v/>
      </c>
      <c r="AD261" s="39" t="str">
        <f t="array" ref="AD261">IFERROR(INDEX(Bids!$AC:$AC, MATCH(C261&amp;"|"&amp;B261, Bids!$AD:$AD,0)), H261)</f>
        <v/>
      </c>
      <c r="AE261" s="39"/>
      <c r="AG261" s="39"/>
      <c r="AH261" s="39" t="str">
        <f t="shared" si="5"/>
        <v/>
      </c>
      <c r="AI261" s="39" t="str">
        <f t="shared" si="6"/>
        <v/>
      </c>
      <c r="AM261" s="39" t="str">
        <f t="array" ref="AM261">IF(C261="","",IFERROR(XLOOKUP(C261,Orders!$A:$A,Orders!$E:$E,""),""))</f>
        <v/>
      </c>
      <c r="AN261" s="39" t="str">
        <f t="shared" si="7"/>
        <v/>
      </c>
      <c r="AO261" s="39" t="str">
        <f t="shared" si="8"/>
        <v/>
      </c>
      <c r="AP261" s="39" t="str">
        <f t="shared" si="9"/>
        <v/>
      </c>
      <c r="AQ261" s="39" t="str">
        <f t="shared" si="10"/>
        <v/>
      </c>
      <c r="AR261" s="39" t="str">
        <f t="shared" si="11"/>
        <v/>
      </c>
      <c r="AS261" s="39" t="str">
        <f t="shared" si="12"/>
        <v/>
      </c>
      <c r="AT261" s="39" t="str">
        <f t="shared" si="13"/>
        <v/>
      </c>
      <c r="AU261" s="39" t="str">
        <f t="shared" si="14"/>
        <v/>
      </c>
    </row>
    <row r="262" ht="15.75" customHeight="1">
      <c r="A262" s="22"/>
      <c r="B262" s="22"/>
      <c r="C262" s="22"/>
      <c r="D262" s="22"/>
      <c r="E262" s="40"/>
      <c r="F262" s="40" t="str">
        <f>IF($C262="","",VLOOKUP($C262,Orders!$A$4:$J$303,3,FALSE))</f>
        <v/>
      </c>
      <c r="G262" s="40" t="str">
        <f>IF($C262="","",VLOOKUP($C262,Orders!$A$4:$J$303,4,FALSE))</f>
        <v/>
      </c>
      <c r="H262" s="22"/>
      <c r="I262" s="40" t="str">
        <f t="shared" si="1"/>
        <v/>
      </c>
      <c r="J262" s="40" t="str">
        <f t="shared" si="2"/>
        <v/>
      </c>
      <c r="K262" s="40" t="str">
        <f>IF($C262="","",VLOOKUP($C262,Orders!$A$4:$J$303,5,FALSE))</f>
        <v/>
      </c>
      <c r="L262" s="22"/>
      <c r="M262" s="40" t="str">
        <f t="shared" si="3"/>
        <v/>
      </c>
      <c r="N262" s="22"/>
      <c r="O262" s="22"/>
      <c r="P262" s="22" t="str">
        <f t="shared" si="4"/>
        <v/>
      </c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39" t="str">
        <f t="array" ref="AB262">IFERROR(INDEX(Bids!$AA:$AA, MATCH(C262&amp;"|"&amp;B262, Bids!$AD:$AD,0)),"")</f>
        <v/>
      </c>
      <c r="AC262" s="39" t="str">
        <f t="array" ref="AC262">IFERROR(INDEX(Bids!$AB:$AB, MATCH(C262&amp;"|"&amp;B262, Bids!$AD:$AD,0)),"")</f>
        <v/>
      </c>
      <c r="AD262" s="39" t="str">
        <f t="array" ref="AD262">IFERROR(INDEX(Bids!$AC:$AC, MATCH(C262&amp;"|"&amp;B262, Bids!$AD:$AD,0)), H262)</f>
        <v/>
      </c>
      <c r="AE262" s="39"/>
      <c r="AG262" s="39"/>
      <c r="AH262" s="39" t="str">
        <f t="shared" si="5"/>
        <v/>
      </c>
      <c r="AI262" s="39" t="str">
        <f t="shared" si="6"/>
        <v/>
      </c>
      <c r="AM262" s="39" t="str">
        <f t="array" ref="AM262">IF(C262="","",IFERROR(XLOOKUP(C262,Orders!$A:$A,Orders!$E:$E,""),""))</f>
        <v/>
      </c>
      <c r="AN262" s="39" t="str">
        <f t="shared" si="7"/>
        <v/>
      </c>
      <c r="AO262" s="39" t="str">
        <f t="shared" si="8"/>
        <v/>
      </c>
      <c r="AP262" s="39" t="str">
        <f t="shared" si="9"/>
        <v/>
      </c>
      <c r="AQ262" s="39" t="str">
        <f t="shared" si="10"/>
        <v/>
      </c>
      <c r="AR262" s="39" t="str">
        <f t="shared" si="11"/>
        <v/>
      </c>
      <c r="AS262" s="39" t="str">
        <f t="shared" si="12"/>
        <v/>
      </c>
      <c r="AT262" s="39" t="str">
        <f t="shared" si="13"/>
        <v/>
      </c>
      <c r="AU262" s="39" t="str">
        <f t="shared" si="14"/>
        <v/>
      </c>
    </row>
    <row r="263" ht="15.75" customHeight="1">
      <c r="A263" s="22"/>
      <c r="B263" s="22"/>
      <c r="C263" s="22"/>
      <c r="D263" s="22"/>
      <c r="E263" s="40"/>
      <c r="F263" s="40" t="str">
        <f>IF($C263="","",VLOOKUP($C263,Orders!$A$4:$J$303,3,FALSE))</f>
        <v/>
      </c>
      <c r="G263" s="40" t="str">
        <f>IF($C263="","",VLOOKUP($C263,Orders!$A$4:$J$303,4,FALSE))</f>
        <v/>
      </c>
      <c r="H263" s="22"/>
      <c r="I263" s="40" t="str">
        <f t="shared" si="1"/>
        <v/>
      </c>
      <c r="J263" s="40" t="str">
        <f t="shared" si="2"/>
        <v/>
      </c>
      <c r="K263" s="40" t="str">
        <f>IF($C263="","",VLOOKUP($C263,Orders!$A$4:$J$303,5,FALSE))</f>
        <v/>
      </c>
      <c r="L263" s="22"/>
      <c r="M263" s="40" t="str">
        <f t="shared" si="3"/>
        <v/>
      </c>
      <c r="N263" s="22"/>
      <c r="O263" s="22"/>
      <c r="P263" s="22" t="str">
        <f t="shared" si="4"/>
        <v/>
      </c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39" t="str">
        <f t="array" ref="AB263">IFERROR(INDEX(Bids!$AA:$AA, MATCH(C263&amp;"|"&amp;B263, Bids!$AD:$AD,0)),"")</f>
        <v/>
      </c>
      <c r="AC263" s="39" t="str">
        <f t="array" ref="AC263">IFERROR(INDEX(Bids!$AB:$AB, MATCH(C263&amp;"|"&amp;B263, Bids!$AD:$AD,0)),"")</f>
        <v/>
      </c>
      <c r="AD263" s="39" t="str">
        <f t="array" ref="AD263">IFERROR(INDEX(Bids!$AC:$AC, MATCH(C263&amp;"|"&amp;B263, Bids!$AD:$AD,0)), H263)</f>
        <v/>
      </c>
      <c r="AE263" s="39"/>
      <c r="AG263" s="39"/>
      <c r="AH263" s="39" t="str">
        <f t="shared" si="5"/>
        <v/>
      </c>
      <c r="AI263" s="39" t="str">
        <f t="shared" si="6"/>
        <v/>
      </c>
      <c r="AM263" s="39" t="str">
        <f t="array" ref="AM263">IF(C263="","",IFERROR(XLOOKUP(C263,Orders!$A:$A,Orders!$E:$E,""),""))</f>
        <v/>
      </c>
      <c r="AN263" s="39" t="str">
        <f t="shared" si="7"/>
        <v/>
      </c>
      <c r="AO263" s="39" t="str">
        <f t="shared" si="8"/>
        <v/>
      </c>
      <c r="AP263" s="39" t="str">
        <f t="shared" si="9"/>
        <v/>
      </c>
      <c r="AQ263" s="39" t="str">
        <f t="shared" si="10"/>
        <v/>
      </c>
      <c r="AR263" s="39" t="str">
        <f t="shared" si="11"/>
        <v/>
      </c>
      <c r="AS263" s="39" t="str">
        <f t="shared" si="12"/>
        <v/>
      </c>
      <c r="AT263" s="39" t="str">
        <f t="shared" si="13"/>
        <v/>
      </c>
      <c r="AU263" s="39" t="str">
        <f t="shared" si="14"/>
        <v/>
      </c>
    </row>
    <row r="264" ht="15.75" customHeight="1">
      <c r="A264" s="22"/>
      <c r="B264" s="22"/>
      <c r="C264" s="22"/>
      <c r="D264" s="22"/>
      <c r="E264" s="40"/>
      <c r="F264" s="40" t="str">
        <f>IF($C264="","",VLOOKUP($C264,Orders!$A$4:$J$303,3,FALSE))</f>
        <v/>
      </c>
      <c r="G264" s="40" t="str">
        <f>IF($C264="","",VLOOKUP($C264,Orders!$A$4:$J$303,4,FALSE))</f>
        <v/>
      </c>
      <c r="H264" s="22"/>
      <c r="I264" s="40" t="str">
        <f t="shared" si="1"/>
        <v/>
      </c>
      <c r="J264" s="40" t="str">
        <f t="shared" si="2"/>
        <v/>
      </c>
      <c r="K264" s="40" t="str">
        <f>IF($C264="","",VLOOKUP($C264,Orders!$A$4:$J$303,5,FALSE))</f>
        <v/>
      </c>
      <c r="L264" s="22"/>
      <c r="M264" s="40" t="str">
        <f t="shared" si="3"/>
        <v/>
      </c>
      <c r="N264" s="22"/>
      <c r="O264" s="22"/>
      <c r="P264" s="22" t="str">
        <f t="shared" si="4"/>
        <v/>
      </c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39" t="str">
        <f t="array" ref="AB264">IFERROR(INDEX(Bids!$AA:$AA, MATCH(C264&amp;"|"&amp;B264, Bids!$AD:$AD,0)),"")</f>
        <v/>
      </c>
      <c r="AC264" s="39" t="str">
        <f t="array" ref="AC264">IFERROR(INDEX(Bids!$AB:$AB, MATCH(C264&amp;"|"&amp;B264, Bids!$AD:$AD,0)),"")</f>
        <v/>
      </c>
      <c r="AD264" s="39" t="str">
        <f t="array" ref="AD264">IFERROR(INDEX(Bids!$AC:$AC, MATCH(C264&amp;"|"&amp;B264, Bids!$AD:$AD,0)), H264)</f>
        <v/>
      </c>
      <c r="AE264" s="39"/>
      <c r="AG264" s="39"/>
      <c r="AH264" s="39" t="str">
        <f t="shared" si="5"/>
        <v/>
      </c>
      <c r="AI264" s="39" t="str">
        <f t="shared" si="6"/>
        <v/>
      </c>
      <c r="AM264" s="39" t="str">
        <f t="array" ref="AM264">IF(C264="","",IFERROR(XLOOKUP(C264,Orders!$A:$A,Orders!$E:$E,""),""))</f>
        <v/>
      </c>
      <c r="AN264" s="39" t="str">
        <f t="shared" si="7"/>
        <v/>
      </c>
      <c r="AO264" s="39" t="str">
        <f t="shared" si="8"/>
        <v/>
      </c>
      <c r="AP264" s="39" t="str">
        <f t="shared" si="9"/>
        <v/>
      </c>
      <c r="AQ264" s="39" t="str">
        <f t="shared" si="10"/>
        <v/>
      </c>
      <c r="AR264" s="39" t="str">
        <f t="shared" si="11"/>
        <v/>
      </c>
      <c r="AS264" s="39" t="str">
        <f t="shared" si="12"/>
        <v/>
      </c>
      <c r="AT264" s="39" t="str">
        <f t="shared" si="13"/>
        <v/>
      </c>
      <c r="AU264" s="39" t="str">
        <f t="shared" si="14"/>
        <v/>
      </c>
    </row>
    <row r="265" ht="15.75" customHeight="1">
      <c r="A265" s="22"/>
      <c r="B265" s="22"/>
      <c r="C265" s="22"/>
      <c r="D265" s="22"/>
      <c r="E265" s="40"/>
      <c r="F265" s="40" t="str">
        <f>IF($C265="","",VLOOKUP($C265,Orders!$A$4:$J$303,3,FALSE))</f>
        <v/>
      </c>
      <c r="G265" s="40" t="str">
        <f>IF($C265="","",VLOOKUP($C265,Orders!$A$4:$J$303,4,FALSE))</f>
        <v/>
      </c>
      <c r="H265" s="22"/>
      <c r="I265" s="40" t="str">
        <f t="shared" si="1"/>
        <v/>
      </c>
      <c r="J265" s="40" t="str">
        <f t="shared" si="2"/>
        <v/>
      </c>
      <c r="K265" s="40" t="str">
        <f>IF($C265="","",VLOOKUP($C265,Orders!$A$4:$J$303,5,FALSE))</f>
        <v/>
      </c>
      <c r="L265" s="22"/>
      <c r="M265" s="40" t="str">
        <f t="shared" si="3"/>
        <v/>
      </c>
      <c r="N265" s="22"/>
      <c r="O265" s="22"/>
      <c r="P265" s="22" t="str">
        <f t="shared" si="4"/>
        <v/>
      </c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39" t="str">
        <f t="array" ref="AB265">IFERROR(INDEX(Bids!$AA:$AA, MATCH(C265&amp;"|"&amp;B265, Bids!$AD:$AD,0)),"")</f>
        <v/>
      </c>
      <c r="AC265" s="39" t="str">
        <f t="array" ref="AC265">IFERROR(INDEX(Bids!$AB:$AB, MATCH(C265&amp;"|"&amp;B265, Bids!$AD:$AD,0)),"")</f>
        <v/>
      </c>
      <c r="AD265" s="39" t="str">
        <f t="array" ref="AD265">IFERROR(INDEX(Bids!$AC:$AC, MATCH(C265&amp;"|"&amp;B265, Bids!$AD:$AD,0)), H265)</f>
        <v/>
      </c>
      <c r="AE265" s="39"/>
      <c r="AG265" s="39"/>
      <c r="AH265" s="39" t="str">
        <f t="shared" si="5"/>
        <v/>
      </c>
      <c r="AI265" s="39" t="str">
        <f t="shared" si="6"/>
        <v/>
      </c>
      <c r="AM265" s="39" t="str">
        <f t="array" ref="AM265">IF(C265="","",IFERROR(XLOOKUP(C265,Orders!$A:$A,Orders!$E:$E,""),""))</f>
        <v/>
      </c>
      <c r="AN265" s="39" t="str">
        <f t="shared" si="7"/>
        <v/>
      </c>
      <c r="AO265" s="39" t="str">
        <f t="shared" si="8"/>
        <v/>
      </c>
      <c r="AP265" s="39" t="str">
        <f t="shared" si="9"/>
        <v/>
      </c>
      <c r="AQ265" s="39" t="str">
        <f t="shared" si="10"/>
        <v/>
      </c>
      <c r="AR265" s="39" t="str">
        <f t="shared" si="11"/>
        <v/>
      </c>
      <c r="AS265" s="39" t="str">
        <f t="shared" si="12"/>
        <v/>
      </c>
      <c r="AT265" s="39" t="str">
        <f t="shared" si="13"/>
        <v/>
      </c>
      <c r="AU265" s="39" t="str">
        <f t="shared" si="14"/>
        <v/>
      </c>
    </row>
    <row r="266" ht="15.75" customHeight="1">
      <c r="A266" s="22"/>
      <c r="B266" s="22"/>
      <c r="C266" s="22"/>
      <c r="D266" s="22"/>
      <c r="E266" s="40"/>
      <c r="F266" s="40" t="str">
        <f>IF($C266="","",VLOOKUP($C266,Orders!$A$4:$J$303,3,FALSE))</f>
        <v/>
      </c>
      <c r="G266" s="40" t="str">
        <f>IF($C266="","",VLOOKUP($C266,Orders!$A$4:$J$303,4,FALSE))</f>
        <v/>
      </c>
      <c r="H266" s="22"/>
      <c r="I266" s="40" t="str">
        <f t="shared" si="1"/>
        <v/>
      </c>
      <c r="J266" s="40" t="str">
        <f t="shared" si="2"/>
        <v/>
      </c>
      <c r="K266" s="40" t="str">
        <f>IF($C266="","",VLOOKUP($C266,Orders!$A$4:$J$303,5,FALSE))</f>
        <v/>
      </c>
      <c r="L266" s="22"/>
      <c r="M266" s="40" t="str">
        <f t="shared" si="3"/>
        <v/>
      </c>
      <c r="N266" s="22"/>
      <c r="O266" s="22"/>
      <c r="P266" s="22" t="str">
        <f t="shared" si="4"/>
        <v/>
      </c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39" t="str">
        <f t="array" ref="AB266">IFERROR(INDEX(Bids!$AA:$AA, MATCH(C266&amp;"|"&amp;B266, Bids!$AD:$AD,0)),"")</f>
        <v/>
      </c>
      <c r="AC266" s="39" t="str">
        <f t="array" ref="AC266">IFERROR(INDEX(Bids!$AB:$AB, MATCH(C266&amp;"|"&amp;B266, Bids!$AD:$AD,0)),"")</f>
        <v/>
      </c>
      <c r="AD266" s="39" t="str">
        <f t="array" ref="AD266">IFERROR(INDEX(Bids!$AC:$AC, MATCH(C266&amp;"|"&amp;B266, Bids!$AD:$AD,0)), H266)</f>
        <v/>
      </c>
      <c r="AE266" s="39"/>
      <c r="AG266" s="39"/>
      <c r="AH266" s="39" t="str">
        <f t="shared" si="5"/>
        <v/>
      </c>
      <c r="AI266" s="39" t="str">
        <f t="shared" si="6"/>
        <v/>
      </c>
      <c r="AM266" s="39" t="str">
        <f t="array" ref="AM266">IF(C266="","",IFERROR(XLOOKUP(C266,Orders!$A:$A,Orders!$E:$E,""),""))</f>
        <v/>
      </c>
      <c r="AN266" s="39" t="str">
        <f t="shared" si="7"/>
        <v/>
      </c>
      <c r="AO266" s="39" t="str">
        <f t="shared" si="8"/>
        <v/>
      </c>
      <c r="AP266" s="39" t="str">
        <f t="shared" si="9"/>
        <v/>
      </c>
      <c r="AQ266" s="39" t="str">
        <f t="shared" si="10"/>
        <v/>
      </c>
      <c r="AR266" s="39" t="str">
        <f t="shared" si="11"/>
        <v/>
      </c>
      <c r="AS266" s="39" t="str">
        <f t="shared" si="12"/>
        <v/>
      </c>
      <c r="AT266" s="39" t="str">
        <f t="shared" si="13"/>
        <v/>
      </c>
      <c r="AU266" s="39" t="str">
        <f t="shared" si="14"/>
        <v/>
      </c>
    </row>
    <row r="267" ht="15.75" customHeight="1">
      <c r="A267" s="22"/>
      <c r="B267" s="22"/>
      <c r="C267" s="22"/>
      <c r="D267" s="22"/>
      <c r="E267" s="40"/>
      <c r="F267" s="40" t="str">
        <f>IF($C267="","",VLOOKUP($C267,Orders!$A$4:$J$303,3,FALSE))</f>
        <v/>
      </c>
      <c r="G267" s="40" t="str">
        <f>IF($C267="","",VLOOKUP($C267,Orders!$A$4:$J$303,4,FALSE))</f>
        <v/>
      </c>
      <c r="H267" s="22"/>
      <c r="I267" s="40" t="str">
        <f t="shared" si="1"/>
        <v/>
      </c>
      <c r="J267" s="40" t="str">
        <f t="shared" si="2"/>
        <v/>
      </c>
      <c r="K267" s="40" t="str">
        <f>IF($C267="","",VLOOKUP($C267,Orders!$A$4:$J$303,5,FALSE))</f>
        <v/>
      </c>
      <c r="L267" s="22"/>
      <c r="M267" s="40" t="str">
        <f t="shared" si="3"/>
        <v/>
      </c>
      <c r="N267" s="22"/>
      <c r="O267" s="22"/>
      <c r="P267" s="22" t="str">
        <f t="shared" si="4"/>
        <v/>
      </c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39" t="str">
        <f t="array" ref="AB267">IFERROR(INDEX(Bids!$AA:$AA, MATCH(C267&amp;"|"&amp;B267, Bids!$AD:$AD,0)),"")</f>
        <v/>
      </c>
      <c r="AC267" s="39" t="str">
        <f t="array" ref="AC267">IFERROR(INDEX(Bids!$AB:$AB, MATCH(C267&amp;"|"&amp;B267, Bids!$AD:$AD,0)),"")</f>
        <v/>
      </c>
      <c r="AD267" s="39" t="str">
        <f t="array" ref="AD267">IFERROR(INDEX(Bids!$AC:$AC, MATCH(C267&amp;"|"&amp;B267, Bids!$AD:$AD,0)), H267)</f>
        <v/>
      </c>
      <c r="AE267" s="39"/>
      <c r="AG267" s="39"/>
      <c r="AH267" s="39" t="str">
        <f t="shared" si="5"/>
        <v/>
      </c>
      <c r="AI267" s="39" t="str">
        <f t="shared" si="6"/>
        <v/>
      </c>
      <c r="AM267" s="39" t="str">
        <f t="array" ref="AM267">IF(C267="","",IFERROR(XLOOKUP(C267,Orders!$A:$A,Orders!$E:$E,""),""))</f>
        <v/>
      </c>
      <c r="AN267" s="39" t="str">
        <f t="shared" si="7"/>
        <v/>
      </c>
      <c r="AO267" s="39" t="str">
        <f t="shared" si="8"/>
        <v/>
      </c>
      <c r="AP267" s="39" t="str">
        <f t="shared" si="9"/>
        <v/>
      </c>
      <c r="AQ267" s="39" t="str">
        <f t="shared" si="10"/>
        <v/>
      </c>
      <c r="AR267" s="39" t="str">
        <f t="shared" si="11"/>
        <v/>
      </c>
      <c r="AS267" s="39" t="str">
        <f t="shared" si="12"/>
        <v/>
      </c>
      <c r="AT267" s="39" t="str">
        <f t="shared" si="13"/>
        <v/>
      </c>
      <c r="AU267" s="39" t="str">
        <f t="shared" si="14"/>
        <v/>
      </c>
    </row>
    <row r="268" ht="15.75" customHeight="1">
      <c r="A268" s="22"/>
      <c r="B268" s="22"/>
      <c r="C268" s="22"/>
      <c r="D268" s="22"/>
      <c r="E268" s="40"/>
      <c r="F268" s="40" t="str">
        <f>IF($C268="","",VLOOKUP($C268,Orders!$A$4:$J$303,3,FALSE))</f>
        <v/>
      </c>
      <c r="G268" s="40" t="str">
        <f>IF($C268="","",VLOOKUP($C268,Orders!$A$4:$J$303,4,FALSE))</f>
        <v/>
      </c>
      <c r="H268" s="22"/>
      <c r="I268" s="40" t="str">
        <f t="shared" si="1"/>
        <v/>
      </c>
      <c r="J268" s="40" t="str">
        <f t="shared" si="2"/>
        <v/>
      </c>
      <c r="K268" s="40" t="str">
        <f>IF($C268="","",VLOOKUP($C268,Orders!$A$4:$J$303,5,FALSE))</f>
        <v/>
      </c>
      <c r="L268" s="22"/>
      <c r="M268" s="40" t="str">
        <f t="shared" si="3"/>
        <v/>
      </c>
      <c r="N268" s="22"/>
      <c r="O268" s="22"/>
      <c r="P268" s="22" t="str">
        <f t="shared" si="4"/>
        <v/>
      </c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39" t="str">
        <f t="array" ref="AB268">IFERROR(INDEX(Bids!$AA:$AA, MATCH(C268&amp;"|"&amp;B268, Bids!$AD:$AD,0)),"")</f>
        <v/>
      </c>
      <c r="AC268" s="39" t="str">
        <f t="array" ref="AC268">IFERROR(INDEX(Bids!$AB:$AB, MATCH(C268&amp;"|"&amp;B268, Bids!$AD:$AD,0)),"")</f>
        <v/>
      </c>
      <c r="AD268" s="39" t="str">
        <f t="array" ref="AD268">IFERROR(INDEX(Bids!$AC:$AC, MATCH(C268&amp;"|"&amp;B268, Bids!$AD:$AD,0)), H268)</f>
        <v/>
      </c>
      <c r="AE268" s="39"/>
      <c r="AG268" s="39"/>
      <c r="AH268" s="39" t="str">
        <f t="shared" si="5"/>
        <v/>
      </c>
      <c r="AI268" s="39" t="str">
        <f t="shared" si="6"/>
        <v/>
      </c>
      <c r="AM268" s="39" t="str">
        <f t="array" ref="AM268">IF(C268="","",IFERROR(XLOOKUP(C268,Orders!$A:$A,Orders!$E:$E,""),""))</f>
        <v/>
      </c>
      <c r="AN268" s="39" t="str">
        <f t="shared" si="7"/>
        <v/>
      </c>
      <c r="AO268" s="39" t="str">
        <f t="shared" si="8"/>
        <v/>
      </c>
      <c r="AP268" s="39" t="str">
        <f t="shared" si="9"/>
        <v/>
      </c>
      <c r="AQ268" s="39" t="str">
        <f t="shared" si="10"/>
        <v/>
      </c>
      <c r="AR268" s="39" t="str">
        <f t="shared" si="11"/>
        <v/>
      </c>
      <c r="AS268" s="39" t="str">
        <f t="shared" si="12"/>
        <v/>
      </c>
      <c r="AT268" s="39" t="str">
        <f t="shared" si="13"/>
        <v/>
      </c>
      <c r="AU268" s="39" t="str">
        <f t="shared" si="14"/>
        <v/>
      </c>
    </row>
    <row r="269" ht="15.75" customHeight="1">
      <c r="A269" s="22"/>
      <c r="B269" s="22"/>
      <c r="C269" s="22"/>
      <c r="D269" s="22"/>
      <c r="E269" s="40"/>
      <c r="F269" s="40" t="str">
        <f>IF($C269="","",VLOOKUP($C269,Orders!$A$4:$J$303,3,FALSE))</f>
        <v/>
      </c>
      <c r="G269" s="40" t="str">
        <f>IF($C269="","",VLOOKUP($C269,Orders!$A$4:$J$303,4,FALSE))</f>
        <v/>
      </c>
      <c r="H269" s="22"/>
      <c r="I269" s="40" t="str">
        <f t="shared" si="1"/>
        <v/>
      </c>
      <c r="J269" s="40" t="str">
        <f t="shared" si="2"/>
        <v/>
      </c>
      <c r="K269" s="40" t="str">
        <f>IF($C269="","",VLOOKUP($C269,Orders!$A$4:$J$303,5,FALSE))</f>
        <v/>
      </c>
      <c r="L269" s="22"/>
      <c r="M269" s="40" t="str">
        <f t="shared" si="3"/>
        <v/>
      </c>
      <c r="N269" s="22"/>
      <c r="O269" s="22"/>
      <c r="P269" s="22" t="str">
        <f t="shared" si="4"/>
        <v/>
      </c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39" t="str">
        <f t="array" ref="AB269">IFERROR(INDEX(Bids!$AA:$AA, MATCH(C269&amp;"|"&amp;B269, Bids!$AD:$AD,0)),"")</f>
        <v/>
      </c>
      <c r="AC269" s="39" t="str">
        <f t="array" ref="AC269">IFERROR(INDEX(Bids!$AB:$AB, MATCH(C269&amp;"|"&amp;B269, Bids!$AD:$AD,0)),"")</f>
        <v/>
      </c>
      <c r="AD269" s="39" t="str">
        <f t="array" ref="AD269">IFERROR(INDEX(Bids!$AC:$AC, MATCH(C269&amp;"|"&amp;B269, Bids!$AD:$AD,0)), H269)</f>
        <v/>
      </c>
      <c r="AE269" s="39"/>
      <c r="AG269" s="39"/>
      <c r="AH269" s="39" t="str">
        <f t="shared" si="5"/>
        <v/>
      </c>
      <c r="AI269" s="39" t="str">
        <f t="shared" si="6"/>
        <v/>
      </c>
      <c r="AM269" s="39" t="str">
        <f t="array" ref="AM269">IF(C269="","",IFERROR(XLOOKUP(C269,Orders!$A:$A,Orders!$E:$E,""),""))</f>
        <v/>
      </c>
      <c r="AN269" s="39" t="str">
        <f t="shared" si="7"/>
        <v/>
      </c>
      <c r="AO269" s="39" t="str">
        <f t="shared" si="8"/>
        <v/>
      </c>
      <c r="AP269" s="39" t="str">
        <f t="shared" si="9"/>
        <v/>
      </c>
      <c r="AQ269" s="39" t="str">
        <f t="shared" si="10"/>
        <v/>
      </c>
      <c r="AR269" s="39" t="str">
        <f t="shared" si="11"/>
        <v/>
      </c>
      <c r="AS269" s="39" t="str">
        <f t="shared" si="12"/>
        <v/>
      </c>
      <c r="AT269" s="39" t="str">
        <f t="shared" si="13"/>
        <v/>
      </c>
      <c r="AU269" s="39" t="str">
        <f t="shared" si="14"/>
        <v/>
      </c>
    </row>
    <row r="270" ht="15.75" customHeight="1">
      <c r="A270" s="22"/>
      <c r="B270" s="22"/>
      <c r="C270" s="22"/>
      <c r="D270" s="22"/>
      <c r="E270" s="40"/>
      <c r="F270" s="40" t="str">
        <f>IF($C270="","",VLOOKUP($C270,Orders!$A$4:$J$303,3,FALSE))</f>
        <v/>
      </c>
      <c r="G270" s="40" t="str">
        <f>IF($C270="","",VLOOKUP($C270,Orders!$A$4:$J$303,4,FALSE))</f>
        <v/>
      </c>
      <c r="H270" s="22"/>
      <c r="I270" s="40" t="str">
        <f t="shared" si="1"/>
        <v/>
      </c>
      <c r="J270" s="40" t="str">
        <f t="shared" si="2"/>
        <v/>
      </c>
      <c r="K270" s="40" t="str">
        <f>IF($C270="","",VLOOKUP($C270,Orders!$A$4:$J$303,5,FALSE))</f>
        <v/>
      </c>
      <c r="L270" s="22"/>
      <c r="M270" s="40" t="str">
        <f t="shared" si="3"/>
        <v/>
      </c>
      <c r="N270" s="22"/>
      <c r="O270" s="22"/>
      <c r="P270" s="22" t="str">
        <f t="shared" si="4"/>
        <v/>
      </c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39" t="str">
        <f t="array" ref="AB270">IFERROR(INDEX(Bids!$AA:$AA, MATCH(C270&amp;"|"&amp;B270, Bids!$AD:$AD,0)),"")</f>
        <v/>
      </c>
      <c r="AC270" s="39" t="str">
        <f t="array" ref="AC270">IFERROR(INDEX(Bids!$AB:$AB, MATCH(C270&amp;"|"&amp;B270, Bids!$AD:$AD,0)),"")</f>
        <v/>
      </c>
      <c r="AD270" s="39" t="str">
        <f t="array" ref="AD270">IFERROR(INDEX(Bids!$AC:$AC, MATCH(C270&amp;"|"&amp;B270, Bids!$AD:$AD,0)), H270)</f>
        <v/>
      </c>
      <c r="AE270" s="39"/>
      <c r="AG270" s="39"/>
      <c r="AH270" s="39" t="str">
        <f t="shared" si="5"/>
        <v/>
      </c>
      <c r="AI270" s="39" t="str">
        <f t="shared" si="6"/>
        <v/>
      </c>
      <c r="AM270" s="39" t="str">
        <f t="array" ref="AM270">IF(C270="","",IFERROR(XLOOKUP(C270,Orders!$A:$A,Orders!$E:$E,""),""))</f>
        <v/>
      </c>
      <c r="AN270" s="39" t="str">
        <f t="shared" si="7"/>
        <v/>
      </c>
      <c r="AO270" s="39" t="str">
        <f t="shared" si="8"/>
        <v/>
      </c>
      <c r="AP270" s="39" t="str">
        <f t="shared" si="9"/>
        <v/>
      </c>
      <c r="AQ270" s="39" t="str">
        <f t="shared" si="10"/>
        <v/>
      </c>
      <c r="AR270" s="39" t="str">
        <f t="shared" si="11"/>
        <v/>
      </c>
      <c r="AS270" s="39" t="str">
        <f t="shared" si="12"/>
        <v/>
      </c>
      <c r="AT270" s="39" t="str">
        <f t="shared" si="13"/>
        <v/>
      </c>
      <c r="AU270" s="39" t="str">
        <f t="shared" si="14"/>
        <v/>
      </c>
    </row>
    <row r="271" ht="15.75" customHeight="1">
      <c r="A271" s="22"/>
      <c r="B271" s="22"/>
      <c r="C271" s="22"/>
      <c r="D271" s="22"/>
      <c r="E271" s="40"/>
      <c r="F271" s="40" t="str">
        <f>IF($C271="","",VLOOKUP($C271,Orders!$A$4:$J$303,3,FALSE))</f>
        <v/>
      </c>
      <c r="G271" s="40" t="str">
        <f>IF($C271="","",VLOOKUP($C271,Orders!$A$4:$J$303,4,FALSE))</f>
        <v/>
      </c>
      <c r="H271" s="22"/>
      <c r="I271" s="40" t="str">
        <f t="shared" si="1"/>
        <v/>
      </c>
      <c r="J271" s="40" t="str">
        <f t="shared" si="2"/>
        <v/>
      </c>
      <c r="K271" s="40" t="str">
        <f>IF($C271="","",VLOOKUP($C271,Orders!$A$4:$J$303,5,FALSE))</f>
        <v/>
      </c>
      <c r="L271" s="22"/>
      <c r="M271" s="40" t="str">
        <f t="shared" si="3"/>
        <v/>
      </c>
      <c r="N271" s="22"/>
      <c r="O271" s="22"/>
      <c r="P271" s="22" t="str">
        <f t="shared" si="4"/>
        <v/>
      </c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39" t="str">
        <f t="array" ref="AB271">IFERROR(INDEX(Bids!$AA:$AA, MATCH(C271&amp;"|"&amp;B271, Bids!$AD:$AD,0)),"")</f>
        <v/>
      </c>
      <c r="AC271" s="39" t="str">
        <f t="array" ref="AC271">IFERROR(INDEX(Bids!$AB:$AB, MATCH(C271&amp;"|"&amp;B271, Bids!$AD:$AD,0)),"")</f>
        <v/>
      </c>
      <c r="AD271" s="39" t="str">
        <f t="array" ref="AD271">IFERROR(INDEX(Bids!$AC:$AC, MATCH(C271&amp;"|"&amp;B271, Bids!$AD:$AD,0)), H271)</f>
        <v/>
      </c>
      <c r="AE271" s="39"/>
      <c r="AG271" s="39"/>
      <c r="AH271" s="39" t="str">
        <f t="shared" si="5"/>
        <v/>
      </c>
      <c r="AI271" s="39" t="str">
        <f t="shared" si="6"/>
        <v/>
      </c>
      <c r="AM271" s="39" t="str">
        <f t="array" ref="AM271">IF(C271="","",IFERROR(XLOOKUP(C271,Orders!$A:$A,Orders!$E:$E,""),""))</f>
        <v/>
      </c>
      <c r="AN271" s="39" t="str">
        <f t="shared" si="7"/>
        <v/>
      </c>
      <c r="AO271" s="39" t="str">
        <f t="shared" si="8"/>
        <v/>
      </c>
      <c r="AP271" s="39" t="str">
        <f t="shared" si="9"/>
        <v/>
      </c>
      <c r="AQ271" s="39" t="str">
        <f t="shared" si="10"/>
        <v/>
      </c>
      <c r="AR271" s="39" t="str">
        <f t="shared" si="11"/>
        <v/>
      </c>
      <c r="AS271" s="39" t="str">
        <f t="shared" si="12"/>
        <v/>
      </c>
      <c r="AT271" s="39" t="str">
        <f t="shared" si="13"/>
        <v/>
      </c>
      <c r="AU271" s="39" t="str">
        <f t="shared" si="14"/>
        <v/>
      </c>
    </row>
    <row r="272" ht="15.75" customHeight="1">
      <c r="A272" s="22"/>
      <c r="B272" s="22"/>
      <c r="C272" s="22"/>
      <c r="D272" s="22"/>
      <c r="E272" s="40"/>
      <c r="F272" s="40" t="str">
        <f>IF($C272="","",VLOOKUP($C272,Orders!$A$4:$J$303,3,FALSE))</f>
        <v/>
      </c>
      <c r="G272" s="40" t="str">
        <f>IF($C272="","",VLOOKUP($C272,Orders!$A$4:$J$303,4,FALSE))</f>
        <v/>
      </c>
      <c r="H272" s="22"/>
      <c r="I272" s="40" t="str">
        <f t="shared" si="1"/>
        <v/>
      </c>
      <c r="J272" s="40" t="str">
        <f t="shared" si="2"/>
        <v/>
      </c>
      <c r="K272" s="40" t="str">
        <f>IF($C272="","",VLOOKUP($C272,Orders!$A$4:$J$303,5,FALSE))</f>
        <v/>
      </c>
      <c r="L272" s="22"/>
      <c r="M272" s="40" t="str">
        <f t="shared" si="3"/>
        <v/>
      </c>
      <c r="N272" s="22"/>
      <c r="O272" s="22"/>
      <c r="P272" s="22" t="str">
        <f t="shared" si="4"/>
        <v/>
      </c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39" t="str">
        <f t="array" ref="AB272">IFERROR(INDEX(Bids!$AA:$AA, MATCH(C272&amp;"|"&amp;B272, Bids!$AD:$AD,0)),"")</f>
        <v/>
      </c>
      <c r="AC272" s="39" t="str">
        <f t="array" ref="AC272">IFERROR(INDEX(Bids!$AB:$AB, MATCH(C272&amp;"|"&amp;B272, Bids!$AD:$AD,0)),"")</f>
        <v/>
      </c>
      <c r="AD272" s="39" t="str">
        <f t="array" ref="AD272">IFERROR(INDEX(Bids!$AC:$AC, MATCH(C272&amp;"|"&amp;B272, Bids!$AD:$AD,0)), H272)</f>
        <v/>
      </c>
      <c r="AE272" s="39"/>
      <c r="AG272" s="39"/>
      <c r="AH272" s="39" t="str">
        <f t="shared" si="5"/>
        <v/>
      </c>
      <c r="AI272" s="39" t="str">
        <f t="shared" si="6"/>
        <v/>
      </c>
      <c r="AM272" s="39" t="str">
        <f t="array" ref="AM272">IF(C272="","",IFERROR(XLOOKUP(C272,Orders!$A:$A,Orders!$E:$E,""),""))</f>
        <v/>
      </c>
      <c r="AN272" s="39" t="str">
        <f t="shared" si="7"/>
        <v/>
      </c>
      <c r="AO272" s="39" t="str">
        <f t="shared" si="8"/>
        <v/>
      </c>
      <c r="AP272" s="39" t="str">
        <f t="shared" si="9"/>
        <v/>
      </c>
      <c r="AQ272" s="39" t="str">
        <f t="shared" si="10"/>
        <v/>
      </c>
      <c r="AR272" s="39" t="str">
        <f t="shared" si="11"/>
        <v/>
      </c>
      <c r="AS272" s="39" t="str">
        <f t="shared" si="12"/>
        <v/>
      </c>
      <c r="AT272" s="39" t="str">
        <f t="shared" si="13"/>
        <v/>
      </c>
      <c r="AU272" s="39" t="str">
        <f t="shared" si="14"/>
        <v/>
      </c>
    </row>
    <row r="273" ht="15.75" customHeight="1">
      <c r="A273" s="22"/>
      <c r="B273" s="22"/>
      <c r="C273" s="22"/>
      <c r="D273" s="22"/>
      <c r="E273" s="40"/>
      <c r="F273" s="40" t="str">
        <f>IF($C273="","",VLOOKUP($C273,Orders!$A$4:$J$303,3,FALSE))</f>
        <v/>
      </c>
      <c r="G273" s="40" t="str">
        <f>IF($C273="","",VLOOKUP($C273,Orders!$A$4:$J$303,4,FALSE))</f>
        <v/>
      </c>
      <c r="H273" s="22"/>
      <c r="I273" s="40" t="str">
        <f t="shared" si="1"/>
        <v/>
      </c>
      <c r="J273" s="40" t="str">
        <f t="shared" si="2"/>
        <v/>
      </c>
      <c r="K273" s="40" t="str">
        <f>IF($C273="","",VLOOKUP($C273,Orders!$A$4:$J$303,5,FALSE))</f>
        <v/>
      </c>
      <c r="L273" s="22"/>
      <c r="M273" s="40" t="str">
        <f t="shared" si="3"/>
        <v/>
      </c>
      <c r="N273" s="22"/>
      <c r="O273" s="22"/>
      <c r="P273" s="22" t="str">
        <f t="shared" si="4"/>
        <v/>
      </c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39" t="str">
        <f t="array" ref="AB273">IFERROR(INDEX(Bids!$AA:$AA, MATCH(C273&amp;"|"&amp;B273, Bids!$AD:$AD,0)),"")</f>
        <v/>
      </c>
      <c r="AC273" s="39" t="str">
        <f t="array" ref="AC273">IFERROR(INDEX(Bids!$AB:$AB, MATCH(C273&amp;"|"&amp;B273, Bids!$AD:$AD,0)),"")</f>
        <v/>
      </c>
      <c r="AD273" s="39" t="str">
        <f t="array" ref="AD273">IFERROR(INDEX(Bids!$AC:$AC, MATCH(C273&amp;"|"&amp;B273, Bids!$AD:$AD,0)), H273)</f>
        <v/>
      </c>
      <c r="AE273" s="39"/>
      <c r="AG273" s="39"/>
      <c r="AH273" s="39" t="str">
        <f t="shared" si="5"/>
        <v/>
      </c>
      <c r="AI273" s="39" t="str">
        <f t="shared" si="6"/>
        <v/>
      </c>
      <c r="AM273" s="39" t="str">
        <f t="array" ref="AM273">IF(C273="","",IFERROR(XLOOKUP(C273,Orders!$A:$A,Orders!$E:$E,""),""))</f>
        <v/>
      </c>
      <c r="AN273" s="39" t="str">
        <f t="shared" si="7"/>
        <v/>
      </c>
      <c r="AO273" s="39" t="str">
        <f t="shared" si="8"/>
        <v/>
      </c>
      <c r="AP273" s="39" t="str">
        <f t="shared" si="9"/>
        <v/>
      </c>
      <c r="AQ273" s="39" t="str">
        <f t="shared" si="10"/>
        <v/>
      </c>
      <c r="AR273" s="39" t="str">
        <f t="shared" si="11"/>
        <v/>
      </c>
      <c r="AS273" s="39" t="str">
        <f t="shared" si="12"/>
        <v/>
      </c>
      <c r="AT273" s="39" t="str">
        <f t="shared" si="13"/>
        <v/>
      </c>
      <c r="AU273" s="39" t="str">
        <f t="shared" si="14"/>
        <v/>
      </c>
    </row>
    <row r="274" ht="15.75" customHeight="1">
      <c r="A274" s="22"/>
      <c r="B274" s="22"/>
      <c r="C274" s="22"/>
      <c r="D274" s="22"/>
      <c r="E274" s="40"/>
      <c r="F274" s="40" t="str">
        <f>IF($C274="","",VLOOKUP($C274,Orders!$A$4:$J$303,3,FALSE))</f>
        <v/>
      </c>
      <c r="G274" s="40" t="str">
        <f>IF($C274="","",VLOOKUP($C274,Orders!$A$4:$J$303,4,FALSE))</f>
        <v/>
      </c>
      <c r="H274" s="22"/>
      <c r="I274" s="40" t="str">
        <f t="shared" si="1"/>
        <v/>
      </c>
      <c r="J274" s="40" t="str">
        <f t="shared" si="2"/>
        <v/>
      </c>
      <c r="K274" s="40" t="str">
        <f>IF($C274="","",VLOOKUP($C274,Orders!$A$4:$J$303,5,FALSE))</f>
        <v/>
      </c>
      <c r="L274" s="22"/>
      <c r="M274" s="40" t="str">
        <f t="shared" si="3"/>
        <v/>
      </c>
      <c r="N274" s="22"/>
      <c r="O274" s="22"/>
      <c r="P274" s="22" t="str">
        <f t="shared" si="4"/>
        <v/>
      </c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39" t="str">
        <f t="array" ref="AB274">IFERROR(INDEX(Bids!$AA:$AA, MATCH(C274&amp;"|"&amp;B274, Bids!$AD:$AD,0)),"")</f>
        <v/>
      </c>
      <c r="AC274" s="39" t="str">
        <f t="array" ref="AC274">IFERROR(INDEX(Bids!$AB:$AB, MATCH(C274&amp;"|"&amp;B274, Bids!$AD:$AD,0)),"")</f>
        <v/>
      </c>
      <c r="AD274" s="39" t="str">
        <f t="array" ref="AD274">IFERROR(INDEX(Bids!$AC:$AC, MATCH(C274&amp;"|"&amp;B274, Bids!$AD:$AD,0)), H274)</f>
        <v/>
      </c>
      <c r="AE274" s="39"/>
      <c r="AG274" s="39"/>
      <c r="AH274" s="39" t="str">
        <f t="shared" si="5"/>
        <v/>
      </c>
      <c r="AI274" s="39" t="str">
        <f t="shared" si="6"/>
        <v/>
      </c>
      <c r="AM274" s="39" t="str">
        <f t="array" ref="AM274">IF(C274="","",IFERROR(XLOOKUP(C274,Orders!$A:$A,Orders!$E:$E,""),""))</f>
        <v/>
      </c>
      <c r="AN274" s="39" t="str">
        <f t="shared" si="7"/>
        <v/>
      </c>
      <c r="AO274" s="39" t="str">
        <f t="shared" si="8"/>
        <v/>
      </c>
      <c r="AP274" s="39" t="str">
        <f t="shared" si="9"/>
        <v/>
      </c>
      <c r="AQ274" s="39" t="str">
        <f t="shared" si="10"/>
        <v/>
      </c>
      <c r="AR274" s="39" t="str">
        <f t="shared" si="11"/>
        <v/>
      </c>
      <c r="AS274" s="39" t="str">
        <f t="shared" si="12"/>
        <v/>
      </c>
      <c r="AT274" s="39" t="str">
        <f t="shared" si="13"/>
        <v/>
      </c>
      <c r="AU274" s="39" t="str">
        <f t="shared" si="14"/>
        <v/>
      </c>
    </row>
    <row r="275" ht="15.75" customHeight="1">
      <c r="A275" s="22"/>
      <c r="B275" s="22"/>
      <c r="C275" s="22"/>
      <c r="D275" s="22"/>
      <c r="E275" s="40"/>
      <c r="F275" s="40" t="str">
        <f>IF($C275="","",VLOOKUP($C275,Orders!$A$4:$J$303,3,FALSE))</f>
        <v/>
      </c>
      <c r="G275" s="40" t="str">
        <f>IF($C275="","",VLOOKUP($C275,Orders!$A$4:$J$303,4,FALSE))</f>
        <v/>
      </c>
      <c r="H275" s="22"/>
      <c r="I275" s="40" t="str">
        <f t="shared" si="1"/>
        <v/>
      </c>
      <c r="J275" s="40" t="str">
        <f t="shared" si="2"/>
        <v/>
      </c>
      <c r="K275" s="40" t="str">
        <f>IF($C275="","",VLOOKUP($C275,Orders!$A$4:$J$303,5,FALSE))</f>
        <v/>
      </c>
      <c r="L275" s="22"/>
      <c r="M275" s="40" t="str">
        <f t="shared" si="3"/>
        <v/>
      </c>
      <c r="N275" s="22"/>
      <c r="O275" s="22"/>
      <c r="P275" s="22" t="str">
        <f t="shared" si="4"/>
        <v/>
      </c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39" t="str">
        <f t="array" ref="AB275">IFERROR(INDEX(Bids!$AA:$AA, MATCH(C275&amp;"|"&amp;B275, Bids!$AD:$AD,0)),"")</f>
        <v/>
      </c>
      <c r="AC275" s="39" t="str">
        <f t="array" ref="AC275">IFERROR(INDEX(Bids!$AB:$AB, MATCH(C275&amp;"|"&amp;B275, Bids!$AD:$AD,0)),"")</f>
        <v/>
      </c>
      <c r="AD275" s="39" t="str">
        <f t="array" ref="AD275">IFERROR(INDEX(Bids!$AC:$AC, MATCH(C275&amp;"|"&amp;B275, Bids!$AD:$AD,0)), H275)</f>
        <v/>
      </c>
      <c r="AE275" s="39"/>
      <c r="AG275" s="39"/>
      <c r="AH275" s="39" t="str">
        <f t="shared" si="5"/>
        <v/>
      </c>
      <c r="AI275" s="39" t="str">
        <f t="shared" si="6"/>
        <v/>
      </c>
      <c r="AM275" s="39" t="str">
        <f t="array" ref="AM275">IF(C275="","",IFERROR(XLOOKUP(C275,Orders!$A:$A,Orders!$E:$E,""),""))</f>
        <v/>
      </c>
      <c r="AN275" s="39" t="str">
        <f t="shared" si="7"/>
        <v/>
      </c>
      <c r="AO275" s="39" t="str">
        <f t="shared" si="8"/>
        <v/>
      </c>
      <c r="AP275" s="39" t="str">
        <f t="shared" si="9"/>
        <v/>
      </c>
      <c r="AQ275" s="39" t="str">
        <f t="shared" si="10"/>
        <v/>
      </c>
      <c r="AR275" s="39" t="str">
        <f t="shared" si="11"/>
        <v/>
      </c>
      <c r="AS275" s="39" t="str">
        <f t="shared" si="12"/>
        <v/>
      </c>
      <c r="AT275" s="39" t="str">
        <f t="shared" si="13"/>
        <v/>
      </c>
      <c r="AU275" s="39" t="str">
        <f t="shared" si="14"/>
        <v/>
      </c>
    </row>
    <row r="276" ht="15.75" customHeight="1">
      <c r="A276" s="22"/>
      <c r="B276" s="22"/>
      <c r="C276" s="22"/>
      <c r="D276" s="22"/>
      <c r="E276" s="40"/>
      <c r="F276" s="40" t="str">
        <f>IF($C276="","",VLOOKUP($C276,Orders!$A$4:$J$303,3,FALSE))</f>
        <v/>
      </c>
      <c r="G276" s="40" t="str">
        <f>IF($C276="","",VLOOKUP($C276,Orders!$A$4:$J$303,4,FALSE))</f>
        <v/>
      </c>
      <c r="H276" s="22"/>
      <c r="I276" s="40" t="str">
        <f t="shared" si="1"/>
        <v/>
      </c>
      <c r="J276" s="40" t="str">
        <f t="shared" si="2"/>
        <v/>
      </c>
      <c r="K276" s="40" t="str">
        <f>IF($C276="","",VLOOKUP($C276,Orders!$A$4:$J$303,5,FALSE))</f>
        <v/>
      </c>
      <c r="L276" s="22"/>
      <c r="M276" s="40" t="str">
        <f t="shared" si="3"/>
        <v/>
      </c>
      <c r="N276" s="22"/>
      <c r="O276" s="22"/>
      <c r="P276" s="22" t="str">
        <f t="shared" si="4"/>
        <v/>
      </c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39" t="str">
        <f t="array" ref="AB276">IFERROR(INDEX(Bids!$AA:$AA, MATCH(C276&amp;"|"&amp;B276, Bids!$AD:$AD,0)),"")</f>
        <v/>
      </c>
      <c r="AC276" s="39" t="str">
        <f t="array" ref="AC276">IFERROR(INDEX(Bids!$AB:$AB, MATCH(C276&amp;"|"&amp;B276, Bids!$AD:$AD,0)),"")</f>
        <v/>
      </c>
      <c r="AD276" s="39" t="str">
        <f t="array" ref="AD276">IFERROR(INDEX(Bids!$AC:$AC, MATCH(C276&amp;"|"&amp;B276, Bids!$AD:$AD,0)), H276)</f>
        <v/>
      </c>
      <c r="AE276" s="39"/>
      <c r="AG276" s="39"/>
      <c r="AH276" s="39" t="str">
        <f t="shared" si="5"/>
        <v/>
      </c>
      <c r="AI276" s="39" t="str">
        <f t="shared" si="6"/>
        <v/>
      </c>
      <c r="AM276" s="39" t="str">
        <f t="array" ref="AM276">IF(C276="","",IFERROR(XLOOKUP(C276,Orders!$A:$A,Orders!$E:$E,""),""))</f>
        <v/>
      </c>
      <c r="AN276" s="39" t="str">
        <f t="shared" si="7"/>
        <v/>
      </c>
      <c r="AO276" s="39" t="str">
        <f t="shared" si="8"/>
        <v/>
      </c>
      <c r="AP276" s="39" t="str">
        <f t="shared" si="9"/>
        <v/>
      </c>
      <c r="AQ276" s="39" t="str">
        <f t="shared" si="10"/>
        <v/>
      </c>
      <c r="AR276" s="39" t="str">
        <f t="shared" si="11"/>
        <v/>
      </c>
      <c r="AS276" s="39" t="str">
        <f t="shared" si="12"/>
        <v/>
      </c>
      <c r="AT276" s="39" t="str">
        <f t="shared" si="13"/>
        <v/>
      </c>
      <c r="AU276" s="39" t="str">
        <f t="shared" si="14"/>
        <v/>
      </c>
    </row>
    <row r="277" ht="15.75" customHeight="1">
      <c r="A277" s="22"/>
      <c r="B277" s="22"/>
      <c r="C277" s="22"/>
      <c r="D277" s="22"/>
      <c r="E277" s="40"/>
      <c r="F277" s="40" t="str">
        <f>IF($C277="","",VLOOKUP($C277,Orders!$A$4:$J$303,3,FALSE))</f>
        <v/>
      </c>
      <c r="G277" s="40" t="str">
        <f>IF($C277="","",VLOOKUP($C277,Orders!$A$4:$J$303,4,FALSE))</f>
        <v/>
      </c>
      <c r="H277" s="22"/>
      <c r="I277" s="40" t="str">
        <f t="shared" si="1"/>
        <v/>
      </c>
      <c r="J277" s="40" t="str">
        <f t="shared" si="2"/>
        <v/>
      </c>
      <c r="K277" s="40" t="str">
        <f>IF($C277="","",VLOOKUP($C277,Orders!$A$4:$J$303,5,FALSE))</f>
        <v/>
      </c>
      <c r="L277" s="22"/>
      <c r="M277" s="40" t="str">
        <f t="shared" si="3"/>
        <v/>
      </c>
      <c r="N277" s="22"/>
      <c r="O277" s="22"/>
      <c r="P277" s="22" t="str">
        <f t="shared" si="4"/>
        <v/>
      </c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39" t="str">
        <f t="array" ref="AB277">IFERROR(INDEX(Bids!$AA:$AA, MATCH(C277&amp;"|"&amp;B277, Bids!$AD:$AD,0)),"")</f>
        <v/>
      </c>
      <c r="AC277" s="39" t="str">
        <f t="array" ref="AC277">IFERROR(INDEX(Bids!$AB:$AB, MATCH(C277&amp;"|"&amp;B277, Bids!$AD:$AD,0)),"")</f>
        <v/>
      </c>
      <c r="AD277" s="39" t="str">
        <f t="array" ref="AD277">IFERROR(INDEX(Bids!$AC:$AC, MATCH(C277&amp;"|"&amp;B277, Bids!$AD:$AD,0)), H277)</f>
        <v/>
      </c>
      <c r="AE277" s="39"/>
      <c r="AG277" s="39"/>
      <c r="AH277" s="39" t="str">
        <f t="shared" si="5"/>
        <v/>
      </c>
      <c r="AI277" s="39" t="str">
        <f t="shared" si="6"/>
        <v/>
      </c>
      <c r="AM277" s="39" t="str">
        <f t="array" ref="AM277">IF(C277="","",IFERROR(XLOOKUP(C277,Orders!$A:$A,Orders!$E:$E,""),""))</f>
        <v/>
      </c>
      <c r="AN277" s="39" t="str">
        <f t="shared" si="7"/>
        <v/>
      </c>
      <c r="AO277" s="39" t="str">
        <f t="shared" si="8"/>
        <v/>
      </c>
      <c r="AP277" s="39" t="str">
        <f t="shared" si="9"/>
        <v/>
      </c>
      <c r="AQ277" s="39" t="str">
        <f t="shared" si="10"/>
        <v/>
      </c>
      <c r="AR277" s="39" t="str">
        <f t="shared" si="11"/>
        <v/>
      </c>
      <c r="AS277" s="39" t="str">
        <f t="shared" si="12"/>
        <v/>
      </c>
      <c r="AT277" s="39" t="str">
        <f t="shared" si="13"/>
        <v/>
      </c>
      <c r="AU277" s="39" t="str">
        <f t="shared" si="14"/>
        <v/>
      </c>
    </row>
    <row r="278" ht="15.75" customHeight="1">
      <c r="A278" s="22"/>
      <c r="B278" s="22"/>
      <c r="C278" s="22"/>
      <c r="D278" s="22"/>
      <c r="E278" s="40"/>
      <c r="F278" s="40" t="str">
        <f>IF($C278="","",VLOOKUP($C278,Orders!$A$4:$J$303,3,FALSE))</f>
        <v/>
      </c>
      <c r="G278" s="40" t="str">
        <f>IF($C278="","",VLOOKUP($C278,Orders!$A$4:$J$303,4,FALSE))</f>
        <v/>
      </c>
      <c r="H278" s="22"/>
      <c r="I278" s="40" t="str">
        <f t="shared" si="1"/>
        <v/>
      </c>
      <c r="J278" s="40" t="str">
        <f t="shared" si="2"/>
        <v/>
      </c>
      <c r="K278" s="40" t="str">
        <f>IF($C278="","",VLOOKUP($C278,Orders!$A$4:$J$303,5,FALSE))</f>
        <v/>
      </c>
      <c r="L278" s="22"/>
      <c r="M278" s="40" t="str">
        <f t="shared" si="3"/>
        <v/>
      </c>
      <c r="N278" s="22"/>
      <c r="O278" s="22"/>
      <c r="P278" s="22" t="str">
        <f t="shared" si="4"/>
        <v/>
      </c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39" t="str">
        <f t="array" ref="AB278">IFERROR(INDEX(Bids!$AA:$AA, MATCH(C278&amp;"|"&amp;B278, Bids!$AD:$AD,0)),"")</f>
        <v/>
      </c>
      <c r="AC278" s="39" t="str">
        <f t="array" ref="AC278">IFERROR(INDEX(Bids!$AB:$AB, MATCH(C278&amp;"|"&amp;B278, Bids!$AD:$AD,0)),"")</f>
        <v/>
      </c>
      <c r="AD278" s="39" t="str">
        <f t="array" ref="AD278">IFERROR(INDEX(Bids!$AC:$AC, MATCH(C278&amp;"|"&amp;B278, Bids!$AD:$AD,0)), H278)</f>
        <v/>
      </c>
      <c r="AE278" s="39"/>
      <c r="AG278" s="39"/>
      <c r="AH278" s="39" t="str">
        <f t="shared" si="5"/>
        <v/>
      </c>
      <c r="AI278" s="39" t="str">
        <f t="shared" si="6"/>
        <v/>
      </c>
      <c r="AM278" s="39" t="str">
        <f t="array" ref="AM278">IF(C278="","",IFERROR(XLOOKUP(C278,Orders!$A:$A,Orders!$E:$E,""),""))</f>
        <v/>
      </c>
      <c r="AN278" s="39" t="str">
        <f t="shared" si="7"/>
        <v/>
      </c>
      <c r="AO278" s="39" t="str">
        <f t="shared" si="8"/>
        <v/>
      </c>
      <c r="AP278" s="39" t="str">
        <f t="shared" si="9"/>
        <v/>
      </c>
      <c r="AQ278" s="39" t="str">
        <f t="shared" si="10"/>
        <v/>
      </c>
      <c r="AR278" s="39" t="str">
        <f t="shared" si="11"/>
        <v/>
      </c>
      <c r="AS278" s="39" t="str">
        <f t="shared" si="12"/>
        <v/>
      </c>
      <c r="AT278" s="39" t="str">
        <f t="shared" si="13"/>
        <v/>
      </c>
      <c r="AU278" s="39" t="str">
        <f t="shared" si="14"/>
        <v/>
      </c>
    </row>
    <row r="279" ht="15.75" customHeight="1">
      <c r="A279" s="22"/>
      <c r="B279" s="22"/>
      <c r="C279" s="22"/>
      <c r="D279" s="22"/>
      <c r="E279" s="40"/>
      <c r="F279" s="40" t="str">
        <f>IF($C279="","",VLOOKUP($C279,Orders!$A$4:$J$303,3,FALSE))</f>
        <v/>
      </c>
      <c r="G279" s="40" t="str">
        <f>IF($C279="","",VLOOKUP($C279,Orders!$A$4:$J$303,4,FALSE))</f>
        <v/>
      </c>
      <c r="H279" s="22"/>
      <c r="I279" s="40" t="str">
        <f t="shared" si="1"/>
        <v/>
      </c>
      <c r="J279" s="40" t="str">
        <f t="shared" si="2"/>
        <v/>
      </c>
      <c r="K279" s="40" t="str">
        <f>IF($C279="","",VLOOKUP($C279,Orders!$A$4:$J$303,5,FALSE))</f>
        <v/>
      </c>
      <c r="L279" s="22"/>
      <c r="M279" s="40" t="str">
        <f t="shared" si="3"/>
        <v/>
      </c>
      <c r="N279" s="22"/>
      <c r="O279" s="22"/>
      <c r="P279" s="22" t="str">
        <f t="shared" si="4"/>
        <v/>
      </c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39" t="str">
        <f t="array" ref="AB279">IFERROR(INDEX(Bids!$AA:$AA, MATCH(C279&amp;"|"&amp;B279, Bids!$AD:$AD,0)),"")</f>
        <v/>
      </c>
      <c r="AC279" s="39" t="str">
        <f t="array" ref="AC279">IFERROR(INDEX(Bids!$AB:$AB, MATCH(C279&amp;"|"&amp;B279, Bids!$AD:$AD,0)),"")</f>
        <v/>
      </c>
      <c r="AD279" s="39" t="str">
        <f t="array" ref="AD279">IFERROR(INDEX(Bids!$AC:$AC, MATCH(C279&amp;"|"&amp;B279, Bids!$AD:$AD,0)), H279)</f>
        <v/>
      </c>
      <c r="AE279" s="39"/>
      <c r="AG279" s="39"/>
      <c r="AH279" s="39" t="str">
        <f t="shared" si="5"/>
        <v/>
      </c>
      <c r="AI279" s="39" t="str">
        <f t="shared" si="6"/>
        <v/>
      </c>
      <c r="AM279" s="39" t="str">
        <f t="array" ref="AM279">IF(C279="","",IFERROR(XLOOKUP(C279,Orders!$A:$A,Orders!$E:$E,""),""))</f>
        <v/>
      </c>
      <c r="AN279" s="39" t="str">
        <f t="shared" si="7"/>
        <v/>
      </c>
      <c r="AO279" s="39" t="str">
        <f t="shared" si="8"/>
        <v/>
      </c>
      <c r="AP279" s="39" t="str">
        <f t="shared" si="9"/>
        <v/>
      </c>
      <c r="AQ279" s="39" t="str">
        <f t="shared" si="10"/>
        <v/>
      </c>
      <c r="AR279" s="39" t="str">
        <f t="shared" si="11"/>
        <v/>
      </c>
      <c r="AS279" s="39" t="str">
        <f t="shared" si="12"/>
        <v/>
      </c>
      <c r="AT279" s="39" t="str">
        <f t="shared" si="13"/>
        <v/>
      </c>
      <c r="AU279" s="39" t="str">
        <f t="shared" si="14"/>
        <v/>
      </c>
    </row>
    <row r="280" ht="15.75" customHeight="1">
      <c r="A280" s="22"/>
      <c r="B280" s="22"/>
      <c r="C280" s="22"/>
      <c r="D280" s="22"/>
      <c r="E280" s="40"/>
      <c r="F280" s="40" t="str">
        <f>IF($C280="","",VLOOKUP($C280,Orders!$A$4:$J$303,3,FALSE))</f>
        <v/>
      </c>
      <c r="G280" s="40" t="str">
        <f>IF($C280="","",VLOOKUP($C280,Orders!$A$4:$J$303,4,FALSE))</f>
        <v/>
      </c>
      <c r="H280" s="22"/>
      <c r="I280" s="40" t="str">
        <f t="shared" si="1"/>
        <v/>
      </c>
      <c r="J280" s="40" t="str">
        <f t="shared" si="2"/>
        <v/>
      </c>
      <c r="K280" s="40" t="str">
        <f>IF($C280="","",VLOOKUP($C280,Orders!$A$4:$J$303,5,FALSE))</f>
        <v/>
      </c>
      <c r="L280" s="22"/>
      <c r="M280" s="40" t="str">
        <f t="shared" si="3"/>
        <v/>
      </c>
      <c r="N280" s="22"/>
      <c r="O280" s="22"/>
      <c r="P280" s="22" t="str">
        <f t="shared" si="4"/>
        <v/>
      </c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39" t="str">
        <f t="array" ref="AB280">IFERROR(INDEX(Bids!$AA:$AA, MATCH(C280&amp;"|"&amp;B280, Bids!$AD:$AD,0)),"")</f>
        <v/>
      </c>
      <c r="AC280" s="39" t="str">
        <f t="array" ref="AC280">IFERROR(INDEX(Bids!$AB:$AB, MATCH(C280&amp;"|"&amp;B280, Bids!$AD:$AD,0)),"")</f>
        <v/>
      </c>
      <c r="AD280" s="39" t="str">
        <f t="array" ref="AD280">IFERROR(INDEX(Bids!$AC:$AC, MATCH(C280&amp;"|"&amp;B280, Bids!$AD:$AD,0)), H280)</f>
        <v/>
      </c>
      <c r="AE280" s="39"/>
      <c r="AG280" s="39"/>
      <c r="AH280" s="39" t="str">
        <f t="shared" si="5"/>
        <v/>
      </c>
      <c r="AI280" s="39" t="str">
        <f t="shared" si="6"/>
        <v/>
      </c>
      <c r="AM280" s="39" t="str">
        <f t="array" ref="AM280">IF(C280="","",IFERROR(XLOOKUP(C280,Orders!$A:$A,Orders!$E:$E,""),""))</f>
        <v/>
      </c>
      <c r="AN280" s="39" t="str">
        <f t="shared" si="7"/>
        <v/>
      </c>
      <c r="AO280" s="39" t="str">
        <f t="shared" si="8"/>
        <v/>
      </c>
      <c r="AP280" s="39" t="str">
        <f t="shared" si="9"/>
        <v/>
      </c>
      <c r="AQ280" s="39" t="str">
        <f t="shared" si="10"/>
        <v/>
      </c>
      <c r="AR280" s="39" t="str">
        <f t="shared" si="11"/>
        <v/>
      </c>
      <c r="AS280" s="39" t="str">
        <f t="shared" si="12"/>
        <v/>
      </c>
      <c r="AT280" s="39" t="str">
        <f t="shared" si="13"/>
        <v/>
      </c>
      <c r="AU280" s="39" t="str">
        <f t="shared" si="14"/>
        <v/>
      </c>
    </row>
    <row r="281" ht="15.75" customHeight="1">
      <c r="A281" s="22"/>
      <c r="B281" s="22"/>
      <c r="C281" s="22"/>
      <c r="D281" s="22"/>
      <c r="E281" s="40"/>
      <c r="F281" s="40" t="str">
        <f>IF($C281="","",VLOOKUP($C281,Orders!$A$4:$J$303,3,FALSE))</f>
        <v/>
      </c>
      <c r="G281" s="40" t="str">
        <f>IF($C281="","",VLOOKUP($C281,Orders!$A$4:$J$303,4,FALSE))</f>
        <v/>
      </c>
      <c r="H281" s="22"/>
      <c r="I281" s="40" t="str">
        <f t="shared" si="1"/>
        <v/>
      </c>
      <c r="J281" s="40" t="str">
        <f t="shared" si="2"/>
        <v/>
      </c>
      <c r="K281" s="40" t="str">
        <f>IF($C281="","",VLOOKUP($C281,Orders!$A$4:$J$303,5,FALSE))</f>
        <v/>
      </c>
      <c r="L281" s="22"/>
      <c r="M281" s="40" t="str">
        <f t="shared" si="3"/>
        <v/>
      </c>
      <c r="N281" s="22"/>
      <c r="O281" s="22"/>
      <c r="P281" s="22" t="str">
        <f t="shared" si="4"/>
        <v/>
      </c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39" t="str">
        <f t="array" ref="AB281">IFERROR(INDEX(Bids!$AA:$AA, MATCH(C281&amp;"|"&amp;B281, Bids!$AD:$AD,0)),"")</f>
        <v/>
      </c>
      <c r="AC281" s="39" t="str">
        <f t="array" ref="AC281">IFERROR(INDEX(Bids!$AB:$AB, MATCH(C281&amp;"|"&amp;B281, Bids!$AD:$AD,0)),"")</f>
        <v/>
      </c>
      <c r="AD281" s="39" t="str">
        <f t="array" ref="AD281">IFERROR(INDEX(Bids!$AC:$AC, MATCH(C281&amp;"|"&amp;B281, Bids!$AD:$AD,0)), H281)</f>
        <v/>
      </c>
      <c r="AE281" s="39"/>
      <c r="AG281" s="39"/>
      <c r="AH281" s="39" t="str">
        <f t="shared" si="5"/>
        <v/>
      </c>
      <c r="AI281" s="39" t="str">
        <f t="shared" si="6"/>
        <v/>
      </c>
      <c r="AM281" s="39" t="str">
        <f t="array" ref="AM281">IF(C281="","",IFERROR(XLOOKUP(C281,Orders!$A:$A,Orders!$E:$E,""),""))</f>
        <v/>
      </c>
      <c r="AN281" s="39" t="str">
        <f t="shared" si="7"/>
        <v/>
      </c>
      <c r="AO281" s="39" t="str">
        <f t="shared" si="8"/>
        <v/>
      </c>
      <c r="AP281" s="39" t="str">
        <f t="shared" si="9"/>
        <v/>
      </c>
      <c r="AQ281" s="39" t="str">
        <f t="shared" si="10"/>
        <v/>
      </c>
      <c r="AR281" s="39" t="str">
        <f t="shared" si="11"/>
        <v/>
      </c>
      <c r="AS281" s="39" t="str">
        <f t="shared" si="12"/>
        <v/>
      </c>
      <c r="AT281" s="39" t="str">
        <f t="shared" si="13"/>
        <v/>
      </c>
      <c r="AU281" s="39" t="str">
        <f t="shared" si="14"/>
        <v/>
      </c>
    </row>
    <row r="282" ht="15.75" customHeight="1">
      <c r="A282" s="22"/>
      <c r="B282" s="22"/>
      <c r="C282" s="22"/>
      <c r="D282" s="22"/>
      <c r="E282" s="40"/>
      <c r="F282" s="40" t="str">
        <f>IF($C282="","",VLOOKUP($C282,Orders!$A$4:$J$303,3,FALSE))</f>
        <v/>
      </c>
      <c r="G282" s="40" t="str">
        <f>IF($C282="","",VLOOKUP($C282,Orders!$A$4:$J$303,4,FALSE))</f>
        <v/>
      </c>
      <c r="H282" s="22"/>
      <c r="I282" s="40" t="str">
        <f t="shared" si="1"/>
        <v/>
      </c>
      <c r="J282" s="40" t="str">
        <f t="shared" si="2"/>
        <v/>
      </c>
      <c r="K282" s="40" t="str">
        <f>IF($C282="","",VLOOKUP($C282,Orders!$A$4:$J$303,5,FALSE))</f>
        <v/>
      </c>
      <c r="L282" s="22"/>
      <c r="M282" s="40" t="str">
        <f t="shared" si="3"/>
        <v/>
      </c>
      <c r="N282" s="22"/>
      <c r="O282" s="22"/>
      <c r="P282" s="22" t="str">
        <f t="shared" si="4"/>
        <v/>
      </c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39" t="str">
        <f t="array" ref="AB282">IFERROR(INDEX(Bids!$AA:$AA, MATCH(C282&amp;"|"&amp;B282, Bids!$AD:$AD,0)),"")</f>
        <v/>
      </c>
      <c r="AC282" s="39" t="str">
        <f t="array" ref="AC282">IFERROR(INDEX(Bids!$AB:$AB, MATCH(C282&amp;"|"&amp;B282, Bids!$AD:$AD,0)),"")</f>
        <v/>
      </c>
      <c r="AD282" s="39" t="str">
        <f t="array" ref="AD282">IFERROR(INDEX(Bids!$AC:$AC, MATCH(C282&amp;"|"&amp;B282, Bids!$AD:$AD,0)), H282)</f>
        <v/>
      </c>
      <c r="AE282" s="39"/>
      <c r="AG282" s="39"/>
      <c r="AH282" s="39" t="str">
        <f t="shared" si="5"/>
        <v/>
      </c>
      <c r="AI282" s="39" t="str">
        <f t="shared" si="6"/>
        <v/>
      </c>
      <c r="AM282" s="39" t="str">
        <f t="array" ref="AM282">IF(C282="","",IFERROR(XLOOKUP(C282,Orders!$A:$A,Orders!$E:$E,""),""))</f>
        <v/>
      </c>
      <c r="AN282" s="39" t="str">
        <f t="shared" si="7"/>
        <v/>
      </c>
      <c r="AO282" s="39" t="str">
        <f t="shared" si="8"/>
        <v/>
      </c>
      <c r="AP282" s="39" t="str">
        <f t="shared" si="9"/>
        <v/>
      </c>
      <c r="AQ282" s="39" t="str">
        <f t="shared" si="10"/>
        <v/>
      </c>
      <c r="AR282" s="39" t="str">
        <f t="shared" si="11"/>
        <v/>
      </c>
      <c r="AS282" s="39" t="str">
        <f t="shared" si="12"/>
        <v/>
      </c>
      <c r="AT282" s="39" t="str">
        <f t="shared" si="13"/>
        <v/>
      </c>
      <c r="AU282" s="39" t="str">
        <f t="shared" si="14"/>
        <v/>
      </c>
    </row>
    <row r="283" ht="15.75" customHeight="1">
      <c r="A283" s="22"/>
      <c r="B283" s="22"/>
      <c r="C283" s="22"/>
      <c r="D283" s="22"/>
      <c r="E283" s="40"/>
      <c r="F283" s="40" t="str">
        <f>IF($C283="","",VLOOKUP($C283,Orders!$A$4:$J$303,3,FALSE))</f>
        <v/>
      </c>
      <c r="G283" s="40" t="str">
        <f>IF($C283="","",VLOOKUP($C283,Orders!$A$4:$J$303,4,FALSE))</f>
        <v/>
      </c>
      <c r="H283" s="22"/>
      <c r="I283" s="40" t="str">
        <f t="shared" si="1"/>
        <v/>
      </c>
      <c r="J283" s="40" t="str">
        <f t="shared" si="2"/>
        <v/>
      </c>
      <c r="K283" s="40" t="str">
        <f>IF($C283="","",VLOOKUP($C283,Orders!$A$4:$J$303,5,FALSE))</f>
        <v/>
      </c>
      <c r="L283" s="22"/>
      <c r="M283" s="40" t="str">
        <f t="shared" si="3"/>
        <v/>
      </c>
      <c r="N283" s="22"/>
      <c r="O283" s="22"/>
      <c r="P283" s="22" t="str">
        <f t="shared" si="4"/>
        <v/>
      </c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39" t="str">
        <f t="array" ref="AB283">IFERROR(INDEX(Bids!$AA:$AA, MATCH(C283&amp;"|"&amp;B283, Bids!$AD:$AD,0)),"")</f>
        <v/>
      </c>
      <c r="AC283" s="39" t="str">
        <f t="array" ref="AC283">IFERROR(INDEX(Bids!$AB:$AB, MATCH(C283&amp;"|"&amp;B283, Bids!$AD:$AD,0)),"")</f>
        <v/>
      </c>
      <c r="AD283" s="39" t="str">
        <f t="array" ref="AD283">IFERROR(INDEX(Bids!$AC:$AC, MATCH(C283&amp;"|"&amp;B283, Bids!$AD:$AD,0)), H283)</f>
        <v/>
      </c>
      <c r="AE283" s="39"/>
      <c r="AG283" s="39"/>
      <c r="AH283" s="39" t="str">
        <f t="shared" si="5"/>
        <v/>
      </c>
      <c r="AI283" s="39" t="str">
        <f t="shared" si="6"/>
        <v/>
      </c>
      <c r="AM283" s="39" t="str">
        <f t="array" ref="AM283">IF(C283="","",IFERROR(XLOOKUP(C283,Orders!$A:$A,Orders!$E:$E,""),""))</f>
        <v/>
      </c>
      <c r="AN283" s="39" t="str">
        <f t="shared" si="7"/>
        <v/>
      </c>
      <c r="AO283" s="39" t="str">
        <f t="shared" si="8"/>
        <v/>
      </c>
      <c r="AP283" s="39" t="str">
        <f t="shared" si="9"/>
        <v/>
      </c>
      <c r="AQ283" s="39" t="str">
        <f t="shared" si="10"/>
        <v/>
      </c>
      <c r="AR283" s="39" t="str">
        <f t="shared" si="11"/>
        <v/>
      </c>
      <c r="AS283" s="39" t="str">
        <f t="shared" si="12"/>
        <v/>
      </c>
      <c r="AT283" s="39" t="str">
        <f t="shared" si="13"/>
        <v/>
      </c>
      <c r="AU283" s="39" t="str">
        <f t="shared" si="14"/>
        <v/>
      </c>
    </row>
    <row r="284" ht="15.75" customHeight="1">
      <c r="A284" s="22"/>
      <c r="B284" s="22"/>
      <c r="C284" s="22"/>
      <c r="D284" s="22"/>
      <c r="E284" s="40"/>
      <c r="F284" s="40" t="str">
        <f>IF($C284="","",VLOOKUP($C284,Orders!$A$4:$J$303,3,FALSE))</f>
        <v/>
      </c>
      <c r="G284" s="40" t="str">
        <f>IF($C284="","",VLOOKUP($C284,Orders!$A$4:$J$303,4,FALSE))</f>
        <v/>
      </c>
      <c r="H284" s="22"/>
      <c r="I284" s="40" t="str">
        <f t="shared" si="1"/>
        <v/>
      </c>
      <c r="J284" s="40" t="str">
        <f t="shared" si="2"/>
        <v/>
      </c>
      <c r="K284" s="40" t="str">
        <f>IF($C284="","",VLOOKUP($C284,Orders!$A$4:$J$303,5,FALSE))</f>
        <v/>
      </c>
      <c r="L284" s="22"/>
      <c r="M284" s="40" t="str">
        <f t="shared" si="3"/>
        <v/>
      </c>
      <c r="N284" s="22"/>
      <c r="O284" s="22"/>
      <c r="P284" s="22" t="str">
        <f t="shared" si="4"/>
        <v/>
      </c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39" t="str">
        <f t="array" ref="AB284">IFERROR(INDEX(Bids!$AA:$AA, MATCH(C284&amp;"|"&amp;B284, Bids!$AD:$AD,0)),"")</f>
        <v/>
      </c>
      <c r="AC284" s="39" t="str">
        <f t="array" ref="AC284">IFERROR(INDEX(Bids!$AB:$AB, MATCH(C284&amp;"|"&amp;B284, Bids!$AD:$AD,0)),"")</f>
        <v/>
      </c>
      <c r="AD284" s="39" t="str">
        <f t="array" ref="AD284">IFERROR(INDEX(Bids!$AC:$AC, MATCH(C284&amp;"|"&amp;B284, Bids!$AD:$AD,0)), H284)</f>
        <v/>
      </c>
      <c r="AE284" s="39"/>
      <c r="AG284" s="39"/>
      <c r="AH284" s="39" t="str">
        <f t="shared" si="5"/>
        <v/>
      </c>
      <c r="AI284" s="39" t="str">
        <f t="shared" si="6"/>
        <v/>
      </c>
      <c r="AM284" s="39" t="str">
        <f t="array" ref="AM284">IF(C284="","",IFERROR(XLOOKUP(C284,Orders!$A:$A,Orders!$E:$E,""),""))</f>
        <v/>
      </c>
      <c r="AN284" s="39" t="str">
        <f t="shared" si="7"/>
        <v/>
      </c>
      <c r="AO284" s="39" t="str">
        <f t="shared" si="8"/>
        <v/>
      </c>
      <c r="AP284" s="39" t="str">
        <f t="shared" si="9"/>
        <v/>
      </c>
      <c r="AQ284" s="39" t="str">
        <f t="shared" si="10"/>
        <v/>
      </c>
      <c r="AR284" s="39" t="str">
        <f t="shared" si="11"/>
        <v/>
      </c>
      <c r="AS284" s="39" t="str">
        <f t="shared" si="12"/>
        <v/>
      </c>
      <c r="AT284" s="39" t="str">
        <f t="shared" si="13"/>
        <v/>
      </c>
      <c r="AU284" s="39" t="str">
        <f t="shared" si="14"/>
        <v/>
      </c>
    </row>
    <row r="285" ht="15.75" customHeight="1">
      <c r="A285" s="22"/>
      <c r="B285" s="22"/>
      <c r="C285" s="22"/>
      <c r="D285" s="22"/>
      <c r="E285" s="40"/>
      <c r="F285" s="40" t="str">
        <f>IF($C285="","",VLOOKUP($C285,Orders!$A$4:$J$303,3,FALSE))</f>
        <v/>
      </c>
      <c r="G285" s="40" t="str">
        <f>IF($C285="","",VLOOKUP($C285,Orders!$A$4:$J$303,4,FALSE))</f>
        <v/>
      </c>
      <c r="H285" s="22"/>
      <c r="I285" s="40" t="str">
        <f t="shared" si="1"/>
        <v/>
      </c>
      <c r="J285" s="40" t="str">
        <f t="shared" si="2"/>
        <v/>
      </c>
      <c r="K285" s="40" t="str">
        <f>IF($C285="","",VLOOKUP($C285,Orders!$A$4:$J$303,5,FALSE))</f>
        <v/>
      </c>
      <c r="L285" s="22"/>
      <c r="M285" s="40" t="str">
        <f t="shared" si="3"/>
        <v/>
      </c>
      <c r="N285" s="22"/>
      <c r="O285" s="22"/>
      <c r="P285" s="22" t="str">
        <f t="shared" si="4"/>
        <v/>
      </c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39" t="str">
        <f t="array" ref="AB285">IFERROR(INDEX(Bids!$AA:$AA, MATCH(C285&amp;"|"&amp;B285, Bids!$AD:$AD,0)),"")</f>
        <v/>
      </c>
      <c r="AC285" s="39" t="str">
        <f t="array" ref="AC285">IFERROR(INDEX(Bids!$AB:$AB, MATCH(C285&amp;"|"&amp;B285, Bids!$AD:$AD,0)),"")</f>
        <v/>
      </c>
      <c r="AD285" s="39" t="str">
        <f t="array" ref="AD285">IFERROR(INDEX(Bids!$AC:$AC, MATCH(C285&amp;"|"&amp;B285, Bids!$AD:$AD,0)), H285)</f>
        <v/>
      </c>
      <c r="AE285" s="39"/>
      <c r="AG285" s="39"/>
      <c r="AH285" s="39" t="str">
        <f t="shared" si="5"/>
        <v/>
      </c>
      <c r="AI285" s="39" t="str">
        <f t="shared" si="6"/>
        <v/>
      </c>
      <c r="AM285" s="39" t="str">
        <f t="array" ref="AM285">IF(C285="","",IFERROR(XLOOKUP(C285,Orders!$A:$A,Orders!$E:$E,""),""))</f>
        <v/>
      </c>
      <c r="AN285" s="39" t="str">
        <f t="shared" si="7"/>
        <v/>
      </c>
      <c r="AO285" s="39" t="str">
        <f t="shared" si="8"/>
        <v/>
      </c>
      <c r="AP285" s="39" t="str">
        <f t="shared" si="9"/>
        <v/>
      </c>
      <c r="AQ285" s="39" t="str">
        <f t="shared" si="10"/>
        <v/>
      </c>
      <c r="AR285" s="39" t="str">
        <f t="shared" si="11"/>
        <v/>
      </c>
      <c r="AS285" s="39" t="str">
        <f t="shared" si="12"/>
        <v/>
      </c>
      <c r="AT285" s="39" t="str">
        <f t="shared" si="13"/>
        <v/>
      </c>
      <c r="AU285" s="39" t="str">
        <f t="shared" si="14"/>
        <v/>
      </c>
    </row>
    <row r="286" ht="15.75" customHeight="1">
      <c r="A286" s="22"/>
      <c r="B286" s="22"/>
      <c r="C286" s="22"/>
      <c r="D286" s="22"/>
      <c r="E286" s="40"/>
      <c r="F286" s="40" t="str">
        <f>IF($C286="","",VLOOKUP($C286,Orders!$A$4:$J$303,3,FALSE))</f>
        <v/>
      </c>
      <c r="G286" s="40" t="str">
        <f>IF($C286="","",VLOOKUP($C286,Orders!$A$4:$J$303,4,FALSE))</f>
        <v/>
      </c>
      <c r="H286" s="22"/>
      <c r="I286" s="40" t="str">
        <f t="shared" si="1"/>
        <v/>
      </c>
      <c r="J286" s="40" t="str">
        <f t="shared" si="2"/>
        <v/>
      </c>
      <c r="K286" s="40" t="str">
        <f>IF($C286="","",VLOOKUP($C286,Orders!$A$4:$J$303,5,FALSE))</f>
        <v/>
      </c>
      <c r="L286" s="22"/>
      <c r="M286" s="40" t="str">
        <f t="shared" si="3"/>
        <v/>
      </c>
      <c r="N286" s="22"/>
      <c r="O286" s="22"/>
      <c r="P286" s="22" t="str">
        <f t="shared" si="4"/>
        <v/>
      </c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39" t="str">
        <f t="array" ref="AB286">IFERROR(INDEX(Bids!$AA:$AA, MATCH(C286&amp;"|"&amp;B286, Bids!$AD:$AD,0)),"")</f>
        <v/>
      </c>
      <c r="AC286" s="39" t="str">
        <f t="array" ref="AC286">IFERROR(INDEX(Bids!$AB:$AB, MATCH(C286&amp;"|"&amp;B286, Bids!$AD:$AD,0)),"")</f>
        <v/>
      </c>
      <c r="AD286" s="39" t="str">
        <f t="array" ref="AD286">IFERROR(INDEX(Bids!$AC:$AC, MATCH(C286&amp;"|"&amp;B286, Bids!$AD:$AD,0)), H286)</f>
        <v/>
      </c>
      <c r="AE286" s="39"/>
      <c r="AG286" s="39"/>
      <c r="AH286" s="39" t="str">
        <f t="shared" si="5"/>
        <v/>
      </c>
      <c r="AI286" s="39" t="str">
        <f t="shared" si="6"/>
        <v/>
      </c>
      <c r="AM286" s="39" t="str">
        <f t="array" ref="AM286">IF(C286="","",IFERROR(XLOOKUP(C286,Orders!$A:$A,Orders!$E:$E,""),""))</f>
        <v/>
      </c>
      <c r="AN286" s="39" t="str">
        <f t="shared" si="7"/>
        <v/>
      </c>
      <c r="AO286" s="39" t="str">
        <f t="shared" si="8"/>
        <v/>
      </c>
      <c r="AP286" s="39" t="str">
        <f t="shared" si="9"/>
        <v/>
      </c>
      <c r="AQ286" s="39" t="str">
        <f t="shared" si="10"/>
        <v/>
      </c>
      <c r="AR286" s="39" t="str">
        <f t="shared" si="11"/>
        <v/>
      </c>
      <c r="AS286" s="39" t="str">
        <f t="shared" si="12"/>
        <v/>
      </c>
      <c r="AT286" s="39" t="str">
        <f t="shared" si="13"/>
        <v/>
      </c>
      <c r="AU286" s="39" t="str">
        <f t="shared" si="14"/>
        <v/>
      </c>
    </row>
    <row r="287" ht="15.75" customHeight="1">
      <c r="A287" s="22"/>
      <c r="B287" s="22"/>
      <c r="C287" s="22"/>
      <c r="D287" s="22"/>
      <c r="E287" s="40"/>
      <c r="F287" s="40" t="str">
        <f>IF($C287="","",VLOOKUP($C287,Orders!$A$4:$J$303,3,FALSE))</f>
        <v/>
      </c>
      <c r="G287" s="40" t="str">
        <f>IF($C287="","",VLOOKUP($C287,Orders!$A$4:$J$303,4,FALSE))</f>
        <v/>
      </c>
      <c r="H287" s="22"/>
      <c r="I287" s="40" t="str">
        <f t="shared" si="1"/>
        <v/>
      </c>
      <c r="J287" s="40" t="str">
        <f t="shared" si="2"/>
        <v/>
      </c>
      <c r="K287" s="40" t="str">
        <f>IF($C287="","",VLOOKUP($C287,Orders!$A$4:$J$303,5,FALSE))</f>
        <v/>
      </c>
      <c r="L287" s="22"/>
      <c r="M287" s="40" t="str">
        <f t="shared" si="3"/>
        <v/>
      </c>
      <c r="N287" s="22"/>
      <c r="O287" s="22"/>
      <c r="P287" s="22" t="str">
        <f t="shared" si="4"/>
        <v/>
      </c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39" t="str">
        <f t="array" ref="AB287">IFERROR(INDEX(Bids!$AA:$AA, MATCH(C287&amp;"|"&amp;B287, Bids!$AD:$AD,0)),"")</f>
        <v/>
      </c>
      <c r="AC287" s="39" t="str">
        <f t="array" ref="AC287">IFERROR(INDEX(Bids!$AB:$AB, MATCH(C287&amp;"|"&amp;B287, Bids!$AD:$AD,0)),"")</f>
        <v/>
      </c>
      <c r="AD287" s="39" t="str">
        <f t="array" ref="AD287">IFERROR(INDEX(Bids!$AC:$AC, MATCH(C287&amp;"|"&amp;B287, Bids!$AD:$AD,0)), H287)</f>
        <v/>
      </c>
      <c r="AE287" s="39"/>
      <c r="AG287" s="39"/>
      <c r="AH287" s="39" t="str">
        <f t="shared" si="5"/>
        <v/>
      </c>
      <c r="AI287" s="39" t="str">
        <f t="shared" si="6"/>
        <v/>
      </c>
      <c r="AM287" s="39" t="str">
        <f t="array" ref="AM287">IF(C287="","",IFERROR(XLOOKUP(C287,Orders!$A:$A,Orders!$E:$E,""),""))</f>
        <v/>
      </c>
      <c r="AN287" s="39" t="str">
        <f t="shared" si="7"/>
        <v/>
      </c>
      <c r="AO287" s="39" t="str">
        <f t="shared" si="8"/>
        <v/>
      </c>
      <c r="AP287" s="39" t="str">
        <f t="shared" si="9"/>
        <v/>
      </c>
      <c r="AQ287" s="39" t="str">
        <f t="shared" si="10"/>
        <v/>
      </c>
      <c r="AR287" s="39" t="str">
        <f t="shared" si="11"/>
        <v/>
      </c>
      <c r="AS287" s="39" t="str">
        <f t="shared" si="12"/>
        <v/>
      </c>
      <c r="AT287" s="39" t="str">
        <f t="shared" si="13"/>
        <v/>
      </c>
      <c r="AU287" s="39" t="str">
        <f t="shared" si="14"/>
        <v/>
      </c>
    </row>
    <row r="288" ht="15.75" customHeight="1">
      <c r="A288" s="22"/>
      <c r="B288" s="22"/>
      <c r="C288" s="22"/>
      <c r="D288" s="22"/>
      <c r="E288" s="40"/>
      <c r="F288" s="40" t="str">
        <f>IF($C288="","",VLOOKUP($C288,Orders!$A$4:$J$303,3,FALSE))</f>
        <v/>
      </c>
      <c r="G288" s="40" t="str">
        <f>IF($C288="","",VLOOKUP($C288,Orders!$A$4:$J$303,4,FALSE))</f>
        <v/>
      </c>
      <c r="H288" s="22"/>
      <c r="I288" s="40" t="str">
        <f t="shared" si="1"/>
        <v/>
      </c>
      <c r="J288" s="40" t="str">
        <f t="shared" si="2"/>
        <v/>
      </c>
      <c r="K288" s="40" t="str">
        <f>IF($C288="","",VLOOKUP($C288,Orders!$A$4:$J$303,5,FALSE))</f>
        <v/>
      </c>
      <c r="L288" s="22"/>
      <c r="M288" s="40" t="str">
        <f t="shared" si="3"/>
        <v/>
      </c>
      <c r="N288" s="22"/>
      <c r="O288" s="22"/>
      <c r="P288" s="22" t="str">
        <f t="shared" si="4"/>
        <v/>
      </c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39" t="str">
        <f t="array" ref="AB288">IFERROR(INDEX(Bids!$AA:$AA, MATCH(C288&amp;"|"&amp;B288, Bids!$AD:$AD,0)),"")</f>
        <v/>
      </c>
      <c r="AC288" s="39" t="str">
        <f t="array" ref="AC288">IFERROR(INDEX(Bids!$AB:$AB, MATCH(C288&amp;"|"&amp;B288, Bids!$AD:$AD,0)),"")</f>
        <v/>
      </c>
      <c r="AD288" s="39" t="str">
        <f t="array" ref="AD288">IFERROR(INDEX(Bids!$AC:$AC, MATCH(C288&amp;"|"&amp;B288, Bids!$AD:$AD,0)), H288)</f>
        <v/>
      </c>
      <c r="AE288" s="39"/>
      <c r="AG288" s="39"/>
      <c r="AH288" s="39" t="str">
        <f t="shared" si="5"/>
        <v/>
      </c>
      <c r="AI288" s="39" t="str">
        <f t="shared" si="6"/>
        <v/>
      </c>
      <c r="AM288" s="39" t="str">
        <f t="array" ref="AM288">IF(C288="","",IFERROR(XLOOKUP(C288,Orders!$A:$A,Orders!$E:$E,""),""))</f>
        <v/>
      </c>
      <c r="AN288" s="39" t="str">
        <f t="shared" si="7"/>
        <v/>
      </c>
      <c r="AO288" s="39" t="str">
        <f t="shared" si="8"/>
        <v/>
      </c>
      <c r="AP288" s="39" t="str">
        <f t="shared" si="9"/>
        <v/>
      </c>
      <c r="AQ288" s="39" t="str">
        <f t="shared" si="10"/>
        <v/>
      </c>
      <c r="AR288" s="39" t="str">
        <f t="shared" si="11"/>
        <v/>
      </c>
      <c r="AS288" s="39" t="str">
        <f t="shared" si="12"/>
        <v/>
      </c>
      <c r="AT288" s="39" t="str">
        <f t="shared" si="13"/>
        <v/>
      </c>
      <c r="AU288" s="39" t="str">
        <f t="shared" si="14"/>
        <v/>
      </c>
    </row>
    <row r="289" ht="15.75" customHeight="1">
      <c r="A289" s="22"/>
      <c r="B289" s="22"/>
      <c r="C289" s="22"/>
      <c r="D289" s="22"/>
      <c r="E289" s="40"/>
      <c r="F289" s="40" t="str">
        <f>IF($C289="","",VLOOKUP($C289,Orders!$A$4:$J$303,3,FALSE))</f>
        <v/>
      </c>
      <c r="G289" s="40" t="str">
        <f>IF($C289="","",VLOOKUP($C289,Orders!$A$4:$J$303,4,FALSE))</f>
        <v/>
      </c>
      <c r="H289" s="22"/>
      <c r="I289" s="40" t="str">
        <f t="shared" si="1"/>
        <v/>
      </c>
      <c r="J289" s="40" t="str">
        <f t="shared" si="2"/>
        <v/>
      </c>
      <c r="K289" s="40" t="str">
        <f>IF($C289="","",VLOOKUP($C289,Orders!$A$4:$J$303,5,FALSE))</f>
        <v/>
      </c>
      <c r="L289" s="22"/>
      <c r="M289" s="40" t="str">
        <f t="shared" si="3"/>
        <v/>
      </c>
      <c r="N289" s="22"/>
      <c r="O289" s="22"/>
      <c r="P289" s="22" t="str">
        <f t="shared" si="4"/>
        <v/>
      </c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39" t="str">
        <f t="array" ref="AB289">IFERROR(INDEX(Bids!$AA:$AA, MATCH(C289&amp;"|"&amp;B289, Bids!$AD:$AD,0)),"")</f>
        <v/>
      </c>
      <c r="AC289" s="39" t="str">
        <f t="array" ref="AC289">IFERROR(INDEX(Bids!$AB:$AB, MATCH(C289&amp;"|"&amp;B289, Bids!$AD:$AD,0)),"")</f>
        <v/>
      </c>
      <c r="AD289" s="39" t="str">
        <f t="array" ref="AD289">IFERROR(INDEX(Bids!$AC:$AC, MATCH(C289&amp;"|"&amp;B289, Bids!$AD:$AD,0)), H289)</f>
        <v/>
      </c>
      <c r="AE289" s="39"/>
      <c r="AG289" s="39"/>
      <c r="AH289" s="39" t="str">
        <f t="shared" si="5"/>
        <v/>
      </c>
      <c r="AI289" s="39" t="str">
        <f t="shared" si="6"/>
        <v/>
      </c>
      <c r="AM289" s="39" t="str">
        <f t="array" ref="AM289">IF(C289="","",IFERROR(XLOOKUP(C289,Orders!$A:$A,Orders!$E:$E,""),""))</f>
        <v/>
      </c>
      <c r="AN289" s="39" t="str">
        <f t="shared" si="7"/>
        <v/>
      </c>
      <c r="AO289" s="39" t="str">
        <f t="shared" si="8"/>
        <v/>
      </c>
      <c r="AP289" s="39" t="str">
        <f t="shared" si="9"/>
        <v/>
      </c>
      <c r="AQ289" s="39" t="str">
        <f t="shared" si="10"/>
        <v/>
      </c>
      <c r="AR289" s="39" t="str">
        <f t="shared" si="11"/>
        <v/>
      </c>
      <c r="AS289" s="39" t="str">
        <f t="shared" si="12"/>
        <v/>
      </c>
      <c r="AT289" s="39" t="str">
        <f t="shared" si="13"/>
        <v/>
      </c>
      <c r="AU289" s="39" t="str">
        <f t="shared" si="14"/>
        <v/>
      </c>
    </row>
    <row r="290" ht="15.75" customHeight="1">
      <c r="A290" s="22"/>
      <c r="B290" s="22"/>
      <c r="C290" s="22"/>
      <c r="D290" s="22"/>
      <c r="E290" s="40"/>
      <c r="F290" s="40" t="str">
        <f>IF($C290="","",VLOOKUP($C290,Orders!$A$4:$J$303,3,FALSE))</f>
        <v/>
      </c>
      <c r="G290" s="40" t="str">
        <f>IF($C290="","",VLOOKUP($C290,Orders!$A$4:$J$303,4,FALSE))</f>
        <v/>
      </c>
      <c r="H290" s="22"/>
      <c r="I290" s="40" t="str">
        <f t="shared" si="1"/>
        <v/>
      </c>
      <c r="J290" s="40" t="str">
        <f t="shared" si="2"/>
        <v/>
      </c>
      <c r="K290" s="40" t="str">
        <f>IF($C290="","",VLOOKUP($C290,Orders!$A$4:$J$303,5,FALSE))</f>
        <v/>
      </c>
      <c r="L290" s="22"/>
      <c r="M290" s="40" t="str">
        <f t="shared" si="3"/>
        <v/>
      </c>
      <c r="N290" s="22"/>
      <c r="O290" s="22"/>
      <c r="P290" s="22" t="str">
        <f t="shared" si="4"/>
        <v/>
      </c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39" t="str">
        <f t="array" ref="AB290">IFERROR(INDEX(Bids!$AA:$AA, MATCH(C290&amp;"|"&amp;B290, Bids!$AD:$AD,0)),"")</f>
        <v/>
      </c>
      <c r="AC290" s="39" t="str">
        <f t="array" ref="AC290">IFERROR(INDEX(Bids!$AB:$AB, MATCH(C290&amp;"|"&amp;B290, Bids!$AD:$AD,0)),"")</f>
        <v/>
      </c>
      <c r="AD290" s="39" t="str">
        <f t="array" ref="AD290">IFERROR(INDEX(Bids!$AC:$AC, MATCH(C290&amp;"|"&amp;B290, Bids!$AD:$AD,0)), H290)</f>
        <v/>
      </c>
      <c r="AE290" s="39"/>
      <c r="AG290" s="39"/>
      <c r="AH290" s="39" t="str">
        <f t="shared" si="5"/>
        <v/>
      </c>
      <c r="AI290" s="39" t="str">
        <f t="shared" si="6"/>
        <v/>
      </c>
      <c r="AM290" s="39" t="str">
        <f t="array" ref="AM290">IF(C290="","",IFERROR(XLOOKUP(C290,Orders!$A:$A,Orders!$E:$E,""),""))</f>
        <v/>
      </c>
      <c r="AN290" s="39" t="str">
        <f t="shared" si="7"/>
        <v/>
      </c>
      <c r="AO290" s="39" t="str">
        <f t="shared" si="8"/>
        <v/>
      </c>
      <c r="AP290" s="39" t="str">
        <f t="shared" si="9"/>
        <v/>
      </c>
      <c r="AQ290" s="39" t="str">
        <f t="shared" si="10"/>
        <v/>
      </c>
      <c r="AR290" s="39" t="str">
        <f t="shared" si="11"/>
        <v/>
      </c>
      <c r="AS290" s="39" t="str">
        <f t="shared" si="12"/>
        <v/>
      </c>
      <c r="AT290" s="39" t="str">
        <f t="shared" si="13"/>
        <v/>
      </c>
      <c r="AU290" s="39" t="str">
        <f t="shared" si="14"/>
        <v/>
      </c>
    </row>
    <row r="291" ht="15.75" customHeight="1">
      <c r="A291" s="22"/>
      <c r="B291" s="22"/>
      <c r="C291" s="22"/>
      <c r="D291" s="22"/>
      <c r="E291" s="40"/>
      <c r="F291" s="40" t="str">
        <f>IF($C291="","",VLOOKUP($C291,Orders!$A$4:$J$303,3,FALSE))</f>
        <v/>
      </c>
      <c r="G291" s="40" t="str">
        <f>IF($C291="","",VLOOKUP($C291,Orders!$A$4:$J$303,4,FALSE))</f>
        <v/>
      </c>
      <c r="H291" s="22"/>
      <c r="I291" s="40" t="str">
        <f t="shared" si="1"/>
        <v/>
      </c>
      <c r="J291" s="40" t="str">
        <f t="shared" si="2"/>
        <v/>
      </c>
      <c r="K291" s="40" t="str">
        <f>IF($C291="","",VLOOKUP($C291,Orders!$A$4:$J$303,5,FALSE))</f>
        <v/>
      </c>
      <c r="L291" s="22"/>
      <c r="M291" s="40" t="str">
        <f t="shared" si="3"/>
        <v/>
      </c>
      <c r="N291" s="22"/>
      <c r="O291" s="22"/>
      <c r="P291" s="22" t="str">
        <f t="shared" si="4"/>
        <v/>
      </c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39" t="str">
        <f t="array" ref="AB291">IFERROR(INDEX(Bids!$AA:$AA, MATCH(C291&amp;"|"&amp;B291, Bids!$AD:$AD,0)),"")</f>
        <v/>
      </c>
      <c r="AC291" s="39" t="str">
        <f t="array" ref="AC291">IFERROR(INDEX(Bids!$AB:$AB, MATCH(C291&amp;"|"&amp;B291, Bids!$AD:$AD,0)),"")</f>
        <v/>
      </c>
      <c r="AD291" s="39" t="str">
        <f t="array" ref="AD291">IFERROR(INDEX(Bids!$AC:$AC, MATCH(C291&amp;"|"&amp;B291, Bids!$AD:$AD,0)), H291)</f>
        <v/>
      </c>
      <c r="AE291" s="39"/>
      <c r="AG291" s="39"/>
      <c r="AH291" s="39" t="str">
        <f t="shared" si="5"/>
        <v/>
      </c>
      <c r="AI291" s="39" t="str">
        <f t="shared" si="6"/>
        <v/>
      </c>
      <c r="AM291" s="39" t="str">
        <f t="array" ref="AM291">IF(C291="","",IFERROR(XLOOKUP(C291,Orders!$A:$A,Orders!$E:$E,""),""))</f>
        <v/>
      </c>
      <c r="AN291" s="39" t="str">
        <f t="shared" si="7"/>
        <v/>
      </c>
      <c r="AO291" s="39" t="str">
        <f t="shared" si="8"/>
        <v/>
      </c>
      <c r="AP291" s="39" t="str">
        <f t="shared" si="9"/>
        <v/>
      </c>
      <c r="AQ291" s="39" t="str">
        <f t="shared" si="10"/>
        <v/>
      </c>
      <c r="AR291" s="39" t="str">
        <f t="shared" si="11"/>
        <v/>
      </c>
      <c r="AS291" s="39" t="str">
        <f t="shared" si="12"/>
        <v/>
      </c>
      <c r="AT291" s="39" t="str">
        <f t="shared" si="13"/>
        <v/>
      </c>
      <c r="AU291" s="39" t="str">
        <f t="shared" si="14"/>
        <v/>
      </c>
    </row>
    <row r="292" ht="15.75" customHeight="1">
      <c r="A292" s="22"/>
      <c r="B292" s="22"/>
      <c r="C292" s="22"/>
      <c r="D292" s="22"/>
      <c r="E292" s="40"/>
      <c r="F292" s="40" t="str">
        <f>IF($C292="","",VLOOKUP($C292,Orders!$A$4:$J$303,3,FALSE))</f>
        <v/>
      </c>
      <c r="G292" s="40" t="str">
        <f>IF($C292="","",VLOOKUP($C292,Orders!$A$4:$J$303,4,FALSE))</f>
        <v/>
      </c>
      <c r="H292" s="22"/>
      <c r="I292" s="40" t="str">
        <f t="shared" si="1"/>
        <v/>
      </c>
      <c r="J292" s="40" t="str">
        <f t="shared" si="2"/>
        <v/>
      </c>
      <c r="K292" s="40" t="str">
        <f>IF($C292="","",VLOOKUP($C292,Orders!$A$4:$J$303,5,FALSE))</f>
        <v/>
      </c>
      <c r="L292" s="22"/>
      <c r="M292" s="40" t="str">
        <f t="shared" si="3"/>
        <v/>
      </c>
      <c r="N292" s="22"/>
      <c r="O292" s="22"/>
      <c r="P292" s="22" t="str">
        <f t="shared" si="4"/>
        <v/>
      </c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39" t="str">
        <f t="array" ref="AB292">IFERROR(INDEX(Bids!$AA:$AA, MATCH(C292&amp;"|"&amp;B292, Bids!$AD:$AD,0)),"")</f>
        <v/>
      </c>
      <c r="AC292" s="39" t="str">
        <f t="array" ref="AC292">IFERROR(INDEX(Bids!$AB:$AB, MATCH(C292&amp;"|"&amp;B292, Bids!$AD:$AD,0)),"")</f>
        <v/>
      </c>
      <c r="AD292" s="39" t="str">
        <f t="array" ref="AD292">IFERROR(INDEX(Bids!$AC:$AC, MATCH(C292&amp;"|"&amp;B292, Bids!$AD:$AD,0)), H292)</f>
        <v/>
      </c>
      <c r="AE292" s="39"/>
      <c r="AG292" s="39"/>
      <c r="AH292" s="39" t="str">
        <f t="shared" si="5"/>
        <v/>
      </c>
      <c r="AI292" s="39" t="str">
        <f t="shared" si="6"/>
        <v/>
      </c>
      <c r="AM292" s="39" t="str">
        <f t="array" ref="AM292">IF(C292="","",IFERROR(XLOOKUP(C292,Orders!$A:$A,Orders!$E:$E,""),""))</f>
        <v/>
      </c>
      <c r="AN292" s="39" t="str">
        <f t="shared" si="7"/>
        <v/>
      </c>
      <c r="AO292" s="39" t="str">
        <f t="shared" si="8"/>
        <v/>
      </c>
      <c r="AP292" s="39" t="str">
        <f t="shared" si="9"/>
        <v/>
      </c>
      <c r="AQ292" s="39" t="str">
        <f t="shared" si="10"/>
        <v/>
      </c>
      <c r="AR292" s="39" t="str">
        <f t="shared" si="11"/>
        <v/>
      </c>
      <c r="AS292" s="39" t="str">
        <f t="shared" si="12"/>
        <v/>
      </c>
      <c r="AT292" s="39" t="str">
        <f t="shared" si="13"/>
        <v/>
      </c>
      <c r="AU292" s="39" t="str">
        <f t="shared" si="14"/>
        <v/>
      </c>
    </row>
    <row r="293" ht="15.75" customHeight="1">
      <c r="A293" s="22"/>
      <c r="B293" s="22"/>
      <c r="C293" s="22"/>
      <c r="D293" s="22"/>
      <c r="E293" s="40"/>
      <c r="F293" s="40" t="str">
        <f>IF($C293="","",VLOOKUP($C293,Orders!$A$4:$J$303,3,FALSE))</f>
        <v/>
      </c>
      <c r="G293" s="40" t="str">
        <f>IF($C293="","",VLOOKUP($C293,Orders!$A$4:$J$303,4,FALSE))</f>
        <v/>
      </c>
      <c r="H293" s="22"/>
      <c r="I293" s="40" t="str">
        <f t="shared" si="1"/>
        <v/>
      </c>
      <c r="J293" s="40" t="str">
        <f t="shared" si="2"/>
        <v/>
      </c>
      <c r="K293" s="40" t="str">
        <f>IF($C293="","",VLOOKUP($C293,Orders!$A$4:$J$303,5,FALSE))</f>
        <v/>
      </c>
      <c r="L293" s="22"/>
      <c r="M293" s="40" t="str">
        <f t="shared" si="3"/>
        <v/>
      </c>
      <c r="N293" s="22"/>
      <c r="O293" s="22"/>
      <c r="P293" s="22" t="str">
        <f t="shared" si="4"/>
        <v/>
      </c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39" t="str">
        <f t="array" ref="AB293">IFERROR(INDEX(Bids!$AA:$AA, MATCH(C293&amp;"|"&amp;B293, Bids!$AD:$AD,0)),"")</f>
        <v/>
      </c>
      <c r="AC293" s="39" t="str">
        <f t="array" ref="AC293">IFERROR(INDEX(Bids!$AB:$AB, MATCH(C293&amp;"|"&amp;B293, Bids!$AD:$AD,0)),"")</f>
        <v/>
      </c>
      <c r="AD293" s="39" t="str">
        <f t="array" ref="AD293">IFERROR(INDEX(Bids!$AC:$AC, MATCH(C293&amp;"|"&amp;B293, Bids!$AD:$AD,0)), H293)</f>
        <v/>
      </c>
      <c r="AE293" s="39"/>
      <c r="AG293" s="39"/>
      <c r="AH293" s="39" t="str">
        <f t="shared" si="5"/>
        <v/>
      </c>
      <c r="AI293" s="39" t="str">
        <f t="shared" si="6"/>
        <v/>
      </c>
      <c r="AM293" s="39" t="str">
        <f t="array" ref="AM293">IF(C293="","",IFERROR(XLOOKUP(C293,Orders!$A:$A,Orders!$E:$E,""),""))</f>
        <v/>
      </c>
      <c r="AN293" s="39" t="str">
        <f t="shared" si="7"/>
        <v/>
      </c>
      <c r="AO293" s="39" t="str">
        <f t="shared" si="8"/>
        <v/>
      </c>
      <c r="AP293" s="39" t="str">
        <f t="shared" si="9"/>
        <v/>
      </c>
      <c r="AQ293" s="39" t="str">
        <f t="shared" si="10"/>
        <v/>
      </c>
      <c r="AR293" s="39" t="str">
        <f t="shared" si="11"/>
        <v/>
      </c>
      <c r="AS293" s="39" t="str">
        <f t="shared" si="12"/>
        <v/>
      </c>
      <c r="AT293" s="39" t="str">
        <f t="shared" si="13"/>
        <v/>
      </c>
      <c r="AU293" s="39" t="str">
        <f t="shared" si="14"/>
        <v/>
      </c>
    </row>
    <row r="294" ht="15.75" customHeight="1">
      <c r="A294" s="22"/>
      <c r="B294" s="22"/>
      <c r="C294" s="22"/>
      <c r="D294" s="22"/>
      <c r="E294" s="40"/>
      <c r="F294" s="40" t="str">
        <f>IF($C294="","",VLOOKUP($C294,Orders!$A$4:$J$303,3,FALSE))</f>
        <v/>
      </c>
      <c r="G294" s="40" t="str">
        <f>IF($C294="","",VLOOKUP($C294,Orders!$A$4:$J$303,4,FALSE))</f>
        <v/>
      </c>
      <c r="H294" s="22"/>
      <c r="I294" s="40" t="str">
        <f t="shared" si="1"/>
        <v/>
      </c>
      <c r="J294" s="40" t="str">
        <f t="shared" si="2"/>
        <v/>
      </c>
      <c r="K294" s="40" t="str">
        <f>IF($C294="","",VLOOKUP($C294,Orders!$A$4:$J$303,5,FALSE))</f>
        <v/>
      </c>
      <c r="L294" s="22"/>
      <c r="M294" s="40" t="str">
        <f t="shared" si="3"/>
        <v/>
      </c>
      <c r="N294" s="22"/>
      <c r="O294" s="22"/>
      <c r="P294" s="22" t="str">
        <f t="shared" si="4"/>
        <v/>
      </c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39" t="str">
        <f t="array" ref="AB294">IFERROR(INDEX(Bids!$AA:$AA, MATCH(C294&amp;"|"&amp;B294, Bids!$AD:$AD,0)),"")</f>
        <v/>
      </c>
      <c r="AC294" s="39" t="str">
        <f t="array" ref="AC294">IFERROR(INDEX(Bids!$AB:$AB, MATCH(C294&amp;"|"&amp;B294, Bids!$AD:$AD,0)),"")</f>
        <v/>
      </c>
      <c r="AD294" s="39" t="str">
        <f t="array" ref="AD294">IFERROR(INDEX(Bids!$AC:$AC, MATCH(C294&amp;"|"&amp;B294, Bids!$AD:$AD,0)), H294)</f>
        <v/>
      </c>
      <c r="AE294" s="39"/>
      <c r="AG294" s="39"/>
      <c r="AH294" s="39" t="str">
        <f t="shared" si="5"/>
        <v/>
      </c>
      <c r="AI294" s="39" t="str">
        <f t="shared" si="6"/>
        <v/>
      </c>
      <c r="AM294" s="39" t="str">
        <f t="array" ref="AM294">IF(C294="","",IFERROR(XLOOKUP(C294,Orders!$A:$A,Orders!$E:$E,""),""))</f>
        <v/>
      </c>
      <c r="AN294" s="39" t="str">
        <f t="shared" si="7"/>
        <v/>
      </c>
      <c r="AO294" s="39" t="str">
        <f t="shared" si="8"/>
        <v/>
      </c>
      <c r="AP294" s="39" t="str">
        <f t="shared" si="9"/>
        <v/>
      </c>
      <c r="AQ294" s="39" t="str">
        <f t="shared" si="10"/>
        <v/>
      </c>
      <c r="AR294" s="39" t="str">
        <f t="shared" si="11"/>
        <v/>
      </c>
      <c r="AS294" s="39" t="str">
        <f t="shared" si="12"/>
        <v/>
      </c>
      <c r="AT294" s="39" t="str">
        <f t="shared" si="13"/>
        <v/>
      </c>
      <c r="AU294" s="39" t="str">
        <f t="shared" si="14"/>
        <v/>
      </c>
    </row>
    <row r="295" ht="15.75" customHeight="1">
      <c r="A295" s="22"/>
      <c r="B295" s="22"/>
      <c r="C295" s="22"/>
      <c r="D295" s="22"/>
      <c r="E295" s="40"/>
      <c r="F295" s="40" t="str">
        <f>IF($C295="","",VLOOKUP($C295,Orders!$A$4:$J$303,3,FALSE))</f>
        <v/>
      </c>
      <c r="G295" s="40" t="str">
        <f>IF($C295="","",VLOOKUP($C295,Orders!$A$4:$J$303,4,FALSE))</f>
        <v/>
      </c>
      <c r="H295" s="22"/>
      <c r="I295" s="40" t="str">
        <f t="shared" si="1"/>
        <v/>
      </c>
      <c r="J295" s="40" t="str">
        <f t="shared" si="2"/>
        <v/>
      </c>
      <c r="K295" s="40" t="str">
        <f>IF($C295="","",VLOOKUP($C295,Orders!$A$4:$J$303,5,FALSE))</f>
        <v/>
      </c>
      <c r="L295" s="22"/>
      <c r="M295" s="40" t="str">
        <f t="shared" si="3"/>
        <v/>
      </c>
      <c r="N295" s="22"/>
      <c r="O295" s="22"/>
      <c r="P295" s="22" t="str">
        <f t="shared" si="4"/>
        <v/>
      </c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39" t="str">
        <f t="array" ref="AB295">IFERROR(INDEX(Bids!$AA:$AA, MATCH(C295&amp;"|"&amp;B295, Bids!$AD:$AD,0)),"")</f>
        <v/>
      </c>
      <c r="AC295" s="39" t="str">
        <f t="array" ref="AC295">IFERROR(INDEX(Bids!$AB:$AB, MATCH(C295&amp;"|"&amp;B295, Bids!$AD:$AD,0)),"")</f>
        <v/>
      </c>
      <c r="AD295" s="39" t="str">
        <f t="array" ref="AD295">IFERROR(INDEX(Bids!$AC:$AC, MATCH(C295&amp;"|"&amp;B295, Bids!$AD:$AD,0)), H295)</f>
        <v/>
      </c>
      <c r="AE295" s="39"/>
      <c r="AG295" s="39"/>
      <c r="AH295" s="39" t="str">
        <f t="shared" si="5"/>
        <v/>
      </c>
      <c r="AI295" s="39" t="str">
        <f t="shared" si="6"/>
        <v/>
      </c>
      <c r="AM295" s="39" t="str">
        <f t="array" ref="AM295">IF(C295="","",IFERROR(XLOOKUP(C295,Orders!$A:$A,Orders!$E:$E,""),""))</f>
        <v/>
      </c>
      <c r="AN295" s="39" t="str">
        <f t="shared" si="7"/>
        <v/>
      </c>
      <c r="AO295" s="39" t="str">
        <f t="shared" si="8"/>
        <v/>
      </c>
      <c r="AP295" s="39" t="str">
        <f t="shared" si="9"/>
        <v/>
      </c>
      <c r="AQ295" s="39" t="str">
        <f t="shared" si="10"/>
        <v/>
      </c>
      <c r="AR295" s="39" t="str">
        <f t="shared" si="11"/>
        <v/>
      </c>
      <c r="AS295" s="39" t="str">
        <f t="shared" si="12"/>
        <v/>
      </c>
      <c r="AT295" s="39" t="str">
        <f t="shared" si="13"/>
        <v/>
      </c>
      <c r="AU295" s="39" t="str">
        <f t="shared" si="14"/>
        <v/>
      </c>
    </row>
    <row r="296" ht="15.75" customHeight="1">
      <c r="A296" s="22"/>
      <c r="B296" s="22"/>
      <c r="C296" s="22"/>
      <c r="D296" s="22"/>
      <c r="E296" s="40"/>
      <c r="F296" s="40" t="str">
        <f>IF($C296="","",VLOOKUP($C296,Orders!$A$4:$J$303,3,FALSE))</f>
        <v/>
      </c>
      <c r="G296" s="40" t="str">
        <f>IF($C296="","",VLOOKUP($C296,Orders!$A$4:$J$303,4,FALSE))</f>
        <v/>
      </c>
      <c r="H296" s="22"/>
      <c r="I296" s="40" t="str">
        <f t="shared" si="1"/>
        <v/>
      </c>
      <c r="J296" s="40" t="str">
        <f t="shared" si="2"/>
        <v/>
      </c>
      <c r="K296" s="40" t="str">
        <f>IF($C296="","",VLOOKUP($C296,Orders!$A$4:$J$303,5,FALSE))</f>
        <v/>
      </c>
      <c r="L296" s="22"/>
      <c r="M296" s="40" t="str">
        <f t="shared" si="3"/>
        <v/>
      </c>
      <c r="N296" s="22"/>
      <c r="O296" s="22"/>
      <c r="P296" s="22" t="str">
        <f t="shared" si="4"/>
        <v/>
      </c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39" t="str">
        <f t="array" ref="AB296">IFERROR(INDEX(Bids!$AA:$AA, MATCH(C296&amp;"|"&amp;B296, Bids!$AD:$AD,0)),"")</f>
        <v/>
      </c>
      <c r="AC296" s="39" t="str">
        <f t="array" ref="AC296">IFERROR(INDEX(Bids!$AB:$AB, MATCH(C296&amp;"|"&amp;B296, Bids!$AD:$AD,0)),"")</f>
        <v/>
      </c>
      <c r="AD296" s="39" t="str">
        <f t="array" ref="AD296">IFERROR(INDEX(Bids!$AC:$AC, MATCH(C296&amp;"|"&amp;B296, Bids!$AD:$AD,0)), H296)</f>
        <v/>
      </c>
      <c r="AE296" s="39"/>
      <c r="AG296" s="39"/>
      <c r="AH296" s="39" t="str">
        <f t="shared" si="5"/>
        <v/>
      </c>
      <c r="AI296" s="39" t="str">
        <f t="shared" si="6"/>
        <v/>
      </c>
      <c r="AM296" s="39" t="str">
        <f t="array" ref="AM296">IF(C296="","",IFERROR(XLOOKUP(C296,Orders!$A:$A,Orders!$E:$E,""),""))</f>
        <v/>
      </c>
      <c r="AN296" s="39" t="str">
        <f t="shared" si="7"/>
        <v/>
      </c>
      <c r="AO296" s="39" t="str">
        <f t="shared" si="8"/>
        <v/>
      </c>
      <c r="AP296" s="39" t="str">
        <f t="shared" si="9"/>
        <v/>
      </c>
      <c r="AQ296" s="39" t="str">
        <f t="shared" si="10"/>
        <v/>
      </c>
      <c r="AR296" s="39" t="str">
        <f t="shared" si="11"/>
        <v/>
      </c>
      <c r="AS296" s="39" t="str">
        <f t="shared" si="12"/>
        <v/>
      </c>
      <c r="AT296" s="39" t="str">
        <f t="shared" si="13"/>
        <v/>
      </c>
      <c r="AU296" s="39" t="str">
        <f t="shared" si="14"/>
        <v/>
      </c>
    </row>
    <row r="297" ht="15.75" customHeight="1">
      <c r="A297" s="22"/>
      <c r="B297" s="22"/>
      <c r="C297" s="22"/>
      <c r="D297" s="22"/>
      <c r="E297" s="40"/>
      <c r="F297" s="40" t="str">
        <f>IF($C297="","",VLOOKUP($C297,Orders!$A$4:$J$303,3,FALSE))</f>
        <v/>
      </c>
      <c r="G297" s="40" t="str">
        <f>IF($C297="","",VLOOKUP($C297,Orders!$A$4:$J$303,4,FALSE))</f>
        <v/>
      </c>
      <c r="H297" s="22"/>
      <c r="I297" s="40" t="str">
        <f t="shared" si="1"/>
        <v/>
      </c>
      <c r="J297" s="40" t="str">
        <f t="shared" si="2"/>
        <v/>
      </c>
      <c r="K297" s="40" t="str">
        <f>IF($C297="","",VLOOKUP($C297,Orders!$A$4:$J$303,5,FALSE))</f>
        <v/>
      </c>
      <c r="L297" s="22"/>
      <c r="M297" s="40" t="str">
        <f t="shared" si="3"/>
        <v/>
      </c>
      <c r="N297" s="22"/>
      <c r="O297" s="22"/>
      <c r="P297" s="22" t="str">
        <f t="shared" si="4"/>
        <v/>
      </c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39" t="str">
        <f t="array" ref="AB297">IFERROR(INDEX(Bids!$AA:$AA, MATCH(C297&amp;"|"&amp;B297, Bids!$AD:$AD,0)),"")</f>
        <v/>
      </c>
      <c r="AC297" s="39" t="str">
        <f t="array" ref="AC297">IFERROR(INDEX(Bids!$AB:$AB, MATCH(C297&amp;"|"&amp;B297, Bids!$AD:$AD,0)),"")</f>
        <v/>
      </c>
      <c r="AD297" s="39" t="str">
        <f t="array" ref="AD297">IFERROR(INDEX(Bids!$AC:$AC, MATCH(C297&amp;"|"&amp;B297, Bids!$AD:$AD,0)), H297)</f>
        <v/>
      </c>
      <c r="AE297" s="39"/>
      <c r="AG297" s="39"/>
      <c r="AH297" s="39" t="str">
        <f t="shared" si="5"/>
        <v/>
      </c>
      <c r="AI297" s="39" t="str">
        <f t="shared" si="6"/>
        <v/>
      </c>
      <c r="AM297" s="39" t="str">
        <f t="array" ref="AM297">IF(C297="","",IFERROR(XLOOKUP(C297,Orders!$A:$A,Orders!$E:$E,""),""))</f>
        <v/>
      </c>
      <c r="AN297" s="39" t="str">
        <f t="shared" si="7"/>
        <v/>
      </c>
      <c r="AO297" s="39" t="str">
        <f t="shared" si="8"/>
        <v/>
      </c>
      <c r="AP297" s="39" t="str">
        <f t="shared" si="9"/>
        <v/>
      </c>
      <c r="AQ297" s="39" t="str">
        <f t="shared" si="10"/>
        <v/>
      </c>
      <c r="AR297" s="39" t="str">
        <f t="shared" si="11"/>
        <v/>
      </c>
      <c r="AS297" s="39" t="str">
        <f t="shared" si="12"/>
        <v/>
      </c>
      <c r="AT297" s="39" t="str">
        <f t="shared" si="13"/>
        <v/>
      </c>
      <c r="AU297" s="39" t="str">
        <f t="shared" si="14"/>
        <v/>
      </c>
    </row>
    <row r="298" ht="15.75" customHeight="1">
      <c r="A298" s="22"/>
      <c r="B298" s="22"/>
      <c r="C298" s="22"/>
      <c r="D298" s="22"/>
      <c r="E298" s="40"/>
      <c r="F298" s="40" t="str">
        <f>IF($C298="","",VLOOKUP($C298,Orders!$A$4:$J$303,3,FALSE))</f>
        <v/>
      </c>
      <c r="G298" s="40" t="str">
        <f>IF($C298="","",VLOOKUP($C298,Orders!$A$4:$J$303,4,FALSE))</f>
        <v/>
      </c>
      <c r="H298" s="22"/>
      <c r="I298" s="40" t="str">
        <f t="shared" si="1"/>
        <v/>
      </c>
      <c r="J298" s="40" t="str">
        <f t="shared" si="2"/>
        <v/>
      </c>
      <c r="K298" s="40" t="str">
        <f>IF($C298="","",VLOOKUP($C298,Orders!$A$4:$J$303,5,FALSE))</f>
        <v/>
      </c>
      <c r="L298" s="22"/>
      <c r="M298" s="40" t="str">
        <f t="shared" si="3"/>
        <v/>
      </c>
      <c r="N298" s="22"/>
      <c r="O298" s="22"/>
      <c r="P298" s="22" t="str">
        <f t="shared" si="4"/>
        <v/>
      </c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39" t="str">
        <f t="array" ref="AB298">IFERROR(INDEX(Bids!$AA:$AA, MATCH(C298&amp;"|"&amp;B298, Bids!$AD:$AD,0)),"")</f>
        <v/>
      </c>
      <c r="AC298" s="39" t="str">
        <f t="array" ref="AC298">IFERROR(INDEX(Bids!$AB:$AB, MATCH(C298&amp;"|"&amp;B298, Bids!$AD:$AD,0)),"")</f>
        <v/>
      </c>
      <c r="AD298" s="39" t="str">
        <f t="array" ref="AD298">IFERROR(INDEX(Bids!$AC:$AC, MATCH(C298&amp;"|"&amp;B298, Bids!$AD:$AD,0)), H298)</f>
        <v/>
      </c>
      <c r="AE298" s="39"/>
      <c r="AG298" s="39"/>
      <c r="AH298" s="39" t="str">
        <f t="shared" si="5"/>
        <v/>
      </c>
      <c r="AI298" s="39" t="str">
        <f t="shared" si="6"/>
        <v/>
      </c>
      <c r="AM298" s="39" t="str">
        <f t="array" ref="AM298">IF(C298="","",IFERROR(XLOOKUP(C298,Orders!$A:$A,Orders!$E:$E,""),""))</f>
        <v/>
      </c>
      <c r="AN298" s="39" t="str">
        <f t="shared" si="7"/>
        <v/>
      </c>
      <c r="AO298" s="39" t="str">
        <f t="shared" si="8"/>
        <v/>
      </c>
      <c r="AP298" s="39" t="str">
        <f t="shared" si="9"/>
        <v/>
      </c>
      <c r="AQ298" s="39" t="str">
        <f t="shared" si="10"/>
        <v/>
      </c>
      <c r="AR298" s="39" t="str">
        <f t="shared" si="11"/>
        <v/>
      </c>
      <c r="AS298" s="39" t="str">
        <f t="shared" si="12"/>
        <v/>
      </c>
      <c r="AT298" s="39" t="str">
        <f t="shared" si="13"/>
        <v/>
      </c>
      <c r="AU298" s="39" t="str">
        <f t="shared" si="14"/>
        <v/>
      </c>
    </row>
    <row r="299" ht="15.75" customHeight="1">
      <c r="A299" s="22"/>
      <c r="B299" s="22"/>
      <c r="C299" s="22"/>
      <c r="D299" s="22"/>
      <c r="E299" s="40"/>
      <c r="F299" s="40" t="str">
        <f>IF($C299="","",VLOOKUP($C299,Orders!$A$4:$J$303,3,FALSE))</f>
        <v/>
      </c>
      <c r="G299" s="40" t="str">
        <f>IF($C299="","",VLOOKUP($C299,Orders!$A$4:$J$303,4,FALSE))</f>
        <v/>
      </c>
      <c r="H299" s="22"/>
      <c r="I299" s="40" t="str">
        <f t="shared" si="1"/>
        <v/>
      </c>
      <c r="J299" s="40" t="str">
        <f t="shared" si="2"/>
        <v/>
      </c>
      <c r="K299" s="40" t="str">
        <f>IF($C299="","",VLOOKUP($C299,Orders!$A$4:$J$303,5,FALSE))</f>
        <v/>
      </c>
      <c r="L299" s="22"/>
      <c r="M299" s="40" t="str">
        <f t="shared" si="3"/>
        <v/>
      </c>
      <c r="N299" s="22"/>
      <c r="O299" s="22"/>
      <c r="P299" s="22" t="str">
        <f t="shared" si="4"/>
        <v/>
      </c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39" t="str">
        <f t="array" ref="AB299">IFERROR(INDEX(Bids!$AA:$AA, MATCH(C299&amp;"|"&amp;B299, Bids!$AD:$AD,0)),"")</f>
        <v/>
      </c>
      <c r="AC299" s="39" t="str">
        <f t="array" ref="AC299">IFERROR(INDEX(Bids!$AB:$AB, MATCH(C299&amp;"|"&amp;B299, Bids!$AD:$AD,0)),"")</f>
        <v/>
      </c>
      <c r="AD299" s="39" t="str">
        <f t="array" ref="AD299">IFERROR(INDEX(Bids!$AC:$AC, MATCH(C299&amp;"|"&amp;B299, Bids!$AD:$AD,0)), H299)</f>
        <v/>
      </c>
      <c r="AE299" s="39"/>
      <c r="AG299" s="39"/>
      <c r="AH299" s="39" t="str">
        <f t="shared" si="5"/>
        <v/>
      </c>
      <c r="AI299" s="39" t="str">
        <f t="shared" si="6"/>
        <v/>
      </c>
      <c r="AM299" s="39" t="str">
        <f t="array" ref="AM299">IF(C299="","",IFERROR(XLOOKUP(C299,Orders!$A:$A,Orders!$E:$E,""),""))</f>
        <v/>
      </c>
      <c r="AN299" s="39" t="str">
        <f t="shared" si="7"/>
        <v/>
      </c>
      <c r="AO299" s="39" t="str">
        <f t="shared" si="8"/>
        <v/>
      </c>
      <c r="AP299" s="39" t="str">
        <f t="shared" si="9"/>
        <v/>
      </c>
      <c r="AQ299" s="39" t="str">
        <f t="shared" si="10"/>
        <v/>
      </c>
      <c r="AR299" s="39" t="str">
        <f t="shared" si="11"/>
        <v/>
      </c>
      <c r="AS299" s="39" t="str">
        <f t="shared" si="12"/>
        <v/>
      </c>
      <c r="AT299" s="39" t="str">
        <f t="shared" si="13"/>
        <v/>
      </c>
      <c r="AU299" s="39" t="str">
        <f t="shared" si="14"/>
        <v/>
      </c>
    </row>
    <row r="300" ht="15.75" customHeight="1">
      <c r="A300" s="22"/>
      <c r="B300" s="22"/>
      <c r="C300" s="22"/>
      <c r="D300" s="22"/>
      <c r="E300" s="40"/>
      <c r="F300" s="40" t="str">
        <f>IF($C300="","",VLOOKUP($C300,Orders!$A$4:$J$303,3,FALSE))</f>
        <v/>
      </c>
      <c r="G300" s="40" t="str">
        <f>IF($C300="","",VLOOKUP($C300,Orders!$A$4:$J$303,4,FALSE))</f>
        <v/>
      </c>
      <c r="H300" s="22"/>
      <c r="I300" s="40" t="str">
        <f t="shared" si="1"/>
        <v/>
      </c>
      <c r="J300" s="40" t="str">
        <f t="shared" si="2"/>
        <v/>
      </c>
      <c r="K300" s="40" t="str">
        <f>IF($C300="","",VLOOKUP($C300,Orders!$A$4:$J$303,5,FALSE))</f>
        <v/>
      </c>
      <c r="L300" s="22"/>
      <c r="M300" s="40" t="str">
        <f t="shared" si="3"/>
        <v/>
      </c>
      <c r="N300" s="22"/>
      <c r="O300" s="22"/>
      <c r="P300" s="22" t="str">
        <f t="shared" si="4"/>
        <v/>
      </c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39" t="str">
        <f t="array" ref="AB300">IFERROR(INDEX(Bids!$AA:$AA, MATCH(C300&amp;"|"&amp;B300, Bids!$AD:$AD,0)),"")</f>
        <v/>
      </c>
      <c r="AC300" s="39" t="str">
        <f t="array" ref="AC300">IFERROR(INDEX(Bids!$AB:$AB, MATCH(C300&amp;"|"&amp;B300, Bids!$AD:$AD,0)),"")</f>
        <v/>
      </c>
      <c r="AD300" s="39" t="str">
        <f t="array" ref="AD300">IFERROR(INDEX(Bids!$AC:$AC, MATCH(C300&amp;"|"&amp;B300, Bids!$AD:$AD,0)), H300)</f>
        <v/>
      </c>
      <c r="AE300" s="39"/>
      <c r="AG300" s="39"/>
      <c r="AH300" s="39" t="str">
        <f t="shared" si="5"/>
        <v/>
      </c>
      <c r="AI300" s="39" t="str">
        <f t="shared" si="6"/>
        <v/>
      </c>
      <c r="AM300" s="39" t="str">
        <f t="array" ref="AM300">IF(C300="","",IFERROR(XLOOKUP(C300,Orders!$A:$A,Orders!$E:$E,""),""))</f>
        <v/>
      </c>
      <c r="AN300" s="39" t="str">
        <f t="shared" si="7"/>
        <v/>
      </c>
      <c r="AO300" s="39" t="str">
        <f t="shared" si="8"/>
        <v/>
      </c>
      <c r="AP300" s="39" t="str">
        <f t="shared" si="9"/>
        <v/>
      </c>
      <c r="AQ300" s="39" t="str">
        <f t="shared" si="10"/>
        <v/>
      </c>
      <c r="AR300" s="39" t="str">
        <f t="shared" si="11"/>
        <v/>
      </c>
      <c r="AS300" s="39" t="str">
        <f t="shared" si="12"/>
        <v/>
      </c>
      <c r="AT300" s="39" t="str">
        <f t="shared" si="13"/>
        <v/>
      </c>
      <c r="AU300" s="39" t="str">
        <f t="shared" si="14"/>
        <v/>
      </c>
    </row>
    <row r="301" ht="15.75" customHeight="1">
      <c r="A301" s="22"/>
      <c r="B301" s="22"/>
      <c r="C301" s="22"/>
      <c r="D301" s="22"/>
      <c r="E301" s="40"/>
      <c r="F301" s="40" t="str">
        <f>IF($C301="","",VLOOKUP($C301,Orders!$A$4:$J$303,3,FALSE))</f>
        <v/>
      </c>
      <c r="G301" s="40" t="str">
        <f>IF($C301="","",VLOOKUP($C301,Orders!$A$4:$J$303,4,FALSE))</f>
        <v/>
      </c>
      <c r="H301" s="22"/>
      <c r="I301" s="40" t="str">
        <f t="shared" si="1"/>
        <v/>
      </c>
      <c r="J301" s="40" t="str">
        <f t="shared" si="2"/>
        <v/>
      </c>
      <c r="K301" s="40" t="str">
        <f>IF($C301="","",VLOOKUP($C301,Orders!$A$4:$J$303,5,FALSE))</f>
        <v/>
      </c>
      <c r="L301" s="22"/>
      <c r="M301" s="40" t="str">
        <f t="shared" si="3"/>
        <v/>
      </c>
      <c r="N301" s="22"/>
      <c r="O301" s="22"/>
      <c r="P301" s="22" t="str">
        <f t="shared" si="4"/>
        <v/>
      </c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39" t="str">
        <f t="array" ref="AB301">IFERROR(INDEX(Bids!$AA:$AA, MATCH(C301&amp;"|"&amp;B301, Bids!$AD:$AD,0)),"")</f>
        <v/>
      </c>
      <c r="AC301" s="39" t="str">
        <f t="array" ref="AC301">IFERROR(INDEX(Bids!$AB:$AB, MATCH(C301&amp;"|"&amp;B301, Bids!$AD:$AD,0)),"")</f>
        <v/>
      </c>
      <c r="AD301" s="39" t="str">
        <f t="array" ref="AD301">IFERROR(INDEX(Bids!$AC:$AC, MATCH(C301&amp;"|"&amp;B301, Bids!$AD:$AD,0)), H301)</f>
        <v/>
      </c>
      <c r="AE301" s="39"/>
      <c r="AG301" s="39"/>
      <c r="AH301" s="39" t="str">
        <f t="shared" si="5"/>
        <v/>
      </c>
      <c r="AI301" s="39" t="str">
        <f t="shared" si="6"/>
        <v/>
      </c>
      <c r="AM301" s="39" t="str">
        <f t="array" ref="AM301">IF(C301="","",IFERROR(XLOOKUP(C301,Orders!$A:$A,Orders!$E:$E,""),""))</f>
        <v/>
      </c>
      <c r="AN301" s="39" t="str">
        <f t="shared" si="7"/>
        <v/>
      </c>
      <c r="AO301" s="39" t="str">
        <f t="shared" si="8"/>
        <v/>
      </c>
      <c r="AP301" s="39" t="str">
        <f t="shared" si="9"/>
        <v/>
      </c>
      <c r="AQ301" s="39" t="str">
        <f t="shared" si="10"/>
        <v/>
      </c>
      <c r="AR301" s="39" t="str">
        <f t="shared" si="11"/>
        <v/>
      </c>
      <c r="AS301" s="39" t="str">
        <f t="shared" si="12"/>
        <v/>
      </c>
      <c r="AT301" s="39" t="str">
        <f t="shared" si="13"/>
        <v/>
      </c>
      <c r="AU301" s="39" t="str">
        <f t="shared" si="14"/>
        <v/>
      </c>
    </row>
    <row r="302" ht="15.75" customHeight="1">
      <c r="A302" s="22"/>
      <c r="B302" s="22"/>
      <c r="C302" s="22"/>
      <c r="D302" s="22"/>
      <c r="E302" s="40"/>
      <c r="F302" s="40" t="str">
        <f>IF($C302="","",VLOOKUP($C302,Orders!$A$4:$J$303,3,FALSE))</f>
        <v/>
      </c>
      <c r="G302" s="40" t="str">
        <f>IF($C302="","",VLOOKUP($C302,Orders!$A$4:$J$303,4,FALSE))</f>
        <v/>
      </c>
      <c r="H302" s="22"/>
      <c r="I302" s="40" t="str">
        <f t="shared" si="1"/>
        <v/>
      </c>
      <c r="J302" s="40" t="str">
        <f t="shared" si="2"/>
        <v/>
      </c>
      <c r="K302" s="40" t="str">
        <f>IF($C302="","",VLOOKUP($C302,Orders!$A$4:$J$303,5,FALSE))</f>
        <v/>
      </c>
      <c r="L302" s="22"/>
      <c r="M302" s="40" t="str">
        <f t="shared" si="3"/>
        <v/>
      </c>
      <c r="N302" s="22"/>
      <c r="O302" s="22"/>
      <c r="P302" s="22" t="str">
        <f t="shared" si="4"/>
        <v/>
      </c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39" t="str">
        <f t="array" ref="AB302">IFERROR(INDEX(Bids!$AA:$AA, MATCH(C302&amp;"|"&amp;B302, Bids!$AD:$AD,0)),"")</f>
        <v/>
      </c>
      <c r="AC302" s="39" t="str">
        <f t="array" ref="AC302">IFERROR(INDEX(Bids!$AB:$AB, MATCH(C302&amp;"|"&amp;B302, Bids!$AD:$AD,0)),"")</f>
        <v/>
      </c>
      <c r="AD302" s="39" t="str">
        <f t="array" ref="AD302">IFERROR(INDEX(Bids!$AC:$AC, MATCH(C302&amp;"|"&amp;B302, Bids!$AD:$AD,0)), H302)</f>
        <v/>
      </c>
      <c r="AE302" s="39"/>
      <c r="AG302" s="39"/>
      <c r="AH302" s="39" t="str">
        <f t="shared" si="5"/>
        <v/>
      </c>
      <c r="AI302" s="39" t="str">
        <f t="shared" si="6"/>
        <v/>
      </c>
      <c r="AM302" s="39" t="str">
        <f t="array" ref="AM302">IF(C302="","",IFERROR(XLOOKUP(C302,Orders!$A:$A,Orders!$E:$E,""),""))</f>
        <v/>
      </c>
      <c r="AN302" s="39" t="str">
        <f t="shared" si="7"/>
        <v/>
      </c>
      <c r="AO302" s="39" t="str">
        <f t="shared" si="8"/>
        <v/>
      </c>
      <c r="AP302" s="39" t="str">
        <f t="shared" si="9"/>
        <v/>
      </c>
      <c r="AQ302" s="39" t="str">
        <f t="shared" si="10"/>
        <v/>
      </c>
      <c r="AR302" s="39" t="str">
        <f t="shared" si="11"/>
        <v/>
      </c>
      <c r="AS302" s="39" t="str">
        <f t="shared" si="12"/>
        <v/>
      </c>
      <c r="AT302" s="39" t="str">
        <f t="shared" si="13"/>
        <v/>
      </c>
      <c r="AU302" s="39" t="str">
        <f t="shared" si="14"/>
        <v/>
      </c>
    </row>
    <row r="303" ht="15.75" customHeight="1">
      <c r="A303" s="22"/>
      <c r="B303" s="22"/>
      <c r="C303" s="22"/>
      <c r="D303" s="22"/>
      <c r="E303" s="40"/>
      <c r="F303" s="40" t="str">
        <f>IF($C303="","",VLOOKUP($C303,Orders!$A$4:$J$303,3,FALSE))</f>
        <v/>
      </c>
      <c r="G303" s="40" t="str">
        <f>IF($C303="","",VLOOKUP($C303,Orders!$A$4:$J$303,4,FALSE))</f>
        <v/>
      </c>
      <c r="H303" s="22"/>
      <c r="I303" s="40" t="str">
        <f t="shared" si="1"/>
        <v/>
      </c>
      <c r="J303" s="40" t="str">
        <f t="shared" si="2"/>
        <v/>
      </c>
      <c r="K303" s="40" t="str">
        <f>IF($C303="","",VLOOKUP($C303,Orders!$A$4:$J$303,5,FALSE))</f>
        <v/>
      </c>
      <c r="L303" s="22"/>
      <c r="M303" s="40" t="str">
        <f t="shared" si="3"/>
        <v/>
      </c>
      <c r="N303" s="22"/>
      <c r="O303" s="22"/>
      <c r="P303" s="22" t="str">
        <f t="shared" si="4"/>
        <v/>
      </c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39" t="str">
        <f t="array" ref="AB303">IFERROR(INDEX(Bids!$AA:$AA, MATCH(C303&amp;"|"&amp;B303, Bids!$AD:$AD,0)),"")</f>
        <v/>
      </c>
      <c r="AC303" s="39" t="str">
        <f t="array" ref="AC303">IFERROR(INDEX(Bids!$AB:$AB, MATCH(C303&amp;"|"&amp;B303, Bids!$AD:$AD,0)),"")</f>
        <v/>
      </c>
      <c r="AD303" s="39" t="str">
        <f t="array" ref="AD303">IFERROR(INDEX(Bids!$AC:$AC, MATCH(C303&amp;"|"&amp;B303, Bids!$AD:$AD,0)), H303)</f>
        <v/>
      </c>
      <c r="AE303" s="39"/>
      <c r="AG303" s="39"/>
      <c r="AH303" s="39" t="str">
        <f t="shared" si="5"/>
        <v/>
      </c>
      <c r="AI303" s="39" t="str">
        <f t="shared" si="6"/>
        <v/>
      </c>
      <c r="AM303" s="39" t="str">
        <f t="array" ref="AM303">IF(C303="","",IFERROR(XLOOKUP(C303,Orders!$A:$A,Orders!$E:$E,""),""))</f>
        <v/>
      </c>
      <c r="AN303" s="39" t="str">
        <f t="shared" si="7"/>
        <v/>
      </c>
      <c r="AO303" s="39" t="str">
        <f t="shared" si="8"/>
        <v/>
      </c>
      <c r="AP303" s="39" t="str">
        <f t="shared" si="9"/>
        <v/>
      </c>
      <c r="AQ303" s="39" t="str">
        <f t="shared" si="10"/>
        <v/>
      </c>
      <c r="AR303" s="39" t="str">
        <f t="shared" si="11"/>
        <v/>
      </c>
      <c r="AS303" s="39" t="str">
        <f t="shared" si="12"/>
        <v/>
      </c>
      <c r="AT303" s="39" t="str">
        <f t="shared" si="13"/>
        <v/>
      </c>
      <c r="AU303" s="39" t="str">
        <f t="shared" si="14"/>
        <v/>
      </c>
    </row>
    <row r="304" ht="15.75" customHeight="1">
      <c r="A304" s="22"/>
      <c r="B304" s="22"/>
      <c r="C304" s="22"/>
      <c r="D304" s="22"/>
      <c r="E304" s="40"/>
      <c r="F304" s="40" t="str">
        <f>IF($C304="","",VLOOKUP($C304,Orders!$A$4:$J$303,3,FALSE))</f>
        <v/>
      </c>
      <c r="G304" s="40" t="str">
        <f>IF($C304="","",VLOOKUP($C304,Orders!$A$4:$J$303,4,FALSE))</f>
        <v/>
      </c>
      <c r="H304" s="22"/>
      <c r="I304" s="40" t="str">
        <f t="shared" si="1"/>
        <v/>
      </c>
      <c r="J304" s="40" t="str">
        <f t="shared" si="2"/>
        <v/>
      </c>
      <c r="K304" s="40" t="str">
        <f>IF($C304="","",VLOOKUP($C304,Orders!$A$4:$J$303,5,FALSE))</f>
        <v/>
      </c>
      <c r="L304" s="22"/>
      <c r="M304" s="40" t="str">
        <f t="shared" si="3"/>
        <v/>
      </c>
      <c r="N304" s="22"/>
      <c r="O304" s="22"/>
      <c r="P304" s="22" t="str">
        <f t="shared" si="4"/>
        <v/>
      </c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39" t="str">
        <f t="array" ref="AB304">IFERROR(INDEX(Bids!$AA:$AA, MATCH(C304&amp;"|"&amp;B304, Bids!$AD:$AD,0)),"")</f>
        <v/>
      </c>
      <c r="AC304" s="39" t="str">
        <f t="array" ref="AC304">IFERROR(INDEX(Bids!$AB:$AB, MATCH(C304&amp;"|"&amp;B304, Bids!$AD:$AD,0)),"")</f>
        <v/>
      </c>
      <c r="AD304" s="39" t="str">
        <f t="array" ref="AD304">IFERROR(INDEX(Bids!$AC:$AC, MATCH(C304&amp;"|"&amp;B304, Bids!$AD:$AD,0)), H304)</f>
        <v/>
      </c>
      <c r="AE304" s="39"/>
      <c r="AG304" s="39"/>
      <c r="AH304" s="39" t="str">
        <f t="shared" si="5"/>
        <v/>
      </c>
      <c r="AI304" s="39" t="str">
        <f t="shared" si="6"/>
        <v/>
      </c>
      <c r="AM304" s="39" t="str">
        <f t="array" ref="AM304">IF(C304="","",IFERROR(XLOOKUP(C304,Orders!$A:$A,Orders!$E:$E,""),""))</f>
        <v/>
      </c>
      <c r="AN304" s="39" t="str">
        <f t="shared" si="7"/>
        <v/>
      </c>
      <c r="AO304" s="39" t="str">
        <f t="shared" si="8"/>
        <v/>
      </c>
      <c r="AP304" s="39" t="str">
        <f t="shared" si="9"/>
        <v/>
      </c>
      <c r="AQ304" s="39" t="str">
        <f t="shared" si="10"/>
        <v/>
      </c>
      <c r="AR304" s="39" t="str">
        <f t="shared" si="11"/>
        <v/>
      </c>
      <c r="AS304" s="39" t="str">
        <f t="shared" si="12"/>
        <v/>
      </c>
      <c r="AT304" s="39" t="str">
        <f t="shared" si="13"/>
        <v/>
      </c>
      <c r="AU304" s="39" t="str">
        <f t="shared" si="14"/>
        <v/>
      </c>
    </row>
    <row r="305" ht="15.75" customHeight="1">
      <c r="A305" s="22"/>
      <c r="B305" s="22"/>
      <c r="C305" s="22"/>
      <c r="D305" s="22"/>
      <c r="E305" s="40"/>
      <c r="F305" s="40" t="str">
        <f>IF($C305="","",VLOOKUP($C305,Orders!$A$4:$J$303,3,FALSE))</f>
        <v/>
      </c>
      <c r="G305" s="40" t="str">
        <f>IF($C305="","",VLOOKUP($C305,Orders!$A$4:$J$303,4,FALSE))</f>
        <v/>
      </c>
      <c r="H305" s="22"/>
      <c r="I305" s="40" t="str">
        <f t="shared" si="1"/>
        <v/>
      </c>
      <c r="J305" s="40" t="str">
        <f t="shared" si="2"/>
        <v/>
      </c>
      <c r="K305" s="40" t="str">
        <f>IF($C305="","",VLOOKUP($C305,Orders!$A$4:$J$303,5,FALSE))</f>
        <v/>
      </c>
      <c r="L305" s="22"/>
      <c r="M305" s="40" t="str">
        <f t="shared" si="3"/>
        <v/>
      </c>
      <c r="N305" s="22"/>
      <c r="O305" s="22"/>
      <c r="P305" s="22" t="str">
        <f t="shared" si="4"/>
        <v/>
      </c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39" t="str">
        <f t="array" ref="AB305">IFERROR(INDEX(Bids!$AA:$AA, MATCH(C305&amp;"|"&amp;B305, Bids!$AD:$AD,0)),"")</f>
        <v/>
      </c>
      <c r="AC305" s="39" t="str">
        <f t="array" ref="AC305">IFERROR(INDEX(Bids!$AB:$AB, MATCH(C305&amp;"|"&amp;B305, Bids!$AD:$AD,0)),"")</f>
        <v/>
      </c>
      <c r="AD305" s="39" t="str">
        <f t="array" ref="AD305">IFERROR(INDEX(Bids!$AC:$AC, MATCH(C305&amp;"|"&amp;B305, Bids!$AD:$AD,0)), H305)</f>
        <v/>
      </c>
      <c r="AE305" s="39"/>
      <c r="AG305" s="39"/>
      <c r="AH305" s="39" t="str">
        <f t="shared" si="5"/>
        <v/>
      </c>
      <c r="AI305" s="39" t="str">
        <f t="shared" si="6"/>
        <v/>
      </c>
      <c r="AM305" s="39" t="str">
        <f t="array" ref="AM305">IF(C305="","",IFERROR(XLOOKUP(C305,Orders!$A:$A,Orders!$E:$E,""),""))</f>
        <v/>
      </c>
      <c r="AN305" s="39" t="str">
        <f t="shared" si="7"/>
        <v/>
      </c>
      <c r="AO305" s="39" t="str">
        <f t="shared" si="8"/>
        <v/>
      </c>
      <c r="AP305" s="39" t="str">
        <f t="shared" si="9"/>
        <v/>
      </c>
      <c r="AQ305" s="39" t="str">
        <f t="shared" si="10"/>
        <v/>
      </c>
      <c r="AR305" s="39" t="str">
        <f t="shared" si="11"/>
        <v/>
      </c>
      <c r="AS305" s="39" t="str">
        <f t="shared" si="12"/>
        <v/>
      </c>
      <c r="AT305" s="39" t="str">
        <f t="shared" si="13"/>
        <v/>
      </c>
      <c r="AU305" s="39" t="str">
        <f t="shared" si="14"/>
        <v/>
      </c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 t="str">
        <f t="shared" si="1"/>
        <v/>
      </c>
      <c r="J306" s="22" t="str">
        <f t="shared" si="2"/>
        <v/>
      </c>
      <c r="K306" s="22"/>
      <c r="L306" s="22"/>
      <c r="M306" s="22"/>
      <c r="N306" s="22"/>
      <c r="O306" s="22"/>
      <c r="P306" s="22" t="str">
        <f t="shared" si="4"/>
        <v/>
      </c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39" t="str">
        <f t="array" ref="AB306">IFERROR(INDEX(Bids!$AA:$AA, MATCH(C306&amp;"|"&amp;B306, Bids!$AD:$AD,0)),"")</f>
        <v/>
      </c>
      <c r="AC306" s="39" t="str">
        <f t="array" ref="AC306">IFERROR(INDEX(Bids!$AB:$AB, MATCH(C306&amp;"|"&amp;B306, Bids!$AD:$AD,0)),"")</f>
        <v/>
      </c>
      <c r="AD306" s="39" t="str">
        <f t="array" ref="AD306">IFERROR(INDEX(Bids!$AC:$AC, MATCH(C306&amp;"|"&amp;B306, Bids!$AD:$AD,0)), H306)</f>
        <v/>
      </c>
      <c r="AE306" s="39"/>
      <c r="AG306" s="39"/>
      <c r="AH306" s="39" t="str">
        <f t="shared" si="5"/>
        <v/>
      </c>
      <c r="AI306" s="39" t="str">
        <f t="shared" si="6"/>
        <v/>
      </c>
      <c r="AM306" s="39" t="str">
        <f t="array" ref="AM306">IF(C306="","",IFERROR(XLOOKUP(C306,Orders!$A:$A,Orders!$E:$E,""),""))</f>
        <v/>
      </c>
      <c r="AN306" s="39" t="str">
        <f t="shared" si="7"/>
        <v/>
      </c>
      <c r="AO306" s="39" t="str">
        <f t="shared" si="8"/>
        <v/>
      </c>
      <c r="AP306" s="39" t="str">
        <f t="shared" si="9"/>
        <v/>
      </c>
      <c r="AQ306" s="39" t="str">
        <f t="shared" si="10"/>
        <v/>
      </c>
      <c r="AR306" s="39" t="str">
        <f t="shared" si="11"/>
        <v/>
      </c>
      <c r="AS306" s="39" t="str">
        <f t="shared" si="12"/>
        <v/>
      </c>
      <c r="AT306" s="39" t="str">
        <f t="shared" si="13"/>
        <v/>
      </c>
      <c r="AU306" s="39" t="str">
        <f t="shared" si="14"/>
        <v/>
      </c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 t="str">
        <f t="shared" si="1"/>
        <v/>
      </c>
      <c r="J307" s="22" t="str">
        <f t="shared" si="2"/>
        <v/>
      </c>
      <c r="K307" s="22"/>
      <c r="L307" s="22"/>
      <c r="M307" s="22"/>
      <c r="N307" s="22"/>
      <c r="O307" s="22"/>
      <c r="P307" s="22" t="str">
        <f t="shared" si="4"/>
        <v/>
      </c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39" t="str">
        <f t="array" ref="AB307">IFERROR(INDEX(Bids!$AA:$AA, MATCH(C307&amp;"|"&amp;B307, Bids!$AD:$AD,0)),"")</f>
        <v/>
      </c>
      <c r="AC307" s="39" t="str">
        <f t="array" ref="AC307">IFERROR(INDEX(Bids!$AB:$AB, MATCH(C307&amp;"|"&amp;B307, Bids!$AD:$AD,0)),"")</f>
        <v/>
      </c>
      <c r="AD307" s="39" t="str">
        <f t="array" ref="AD307">IFERROR(INDEX(Bids!$AC:$AC, MATCH(C307&amp;"|"&amp;B307, Bids!$AD:$AD,0)), H307)</f>
        <v/>
      </c>
      <c r="AE307" s="39"/>
      <c r="AG307" s="39"/>
      <c r="AH307" s="39" t="str">
        <f t="shared" si="5"/>
        <v/>
      </c>
      <c r="AI307" s="39" t="str">
        <f t="shared" si="6"/>
        <v/>
      </c>
      <c r="AM307" s="39" t="str">
        <f t="array" ref="AM307">IF(C307="","",IFERROR(XLOOKUP(C307,Orders!$A:$A,Orders!$E:$E,""),""))</f>
        <v/>
      </c>
      <c r="AN307" s="39" t="str">
        <f t="shared" si="7"/>
        <v/>
      </c>
      <c r="AO307" s="39" t="str">
        <f t="shared" si="8"/>
        <v/>
      </c>
      <c r="AP307" s="39" t="str">
        <f t="shared" si="9"/>
        <v/>
      </c>
      <c r="AQ307" s="39" t="str">
        <f t="shared" si="10"/>
        <v/>
      </c>
      <c r="AR307" s="39" t="str">
        <f t="shared" si="11"/>
        <v/>
      </c>
      <c r="AS307" s="39" t="str">
        <f t="shared" si="12"/>
        <v/>
      </c>
      <c r="AT307" s="39" t="str">
        <f t="shared" si="13"/>
        <v/>
      </c>
      <c r="AU307" s="39" t="str">
        <f t="shared" si="14"/>
        <v/>
      </c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 t="str">
        <f t="shared" si="1"/>
        <v/>
      </c>
      <c r="J308" s="22" t="str">
        <f t="shared" si="2"/>
        <v/>
      </c>
      <c r="K308" s="22"/>
      <c r="L308" s="22"/>
      <c r="M308" s="22"/>
      <c r="N308" s="22"/>
      <c r="O308" s="22"/>
      <c r="P308" s="22" t="str">
        <f t="shared" si="4"/>
        <v/>
      </c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39" t="str">
        <f t="array" ref="AB308">IFERROR(INDEX(Bids!$AA:$AA, MATCH(C308&amp;"|"&amp;B308, Bids!$AD:$AD,0)),"")</f>
        <v/>
      </c>
      <c r="AC308" s="39" t="str">
        <f t="array" ref="AC308">IFERROR(INDEX(Bids!$AB:$AB, MATCH(C308&amp;"|"&amp;B308, Bids!$AD:$AD,0)),"")</f>
        <v/>
      </c>
      <c r="AD308" s="39" t="str">
        <f t="array" ref="AD308">IFERROR(INDEX(Bids!$AC:$AC, MATCH(C308&amp;"|"&amp;B308, Bids!$AD:$AD,0)), H308)</f>
        <v/>
      </c>
      <c r="AE308" s="39"/>
      <c r="AG308" s="39"/>
      <c r="AH308" s="39" t="str">
        <f t="shared" si="5"/>
        <v/>
      </c>
      <c r="AI308" s="39" t="str">
        <f t="shared" si="6"/>
        <v/>
      </c>
      <c r="AM308" s="39" t="str">
        <f t="array" ref="AM308">IF(C308="","",IFERROR(XLOOKUP(C308,Orders!$A:$A,Orders!$E:$E,""),""))</f>
        <v/>
      </c>
      <c r="AN308" s="39" t="str">
        <f t="shared" si="7"/>
        <v/>
      </c>
      <c r="AO308" s="39" t="str">
        <f t="shared" si="8"/>
        <v/>
      </c>
      <c r="AP308" s="39" t="str">
        <f t="shared" si="9"/>
        <v/>
      </c>
      <c r="AQ308" s="39" t="str">
        <f t="shared" si="10"/>
        <v/>
      </c>
      <c r="AR308" s="39" t="str">
        <f t="shared" si="11"/>
        <v/>
      </c>
      <c r="AS308" s="39" t="str">
        <f t="shared" si="12"/>
        <v/>
      </c>
      <c r="AT308" s="39" t="str">
        <f t="shared" si="13"/>
        <v/>
      </c>
      <c r="AU308" s="39" t="str">
        <f t="shared" si="14"/>
        <v/>
      </c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 t="str">
        <f t="shared" si="1"/>
        <v/>
      </c>
      <c r="J309" s="22" t="str">
        <f t="shared" si="2"/>
        <v/>
      </c>
      <c r="K309" s="22"/>
      <c r="L309" s="22"/>
      <c r="M309" s="22"/>
      <c r="N309" s="22"/>
      <c r="O309" s="22"/>
      <c r="P309" s="22" t="str">
        <f t="shared" si="4"/>
        <v/>
      </c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39" t="str">
        <f t="array" ref="AB309">IFERROR(INDEX(Bids!$AA:$AA, MATCH(C309&amp;"|"&amp;B309, Bids!$AD:$AD,0)),"")</f>
        <v/>
      </c>
      <c r="AC309" s="39" t="str">
        <f t="array" ref="AC309">IFERROR(INDEX(Bids!$AB:$AB, MATCH(C309&amp;"|"&amp;B309, Bids!$AD:$AD,0)),"")</f>
        <v/>
      </c>
      <c r="AD309" s="39" t="str">
        <f t="array" ref="AD309">IFERROR(INDEX(Bids!$AC:$AC, MATCH(C309&amp;"|"&amp;B309, Bids!$AD:$AD,0)), H309)</f>
        <v/>
      </c>
      <c r="AE309" s="39"/>
      <c r="AG309" s="39"/>
      <c r="AH309" s="39" t="str">
        <f t="shared" si="5"/>
        <v/>
      </c>
      <c r="AI309" s="39" t="str">
        <f t="shared" si="6"/>
        <v/>
      </c>
      <c r="AM309" s="39" t="str">
        <f t="array" ref="AM309">IF(C309="","",IFERROR(XLOOKUP(C309,Orders!$A:$A,Orders!$E:$E,""),""))</f>
        <v/>
      </c>
      <c r="AN309" s="39" t="str">
        <f t="shared" si="7"/>
        <v/>
      </c>
      <c r="AO309" s="39" t="str">
        <f t="shared" si="8"/>
        <v/>
      </c>
      <c r="AP309" s="39" t="str">
        <f t="shared" si="9"/>
        <v/>
      </c>
      <c r="AQ309" s="39" t="str">
        <f t="shared" si="10"/>
        <v/>
      </c>
      <c r="AR309" s="39" t="str">
        <f t="shared" si="11"/>
        <v/>
      </c>
      <c r="AS309" s="39" t="str">
        <f t="shared" si="12"/>
        <v/>
      </c>
      <c r="AT309" s="39" t="str">
        <f t="shared" si="13"/>
        <v/>
      </c>
      <c r="AU309" s="39" t="str">
        <f t="shared" si="14"/>
        <v/>
      </c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 t="str">
        <f t="shared" si="1"/>
        <v/>
      </c>
      <c r="J310" s="22" t="str">
        <f t="shared" si="2"/>
        <v/>
      </c>
      <c r="K310" s="22"/>
      <c r="L310" s="22"/>
      <c r="M310" s="22"/>
      <c r="N310" s="22"/>
      <c r="O310" s="22"/>
      <c r="P310" s="22" t="str">
        <f t="shared" si="4"/>
        <v/>
      </c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39" t="str">
        <f t="array" ref="AB310">IFERROR(INDEX(Bids!$AA:$AA, MATCH(C310&amp;"|"&amp;B310, Bids!$AD:$AD,0)),"")</f>
        <v/>
      </c>
      <c r="AC310" s="39" t="str">
        <f t="array" ref="AC310">IFERROR(INDEX(Bids!$AB:$AB, MATCH(C310&amp;"|"&amp;B310, Bids!$AD:$AD,0)),"")</f>
        <v/>
      </c>
      <c r="AD310" s="39" t="str">
        <f t="array" ref="AD310">IFERROR(INDEX(Bids!$AC:$AC, MATCH(C310&amp;"|"&amp;B310, Bids!$AD:$AD,0)), H310)</f>
        <v/>
      </c>
      <c r="AE310" s="39"/>
      <c r="AG310" s="39"/>
      <c r="AH310" s="39" t="str">
        <f t="shared" si="5"/>
        <v/>
      </c>
      <c r="AI310" s="39" t="str">
        <f t="shared" si="6"/>
        <v/>
      </c>
      <c r="AM310" s="39" t="str">
        <f t="array" ref="AM310">IF(C310="","",IFERROR(XLOOKUP(C310,Orders!$A:$A,Orders!$E:$E,""),""))</f>
        <v/>
      </c>
      <c r="AN310" s="39" t="str">
        <f t="shared" si="7"/>
        <v/>
      </c>
      <c r="AO310" s="39" t="str">
        <f t="shared" si="8"/>
        <v/>
      </c>
      <c r="AP310" s="39" t="str">
        <f t="shared" si="9"/>
        <v/>
      </c>
      <c r="AQ310" s="39" t="str">
        <f t="shared" si="10"/>
        <v/>
      </c>
      <c r="AR310" s="39" t="str">
        <f t="shared" si="11"/>
        <v/>
      </c>
      <c r="AS310" s="39" t="str">
        <f t="shared" si="12"/>
        <v/>
      </c>
      <c r="AT310" s="39" t="str">
        <f t="shared" si="13"/>
        <v/>
      </c>
      <c r="AU310" s="39" t="str">
        <f t="shared" si="14"/>
        <v/>
      </c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 t="str">
        <f t="shared" si="1"/>
        <v/>
      </c>
      <c r="J311" s="22" t="str">
        <f t="shared" si="2"/>
        <v/>
      </c>
      <c r="K311" s="22"/>
      <c r="L311" s="22"/>
      <c r="M311" s="22"/>
      <c r="N311" s="22"/>
      <c r="O311" s="22"/>
      <c r="P311" s="22" t="str">
        <f t="shared" si="4"/>
        <v/>
      </c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39" t="str">
        <f t="array" ref="AB311">IFERROR(INDEX(Bids!$AA:$AA, MATCH(C311&amp;"|"&amp;B311, Bids!$AD:$AD,0)),"")</f>
        <v/>
      </c>
      <c r="AC311" s="39" t="str">
        <f t="array" ref="AC311">IFERROR(INDEX(Bids!$AB:$AB, MATCH(C311&amp;"|"&amp;B311, Bids!$AD:$AD,0)),"")</f>
        <v/>
      </c>
      <c r="AD311" s="39" t="str">
        <f t="array" ref="AD311">IFERROR(INDEX(Bids!$AC:$AC, MATCH(C311&amp;"|"&amp;B311, Bids!$AD:$AD,0)), H311)</f>
        <v/>
      </c>
      <c r="AE311" s="39"/>
      <c r="AG311" s="39"/>
      <c r="AH311" s="39" t="str">
        <f t="shared" si="5"/>
        <v/>
      </c>
      <c r="AI311" s="39" t="str">
        <f t="shared" si="6"/>
        <v/>
      </c>
      <c r="AM311" s="39" t="str">
        <f t="array" ref="AM311">IF(C311="","",IFERROR(XLOOKUP(C311,Orders!$A:$A,Orders!$E:$E,""),""))</f>
        <v/>
      </c>
      <c r="AN311" s="39" t="str">
        <f t="shared" si="7"/>
        <v/>
      </c>
      <c r="AO311" s="39" t="str">
        <f t="shared" si="8"/>
        <v/>
      </c>
      <c r="AP311" s="39" t="str">
        <f t="shared" si="9"/>
        <v/>
      </c>
      <c r="AQ311" s="39" t="str">
        <f t="shared" si="10"/>
        <v/>
      </c>
      <c r="AR311" s="39" t="str">
        <f t="shared" si="11"/>
        <v/>
      </c>
      <c r="AS311" s="39" t="str">
        <f t="shared" si="12"/>
        <v/>
      </c>
      <c r="AT311" s="39" t="str">
        <f t="shared" si="13"/>
        <v/>
      </c>
      <c r="AU311" s="39" t="str">
        <f t="shared" si="14"/>
        <v/>
      </c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 t="str">
        <f t="shared" si="1"/>
        <v/>
      </c>
      <c r="J312" s="22" t="str">
        <f t="shared" si="2"/>
        <v/>
      </c>
      <c r="K312" s="22"/>
      <c r="L312" s="22"/>
      <c r="M312" s="22"/>
      <c r="N312" s="22"/>
      <c r="O312" s="22"/>
      <c r="P312" s="22" t="str">
        <f t="shared" si="4"/>
        <v/>
      </c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39" t="str">
        <f t="array" ref="AB312">IFERROR(INDEX(Bids!$AA:$AA, MATCH(C312&amp;"|"&amp;B312, Bids!$AD:$AD,0)),"")</f>
        <v/>
      </c>
      <c r="AC312" s="39" t="str">
        <f t="array" ref="AC312">IFERROR(INDEX(Bids!$AB:$AB, MATCH(C312&amp;"|"&amp;B312, Bids!$AD:$AD,0)),"")</f>
        <v/>
      </c>
      <c r="AD312" s="39" t="str">
        <f t="array" ref="AD312">IFERROR(INDEX(Bids!$AC:$AC, MATCH(C312&amp;"|"&amp;B312, Bids!$AD:$AD,0)), H312)</f>
        <v/>
      </c>
      <c r="AE312" s="39"/>
      <c r="AG312" s="39"/>
      <c r="AH312" s="39" t="str">
        <f t="shared" si="5"/>
        <v/>
      </c>
      <c r="AI312" s="39" t="str">
        <f t="shared" si="6"/>
        <v/>
      </c>
      <c r="AM312" s="39" t="str">
        <f t="array" ref="AM312">IF(C312="","",IFERROR(XLOOKUP(C312,Orders!$A:$A,Orders!$E:$E,""),""))</f>
        <v/>
      </c>
      <c r="AN312" s="39" t="str">
        <f t="shared" si="7"/>
        <v/>
      </c>
      <c r="AO312" s="39" t="str">
        <f t="shared" si="8"/>
        <v/>
      </c>
      <c r="AP312" s="39" t="str">
        <f t="shared" si="9"/>
        <v/>
      </c>
      <c r="AQ312" s="39" t="str">
        <f t="shared" si="10"/>
        <v/>
      </c>
      <c r="AR312" s="39" t="str">
        <f t="shared" si="11"/>
        <v/>
      </c>
      <c r="AS312" s="39" t="str">
        <f t="shared" si="12"/>
        <v/>
      </c>
      <c r="AT312" s="39" t="str">
        <f t="shared" si="13"/>
        <v/>
      </c>
      <c r="AU312" s="39" t="str">
        <f t="shared" si="14"/>
        <v/>
      </c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 t="str">
        <f t="shared" si="1"/>
        <v/>
      </c>
      <c r="J313" s="22" t="str">
        <f t="shared" si="2"/>
        <v/>
      </c>
      <c r="K313" s="22"/>
      <c r="L313" s="22"/>
      <c r="M313" s="22"/>
      <c r="N313" s="22"/>
      <c r="O313" s="22"/>
      <c r="P313" s="22" t="str">
        <f t="shared" si="4"/>
        <v/>
      </c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39" t="str">
        <f t="array" ref="AB313">IFERROR(INDEX(Bids!$AA:$AA, MATCH(C313&amp;"|"&amp;B313, Bids!$AD:$AD,0)),"")</f>
        <v/>
      </c>
      <c r="AC313" s="39" t="str">
        <f t="array" ref="AC313">IFERROR(INDEX(Bids!$AB:$AB, MATCH(C313&amp;"|"&amp;B313, Bids!$AD:$AD,0)),"")</f>
        <v/>
      </c>
      <c r="AD313" s="39" t="str">
        <f t="array" ref="AD313">IFERROR(INDEX(Bids!$AC:$AC, MATCH(C313&amp;"|"&amp;B313, Bids!$AD:$AD,0)), H313)</f>
        <v/>
      </c>
      <c r="AE313" s="39"/>
      <c r="AG313" s="39"/>
      <c r="AH313" s="39" t="str">
        <f t="shared" si="5"/>
        <v/>
      </c>
      <c r="AI313" s="39" t="str">
        <f t="shared" si="6"/>
        <v/>
      </c>
      <c r="AM313" s="39" t="str">
        <f t="array" ref="AM313">IF(C313="","",IFERROR(XLOOKUP(C313,Orders!$A:$A,Orders!$E:$E,""),""))</f>
        <v/>
      </c>
      <c r="AN313" s="39" t="str">
        <f t="shared" si="7"/>
        <v/>
      </c>
      <c r="AO313" s="39" t="str">
        <f t="shared" si="8"/>
        <v/>
      </c>
      <c r="AP313" s="39" t="str">
        <f t="shared" si="9"/>
        <v/>
      </c>
      <c r="AQ313" s="39" t="str">
        <f t="shared" si="10"/>
        <v/>
      </c>
      <c r="AR313" s="39" t="str">
        <f t="shared" si="11"/>
        <v/>
      </c>
      <c r="AS313" s="39" t="str">
        <f t="shared" si="12"/>
        <v/>
      </c>
      <c r="AT313" s="39" t="str">
        <f t="shared" si="13"/>
        <v/>
      </c>
      <c r="AU313" s="39" t="str">
        <f t="shared" si="14"/>
        <v/>
      </c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 t="str">
        <f t="shared" si="1"/>
        <v/>
      </c>
      <c r="J314" s="22" t="str">
        <f t="shared" si="2"/>
        <v/>
      </c>
      <c r="K314" s="22"/>
      <c r="L314" s="22"/>
      <c r="M314" s="22"/>
      <c r="N314" s="22"/>
      <c r="O314" s="22"/>
      <c r="P314" s="22" t="str">
        <f t="shared" si="4"/>
        <v/>
      </c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39" t="str">
        <f t="array" ref="AB314">IFERROR(INDEX(Bids!$AA:$AA, MATCH(C314&amp;"|"&amp;B314, Bids!$AD:$AD,0)),"")</f>
        <v/>
      </c>
      <c r="AC314" s="39" t="str">
        <f t="array" ref="AC314">IFERROR(INDEX(Bids!$AB:$AB, MATCH(C314&amp;"|"&amp;B314, Bids!$AD:$AD,0)),"")</f>
        <v/>
      </c>
      <c r="AD314" s="39" t="str">
        <f t="array" ref="AD314">IFERROR(INDEX(Bids!$AC:$AC, MATCH(C314&amp;"|"&amp;B314, Bids!$AD:$AD,0)), H314)</f>
        <v/>
      </c>
      <c r="AE314" s="39"/>
      <c r="AG314" s="39"/>
      <c r="AH314" s="39" t="str">
        <f t="shared" si="5"/>
        <v/>
      </c>
      <c r="AI314" s="39" t="str">
        <f t="shared" si="6"/>
        <v/>
      </c>
      <c r="AM314" s="39" t="str">
        <f t="array" ref="AM314">IF(C314="","",IFERROR(XLOOKUP(C314,Orders!$A:$A,Orders!$E:$E,""),""))</f>
        <v/>
      </c>
      <c r="AN314" s="39" t="str">
        <f t="shared" si="7"/>
        <v/>
      </c>
      <c r="AO314" s="39" t="str">
        <f t="shared" si="8"/>
        <v/>
      </c>
      <c r="AP314" s="39" t="str">
        <f t="shared" si="9"/>
        <v/>
      </c>
      <c r="AQ314" s="39" t="str">
        <f t="shared" si="10"/>
        <v/>
      </c>
      <c r="AR314" s="39" t="str">
        <f t="shared" si="11"/>
        <v/>
      </c>
      <c r="AS314" s="39" t="str">
        <f t="shared" si="12"/>
        <v/>
      </c>
      <c r="AT314" s="39" t="str">
        <f t="shared" si="13"/>
        <v/>
      </c>
      <c r="AU314" s="39" t="str">
        <f t="shared" si="14"/>
        <v/>
      </c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 t="str">
        <f t="shared" si="1"/>
        <v/>
      </c>
      <c r="J315" s="22" t="str">
        <f t="shared" si="2"/>
        <v/>
      </c>
      <c r="K315" s="22"/>
      <c r="L315" s="22"/>
      <c r="M315" s="22"/>
      <c r="N315" s="22"/>
      <c r="O315" s="22"/>
      <c r="P315" s="22" t="str">
        <f t="shared" si="4"/>
        <v/>
      </c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39" t="str">
        <f t="array" ref="AB315">IFERROR(INDEX(Bids!$AA:$AA, MATCH(C315&amp;"|"&amp;B315, Bids!$AD:$AD,0)),"")</f>
        <v/>
      </c>
      <c r="AC315" s="39" t="str">
        <f t="array" ref="AC315">IFERROR(INDEX(Bids!$AB:$AB, MATCH(C315&amp;"|"&amp;B315, Bids!$AD:$AD,0)),"")</f>
        <v/>
      </c>
      <c r="AD315" s="39" t="str">
        <f t="array" ref="AD315">IFERROR(INDEX(Bids!$AC:$AC, MATCH(C315&amp;"|"&amp;B315, Bids!$AD:$AD,0)), H315)</f>
        <v/>
      </c>
      <c r="AE315" s="39"/>
      <c r="AG315" s="39"/>
      <c r="AH315" s="39" t="str">
        <f t="shared" si="5"/>
        <v/>
      </c>
      <c r="AI315" s="39" t="str">
        <f t="shared" si="6"/>
        <v/>
      </c>
      <c r="AM315" s="39" t="str">
        <f t="array" ref="AM315">IF(C315="","",IFERROR(XLOOKUP(C315,Orders!$A:$A,Orders!$E:$E,""),""))</f>
        <v/>
      </c>
      <c r="AN315" s="39" t="str">
        <f t="shared" si="7"/>
        <v/>
      </c>
      <c r="AO315" s="39" t="str">
        <f t="shared" si="8"/>
        <v/>
      </c>
      <c r="AP315" s="39" t="str">
        <f t="shared" si="9"/>
        <v/>
      </c>
      <c r="AQ315" s="39" t="str">
        <f t="shared" si="10"/>
        <v/>
      </c>
      <c r="AR315" s="39" t="str">
        <f t="shared" si="11"/>
        <v/>
      </c>
      <c r="AS315" s="39" t="str">
        <f t="shared" si="12"/>
        <v/>
      </c>
      <c r="AT315" s="39" t="str">
        <f t="shared" si="13"/>
        <v/>
      </c>
      <c r="AU315" s="39" t="str">
        <f t="shared" si="14"/>
        <v/>
      </c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 t="str">
        <f t="shared" si="1"/>
        <v/>
      </c>
      <c r="J316" s="22" t="str">
        <f t="shared" si="2"/>
        <v/>
      </c>
      <c r="K316" s="22"/>
      <c r="L316" s="22"/>
      <c r="M316" s="22"/>
      <c r="N316" s="22"/>
      <c r="O316" s="22"/>
      <c r="P316" s="22" t="str">
        <f t="shared" si="4"/>
        <v/>
      </c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39" t="str">
        <f t="array" ref="AB316">IFERROR(INDEX(Bids!$AA:$AA, MATCH(C316&amp;"|"&amp;B316, Bids!$AD:$AD,0)),"")</f>
        <v/>
      </c>
      <c r="AC316" s="39" t="str">
        <f t="array" ref="AC316">IFERROR(INDEX(Bids!$AB:$AB, MATCH(C316&amp;"|"&amp;B316, Bids!$AD:$AD,0)),"")</f>
        <v/>
      </c>
      <c r="AD316" s="39" t="str">
        <f t="array" ref="AD316">IFERROR(INDEX(Bids!$AC:$AC, MATCH(C316&amp;"|"&amp;B316, Bids!$AD:$AD,0)), H316)</f>
        <v/>
      </c>
      <c r="AE316" s="39"/>
      <c r="AG316" s="39"/>
      <c r="AH316" s="39" t="str">
        <f t="shared" si="5"/>
        <v/>
      </c>
      <c r="AI316" s="39" t="str">
        <f t="shared" si="6"/>
        <v/>
      </c>
      <c r="AM316" s="39" t="str">
        <f t="array" ref="AM316">IF(C316="","",IFERROR(XLOOKUP(C316,Orders!$A:$A,Orders!$E:$E,""),""))</f>
        <v/>
      </c>
      <c r="AN316" s="39" t="str">
        <f t="shared" si="7"/>
        <v/>
      </c>
      <c r="AO316" s="39" t="str">
        <f t="shared" si="8"/>
        <v/>
      </c>
      <c r="AP316" s="39" t="str">
        <f t="shared" si="9"/>
        <v/>
      </c>
      <c r="AQ316" s="39" t="str">
        <f t="shared" si="10"/>
        <v/>
      </c>
      <c r="AR316" s="39" t="str">
        <f t="shared" si="11"/>
        <v/>
      </c>
      <c r="AS316" s="39" t="str">
        <f t="shared" si="12"/>
        <v/>
      </c>
      <c r="AT316" s="39" t="str">
        <f t="shared" si="13"/>
        <v/>
      </c>
      <c r="AU316" s="39" t="str">
        <f t="shared" si="14"/>
        <v/>
      </c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 t="str">
        <f t="shared" si="1"/>
        <v/>
      </c>
      <c r="J317" s="22" t="str">
        <f t="shared" si="2"/>
        <v/>
      </c>
      <c r="K317" s="22"/>
      <c r="L317" s="22"/>
      <c r="M317" s="22"/>
      <c r="N317" s="22"/>
      <c r="O317" s="22"/>
      <c r="P317" s="22" t="str">
        <f t="shared" si="4"/>
        <v/>
      </c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39" t="str">
        <f t="array" ref="AB317">IFERROR(INDEX(Bids!$AA:$AA, MATCH(C317&amp;"|"&amp;B317, Bids!$AD:$AD,0)),"")</f>
        <v/>
      </c>
      <c r="AC317" s="39" t="str">
        <f t="array" ref="AC317">IFERROR(INDEX(Bids!$AB:$AB, MATCH(C317&amp;"|"&amp;B317, Bids!$AD:$AD,0)),"")</f>
        <v/>
      </c>
      <c r="AD317" s="39" t="str">
        <f t="array" ref="AD317">IFERROR(INDEX(Bids!$AC:$AC, MATCH(C317&amp;"|"&amp;B317, Bids!$AD:$AD,0)), H317)</f>
        <v/>
      </c>
      <c r="AE317" s="39"/>
      <c r="AG317" s="39"/>
      <c r="AH317" s="39" t="str">
        <f t="shared" si="5"/>
        <v/>
      </c>
      <c r="AI317" s="39" t="str">
        <f t="shared" si="6"/>
        <v/>
      </c>
      <c r="AM317" s="39" t="str">
        <f t="array" ref="AM317">IF(C317="","",IFERROR(XLOOKUP(C317,Orders!$A:$A,Orders!$E:$E,""),""))</f>
        <v/>
      </c>
      <c r="AN317" s="39" t="str">
        <f t="shared" si="7"/>
        <v/>
      </c>
      <c r="AO317" s="39" t="str">
        <f t="shared" si="8"/>
        <v/>
      </c>
      <c r="AP317" s="39" t="str">
        <f t="shared" si="9"/>
        <v/>
      </c>
      <c r="AQ317" s="39" t="str">
        <f t="shared" si="10"/>
        <v/>
      </c>
      <c r="AR317" s="39" t="str">
        <f t="shared" si="11"/>
        <v/>
      </c>
      <c r="AS317" s="39" t="str">
        <f t="shared" si="12"/>
        <v/>
      </c>
      <c r="AT317" s="39" t="str">
        <f t="shared" si="13"/>
        <v/>
      </c>
      <c r="AU317" s="39" t="str">
        <f t="shared" si="14"/>
        <v/>
      </c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 t="str">
        <f t="shared" si="1"/>
        <v/>
      </c>
      <c r="J318" s="22" t="str">
        <f t="shared" si="2"/>
        <v/>
      </c>
      <c r="K318" s="22"/>
      <c r="L318" s="22"/>
      <c r="M318" s="22"/>
      <c r="N318" s="22"/>
      <c r="O318" s="22"/>
      <c r="P318" s="22" t="str">
        <f t="shared" si="4"/>
        <v/>
      </c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39" t="str">
        <f t="array" ref="AB318">IFERROR(INDEX(Bids!$AA:$AA, MATCH(C318&amp;"|"&amp;B318, Bids!$AD:$AD,0)),"")</f>
        <v/>
      </c>
      <c r="AC318" s="39" t="str">
        <f t="array" ref="AC318">IFERROR(INDEX(Bids!$AB:$AB, MATCH(C318&amp;"|"&amp;B318, Bids!$AD:$AD,0)),"")</f>
        <v/>
      </c>
      <c r="AD318" s="39" t="str">
        <f t="array" ref="AD318">IFERROR(INDEX(Bids!$AC:$AC, MATCH(C318&amp;"|"&amp;B318, Bids!$AD:$AD,0)), H318)</f>
        <v/>
      </c>
      <c r="AE318" s="39"/>
      <c r="AG318" s="39"/>
      <c r="AH318" s="39" t="str">
        <f t="shared" si="5"/>
        <v/>
      </c>
      <c r="AI318" s="39" t="str">
        <f t="shared" si="6"/>
        <v/>
      </c>
      <c r="AM318" s="39" t="str">
        <f t="array" ref="AM318">IF(C318="","",IFERROR(XLOOKUP(C318,Orders!$A:$A,Orders!$E:$E,""),""))</f>
        <v/>
      </c>
      <c r="AN318" s="39" t="str">
        <f t="shared" si="7"/>
        <v/>
      </c>
      <c r="AO318" s="39" t="str">
        <f t="shared" si="8"/>
        <v/>
      </c>
      <c r="AP318" s="39" t="str">
        <f t="shared" si="9"/>
        <v/>
      </c>
      <c r="AQ318" s="39" t="str">
        <f t="shared" si="10"/>
        <v/>
      </c>
      <c r="AR318" s="39" t="str">
        <f t="shared" si="11"/>
        <v/>
      </c>
      <c r="AS318" s="39" t="str">
        <f t="shared" si="12"/>
        <v/>
      </c>
      <c r="AT318" s="39" t="str">
        <f t="shared" si="13"/>
        <v/>
      </c>
      <c r="AU318" s="39" t="str">
        <f t="shared" si="14"/>
        <v/>
      </c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 t="str">
        <f t="shared" si="1"/>
        <v/>
      </c>
      <c r="J319" s="22" t="str">
        <f t="shared" si="2"/>
        <v/>
      </c>
      <c r="K319" s="22"/>
      <c r="L319" s="22"/>
      <c r="M319" s="22"/>
      <c r="N319" s="22"/>
      <c r="O319" s="22"/>
      <c r="P319" s="22" t="str">
        <f t="shared" si="4"/>
        <v/>
      </c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39" t="str">
        <f t="array" ref="AB319">IFERROR(INDEX(Bids!$AA:$AA, MATCH(C319&amp;"|"&amp;B319, Bids!$AD:$AD,0)),"")</f>
        <v/>
      </c>
      <c r="AC319" s="39" t="str">
        <f t="array" ref="AC319">IFERROR(INDEX(Bids!$AB:$AB, MATCH(C319&amp;"|"&amp;B319, Bids!$AD:$AD,0)),"")</f>
        <v/>
      </c>
      <c r="AD319" s="39" t="str">
        <f t="array" ref="AD319">IFERROR(INDEX(Bids!$AC:$AC, MATCH(C319&amp;"|"&amp;B319, Bids!$AD:$AD,0)), H319)</f>
        <v/>
      </c>
      <c r="AE319" s="39"/>
      <c r="AG319" s="39"/>
      <c r="AH319" s="39" t="str">
        <f t="shared" si="5"/>
        <v/>
      </c>
      <c r="AI319" s="39" t="str">
        <f t="shared" si="6"/>
        <v/>
      </c>
      <c r="AM319" s="39" t="str">
        <f t="array" ref="AM319">IF(C319="","",IFERROR(XLOOKUP(C319,Orders!$A:$A,Orders!$E:$E,""),""))</f>
        <v/>
      </c>
      <c r="AN319" s="39" t="str">
        <f t="shared" si="7"/>
        <v/>
      </c>
      <c r="AO319" s="39" t="str">
        <f t="shared" si="8"/>
        <v/>
      </c>
      <c r="AP319" s="39" t="str">
        <f t="shared" si="9"/>
        <v/>
      </c>
      <c r="AQ319" s="39" t="str">
        <f t="shared" si="10"/>
        <v/>
      </c>
      <c r="AR319" s="39" t="str">
        <f t="shared" si="11"/>
        <v/>
      </c>
      <c r="AS319" s="39" t="str">
        <f t="shared" si="12"/>
        <v/>
      </c>
      <c r="AT319" s="39" t="str">
        <f t="shared" si="13"/>
        <v/>
      </c>
      <c r="AU319" s="39" t="str">
        <f t="shared" si="14"/>
        <v/>
      </c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 t="str">
        <f t="shared" si="1"/>
        <v/>
      </c>
      <c r="J320" s="22" t="str">
        <f t="shared" si="2"/>
        <v/>
      </c>
      <c r="K320" s="22"/>
      <c r="L320" s="22"/>
      <c r="M320" s="22"/>
      <c r="N320" s="22"/>
      <c r="O320" s="22"/>
      <c r="P320" s="22" t="str">
        <f t="shared" si="4"/>
        <v/>
      </c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39" t="str">
        <f t="array" ref="AB320">IFERROR(INDEX(Bids!$AA:$AA, MATCH(C320&amp;"|"&amp;B320, Bids!$AD:$AD,0)),"")</f>
        <v/>
      </c>
      <c r="AC320" s="39" t="str">
        <f t="array" ref="AC320">IFERROR(INDEX(Bids!$AB:$AB, MATCH(C320&amp;"|"&amp;B320, Bids!$AD:$AD,0)),"")</f>
        <v/>
      </c>
      <c r="AD320" s="39" t="str">
        <f t="array" ref="AD320">IFERROR(INDEX(Bids!$AC:$AC, MATCH(C320&amp;"|"&amp;B320, Bids!$AD:$AD,0)), H320)</f>
        <v/>
      </c>
      <c r="AE320" s="39"/>
      <c r="AG320" s="39"/>
      <c r="AH320" s="39" t="str">
        <f t="shared" si="5"/>
        <v/>
      </c>
      <c r="AI320" s="39" t="str">
        <f t="shared" si="6"/>
        <v/>
      </c>
      <c r="AM320" s="39" t="str">
        <f t="array" ref="AM320">IF(C320="","",IFERROR(XLOOKUP(C320,Orders!$A:$A,Orders!$E:$E,""),""))</f>
        <v/>
      </c>
      <c r="AN320" s="39" t="str">
        <f t="shared" si="7"/>
        <v/>
      </c>
      <c r="AO320" s="39" t="str">
        <f t="shared" si="8"/>
        <v/>
      </c>
      <c r="AP320" s="39" t="str">
        <f t="shared" si="9"/>
        <v/>
      </c>
      <c r="AQ320" s="39" t="str">
        <f t="shared" si="10"/>
        <v/>
      </c>
      <c r="AR320" s="39" t="str">
        <f t="shared" si="11"/>
        <v/>
      </c>
      <c r="AS320" s="39" t="str">
        <f t="shared" si="12"/>
        <v/>
      </c>
      <c r="AT320" s="39" t="str">
        <f t="shared" si="13"/>
        <v/>
      </c>
      <c r="AU320" s="39" t="str">
        <f t="shared" si="14"/>
        <v/>
      </c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 t="str">
        <f t="shared" si="1"/>
        <v/>
      </c>
      <c r="J321" s="22" t="str">
        <f t="shared" si="2"/>
        <v/>
      </c>
      <c r="K321" s="22"/>
      <c r="L321" s="22"/>
      <c r="M321" s="22"/>
      <c r="N321" s="22"/>
      <c r="O321" s="22"/>
      <c r="P321" s="22" t="str">
        <f t="shared" si="4"/>
        <v/>
      </c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39" t="str">
        <f t="array" ref="AB321">IFERROR(INDEX(Bids!$AA:$AA, MATCH(C321&amp;"|"&amp;B321, Bids!$AD:$AD,0)),"")</f>
        <v/>
      </c>
      <c r="AC321" s="39" t="str">
        <f t="array" ref="AC321">IFERROR(INDEX(Bids!$AB:$AB, MATCH(C321&amp;"|"&amp;B321, Bids!$AD:$AD,0)),"")</f>
        <v/>
      </c>
      <c r="AD321" s="39" t="str">
        <f t="array" ref="AD321">IFERROR(INDEX(Bids!$AC:$AC, MATCH(C321&amp;"|"&amp;B321, Bids!$AD:$AD,0)), H321)</f>
        <v/>
      </c>
      <c r="AE321" s="39"/>
      <c r="AG321" s="39"/>
      <c r="AH321" s="39" t="str">
        <f t="shared" si="5"/>
        <v/>
      </c>
      <c r="AI321" s="39" t="str">
        <f t="shared" si="6"/>
        <v/>
      </c>
      <c r="AM321" s="39" t="str">
        <f t="array" ref="AM321">IF(C321="","",IFERROR(XLOOKUP(C321,Orders!$A:$A,Orders!$E:$E,""),""))</f>
        <v/>
      </c>
      <c r="AN321" s="39" t="str">
        <f t="shared" si="7"/>
        <v/>
      </c>
      <c r="AO321" s="39" t="str">
        <f t="shared" si="8"/>
        <v/>
      </c>
      <c r="AP321" s="39" t="str">
        <f t="shared" si="9"/>
        <v/>
      </c>
      <c r="AQ321" s="39" t="str">
        <f t="shared" si="10"/>
        <v/>
      </c>
      <c r="AR321" s="39" t="str">
        <f t="shared" si="11"/>
        <v/>
      </c>
      <c r="AS321" s="39" t="str">
        <f t="shared" si="12"/>
        <v/>
      </c>
      <c r="AT321" s="39" t="str">
        <f t="shared" si="13"/>
        <v/>
      </c>
      <c r="AU321" s="39" t="str">
        <f t="shared" si="14"/>
        <v/>
      </c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 t="str">
        <f t="shared" si="1"/>
        <v/>
      </c>
      <c r="J322" s="22" t="str">
        <f t="shared" si="2"/>
        <v/>
      </c>
      <c r="K322" s="22"/>
      <c r="L322" s="22"/>
      <c r="M322" s="22"/>
      <c r="N322" s="22"/>
      <c r="O322" s="22"/>
      <c r="P322" s="22" t="str">
        <f t="shared" si="4"/>
        <v/>
      </c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39" t="str">
        <f t="array" ref="AB322">IFERROR(INDEX(Bids!$AA:$AA, MATCH(C322&amp;"|"&amp;B322, Bids!$AD:$AD,0)),"")</f>
        <v/>
      </c>
      <c r="AC322" s="39" t="str">
        <f t="array" ref="AC322">IFERROR(INDEX(Bids!$AB:$AB, MATCH(C322&amp;"|"&amp;B322, Bids!$AD:$AD,0)),"")</f>
        <v/>
      </c>
      <c r="AD322" s="39" t="str">
        <f t="array" ref="AD322">IFERROR(INDEX(Bids!$AC:$AC, MATCH(C322&amp;"|"&amp;B322, Bids!$AD:$AD,0)), H322)</f>
        <v/>
      </c>
      <c r="AE322" s="39"/>
      <c r="AG322" s="39"/>
      <c r="AH322" s="39" t="str">
        <f t="shared" si="5"/>
        <v/>
      </c>
      <c r="AI322" s="39" t="str">
        <f t="shared" si="6"/>
        <v/>
      </c>
      <c r="AM322" s="39" t="str">
        <f t="array" ref="AM322">IF(C322="","",IFERROR(XLOOKUP(C322,Orders!$A:$A,Orders!$E:$E,""),""))</f>
        <v/>
      </c>
      <c r="AN322" s="39" t="str">
        <f t="shared" si="7"/>
        <v/>
      </c>
      <c r="AO322" s="39" t="str">
        <f t="shared" si="8"/>
        <v/>
      </c>
      <c r="AP322" s="39" t="str">
        <f t="shared" si="9"/>
        <v/>
      </c>
      <c r="AQ322" s="39" t="str">
        <f t="shared" si="10"/>
        <v/>
      </c>
      <c r="AR322" s="39" t="str">
        <f t="shared" si="11"/>
        <v/>
      </c>
      <c r="AS322" s="39" t="str">
        <f t="shared" si="12"/>
        <v/>
      </c>
      <c r="AT322" s="39" t="str">
        <f t="shared" si="13"/>
        <v/>
      </c>
      <c r="AU322" s="39" t="str">
        <f t="shared" si="14"/>
        <v/>
      </c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 t="str">
        <f t="shared" si="1"/>
        <v/>
      </c>
      <c r="J323" s="22" t="str">
        <f t="shared" si="2"/>
        <v/>
      </c>
      <c r="K323" s="22"/>
      <c r="L323" s="22"/>
      <c r="M323" s="22"/>
      <c r="N323" s="22"/>
      <c r="O323" s="22"/>
      <c r="P323" s="22" t="str">
        <f t="shared" si="4"/>
        <v/>
      </c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39" t="str">
        <f t="array" ref="AB323">IFERROR(INDEX(Bids!$AA:$AA, MATCH(C323&amp;"|"&amp;B323, Bids!$AD:$AD,0)),"")</f>
        <v/>
      </c>
      <c r="AC323" s="39" t="str">
        <f t="array" ref="AC323">IFERROR(INDEX(Bids!$AB:$AB, MATCH(C323&amp;"|"&amp;B323, Bids!$AD:$AD,0)),"")</f>
        <v/>
      </c>
      <c r="AD323" s="39" t="str">
        <f t="array" ref="AD323">IFERROR(INDEX(Bids!$AC:$AC, MATCH(C323&amp;"|"&amp;B323, Bids!$AD:$AD,0)), H323)</f>
        <v/>
      </c>
      <c r="AE323" s="39"/>
      <c r="AG323" s="39"/>
      <c r="AH323" s="39" t="str">
        <f t="shared" si="5"/>
        <v/>
      </c>
      <c r="AI323" s="39" t="str">
        <f t="shared" si="6"/>
        <v/>
      </c>
      <c r="AM323" s="39" t="str">
        <f t="array" ref="AM323">IF(C323="","",IFERROR(XLOOKUP(C323,Orders!$A:$A,Orders!$E:$E,""),""))</f>
        <v/>
      </c>
      <c r="AN323" s="39" t="str">
        <f t="shared" si="7"/>
        <v/>
      </c>
      <c r="AO323" s="39" t="str">
        <f t="shared" si="8"/>
        <v/>
      </c>
      <c r="AP323" s="39" t="str">
        <f t="shared" si="9"/>
        <v/>
      </c>
      <c r="AQ323" s="39" t="str">
        <f t="shared" si="10"/>
        <v/>
      </c>
      <c r="AR323" s="39" t="str">
        <f t="shared" si="11"/>
        <v/>
      </c>
      <c r="AS323" s="39" t="str">
        <f t="shared" si="12"/>
        <v/>
      </c>
      <c r="AT323" s="39" t="str">
        <f t="shared" si="13"/>
        <v/>
      </c>
      <c r="AU323" s="39" t="str">
        <f t="shared" si="14"/>
        <v/>
      </c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 t="str">
        <f t="shared" si="1"/>
        <v/>
      </c>
      <c r="J324" s="22" t="str">
        <f t="shared" si="2"/>
        <v/>
      </c>
      <c r="K324" s="22"/>
      <c r="L324" s="22"/>
      <c r="M324" s="22"/>
      <c r="N324" s="22"/>
      <c r="O324" s="22"/>
      <c r="P324" s="22" t="str">
        <f t="shared" si="4"/>
        <v/>
      </c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39" t="str">
        <f t="array" ref="AB324">IFERROR(INDEX(Bids!$AA:$AA, MATCH(C324&amp;"|"&amp;B324, Bids!$AD:$AD,0)),"")</f>
        <v/>
      </c>
      <c r="AC324" s="39" t="str">
        <f t="array" ref="AC324">IFERROR(INDEX(Bids!$AB:$AB, MATCH(C324&amp;"|"&amp;B324, Bids!$AD:$AD,0)),"")</f>
        <v/>
      </c>
      <c r="AD324" s="39" t="str">
        <f t="array" ref="AD324">IFERROR(INDEX(Bids!$AC:$AC, MATCH(C324&amp;"|"&amp;B324, Bids!$AD:$AD,0)), H324)</f>
        <v/>
      </c>
      <c r="AE324" s="39"/>
      <c r="AG324" s="39"/>
      <c r="AH324" s="39" t="str">
        <f t="shared" si="5"/>
        <v/>
      </c>
      <c r="AI324" s="39" t="str">
        <f t="shared" si="6"/>
        <v/>
      </c>
      <c r="AM324" s="39" t="str">
        <f t="array" ref="AM324">IF(C324="","",IFERROR(XLOOKUP(C324,Orders!$A:$A,Orders!$E:$E,""),""))</f>
        <v/>
      </c>
      <c r="AN324" s="39" t="str">
        <f t="shared" si="7"/>
        <v/>
      </c>
      <c r="AO324" s="39" t="str">
        <f t="shared" si="8"/>
        <v/>
      </c>
      <c r="AP324" s="39" t="str">
        <f t="shared" si="9"/>
        <v/>
      </c>
      <c r="AQ324" s="39" t="str">
        <f t="shared" si="10"/>
        <v/>
      </c>
      <c r="AR324" s="39" t="str">
        <f t="shared" si="11"/>
        <v/>
      </c>
      <c r="AS324" s="39" t="str">
        <f t="shared" si="12"/>
        <v/>
      </c>
      <c r="AT324" s="39" t="str">
        <f t="shared" si="13"/>
        <v/>
      </c>
      <c r="AU324" s="39" t="str">
        <f t="shared" si="14"/>
        <v/>
      </c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 t="str">
        <f t="shared" si="1"/>
        <v/>
      </c>
      <c r="J325" s="22" t="str">
        <f t="shared" si="2"/>
        <v/>
      </c>
      <c r="K325" s="22"/>
      <c r="L325" s="22"/>
      <c r="M325" s="22"/>
      <c r="N325" s="22"/>
      <c r="O325" s="22"/>
      <c r="P325" s="22" t="str">
        <f t="shared" si="4"/>
        <v/>
      </c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39" t="str">
        <f t="array" ref="AB325">IFERROR(INDEX(Bids!$AA:$AA, MATCH(C325&amp;"|"&amp;B325, Bids!$AD:$AD,0)),"")</f>
        <v/>
      </c>
      <c r="AC325" s="39" t="str">
        <f t="array" ref="AC325">IFERROR(INDEX(Bids!$AB:$AB, MATCH(C325&amp;"|"&amp;B325, Bids!$AD:$AD,0)),"")</f>
        <v/>
      </c>
      <c r="AD325" s="39" t="str">
        <f t="array" ref="AD325">IFERROR(INDEX(Bids!$AC:$AC, MATCH(C325&amp;"|"&amp;B325, Bids!$AD:$AD,0)), H325)</f>
        <v/>
      </c>
      <c r="AE325" s="39"/>
      <c r="AG325" s="39"/>
      <c r="AH325" s="39" t="str">
        <f t="shared" si="5"/>
        <v/>
      </c>
      <c r="AI325" s="39" t="str">
        <f t="shared" si="6"/>
        <v/>
      </c>
      <c r="AM325" s="39" t="str">
        <f t="array" ref="AM325">IF(C325="","",IFERROR(XLOOKUP(C325,Orders!$A:$A,Orders!$E:$E,""),""))</f>
        <v/>
      </c>
      <c r="AN325" s="39" t="str">
        <f t="shared" si="7"/>
        <v/>
      </c>
      <c r="AO325" s="39" t="str">
        <f t="shared" si="8"/>
        <v/>
      </c>
      <c r="AP325" s="39" t="str">
        <f t="shared" si="9"/>
        <v/>
      </c>
      <c r="AQ325" s="39" t="str">
        <f t="shared" si="10"/>
        <v/>
      </c>
      <c r="AR325" s="39" t="str">
        <f t="shared" si="11"/>
        <v/>
      </c>
      <c r="AS325" s="39" t="str">
        <f t="shared" si="12"/>
        <v/>
      </c>
      <c r="AT325" s="39" t="str">
        <f t="shared" si="13"/>
        <v/>
      </c>
      <c r="AU325" s="39" t="str">
        <f t="shared" si="14"/>
        <v/>
      </c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 t="str">
        <f t="shared" si="1"/>
        <v/>
      </c>
      <c r="J326" s="22" t="str">
        <f t="shared" si="2"/>
        <v/>
      </c>
      <c r="K326" s="22"/>
      <c r="L326" s="22"/>
      <c r="M326" s="22"/>
      <c r="N326" s="22"/>
      <c r="O326" s="22"/>
      <c r="P326" s="22" t="str">
        <f t="shared" si="4"/>
        <v/>
      </c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39" t="str">
        <f t="array" ref="AB326">IFERROR(INDEX(Bids!$AA:$AA, MATCH(C326&amp;"|"&amp;B326, Bids!$AD:$AD,0)),"")</f>
        <v/>
      </c>
      <c r="AC326" s="39" t="str">
        <f t="array" ref="AC326">IFERROR(INDEX(Bids!$AB:$AB, MATCH(C326&amp;"|"&amp;B326, Bids!$AD:$AD,0)),"")</f>
        <v/>
      </c>
      <c r="AD326" s="39" t="str">
        <f t="array" ref="AD326">IFERROR(INDEX(Bids!$AC:$AC, MATCH(C326&amp;"|"&amp;B326, Bids!$AD:$AD,0)), H326)</f>
        <v/>
      </c>
      <c r="AE326" s="39"/>
      <c r="AG326" s="39"/>
      <c r="AH326" s="39" t="str">
        <f t="shared" si="5"/>
        <v/>
      </c>
      <c r="AI326" s="39" t="str">
        <f t="shared" si="6"/>
        <v/>
      </c>
      <c r="AM326" s="39" t="str">
        <f t="array" ref="AM326">IF(C326="","",IFERROR(XLOOKUP(C326,Orders!$A:$A,Orders!$E:$E,""),""))</f>
        <v/>
      </c>
      <c r="AN326" s="39" t="str">
        <f t="shared" si="7"/>
        <v/>
      </c>
      <c r="AO326" s="39" t="str">
        <f t="shared" si="8"/>
        <v/>
      </c>
      <c r="AP326" s="39" t="str">
        <f t="shared" si="9"/>
        <v/>
      </c>
      <c r="AQ326" s="39" t="str">
        <f t="shared" si="10"/>
        <v/>
      </c>
      <c r="AR326" s="39" t="str">
        <f t="shared" si="11"/>
        <v/>
      </c>
      <c r="AS326" s="39" t="str">
        <f t="shared" si="12"/>
        <v/>
      </c>
      <c r="AT326" s="39" t="str">
        <f t="shared" si="13"/>
        <v/>
      </c>
      <c r="AU326" s="39" t="str">
        <f t="shared" si="14"/>
        <v/>
      </c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 t="str">
        <f t="shared" si="1"/>
        <v/>
      </c>
      <c r="J327" s="22" t="str">
        <f t="shared" si="2"/>
        <v/>
      </c>
      <c r="K327" s="22"/>
      <c r="L327" s="22"/>
      <c r="M327" s="22"/>
      <c r="N327" s="22"/>
      <c r="O327" s="22"/>
      <c r="P327" s="22" t="str">
        <f t="shared" si="4"/>
        <v/>
      </c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39" t="str">
        <f t="array" ref="AB327">IFERROR(INDEX(Bids!$AA:$AA, MATCH(C327&amp;"|"&amp;B327, Bids!$AD:$AD,0)),"")</f>
        <v/>
      </c>
      <c r="AC327" s="39" t="str">
        <f t="array" ref="AC327">IFERROR(INDEX(Bids!$AB:$AB, MATCH(C327&amp;"|"&amp;B327, Bids!$AD:$AD,0)),"")</f>
        <v/>
      </c>
      <c r="AD327" s="39" t="str">
        <f t="array" ref="AD327">IFERROR(INDEX(Bids!$AC:$AC, MATCH(C327&amp;"|"&amp;B327, Bids!$AD:$AD,0)), H327)</f>
        <v/>
      </c>
      <c r="AE327" s="39"/>
      <c r="AG327" s="39"/>
      <c r="AH327" s="39" t="str">
        <f t="shared" si="5"/>
        <v/>
      </c>
      <c r="AI327" s="39" t="str">
        <f t="shared" si="6"/>
        <v/>
      </c>
      <c r="AM327" s="39" t="str">
        <f t="array" ref="AM327">IF(C327="","",IFERROR(XLOOKUP(C327,Orders!$A:$A,Orders!$E:$E,""),""))</f>
        <v/>
      </c>
      <c r="AN327" s="39" t="str">
        <f t="shared" si="7"/>
        <v/>
      </c>
      <c r="AO327" s="39" t="str">
        <f t="shared" si="8"/>
        <v/>
      </c>
      <c r="AP327" s="39" t="str">
        <f t="shared" si="9"/>
        <v/>
      </c>
      <c r="AQ327" s="39" t="str">
        <f t="shared" si="10"/>
        <v/>
      </c>
      <c r="AR327" s="39" t="str">
        <f t="shared" si="11"/>
        <v/>
      </c>
      <c r="AS327" s="39" t="str">
        <f t="shared" si="12"/>
        <v/>
      </c>
      <c r="AT327" s="39" t="str">
        <f t="shared" si="13"/>
        <v/>
      </c>
      <c r="AU327" s="39" t="str">
        <f t="shared" si="14"/>
        <v/>
      </c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 t="str">
        <f t="shared" si="1"/>
        <v/>
      </c>
      <c r="J328" s="22" t="str">
        <f t="shared" si="2"/>
        <v/>
      </c>
      <c r="K328" s="22"/>
      <c r="L328" s="22"/>
      <c r="M328" s="22"/>
      <c r="N328" s="22"/>
      <c r="O328" s="22"/>
      <c r="P328" s="22" t="str">
        <f t="shared" si="4"/>
        <v/>
      </c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39" t="str">
        <f t="array" ref="AB328">IFERROR(INDEX(Bids!$AA:$AA, MATCH(C328&amp;"|"&amp;B328, Bids!$AD:$AD,0)),"")</f>
        <v/>
      </c>
      <c r="AC328" s="39" t="str">
        <f t="array" ref="AC328">IFERROR(INDEX(Bids!$AB:$AB, MATCH(C328&amp;"|"&amp;B328, Bids!$AD:$AD,0)),"")</f>
        <v/>
      </c>
      <c r="AD328" s="39" t="str">
        <f t="array" ref="AD328">IFERROR(INDEX(Bids!$AC:$AC, MATCH(C328&amp;"|"&amp;B328, Bids!$AD:$AD,0)), H328)</f>
        <v/>
      </c>
      <c r="AE328" s="39"/>
      <c r="AG328" s="39"/>
      <c r="AH328" s="39" t="str">
        <f t="shared" si="5"/>
        <v/>
      </c>
      <c r="AI328" s="39" t="str">
        <f t="shared" si="6"/>
        <v/>
      </c>
      <c r="AM328" s="39" t="str">
        <f t="array" ref="AM328">IF(C328="","",IFERROR(XLOOKUP(C328,Orders!$A:$A,Orders!$E:$E,""),""))</f>
        <v/>
      </c>
      <c r="AN328" s="39" t="str">
        <f t="shared" si="7"/>
        <v/>
      </c>
      <c r="AO328" s="39" t="str">
        <f t="shared" si="8"/>
        <v/>
      </c>
      <c r="AP328" s="39" t="str">
        <f t="shared" si="9"/>
        <v/>
      </c>
      <c r="AQ328" s="39" t="str">
        <f t="shared" si="10"/>
        <v/>
      </c>
      <c r="AR328" s="39" t="str">
        <f t="shared" si="11"/>
        <v/>
      </c>
      <c r="AS328" s="39" t="str">
        <f t="shared" si="12"/>
        <v/>
      </c>
      <c r="AT328" s="39" t="str">
        <f t="shared" si="13"/>
        <v/>
      </c>
      <c r="AU328" s="39" t="str">
        <f t="shared" si="14"/>
        <v/>
      </c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 t="str">
        <f t="shared" si="1"/>
        <v/>
      </c>
      <c r="J329" s="22" t="str">
        <f t="shared" si="2"/>
        <v/>
      </c>
      <c r="K329" s="22"/>
      <c r="L329" s="22"/>
      <c r="M329" s="22"/>
      <c r="N329" s="22"/>
      <c r="O329" s="22"/>
      <c r="P329" s="22" t="str">
        <f t="shared" si="4"/>
        <v/>
      </c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39" t="str">
        <f t="array" ref="AB329">IFERROR(INDEX(Bids!$AA:$AA, MATCH(C329&amp;"|"&amp;B329, Bids!$AD:$AD,0)),"")</f>
        <v/>
      </c>
      <c r="AC329" s="39" t="str">
        <f t="array" ref="AC329">IFERROR(INDEX(Bids!$AB:$AB, MATCH(C329&amp;"|"&amp;B329, Bids!$AD:$AD,0)),"")</f>
        <v/>
      </c>
      <c r="AD329" s="39" t="str">
        <f t="array" ref="AD329">IFERROR(INDEX(Bids!$AC:$AC, MATCH(C329&amp;"|"&amp;B329, Bids!$AD:$AD,0)), H329)</f>
        <v/>
      </c>
      <c r="AE329" s="39"/>
      <c r="AG329" s="39"/>
      <c r="AH329" s="39" t="str">
        <f t="shared" si="5"/>
        <v/>
      </c>
      <c r="AI329" s="39" t="str">
        <f t="shared" si="6"/>
        <v/>
      </c>
      <c r="AM329" s="39" t="str">
        <f t="array" ref="AM329">IF(C329="","",IFERROR(XLOOKUP(C329,Orders!$A:$A,Orders!$E:$E,""),""))</f>
        <v/>
      </c>
      <c r="AN329" s="39" t="str">
        <f t="shared" si="7"/>
        <v/>
      </c>
      <c r="AO329" s="39" t="str">
        <f t="shared" si="8"/>
        <v/>
      </c>
      <c r="AP329" s="39" t="str">
        <f t="shared" si="9"/>
        <v/>
      </c>
      <c r="AQ329" s="39" t="str">
        <f t="shared" si="10"/>
        <v/>
      </c>
      <c r="AR329" s="39" t="str">
        <f t="shared" si="11"/>
        <v/>
      </c>
      <c r="AS329" s="39" t="str">
        <f t="shared" si="12"/>
        <v/>
      </c>
      <c r="AT329" s="39" t="str">
        <f t="shared" si="13"/>
        <v/>
      </c>
      <c r="AU329" s="39" t="str">
        <f t="shared" si="14"/>
        <v/>
      </c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 t="str">
        <f t="shared" si="1"/>
        <v/>
      </c>
      <c r="J330" s="22" t="str">
        <f t="shared" si="2"/>
        <v/>
      </c>
      <c r="K330" s="22"/>
      <c r="L330" s="22"/>
      <c r="M330" s="22"/>
      <c r="N330" s="22"/>
      <c r="O330" s="22"/>
      <c r="P330" s="22" t="str">
        <f t="shared" si="4"/>
        <v/>
      </c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39" t="str">
        <f t="array" ref="AB330">IFERROR(INDEX(Bids!$AA:$AA, MATCH(C330&amp;"|"&amp;B330, Bids!$AD:$AD,0)),"")</f>
        <v/>
      </c>
      <c r="AC330" s="39" t="str">
        <f t="array" ref="AC330">IFERROR(INDEX(Bids!$AB:$AB, MATCH(C330&amp;"|"&amp;B330, Bids!$AD:$AD,0)),"")</f>
        <v/>
      </c>
      <c r="AD330" s="39" t="str">
        <f t="array" ref="AD330">IFERROR(INDEX(Bids!$AC:$AC, MATCH(C330&amp;"|"&amp;B330, Bids!$AD:$AD,0)), H330)</f>
        <v/>
      </c>
      <c r="AE330" s="39"/>
      <c r="AG330" s="39"/>
      <c r="AH330" s="39" t="str">
        <f t="shared" si="5"/>
        <v/>
      </c>
      <c r="AI330" s="39" t="str">
        <f t="shared" si="6"/>
        <v/>
      </c>
      <c r="AM330" s="39" t="str">
        <f t="array" ref="AM330">IF(C330="","",IFERROR(XLOOKUP(C330,Orders!$A:$A,Orders!$E:$E,""),""))</f>
        <v/>
      </c>
      <c r="AN330" s="39" t="str">
        <f t="shared" si="7"/>
        <v/>
      </c>
      <c r="AO330" s="39" t="str">
        <f t="shared" si="8"/>
        <v/>
      </c>
      <c r="AP330" s="39" t="str">
        <f t="shared" si="9"/>
        <v/>
      </c>
      <c r="AQ330" s="39" t="str">
        <f t="shared" si="10"/>
        <v/>
      </c>
      <c r="AR330" s="39" t="str">
        <f t="shared" si="11"/>
        <v/>
      </c>
      <c r="AS330" s="39" t="str">
        <f t="shared" si="12"/>
        <v/>
      </c>
      <c r="AT330" s="39" t="str">
        <f t="shared" si="13"/>
        <v/>
      </c>
      <c r="AU330" s="39" t="str">
        <f t="shared" si="14"/>
        <v/>
      </c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 t="str">
        <f t="shared" si="1"/>
        <v/>
      </c>
      <c r="J331" s="22" t="str">
        <f t="shared" si="2"/>
        <v/>
      </c>
      <c r="K331" s="22"/>
      <c r="L331" s="22"/>
      <c r="M331" s="22"/>
      <c r="N331" s="22"/>
      <c r="O331" s="22"/>
      <c r="P331" s="22" t="str">
        <f t="shared" si="4"/>
        <v/>
      </c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39" t="str">
        <f t="array" ref="AB331">IFERROR(INDEX(Bids!$AA:$AA, MATCH(C331&amp;"|"&amp;B331, Bids!$AD:$AD,0)),"")</f>
        <v/>
      </c>
      <c r="AC331" s="39" t="str">
        <f t="array" ref="AC331">IFERROR(INDEX(Bids!$AB:$AB, MATCH(C331&amp;"|"&amp;B331, Bids!$AD:$AD,0)),"")</f>
        <v/>
      </c>
      <c r="AD331" s="39" t="str">
        <f t="array" ref="AD331">IFERROR(INDEX(Bids!$AC:$AC, MATCH(C331&amp;"|"&amp;B331, Bids!$AD:$AD,0)), H331)</f>
        <v/>
      </c>
      <c r="AE331" s="39"/>
      <c r="AG331" s="39"/>
      <c r="AH331" s="39" t="str">
        <f t="shared" si="5"/>
        <v/>
      </c>
      <c r="AI331" s="39" t="str">
        <f t="shared" si="6"/>
        <v/>
      </c>
      <c r="AM331" s="39" t="str">
        <f t="array" ref="AM331">IF(C331="","",IFERROR(XLOOKUP(C331,Orders!$A:$A,Orders!$E:$E,""),""))</f>
        <v/>
      </c>
      <c r="AN331" s="39" t="str">
        <f t="shared" si="7"/>
        <v/>
      </c>
      <c r="AO331" s="39" t="str">
        <f t="shared" si="8"/>
        <v/>
      </c>
      <c r="AP331" s="39" t="str">
        <f t="shared" si="9"/>
        <v/>
      </c>
      <c r="AQ331" s="39" t="str">
        <f t="shared" si="10"/>
        <v/>
      </c>
      <c r="AR331" s="39" t="str">
        <f t="shared" si="11"/>
        <v/>
      </c>
      <c r="AS331" s="39" t="str">
        <f t="shared" si="12"/>
        <v/>
      </c>
      <c r="AT331" s="39" t="str">
        <f t="shared" si="13"/>
        <v/>
      </c>
      <c r="AU331" s="39" t="str">
        <f t="shared" si="14"/>
        <v/>
      </c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 t="str">
        <f t="shared" si="1"/>
        <v/>
      </c>
      <c r="J332" s="22" t="str">
        <f t="shared" si="2"/>
        <v/>
      </c>
      <c r="K332" s="22"/>
      <c r="L332" s="22"/>
      <c r="M332" s="22"/>
      <c r="N332" s="22"/>
      <c r="O332" s="22"/>
      <c r="P332" s="22" t="str">
        <f t="shared" si="4"/>
        <v/>
      </c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39" t="str">
        <f t="array" ref="AB332">IFERROR(INDEX(Bids!$AA:$AA, MATCH(C332&amp;"|"&amp;B332, Bids!$AD:$AD,0)),"")</f>
        <v/>
      </c>
      <c r="AC332" s="39" t="str">
        <f t="array" ref="AC332">IFERROR(INDEX(Bids!$AB:$AB, MATCH(C332&amp;"|"&amp;B332, Bids!$AD:$AD,0)),"")</f>
        <v/>
      </c>
      <c r="AD332" s="39" t="str">
        <f t="array" ref="AD332">IFERROR(INDEX(Bids!$AC:$AC, MATCH(C332&amp;"|"&amp;B332, Bids!$AD:$AD,0)), H332)</f>
        <v/>
      </c>
      <c r="AE332" s="39"/>
      <c r="AG332" s="39"/>
      <c r="AH332" s="39" t="str">
        <f t="shared" si="5"/>
        <v/>
      </c>
      <c r="AI332" s="39" t="str">
        <f t="shared" si="6"/>
        <v/>
      </c>
      <c r="AM332" s="39" t="str">
        <f t="array" ref="AM332">IF(C332="","",IFERROR(XLOOKUP(C332,Orders!$A:$A,Orders!$E:$E,""),""))</f>
        <v/>
      </c>
      <c r="AN332" s="39" t="str">
        <f t="shared" si="7"/>
        <v/>
      </c>
      <c r="AO332" s="39" t="str">
        <f t="shared" si="8"/>
        <v/>
      </c>
      <c r="AP332" s="39" t="str">
        <f t="shared" si="9"/>
        <v/>
      </c>
      <c r="AQ332" s="39" t="str">
        <f t="shared" si="10"/>
        <v/>
      </c>
      <c r="AR332" s="39" t="str">
        <f t="shared" si="11"/>
        <v/>
      </c>
      <c r="AS332" s="39" t="str">
        <f t="shared" si="12"/>
        <v/>
      </c>
      <c r="AT332" s="39" t="str">
        <f t="shared" si="13"/>
        <v/>
      </c>
      <c r="AU332" s="39" t="str">
        <f t="shared" si="14"/>
        <v/>
      </c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 t="str">
        <f t="shared" si="1"/>
        <v/>
      </c>
      <c r="J333" s="22" t="str">
        <f t="shared" si="2"/>
        <v/>
      </c>
      <c r="K333" s="22"/>
      <c r="L333" s="22"/>
      <c r="M333" s="22"/>
      <c r="N333" s="22"/>
      <c r="O333" s="22"/>
      <c r="P333" s="22" t="str">
        <f t="shared" si="4"/>
        <v/>
      </c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39" t="str">
        <f t="array" ref="AB333">IFERROR(INDEX(Bids!$AA:$AA, MATCH(C333&amp;"|"&amp;B333, Bids!$AD:$AD,0)),"")</f>
        <v/>
      </c>
      <c r="AC333" s="39" t="str">
        <f t="array" ref="AC333">IFERROR(INDEX(Bids!$AB:$AB, MATCH(C333&amp;"|"&amp;B333, Bids!$AD:$AD,0)),"")</f>
        <v/>
      </c>
      <c r="AD333" s="39" t="str">
        <f t="array" ref="AD333">IFERROR(INDEX(Bids!$AC:$AC, MATCH(C333&amp;"|"&amp;B333, Bids!$AD:$AD,0)), H333)</f>
        <v/>
      </c>
      <c r="AE333" s="39"/>
      <c r="AG333" s="39"/>
      <c r="AH333" s="39" t="str">
        <f t="shared" si="5"/>
        <v/>
      </c>
      <c r="AI333" s="39" t="str">
        <f t="shared" si="6"/>
        <v/>
      </c>
      <c r="AM333" s="39" t="str">
        <f t="array" ref="AM333">IF(C333="","",IFERROR(XLOOKUP(C333,Orders!$A:$A,Orders!$E:$E,""),""))</f>
        <v/>
      </c>
      <c r="AN333" s="39" t="str">
        <f t="shared" si="7"/>
        <v/>
      </c>
      <c r="AO333" s="39" t="str">
        <f t="shared" si="8"/>
        <v/>
      </c>
      <c r="AP333" s="39" t="str">
        <f t="shared" si="9"/>
        <v/>
      </c>
      <c r="AQ333" s="39" t="str">
        <f t="shared" si="10"/>
        <v/>
      </c>
      <c r="AR333" s="39" t="str">
        <f t="shared" si="11"/>
        <v/>
      </c>
      <c r="AS333" s="39" t="str">
        <f t="shared" si="12"/>
        <v/>
      </c>
      <c r="AT333" s="39" t="str">
        <f t="shared" si="13"/>
        <v/>
      </c>
      <c r="AU333" s="39" t="str">
        <f t="shared" si="14"/>
        <v/>
      </c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 t="str">
        <f t="shared" si="1"/>
        <v/>
      </c>
      <c r="J334" s="22" t="str">
        <f t="shared" si="2"/>
        <v/>
      </c>
      <c r="K334" s="22"/>
      <c r="L334" s="22"/>
      <c r="M334" s="22"/>
      <c r="N334" s="22"/>
      <c r="O334" s="22"/>
      <c r="P334" s="22" t="str">
        <f t="shared" si="4"/>
        <v/>
      </c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39" t="str">
        <f t="array" ref="AB334">IFERROR(INDEX(Bids!$AA:$AA, MATCH(C334&amp;"|"&amp;B334, Bids!$AD:$AD,0)),"")</f>
        <v/>
      </c>
      <c r="AC334" s="39" t="str">
        <f t="array" ref="AC334">IFERROR(INDEX(Bids!$AB:$AB, MATCH(C334&amp;"|"&amp;B334, Bids!$AD:$AD,0)),"")</f>
        <v/>
      </c>
      <c r="AD334" s="39" t="str">
        <f t="array" ref="AD334">IFERROR(INDEX(Bids!$AC:$AC, MATCH(C334&amp;"|"&amp;B334, Bids!$AD:$AD,0)), H334)</f>
        <v/>
      </c>
      <c r="AE334" s="39"/>
      <c r="AG334" s="39"/>
      <c r="AH334" s="39" t="str">
        <f t="shared" si="5"/>
        <v/>
      </c>
      <c r="AI334" s="39" t="str">
        <f t="shared" si="6"/>
        <v/>
      </c>
      <c r="AM334" s="39" t="str">
        <f t="array" ref="AM334">IF(C334="","",IFERROR(XLOOKUP(C334,Orders!$A:$A,Orders!$E:$E,""),""))</f>
        <v/>
      </c>
      <c r="AN334" s="39" t="str">
        <f t="shared" si="7"/>
        <v/>
      </c>
      <c r="AO334" s="39" t="str">
        <f t="shared" si="8"/>
        <v/>
      </c>
      <c r="AP334" s="39" t="str">
        <f t="shared" si="9"/>
        <v/>
      </c>
      <c r="AQ334" s="39" t="str">
        <f t="shared" si="10"/>
        <v/>
      </c>
      <c r="AR334" s="39" t="str">
        <f t="shared" si="11"/>
        <v/>
      </c>
      <c r="AS334" s="39" t="str">
        <f t="shared" si="12"/>
        <v/>
      </c>
      <c r="AT334" s="39" t="str">
        <f t="shared" si="13"/>
        <v/>
      </c>
      <c r="AU334" s="39" t="str">
        <f t="shared" si="14"/>
        <v/>
      </c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 t="str">
        <f t="shared" si="1"/>
        <v/>
      </c>
      <c r="J335" s="22" t="str">
        <f t="shared" si="2"/>
        <v/>
      </c>
      <c r="K335" s="22"/>
      <c r="L335" s="22"/>
      <c r="M335" s="22"/>
      <c r="N335" s="22"/>
      <c r="O335" s="22"/>
      <c r="P335" s="22" t="str">
        <f t="shared" si="4"/>
        <v/>
      </c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39" t="str">
        <f t="array" ref="AB335">IFERROR(INDEX(Bids!$AA:$AA, MATCH(C335&amp;"|"&amp;B335, Bids!$AD:$AD,0)),"")</f>
        <v/>
      </c>
      <c r="AC335" s="39" t="str">
        <f t="array" ref="AC335">IFERROR(INDEX(Bids!$AB:$AB, MATCH(C335&amp;"|"&amp;B335, Bids!$AD:$AD,0)),"")</f>
        <v/>
      </c>
      <c r="AD335" s="39" t="str">
        <f t="array" ref="AD335">IFERROR(INDEX(Bids!$AC:$AC, MATCH(C335&amp;"|"&amp;B335, Bids!$AD:$AD,0)), H335)</f>
        <v/>
      </c>
      <c r="AE335" s="39"/>
      <c r="AG335" s="39"/>
      <c r="AH335" s="39" t="str">
        <f t="shared" si="5"/>
        <v/>
      </c>
      <c r="AI335" s="39" t="str">
        <f t="shared" si="6"/>
        <v/>
      </c>
      <c r="AM335" s="39" t="str">
        <f t="array" ref="AM335">IF(C335="","",IFERROR(XLOOKUP(C335,Orders!$A:$A,Orders!$E:$E,""),""))</f>
        <v/>
      </c>
      <c r="AN335" s="39" t="str">
        <f t="shared" si="7"/>
        <v/>
      </c>
      <c r="AO335" s="39" t="str">
        <f t="shared" si="8"/>
        <v/>
      </c>
      <c r="AP335" s="39" t="str">
        <f t="shared" si="9"/>
        <v/>
      </c>
      <c r="AQ335" s="39" t="str">
        <f t="shared" si="10"/>
        <v/>
      </c>
      <c r="AR335" s="39" t="str">
        <f t="shared" si="11"/>
        <v/>
      </c>
      <c r="AS335" s="39" t="str">
        <f t="shared" si="12"/>
        <v/>
      </c>
      <c r="AT335" s="39" t="str">
        <f t="shared" si="13"/>
        <v/>
      </c>
      <c r="AU335" s="39" t="str">
        <f t="shared" si="14"/>
        <v/>
      </c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 t="str">
        <f t="shared" si="1"/>
        <v/>
      </c>
      <c r="J336" s="22" t="str">
        <f t="shared" si="2"/>
        <v/>
      </c>
      <c r="K336" s="22"/>
      <c r="L336" s="22"/>
      <c r="M336" s="22"/>
      <c r="N336" s="22"/>
      <c r="O336" s="22"/>
      <c r="P336" s="22" t="str">
        <f t="shared" si="4"/>
        <v/>
      </c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39" t="str">
        <f t="array" ref="AB336">IFERROR(INDEX(Bids!$AA:$AA, MATCH(C336&amp;"|"&amp;B336, Bids!$AD:$AD,0)),"")</f>
        <v/>
      </c>
      <c r="AC336" s="39" t="str">
        <f t="array" ref="AC336">IFERROR(INDEX(Bids!$AB:$AB, MATCH(C336&amp;"|"&amp;B336, Bids!$AD:$AD,0)),"")</f>
        <v/>
      </c>
      <c r="AD336" s="39" t="str">
        <f t="array" ref="AD336">IFERROR(INDEX(Bids!$AC:$AC, MATCH(C336&amp;"|"&amp;B336, Bids!$AD:$AD,0)), H336)</f>
        <v/>
      </c>
      <c r="AE336" s="39"/>
      <c r="AG336" s="39"/>
      <c r="AH336" s="39" t="str">
        <f t="shared" si="5"/>
        <v/>
      </c>
      <c r="AI336" s="39" t="str">
        <f t="shared" si="6"/>
        <v/>
      </c>
      <c r="AM336" s="39" t="str">
        <f t="array" ref="AM336">IF(C336="","",IFERROR(XLOOKUP(C336,Orders!$A:$A,Orders!$E:$E,""),""))</f>
        <v/>
      </c>
      <c r="AN336" s="39" t="str">
        <f t="shared" si="7"/>
        <v/>
      </c>
      <c r="AO336" s="39" t="str">
        <f t="shared" si="8"/>
        <v/>
      </c>
      <c r="AP336" s="39" t="str">
        <f t="shared" si="9"/>
        <v/>
      </c>
      <c r="AQ336" s="39" t="str">
        <f t="shared" si="10"/>
        <v/>
      </c>
      <c r="AR336" s="39" t="str">
        <f t="shared" si="11"/>
        <v/>
      </c>
      <c r="AS336" s="39" t="str">
        <f t="shared" si="12"/>
        <v/>
      </c>
      <c r="AT336" s="39" t="str">
        <f t="shared" si="13"/>
        <v/>
      </c>
      <c r="AU336" s="39" t="str">
        <f t="shared" si="14"/>
        <v/>
      </c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 t="str">
        <f t="shared" si="1"/>
        <v/>
      </c>
      <c r="J337" s="22" t="str">
        <f t="shared" si="2"/>
        <v/>
      </c>
      <c r="K337" s="22"/>
      <c r="L337" s="22"/>
      <c r="M337" s="22"/>
      <c r="N337" s="22"/>
      <c r="O337" s="22"/>
      <c r="P337" s="22" t="str">
        <f t="shared" si="4"/>
        <v/>
      </c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39" t="str">
        <f t="array" ref="AB337">IFERROR(INDEX(Bids!$AA:$AA, MATCH(C337&amp;"|"&amp;B337, Bids!$AD:$AD,0)),"")</f>
        <v/>
      </c>
      <c r="AC337" s="39" t="str">
        <f t="array" ref="AC337">IFERROR(INDEX(Bids!$AB:$AB, MATCH(C337&amp;"|"&amp;B337, Bids!$AD:$AD,0)),"")</f>
        <v/>
      </c>
      <c r="AD337" s="39" t="str">
        <f t="array" ref="AD337">IFERROR(INDEX(Bids!$AC:$AC, MATCH(C337&amp;"|"&amp;B337, Bids!$AD:$AD,0)), H337)</f>
        <v/>
      </c>
      <c r="AE337" s="39"/>
      <c r="AG337" s="39"/>
      <c r="AH337" s="39" t="str">
        <f t="shared" si="5"/>
        <v/>
      </c>
      <c r="AI337" s="39" t="str">
        <f t="shared" si="6"/>
        <v/>
      </c>
      <c r="AM337" s="39" t="str">
        <f t="array" ref="AM337">IF(C337="","",IFERROR(XLOOKUP(C337,Orders!$A:$A,Orders!$E:$E,""),""))</f>
        <v/>
      </c>
      <c r="AN337" s="39" t="str">
        <f t="shared" si="7"/>
        <v/>
      </c>
      <c r="AO337" s="39" t="str">
        <f t="shared" si="8"/>
        <v/>
      </c>
      <c r="AP337" s="39" t="str">
        <f t="shared" si="9"/>
        <v/>
      </c>
      <c r="AQ337" s="39" t="str">
        <f t="shared" si="10"/>
        <v/>
      </c>
      <c r="AR337" s="39" t="str">
        <f t="shared" si="11"/>
        <v/>
      </c>
      <c r="AS337" s="39" t="str">
        <f t="shared" si="12"/>
        <v/>
      </c>
      <c r="AT337" s="39" t="str">
        <f t="shared" si="13"/>
        <v/>
      </c>
      <c r="AU337" s="39" t="str">
        <f t="shared" si="14"/>
        <v/>
      </c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 t="str">
        <f t="shared" si="1"/>
        <v/>
      </c>
      <c r="J338" s="22" t="str">
        <f t="shared" si="2"/>
        <v/>
      </c>
      <c r="K338" s="22"/>
      <c r="L338" s="22"/>
      <c r="M338" s="22"/>
      <c r="N338" s="22"/>
      <c r="O338" s="22"/>
      <c r="P338" s="22" t="str">
        <f t="shared" si="4"/>
        <v/>
      </c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39" t="str">
        <f t="array" ref="AB338">IFERROR(INDEX(Bids!$AA:$AA, MATCH(C338&amp;"|"&amp;B338, Bids!$AD:$AD,0)),"")</f>
        <v/>
      </c>
      <c r="AC338" s="39" t="str">
        <f t="array" ref="AC338">IFERROR(INDEX(Bids!$AB:$AB, MATCH(C338&amp;"|"&amp;B338, Bids!$AD:$AD,0)),"")</f>
        <v/>
      </c>
      <c r="AD338" s="39" t="str">
        <f t="array" ref="AD338">IFERROR(INDEX(Bids!$AC:$AC, MATCH(C338&amp;"|"&amp;B338, Bids!$AD:$AD,0)), H338)</f>
        <v/>
      </c>
      <c r="AE338" s="39"/>
      <c r="AG338" s="39"/>
      <c r="AH338" s="39" t="str">
        <f t="shared" si="5"/>
        <v/>
      </c>
      <c r="AI338" s="39" t="str">
        <f t="shared" si="6"/>
        <v/>
      </c>
      <c r="AM338" s="39" t="str">
        <f t="array" ref="AM338">IF(C338="","",IFERROR(XLOOKUP(C338,Orders!$A:$A,Orders!$E:$E,""),""))</f>
        <v/>
      </c>
      <c r="AN338" s="39" t="str">
        <f t="shared" si="7"/>
        <v/>
      </c>
      <c r="AO338" s="39" t="str">
        <f t="shared" si="8"/>
        <v/>
      </c>
      <c r="AP338" s="39" t="str">
        <f t="shared" si="9"/>
        <v/>
      </c>
      <c r="AQ338" s="39" t="str">
        <f t="shared" si="10"/>
        <v/>
      </c>
      <c r="AR338" s="39" t="str">
        <f t="shared" si="11"/>
        <v/>
      </c>
      <c r="AS338" s="39" t="str">
        <f t="shared" si="12"/>
        <v/>
      </c>
      <c r="AT338" s="39" t="str">
        <f t="shared" si="13"/>
        <v/>
      </c>
      <c r="AU338" s="39" t="str">
        <f t="shared" si="14"/>
        <v/>
      </c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 t="str">
        <f t="shared" si="1"/>
        <v/>
      </c>
      <c r="J339" s="22" t="str">
        <f t="shared" si="2"/>
        <v/>
      </c>
      <c r="K339" s="22"/>
      <c r="L339" s="22"/>
      <c r="M339" s="22"/>
      <c r="N339" s="22"/>
      <c r="O339" s="22"/>
      <c r="P339" s="22" t="str">
        <f t="shared" si="4"/>
        <v/>
      </c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39" t="str">
        <f t="array" ref="AB339">IFERROR(INDEX(Bids!$AA:$AA, MATCH(C339&amp;"|"&amp;B339, Bids!$AD:$AD,0)),"")</f>
        <v/>
      </c>
      <c r="AC339" s="39" t="str">
        <f t="array" ref="AC339">IFERROR(INDEX(Bids!$AB:$AB, MATCH(C339&amp;"|"&amp;B339, Bids!$AD:$AD,0)),"")</f>
        <v/>
      </c>
      <c r="AD339" s="39" t="str">
        <f t="array" ref="AD339">IFERROR(INDEX(Bids!$AC:$AC, MATCH(C339&amp;"|"&amp;B339, Bids!$AD:$AD,0)), H339)</f>
        <v/>
      </c>
      <c r="AE339" s="39"/>
      <c r="AG339" s="39"/>
      <c r="AH339" s="39" t="str">
        <f t="shared" si="5"/>
        <v/>
      </c>
      <c r="AI339" s="39" t="str">
        <f t="shared" si="6"/>
        <v/>
      </c>
      <c r="AM339" s="39" t="str">
        <f t="array" ref="AM339">IF(C339="","",IFERROR(XLOOKUP(C339,Orders!$A:$A,Orders!$E:$E,""),""))</f>
        <v/>
      </c>
      <c r="AN339" s="39" t="str">
        <f t="shared" si="7"/>
        <v/>
      </c>
      <c r="AO339" s="39" t="str">
        <f t="shared" si="8"/>
        <v/>
      </c>
      <c r="AP339" s="39" t="str">
        <f t="shared" si="9"/>
        <v/>
      </c>
      <c r="AQ339" s="39" t="str">
        <f t="shared" si="10"/>
        <v/>
      </c>
      <c r="AR339" s="39" t="str">
        <f t="shared" si="11"/>
        <v/>
      </c>
      <c r="AS339" s="39" t="str">
        <f t="shared" si="12"/>
        <v/>
      </c>
      <c r="AT339" s="39" t="str">
        <f t="shared" si="13"/>
        <v/>
      </c>
      <c r="AU339" s="39" t="str">
        <f t="shared" si="14"/>
        <v/>
      </c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 t="str">
        <f t="shared" si="1"/>
        <v/>
      </c>
      <c r="J340" s="22" t="str">
        <f t="shared" si="2"/>
        <v/>
      </c>
      <c r="K340" s="22"/>
      <c r="L340" s="22"/>
      <c r="M340" s="22"/>
      <c r="N340" s="22"/>
      <c r="O340" s="22"/>
      <c r="P340" s="22" t="str">
        <f t="shared" si="4"/>
        <v/>
      </c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39" t="str">
        <f t="array" ref="AB340">IFERROR(INDEX(Bids!$AA:$AA, MATCH(C340&amp;"|"&amp;B340, Bids!$AD:$AD,0)),"")</f>
        <v/>
      </c>
      <c r="AC340" s="39" t="str">
        <f t="array" ref="AC340">IFERROR(INDEX(Bids!$AB:$AB, MATCH(C340&amp;"|"&amp;B340, Bids!$AD:$AD,0)),"")</f>
        <v/>
      </c>
      <c r="AD340" s="39" t="str">
        <f t="array" ref="AD340">IFERROR(INDEX(Bids!$AC:$AC, MATCH(C340&amp;"|"&amp;B340, Bids!$AD:$AD,0)), H340)</f>
        <v/>
      </c>
      <c r="AE340" s="39"/>
      <c r="AG340" s="39"/>
      <c r="AH340" s="39" t="str">
        <f t="shared" si="5"/>
        <v/>
      </c>
      <c r="AI340" s="39" t="str">
        <f t="shared" si="6"/>
        <v/>
      </c>
      <c r="AM340" s="39" t="str">
        <f t="array" ref="AM340">IF(C340="","",IFERROR(XLOOKUP(C340,Orders!$A:$A,Orders!$E:$E,""),""))</f>
        <v/>
      </c>
      <c r="AN340" s="39" t="str">
        <f t="shared" si="7"/>
        <v/>
      </c>
      <c r="AO340" s="39" t="str">
        <f t="shared" si="8"/>
        <v/>
      </c>
      <c r="AP340" s="39" t="str">
        <f t="shared" si="9"/>
        <v/>
      </c>
      <c r="AQ340" s="39" t="str">
        <f t="shared" si="10"/>
        <v/>
      </c>
      <c r="AR340" s="39" t="str">
        <f t="shared" si="11"/>
        <v/>
      </c>
      <c r="AS340" s="39" t="str">
        <f t="shared" si="12"/>
        <v/>
      </c>
      <c r="AT340" s="39" t="str">
        <f t="shared" si="13"/>
        <v/>
      </c>
      <c r="AU340" s="39" t="str">
        <f t="shared" si="14"/>
        <v/>
      </c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 t="str">
        <f t="shared" si="1"/>
        <v/>
      </c>
      <c r="J341" s="22" t="str">
        <f t="shared" si="2"/>
        <v/>
      </c>
      <c r="K341" s="22"/>
      <c r="L341" s="22"/>
      <c r="M341" s="22"/>
      <c r="N341" s="22"/>
      <c r="O341" s="22"/>
      <c r="P341" s="22" t="str">
        <f t="shared" si="4"/>
        <v/>
      </c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39" t="str">
        <f t="array" ref="AB341">IFERROR(INDEX(Bids!$AA:$AA, MATCH(C341&amp;"|"&amp;B341, Bids!$AD:$AD,0)),"")</f>
        <v/>
      </c>
      <c r="AC341" s="39" t="str">
        <f t="array" ref="AC341">IFERROR(INDEX(Bids!$AB:$AB, MATCH(C341&amp;"|"&amp;B341, Bids!$AD:$AD,0)),"")</f>
        <v/>
      </c>
      <c r="AD341" s="39" t="str">
        <f t="array" ref="AD341">IFERROR(INDEX(Bids!$AC:$AC, MATCH(C341&amp;"|"&amp;B341, Bids!$AD:$AD,0)), H341)</f>
        <v/>
      </c>
      <c r="AE341" s="39"/>
      <c r="AG341" s="39"/>
      <c r="AH341" s="39" t="str">
        <f t="shared" si="5"/>
        <v/>
      </c>
      <c r="AI341" s="39" t="str">
        <f t="shared" si="6"/>
        <v/>
      </c>
      <c r="AM341" s="39" t="str">
        <f t="array" ref="AM341">IF(C341="","",IFERROR(XLOOKUP(C341,Orders!$A:$A,Orders!$E:$E,""),""))</f>
        <v/>
      </c>
      <c r="AN341" s="39" t="str">
        <f t="shared" si="7"/>
        <v/>
      </c>
      <c r="AO341" s="39" t="str">
        <f t="shared" si="8"/>
        <v/>
      </c>
      <c r="AP341" s="39" t="str">
        <f t="shared" si="9"/>
        <v/>
      </c>
      <c r="AQ341" s="39" t="str">
        <f t="shared" si="10"/>
        <v/>
      </c>
      <c r="AR341" s="39" t="str">
        <f t="shared" si="11"/>
        <v/>
      </c>
      <c r="AS341" s="39" t="str">
        <f t="shared" si="12"/>
        <v/>
      </c>
      <c r="AT341" s="39" t="str">
        <f t="shared" si="13"/>
        <v/>
      </c>
      <c r="AU341" s="39" t="str">
        <f t="shared" si="14"/>
        <v/>
      </c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 t="str">
        <f t="shared" si="1"/>
        <v/>
      </c>
      <c r="J342" s="22" t="str">
        <f t="shared" si="2"/>
        <v/>
      </c>
      <c r="K342" s="22"/>
      <c r="L342" s="22"/>
      <c r="M342" s="22"/>
      <c r="N342" s="22"/>
      <c r="O342" s="22"/>
      <c r="P342" s="22" t="str">
        <f t="shared" si="4"/>
        <v/>
      </c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39" t="str">
        <f t="array" ref="AB342">IFERROR(INDEX(Bids!$AA:$AA, MATCH(C342&amp;"|"&amp;B342, Bids!$AD:$AD,0)),"")</f>
        <v/>
      </c>
      <c r="AC342" s="39" t="str">
        <f t="array" ref="AC342">IFERROR(INDEX(Bids!$AB:$AB, MATCH(C342&amp;"|"&amp;B342, Bids!$AD:$AD,0)),"")</f>
        <v/>
      </c>
      <c r="AD342" s="39" t="str">
        <f t="array" ref="AD342">IFERROR(INDEX(Bids!$AC:$AC, MATCH(C342&amp;"|"&amp;B342, Bids!$AD:$AD,0)), H342)</f>
        <v/>
      </c>
      <c r="AE342" s="39"/>
      <c r="AG342" s="39"/>
      <c r="AH342" s="39" t="str">
        <f t="shared" si="5"/>
        <v/>
      </c>
      <c r="AI342" s="39" t="str">
        <f t="shared" si="6"/>
        <v/>
      </c>
      <c r="AM342" s="39" t="str">
        <f t="array" ref="AM342">IF(C342="","",IFERROR(XLOOKUP(C342,Orders!$A:$A,Orders!$E:$E,""),""))</f>
        <v/>
      </c>
      <c r="AN342" s="39" t="str">
        <f t="shared" si="7"/>
        <v/>
      </c>
      <c r="AO342" s="39" t="str">
        <f t="shared" si="8"/>
        <v/>
      </c>
      <c r="AP342" s="39" t="str">
        <f t="shared" si="9"/>
        <v/>
      </c>
      <c r="AQ342" s="39" t="str">
        <f t="shared" si="10"/>
        <v/>
      </c>
      <c r="AR342" s="39" t="str">
        <f t="shared" si="11"/>
        <v/>
      </c>
      <c r="AS342" s="39" t="str">
        <f t="shared" si="12"/>
        <v/>
      </c>
      <c r="AT342" s="39" t="str">
        <f t="shared" si="13"/>
        <v/>
      </c>
      <c r="AU342" s="39" t="str">
        <f t="shared" si="14"/>
        <v/>
      </c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 t="str">
        <f t="shared" si="1"/>
        <v/>
      </c>
      <c r="J343" s="22" t="str">
        <f t="shared" si="2"/>
        <v/>
      </c>
      <c r="K343" s="22"/>
      <c r="L343" s="22"/>
      <c r="M343" s="22"/>
      <c r="N343" s="22"/>
      <c r="O343" s="22"/>
      <c r="P343" s="22" t="str">
        <f t="shared" si="4"/>
        <v/>
      </c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39" t="str">
        <f t="array" ref="AB343">IFERROR(INDEX(Bids!$AA:$AA, MATCH(C343&amp;"|"&amp;B343, Bids!$AD:$AD,0)),"")</f>
        <v/>
      </c>
      <c r="AC343" s="39" t="str">
        <f t="array" ref="AC343">IFERROR(INDEX(Bids!$AB:$AB, MATCH(C343&amp;"|"&amp;B343, Bids!$AD:$AD,0)),"")</f>
        <v/>
      </c>
      <c r="AD343" s="39" t="str">
        <f t="array" ref="AD343">IFERROR(INDEX(Bids!$AC:$AC, MATCH(C343&amp;"|"&amp;B343, Bids!$AD:$AD,0)), H343)</f>
        <v/>
      </c>
      <c r="AE343" s="39"/>
      <c r="AG343" s="39"/>
      <c r="AH343" s="39" t="str">
        <f t="shared" si="5"/>
        <v/>
      </c>
      <c r="AI343" s="39" t="str">
        <f t="shared" si="6"/>
        <v/>
      </c>
      <c r="AM343" s="39" t="str">
        <f t="array" ref="AM343">IF(C343="","",IFERROR(XLOOKUP(C343,Orders!$A:$A,Orders!$E:$E,""),""))</f>
        <v/>
      </c>
      <c r="AN343" s="39" t="str">
        <f t="shared" si="7"/>
        <v/>
      </c>
      <c r="AO343" s="39" t="str">
        <f t="shared" si="8"/>
        <v/>
      </c>
      <c r="AP343" s="39" t="str">
        <f t="shared" si="9"/>
        <v/>
      </c>
      <c r="AQ343" s="39" t="str">
        <f t="shared" si="10"/>
        <v/>
      </c>
      <c r="AR343" s="39" t="str">
        <f t="shared" si="11"/>
        <v/>
      </c>
      <c r="AS343" s="39" t="str">
        <f t="shared" si="12"/>
        <v/>
      </c>
      <c r="AT343" s="39" t="str">
        <f t="shared" si="13"/>
        <v/>
      </c>
      <c r="AU343" s="39" t="str">
        <f t="shared" si="14"/>
        <v/>
      </c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 t="str">
        <f t="shared" si="1"/>
        <v/>
      </c>
      <c r="J344" s="22" t="str">
        <f t="shared" si="2"/>
        <v/>
      </c>
      <c r="K344" s="22"/>
      <c r="L344" s="22"/>
      <c r="M344" s="22"/>
      <c r="N344" s="22"/>
      <c r="O344" s="22"/>
      <c r="P344" s="22" t="str">
        <f t="shared" si="4"/>
        <v/>
      </c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39" t="str">
        <f t="array" ref="AB344">IFERROR(INDEX(Bids!$AA:$AA, MATCH(C344&amp;"|"&amp;B344, Bids!$AD:$AD,0)),"")</f>
        <v/>
      </c>
      <c r="AC344" s="39" t="str">
        <f t="array" ref="AC344">IFERROR(INDEX(Bids!$AB:$AB, MATCH(C344&amp;"|"&amp;B344, Bids!$AD:$AD,0)),"")</f>
        <v/>
      </c>
      <c r="AD344" s="39" t="str">
        <f t="array" ref="AD344">IFERROR(INDEX(Bids!$AC:$AC, MATCH(C344&amp;"|"&amp;B344, Bids!$AD:$AD,0)), H344)</f>
        <v/>
      </c>
      <c r="AE344" s="39"/>
      <c r="AG344" s="39"/>
      <c r="AH344" s="39" t="str">
        <f t="shared" si="5"/>
        <v/>
      </c>
      <c r="AI344" s="39" t="str">
        <f t="shared" si="6"/>
        <v/>
      </c>
      <c r="AM344" s="39" t="str">
        <f t="array" ref="AM344">IF(C344="","",IFERROR(XLOOKUP(C344,Orders!$A:$A,Orders!$E:$E,""),""))</f>
        <v/>
      </c>
      <c r="AN344" s="39" t="str">
        <f t="shared" si="7"/>
        <v/>
      </c>
      <c r="AO344" s="39" t="str">
        <f t="shared" si="8"/>
        <v/>
      </c>
      <c r="AP344" s="39" t="str">
        <f t="shared" si="9"/>
        <v/>
      </c>
      <c r="AQ344" s="39" t="str">
        <f t="shared" si="10"/>
        <v/>
      </c>
      <c r="AR344" s="39" t="str">
        <f t="shared" si="11"/>
        <v/>
      </c>
      <c r="AS344" s="39" t="str">
        <f t="shared" si="12"/>
        <v/>
      </c>
      <c r="AT344" s="39" t="str">
        <f t="shared" si="13"/>
        <v/>
      </c>
      <c r="AU344" s="39" t="str">
        <f t="shared" si="14"/>
        <v/>
      </c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 t="str">
        <f t="shared" si="1"/>
        <v/>
      </c>
      <c r="J345" s="22" t="str">
        <f t="shared" si="2"/>
        <v/>
      </c>
      <c r="K345" s="22"/>
      <c r="L345" s="22"/>
      <c r="M345" s="22"/>
      <c r="N345" s="22"/>
      <c r="O345" s="22"/>
      <c r="P345" s="22" t="str">
        <f t="shared" si="4"/>
        <v/>
      </c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39" t="str">
        <f t="array" ref="AB345">IFERROR(INDEX(Bids!$AA:$AA, MATCH(C345&amp;"|"&amp;B345, Bids!$AD:$AD,0)),"")</f>
        <v/>
      </c>
      <c r="AC345" s="39" t="str">
        <f t="array" ref="AC345">IFERROR(INDEX(Bids!$AB:$AB, MATCH(C345&amp;"|"&amp;B345, Bids!$AD:$AD,0)),"")</f>
        <v/>
      </c>
      <c r="AD345" s="39" t="str">
        <f t="array" ref="AD345">IFERROR(INDEX(Bids!$AC:$AC, MATCH(C345&amp;"|"&amp;B345, Bids!$AD:$AD,0)), H345)</f>
        <v/>
      </c>
      <c r="AE345" s="39"/>
      <c r="AG345" s="39"/>
      <c r="AH345" s="39" t="str">
        <f t="shared" si="5"/>
        <v/>
      </c>
      <c r="AI345" s="39" t="str">
        <f t="shared" si="6"/>
        <v/>
      </c>
      <c r="AM345" s="39" t="str">
        <f t="array" ref="AM345">IF(C345="","",IFERROR(XLOOKUP(C345,Orders!$A:$A,Orders!$E:$E,""),""))</f>
        <v/>
      </c>
      <c r="AN345" s="39" t="str">
        <f t="shared" si="7"/>
        <v/>
      </c>
      <c r="AO345" s="39" t="str">
        <f t="shared" si="8"/>
        <v/>
      </c>
      <c r="AP345" s="39" t="str">
        <f t="shared" si="9"/>
        <v/>
      </c>
      <c r="AQ345" s="39" t="str">
        <f t="shared" si="10"/>
        <v/>
      </c>
      <c r="AR345" s="39" t="str">
        <f t="shared" si="11"/>
        <v/>
      </c>
      <c r="AS345" s="39" t="str">
        <f t="shared" si="12"/>
        <v/>
      </c>
      <c r="AT345" s="39" t="str">
        <f t="shared" si="13"/>
        <v/>
      </c>
      <c r="AU345" s="39" t="str">
        <f t="shared" si="14"/>
        <v/>
      </c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 t="str">
        <f t="shared" si="1"/>
        <v/>
      </c>
      <c r="J346" s="22" t="str">
        <f t="shared" si="2"/>
        <v/>
      </c>
      <c r="K346" s="22"/>
      <c r="L346" s="22"/>
      <c r="M346" s="22"/>
      <c r="N346" s="22"/>
      <c r="O346" s="22"/>
      <c r="P346" s="22" t="str">
        <f t="shared" si="4"/>
        <v/>
      </c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39" t="str">
        <f t="array" ref="AB346">IFERROR(INDEX(Bids!$AA:$AA, MATCH(C346&amp;"|"&amp;B346, Bids!$AD:$AD,0)),"")</f>
        <v/>
      </c>
      <c r="AC346" s="39" t="str">
        <f t="array" ref="AC346">IFERROR(INDEX(Bids!$AB:$AB, MATCH(C346&amp;"|"&amp;B346, Bids!$AD:$AD,0)),"")</f>
        <v/>
      </c>
      <c r="AD346" s="39" t="str">
        <f t="array" ref="AD346">IFERROR(INDEX(Bids!$AC:$AC, MATCH(C346&amp;"|"&amp;B346, Bids!$AD:$AD,0)), H346)</f>
        <v/>
      </c>
      <c r="AE346" s="39"/>
      <c r="AG346" s="39"/>
      <c r="AH346" s="39" t="str">
        <f t="shared" si="5"/>
        <v/>
      </c>
      <c r="AI346" s="39" t="str">
        <f t="shared" si="6"/>
        <v/>
      </c>
      <c r="AM346" s="39" t="str">
        <f t="array" ref="AM346">IF(C346="","",IFERROR(XLOOKUP(C346,Orders!$A:$A,Orders!$E:$E,""),""))</f>
        <v/>
      </c>
      <c r="AN346" s="39" t="str">
        <f t="shared" si="7"/>
        <v/>
      </c>
      <c r="AO346" s="39" t="str">
        <f t="shared" si="8"/>
        <v/>
      </c>
      <c r="AP346" s="39" t="str">
        <f t="shared" si="9"/>
        <v/>
      </c>
      <c r="AQ346" s="39" t="str">
        <f t="shared" si="10"/>
        <v/>
      </c>
      <c r="AR346" s="39" t="str">
        <f t="shared" si="11"/>
        <v/>
      </c>
      <c r="AS346" s="39" t="str">
        <f t="shared" si="12"/>
        <v/>
      </c>
      <c r="AT346" s="39" t="str">
        <f t="shared" si="13"/>
        <v/>
      </c>
      <c r="AU346" s="39" t="str">
        <f t="shared" si="14"/>
        <v/>
      </c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 t="str">
        <f t="shared" si="1"/>
        <v/>
      </c>
      <c r="J347" s="22" t="str">
        <f t="shared" si="2"/>
        <v/>
      </c>
      <c r="K347" s="22"/>
      <c r="L347" s="22"/>
      <c r="M347" s="22"/>
      <c r="N347" s="22"/>
      <c r="O347" s="22"/>
      <c r="P347" s="22" t="str">
        <f t="shared" si="4"/>
        <v/>
      </c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39" t="str">
        <f t="array" ref="AB347">IFERROR(INDEX(Bids!$AA:$AA, MATCH(C347&amp;"|"&amp;B347, Bids!$AD:$AD,0)),"")</f>
        <v/>
      </c>
      <c r="AC347" s="39" t="str">
        <f t="array" ref="AC347">IFERROR(INDEX(Bids!$AB:$AB, MATCH(C347&amp;"|"&amp;B347, Bids!$AD:$AD,0)),"")</f>
        <v/>
      </c>
      <c r="AD347" s="39" t="str">
        <f t="array" ref="AD347">IFERROR(INDEX(Bids!$AC:$AC, MATCH(C347&amp;"|"&amp;B347, Bids!$AD:$AD,0)), H347)</f>
        <v/>
      </c>
      <c r="AE347" s="39"/>
      <c r="AG347" s="39"/>
      <c r="AH347" s="39" t="str">
        <f t="shared" si="5"/>
        <v/>
      </c>
      <c r="AI347" s="39" t="str">
        <f t="shared" si="6"/>
        <v/>
      </c>
      <c r="AM347" s="39" t="str">
        <f t="array" ref="AM347">IF(C347="","",IFERROR(XLOOKUP(C347,Orders!$A:$A,Orders!$E:$E,""),""))</f>
        <v/>
      </c>
      <c r="AN347" s="39" t="str">
        <f t="shared" si="7"/>
        <v/>
      </c>
      <c r="AO347" s="39" t="str">
        <f t="shared" si="8"/>
        <v/>
      </c>
      <c r="AP347" s="39" t="str">
        <f t="shared" si="9"/>
        <v/>
      </c>
      <c r="AQ347" s="39" t="str">
        <f t="shared" si="10"/>
        <v/>
      </c>
      <c r="AR347" s="39" t="str">
        <f t="shared" si="11"/>
        <v/>
      </c>
      <c r="AS347" s="39" t="str">
        <f t="shared" si="12"/>
        <v/>
      </c>
      <c r="AT347" s="39" t="str">
        <f t="shared" si="13"/>
        <v/>
      </c>
      <c r="AU347" s="39" t="str">
        <f t="shared" si="14"/>
        <v/>
      </c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 t="str">
        <f t="shared" si="1"/>
        <v/>
      </c>
      <c r="J348" s="22" t="str">
        <f t="shared" si="2"/>
        <v/>
      </c>
      <c r="K348" s="22"/>
      <c r="L348" s="22"/>
      <c r="M348" s="22"/>
      <c r="N348" s="22"/>
      <c r="O348" s="22"/>
      <c r="P348" s="22" t="str">
        <f t="shared" si="4"/>
        <v/>
      </c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39" t="str">
        <f t="array" ref="AB348">IFERROR(INDEX(Bids!$AA:$AA, MATCH(C348&amp;"|"&amp;B348, Bids!$AD:$AD,0)),"")</f>
        <v/>
      </c>
      <c r="AC348" s="39" t="str">
        <f t="array" ref="AC348">IFERROR(INDEX(Bids!$AB:$AB, MATCH(C348&amp;"|"&amp;B348, Bids!$AD:$AD,0)),"")</f>
        <v/>
      </c>
      <c r="AD348" s="39" t="str">
        <f t="array" ref="AD348">IFERROR(INDEX(Bids!$AC:$AC, MATCH(C348&amp;"|"&amp;B348, Bids!$AD:$AD,0)), H348)</f>
        <v/>
      </c>
      <c r="AE348" s="39"/>
      <c r="AG348" s="39"/>
      <c r="AH348" s="39" t="str">
        <f t="shared" si="5"/>
        <v/>
      </c>
      <c r="AI348" s="39" t="str">
        <f t="shared" si="6"/>
        <v/>
      </c>
      <c r="AM348" s="39" t="str">
        <f t="array" ref="AM348">IF(C348="","",IFERROR(XLOOKUP(C348,Orders!$A:$A,Orders!$E:$E,""),""))</f>
        <v/>
      </c>
      <c r="AN348" s="39" t="str">
        <f t="shared" si="7"/>
        <v/>
      </c>
      <c r="AO348" s="39" t="str">
        <f t="shared" si="8"/>
        <v/>
      </c>
      <c r="AP348" s="39" t="str">
        <f t="shared" si="9"/>
        <v/>
      </c>
      <c r="AQ348" s="39" t="str">
        <f t="shared" si="10"/>
        <v/>
      </c>
      <c r="AR348" s="39" t="str">
        <f t="shared" si="11"/>
        <v/>
      </c>
      <c r="AS348" s="39" t="str">
        <f t="shared" si="12"/>
        <v/>
      </c>
      <c r="AT348" s="39" t="str">
        <f t="shared" si="13"/>
        <v/>
      </c>
      <c r="AU348" s="39" t="str">
        <f t="shared" si="14"/>
        <v/>
      </c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 t="str">
        <f t="shared" si="1"/>
        <v/>
      </c>
      <c r="J349" s="22" t="str">
        <f t="shared" si="2"/>
        <v/>
      </c>
      <c r="K349" s="22"/>
      <c r="L349" s="22"/>
      <c r="M349" s="22"/>
      <c r="N349" s="22"/>
      <c r="O349" s="22"/>
      <c r="P349" s="22" t="str">
        <f t="shared" si="4"/>
        <v/>
      </c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39" t="str">
        <f t="array" ref="AB349">IFERROR(INDEX(Bids!$AA:$AA, MATCH(C349&amp;"|"&amp;B349, Bids!$AD:$AD,0)),"")</f>
        <v/>
      </c>
      <c r="AC349" s="39" t="str">
        <f t="array" ref="AC349">IFERROR(INDEX(Bids!$AB:$AB, MATCH(C349&amp;"|"&amp;B349, Bids!$AD:$AD,0)),"")</f>
        <v/>
      </c>
      <c r="AD349" s="39" t="str">
        <f t="array" ref="AD349">IFERROR(INDEX(Bids!$AC:$AC, MATCH(C349&amp;"|"&amp;B349, Bids!$AD:$AD,0)), H349)</f>
        <v/>
      </c>
      <c r="AE349" s="39"/>
      <c r="AG349" s="39"/>
      <c r="AH349" s="39" t="str">
        <f t="shared" si="5"/>
        <v/>
      </c>
      <c r="AI349" s="39" t="str">
        <f t="shared" si="6"/>
        <v/>
      </c>
      <c r="AM349" s="39" t="str">
        <f t="array" ref="AM349">IF(C349="","",IFERROR(XLOOKUP(C349,Orders!$A:$A,Orders!$E:$E,""),""))</f>
        <v/>
      </c>
      <c r="AN349" s="39" t="str">
        <f t="shared" si="7"/>
        <v/>
      </c>
      <c r="AO349" s="39" t="str">
        <f t="shared" si="8"/>
        <v/>
      </c>
      <c r="AP349" s="39" t="str">
        <f t="shared" si="9"/>
        <v/>
      </c>
      <c r="AQ349" s="39" t="str">
        <f t="shared" si="10"/>
        <v/>
      </c>
      <c r="AR349" s="39" t="str">
        <f t="shared" si="11"/>
        <v/>
      </c>
      <c r="AS349" s="39" t="str">
        <f t="shared" si="12"/>
        <v/>
      </c>
      <c r="AT349" s="39" t="str">
        <f t="shared" si="13"/>
        <v/>
      </c>
      <c r="AU349" s="39" t="str">
        <f t="shared" si="14"/>
        <v/>
      </c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 t="str">
        <f t="shared" si="1"/>
        <v/>
      </c>
      <c r="J350" s="22" t="str">
        <f t="shared" si="2"/>
        <v/>
      </c>
      <c r="K350" s="22"/>
      <c r="L350" s="22"/>
      <c r="M350" s="22"/>
      <c r="N350" s="22"/>
      <c r="O350" s="22"/>
      <c r="P350" s="22" t="str">
        <f t="shared" si="4"/>
        <v/>
      </c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39" t="str">
        <f t="array" ref="AB350">IFERROR(INDEX(Bids!$AA:$AA, MATCH(C350&amp;"|"&amp;B350, Bids!$AD:$AD,0)),"")</f>
        <v/>
      </c>
      <c r="AC350" s="39" t="str">
        <f t="array" ref="AC350">IFERROR(INDEX(Bids!$AB:$AB, MATCH(C350&amp;"|"&amp;B350, Bids!$AD:$AD,0)),"")</f>
        <v/>
      </c>
      <c r="AD350" s="39" t="str">
        <f t="array" ref="AD350">IFERROR(INDEX(Bids!$AC:$AC, MATCH(C350&amp;"|"&amp;B350, Bids!$AD:$AD,0)), H350)</f>
        <v/>
      </c>
      <c r="AE350" s="39"/>
      <c r="AG350" s="39"/>
      <c r="AH350" s="39" t="str">
        <f t="shared" si="5"/>
        <v/>
      </c>
      <c r="AI350" s="39" t="str">
        <f t="shared" si="6"/>
        <v/>
      </c>
      <c r="AM350" s="39" t="str">
        <f t="array" ref="AM350">IF(C350="","",IFERROR(XLOOKUP(C350,Orders!$A:$A,Orders!$E:$E,""),""))</f>
        <v/>
      </c>
      <c r="AN350" s="39" t="str">
        <f t="shared" si="7"/>
        <v/>
      </c>
      <c r="AO350" s="39" t="str">
        <f t="shared" si="8"/>
        <v/>
      </c>
      <c r="AP350" s="39" t="str">
        <f t="shared" si="9"/>
        <v/>
      </c>
      <c r="AQ350" s="39" t="str">
        <f t="shared" si="10"/>
        <v/>
      </c>
      <c r="AR350" s="39" t="str">
        <f t="shared" si="11"/>
        <v/>
      </c>
      <c r="AS350" s="39" t="str">
        <f t="shared" si="12"/>
        <v/>
      </c>
      <c r="AT350" s="39" t="str">
        <f t="shared" si="13"/>
        <v/>
      </c>
      <c r="AU350" s="39" t="str">
        <f t="shared" si="14"/>
        <v/>
      </c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 t="str">
        <f t="shared" si="1"/>
        <v/>
      </c>
      <c r="J351" s="22" t="str">
        <f t="shared" si="2"/>
        <v/>
      </c>
      <c r="K351" s="22"/>
      <c r="L351" s="22"/>
      <c r="M351" s="22"/>
      <c r="N351" s="22"/>
      <c r="O351" s="22"/>
      <c r="P351" s="22" t="str">
        <f t="shared" si="4"/>
        <v/>
      </c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39" t="str">
        <f t="array" ref="AB351">IFERROR(INDEX(Bids!$AA:$AA, MATCH(C351&amp;"|"&amp;B351, Bids!$AD:$AD,0)),"")</f>
        <v/>
      </c>
      <c r="AC351" s="39" t="str">
        <f t="array" ref="AC351">IFERROR(INDEX(Bids!$AB:$AB, MATCH(C351&amp;"|"&amp;B351, Bids!$AD:$AD,0)),"")</f>
        <v/>
      </c>
      <c r="AD351" s="39" t="str">
        <f t="array" ref="AD351">IFERROR(INDEX(Bids!$AC:$AC, MATCH(C351&amp;"|"&amp;B351, Bids!$AD:$AD,0)), H351)</f>
        <v/>
      </c>
      <c r="AE351" s="39"/>
      <c r="AG351" s="39"/>
      <c r="AH351" s="39" t="str">
        <f t="shared" si="5"/>
        <v/>
      </c>
      <c r="AI351" s="39" t="str">
        <f t="shared" si="6"/>
        <v/>
      </c>
      <c r="AM351" s="39" t="str">
        <f t="array" ref="AM351">IF(C351="","",IFERROR(XLOOKUP(C351,Orders!$A:$A,Orders!$E:$E,""),""))</f>
        <v/>
      </c>
      <c r="AN351" s="39" t="str">
        <f t="shared" si="7"/>
        <v/>
      </c>
      <c r="AO351" s="39" t="str">
        <f t="shared" si="8"/>
        <v/>
      </c>
      <c r="AP351" s="39" t="str">
        <f t="shared" si="9"/>
        <v/>
      </c>
      <c r="AQ351" s="39" t="str">
        <f t="shared" si="10"/>
        <v/>
      </c>
      <c r="AR351" s="39" t="str">
        <f t="shared" si="11"/>
        <v/>
      </c>
      <c r="AS351" s="39" t="str">
        <f t="shared" si="12"/>
        <v/>
      </c>
      <c r="AT351" s="39" t="str">
        <f t="shared" si="13"/>
        <v/>
      </c>
      <c r="AU351" s="39" t="str">
        <f t="shared" si="14"/>
        <v/>
      </c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 t="str">
        <f t="shared" si="1"/>
        <v/>
      </c>
      <c r="J352" s="22" t="str">
        <f t="shared" si="2"/>
        <v/>
      </c>
      <c r="K352" s="22"/>
      <c r="L352" s="22"/>
      <c r="M352" s="22"/>
      <c r="N352" s="22"/>
      <c r="O352" s="22"/>
      <c r="P352" s="22" t="str">
        <f t="shared" si="4"/>
        <v/>
      </c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39" t="str">
        <f t="array" ref="AB352">IFERROR(INDEX(Bids!$AA:$AA, MATCH(C352&amp;"|"&amp;B352, Bids!$AD:$AD,0)),"")</f>
        <v/>
      </c>
      <c r="AC352" s="39" t="str">
        <f t="array" ref="AC352">IFERROR(INDEX(Bids!$AB:$AB, MATCH(C352&amp;"|"&amp;B352, Bids!$AD:$AD,0)),"")</f>
        <v/>
      </c>
      <c r="AD352" s="39" t="str">
        <f t="array" ref="AD352">IFERROR(INDEX(Bids!$AC:$AC, MATCH(C352&amp;"|"&amp;B352, Bids!$AD:$AD,0)), H352)</f>
        <v/>
      </c>
      <c r="AE352" s="39"/>
      <c r="AG352" s="39"/>
      <c r="AH352" s="39" t="str">
        <f t="shared" si="5"/>
        <v/>
      </c>
      <c r="AI352" s="39" t="str">
        <f t="shared" si="6"/>
        <v/>
      </c>
      <c r="AM352" s="39" t="str">
        <f t="array" ref="AM352">IF(C352="","",IFERROR(XLOOKUP(C352,Orders!$A:$A,Orders!$E:$E,""),""))</f>
        <v/>
      </c>
      <c r="AN352" s="39" t="str">
        <f t="shared" si="7"/>
        <v/>
      </c>
      <c r="AO352" s="39" t="str">
        <f t="shared" si="8"/>
        <v/>
      </c>
      <c r="AP352" s="39" t="str">
        <f t="shared" si="9"/>
        <v/>
      </c>
      <c r="AQ352" s="39" t="str">
        <f t="shared" si="10"/>
        <v/>
      </c>
      <c r="AR352" s="39" t="str">
        <f t="shared" si="11"/>
        <v/>
      </c>
      <c r="AS352" s="39" t="str">
        <f t="shared" si="12"/>
        <v/>
      </c>
      <c r="AT352" s="39" t="str">
        <f t="shared" si="13"/>
        <v/>
      </c>
      <c r="AU352" s="39" t="str">
        <f t="shared" si="14"/>
        <v/>
      </c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 t="str">
        <f t="shared" si="1"/>
        <v/>
      </c>
      <c r="J353" s="22" t="str">
        <f t="shared" si="2"/>
        <v/>
      </c>
      <c r="K353" s="22"/>
      <c r="L353" s="22"/>
      <c r="M353" s="22"/>
      <c r="N353" s="22"/>
      <c r="O353" s="22"/>
      <c r="P353" s="22" t="str">
        <f t="shared" si="4"/>
        <v/>
      </c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39" t="str">
        <f t="array" ref="AB353">IFERROR(INDEX(Bids!$AA:$AA, MATCH(C353&amp;"|"&amp;B353, Bids!$AD:$AD,0)),"")</f>
        <v/>
      </c>
      <c r="AC353" s="39" t="str">
        <f t="array" ref="AC353">IFERROR(INDEX(Bids!$AB:$AB, MATCH(C353&amp;"|"&amp;B353, Bids!$AD:$AD,0)),"")</f>
        <v/>
      </c>
      <c r="AD353" s="39" t="str">
        <f t="array" ref="AD353">IFERROR(INDEX(Bids!$AC:$AC, MATCH(C353&amp;"|"&amp;B353, Bids!$AD:$AD,0)), H353)</f>
        <v/>
      </c>
      <c r="AE353" s="39"/>
      <c r="AG353" s="39"/>
      <c r="AH353" s="39" t="str">
        <f t="shared" si="5"/>
        <v/>
      </c>
      <c r="AI353" s="39" t="str">
        <f t="shared" si="6"/>
        <v/>
      </c>
      <c r="AM353" s="39" t="str">
        <f t="array" ref="AM353">IF(C353="","",IFERROR(XLOOKUP(C353,Orders!$A:$A,Orders!$E:$E,""),""))</f>
        <v/>
      </c>
      <c r="AN353" s="39" t="str">
        <f t="shared" si="7"/>
        <v/>
      </c>
      <c r="AO353" s="39" t="str">
        <f t="shared" si="8"/>
        <v/>
      </c>
      <c r="AP353" s="39" t="str">
        <f t="shared" si="9"/>
        <v/>
      </c>
      <c r="AQ353" s="39" t="str">
        <f t="shared" si="10"/>
        <v/>
      </c>
      <c r="AR353" s="39" t="str">
        <f t="shared" si="11"/>
        <v/>
      </c>
      <c r="AS353" s="39" t="str">
        <f t="shared" si="12"/>
        <v/>
      </c>
      <c r="AT353" s="39" t="str">
        <f t="shared" si="13"/>
        <v/>
      </c>
      <c r="AU353" s="39" t="str">
        <f t="shared" si="14"/>
        <v/>
      </c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 t="str">
        <f t="shared" si="1"/>
        <v/>
      </c>
      <c r="J354" s="22" t="str">
        <f t="shared" si="2"/>
        <v/>
      </c>
      <c r="K354" s="22"/>
      <c r="L354" s="22"/>
      <c r="M354" s="22"/>
      <c r="N354" s="22"/>
      <c r="O354" s="22"/>
      <c r="P354" s="22" t="str">
        <f t="shared" si="4"/>
        <v/>
      </c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39" t="str">
        <f t="array" ref="AB354">IFERROR(INDEX(Bids!$AA:$AA, MATCH(C354&amp;"|"&amp;B354, Bids!$AD:$AD,0)),"")</f>
        <v/>
      </c>
      <c r="AC354" s="39" t="str">
        <f t="array" ref="AC354">IFERROR(INDEX(Bids!$AB:$AB, MATCH(C354&amp;"|"&amp;B354, Bids!$AD:$AD,0)),"")</f>
        <v/>
      </c>
      <c r="AD354" s="39" t="str">
        <f t="array" ref="AD354">IFERROR(INDEX(Bids!$AC:$AC, MATCH(C354&amp;"|"&amp;B354, Bids!$AD:$AD,0)), H354)</f>
        <v/>
      </c>
      <c r="AE354" s="39"/>
      <c r="AG354" s="39"/>
      <c r="AH354" s="39" t="str">
        <f t="shared" si="5"/>
        <v/>
      </c>
      <c r="AI354" s="39" t="str">
        <f t="shared" si="6"/>
        <v/>
      </c>
      <c r="AM354" s="39" t="str">
        <f t="array" ref="AM354">IF(C354="","",IFERROR(XLOOKUP(C354,Orders!$A:$A,Orders!$E:$E,""),""))</f>
        <v/>
      </c>
      <c r="AN354" s="39" t="str">
        <f t="shared" si="7"/>
        <v/>
      </c>
      <c r="AO354" s="39" t="str">
        <f t="shared" si="8"/>
        <v/>
      </c>
      <c r="AP354" s="39" t="str">
        <f t="shared" si="9"/>
        <v/>
      </c>
      <c r="AQ354" s="39" t="str">
        <f t="shared" si="10"/>
        <v/>
      </c>
      <c r="AR354" s="39" t="str">
        <f t="shared" si="11"/>
        <v/>
      </c>
      <c r="AS354" s="39" t="str">
        <f t="shared" si="12"/>
        <v/>
      </c>
      <c r="AT354" s="39" t="str">
        <f t="shared" si="13"/>
        <v/>
      </c>
      <c r="AU354" s="39" t="str">
        <f t="shared" si="14"/>
        <v/>
      </c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 t="str">
        <f t="shared" si="1"/>
        <v/>
      </c>
      <c r="J355" s="22" t="str">
        <f t="shared" si="2"/>
        <v/>
      </c>
      <c r="K355" s="22"/>
      <c r="L355" s="22"/>
      <c r="M355" s="22"/>
      <c r="N355" s="22"/>
      <c r="O355" s="22"/>
      <c r="P355" s="22" t="str">
        <f t="shared" si="4"/>
        <v/>
      </c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39" t="str">
        <f t="array" ref="AB355">IFERROR(INDEX(Bids!$AA:$AA, MATCH(C355&amp;"|"&amp;B355, Bids!$AD:$AD,0)),"")</f>
        <v/>
      </c>
      <c r="AC355" s="39" t="str">
        <f t="array" ref="AC355">IFERROR(INDEX(Bids!$AB:$AB, MATCH(C355&amp;"|"&amp;B355, Bids!$AD:$AD,0)),"")</f>
        <v/>
      </c>
      <c r="AD355" s="39" t="str">
        <f t="array" ref="AD355">IFERROR(INDEX(Bids!$AC:$AC, MATCH(C355&amp;"|"&amp;B355, Bids!$AD:$AD,0)), H355)</f>
        <v/>
      </c>
      <c r="AE355" s="39"/>
      <c r="AG355" s="39"/>
      <c r="AH355" s="39" t="str">
        <f t="shared" si="5"/>
        <v/>
      </c>
      <c r="AI355" s="39" t="str">
        <f t="shared" si="6"/>
        <v/>
      </c>
      <c r="AM355" s="39" t="str">
        <f t="array" ref="AM355">IF(C355="","",IFERROR(XLOOKUP(C355,Orders!$A:$A,Orders!$E:$E,""),""))</f>
        <v/>
      </c>
      <c r="AN355" s="39" t="str">
        <f t="shared" si="7"/>
        <v/>
      </c>
      <c r="AO355" s="39" t="str">
        <f t="shared" si="8"/>
        <v/>
      </c>
      <c r="AP355" s="39" t="str">
        <f t="shared" si="9"/>
        <v/>
      </c>
      <c r="AQ355" s="39" t="str">
        <f t="shared" si="10"/>
        <v/>
      </c>
      <c r="AR355" s="39" t="str">
        <f t="shared" si="11"/>
        <v/>
      </c>
      <c r="AS355" s="39" t="str">
        <f t="shared" si="12"/>
        <v/>
      </c>
      <c r="AT355" s="39" t="str">
        <f t="shared" si="13"/>
        <v/>
      </c>
      <c r="AU355" s="39" t="str">
        <f t="shared" si="14"/>
        <v/>
      </c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 t="str">
        <f t="shared" si="1"/>
        <v/>
      </c>
      <c r="J356" s="22" t="str">
        <f t="shared" si="2"/>
        <v/>
      </c>
      <c r="K356" s="22"/>
      <c r="L356" s="22"/>
      <c r="M356" s="22"/>
      <c r="N356" s="22"/>
      <c r="O356" s="22"/>
      <c r="P356" s="22" t="str">
        <f t="shared" si="4"/>
        <v/>
      </c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39" t="str">
        <f t="array" ref="AB356">IFERROR(INDEX(Bids!$AA:$AA, MATCH(C356&amp;"|"&amp;B356, Bids!$AD:$AD,0)),"")</f>
        <v/>
      </c>
      <c r="AC356" s="39" t="str">
        <f t="array" ref="AC356">IFERROR(INDEX(Bids!$AB:$AB, MATCH(C356&amp;"|"&amp;B356, Bids!$AD:$AD,0)),"")</f>
        <v/>
      </c>
      <c r="AD356" s="39" t="str">
        <f t="array" ref="AD356">IFERROR(INDEX(Bids!$AC:$AC, MATCH(C356&amp;"|"&amp;B356, Bids!$AD:$AD,0)), H356)</f>
        <v/>
      </c>
      <c r="AE356" s="39"/>
      <c r="AG356" s="39"/>
      <c r="AH356" s="39" t="str">
        <f t="shared" si="5"/>
        <v/>
      </c>
      <c r="AI356" s="39" t="str">
        <f t="shared" si="6"/>
        <v/>
      </c>
      <c r="AM356" s="39" t="str">
        <f t="array" ref="AM356">IF(C356="","",IFERROR(XLOOKUP(C356,Orders!$A:$A,Orders!$E:$E,""),""))</f>
        <v/>
      </c>
      <c r="AN356" s="39" t="str">
        <f t="shared" si="7"/>
        <v/>
      </c>
      <c r="AO356" s="39" t="str">
        <f t="shared" si="8"/>
        <v/>
      </c>
      <c r="AP356" s="39" t="str">
        <f t="shared" si="9"/>
        <v/>
      </c>
      <c r="AQ356" s="39" t="str">
        <f t="shared" si="10"/>
        <v/>
      </c>
      <c r="AR356" s="39" t="str">
        <f t="shared" si="11"/>
        <v/>
      </c>
      <c r="AS356" s="39" t="str">
        <f t="shared" si="12"/>
        <v/>
      </c>
      <c r="AT356" s="39" t="str">
        <f t="shared" si="13"/>
        <v/>
      </c>
      <c r="AU356" s="39" t="str">
        <f t="shared" si="14"/>
        <v/>
      </c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 t="str">
        <f t="shared" si="1"/>
        <v/>
      </c>
      <c r="J357" s="22" t="str">
        <f t="shared" si="2"/>
        <v/>
      </c>
      <c r="K357" s="22"/>
      <c r="L357" s="22"/>
      <c r="M357" s="22"/>
      <c r="N357" s="22"/>
      <c r="O357" s="22"/>
      <c r="P357" s="22" t="str">
        <f t="shared" si="4"/>
        <v/>
      </c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39" t="str">
        <f t="array" ref="AB357">IFERROR(INDEX(Bids!$AA:$AA, MATCH(C357&amp;"|"&amp;B357, Bids!$AD:$AD,0)),"")</f>
        <v/>
      </c>
      <c r="AC357" s="39" t="str">
        <f t="array" ref="AC357">IFERROR(INDEX(Bids!$AB:$AB, MATCH(C357&amp;"|"&amp;B357, Bids!$AD:$AD,0)),"")</f>
        <v/>
      </c>
      <c r="AD357" s="39" t="str">
        <f t="array" ref="AD357">IFERROR(INDEX(Bids!$AC:$AC, MATCH(C357&amp;"|"&amp;B357, Bids!$AD:$AD,0)), H357)</f>
        <v/>
      </c>
      <c r="AE357" s="39"/>
      <c r="AG357" s="39"/>
      <c r="AH357" s="39" t="str">
        <f t="shared" si="5"/>
        <v/>
      </c>
      <c r="AI357" s="39" t="str">
        <f t="shared" si="6"/>
        <v/>
      </c>
      <c r="AM357" s="39" t="str">
        <f t="array" ref="AM357">IF(C357="","",IFERROR(XLOOKUP(C357,Orders!$A:$A,Orders!$E:$E,""),""))</f>
        <v/>
      </c>
      <c r="AN357" s="39" t="str">
        <f t="shared" si="7"/>
        <v/>
      </c>
      <c r="AO357" s="39" t="str">
        <f t="shared" si="8"/>
        <v/>
      </c>
      <c r="AP357" s="39" t="str">
        <f t="shared" si="9"/>
        <v/>
      </c>
      <c r="AQ357" s="39" t="str">
        <f t="shared" si="10"/>
        <v/>
      </c>
      <c r="AR357" s="39" t="str">
        <f t="shared" si="11"/>
        <v/>
      </c>
      <c r="AS357" s="39" t="str">
        <f t="shared" si="12"/>
        <v/>
      </c>
      <c r="AT357" s="39" t="str">
        <f t="shared" si="13"/>
        <v/>
      </c>
      <c r="AU357" s="39" t="str">
        <f t="shared" si="14"/>
        <v/>
      </c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 t="str">
        <f t="shared" si="1"/>
        <v/>
      </c>
      <c r="J358" s="22" t="str">
        <f t="shared" si="2"/>
        <v/>
      </c>
      <c r="K358" s="22"/>
      <c r="L358" s="22"/>
      <c r="M358" s="22"/>
      <c r="N358" s="22"/>
      <c r="O358" s="22"/>
      <c r="P358" s="22" t="str">
        <f t="shared" si="4"/>
        <v/>
      </c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39" t="str">
        <f t="array" ref="AB358">IFERROR(INDEX(Bids!$AA:$AA, MATCH(C358&amp;"|"&amp;B358, Bids!$AD:$AD,0)),"")</f>
        <v/>
      </c>
      <c r="AC358" s="39" t="str">
        <f t="array" ref="AC358">IFERROR(INDEX(Bids!$AB:$AB, MATCH(C358&amp;"|"&amp;B358, Bids!$AD:$AD,0)),"")</f>
        <v/>
      </c>
      <c r="AD358" s="39" t="str">
        <f t="array" ref="AD358">IFERROR(INDEX(Bids!$AC:$AC, MATCH(C358&amp;"|"&amp;B358, Bids!$AD:$AD,0)), H358)</f>
        <v/>
      </c>
      <c r="AE358" s="39"/>
      <c r="AG358" s="39"/>
      <c r="AH358" s="39" t="str">
        <f t="shared" si="5"/>
        <v/>
      </c>
      <c r="AI358" s="39" t="str">
        <f t="shared" si="6"/>
        <v/>
      </c>
      <c r="AM358" s="39" t="str">
        <f t="array" ref="AM358">IF(C358="","",IFERROR(XLOOKUP(C358,Orders!$A:$A,Orders!$E:$E,""),""))</f>
        <v/>
      </c>
      <c r="AN358" s="39" t="str">
        <f t="shared" si="7"/>
        <v/>
      </c>
      <c r="AO358" s="39" t="str">
        <f t="shared" si="8"/>
        <v/>
      </c>
      <c r="AP358" s="39" t="str">
        <f t="shared" si="9"/>
        <v/>
      </c>
      <c r="AQ358" s="39" t="str">
        <f t="shared" si="10"/>
        <v/>
      </c>
      <c r="AR358" s="39" t="str">
        <f t="shared" si="11"/>
        <v/>
      </c>
      <c r="AS358" s="39" t="str">
        <f t="shared" si="12"/>
        <v/>
      </c>
      <c r="AT358" s="39" t="str">
        <f t="shared" si="13"/>
        <v/>
      </c>
      <c r="AU358" s="39" t="str">
        <f t="shared" si="14"/>
        <v/>
      </c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 t="str">
        <f t="shared" si="1"/>
        <v/>
      </c>
      <c r="J359" s="22" t="str">
        <f t="shared" si="2"/>
        <v/>
      </c>
      <c r="K359" s="22"/>
      <c r="L359" s="22"/>
      <c r="M359" s="22"/>
      <c r="N359" s="22"/>
      <c r="O359" s="22"/>
      <c r="P359" s="22" t="str">
        <f t="shared" si="4"/>
        <v/>
      </c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39" t="str">
        <f t="array" ref="AB359">IFERROR(INDEX(Bids!$AA:$AA, MATCH(C359&amp;"|"&amp;B359, Bids!$AD:$AD,0)),"")</f>
        <v/>
      </c>
      <c r="AC359" s="39" t="str">
        <f t="array" ref="AC359">IFERROR(INDEX(Bids!$AB:$AB, MATCH(C359&amp;"|"&amp;B359, Bids!$AD:$AD,0)),"")</f>
        <v/>
      </c>
      <c r="AD359" s="39" t="str">
        <f t="array" ref="AD359">IFERROR(INDEX(Bids!$AC:$AC, MATCH(C359&amp;"|"&amp;B359, Bids!$AD:$AD,0)), H359)</f>
        <v/>
      </c>
      <c r="AE359" s="39"/>
      <c r="AG359" s="39"/>
      <c r="AH359" s="39" t="str">
        <f t="shared" si="5"/>
        <v/>
      </c>
      <c r="AI359" s="39" t="str">
        <f t="shared" si="6"/>
        <v/>
      </c>
      <c r="AM359" s="39" t="str">
        <f t="array" ref="AM359">IF(C359="","",IFERROR(XLOOKUP(C359,Orders!$A:$A,Orders!$E:$E,""),""))</f>
        <v/>
      </c>
      <c r="AN359" s="39" t="str">
        <f t="shared" si="7"/>
        <v/>
      </c>
      <c r="AO359" s="39" t="str">
        <f t="shared" si="8"/>
        <v/>
      </c>
      <c r="AP359" s="39" t="str">
        <f t="shared" si="9"/>
        <v/>
      </c>
      <c r="AQ359" s="39" t="str">
        <f t="shared" si="10"/>
        <v/>
      </c>
      <c r="AR359" s="39" t="str">
        <f t="shared" si="11"/>
        <v/>
      </c>
      <c r="AS359" s="39" t="str">
        <f t="shared" si="12"/>
        <v/>
      </c>
      <c r="AT359" s="39" t="str">
        <f t="shared" si="13"/>
        <v/>
      </c>
      <c r="AU359" s="39" t="str">
        <f t="shared" si="14"/>
        <v/>
      </c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 t="str">
        <f t="shared" si="1"/>
        <v/>
      </c>
      <c r="J360" s="22" t="str">
        <f t="shared" si="2"/>
        <v/>
      </c>
      <c r="K360" s="22"/>
      <c r="L360" s="22"/>
      <c r="M360" s="22"/>
      <c r="N360" s="22"/>
      <c r="O360" s="22"/>
      <c r="P360" s="22" t="str">
        <f t="shared" si="4"/>
        <v/>
      </c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39" t="str">
        <f t="array" ref="AB360">IFERROR(INDEX(Bids!$AA:$AA, MATCH(C360&amp;"|"&amp;B360, Bids!$AD:$AD,0)),"")</f>
        <v/>
      </c>
      <c r="AC360" s="39" t="str">
        <f t="array" ref="AC360">IFERROR(INDEX(Bids!$AB:$AB, MATCH(C360&amp;"|"&amp;B360, Bids!$AD:$AD,0)),"")</f>
        <v/>
      </c>
      <c r="AD360" s="39" t="str">
        <f t="array" ref="AD360">IFERROR(INDEX(Bids!$AC:$AC, MATCH(C360&amp;"|"&amp;B360, Bids!$AD:$AD,0)), H360)</f>
        <v/>
      </c>
      <c r="AE360" s="39"/>
      <c r="AG360" s="39"/>
      <c r="AH360" s="39" t="str">
        <f t="shared" si="5"/>
        <v/>
      </c>
      <c r="AI360" s="39" t="str">
        <f t="shared" si="6"/>
        <v/>
      </c>
      <c r="AM360" s="39" t="str">
        <f t="array" ref="AM360">IF(C360="","",IFERROR(XLOOKUP(C360,Orders!$A:$A,Orders!$E:$E,""),""))</f>
        <v/>
      </c>
      <c r="AN360" s="39" t="str">
        <f t="shared" si="7"/>
        <v/>
      </c>
      <c r="AO360" s="39" t="str">
        <f t="shared" si="8"/>
        <v/>
      </c>
      <c r="AP360" s="39" t="str">
        <f t="shared" si="9"/>
        <v/>
      </c>
      <c r="AQ360" s="39" t="str">
        <f t="shared" si="10"/>
        <v/>
      </c>
      <c r="AR360" s="39" t="str">
        <f t="shared" si="11"/>
        <v/>
      </c>
      <c r="AS360" s="39" t="str">
        <f t="shared" si="12"/>
        <v/>
      </c>
      <c r="AT360" s="39" t="str">
        <f t="shared" si="13"/>
        <v/>
      </c>
      <c r="AU360" s="39" t="str">
        <f t="shared" si="14"/>
        <v/>
      </c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 t="str">
        <f t="shared" si="1"/>
        <v/>
      </c>
      <c r="J361" s="22" t="str">
        <f t="shared" si="2"/>
        <v/>
      </c>
      <c r="K361" s="22"/>
      <c r="L361" s="22"/>
      <c r="M361" s="22"/>
      <c r="N361" s="22"/>
      <c r="O361" s="22"/>
      <c r="P361" s="22" t="str">
        <f t="shared" si="4"/>
        <v/>
      </c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39" t="str">
        <f t="array" ref="AB361">IFERROR(INDEX(Bids!$AA:$AA, MATCH(C361&amp;"|"&amp;B361, Bids!$AD:$AD,0)),"")</f>
        <v/>
      </c>
      <c r="AC361" s="39" t="str">
        <f t="array" ref="AC361">IFERROR(INDEX(Bids!$AB:$AB, MATCH(C361&amp;"|"&amp;B361, Bids!$AD:$AD,0)),"")</f>
        <v/>
      </c>
      <c r="AD361" s="39" t="str">
        <f t="array" ref="AD361">IFERROR(INDEX(Bids!$AC:$AC, MATCH(C361&amp;"|"&amp;B361, Bids!$AD:$AD,0)), H361)</f>
        <v/>
      </c>
      <c r="AE361" s="39"/>
      <c r="AG361" s="39"/>
      <c r="AH361" s="39" t="str">
        <f t="shared" si="5"/>
        <v/>
      </c>
      <c r="AI361" s="39" t="str">
        <f t="shared" si="6"/>
        <v/>
      </c>
      <c r="AM361" s="39" t="str">
        <f t="array" ref="AM361">IF(C361="","",IFERROR(XLOOKUP(C361,Orders!$A:$A,Orders!$E:$E,""),""))</f>
        <v/>
      </c>
      <c r="AN361" s="39" t="str">
        <f t="shared" si="7"/>
        <v/>
      </c>
      <c r="AO361" s="39" t="str">
        <f t="shared" si="8"/>
        <v/>
      </c>
      <c r="AP361" s="39" t="str">
        <f t="shared" si="9"/>
        <v/>
      </c>
      <c r="AQ361" s="39" t="str">
        <f t="shared" si="10"/>
        <v/>
      </c>
      <c r="AR361" s="39" t="str">
        <f t="shared" si="11"/>
        <v/>
      </c>
      <c r="AS361" s="39" t="str">
        <f t="shared" si="12"/>
        <v/>
      </c>
      <c r="AT361" s="39" t="str">
        <f t="shared" si="13"/>
        <v/>
      </c>
      <c r="AU361" s="39" t="str">
        <f t="shared" si="14"/>
        <v/>
      </c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 t="str">
        <f t="shared" si="1"/>
        <v/>
      </c>
      <c r="J362" s="22" t="str">
        <f t="shared" si="2"/>
        <v/>
      </c>
      <c r="K362" s="22"/>
      <c r="L362" s="22"/>
      <c r="M362" s="22"/>
      <c r="N362" s="22"/>
      <c r="O362" s="22"/>
      <c r="P362" s="22" t="str">
        <f t="shared" si="4"/>
        <v/>
      </c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39" t="str">
        <f t="array" ref="AB362">IFERROR(INDEX(Bids!$AA:$AA, MATCH(C362&amp;"|"&amp;B362, Bids!$AD:$AD,0)),"")</f>
        <v/>
      </c>
      <c r="AC362" s="39" t="str">
        <f t="array" ref="AC362">IFERROR(INDEX(Bids!$AB:$AB, MATCH(C362&amp;"|"&amp;B362, Bids!$AD:$AD,0)),"")</f>
        <v/>
      </c>
      <c r="AD362" s="39" t="str">
        <f t="array" ref="AD362">IFERROR(INDEX(Bids!$AC:$AC, MATCH(C362&amp;"|"&amp;B362, Bids!$AD:$AD,0)), H362)</f>
        <v/>
      </c>
      <c r="AE362" s="39"/>
      <c r="AG362" s="39"/>
      <c r="AH362" s="39" t="str">
        <f t="shared" si="5"/>
        <v/>
      </c>
      <c r="AI362" s="39" t="str">
        <f t="shared" si="6"/>
        <v/>
      </c>
      <c r="AM362" s="39" t="str">
        <f t="array" ref="AM362">IF(C362="","",IFERROR(XLOOKUP(C362,Orders!$A:$A,Orders!$E:$E,""),""))</f>
        <v/>
      </c>
      <c r="AN362" s="39" t="str">
        <f t="shared" si="7"/>
        <v/>
      </c>
      <c r="AO362" s="39" t="str">
        <f t="shared" si="8"/>
        <v/>
      </c>
      <c r="AP362" s="39" t="str">
        <f t="shared" si="9"/>
        <v/>
      </c>
      <c r="AQ362" s="39" t="str">
        <f t="shared" si="10"/>
        <v/>
      </c>
      <c r="AR362" s="39" t="str">
        <f t="shared" si="11"/>
        <v/>
      </c>
      <c r="AS362" s="39" t="str">
        <f t="shared" si="12"/>
        <v/>
      </c>
      <c r="AT362" s="39" t="str">
        <f t="shared" si="13"/>
        <v/>
      </c>
      <c r="AU362" s="39" t="str">
        <f t="shared" si="14"/>
        <v/>
      </c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 t="str">
        <f t="shared" si="1"/>
        <v/>
      </c>
      <c r="J363" s="22" t="str">
        <f t="shared" si="2"/>
        <v/>
      </c>
      <c r="K363" s="22"/>
      <c r="L363" s="22"/>
      <c r="M363" s="22"/>
      <c r="N363" s="22"/>
      <c r="O363" s="22"/>
      <c r="P363" s="22" t="str">
        <f t="shared" si="4"/>
        <v/>
      </c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39" t="str">
        <f t="array" ref="AB363">IFERROR(INDEX(Bids!$AA:$AA, MATCH(C363&amp;"|"&amp;B363, Bids!$AD:$AD,0)),"")</f>
        <v/>
      </c>
      <c r="AC363" s="39" t="str">
        <f t="array" ref="AC363">IFERROR(INDEX(Bids!$AB:$AB, MATCH(C363&amp;"|"&amp;B363, Bids!$AD:$AD,0)),"")</f>
        <v/>
      </c>
      <c r="AD363" s="39" t="str">
        <f t="array" ref="AD363">IFERROR(INDEX(Bids!$AC:$AC, MATCH(C363&amp;"|"&amp;B363, Bids!$AD:$AD,0)), H363)</f>
        <v/>
      </c>
      <c r="AE363" s="39"/>
      <c r="AG363" s="39"/>
      <c r="AH363" s="39" t="str">
        <f t="shared" si="5"/>
        <v/>
      </c>
      <c r="AI363" s="39" t="str">
        <f t="shared" si="6"/>
        <v/>
      </c>
      <c r="AM363" s="39" t="str">
        <f t="array" ref="AM363">IF(C363="","",IFERROR(XLOOKUP(C363,Orders!$A:$A,Orders!$E:$E,""),""))</f>
        <v/>
      </c>
      <c r="AN363" s="39" t="str">
        <f t="shared" si="7"/>
        <v/>
      </c>
      <c r="AO363" s="39" t="str">
        <f t="shared" si="8"/>
        <v/>
      </c>
      <c r="AP363" s="39" t="str">
        <f t="shared" si="9"/>
        <v/>
      </c>
      <c r="AQ363" s="39" t="str">
        <f t="shared" si="10"/>
        <v/>
      </c>
      <c r="AR363" s="39" t="str">
        <f t="shared" si="11"/>
        <v/>
      </c>
      <c r="AS363" s="39" t="str">
        <f t="shared" si="12"/>
        <v/>
      </c>
      <c r="AT363" s="39" t="str">
        <f t="shared" si="13"/>
        <v/>
      </c>
      <c r="AU363" s="39" t="str">
        <f t="shared" si="14"/>
        <v/>
      </c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 t="str">
        <f t="shared" si="1"/>
        <v/>
      </c>
      <c r="J364" s="22" t="str">
        <f t="shared" si="2"/>
        <v/>
      </c>
      <c r="K364" s="22"/>
      <c r="L364" s="22"/>
      <c r="M364" s="22"/>
      <c r="N364" s="22"/>
      <c r="O364" s="22"/>
      <c r="P364" s="22" t="str">
        <f t="shared" si="4"/>
        <v/>
      </c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39" t="str">
        <f t="array" ref="AB364">IFERROR(INDEX(Bids!$AA:$AA, MATCH(C364&amp;"|"&amp;B364, Bids!$AD:$AD,0)),"")</f>
        <v/>
      </c>
      <c r="AC364" s="39" t="str">
        <f t="array" ref="AC364">IFERROR(INDEX(Bids!$AB:$AB, MATCH(C364&amp;"|"&amp;B364, Bids!$AD:$AD,0)),"")</f>
        <v/>
      </c>
      <c r="AD364" s="39" t="str">
        <f t="array" ref="AD364">IFERROR(INDEX(Bids!$AC:$AC, MATCH(C364&amp;"|"&amp;B364, Bids!$AD:$AD,0)), H364)</f>
        <v/>
      </c>
      <c r="AE364" s="39"/>
      <c r="AG364" s="39"/>
      <c r="AH364" s="39" t="str">
        <f t="shared" si="5"/>
        <v/>
      </c>
      <c r="AI364" s="39" t="str">
        <f t="shared" si="6"/>
        <v/>
      </c>
      <c r="AM364" s="39" t="str">
        <f t="array" ref="AM364">IF(C364="","",IFERROR(XLOOKUP(C364,Orders!$A:$A,Orders!$E:$E,""),""))</f>
        <v/>
      </c>
      <c r="AN364" s="39" t="str">
        <f t="shared" si="7"/>
        <v/>
      </c>
      <c r="AO364" s="39" t="str">
        <f t="shared" si="8"/>
        <v/>
      </c>
      <c r="AP364" s="39" t="str">
        <f t="shared" si="9"/>
        <v/>
      </c>
      <c r="AQ364" s="39" t="str">
        <f t="shared" si="10"/>
        <v/>
      </c>
      <c r="AR364" s="39" t="str">
        <f t="shared" si="11"/>
        <v/>
      </c>
      <c r="AS364" s="39" t="str">
        <f t="shared" si="12"/>
        <v/>
      </c>
      <c r="AT364" s="39" t="str">
        <f t="shared" si="13"/>
        <v/>
      </c>
      <c r="AU364" s="39" t="str">
        <f t="shared" si="14"/>
        <v/>
      </c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 t="str">
        <f t="shared" si="1"/>
        <v/>
      </c>
      <c r="J365" s="22" t="str">
        <f t="shared" si="2"/>
        <v/>
      </c>
      <c r="K365" s="22"/>
      <c r="L365" s="22"/>
      <c r="M365" s="22"/>
      <c r="N365" s="22"/>
      <c r="O365" s="22"/>
      <c r="P365" s="22" t="str">
        <f t="shared" si="4"/>
        <v/>
      </c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39" t="str">
        <f t="array" ref="AB365">IFERROR(INDEX(Bids!$AA:$AA, MATCH(C365&amp;"|"&amp;B365, Bids!$AD:$AD,0)),"")</f>
        <v/>
      </c>
      <c r="AC365" s="39" t="str">
        <f t="array" ref="AC365">IFERROR(INDEX(Bids!$AB:$AB, MATCH(C365&amp;"|"&amp;B365, Bids!$AD:$AD,0)),"")</f>
        <v/>
      </c>
      <c r="AD365" s="39" t="str">
        <f t="array" ref="AD365">IFERROR(INDEX(Bids!$AC:$AC, MATCH(C365&amp;"|"&amp;B365, Bids!$AD:$AD,0)), H365)</f>
        <v/>
      </c>
      <c r="AE365" s="39"/>
      <c r="AG365" s="39"/>
      <c r="AH365" s="39" t="str">
        <f t="shared" si="5"/>
        <v/>
      </c>
      <c r="AI365" s="39" t="str">
        <f t="shared" si="6"/>
        <v/>
      </c>
      <c r="AM365" s="39" t="str">
        <f t="array" ref="AM365">IF(C365="","",IFERROR(XLOOKUP(C365,Orders!$A:$A,Orders!$E:$E,""),""))</f>
        <v/>
      </c>
      <c r="AN365" s="39" t="str">
        <f t="shared" si="7"/>
        <v/>
      </c>
      <c r="AO365" s="39" t="str">
        <f t="shared" si="8"/>
        <v/>
      </c>
      <c r="AP365" s="39" t="str">
        <f t="shared" si="9"/>
        <v/>
      </c>
      <c r="AQ365" s="39" t="str">
        <f t="shared" si="10"/>
        <v/>
      </c>
      <c r="AR365" s="39" t="str">
        <f t="shared" si="11"/>
        <v/>
      </c>
      <c r="AS365" s="39" t="str">
        <f t="shared" si="12"/>
        <v/>
      </c>
      <c r="AT365" s="39" t="str">
        <f t="shared" si="13"/>
        <v/>
      </c>
      <c r="AU365" s="39" t="str">
        <f t="shared" si="14"/>
        <v/>
      </c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 t="str">
        <f t="shared" si="1"/>
        <v/>
      </c>
      <c r="J366" s="22" t="str">
        <f t="shared" si="2"/>
        <v/>
      </c>
      <c r="K366" s="22"/>
      <c r="L366" s="22"/>
      <c r="M366" s="22"/>
      <c r="N366" s="22"/>
      <c r="O366" s="22"/>
      <c r="P366" s="22" t="str">
        <f t="shared" si="4"/>
        <v/>
      </c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39" t="str">
        <f t="array" ref="AB366">IFERROR(INDEX(Bids!$AA:$AA, MATCH(C366&amp;"|"&amp;B366, Bids!$AD:$AD,0)),"")</f>
        <v/>
      </c>
      <c r="AC366" s="39" t="str">
        <f t="array" ref="AC366">IFERROR(INDEX(Bids!$AB:$AB, MATCH(C366&amp;"|"&amp;B366, Bids!$AD:$AD,0)),"")</f>
        <v/>
      </c>
      <c r="AD366" s="39" t="str">
        <f t="array" ref="AD366">IFERROR(INDEX(Bids!$AC:$AC, MATCH(C366&amp;"|"&amp;B366, Bids!$AD:$AD,0)), H366)</f>
        <v/>
      </c>
      <c r="AE366" s="39"/>
      <c r="AG366" s="39"/>
      <c r="AH366" s="39" t="str">
        <f t="shared" si="5"/>
        <v/>
      </c>
      <c r="AI366" s="39" t="str">
        <f t="shared" si="6"/>
        <v/>
      </c>
      <c r="AM366" s="39" t="str">
        <f t="array" ref="AM366">IF(C366="","",IFERROR(XLOOKUP(C366,Orders!$A:$A,Orders!$E:$E,""),""))</f>
        <v/>
      </c>
      <c r="AN366" s="39" t="str">
        <f t="shared" si="7"/>
        <v/>
      </c>
      <c r="AO366" s="39" t="str">
        <f t="shared" si="8"/>
        <v/>
      </c>
      <c r="AP366" s="39" t="str">
        <f t="shared" si="9"/>
        <v/>
      </c>
      <c r="AQ366" s="39" t="str">
        <f t="shared" si="10"/>
        <v/>
      </c>
      <c r="AR366" s="39" t="str">
        <f t="shared" si="11"/>
        <v/>
      </c>
      <c r="AS366" s="39" t="str">
        <f t="shared" si="12"/>
        <v/>
      </c>
      <c r="AT366" s="39" t="str">
        <f t="shared" si="13"/>
        <v/>
      </c>
      <c r="AU366" s="39" t="str">
        <f t="shared" si="14"/>
        <v/>
      </c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 t="str">
        <f t="shared" si="1"/>
        <v/>
      </c>
      <c r="J367" s="22" t="str">
        <f t="shared" si="2"/>
        <v/>
      </c>
      <c r="K367" s="22"/>
      <c r="L367" s="22"/>
      <c r="M367" s="22"/>
      <c r="N367" s="22"/>
      <c r="O367" s="22"/>
      <c r="P367" s="22" t="str">
        <f t="shared" si="4"/>
        <v/>
      </c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39" t="str">
        <f t="array" ref="AB367">IFERROR(INDEX(Bids!$AA:$AA, MATCH(C367&amp;"|"&amp;B367, Bids!$AD:$AD,0)),"")</f>
        <v/>
      </c>
      <c r="AC367" s="39" t="str">
        <f t="array" ref="AC367">IFERROR(INDEX(Bids!$AB:$AB, MATCH(C367&amp;"|"&amp;B367, Bids!$AD:$AD,0)),"")</f>
        <v/>
      </c>
      <c r="AD367" s="39" t="str">
        <f t="array" ref="AD367">IFERROR(INDEX(Bids!$AC:$AC, MATCH(C367&amp;"|"&amp;B367, Bids!$AD:$AD,0)), H367)</f>
        <v/>
      </c>
      <c r="AE367" s="39"/>
      <c r="AG367" s="39"/>
      <c r="AH367" s="39" t="str">
        <f t="shared" si="5"/>
        <v/>
      </c>
      <c r="AI367" s="39" t="str">
        <f t="shared" si="6"/>
        <v/>
      </c>
      <c r="AM367" s="39" t="str">
        <f t="array" ref="AM367">IF(C367="","",IFERROR(XLOOKUP(C367,Orders!$A:$A,Orders!$E:$E,""),""))</f>
        <v/>
      </c>
      <c r="AN367" s="39" t="str">
        <f t="shared" si="7"/>
        <v/>
      </c>
      <c r="AO367" s="39" t="str">
        <f t="shared" si="8"/>
        <v/>
      </c>
      <c r="AP367" s="39" t="str">
        <f t="shared" si="9"/>
        <v/>
      </c>
      <c r="AQ367" s="39" t="str">
        <f t="shared" si="10"/>
        <v/>
      </c>
      <c r="AR367" s="39" t="str">
        <f t="shared" si="11"/>
        <v/>
      </c>
      <c r="AS367" s="39" t="str">
        <f t="shared" si="12"/>
        <v/>
      </c>
      <c r="AT367" s="39" t="str">
        <f t="shared" si="13"/>
        <v/>
      </c>
      <c r="AU367" s="39" t="str">
        <f t="shared" si="14"/>
        <v/>
      </c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 t="str">
        <f t="shared" si="1"/>
        <v/>
      </c>
      <c r="J368" s="22" t="str">
        <f t="shared" si="2"/>
        <v/>
      </c>
      <c r="K368" s="22"/>
      <c r="L368" s="22"/>
      <c r="M368" s="22"/>
      <c r="N368" s="22"/>
      <c r="O368" s="22"/>
      <c r="P368" s="22" t="str">
        <f t="shared" si="4"/>
        <v/>
      </c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39" t="str">
        <f t="array" ref="AB368">IFERROR(INDEX(Bids!$AA:$AA, MATCH(C368&amp;"|"&amp;B368, Bids!$AD:$AD,0)),"")</f>
        <v/>
      </c>
      <c r="AC368" s="39" t="str">
        <f t="array" ref="AC368">IFERROR(INDEX(Bids!$AB:$AB, MATCH(C368&amp;"|"&amp;B368, Bids!$AD:$AD,0)),"")</f>
        <v/>
      </c>
      <c r="AD368" s="39" t="str">
        <f t="array" ref="AD368">IFERROR(INDEX(Bids!$AC:$AC, MATCH(C368&amp;"|"&amp;B368, Bids!$AD:$AD,0)), H368)</f>
        <v/>
      </c>
      <c r="AE368" s="39"/>
      <c r="AG368" s="39"/>
      <c r="AH368" s="39" t="str">
        <f t="shared" si="5"/>
        <v/>
      </c>
      <c r="AI368" s="39" t="str">
        <f t="shared" si="6"/>
        <v/>
      </c>
      <c r="AM368" s="39" t="str">
        <f t="array" ref="AM368">IF(C368="","",IFERROR(XLOOKUP(C368,Orders!$A:$A,Orders!$E:$E,""),""))</f>
        <v/>
      </c>
      <c r="AN368" s="39" t="str">
        <f t="shared" si="7"/>
        <v/>
      </c>
      <c r="AO368" s="39" t="str">
        <f t="shared" si="8"/>
        <v/>
      </c>
      <c r="AP368" s="39" t="str">
        <f t="shared" si="9"/>
        <v/>
      </c>
      <c r="AQ368" s="39" t="str">
        <f t="shared" si="10"/>
        <v/>
      </c>
      <c r="AR368" s="39" t="str">
        <f t="shared" si="11"/>
        <v/>
      </c>
      <c r="AS368" s="39" t="str">
        <f t="shared" si="12"/>
        <v/>
      </c>
      <c r="AT368" s="39" t="str">
        <f t="shared" si="13"/>
        <v/>
      </c>
      <c r="AU368" s="39" t="str">
        <f t="shared" si="14"/>
        <v/>
      </c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 t="str">
        <f t="shared" si="1"/>
        <v/>
      </c>
      <c r="J369" s="22" t="str">
        <f t="shared" si="2"/>
        <v/>
      </c>
      <c r="K369" s="22"/>
      <c r="L369" s="22"/>
      <c r="M369" s="22"/>
      <c r="N369" s="22"/>
      <c r="O369" s="22"/>
      <c r="P369" s="22" t="str">
        <f t="shared" si="4"/>
        <v/>
      </c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39" t="str">
        <f t="array" ref="AB369">IFERROR(INDEX(Bids!$AA:$AA, MATCH(C369&amp;"|"&amp;B369, Bids!$AD:$AD,0)),"")</f>
        <v/>
      </c>
      <c r="AC369" s="39" t="str">
        <f t="array" ref="AC369">IFERROR(INDEX(Bids!$AB:$AB, MATCH(C369&amp;"|"&amp;B369, Bids!$AD:$AD,0)),"")</f>
        <v/>
      </c>
      <c r="AD369" s="39" t="str">
        <f t="array" ref="AD369">IFERROR(INDEX(Bids!$AC:$AC, MATCH(C369&amp;"|"&amp;B369, Bids!$AD:$AD,0)), H369)</f>
        <v/>
      </c>
      <c r="AE369" s="39"/>
      <c r="AG369" s="39"/>
      <c r="AH369" s="39" t="str">
        <f t="shared" si="5"/>
        <v/>
      </c>
      <c r="AI369" s="39" t="str">
        <f t="shared" si="6"/>
        <v/>
      </c>
      <c r="AM369" s="39" t="str">
        <f t="array" ref="AM369">IF(C369="","",IFERROR(XLOOKUP(C369,Orders!$A:$A,Orders!$E:$E,""),""))</f>
        <v/>
      </c>
      <c r="AN369" s="39" t="str">
        <f t="shared" si="7"/>
        <v/>
      </c>
      <c r="AO369" s="39" t="str">
        <f t="shared" si="8"/>
        <v/>
      </c>
      <c r="AP369" s="39" t="str">
        <f t="shared" si="9"/>
        <v/>
      </c>
      <c r="AQ369" s="39" t="str">
        <f t="shared" si="10"/>
        <v/>
      </c>
      <c r="AR369" s="39" t="str">
        <f t="shared" si="11"/>
        <v/>
      </c>
      <c r="AS369" s="39" t="str">
        <f t="shared" si="12"/>
        <v/>
      </c>
      <c r="AT369" s="39" t="str">
        <f t="shared" si="13"/>
        <v/>
      </c>
      <c r="AU369" s="39" t="str">
        <f t="shared" si="14"/>
        <v/>
      </c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 t="str">
        <f t="shared" si="1"/>
        <v/>
      </c>
      <c r="J370" s="22" t="str">
        <f t="shared" si="2"/>
        <v/>
      </c>
      <c r="K370" s="22"/>
      <c r="L370" s="22"/>
      <c r="M370" s="22"/>
      <c r="N370" s="22"/>
      <c r="O370" s="22"/>
      <c r="P370" s="22" t="str">
        <f t="shared" si="4"/>
        <v/>
      </c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39" t="str">
        <f t="array" ref="AB370">IFERROR(INDEX(Bids!$AA:$AA, MATCH(C370&amp;"|"&amp;B370, Bids!$AD:$AD,0)),"")</f>
        <v/>
      </c>
      <c r="AC370" s="39" t="str">
        <f t="array" ref="AC370">IFERROR(INDEX(Bids!$AB:$AB, MATCH(C370&amp;"|"&amp;B370, Bids!$AD:$AD,0)),"")</f>
        <v/>
      </c>
      <c r="AD370" s="39" t="str">
        <f t="array" ref="AD370">IFERROR(INDEX(Bids!$AC:$AC, MATCH(C370&amp;"|"&amp;B370, Bids!$AD:$AD,0)), H370)</f>
        <v/>
      </c>
      <c r="AE370" s="39"/>
      <c r="AG370" s="39"/>
      <c r="AH370" s="39" t="str">
        <f t="shared" si="5"/>
        <v/>
      </c>
      <c r="AI370" s="39" t="str">
        <f t="shared" si="6"/>
        <v/>
      </c>
      <c r="AM370" s="39" t="str">
        <f t="array" ref="AM370">IF(C370="","",IFERROR(XLOOKUP(C370,Orders!$A:$A,Orders!$E:$E,""),""))</f>
        <v/>
      </c>
      <c r="AN370" s="39" t="str">
        <f t="shared" si="7"/>
        <v/>
      </c>
      <c r="AO370" s="39" t="str">
        <f t="shared" si="8"/>
        <v/>
      </c>
      <c r="AP370" s="39" t="str">
        <f t="shared" si="9"/>
        <v/>
      </c>
      <c r="AQ370" s="39" t="str">
        <f t="shared" si="10"/>
        <v/>
      </c>
      <c r="AR370" s="39" t="str">
        <f t="shared" si="11"/>
        <v/>
      </c>
      <c r="AS370" s="39" t="str">
        <f t="shared" si="12"/>
        <v/>
      </c>
      <c r="AT370" s="39" t="str">
        <f t="shared" si="13"/>
        <v/>
      </c>
      <c r="AU370" s="39" t="str">
        <f t="shared" si="14"/>
        <v/>
      </c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 t="str">
        <f t="shared" si="1"/>
        <v/>
      </c>
      <c r="J371" s="22" t="str">
        <f t="shared" si="2"/>
        <v/>
      </c>
      <c r="K371" s="22"/>
      <c r="L371" s="22"/>
      <c r="M371" s="22"/>
      <c r="N371" s="22"/>
      <c r="O371" s="22"/>
      <c r="P371" s="22" t="str">
        <f t="shared" si="4"/>
        <v/>
      </c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39" t="str">
        <f t="array" ref="AB371">IFERROR(INDEX(Bids!$AA:$AA, MATCH(C371&amp;"|"&amp;B371, Bids!$AD:$AD,0)),"")</f>
        <v/>
      </c>
      <c r="AC371" s="39" t="str">
        <f t="array" ref="AC371">IFERROR(INDEX(Bids!$AB:$AB, MATCH(C371&amp;"|"&amp;B371, Bids!$AD:$AD,0)),"")</f>
        <v/>
      </c>
      <c r="AD371" s="39" t="str">
        <f t="array" ref="AD371">IFERROR(INDEX(Bids!$AC:$AC, MATCH(C371&amp;"|"&amp;B371, Bids!$AD:$AD,0)), H371)</f>
        <v/>
      </c>
      <c r="AE371" s="39"/>
      <c r="AG371" s="39"/>
      <c r="AH371" s="39" t="str">
        <f t="shared" si="5"/>
        <v/>
      </c>
      <c r="AI371" s="39" t="str">
        <f t="shared" si="6"/>
        <v/>
      </c>
      <c r="AM371" s="39" t="str">
        <f t="array" ref="AM371">IF(C371="","",IFERROR(XLOOKUP(C371,Orders!$A:$A,Orders!$E:$E,""),""))</f>
        <v/>
      </c>
      <c r="AN371" s="39" t="str">
        <f t="shared" si="7"/>
        <v/>
      </c>
      <c r="AO371" s="39" t="str">
        <f t="shared" si="8"/>
        <v/>
      </c>
      <c r="AP371" s="39" t="str">
        <f t="shared" si="9"/>
        <v/>
      </c>
      <c r="AQ371" s="39" t="str">
        <f t="shared" si="10"/>
        <v/>
      </c>
      <c r="AR371" s="39" t="str">
        <f t="shared" si="11"/>
        <v/>
      </c>
      <c r="AS371" s="39" t="str">
        <f t="shared" si="12"/>
        <v/>
      </c>
      <c r="AT371" s="39" t="str">
        <f t="shared" si="13"/>
        <v/>
      </c>
      <c r="AU371" s="39" t="str">
        <f t="shared" si="14"/>
        <v/>
      </c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 t="str">
        <f t="shared" si="1"/>
        <v/>
      </c>
      <c r="J372" s="22" t="str">
        <f t="shared" si="2"/>
        <v/>
      </c>
      <c r="K372" s="22"/>
      <c r="L372" s="22"/>
      <c r="M372" s="22"/>
      <c r="N372" s="22"/>
      <c r="O372" s="22"/>
      <c r="P372" s="22" t="str">
        <f t="shared" si="4"/>
        <v/>
      </c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39" t="str">
        <f t="array" ref="AB372">IFERROR(INDEX(Bids!$AA:$AA, MATCH(C372&amp;"|"&amp;B372, Bids!$AD:$AD,0)),"")</f>
        <v/>
      </c>
      <c r="AC372" s="39" t="str">
        <f t="array" ref="AC372">IFERROR(INDEX(Bids!$AB:$AB, MATCH(C372&amp;"|"&amp;B372, Bids!$AD:$AD,0)),"")</f>
        <v/>
      </c>
      <c r="AD372" s="39" t="str">
        <f t="array" ref="AD372">IFERROR(INDEX(Bids!$AC:$AC, MATCH(C372&amp;"|"&amp;B372, Bids!$AD:$AD,0)), H372)</f>
        <v/>
      </c>
      <c r="AE372" s="39"/>
      <c r="AG372" s="39"/>
      <c r="AH372" s="39" t="str">
        <f t="shared" si="5"/>
        <v/>
      </c>
      <c r="AI372" s="39" t="str">
        <f t="shared" si="6"/>
        <v/>
      </c>
      <c r="AM372" s="39" t="str">
        <f t="array" ref="AM372">IF(C372="","",IFERROR(XLOOKUP(C372,Orders!$A:$A,Orders!$E:$E,""),""))</f>
        <v/>
      </c>
      <c r="AN372" s="39" t="str">
        <f t="shared" si="7"/>
        <v/>
      </c>
      <c r="AO372" s="39" t="str">
        <f t="shared" si="8"/>
        <v/>
      </c>
      <c r="AP372" s="39" t="str">
        <f t="shared" si="9"/>
        <v/>
      </c>
      <c r="AQ372" s="39" t="str">
        <f t="shared" si="10"/>
        <v/>
      </c>
      <c r="AR372" s="39" t="str">
        <f t="shared" si="11"/>
        <v/>
      </c>
      <c r="AS372" s="39" t="str">
        <f t="shared" si="12"/>
        <v/>
      </c>
      <c r="AT372" s="39" t="str">
        <f t="shared" si="13"/>
        <v/>
      </c>
      <c r="AU372" s="39" t="str">
        <f t="shared" si="14"/>
        <v/>
      </c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 t="str">
        <f t="shared" si="1"/>
        <v/>
      </c>
      <c r="J373" s="22" t="str">
        <f t="shared" si="2"/>
        <v/>
      </c>
      <c r="K373" s="22"/>
      <c r="L373" s="22"/>
      <c r="M373" s="22"/>
      <c r="N373" s="22"/>
      <c r="O373" s="22"/>
      <c r="P373" s="22" t="str">
        <f t="shared" si="4"/>
        <v/>
      </c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39" t="str">
        <f t="array" ref="AB373">IFERROR(INDEX(Bids!$AA:$AA, MATCH(C373&amp;"|"&amp;B373, Bids!$AD:$AD,0)),"")</f>
        <v/>
      </c>
      <c r="AC373" s="39" t="str">
        <f t="array" ref="AC373">IFERROR(INDEX(Bids!$AB:$AB, MATCH(C373&amp;"|"&amp;B373, Bids!$AD:$AD,0)),"")</f>
        <v/>
      </c>
      <c r="AD373" s="39" t="str">
        <f t="array" ref="AD373">IFERROR(INDEX(Bids!$AC:$AC, MATCH(C373&amp;"|"&amp;B373, Bids!$AD:$AD,0)), H373)</f>
        <v/>
      </c>
      <c r="AE373" s="39"/>
      <c r="AG373" s="39"/>
      <c r="AH373" s="39" t="str">
        <f t="shared" si="5"/>
        <v/>
      </c>
      <c r="AI373" s="39" t="str">
        <f t="shared" si="6"/>
        <v/>
      </c>
      <c r="AM373" s="39" t="str">
        <f t="array" ref="AM373">IF(C373="","",IFERROR(XLOOKUP(C373,Orders!$A:$A,Orders!$E:$E,""),""))</f>
        <v/>
      </c>
      <c r="AN373" s="39" t="str">
        <f t="shared" si="7"/>
        <v/>
      </c>
      <c r="AO373" s="39" t="str">
        <f t="shared" si="8"/>
        <v/>
      </c>
      <c r="AP373" s="39" t="str">
        <f t="shared" si="9"/>
        <v/>
      </c>
      <c r="AQ373" s="39" t="str">
        <f t="shared" si="10"/>
        <v/>
      </c>
      <c r="AR373" s="39" t="str">
        <f t="shared" si="11"/>
        <v/>
      </c>
      <c r="AS373" s="39" t="str">
        <f t="shared" si="12"/>
        <v/>
      </c>
      <c r="AT373" s="39" t="str">
        <f t="shared" si="13"/>
        <v/>
      </c>
      <c r="AU373" s="39" t="str">
        <f t="shared" si="14"/>
        <v/>
      </c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 t="str">
        <f t="shared" si="1"/>
        <v/>
      </c>
      <c r="J374" s="22" t="str">
        <f t="shared" si="2"/>
        <v/>
      </c>
      <c r="K374" s="22"/>
      <c r="L374" s="22"/>
      <c r="M374" s="22"/>
      <c r="N374" s="22"/>
      <c r="O374" s="22"/>
      <c r="P374" s="22" t="str">
        <f t="shared" si="4"/>
        <v/>
      </c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39" t="str">
        <f t="array" ref="AB374">IFERROR(INDEX(Bids!$AA:$AA, MATCH(C374&amp;"|"&amp;B374, Bids!$AD:$AD,0)),"")</f>
        <v/>
      </c>
      <c r="AC374" s="39" t="str">
        <f t="array" ref="AC374">IFERROR(INDEX(Bids!$AB:$AB, MATCH(C374&amp;"|"&amp;B374, Bids!$AD:$AD,0)),"")</f>
        <v/>
      </c>
      <c r="AD374" s="39" t="str">
        <f t="array" ref="AD374">IFERROR(INDEX(Bids!$AC:$AC, MATCH(C374&amp;"|"&amp;B374, Bids!$AD:$AD,0)), H374)</f>
        <v/>
      </c>
      <c r="AE374" s="39"/>
      <c r="AG374" s="39"/>
      <c r="AH374" s="39" t="str">
        <f t="shared" si="5"/>
        <v/>
      </c>
      <c r="AI374" s="39" t="str">
        <f t="shared" si="6"/>
        <v/>
      </c>
      <c r="AM374" s="39" t="str">
        <f t="array" ref="AM374">IF(C374="","",IFERROR(XLOOKUP(C374,Orders!$A:$A,Orders!$E:$E,""),""))</f>
        <v/>
      </c>
      <c r="AN374" s="39" t="str">
        <f t="shared" si="7"/>
        <v/>
      </c>
      <c r="AO374" s="39" t="str">
        <f t="shared" si="8"/>
        <v/>
      </c>
      <c r="AP374" s="39" t="str">
        <f t="shared" si="9"/>
        <v/>
      </c>
      <c r="AQ374" s="39" t="str">
        <f t="shared" si="10"/>
        <v/>
      </c>
      <c r="AR374" s="39" t="str">
        <f t="shared" si="11"/>
        <v/>
      </c>
      <c r="AS374" s="39" t="str">
        <f t="shared" si="12"/>
        <v/>
      </c>
      <c r="AT374" s="39" t="str">
        <f t="shared" si="13"/>
        <v/>
      </c>
      <c r="AU374" s="39" t="str">
        <f t="shared" si="14"/>
        <v/>
      </c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 t="str">
        <f t="shared" si="1"/>
        <v/>
      </c>
      <c r="J375" s="22" t="str">
        <f t="shared" si="2"/>
        <v/>
      </c>
      <c r="K375" s="22"/>
      <c r="L375" s="22"/>
      <c r="M375" s="22"/>
      <c r="N375" s="22"/>
      <c r="O375" s="22"/>
      <c r="P375" s="22" t="str">
        <f t="shared" si="4"/>
        <v/>
      </c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39" t="str">
        <f t="array" ref="AB375">IFERROR(INDEX(Bids!$AA:$AA, MATCH(C375&amp;"|"&amp;B375, Bids!$AD:$AD,0)),"")</f>
        <v/>
      </c>
      <c r="AC375" s="39" t="str">
        <f t="array" ref="AC375">IFERROR(INDEX(Bids!$AB:$AB, MATCH(C375&amp;"|"&amp;B375, Bids!$AD:$AD,0)),"")</f>
        <v/>
      </c>
      <c r="AD375" s="39" t="str">
        <f t="array" ref="AD375">IFERROR(INDEX(Bids!$AC:$AC, MATCH(C375&amp;"|"&amp;B375, Bids!$AD:$AD,0)), H375)</f>
        <v/>
      </c>
      <c r="AE375" s="39"/>
      <c r="AG375" s="39"/>
      <c r="AH375" s="39" t="str">
        <f t="shared" si="5"/>
        <v/>
      </c>
      <c r="AI375" s="39" t="str">
        <f t="shared" si="6"/>
        <v/>
      </c>
      <c r="AM375" s="39" t="str">
        <f t="array" ref="AM375">IF(C375="","",IFERROR(XLOOKUP(C375,Orders!$A:$A,Orders!$E:$E,""),""))</f>
        <v/>
      </c>
      <c r="AN375" s="39" t="str">
        <f t="shared" si="7"/>
        <v/>
      </c>
      <c r="AO375" s="39" t="str">
        <f t="shared" si="8"/>
        <v/>
      </c>
      <c r="AP375" s="39" t="str">
        <f t="shared" si="9"/>
        <v/>
      </c>
      <c r="AQ375" s="39" t="str">
        <f t="shared" si="10"/>
        <v/>
      </c>
      <c r="AR375" s="39" t="str">
        <f t="shared" si="11"/>
        <v/>
      </c>
      <c r="AS375" s="39" t="str">
        <f t="shared" si="12"/>
        <v/>
      </c>
      <c r="AT375" s="39" t="str">
        <f t="shared" si="13"/>
        <v/>
      </c>
      <c r="AU375" s="39" t="str">
        <f t="shared" si="14"/>
        <v/>
      </c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 t="str">
        <f t="shared" si="1"/>
        <v/>
      </c>
      <c r="J376" s="22" t="str">
        <f t="shared" si="2"/>
        <v/>
      </c>
      <c r="K376" s="22"/>
      <c r="L376" s="22"/>
      <c r="M376" s="22"/>
      <c r="N376" s="22"/>
      <c r="O376" s="22"/>
      <c r="P376" s="22" t="str">
        <f t="shared" si="4"/>
        <v/>
      </c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39" t="str">
        <f t="array" ref="AB376">IFERROR(INDEX(Bids!$AA:$AA, MATCH(C376&amp;"|"&amp;B376, Bids!$AD:$AD,0)),"")</f>
        <v/>
      </c>
      <c r="AC376" s="39" t="str">
        <f t="array" ref="AC376">IFERROR(INDEX(Bids!$AB:$AB, MATCH(C376&amp;"|"&amp;B376, Bids!$AD:$AD,0)),"")</f>
        <v/>
      </c>
      <c r="AD376" s="39" t="str">
        <f t="array" ref="AD376">IFERROR(INDEX(Bids!$AC:$AC, MATCH(C376&amp;"|"&amp;B376, Bids!$AD:$AD,0)), H376)</f>
        <v/>
      </c>
      <c r="AE376" s="39"/>
      <c r="AG376" s="39"/>
      <c r="AH376" s="39" t="str">
        <f t="shared" si="5"/>
        <v/>
      </c>
      <c r="AI376" s="39" t="str">
        <f t="shared" si="6"/>
        <v/>
      </c>
      <c r="AM376" s="39" t="str">
        <f t="array" ref="AM376">IF(C376="","",IFERROR(XLOOKUP(C376,Orders!$A:$A,Orders!$E:$E,""),""))</f>
        <v/>
      </c>
      <c r="AN376" s="39" t="str">
        <f t="shared" si="7"/>
        <v/>
      </c>
      <c r="AO376" s="39" t="str">
        <f t="shared" si="8"/>
        <v/>
      </c>
      <c r="AP376" s="39" t="str">
        <f t="shared" si="9"/>
        <v/>
      </c>
      <c r="AQ376" s="39" t="str">
        <f t="shared" si="10"/>
        <v/>
      </c>
      <c r="AR376" s="39" t="str">
        <f t="shared" si="11"/>
        <v/>
      </c>
      <c r="AS376" s="39" t="str">
        <f t="shared" si="12"/>
        <v/>
      </c>
      <c r="AT376" s="39" t="str">
        <f t="shared" si="13"/>
        <v/>
      </c>
      <c r="AU376" s="39" t="str">
        <f t="shared" si="14"/>
        <v/>
      </c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 t="str">
        <f t="shared" si="1"/>
        <v/>
      </c>
      <c r="J377" s="22" t="str">
        <f t="shared" si="2"/>
        <v/>
      </c>
      <c r="K377" s="22"/>
      <c r="L377" s="22"/>
      <c r="M377" s="22"/>
      <c r="N377" s="22"/>
      <c r="O377" s="22"/>
      <c r="P377" s="22" t="str">
        <f t="shared" si="4"/>
        <v/>
      </c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39" t="str">
        <f t="array" ref="AB377">IFERROR(INDEX(Bids!$AA:$AA, MATCH(C377&amp;"|"&amp;B377, Bids!$AD:$AD,0)),"")</f>
        <v/>
      </c>
      <c r="AC377" s="39" t="str">
        <f t="array" ref="AC377">IFERROR(INDEX(Bids!$AB:$AB, MATCH(C377&amp;"|"&amp;B377, Bids!$AD:$AD,0)),"")</f>
        <v/>
      </c>
      <c r="AD377" s="39" t="str">
        <f t="array" ref="AD377">IFERROR(INDEX(Bids!$AC:$AC, MATCH(C377&amp;"|"&amp;B377, Bids!$AD:$AD,0)), H377)</f>
        <v/>
      </c>
      <c r="AE377" s="39"/>
      <c r="AG377" s="39"/>
      <c r="AH377" s="39" t="str">
        <f t="shared" si="5"/>
        <v/>
      </c>
      <c r="AI377" s="39" t="str">
        <f t="shared" si="6"/>
        <v/>
      </c>
      <c r="AM377" s="39" t="str">
        <f t="array" ref="AM377">IF(C377="","",IFERROR(XLOOKUP(C377,Orders!$A:$A,Orders!$E:$E,""),""))</f>
        <v/>
      </c>
      <c r="AN377" s="39" t="str">
        <f t="shared" si="7"/>
        <v/>
      </c>
      <c r="AO377" s="39" t="str">
        <f t="shared" si="8"/>
        <v/>
      </c>
      <c r="AP377" s="39" t="str">
        <f t="shared" si="9"/>
        <v/>
      </c>
      <c r="AQ377" s="39" t="str">
        <f t="shared" si="10"/>
        <v/>
      </c>
      <c r="AR377" s="39" t="str">
        <f t="shared" si="11"/>
        <v/>
      </c>
      <c r="AS377" s="39" t="str">
        <f t="shared" si="12"/>
        <v/>
      </c>
      <c r="AT377" s="39" t="str">
        <f t="shared" si="13"/>
        <v/>
      </c>
      <c r="AU377" s="39" t="str">
        <f t="shared" si="14"/>
        <v/>
      </c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 t="str">
        <f t="shared" si="1"/>
        <v/>
      </c>
      <c r="J378" s="22" t="str">
        <f t="shared" si="2"/>
        <v/>
      </c>
      <c r="K378" s="22"/>
      <c r="L378" s="22"/>
      <c r="M378" s="22"/>
      <c r="N378" s="22"/>
      <c r="O378" s="22"/>
      <c r="P378" s="22" t="str">
        <f t="shared" si="4"/>
        <v/>
      </c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39" t="str">
        <f t="array" ref="AB378">IFERROR(INDEX(Bids!$AA:$AA, MATCH(C378&amp;"|"&amp;B378, Bids!$AD:$AD,0)),"")</f>
        <v/>
      </c>
      <c r="AC378" s="39" t="str">
        <f t="array" ref="AC378">IFERROR(INDEX(Bids!$AB:$AB, MATCH(C378&amp;"|"&amp;B378, Bids!$AD:$AD,0)),"")</f>
        <v/>
      </c>
      <c r="AD378" s="39" t="str">
        <f t="array" ref="AD378">IFERROR(INDEX(Bids!$AC:$AC, MATCH(C378&amp;"|"&amp;B378, Bids!$AD:$AD,0)), H378)</f>
        <v/>
      </c>
      <c r="AE378" s="39"/>
      <c r="AG378" s="39"/>
      <c r="AH378" s="39" t="str">
        <f t="shared" si="5"/>
        <v/>
      </c>
      <c r="AI378" s="39" t="str">
        <f t="shared" si="6"/>
        <v/>
      </c>
      <c r="AM378" s="39" t="str">
        <f t="array" ref="AM378">IF(C378="","",IFERROR(XLOOKUP(C378,Orders!$A:$A,Orders!$E:$E,""),""))</f>
        <v/>
      </c>
      <c r="AN378" s="39" t="str">
        <f t="shared" si="7"/>
        <v/>
      </c>
      <c r="AO378" s="39" t="str">
        <f t="shared" si="8"/>
        <v/>
      </c>
      <c r="AP378" s="39" t="str">
        <f t="shared" si="9"/>
        <v/>
      </c>
      <c r="AQ378" s="39" t="str">
        <f t="shared" si="10"/>
        <v/>
      </c>
      <c r="AR378" s="39" t="str">
        <f t="shared" si="11"/>
        <v/>
      </c>
      <c r="AS378" s="39" t="str">
        <f t="shared" si="12"/>
        <v/>
      </c>
      <c r="AT378" s="39" t="str">
        <f t="shared" si="13"/>
        <v/>
      </c>
      <c r="AU378" s="39" t="str">
        <f t="shared" si="14"/>
        <v/>
      </c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 t="str">
        <f t="shared" si="1"/>
        <v/>
      </c>
      <c r="J379" s="22" t="str">
        <f t="shared" si="2"/>
        <v/>
      </c>
      <c r="K379" s="22"/>
      <c r="L379" s="22"/>
      <c r="M379" s="22"/>
      <c r="N379" s="22"/>
      <c r="O379" s="22"/>
      <c r="P379" s="22" t="str">
        <f t="shared" si="4"/>
        <v/>
      </c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39" t="str">
        <f t="array" ref="AB379">IFERROR(INDEX(Bids!$AA:$AA, MATCH(C379&amp;"|"&amp;B379, Bids!$AD:$AD,0)),"")</f>
        <v/>
      </c>
      <c r="AC379" s="39" t="str">
        <f t="array" ref="AC379">IFERROR(INDEX(Bids!$AB:$AB, MATCH(C379&amp;"|"&amp;B379, Bids!$AD:$AD,0)),"")</f>
        <v/>
      </c>
      <c r="AD379" s="39" t="str">
        <f t="array" ref="AD379">IFERROR(INDEX(Bids!$AC:$AC, MATCH(C379&amp;"|"&amp;B379, Bids!$AD:$AD,0)), H379)</f>
        <v/>
      </c>
      <c r="AE379" s="39"/>
      <c r="AG379" s="39"/>
      <c r="AH379" s="39" t="str">
        <f t="shared" si="5"/>
        <v/>
      </c>
      <c r="AI379" s="39" t="str">
        <f t="shared" si="6"/>
        <v/>
      </c>
      <c r="AM379" s="39" t="str">
        <f t="array" ref="AM379">IF(C379="","",IFERROR(XLOOKUP(C379,Orders!$A:$A,Orders!$E:$E,""),""))</f>
        <v/>
      </c>
      <c r="AN379" s="39" t="str">
        <f t="shared" si="7"/>
        <v/>
      </c>
      <c r="AO379" s="39" t="str">
        <f t="shared" si="8"/>
        <v/>
      </c>
      <c r="AP379" s="39" t="str">
        <f t="shared" si="9"/>
        <v/>
      </c>
      <c r="AQ379" s="39" t="str">
        <f t="shared" si="10"/>
        <v/>
      </c>
      <c r="AR379" s="39" t="str">
        <f t="shared" si="11"/>
        <v/>
      </c>
      <c r="AS379" s="39" t="str">
        <f t="shared" si="12"/>
        <v/>
      </c>
      <c r="AT379" s="39" t="str">
        <f t="shared" si="13"/>
        <v/>
      </c>
      <c r="AU379" s="39" t="str">
        <f t="shared" si="14"/>
        <v/>
      </c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 t="str">
        <f t="shared" si="1"/>
        <v/>
      </c>
      <c r="J380" s="22" t="str">
        <f t="shared" si="2"/>
        <v/>
      </c>
      <c r="K380" s="22"/>
      <c r="L380" s="22"/>
      <c r="M380" s="22"/>
      <c r="N380" s="22"/>
      <c r="O380" s="22"/>
      <c r="P380" s="22" t="str">
        <f t="shared" si="4"/>
        <v/>
      </c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39" t="str">
        <f t="array" ref="AB380">IFERROR(INDEX(Bids!$AA:$AA, MATCH(C380&amp;"|"&amp;B380, Bids!$AD:$AD,0)),"")</f>
        <v/>
      </c>
      <c r="AC380" s="39" t="str">
        <f t="array" ref="AC380">IFERROR(INDEX(Bids!$AB:$AB, MATCH(C380&amp;"|"&amp;B380, Bids!$AD:$AD,0)),"")</f>
        <v/>
      </c>
      <c r="AD380" s="39" t="str">
        <f t="array" ref="AD380">IFERROR(INDEX(Bids!$AC:$AC, MATCH(C380&amp;"|"&amp;B380, Bids!$AD:$AD,0)), H380)</f>
        <v/>
      </c>
      <c r="AE380" s="39"/>
      <c r="AG380" s="39"/>
      <c r="AH380" s="39" t="str">
        <f t="shared" si="5"/>
        <v/>
      </c>
      <c r="AI380" s="39" t="str">
        <f t="shared" si="6"/>
        <v/>
      </c>
      <c r="AM380" s="39" t="str">
        <f t="array" ref="AM380">IF(C380="","",IFERROR(XLOOKUP(C380,Orders!$A:$A,Orders!$E:$E,""),""))</f>
        <v/>
      </c>
      <c r="AN380" s="39" t="str">
        <f t="shared" si="7"/>
        <v/>
      </c>
      <c r="AO380" s="39" t="str">
        <f t="shared" si="8"/>
        <v/>
      </c>
      <c r="AP380" s="39" t="str">
        <f t="shared" si="9"/>
        <v/>
      </c>
      <c r="AQ380" s="39" t="str">
        <f t="shared" si="10"/>
        <v/>
      </c>
      <c r="AR380" s="39" t="str">
        <f t="shared" si="11"/>
        <v/>
      </c>
      <c r="AS380" s="39" t="str">
        <f t="shared" si="12"/>
        <v/>
      </c>
      <c r="AT380" s="39" t="str">
        <f t="shared" si="13"/>
        <v/>
      </c>
      <c r="AU380" s="39" t="str">
        <f t="shared" si="14"/>
        <v/>
      </c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 t="str">
        <f t="shared" si="1"/>
        <v/>
      </c>
      <c r="J381" s="22" t="str">
        <f t="shared" si="2"/>
        <v/>
      </c>
      <c r="K381" s="22"/>
      <c r="L381" s="22"/>
      <c r="M381" s="22"/>
      <c r="N381" s="22"/>
      <c r="O381" s="22"/>
      <c r="P381" s="22" t="str">
        <f t="shared" si="4"/>
        <v/>
      </c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39" t="str">
        <f t="array" ref="AB381">IFERROR(INDEX(Bids!$AA:$AA, MATCH(C381&amp;"|"&amp;B381, Bids!$AD:$AD,0)),"")</f>
        <v/>
      </c>
      <c r="AC381" s="39" t="str">
        <f t="array" ref="AC381">IFERROR(INDEX(Bids!$AB:$AB, MATCH(C381&amp;"|"&amp;B381, Bids!$AD:$AD,0)),"")</f>
        <v/>
      </c>
      <c r="AD381" s="39" t="str">
        <f t="array" ref="AD381">IFERROR(INDEX(Bids!$AC:$AC, MATCH(C381&amp;"|"&amp;B381, Bids!$AD:$AD,0)), H381)</f>
        <v/>
      </c>
      <c r="AE381" s="39"/>
      <c r="AG381" s="39"/>
      <c r="AH381" s="39" t="str">
        <f t="shared" si="5"/>
        <v/>
      </c>
      <c r="AI381" s="39" t="str">
        <f t="shared" si="6"/>
        <v/>
      </c>
      <c r="AM381" s="39" t="str">
        <f t="array" ref="AM381">IF(C381="","",IFERROR(XLOOKUP(C381,Orders!$A:$A,Orders!$E:$E,""),""))</f>
        <v/>
      </c>
      <c r="AN381" s="39" t="str">
        <f t="shared" si="7"/>
        <v/>
      </c>
      <c r="AO381" s="39" t="str">
        <f t="shared" si="8"/>
        <v/>
      </c>
      <c r="AP381" s="39" t="str">
        <f t="shared" si="9"/>
        <v/>
      </c>
      <c r="AQ381" s="39" t="str">
        <f t="shared" si="10"/>
        <v/>
      </c>
      <c r="AR381" s="39" t="str">
        <f t="shared" si="11"/>
        <v/>
      </c>
      <c r="AS381" s="39" t="str">
        <f t="shared" si="12"/>
        <v/>
      </c>
      <c r="AT381" s="39" t="str">
        <f t="shared" si="13"/>
        <v/>
      </c>
      <c r="AU381" s="39" t="str">
        <f t="shared" si="14"/>
        <v/>
      </c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 t="str">
        <f t="shared" si="1"/>
        <v/>
      </c>
      <c r="J382" s="22" t="str">
        <f t="shared" si="2"/>
        <v/>
      </c>
      <c r="K382" s="22"/>
      <c r="L382" s="22"/>
      <c r="M382" s="22"/>
      <c r="N382" s="22"/>
      <c r="O382" s="22"/>
      <c r="P382" s="22" t="str">
        <f t="shared" si="4"/>
        <v/>
      </c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39" t="str">
        <f t="array" ref="AB382">IFERROR(INDEX(Bids!$AA:$AA, MATCH(C382&amp;"|"&amp;B382, Bids!$AD:$AD,0)),"")</f>
        <v/>
      </c>
      <c r="AC382" s="39" t="str">
        <f t="array" ref="AC382">IFERROR(INDEX(Bids!$AB:$AB, MATCH(C382&amp;"|"&amp;B382, Bids!$AD:$AD,0)),"")</f>
        <v/>
      </c>
      <c r="AD382" s="39" t="str">
        <f t="array" ref="AD382">IFERROR(INDEX(Bids!$AC:$AC, MATCH(C382&amp;"|"&amp;B382, Bids!$AD:$AD,0)), H382)</f>
        <v/>
      </c>
      <c r="AE382" s="39"/>
      <c r="AG382" s="39"/>
      <c r="AH382" s="39" t="str">
        <f t="shared" si="5"/>
        <v/>
      </c>
      <c r="AI382" s="39" t="str">
        <f t="shared" si="6"/>
        <v/>
      </c>
      <c r="AM382" s="39" t="str">
        <f t="array" ref="AM382">IF(C382="","",IFERROR(XLOOKUP(C382,Orders!$A:$A,Orders!$E:$E,""),""))</f>
        <v/>
      </c>
      <c r="AN382" s="39" t="str">
        <f t="shared" si="7"/>
        <v/>
      </c>
      <c r="AO382" s="39" t="str">
        <f t="shared" si="8"/>
        <v/>
      </c>
      <c r="AP382" s="39" t="str">
        <f t="shared" si="9"/>
        <v/>
      </c>
      <c r="AQ382" s="39" t="str">
        <f t="shared" si="10"/>
        <v/>
      </c>
      <c r="AR382" s="39" t="str">
        <f t="shared" si="11"/>
        <v/>
      </c>
      <c r="AS382" s="39" t="str">
        <f t="shared" si="12"/>
        <v/>
      </c>
      <c r="AT382" s="39" t="str">
        <f t="shared" si="13"/>
        <v/>
      </c>
      <c r="AU382" s="39" t="str">
        <f t="shared" si="14"/>
        <v/>
      </c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 t="str">
        <f t="shared" si="1"/>
        <v/>
      </c>
      <c r="J383" s="22" t="str">
        <f t="shared" si="2"/>
        <v/>
      </c>
      <c r="K383" s="22"/>
      <c r="L383" s="22"/>
      <c r="M383" s="22"/>
      <c r="N383" s="22"/>
      <c r="O383" s="22"/>
      <c r="P383" s="22" t="str">
        <f t="shared" si="4"/>
        <v/>
      </c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39" t="str">
        <f t="array" ref="AB383">IFERROR(INDEX(Bids!$AA:$AA, MATCH(C383&amp;"|"&amp;B383, Bids!$AD:$AD,0)),"")</f>
        <v/>
      </c>
      <c r="AC383" s="39" t="str">
        <f t="array" ref="AC383">IFERROR(INDEX(Bids!$AB:$AB, MATCH(C383&amp;"|"&amp;B383, Bids!$AD:$AD,0)),"")</f>
        <v/>
      </c>
      <c r="AD383" s="39" t="str">
        <f t="array" ref="AD383">IFERROR(INDEX(Bids!$AC:$AC, MATCH(C383&amp;"|"&amp;B383, Bids!$AD:$AD,0)), H383)</f>
        <v/>
      </c>
      <c r="AE383" s="39"/>
      <c r="AG383" s="39"/>
      <c r="AH383" s="39" t="str">
        <f t="shared" si="5"/>
        <v/>
      </c>
      <c r="AI383" s="39" t="str">
        <f t="shared" si="6"/>
        <v/>
      </c>
      <c r="AM383" s="39" t="str">
        <f t="array" ref="AM383">IF(C383="","",IFERROR(XLOOKUP(C383,Orders!$A:$A,Orders!$E:$E,""),""))</f>
        <v/>
      </c>
      <c r="AN383" s="39" t="str">
        <f t="shared" si="7"/>
        <v/>
      </c>
      <c r="AO383" s="39" t="str">
        <f t="shared" si="8"/>
        <v/>
      </c>
      <c r="AP383" s="39" t="str">
        <f t="shared" si="9"/>
        <v/>
      </c>
      <c r="AQ383" s="39" t="str">
        <f t="shared" si="10"/>
        <v/>
      </c>
      <c r="AR383" s="39" t="str">
        <f t="shared" si="11"/>
        <v/>
      </c>
      <c r="AS383" s="39" t="str">
        <f t="shared" si="12"/>
        <v/>
      </c>
      <c r="AT383" s="39" t="str">
        <f t="shared" si="13"/>
        <v/>
      </c>
      <c r="AU383" s="39" t="str">
        <f t="shared" si="14"/>
        <v/>
      </c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 t="str">
        <f t="shared" si="1"/>
        <v/>
      </c>
      <c r="J384" s="22" t="str">
        <f t="shared" si="2"/>
        <v/>
      </c>
      <c r="K384" s="22"/>
      <c r="L384" s="22"/>
      <c r="M384" s="22"/>
      <c r="N384" s="22"/>
      <c r="O384" s="22"/>
      <c r="P384" s="22" t="str">
        <f t="shared" si="4"/>
        <v/>
      </c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39" t="str">
        <f t="array" ref="AB384">IFERROR(INDEX(Bids!$AA:$AA, MATCH(C384&amp;"|"&amp;B384, Bids!$AD:$AD,0)),"")</f>
        <v/>
      </c>
      <c r="AC384" s="39" t="str">
        <f t="array" ref="AC384">IFERROR(INDEX(Bids!$AB:$AB, MATCH(C384&amp;"|"&amp;B384, Bids!$AD:$AD,0)),"")</f>
        <v/>
      </c>
      <c r="AD384" s="39" t="str">
        <f t="array" ref="AD384">IFERROR(INDEX(Bids!$AC:$AC, MATCH(C384&amp;"|"&amp;B384, Bids!$AD:$AD,0)), H384)</f>
        <v/>
      </c>
      <c r="AE384" s="39"/>
      <c r="AG384" s="39"/>
      <c r="AH384" s="39" t="str">
        <f t="shared" si="5"/>
        <v/>
      </c>
      <c r="AI384" s="39" t="str">
        <f t="shared" si="6"/>
        <v/>
      </c>
      <c r="AM384" s="39" t="str">
        <f t="array" ref="AM384">IF(C384="","",IFERROR(XLOOKUP(C384,Orders!$A:$A,Orders!$E:$E,""),""))</f>
        <v/>
      </c>
      <c r="AN384" s="39" t="str">
        <f t="shared" si="7"/>
        <v/>
      </c>
      <c r="AO384" s="39" t="str">
        <f t="shared" si="8"/>
        <v/>
      </c>
      <c r="AP384" s="39" t="str">
        <f t="shared" si="9"/>
        <v/>
      </c>
      <c r="AQ384" s="39" t="str">
        <f t="shared" si="10"/>
        <v/>
      </c>
      <c r="AR384" s="39" t="str">
        <f t="shared" si="11"/>
        <v/>
      </c>
      <c r="AS384" s="39" t="str">
        <f t="shared" si="12"/>
        <v/>
      </c>
      <c r="AT384" s="39" t="str">
        <f t="shared" si="13"/>
        <v/>
      </c>
      <c r="AU384" s="39" t="str">
        <f t="shared" si="14"/>
        <v/>
      </c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 t="str">
        <f t="shared" si="1"/>
        <v/>
      </c>
      <c r="J385" s="22" t="str">
        <f t="shared" si="2"/>
        <v/>
      </c>
      <c r="K385" s="22"/>
      <c r="L385" s="22"/>
      <c r="M385" s="22"/>
      <c r="N385" s="22"/>
      <c r="O385" s="22"/>
      <c r="P385" s="22" t="str">
        <f t="shared" si="4"/>
        <v/>
      </c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39" t="str">
        <f t="array" ref="AB385">IFERROR(INDEX(Bids!$AA:$AA, MATCH(C385&amp;"|"&amp;B385, Bids!$AD:$AD,0)),"")</f>
        <v/>
      </c>
      <c r="AC385" s="39" t="str">
        <f t="array" ref="AC385">IFERROR(INDEX(Bids!$AB:$AB, MATCH(C385&amp;"|"&amp;B385, Bids!$AD:$AD,0)),"")</f>
        <v/>
      </c>
      <c r="AD385" s="39" t="str">
        <f t="array" ref="AD385">IFERROR(INDEX(Bids!$AC:$AC, MATCH(C385&amp;"|"&amp;B385, Bids!$AD:$AD,0)), H385)</f>
        <v/>
      </c>
      <c r="AE385" s="39"/>
      <c r="AG385" s="39"/>
      <c r="AH385" s="39" t="str">
        <f t="shared" si="5"/>
        <v/>
      </c>
      <c r="AI385" s="39" t="str">
        <f t="shared" si="6"/>
        <v/>
      </c>
      <c r="AM385" s="39" t="str">
        <f t="array" ref="AM385">IF(C385="","",IFERROR(XLOOKUP(C385,Orders!$A:$A,Orders!$E:$E,""),""))</f>
        <v/>
      </c>
      <c r="AN385" s="39" t="str">
        <f t="shared" si="7"/>
        <v/>
      </c>
      <c r="AO385" s="39" t="str">
        <f t="shared" si="8"/>
        <v/>
      </c>
      <c r="AP385" s="39" t="str">
        <f t="shared" si="9"/>
        <v/>
      </c>
      <c r="AQ385" s="39" t="str">
        <f t="shared" si="10"/>
        <v/>
      </c>
      <c r="AR385" s="39" t="str">
        <f t="shared" si="11"/>
        <v/>
      </c>
      <c r="AS385" s="39" t="str">
        <f t="shared" si="12"/>
        <v/>
      </c>
      <c r="AT385" s="39" t="str">
        <f t="shared" si="13"/>
        <v/>
      </c>
      <c r="AU385" s="39" t="str">
        <f t="shared" si="14"/>
        <v/>
      </c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 t="str">
        <f t="shared" si="1"/>
        <v/>
      </c>
      <c r="J386" s="22" t="str">
        <f t="shared" si="2"/>
        <v/>
      </c>
      <c r="K386" s="22"/>
      <c r="L386" s="22"/>
      <c r="M386" s="22"/>
      <c r="N386" s="22"/>
      <c r="O386" s="22"/>
      <c r="P386" s="22" t="str">
        <f t="shared" si="4"/>
        <v/>
      </c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39" t="str">
        <f t="array" ref="AB386">IFERROR(INDEX(Bids!$AA:$AA, MATCH(C386&amp;"|"&amp;B386, Bids!$AD:$AD,0)),"")</f>
        <v/>
      </c>
      <c r="AC386" s="39" t="str">
        <f t="array" ref="AC386">IFERROR(INDEX(Bids!$AB:$AB, MATCH(C386&amp;"|"&amp;B386, Bids!$AD:$AD,0)),"")</f>
        <v/>
      </c>
      <c r="AD386" s="39" t="str">
        <f t="array" ref="AD386">IFERROR(INDEX(Bids!$AC:$AC, MATCH(C386&amp;"|"&amp;B386, Bids!$AD:$AD,0)), H386)</f>
        <v/>
      </c>
      <c r="AE386" s="39"/>
      <c r="AG386" s="39"/>
      <c r="AH386" s="39" t="str">
        <f t="shared" si="5"/>
        <v/>
      </c>
      <c r="AI386" s="39" t="str">
        <f t="shared" si="6"/>
        <v/>
      </c>
      <c r="AM386" s="39" t="str">
        <f t="array" ref="AM386">IF(C386="","",IFERROR(XLOOKUP(C386,Orders!$A:$A,Orders!$E:$E,""),""))</f>
        <v/>
      </c>
      <c r="AN386" s="39" t="str">
        <f t="shared" si="7"/>
        <v/>
      </c>
      <c r="AO386" s="39" t="str">
        <f t="shared" si="8"/>
        <v/>
      </c>
      <c r="AP386" s="39" t="str">
        <f t="shared" si="9"/>
        <v/>
      </c>
      <c r="AQ386" s="39" t="str">
        <f t="shared" si="10"/>
        <v/>
      </c>
      <c r="AR386" s="39" t="str">
        <f t="shared" si="11"/>
        <v/>
      </c>
      <c r="AS386" s="39" t="str">
        <f t="shared" si="12"/>
        <v/>
      </c>
      <c r="AT386" s="39" t="str">
        <f t="shared" si="13"/>
        <v/>
      </c>
      <c r="AU386" s="39" t="str">
        <f t="shared" si="14"/>
        <v/>
      </c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 t="str">
        <f t="shared" si="1"/>
        <v/>
      </c>
      <c r="J387" s="22" t="str">
        <f t="shared" si="2"/>
        <v/>
      </c>
      <c r="K387" s="22"/>
      <c r="L387" s="22"/>
      <c r="M387" s="22"/>
      <c r="N387" s="22"/>
      <c r="O387" s="22"/>
      <c r="P387" s="22" t="str">
        <f t="shared" si="4"/>
        <v/>
      </c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39" t="str">
        <f t="array" ref="AB387">IFERROR(INDEX(Bids!$AA:$AA, MATCH(C387&amp;"|"&amp;B387, Bids!$AD:$AD,0)),"")</f>
        <v/>
      </c>
      <c r="AC387" s="39" t="str">
        <f t="array" ref="AC387">IFERROR(INDEX(Bids!$AB:$AB, MATCH(C387&amp;"|"&amp;B387, Bids!$AD:$AD,0)),"")</f>
        <v/>
      </c>
      <c r="AD387" s="39" t="str">
        <f t="array" ref="AD387">IFERROR(INDEX(Bids!$AC:$AC, MATCH(C387&amp;"|"&amp;B387, Bids!$AD:$AD,0)), H387)</f>
        <v/>
      </c>
      <c r="AE387" s="39"/>
      <c r="AG387" s="39"/>
      <c r="AH387" s="39" t="str">
        <f t="shared" si="5"/>
        <v/>
      </c>
      <c r="AI387" s="39" t="str">
        <f t="shared" si="6"/>
        <v/>
      </c>
      <c r="AM387" s="39" t="str">
        <f t="array" ref="AM387">IF(C387="","",IFERROR(XLOOKUP(C387,Orders!$A:$A,Orders!$E:$E,""),""))</f>
        <v/>
      </c>
      <c r="AN387" s="39" t="str">
        <f t="shared" si="7"/>
        <v/>
      </c>
      <c r="AO387" s="39" t="str">
        <f t="shared" si="8"/>
        <v/>
      </c>
      <c r="AP387" s="39" t="str">
        <f t="shared" si="9"/>
        <v/>
      </c>
      <c r="AQ387" s="39" t="str">
        <f t="shared" si="10"/>
        <v/>
      </c>
      <c r="AR387" s="39" t="str">
        <f t="shared" si="11"/>
        <v/>
      </c>
      <c r="AS387" s="39" t="str">
        <f t="shared" si="12"/>
        <v/>
      </c>
      <c r="AT387" s="39" t="str">
        <f t="shared" si="13"/>
        <v/>
      </c>
      <c r="AU387" s="39" t="str">
        <f t="shared" si="14"/>
        <v/>
      </c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 t="str">
        <f t="shared" si="1"/>
        <v/>
      </c>
      <c r="J388" s="22" t="str">
        <f t="shared" si="2"/>
        <v/>
      </c>
      <c r="K388" s="22"/>
      <c r="L388" s="22"/>
      <c r="M388" s="22"/>
      <c r="N388" s="22"/>
      <c r="O388" s="22"/>
      <c r="P388" s="22" t="str">
        <f t="shared" si="4"/>
        <v/>
      </c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39" t="str">
        <f t="array" ref="AB388">IFERROR(INDEX(Bids!$AA:$AA, MATCH(C388&amp;"|"&amp;B388, Bids!$AD:$AD,0)),"")</f>
        <v/>
      </c>
      <c r="AC388" s="39" t="str">
        <f t="array" ref="AC388">IFERROR(INDEX(Bids!$AB:$AB, MATCH(C388&amp;"|"&amp;B388, Bids!$AD:$AD,0)),"")</f>
        <v/>
      </c>
      <c r="AD388" s="39" t="str">
        <f t="array" ref="AD388">IFERROR(INDEX(Bids!$AC:$AC, MATCH(C388&amp;"|"&amp;B388, Bids!$AD:$AD,0)), H388)</f>
        <v/>
      </c>
      <c r="AE388" s="39"/>
      <c r="AG388" s="39"/>
      <c r="AH388" s="39" t="str">
        <f t="shared" si="5"/>
        <v/>
      </c>
      <c r="AI388" s="39" t="str">
        <f t="shared" si="6"/>
        <v/>
      </c>
      <c r="AM388" s="39" t="str">
        <f t="array" ref="AM388">IF(C388="","",IFERROR(XLOOKUP(C388,Orders!$A:$A,Orders!$E:$E,""),""))</f>
        <v/>
      </c>
      <c r="AN388" s="39" t="str">
        <f t="shared" si="7"/>
        <v/>
      </c>
      <c r="AO388" s="39" t="str">
        <f t="shared" si="8"/>
        <v/>
      </c>
      <c r="AP388" s="39" t="str">
        <f t="shared" si="9"/>
        <v/>
      </c>
      <c r="AQ388" s="39" t="str">
        <f t="shared" si="10"/>
        <v/>
      </c>
      <c r="AR388" s="39" t="str">
        <f t="shared" si="11"/>
        <v/>
      </c>
      <c r="AS388" s="39" t="str">
        <f t="shared" si="12"/>
        <v/>
      </c>
      <c r="AT388" s="39" t="str">
        <f t="shared" si="13"/>
        <v/>
      </c>
      <c r="AU388" s="39" t="str">
        <f t="shared" si="14"/>
        <v/>
      </c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 t="str">
        <f t="shared" si="1"/>
        <v/>
      </c>
      <c r="J389" s="22" t="str">
        <f t="shared" si="2"/>
        <v/>
      </c>
      <c r="K389" s="22"/>
      <c r="L389" s="22"/>
      <c r="M389" s="22"/>
      <c r="N389" s="22"/>
      <c r="O389" s="22"/>
      <c r="P389" s="22" t="str">
        <f t="shared" si="4"/>
        <v/>
      </c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39" t="str">
        <f t="array" ref="AB389">IFERROR(INDEX(Bids!$AA:$AA, MATCH(C389&amp;"|"&amp;B389, Bids!$AD:$AD,0)),"")</f>
        <v/>
      </c>
      <c r="AC389" s="39" t="str">
        <f t="array" ref="AC389">IFERROR(INDEX(Bids!$AB:$AB, MATCH(C389&amp;"|"&amp;B389, Bids!$AD:$AD,0)),"")</f>
        <v/>
      </c>
      <c r="AD389" s="39" t="str">
        <f t="array" ref="AD389">IFERROR(INDEX(Bids!$AC:$AC, MATCH(C389&amp;"|"&amp;B389, Bids!$AD:$AD,0)), H389)</f>
        <v/>
      </c>
      <c r="AE389" s="39"/>
      <c r="AG389" s="39"/>
      <c r="AH389" s="39" t="str">
        <f t="shared" si="5"/>
        <v/>
      </c>
      <c r="AI389" s="39" t="str">
        <f t="shared" si="6"/>
        <v/>
      </c>
      <c r="AM389" s="39" t="str">
        <f t="array" ref="AM389">IF(C389="","",IFERROR(XLOOKUP(C389,Orders!$A:$A,Orders!$E:$E,""),""))</f>
        <v/>
      </c>
      <c r="AN389" s="39" t="str">
        <f t="shared" si="7"/>
        <v/>
      </c>
      <c r="AO389" s="39" t="str">
        <f t="shared" si="8"/>
        <v/>
      </c>
      <c r="AP389" s="39" t="str">
        <f t="shared" si="9"/>
        <v/>
      </c>
      <c r="AQ389" s="39" t="str">
        <f t="shared" si="10"/>
        <v/>
      </c>
      <c r="AR389" s="39" t="str">
        <f t="shared" si="11"/>
        <v/>
      </c>
      <c r="AS389" s="39" t="str">
        <f t="shared" si="12"/>
        <v/>
      </c>
      <c r="AT389" s="39" t="str">
        <f t="shared" si="13"/>
        <v/>
      </c>
      <c r="AU389" s="39" t="str">
        <f t="shared" si="14"/>
        <v/>
      </c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 t="str">
        <f t="shared" si="1"/>
        <v/>
      </c>
      <c r="J390" s="22" t="str">
        <f t="shared" si="2"/>
        <v/>
      </c>
      <c r="K390" s="22"/>
      <c r="L390" s="22"/>
      <c r="M390" s="22"/>
      <c r="N390" s="22"/>
      <c r="O390" s="22"/>
      <c r="P390" s="22" t="str">
        <f t="shared" si="4"/>
        <v/>
      </c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39" t="str">
        <f t="array" ref="AB390">IFERROR(INDEX(Bids!$AA:$AA, MATCH(C390&amp;"|"&amp;B390, Bids!$AD:$AD,0)),"")</f>
        <v/>
      </c>
      <c r="AC390" s="39" t="str">
        <f t="array" ref="AC390">IFERROR(INDEX(Bids!$AB:$AB, MATCH(C390&amp;"|"&amp;B390, Bids!$AD:$AD,0)),"")</f>
        <v/>
      </c>
      <c r="AD390" s="39" t="str">
        <f t="array" ref="AD390">IFERROR(INDEX(Bids!$AC:$AC, MATCH(C390&amp;"|"&amp;B390, Bids!$AD:$AD,0)), H390)</f>
        <v/>
      </c>
      <c r="AE390" s="39"/>
      <c r="AG390" s="39"/>
      <c r="AH390" s="39" t="str">
        <f t="shared" si="5"/>
        <v/>
      </c>
      <c r="AI390" s="39" t="str">
        <f t="shared" si="6"/>
        <v/>
      </c>
      <c r="AM390" s="39" t="str">
        <f t="array" ref="AM390">IF(C390="","",IFERROR(XLOOKUP(C390,Orders!$A:$A,Orders!$E:$E,""),""))</f>
        <v/>
      </c>
      <c r="AN390" s="39" t="str">
        <f t="shared" si="7"/>
        <v/>
      </c>
      <c r="AO390" s="39" t="str">
        <f t="shared" si="8"/>
        <v/>
      </c>
      <c r="AP390" s="39" t="str">
        <f t="shared" si="9"/>
        <v/>
      </c>
      <c r="AQ390" s="39" t="str">
        <f t="shared" si="10"/>
        <v/>
      </c>
      <c r="AR390" s="39" t="str">
        <f t="shared" si="11"/>
        <v/>
      </c>
      <c r="AS390" s="39" t="str">
        <f t="shared" si="12"/>
        <v/>
      </c>
      <c r="AT390" s="39" t="str">
        <f t="shared" si="13"/>
        <v/>
      </c>
      <c r="AU390" s="39" t="str">
        <f t="shared" si="14"/>
        <v/>
      </c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 t="str">
        <f t="shared" si="1"/>
        <v/>
      </c>
      <c r="J391" s="22" t="str">
        <f t="shared" si="2"/>
        <v/>
      </c>
      <c r="K391" s="22"/>
      <c r="L391" s="22"/>
      <c r="M391" s="22"/>
      <c r="N391" s="22"/>
      <c r="O391" s="22"/>
      <c r="P391" s="22" t="str">
        <f t="shared" si="4"/>
        <v/>
      </c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39" t="str">
        <f t="array" ref="AB391">IFERROR(INDEX(Bids!$AA:$AA, MATCH(C391&amp;"|"&amp;B391, Bids!$AD:$AD,0)),"")</f>
        <v/>
      </c>
      <c r="AC391" s="39" t="str">
        <f t="array" ref="AC391">IFERROR(INDEX(Bids!$AB:$AB, MATCH(C391&amp;"|"&amp;B391, Bids!$AD:$AD,0)),"")</f>
        <v/>
      </c>
      <c r="AD391" s="39" t="str">
        <f t="array" ref="AD391">IFERROR(INDEX(Bids!$AC:$AC, MATCH(C391&amp;"|"&amp;B391, Bids!$AD:$AD,0)), H391)</f>
        <v/>
      </c>
      <c r="AE391" s="39"/>
      <c r="AG391" s="39"/>
      <c r="AH391" s="39" t="str">
        <f t="shared" si="5"/>
        <v/>
      </c>
      <c r="AI391" s="39" t="str">
        <f t="shared" si="6"/>
        <v/>
      </c>
      <c r="AM391" s="39" t="str">
        <f t="array" ref="AM391">IF(C391="","",IFERROR(XLOOKUP(C391,Orders!$A:$A,Orders!$E:$E,""),""))</f>
        <v/>
      </c>
      <c r="AN391" s="39" t="str">
        <f t="shared" si="7"/>
        <v/>
      </c>
      <c r="AO391" s="39" t="str">
        <f t="shared" si="8"/>
        <v/>
      </c>
      <c r="AP391" s="39" t="str">
        <f t="shared" si="9"/>
        <v/>
      </c>
      <c r="AQ391" s="39" t="str">
        <f t="shared" si="10"/>
        <v/>
      </c>
      <c r="AR391" s="39" t="str">
        <f t="shared" si="11"/>
        <v/>
      </c>
      <c r="AS391" s="39" t="str">
        <f t="shared" si="12"/>
        <v/>
      </c>
      <c r="AT391" s="39" t="str">
        <f t="shared" si="13"/>
        <v/>
      </c>
      <c r="AU391" s="39" t="str">
        <f t="shared" si="14"/>
        <v/>
      </c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 t="str">
        <f t="shared" si="1"/>
        <v/>
      </c>
      <c r="J392" s="22" t="str">
        <f t="shared" si="2"/>
        <v/>
      </c>
      <c r="K392" s="22"/>
      <c r="L392" s="22"/>
      <c r="M392" s="22"/>
      <c r="N392" s="22"/>
      <c r="O392" s="22"/>
      <c r="P392" s="22" t="str">
        <f t="shared" si="4"/>
        <v/>
      </c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39" t="str">
        <f t="array" ref="AB392">IFERROR(INDEX(Bids!$AA:$AA, MATCH(C392&amp;"|"&amp;B392, Bids!$AD:$AD,0)),"")</f>
        <v/>
      </c>
      <c r="AC392" s="39" t="str">
        <f t="array" ref="AC392">IFERROR(INDEX(Bids!$AB:$AB, MATCH(C392&amp;"|"&amp;B392, Bids!$AD:$AD,0)),"")</f>
        <v/>
      </c>
      <c r="AD392" s="39" t="str">
        <f t="array" ref="AD392">IFERROR(INDEX(Bids!$AC:$AC, MATCH(C392&amp;"|"&amp;B392, Bids!$AD:$AD,0)), H392)</f>
        <v/>
      </c>
      <c r="AE392" s="39"/>
      <c r="AG392" s="39"/>
      <c r="AH392" s="39" t="str">
        <f t="shared" si="5"/>
        <v/>
      </c>
      <c r="AI392" s="39" t="str">
        <f t="shared" si="6"/>
        <v/>
      </c>
      <c r="AM392" s="39" t="str">
        <f t="array" ref="AM392">IF(C392="","",IFERROR(XLOOKUP(C392,Orders!$A:$A,Orders!$E:$E,""),""))</f>
        <v/>
      </c>
      <c r="AN392" s="39" t="str">
        <f t="shared" si="7"/>
        <v/>
      </c>
      <c r="AO392" s="39" t="str">
        <f t="shared" si="8"/>
        <v/>
      </c>
      <c r="AP392" s="39" t="str">
        <f t="shared" si="9"/>
        <v/>
      </c>
      <c r="AQ392" s="39" t="str">
        <f t="shared" si="10"/>
        <v/>
      </c>
      <c r="AR392" s="39" t="str">
        <f t="shared" si="11"/>
        <v/>
      </c>
      <c r="AS392" s="39" t="str">
        <f t="shared" si="12"/>
        <v/>
      </c>
      <c r="AT392" s="39" t="str">
        <f t="shared" si="13"/>
        <v/>
      </c>
      <c r="AU392" s="39" t="str">
        <f t="shared" si="14"/>
        <v/>
      </c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 t="str">
        <f t="shared" si="1"/>
        <v/>
      </c>
      <c r="J393" s="22" t="str">
        <f t="shared" si="2"/>
        <v/>
      </c>
      <c r="K393" s="22"/>
      <c r="L393" s="22"/>
      <c r="M393" s="22"/>
      <c r="N393" s="22"/>
      <c r="O393" s="22"/>
      <c r="P393" s="22" t="str">
        <f t="shared" si="4"/>
        <v/>
      </c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39" t="str">
        <f t="array" ref="AB393">IFERROR(INDEX(Bids!$AA:$AA, MATCH(C393&amp;"|"&amp;B393, Bids!$AD:$AD,0)),"")</f>
        <v/>
      </c>
      <c r="AC393" s="39" t="str">
        <f t="array" ref="AC393">IFERROR(INDEX(Bids!$AB:$AB, MATCH(C393&amp;"|"&amp;B393, Bids!$AD:$AD,0)),"")</f>
        <v/>
      </c>
      <c r="AD393" s="39" t="str">
        <f t="array" ref="AD393">IFERROR(INDEX(Bids!$AC:$AC, MATCH(C393&amp;"|"&amp;B393, Bids!$AD:$AD,0)), H393)</f>
        <v/>
      </c>
      <c r="AE393" s="39"/>
      <c r="AG393" s="39"/>
      <c r="AH393" s="39" t="str">
        <f t="shared" si="5"/>
        <v/>
      </c>
      <c r="AI393" s="39" t="str">
        <f t="shared" si="6"/>
        <v/>
      </c>
      <c r="AM393" s="39" t="str">
        <f t="array" ref="AM393">IF(C393="","",IFERROR(XLOOKUP(C393,Orders!$A:$A,Orders!$E:$E,""),""))</f>
        <v/>
      </c>
      <c r="AN393" s="39" t="str">
        <f t="shared" si="7"/>
        <v/>
      </c>
      <c r="AO393" s="39" t="str">
        <f t="shared" si="8"/>
        <v/>
      </c>
      <c r="AP393" s="39" t="str">
        <f t="shared" si="9"/>
        <v/>
      </c>
      <c r="AQ393" s="39" t="str">
        <f t="shared" si="10"/>
        <v/>
      </c>
      <c r="AR393" s="39" t="str">
        <f t="shared" si="11"/>
        <v/>
      </c>
      <c r="AS393" s="39" t="str">
        <f t="shared" si="12"/>
        <v/>
      </c>
      <c r="AT393" s="39" t="str">
        <f t="shared" si="13"/>
        <v/>
      </c>
      <c r="AU393" s="39" t="str">
        <f t="shared" si="14"/>
        <v/>
      </c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 t="str">
        <f t="shared" si="1"/>
        <v/>
      </c>
      <c r="J394" s="22" t="str">
        <f t="shared" si="2"/>
        <v/>
      </c>
      <c r="K394" s="22"/>
      <c r="L394" s="22"/>
      <c r="M394" s="22"/>
      <c r="N394" s="22"/>
      <c r="O394" s="22"/>
      <c r="P394" s="22" t="str">
        <f t="shared" si="4"/>
        <v/>
      </c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39" t="str">
        <f t="array" ref="AB394">IFERROR(INDEX(Bids!$AA:$AA, MATCH(C394&amp;"|"&amp;B394, Bids!$AD:$AD,0)),"")</f>
        <v/>
      </c>
      <c r="AC394" s="39" t="str">
        <f t="array" ref="AC394">IFERROR(INDEX(Bids!$AB:$AB, MATCH(C394&amp;"|"&amp;B394, Bids!$AD:$AD,0)),"")</f>
        <v/>
      </c>
      <c r="AD394" s="39" t="str">
        <f t="array" ref="AD394">IFERROR(INDEX(Bids!$AC:$AC, MATCH(C394&amp;"|"&amp;B394, Bids!$AD:$AD,0)), H394)</f>
        <v/>
      </c>
      <c r="AE394" s="39"/>
      <c r="AG394" s="39"/>
      <c r="AH394" s="39" t="str">
        <f t="shared" si="5"/>
        <v/>
      </c>
      <c r="AI394" s="39" t="str">
        <f t="shared" si="6"/>
        <v/>
      </c>
      <c r="AM394" s="39" t="str">
        <f t="array" ref="AM394">IF(C394="","",IFERROR(XLOOKUP(C394,Orders!$A:$A,Orders!$E:$E,""),""))</f>
        <v/>
      </c>
      <c r="AN394" s="39" t="str">
        <f t="shared" si="7"/>
        <v/>
      </c>
      <c r="AO394" s="39" t="str">
        <f t="shared" si="8"/>
        <v/>
      </c>
      <c r="AP394" s="39" t="str">
        <f t="shared" si="9"/>
        <v/>
      </c>
      <c r="AQ394" s="39" t="str">
        <f t="shared" si="10"/>
        <v/>
      </c>
      <c r="AR394" s="39" t="str">
        <f t="shared" si="11"/>
        <v/>
      </c>
      <c r="AS394" s="39" t="str">
        <f t="shared" si="12"/>
        <v/>
      </c>
      <c r="AT394" s="39" t="str">
        <f t="shared" si="13"/>
        <v/>
      </c>
      <c r="AU394" s="39" t="str">
        <f t="shared" si="14"/>
        <v/>
      </c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 t="str">
        <f t="shared" si="1"/>
        <v/>
      </c>
      <c r="J395" s="22" t="str">
        <f t="shared" si="2"/>
        <v/>
      </c>
      <c r="K395" s="22"/>
      <c r="L395" s="22"/>
      <c r="M395" s="22"/>
      <c r="N395" s="22"/>
      <c r="O395" s="22"/>
      <c r="P395" s="22" t="str">
        <f t="shared" si="4"/>
        <v/>
      </c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39" t="str">
        <f t="array" ref="AB395">IFERROR(INDEX(Bids!$AA:$AA, MATCH(C395&amp;"|"&amp;B395, Bids!$AD:$AD,0)),"")</f>
        <v/>
      </c>
      <c r="AC395" s="39" t="str">
        <f t="array" ref="AC395">IFERROR(INDEX(Bids!$AB:$AB, MATCH(C395&amp;"|"&amp;B395, Bids!$AD:$AD,0)),"")</f>
        <v/>
      </c>
      <c r="AD395" s="39" t="str">
        <f t="array" ref="AD395">IFERROR(INDEX(Bids!$AC:$AC, MATCH(C395&amp;"|"&amp;B395, Bids!$AD:$AD,0)), H395)</f>
        <v/>
      </c>
      <c r="AE395" s="39"/>
      <c r="AG395" s="39"/>
      <c r="AH395" s="39" t="str">
        <f t="shared" si="5"/>
        <v/>
      </c>
      <c r="AI395" s="39" t="str">
        <f t="shared" si="6"/>
        <v/>
      </c>
      <c r="AM395" s="39" t="str">
        <f t="array" ref="AM395">IF(C395="","",IFERROR(XLOOKUP(C395,Orders!$A:$A,Orders!$E:$E,""),""))</f>
        <v/>
      </c>
      <c r="AN395" s="39" t="str">
        <f t="shared" si="7"/>
        <v/>
      </c>
      <c r="AO395" s="39" t="str">
        <f t="shared" si="8"/>
        <v/>
      </c>
      <c r="AP395" s="39" t="str">
        <f t="shared" si="9"/>
        <v/>
      </c>
      <c r="AQ395" s="39" t="str">
        <f t="shared" si="10"/>
        <v/>
      </c>
      <c r="AR395" s="39" t="str">
        <f t="shared" si="11"/>
        <v/>
      </c>
      <c r="AS395" s="39" t="str">
        <f t="shared" si="12"/>
        <v/>
      </c>
      <c r="AT395" s="39" t="str">
        <f t="shared" si="13"/>
        <v/>
      </c>
      <c r="AU395" s="39" t="str">
        <f t="shared" si="14"/>
        <v/>
      </c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 t="str">
        <f t="shared" si="1"/>
        <v/>
      </c>
      <c r="J396" s="22" t="str">
        <f t="shared" si="2"/>
        <v/>
      </c>
      <c r="K396" s="22"/>
      <c r="L396" s="22"/>
      <c r="M396" s="22"/>
      <c r="N396" s="22"/>
      <c r="O396" s="22"/>
      <c r="P396" s="22" t="str">
        <f t="shared" si="4"/>
        <v/>
      </c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39" t="str">
        <f t="array" ref="AB396">IFERROR(INDEX(Bids!$AA:$AA, MATCH(C396&amp;"|"&amp;B396, Bids!$AD:$AD,0)),"")</f>
        <v/>
      </c>
      <c r="AC396" s="39" t="str">
        <f t="array" ref="AC396">IFERROR(INDEX(Bids!$AB:$AB, MATCH(C396&amp;"|"&amp;B396, Bids!$AD:$AD,0)),"")</f>
        <v/>
      </c>
      <c r="AD396" s="39" t="str">
        <f t="array" ref="AD396">IFERROR(INDEX(Bids!$AC:$AC, MATCH(C396&amp;"|"&amp;B396, Bids!$AD:$AD,0)), H396)</f>
        <v/>
      </c>
      <c r="AE396" s="39"/>
      <c r="AG396" s="39"/>
      <c r="AH396" s="39" t="str">
        <f t="shared" si="5"/>
        <v/>
      </c>
      <c r="AI396" s="39" t="str">
        <f t="shared" si="6"/>
        <v/>
      </c>
      <c r="AM396" s="39" t="str">
        <f t="array" ref="AM396">IF(C396="","",IFERROR(XLOOKUP(C396,Orders!$A:$A,Orders!$E:$E,""),""))</f>
        <v/>
      </c>
      <c r="AN396" s="39" t="str">
        <f t="shared" si="7"/>
        <v/>
      </c>
      <c r="AO396" s="39" t="str">
        <f t="shared" si="8"/>
        <v/>
      </c>
      <c r="AP396" s="39" t="str">
        <f t="shared" si="9"/>
        <v/>
      </c>
      <c r="AQ396" s="39" t="str">
        <f t="shared" si="10"/>
        <v/>
      </c>
      <c r="AR396" s="39" t="str">
        <f t="shared" si="11"/>
        <v/>
      </c>
      <c r="AS396" s="39" t="str">
        <f t="shared" si="12"/>
        <v/>
      </c>
      <c r="AT396" s="39" t="str">
        <f t="shared" si="13"/>
        <v/>
      </c>
      <c r="AU396" s="39" t="str">
        <f t="shared" si="14"/>
        <v/>
      </c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 t="str">
        <f t="shared" si="1"/>
        <v/>
      </c>
      <c r="J397" s="22" t="str">
        <f t="shared" si="2"/>
        <v/>
      </c>
      <c r="K397" s="22"/>
      <c r="L397" s="22"/>
      <c r="M397" s="22"/>
      <c r="N397" s="22"/>
      <c r="O397" s="22"/>
      <c r="P397" s="22" t="str">
        <f t="shared" si="4"/>
        <v/>
      </c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39" t="str">
        <f t="array" ref="AB397">IFERROR(INDEX(Bids!$AA:$AA, MATCH(C397&amp;"|"&amp;B397, Bids!$AD:$AD,0)),"")</f>
        <v/>
      </c>
      <c r="AC397" s="39" t="str">
        <f t="array" ref="AC397">IFERROR(INDEX(Bids!$AB:$AB, MATCH(C397&amp;"|"&amp;B397, Bids!$AD:$AD,0)),"")</f>
        <v/>
      </c>
      <c r="AD397" s="39" t="str">
        <f t="array" ref="AD397">IFERROR(INDEX(Bids!$AC:$AC, MATCH(C397&amp;"|"&amp;B397, Bids!$AD:$AD,0)), H397)</f>
        <v/>
      </c>
      <c r="AE397" s="39"/>
      <c r="AG397" s="39"/>
      <c r="AH397" s="39" t="str">
        <f t="shared" si="5"/>
        <v/>
      </c>
      <c r="AI397" s="39" t="str">
        <f t="shared" si="6"/>
        <v/>
      </c>
      <c r="AM397" s="39" t="str">
        <f t="array" ref="AM397">IF(C397="","",IFERROR(XLOOKUP(C397,Orders!$A:$A,Orders!$E:$E,""),""))</f>
        <v/>
      </c>
      <c r="AN397" s="39" t="str">
        <f t="shared" si="7"/>
        <v/>
      </c>
      <c r="AO397" s="39" t="str">
        <f t="shared" si="8"/>
        <v/>
      </c>
      <c r="AP397" s="39" t="str">
        <f t="shared" si="9"/>
        <v/>
      </c>
      <c r="AQ397" s="39" t="str">
        <f t="shared" si="10"/>
        <v/>
      </c>
      <c r="AR397" s="39" t="str">
        <f t="shared" si="11"/>
        <v/>
      </c>
      <c r="AS397" s="39" t="str">
        <f t="shared" si="12"/>
        <v/>
      </c>
      <c r="AT397" s="39" t="str">
        <f t="shared" si="13"/>
        <v/>
      </c>
      <c r="AU397" s="39" t="str">
        <f t="shared" si="14"/>
        <v/>
      </c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 t="str">
        <f t="shared" si="1"/>
        <v/>
      </c>
      <c r="J398" s="22" t="str">
        <f t="shared" si="2"/>
        <v/>
      </c>
      <c r="K398" s="22"/>
      <c r="L398" s="22"/>
      <c r="M398" s="22"/>
      <c r="N398" s="22"/>
      <c r="O398" s="22"/>
      <c r="P398" s="22" t="str">
        <f t="shared" si="4"/>
        <v/>
      </c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39" t="str">
        <f t="array" ref="AB398">IFERROR(INDEX(Bids!$AA:$AA, MATCH(C398&amp;"|"&amp;B398, Bids!$AD:$AD,0)),"")</f>
        <v/>
      </c>
      <c r="AC398" s="39" t="str">
        <f t="array" ref="AC398">IFERROR(INDEX(Bids!$AB:$AB, MATCH(C398&amp;"|"&amp;B398, Bids!$AD:$AD,0)),"")</f>
        <v/>
      </c>
      <c r="AD398" s="39" t="str">
        <f t="array" ref="AD398">IFERROR(INDEX(Bids!$AC:$AC, MATCH(C398&amp;"|"&amp;B398, Bids!$AD:$AD,0)), H398)</f>
        <v/>
      </c>
      <c r="AE398" s="39"/>
      <c r="AG398" s="39"/>
      <c r="AH398" s="39" t="str">
        <f t="shared" si="5"/>
        <v/>
      </c>
      <c r="AI398" s="39" t="str">
        <f t="shared" si="6"/>
        <v/>
      </c>
      <c r="AM398" s="39" t="str">
        <f t="array" ref="AM398">IF(C398="","",IFERROR(XLOOKUP(C398,Orders!$A:$A,Orders!$E:$E,""),""))</f>
        <v/>
      </c>
      <c r="AN398" s="39" t="str">
        <f t="shared" si="7"/>
        <v/>
      </c>
      <c r="AO398" s="39" t="str">
        <f t="shared" si="8"/>
        <v/>
      </c>
      <c r="AP398" s="39" t="str">
        <f t="shared" si="9"/>
        <v/>
      </c>
      <c r="AQ398" s="39" t="str">
        <f t="shared" si="10"/>
        <v/>
      </c>
      <c r="AR398" s="39" t="str">
        <f t="shared" si="11"/>
        <v/>
      </c>
      <c r="AS398" s="39" t="str">
        <f t="shared" si="12"/>
        <v/>
      </c>
      <c r="AT398" s="39" t="str">
        <f t="shared" si="13"/>
        <v/>
      </c>
      <c r="AU398" s="39" t="str">
        <f t="shared" si="14"/>
        <v/>
      </c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 t="str">
        <f t="shared" si="1"/>
        <v/>
      </c>
      <c r="J399" s="22" t="str">
        <f t="shared" si="2"/>
        <v/>
      </c>
      <c r="K399" s="22"/>
      <c r="L399" s="22"/>
      <c r="M399" s="22"/>
      <c r="N399" s="22"/>
      <c r="O399" s="22"/>
      <c r="P399" s="22" t="str">
        <f t="shared" si="4"/>
        <v/>
      </c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39" t="str">
        <f t="array" ref="AB399">IFERROR(INDEX(Bids!$AA:$AA, MATCH(C399&amp;"|"&amp;B399, Bids!$AD:$AD,0)),"")</f>
        <v/>
      </c>
      <c r="AC399" s="39" t="str">
        <f t="array" ref="AC399">IFERROR(INDEX(Bids!$AB:$AB, MATCH(C399&amp;"|"&amp;B399, Bids!$AD:$AD,0)),"")</f>
        <v/>
      </c>
      <c r="AD399" s="39" t="str">
        <f t="array" ref="AD399">IFERROR(INDEX(Bids!$AC:$AC, MATCH(C399&amp;"|"&amp;B399, Bids!$AD:$AD,0)), H399)</f>
        <v/>
      </c>
      <c r="AE399" s="39"/>
      <c r="AG399" s="39"/>
      <c r="AH399" s="39" t="str">
        <f t="shared" si="5"/>
        <v/>
      </c>
      <c r="AI399" s="39" t="str">
        <f t="shared" si="6"/>
        <v/>
      </c>
      <c r="AM399" s="39" t="str">
        <f t="array" ref="AM399">IF(C399="","",IFERROR(XLOOKUP(C399,Orders!$A:$A,Orders!$E:$E,""),""))</f>
        <v/>
      </c>
      <c r="AN399" s="39" t="str">
        <f t="shared" si="7"/>
        <v/>
      </c>
      <c r="AO399" s="39" t="str">
        <f t="shared" si="8"/>
        <v/>
      </c>
      <c r="AP399" s="39" t="str">
        <f t="shared" si="9"/>
        <v/>
      </c>
      <c r="AQ399" s="39" t="str">
        <f t="shared" si="10"/>
        <v/>
      </c>
      <c r="AR399" s="39" t="str">
        <f t="shared" si="11"/>
        <v/>
      </c>
      <c r="AS399" s="39" t="str">
        <f t="shared" si="12"/>
        <v/>
      </c>
      <c r="AT399" s="39" t="str">
        <f t="shared" si="13"/>
        <v/>
      </c>
      <c r="AU399" s="39" t="str">
        <f t="shared" si="14"/>
        <v/>
      </c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 t="str">
        <f t="shared" si="1"/>
        <v/>
      </c>
      <c r="J400" s="22" t="str">
        <f t="shared" si="2"/>
        <v/>
      </c>
      <c r="K400" s="22"/>
      <c r="L400" s="22"/>
      <c r="M400" s="22"/>
      <c r="N400" s="22"/>
      <c r="O400" s="22"/>
      <c r="P400" s="22" t="str">
        <f t="shared" si="4"/>
        <v/>
      </c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39" t="str">
        <f t="array" ref="AB400">IFERROR(INDEX(Bids!$AA:$AA, MATCH(C400&amp;"|"&amp;B400, Bids!$AD:$AD,0)),"")</f>
        <v/>
      </c>
      <c r="AC400" s="39" t="str">
        <f t="array" ref="AC400">IFERROR(INDEX(Bids!$AB:$AB, MATCH(C400&amp;"|"&amp;B400, Bids!$AD:$AD,0)),"")</f>
        <v/>
      </c>
      <c r="AD400" s="39" t="str">
        <f t="array" ref="AD400">IFERROR(INDEX(Bids!$AC:$AC, MATCH(C400&amp;"|"&amp;B400, Bids!$AD:$AD,0)), H400)</f>
        <v/>
      </c>
      <c r="AE400" s="39"/>
      <c r="AG400" s="39"/>
      <c r="AH400" s="39" t="str">
        <f t="shared" si="5"/>
        <v/>
      </c>
      <c r="AI400" s="39" t="str">
        <f t="shared" si="6"/>
        <v/>
      </c>
      <c r="AM400" s="39" t="str">
        <f t="array" ref="AM400">IF(C400="","",IFERROR(XLOOKUP(C400,Orders!$A:$A,Orders!$E:$E,""),""))</f>
        <v/>
      </c>
      <c r="AN400" s="39" t="str">
        <f t="shared" si="7"/>
        <v/>
      </c>
      <c r="AO400" s="39" t="str">
        <f t="shared" si="8"/>
        <v/>
      </c>
      <c r="AP400" s="39" t="str">
        <f t="shared" si="9"/>
        <v/>
      </c>
      <c r="AQ400" s="39" t="str">
        <f t="shared" si="10"/>
        <v/>
      </c>
      <c r="AR400" s="39" t="str">
        <f t="shared" si="11"/>
        <v/>
      </c>
      <c r="AS400" s="39" t="str">
        <f t="shared" si="12"/>
        <v/>
      </c>
      <c r="AT400" s="39" t="str">
        <f t="shared" si="13"/>
        <v/>
      </c>
      <c r="AU400" s="39" t="str">
        <f t="shared" si="14"/>
        <v/>
      </c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 t="str">
        <f t="shared" si="1"/>
        <v/>
      </c>
      <c r="J401" s="22" t="str">
        <f t="shared" si="2"/>
        <v/>
      </c>
      <c r="K401" s="22"/>
      <c r="L401" s="22"/>
      <c r="M401" s="22"/>
      <c r="N401" s="22"/>
      <c r="O401" s="22"/>
      <c r="P401" s="22" t="str">
        <f t="shared" si="4"/>
        <v/>
      </c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39" t="str">
        <f t="array" ref="AB401">IFERROR(INDEX(Bids!$AA:$AA, MATCH(C401&amp;"|"&amp;B401, Bids!$AD:$AD,0)),"")</f>
        <v/>
      </c>
      <c r="AC401" s="39" t="str">
        <f t="array" ref="AC401">IFERROR(INDEX(Bids!$AB:$AB, MATCH(C401&amp;"|"&amp;B401, Bids!$AD:$AD,0)),"")</f>
        <v/>
      </c>
      <c r="AD401" s="39" t="str">
        <f t="array" ref="AD401">IFERROR(INDEX(Bids!$AC:$AC, MATCH(C401&amp;"|"&amp;B401, Bids!$AD:$AD,0)), H401)</f>
        <v/>
      </c>
      <c r="AE401" s="39"/>
      <c r="AG401" s="39"/>
      <c r="AH401" s="39" t="str">
        <f t="shared" si="5"/>
        <v/>
      </c>
      <c r="AI401" s="39" t="str">
        <f t="shared" si="6"/>
        <v/>
      </c>
      <c r="AM401" s="39" t="str">
        <f t="array" ref="AM401">IF(C401="","",IFERROR(XLOOKUP(C401,Orders!$A:$A,Orders!$E:$E,""),""))</f>
        <v/>
      </c>
      <c r="AN401" s="39" t="str">
        <f t="shared" si="7"/>
        <v/>
      </c>
      <c r="AO401" s="39" t="str">
        <f t="shared" si="8"/>
        <v/>
      </c>
      <c r="AP401" s="39" t="str">
        <f t="shared" si="9"/>
        <v/>
      </c>
      <c r="AQ401" s="39" t="str">
        <f t="shared" si="10"/>
        <v/>
      </c>
      <c r="AR401" s="39" t="str">
        <f t="shared" si="11"/>
        <v/>
      </c>
      <c r="AS401" s="39" t="str">
        <f t="shared" si="12"/>
        <v/>
      </c>
      <c r="AT401" s="39" t="str">
        <f t="shared" si="13"/>
        <v/>
      </c>
      <c r="AU401" s="39" t="str">
        <f t="shared" si="14"/>
        <v/>
      </c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 t="str">
        <f t="shared" si="1"/>
        <v/>
      </c>
      <c r="J402" s="22" t="str">
        <f t="shared" si="2"/>
        <v/>
      </c>
      <c r="K402" s="22"/>
      <c r="L402" s="22"/>
      <c r="M402" s="22"/>
      <c r="N402" s="22"/>
      <c r="O402" s="22"/>
      <c r="P402" s="22" t="str">
        <f t="shared" si="4"/>
        <v/>
      </c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39" t="str">
        <f t="array" ref="AB402">IFERROR(INDEX(Bids!$AA:$AA, MATCH(C402&amp;"|"&amp;B402, Bids!$AD:$AD,0)),"")</f>
        <v/>
      </c>
      <c r="AC402" s="39" t="str">
        <f t="array" ref="AC402">IFERROR(INDEX(Bids!$AB:$AB, MATCH(C402&amp;"|"&amp;B402, Bids!$AD:$AD,0)),"")</f>
        <v/>
      </c>
      <c r="AD402" s="39" t="str">
        <f t="array" ref="AD402">IFERROR(INDEX(Bids!$AC:$AC, MATCH(C402&amp;"|"&amp;B402, Bids!$AD:$AD,0)), H402)</f>
        <v/>
      </c>
      <c r="AE402" s="39"/>
      <c r="AG402" s="39"/>
      <c r="AH402" s="39" t="str">
        <f t="shared" si="5"/>
        <v/>
      </c>
      <c r="AI402" s="39" t="str">
        <f t="shared" si="6"/>
        <v/>
      </c>
      <c r="AM402" s="39" t="str">
        <f t="array" ref="AM402">IF(C402="","",IFERROR(XLOOKUP(C402,Orders!$A:$A,Orders!$E:$E,""),""))</f>
        <v/>
      </c>
      <c r="AN402" s="39" t="str">
        <f t="shared" si="7"/>
        <v/>
      </c>
      <c r="AO402" s="39" t="str">
        <f t="shared" si="8"/>
        <v/>
      </c>
      <c r="AP402" s="39" t="str">
        <f t="shared" si="9"/>
        <v/>
      </c>
      <c r="AQ402" s="39" t="str">
        <f t="shared" si="10"/>
        <v/>
      </c>
      <c r="AR402" s="39" t="str">
        <f t="shared" si="11"/>
        <v/>
      </c>
      <c r="AS402" s="39" t="str">
        <f t="shared" si="12"/>
        <v/>
      </c>
      <c r="AT402" s="39" t="str">
        <f t="shared" si="13"/>
        <v/>
      </c>
      <c r="AU402" s="39" t="str">
        <f t="shared" si="14"/>
        <v/>
      </c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 t="str">
        <f t="shared" si="1"/>
        <v/>
      </c>
      <c r="J403" s="22" t="str">
        <f t="shared" si="2"/>
        <v/>
      </c>
      <c r="K403" s="22"/>
      <c r="L403" s="22"/>
      <c r="M403" s="22"/>
      <c r="N403" s="22"/>
      <c r="O403" s="22"/>
      <c r="P403" s="22" t="str">
        <f t="shared" si="4"/>
        <v/>
      </c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39" t="str">
        <f t="array" ref="AB403">IFERROR(INDEX(Bids!$AA:$AA, MATCH(C403&amp;"|"&amp;B403, Bids!$AD:$AD,0)),"")</f>
        <v/>
      </c>
      <c r="AC403" s="39" t="str">
        <f t="array" ref="AC403">IFERROR(INDEX(Bids!$AB:$AB, MATCH(C403&amp;"|"&amp;B403, Bids!$AD:$AD,0)),"")</f>
        <v/>
      </c>
      <c r="AD403" s="39" t="str">
        <f t="array" ref="AD403">IFERROR(INDEX(Bids!$AC:$AC, MATCH(C403&amp;"|"&amp;B403, Bids!$AD:$AD,0)), H403)</f>
        <v/>
      </c>
      <c r="AE403" s="39"/>
      <c r="AG403" s="39"/>
      <c r="AH403" s="39" t="str">
        <f t="shared" si="5"/>
        <v/>
      </c>
      <c r="AI403" s="39" t="str">
        <f t="shared" si="6"/>
        <v/>
      </c>
      <c r="AM403" s="39" t="str">
        <f t="array" ref="AM403">IF(C403="","",IFERROR(XLOOKUP(C403,Orders!$A:$A,Orders!$E:$E,""),""))</f>
        <v/>
      </c>
      <c r="AN403" s="39" t="str">
        <f t="shared" si="7"/>
        <v/>
      </c>
      <c r="AO403" s="39" t="str">
        <f t="shared" si="8"/>
        <v/>
      </c>
      <c r="AP403" s="39" t="str">
        <f t="shared" si="9"/>
        <v/>
      </c>
      <c r="AQ403" s="39" t="str">
        <f t="shared" si="10"/>
        <v/>
      </c>
      <c r="AR403" s="39" t="str">
        <f t="shared" si="11"/>
        <v/>
      </c>
      <c r="AS403" s="39" t="str">
        <f t="shared" si="12"/>
        <v/>
      </c>
      <c r="AT403" s="39" t="str">
        <f t="shared" si="13"/>
        <v/>
      </c>
      <c r="AU403" s="39" t="str">
        <f t="shared" si="14"/>
        <v/>
      </c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 t="str">
        <f t="shared" si="1"/>
        <v/>
      </c>
      <c r="J404" s="22" t="str">
        <f t="shared" si="2"/>
        <v/>
      </c>
      <c r="K404" s="22"/>
      <c r="L404" s="22"/>
      <c r="M404" s="22"/>
      <c r="N404" s="22"/>
      <c r="O404" s="22"/>
      <c r="P404" s="22" t="str">
        <f t="shared" si="4"/>
        <v/>
      </c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39" t="str">
        <f t="array" ref="AB404">IFERROR(INDEX(Bids!$AA:$AA, MATCH(C404&amp;"|"&amp;B404, Bids!$AD:$AD,0)),"")</f>
        <v/>
      </c>
      <c r="AC404" s="39" t="str">
        <f t="array" ref="AC404">IFERROR(INDEX(Bids!$AB:$AB, MATCH(C404&amp;"|"&amp;B404, Bids!$AD:$AD,0)),"")</f>
        <v/>
      </c>
      <c r="AD404" s="39" t="str">
        <f t="array" ref="AD404">IFERROR(INDEX(Bids!$AC:$AC, MATCH(C404&amp;"|"&amp;B404, Bids!$AD:$AD,0)), H404)</f>
        <v/>
      </c>
      <c r="AE404" s="39"/>
      <c r="AG404" s="39"/>
      <c r="AH404" s="39" t="str">
        <f t="shared" si="5"/>
        <v/>
      </c>
      <c r="AI404" s="39" t="str">
        <f t="shared" si="6"/>
        <v/>
      </c>
      <c r="AM404" s="39" t="str">
        <f t="array" ref="AM404">IF(C404="","",IFERROR(XLOOKUP(C404,Orders!$A:$A,Orders!$E:$E,""),""))</f>
        <v/>
      </c>
      <c r="AN404" s="39" t="str">
        <f t="shared" si="7"/>
        <v/>
      </c>
      <c r="AO404" s="39" t="str">
        <f t="shared" si="8"/>
        <v/>
      </c>
      <c r="AP404" s="39" t="str">
        <f t="shared" si="9"/>
        <v/>
      </c>
      <c r="AQ404" s="39" t="str">
        <f t="shared" si="10"/>
        <v/>
      </c>
      <c r="AR404" s="39" t="str">
        <f t="shared" si="11"/>
        <v/>
      </c>
      <c r="AS404" s="39" t="str">
        <f t="shared" si="12"/>
        <v/>
      </c>
      <c r="AT404" s="39" t="str">
        <f t="shared" si="13"/>
        <v/>
      </c>
      <c r="AU404" s="39" t="str">
        <f t="shared" si="14"/>
        <v/>
      </c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 t="str">
        <f t="shared" si="1"/>
        <v/>
      </c>
      <c r="J405" s="22" t="str">
        <f t="shared" si="2"/>
        <v/>
      </c>
      <c r="K405" s="22"/>
      <c r="L405" s="22"/>
      <c r="M405" s="22"/>
      <c r="N405" s="22"/>
      <c r="O405" s="22"/>
      <c r="P405" s="22" t="str">
        <f t="shared" si="4"/>
        <v/>
      </c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39" t="str">
        <f t="array" ref="AB405">IFERROR(INDEX(Bids!$AA:$AA, MATCH(C405&amp;"|"&amp;B405, Bids!$AD:$AD,0)),"")</f>
        <v/>
      </c>
      <c r="AC405" s="39" t="str">
        <f t="array" ref="AC405">IFERROR(INDEX(Bids!$AB:$AB, MATCH(C405&amp;"|"&amp;B405, Bids!$AD:$AD,0)),"")</f>
        <v/>
      </c>
      <c r="AD405" s="39" t="str">
        <f t="array" ref="AD405">IFERROR(INDEX(Bids!$AC:$AC, MATCH(C405&amp;"|"&amp;B405, Bids!$AD:$AD,0)), H405)</f>
        <v/>
      </c>
      <c r="AE405" s="39"/>
      <c r="AG405" s="39"/>
      <c r="AH405" s="39" t="str">
        <f t="shared" si="5"/>
        <v/>
      </c>
      <c r="AI405" s="39" t="str">
        <f t="shared" si="6"/>
        <v/>
      </c>
      <c r="AM405" s="39" t="str">
        <f t="array" ref="AM405">IF(C405="","",IFERROR(XLOOKUP(C405,Orders!$A:$A,Orders!$E:$E,""),""))</f>
        <v/>
      </c>
      <c r="AN405" s="39" t="str">
        <f t="shared" si="7"/>
        <v/>
      </c>
      <c r="AO405" s="39" t="str">
        <f t="shared" si="8"/>
        <v/>
      </c>
      <c r="AP405" s="39" t="str">
        <f t="shared" si="9"/>
        <v/>
      </c>
      <c r="AQ405" s="39" t="str">
        <f t="shared" si="10"/>
        <v/>
      </c>
      <c r="AR405" s="39" t="str">
        <f t="shared" si="11"/>
        <v/>
      </c>
      <c r="AS405" s="39" t="str">
        <f t="shared" si="12"/>
        <v/>
      </c>
      <c r="AT405" s="39" t="str">
        <f t="shared" si="13"/>
        <v/>
      </c>
      <c r="AU405" s="39" t="str">
        <f t="shared" si="14"/>
        <v/>
      </c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 t="str">
        <f t="shared" si="1"/>
        <v/>
      </c>
      <c r="J406" s="22" t="str">
        <f t="shared" si="2"/>
        <v/>
      </c>
      <c r="K406" s="22"/>
      <c r="L406" s="22"/>
      <c r="M406" s="22"/>
      <c r="N406" s="22"/>
      <c r="O406" s="22"/>
      <c r="P406" s="22" t="str">
        <f t="shared" si="4"/>
        <v/>
      </c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39" t="str">
        <f t="array" ref="AB406">IFERROR(INDEX(Bids!$AA:$AA, MATCH(C406&amp;"|"&amp;B406, Bids!$AD:$AD,0)),"")</f>
        <v/>
      </c>
      <c r="AC406" s="39" t="str">
        <f t="array" ref="AC406">IFERROR(INDEX(Bids!$AB:$AB, MATCH(C406&amp;"|"&amp;B406, Bids!$AD:$AD,0)),"")</f>
        <v/>
      </c>
      <c r="AD406" s="39" t="str">
        <f t="array" ref="AD406">IFERROR(INDEX(Bids!$AC:$AC, MATCH(C406&amp;"|"&amp;B406, Bids!$AD:$AD,0)), H406)</f>
        <v/>
      </c>
      <c r="AE406" s="39"/>
      <c r="AG406" s="39"/>
      <c r="AH406" s="39" t="str">
        <f t="shared" si="5"/>
        <v/>
      </c>
      <c r="AI406" s="39" t="str">
        <f t="shared" si="6"/>
        <v/>
      </c>
      <c r="AM406" s="39" t="str">
        <f t="array" ref="AM406">IF(C406="","",IFERROR(XLOOKUP(C406,Orders!$A:$A,Orders!$E:$E,""),""))</f>
        <v/>
      </c>
      <c r="AN406" s="39" t="str">
        <f t="shared" si="7"/>
        <v/>
      </c>
      <c r="AO406" s="39" t="str">
        <f t="shared" si="8"/>
        <v/>
      </c>
      <c r="AP406" s="39" t="str">
        <f t="shared" si="9"/>
        <v/>
      </c>
      <c r="AQ406" s="39" t="str">
        <f t="shared" si="10"/>
        <v/>
      </c>
      <c r="AR406" s="39" t="str">
        <f t="shared" si="11"/>
        <v/>
      </c>
      <c r="AS406" s="39" t="str">
        <f t="shared" si="12"/>
        <v/>
      </c>
      <c r="AT406" s="39" t="str">
        <f t="shared" si="13"/>
        <v/>
      </c>
      <c r="AU406" s="39" t="str">
        <f t="shared" si="14"/>
        <v/>
      </c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 t="str">
        <f t="shared" si="1"/>
        <v/>
      </c>
      <c r="J407" s="22" t="str">
        <f t="shared" si="2"/>
        <v/>
      </c>
      <c r="K407" s="22"/>
      <c r="L407" s="22"/>
      <c r="M407" s="22"/>
      <c r="N407" s="22"/>
      <c r="O407" s="22"/>
      <c r="P407" s="22" t="str">
        <f t="shared" si="4"/>
        <v/>
      </c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39" t="str">
        <f t="array" ref="AB407">IFERROR(INDEX(Bids!$AA:$AA, MATCH(C407&amp;"|"&amp;B407, Bids!$AD:$AD,0)),"")</f>
        <v/>
      </c>
      <c r="AC407" s="39" t="str">
        <f t="array" ref="AC407">IFERROR(INDEX(Bids!$AB:$AB, MATCH(C407&amp;"|"&amp;B407, Bids!$AD:$AD,0)),"")</f>
        <v/>
      </c>
      <c r="AD407" s="39" t="str">
        <f t="array" ref="AD407">IFERROR(INDEX(Bids!$AC:$AC, MATCH(C407&amp;"|"&amp;B407, Bids!$AD:$AD,0)), H407)</f>
        <v/>
      </c>
      <c r="AE407" s="39"/>
      <c r="AG407" s="39"/>
      <c r="AH407" s="39" t="str">
        <f t="shared" si="5"/>
        <v/>
      </c>
      <c r="AI407" s="39" t="str">
        <f t="shared" si="6"/>
        <v/>
      </c>
      <c r="AM407" s="39" t="str">
        <f t="array" ref="AM407">IF(C407="","",IFERROR(XLOOKUP(C407,Orders!$A:$A,Orders!$E:$E,""),""))</f>
        <v/>
      </c>
      <c r="AN407" s="39" t="str">
        <f t="shared" si="7"/>
        <v/>
      </c>
      <c r="AO407" s="39" t="str">
        <f t="shared" si="8"/>
        <v/>
      </c>
      <c r="AP407" s="39" t="str">
        <f t="shared" si="9"/>
        <v/>
      </c>
      <c r="AQ407" s="39" t="str">
        <f t="shared" si="10"/>
        <v/>
      </c>
      <c r="AR407" s="39" t="str">
        <f t="shared" si="11"/>
        <v/>
      </c>
      <c r="AS407" s="39" t="str">
        <f t="shared" si="12"/>
        <v/>
      </c>
      <c r="AT407" s="39" t="str">
        <f t="shared" si="13"/>
        <v/>
      </c>
      <c r="AU407" s="39" t="str">
        <f t="shared" si="14"/>
        <v/>
      </c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 t="str">
        <f t="shared" si="1"/>
        <v/>
      </c>
      <c r="J408" s="22" t="str">
        <f t="shared" si="2"/>
        <v/>
      </c>
      <c r="K408" s="22"/>
      <c r="L408" s="22"/>
      <c r="M408" s="22"/>
      <c r="N408" s="22"/>
      <c r="O408" s="22"/>
      <c r="P408" s="22" t="str">
        <f t="shared" si="4"/>
        <v/>
      </c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39" t="str">
        <f t="array" ref="AB408">IFERROR(INDEX(Bids!$AA:$AA, MATCH(C408&amp;"|"&amp;B408, Bids!$AD:$AD,0)),"")</f>
        <v/>
      </c>
      <c r="AC408" s="39" t="str">
        <f t="array" ref="AC408">IFERROR(INDEX(Bids!$AB:$AB, MATCH(C408&amp;"|"&amp;B408, Bids!$AD:$AD,0)),"")</f>
        <v/>
      </c>
      <c r="AD408" s="39" t="str">
        <f t="array" ref="AD408">IFERROR(INDEX(Bids!$AC:$AC, MATCH(C408&amp;"|"&amp;B408, Bids!$AD:$AD,0)), H408)</f>
        <v/>
      </c>
      <c r="AE408" s="39"/>
      <c r="AG408" s="39"/>
      <c r="AH408" s="39" t="str">
        <f t="shared" si="5"/>
        <v/>
      </c>
      <c r="AI408" s="39" t="str">
        <f t="shared" si="6"/>
        <v/>
      </c>
      <c r="AM408" s="39" t="str">
        <f t="array" ref="AM408">IF(C408="","",IFERROR(XLOOKUP(C408,Orders!$A:$A,Orders!$E:$E,""),""))</f>
        <v/>
      </c>
      <c r="AN408" s="39" t="str">
        <f t="shared" si="7"/>
        <v/>
      </c>
      <c r="AO408" s="39" t="str">
        <f t="shared" si="8"/>
        <v/>
      </c>
      <c r="AP408" s="39" t="str">
        <f t="shared" si="9"/>
        <v/>
      </c>
      <c r="AQ408" s="39" t="str">
        <f t="shared" si="10"/>
        <v/>
      </c>
      <c r="AR408" s="39" t="str">
        <f t="shared" si="11"/>
        <v/>
      </c>
      <c r="AS408" s="39" t="str">
        <f t="shared" si="12"/>
        <v/>
      </c>
      <c r="AT408" s="39" t="str">
        <f t="shared" si="13"/>
        <v/>
      </c>
      <c r="AU408" s="39" t="str">
        <f t="shared" si="14"/>
        <v/>
      </c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 t="str">
        <f t="shared" si="1"/>
        <v/>
      </c>
      <c r="J409" s="22" t="str">
        <f t="shared" si="2"/>
        <v/>
      </c>
      <c r="K409" s="22"/>
      <c r="L409" s="22"/>
      <c r="M409" s="22"/>
      <c r="N409" s="22"/>
      <c r="O409" s="22"/>
      <c r="P409" s="22" t="str">
        <f t="shared" si="4"/>
        <v/>
      </c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39" t="str">
        <f t="array" ref="AB409">IFERROR(INDEX(Bids!$AA:$AA, MATCH(C409&amp;"|"&amp;B409, Bids!$AD:$AD,0)),"")</f>
        <v/>
      </c>
      <c r="AC409" s="39" t="str">
        <f t="array" ref="AC409">IFERROR(INDEX(Bids!$AB:$AB, MATCH(C409&amp;"|"&amp;B409, Bids!$AD:$AD,0)),"")</f>
        <v/>
      </c>
      <c r="AD409" s="39" t="str">
        <f t="array" ref="AD409">IFERROR(INDEX(Bids!$AC:$AC, MATCH(C409&amp;"|"&amp;B409, Bids!$AD:$AD,0)), H409)</f>
        <v/>
      </c>
      <c r="AE409" s="39"/>
      <c r="AG409" s="39"/>
      <c r="AH409" s="39" t="str">
        <f t="shared" si="5"/>
        <v/>
      </c>
      <c r="AI409" s="39" t="str">
        <f t="shared" si="6"/>
        <v/>
      </c>
      <c r="AM409" s="39" t="str">
        <f t="array" ref="AM409">IF(C409="","",IFERROR(XLOOKUP(C409,Orders!$A:$A,Orders!$E:$E,""),""))</f>
        <v/>
      </c>
      <c r="AN409" s="39" t="str">
        <f t="shared" si="7"/>
        <v/>
      </c>
      <c r="AO409" s="39" t="str">
        <f t="shared" si="8"/>
        <v/>
      </c>
      <c r="AP409" s="39" t="str">
        <f t="shared" si="9"/>
        <v/>
      </c>
      <c r="AQ409" s="39" t="str">
        <f t="shared" si="10"/>
        <v/>
      </c>
      <c r="AR409" s="39" t="str">
        <f t="shared" si="11"/>
        <v/>
      </c>
      <c r="AS409" s="39" t="str">
        <f t="shared" si="12"/>
        <v/>
      </c>
      <c r="AT409" s="39" t="str">
        <f t="shared" si="13"/>
        <v/>
      </c>
      <c r="AU409" s="39" t="str">
        <f t="shared" si="14"/>
        <v/>
      </c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 t="str">
        <f t="shared" si="1"/>
        <v/>
      </c>
      <c r="J410" s="22" t="str">
        <f t="shared" si="2"/>
        <v/>
      </c>
      <c r="K410" s="22"/>
      <c r="L410" s="22"/>
      <c r="M410" s="22"/>
      <c r="N410" s="22"/>
      <c r="O410" s="22"/>
      <c r="P410" s="22" t="str">
        <f t="shared" si="4"/>
        <v/>
      </c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39" t="str">
        <f t="array" ref="AB410">IFERROR(INDEX(Bids!$AA:$AA, MATCH(C410&amp;"|"&amp;B410, Bids!$AD:$AD,0)),"")</f>
        <v/>
      </c>
      <c r="AC410" s="39" t="str">
        <f t="array" ref="AC410">IFERROR(INDEX(Bids!$AB:$AB, MATCH(C410&amp;"|"&amp;B410, Bids!$AD:$AD,0)),"")</f>
        <v/>
      </c>
      <c r="AD410" s="39" t="str">
        <f t="array" ref="AD410">IFERROR(INDEX(Bids!$AC:$AC, MATCH(C410&amp;"|"&amp;B410, Bids!$AD:$AD,0)), H410)</f>
        <v/>
      </c>
      <c r="AE410" s="39"/>
      <c r="AG410" s="39"/>
      <c r="AH410" s="39" t="str">
        <f t="shared" si="5"/>
        <v/>
      </c>
      <c r="AI410" s="39" t="str">
        <f t="shared" si="6"/>
        <v/>
      </c>
      <c r="AM410" s="39" t="str">
        <f t="array" ref="AM410">IF(C410="","",IFERROR(XLOOKUP(C410,Orders!$A:$A,Orders!$E:$E,""),""))</f>
        <v/>
      </c>
      <c r="AN410" s="39" t="str">
        <f t="shared" si="7"/>
        <v/>
      </c>
      <c r="AO410" s="39" t="str">
        <f t="shared" si="8"/>
        <v/>
      </c>
      <c r="AP410" s="39" t="str">
        <f t="shared" si="9"/>
        <v/>
      </c>
      <c r="AQ410" s="39" t="str">
        <f t="shared" si="10"/>
        <v/>
      </c>
      <c r="AR410" s="39" t="str">
        <f t="shared" si="11"/>
        <v/>
      </c>
      <c r="AS410" s="39" t="str">
        <f t="shared" si="12"/>
        <v/>
      </c>
      <c r="AT410" s="39" t="str">
        <f t="shared" si="13"/>
        <v/>
      </c>
      <c r="AU410" s="39" t="str">
        <f t="shared" si="14"/>
        <v/>
      </c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 t="str">
        <f t="shared" si="1"/>
        <v/>
      </c>
      <c r="J411" s="22" t="str">
        <f t="shared" si="2"/>
        <v/>
      </c>
      <c r="K411" s="22"/>
      <c r="L411" s="22"/>
      <c r="M411" s="22"/>
      <c r="N411" s="22"/>
      <c r="O411" s="22"/>
      <c r="P411" s="22" t="str">
        <f t="shared" si="4"/>
        <v/>
      </c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39" t="str">
        <f t="array" ref="AB411">IFERROR(INDEX(Bids!$AA:$AA, MATCH(C411&amp;"|"&amp;B411, Bids!$AD:$AD,0)),"")</f>
        <v/>
      </c>
      <c r="AC411" s="39" t="str">
        <f t="array" ref="AC411">IFERROR(INDEX(Bids!$AB:$AB, MATCH(C411&amp;"|"&amp;B411, Bids!$AD:$AD,0)),"")</f>
        <v/>
      </c>
      <c r="AD411" s="39" t="str">
        <f t="array" ref="AD411">IFERROR(INDEX(Bids!$AC:$AC, MATCH(C411&amp;"|"&amp;B411, Bids!$AD:$AD,0)), H411)</f>
        <v/>
      </c>
      <c r="AE411" s="39"/>
      <c r="AG411" s="39"/>
      <c r="AH411" s="39" t="str">
        <f t="shared" si="5"/>
        <v/>
      </c>
      <c r="AI411" s="39" t="str">
        <f t="shared" si="6"/>
        <v/>
      </c>
      <c r="AM411" s="39" t="str">
        <f t="array" ref="AM411">IF(C411="","",IFERROR(XLOOKUP(C411,Orders!$A:$A,Orders!$E:$E,""),""))</f>
        <v/>
      </c>
      <c r="AN411" s="39" t="str">
        <f t="shared" si="7"/>
        <v/>
      </c>
      <c r="AO411" s="39" t="str">
        <f t="shared" si="8"/>
        <v/>
      </c>
      <c r="AP411" s="39" t="str">
        <f t="shared" si="9"/>
        <v/>
      </c>
      <c r="AQ411" s="39" t="str">
        <f t="shared" si="10"/>
        <v/>
      </c>
      <c r="AR411" s="39" t="str">
        <f t="shared" si="11"/>
        <v/>
      </c>
      <c r="AS411" s="39" t="str">
        <f t="shared" si="12"/>
        <v/>
      </c>
      <c r="AT411" s="39" t="str">
        <f t="shared" si="13"/>
        <v/>
      </c>
      <c r="AU411" s="39" t="str">
        <f t="shared" si="14"/>
        <v/>
      </c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 t="str">
        <f t="shared" si="1"/>
        <v/>
      </c>
      <c r="J412" s="22" t="str">
        <f t="shared" si="2"/>
        <v/>
      </c>
      <c r="K412" s="22"/>
      <c r="L412" s="22"/>
      <c r="M412" s="22"/>
      <c r="N412" s="22"/>
      <c r="O412" s="22"/>
      <c r="P412" s="22" t="str">
        <f t="shared" si="4"/>
        <v/>
      </c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39" t="str">
        <f t="array" ref="AB412">IFERROR(INDEX(Bids!$AA:$AA, MATCH(C412&amp;"|"&amp;B412, Bids!$AD:$AD,0)),"")</f>
        <v/>
      </c>
      <c r="AC412" s="39" t="str">
        <f t="array" ref="AC412">IFERROR(INDEX(Bids!$AB:$AB, MATCH(C412&amp;"|"&amp;B412, Bids!$AD:$AD,0)),"")</f>
        <v/>
      </c>
      <c r="AD412" s="39" t="str">
        <f t="array" ref="AD412">IFERROR(INDEX(Bids!$AC:$AC, MATCH(C412&amp;"|"&amp;B412, Bids!$AD:$AD,0)), H412)</f>
        <v/>
      </c>
      <c r="AE412" s="39"/>
      <c r="AG412" s="39"/>
      <c r="AH412" s="39" t="str">
        <f t="shared" si="5"/>
        <v/>
      </c>
      <c r="AI412" s="39" t="str">
        <f t="shared" si="6"/>
        <v/>
      </c>
      <c r="AM412" s="39" t="str">
        <f t="array" ref="AM412">IF(C412="","",IFERROR(XLOOKUP(C412,Orders!$A:$A,Orders!$E:$E,""),""))</f>
        <v/>
      </c>
      <c r="AN412" s="39" t="str">
        <f t="shared" si="7"/>
        <v/>
      </c>
      <c r="AO412" s="39" t="str">
        <f t="shared" si="8"/>
        <v/>
      </c>
      <c r="AP412" s="39" t="str">
        <f t="shared" si="9"/>
        <v/>
      </c>
      <c r="AQ412" s="39" t="str">
        <f t="shared" si="10"/>
        <v/>
      </c>
      <c r="AR412" s="39" t="str">
        <f t="shared" si="11"/>
        <v/>
      </c>
      <c r="AS412" s="39" t="str">
        <f t="shared" si="12"/>
        <v/>
      </c>
      <c r="AT412" s="39" t="str">
        <f t="shared" si="13"/>
        <v/>
      </c>
      <c r="AU412" s="39" t="str">
        <f t="shared" si="14"/>
        <v/>
      </c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 t="str">
        <f t="shared" si="1"/>
        <v/>
      </c>
      <c r="J413" s="22" t="str">
        <f t="shared" si="2"/>
        <v/>
      </c>
      <c r="K413" s="22"/>
      <c r="L413" s="22"/>
      <c r="M413" s="22"/>
      <c r="N413" s="22"/>
      <c r="O413" s="22"/>
      <c r="P413" s="22" t="str">
        <f t="shared" si="4"/>
        <v/>
      </c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39" t="str">
        <f t="array" ref="AB413">IFERROR(INDEX(Bids!$AA:$AA, MATCH(C413&amp;"|"&amp;B413, Bids!$AD:$AD,0)),"")</f>
        <v/>
      </c>
      <c r="AC413" s="39" t="str">
        <f t="array" ref="AC413">IFERROR(INDEX(Bids!$AB:$AB, MATCH(C413&amp;"|"&amp;B413, Bids!$AD:$AD,0)),"")</f>
        <v/>
      </c>
      <c r="AD413" s="39" t="str">
        <f t="array" ref="AD413">IFERROR(INDEX(Bids!$AC:$AC, MATCH(C413&amp;"|"&amp;B413, Bids!$AD:$AD,0)), H413)</f>
        <v/>
      </c>
      <c r="AE413" s="39"/>
      <c r="AG413" s="39"/>
      <c r="AH413" s="39" t="str">
        <f t="shared" si="5"/>
        <v/>
      </c>
      <c r="AI413" s="39" t="str">
        <f t="shared" si="6"/>
        <v/>
      </c>
      <c r="AM413" s="39" t="str">
        <f t="array" ref="AM413">IF(C413="","",IFERROR(XLOOKUP(C413,Orders!$A:$A,Orders!$E:$E,""),""))</f>
        <v/>
      </c>
      <c r="AN413" s="39" t="str">
        <f t="shared" si="7"/>
        <v/>
      </c>
      <c r="AO413" s="39" t="str">
        <f t="shared" si="8"/>
        <v/>
      </c>
      <c r="AP413" s="39" t="str">
        <f t="shared" si="9"/>
        <v/>
      </c>
      <c r="AQ413" s="39" t="str">
        <f t="shared" si="10"/>
        <v/>
      </c>
      <c r="AR413" s="39" t="str">
        <f t="shared" si="11"/>
        <v/>
      </c>
      <c r="AS413" s="39" t="str">
        <f t="shared" si="12"/>
        <v/>
      </c>
      <c r="AT413" s="39" t="str">
        <f t="shared" si="13"/>
        <v/>
      </c>
      <c r="AU413" s="39" t="str">
        <f t="shared" si="14"/>
        <v/>
      </c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 t="str">
        <f t="shared" si="1"/>
        <v/>
      </c>
      <c r="J414" s="22" t="str">
        <f t="shared" si="2"/>
        <v/>
      </c>
      <c r="K414" s="22"/>
      <c r="L414" s="22"/>
      <c r="M414" s="22"/>
      <c r="N414" s="22"/>
      <c r="O414" s="22"/>
      <c r="P414" s="22" t="str">
        <f t="shared" si="4"/>
        <v/>
      </c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39" t="str">
        <f t="array" ref="AB414">IFERROR(INDEX(Bids!$AA:$AA, MATCH(C414&amp;"|"&amp;B414, Bids!$AD:$AD,0)),"")</f>
        <v/>
      </c>
      <c r="AC414" s="39" t="str">
        <f t="array" ref="AC414">IFERROR(INDEX(Bids!$AB:$AB, MATCH(C414&amp;"|"&amp;B414, Bids!$AD:$AD,0)),"")</f>
        <v/>
      </c>
      <c r="AD414" s="39" t="str">
        <f t="array" ref="AD414">IFERROR(INDEX(Bids!$AC:$AC, MATCH(C414&amp;"|"&amp;B414, Bids!$AD:$AD,0)), H414)</f>
        <v/>
      </c>
      <c r="AE414" s="39"/>
      <c r="AG414" s="39"/>
      <c r="AH414" s="39" t="str">
        <f t="shared" si="5"/>
        <v/>
      </c>
      <c r="AI414" s="39" t="str">
        <f t="shared" si="6"/>
        <v/>
      </c>
      <c r="AM414" s="39" t="str">
        <f t="array" ref="AM414">IF(C414="","",IFERROR(XLOOKUP(C414,Orders!$A:$A,Orders!$E:$E,""),""))</f>
        <v/>
      </c>
      <c r="AN414" s="39" t="str">
        <f t="shared" si="7"/>
        <v/>
      </c>
      <c r="AO414" s="39" t="str">
        <f t="shared" si="8"/>
        <v/>
      </c>
      <c r="AP414" s="39" t="str">
        <f t="shared" si="9"/>
        <v/>
      </c>
      <c r="AQ414" s="39" t="str">
        <f t="shared" si="10"/>
        <v/>
      </c>
      <c r="AR414" s="39" t="str">
        <f t="shared" si="11"/>
        <v/>
      </c>
      <c r="AS414" s="39" t="str">
        <f t="shared" si="12"/>
        <v/>
      </c>
      <c r="AT414" s="39" t="str">
        <f t="shared" si="13"/>
        <v/>
      </c>
      <c r="AU414" s="39" t="str">
        <f t="shared" si="14"/>
        <v/>
      </c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 t="str">
        <f t="shared" si="1"/>
        <v/>
      </c>
      <c r="J415" s="22" t="str">
        <f t="shared" si="2"/>
        <v/>
      </c>
      <c r="K415" s="22"/>
      <c r="L415" s="22"/>
      <c r="M415" s="22"/>
      <c r="N415" s="22"/>
      <c r="O415" s="22"/>
      <c r="P415" s="22" t="str">
        <f t="shared" si="4"/>
        <v/>
      </c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39" t="str">
        <f t="array" ref="AB415">IFERROR(INDEX(Bids!$AA:$AA, MATCH(C415&amp;"|"&amp;B415, Bids!$AD:$AD,0)),"")</f>
        <v/>
      </c>
      <c r="AC415" s="39" t="str">
        <f t="array" ref="AC415">IFERROR(INDEX(Bids!$AB:$AB, MATCH(C415&amp;"|"&amp;B415, Bids!$AD:$AD,0)),"")</f>
        <v/>
      </c>
      <c r="AD415" s="39" t="str">
        <f t="array" ref="AD415">IFERROR(INDEX(Bids!$AC:$AC, MATCH(C415&amp;"|"&amp;B415, Bids!$AD:$AD,0)), H415)</f>
        <v/>
      </c>
      <c r="AE415" s="39"/>
      <c r="AG415" s="39"/>
      <c r="AH415" s="39" t="str">
        <f t="shared" si="5"/>
        <v/>
      </c>
      <c r="AI415" s="39" t="str">
        <f t="shared" si="6"/>
        <v/>
      </c>
      <c r="AM415" s="39" t="str">
        <f t="array" ref="AM415">IF(C415="","",IFERROR(XLOOKUP(C415,Orders!$A:$A,Orders!$E:$E,""),""))</f>
        <v/>
      </c>
      <c r="AN415" s="39" t="str">
        <f t="shared" si="7"/>
        <v/>
      </c>
      <c r="AO415" s="39" t="str">
        <f t="shared" si="8"/>
        <v/>
      </c>
      <c r="AP415" s="39" t="str">
        <f t="shared" si="9"/>
        <v/>
      </c>
      <c r="AQ415" s="39" t="str">
        <f t="shared" si="10"/>
        <v/>
      </c>
      <c r="AR415" s="39" t="str">
        <f t="shared" si="11"/>
        <v/>
      </c>
      <c r="AS415" s="39" t="str">
        <f t="shared" si="12"/>
        <v/>
      </c>
      <c r="AT415" s="39" t="str">
        <f t="shared" si="13"/>
        <v/>
      </c>
      <c r="AU415" s="39" t="str">
        <f t="shared" si="14"/>
        <v/>
      </c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 t="str">
        <f t="shared" si="1"/>
        <v/>
      </c>
      <c r="J416" s="22" t="str">
        <f t="shared" si="2"/>
        <v/>
      </c>
      <c r="K416" s="22"/>
      <c r="L416" s="22"/>
      <c r="M416" s="22"/>
      <c r="N416" s="22"/>
      <c r="O416" s="22"/>
      <c r="P416" s="22" t="str">
        <f t="shared" si="4"/>
        <v/>
      </c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39" t="str">
        <f t="array" ref="AB416">IFERROR(INDEX(Bids!$AA:$AA, MATCH(C416&amp;"|"&amp;B416, Bids!$AD:$AD,0)),"")</f>
        <v/>
      </c>
      <c r="AC416" s="39" t="str">
        <f t="array" ref="AC416">IFERROR(INDEX(Bids!$AB:$AB, MATCH(C416&amp;"|"&amp;B416, Bids!$AD:$AD,0)),"")</f>
        <v/>
      </c>
      <c r="AD416" s="39" t="str">
        <f t="array" ref="AD416">IFERROR(INDEX(Bids!$AC:$AC, MATCH(C416&amp;"|"&amp;B416, Bids!$AD:$AD,0)), H416)</f>
        <v/>
      </c>
      <c r="AE416" s="39"/>
      <c r="AG416" s="39"/>
      <c r="AH416" s="39" t="str">
        <f t="shared" si="5"/>
        <v/>
      </c>
      <c r="AI416" s="39" t="str">
        <f t="shared" si="6"/>
        <v/>
      </c>
      <c r="AM416" s="39" t="str">
        <f t="array" ref="AM416">IF(C416="","",IFERROR(XLOOKUP(C416,Orders!$A:$A,Orders!$E:$E,""),""))</f>
        <v/>
      </c>
      <c r="AN416" s="39" t="str">
        <f t="shared" si="7"/>
        <v/>
      </c>
      <c r="AO416" s="39" t="str">
        <f t="shared" si="8"/>
        <v/>
      </c>
      <c r="AP416" s="39" t="str">
        <f t="shared" si="9"/>
        <v/>
      </c>
      <c r="AQ416" s="39" t="str">
        <f t="shared" si="10"/>
        <v/>
      </c>
      <c r="AR416" s="39" t="str">
        <f t="shared" si="11"/>
        <v/>
      </c>
      <c r="AS416" s="39" t="str">
        <f t="shared" si="12"/>
        <v/>
      </c>
      <c r="AT416" s="39" t="str">
        <f t="shared" si="13"/>
        <v/>
      </c>
      <c r="AU416" s="39" t="str">
        <f t="shared" si="14"/>
        <v/>
      </c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 t="str">
        <f t="shared" si="1"/>
        <v/>
      </c>
      <c r="J417" s="22" t="str">
        <f t="shared" si="2"/>
        <v/>
      </c>
      <c r="K417" s="22"/>
      <c r="L417" s="22"/>
      <c r="M417" s="22"/>
      <c r="N417" s="22"/>
      <c r="O417" s="22"/>
      <c r="P417" s="22" t="str">
        <f t="shared" si="4"/>
        <v/>
      </c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39" t="str">
        <f t="array" ref="AB417">IFERROR(INDEX(Bids!$AA:$AA, MATCH(C417&amp;"|"&amp;B417, Bids!$AD:$AD,0)),"")</f>
        <v/>
      </c>
      <c r="AC417" s="39" t="str">
        <f t="array" ref="AC417">IFERROR(INDEX(Bids!$AB:$AB, MATCH(C417&amp;"|"&amp;B417, Bids!$AD:$AD,0)),"")</f>
        <v/>
      </c>
      <c r="AD417" s="39" t="str">
        <f t="array" ref="AD417">IFERROR(INDEX(Bids!$AC:$AC, MATCH(C417&amp;"|"&amp;B417, Bids!$AD:$AD,0)), H417)</f>
        <v/>
      </c>
      <c r="AE417" s="39"/>
      <c r="AG417" s="39"/>
      <c r="AH417" s="39" t="str">
        <f t="shared" si="5"/>
        <v/>
      </c>
      <c r="AI417" s="39" t="str">
        <f t="shared" si="6"/>
        <v/>
      </c>
      <c r="AM417" s="39" t="str">
        <f t="array" ref="AM417">IF(C417="","",IFERROR(XLOOKUP(C417,Orders!$A:$A,Orders!$E:$E,""),""))</f>
        <v/>
      </c>
      <c r="AN417" s="39" t="str">
        <f t="shared" si="7"/>
        <v/>
      </c>
      <c r="AO417" s="39" t="str">
        <f t="shared" si="8"/>
        <v/>
      </c>
      <c r="AP417" s="39" t="str">
        <f t="shared" si="9"/>
        <v/>
      </c>
      <c r="AQ417" s="39" t="str">
        <f t="shared" si="10"/>
        <v/>
      </c>
      <c r="AR417" s="39" t="str">
        <f t="shared" si="11"/>
        <v/>
      </c>
      <c r="AS417" s="39" t="str">
        <f t="shared" si="12"/>
        <v/>
      </c>
      <c r="AT417" s="39" t="str">
        <f t="shared" si="13"/>
        <v/>
      </c>
      <c r="AU417" s="39" t="str">
        <f t="shared" si="14"/>
        <v/>
      </c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 t="str">
        <f t="shared" si="1"/>
        <v/>
      </c>
      <c r="J418" s="22" t="str">
        <f t="shared" si="2"/>
        <v/>
      </c>
      <c r="K418" s="22"/>
      <c r="L418" s="22"/>
      <c r="M418" s="22"/>
      <c r="N418" s="22"/>
      <c r="O418" s="22"/>
      <c r="P418" s="22" t="str">
        <f t="shared" si="4"/>
        <v/>
      </c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39" t="str">
        <f t="array" ref="AB418">IFERROR(INDEX(Bids!$AA:$AA, MATCH(C418&amp;"|"&amp;B418, Bids!$AD:$AD,0)),"")</f>
        <v/>
      </c>
      <c r="AC418" s="39" t="str">
        <f t="array" ref="AC418">IFERROR(INDEX(Bids!$AB:$AB, MATCH(C418&amp;"|"&amp;B418, Bids!$AD:$AD,0)),"")</f>
        <v/>
      </c>
      <c r="AD418" s="39" t="str">
        <f t="array" ref="AD418">IFERROR(INDEX(Bids!$AC:$AC, MATCH(C418&amp;"|"&amp;B418, Bids!$AD:$AD,0)), H418)</f>
        <v/>
      </c>
      <c r="AE418" s="39"/>
      <c r="AG418" s="39"/>
      <c r="AH418" s="39" t="str">
        <f t="shared" si="5"/>
        <v/>
      </c>
      <c r="AI418" s="39" t="str">
        <f t="shared" si="6"/>
        <v/>
      </c>
      <c r="AM418" s="39" t="str">
        <f t="array" ref="AM418">IF(C418="","",IFERROR(XLOOKUP(C418,Orders!$A:$A,Orders!$E:$E,""),""))</f>
        <v/>
      </c>
      <c r="AN418" s="39" t="str">
        <f t="shared" si="7"/>
        <v/>
      </c>
      <c r="AO418" s="39" t="str">
        <f t="shared" si="8"/>
        <v/>
      </c>
      <c r="AP418" s="39" t="str">
        <f t="shared" si="9"/>
        <v/>
      </c>
      <c r="AQ418" s="39" t="str">
        <f t="shared" si="10"/>
        <v/>
      </c>
      <c r="AR418" s="39" t="str">
        <f t="shared" si="11"/>
        <v/>
      </c>
      <c r="AS418" s="39" t="str">
        <f t="shared" si="12"/>
        <v/>
      </c>
      <c r="AT418" s="39" t="str">
        <f t="shared" si="13"/>
        <v/>
      </c>
      <c r="AU418" s="39" t="str">
        <f t="shared" si="14"/>
        <v/>
      </c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 t="str">
        <f t="shared" si="1"/>
        <v/>
      </c>
      <c r="J419" s="22" t="str">
        <f t="shared" si="2"/>
        <v/>
      </c>
      <c r="K419" s="22"/>
      <c r="L419" s="22"/>
      <c r="M419" s="22"/>
      <c r="N419" s="22"/>
      <c r="O419" s="22"/>
      <c r="P419" s="22" t="str">
        <f t="shared" si="4"/>
        <v/>
      </c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39" t="str">
        <f t="array" ref="AB419">IFERROR(INDEX(Bids!$AA:$AA, MATCH(C419&amp;"|"&amp;B419, Bids!$AD:$AD,0)),"")</f>
        <v/>
      </c>
      <c r="AC419" s="39" t="str">
        <f t="array" ref="AC419">IFERROR(INDEX(Bids!$AB:$AB, MATCH(C419&amp;"|"&amp;B419, Bids!$AD:$AD,0)),"")</f>
        <v/>
      </c>
      <c r="AD419" s="39" t="str">
        <f t="array" ref="AD419">IFERROR(INDEX(Bids!$AC:$AC, MATCH(C419&amp;"|"&amp;B419, Bids!$AD:$AD,0)), H419)</f>
        <v/>
      </c>
      <c r="AE419" s="39"/>
      <c r="AG419" s="39"/>
      <c r="AH419" s="39" t="str">
        <f t="shared" si="5"/>
        <v/>
      </c>
      <c r="AI419" s="39" t="str">
        <f t="shared" si="6"/>
        <v/>
      </c>
      <c r="AM419" s="39" t="str">
        <f t="array" ref="AM419">IF(C419="","",IFERROR(XLOOKUP(C419,Orders!$A:$A,Orders!$E:$E,""),""))</f>
        <v/>
      </c>
      <c r="AN419" s="39" t="str">
        <f t="shared" si="7"/>
        <v/>
      </c>
      <c r="AO419" s="39" t="str">
        <f t="shared" si="8"/>
        <v/>
      </c>
      <c r="AP419" s="39" t="str">
        <f t="shared" si="9"/>
        <v/>
      </c>
      <c r="AQ419" s="39" t="str">
        <f t="shared" si="10"/>
        <v/>
      </c>
      <c r="AR419" s="39" t="str">
        <f t="shared" si="11"/>
        <v/>
      </c>
      <c r="AS419" s="39" t="str">
        <f t="shared" si="12"/>
        <v/>
      </c>
      <c r="AT419" s="39" t="str">
        <f t="shared" si="13"/>
        <v/>
      </c>
      <c r="AU419" s="39" t="str">
        <f t="shared" si="14"/>
        <v/>
      </c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 t="str">
        <f t="shared" si="1"/>
        <v/>
      </c>
      <c r="J420" s="22" t="str">
        <f t="shared" si="2"/>
        <v/>
      </c>
      <c r="K420" s="22"/>
      <c r="L420" s="22"/>
      <c r="M420" s="22"/>
      <c r="N420" s="22"/>
      <c r="O420" s="22"/>
      <c r="P420" s="22" t="str">
        <f t="shared" si="4"/>
        <v/>
      </c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39" t="str">
        <f t="array" ref="AB420">IFERROR(INDEX(Bids!$AA:$AA, MATCH(C420&amp;"|"&amp;B420, Bids!$AD:$AD,0)),"")</f>
        <v/>
      </c>
      <c r="AC420" s="39" t="str">
        <f t="array" ref="AC420">IFERROR(INDEX(Bids!$AB:$AB, MATCH(C420&amp;"|"&amp;B420, Bids!$AD:$AD,0)),"")</f>
        <v/>
      </c>
      <c r="AD420" s="39" t="str">
        <f t="array" ref="AD420">IFERROR(INDEX(Bids!$AC:$AC, MATCH(C420&amp;"|"&amp;B420, Bids!$AD:$AD,0)), H420)</f>
        <v/>
      </c>
      <c r="AE420" s="39"/>
      <c r="AG420" s="39"/>
      <c r="AH420" s="39" t="str">
        <f t="shared" si="5"/>
        <v/>
      </c>
      <c r="AI420" s="39" t="str">
        <f t="shared" si="6"/>
        <v/>
      </c>
      <c r="AM420" s="39" t="str">
        <f t="array" ref="AM420">IF(C420="","",IFERROR(XLOOKUP(C420,Orders!$A:$A,Orders!$E:$E,""),""))</f>
        <v/>
      </c>
      <c r="AN420" s="39" t="str">
        <f t="shared" si="7"/>
        <v/>
      </c>
      <c r="AO420" s="39" t="str">
        <f t="shared" si="8"/>
        <v/>
      </c>
      <c r="AP420" s="39" t="str">
        <f t="shared" si="9"/>
        <v/>
      </c>
      <c r="AQ420" s="39" t="str">
        <f t="shared" si="10"/>
        <v/>
      </c>
      <c r="AR420" s="39" t="str">
        <f t="shared" si="11"/>
        <v/>
      </c>
      <c r="AS420" s="39" t="str">
        <f t="shared" si="12"/>
        <v/>
      </c>
      <c r="AT420" s="39" t="str">
        <f t="shared" si="13"/>
        <v/>
      </c>
      <c r="AU420" s="39" t="str">
        <f t="shared" si="14"/>
        <v/>
      </c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 t="str">
        <f t="shared" si="1"/>
        <v/>
      </c>
      <c r="J421" s="22" t="str">
        <f t="shared" si="2"/>
        <v/>
      </c>
      <c r="K421" s="22"/>
      <c r="L421" s="22"/>
      <c r="M421" s="22"/>
      <c r="N421" s="22"/>
      <c r="O421" s="22"/>
      <c r="P421" s="22" t="str">
        <f t="shared" si="4"/>
        <v/>
      </c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39" t="str">
        <f t="array" ref="AB421">IFERROR(INDEX(Bids!$AA:$AA, MATCH(C421&amp;"|"&amp;B421, Bids!$AD:$AD,0)),"")</f>
        <v/>
      </c>
      <c r="AC421" s="39" t="str">
        <f t="array" ref="AC421">IFERROR(INDEX(Bids!$AB:$AB, MATCH(C421&amp;"|"&amp;B421, Bids!$AD:$AD,0)),"")</f>
        <v/>
      </c>
      <c r="AD421" s="39" t="str">
        <f t="array" ref="AD421">IFERROR(INDEX(Bids!$AC:$AC, MATCH(C421&amp;"|"&amp;B421, Bids!$AD:$AD,0)), H421)</f>
        <v/>
      </c>
      <c r="AE421" s="39"/>
      <c r="AG421" s="39"/>
      <c r="AH421" s="39" t="str">
        <f t="shared" si="5"/>
        <v/>
      </c>
      <c r="AI421" s="39" t="str">
        <f t="shared" si="6"/>
        <v/>
      </c>
      <c r="AM421" s="39" t="str">
        <f t="array" ref="AM421">IF(C421="","",IFERROR(XLOOKUP(C421,Orders!$A:$A,Orders!$E:$E,""),""))</f>
        <v/>
      </c>
      <c r="AN421" s="39" t="str">
        <f t="shared" si="7"/>
        <v/>
      </c>
      <c r="AO421" s="39" t="str">
        <f t="shared" si="8"/>
        <v/>
      </c>
      <c r="AP421" s="39" t="str">
        <f t="shared" si="9"/>
        <v/>
      </c>
      <c r="AQ421" s="39" t="str">
        <f t="shared" si="10"/>
        <v/>
      </c>
      <c r="AR421" s="39" t="str">
        <f t="shared" si="11"/>
        <v/>
      </c>
      <c r="AS421" s="39" t="str">
        <f t="shared" si="12"/>
        <v/>
      </c>
      <c r="AT421" s="39" t="str">
        <f t="shared" si="13"/>
        <v/>
      </c>
      <c r="AU421" s="39" t="str">
        <f t="shared" si="14"/>
        <v/>
      </c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 t="str">
        <f t="shared" si="1"/>
        <v/>
      </c>
      <c r="J422" s="22" t="str">
        <f t="shared" si="2"/>
        <v/>
      </c>
      <c r="K422" s="22"/>
      <c r="L422" s="22"/>
      <c r="M422" s="22"/>
      <c r="N422" s="22"/>
      <c r="O422" s="22"/>
      <c r="P422" s="22" t="str">
        <f t="shared" si="4"/>
        <v/>
      </c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39" t="str">
        <f t="array" ref="AB422">IFERROR(INDEX(Bids!$AA:$AA, MATCH(C422&amp;"|"&amp;B422, Bids!$AD:$AD,0)),"")</f>
        <v/>
      </c>
      <c r="AC422" s="39" t="str">
        <f t="array" ref="AC422">IFERROR(INDEX(Bids!$AB:$AB, MATCH(C422&amp;"|"&amp;B422, Bids!$AD:$AD,0)),"")</f>
        <v/>
      </c>
      <c r="AD422" s="39" t="str">
        <f t="array" ref="AD422">IFERROR(INDEX(Bids!$AC:$AC, MATCH(C422&amp;"|"&amp;B422, Bids!$AD:$AD,0)), H422)</f>
        <v/>
      </c>
      <c r="AE422" s="39"/>
      <c r="AG422" s="39"/>
      <c r="AH422" s="39" t="str">
        <f t="shared" si="5"/>
        <v/>
      </c>
      <c r="AI422" s="39" t="str">
        <f t="shared" si="6"/>
        <v/>
      </c>
      <c r="AM422" s="39" t="str">
        <f t="array" ref="AM422">IF(C422="","",IFERROR(XLOOKUP(C422,Orders!$A:$A,Orders!$E:$E,""),""))</f>
        <v/>
      </c>
      <c r="AN422" s="39" t="str">
        <f t="shared" si="7"/>
        <v/>
      </c>
      <c r="AO422" s="39" t="str">
        <f t="shared" si="8"/>
        <v/>
      </c>
      <c r="AP422" s="39" t="str">
        <f t="shared" si="9"/>
        <v/>
      </c>
      <c r="AQ422" s="39" t="str">
        <f t="shared" si="10"/>
        <v/>
      </c>
      <c r="AR422" s="39" t="str">
        <f t="shared" si="11"/>
        <v/>
      </c>
      <c r="AS422" s="39" t="str">
        <f t="shared" si="12"/>
        <v/>
      </c>
      <c r="AT422" s="39" t="str">
        <f t="shared" si="13"/>
        <v/>
      </c>
      <c r="AU422" s="39" t="str">
        <f t="shared" si="14"/>
        <v/>
      </c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 t="str">
        <f t="shared" si="1"/>
        <v/>
      </c>
      <c r="J423" s="22" t="str">
        <f t="shared" si="2"/>
        <v/>
      </c>
      <c r="K423" s="22"/>
      <c r="L423" s="22"/>
      <c r="M423" s="22"/>
      <c r="N423" s="22"/>
      <c r="O423" s="22"/>
      <c r="P423" s="22" t="str">
        <f t="shared" si="4"/>
        <v/>
      </c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39" t="str">
        <f t="array" ref="AB423">IFERROR(INDEX(Bids!$AA:$AA, MATCH(C423&amp;"|"&amp;B423, Bids!$AD:$AD,0)),"")</f>
        <v/>
      </c>
      <c r="AC423" s="39" t="str">
        <f t="array" ref="AC423">IFERROR(INDEX(Bids!$AB:$AB, MATCH(C423&amp;"|"&amp;B423, Bids!$AD:$AD,0)),"")</f>
        <v/>
      </c>
      <c r="AD423" s="39" t="str">
        <f t="array" ref="AD423">IFERROR(INDEX(Bids!$AC:$AC, MATCH(C423&amp;"|"&amp;B423, Bids!$AD:$AD,0)), H423)</f>
        <v/>
      </c>
      <c r="AE423" s="39"/>
      <c r="AG423" s="39"/>
      <c r="AH423" s="39" t="str">
        <f t="shared" si="5"/>
        <v/>
      </c>
      <c r="AI423" s="39" t="str">
        <f t="shared" si="6"/>
        <v/>
      </c>
      <c r="AM423" s="39" t="str">
        <f t="array" ref="AM423">IF(C423="","",IFERROR(XLOOKUP(C423,Orders!$A:$A,Orders!$E:$E,""),""))</f>
        <v/>
      </c>
      <c r="AN423" s="39" t="str">
        <f t="shared" si="7"/>
        <v/>
      </c>
      <c r="AO423" s="39" t="str">
        <f t="shared" si="8"/>
        <v/>
      </c>
      <c r="AP423" s="39" t="str">
        <f t="shared" si="9"/>
        <v/>
      </c>
      <c r="AQ423" s="39" t="str">
        <f t="shared" si="10"/>
        <v/>
      </c>
      <c r="AR423" s="39" t="str">
        <f t="shared" si="11"/>
        <v/>
      </c>
      <c r="AS423" s="39" t="str">
        <f t="shared" si="12"/>
        <v/>
      </c>
      <c r="AT423" s="39" t="str">
        <f t="shared" si="13"/>
        <v/>
      </c>
      <c r="AU423" s="39" t="str">
        <f t="shared" si="14"/>
        <v/>
      </c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 t="str">
        <f t="shared" si="1"/>
        <v/>
      </c>
      <c r="J424" s="22" t="str">
        <f t="shared" si="2"/>
        <v/>
      </c>
      <c r="K424" s="22"/>
      <c r="L424" s="22"/>
      <c r="M424" s="22"/>
      <c r="N424" s="22"/>
      <c r="O424" s="22"/>
      <c r="P424" s="22" t="str">
        <f t="shared" si="4"/>
        <v/>
      </c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39" t="str">
        <f t="array" ref="AB424">IFERROR(INDEX(Bids!$AA:$AA, MATCH(C424&amp;"|"&amp;B424, Bids!$AD:$AD,0)),"")</f>
        <v/>
      </c>
      <c r="AC424" s="39" t="str">
        <f t="array" ref="AC424">IFERROR(INDEX(Bids!$AB:$AB, MATCH(C424&amp;"|"&amp;B424, Bids!$AD:$AD,0)),"")</f>
        <v/>
      </c>
      <c r="AD424" s="39" t="str">
        <f t="array" ref="AD424">IFERROR(INDEX(Bids!$AC:$AC, MATCH(C424&amp;"|"&amp;B424, Bids!$AD:$AD,0)), H424)</f>
        <v/>
      </c>
      <c r="AE424" s="39"/>
      <c r="AG424" s="39"/>
      <c r="AH424" s="39" t="str">
        <f t="shared" si="5"/>
        <v/>
      </c>
      <c r="AI424" s="39" t="str">
        <f t="shared" si="6"/>
        <v/>
      </c>
      <c r="AM424" s="39" t="str">
        <f t="array" ref="AM424">IF(C424="","",IFERROR(XLOOKUP(C424,Orders!$A:$A,Orders!$E:$E,""),""))</f>
        <v/>
      </c>
      <c r="AN424" s="39" t="str">
        <f t="shared" si="7"/>
        <v/>
      </c>
      <c r="AO424" s="39" t="str">
        <f t="shared" si="8"/>
        <v/>
      </c>
      <c r="AP424" s="39" t="str">
        <f t="shared" si="9"/>
        <v/>
      </c>
      <c r="AQ424" s="39" t="str">
        <f t="shared" si="10"/>
        <v/>
      </c>
      <c r="AR424" s="39" t="str">
        <f t="shared" si="11"/>
        <v/>
      </c>
      <c r="AS424" s="39" t="str">
        <f t="shared" si="12"/>
        <v/>
      </c>
      <c r="AT424" s="39" t="str">
        <f t="shared" si="13"/>
        <v/>
      </c>
      <c r="AU424" s="39" t="str">
        <f t="shared" si="14"/>
        <v/>
      </c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 t="str">
        <f t="shared" si="1"/>
        <v/>
      </c>
      <c r="J425" s="22" t="str">
        <f t="shared" si="2"/>
        <v/>
      </c>
      <c r="K425" s="22"/>
      <c r="L425" s="22"/>
      <c r="M425" s="22"/>
      <c r="N425" s="22"/>
      <c r="O425" s="22"/>
      <c r="P425" s="22" t="str">
        <f t="shared" si="4"/>
        <v/>
      </c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39" t="str">
        <f t="array" ref="AB425">IFERROR(INDEX(Bids!$AA:$AA, MATCH(C425&amp;"|"&amp;B425, Bids!$AD:$AD,0)),"")</f>
        <v/>
      </c>
      <c r="AC425" s="39" t="str">
        <f t="array" ref="AC425">IFERROR(INDEX(Bids!$AB:$AB, MATCH(C425&amp;"|"&amp;B425, Bids!$AD:$AD,0)),"")</f>
        <v/>
      </c>
      <c r="AD425" s="39" t="str">
        <f t="array" ref="AD425">IFERROR(INDEX(Bids!$AC:$AC, MATCH(C425&amp;"|"&amp;B425, Bids!$AD:$AD,0)), H425)</f>
        <v/>
      </c>
      <c r="AE425" s="39"/>
      <c r="AG425" s="39"/>
      <c r="AH425" s="39" t="str">
        <f t="shared" si="5"/>
        <v/>
      </c>
      <c r="AI425" s="39" t="str">
        <f t="shared" si="6"/>
        <v/>
      </c>
      <c r="AM425" s="39" t="str">
        <f t="array" ref="AM425">IF(C425="","",IFERROR(XLOOKUP(C425,Orders!$A:$A,Orders!$E:$E,""),""))</f>
        <v/>
      </c>
      <c r="AN425" s="39" t="str">
        <f t="shared" si="7"/>
        <v/>
      </c>
      <c r="AO425" s="39" t="str">
        <f t="shared" si="8"/>
        <v/>
      </c>
      <c r="AP425" s="39" t="str">
        <f t="shared" si="9"/>
        <v/>
      </c>
      <c r="AQ425" s="39" t="str">
        <f t="shared" si="10"/>
        <v/>
      </c>
      <c r="AR425" s="39" t="str">
        <f t="shared" si="11"/>
        <v/>
      </c>
      <c r="AS425" s="39" t="str">
        <f t="shared" si="12"/>
        <v/>
      </c>
      <c r="AT425" s="39" t="str">
        <f t="shared" si="13"/>
        <v/>
      </c>
      <c r="AU425" s="39" t="str">
        <f t="shared" si="14"/>
        <v/>
      </c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 t="str">
        <f t="shared" si="1"/>
        <v/>
      </c>
      <c r="J426" s="22" t="str">
        <f t="shared" si="2"/>
        <v/>
      </c>
      <c r="K426" s="22"/>
      <c r="L426" s="22"/>
      <c r="M426" s="22"/>
      <c r="N426" s="22"/>
      <c r="O426" s="22"/>
      <c r="P426" s="22" t="str">
        <f t="shared" si="4"/>
        <v/>
      </c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39" t="str">
        <f t="array" ref="AB426">IFERROR(INDEX(Bids!$AA:$AA, MATCH(C426&amp;"|"&amp;B426, Bids!$AD:$AD,0)),"")</f>
        <v/>
      </c>
      <c r="AC426" s="39" t="str">
        <f t="array" ref="AC426">IFERROR(INDEX(Bids!$AB:$AB, MATCH(C426&amp;"|"&amp;B426, Bids!$AD:$AD,0)),"")</f>
        <v/>
      </c>
      <c r="AD426" s="39" t="str">
        <f t="array" ref="AD426">IFERROR(INDEX(Bids!$AC:$AC, MATCH(C426&amp;"|"&amp;B426, Bids!$AD:$AD,0)), H426)</f>
        <v/>
      </c>
      <c r="AE426" s="39"/>
      <c r="AG426" s="39"/>
      <c r="AH426" s="39" t="str">
        <f t="shared" si="5"/>
        <v/>
      </c>
      <c r="AI426" s="39" t="str">
        <f t="shared" si="6"/>
        <v/>
      </c>
      <c r="AM426" s="39" t="str">
        <f t="array" ref="AM426">IF(C426="","",IFERROR(XLOOKUP(C426,Orders!$A:$A,Orders!$E:$E,""),""))</f>
        <v/>
      </c>
      <c r="AN426" s="39" t="str">
        <f t="shared" si="7"/>
        <v/>
      </c>
      <c r="AO426" s="39" t="str">
        <f t="shared" si="8"/>
        <v/>
      </c>
      <c r="AP426" s="39" t="str">
        <f t="shared" si="9"/>
        <v/>
      </c>
      <c r="AQ426" s="39" t="str">
        <f t="shared" si="10"/>
        <v/>
      </c>
      <c r="AR426" s="39" t="str">
        <f t="shared" si="11"/>
        <v/>
      </c>
      <c r="AS426" s="39" t="str">
        <f t="shared" si="12"/>
        <v/>
      </c>
      <c r="AT426" s="39" t="str">
        <f t="shared" si="13"/>
        <v/>
      </c>
      <c r="AU426" s="39" t="str">
        <f t="shared" si="14"/>
        <v/>
      </c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 t="str">
        <f t="shared" si="1"/>
        <v/>
      </c>
      <c r="J427" s="22" t="str">
        <f t="shared" si="2"/>
        <v/>
      </c>
      <c r="K427" s="22"/>
      <c r="L427" s="22"/>
      <c r="M427" s="22"/>
      <c r="N427" s="22"/>
      <c r="O427" s="22"/>
      <c r="P427" s="22" t="str">
        <f t="shared" si="4"/>
        <v/>
      </c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39" t="str">
        <f t="array" ref="AB427">IFERROR(INDEX(Bids!$AA:$AA, MATCH(C427&amp;"|"&amp;B427, Bids!$AD:$AD,0)),"")</f>
        <v/>
      </c>
      <c r="AC427" s="39" t="str">
        <f t="array" ref="AC427">IFERROR(INDEX(Bids!$AB:$AB, MATCH(C427&amp;"|"&amp;B427, Bids!$AD:$AD,0)),"")</f>
        <v/>
      </c>
      <c r="AD427" s="39" t="str">
        <f t="array" ref="AD427">IFERROR(INDEX(Bids!$AC:$AC, MATCH(C427&amp;"|"&amp;B427, Bids!$AD:$AD,0)), H427)</f>
        <v/>
      </c>
      <c r="AE427" s="39"/>
      <c r="AG427" s="39"/>
      <c r="AH427" s="39" t="str">
        <f t="shared" si="5"/>
        <v/>
      </c>
      <c r="AI427" s="39" t="str">
        <f t="shared" si="6"/>
        <v/>
      </c>
      <c r="AM427" s="39" t="str">
        <f t="array" ref="AM427">IF(C427="","",IFERROR(XLOOKUP(C427,Orders!$A:$A,Orders!$E:$E,""),""))</f>
        <v/>
      </c>
      <c r="AN427" s="39" t="str">
        <f t="shared" si="7"/>
        <v/>
      </c>
      <c r="AO427" s="39" t="str">
        <f t="shared" si="8"/>
        <v/>
      </c>
      <c r="AP427" s="39" t="str">
        <f t="shared" si="9"/>
        <v/>
      </c>
      <c r="AQ427" s="39" t="str">
        <f t="shared" si="10"/>
        <v/>
      </c>
      <c r="AR427" s="39" t="str">
        <f t="shared" si="11"/>
        <v/>
      </c>
      <c r="AS427" s="39" t="str">
        <f t="shared" si="12"/>
        <v/>
      </c>
      <c r="AT427" s="39" t="str">
        <f t="shared" si="13"/>
        <v/>
      </c>
      <c r="AU427" s="39" t="str">
        <f t="shared" si="14"/>
        <v/>
      </c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 t="str">
        <f t="shared" si="1"/>
        <v/>
      </c>
      <c r="J428" s="22" t="str">
        <f t="shared" si="2"/>
        <v/>
      </c>
      <c r="K428" s="22"/>
      <c r="L428" s="22"/>
      <c r="M428" s="22"/>
      <c r="N428" s="22"/>
      <c r="O428" s="22"/>
      <c r="P428" s="22" t="str">
        <f t="shared" si="4"/>
        <v/>
      </c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39" t="str">
        <f t="array" ref="AB428">IFERROR(INDEX(Bids!$AA:$AA, MATCH(C428&amp;"|"&amp;B428, Bids!$AD:$AD,0)),"")</f>
        <v/>
      </c>
      <c r="AC428" s="39" t="str">
        <f t="array" ref="AC428">IFERROR(INDEX(Bids!$AB:$AB, MATCH(C428&amp;"|"&amp;B428, Bids!$AD:$AD,0)),"")</f>
        <v/>
      </c>
      <c r="AD428" s="39" t="str">
        <f t="array" ref="AD428">IFERROR(INDEX(Bids!$AC:$AC, MATCH(C428&amp;"|"&amp;B428, Bids!$AD:$AD,0)), H428)</f>
        <v/>
      </c>
      <c r="AE428" s="39"/>
      <c r="AG428" s="39"/>
      <c r="AH428" s="39" t="str">
        <f t="shared" si="5"/>
        <v/>
      </c>
      <c r="AI428" s="39" t="str">
        <f t="shared" si="6"/>
        <v/>
      </c>
      <c r="AM428" s="39" t="str">
        <f t="array" ref="AM428">IF(C428="","",IFERROR(XLOOKUP(C428,Orders!$A:$A,Orders!$E:$E,""),""))</f>
        <v/>
      </c>
      <c r="AN428" s="39" t="str">
        <f t="shared" si="7"/>
        <v/>
      </c>
      <c r="AO428" s="39" t="str">
        <f t="shared" si="8"/>
        <v/>
      </c>
      <c r="AP428" s="39" t="str">
        <f t="shared" si="9"/>
        <v/>
      </c>
      <c r="AQ428" s="39" t="str">
        <f t="shared" si="10"/>
        <v/>
      </c>
      <c r="AR428" s="39" t="str">
        <f t="shared" si="11"/>
        <v/>
      </c>
      <c r="AS428" s="39" t="str">
        <f t="shared" si="12"/>
        <v/>
      </c>
      <c r="AT428" s="39" t="str">
        <f t="shared" si="13"/>
        <v/>
      </c>
      <c r="AU428" s="39" t="str">
        <f t="shared" si="14"/>
        <v/>
      </c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 t="str">
        <f t="shared" si="1"/>
        <v/>
      </c>
      <c r="J429" s="22" t="str">
        <f t="shared" si="2"/>
        <v/>
      </c>
      <c r="K429" s="22"/>
      <c r="L429" s="22"/>
      <c r="M429" s="22"/>
      <c r="N429" s="22"/>
      <c r="O429" s="22"/>
      <c r="P429" s="22" t="str">
        <f t="shared" si="4"/>
        <v/>
      </c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39" t="str">
        <f t="array" ref="AB429">IFERROR(INDEX(Bids!$AA:$AA, MATCH(C429&amp;"|"&amp;B429, Bids!$AD:$AD,0)),"")</f>
        <v/>
      </c>
      <c r="AC429" s="39" t="str">
        <f t="array" ref="AC429">IFERROR(INDEX(Bids!$AB:$AB, MATCH(C429&amp;"|"&amp;B429, Bids!$AD:$AD,0)),"")</f>
        <v/>
      </c>
      <c r="AD429" s="39" t="str">
        <f t="array" ref="AD429">IFERROR(INDEX(Bids!$AC:$AC, MATCH(C429&amp;"|"&amp;B429, Bids!$AD:$AD,0)), H429)</f>
        <v/>
      </c>
      <c r="AE429" s="39"/>
      <c r="AG429" s="39"/>
      <c r="AH429" s="39" t="str">
        <f t="shared" si="5"/>
        <v/>
      </c>
      <c r="AI429" s="39" t="str">
        <f t="shared" si="6"/>
        <v/>
      </c>
      <c r="AM429" s="39" t="str">
        <f t="array" ref="AM429">IF(C429="","",IFERROR(XLOOKUP(C429,Orders!$A:$A,Orders!$E:$E,""),""))</f>
        <v/>
      </c>
      <c r="AN429" s="39" t="str">
        <f t="shared" si="7"/>
        <v/>
      </c>
      <c r="AO429" s="39" t="str">
        <f t="shared" si="8"/>
        <v/>
      </c>
      <c r="AP429" s="39" t="str">
        <f t="shared" si="9"/>
        <v/>
      </c>
      <c r="AQ429" s="39" t="str">
        <f t="shared" si="10"/>
        <v/>
      </c>
      <c r="AR429" s="39" t="str">
        <f t="shared" si="11"/>
        <v/>
      </c>
      <c r="AS429" s="39" t="str">
        <f t="shared" si="12"/>
        <v/>
      </c>
      <c r="AT429" s="39" t="str">
        <f t="shared" si="13"/>
        <v/>
      </c>
      <c r="AU429" s="39" t="str">
        <f t="shared" si="14"/>
        <v/>
      </c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 t="str">
        <f t="shared" si="1"/>
        <v/>
      </c>
      <c r="J430" s="22" t="str">
        <f t="shared" si="2"/>
        <v/>
      </c>
      <c r="K430" s="22"/>
      <c r="L430" s="22"/>
      <c r="M430" s="22"/>
      <c r="N430" s="22"/>
      <c r="O430" s="22"/>
      <c r="P430" s="22" t="str">
        <f t="shared" si="4"/>
        <v/>
      </c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39" t="str">
        <f t="array" ref="AB430">IFERROR(INDEX(Bids!$AA:$AA, MATCH(C430&amp;"|"&amp;B430, Bids!$AD:$AD,0)),"")</f>
        <v/>
      </c>
      <c r="AC430" s="39" t="str">
        <f t="array" ref="AC430">IFERROR(INDEX(Bids!$AB:$AB, MATCH(C430&amp;"|"&amp;B430, Bids!$AD:$AD,0)),"")</f>
        <v/>
      </c>
      <c r="AD430" s="39" t="str">
        <f t="array" ref="AD430">IFERROR(INDEX(Bids!$AC:$AC, MATCH(C430&amp;"|"&amp;B430, Bids!$AD:$AD,0)), H430)</f>
        <v/>
      </c>
      <c r="AE430" s="39"/>
      <c r="AG430" s="39"/>
      <c r="AH430" s="39" t="str">
        <f t="shared" si="5"/>
        <v/>
      </c>
      <c r="AI430" s="39" t="str">
        <f t="shared" si="6"/>
        <v/>
      </c>
      <c r="AM430" s="39" t="str">
        <f t="array" ref="AM430">IF(C430="","",IFERROR(XLOOKUP(C430,Orders!$A:$A,Orders!$E:$E,""),""))</f>
        <v/>
      </c>
      <c r="AN430" s="39" t="str">
        <f t="shared" si="7"/>
        <v/>
      </c>
      <c r="AO430" s="39" t="str">
        <f t="shared" si="8"/>
        <v/>
      </c>
      <c r="AP430" s="39" t="str">
        <f t="shared" si="9"/>
        <v/>
      </c>
      <c r="AQ430" s="39" t="str">
        <f t="shared" si="10"/>
        <v/>
      </c>
      <c r="AR430" s="39" t="str">
        <f t="shared" si="11"/>
        <v/>
      </c>
      <c r="AS430" s="39" t="str">
        <f t="shared" si="12"/>
        <v/>
      </c>
      <c r="AT430" s="39" t="str">
        <f t="shared" si="13"/>
        <v/>
      </c>
      <c r="AU430" s="39" t="str">
        <f t="shared" si="14"/>
        <v/>
      </c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 t="str">
        <f t="shared" si="1"/>
        <v/>
      </c>
      <c r="J431" s="22" t="str">
        <f t="shared" si="2"/>
        <v/>
      </c>
      <c r="K431" s="22"/>
      <c r="L431" s="22"/>
      <c r="M431" s="22"/>
      <c r="N431" s="22"/>
      <c r="O431" s="22"/>
      <c r="P431" s="22" t="str">
        <f t="shared" si="4"/>
        <v/>
      </c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39" t="str">
        <f t="array" ref="AB431">IFERROR(INDEX(Bids!$AA:$AA, MATCH(C431&amp;"|"&amp;B431, Bids!$AD:$AD,0)),"")</f>
        <v/>
      </c>
      <c r="AC431" s="39" t="str">
        <f t="array" ref="AC431">IFERROR(INDEX(Bids!$AB:$AB, MATCH(C431&amp;"|"&amp;B431, Bids!$AD:$AD,0)),"")</f>
        <v/>
      </c>
      <c r="AD431" s="39" t="str">
        <f t="array" ref="AD431">IFERROR(INDEX(Bids!$AC:$AC, MATCH(C431&amp;"|"&amp;B431, Bids!$AD:$AD,0)), H431)</f>
        <v/>
      </c>
      <c r="AE431" s="39"/>
      <c r="AG431" s="39"/>
      <c r="AH431" s="39" t="str">
        <f t="shared" si="5"/>
        <v/>
      </c>
      <c r="AI431" s="39" t="str">
        <f t="shared" si="6"/>
        <v/>
      </c>
      <c r="AM431" s="39" t="str">
        <f t="array" ref="AM431">IF(C431="","",IFERROR(XLOOKUP(C431,Orders!$A:$A,Orders!$E:$E,""),""))</f>
        <v/>
      </c>
      <c r="AN431" s="39" t="str">
        <f t="shared" si="7"/>
        <v/>
      </c>
      <c r="AO431" s="39" t="str">
        <f t="shared" si="8"/>
        <v/>
      </c>
      <c r="AP431" s="39" t="str">
        <f t="shared" si="9"/>
        <v/>
      </c>
      <c r="AQ431" s="39" t="str">
        <f t="shared" si="10"/>
        <v/>
      </c>
      <c r="AR431" s="39" t="str">
        <f t="shared" si="11"/>
        <v/>
      </c>
      <c r="AS431" s="39" t="str">
        <f t="shared" si="12"/>
        <v/>
      </c>
      <c r="AT431" s="39" t="str">
        <f t="shared" si="13"/>
        <v/>
      </c>
      <c r="AU431" s="39" t="str">
        <f t="shared" si="14"/>
        <v/>
      </c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 t="str">
        <f t="shared" si="1"/>
        <v/>
      </c>
      <c r="J432" s="22" t="str">
        <f t="shared" si="2"/>
        <v/>
      </c>
      <c r="K432" s="22"/>
      <c r="L432" s="22"/>
      <c r="M432" s="22"/>
      <c r="N432" s="22"/>
      <c r="O432" s="22"/>
      <c r="P432" s="22" t="str">
        <f t="shared" si="4"/>
        <v/>
      </c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39" t="str">
        <f t="array" ref="AB432">IFERROR(INDEX(Bids!$AA:$AA, MATCH(C432&amp;"|"&amp;B432, Bids!$AD:$AD,0)),"")</f>
        <v/>
      </c>
      <c r="AC432" s="39" t="str">
        <f t="array" ref="AC432">IFERROR(INDEX(Bids!$AB:$AB, MATCH(C432&amp;"|"&amp;B432, Bids!$AD:$AD,0)),"")</f>
        <v/>
      </c>
      <c r="AD432" s="39" t="str">
        <f t="array" ref="AD432">IFERROR(INDEX(Bids!$AC:$AC, MATCH(C432&amp;"|"&amp;B432, Bids!$AD:$AD,0)), H432)</f>
        <v/>
      </c>
      <c r="AE432" s="39"/>
      <c r="AG432" s="39"/>
      <c r="AH432" s="39" t="str">
        <f t="shared" si="5"/>
        <v/>
      </c>
      <c r="AI432" s="39" t="str">
        <f t="shared" si="6"/>
        <v/>
      </c>
      <c r="AM432" s="39" t="str">
        <f t="array" ref="AM432">IF(C432="","",IFERROR(XLOOKUP(C432,Orders!$A:$A,Orders!$E:$E,""),""))</f>
        <v/>
      </c>
      <c r="AN432" s="39" t="str">
        <f t="shared" si="7"/>
        <v/>
      </c>
      <c r="AO432" s="39" t="str">
        <f t="shared" si="8"/>
        <v/>
      </c>
      <c r="AP432" s="39" t="str">
        <f t="shared" si="9"/>
        <v/>
      </c>
      <c r="AQ432" s="39" t="str">
        <f t="shared" si="10"/>
        <v/>
      </c>
      <c r="AR432" s="39" t="str">
        <f t="shared" si="11"/>
        <v/>
      </c>
      <c r="AS432" s="39" t="str">
        <f t="shared" si="12"/>
        <v/>
      </c>
      <c r="AT432" s="39" t="str">
        <f t="shared" si="13"/>
        <v/>
      </c>
      <c r="AU432" s="39" t="str">
        <f t="shared" si="14"/>
        <v/>
      </c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 t="str">
        <f t="shared" si="1"/>
        <v/>
      </c>
      <c r="J433" s="22" t="str">
        <f t="shared" si="2"/>
        <v/>
      </c>
      <c r="K433" s="22"/>
      <c r="L433" s="22"/>
      <c r="M433" s="22"/>
      <c r="N433" s="22"/>
      <c r="O433" s="22"/>
      <c r="P433" s="22" t="str">
        <f t="shared" si="4"/>
        <v/>
      </c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39" t="str">
        <f t="array" ref="AB433">IFERROR(INDEX(Bids!$AA:$AA, MATCH(C433&amp;"|"&amp;B433, Bids!$AD:$AD,0)),"")</f>
        <v/>
      </c>
      <c r="AC433" s="39" t="str">
        <f t="array" ref="AC433">IFERROR(INDEX(Bids!$AB:$AB, MATCH(C433&amp;"|"&amp;B433, Bids!$AD:$AD,0)),"")</f>
        <v/>
      </c>
      <c r="AD433" s="39" t="str">
        <f t="array" ref="AD433">IFERROR(INDEX(Bids!$AC:$AC, MATCH(C433&amp;"|"&amp;B433, Bids!$AD:$AD,0)), H433)</f>
        <v/>
      </c>
      <c r="AE433" s="39"/>
      <c r="AG433" s="39"/>
      <c r="AH433" s="39" t="str">
        <f t="shared" si="5"/>
        <v/>
      </c>
      <c r="AI433" s="39" t="str">
        <f t="shared" si="6"/>
        <v/>
      </c>
      <c r="AM433" s="39" t="str">
        <f t="array" ref="AM433">IF(C433="","",IFERROR(XLOOKUP(C433,Orders!$A:$A,Orders!$E:$E,""),""))</f>
        <v/>
      </c>
      <c r="AN433" s="39" t="str">
        <f t="shared" si="7"/>
        <v/>
      </c>
      <c r="AO433" s="39" t="str">
        <f t="shared" si="8"/>
        <v/>
      </c>
      <c r="AP433" s="39" t="str">
        <f t="shared" si="9"/>
        <v/>
      </c>
      <c r="AQ433" s="39" t="str">
        <f t="shared" si="10"/>
        <v/>
      </c>
      <c r="AR433" s="39" t="str">
        <f t="shared" si="11"/>
        <v/>
      </c>
      <c r="AS433" s="39" t="str">
        <f t="shared" si="12"/>
        <v/>
      </c>
      <c r="AT433" s="39" t="str">
        <f t="shared" si="13"/>
        <v/>
      </c>
      <c r="AU433" s="39" t="str">
        <f t="shared" si="14"/>
        <v/>
      </c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 t="str">
        <f t="shared" si="1"/>
        <v/>
      </c>
      <c r="J434" s="22" t="str">
        <f t="shared" si="2"/>
        <v/>
      </c>
      <c r="K434" s="22"/>
      <c r="L434" s="22"/>
      <c r="M434" s="22"/>
      <c r="N434" s="22"/>
      <c r="O434" s="22"/>
      <c r="P434" s="22" t="str">
        <f t="shared" si="4"/>
        <v/>
      </c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39" t="str">
        <f t="array" ref="AB434">IFERROR(INDEX(Bids!$AA:$AA, MATCH(C434&amp;"|"&amp;B434, Bids!$AD:$AD,0)),"")</f>
        <v/>
      </c>
      <c r="AC434" s="39" t="str">
        <f t="array" ref="AC434">IFERROR(INDEX(Bids!$AB:$AB, MATCH(C434&amp;"|"&amp;B434, Bids!$AD:$AD,0)),"")</f>
        <v/>
      </c>
      <c r="AD434" s="39" t="str">
        <f t="array" ref="AD434">IFERROR(INDEX(Bids!$AC:$AC, MATCH(C434&amp;"|"&amp;B434, Bids!$AD:$AD,0)), H434)</f>
        <v/>
      </c>
      <c r="AE434" s="39"/>
      <c r="AG434" s="39"/>
      <c r="AH434" s="39" t="str">
        <f t="shared" si="5"/>
        <v/>
      </c>
      <c r="AI434" s="39" t="str">
        <f t="shared" si="6"/>
        <v/>
      </c>
      <c r="AM434" s="39" t="str">
        <f t="array" ref="AM434">IF(C434="","",IFERROR(XLOOKUP(C434,Orders!$A:$A,Orders!$E:$E,""),""))</f>
        <v/>
      </c>
      <c r="AN434" s="39" t="str">
        <f t="shared" si="7"/>
        <v/>
      </c>
      <c r="AO434" s="39" t="str">
        <f t="shared" si="8"/>
        <v/>
      </c>
      <c r="AP434" s="39" t="str">
        <f t="shared" si="9"/>
        <v/>
      </c>
      <c r="AQ434" s="39" t="str">
        <f t="shared" si="10"/>
        <v/>
      </c>
      <c r="AR434" s="39" t="str">
        <f t="shared" si="11"/>
        <v/>
      </c>
      <c r="AS434" s="39" t="str">
        <f t="shared" si="12"/>
        <v/>
      </c>
      <c r="AT434" s="39" t="str">
        <f t="shared" si="13"/>
        <v/>
      </c>
      <c r="AU434" s="39" t="str">
        <f t="shared" si="14"/>
        <v/>
      </c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 t="str">
        <f t="shared" si="1"/>
        <v/>
      </c>
      <c r="J435" s="22" t="str">
        <f t="shared" si="2"/>
        <v/>
      </c>
      <c r="K435" s="22"/>
      <c r="L435" s="22"/>
      <c r="M435" s="22"/>
      <c r="N435" s="22"/>
      <c r="O435" s="22"/>
      <c r="P435" s="22" t="str">
        <f t="shared" si="4"/>
        <v/>
      </c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39" t="str">
        <f t="array" ref="AB435">IFERROR(INDEX(Bids!$AA:$AA, MATCH(C435&amp;"|"&amp;B435, Bids!$AD:$AD,0)),"")</f>
        <v/>
      </c>
      <c r="AC435" s="39" t="str">
        <f t="array" ref="AC435">IFERROR(INDEX(Bids!$AB:$AB, MATCH(C435&amp;"|"&amp;B435, Bids!$AD:$AD,0)),"")</f>
        <v/>
      </c>
      <c r="AD435" s="39" t="str">
        <f t="array" ref="AD435">IFERROR(INDEX(Bids!$AC:$AC, MATCH(C435&amp;"|"&amp;B435, Bids!$AD:$AD,0)), H435)</f>
        <v/>
      </c>
      <c r="AE435" s="39"/>
      <c r="AG435" s="39"/>
      <c r="AH435" s="39" t="str">
        <f t="shared" si="5"/>
        <v/>
      </c>
      <c r="AI435" s="39" t="str">
        <f t="shared" si="6"/>
        <v/>
      </c>
      <c r="AM435" s="39" t="str">
        <f t="array" ref="AM435">IF(C435="","",IFERROR(XLOOKUP(C435,Orders!$A:$A,Orders!$E:$E,""),""))</f>
        <v/>
      </c>
      <c r="AN435" s="39" t="str">
        <f t="shared" si="7"/>
        <v/>
      </c>
      <c r="AO435" s="39" t="str">
        <f t="shared" si="8"/>
        <v/>
      </c>
      <c r="AP435" s="39" t="str">
        <f t="shared" si="9"/>
        <v/>
      </c>
      <c r="AQ435" s="39" t="str">
        <f t="shared" si="10"/>
        <v/>
      </c>
      <c r="AR435" s="39" t="str">
        <f t="shared" si="11"/>
        <v/>
      </c>
      <c r="AS435" s="39" t="str">
        <f t="shared" si="12"/>
        <v/>
      </c>
      <c r="AT435" s="39" t="str">
        <f t="shared" si="13"/>
        <v/>
      </c>
      <c r="AU435" s="39" t="str">
        <f t="shared" si="14"/>
        <v/>
      </c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 t="str">
        <f t="shared" si="1"/>
        <v/>
      </c>
      <c r="J436" s="22" t="str">
        <f t="shared" si="2"/>
        <v/>
      </c>
      <c r="K436" s="22"/>
      <c r="L436" s="22"/>
      <c r="M436" s="22"/>
      <c r="N436" s="22"/>
      <c r="O436" s="22"/>
      <c r="P436" s="22" t="str">
        <f t="shared" si="4"/>
        <v/>
      </c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39" t="str">
        <f t="array" ref="AB436">IFERROR(INDEX(Bids!$AA:$AA, MATCH(C436&amp;"|"&amp;B436, Bids!$AD:$AD,0)),"")</f>
        <v/>
      </c>
      <c r="AC436" s="39" t="str">
        <f t="array" ref="AC436">IFERROR(INDEX(Bids!$AB:$AB, MATCH(C436&amp;"|"&amp;B436, Bids!$AD:$AD,0)),"")</f>
        <v/>
      </c>
      <c r="AD436" s="39" t="str">
        <f t="array" ref="AD436">IFERROR(INDEX(Bids!$AC:$AC, MATCH(C436&amp;"|"&amp;B436, Bids!$AD:$AD,0)), H436)</f>
        <v/>
      </c>
      <c r="AE436" s="39"/>
      <c r="AG436" s="39"/>
      <c r="AH436" s="39" t="str">
        <f t="shared" si="5"/>
        <v/>
      </c>
      <c r="AI436" s="39" t="str">
        <f t="shared" si="6"/>
        <v/>
      </c>
      <c r="AM436" s="39" t="str">
        <f t="array" ref="AM436">IF(C436="","",IFERROR(XLOOKUP(C436,Orders!$A:$A,Orders!$E:$E,""),""))</f>
        <v/>
      </c>
      <c r="AN436" s="39" t="str">
        <f t="shared" si="7"/>
        <v/>
      </c>
      <c r="AO436" s="39" t="str">
        <f t="shared" si="8"/>
        <v/>
      </c>
      <c r="AP436" s="39" t="str">
        <f t="shared" si="9"/>
        <v/>
      </c>
      <c r="AQ436" s="39" t="str">
        <f t="shared" si="10"/>
        <v/>
      </c>
      <c r="AR436" s="39" t="str">
        <f t="shared" si="11"/>
        <v/>
      </c>
      <c r="AS436" s="39" t="str">
        <f t="shared" si="12"/>
        <v/>
      </c>
      <c r="AT436" s="39" t="str">
        <f t="shared" si="13"/>
        <v/>
      </c>
      <c r="AU436" s="39" t="str">
        <f t="shared" si="14"/>
        <v/>
      </c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 t="str">
        <f t="shared" si="1"/>
        <v/>
      </c>
      <c r="J437" s="22" t="str">
        <f t="shared" si="2"/>
        <v/>
      </c>
      <c r="K437" s="22"/>
      <c r="L437" s="22"/>
      <c r="M437" s="22"/>
      <c r="N437" s="22"/>
      <c r="O437" s="22"/>
      <c r="P437" s="22" t="str">
        <f t="shared" si="4"/>
        <v/>
      </c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39" t="str">
        <f t="array" ref="AB437">IFERROR(INDEX(Bids!$AA:$AA, MATCH(C437&amp;"|"&amp;B437, Bids!$AD:$AD,0)),"")</f>
        <v/>
      </c>
      <c r="AC437" s="39" t="str">
        <f t="array" ref="AC437">IFERROR(INDEX(Bids!$AB:$AB, MATCH(C437&amp;"|"&amp;B437, Bids!$AD:$AD,0)),"")</f>
        <v/>
      </c>
      <c r="AD437" s="39" t="str">
        <f t="array" ref="AD437">IFERROR(INDEX(Bids!$AC:$AC, MATCH(C437&amp;"|"&amp;B437, Bids!$AD:$AD,0)), H437)</f>
        <v/>
      </c>
      <c r="AE437" s="39"/>
      <c r="AG437" s="39"/>
      <c r="AH437" s="39" t="str">
        <f t="shared" si="5"/>
        <v/>
      </c>
      <c r="AI437" s="39" t="str">
        <f t="shared" si="6"/>
        <v/>
      </c>
      <c r="AM437" s="39" t="str">
        <f t="array" ref="AM437">IF(C437="","",IFERROR(XLOOKUP(C437,Orders!$A:$A,Orders!$E:$E,""),""))</f>
        <v/>
      </c>
      <c r="AN437" s="39" t="str">
        <f t="shared" si="7"/>
        <v/>
      </c>
      <c r="AO437" s="39" t="str">
        <f t="shared" si="8"/>
        <v/>
      </c>
      <c r="AP437" s="39" t="str">
        <f t="shared" si="9"/>
        <v/>
      </c>
      <c r="AQ437" s="39" t="str">
        <f t="shared" si="10"/>
        <v/>
      </c>
      <c r="AR437" s="39" t="str">
        <f t="shared" si="11"/>
        <v/>
      </c>
      <c r="AS437" s="39" t="str">
        <f t="shared" si="12"/>
        <v/>
      </c>
      <c r="AT437" s="39" t="str">
        <f t="shared" si="13"/>
        <v/>
      </c>
      <c r="AU437" s="39" t="str">
        <f t="shared" si="14"/>
        <v/>
      </c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 t="str">
        <f t="shared" si="1"/>
        <v/>
      </c>
      <c r="J438" s="22" t="str">
        <f t="shared" si="2"/>
        <v/>
      </c>
      <c r="K438" s="22"/>
      <c r="L438" s="22"/>
      <c r="M438" s="22"/>
      <c r="N438" s="22"/>
      <c r="O438" s="22"/>
      <c r="P438" s="22" t="str">
        <f t="shared" si="4"/>
        <v/>
      </c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39" t="str">
        <f t="array" ref="AB438">IFERROR(INDEX(Bids!$AA:$AA, MATCH(C438&amp;"|"&amp;B438, Bids!$AD:$AD,0)),"")</f>
        <v/>
      </c>
      <c r="AC438" s="39" t="str">
        <f t="array" ref="AC438">IFERROR(INDEX(Bids!$AB:$AB, MATCH(C438&amp;"|"&amp;B438, Bids!$AD:$AD,0)),"")</f>
        <v/>
      </c>
      <c r="AD438" s="39" t="str">
        <f t="array" ref="AD438">IFERROR(INDEX(Bids!$AC:$AC, MATCH(C438&amp;"|"&amp;B438, Bids!$AD:$AD,0)), H438)</f>
        <v/>
      </c>
      <c r="AE438" s="39"/>
      <c r="AG438" s="39"/>
      <c r="AH438" s="39" t="str">
        <f t="shared" si="5"/>
        <v/>
      </c>
      <c r="AI438" s="39" t="str">
        <f t="shared" si="6"/>
        <v/>
      </c>
      <c r="AM438" s="39" t="str">
        <f t="array" ref="AM438">IF(C438="","",IFERROR(XLOOKUP(C438,Orders!$A:$A,Orders!$E:$E,""),""))</f>
        <v/>
      </c>
      <c r="AN438" s="39" t="str">
        <f t="shared" si="7"/>
        <v/>
      </c>
      <c r="AO438" s="39" t="str">
        <f t="shared" si="8"/>
        <v/>
      </c>
      <c r="AP438" s="39" t="str">
        <f t="shared" si="9"/>
        <v/>
      </c>
      <c r="AQ438" s="39" t="str">
        <f t="shared" si="10"/>
        <v/>
      </c>
      <c r="AR438" s="39" t="str">
        <f t="shared" si="11"/>
        <v/>
      </c>
      <c r="AS438" s="39" t="str">
        <f t="shared" si="12"/>
        <v/>
      </c>
      <c r="AT438" s="39" t="str">
        <f t="shared" si="13"/>
        <v/>
      </c>
      <c r="AU438" s="39" t="str">
        <f t="shared" si="14"/>
        <v/>
      </c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 t="str">
        <f t="shared" si="1"/>
        <v/>
      </c>
      <c r="J439" s="22" t="str">
        <f t="shared" si="2"/>
        <v/>
      </c>
      <c r="K439" s="22"/>
      <c r="L439" s="22"/>
      <c r="M439" s="22"/>
      <c r="N439" s="22"/>
      <c r="O439" s="22"/>
      <c r="P439" s="22" t="str">
        <f t="shared" si="4"/>
        <v/>
      </c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39" t="str">
        <f t="array" ref="AB439">IFERROR(INDEX(Bids!$AA:$AA, MATCH(C439&amp;"|"&amp;B439, Bids!$AD:$AD,0)),"")</f>
        <v/>
      </c>
      <c r="AC439" s="39" t="str">
        <f t="array" ref="AC439">IFERROR(INDEX(Bids!$AB:$AB, MATCH(C439&amp;"|"&amp;B439, Bids!$AD:$AD,0)),"")</f>
        <v/>
      </c>
      <c r="AD439" s="39" t="str">
        <f t="array" ref="AD439">IFERROR(INDEX(Bids!$AC:$AC, MATCH(C439&amp;"|"&amp;B439, Bids!$AD:$AD,0)), H439)</f>
        <v/>
      </c>
      <c r="AE439" s="39"/>
      <c r="AG439" s="39"/>
      <c r="AH439" s="39" t="str">
        <f t="shared" si="5"/>
        <v/>
      </c>
      <c r="AI439" s="39" t="str">
        <f t="shared" si="6"/>
        <v/>
      </c>
      <c r="AM439" s="39" t="str">
        <f t="array" ref="AM439">IF(C439="","",IFERROR(XLOOKUP(C439,Orders!$A:$A,Orders!$E:$E,""),""))</f>
        <v/>
      </c>
      <c r="AN439" s="39" t="str">
        <f t="shared" si="7"/>
        <v/>
      </c>
      <c r="AO439" s="39" t="str">
        <f t="shared" si="8"/>
        <v/>
      </c>
      <c r="AP439" s="39" t="str">
        <f t="shared" si="9"/>
        <v/>
      </c>
      <c r="AQ439" s="39" t="str">
        <f t="shared" si="10"/>
        <v/>
      </c>
      <c r="AR439" s="39" t="str">
        <f t="shared" si="11"/>
        <v/>
      </c>
      <c r="AS439" s="39" t="str">
        <f t="shared" si="12"/>
        <v/>
      </c>
      <c r="AT439" s="39" t="str">
        <f t="shared" si="13"/>
        <v/>
      </c>
      <c r="AU439" s="39" t="str">
        <f t="shared" si="14"/>
        <v/>
      </c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 t="str">
        <f t="shared" si="1"/>
        <v/>
      </c>
      <c r="J440" s="22" t="str">
        <f t="shared" si="2"/>
        <v/>
      </c>
      <c r="K440" s="22"/>
      <c r="L440" s="22"/>
      <c r="M440" s="22"/>
      <c r="N440" s="22"/>
      <c r="O440" s="22"/>
      <c r="P440" s="22" t="str">
        <f t="shared" si="4"/>
        <v/>
      </c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39" t="str">
        <f t="array" ref="AB440">IFERROR(INDEX(Bids!$AA:$AA, MATCH(C440&amp;"|"&amp;B440, Bids!$AD:$AD,0)),"")</f>
        <v/>
      </c>
      <c r="AC440" s="39" t="str">
        <f t="array" ref="AC440">IFERROR(INDEX(Bids!$AB:$AB, MATCH(C440&amp;"|"&amp;B440, Bids!$AD:$AD,0)),"")</f>
        <v/>
      </c>
      <c r="AD440" s="39" t="str">
        <f t="array" ref="AD440">IFERROR(INDEX(Bids!$AC:$AC, MATCH(C440&amp;"|"&amp;B440, Bids!$AD:$AD,0)), H440)</f>
        <v/>
      </c>
      <c r="AE440" s="39"/>
      <c r="AG440" s="39"/>
      <c r="AH440" s="39" t="str">
        <f t="shared" si="5"/>
        <v/>
      </c>
      <c r="AI440" s="39" t="str">
        <f t="shared" si="6"/>
        <v/>
      </c>
      <c r="AM440" s="39" t="str">
        <f t="array" ref="AM440">IF(C440="","",IFERROR(XLOOKUP(C440,Orders!$A:$A,Orders!$E:$E,""),""))</f>
        <v/>
      </c>
      <c r="AN440" s="39" t="str">
        <f t="shared" si="7"/>
        <v/>
      </c>
      <c r="AO440" s="39" t="str">
        <f t="shared" si="8"/>
        <v/>
      </c>
      <c r="AP440" s="39" t="str">
        <f t="shared" si="9"/>
        <v/>
      </c>
      <c r="AQ440" s="39" t="str">
        <f t="shared" si="10"/>
        <v/>
      </c>
      <c r="AR440" s="39" t="str">
        <f t="shared" si="11"/>
        <v/>
      </c>
      <c r="AS440" s="39" t="str">
        <f t="shared" si="12"/>
        <v/>
      </c>
      <c r="AT440" s="39" t="str">
        <f t="shared" si="13"/>
        <v/>
      </c>
      <c r="AU440" s="39" t="str">
        <f t="shared" si="14"/>
        <v/>
      </c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 t="str">
        <f t="shared" si="1"/>
        <v/>
      </c>
      <c r="J441" s="22" t="str">
        <f t="shared" si="2"/>
        <v/>
      </c>
      <c r="K441" s="22"/>
      <c r="L441" s="22"/>
      <c r="M441" s="22"/>
      <c r="N441" s="22"/>
      <c r="O441" s="22"/>
      <c r="P441" s="22" t="str">
        <f t="shared" si="4"/>
        <v/>
      </c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39" t="str">
        <f t="array" ref="AB441">IFERROR(INDEX(Bids!$AA:$AA, MATCH(C441&amp;"|"&amp;B441, Bids!$AD:$AD,0)),"")</f>
        <v/>
      </c>
      <c r="AC441" s="39" t="str">
        <f t="array" ref="AC441">IFERROR(INDEX(Bids!$AB:$AB, MATCH(C441&amp;"|"&amp;B441, Bids!$AD:$AD,0)),"")</f>
        <v/>
      </c>
      <c r="AD441" s="39" t="str">
        <f t="array" ref="AD441">IFERROR(INDEX(Bids!$AC:$AC, MATCH(C441&amp;"|"&amp;B441, Bids!$AD:$AD,0)), H441)</f>
        <v/>
      </c>
      <c r="AE441" s="39"/>
      <c r="AG441" s="39"/>
      <c r="AH441" s="39" t="str">
        <f t="shared" si="5"/>
        <v/>
      </c>
      <c r="AI441" s="39" t="str">
        <f t="shared" si="6"/>
        <v/>
      </c>
      <c r="AM441" s="39" t="str">
        <f t="array" ref="AM441">IF(C441="","",IFERROR(XLOOKUP(C441,Orders!$A:$A,Orders!$E:$E,""),""))</f>
        <v/>
      </c>
      <c r="AN441" s="39" t="str">
        <f t="shared" si="7"/>
        <v/>
      </c>
      <c r="AO441" s="39" t="str">
        <f t="shared" si="8"/>
        <v/>
      </c>
      <c r="AP441" s="39" t="str">
        <f t="shared" si="9"/>
        <v/>
      </c>
      <c r="AQ441" s="39" t="str">
        <f t="shared" si="10"/>
        <v/>
      </c>
      <c r="AR441" s="39" t="str">
        <f t="shared" si="11"/>
        <v/>
      </c>
      <c r="AS441" s="39" t="str">
        <f t="shared" si="12"/>
        <v/>
      </c>
      <c r="AT441" s="39" t="str">
        <f t="shared" si="13"/>
        <v/>
      </c>
      <c r="AU441" s="39" t="str">
        <f t="shared" si="14"/>
        <v/>
      </c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 t="str">
        <f t="shared" si="1"/>
        <v/>
      </c>
      <c r="J442" s="22" t="str">
        <f t="shared" si="2"/>
        <v/>
      </c>
      <c r="K442" s="22"/>
      <c r="L442" s="22"/>
      <c r="M442" s="22"/>
      <c r="N442" s="22"/>
      <c r="O442" s="22"/>
      <c r="P442" s="22" t="str">
        <f t="shared" si="4"/>
        <v/>
      </c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39" t="str">
        <f t="array" ref="AB442">IFERROR(INDEX(Bids!$AA:$AA, MATCH(C442&amp;"|"&amp;B442, Bids!$AD:$AD,0)),"")</f>
        <v/>
      </c>
      <c r="AC442" s="39" t="str">
        <f t="array" ref="AC442">IFERROR(INDEX(Bids!$AB:$AB, MATCH(C442&amp;"|"&amp;B442, Bids!$AD:$AD,0)),"")</f>
        <v/>
      </c>
      <c r="AD442" s="39" t="str">
        <f t="array" ref="AD442">IFERROR(INDEX(Bids!$AC:$AC, MATCH(C442&amp;"|"&amp;B442, Bids!$AD:$AD,0)), H442)</f>
        <v/>
      </c>
      <c r="AE442" s="39"/>
      <c r="AG442" s="39"/>
      <c r="AH442" s="39" t="str">
        <f t="shared" si="5"/>
        <v/>
      </c>
      <c r="AI442" s="39" t="str">
        <f t="shared" si="6"/>
        <v/>
      </c>
      <c r="AM442" s="39" t="str">
        <f t="array" ref="AM442">IF(C442="","",IFERROR(XLOOKUP(C442,Orders!$A:$A,Orders!$E:$E,""),""))</f>
        <v/>
      </c>
      <c r="AN442" s="39" t="str">
        <f t="shared" si="7"/>
        <v/>
      </c>
      <c r="AO442" s="39" t="str">
        <f t="shared" si="8"/>
        <v/>
      </c>
      <c r="AP442" s="39" t="str">
        <f t="shared" si="9"/>
        <v/>
      </c>
      <c r="AQ442" s="39" t="str">
        <f t="shared" si="10"/>
        <v/>
      </c>
      <c r="AR442" s="39" t="str">
        <f t="shared" si="11"/>
        <v/>
      </c>
      <c r="AS442" s="39" t="str">
        <f t="shared" si="12"/>
        <v/>
      </c>
      <c r="AT442" s="39" t="str">
        <f t="shared" si="13"/>
        <v/>
      </c>
      <c r="AU442" s="39" t="str">
        <f t="shared" si="14"/>
        <v/>
      </c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 t="str">
        <f t="shared" si="1"/>
        <v/>
      </c>
      <c r="J443" s="22" t="str">
        <f t="shared" si="2"/>
        <v/>
      </c>
      <c r="K443" s="22"/>
      <c r="L443" s="22"/>
      <c r="M443" s="22"/>
      <c r="N443" s="22"/>
      <c r="O443" s="22"/>
      <c r="P443" s="22" t="str">
        <f t="shared" si="4"/>
        <v/>
      </c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39" t="str">
        <f t="array" ref="AB443">IFERROR(INDEX(Bids!$AA:$AA, MATCH(C443&amp;"|"&amp;B443, Bids!$AD:$AD,0)),"")</f>
        <v/>
      </c>
      <c r="AC443" s="39" t="str">
        <f t="array" ref="AC443">IFERROR(INDEX(Bids!$AB:$AB, MATCH(C443&amp;"|"&amp;B443, Bids!$AD:$AD,0)),"")</f>
        <v/>
      </c>
      <c r="AD443" s="39" t="str">
        <f t="array" ref="AD443">IFERROR(INDEX(Bids!$AC:$AC, MATCH(C443&amp;"|"&amp;B443, Bids!$AD:$AD,0)), H443)</f>
        <v/>
      </c>
      <c r="AE443" s="39"/>
      <c r="AG443" s="39"/>
      <c r="AH443" s="39" t="str">
        <f t="shared" si="5"/>
        <v/>
      </c>
      <c r="AI443" s="39" t="str">
        <f t="shared" si="6"/>
        <v/>
      </c>
      <c r="AM443" s="39" t="str">
        <f t="array" ref="AM443">IF(C443="","",IFERROR(XLOOKUP(C443,Orders!$A:$A,Orders!$E:$E,""),""))</f>
        <v/>
      </c>
      <c r="AN443" s="39" t="str">
        <f t="shared" si="7"/>
        <v/>
      </c>
      <c r="AO443" s="39" t="str">
        <f t="shared" si="8"/>
        <v/>
      </c>
      <c r="AP443" s="39" t="str">
        <f t="shared" si="9"/>
        <v/>
      </c>
      <c r="AQ443" s="39" t="str">
        <f t="shared" si="10"/>
        <v/>
      </c>
      <c r="AR443" s="39" t="str">
        <f t="shared" si="11"/>
        <v/>
      </c>
      <c r="AS443" s="39" t="str">
        <f t="shared" si="12"/>
        <v/>
      </c>
      <c r="AT443" s="39" t="str">
        <f t="shared" si="13"/>
        <v/>
      </c>
      <c r="AU443" s="39" t="str">
        <f t="shared" si="14"/>
        <v/>
      </c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 t="str">
        <f t="shared" si="1"/>
        <v/>
      </c>
      <c r="J444" s="22" t="str">
        <f t="shared" si="2"/>
        <v/>
      </c>
      <c r="K444" s="22"/>
      <c r="L444" s="22"/>
      <c r="M444" s="22"/>
      <c r="N444" s="22"/>
      <c r="O444" s="22"/>
      <c r="P444" s="22" t="str">
        <f t="shared" si="4"/>
        <v/>
      </c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39" t="str">
        <f t="array" ref="AB444">IFERROR(INDEX(Bids!$AA:$AA, MATCH(C444&amp;"|"&amp;B444, Bids!$AD:$AD,0)),"")</f>
        <v/>
      </c>
      <c r="AC444" s="39" t="str">
        <f t="array" ref="AC444">IFERROR(INDEX(Bids!$AB:$AB, MATCH(C444&amp;"|"&amp;B444, Bids!$AD:$AD,0)),"")</f>
        <v/>
      </c>
      <c r="AD444" s="39" t="str">
        <f t="array" ref="AD444">IFERROR(INDEX(Bids!$AC:$AC, MATCH(C444&amp;"|"&amp;B444, Bids!$AD:$AD,0)), H444)</f>
        <v/>
      </c>
      <c r="AE444" s="39"/>
      <c r="AG444" s="39"/>
      <c r="AH444" s="39" t="str">
        <f t="shared" si="5"/>
        <v/>
      </c>
      <c r="AI444" s="39" t="str">
        <f t="shared" si="6"/>
        <v/>
      </c>
      <c r="AM444" s="39" t="str">
        <f t="array" ref="AM444">IF(C444="","",IFERROR(XLOOKUP(C444,Orders!$A:$A,Orders!$E:$E,""),""))</f>
        <v/>
      </c>
      <c r="AN444" s="39" t="str">
        <f t="shared" si="7"/>
        <v/>
      </c>
      <c r="AO444" s="39" t="str">
        <f t="shared" si="8"/>
        <v/>
      </c>
      <c r="AP444" s="39" t="str">
        <f t="shared" si="9"/>
        <v/>
      </c>
      <c r="AQ444" s="39" t="str">
        <f t="shared" si="10"/>
        <v/>
      </c>
      <c r="AR444" s="39" t="str">
        <f t="shared" si="11"/>
        <v/>
      </c>
      <c r="AS444" s="39" t="str">
        <f t="shared" si="12"/>
        <v/>
      </c>
      <c r="AT444" s="39" t="str">
        <f t="shared" si="13"/>
        <v/>
      </c>
      <c r="AU444" s="39" t="str">
        <f t="shared" si="14"/>
        <v/>
      </c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 t="str">
        <f t="shared" si="1"/>
        <v/>
      </c>
      <c r="J445" s="22" t="str">
        <f t="shared" si="2"/>
        <v/>
      </c>
      <c r="K445" s="22"/>
      <c r="L445" s="22"/>
      <c r="M445" s="22"/>
      <c r="N445" s="22"/>
      <c r="O445" s="22"/>
      <c r="P445" s="22" t="str">
        <f t="shared" si="4"/>
        <v/>
      </c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39" t="str">
        <f t="array" ref="AB445">IFERROR(INDEX(Bids!$AA:$AA, MATCH(C445&amp;"|"&amp;B445, Bids!$AD:$AD,0)),"")</f>
        <v/>
      </c>
      <c r="AC445" s="39" t="str">
        <f t="array" ref="AC445">IFERROR(INDEX(Bids!$AB:$AB, MATCH(C445&amp;"|"&amp;B445, Bids!$AD:$AD,0)),"")</f>
        <v/>
      </c>
      <c r="AD445" s="39" t="str">
        <f t="array" ref="AD445">IFERROR(INDEX(Bids!$AC:$AC, MATCH(C445&amp;"|"&amp;B445, Bids!$AD:$AD,0)), H445)</f>
        <v/>
      </c>
      <c r="AE445" s="39"/>
      <c r="AG445" s="39"/>
      <c r="AH445" s="39" t="str">
        <f t="shared" si="5"/>
        <v/>
      </c>
      <c r="AI445" s="39" t="str">
        <f t="shared" si="6"/>
        <v/>
      </c>
      <c r="AM445" s="39" t="str">
        <f t="array" ref="AM445">IF(C445="","",IFERROR(XLOOKUP(C445,Orders!$A:$A,Orders!$E:$E,""),""))</f>
        <v/>
      </c>
      <c r="AN445" s="39" t="str">
        <f t="shared" si="7"/>
        <v/>
      </c>
      <c r="AO445" s="39" t="str">
        <f t="shared" si="8"/>
        <v/>
      </c>
      <c r="AP445" s="39" t="str">
        <f t="shared" si="9"/>
        <v/>
      </c>
      <c r="AQ445" s="39" t="str">
        <f t="shared" si="10"/>
        <v/>
      </c>
      <c r="AR445" s="39" t="str">
        <f t="shared" si="11"/>
        <v/>
      </c>
      <c r="AS445" s="39" t="str">
        <f t="shared" si="12"/>
        <v/>
      </c>
      <c r="AT445" s="39" t="str">
        <f t="shared" si="13"/>
        <v/>
      </c>
      <c r="AU445" s="39" t="str">
        <f t="shared" si="14"/>
        <v/>
      </c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 t="str">
        <f t="shared" si="1"/>
        <v/>
      </c>
      <c r="J446" s="22" t="str">
        <f t="shared" si="2"/>
        <v/>
      </c>
      <c r="K446" s="22"/>
      <c r="L446" s="22"/>
      <c r="M446" s="22"/>
      <c r="N446" s="22"/>
      <c r="O446" s="22"/>
      <c r="P446" s="22" t="str">
        <f t="shared" si="4"/>
        <v/>
      </c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39" t="str">
        <f t="array" ref="AB446">IFERROR(INDEX(Bids!$AA:$AA, MATCH(C446&amp;"|"&amp;B446, Bids!$AD:$AD,0)),"")</f>
        <v/>
      </c>
      <c r="AC446" s="39" t="str">
        <f t="array" ref="AC446">IFERROR(INDEX(Bids!$AB:$AB, MATCH(C446&amp;"|"&amp;B446, Bids!$AD:$AD,0)),"")</f>
        <v/>
      </c>
      <c r="AD446" s="39" t="str">
        <f t="array" ref="AD446">IFERROR(INDEX(Bids!$AC:$AC, MATCH(C446&amp;"|"&amp;B446, Bids!$AD:$AD,0)), H446)</f>
        <v/>
      </c>
      <c r="AE446" s="39"/>
      <c r="AG446" s="39"/>
      <c r="AH446" s="39" t="str">
        <f t="shared" si="5"/>
        <v/>
      </c>
      <c r="AI446" s="39" t="str">
        <f t="shared" si="6"/>
        <v/>
      </c>
      <c r="AM446" s="39" t="str">
        <f t="array" ref="AM446">IF(C446="","",IFERROR(XLOOKUP(C446,Orders!$A:$A,Orders!$E:$E,""),""))</f>
        <v/>
      </c>
      <c r="AN446" s="39" t="str">
        <f t="shared" si="7"/>
        <v/>
      </c>
      <c r="AO446" s="39" t="str">
        <f t="shared" si="8"/>
        <v/>
      </c>
      <c r="AP446" s="39" t="str">
        <f t="shared" si="9"/>
        <v/>
      </c>
      <c r="AQ446" s="39" t="str">
        <f t="shared" si="10"/>
        <v/>
      </c>
      <c r="AR446" s="39" t="str">
        <f t="shared" si="11"/>
        <v/>
      </c>
      <c r="AS446" s="39" t="str">
        <f t="shared" si="12"/>
        <v/>
      </c>
      <c r="AT446" s="39" t="str">
        <f t="shared" si="13"/>
        <v/>
      </c>
      <c r="AU446" s="39" t="str">
        <f t="shared" si="14"/>
        <v/>
      </c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 t="str">
        <f t="shared" si="1"/>
        <v/>
      </c>
      <c r="J447" s="22" t="str">
        <f t="shared" si="2"/>
        <v/>
      </c>
      <c r="K447" s="22"/>
      <c r="L447" s="22"/>
      <c r="M447" s="22"/>
      <c r="N447" s="22"/>
      <c r="O447" s="22"/>
      <c r="P447" s="22" t="str">
        <f t="shared" si="4"/>
        <v/>
      </c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39" t="str">
        <f t="array" ref="AB447">IFERROR(INDEX(Bids!$AA:$AA, MATCH(C447&amp;"|"&amp;B447, Bids!$AD:$AD,0)),"")</f>
        <v/>
      </c>
      <c r="AC447" s="39" t="str">
        <f t="array" ref="AC447">IFERROR(INDEX(Bids!$AB:$AB, MATCH(C447&amp;"|"&amp;B447, Bids!$AD:$AD,0)),"")</f>
        <v/>
      </c>
      <c r="AD447" s="39" t="str">
        <f t="array" ref="AD447">IFERROR(INDEX(Bids!$AC:$AC, MATCH(C447&amp;"|"&amp;B447, Bids!$AD:$AD,0)), H447)</f>
        <v/>
      </c>
      <c r="AE447" s="39"/>
      <c r="AG447" s="39"/>
      <c r="AH447" s="39" t="str">
        <f t="shared" si="5"/>
        <v/>
      </c>
      <c r="AI447" s="39" t="str">
        <f t="shared" si="6"/>
        <v/>
      </c>
      <c r="AM447" s="39" t="str">
        <f t="array" ref="AM447">IF(C447="","",IFERROR(XLOOKUP(C447,Orders!$A:$A,Orders!$E:$E,""),""))</f>
        <v/>
      </c>
      <c r="AN447" s="39" t="str">
        <f t="shared" si="7"/>
        <v/>
      </c>
      <c r="AO447" s="39" t="str">
        <f t="shared" si="8"/>
        <v/>
      </c>
      <c r="AP447" s="39" t="str">
        <f t="shared" si="9"/>
        <v/>
      </c>
      <c r="AQ447" s="39" t="str">
        <f t="shared" si="10"/>
        <v/>
      </c>
      <c r="AR447" s="39" t="str">
        <f t="shared" si="11"/>
        <v/>
      </c>
      <c r="AS447" s="39" t="str">
        <f t="shared" si="12"/>
        <v/>
      </c>
      <c r="AT447" s="39" t="str">
        <f t="shared" si="13"/>
        <v/>
      </c>
      <c r="AU447" s="39" t="str">
        <f t="shared" si="14"/>
        <v/>
      </c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 t="str">
        <f t="shared" si="1"/>
        <v/>
      </c>
      <c r="J448" s="22" t="str">
        <f t="shared" si="2"/>
        <v/>
      </c>
      <c r="K448" s="22"/>
      <c r="L448" s="22"/>
      <c r="M448" s="22"/>
      <c r="N448" s="22"/>
      <c r="O448" s="22"/>
      <c r="P448" s="22" t="str">
        <f t="shared" si="4"/>
        <v/>
      </c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39" t="str">
        <f t="array" ref="AB448">IFERROR(INDEX(Bids!$AA:$AA, MATCH(C448&amp;"|"&amp;B448, Bids!$AD:$AD,0)),"")</f>
        <v/>
      </c>
      <c r="AC448" s="39" t="str">
        <f t="array" ref="AC448">IFERROR(INDEX(Bids!$AB:$AB, MATCH(C448&amp;"|"&amp;B448, Bids!$AD:$AD,0)),"")</f>
        <v/>
      </c>
      <c r="AD448" s="39" t="str">
        <f t="array" ref="AD448">IFERROR(INDEX(Bids!$AC:$AC, MATCH(C448&amp;"|"&amp;B448, Bids!$AD:$AD,0)), H448)</f>
        <v/>
      </c>
      <c r="AE448" s="39"/>
      <c r="AG448" s="39"/>
      <c r="AH448" s="39" t="str">
        <f t="shared" si="5"/>
        <v/>
      </c>
      <c r="AI448" s="39" t="str">
        <f t="shared" si="6"/>
        <v/>
      </c>
      <c r="AM448" s="39" t="str">
        <f t="array" ref="AM448">IF(C448="","",IFERROR(XLOOKUP(C448,Orders!$A:$A,Orders!$E:$E,""),""))</f>
        <v/>
      </c>
      <c r="AN448" s="39" t="str">
        <f t="shared" si="7"/>
        <v/>
      </c>
      <c r="AO448" s="39" t="str">
        <f t="shared" si="8"/>
        <v/>
      </c>
      <c r="AP448" s="39" t="str">
        <f t="shared" si="9"/>
        <v/>
      </c>
      <c r="AQ448" s="39" t="str">
        <f t="shared" si="10"/>
        <v/>
      </c>
      <c r="AR448" s="39" t="str">
        <f t="shared" si="11"/>
        <v/>
      </c>
      <c r="AS448" s="39" t="str">
        <f t="shared" si="12"/>
        <v/>
      </c>
      <c r="AT448" s="39" t="str">
        <f t="shared" si="13"/>
        <v/>
      </c>
      <c r="AU448" s="39" t="str">
        <f t="shared" si="14"/>
        <v/>
      </c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 t="str">
        <f t="shared" si="1"/>
        <v/>
      </c>
      <c r="J449" s="22" t="str">
        <f t="shared" si="2"/>
        <v/>
      </c>
      <c r="K449" s="22"/>
      <c r="L449" s="22"/>
      <c r="M449" s="22"/>
      <c r="N449" s="22"/>
      <c r="O449" s="22"/>
      <c r="P449" s="22" t="str">
        <f t="shared" si="4"/>
        <v/>
      </c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39" t="str">
        <f t="array" ref="AB449">IFERROR(INDEX(Bids!$AA:$AA, MATCH(C449&amp;"|"&amp;B449, Bids!$AD:$AD,0)),"")</f>
        <v/>
      </c>
      <c r="AC449" s="39" t="str">
        <f t="array" ref="AC449">IFERROR(INDEX(Bids!$AB:$AB, MATCH(C449&amp;"|"&amp;B449, Bids!$AD:$AD,0)),"")</f>
        <v/>
      </c>
      <c r="AD449" s="39" t="str">
        <f t="array" ref="AD449">IFERROR(INDEX(Bids!$AC:$AC, MATCH(C449&amp;"|"&amp;B449, Bids!$AD:$AD,0)), H449)</f>
        <v/>
      </c>
      <c r="AE449" s="39"/>
      <c r="AG449" s="39"/>
      <c r="AH449" s="39" t="str">
        <f t="shared" si="5"/>
        <v/>
      </c>
      <c r="AI449" s="39" t="str">
        <f t="shared" si="6"/>
        <v/>
      </c>
      <c r="AM449" s="39" t="str">
        <f t="array" ref="AM449">IF(C449="","",IFERROR(XLOOKUP(C449,Orders!$A:$A,Orders!$E:$E,""),""))</f>
        <v/>
      </c>
      <c r="AN449" s="39" t="str">
        <f t="shared" si="7"/>
        <v/>
      </c>
      <c r="AO449" s="39" t="str">
        <f t="shared" si="8"/>
        <v/>
      </c>
      <c r="AP449" s="39" t="str">
        <f t="shared" si="9"/>
        <v/>
      </c>
      <c r="AQ449" s="39" t="str">
        <f t="shared" si="10"/>
        <v/>
      </c>
      <c r="AR449" s="39" t="str">
        <f t="shared" si="11"/>
        <v/>
      </c>
      <c r="AS449" s="39" t="str">
        <f t="shared" si="12"/>
        <v/>
      </c>
      <c r="AT449" s="39" t="str">
        <f t="shared" si="13"/>
        <v/>
      </c>
      <c r="AU449" s="39" t="str">
        <f t="shared" si="14"/>
        <v/>
      </c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 t="str">
        <f t="shared" si="1"/>
        <v/>
      </c>
      <c r="J450" s="22" t="str">
        <f t="shared" si="2"/>
        <v/>
      </c>
      <c r="K450" s="22"/>
      <c r="L450" s="22"/>
      <c r="M450" s="22"/>
      <c r="N450" s="22"/>
      <c r="O450" s="22"/>
      <c r="P450" s="22" t="str">
        <f t="shared" si="4"/>
        <v/>
      </c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39" t="str">
        <f t="array" ref="AB450">IFERROR(INDEX(Bids!$AA:$AA, MATCH(C450&amp;"|"&amp;B450, Bids!$AD:$AD,0)),"")</f>
        <v/>
      </c>
      <c r="AC450" s="39" t="str">
        <f t="array" ref="AC450">IFERROR(INDEX(Bids!$AB:$AB, MATCH(C450&amp;"|"&amp;B450, Bids!$AD:$AD,0)),"")</f>
        <v/>
      </c>
      <c r="AD450" s="39" t="str">
        <f t="array" ref="AD450">IFERROR(INDEX(Bids!$AC:$AC, MATCH(C450&amp;"|"&amp;B450, Bids!$AD:$AD,0)), H450)</f>
        <v/>
      </c>
      <c r="AE450" s="39"/>
      <c r="AG450" s="39"/>
      <c r="AH450" s="39" t="str">
        <f t="shared" si="5"/>
        <v/>
      </c>
      <c r="AI450" s="39" t="str">
        <f t="shared" si="6"/>
        <v/>
      </c>
      <c r="AM450" s="39" t="str">
        <f t="array" ref="AM450">IF(C450="","",IFERROR(XLOOKUP(C450,Orders!$A:$A,Orders!$E:$E,""),""))</f>
        <v/>
      </c>
      <c r="AN450" s="39" t="str">
        <f t="shared" si="7"/>
        <v/>
      </c>
      <c r="AO450" s="39" t="str">
        <f t="shared" si="8"/>
        <v/>
      </c>
      <c r="AP450" s="39" t="str">
        <f t="shared" si="9"/>
        <v/>
      </c>
      <c r="AQ450" s="39" t="str">
        <f t="shared" si="10"/>
        <v/>
      </c>
      <c r="AR450" s="39" t="str">
        <f t="shared" si="11"/>
        <v/>
      </c>
      <c r="AS450" s="39" t="str">
        <f t="shared" si="12"/>
        <v/>
      </c>
      <c r="AT450" s="39" t="str">
        <f t="shared" si="13"/>
        <v/>
      </c>
      <c r="AU450" s="39" t="str">
        <f t="shared" si="14"/>
        <v/>
      </c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 t="str">
        <f t="shared" si="1"/>
        <v/>
      </c>
      <c r="J451" s="22" t="str">
        <f t="shared" si="2"/>
        <v/>
      </c>
      <c r="K451" s="22"/>
      <c r="L451" s="22"/>
      <c r="M451" s="22"/>
      <c r="N451" s="22"/>
      <c r="O451" s="22"/>
      <c r="P451" s="22" t="str">
        <f t="shared" si="4"/>
        <v/>
      </c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39" t="str">
        <f t="array" ref="AB451">IFERROR(INDEX(Bids!$AA:$AA, MATCH(C451&amp;"|"&amp;B451, Bids!$AD:$AD,0)),"")</f>
        <v/>
      </c>
      <c r="AC451" s="39" t="str">
        <f t="array" ref="AC451">IFERROR(INDEX(Bids!$AB:$AB, MATCH(C451&amp;"|"&amp;B451, Bids!$AD:$AD,0)),"")</f>
        <v/>
      </c>
      <c r="AD451" s="39" t="str">
        <f t="array" ref="AD451">IFERROR(INDEX(Bids!$AC:$AC, MATCH(C451&amp;"|"&amp;B451, Bids!$AD:$AD,0)), H451)</f>
        <v/>
      </c>
      <c r="AE451" s="39"/>
      <c r="AG451" s="39"/>
      <c r="AH451" s="39" t="str">
        <f t="shared" si="5"/>
        <v/>
      </c>
      <c r="AI451" s="39" t="str">
        <f t="shared" si="6"/>
        <v/>
      </c>
      <c r="AM451" s="39" t="str">
        <f t="array" ref="AM451">IF(C451="","",IFERROR(XLOOKUP(C451,Orders!$A:$A,Orders!$E:$E,""),""))</f>
        <v/>
      </c>
      <c r="AN451" s="39" t="str">
        <f t="shared" si="7"/>
        <v/>
      </c>
      <c r="AO451" s="39" t="str">
        <f t="shared" si="8"/>
        <v/>
      </c>
      <c r="AP451" s="39" t="str">
        <f t="shared" si="9"/>
        <v/>
      </c>
      <c r="AQ451" s="39" t="str">
        <f t="shared" si="10"/>
        <v/>
      </c>
      <c r="AR451" s="39" t="str">
        <f t="shared" si="11"/>
        <v/>
      </c>
      <c r="AS451" s="39" t="str">
        <f t="shared" si="12"/>
        <v/>
      </c>
      <c r="AT451" s="39" t="str">
        <f t="shared" si="13"/>
        <v/>
      </c>
      <c r="AU451" s="39" t="str">
        <f t="shared" si="14"/>
        <v/>
      </c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 t="str">
        <f t="shared" si="1"/>
        <v/>
      </c>
      <c r="J452" s="22" t="str">
        <f t="shared" si="2"/>
        <v/>
      </c>
      <c r="K452" s="22"/>
      <c r="L452" s="22"/>
      <c r="M452" s="22"/>
      <c r="N452" s="22"/>
      <c r="O452" s="22"/>
      <c r="P452" s="22" t="str">
        <f t="shared" si="4"/>
        <v/>
      </c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39" t="str">
        <f t="array" ref="AB452">IFERROR(INDEX(Bids!$AA:$AA, MATCH(C452&amp;"|"&amp;B452, Bids!$AD:$AD,0)),"")</f>
        <v/>
      </c>
      <c r="AC452" s="39" t="str">
        <f t="array" ref="AC452">IFERROR(INDEX(Bids!$AB:$AB, MATCH(C452&amp;"|"&amp;B452, Bids!$AD:$AD,0)),"")</f>
        <v/>
      </c>
      <c r="AD452" s="39" t="str">
        <f t="array" ref="AD452">IFERROR(INDEX(Bids!$AC:$AC, MATCH(C452&amp;"|"&amp;B452, Bids!$AD:$AD,0)), H452)</f>
        <v/>
      </c>
      <c r="AE452" s="39"/>
      <c r="AG452" s="39"/>
      <c r="AH452" s="39" t="str">
        <f t="shared" si="5"/>
        <v/>
      </c>
      <c r="AI452" s="39" t="str">
        <f t="shared" si="6"/>
        <v/>
      </c>
      <c r="AM452" s="39" t="str">
        <f t="array" ref="AM452">IF(C452="","",IFERROR(XLOOKUP(C452,Orders!$A:$A,Orders!$E:$E,""),""))</f>
        <v/>
      </c>
      <c r="AN452" s="39" t="str">
        <f t="shared" si="7"/>
        <v/>
      </c>
      <c r="AO452" s="39" t="str">
        <f t="shared" si="8"/>
        <v/>
      </c>
      <c r="AP452" s="39" t="str">
        <f t="shared" si="9"/>
        <v/>
      </c>
      <c r="AQ452" s="39" t="str">
        <f t="shared" si="10"/>
        <v/>
      </c>
      <c r="AR452" s="39" t="str">
        <f t="shared" si="11"/>
        <v/>
      </c>
      <c r="AS452" s="39" t="str">
        <f t="shared" si="12"/>
        <v/>
      </c>
      <c r="AT452" s="39" t="str">
        <f t="shared" si="13"/>
        <v/>
      </c>
      <c r="AU452" s="39" t="str">
        <f t="shared" si="14"/>
        <v/>
      </c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 t="str">
        <f t="shared" si="1"/>
        <v/>
      </c>
      <c r="J453" s="22" t="str">
        <f t="shared" si="2"/>
        <v/>
      </c>
      <c r="K453" s="22"/>
      <c r="L453" s="22"/>
      <c r="M453" s="22"/>
      <c r="N453" s="22"/>
      <c r="O453" s="22"/>
      <c r="P453" s="22" t="str">
        <f t="shared" si="4"/>
        <v/>
      </c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39" t="str">
        <f t="array" ref="AB453">IFERROR(INDEX(Bids!$AA:$AA, MATCH(C453&amp;"|"&amp;B453, Bids!$AD:$AD,0)),"")</f>
        <v/>
      </c>
      <c r="AC453" s="39" t="str">
        <f t="array" ref="AC453">IFERROR(INDEX(Bids!$AB:$AB, MATCH(C453&amp;"|"&amp;B453, Bids!$AD:$AD,0)),"")</f>
        <v/>
      </c>
      <c r="AD453" s="39" t="str">
        <f t="array" ref="AD453">IFERROR(INDEX(Bids!$AC:$AC, MATCH(C453&amp;"|"&amp;B453, Bids!$AD:$AD,0)), H453)</f>
        <v/>
      </c>
      <c r="AE453" s="39"/>
      <c r="AG453" s="39"/>
      <c r="AH453" s="39" t="str">
        <f t="shared" si="5"/>
        <v/>
      </c>
      <c r="AI453" s="39" t="str">
        <f t="shared" si="6"/>
        <v/>
      </c>
      <c r="AM453" s="39" t="str">
        <f t="array" ref="AM453">IF(C453="","",IFERROR(XLOOKUP(C453,Orders!$A:$A,Orders!$E:$E,""),""))</f>
        <v/>
      </c>
      <c r="AN453" s="39" t="str">
        <f t="shared" si="7"/>
        <v/>
      </c>
      <c r="AO453" s="39" t="str">
        <f t="shared" si="8"/>
        <v/>
      </c>
      <c r="AP453" s="39" t="str">
        <f t="shared" si="9"/>
        <v/>
      </c>
      <c r="AQ453" s="39" t="str">
        <f t="shared" si="10"/>
        <v/>
      </c>
      <c r="AR453" s="39" t="str">
        <f t="shared" si="11"/>
        <v/>
      </c>
      <c r="AS453" s="39" t="str">
        <f t="shared" si="12"/>
        <v/>
      </c>
      <c r="AT453" s="39" t="str">
        <f t="shared" si="13"/>
        <v/>
      </c>
      <c r="AU453" s="39" t="str">
        <f t="shared" si="14"/>
        <v/>
      </c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 t="str">
        <f t="shared" si="1"/>
        <v/>
      </c>
      <c r="J454" s="22" t="str">
        <f t="shared" si="2"/>
        <v/>
      </c>
      <c r="K454" s="22"/>
      <c r="L454" s="22"/>
      <c r="M454" s="22"/>
      <c r="N454" s="22"/>
      <c r="O454" s="22"/>
      <c r="P454" s="22" t="str">
        <f t="shared" si="4"/>
        <v/>
      </c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39" t="str">
        <f t="array" ref="AB454">IFERROR(INDEX(Bids!$AA:$AA, MATCH(C454&amp;"|"&amp;B454, Bids!$AD:$AD,0)),"")</f>
        <v/>
      </c>
      <c r="AC454" s="39" t="str">
        <f t="array" ref="AC454">IFERROR(INDEX(Bids!$AB:$AB, MATCH(C454&amp;"|"&amp;B454, Bids!$AD:$AD,0)),"")</f>
        <v/>
      </c>
      <c r="AD454" s="39" t="str">
        <f t="array" ref="AD454">IFERROR(INDEX(Bids!$AC:$AC, MATCH(C454&amp;"|"&amp;B454, Bids!$AD:$AD,0)), H454)</f>
        <v/>
      </c>
      <c r="AE454" s="39"/>
      <c r="AG454" s="39"/>
      <c r="AH454" s="39" t="str">
        <f t="shared" si="5"/>
        <v/>
      </c>
      <c r="AI454" s="39" t="str">
        <f t="shared" si="6"/>
        <v/>
      </c>
      <c r="AM454" s="39" t="str">
        <f t="array" ref="AM454">IF(C454="","",IFERROR(XLOOKUP(C454,Orders!$A:$A,Orders!$E:$E,""),""))</f>
        <v/>
      </c>
      <c r="AN454" s="39" t="str">
        <f t="shared" si="7"/>
        <v/>
      </c>
      <c r="AO454" s="39" t="str">
        <f t="shared" si="8"/>
        <v/>
      </c>
      <c r="AP454" s="39" t="str">
        <f t="shared" si="9"/>
        <v/>
      </c>
      <c r="AQ454" s="39" t="str">
        <f t="shared" si="10"/>
        <v/>
      </c>
      <c r="AR454" s="39" t="str">
        <f t="shared" si="11"/>
        <v/>
      </c>
      <c r="AS454" s="39" t="str">
        <f t="shared" si="12"/>
        <v/>
      </c>
      <c r="AT454" s="39" t="str">
        <f t="shared" si="13"/>
        <v/>
      </c>
      <c r="AU454" s="39" t="str">
        <f t="shared" si="14"/>
        <v/>
      </c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 t="str">
        <f t="shared" si="1"/>
        <v/>
      </c>
      <c r="J455" s="22" t="str">
        <f t="shared" si="2"/>
        <v/>
      </c>
      <c r="K455" s="22"/>
      <c r="L455" s="22"/>
      <c r="M455" s="22"/>
      <c r="N455" s="22"/>
      <c r="O455" s="22"/>
      <c r="P455" s="22" t="str">
        <f t="shared" si="4"/>
        <v/>
      </c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39" t="str">
        <f t="array" ref="AB455">IFERROR(INDEX(Bids!$AA:$AA, MATCH(C455&amp;"|"&amp;B455, Bids!$AD:$AD,0)),"")</f>
        <v/>
      </c>
      <c r="AC455" s="39" t="str">
        <f t="array" ref="AC455">IFERROR(INDEX(Bids!$AB:$AB, MATCH(C455&amp;"|"&amp;B455, Bids!$AD:$AD,0)),"")</f>
        <v/>
      </c>
      <c r="AD455" s="39" t="str">
        <f t="array" ref="AD455">IFERROR(INDEX(Bids!$AC:$AC, MATCH(C455&amp;"|"&amp;B455, Bids!$AD:$AD,0)), H455)</f>
        <v/>
      </c>
      <c r="AE455" s="39"/>
      <c r="AG455" s="39"/>
      <c r="AH455" s="39" t="str">
        <f t="shared" si="5"/>
        <v/>
      </c>
      <c r="AI455" s="39" t="str">
        <f t="shared" si="6"/>
        <v/>
      </c>
      <c r="AM455" s="39" t="str">
        <f t="array" ref="AM455">IF(C455="","",IFERROR(XLOOKUP(C455,Orders!$A:$A,Orders!$E:$E,""),""))</f>
        <v/>
      </c>
      <c r="AN455" s="39" t="str">
        <f t="shared" si="7"/>
        <v/>
      </c>
      <c r="AO455" s="39" t="str">
        <f t="shared" si="8"/>
        <v/>
      </c>
      <c r="AP455" s="39" t="str">
        <f t="shared" si="9"/>
        <v/>
      </c>
      <c r="AQ455" s="39" t="str">
        <f t="shared" si="10"/>
        <v/>
      </c>
      <c r="AR455" s="39" t="str">
        <f t="shared" si="11"/>
        <v/>
      </c>
      <c r="AS455" s="39" t="str">
        <f t="shared" si="12"/>
        <v/>
      </c>
      <c r="AT455" s="39" t="str">
        <f t="shared" si="13"/>
        <v/>
      </c>
      <c r="AU455" s="39" t="str">
        <f t="shared" si="14"/>
        <v/>
      </c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 t="str">
        <f t="shared" si="1"/>
        <v/>
      </c>
      <c r="J456" s="22" t="str">
        <f t="shared" si="2"/>
        <v/>
      </c>
      <c r="K456" s="22"/>
      <c r="L456" s="22"/>
      <c r="M456" s="22"/>
      <c r="N456" s="22"/>
      <c r="O456" s="22"/>
      <c r="P456" s="22" t="str">
        <f t="shared" si="4"/>
        <v/>
      </c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39" t="str">
        <f t="array" ref="AB456">IFERROR(INDEX(Bids!$AA:$AA, MATCH(C456&amp;"|"&amp;B456, Bids!$AD:$AD,0)),"")</f>
        <v/>
      </c>
      <c r="AC456" s="39" t="str">
        <f t="array" ref="AC456">IFERROR(INDEX(Bids!$AB:$AB, MATCH(C456&amp;"|"&amp;B456, Bids!$AD:$AD,0)),"")</f>
        <v/>
      </c>
      <c r="AD456" s="39" t="str">
        <f t="array" ref="AD456">IFERROR(INDEX(Bids!$AC:$AC, MATCH(C456&amp;"|"&amp;B456, Bids!$AD:$AD,0)), H456)</f>
        <v/>
      </c>
      <c r="AE456" s="39"/>
      <c r="AG456" s="39"/>
      <c r="AH456" s="39" t="str">
        <f t="shared" si="5"/>
        <v/>
      </c>
      <c r="AI456" s="39" t="str">
        <f t="shared" si="6"/>
        <v/>
      </c>
      <c r="AM456" s="39" t="str">
        <f t="array" ref="AM456">IF(C456="","",IFERROR(XLOOKUP(C456,Orders!$A:$A,Orders!$E:$E,""),""))</f>
        <v/>
      </c>
      <c r="AN456" s="39" t="str">
        <f t="shared" si="7"/>
        <v/>
      </c>
      <c r="AO456" s="39" t="str">
        <f t="shared" si="8"/>
        <v/>
      </c>
      <c r="AP456" s="39" t="str">
        <f t="shared" si="9"/>
        <v/>
      </c>
      <c r="AQ456" s="39" t="str">
        <f t="shared" si="10"/>
        <v/>
      </c>
      <c r="AR456" s="39" t="str">
        <f t="shared" si="11"/>
        <v/>
      </c>
      <c r="AS456" s="39" t="str">
        <f t="shared" si="12"/>
        <v/>
      </c>
      <c r="AT456" s="39" t="str">
        <f t="shared" si="13"/>
        <v/>
      </c>
      <c r="AU456" s="39" t="str">
        <f t="shared" si="14"/>
        <v/>
      </c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 t="str">
        <f t="shared" si="1"/>
        <v/>
      </c>
      <c r="J457" s="22" t="str">
        <f t="shared" si="2"/>
        <v/>
      </c>
      <c r="K457" s="22"/>
      <c r="L457" s="22"/>
      <c r="M457" s="22"/>
      <c r="N457" s="22"/>
      <c r="O457" s="22"/>
      <c r="P457" s="22" t="str">
        <f t="shared" si="4"/>
        <v/>
      </c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39" t="str">
        <f t="array" ref="AB457">IFERROR(INDEX(Bids!$AA:$AA, MATCH(C457&amp;"|"&amp;B457, Bids!$AD:$AD,0)),"")</f>
        <v/>
      </c>
      <c r="AC457" s="39" t="str">
        <f t="array" ref="AC457">IFERROR(INDEX(Bids!$AB:$AB, MATCH(C457&amp;"|"&amp;B457, Bids!$AD:$AD,0)),"")</f>
        <v/>
      </c>
      <c r="AD457" s="39" t="str">
        <f t="array" ref="AD457">IFERROR(INDEX(Bids!$AC:$AC, MATCH(C457&amp;"|"&amp;B457, Bids!$AD:$AD,0)), H457)</f>
        <v/>
      </c>
      <c r="AE457" s="39"/>
      <c r="AG457" s="39"/>
      <c r="AH457" s="39" t="str">
        <f t="shared" si="5"/>
        <v/>
      </c>
      <c r="AI457" s="39" t="str">
        <f t="shared" si="6"/>
        <v/>
      </c>
      <c r="AM457" s="39" t="str">
        <f t="array" ref="AM457">IF(C457="","",IFERROR(XLOOKUP(C457,Orders!$A:$A,Orders!$E:$E,""),""))</f>
        <v/>
      </c>
      <c r="AN457" s="39" t="str">
        <f t="shared" si="7"/>
        <v/>
      </c>
      <c r="AO457" s="39" t="str">
        <f t="shared" si="8"/>
        <v/>
      </c>
      <c r="AP457" s="39" t="str">
        <f t="shared" si="9"/>
        <v/>
      </c>
      <c r="AQ457" s="39" t="str">
        <f t="shared" si="10"/>
        <v/>
      </c>
      <c r="AR457" s="39" t="str">
        <f t="shared" si="11"/>
        <v/>
      </c>
      <c r="AS457" s="39" t="str">
        <f t="shared" si="12"/>
        <v/>
      </c>
      <c r="AT457" s="39" t="str">
        <f t="shared" si="13"/>
        <v/>
      </c>
      <c r="AU457" s="39" t="str">
        <f t="shared" si="14"/>
        <v/>
      </c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 t="str">
        <f t="shared" si="1"/>
        <v/>
      </c>
      <c r="J458" s="22" t="str">
        <f t="shared" si="2"/>
        <v/>
      </c>
      <c r="K458" s="22"/>
      <c r="L458" s="22"/>
      <c r="M458" s="22"/>
      <c r="N458" s="22"/>
      <c r="O458" s="22"/>
      <c r="P458" s="22" t="str">
        <f t="shared" si="4"/>
        <v/>
      </c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39" t="str">
        <f t="array" ref="AB458">IFERROR(INDEX(Bids!$AA:$AA, MATCH(C458&amp;"|"&amp;B458, Bids!$AD:$AD,0)),"")</f>
        <v/>
      </c>
      <c r="AC458" s="39" t="str">
        <f t="array" ref="AC458">IFERROR(INDEX(Bids!$AB:$AB, MATCH(C458&amp;"|"&amp;B458, Bids!$AD:$AD,0)),"")</f>
        <v/>
      </c>
      <c r="AD458" s="39" t="str">
        <f t="array" ref="AD458">IFERROR(INDEX(Bids!$AC:$AC, MATCH(C458&amp;"|"&amp;B458, Bids!$AD:$AD,0)), H458)</f>
        <v/>
      </c>
      <c r="AE458" s="39"/>
      <c r="AG458" s="39"/>
      <c r="AH458" s="39" t="str">
        <f t="shared" si="5"/>
        <v/>
      </c>
      <c r="AI458" s="39" t="str">
        <f t="shared" si="6"/>
        <v/>
      </c>
      <c r="AM458" s="39" t="str">
        <f t="array" ref="AM458">IF(C458="","",IFERROR(XLOOKUP(C458,Orders!$A:$A,Orders!$E:$E,""),""))</f>
        <v/>
      </c>
      <c r="AN458" s="39" t="str">
        <f t="shared" si="7"/>
        <v/>
      </c>
      <c r="AO458" s="39" t="str">
        <f t="shared" si="8"/>
        <v/>
      </c>
      <c r="AP458" s="39" t="str">
        <f t="shared" si="9"/>
        <v/>
      </c>
      <c r="AQ458" s="39" t="str">
        <f t="shared" si="10"/>
        <v/>
      </c>
      <c r="AR458" s="39" t="str">
        <f t="shared" si="11"/>
        <v/>
      </c>
      <c r="AS458" s="39" t="str">
        <f t="shared" si="12"/>
        <v/>
      </c>
      <c r="AT458" s="39" t="str">
        <f t="shared" si="13"/>
        <v/>
      </c>
      <c r="AU458" s="39" t="str">
        <f t="shared" si="14"/>
        <v/>
      </c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 t="str">
        <f t="shared" si="1"/>
        <v/>
      </c>
      <c r="J459" s="22" t="str">
        <f t="shared" si="2"/>
        <v/>
      </c>
      <c r="K459" s="22"/>
      <c r="L459" s="22"/>
      <c r="M459" s="22"/>
      <c r="N459" s="22"/>
      <c r="O459" s="22"/>
      <c r="P459" s="22" t="str">
        <f t="shared" si="4"/>
        <v/>
      </c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39" t="str">
        <f t="array" ref="AB459">IFERROR(INDEX(Bids!$AA:$AA, MATCH(C459&amp;"|"&amp;B459, Bids!$AD:$AD,0)),"")</f>
        <v/>
      </c>
      <c r="AC459" s="39" t="str">
        <f t="array" ref="AC459">IFERROR(INDEX(Bids!$AB:$AB, MATCH(C459&amp;"|"&amp;B459, Bids!$AD:$AD,0)),"")</f>
        <v/>
      </c>
      <c r="AD459" s="39" t="str">
        <f t="array" ref="AD459">IFERROR(INDEX(Bids!$AC:$AC, MATCH(C459&amp;"|"&amp;B459, Bids!$AD:$AD,0)), H459)</f>
        <v/>
      </c>
      <c r="AE459" s="39"/>
      <c r="AG459" s="39"/>
      <c r="AH459" s="39" t="str">
        <f t="shared" si="5"/>
        <v/>
      </c>
      <c r="AI459" s="39" t="str">
        <f t="shared" si="6"/>
        <v/>
      </c>
      <c r="AM459" s="39" t="str">
        <f t="array" ref="AM459">IF(C459="","",IFERROR(XLOOKUP(C459,Orders!$A:$A,Orders!$E:$E,""),""))</f>
        <v/>
      </c>
      <c r="AN459" s="39" t="str">
        <f t="shared" si="7"/>
        <v/>
      </c>
      <c r="AO459" s="39" t="str">
        <f t="shared" si="8"/>
        <v/>
      </c>
      <c r="AP459" s="39" t="str">
        <f t="shared" si="9"/>
        <v/>
      </c>
      <c r="AQ459" s="39" t="str">
        <f t="shared" si="10"/>
        <v/>
      </c>
      <c r="AR459" s="39" t="str">
        <f t="shared" si="11"/>
        <v/>
      </c>
      <c r="AS459" s="39" t="str">
        <f t="shared" si="12"/>
        <v/>
      </c>
      <c r="AT459" s="39" t="str">
        <f t="shared" si="13"/>
        <v/>
      </c>
      <c r="AU459" s="39" t="str">
        <f t="shared" si="14"/>
        <v/>
      </c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 t="str">
        <f t="shared" si="1"/>
        <v/>
      </c>
      <c r="J460" s="22" t="str">
        <f t="shared" si="2"/>
        <v/>
      </c>
      <c r="K460" s="22"/>
      <c r="L460" s="22"/>
      <c r="M460" s="22"/>
      <c r="N460" s="22"/>
      <c r="O460" s="22"/>
      <c r="P460" s="22" t="str">
        <f t="shared" si="4"/>
        <v/>
      </c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39" t="str">
        <f t="array" ref="AB460">IFERROR(INDEX(Bids!$AA:$AA, MATCH(C460&amp;"|"&amp;B460, Bids!$AD:$AD,0)),"")</f>
        <v/>
      </c>
      <c r="AC460" s="39" t="str">
        <f t="array" ref="AC460">IFERROR(INDEX(Bids!$AB:$AB, MATCH(C460&amp;"|"&amp;B460, Bids!$AD:$AD,0)),"")</f>
        <v/>
      </c>
      <c r="AD460" s="39" t="str">
        <f t="array" ref="AD460">IFERROR(INDEX(Bids!$AC:$AC, MATCH(C460&amp;"|"&amp;B460, Bids!$AD:$AD,0)), H460)</f>
        <v/>
      </c>
      <c r="AE460" s="39"/>
      <c r="AG460" s="39"/>
      <c r="AH460" s="39" t="str">
        <f t="shared" si="5"/>
        <v/>
      </c>
      <c r="AI460" s="39" t="str">
        <f t="shared" si="6"/>
        <v/>
      </c>
      <c r="AM460" s="39" t="str">
        <f t="array" ref="AM460">IF(C460="","",IFERROR(XLOOKUP(C460,Orders!$A:$A,Orders!$E:$E,""),""))</f>
        <v/>
      </c>
      <c r="AN460" s="39" t="str">
        <f t="shared" si="7"/>
        <v/>
      </c>
      <c r="AO460" s="39" t="str">
        <f t="shared" si="8"/>
        <v/>
      </c>
      <c r="AP460" s="39" t="str">
        <f t="shared" si="9"/>
        <v/>
      </c>
      <c r="AQ460" s="39" t="str">
        <f t="shared" si="10"/>
        <v/>
      </c>
      <c r="AR460" s="39" t="str">
        <f t="shared" si="11"/>
        <v/>
      </c>
      <c r="AS460" s="39" t="str">
        <f t="shared" si="12"/>
        <v/>
      </c>
      <c r="AT460" s="39" t="str">
        <f t="shared" si="13"/>
        <v/>
      </c>
      <c r="AU460" s="39" t="str">
        <f t="shared" si="14"/>
        <v/>
      </c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 t="str">
        <f t="shared" si="1"/>
        <v/>
      </c>
      <c r="J461" s="22" t="str">
        <f t="shared" si="2"/>
        <v/>
      </c>
      <c r="K461" s="22"/>
      <c r="L461" s="22"/>
      <c r="M461" s="22"/>
      <c r="N461" s="22"/>
      <c r="O461" s="22"/>
      <c r="P461" s="22" t="str">
        <f t="shared" si="4"/>
        <v/>
      </c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39" t="str">
        <f t="array" ref="AB461">IFERROR(INDEX(Bids!$AA:$AA, MATCH(C461&amp;"|"&amp;B461, Bids!$AD:$AD,0)),"")</f>
        <v/>
      </c>
      <c r="AC461" s="39" t="str">
        <f t="array" ref="AC461">IFERROR(INDEX(Bids!$AB:$AB, MATCH(C461&amp;"|"&amp;B461, Bids!$AD:$AD,0)),"")</f>
        <v/>
      </c>
      <c r="AD461" s="39" t="str">
        <f t="array" ref="AD461">IFERROR(INDEX(Bids!$AC:$AC, MATCH(C461&amp;"|"&amp;B461, Bids!$AD:$AD,0)), H461)</f>
        <v/>
      </c>
      <c r="AE461" s="39"/>
      <c r="AG461" s="39"/>
      <c r="AH461" s="39" t="str">
        <f t="shared" si="5"/>
        <v/>
      </c>
      <c r="AI461" s="39" t="str">
        <f t="shared" si="6"/>
        <v/>
      </c>
      <c r="AM461" s="39" t="str">
        <f t="array" ref="AM461">IF(C461="","",IFERROR(XLOOKUP(C461,Orders!$A:$A,Orders!$E:$E,""),""))</f>
        <v/>
      </c>
      <c r="AN461" s="39" t="str">
        <f t="shared" si="7"/>
        <v/>
      </c>
      <c r="AO461" s="39" t="str">
        <f t="shared" si="8"/>
        <v/>
      </c>
      <c r="AP461" s="39" t="str">
        <f t="shared" si="9"/>
        <v/>
      </c>
      <c r="AQ461" s="39" t="str">
        <f t="shared" si="10"/>
        <v/>
      </c>
      <c r="AR461" s="39" t="str">
        <f t="shared" si="11"/>
        <v/>
      </c>
      <c r="AS461" s="39" t="str">
        <f t="shared" si="12"/>
        <v/>
      </c>
      <c r="AT461" s="39" t="str">
        <f t="shared" si="13"/>
        <v/>
      </c>
      <c r="AU461" s="39" t="str">
        <f t="shared" si="14"/>
        <v/>
      </c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 t="str">
        <f t="shared" si="1"/>
        <v/>
      </c>
      <c r="J462" s="22" t="str">
        <f t="shared" si="2"/>
        <v/>
      </c>
      <c r="K462" s="22"/>
      <c r="L462" s="22"/>
      <c r="M462" s="22"/>
      <c r="N462" s="22"/>
      <c r="O462" s="22"/>
      <c r="P462" s="22" t="str">
        <f t="shared" si="4"/>
        <v/>
      </c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39" t="str">
        <f t="array" ref="AB462">IFERROR(INDEX(Bids!$AA:$AA, MATCH(C462&amp;"|"&amp;B462, Bids!$AD:$AD,0)),"")</f>
        <v/>
      </c>
      <c r="AC462" s="39" t="str">
        <f t="array" ref="AC462">IFERROR(INDEX(Bids!$AB:$AB, MATCH(C462&amp;"|"&amp;B462, Bids!$AD:$AD,0)),"")</f>
        <v/>
      </c>
      <c r="AD462" s="39" t="str">
        <f t="array" ref="AD462">IFERROR(INDEX(Bids!$AC:$AC, MATCH(C462&amp;"|"&amp;B462, Bids!$AD:$AD,0)), H462)</f>
        <v/>
      </c>
      <c r="AE462" s="39"/>
      <c r="AG462" s="39"/>
      <c r="AH462" s="39" t="str">
        <f t="shared" si="5"/>
        <v/>
      </c>
      <c r="AI462" s="39" t="str">
        <f t="shared" si="6"/>
        <v/>
      </c>
      <c r="AM462" s="39" t="str">
        <f t="array" ref="AM462">IF(C462="","",IFERROR(XLOOKUP(C462,Orders!$A:$A,Orders!$E:$E,""),""))</f>
        <v/>
      </c>
      <c r="AN462" s="39" t="str">
        <f t="shared" si="7"/>
        <v/>
      </c>
      <c r="AO462" s="39" t="str">
        <f t="shared" si="8"/>
        <v/>
      </c>
      <c r="AP462" s="39" t="str">
        <f t="shared" si="9"/>
        <v/>
      </c>
      <c r="AQ462" s="39" t="str">
        <f t="shared" si="10"/>
        <v/>
      </c>
      <c r="AR462" s="39" t="str">
        <f t="shared" si="11"/>
        <v/>
      </c>
      <c r="AS462" s="39" t="str">
        <f t="shared" si="12"/>
        <v/>
      </c>
      <c r="AT462" s="39" t="str">
        <f t="shared" si="13"/>
        <v/>
      </c>
      <c r="AU462" s="39" t="str">
        <f t="shared" si="14"/>
        <v/>
      </c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 t="str">
        <f t="shared" si="1"/>
        <v/>
      </c>
      <c r="J463" s="22" t="str">
        <f t="shared" si="2"/>
        <v/>
      </c>
      <c r="K463" s="22"/>
      <c r="L463" s="22"/>
      <c r="M463" s="22"/>
      <c r="N463" s="22"/>
      <c r="O463" s="22"/>
      <c r="P463" s="22" t="str">
        <f t="shared" si="4"/>
        <v/>
      </c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39" t="str">
        <f t="array" ref="AB463">IFERROR(INDEX(Bids!$AA:$AA, MATCH(C463&amp;"|"&amp;B463, Bids!$AD:$AD,0)),"")</f>
        <v/>
      </c>
      <c r="AC463" s="39" t="str">
        <f t="array" ref="AC463">IFERROR(INDEX(Bids!$AB:$AB, MATCH(C463&amp;"|"&amp;B463, Bids!$AD:$AD,0)),"")</f>
        <v/>
      </c>
      <c r="AD463" s="39" t="str">
        <f t="array" ref="AD463">IFERROR(INDEX(Bids!$AC:$AC, MATCH(C463&amp;"|"&amp;B463, Bids!$AD:$AD,0)), H463)</f>
        <v/>
      </c>
      <c r="AE463" s="39"/>
      <c r="AG463" s="39"/>
      <c r="AH463" s="39" t="str">
        <f t="shared" si="5"/>
        <v/>
      </c>
      <c r="AI463" s="39" t="str">
        <f t="shared" si="6"/>
        <v/>
      </c>
      <c r="AM463" s="39" t="str">
        <f t="array" ref="AM463">IF(C463="","",IFERROR(XLOOKUP(C463,Orders!$A:$A,Orders!$E:$E,""),""))</f>
        <v/>
      </c>
      <c r="AN463" s="39" t="str">
        <f t="shared" si="7"/>
        <v/>
      </c>
      <c r="AO463" s="39" t="str">
        <f t="shared" si="8"/>
        <v/>
      </c>
      <c r="AP463" s="39" t="str">
        <f t="shared" si="9"/>
        <v/>
      </c>
      <c r="AQ463" s="39" t="str">
        <f t="shared" si="10"/>
        <v/>
      </c>
      <c r="AR463" s="39" t="str">
        <f t="shared" si="11"/>
        <v/>
      </c>
      <c r="AS463" s="39" t="str">
        <f t="shared" si="12"/>
        <v/>
      </c>
      <c r="AT463" s="39" t="str">
        <f t="shared" si="13"/>
        <v/>
      </c>
      <c r="AU463" s="39" t="str">
        <f t="shared" si="14"/>
        <v/>
      </c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 t="str">
        <f t="shared" si="1"/>
        <v/>
      </c>
      <c r="J464" s="22" t="str">
        <f t="shared" si="2"/>
        <v/>
      </c>
      <c r="K464" s="22"/>
      <c r="L464" s="22"/>
      <c r="M464" s="22"/>
      <c r="N464" s="22"/>
      <c r="O464" s="22"/>
      <c r="P464" s="22" t="str">
        <f t="shared" si="4"/>
        <v/>
      </c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39" t="str">
        <f t="array" ref="AB464">IFERROR(INDEX(Bids!$AA:$AA, MATCH(C464&amp;"|"&amp;B464, Bids!$AD:$AD,0)),"")</f>
        <v/>
      </c>
      <c r="AC464" s="39" t="str">
        <f t="array" ref="AC464">IFERROR(INDEX(Bids!$AB:$AB, MATCH(C464&amp;"|"&amp;B464, Bids!$AD:$AD,0)),"")</f>
        <v/>
      </c>
      <c r="AD464" s="39" t="str">
        <f t="array" ref="AD464">IFERROR(INDEX(Bids!$AC:$AC, MATCH(C464&amp;"|"&amp;B464, Bids!$AD:$AD,0)), H464)</f>
        <v/>
      </c>
      <c r="AE464" s="39"/>
      <c r="AG464" s="39"/>
      <c r="AH464" s="39" t="str">
        <f t="shared" si="5"/>
        <v/>
      </c>
      <c r="AI464" s="39" t="str">
        <f t="shared" si="6"/>
        <v/>
      </c>
      <c r="AM464" s="39" t="str">
        <f t="array" ref="AM464">IF(C464="","",IFERROR(XLOOKUP(C464,Orders!$A:$A,Orders!$E:$E,""),""))</f>
        <v/>
      </c>
      <c r="AN464" s="39" t="str">
        <f t="shared" si="7"/>
        <v/>
      </c>
      <c r="AO464" s="39" t="str">
        <f t="shared" si="8"/>
        <v/>
      </c>
      <c r="AP464" s="39" t="str">
        <f t="shared" si="9"/>
        <v/>
      </c>
      <c r="AQ464" s="39" t="str">
        <f t="shared" si="10"/>
        <v/>
      </c>
      <c r="AR464" s="39" t="str">
        <f t="shared" si="11"/>
        <v/>
      </c>
      <c r="AS464" s="39" t="str">
        <f t="shared" si="12"/>
        <v/>
      </c>
      <c r="AT464" s="39" t="str">
        <f t="shared" si="13"/>
        <v/>
      </c>
      <c r="AU464" s="39" t="str">
        <f t="shared" si="14"/>
        <v/>
      </c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 t="str">
        <f t="shared" si="1"/>
        <v/>
      </c>
      <c r="J465" s="22" t="str">
        <f t="shared" si="2"/>
        <v/>
      </c>
      <c r="K465" s="22"/>
      <c r="L465" s="22"/>
      <c r="M465" s="22"/>
      <c r="N465" s="22"/>
      <c r="O465" s="22"/>
      <c r="P465" s="22" t="str">
        <f t="shared" si="4"/>
        <v/>
      </c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39" t="str">
        <f t="array" ref="AB465">IFERROR(INDEX(Bids!$AA:$AA, MATCH(C465&amp;"|"&amp;B465, Bids!$AD:$AD,0)),"")</f>
        <v/>
      </c>
      <c r="AC465" s="39" t="str">
        <f t="array" ref="AC465">IFERROR(INDEX(Bids!$AB:$AB, MATCH(C465&amp;"|"&amp;B465, Bids!$AD:$AD,0)),"")</f>
        <v/>
      </c>
      <c r="AD465" s="39" t="str">
        <f t="array" ref="AD465">IFERROR(INDEX(Bids!$AC:$AC, MATCH(C465&amp;"|"&amp;B465, Bids!$AD:$AD,0)), H465)</f>
        <v/>
      </c>
      <c r="AE465" s="39"/>
      <c r="AG465" s="39"/>
      <c r="AH465" s="39" t="str">
        <f t="shared" si="5"/>
        <v/>
      </c>
      <c r="AI465" s="39" t="str">
        <f t="shared" si="6"/>
        <v/>
      </c>
      <c r="AM465" s="39" t="str">
        <f t="array" ref="AM465">IF(C465="","",IFERROR(XLOOKUP(C465,Orders!$A:$A,Orders!$E:$E,""),""))</f>
        <v/>
      </c>
      <c r="AN465" s="39" t="str">
        <f t="shared" si="7"/>
        <v/>
      </c>
      <c r="AO465" s="39" t="str">
        <f t="shared" si="8"/>
        <v/>
      </c>
      <c r="AP465" s="39" t="str">
        <f t="shared" si="9"/>
        <v/>
      </c>
      <c r="AQ465" s="39" t="str">
        <f t="shared" si="10"/>
        <v/>
      </c>
      <c r="AR465" s="39" t="str">
        <f t="shared" si="11"/>
        <v/>
      </c>
      <c r="AS465" s="39" t="str">
        <f t="shared" si="12"/>
        <v/>
      </c>
      <c r="AT465" s="39" t="str">
        <f t="shared" si="13"/>
        <v/>
      </c>
      <c r="AU465" s="39" t="str">
        <f t="shared" si="14"/>
        <v/>
      </c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 t="str">
        <f t="shared" si="1"/>
        <v/>
      </c>
      <c r="J466" s="22" t="str">
        <f t="shared" si="2"/>
        <v/>
      </c>
      <c r="K466" s="22"/>
      <c r="L466" s="22"/>
      <c r="M466" s="22"/>
      <c r="N466" s="22"/>
      <c r="O466" s="22"/>
      <c r="P466" s="22" t="str">
        <f t="shared" si="4"/>
        <v/>
      </c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39" t="str">
        <f t="array" ref="AB466">IFERROR(INDEX(Bids!$AA:$AA, MATCH(C466&amp;"|"&amp;B466, Bids!$AD:$AD,0)),"")</f>
        <v/>
      </c>
      <c r="AC466" s="39" t="str">
        <f t="array" ref="AC466">IFERROR(INDEX(Bids!$AB:$AB, MATCH(C466&amp;"|"&amp;B466, Bids!$AD:$AD,0)),"")</f>
        <v/>
      </c>
      <c r="AD466" s="39" t="str">
        <f t="array" ref="AD466">IFERROR(INDEX(Bids!$AC:$AC, MATCH(C466&amp;"|"&amp;B466, Bids!$AD:$AD,0)), H466)</f>
        <v/>
      </c>
      <c r="AE466" s="39"/>
      <c r="AG466" s="39"/>
      <c r="AH466" s="39" t="str">
        <f t="shared" si="5"/>
        <v/>
      </c>
      <c r="AI466" s="39" t="str">
        <f t="shared" si="6"/>
        <v/>
      </c>
      <c r="AM466" s="39" t="str">
        <f t="array" ref="AM466">IF(C466="","",IFERROR(XLOOKUP(C466,Orders!$A:$A,Orders!$E:$E,""),""))</f>
        <v/>
      </c>
      <c r="AN466" s="39" t="str">
        <f t="shared" si="7"/>
        <v/>
      </c>
      <c r="AO466" s="39" t="str">
        <f t="shared" si="8"/>
        <v/>
      </c>
      <c r="AP466" s="39" t="str">
        <f t="shared" si="9"/>
        <v/>
      </c>
      <c r="AQ466" s="39" t="str">
        <f t="shared" si="10"/>
        <v/>
      </c>
      <c r="AR466" s="39" t="str">
        <f t="shared" si="11"/>
        <v/>
      </c>
      <c r="AS466" s="39" t="str">
        <f t="shared" si="12"/>
        <v/>
      </c>
      <c r="AT466" s="39" t="str">
        <f t="shared" si="13"/>
        <v/>
      </c>
      <c r="AU466" s="39" t="str">
        <f t="shared" si="14"/>
        <v/>
      </c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 t="str">
        <f t="shared" si="1"/>
        <v/>
      </c>
      <c r="J467" s="22" t="str">
        <f t="shared" si="2"/>
        <v/>
      </c>
      <c r="K467" s="22"/>
      <c r="L467" s="22"/>
      <c r="M467" s="22"/>
      <c r="N467" s="22"/>
      <c r="O467" s="22"/>
      <c r="P467" s="22" t="str">
        <f t="shared" si="4"/>
        <v/>
      </c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39" t="str">
        <f t="array" ref="AB467">IFERROR(INDEX(Bids!$AA:$AA, MATCH(C467&amp;"|"&amp;B467, Bids!$AD:$AD,0)),"")</f>
        <v/>
      </c>
      <c r="AC467" s="39" t="str">
        <f t="array" ref="AC467">IFERROR(INDEX(Bids!$AB:$AB, MATCH(C467&amp;"|"&amp;B467, Bids!$AD:$AD,0)),"")</f>
        <v/>
      </c>
      <c r="AD467" s="39" t="str">
        <f t="array" ref="AD467">IFERROR(INDEX(Bids!$AC:$AC, MATCH(C467&amp;"|"&amp;B467, Bids!$AD:$AD,0)), H467)</f>
        <v/>
      </c>
      <c r="AE467" s="39"/>
      <c r="AG467" s="39"/>
      <c r="AH467" s="39" t="str">
        <f t="shared" si="5"/>
        <v/>
      </c>
      <c r="AI467" s="39" t="str">
        <f t="shared" si="6"/>
        <v/>
      </c>
      <c r="AM467" s="39" t="str">
        <f t="array" ref="AM467">IF(C467="","",IFERROR(XLOOKUP(C467,Orders!$A:$A,Orders!$E:$E,""),""))</f>
        <v/>
      </c>
      <c r="AN467" s="39" t="str">
        <f t="shared" si="7"/>
        <v/>
      </c>
      <c r="AO467" s="39" t="str">
        <f t="shared" si="8"/>
        <v/>
      </c>
      <c r="AP467" s="39" t="str">
        <f t="shared" si="9"/>
        <v/>
      </c>
      <c r="AQ467" s="39" t="str">
        <f t="shared" si="10"/>
        <v/>
      </c>
      <c r="AR467" s="39" t="str">
        <f t="shared" si="11"/>
        <v/>
      </c>
      <c r="AS467" s="39" t="str">
        <f t="shared" si="12"/>
        <v/>
      </c>
      <c r="AT467" s="39" t="str">
        <f t="shared" si="13"/>
        <v/>
      </c>
      <c r="AU467" s="39" t="str">
        <f t="shared" si="14"/>
        <v/>
      </c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 t="str">
        <f t="shared" si="1"/>
        <v/>
      </c>
      <c r="J468" s="22" t="str">
        <f t="shared" si="2"/>
        <v/>
      </c>
      <c r="K468" s="22"/>
      <c r="L468" s="22"/>
      <c r="M468" s="22"/>
      <c r="N468" s="22"/>
      <c r="O468" s="22"/>
      <c r="P468" s="22" t="str">
        <f t="shared" si="4"/>
        <v/>
      </c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39" t="str">
        <f t="array" ref="AB468">IFERROR(INDEX(Bids!$AA:$AA, MATCH(C468&amp;"|"&amp;B468, Bids!$AD:$AD,0)),"")</f>
        <v/>
      </c>
      <c r="AC468" s="39" t="str">
        <f t="array" ref="AC468">IFERROR(INDEX(Bids!$AB:$AB, MATCH(C468&amp;"|"&amp;B468, Bids!$AD:$AD,0)),"")</f>
        <v/>
      </c>
      <c r="AD468" s="39" t="str">
        <f t="array" ref="AD468">IFERROR(INDEX(Bids!$AC:$AC, MATCH(C468&amp;"|"&amp;B468, Bids!$AD:$AD,0)), H468)</f>
        <v/>
      </c>
      <c r="AE468" s="39"/>
      <c r="AG468" s="39"/>
      <c r="AH468" s="39" t="str">
        <f t="shared" si="5"/>
        <v/>
      </c>
      <c r="AI468" s="39" t="str">
        <f t="shared" si="6"/>
        <v/>
      </c>
      <c r="AM468" s="39" t="str">
        <f t="array" ref="AM468">IF(C468="","",IFERROR(XLOOKUP(C468,Orders!$A:$A,Orders!$E:$E,""),""))</f>
        <v/>
      </c>
      <c r="AN468" s="39" t="str">
        <f t="shared" si="7"/>
        <v/>
      </c>
      <c r="AO468" s="39" t="str">
        <f t="shared" si="8"/>
        <v/>
      </c>
      <c r="AP468" s="39" t="str">
        <f t="shared" si="9"/>
        <v/>
      </c>
      <c r="AQ468" s="39" t="str">
        <f t="shared" si="10"/>
        <v/>
      </c>
      <c r="AR468" s="39" t="str">
        <f t="shared" si="11"/>
        <v/>
      </c>
      <c r="AS468" s="39" t="str">
        <f t="shared" si="12"/>
        <v/>
      </c>
      <c r="AT468" s="39" t="str">
        <f t="shared" si="13"/>
        <v/>
      </c>
      <c r="AU468" s="39" t="str">
        <f t="shared" si="14"/>
        <v/>
      </c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 t="str">
        <f t="shared" si="1"/>
        <v/>
      </c>
      <c r="J469" s="22" t="str">
        <f t="shared" si="2"/>
        <v/>
      </c>
      <c r="K469" s="22"/>
      <c r="L469" s="22"/>
      <c r="M469" s="22"/>
      <c r="N469" s="22"/>
      <c r="O469" s="22"/>
      <c r="P469" s="22" t="str">
        <f t="shared" si="4"/>
        <v/>
      </c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39" t="str">
        <f t="array" ref="AB469">IFERROR(INDEX(Bids!$AA:$AA, MATCH(C469&amp;"|"&amp;B469, Bids!$AD:$AD,0)),"")</f>
        <v/>
      </c>
      <c r="AC469" s="39" t="str">
        <f t="array" ref="AC469">IFERROR(INDEX(Bids!$AB:$AB, MATCH(C469&amp;"|"&amp;B469, Bids!$AD:$AD,0)),"")</f>
        <v/>
      </c>
      <c r="AD469" s="39" t="str">
        <f t="array" ref="AD469">IFERROR(INDEX(Bids!$AC:$AC, MATCH(C469&amp;"|"&amp;B469, Bids!$AD:$AD,0)), H469)</f>
        <v/>
      </c>
      <c r="AE469" s="39"/>
      <c r="AG469" s="39"/>
      <c r="AH469" s="39" t="str">
        <f t="shared" si="5"/>
        <v/>
      </c>
      <c r="AI469" s="39" t="str">
        <f t="shared" si="6"/>
        <v/>
      </c>
      <c r="AM469" s="39" t="str">
        <f t="array" ref="AM469">IF(C469="","",IFERROR(XLOOKUP(C469,Orders!$A:$A,Orders!$E:$E,""),""))</f>
        <v/>
      </c>
      <c r="AN469" s="39" t="str">
        <f t="shared" si="7"/>
        <v/>
      </c>
      <c r="AO469" s="39" t="str">
        <f t="shared" si="8"/>
        <v/>
      </c>
      <c r="AP469" s="39" t="str">
        <f t="shared" si="9"/>
        <v/>
      </c>
      <c r="AQ469" s="39" t="str">
        <f t="shared" si="10"/>
        <v/>
      </c>
      <c r="AR469" s="39" t="str">
        <f t="shared" si="11"/>
        <v/>
      </c>
      <c r="AS469" s="39" t="str">
        <f t="shared" si="12"/>
        <v/>
      </c>
      <c r="AT469" s="39" t="str">
        <f t="shared" si="13"/>
        <v/>
      </c>
      <c r="AU469" s="39" t="str">
        <f t="shared" si="14"/>
        <v/>
      </c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 t="str">
        <f t="shared" si="1"/>
        <v/>
      </c>
      <c r="J470" s="22" t="str">
        <f t="shared" si="2"/>
        <v/>
      </c>
      <c r="K470" s="22"/>
      <c r="L470" s="22"/>
      <c r="M470" s="22"/>
      <c r="N470" s="22"/>
      <c r="O470" s="22"/>
      <c r="P470" s="22" t="str">
        <f t="shared" si="4"/>
        <v/>
      </c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39" t="str">
        <f t="array" ref="AB470">IFERROR(INDEX(Bids!$AA:$AA, MATCH(C470&amp;"|"&amp;B470, Bids!$AD:$AD,0)),"")</f>
        <v/>
      </c>
      <c r="AC470" s="39" t="str">
        <f t="array" ref="AC470">IFERROR(INDEX(Bids!$AB:$AB, MATCH(C470&amp;"|"&amp;B470, Bids!$AD:$AD,0)),"")</f>
        <v/>
      </c>
      <c r="AD470" s="39" t="str">
        <f t="array" ref="AD470">IFERROR(INDEX(Bids!$AC:$AC, MATCH(C470&amp;"|"&amp;B470, Bids!$AD:$AD,0)), H470)</f>
        <v/>
      </c>
      <c r="AE470" s="39"/>
      <c r="AG470" s="39"/>
      <c r="AH470" s="39" t="str">
        <f t="shared" si="5"/>
        <v/>
      </c>
      <c r="AI470" s="39" t="str">
        <f t="shared" si="6"/>
        <v/>
      </c>
      <c r="AM470" s="39" t="str">
        <f t="array" ref="AM470">IF(C470="","",IFERROR(XLOOKUP(C470,Orders!$A:$A,Orders!$E:$E,""),""))</f>
        <v/>
      </c>
      <c r="AN470" s="39" t="str">
        <f t="shared" si="7"/>
        <v/>
      </c>
      <c r="AO470" s="39" t="str">
        <f t="shared" si="8"/>
        <v/>
      </c>
      <c r="AP470" s="39" t="str">
        <f t="shared" si="9"/>
        <v/>
      </c>
      <c r="AQ470" s="39" t="str">
        <f t="shared" si="10"/>
        <v/>
      </c>
      <c r="AR470" s="39" t="str">
        <f t="shared" si="11"/>
        <v/>
      </c>
      <c r="AS470" s="39" t="str">
        <f t="shared" si="12"/>
        <v/>
      </c>
      <c r="AT470" s="39" t="str">
        <f t="shared" si="13"/>
        <v/>
      </c>
      <c r="AU470" s="39" t="str">
        <f t="shared" si="14"/>
        <v/>
      </c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 t="str">
        <f t="shared" si="1"/>
        <v/>
      </c>
      <c r="J471" s="22" t="str">
        <f t="shared" si="2"/>
        <v/>
      </c>
      <c r="K471" s="22"/>
      <c r="L471" s="22"/>
      <c r="M471" s="22"/>
      <c r="N471" s="22"/>
      <c r="O471" s="22"/>
      <c r="P471" s="22" t="str">
        <f t="shared" si="4"/>
        <v/>
      </c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39" t="str">
        <f t="array" ref="AB471">IFERROR(INDEX(Bids!$AA:$AA, MATCH(C471&amp;"|"&amp;B471, Bids!$AD:$AD,0)),"")</f>
        <v/>
      </c>
      <c r="AC471" s="39" t="str">
        <f t="array" ref="AC471">IFERROR(INDEX(Bids!$AB:$AB, MATCH(C471&amp;"|"&amp;B471, Bids!$AD:$AD,0)),"")</f>
        <v/>
      </c>
      <c r="AD471" s="39" t="str">
        <f t="array" ref="AD471">IFERROR(INDEX(Bids!$AC:$AC, MATCH(C471&amp;"|"&amp;B471, Bids!$AD:$AD,0)), H471)</f>
        <v/>
      </c>
      <c r="AE471" s="39"/>
      <c r="AG471" s="39"/>
      <c r="AH471" s="39" t="str">
        <f t="shared" si="5"/>
        <v/>
      </c>
      <c r="AI471" s="39" t="str">
        <f t="shared" si="6"/>
        <v/>
      </c>
      <c r="AM471" s="39" t="str">
        <f t="array" ref="AM471">IF(C471="","",IFERROR(XLOOKUP(C471,Orders!$A:$A,Orders!$E:$E,""),""))</f>
        <v/>
      </c>
      <c r="AN471" s="39" t="str">
        <f t="shared" si="7"/>
        <v/>
      </c>
      <c r="AO471" s="39" t="str">
        <f t="shared" si="8"/>
        <v/>
      </c>
      <c r="AP471" s="39" t="str">
        <f t="shared" si="9"/>
        <v/>
      </c>
      <c r="AQ471" s="39" t="str">
        <f t="shared" si="10"/>
        <v/>
      </c>
      <c r="AR471" s="39" t="str">
        <f t="shared" si="11"/>
        <v/>
      </c>
      <c r="AS471" s="39" t="str">
        <f t="shared" si="12"/>
        <v/>
      </c>
      <c r="AT471" s="39" t="str">
        <f t="shared" si="13"/>
        <v/>
      </c>
      <c r="AU471" s="39" t="str">
        <f t="shared" si="14"/>
        <v/>
      </c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 t="str">
        <f t="shared" si="1"/>
        <v/>
      </c>
      <c r="J472" s="22" t="str">
        <f t="shared" si="2"/>
        <v/>
      </c>
      <c r="K472" s="22"/>
      <c r="L472" s="22"/>
      <c r="M472" s="22"/>
      <c r="N472" s="22"/>
      <c r="O472" s="22"/>
      <c r="P472" s="22" t="str">
        <f t="shared" si="4"/>
        <v/>
      </c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39" t="str">
        <f t="array" ref="AB472">IFERROR(INDEX(Bids!$AA:$AA, MATCH(C472&amp;"|"&amp;B472, Bids!$AD:$AD,0)),"")</f>
        <v/>
      </c>
      <c r="AC472" s="39" t="str">
        <f t="array" ref="AC472">IFERROR(INDEX(Bids!$AB:$AB, MATCH(C472&amp;"|"&amp;B472, Bids!$AD:$AD,0)),"")</f>
        <v/>
      </c>
      <c r="AD472" s="39" t="str">
        <f t="array" ref="AD472">IFERROR(INDEX(Bids!$AC:$AC, MATCH(C472&amp;"|"&amp;B472, Bids!$AD:$AD,0)), H472)</f>
        <v/>
      </c>
      <c r="AE472" s="39"/>
      <c r="AG472" s="39"/>
      <c r="AH472" s="39" t="str">
        <f t="shared" si="5"/>
        <v/>
      </c>
      <c r="AI472" s="39" t="str">
        <f t="shared" si="6"/>
        <v/>
      </c>
      <c r="AM472" s="39" t="str">
        <f t="array" ref="AM472">IF(C472="","",IFERROR(XLOOKUP(C472,Orders!$A:$A,Orders!$E:$E,""),""))</f>
        <v/>
      </c>
      <c r="AN472" s="39" t="str">
        <f t="shared" si="7"/>
        <v/>
      </c>
      <c r="AO472" s="39" t="str">
        <f t="shared" si="8"/>
        <v/>
      </c>
      <c r="AP472" s="39" t="str">
        <f t="shared" si="9"/>
        <v/>
      </c>
      <c r="AQ472" s="39" t="str">
        <f t="shared" si="10"/>
        <v/>
      </c>
      <c r="AR472" s="39" t="str">
        <f t="shared" si="11"/>
        <v/>
      </c>
      <c r="AS472" s="39" t="str">
        <f t="shared" si="12"/>
        <v/>
      </c>
      <c r="AT472" s="39" t="str">
        <f t="shared" si="13"/>
        <v/>
      </c>
      <c r="AU472" s="39" t="str">
        <f t="shared" si="14"/>
        <v/>
      </c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 t="str">
        <f t="shared" si="1"/>
        <v/>
      </c>
      <c r="J473" s="22" t="str">
        <f t="shared" si="2"/>
        <v/>
      </c>
      <c r="K473" s="22"/>
      <c r="L473" s="22"/>
      <c r="M473" s="22"/>
      <c r="N473" s="22"/>
      <c r="O473" s="22"/>
      <c r="P473" s="22" t="str">
        <f t="shared" si="4"/>
        <v/>
      </c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39" t="str">
        <f t="array" ref="AB473">IFERROR(INDEX(Bids!$AA:$AA, MATCH(C473&amp;"|"&amp;B473, Bids!$AD:$AD,0)),"")</f>
        <v/>
      </c>
      <c r="AC473" s="39" t="str">
        <f t="array" ref="AC473">IFERROR(INDEX(Bids!$AB:$AB, MATCH(C473&amp;"|"&amp;B473, Bids!$AD:$AD,0)),"")</f>
        <v/>
      </c>
      <c r="AD473" s="39" t="str">
        <f t="array" ref="AD473">IFERROR(INDEX(Bids!$AC:$AC, MATCH(C473&amp;"|"&amp;B473, Bids!$AD:$AD,0)), H473)</f>
        <v/>
      </c>
      <c r="AE473" s="39"/>
      <c r="AG473" s="39"/>
      <c r="AH473" s="39" t="str">
        <f t="shared" si="5"/>
        <v/>
      </c>
      <c r="AI473" s="39" t="str">
        <f t="shared" si="6"/>
        <v/>
      </c>
      <c r="AM473" s="39" t="str">
        <f t="array" ref="AM473">IF(C473="","",IFERROR(XLOOKUP(C473,Orders!$A:$A,Orders!$E:$E,""),""))</f>
        <v/>
      </c>
      <c r="AN473" s="39" t="str">
        <f t="shared" si="7"/>
        <v/>
      </c>
      <c r="AO473" s="39" t="str">
        <f t="shared" si="8"/>
        <v/>
      </c>
      <c r="AP473" s="39" t="str">
        <f t="shared" si="9"/>
        <v/>
      </c>
      <c r="AQ473" s="39" t="str">
        <f t="shared" si="10"/>
        <v/>
      </c>
      <c r="AR473" s="39" t="str">
        <f t="shared" si="11"/>
        <v/>
      </c>
      <c r="AS473" s="39" t="str">
        <f t="shared" si="12"/>
        <v/>
      </c>
      <c r="AT473" s="39" t="str">
        <f t="shared" si="13"/>
        <v/>
      </c>
      <c r="AU473" s="39" t="str">
        <f t="shared" si="14"/>
        <v/>
      </c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 t="str">
        <f t="shared" si="1"/>
        <v/>
      </c>
      <c r="J474" s="22" t="str">
        <f t="shared" si="2"/>
        <v/>
      </c>
      <c r="K474" s="22"/>
      <c r="L474" s="22"/>
      <c r="M474" s="22"/>
      <c r="N474" s="22"/>
      <c r="O474" s="22"/>
      <c r="P474" s="22" t="str">
        <f t="shared" si="4"/>
        <v/>
      </c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39" t="str">
        <f t="array" ref="AB474">IFERROR(INDEX(Bids!$AA:$AA, MATCH(C474&amp;"|"&amp;B474, Bids!$AD:$AD,0)),"")</f>
        <v/>
      </c>
      <c r="AC474" s="39" t="str">
        <f t="array" ref="AC474">IFERROR(INDEX(Bids!$AB:$AB, MATCH(C474&amp;"|"&amp;B474, Bids!$AD:$AD,0)),"")</f>
        <v/>
      </c>
      <c r="AD474" s="39" t="str">
        <f t="array" ref="AD474">IFERROR(INDEX(Bids!$AC:$AC, MATCH(C474&amp;"|"&amp;B474, Bids!$AD:$AD,0)), H474)</f>
        <v/>
      </c>
      <c r="AE474" s="39"/>
      <c r="AG474" s="39"/>
      <c r="AH474" s="39" t="str">
        <f t="shared" si="5"/>
        <v/>
      </c>
      <c r="AI474" s="39" t="str">
        <f t="shared" si="6"/>
        <v/>
      </c>
      <c r="AM474" s="39" t="str">
        <f t="array" ref="AM474">IF(C474="","",IFERROR(XLOOKUP(C474,Orders!$A:$A,Orders!$E:$E,""),""))</f>
        <v/>
      </c>
      <c r="AN474" s="39" t="str">
        <f t="shared" si="7"/>
        <v/>
      </c>
      <c r="AO474" s="39" t="str">
        <f t="shared" si="8"/>
        <v/>
      </c>
      <c r="AP474" s="39" t="str">
        <f t="shared" si="9"/>
        <v/>
      </c>
      <c r="AQ474" s="39" t="str">
        <f t="shared" si="10"/>
        <v/>
      </c>
      <c r="AR474" s="39" t="str">
        <f t="shared" si="11"/>
        <v/>
      </c>
      <c r="AS474" s="39" t="str">
        <f t="shared" si="12"/>
        <v/>
      </c>
      <c r="AT474" s="39" t="str">
        <f t="shared" si="13"/>
        <v/>
      </c>
      <c r="AU474" s="39" t="str">
        <f t="shared" si="14"/>
        <v/>
      </c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 t="str">
        <f t="shared" si="1"/>
        <v/>
      </c>
      <c r="J475" s="22" t="str">
        <f t="shared" si="2"/>
        <v/>
      </c>
      <c r="K475" s="22"/>
      <c r="L475" s="22"/>
      <c r="M475" s="22"/>
      <c r="N475" s="22"/>
      <c r="O475" s="22"/>
      <c r="P475" s="22" t="str">
        <f t="shared" si="4"/>
        <v/>
      </c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39" t="str">
        <f t="array" ref="AB475">IFERROR(INDEX(Bids!$AA:$AA, MATCH(C475&amp;"|"&amp;B475, Bids!$AD:$AD,0)),"")</f>
        <v/>
      </c>
      <c r="AC475" s="39" t="str">
        <f t="array" ref="AC475">IFERROR(INDEX(Bids!$AB:$AB, MATCH(C475&amp;"|"&amp;B475, Bids!$AD:$AD,0)),"")</f>
        <v/>
      </c>
      <c r="AD475" s="39" t="str">
        <f t="array" ref="AD475">IFERROR(INDEX(Bids!$AC:$AC, MATCH(C475&amp;"|"&amp;B475, Bids!$AD:$AD,0)), H475)</f>
        <v/>
      </c>
      <c r="AE475" s="39"/>
      <c r="AG475" s="39"/>
      <c r="AH475" s="39" t="str">
        <f t="shared" si="5"/>
        <v/>
      </c>
      <c r="AI475" s="39" t="str">
        <f t="shared" si="6"/>
        <v/>
      </c>
      <c r="AM475" s="39" t="str">
        <f t="array" ref="AM475">IF(C475="","",IFERROR(XLOOKUP(C475,Orders!$A:$A,Orders!$E:$E,""),""))</f>
        <v/>
      </c>
      <c r="AN475" s="39" t="str">
        <f t="shared" si="7"/>
        <v/>
      </c>
      <c r="AO475" s="39" t="str">
        <f t="shared" si="8"/>
        <v/>
      </c>
      <c r="AP475" s="39" t="str">
        <f t="shared" si="9"/>
        <v/>
      </c>
      <c r="AQ475" s="39" t="str">
        <f t="shared" si="10"/>
        <v/>
      </c>
      <c r="AR475" s="39" t="str">
        <f t="shared" si="11"/>
        <v/>
      </c>
      <c r="AS475" s="39" t="str">
        <f t="shared" si="12"/>
        <v/>
      </c>
      <c r="AT475" s="39" t="str">
        <f t="shared" si="13"/>
        <v/>
      </c>
      <c r="AU475" s="39" t="str">
        <f t="shared" si="14"/>
        <v/>
      </c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 t="str">
        <f t="shared" si="1"/>
        <v/>
      </c>
      <c r="J476" s="22" t="str">
        <f t="shared" si="2"/>
        <v/>
      </c>
      <c r="K476" s="22"/>
      <c r="L476" s="22"/>
      <c r="M476" s="22"/>
      <c r="N476" s="22"/>
      <c r="O476" s="22"/>
      <c r="P476" s="22" t="str">
        <f t="shared" si="4"/>
        <v/>
      </c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39" t="str">
        <f t="array" ref="AB476">IFERROR(INDEX(Bids!$AA:$AA, MATCH(C476&amp;"|"&amp;B476, Bids!$AD:$AD,0)),"")</f>
        <v/>
      </c>
      <c r="AC476" s="39" t="str">
        <f t="array" ref="AC476">IFERROR(INDEX(Bids!$AB:$AB, MATCH(C476&amp;"|"&amp;B476, Bids!$AD:$AD,0)),"")</f>
        <v/>
      </c>
      <c r="AD476" s="39" t="str">
        <f t="array" ref="AD476">IFERROR(INDEX(Bids!$AC:$AC, MATCH(C476&amp;"|"&amp;B476, Bids!$AD:$AD,0)), H476)</f>
        <v/>
      </c>
      <c r="AE476" s="39"/>
      <c r="AG476" s="39"/>
      <c r="AH476" s="39" t="str">
        <f t="shared" si="5"/>
        <v/>
      </c>
      <c r="AI476" s="39" t="str">
        <f t="shared" si="6"/>
        <v/>
      </c>
      <c r="AM476" s="39" t="str">
        <f t="array" ref="AM476">IF(C476="","",IFERROR(XLOOKUP(C476,Orders!$A:$A,Orders!$E:$E,""),""))</f>
        <v/>
      </c>
      <c r="AN476" s="39" t="str">
        <f t="shared" si="7"/>
        <v/>
      </c>
      <c r="AO476" s="39" t="str">
        <f t="shared" si="8"/>
        <v/>
      </c>
      <c r="AP476" s="39" t="str">
        <f t="shared" si="9"/>
        <v/>
      </c>
      <c r="AQ476" s="39" t="str">
        <f t="shared" si="10"/>
        <v/>
      </c>
      <c r="AR476" s="39" t="str">
        <f t="shared" si="11"/>
        <v/>
      </c>
      <c r="AS476" s="39" t="str">
        <f t="shared" si="12"/>
        <v/>
      </c>
      <c r="AT476" s="39" t="str">
        <f t="shared" si="13"/>
        <v/>
      </c>
      <c r="AU476" s="39" t="str">
        <f t="shared" si="14"/>
        <v/>
      </c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 t="str">
        <f t="shared" si="1"/>
        <v/>
      </c>
      <c r="J477" s="22" t="str">
        <f t="shared" si="2"/>
        <v/>
      </c>
      <c r="K477" s="22"/>
      <c r="L477" s="22"/>
      <c r="M477" s="22"/>
      <c r="N477" s="22"/>
      <c r="O477" s="22"/>
      <c r="P477" s="22" t="str">
        <f t="shared" si="4"/>
        <v/>
      </c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39" t="str">
        <f t="array" ref="AB477">IFERROR(INDEX(Bids!$AA:$AA, MATCH(C477&amp;"|"&amp;B477, Bids!$AD:$AD,0)),"")</f>
        <v/>
      </c>
      <c r="AC477" s="39" t="str">
        <f t="array" ref="AC477">IFERROR(INDEX(Bids!$AB:$AB, MATCH(C477&amp;"|"&amp;B477, Bids!$AD:$AD,0)),"")</f>
        <v/>
      </c>
      <c r="AD477" s="39" t="str">
        <f t="array" ref="AD477">IFERROR(INDEX(Bids!$AC:$AC, MATCH(C477&amp;"|"&amp;B477, Bids!$AD:$AD,0)), H477)</f>
        <v/>
      </c>
      <c r="AE477" s="39"/>
      <c r="AG477" s="39"/>
      <c r="AH477" s="39" t="str">
        <f t="shared" si="5"/>
        <v/>
      </c>
      <c r="AI477" s="39" t="str">
        <f t="shared" si="6"/>
        <v/>
      </c>
      <c r="AM477" s="39" t="str">
        <f t="array" ref="AM477">IF(C477="","",IFERROR(XLOOKUP(C477,Orders!$A:$A,Orders!$E:$E,""),""))</f>
        <v/>
      </c>
      <c r="AN477" s="39" t="str">
        <f t="shared" si="7"/>
        <v/>
      </c>
      <c r="AO477" s="39" t="str">
        <f t="shared" si="8"/>
        <v/>
      </c>
      <c r="AP477" s="39" t="str">
        <f t="shared" si="9"/>
        <v/>
      </c>
      <c r="AQ477" s="39" t="str">
        <f t="shared" si="10"/>
        <v/>
      </c>
      <c r="AR477" s="39" t="str">
        <f t="shared" si="11"/>
        <v/>
      </c>
      <c r="AS477" s="39" t="str">
        <f t="shared" si="12"/>
        <v/>
      </c>
      <c r="AT477" s="39" t="str">
        <f t="shared" si="13"/>
        <v/>
      </c>
      <c r="AU477" s="39" t="str">
        <f t="shared" si="14"/>
        <v/>
      </c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 t="str">
        <f t="shared" si="1"/>
        <v/>
      </c>
      <c r="J478" s="22" t="str">
        <f t="shared" si="2"/>
        <v/>
      </c>
      <c r="K478" s="22"/>
      <c r="L478" s="22"/>
      <c r="M478" s="22"/>
      <c r="N478" s="22"/>
      <c r="O478" s="22"/>
      <c r="P478" s="22" t="str">
        <f t="shared" si="4"/>
        <v/>
      </c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39" t="str">
        <f t="array" ref="AB478">IFERROR(INDEX(Bids!$AA:$AA, MATCH(C478&amp;"|"&amp;B478, Bids!$AD:$AD,0)),"")</f>
        <v/>
      </c>
      <c r="AC478" s="39" t="str">
        <f t="array" ref="AC478">IFERROR(INDEX(Bids!$AB:$AB, MATCH(C478&amp;"|"&amp;B478, Bids!$AD:$AD,0)),"")</f>
        <v/>
      </c>
      <c r="AD478" s="39" t="str">
        <f t="array" ref="AD478">IFERROR(INDEX(Bids!$AC:$AC, MATCH(C478&amp;"|"&amp;B478, Bids!$AD:$AD,0)), H478)</f>
        <v/>
      </c>
      <c r="AE478" s="39"/>
      <c r="AG478" s="39"/>
      <c r="AH478" s="39" t="str">
        <f t="shared" si="5"/>
        <v/>
      </c>
      <c r="AI478" s="39" t="str">
        <f t="shared" si="6"/>
        <v/>
      </c>
      <c r="AM478" s="39" t="str">
        <f t="array" ref="AM478">IF(C478="","",IFERROR(XLOOKUP(C478,Orders!$A:$A,Orders!$E:$E,""),""))</f>
        <v/>
      </c>
      <c r="AN478" s="39" t="str">
        <f t="shared" si="7"/>
        <v/>
      </c>
      <c r="AO478" s="39" t="str">
        <f t="shared" si="8"/>
        <v/>
      </c>
      <c r="AP478" s="39" t="str">
        <f t="shared" si="9"/>
        <v/>
      </c>
      <c r="AQ478" s="39" t="str">
        <f t="shared" si="10"/>
        <v/>
      </c>
      <c r="AR478" s="39" t="str">
        <f t="shared" si="11"/>
        <v/>
      </c>
      <c r="AS478" s="39" t="str">
        <f t="shared" si="12"/>
        <v/>
      </c>
      <c r="AT478" s="39" t="str">
        <f t="shared" si="13"/>
        <v/>
      </c>
      <c r="AU478" s="39" t="str">
        <f t="shared" si="14"/>
        <v/>
      </c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 t="str">
        <f t="shared" si="1"/>
        <v/>
      </c>
      <c r="J479" s="22" t="str">
        <f t="shared" si="2"/>
        <v/>
      </c>
      <c r="K479" s="22"/>
      <c r="L479" s="22"/>
      <c r="M479" s="22"/>
      <c r="N479" s="22"/>
      <c r="O479" s="22"/>
      <c r="P479" s="22" t="str">
        <f t="shared" si="4"/>
        <v/>
      </c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39" t="str">
        <f t="array" ref="AB479">IFERROR(INDEX(Bids!$AA:$AA, MATCH(C479&amp;"|"&amp;B479, Bids!$AD:$AD,0)),"")</f>
        <v/>
      </c>
      <c r="AC479" s="39" t="str">
        <f t="array" ref="AC479">IFERROR(INDEX(Bids!$AB:$AB, MATCH(C479&amp;"|"&amp;B479, Bids!$AD:$AD,0)),"")</f>
        <v/>
      </c>
      <c r="AD479" s="39" t="str">
        <f t="array" ref="AD479">IFERROR(INDEX(Bids!$AC:$AC, MATCH(C479&amp;"|"&amp;B479, Bids!$AD:$AD,0)), H479)</f>
        <v/>
      </c>
      <c r="AE479" s="39"/>
      <c r="AG479" s="39"/>
      <c r="AH479" s="39" t="str">
        <f t="shared" si="5"/>
        <v/>
      </c>
      <c r="AI479" s="39" t="str">
        <f t="shared" si="6"/>
        <v/>
      </c>
      <c r="AM479" s="39" t="str">
        <f t="array" ref="AM479">IF(C479="","",IFERROR(XLOOKUP(C479,Orders!$A:$A,Orders!$E:$E,""),""))</f>
        <v/>
      </c>
      <c r="AN479" s="39" t="str">
        <f t="shared" si="7"/>
        <v/>
      </c>
      <c r="AO479" s="39" t="str">
        <f t="shared" si="8"/>
        <v/>
      </c>
      <c r="AP479" s="39" t="str">
        <f t="shared" si="9"/>
        <v/>
      </c>
      <c r="AQ479" s="39" t="str">
        <f t="shared" si="10"/>
        <v/>
      </c>
      <c r="AR479" s="39" t="str">
        <f t="shared" si="11"/>
        <v/>
      </c>
      <c r="AS479" s="39" t="str">
        <f t="shared" si="12"/>
        <v/>
      </c>
      <c r="AT479" s="39" t="str">
        <f t="shared" si="13"/>
        <v/>
      </c>
      <c r="AU479" s="39" t="str">
        <f t="shared" si="14"/>
        <v/>
      </c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 t="str">
        <f t="shared" si="1"/>
        <v/>
      </c>
      <c r="J480" s="22" t="str">
        <f t="shared" si="2"/>
        <v/>
      </c>
      <c r="K480" s="22"/>
      <c r="L480" s="22"/>
      <c r="M480" s="22"/>
      <c r="N480" s="22"/>
      <c r="O480" s="22"/>
      <c r="P480" s="22" t="str">
        <f t="shared" si="4"/>
        <v/>
      </c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39" t="str">
        <f t="array" ref="AB480">IFERROR(INDEX(Bids!$AA:$AA, MATCH(C480&amp;"|"&amp;B480, Bids!$AD:$AD,0)),"")</f>
        <v/>
      </c>
      <c r="AC480" s="39" t="str">
        <f t="array" ref="AC480">IFERROR(INDEX(Bids!$AB:$AB, MATCH(C480&amp;"|"&amp;B480, Bids!$AD:$AD,0)),"")</f>
        <v/>
      </c>
      <c r="AD480" s="39" t="str">
        <f t="array" ref="AD480">IFERROR(INDEX(Bids!$AC:$AC, MATCH(C480&amp;"|"&amp;B480, Bids!$AD:$AD,0)), H480)</f>
        <v/>
      </c>
      <c r="AE480" s="39"/>
      <c r="AG480" s="39"/>
      <c r="AH480" s="39" t="str">
        <f t="shared" si="5"/>
        <v/>
      </c>
      <c r="AI480" s="39" t="str">
        <f t="shared" si="6"/>
        <v/>
      </c>
      <c r="AM480" s="39" t="str">
        <f t="array" ref="AM480">IF(C480="","",IFERROR(XLOOKUP(C480,Orders!$A:$A,Orders!$E:$E,""),""))</f>
        <v/>
      </c>
      <c r="AN480" s="39" t="str">
        <f t="shared" si="7"/>
        <v/>
      </c>
      <c r="AO480" s="39" t="str">
        <f t="shared" si="8"/>
        <v/>
      </c>
      <c r="AP480" s="39" t="str">
        <f t="shared" si="9"/>
        <v/>
      </c>
      <c r="AQ480" s="39" t="str">
        <f t="shared" si="10"/>
        <v/>
      </c>
      <c r="AR480" s="39" t="str">
        <f t="shared" si="11"/>
        <v/>
      </c>
      <c r="AS480" s="39" t="str">
        <f t="shared" si="12"/>
        <v/>
      </c>
      <c r="AT480" s="39" t="str">
        <f t="shared" si="13"/>
        <v/>
      </c>
      <c r="AU480" s="39" t="str">
        <f t="shared" si="14"/>
        <v/>
      </c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 t="str">
        <f t="shared" si="1"/>
        <v/>
      </c>
      <c r="J481" s="22" t="str">
        <f t="shared" si="2"/>
        <v/>
      </c>
      <c r="K481" s="22"/>
      <c r="L481" s="22"/>
      <c r="M481" s="22"/>
      <c r="N481" s="22"/>
      <c r="O481" s="22"/>
      <c r="P481" s="22" t="str">
        <f t="shared" si="4"/>
        <v/>
      </c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39" t="str">
        <f t="array" ref="AB481">IFERROR(INDEX(Bids!$AA:$AA, MATCH(C481&amp;"|"&amp;B481, Bids!$AD:$AD,0)),"")</f>
        <v/>
      </c>
      <c r="AC481" s="39" t="str">
        <f t="array" ref="AC481">IFERROR(INDEX(Bids!$AB:$AB, MATCH(C481&amp;"|"&amp;B481, Bids!$AD:$AD,0)),"")</f>
        <v/>
      </c>
      <c r="AD481" s="39" t="str">
        <f t="array" ref="AD481">IFERROR(INDEX(Bids!$AC:$AC, MATCH(C481&amp;"|"&amp;B481, Bids!$AD:$AD,0)), H481)</f>
        <v/>
      </c>
      <c r="AE481" s="39"/>
      <c r="AG481" s="39"/>
      <c r="AH481" s="39" t="str">
        <f t="shared" si="5"/>
        <v/>
      </c>
      <c r="AI481" s="39" t="str">
        <f t="shared" si="6"/>
        <v/>
      </c>
      <c r="AM481" s="39" t="str">
        <f t="array" ref="AM481">IF(C481="","",IFERROR(XLOOKUP(C481,Orders!$A:$A,Orders!$E:$E,""),""))</f>
        <v/>
      </c>
      <c r="AN481" s="39" t="str">
        <f t="shared" si="7"/>
        <v/>
      </c>
      <c r="AO481" s="39" t="str">
        <f t="shared" si="8"/>
        <v/>
      </c>
      <c r="AP481" s="39" t="str">
        <f t="shared" si="9"/>
        <v/>
      </c>
      <c r="AQ481" s="39" t="str">
        <f t="shared" si="10"/>
        <v/>
      </c>
      <c r="AR481" s="39" t="str">
        <f t="shared" si="11"/>
        <v/>
      </c>
      <c r="AS481" s="39" t="str">
        <f t="shared" si="12"/>
        <v/>
      </c>
      <c r="AT481" s="39" t="str">
        <f t="shared" si="13"/>
        <v/>
      </c>
      <c r="AU481" s="39" t="str">
        <f t="shared" si="14"/>
        <v/>
      </c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 t="str">
        <f t="shared" si="1"/>
        <v/>
      </c>
      <c r="J482" s="22" t="str">
        <f t="shared" si="2"/>
        <v/>
      </c>
      <c r="K482" s="22"/>
      <c r="L482" s="22"/>
      <c r="M482" s="22"/>
      <c r="N482" s="22"/>
      <c r="O482" s="22"/>
      <c r="P482" s="22" t="str">
        <f t="shared" si="4"/>
        <v/>
      </c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39" t="str">
        <f t="array" ref="AB482">IFERROR(INDEX(Bids!$AA:$AA, MATCH(C482&amp;"|"&amp;B482, Bids!$AD:$AD,0)),"")</f>
        <v/>
      </c>
      <c r="AC482" s="39" t="str">
        <f t="array" ref="AC482">IFERROR(INDEX(Bids!$AB:$AB, MATCH(C482&amp;"|"&amp;B482, Bids!$AD:$AD,0)),"")</f>
        <v/>
      </c>
      <c r="AD482" s="39" t="str">
        <f t="array" ref="AD482">IFERROR(INDEX(Bids!$AC:$AC, MATCH(C482&amp;"|"&amp;B482, Bids!$AD:$AD,0)), H482)</f>
        <v/>
      </c>
      <c r="AE482" s="39"/>
      <c r="AG482" s="39"/>
      <c r="AH482" s="39" t="str">
        <f t="shared" si="5"/>
        <v/>
      </c>
      <c r="AI482" s="39" t="str">
        <f t="shared" si="6"/>
        <v/>
      </c>
      <c r="AM482" s="39" t="str">
        <f t="array" ref="AM482">IF(C482="","",IFERROR(XLOOKUP(C482,Orders!$A:$A,Orders!$E:$E,""),""))</f>
        <v/>
      </c>
      <c r="AN482" s="39" t="str">
        <f t="shared" si="7"/>
        <v/>
      </c>
      <c r="AO482" s="39" t="str">
        <f t="shared" si="8"/>
        <v/>
      </c>
      <c r="AP482" s="39" t="str">
        <f t="shared" si="9"/>
        <v/>
      </c>
      <c r="AQ482" s="39" t="str">
        <f t="shared" si="10"/>
        <v/>
      </c>
      <c r="AR482" s="39" t="str">
        <f t="shared" si="11"/>
        <v/>
      </c>
      <c r="AS482" s="39" t="str">
        <f t="shared" si="12"/>
        <v/>
      </c>
      <c r="AT482" s="39" t="str">
        <f t="shared" si="13"/>
        <v/>
      </c>
      <c r="AU482" s="39" t="str">
        <f t="shared" si="14"/>
        <v/>
      </c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 t="str">
        <f t="shared" si="1"/>
        <v/>
      </c>
      <c r="J483" s="22" t="str">
        <f t="shared" si="2"/>
        <v/>
      </c>
      <c r="K483" s="22"/>
      <c r="L483" s="22"/>
      <c r="M483" s="22"/>
      <c r="N483" s="22"/>
      <c r="O483" s="22"/>
      <c r="P483" s="22" t="str">
        <f t="shared" si="4"/>
        <v/>
      </c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39" t="str">
        <f t="array" ref="AB483">IFERROR(INDEX(Bids!$AA:$AA, MATCH(C483&amp;"|"&amp;B483, Bids!$AD:$AD,0)),"")</f>
        <v/>
      </c>
      <c r="AC483" s="39" t="str">
        <f t="array" ref="AC483">IFERROR(INDEX(Bids!$AB:$AB, MATCH(C483&amp;"|"&amp;B483, Bids!$AD:$AD,0)),"")</f>
        <v/>
      </c>
      <c r="AD483" s="39" t="str">
        <f t="array" ref="AD483">IFERROR(INDEX(Bids!$AC:$AC, MATCH(C483&amp;"|"&amp;B483, Bids!$AD:$AD,0)), H483)</f>
        <v/>
      </c>
      <c r="AE483" s="39"/>
      <c r="AG483" s="39"/>
      <c r="AH483" s="39" t="str">
        <f t="shared" si="5"/>
        <v/>
      </c>
      <c r="AI483" s="39" t="str">
        <f t="shared" si="6"/>
        <v/>
      </c>
      <c r="AM483" s="39" t="str">
        <f t="array" ref="AM483">IF(C483="","",IFERROR(XLOOKUP(C483,Orders!$A:$A,Orders!$E:$E,""),""))</f>
        <v/>
      </c>
      <c r="AN483" s="39" t="str">
        <f t="shared" si="7"/>
        <v/>
      </c>
      <c r="AO483" s="39" t="str">
        <f t="shared" si="8"/>
        <v/>
      </c>
      <c r="AP483" s="39" t="str">
        <f t="shared" si="9"/>
        <v/>
      </c>
      <c r="AQ483" s="39" t="str">
        <f t="shared" si="10"/>
        <v/>
      </c>
      <c r="AR483" s="39" t="str">
        <f t="shared" si="11"/>
        <v/>
      </c>
      <c r="AS483" s="39" t="str">
        <f t="shared" si="12"/>
        <v/>
      </c>
      <c r="AT483" s="39" t="str">
        <f t="shared" si="13"/>
        <v/>
      </c>
      <c r="AU483" s="39" t="str">
        <f t="shared" si="14"/>
        <v/>
      </c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 t="str">
        <f t="shared" si="1"/>
        <v/>
      </c>
      <c r="J484" s="22" t="str">
        <f t="shared" si="2"/>
        <v/>
      </c>
      <c r="K484" s="22"/>
      <c r="L484" s="22"/>
      <c r="M484" s="22"/>
      <c r="N484" s="22"/>
      <c r="O484" s="22"/>
      <c r="P484" s="22" t="str">
        <f t="shared" si="4"/>
        <v/>
      </c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39" t="str">
        <f t="array" ref="AB484">IFERROR(INDEX(Bids!$AA:$AA, MATCH(C484&amp;"|"&amp;B484, Bids!$AD:$AD,0)),"")</f>
        <v/>
      </c>
      <c r="AC484" s="39" t="str">
        <f t="array" ref="AC484">IFERROR(INDEX(Bids!$AB:$AB, MATCH(C484&amp;"|"&amp;B484, Bids!$AD:$AD,0)),"")</f>
        <v/>
      </c>
      <c r="AD484" s="39" t="str">
        <f t="array" ref="AD484">IFERROR(INDEX(Bids!$AC:$AC, MATCH(C484&amp;"|"&amp;B484, Bids!$AD:$AD,0)), H484)</f>
        <v/>
      </c>
      <c r="AE484" s="39"/>
      <c r="AG484" s="39"/>
      <c r="AH484" s="39" t="str">
        <f t="shared" si="5"/>
        <v/>
      </c>
      <c r="AI484" s="39" t="str">
        <f t="shared" si="6"/>
        <v/>
      </c>
      <c r="AM484" s="39" t="str">
        <f t="array" ref="AM484">IF(C484="","",IFERROR(XLOOKUP(C484,Orders!$A:$A,Orders!$E:$E,""),""))</f>
        <v/>
      </c>
      <c r="AN484" s="39" t="str">
        <f t="shared" si="7"/>
        <v/>
      </c>
      <c r="AO484" s="39" t="str">
        <f t="shared" si="8"/>
        <v/>
      </c>
      <c r="AP484" s="39" t="str">
        <f t="shared" si="9"/>
        <v/>
      </c>
      <c r="AQ484" s="39" t="str">
        <f t="shared" si="10"/>
        <v/>
      </c>
      <c r="AR484" s="39" t="str">
        <f t="shared" si="11"/>
        <v/>
      </c>
      <c r="AS484" s="39" t="str">
        <f t="shared" si="12"/>
        <v/>
      </c>
      <c r="AT484" s="39" t="str">
        <f t="shared" si="13"/>
        <v/>
      </c>
      <c r="AU484" s="39" t="str">
        <f t="shared" si="14"/>
        <v/>
      </c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 t="str">
        <f t="shared" si="1"/>
        <v/>
      </c>
      <c r="J485" s="22" t="str">
        <f t="shared" si="2"/>
        <v/>
      </c>
      <c r="K485" s="22"/>
      <c r="L485" s="22"/>
      <c r="M485" s="22"/>
      <c r="N485" s="22"/>
      <c r="O485" s="22"/>
      <c r="P485" s="22" t="str">
        <f t="shared" si="4"/>
        <v/>
      </c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39" t="str">
        <f t="array" ref="AB485">IFERROR(INDEX(Bids!$AA:$AA, MATCH(C485&amp;"|"&amp;B485, Bids!$AD:$AD,0)),"")</f>
        <v/>
      </c>
      <c r="AC485" s="39" t="str">
        <f t="array" ref="AC485">IFERROR(INDEX(Bids!$AB:$AB, MATCH(C485&amp;"|"&amp;B485, Bids!$AD:$AD,0)),"")</f>
        <v/>
      </c>
      <c r="AD485" s="39" t="str">
        <f t="array" ref="AD485">IFERROR(INDEX(Bids!$AC:$AC, MATCH(C485&amp;"|"&amp;B485, Bids!$AD:$AD,0)), H485)</f>
        <v/>
      </c>
      <c r="AE485" s="39"/>
      <c r="AG485" s="39"/>
      <c r="AH485" s="39" t="str">
        <f t="shared" si="5"/>
        <v/>
      </c>
      <c r="AI485" s="39" t="str">
        <f t="shared" si="6"/>
        <v/>
      </c>
      <c r="AM485" s="39" t="str">
        <f t="array" ref="AM485">IF(C485="","",IFERROR(XLOOKUP(C485,Orders!$A:$A,Orders!$E:$E,""),""))</f>
        <v/>
      </c>
      <c r="AN485" s="39" t="str">
        <f t="shared" si="7"/>
        <v/>
      </c>
      <c r="AO485" s="39" t="str">
        <f t="shared" si="8"/>
        <v/>
      </c>
      <c r="AP485" s="39" t="str">
        <f t="shared" si="9"/>
        <v/>
      </c>
      <c r="AQ485" s="39" t="str">
        <f t="shared" si="10"/>
        <v/>
      </c>
      <c r="AR485" s="39" t="str">
        <f t="shared" si="11"/>
        <v/>
      </c>
      <c r="AS485" s="39" t="str">
        <f t="shared" si="12"/>
        <v/>
      </c>
      <c r="AT485" s="39" t="str">
        <f t="shared" si="13"/>
        <v/>
      </c>
      <c r="AU485" s="39" t="str">
        <f t="shared" si="14"/>
        <v/>
      </c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 t="str">
        <f t="shared" si="1"/>
        <v/>
      </c>
      <c r="J486" s="22" t="str">
        <f t="shared" si="2"/>
        <v/>
      </c>
      <c r="K486" s="22"/>
      <c r="L486" s="22"/>
      <c r="M486" s="22"/>
      <c r="N486" s="22"/>
      <c r="O486" s="22"/>
      <c r="P486" s="22" t="str">
        <f t="shared" si="4"/>
        <v/>
      </c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39" t="str">
        <f t="array" ref="AB486">IFERROR(INDEX(Bids!$AA:$AA, MATCH(C486&amp;"|"&amp;B486, Bids!$AD:$AD,0)),"")</f>
        <v/>
      </c>
      <c r="AC486" s="39" t="str">
        <f t="array" ref="AC486">IFERROR(INDEX(Bids!$AB:$AB, MATCH(C486&amp;"|"&amp;B486, Bids!$AD:$AD,0)),"")</f>
        <v/>
      </c>
      <c r="AD486" s="39" t="str">
        <f t="array" ref="AD486">IFERROR(INDEX(Bids!$AC:$AC, MATCH(C486&amp;"|"&amp;B486, Bids!$AD:$AD,0)), H486)</f>
        <v/>
      </c>
      <c r="AE486" s="39"/>
      <c r="AG486" s="39"/>
      <c r="AH486" s="39" t="str">
        <f t="shared" si="5"/>
        <v/>
      </c>
      <c r="AI486" s="39" t="str">
        <f t="shared" si="6"/>
        <v/>
      </c>
      <c r="AM486" s="39" t="str">
        <f t="array" ref="AM486">IF(C486="","",IFERROR(XLOOKUP(C486,Orders!$A:$A,Orders!$E:$E,""),""))</f>
        <v/>
      </c>
      <c r="AN486" s="39" t="str">
        <f t="shared" si="7"/>
        <v/>
      </c>
      <c r="AO486" s="39" t="str">
        <f t="shared" si="8"/>
        <v/>
      </c>
      <c r="AP486" s="39" t="str">
        <f t="shared" si="9"/>
        <v/>
      </c>
      <c r="AQ486" s="39" t="str">
        <f t="shared" si="10"/>
        <v/>
      </c>
      <c r="AR486" s="39" t="str">
        <f t="shared" si="11"/>
        <v/>
      </c>
      <c r="AS486" s="39" t="str">
        <f t="shared" si="12"/>
        <v/>
      </c>
      <c r="AT486" s="39" t="str">
        <f t="shared" si="13"/>
        <v/>
      </c>
      <c r="AU486" s="39" t="str">
        <f t="shared" si="14"/>
        <v/>
      </c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 t="str">
        <f t="shared" si="1"/>
        <v/>
      </c>
      <c r="J487" s="22" t="str">
        <f t="shared" si="2"/>
        <v/>
      </c>
      <c r="K487" s="22"/>
      <c r="L487" s="22"/>
      <c r="M487" s="22"/>
      <c r="N487" s="22"/>
      <c r="O487" s="22"/>
      <c r="P487" s="22" t="str">
        <f t="shared" si="4"/>
        <v/>
      </c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39" t="str">
        <f t="array" ref="AB487">IFERROR(INDEX(Bids!$AA:$AA, MATCH(C487&amp;"|"&amp;B487, Bids!$AD:$AD,0)),"")</f>
        <v/>
      </c>
      <c r="AC487" s="39" t="str">
        <f t="array" ref="AC487">IFERROR(INDEX(Bids!$AB:$AB, MATCH(C487&amp;"|"&amp;B487, Bids!$AD:$AD,0)),"")</f>
        <v/>
      </c>
      <c r="AD487" s="39" t="str">
        <f t="array" ref="AD487">IFERROR(INDEX(Bids!$AC:$AC, MATCH(C487&amp;"|"&amp;B487, Bids!$AD:$AD,0)), H487)</f>
        <v/>
      </c>
      <c r="AE487" s="39"/>
      <c r="AG487" s="39"/>
      <c r="AH487" s="39" t="str">
        <f t="shared" si="5"/>
        <v/>
      </c>
      <c r="AI487" s="39" t="str">
        <f t="shared" si="6"/>
        <v/>
      </c>
      <c r="AM487" s="39" t="str">
        <f t="array" ref="AM487">IF(C487="","",IFERROR(XLOOKUP(C487,Orders!$A:$A,Orders!$E:$E,""),""))</f>
        <v/>
      </c>
      <c r="AN487" s="39" t="str">
        <f t="shared" si="7"/>
        <v/>
      </c>
      <c r="AO487" s="39" t="str">
        <f t="shared" si="8"/>
        <v/>
      </c>
      <c r="AP487" s="39" t="str">
        <f t="shared" si="9"/>
        <v/>
      </c>
      <c r="AQ487" s="39" t="str">
        <f t="shared" si="10"/>
        <v/>
      </c>
      <c r="AR487" s="39" t="str">
        <f t="shared" si="11"/>
        <v/>
      </c>
      <c r="AS487" s="39" t="str">
        <f t="shared" si="12"/>
        <v/>
      </c>
      <c r="AT487" s="39" t="str">
        <f t="shared" si="13"/>
        <v/>
      </c>
      <c r="AU487" s="39" t="str">
        <f t="shared" si="14"/>
        <v/>
      </c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 t="str">
        <f t="shared" si="1"/>
        <v/>
      </c>
      <c r="J488" s="22" t="str">
        <f t="shared" si="2"/>
        <v/>
      </c>
      <c r="K488" s="22"/>
      <c r="L488" s="22"/>
      <c r="M488" s="22"/>
      <c r="N488" s="22"/>
      <c r="O488" s="22"/>
      <c r="P488" s="22" t="str">
        <f t="shared" si="4"/>
        <v/>
      </c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39" t="str">
        <f t="array" ref="AB488">IFERROR(INDEX(Bids!$AA:$AA, MATCH(C488&amp;"|"&amp;B488, Bids!$AD:$AD,0)),"")</f>
        <v/>
      </c>
      <c r="AC488" s="39" t="str">
        <f t="array" ref="AC488">IFERROR(INDEX(Bids!$AB:$AB, MATCH(C488&amp;"|"&amp;B488, Bids!$AD:$AD,0)),"")</f>
        <v/>
      </c>
      <c r="AD488" s="39" t="str">
        <f t="array" ref="AD488">IFERROR(INDEX(Bids!$AC:$AC, MATCH(C488&amp;"|"&amp;B488, Bids!$AD:$AD,0)), H488)</f>
        <v/>
      </c>
      <c r="AE488" s="39"/>
      <c r="AG488" s="39"/>
      <c r="AH488" s="39" t="str">
        <f t="shared" si="5"/>
        <v/>
      </c>
      <c r="AI488" s="39" t="str">
        <f t="shared" si="6"/>
        <v/>
      </c>
      <c r="AM488" s="39" t="str">
        <f t="array" ref="AM488">IF(C488="","",IFERROR(XLOOKUP(C488,Orders!$A:$A,Orders!$E:$E,""),""))</f>
        <v/>
      </c>
      <c r="AN488" s="39" t="str">
        <f t="shared" si="7"/>
        <v/>
      </c>
      <c r="AO488" s="39" t="str">
        <f t="shared" si="8"/>
        <v/>
      </c>
      <c r="AP488" s="39" t="str">
        <f t="shared" si="9"/>
        <v/>
      </c>
      <c r="AQ488" s="39" t="str">
        <f t="shared" si="10"/>
        <v/>
      </c>
      <c r="AR488" s="39" t="str">
        <f t="shared" si="11"/>
        <v/>
      </c>
      <c r="AS488" s="39" t="str">
        <f t="shared" si="12"/>
        <v/>
      </c>
      <c r="AT488" s="39" t="str">
        <f t="shared" si="13"/>
        <v/>
      </c>
      <c r="AU488" s="39" t="str">
        <f t="shared" si="14"/>
        <v/>
      </c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 t="str">
        <f t="shared" si="1"/>
        <v/>
      </c>
      <c r="J489" s="22" t="str">
        <f t="shared" si="2"/>
        <v/>
      </c>
      <c r="K489" s="22"/>
      <c r="L489" s="22"/>
      <c r="M489" s="22"/>
      <c r="N489" s="22"/>
      <c r="O489" s="22"/>
      <c r="P489" s="22" t="str">
        <f t="shared" si="4"/>
        <v/>
      </c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39" t="str">
        <f t="array" ref="AB489">IFERROR(INDEX(Bids!$AA:$AA, MATCH(C489&amp;"|"&amp;B489, Bids!$AD:$AD,0)),"")</f>
        <v/>
      </c>
      <c r="AC489" s="39" t="str">
        <f t="array" ref="AC489">IFERROR(INDEX(Bids!$AB:$AB, MATCH(C489&amp;"|"&amp;B489, Bids!$AD:$AD,0)),"")</f>
        <v/>
      </c>
      <c r="AD489" s="39" t="str">
        <f t="array" ref="AD489">IFERROR(INDEX(Bids!$AC:$AC, MATCH(C489&amp;"|"&amp;B489, Bids!$AD:$AD,0)), H489)</f>
        <v/>
      </c>
      <c r="AE489" s="39"/>
      <c r="AG489" s="39"/>
      <c r="AH489" s="39" t="str">
        <f t="shared" si="5"/>
        <v/>
      </c>
      <c r="AI489" s="39" t="str">
        <f t="shared" si="6"/>
        <v/>
      </c>
      <c r="AM489" s="39" t="str">
        <f t="array" ref="AM489">IF(C489="","",IFERROR(XLOOKUP(C489,Orders!$A:$A,Orders!$E:$E,""),""))</f>
        <v/>
      </c>
      <c r="AN489" s="39" t="str">
        <f t="shared" si="7"/>
        <v/>
      </c>
      <c r="AO489" s="39" t="str">
        <f t="shared" si="8"/>
        <v/>
      </c>
      <c r="AP489" s="39" t="str">
        <f t="shared" si="9"/>
        <v/>
      </c>
      <c r="AQ489" s="39" t="str">
        <f t="shared" si="10"/>
        <v/>
      </c>
      <c r="AR489" s="39" t="str">
        <f t="shared" si="11"/>
        <v/>
      </c>
      <c r="AS489" s="39" t="str">
        <f t="shared" si="12"/>
        <v/>
      </c>
      <c r="AT489" s="39" t="str">
        <f t="shared" si="13"/>
        <v/>
      </c>
      <c r="AU489" s="39" t="str">
        <f t="shared" si="14"/>
        <v/>
      </c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 t="str">
        <f t="shared" si="1"/>
        <v/>
      </c>
      <c r="J490" s="22" t="str">
        <f t="shared" si="2"/>
        <v/>
      </c>
      <c r="K490" s="22"/>
      <c r="L490" s="22"/>
      <c r="M490" s="22"/>
      <c r="N490" s="22"/>
      <c r="O490" s="22"/>
      <c r="P490" s="22" t="str">
        <f t="shared" si="4"/>
        <v/>
      </c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39" t="str">
        <f t="array" ref="AB490">IFERROR(INDEX(Bids!$AA:$AA, MATCH(C490&amp;"|"&amp;B490, Bids!$AD:$AD,0)),"")</f>
        <v/>
      </c>
      <c r="AC490" s="39" t="str">
        <f t="array" ref="AC490">IFERROR(INDEX(Bids!$AB:$AB, MATCH(C490&amp;"|"&amp;B490, Bids!$AD:$AD,0)),"")</f>
        <v/>
      </c>
      <c r="AD490" s="39" t="str">
        <f t="array" ref="AD490">IFERROR(INDEX(Bids!$AC:$AC, MATCH(C490&amp;"|"&amp;B490, Bids!$AD:$AD,0)), H490)</f>
        <v/>
      </c>
      <c r="AE490" s="39"/>
      <c r="AG490" s="39"/>
      <c r="AH490" s="39" t="str">
        <f t="shared" si="5"/>
        <v/>
      </c>
      <c r="AI490" s="39" t="str">
        <f t="shared" si="6"/>
        <v/>
      </c>
      <c r="AM490" s="39" t="str">
        <f t="array" ref="AM490">IF(C490="","",IFERROR(XLOOKUP(C490,Orders!$A:$A,Orders!$E:$E,""),""))</f>
        <v/>
      </c>
      <c r="AN490" s="39" t="str">
        <f t="shared" si="7"/>
        <v/>
      </c>
      <c r="AO490" s="39" t="str">
        <f t="shared" si="8"/>
        <v/>
      </c>
      <c r="AP490" s="39" t="str">
        <f t="shared" si="9"/>
        <v/>
      </c>
      <c r="AQ490" s="39" t="str">
        <f t="shared" si="10"/>
        <v/>
      </c>
      <c r="AR490" s="39" t="str">
        <f t="shared" si="11"/>
        <v/>
      </c>
      <c r="AS490" s="39" t="str">
        <f t="shared" si="12"/>
        <v/>
      </c>
      <c r="AT490" s="39" t="str">
        <f t="shared" si="13"/>
        <v/>
      </c>
      <c r="AU490" s="39" t="str">
        <f t="shared" si="14"/>
        <v/>
      </c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 t="str">
        <f t="shared" si="1"/>
        <v/>
      </c>
      <c r="J491" s="22" t="str">
        <f t="shared" si="2"/>
        <v/>
      </c>
      <c r="K491" s="22"/>
      <c r="L491" s="22"/>
      <c r="M491" s="22"/>
      <c r="N491" s="22"/>
      <c r="O491" s="22"/>
      <c r="P491" s="22" t="str">
        <f t="shared" si="4"/>
        <v/>
      </c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39" t="str">
        <f t="array" ref="AB491">IFERROR(INDEX(Bids!$AA:$AA, MATCH(C491&amp;"|"&amp;B491, Bids!$AD:$AD,0)),"")</f>
        <v/>
      </c>
      <c r="AC491" s="39" t="str">
        <f t="array" ref="AC491">IFERROR(INDEX(Bids!$AB:$AB, MATCH(C491&amp;"|"&amp;B491, Bids!$AD:$AD,0)),"")</f>
        <v/>
      </c>
      <c r="AD491" s="39" t="str">
        <f t="array" ref="AD491">IFERROR(INDEX(Bids!$AC:$AC, MATCH(C491&amp;"|"&amp;B491, Bids!$AD:$AD,0)), H491)</f>
        <v/>
      </c>
      <c r="AE491" s="39"/>
      <c r="AG491" s="39"/>
      <c r="AH491" s="39" t="str">
        <f t="shared" si="5"/>
        <v/>
      </c>
      <c r="AI491" s="39" t="str">
        <f t="shared" si="6"/>
        <v/>
      </c>
      <c r="AM491" s="39" t="str">
        <f t="array" ref="AM491">IF(C491="","",IFERROR(XLOOKUP(C491,Orders!$A:$A,Orders!$E:$E,""),""))</f>
        <v/>
      </c>
      <c r="AN491" s="39" t="str">
        <f t="shared" si="7"/>
        <v/>
      </c>
      <c r="AO491" s="39" t="str">
        <f t="shared" si="8"/>
        <v/>
      </c>
      <c r="AP491" s="39" t="str">
        <f t="shared" si="9"/>
        <v/>
      </c>
      <c r="AQ491" s="39" t="str">
        <f t="shared" si="10"/>
        <v/>
      </c>
      <c r="AR491" s="39" t="str">
        <f t="shared" si="11"/>
        <v/>
      </c>
      <c r="AS491" s="39" t="str">
        <f t="shared" si="12"/>
        <v/>
      </c>
      <c r="AT491" s="39" t="str">
        <f t="shared" si="13"/>
        <v/>
      </c>
      <c r="AU491" s="39" t="str">
        <f t="shared" si="14"/>
        <v/>
      </c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 t="str">
        <f t="shared" si="1"/>
        <v/>
      </c>
      <c r="J492" s="22" t="str">
        <f t="shared" si="2"/>
        <v/>
      </c>
      <c r="K492" s="22"/>
      <c r="L492" s="22"/>
      <c r="M492" s="22"/>
      <c r="N492" s="22"/>
      <c r="O492" s="22"/>
      <c r="P492" s="22" t="str">
        <f t="shared" si="4"/>
        <v/>
      </c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39" t="str">
        <f t="array" ref="AB492">IFERROR(INDEX(Bids!$AA:$AA, MATCH(C492&amp;"|"&amp;B492, Bids!$AD:$AD,0)),"")</f>
        <v/>
      </c>
      <c r="AC492" s="39" t="str">
        <f t="array" ref="AC492">IFERROR(INDEX(Bids!$AB:$AB, MATCH(C492&amp;"|"&amp;B492, Bids!$AD:$AD,0)),"")</f>
        <v/>
      </c>
      <c r="AD492" s="39" t="str">
        <f t="array" ref="AD492">IFERROR(INDEX(Bids!$AC:$AC, MATCH(C492&amp;"|"&amp;B492, Bids!$AD:$AD,0)), H492)</f>
        <v/>
      </c>
      <c r="AE492" s="39"/>
      <c r="AG492" s="39"/>
      <c r="AH492" s="39" t="str">
        <f t="shared" si="5"/>
        <v/>
      </c>
      <c r="AI492" s="39" t="str">
        <f t="shared" si="6"/>
        <v/>
      </c>
      <c r="AM492" s="39" t="str">
        <f t="array" ref="AM492">IF(C492="","",IFERROR(XLOOKUP(C492,Orders!$A:$A,Orders!$E:$E,""),""))</f>
        <v/>
      </c>
      <c r="AN492" s="39" t="str">
        <f t="shared" si="7"/>
        <v/>
      </c>
      <c r="AO492" s="39" t="str">
        <f t="shared" si="8"/>
        <v/>
      </c>
      <c r="AP492" s="39" t="str">
        <f t="shared" si="9"/>
        <v/>
      </c>
      <c r="AQ492" s="39" t="str">
        <f t="shared" si="10"/>
        <v/>
      </c>
      <c r="AR492" s="39" t="str">
        <f t="shared" si="11"/>
        <v/>
      </c>
      <c r="AS492" s="39" t="str">
        <f t="shared" si="12"/>
        <v/>
      </c>
      <c r="AT492" s="39" t="str">
        <f t="shared" si="13"/>
        <v/>
      </c>
      <c r="AU492" s="39" t="str">
        <f t="shared" si="14"/>
        <v/>
      </c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 t="str">
        <f t="shared" si="1"/>
        <v/>
      </c>
      <c r="J493" s="22" t="str">
        <f t="shared" si="2"/>
        <v/>
      </c>
      <c r="K493" s="22"/>
      <c r="L493" s="22"/>
      <c r="M493" s="22"/>
      <c r="N493" s="22"/>
      <c r="O493" s="22"/>
      <c r="P493" s="22" t="str">
        <f t="shared" si="4"/>
        <v/>
      </c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39" t="str">
        <f t="array" ref="AB493">IFERROR(INDEX(Bids!$AA:$AA, MATCH(C493&amp;"|"&amp;B493, Bids!$AD:$AD,0)),"")</f>
        <v/>
      </c>
      <c r="AC493" s="39" t="str">
        <f t="array" ref="AC493">IFERROR(INDEX(Bids!$AB:$AB, MATCH(C493&amp;"|"&amp;B493, Bids!$AD:$AD,0)),"")</f>
        <v/>
      </c>
      <c r="AD493" s="39" t="str">
        <f t="array" ref="AD493">IFERROR(INDEX(Bids!$AC:$AC, MATCH(C493&amp;"|"&amp;B493, Bids!$AD:$AD,0)), H493)</f>
        <v/>
      </c>
      <c r="AE493" s="39"/>
      <c r="AG493" s="39"/>
      <c r="AH493" s="39" t="str">
        <f t="shared" si="5"/>
        <v/>
      </c>
      <c r="AI493" s="39" t="str">
        <f t="shared" si="6"/>
        <v/>
      </c>
      <c r="AM493" s="39" t="str">
        <f t="array" ref="AM493">IF(C493="","",IFERROR(XLOOKUP(C493,Orders!$A:$A,Orders!$E:$E,""),""))</f>
        <v/>
      </c>
      <c r="AN493" s="39" t="str">
        <f t="shared" si="7"/>
        <v/>
      </c>
      <c r="AO493" s="39" t="str">
        <f t="shared" si="8"/>
        <v/>
      </c>
      <c r="AP493" s="39" t="str">
        <f t="shared" si="9"/>
        <v/>
      </c>
      <c r="AQ493" s="39" t="str">
        <f t="shared" si="10"/>
        <v/>
      </c>
      <c r="AR493" s="39" t="str">
        <f t="shared" si="11"/>
        <v/>
      </c>
      <c r="AS493" s="39" t="str">
        <f t="shared" si="12"/>
        <v/>
      </c>
      <c r="AT493" s="39" t="str">
        <f t="shared" si="13"/>
        <v/>
      </c>
      <c r="AU493" s="39" t="str">
        <f t="shared" si="14"/>
        <v/>
      </c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 t="str">
        <f t="shared" si="1"/>
        <v/>
      </c>
      <c r="J494" s="22" t="str">
        <f t="shared" si="2"/>
        <v/>
      </c>
      <c r="K494" s="22"/>
      <c r="L494" s="22"/>
      <c r="M494" s="22"/>
      <c r="N494" s="22"/>
      <c r="O494" s="22"/>
      <c r="P494" s="22" t="str">
        <f t="shared" si="4"/>
        <v/>
      </c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39" t="str">
        <f t="array" ref="AB494">IFERROR(INDEX(Bids!$AA:$AA, MATCH(C494&amp;"|"&amp;B494, Bids!$AD:$AD,0)),"")</f>
        <v/>
      </c>
      <c r="AC494" s="39" t="str">
        <f t="array" ref="AC494">IFERROR(INDEX(Bids!$AB:$AB, MATCH(C494&amp;"|"&amp;B494, Bids!$AD:$AD,0)),"")</f>
        <v/>
      </c>
      <c r="AD494" s="39" t="str">
        <f t="array" ref="AD494">IFERROR(INDEX(Bids!$AC:$AC, MATCH(C494&amp;"|"&amp;B494, Bids!$AD:$AD,0)), H494)</f>
        <v/>
      </c>
      <c r="AE494" s="39"/>
      <c r="AG494" s="39"/>
      <c r="AH494" s="39" t="str">
        <f t="shared" si="5"/>
        <v/>
      </c>
      <c r="AI494" s="39" t="str">
        <f t="shared" si="6"/>
        <v/>
      </c>
      <c r="AM494" s="39" t="str">
        <f t="array" ref="AM494">IF(C494="","",IFERROR(XLOOKUP(C494,Orders!$A:$A,Orders!$E:$E,""),""))</f>
        <v/>
      </c>
      <c r="AN494" s="39" t="str">
        <f t="shared" si="7"/>
        <v/>
      </c>
      <c r="AO494" s="39" t="str">
        <f t="shared" si="8"/>
        <v/>
      </c>
      <c r="AP494" s="39" t="str">
        <f t="shared" si="9"/>
        <v/>
      </c>
      <c r="AQ494" s="39" t="str">
        <f t="shared" si="10"/>
        <v/>
      </c>
      <c r="AR494" s="39" t="str">
        <f t="shared" si="11"/>
        <v/>
      </c>
      <c r="AS494" s="39" t="str">
        <f t="shared" si="12"/>
        <v/>
      </c>
      <c r="AT494" s="39" t="str">
        <f t="shared" si="13"/>
        <v/>
      </c>
      <c r="AU494" s="39" t="str">
        <f t="shared" si="14"/>
        <v/>
      </c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 t="str">
        <f t="shared" si="1"/>
        <v/>
      </c>
      <c r="J495" s="22" t="str">
        <f t="shared" si="2"/>
        <v/>
      </c>
      <c r="K495" s="22"/>
      <c r="L495" s="22"/>
      <c r="M495" s="22"/>
      <c r="N495" s="22"/>
      <c r="O495" s="22"/>
      <c r="P495" s="22" t="str">
        <f t="shared" si="4"/>
        <v/>
      </c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39" t="str">
        <f t="array" ref="AB495">IFERROR(INDEX(Bids!$AA:$AA, MATCH(C495&amp;"|"&amp;B495, Bids!$AD:$AD,0)),"")</f>
        <v/>
      </c>
      <c r="AC495" s="39" t="str">
        <f t="array" ref="AC495">IFERROR(INDEX(Bids!$AB:$AB, MATCH(C495&amp;"|"&amp;B495, Bids!$AD:$AD,0)),"")</f>
        <v/>
      </c>
      <c r="AD495" s="39" t="str">
        <f t="array" ref="AD495">IFERROR(INDEX(Bids!$AC:$AC, MATCH(C495&amp;"|"&amp;B495, Bids!$AD:$AD,0)), H495)</f>
        <v/>
      </c>
      <c r="AE495" s="39"/>
      <c r="AG495" s="39"/>
      <c r="AH495" s="39" t="str">
        <f t="shared" si="5"/>
        <v/>
      </c>
      <c r="AI495" s="39" t="str">
        <f t="shared" si="6"/>
        <v/>
      </c>
      <c r="AM495" s="39" t="str">
        <f t="array" ref="AM495">IF(C495="","",IFERROR(XLOOKUP(C495,Orders!$A:$A,Orders!$E:$E,""),""))</f>
        <v/>
      </c>
      <c r="AN495" s="39" t="str">
        <f t="shared" si="7"/>
        <v/>
      </c>
      <c r="AO495" s="39" t="str">
        <f t="shared" si="8"/>
        <v/>
      </c>
      <c r="AP495" s="39" t="str">
        <f t="shared" si="9"/>
        <v/>
      </c>
      <c r="AQ495" s="39" t="str">
        <f t="shared" si="10"/>
        <v/>
      </c>
      <c r="AR495" s="39" t="str">
        <f t="shared" si="11"/>
        <v/>
      </c>
      <c r="AS495" s="39" t="str">
        <f t="shared" si="12"/>
        <v/>
      </c>
      <c r="AT495" s="39" t="str">
        <f t="shared" si="13"/>
        <v/>
      </c>
      <c r="AU495" s="39" t="str">
        <f t="shared" si="14"/>
        <v/>
      </c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 t="str">
        <f t="shared" si="1"/>
        <v/>
      </c>
      <c r="J496" s="22" t="str">
        <f t="shared" si="2"/>
        <v/>
      </c>
      <c r="K496" s="22"/>
      <c r="L496" s="22"/>
      <c r="M496" s="22"/>
      <c r="N496" s="22"/>
      <c r="O496" s="22"/>
      <c r="P496" s="22" t="str">
        <f t="shared" si="4"/>
        <v/>
      </c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39" t="str">
        <f t="array" ref="AB496">IFERROR(INDEX(Bids!$AA:$AA, MATCH(C496&amp;"|"&amp;B496, Bids!$AD:$AD,0)),"")</f>
        <v/>
      </c>
      <c r="AC496" s="39" t="str">
        <f t="array" ref="AC496">IFERROR(INDEX(Bids!$AB:$AB, MATCH(C496&amp;"|"&amp;B496, Bids!$AD:$AD,0)),"")</f>
        <v/>
      </c>
      <c r="AD496" s="39" t="str">
        <f t="array" ref="AD496">IFERROR(INDEX(Bids!$AC:$AC, MATCH(C496&amp;"|"&amp;B496, Bids!$AD:$AD,0)), H496)</f>
        <v/>
      </c>
      <c r="AE496" s="39"/>
      <c r="AG496" s="39"/>
      <c r="AH496" s="39" t="str">
        <f t="shared" si="5"/>
        <v/>
      </c>
      <c r="AI496" s="39" t="str">
        <f t="shared" si="6"/>
        <v/>
      </c>
      <c r="AM496" s="39" t="str">
        <f t="array" ref="AM496">IF(C496="","",IFERROR(XLOOKUP(C496,Orders!$A:$A,Orders!$E:$E,""),""))</f>
        <v/>
      </c>
      <c r="AN496" s="39" t="str">
        <f t="shared" si="7"/>
        <v/>
      </c>
      <c r="AO496" s="39" t="str">
        <f t="shared" si="8"/>
        <v/>
      </c>
      <c r="AP496" s="39" t="str">
        <f t="shared" si="9"/>
        <v/>
      </c>
      <c r="AQ496" s="39" t="str">
        <f t="shared" si="10"/>
        <v/>
      </c>
      <c r="AR496" s="39" t="str">
        <f t="shared" si="11"/>
        <v/>
      </c>
      <c r="AS496" s="39" t="str">
        <f t="shared" si="12"/>
        <v/>
      </c>
      <c r="AT496" s="39" t="str">
        <f t="shared" si="13"/>
        <v/>
      </c>
      <c r="AU496" s="39" t="str">
        <f t="shared" si="14"/>
        <v/>
      </c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 t="str">
        <f t="shared" si="1"/>
        <v/>
      </c>
      <c r="J497" s="22" t="str">
        <f t="shared" si="2"/>
        <v/>
      </c>
      <c r="K497" s="22"/>
      <c r="L497" s="22"/>
      <c r="M497" s="22"/>
      <c r="N497" s="22"/>
      <c r="O497" s="22"/>
      <c r="P497" s="22" t="str">
        <f t="shared" si="4"/>
        <v/>
      </c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39" t="str">
        <f t="array" ref="AB497">IFERROR(INDEX(Bids!$AA:$AA, MATCH(C497&amp;"|"&amp;B497, Bids!$AD:$AD,0)),"")</f>
        <v/>
      </c>
      <c r="AC497" s="39" t="str">
        <f t="array" ref="AC497">IFERROR(INDEX(Bids!$AB:$AB, MATCH(C497&amp;"|"&amp;B497, Bids!$AD:$AD,0)),"")</f>
        <v/>
      </c>
      <c r="AD497" s="39" t="str">
        <f t="array" ref="AD497">IFERROR(INDEX(Bids!$AC:$AC, MATCH(C497&amp;"|"&amp;B497, Bids!$AD:$AD,0)), H497)</f>
        <v/>
      </c>
      <c r="AE497" s="39"/>
      <c r="AG497" s="39"/>
      <c r="AH497" s="39" t="str">
        <f t="shared" si="5"/>
        <v/>
      </c>
      <c r="AI497" s="39" t="str">
        <f t="shared" si="6"/>
        <v/>
      </c>
      <c r="AM497" s="39" t="str">
        <f t="array" ref="AM497">IF(C497="","",IFERROR(XLOOKUP(C497,Orders!$A:$A,Orders!$E:$E,""),""))</f>
        <v/>
      </c>
      <c r="AN497" s="39" t="str">
        <f t="shared" si="7"/>
        <v/>
      </c>
      <c r="AO497" s="39" t="str">
        <f t="shared" si="8"/>
        <v/>
      </c>
      <c r="AP497" s="39" t="str">
        <f t="shared" si="9"/>
        <v/>
      </c>
      <c r="AQ497" s="39" t="str">
        <f t="shared" si="10"/>
        <v/>
      </c>
      <c r="AR497" s="39" t="str">
        <f t="shared" si="11"/>
        <v/>
      </c>
      <c r="AS497" s="39" t="str">
        <f t="shared" si="12"/>
        <v/>
      </c>
      <c r="AT497" s="39" t="str">
        <f t="shared" si="13"/>
        <v/>
      </c>
      <c r="AU497" s="39" t="str">
        <f t="shared" si="14"/>
        <v/>
      </c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 t="str">
        <f t="shared" si="1"/>
        <v/>
      </c>
      <c r="J498" s="22" t="str">
        <f t="shared" si="2"/>
        <v/>
      </c>
      <c r="K498" s="22"/>
      <c r="L498" s="22"/>
      <c r="M498" s="22"/>
      <c r="N498" s="22"/>
      <c r="O498" s="22"/>
      <c r="P498" s="22" t="str">
        <f t="shared" si="4"/>
        <v/>
      </c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39" t="str">
        <f t="array" ref="AB498">IFERROR(INDEX(Bids!$AA:$AA, MATCH(C498&amp;"|"&amp;B498, Bids!$AD:$AD,0)),"")</f>
        <v/>
      </c>
      <c r="AC498" s="39" t="str">
        <f t="array" ref="AC498">IFERROR(INDEX(Bids!$AB:$AB, MATCH(C498&amp;"|"&amp;B498, Bids!$AD:$AD,0)),"")</f>
        <v/>
      </c>
      <c r="AD498" s="39" t="str">
        <f t="array" ref="AD498">IFERROR(INDEX(Bids!$AC:$AC, MATCH(C498&amp;"|"&amp;B498, Bids!$AD:$AD,0)), H498)</f>
        <v/>
      </c>
      <c r="AE498" s="39"/>
      <c r="AG498" s="39"/>
      <c r="AH498" s="39" t="str">
        <f t="shared" si="5"/>
        <v/>
      </c>
      <c r="AI498" s="39" t="str">
        <f t="shared" si="6"/>
        <v/>
      </c>
      <c r="AM498" s="39" t="str">
        <f t="array" ref="AM498">IF(C498="","",IFERROR(XLOOKUP(C498,Orders!$A:$A,Orders!$E:$E,""),""))</f>
        <v/>
      </c>
      <c r="AN498" s="39" t="str">
        <f t="shared" si="7"/>
        <v/>
      </c>
      <c r="AO498" s="39" t="str">
        <f t="shared" si="8"/>
        <v/>
      </c>
      <c r="AP498" s="39" t="str">
        <f t="shared" si="9"/>
        <v/>
      </c>
      <c r="AQ498" s="39" t="str">
        <f t="shared" si="10"/>
        <v/>
      </c>
      <c r="AR498" s="39" t="str">
        <f t="shared" si="11"/>
        <v/>
      </c>
      <c r="AS498" s="39" t="str">
        <f t="shared" si="12"/>
        <v/>
      </c>
      <c r="AT498" s="39" t="str">
        <f t="shared" si="13"/>
        <v/>
      </c>
      <c r="AU498" s="39" t="str">
        <f t="shared" si="14"/>
        <v/>
      </c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 t="str">
        <f t="shared" si="1"/>
        <v/>
      </c>
      <c r="J499" s="22" t="str">
        <f t="shared" si="2"/>
        <v/>
      </c>
      <c r="K499" s="22"/>
      <c r="L499" s="22"/>
      <c r="M499" s="22"/>
      <c r="N499" s="22"/>
      <c r="O499" s="22"/>
      <c r="P499" s="22" t="str">
        <f t="shared" si="4"/>
        <v/>
      </c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39" t="str">
        <f t="array" ref="AB499">IFERROR(INDEX(Bids!$AA:$AA, MATCH(C499&amp;"|"&amp;B499, Bids!$AD:$AD,0)),"")</f>
        <v/>
      </c>
      <c r="AC499" s="39" t="str">
        <f t="array" ref="AC499">IFERROR(INDEX(Bids!$AB:$AB, MATCH(C499&amp;"|"&amp;B499, Bids!$AD:$AD,0)),"")</f>
        <v/>
      </c>
      <c r="AD499" s="39" t="str">
        <f t="array" ref="AD499">IFERROR(INDEX(Bids!$AC:$AC, MATCH(C499&amp;"|"&amp;B499, Bids!$AD:$AD,0)), H499)</f>
        <v/>
      </c>
      <c r="AE499" s="39"/>
      <c r="AG499" s="39"/>
      <c r="AH499" s="39" t="str">
        <f t="shared" si="5"/>
        <v/>
      </c>
      <c r="AI499" s="39" t="str">
        <f t="shared" si="6"/>
        <v/>
      </c>
      <c r="AM499" s="39" t="str">
        <f t="array" ref="AM499">IF(C499="","",IFERROR(XLOOKUP(C499,Orders!$A:$A,Orders!$E:$E,""),""))</f>
        <v/>
      </c>
      <c r="AN499" s="39" t="str">
        <f t="shared" si="7"/>
        <v/>
      </c>
      <c r="AO499" s="39" t="str">
        <f t="shared" si="8"/>
        <v/>
      </c>
      <c r="AP499" s="39" t="str">
        <f t="shared" si="9"/>
        <v/>
      </c>
      <c r="AQ499" s="39" t="str">
        <f t="shared" si="10"/>
        <v/>
      </c>
      <c r="AR499" s="39" t="str">
        <f t="shared" si="11"/>
        <v/>
      </c>
      <c r="AS499" s="39" t="str">
        <f t="shared" si="12"/>
        <v/>
      </c>
      <c r="AT499" s="39" t="str">
        <f t="shared" si="13"/>
        <v/>
      </c>
      <c r="AU499" s="39" t="str">
        <f t="shared" si="14"/>
        <v/>
      </c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 t="str">
        <f t="shared" si="1"/>
        <v/>
      </c>
      <c r="J500" s="22" t="str">
        <f t="shared" si="2"/>
        <v/>
      </c>
      <c r="K500" s="22"/>
      <c r="L500" s="22"/>
      <c r="M500" s="22"/>
      <c r="N500" s="22"/>
      <c r="O500" s="22"/>
      <c r="P500" s="22" t="str">
        <f t="shared" si="4"/>
        <v/>
      </c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39" t="str">
        <f t="array" ref="AB500">IFERROR(INDEX(Bids!$AA:$AA, MATCH(C500&amp;"|"&amp;B500, Bids!$AD:$AD,0)),"")</f>
        <v/>
      </c>
      <c r="AC500" s="39" t="str">
        <f t="array" ref="AC500">IFERROR(INDEX(Bids!$AB:$AB, MATCH(C500&amp;"|"&amp;B500, Bids!$AD:$AD,0)),"")</f>
        <v/>
      </c>
      <c r="AD500" s="39" t="str">
        <f t="array" ref="AD500">IFERROR(INDEX(Bids!$AC:$AC, MATCH(C500&amp;"|"&amp;B500, Bids!$AD:$AD,0)), H500)</f>
        <v/>
      </c>
      <c r="AE500" s="39"/>
      <c r="AG500" s="39"/>
      <c r="AH500" s="39" t="str">
        <f t="shared" si="5"/>
        <v/>
      </c>
      <c r="AI500" s="39" t="str">
        <f t="shared" si="6"/>
        <v/>
      </c>
      <c r="AM500" s="39" t="str">
        <f t="array" ref="AM500">IF(C500="","",IFERROR(XLOOKUP(C500,Orders!$A:$A,Orders!$E:$E,""),""))</f>
        <v/>
      </c>
      <c r="AN500" s="39" t="str">
        <f t="shared" si="7"/>
        <v/>
      </c>
      <c r="AO500" s="39" t="str">
        <f t="shared" si="8"/>
        <v/>
      </c>
      <c r="AP500" s="39" t="str">
        <f t="shared" si="9"/>
        <v/>
      </c>
      <c r="AQ500" s="39" t="str">
        <f t="shared" si="10"/>
        <v/>
      </c>
      <c r="AR500" s="39" t="str">
        <f t="shared" si="11"/>
        <v/>
      </c>
      <c r="AS500" s="39" t="str">
        <f t="shared" si="12"/>
        <v/>
      </c>
      <c r="AT500" s="39" t="str">
        <f t="shared" si="13"/>
        <v/>
      </c>
      <c r="AU500" s="39" t="str">
        <f t="shared" si="14"/>
        <v/>
      </c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 t="str">
        <f t="shared" si="1"/>
        <v/>
      </c>
      <c r="J501" s="22" t="str">
        <f t="shared" si="2"/>
        <v/>
      </c>
      <c r="K501" s="22"/>
      <c r="L501" s="22"/>
      <c r="M501" s="22"/>
      <c r="N501" s="22"/>
      <c r="O501" s="22"/>
      <c r="P501" s="22" t="str">
        <f t="shared" si="4"/>
        <v/>
      </c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39" t="str">
        <f t="array" ref="AB501">IFERROR(INDEX(Bids!$AA:$AA, MATCH(C501&amp;"|"&amp;B501, Bids!$AD:$AD,0)),"")</f>
        <v/>
      </c>
      <c r="AC501" s="39" t="str">
        <f t="array" ref="AC501">IFERROR(INDEX(Bids!$AB:$AB, MATCH(C501&amp;"|"&amp;B501, Bids!$AD:$AD,0)),"")</f>
        <v/>
      </c>
      <c r="AD501" s="39" t="str">
        <f t="array" ref="AD501">IFERROR(INDEX(Bids!$AC:$AC, MATCH(C501&amp;"|"&amp;B501, Bids!$AD:$AD,0)), H501)</f>
        <v/>
      </c>
      <c r="AE501" s="39"/>
      <c r="AG501" s="39"/>
      <c r="AH501" s="39" t="str">
        <f t="shared" si="5"/>
        <v/>
      </c>
      <c r="AI501" s="39" t="str">
        <f t="shared" si="6"/>
        <v/>
      </c>
      <c r="AM501" s="39" t="str">
        <f t="array" ref="AM501">IF(C501="","",IFERROR(XLOOKUP(C501,Orders!$A:$A,Orders!$E:$E,""),""))</f>
        <v/>
      </c>
      <c r="AN501" s="39" t="str">
        <f t="shared" si="7"/>
        <v/>
      </c>
      <c r="AO501" s="39" t="str">
        <f t="shared" si="8"/>
        <v/>
      </c>
      <c r="AP501" s="39" t="str">
        <f t="shared" si="9"/>
        <v/>
      </c>
      <c r="AQ501" s="39" t="str">
        <f t="shared" si="10"/>
        <v/>
      </c>
      <c r="AR501" s="39" t="str">
        <f t="shared" si="11"/>
        <v/>
      </c>
      <c r="AS501" s="39" t="str">
        <f t="shared" si="12"/>
        <v/>
      </c>
      <c r="AT501" s="39" t="str">
        <f t="shared" si="13"/>
        <v/>
      </c>
      <c r="AU501" s="39" t="str">
        <f t="shared" si="14"/>
        <v/>
      </c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 t="str">
        <f t="shared" si="1"/>
        <v/>
      </c>
      <c r="J502" s="22" t="str">
        <f t="shared" si="2"/>
        <v/>
      </c>
      <c r="K502" s="22"/>
      <c r="L502" s="22"/>
      <c r="M502" s="22"/>
      <c r="N502" s="22"/>
      <c r="O502" s="22"/>
      <c r="P502" s="22" t="str">
        <f t="shared" si="4"/>
        <v/>
      </c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39" t="str">
        <f t="array" ref="AB502">IFERROR(INDEX(Bids!$AA:$AA, MATCH(C502&amp;"|"&amp;B502, Bids!$AD:$AD,0)),"")</f>
        <v/>
      </c>
      <c r="AC502" s="39" t="str">
        <f t="array" ref="AC502">IFERROR(INDEX(Bids!$AB:$AB, MATCH(C502&amp;"|"&amp;B502, Bids!$AD:$AD,0)),"")</f>
        <v/>
      </c>
      <c r="AD502" s="39" t="str">
        <f t="array" ref="AD502">IFERROR(INDEX(Bids!$AC:$AC, MATCH(C502&amp;"|"&amp;B502, Bids!$AD:$AD,0)), H502)</f>
        <v/>
      </c>
      <c r="AE502" s="39"/>
      <c r="AG502" s="39"/>
      <c r="AH502" s="39" t="str">
        <f t="shared" si="5"/>
        <v/>
      </c>
      <c r="AI502" s="39" t="str">
        <f t="shared" si="6"/>
        <v/>
      </c>
      <c r="AM502" s="39" t="str">
        <f t="array" ref="AM502">IF(C502="","",IFERROR(XLOOKUP(C502,Orders!$A:$A,Orders!$E:$E,""),""))</f>
        <v/>
      </c>
      <c r="AN502" s="39" t="str">
        <f t="shared" si="7"/>
        <v/>
      </c>
      <c r="AO502" s="39" t="str">
        <f t="shared" si="8"/>
        <v/>
      </c>
      <c r="AP502" s="39" t="str">
        <f t="shared" si="9"/>
        <v/>
      </c>
      <c r="AQ502" s="39" t="str">
        <f t="shared" si="10"/>
        <v/>
      </c>
      <c r="AR502" s="39" t="str">
        <f t="shared" si="11"/>
        <v/>
      </c>
      <c r="AS502" s="39" t="str">
        <f t="shared" si="12"/>
        <v/>
      </c>
      <c r="AT502" s="39" t="str">
        <f t="shared" si="13"/>
        <v/>
      </c>
      <c r="AU502" s="39" t="str">
        <f t="shared" si="14"/>
        <v/>
      </c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 t="str">
        <f t="shared" si="1"/>
        <v/>
      </c>
      <c r="J503" s="22" t="str">
        <f t="shared" si="2"/>
        <v/>
      </c>
      <c r="K503" s="22"/>
      <c r="L503" s="22"/>
      <c r="M503" s="22"/>
      <c r="N503" s="22"/>
      <c r="O503" s="22"/>
      <c r="P503" s="22" t="str">
        <f t="shared" si="4"/>
        <v/>
      </c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39" t="str">
        <f t="array" ref="AB503">IFERROR(INDEX(Bids!$AA:$AA, MATCH(C503&amp;"|"&amp;B503, Bids!$AD:$AD,0)),"")</f>
        <v/>
      </c>
      <c r="AC503" s="39" t="str">
        <f t="array" ref="AC503">IFERROR(INDEX(Bids!$AB:$AB, MATCH(C503&amp;"|"&amp;B503, Bids!$AD:$AD,0)),"")</f>
        <v/>
      </c>
      <c r="AD503" s="39" t="str">
        <f t="array" ref="AD503">IFERROR(INDEX(Bids!$AC:$AC, MATCH(C503&amp;"|"&amp;B503, Bids!$AD:$AD,0)), H503)</f>
        <v/>
      </c>
      <c r="AE503" s="39"/>
      <c r="AG503" s="39"/>
      <c r="AH503" s="39" t="str">
        <f t="shared" si="5"/>
        <v/>
      </c>
      <c r="AI503" s="39" t="str">
        <f t="shared" si="6"/>
        <v/>
      </c>
      <c r="AM503" s="39" t="str">
        <f t="array" ref="AM503">IF(C503="","",IFERROR(XLOOKUP(C503,Orders!$A:$A,Orders!$E:$E,""),""))</f>
        <v/>
      </c>
      <c r="AN503" s="39" t="str">
        <f t="shared" si="7"/>
        <v/>
      </c>
      <c r="AO503" s="39" t="str">
        <f t="shared" si="8"/>
        <v/>
      </c>
      <c r="AP503" s="39" t="str">
        <f t="shared" si="9"/>
        <v/>
      </c>
      <c r="AQ503" s="39" t="str">
        <f t="shared" si="10"/>
        <v/>
      </c>
      <c r="AR503" s="39" t="str">
        <f t="shared" si="11"/>
        <v/>
      </c>
      <c r="AS503" s="39" t="str">
        <f t="shared" si="12"/>
        <v/>
      </c>
      <c r="AT503" s="39" t="str">
        <f t="shared" si="13"/>
        <v/>
      </c>
      <c r="AU503" s="39" t="str">
        <f t="shared" si="14"/>
        <v/>
      </c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 t="str">
        <f t="shared" si="1"/>
        <v/>
      </c>
      <c r="J504" s="22" t="str">
        <f t="shared" si="2"/>
        <v/>
      </c>
      <c r="K504" s="22"/>
      <c r="L504" s="22"/>
      <c r="M504" s="22"/>
      <c r="N504" s="22"/>
      <c r="O504" s="22"/>
      <c r="P504" s="22" t="str">
        <f t="shared" si="4"/>
        <v/>
      </c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39" t="str">
        <f t="array" ref="AB504">IFERROR(INDEX(Bids!$AA:$AA, MATCH(C504&amp;"|"&amp;B504, Bids!$AD:$AD,0)),"")</f>
        <v/>
      </c>
      <c r="AC504" s="39" t="str">
        <f t="array" ref="AC504">IFERROR(INDEX(Bids!$AB:$AB, MATCH(C504&amp;"|"&amp;B504, Bids!$AD:$AD,0)),"")</f>
        <v/>
      </c>
      <c r="AD504" s="39" t="str">
        <f t="array" ref="AD504">IFERROR(INDEX(Bids!$AC:$AC, MATCH(C504&amp;"|"&amp;B504, Bids!$AD:$AD,0)), H504)</f>
        <v/>
      </c>
      <c r="AE504" s="39"/>
      <c r="AG504" s="39"/>
      <c r="AH504" s="39" t="str">
        <f t="shared" si="5"/>
        <v/>
      </c>
      <c r="AI504" s="39" t="str">
        <f t="shared" si="6"/>
        <v/>
      </c>
      <c r="AM504" s="39" t="str">
        <f t="array" ref="AM504">IF(C504="","",IFERROR(XLOOKUP(C504,Orders!$A:$A,Orders!$E:$E,""),""))</f>
        <v/>
      </c>
      <c r="AN504" s="39" t="str">
        <f t="shared" si="7"/>
        <v/>
      </c>
      <c r="AO504" s="39" t="str">
        <f t="shared" si="8"/>
        <v/>
      </c>
      <c r="AP504" s="39" t="str">
        <f t="shared" si="9"/>
        <v/>
      </c>
      <c r="AQ504" s="39" t="str">
        <f t="shared" si="10"/>
        <v/>
      </c>
      <c r="AR504" s="39" t="str">
        <f t="shared" si="11"/>
        <v/>
      </c>
      <c r="AS504" s="39" t="str">
        <f t="shared" si="12"/>
        <v/>
      </c>
      <c r="AT504" s="39" t="str">
        <f t="shared" si="13"/>
        <v/>
      </c>
      <c r="AU504" s="39" t="str">
        <f t="shared" si="14"/>
        <v/>
      </c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 t="str">
        <f t="shared" si="4"/>
        <v/>
      </c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C505" s="39"/>
      <c r="AE505" s="39"/>
      <c r="AG505" s="39"/>
      <c r="AH505" s="39" t="str">
        <f t="shared" si="5"/>
        <v/>
      </c>
      <c r="AI505" s="39" t="str">
        <f t="shared" si="6"/>
        <v/>
      </c>
      <c r="AM505" s="39" t="str">
        <f t="array" ref="AM505">IF(C505="","",IFERROR(XLOOKUP(C505,Orders!$A:$A,Orders!$E:$E,""),""))</f>
        <v/>
      </c>
      <c r="AN505" s="39" t="str">
        <f t="shared" si="7"/>
        <v/>
      </c>
      <c r="AO505" s="39" t="str">
        <f t="shared" si="8"/>
        <v/>
      </c>
      <c r="AP505" s="39" t="str">
        <f t="shared" si="9"/>
        <v/>
      </c>
      <c r="AQ505" s="39" t="str">
        <f t="shared" si="10"/>
        <v/>
      </c>
      <c r="AR505" s="39" t="str">
        <f t="shared" si="11"/>
        <v/>
      </c>
      <c r="AS505" s="39" t="str">
        <f t="shared" si="12"/>
        <v/>
      </c>
      <c r="AT505" s="39" t="str">
        <f t="shared" si="13"/>
        <v/>
      </c>
      <c r="AU505" s="39" t="str">
        <f t="shared" si="14"/>
        <v/>
      </c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 t="str">
        <f t="shared" si="4"/>
        <v/>
      </c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E506" s="39"/>
      <c r="AG506" s="39"/>
      <c r="AH506" s="39" t="str">
        <f t="shared" si="5"/>
        <v/>
      </c>
      <c r="AI506" s="39" t="str">
        <f t="shared" si="6"/>
        <v/>
      </c>
      <c r="AM506" s="39" t="str">
        <f t="array" ref="AM506">IF(C506="","",IFERROR(XLOOKUP(C506,Orders!$A:$A,Orders!$E:$E,""),""))</f>
        <v/>
      </c>
      <c r="AN506" s="39" t="str">
        <f t="shared" si="7"/>
        <v/>
      </c>
      <c r="AO506" s="39" t="str">
        <f t="shared" si="8"/>
        <v/>
      </c>
      <c r="AP506" s="39" t="str">
        <f t="shared" si="9"/>
        <v/>
      </c>
      <c r="AQ506" s="39" t="str">
        <f t="shared" si="10"/>
        <v/>
      </c>
      <c r="AR506" s="39" t="str">
        <f t="shared" si="11"/>
        <v/>
      </c>
      <c r="AS506" s="39" t="str">
        <f t="shared" si="12"/>
        <v/>
      </c>
      <c r="AT506" s="39" t="str">
        <f t="shared" si="13"/>
        <v/>
      </c>
      <c r="AU506" s="39" t="str">
        <f t="shared" si="14"/>
        <v/>
      </c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 t="str">
        <f t="shared" si="4"/>
        <v/>
      </c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E507" s="39"/>
      <c r="AG507" s="39"/>
      <c r="AH507" s="39" t="str">
        <f t="shared" si="5"/>
        <v/>
      </c>
      <c r="AI507" s="39" t="str">
        <f t="shared" si="6"/>
        <v/>
      </c>
      <c r="AM507" s="39" t="str">
        <f t="array" ref="AM507">IF(C507="","",IFERROR(XLOOKUP(C507,Orders!$A:$A,Orders!$E:$E,""),""))</f>
        <v/>
      </c>
      <c r="AN507" s="39" t="str">
        <f t="shared" si="7"/>
        <v/>
      </c>
      <c r="AO507" s="39" t="str">
        <f t="shared" si="8"/>
        <v/>
      </c>
      <c r="AP507" s="39" t="str">
        <f t="shared" si="9"/>
        <v/>
      </c>
      <c r="AQ507" s="39" t="str">
        <f t="shared" si="10"/>
        <v/>
      </c>
      <c r="AR507" s="39" t="str">
        <f t="shared" si="11"/>
        <v/>
      </c>
      <c r="AS507" s="39" t="str">
        <f t="shared" si="12"/>
        <v/>
      </c>
      <c r="AT507" s="39" t="str">
        <f t="shared" si="13"/>
        <v/>
      </c>
      <c r="AU507" s="39" t="str">
        <f t="shared" si="14"/>
        <v/>
      </c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 t="str">
        <f t="shared" si="4"/>
        <v/>
      </c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E508" s="39"/>
      <c r="AG508" s="39"/>
      <c r="AH508" s="39" t="str">
        <f t="shared" si="5"/>
        <v/>
      </c>
      <c r="AI508" s="39" t="str">
        <f t="shared" si="6"/>
        <v/>
      </c>
      <c r="AM508" s="39" t="str">
        <f t="array" ref="AM508">IF(C508="","",IFERROR(XLOOKUP(C508,Orders!$A:$A,Orders!$E:$E,""),""))</f>
        <v/>
      </c>
      <c r="AN508" s="39" t="str">
        <f t="shared" si="7"/>
        <v/>
      </c>
      <c r="AO508" s="39" t="str">
        <f t="shared" si="8"/>
        <v/>
      </c>
      <c r="AP508" s="39" t="str">
        <f t="shared" si="9"/>
        <v/>
      </c>
      <c r="AQ508" s="39" t="str">
        <f t="shared" si="10"/>
        <v/>
      </c>
      <c r="AR508" s="39" t="str">
        <f t="shared" si="11"/>
        <v/>
      </c>
      <c r="AS508" s="39" t="str">
        <f t="shared" si="12"/>
        <v/>
      </c>
      <c r="AT508" s="39" t="str">
        <f t="shared" si="13"/>
        <v/>
      </c>
      <c r="AU508" s="39" t="str">
        <f t="shared" si="14"/>
        <v/>
      </c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 t="str">
        <f t="shared" si="4"/>
        <v/>
      </c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E509" s="39"/>
      <c r="AG509" s="39"/>
      <c r="AH509" s="39" t="str">
        <f t="shared" si="5"/>
        <v/>
      </c>
      <c r="AI509" s="39" t="str">
        <f t="shared" si="6"/>
        <v/>
      </c>
      <c r="AM509" s="39" t="str">
        <f t="array" ref="AM509">IF(C509="","",IFERROR(XLOOKUP(C509,Orders!$A:$A,Orders!$E:$E,""),""))</f>
        <v/>
      </c>
      <c r="AN509" s="39" t="str">
        <f t="shared" si="7"/>
        <v/>
      </c>
      <c r="AO509" s="39" t="str">
        <f t="shared" si="8"/>
        <v/>
      </c>
      <c r="AP509" s="39" t="str">
        <f t="shared" si="9"/>
        <v/>
      </c>
      <c r="AQ509" s="39" t="str">
        <f t="shared" si="10"/>
        <v/>
      </c>
      <c r="AR509" s="39" t="str">
        <f t="shared" si="11"/>
        <v/>
      </c>
      <c r="AS509" s="39" t="str">
        <f t="shared" si="12"/>
        <v/>
      </c>
      <c r="AT509" s="39" t="str">
        <f t="shared" si="13"/>
        <v/>
      </c>
      <c r="AU509" s="39" t="str">
        <f t="shared" si="14"/>
        <v/>
      </c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 t="str">
        <f t="shared" si="4"/>
        <v/>
      </c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E510" s="39"/>
      <c r="AG510" s="39"/>
      <c r="AH510" s="39" t="str">
        <f t="shared" si="5"/>
        <v/>
      </c>
      <c r="AI510" s="39" t="str">
        <f t="shared" si="6"/>
        <v/>
      </c>
      <c r="AM510" s="39" t="str">
        <f t="array" ref="AM510">IF(C510="","",IFERROR(XLOOKUP(C510,Orders!$A:$A,Orders!$E:$E,""),""))</f>
        <v/>
      </c>
      <c r="AN510" s="39" t="str">
        <f t="shared" si="7"/>
        <v/>
      </c>
      <c r="AO510" s="39" t="str">
        <f t="shared" si="8"/>
        <v/>
      </c>
      <c r="AP510" s="39" t="str">
        <f t="shared" si="9"/>
        <v/>
      </c>
      <c r="AQ510" s="39" t="str">
        <f t="shared" si="10"/>
        <v/>
      </c>
      <c r="AR510" s="39" t="str">
        <f t="shared" si="11"/>
        <v/>
      </c>
      <c r="AS510" s="39" t="str">
        <f t="shared" si="12"/>
        <v/>
      </c>
      <c r="AT510" s="39" t="str">
        <f t="shared" si="13"/>
        <v/>
      </c>
      <c r="AU510" s="39" t="str">
        <f t="shared" si="14"/>
        <v/>
      </c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 t="str">
        <f t="shared" si="4"/>
        <v/>
      </c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E511" s="39"/>
      <c r="AG511" s="39"/>
      <c r="AH511" s="39" t="str">
        <f t="shared" si="5"/>
        <v/>
      </c>
      <c r="AI511" s="39" t="str">
        <f t="shared" si="6"/>
        <v/>
      </c>
      <c r="AM511" s="39" t="str">
        <f t="array" ref="AM511">IF(C511="","",IFERROR(XLOOKUP(C511,Orders!$A:$A,Orders!$E:$E,""),""))</f>
        <v/>
      </c>
      <c r="AN511" s="39" t="str">
        <f t="shared" si="7"/>
        <v/>
      </c>
      <c r="AO511" s="39" t="str">
        <f t="shared" si="8"/>
        <v/>
      </c>
      <c r="AP511" s="39" t="str">
        <f t="shared" si="9"/>
        <v/>
      </c>
      <c r="AQ511" s="39" t="str">
        <f t="shared" si="10"/>
        <v/>
      </c>
      <c r="AR511" s="39" t="str">
        <f t="shared" si="11"/>
        <v/>
      </c>
      <c r="AS511" s="39" t="str">
        <f t="shared" si="12"/>
        <v/>
      </c>
      <c r="AT511" s="39" t="str">
        <f t="shared" si="13"/>
        <v/>
      </c>
      <c r="AU511" s="39" t="str">
        <f t="shared" si="14"/>
        <v/>
      </c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 t="str">
        <f t="shared" si="4"/>
        <v/>
      </c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E512" s="39"/>
      <c r="AG512" s="39"/>
      <c r="AH512" s="39" t="str">
        <f t="shared" si="5"/>
        <v/>
      </c>
      <c r="AI512" s="39" t="str">
        <f t="shared" si="6"/>
        <v/>
      </c>
      <c r="AM512" s="39" t="str">
        <f t="array" ref="AM512">IF(C512="","",IFERROR(XLOOKUP(C512,Orders!$A:$A,Orders!$E:$E,""),""))</f>
        <v/>
      </c>
      <c r="AN512" s="39" t="str">
        <f t="shared" si="7"/>
        <v/>
      </c>
      <c r="AO512" s="39" t="str">
        <f t="shared" si="8"/>
        <v/>
      </c>
      <c r="AP512" s="39" t="str">
        <f t="shared" si="9"/>
        <v/>
      </c>
      <c r="AQ512" s="39" t="str">
        <f t="shared" si="10"/>
        <v/>
      </c>
      <c r="AR512" s="39" t="str">
        <f t="shared" si="11"/>
        <v/>
      </c>
      <c r="AS512" s="39" t="str">
        <f t="shared" si="12"/>
        <v/>
      </c>
      <c r="AT512" s="39" t="str">
        <f t="shared" si="13"/>
        <v/>
      </c>
      <c r="AU512" s="39" t="str">
        <f t="shared" si="14"/>
        <v/>
      </c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 t="str">
        <f t="shared" si="4"/>
        <v/>
      </c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E513" s="39"/>
      <c r="AG513" s="39"/>
      <c r="AH513" s="39" t="str">
        <f t="shared" si="5"/>
        <v/>
      </c>
      <c r="AI513" s="39" t="str">
        <f t="shared" si="6"/>
        <v/>
      </c>
      <c r="AM513" s="39" t="str">
        <f t="array" ref="AM513">IF(C513="","",IFERROR(XLOOKUP(C513,Orders!$A:$A,Orders!$E:$E,""),""))</f>
        <v/>
      </c>
      <c r="AN513" s="39" t="str">
        <f t="shared" si="7"/>
        <v/>
      </c>
      <c r="AO513" s="39" t="str">
        <f t="shared" si="8"/>
        <v/>
      </c>
      <c r="AP513" s="39" t="str">
        <f t="shared" si="9"/>
        <v/>
      </c>
      <c r="AQ513" s="39" t="str">
        <f t="shared" si="10"/>
        <v/>
      </c>
      <c r="AR513" s="39" t="str">
        <f t="shared" si="11"/>
        <v/>
      </c>
      <c r="AS513" s="39" t="str">
        <f t="shared" si="12"/>
        <v/>
      </c>
      <c r="AT513" s="39" t="str">
        <f t="shared" si="13"/>
        <v/>
      </c>
      <c r="AU513" s="39" t="str">
        <f t="shared" si="14"/>
        <v/>
      </c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 t="str">
        <f t="shared" si="4"/>
        <v/>
      </c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E514" s="39"/>
      <c r="AG514" s="39"/>
      <c r="AH514" s="39" t="str">
        <f t="shared" si="5"/>
        <v/>
      </c>
      <c r="AI514" s="39" t="str">
        <f t="shared" si="6"/>
        <v/>
      </c>
      <c r="AM514" s="39" t="str">
        <f t="array" ref="AM514">IF(C514="","",IFERROR(XLOOKUP(C514,Orders!$A:$A,Orders!$E:$E,""),""))</f>
        <v/>
      </c>
      <c r="AN514" s="39" t="str">
        <f t="shared" si="7"/>
        <v/>
      </c>
      <c r="AO514" s="39" t="str">
        <f t="shared" si="8"/>
        <v/>
      </c>
      <c r="AP514" s="39" t="str">
        <f t="shared" si="9"/>
        <v/>
      </c>
      <c r="AQ514" s="39" t="str">
        <f t="shared" si="10"/>
        <v/>
      </c>
      <c r="AR514" s="39" t="str">
        <f t="shared" si="11"/>
        <v/>
      </c>
      <c r="AS514" s="39" t="str">
        <f t="shared" si="12"/>
        <v/>
      </c>
      <c r="AT514" s="39" t="str">
        <f t="shared" si="13"/>
        <v/>
      </c>
      <c r="AU514" s="39" t="str">
        <f t="shared" si="14"/>
        <v/>
      </c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 t="str">
        <f t="shared" si="4"/>
        <v/>
      </c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E515" s="39"/>
      <c r="AG515" s="39"/>
      <c r="AH515" s="39" t="str">
        <f t="shared" si="5"/>
        <v/>
      </c>
      <c r="AI515" s="39" t="str">
        <f t="shared" si="6"/>
        <v/>
      </c>
      <c r="AM515" s="39" t="str">
        <f t="array" ref="AM515">IF(C515="","",IFERROR(XLOOKUP(C515,Orders!$A:$A,Orders!$E:$E,""),""))</f>
        <v/>
      </c>
      <c r="AN515" s="39" t="str">
        <f t="shared" si="7"/>
        <v/>
      </c>
      <c r="AO515" s="39" t="str">
        <f t="shared" si="8"/>
        <v/>
      </c>
      <c r="AP515" s="39" t="str">
        <f t="shared" si="9"/>
        <v/>
      </c>
      <c r="AQ515" s="39" t="str">
        <f t="shared" si="10"/>
        <v/>
      </c>
      <c r="AR515" s="39" t="str">
        <f t="shared" si="11"/>
        <v/>
      </c>
      <c r="AS515" s="39" t="str">
        <f t="shared" si="12"/>
        <v/>
      </c>
      <c r="AT515" s="39" t="str">
        <f t="shared" si="13"/>
        <v/>
      </c>
      <c r="AU515" s="39" t="str">
        <f t="shared" si="14"/>
        <v/>
      </c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 t="str">
        <f t="shared" si="4"/>
        <v/>
      </c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E516" s="39"/>
      <c r="AG516" s="39"/>
      <c r="AH516" s="39" t="str">
        <f t="shared" si="5"/>
        <v/>
      </c>
      <c r="AI516" s="39" t="str">
        <f t="shared" si="6"/>
        <v/>
      </c>
      <c r="AM516" s="39" t="str">
        <f t="array" ref="AM516">IF(C516="","",IFERROR(XLOOKUP(C516,Orders!$A:$A,Orders!$E:$E,""),""))</f>
        <v/>
      </c>
      <c r="AN516" s="39" t="str">
        <f t="shared" si="7"/>
        <v/>
      </c>
      <c r="AO516" s="39" t="str">
        <f t="shared" si="8"/>
        <v/>
      </c>
      <c r="AP516" s="39" t="str">
        <f t="shared" si="9"/>
        <v/>
      </c>
      <c r="AQ516" s="39" t="str">
        <f t="shared" si="10"/>
        <v/>
      </c>
      <c r="AR516" s="39" t="str">
        <f t="shared" si="11"/>
        <v/>
      </c>
      <c r="AS516" s="39" t="str">
        <f t="shared" si="12"/>
        <v/>
      </c>
      <c r="AT516" s="39" t="str">
        <f t="shared" si="13"/>
        <v/>
      </c>
      <c r="AU516" s="39" t="str">
        <f t="shared" si="14"/>
        <v/>
      </c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 t="str">
        <f t="shared" si="4"/>
        <v/>
      </c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E517" s="39"/>
      <c r="AG517" s="39"/>
      <c r="AH517" s="39" t="str">
        <f t="shared" si="5"/>
        <v/>
      </c>
      <c r="AI517" s="39" t="str">
        <f t="shared" si="6"/>
        <v/>
      </c>
      <c r="AM517" s="39" t="str">
        <f t="array" ref="AM517">IF(C517="","",IFERROR(XLOOKUP(C517,Orders!$A:$A,Orders!$E:$E,""),""))</f>
        <v/>
      </c>
      <c r="AN517" s="39" t="str">
        <f t="shared" si="7"/>
        <v/>
      </c>
      <c r="AO517" s="39" t="str">
        <f t="shared" si="8"/>
        <v/>
      </c>
      <c r="AP517" s="39" t="str">
        <f t="shared" si="9"/>
        <v/>
      </c>
      <c r="AQ517" s="39" t="str">
        <f t="shared" si="10"/>
        <v/>
      </c>
      <c r="AR517" s="39" t="str">
        <f t="shared" si="11"/>
        <v/>
      </c>
      <c r="AS517" s="39" t="str">
        <f t="shared" si="12"/>
        <v/>
      </c>
      <c r="AT517" s="39" t="str">
        <f t="shared" si="13"/>
        <v/>
      </c>
      <c r="AU517" s="39" t="str">
        <f t="shared" si="14"/>
        <v/>
      </c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 t="str">
        <f t="shared" si="4"/>
        <v/>
      </c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E518" s="39"/>
      <c r="AG518" s="39"/>
      <c r="AH518" s="39" t="str">
        <f t="shared" si="5"/>
        <v/>
      </c>
      <c r="AI518" s="39" t="str">
        <f t="shared" si="6"/>
        <v/>
      </c>
      <c r="AM518" s="39" t="str">
        <f t="array" ref="AM518">IF(C518="","",IFERROR(XLOOKUP(C518,Orders!$A:$A,Orders!$E:$E,""),""))</f>
        <v/>
      </c>
      <c r="AN518" s="39" t="str">
        <f t="shared" si="7"/>
        <v/>
      </c>
      <c r="AO518" s="39" t="str">
        <f t="shared" si="8"/>
        <v/>
      </c>
      <c r="AP518" s="39" t="str">
        <f t="shared" si="9"/>
        <v/>
      </c>
      <c r="AQ518" s="39" t="str">
        <f t="shared" si="10"/>
        <v/>
      </c>
      <c r="AR518" s="39" t="str">
        <f t="shared" si="11"/>
        <v/>
      </c>
      <c r="AS518" s="39" t="str">
        <f t="shared" si="12"/>
        <v/>
      </c>
      <c r="AT518" s="39" t="str">
        <f t="shared" si="13"/>
        <v/>
      </c>
      <c r="AU518" s="39" t="str">
        <f t="shared" si="14"/>
        <v/>
      </c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 t="str">
        <f t="shared" si="4"/>
        <v/>
      </c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E519" s="39"/>
      <c r="AG519" s="39"/>
      <c r="AH519" s="39" t="str">
        <f t="shared" si="5"/>
        <v/>
      </c>
      <c r="AI519" s="39" t="str">
        <f t="shared" si="6"/>
        <v/>
      </c>
      <c r="AM519" s="39" t="str">
        <f t="array" ref="AM519">IF(C519="","",IFERROR(XLOOKUP(C519,Orders!$A:$A,Orders!$E:$E,""),""))</f>
        <v/>
      </c>
      <c r="AN519" s="39" t="str">
        <f t="shared" si="7"/>
        <v/>
      </c>
      <c r="AO519" s="39" t="str">
        <f t="shared" si="8"/>
        <v/>
      </c>
      <c r="AP519" s="39" t="str">
        <f t="shared" si="9"/>
        <v/>
      </c>
      <c r="AQ519" s="39" t="str">
        <f t="shared" si="10"/>
        <v/>
      </c>
      <c r="AR519" s="39" t="str">
        <f t="shared" si="11"/>
        <v/>
      </c>
      <c r="AS519" s="39" t="str">
        <f t="shared" si="12"/>
        <v/>
      </c>
      <c r="AT519" s="39" t="str">
        <f t="shared" si="13"/>
        <v/>
      </c>
      <c r="AU519" s="39" t="str">
        <f t="shared" si="14"/>
        <v/>
      </c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 t="str">
        <f t="shared" si="4"/>
        <v/>
      </c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E520" s="39"/>
      <c r="AG520" s="39"/>
      <c r="AH520" s="39" t="str">
        <f t="shared" si="5"/>
        <v/>
      </c>
      <c r="AI520" s="39" t="str">
        <f t="shared" si="6"/>
        <v/>
      </c>
      <c r="AM520" s="39" t="str">
        <f t="array" ref="AM520">IF(C520="","",IFERROR(XLOOKUP(C520,Orders!$A:$A,Orders!$E:$E,""),""))</f>
        <v/>
      </c>
      <c r="AN520" s="39" t="str">
        <f t="shared" si="7"/>
        <v/>
      </c>
      <c r="AO520" s="39" t="str">
        <f t="shared" si="8"/>
        <v/>
      </c>
      <c r="AP520" s="39" t="str">
        <f t="shared" si="9"/>
        <v/>
      </c>
      <c r="AQ520" s="39" t="str">
        <f t="shared" si="10"/>
        <v/>
      </c>
      <c r="AR520" s="39" t="str">
        <f t="shared" si="11"/>
        <v/>
      </c>
      <c r="AS520" s="39" t="str">
        <f t="shared" si="12"/>
        <v/>
      </c>
      <c r="AT520" s="39" t="str">
        <f t="shared" si="13"/>
        <v/>
      </c>
      <c r="AU520" s="39" t="str">
        <f t="shared" si="14"/>
        <v/>
      </c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 t="str">
        <f t="shared" si="4"/>
        <v/>
      </c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E521" s="39"/>
      <c r="AG521" s="39"/>
      <c r="AH521" s="39" t="str">
        <f t="shared" si="5"/>
        <v/>
      </c>
      <c r="AI521" s="39" t="str">
        <f t="shared" si="6"/>
        <v/>
      </c>
      <c r="AM521" s="39" t="str">
        <f t="array" ref="AM521">IF(C521="","",IFERROR(XLOOKUP(C521,Orders!$A:$A,Orders!$E:$E,""),""))</f>
        <v/>
      </c>
      <c r="AN521" s="39" t="str">
        <f t="shared" si="7"/>
        <v/>
      </c>
      <c r="AO521" s="39" t="str">
        <f t="shared" si="8"/>
        <v/>
      </c>
      <c r="AP521" s="39" t="str">
        <f t="shared" si="9"/>
        <v/>
      </c>
      <c r="AQ521" s="39" t="str">
        <f t="shared" si="10"/>
        <v/>
      </c>
      <c r="AR521" s="39" t="str">
        <f t="shared" si="11"/>
        <v/>
      </c>
      <c r="AS521" s="39" t="str">
        <f t="shared" si="12"/>
        <v/>
      </c>
      <c r="AT521" s="39" t="str">
        <f t="shared" si="13"/>
        <v/>
      </c>
      <c r="AU521" s="39" t="str">
        <f t="shared" si="14"/>
        <v/>
      </c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 t="str">
        <f t="shared" si="4"/>
        <v/>
      </c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E522" s="39"/>
      <c r="AG522" s="39"/>
      <c r="AH522" s="39" t="str">
        <f t="shared" si="5"/>
        <v/>
      </c>
      <c r="AI522" s="39" t="str">
        <f t="shared" si="6"/>
        <v/>
      </c>
      <c r="AM522" s="39" t="str">
        <f t="array" ref="AM522">IF(C522="","",IFERROR(XLOOKUP(C522,Orders!$A:$A,Orders!$E:$E,""),""))</f>
        <v/>
      </c>
      <c r="AN522" s="39" t="str">
        <f t="shared" si="7"/>
        <v/>
      </c>
      <c r="AO522" s="39" t="str">
        <f t="shared" si="8"/>
        <v/>
      </c>
      <c r="AP522" s="39" t="str">
        <f t="shared" si="9"/>
        <v/>
      </c>
      <c r="AQ522" s="39" t="str">
        <f t="shared" si="10"/>
        <v/>
      </c>
      <c r="AR522" s="39" t="str">
        <f t="shared" si="11"/>
        <v/>
      </c>
      <c r="AS522" s="39" t="str">
        <f t="shared" si="12"/>
        <v/>
      </c>
      <c r="AT522" s="39" t="str">
        <f t="shared" si="13"/>
        <v/>
      </c>
      <c r="AU522" s="39" t="str">
        <f t="shared" si="14"/>
        <v/>
      </c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 t="str">
        <f t="shared" si="4"/>
        <v/>
      </c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E523" s="39"/>
      <c r="AG523" s="39"/>
      <c r="AH523" s="39" t="str">
        <f t="shared" si="5"/>
        <v/>
      </c>
      <c r="AI523" s="39" t="str">
        <f t="shared" si="6"/>
        <v/>
      </c>
      <c r="AM523" s="39" t="str">
        <f t="array" ref="AM523">IF(C523="","",IFERROR(XLOOKUP(C523,Orders!$A:$A,Orders!$E:$E,""),""))</f>
        <v/>
      </c>
      <c r="AN523" s="39" t="str">
        <f t="shared" si="7"/>
        <v/>
      </c>
      <c r="AO523" s="39" t="str">
        <f t="shared" si="8"/>
        <v/>
      </c>
      <c r="AP523" s="39" t="str">
        <f t="shared" si="9"/>
        <v/>
      </c>
      <c r="AQ523" s="39" t="str">
        <f t="shared" si="10"/>
        <v/>
      </c>
      <c r="AR523" s="39" t="str">
        <f t="shared" si="11"/>
        <v/>
      </c>
      <c r="AS523" s="39" t="str">
        <f t="shared" si="12"/>
        <v/>
      </c>
      <c r="AT523" s="39" t="str">
        <f t="shared" si="13"/>
        <v/>
      </c>
      <c r="AU523" s="39" t="str">
        <f t="shared" si="14"/>
        <v/>
      </c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 t="str">
        <f t="shared" si="4"/>
        <v/>
      </c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E524" s="39"/>
      <c r="AG524" s="39"/>
      <c r="AH524" s="39" t="str">
        <f t="shared" si="5"/>
        <v/>
      </c>
      <c r="AI524" s="39" t="str">
        <f t="shared" si="6"/>
        <v/>
      </c>
      <c r="AM524" s="39" t="str">
        <f t="array" ref="AM524">IF(C524="","",IFERROR(XLOOKUP(C524,Orders!$A:$A,Orders!$E:$E,""),""))</f>
        <v/>
      </c>
      <c r="AN524" s="39" t="str">
        <f t="shared" si="7"/>
        <v/>
      </c>
      <c r="AO524" s="39" t="str">
        <f t="shared" si="8"/>
        <v/>
      </c>
      <c r="AP524" s="39" t="str">
        <f t="shared" si="9"/>
        <v/>
      </c>
      <c r="AQ524" s="39" t="str">
        <f t="shared" si="10"/>
        <v/>
      </c>
      <c r="AR524" s="39" t="str">
        <f t="shared" si="11"/>
        <v/>
      </c>
      <c r="AS524" s="39" t="str">
        <f t="shared" si="12"/>
        <v/>
      </c>
      <c r="AT524" s="39" t="str">
        <f t="shared" si="13"/>
        <v/>
      </c>
      <c r="AU524" s="39" t="str">
        <f t="shared" si="14"/>
        <v/>
      </c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 t="str">
        <f t="shared" si="4"/>
        <v/>
      </c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E525" s="39"/>
      <c r="AG525" s="39"/>
      <c r="AH525" s="39" t="str">
        <f t="shared" si="5"/>
        <v/>
      </c>
      <c r="AI525" s="39" t="str">
        <f t="shared" si="6"/>
        <v/>
      </c>
      <c r="AM525" s="39" t="str">
        <f t="array" ref="AM525">IF(C525="","",IFERROR(XLOOKUP(C525,Orders!$A:$A,Orders!$E:$E,""),""))</f>
        <v/>
      </c>
      <c r="AN525" s="39" t="str">
        <f t="shared" si="7"/>
        <v/>
      </c>
      <c r="AO525" s="39" t="str">
        <f t="shared" si="8"/>
        <v/>
      </c>
      <c r="AP525" s="39" t="str">
        <f t="shared" si="9"/>
        <v/>
      </c>
      <c r="AQ525" s="39" t="str">
        <f t="shared" si="10"/>
        <v/>
      </c>
      <c r="AR525" s="39" t="str">
        <f t="shared" si="11"/>
        <v/>
      </c>
      <c r="AS525" s="39" t="str">
        <f t="shared" si="12"/>
        <v/>
      </c>
      <c r="AT525" s="39" t="str">
        <f t="shared" si="13"/>
        <v/>
      </c>
      <c r="AU525" s="39" t="str">
        <f t="shared" si="14"/>
        <v/>
      </c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 t="str">
        <f t="shared" si="4"/>
        <v/>
      </c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E526" s="39"/>
      <c r="AG526" s="39"/>
      <c r="AH526" s="39" t="str">
        <f t="shared" si="5"/>
        <v/>
      </c>
      <c r="AI526" s="39" t="str">
        <f t="shared" si="6"/>
        <v/>
      </c>
      <c r="AM526" s="39" t="str">
        <f t="array" ref="AM526">IF(C526="","",IFERROR(XLOOKUP(C526,Orders!$A:$A,Orders!$E:$E,""),""))</f>
        <v/>
      </c>
      <c r="AN526" s="39" t="str">
        <f t="shared" si="7"/>
        <v/>
      </c>
      <c r="AO526" s="39" t="str">
        <f t="shared" si="8"/>
        <v/>
      </c>
      <c r="AP526" s="39" t="str">
        <f t="shared" si="9"/>
        <v/>
      </c>
      <c r="AQ526" s="39" t="str">
        <f t="shared" si="10"/>
        <v/>
      </c>
      <c r="AR526" s="39" t="str">
        <f t="shared" si="11"/>
        <v/>
      </c>
      <c r="AS526" s="39" t="str">
        <f t="shared" si="12"/>
        <v/>
      </c>
      <c r="AT526" s="39" t="str">
        <f t="shared" si="13"/>
        <v/>
      </c>
      <c r="AU526" s="39" t="str">
        <f t="shared" si="14"/>
        <v/>
      </c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 t="str">
        <f t="shared" si="4"/>
        <v/>
      </c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E527" s="39"/>
      <c r="AG527" s="39"/>
      <c r="AH527" s="39" t="str">
        <f t="shared" si="5"/>
        <v/>
      </c>
      <c r="AI527" s="39" t="str">
        <f t="shared" si="6"/>
        <v/>
      </c>
      <c r="AM527" s="39" t="str">
        <f t="array" ref="AM527">IF(C527="","",IFERROR(XLOOKUP(C527,Orders!$A:$A,Orders!$E:$E,""),""))</f>
        <v/>
      </c>
      <c r="AN527" s="39" t="str">
        <f t="shared" si="7"/>
        <v/>
      </c>
      <c r="AO527" s="39" t="str">
        <f t="shared" si="8"/>
        <v/>
      </c>
      <c r="AP527" s="39" t="str">
        <f t="shared" si="9"/>
        <v/>
      </c>
      <c r="AQ527" s="39" t="str">
        <f t="shared" si="10"/>
        <v/>
      </c>
      <c r="AR527" s="39" t="str">
        <f t="shared" si="11"/>
        <v/>
      </c>
      <c r="AS527" s="39" t="str">
        <f t="shared" si="12"/>
        <v/>
      </c>
      <c r="AT527" s="39" t="str">
        <f t="shared" si="13"/>
        <v/>
      </c>
      <c r="AU527" s="39" t="str">
        <f t="shared" si="14"/>
        <v/>
      </c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 t="str">
        <f t="shared" si="4"/>
        <v/>
      </c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E528" s="39"/>
      <c r="AG528" s="39"/>
      <c r="AH528" s="39" t="str">
        <f t="shared" si="5"/>
        <v/>
      </c>
      <c r="AI528" s="39" t="str">
        <f t="shared" si="6"/>
        <v/>
      </c>
      <c r="AM528" s="39" t="str">
        <f t="array" ref="AM528">IF(C528="","",IFERROR(XLOOKUP(C528,Orders!$A:$A,Orders!$E:$E,""),""))</f>
        <v/>
      </c>
      <c r="AN528" s="39" t="str">
        <f t="shared" si="7"/>
        <v/>
      </c>
      <c r="AO528" s="39" t="str">
        <f t="shared" si="8"/>
        <v/>
      </c>
      <c r="AP528" s="39" t="str">
        <f t="shared" si="9"/>
        <v/>
      </c>
      <c r="AQ528" s="39" t="str">
        <f t="shared" si="10"/>
        <v/>
      </c>
      <c r="AR528" s="39" t="str">
        <f t="shared" si="11"/>
        <v/>
      </c>
      <c r="AS528" s="39" t="str">
        <f t="shared" si="12"/>
        <v/>
      </c>
      <c r="AT528" s="39" t="str">
        <f t="shared" si="13"/>
        <v/>
      </c>
      <c r="AU528" s="39" t="str">
        <f t="shared" si="14"/>
        <v/>
      </c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 t="str">
        <f t="shared" si="4"/>
        <v/>
      </c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E529" s="39"/>
      <c r="AG529" s="39"/>
      <c r="AH529" s="39" t="str">
        <f t="shared" si="5"/>
        <v/>
      </c>
      <c r="AI529" s="39" t="str">
        <f t="shared" si="6"/>
        <v/>
      </c>
      <c r="AM529" s="39" t="str">
        <f t="array" ref="AM529">IF(C529="","",IFERROR(XLOOKUP(C529,Orders!$A:$A,Orders!$E:$E,""),""))</f>
        <v/>
      </c>
      <c r="AN529" s="39" t="str">
        <f t="shared" si="7"/>
        <v/>
      </c>
      <c r="AO529" s="39" t="str">
        <f t="shared" si="8"/>
        <v/>
      </c>
      <c r="AP529" s="39" t="str">
        <f t="shared" si="9"/>
        <v/>
      </c>
      <c r="AQ529" s="39" t="str">
        <f t="shared" si="10"/>
        <v/>
      </c>
      <c r="AR529" s="39" t="str">
        <f t="shared" si="11"/>
        <v/>
      </c>
      <c r="AS529" s="39" t="str">
        <f t="shared" si="12"/>
        <v/>
      </c>
      <c r="AT529" s="39" t="str">
        <f t="shared" si="13"/>
        <v/>
      </c>
      <c r="AU529" s="39" t="str">
        <f t="shared" si="14"/>
        <v/>
      </c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 t="str">
        <f t="shared" si="4"/>
        <v/>
      </c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E530" s="39"/>
      <c r="AG530" s="39"/>
      <c r="AH530" s="39" t="str">
        <f t="shared" si="5"/>
        <v/>
      </c>
      <c r="AI530" s="39" t="str">
        <f t="shared" si="6"/>
        <v/>
      </c>
      <c r="AM530" s="39" t="str">
        <f t="array" ref="AM530">IF(C530="","",IFERROR(XLOOKUP(C530,Orders!$A:$A,Orders!$E:$E,""),""))</f>
        <v/>
      </c>
      <c r="AN530" s="39" t="str">
        <f t="shared" si="7"/>
        <v/>
      </c>
      <c r="AO530" s="39" t="str">
        <f t="shared" si="8"/>
        <v/>
      </c>
      <c r="AP530" s="39" t="str">
        <f t="shared" si="9"/>
        <v/>
      </c>
      <c r="AQ530" s="39" t="str">
        <f t="shared" si="10"/>
        <v/>
      </c>
      <c r="AR530" s="39" t="str">
        <f t="shared" si="11"/>
        <v/>
      </c>
      <c r="AS530" s="39" t="str">
        <f t="shared" si="12"/>
        <v/>
      </c>
      <c r="AT530" s="39" t="str">
        <f t="shared" si="13"/>
        <v/>
      </c>
      <c r="AU530" s="39" t="str">
        <f t="shared" si="14"/>
        <v/>
      </c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 t="str">
        <f t="shared" si="4"/>
        <v/>
      </c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E531" s="39"/>
      <c r="AG531" s="39"/>
      <c r="AH531" s="39" t="str">
        <f t="shared" si="5"/>
        <v/>
      </c>
      <c r="AI531" s="39" t="str">
        <f t="shared" si="6"/>
        <v/>
      </c>
      <c r="AM531" s="39" t="str">
        <f t="array" ref="AM531">IF(C531="","",IFERROR(XLOOKUP(C531,Orders!$A:$A,Orders!$E:$E,""),""))</f>
        <v/>
      </c>
      <c r="AN531" s="39" t="str">
        <f t="shared" si="7"/>
        <v/>
      </c>
      <c r="AO531" s="39" t="str">
        <f t="shared" si="8"/>
        <v/>
      </c>
      <c r="AP531" s="39" t="str">
        <f t="shared" si="9"/>
        <v/>
      </c>
      <c r="AQ531" s="39" t="str">
        <f t="shared" si="10"/>
        <v/>
      </c>
      <c r="AR531" s="39" t="str">
        <f t="shared" si="11"/>
        <v/>
      </c>
      <c r="AS531" s="39" t="str">
        <f t="shared" si="12"/>
        <v/>
      </c>
      <c r="AT531" s="39" t="str">
        <f t="shared" si="13"/>
        <v/>
      </c>
      <c r="AU531" s="39" t="str">
        <f t="shared" si="14"/>
        <v/>
      </c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 t="str">
        <f t="shared" si="4"/>
        <v/>
      </c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E532" s="39"/>
      <c r="AG532" s="39"/>
      <c r="AH532" s="39" t="str">
        <f t="shared" si="5"/>
        <v/>
      </c>
      <c r="AI532" s="39" t="str">
        <f t="shared" si="6"/>
        <v/>
      </c>
      <c r="AM532" s="39" t="str">
        <f t="array" ref="AM532">IF(C532="","",IFERROR(XLOOKUP(C532,Orders!$A:$A,Orders!$E:$E,""),""))</f>
        <v/>
      </c>
      <c r="AN532" s="39" t="str">
        <f t="shared" si="7"/>
        <v/>
      </c>
      <c r="AO532" s="39" t="str">
        <f t="shared" si="8"/>
        <v/>
      </c>
      <c r="AP532" s="39" t="str">
        <f t="shared" si="9"/>
        <v/>
      </c>
      <c r="AQ532" s="39" t="str">
        <f t="shared" si="10"/>
        <v/>
      </c>
      <c r="AR532" s="39" t="str">
        <f t="shared" si="11"/>
        <v/>
      </c>
      <c r="AS532" s="39" t="str">
        <f t="shared" si="12"/>
        <v/>
      </c>
      <c r="AT532" s="39" t="str">
        <f t="shared" si="13"/>
        <v/>
      </c>
      <c r="AU532" s="39" t="str">
        <f t="shared" si="14"/>
        <v/>
      </c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 t="str">
        <f t="shared" si="4"/>
        <v/>
      </c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E533" s="39"/>
      <c r="AG533" s="39"/>
      <c r="AH533" s="39" t="str">
        <f t="shared" si="5"/>
        <v/>
      </c>
      <c r="AI533" s="39" t="str">
        <f t="shared" si="6"/>
        <v/>
      </c>
      <c r="AM533" s="39" t="str">
        <f t="array" ref="AM533">IF(C533="","",IFERROR(XLOOKUP(C533,Orders!$A:$A,Orders!$E:$E,""),""))</f>
        <v/>
      </c>
      <c r="AN533" s="39" t="str">
        <f t="shared" si="7"/>
        <v/>
      </c>
      <c r="AO533" s="39" t="str">
        <f t="shared" si="8"/>
        <v/>
      </c>
      <c r="AP533" s="39" t="str">
        <f t="shared" si="9"/>
        <v/>
      </c>
      <c r="AQ533" s="39" t="str">
        <f t="shared" si="10"/>
        <v/>
      </c>
      <c r="AR533" s="39" t="str">
        <f t="shared" si="11"/>
        <v/>
      </c>
      <c r="AS533" s="39" t="str">
        <f t="shared" si="12"/>
        <v/>
      </c>
      <c r="AT533" s="39" t="str">
        <f t="shared" si="13"/>
        <v/>
      </c>
      <c r="AU533" s="39" t="str">
        <f t="shared" si="14"/>
        <v/>
      </c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 t="str">
        <f t="shared" si="4"/>
        <v/>
      </c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E534" s="39"/>
      <c r="AG534" s="39"/>
      <c r="AH534" s="39" t="str">
        <f t="shared" si="5"/>
        <v/>
      </c>
      <c r="AI534" s="39" t="str">
        <f t="shared" si="6"/>
        <v/>
      </c>
      <c r="AM534" s="39" t="str">
        <f t="array" ref="AM534">IF(C534="","",IFERROR(XLOOKUP(C534,Orders!$A:$A,Orders!$E:$E,""),""))</f>
        <v/>
      </c>
      <c r="AN534" s="39" t="str">
        <f t="shared" si="7"/>
        <v/>
      </c>
      <c r="AO534" s="39" t="str">
        <f t="shared" si="8"/>
        <v/>
      </c>
      <c r="AP534" s="39" t="str">
        <f t="shared" si="9"/>
        <v/>
      </c>
      <c r="AQ534" s="39" t="str">
        <f t="shared" si="10"/>
        <v/>
      </c>
      <c r="AR534" s="39" t="str">
        <f t="shared" si="11"/>
        <v/>
      </c>
      <c r="AS534" s="39" t="str">
        <f t="shared" si="12"/>
        <v/>
      </c>
      <c r="AT534" s="39" t="str">
        <f t="shared" si="13"/>
        <v/>
      </c>
      <c r="AU534" s="39" t="str">
        <f t="shared" si="14"/>
        <v/>
      </c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 t="str">
        <f t="shared" si="4"/>
        <v/>
      </c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E535" s="39"/>
      <c r="AG535" s="39"/>
      <c r="AH535" s="39" t="str">
        <f t="shared" si="5"/>
        <v/>
      </c>
      <c r="AI535" s="39" t="str">
        <f t="shared" si="6"/>
        <v/>
      </c>
      <c r="AM535" s="39" t="str">
        <f t="array" ref="AM535">IF(C535="","",IFERROR(XLOOKUP(C535,Orders!$A:$A,Orders!$E:$E,""),""))</f>
        <v/>
      </c>
      <c r="AN535" s="39" t="str">
        <f t="shared" si="7"/>
        <v/>
      </c>
      <c r="AO535" s="39" t="str">
        <f t="shared" si="8"/>
        <v/>
      </c>
      <c r="AP535" s="39" t="str">
        <f t="shared" si="9"/>
        <v/>
      </c>
      <c r="AQ535" s="39" t="str">
        <f t="shared" si="10"/>
        <v/>
      </c>
      <c r="AR535" s="39" t="str">
        <f t="shared" si="11"/>
        <v/>
      </c>
      <c r="AS535" s="39" t="str">
        <f t="shared" si="12"/>
        <v/>
      </c>
      <c r="AT535" s="39" t="str">
        <f t="shared" si="13"/>
        <v/>
      </c>
      <c r="AU535" s="39" t="str">
        <f t="shared" si="14"/>
        <v/>
      </c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 t="str">
        <f t="shared" si="4"/>
        <v/>
      </c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E536" s="39"/>
      <c r="AG536" s="39"/>
      <c r="AH536" s="39" t="str">
        <f t="shared" si="5"/>
        <v/>
      </c>
      <c r="AI536" s="39" t="str">
        <f t="shared" si="6"/>
        <v/>
      </c>
      <c r="AM536" s="39" t="str">
        <f t="array" ref="AM536">IF(C536="","",IFERROR(XLOOKUP(C536,Orders!$A:$A,Orders!$E:$E,""),""))</f>
        <v/>
      </c>
      <c r="AN536" s="39" t="str">
        <f t="shared" si="7"/>
        <v/>
      </c>
      <c r="AO536" s="39" t="str">
        <f t="shared" si="8"/>
        <v/>
      </c>
      <c r="AP536" s="39" t="str">
        <f t="shared" si="9"/>
        <v/>
      </c>
      <c r="AQ536" s="39" t="str">
        <f t="shared" si="10"/>
        <v/>
      </c>
      <c r="AR536" s="39" t="str">
        <f t="shared" si="11"/>
        <v/>
      </c>
      <c r="AS536" s="39" t="str">
        <f t="shared" si="12"/>
        <v/>
      </c>
      <c r="AT536" s="39" t="str">
        <f t="shared" si="13"/>
        <v/>
      </c>
      <c r="AU536" s="39" t="str">
        <f t="shared" si="14"/>
        <v/>
      </c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 t="str">
        <f t="shared" si="4"/>
        <v/>
      </c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E537" s="39"/>
      <c r="AG537" s="39"/>
      <c r="AH537" s="39" t="str">
        <f t="shared" si="5"/>
        <v/>
      </c>
      <c r="AI537" s="39" t="str">
        <f t="shared" si="6"/>
        <v/>
      </c>
      <c r="AM537" s="39" t="str">
        <f t="array" ref="AM537">IF(C537="","",IFERROR(XLOOKUP(C537,Orders!$A:$A,Orders!$E:$E,""),""))</f>
        <v/>
      </c>
      <c r="AN537" s="39" t="str">
        <f t="shared" si="7"/>
        <v/>
      </c>
      <c r="AO537" s="39" t="str">
        <f t="shared" si="8"/>
        <v/>
      </c>
      <c r="AP537" s="39" t="str">
        <f t="shared" si="9"/>
        <v/>
      </c>
      <c r="AQ537" s="39" t="str">
        <f t="shared" si="10"/>
        <v/>
      </c>
      <c r="AR537" s="39" t="str">
        <f t="shared" si="11"/>
        <v/>
      </c>
      <c r="AS537" s="39" t="str">
        <f t="shared" si="12"/>
        <v/>
      </c>
      <c r="AT537" s="39" t="str">
        <f t="shared" si="13"/>
        <v/>
      </c>
      <c r="AU537" s="39" t="str">
        <f t="shared" si="14"/>
        <v/>
      </c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 t="str">
        <f t="shared" si="4"/>
        <v/>
      </c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E538" s="39"/>
      <c r="AG538" s="39"/>
      <c r="AH538" s="39" t="str">
        <f t="shared" si="5"/>
        <v/>
      </c>
      <c r="AI538" s="39" t="str">
        <f t="shared" si="6"/>
        <v/>
      </c>
      <c r="AM538" s="39" t="str">
        <f t="array" ref="AM538">IF(C538="","",IFERROR(XLOOKUP(C538,Orders!$A:$A,Orders!$E:$E,""),""))</f>
        <v/>
      </c>
      <c r="AN538" s="39" t="str">
        <f t="shared" si="7"/>
        <v/>
      </c>
      <c r="AO538" s="39" t="str">
        <f t="shared" si="8"/>
        <v/>
      </c>
      <c r="AP538" s="39" t="str">
        <f t="shared" si="9"/>
        <v/>
      </c>
      <c r="AQ538" s="39" t="str">
        <f t="shared" si="10"/>
        <v/>
      </c>
      <c r="AR538" s="39" t="str">
        <f t="shared" si="11"/>
        <v/>
      </c>
      <c r="AS538" s="39" t="str">
        <f t="shared" si="12"/>
        <v/>
      </c>
      <c r="AT538" s="39" t="str">
        <f t="shared" si="13"/>
        <v/>
      </c>
      <c r="AU538" s="39" t="str">
        <f t="shared" si="14"/>
        <v/>
      </c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 t="str">
        <f t="shared" si="4"/>
        <v/>
      </c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E539" s="39"/>
      <c r="AG539" s="39"/>
      <c r="AH539" s="39" t="str">
        <f t="shared" si="5"/>
        <v/>
      </c>
      <c r="AI539" s="39" t="str">
        <f t="shared" si="6"/>
        <v/>
      </c>
      <c r="AM539" s="39" t="str">
        <f t="array" ref="AM539">IF(C539="","",IFERROR(XLOOKUP(C539,Orders!$A:$A,Orders!$E:$E,""),""))</f>
        <v/>
      </c>
      <c r="AN539" s="39" t="str">
        <f t="shared" si="7"/>
        <v/>
      </c>
      <c r="AO539" s="39" t="str">
        <f t="shared" si="8"/>
        <v/>
      </c>
      <c r="AP539" s="39" t="str">
        <f t="shared" si="9"/>
        <v/>
      </c>
      <c r="AQ539" s="39" t="str">
        <f t="shared" si="10"/>
        <v/>
      </c>
      <c r="AR539" s="39" t="str">
        <f t="shared" si="11"/>
        <v/>
      </c>
      <c r="AS539" s="39" t="str">
        <f t="shared" si="12"/>
        <v/>
      </c>
      <c r="AT539" s="39" t="str">
        <f t="shared" si="13"/>
        <v/>
      </c>
      <c r="AU539" s="39" t="str">
        <f t="shared" si="14"/>
        <v/>
      </c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 t="str">
        <f t="shared" si="4"/>
        <v/>
      </c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E540" s="39"/>
      <c r="AG540" s="39"/>
      <c r="AH540" s="39" t="str">
        <f t="shared" si="5"/>
        <v/>
      </c>
      <c r="AI540" s="39" t="str">
        <f t="shared" si="6"/>
        <v/>
      </c>
      <c r="AM540" s="39" t="str">
        <f t="array" ref="AM540">IF(C540="","",IFERROR(XLOOKUP(C540,Orders!$A:$A,Orders!$E:$E,""),""))</f>
        <v/>
      </c>
      <c r="AN540" s="39" t="str">
        <f t="shared" si="7"/>
        <v/>
      </c>
      <c r="AO540" s="39" t="str">
        <f t="shared" si="8"/>
        <v/>
      </c>
      <c r="AP540" s="39" t="str">
        <f t="shared" si="9"/>
        <v/>
      </c>
      <c r="AQ540" s="39" t="str">
        <f t="shared" si="10"/>
        <v/>
      </c>
      <c r="AR540" s="39" t="str">
        <f t="shared" si="11"/>
        <v/>
      </c>
      <c r="AS540" s="39" t="str">
        <f t="shared" si="12"/>
        <v/>
      </c>
      <c r="AT540" s="39" t="str">
        <f t="shared" si="13"/>
        <v/>
      </c>
      <c r="AU540" s="39" t="str">
        <f t="shared" si="14"/>
        <v/>
      </c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 t="str">
        <f t="shared" si="4"/>
        <v/>
      </c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E541" s="39"/>
      <c r="AG541" s="39"/>
      <c r="AH541" s="39" t="str">
        <f t="shared" si="5"/>
        <v/>
      </c>
      <c r="AI541" s="39" t="str">
        <f t="shared" si="6"/>
        <v/>
      </c>
      <c r="AM541" s="39" t="str">
        <f t="array" ref="AM541">IF(C541="","",IFERROR(XLOOKUP(C541,Orders!$A:$A,Orders!$E:$E,""),""))</f>
        <v/>
      </c>
      <c r="AN541" s="39" t="str">
        <f t="shared" si="7"/>
        <v/>
      </c>
      <c r="AO541" s="39" t="str">
        <f t="shared" si="8"/>
        <v/>
      </c>
      <c r="AP541" s="39" t="str">
        <f t="shared" si="9"/>
        <v/>
      </c>
      <c r="AQ541" s="39" t="str">
        <f t="shared" si="10"/>
        <v/>
      </c>
      <c r="AR541" s="39" t="str">
        <f t="shared" si="11"/>
        <v/>
      </c>
      <c r="AS541" s="39" t="str">
        <f t="shared" si="12"/>
        <v/>
      </c>
      <c r="AT541" s="39" t="str">
        <f t="shared" si="13"/>
        <v/>
      </c>
      <c r="AU541" s="39" t="str">
        <f t="shared" si="14"/>
        <v/>
      </c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 t="str">
        <f t="shared" si="4"/>
        <v/>
      </c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E542" s="39"/>
      <c r="AG542" s="39"/>
      <c r="AH542" s="39" t="str">
        <f t="shared" si="5"/>
        <v/>
      </c>
      <c r="AI542" s="39" t="str">
        <f t="shared" si="6"/>
        <v/>
      </c>
      <c r="AM542" s="39" t="str">
        <f t="array" ref="AM542">IF(C542="","",IFERROR(XLOOKUP(C542,Orders!$A:$A,Orders!$E:$E,""),""))</f>
        <v/>
      </c>
      <c r="AN542" s="39" t="str">
        <f t="shared" si="7"/>
        <v/>
      </c>
      <c r="AO542" s="39" t="str">
        <f t="shared" si="8"/>
        <v/>
      </c>
      <c r="AP542" s="39" t="str">
        <f t="shared" si="9"/>
        <v/>
      </c>
      <c r="AQ542" s="39" t="str">
        <f t="shared" si="10"/>
        <v/>
      </c>
      <c r="AR542" s="39" t="str">
        <f t="shared" si="11"/>
        <v/>
      </c>
      <c r="AS542" s="39" t="str">
        <f t="shared" si="12"/>
        <v/>
      </c>
      <c r="AT542" s="39" t="str">
        <f t="shared" si="13"/>
        <v/>
      </c>
      <c r="AU542" s="39" t="str">
        <f t="shared" si="14"/>
        <v/>
      </c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 t="str">
        <f t="shared" si="4"/>
        <v/>
      </c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E543" s="39"/>
      <c r="AG543" s="39"/>
      <c r="AH543" s="39" t="str">
        <f t="shared" si="5"/>
        <v/>
      </c>
      <c r="AI543" s="39" t="str">
        <f t="shared" si="6"/>
        <v/>
      </c>
      <c r="AM543" s="39" t="str">
        <f t="array" ref="AM543">IF(C543="","",IFERROR(XLOOKUP(C543,Orders!$A:$A,Orders!$E:$E,""),""))</f>
        <v/>
      </c>
      <c r="AN543" s="39" t="str">
        <f t="shared" si="7"/>
        <v/>
      </c>
      <c r="AO543" s="39" t="str">
        <f t="shared" si="8"/>
        <v/>
      </c>
      <c r="AP543" s="39" t="str">
        <f t="shared" si="9"/>
        <v/>
      </c>
      <c r="AQ543" s="39" t="str">
        <f t="shared" si="10"/>
        <v/>
      </c>
      <c r="AR543" s="39" t="str">
        <f t="shared" si="11"/>
        <v/>
      </c>
      <c r="AS543" s="39" t="str">
        <f t="shared" si="12"/>
        <v/>
      </c>
      <c r="AT543" s="39" t="str">
        <f t="shared" si="13"/>
        <v/>
      </c>
      <c r="AU543" s="39" t="str">
        <f t="shared" si="14"/>
        <v/>
      </c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 t="str">
        <f t="shared" si="4"/>
        <v/>
      </c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E544" s="39"/>
      <c r="AG544" s="39"/>
      <c r="AH544" s="39" t="str">
        <f t="shared" si="5"/>
        <v/>
      </c>
      <c r="AI544" s="39" t="str">
        <f t="shared" si="6"/>
        <v/>
      </c>
      <c r="AM544" s="39" t="str">
        <f t="array" ref="AM544">IF(C544="","",IFERROR(XLOOKUP(C544,Orders!$A:$A,Orders!$E:$E,""),""))</f>
        <v/>
      </c>
      <c r="AN544" s="39" t="str">
        <f t="shared" si="7"/>
        <v/>
      </c>
      <c r="AO544" s="39" t="str">
        <f t="shared" si="8"/>
        <v/>
      </c>
      <c r="AP544" s="39" t="str">
        <f t="shared" si="9"/>
        <v/>
      </c>
      <c r="AQ544" s="39" t="str">
        <f t="shared" si="10"/>
        <v/>
      </c>
      <c r="AR544" s="39" t="str">
        <f t="shared" si="11"/>
        <v/>
      </c>
      <c r="AS544" s="39" t="str">
        <f t="shared" si="12"/>
        <v/>
      </c>
      <c r="AT544" s="39" t="str">
        <f t="shared" si="13"/>
        <v/>
      </c>
      <c r="AU544" s="39" t="str">
        <f t="shared" si="14"/>
        <v/>
      </c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 t="str">
        <f t="shared" si="4"/>
        <v/>
      </c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E545" s="39"/>
      <c r="AG545" s="39"/>
      <c r="AH545" s="39" t="str">
        <f t="shared" si="5"/>
        <v/>
      </c>
      <c r="AI545" s="39" t="str">
        <f t="shared" si="6"/>
        <v/>
      </c>
      <c r="AM545" s="39" t="str">
        <f t="array" ref="AM545">IF(C545="","",IFERROR(XLOOKUP(C545,Orders!$A:$A,Orders!$E:$E,""),""))</f>
        <v/>
      </c>
      <c r="AN545" s="39" t="str">
        <f t="shared" si="7"/>
        <v/>
      </c>
      <c r="AO545" s="39" t="str">
        <f t="shared" si="8"/>
        <v/>
      </c>
      <c r="AP545" s="39" t="str">
        <f t="shared" si="9"/>
        <v/>
      </c>
      <c r="AQ545" s="39" t="str">
        <f t="shared" si="10"/>
        <v/>
      </c>
      <c r="AR545" s="39" t="str">
        <f t="shared" si="11"/>
        <v/>
      </c>
      <c r="AS545" s="39" t="str">
        <f t="shared" si="12"/>
        <v/>
      </c>
      <c r="AT545" s="39" t="str">
        <f t="shared" si="13"/>
        <v/>
      </c>
      <c r="AU545" s="39" t="str">
        <f t="shared" si="14"/>
        <v/>
      </c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 t="str">
        <f t="shared" si="4"/>
        <v/>
      </c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E546" s="39"/>
      <c r="AG546" s="39"/>
      <c r="AH546" s="39" t="str">
        <f t="shared" si="5"/>
        <v/>
      </c>
      <c r="AI546" s="39" t="str">
        <f t="shared" si="6"/>
        <v/>
      </c>
      <c r="AM546" s="39" t="str">
        <f t="array" ref="AM546">IF(C546="","",IFERROR(XLOOKUP(C546,Orders!$A:$A,Orders!$E:$E,""),""))</f>
        <v/>
      </c>
      <c r="AN546" s="39" t="str">
        <f t="shared" si="7"/>
        <v/>
      </c>
      <c r="AO546" s="39" t="str">
        <f t="shared" si="8"/>
        <v/>
      </c>
      <c r="AP546" s="39" t="str">
        <f t="shared" si="9"/>
        <v/>
      </c>
      <c r="AQ546" s="39" t="str">
        <f t="shared" si="10"/>
        <v/>
      </c>
      <c r="AR546" s="39" t="str">
        <f t="shared" si="11"/>
        <v/>
      </c>
      <c r="AS546" s="39" t="str">
        <f t="shared" si="12"/>
        <v/>
      </c>
      <c r="AT546" s="39" t="str">
        <f t="shared" si="13"/>
        <v/>
      </c>
      <c r="AU546" s="39" t="str">
        <f t="shared" si="14"/>
        <v/>
      </c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 t="str">
        <f t="shared" si="4"/>
        <v/>
      </c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E547" s="39"/>
      <c r="AG547" s="39"/>
      <c r="AH547" s="39" t="str">
        <f t="shared" si="5"/>
        <v/>
      </c>
      <c r="AI547" s="39" t="str">
        <f t="shared" si="6"/>
        <v/>
      </c>
      <c r="AM547" s="39" t="str">
        <f t="array" ref="AM547">IF(C547="","",IFERROR(XLOOKUP(C547,Orders!$A:$A,Orders!$E:$E,""),""))</f>
        <v/>
      </c>
      <c r="AN547" s="39" t="str">
        <f t="shared" si="7"/>
        <v/>
      </c>
      <c r="AO547" s="39" t="str">
        <f t="shared" si="8"/>
        <v/>
      </c>
      <c r="AP547" s="39" t="str">
        <f t="shared" si="9"/>
        <v/>
      </c>
      <c r="AQ547" s="39" t="str">
        <f t="shared" si="10"/>
        <v/>
      </c>
      <c r="AR547" s="39" t="str">
        <f t="shared" si="11"/>
        <v/>
      </c>
      <c r="AS547" s="39" t="str">
        <f t="shared" si="12"/>
        <v/>
      </c>
      <c r="AT547" s="39" t="str">
        <f t="shared" si="13"/>
        <v/>
      </c>
      <c r="AU547" s="39" t="str">
        <f t="shared" si="14"/>
        <v/>
      </c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 t="str">
        <f t="shared" si="4"/>
        <v/>
      </c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E548" s="39"/>
      <c r="AG548" s="39"/>
      <c r="AH548" s="39" t="str">
        <f t="shared" si="5"/>
        <v/>
      </c>
      <c r="AI548" s="39" t="str">
        <f t="shared" si="6"/>
        <v/>
      </c>
      <c r="AM548" s="39" t="str">
        <f t="array" ref="AM548">IF(C548="","",IFERROR(XLOOKUP(C548,Orders!$A:$A,Orders!$E:$E,""),""))</f>
        <v/>
      </c>
      <c r="AN548" s="39" t="str">
        <f t="shared" si="7"/>
        <v/>
      </c>
      <c r="AO548" s="39" t="str">
        <f t="shared" si="8"/>
        <v/>
      </c>
      <c r="AP548" s="39" t="str">
        <f t="shared" si="9"/>
        <v/>
      </c>
      <c r="AQ548" s="39" t="str">
        <f t="shared" si="10"/>
        <v/>
      </c>
      <c r="AR548" s="39" t="str">
        <f t="shared" si="11"/>
        <v/>
      </c>
      <c r="AS548" s="39" t="str">
        <f t="shared" si="12"/>
        <v/>
      </c>
      <c r="AT548" s="39" t="str">
        <f t="shared" si="13"/>
        <v/>
      </c>
      <c r="AU548" s="39" t="str">
        <f t="shared" si="14"/>
        <v/>
      </c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 t="str">
        <f t="shared" si="4"/>
        <v/>
      </c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E549" s="39"/>
      <c r="AG549" s="39"/>
      <c r="AH549" s="39" t="str">
        <f t="shared" si="5"/>
        <v/>
      </c>
      <c r="AI549" s="39" t="str">
        <f t="shared" si="6"/>
        <v/>
      </c>
      <c r="AM549" s="39" t="str">
        <f t="array" ref="AM549">IF(C549="","",IFERROR(XLOOKUP(C549,Orders!$A:$A,Orders!$E:$E,""),""))</f>
        <v/>
      </c>
      <c r="AN549" s="39" t="str">
        <f t="shared" si="7"/>
        <v/>
      </c>
      <c r="AO549" s="39" t="str">
        <f t="shared" si="8"/>
        <v/>
      </c>
      <c r="AP549" s="39" t="str">
        <f t="shared" si="9"/>
        <v/>
      </c>
      <c r="AQ549" s="39" t="str">
        <f t="shared" si="10"/>
        <v/>
      </c>
      <c r="AR549" s="39" t="str">
        <f t="shared" si="11"/>
        <v/>
      </c>
      <c r="AS549" s="39" t="str">
        <f t="shared" si="12"/>
        <v/>
      </c>
      <c r="AT549" s="39" t="str">
        <f t="shared" si="13"/>
        <v/>
      </c>
      <c r="AU549" s="39" t="str">
        <f t="shared" si="14"/>
        <v/>
      </c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 t="str">
        <f t="shared" si="4"/>
        <v/>
      </c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E550" s="39"/>
      <c r="AG550" s="39"/>
      <c r="AH550" s="39" t="str">
        <f t="shared" si="5"/>
        <v/>
      </c>
      <c r="AI550" s="39" t="str">
        <f t="shared" si="6"/>
        <v/>
      </c>
      <c r="AM550" s="39" t="str">
        <f t="array" ref="AM550">IF(C550="","",IFERROR(XLOOKUP(C550,Orders!$A:$A,Orders!$E:$E,""),""))</f>
        <v/>
      </c>
      <c r="AN550" s="39" t="str">
        <f t="shared" si="7"/>
        <v/>
      </c>
      <c r="AO550" s="39" t="str">
        <f t="shared" si="8"/>
        <v/>
      </c>
      <c r="AP550" s="39" t="str">
        <f t="shared" si="9"/>
        <v/>
      </c>
      <c r="AQ550" s="39" t="str">
        <f t="shared" si="10"/>
        <v/>
      </c>
      <c r="AR550" s="39" t="str">
        <f t="shared" si="11"/>
        <v/>
      </c>
      <c r="AS550" s="39" t="str">
        <f t="shared" si="12"/>
        <v/>
      </c>
      <c r="AT550" s="39" t="str">
        <f t="shared" si="13"/>
        <v/>
      </c>
      <c r="AU550" s="39" t="str">
        <f t="shared" si="14"/>
        <v/>
      </c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 t="str">
        <f t="shared" si="4"/>
        <v/>
      </c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E551" s="39"/>
      <c r="AG551" s="39"/>
      <c r="AH551" s="39" t="str">
        <f t="shared" si="5"/>
        <v/>
      </c>
      <c r="AI551" s="39" t="str">
        <f t="shared" si="6"/>
        <v/>
      </c>
      <c r="AM551" s="39" t="str">
        <f t="array" ref="AM551">IF(C551="","",IFERROR(XLOOKUP(C551,Orders!$A:$A,Orders!$E:$E,""),""))</f>
        <v/>
      </c>
      <c r="AN551" s="39" t="str">
        <f t="shared" si="7"/>
        <v/>
      </c>
      <c r="AO551" s="39" t="str">
        <f t="shared" si="8"/>
        <v/>
      </c>
      <c r="AP551" s="39" t="str">
        <f t="shared" si="9"/>
        <v/>
      </c>
      <c r="AQ551" s="39" t="str">
        <f t="shared" si="10"/>
        <v/>
      </c>
      <c r="AR551" s="39" t="str">
        <f t="shared" si="11"/>
        <v/>
      </c>
      <c r="AS551" s="39" t="str">
        <f t="shared" si="12"/>
        <v/>
      </c>
      <c r="AT551" s="39" t="str">
        <f t="shared" si="13"/>
        <v/>
      </c>
      <c r="AU551" s="39" t="str">
        <f t="shared" si="14"/>
        <v/>
      </c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 t="str">
        <f t="shared" si="4"/>
        <v/>
      </c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E552" s="39"/>
      <c r="AG552" s="39"/>
      <c r="AH552" s="39" t="str">
        <f t="shared" si="5"/>
        <v/>
      </c>
      <c r="AI552" s="39" t="str">
        <f t="shared" si="6"/>
        <v/>
      </c>
      <c r="AM552" s="39" t="str">
        <f t="array" ref="AM552">IF(C552="","",IFERROR(XLOOKUP(C552,Orders!$A:$A,Orders!$E:$E,""),""))</f>
        <v/>
      </c>
      <c r="AN552" s="39" t="str">
        <f t="shared" si="7"/>
        <v/>
      </c>
      <c r="AO552" s="39" t="str">
        <f t="shared" si="8"/>
        <v/>
      </c>
      <c r="AP552" s="39" t="str">
        <f t="shared" si="9"/>
        <v/>
      </c>
      <c r="AQ552" s="39" t="str">
        <f t="shared" si="10"/>
        <v/>
      </c>
      <c r="AR552" s="39" t="str">
        <f t="shared" si="11"/>
        <v/>
      </c>
      <c r="AS552" s="39" t="str">
        <f t="shared" si="12"/>
        <v/>
      </c>
      <c r="AT552" s="39" t="str">
        <f t="shared" si="13"/>
        <v/>
      </c>
      <c r="AU552" s="39" t="str">
        <f t="shared" si="14"/>
        <v/>
      </c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 t="str">
        <f t="shared" si="4"/>
        <v/>
      </c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E553" s="39"/>
      <c r="AG553" s="39"/>
      <c r="AH553" s="39" t="str">
        <f t="shared" si="5"/>
        <v/>
      </c>
      <c r="AI553" s="39" t="str">
        <f t="shared" si="6"/>
        <v/>
      </c>
      <c r="AM553" s="39" t="str">
        <f t="array" ref="AM553">IF(C553="","",IFERROR(XLOOKUP(C553,Orders!$A:$A,Orders!$E:$E,""),""))</f>
        <v/>
      </c>
      <c r="AN553" s="39" t="str">
        <f t="shared" si="7"/>
        <v/>
      </c>
      <c r="AO553" s="39" t="str">
        <f t="shared" si="8"/>
        <v/>
      </c>
      <c r="AP553" s="39" t="str">
        <f t="shared" si="9"/>
        <v/>
      </c>
      <c r="AQ553" s="39" t="str">
        <f t="shared" si="10"/>
        <v/>
      </c>
      <c r="AR553" s="39" t="str">
        <f t="shared" si="11"/>
        <v/>
      </c>
      <c r="AS553" s="39" t="str">
        <f t="shared" si="12"/>
        <v/>
      </c>
      <c r="AT553" s="39" t="str">
        <f t="shared" si="13"/>
        <v/>
      </c>
      <c r="AU553" s="39" t="str">
        <f t="shared" si="14"/>
        <v/>
      </c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 t="str">
        <f t="shared" si="4"/>
        <v/>
      </c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E554" s="39"/>
      <c r="AG554" s="39"/>
      <c r="AH554" s="39" t="str">
        <f t="shared" si="5"/>
        <v/>
      </c>
      <c r="AI554" s="39" t="str">
        <f t="shared" si="6"/>
        <v/>
      </c>
      <c r="AM554" s="39" t="str">
        <f t="array" ref="AM554">IF(C554="","",IFERROR(XLOOKUP(C554,Orders!$A:$A,Orders!$E:$E,""),""))</f>
        <v/>
      </c>
      <c r="AN554" s="39" t="str">
        <f t="shared" si="7"/>
        <v/>
      </c>
      <c r="AO554" s="39" t="str">
        <f t="shared" si="8"/>
        <v/>
      </c>
      <c r="AP554" s="39" t="str">
        <f t="shared" si="9"/>
        <v/>
      </c>
      <c r="AQ554" s="39" t="str">
        <f t="shared" si="10"/>
        <v/>
      </c>
      <c r="AR554" s="39" t="str">
        <f t="shared" si="11"/>
        <v/>
      </c>
      <c r="AS554" s="39" t="str">
        <f t="shared" si="12"/>
        <v/>
      </c>
      <c r="AT554" s="39" t="str">
        <f t="shared" si="13"/>
        <v/>
      </c>
      <c r="AU554" s="39" t="str">
        <f t="shared" si="14"/>
        <v/>
      </c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 t="str">
        <f t="shared" si="4"/>
        <v/>
      </c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E555" s="39"/>
      <c r="AG555" s="39"/>
      <c r="AH555" s="39" t="str">
        <f t="shared" si="5"/>
        <v/>
      </c>
      <c r="AI555" s="39" t="str">
        <f t="shared" si="6"/>
        <v/>
      </c>
      <c r="AM555" s="39" t="str">
        <f t="array" ref="AM555">IF(C555="","",IFERROR(XLOOKUP(C555,Orders!$A:$A,Orders!$E:$E,""),""))</f>
        <v/>
      </c>
      <c r="AN555" s="39" t="str">
        <f t="shared" si="7"/>
        <v/>
      </c>
      <c r="AO555" s="39" t="str">
        <f t="shared" si="8"/>
        <v/>
      </c>
      <c r="AP555" s="39" t="str">
        <f t="shared" si="9"/>
        <v/>
      </c>
      <c r="AQ555" s="39" t="str">
        <f t="shared" si="10"/>
        <v/>
      </c>
      <c r="AR555" s="39" t="str">
        <f t="shared" si="11"/>
        <v/>
      </c>
      <c r="AS555" s="39" t="str">
        <f t="shared" si="12"/>
        <v/>
      </c>
      <c r="AT555" s="39" t="str">
        <f t="shared" si="13"/>
        <v/>
      </c>
      <c r="AU555" s="39" t="str">
        <f t="shared" si="14"/>
        <v/>
      </c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 t="str">
        <f t="shared" si="4"/>
        <v/>
      </c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E556" s="39"/>
      <c r="AG556" s="39"/>
      <c r="AH556" s="39" t="str">
        <f t="shared" si="5"/>
        <v/>
      </c>
      <c r="AI556" s="39" t="str">
        <f t="shared" si="6"/>
        <v/>
      </c>
      <c r="AM556" s="39" t="str">
        <f t="array" ref="AM556">IF(C556="","",IFERROR(XLOOKUP(C556,Orders!$A:$A,Orders!$E:$E,""),""))</f>
        <v/>
      </c>
      <c r="AN556" s="39" t="str">
        <f t="shared" si="7"/>
        <v/>
      </c>
      <c r="AO556" s="39" t="str">
        <f t="shared" si="8"/>
        <v/>
      </c>
      <c r="AP556" s="39" t="str">
        <f t="shared" si="9"/>
        <v/>
      </c>
      <c r="AQ556" s="39" t="str">
        <f t="shared" si="10"/>
        <v/>
      </c>
      <c r="AR556" s="39" t="str">
        <f t="shared" si="11"/>
        <v/>
      </c>
      <c r="AS556" s="39" t="str">
        <f t="shared" si="12"/>
        <v/>
      </c>
      <c r="AT556" s="39" t="str">
        <f t="shared" si="13"/>
        <v/>
      </c>
      <c r="AU556" s="39" t="str">
        <f t="shared" si="14"/>
        <v/>
      </c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 t="str">
        <f t="shared" si="4"/>
        <v/>
      </c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E557" s="39"/>
      <c r="AG557" s="39"/>
      <c r="AH557" s="39" t="str">
        <f t="shared" si="5"/>
        <v/>
      </c>
      <c r="AI557" s="39" t="str">
        <f t="shared" si="6"/>
        <v/>
      </c>
      <c r="AM557" s="39" t="str">
        <f t="array" ref="AM557">IF(C557="","",IFERROR(XLOOKUP(C557,Orders!$A:$A,Orders!$E:$E,""),""))</f>
        <v/>
      </c>
      <c r="AN557" s="39" t="str">
        <f t="shared" si="7"/>
        <v/>
      </c>
      <c r="AO557" s="39" t="str">
        <f t="shared" si="8"/>
        <v/>
      </c>
      <c r="AP557" s="39" t="str">
        <f t="shared" si="9"/>
        <v/>
      </c>
      <c r="AQ557" s="39" t="str">
        <f t="shared" si="10"/>
        <v/>
      </c>
      <c r="AR557" s="39" t="str">
        <f t="shared" si="11"/>
        <v/>
      </c>
      <c r="AS557" s="39" t="str">
        <f t="shared" si="12"/>
        <v/>
      </c>
      <c r="AT557" s="39" t="str">
        <f t="shared" si="13"/>
        <v/>
      </c>
      <c r="AU557" s="39" t="str">
        <f t="shared" si="14"/>
        <v/>
      </c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 t="str">
        <f t="shared" si="4"/>
        <v/>
      </c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E558" s="39"/>
      <c r="AG558" s="39"/>
      <c r="AH558" s="39" t="str">
        <f t="shared" si="5"/>
        <v/>
      </c>
      <c r="AI558" s="39" t="str">
        <f t="shared" si="6"/>
        <v/>
      </c>
      <c r="AM558" s="39" t="str">
        <f t="array" ref="AM558">IF(C558="","",IFERROR(XLOOKUP(C558,Orders!$A:$A,Orders!$E:$E,""),""))</f>
        <v/>
      </c>
      <c r="AN558" s="39" t="str">
        <f t="shared" si="7"/>
        <v/>
      </c>
      <c r="AO558" s="39" t="str">
        <f t="shared" si="8"/>
        <v/>
      </c>
      <c r="AP558" s="39" t="str">
        <f t="shared" si="9"/>
        <v/>
      </c>
      <c r="AQ558" s="39" t="str">
        <f t="shared" si="10"/>
        <v/>
      </c>
      <c r="AR558" s="39" t="str">
        <f t="shared" si="11"/>
        <v/>
      </c>
      <c r="AS558" s="39" t="str">
        <f t="shared" si="12"/>
        <v/>
      </c>
      <c r="AT558" s="39" t="str">
        <f t="shared" si="13"/>
        <v/>
      </c>
      <c r="AU558" s="39" t="str">
        <f t="shared" si="14"/>
        <v/>
      </c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 t="str">
        <f t="shared" si="4"/>
        <v/>
      </c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E559" s="39"/>
      <c r="AG559" s="39"/>
      <c r="AH559" s="39" t="str">
        <f t="shared" si="5"/>
        <v/>
      </c>
      <c r="AI559" s="39" t="str">
        <f t="shared" si="6"/>
        <v/>
      </c>
      <c r="AM559" s="39" t="str">
        <f t="array" ref="AM559">IF(C559="","",IFERROR(XLOOKUP(C559,Orders!$A:$A,Orders!$E:$E,""),""))</f>
        <v/>
      </c>
      <c r="AN559" s="39" t="str">
        <f t="shared" si="7"/>
        <v/>
      </c>
      <c r="AO559" s="39" t="str">
        <f t="shared" si="8"/>
        <v/>
      </c>
      <c r="AP559" s="39" t="str">
        <f t="shared" si="9"/>
        <v/>
      </c>
      <c r="AQ559" s="39" t="str">
        <f t="shared" si="10"/>
        <v/>
      </c>
      <c r="AR559" s="39" t="str">
        <f t="shared" si="11"/>
        <v/>
      </c>
      <c r="AS559" s="39" t="str">
        <f t="shared" si="12"/>
        <v/>
      </c>
      <c r="AT559" s="39" t="str">
        <f t="shared" si="13"/>
        <v/>
      </c>
      <c r="AU559" s="39" t="str">
        <f t="shared" si="14"/>
        <v/>
      </c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 t="str">
        <f t="shared" si="4"/>
        <v/>
      </c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E560" s="39"/>
      <c r="AG560" s="39"/>
      <c r="AH560" s="39" t="str">
        <f t="shared" si="5"/>
        <v/>
      </c>
      <c r="AI560" s="39" t="str">
        <f t="shared" si="6"/>
        <v/>
      </c>
      <c r="AM560" s="39" t="str">
        <f t="array" ref="AM560">IF(C560="","",IFERROR(XLOOKUP(C560,Orders!$A:$A,Orders!$E:$E,""),""))</f>
        <v/>
      </c>
      <c r="AN560" s="39" t="str">
        <f t="shared" si="7"/>
        <v/>
      </c>
      <c r="AO560" s="39" t="str">
        <f t="shared" si="8"/>
        <v/>
      </c>
      <c r="AP560" s="39" t="str">
        <f t="shared" si="9"/>
        <v/>
      </c>
      <c r="AQ560" s="39" t="str">
        <f t="shared" si="10"/>
        <v/>
      </c>
      <c r="AR560" s="39" t="str">
        <f t="shared" si="11"/>
        <v/>
      </c>
      <c r="AS560" s="39" t="str">
        <f t="shared" si="12"/>
        <v/>
      </c>
      <c r="AT560" s="39" t="str">
        <f t="shared" si="13"/>
        <v/>
      </c>
      <c r="AU560" s="39" t="str">
        <f t="shared" si="14"/>
        <v/>
      </c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 t="str">
        <f t="shared" si="4"/>
        <v/>
      </c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E561" s="39"/>
      <c r="AG561" s="39"/>
      <c r="AH561" s="39" t="str">
        <f t="shared" si="5"/>
        <v/>
      </c>
      <c r="AI561" s="39" t="str">
        <f t="shared" si="6"/>
        <v/>
      </c>
      <c r="AM561" s="39" t="str">
        <f t="array" ref="AM561">IF(C561="","",IFERROR(XLOOKUP(C561,Orders!$A:$A,Orders!$E:$E,""),""))</f>
        <v/>
      </c>
      <c r="AN561" s="39" t="str">
        <f t="shared" si="7"/>
        <v/>
      </c>
      <c r="AO561" s="39" t="str">
        <f t="shared" si="8"/>
        <v/>
      </c>
      <c r="AP561" s="39" t="str">
        <f t="shared" si="9"/>
        <v/>
      </c>
      <c r="AQ561" s="39" t="str">
        <f t="shared" si="10"/>
        <v/>
      </c>
      <c r="AR561" s="39" t="str">
        <f t="shared" si="11"/>
        <v/>
      </c>
      <c r="AS561" s="39" t="str">
        <f t="shared" si="12"/>
        <v/>
      </c>
      <c r="AT561" s="39" t="str">
        <f t="shared" si="13"/>
        <v/>
      </c>
      <c r="AU561" s="39" t="str">
        <f t="shared" si="14"/>
        <v/>
      </c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 t="str">
        <f t="shared" si="4"/>
        <v/>
      </c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E562" s="39"/>
      <c r="AG562" s="39"/>
      <c r="AH562" s="39" t="str">
        <f t="shared" si="5"/>
        <v/>
      </c>
      <c r="AI562" s="39" t="str">
        <f t="shared" si="6"/>
        <v/>
      </c>
      <c r="AM562" s="39" t="str">
        <f t="array" ref="AM562">IF(C562="","",IFERROR(XLOOKUP(C562,Orders!$A:$A,Orders!$E:$E,""),""))</f>
        <v/>
      </c>
      <c r="AN562" s="39" t="str">
        <f t="shared" si="7"/>
        <v/>
      </c>
      <c r="AO562" s="39" t="str">
        <f t="shared" si="8"/>
        <v/>
      </c>
      <c r="AP562" s="39" t="str">
        <f t="shared" si="9"/>
        <v/>
      </c>
      <c r="AQ562" s="39" t="str">
        <f t="shared" si="10"/>
        <v/>
      </c>
      <c r="AR562" s="39" t="str">
        <f t="shared" si="11"/>
        <v/>
      </c>
      <c r="AS562" s="39" t="str">
        <f t="shared" si="12"/>
        <v/>
      </c>
      <c r="AT562" s="39" t="str">
        <f t="shared" si="13"/>
        <v/>
      </c>
      <c r="AU562" s="39" t="str">
        <f t="shared" si="14"/>
        <v/>
      </c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 t="str">
        <f t="shared" si="4"/>
        <v/>
      </c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E563" s="39"/>
      <c r="AG563" s="39"/>
      <c r="AH563" s="39" t="str">
        <f t="shared" si="5"/>
        <v/>
      </c>
      <c r="AI563" s="39" t="str">
        <f t="shared" si="6"/>
        <v/>
      </c>
      <c r="AM563" s="39" t="str">
        <f t="array" ref="AM563">IF(C563="","",IFERROR(XLOOKUP(C563,Orders!$A:$A,Orders!$E:$E,""),""))</f>
        <v/>
      </c>
      <c r="AN563" s="39" t="str">
        <f t="shared" si="7"/>
        <v/>
      </c>
      <c r="AO563" s="39" t="str">
        <f t="shared" si="8"/>
        <v/>
      </c>
      <c r="AP563" s="39" t="str">
        <f t="shared" si="9"/>
        <v/>
      </c>
      <c r="AQ563" s="39" t="str">
        <f t="shared" si="10"/>
        <v/>
      </c>
      <c r="AR563" s="39" t="str">
        <f t="shared" si="11"/>
        <v/>
      </c>
      <c r="AS563" s="39" t="str">
        <f t="shared" si="12"/>
        <v/>
      </c>
      <c r="AT563" s="39" t="str">
        <f t="shared" si="13"/>
        <v/>
      </c>
      <c r="AU563" s="39" t="str">
        <f t="shared" si="14"/>
        <v/>
      </c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 t="str">
        <f t="shared" si="4"/>
        <v/>
      </c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E564" s="39"/>
      <c r="AG564" s="39"/>
      <c r="AH564" s="39" t="str">
        <f t="shared" si="5"/>
        <v/>
      </c>
      <c r="AI564" s="39" t="str">
        <f t="shared" si="6"/>
        <v/>
      </c>
      <c r="AM564" s="39" t="str">
        <f t="array" ref="AM564">IF(C564="","",IFERROR(XLOOKUP(C564,Orders!$A:$A,Orders!$E:$E,""),""))</f>
        <v/>
      </c>
      <c r="AN564" s="39" t="str">
        <f t="shared" si="7"/>
        <v/>
      </c>
      <c r="AO564" s="39" t="str">
        <f t="shared" si="8"/>
        <v/>
      </c>
      <c r="AP564" s="39" t="str">
        <f t="shared" si="9"/>
        <v/>
      </c>
      <c r="AQ564" s="39" t="str">
        <f t="shared" si="10"/>
        <v/>
      </c>
      <c r="AR564" s="39" t="str">
        <f t="shared" si="11"/>
        <v/>
      </c>
      <c r="AS564" s="39" t="str">
        <f t="shared" si="12"/>
        <v/>
      </c>
      <c r="AT564" s="39" t="str">
        <f t="shared" si="13"/>
        <v/>
      </c>
      <c r="AU564" s="39" t="str">
        <f t="shared" si="14"/>
        <v/>
      </c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 t="str">
        <f t="shared" si="4"/>
        <v/>
      </c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E565" s="39"/>
      <c r="AG565" s="39"/>
      <c r="AH565" s="39" t="str">
        <f t="shared" si="5"/>
        <v/>
      </c>
      <c r="AI565" s="39" t="str">
        <f t="shared" si="6"/>
        <v/>
      </c>
      <c r="AM565" s="39" t="str">
        <f t="array" ref="AM565">IF(C565="","",IFERROR(XLOOKUP(C565,Orders!$A:$A,Orders!$E:$E,""),""))</f>
        <v/>
      </c>
      <c r="AN565" s="39" t="str">
        <f t="shared" si="7"/>
        <v/>
      </c>
      <c r="AO565" s="39" t="str">
        <f t="shared" si="8"/>
        <v/>
      </c>
      <c r="AP565" s="39" t="str">
        <f t="shared" si="9"/>
        <v/>
      </c>
      <c r="AQ565" s="39" t="str">
        <f t="shared" si="10"/>
        <v/>
      </c>
      <c r="AR565" s="39" t="str">
        <f t="shared" si="11"/>
        <v/>
      </c>
      <c r="AS565" s="39" t="str">
        <f t="shared" si="12"/>
        <v/>
      </c>
      <c r="AT565" s="39" t="str">
        <f t="shared" si="13"/>
        <v/>
      </c>
      <c r="AU565" s="39" t="str">
        <f t="shared" si="14"/>
        <v/>
      </c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 t="str">
        <f t="shared" si="4"/>
        <v/>
      </c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E566" s="39"/>
      <c r="AG566" s="39"/>
      <c r="AH566" s="39" t="str">
        <f t="shared" si="5"/>
        <v/>
      </c>
      <c r="AI566" s="39" t="str">
        <f t="shared" si="6"/>
        <v/>
      </c>
      <c r="AM566" s="39" t="str">
        <f t="array" ref="AM566">IF(C566="","",IFERROR(XLOOKUP(C566,Orders!$A:$A,Orders!$E:$E,""),""))</f>
        <v/>
      </c>
      <c r="AN566" s="39" t="str">
        <f t="shared" si="7"/>
        <v/>
      </c>
      <c r="AO566" s="39" t="str">
        <f t="shared" si="8"/>
        <v/>
      </c>
      <c r="AP566" s="39" t="str">
        <f t="shared" si="9"/>
        <v/>
      </c>
      <c r="AQ566" s="39" t="str">
        <f t="shared" si="10"/>
        <v/>
      </c>
      <c r="AR566" s="39" t="str">
        <f t="shared" si="11"/>
        <v/>
      </c>
      <c r="AS566" s="39" t="str">
        <f t="shared" si="12"/>
        <v/>
      </c>
      <c r="AT566" s="39" t="str">
        <f t="shared" si="13"/>
        <v/>
      </c>
      <c r="AU566" s="39" t="str">
        <f t="shared" si="14"/>
        <v/>
      </c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 t="str">
        <f t="shared" si="4"/>
        <v/>
      </c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E567" s="39"/>
      <c r="AG567" s="39"/>
      <c r="AH567" s="39" t="str">
        <f t="shared" si="5"/>
        <v/>
      </c>
      <c r="AI567" s="39" t="str">
        <f t="shared" si="6"/>
        <v/>
      </c>
      <c r="AM567" s="39" t="str">
        <f t="array" ref="AM567">IF(C567="","",IFERROR(XLOOKUP(C567,Orders!$A:$A,Orders!$E:$E,""),""))</f>
        <v/>
      </c>
      <c r="AN567" s="39" t="str">
        <f t="shared" si="7"/>
        <v/>
      </c>
      <c r="AO567" s="39" t="str">
        <f t="shared" si="8"/>
        <v/>
      </c>
      <c r="AP567" s="39" t="str">
        <f t="shared" si="9"/>
        <v/>
      </c>
      <c r="AQ567" s="39" t="str">
        <f t="shared" si="10"/>
        <v/>
      </c>
      <c r="AR567" s="39" t="str">
        <f t="shared" si="11"/>
        <v/>
      </c>
      <c r="AS567" s="39" t="str">
        <f t="shared" si="12"/>
        <v/>
      </c>
      <c r="AT567" s="39" t="str">
        <f t="shared" si="13"/>
        <v/>
      </c>
      <c r="AU567" s="39" t="str">
        <f t="shared" si="14"/>
        <v/>
      </c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 t="str">
        <f t="shared" si="4"/>
        <v/>
      </c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E568" s="39"/>
      <c r="AG568" s="39"/>
      <c r="AH568" s="39" t="str">
        <f t="shared" si="5"/>
        <v/>
      </c>
      <c r="AI568" s="39" t="str">
        <f t="shared" si="6"/>
        <v/>
      </c>
      <c r="AM568" s="39" t="str">
        <f t="array" ref="AM568">IF(C568="","",IFERROR(XLOOKUP(C568,Orders!$A:$A,Orders!$E:$E,""),""))</f>
        <v/>
      </c>
      <c r="AN568" s="39" t="str">
        <f t="shared" si="7"/>
        <v/>
      </c>
      <c r="AO568" s="39" t="str">
        <f t="shared" si="8"/>
        <v/>
      </c>
      <c r="AP568" s="39" t="str">
        <f t="shared" si="9"/>
        <v/>
      </c>
      <c r="AQ568" s="39" t="str">
        <f t="shared" si="10"/>
        <v/>
      </c>
      <c r="AR568" s="39" t="str">
        <f t="shared" si="11"/>
        <v/>
      </c>
      <c r="AS568" s="39" t="str">
        <f t="shared" si="12"/>
        <v/>
      </c>
      <c r="AT568" s="39" t="str">
        <f t="shared" si="13"/>
        <v/>
      </c>
      <c r="AU568" s="39" t="str">
        <f t="shared" si="14"/>
        <v/>
      </c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 t="str">
        <f t="shared" si="4"/>
        <v/>
      </c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E569" s="39"/>
      <c r="AG569" s="39"/>
      <c r="AH569" s="39" t="str">
        <f t="shared" si="5"/>
        <v/>
      </c>
      <c r="AI569" s="39" t="str">
        <f t="shared" si="6"/>
        <v/>
      </c>
      <c r="AM569" s="39" t="str">
        <f t="array" ref="AM569">IF(C569="","",IFERROR(XLOOKUP(C569,Orders!$A:$A,Orders!$E:$E,""),""))</f>
        <v/>
      </c>
      <c r="AN569" s="39" t="str">
        <f t="shared" si="7"/>
        <v/>
      </c>
      <c r="AO569" s="39" t="str">
        <f t="shared" si="8"/>
        <v/>
      </c>
      <c r="AP569" s="39" t="str">
        <f t="shared" si="9"/>
        <v/>
      </c>
      <c r="AQ569" s="39" t="str">
        <f t="shared" si="10"/>
        <v/>
      </c>
      <c r="AR569" s="39" t="str">
        <f t="shared" si="11"/>
        <v/>
      </c>
      <c r="AS569" s="39" t="str">
        <f t="shared" si="12"/>
        <v/>
      </c>
      <c r="AT569" s="39" t="str">
        <f t="shared" si="13"/>
        <v/>
      </c>
      <c r="AU569" s="39" t="str">
        <f t="shared" si="14"/>
        <v/>
      </c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 t="str">
        <f t="shared" si="4"/>
        <v/>
      </c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E570" s="39"/>
      <c r="AG570" s="39"/>
      <c r="AH570" s="39" t="str">
        <f t="shared" si="5"/>
        <v/>
      </c>
      <c r="AI570" s="39" t="str">
        <f t="shared" si="6"/>
        <v/>
      </c>
      <c r="AM570" s="39" t="str">
        <f t="array" ref="AM570">IF(C570="","",IFERROR(XLOOKUP(C570,Orders!$A:$A,Orders!$E:$E,""),""))</f>
        <v/>
      </c>
      <c r="AN570" s="39" t="str">
        <f t="shared" si="7"/>
        <v/>
      </c>
      <c r="AO570" s="39" t="str">
        <f t="shared" si="8"/>
        <v/>
      </c>
      <c r="AP570" s="39" t="str">
        <f t="shared" si="9"/>
        <v/>
      </c>
      <c r="AQ570" s="39" t="str">
        <f t="shared" si="10"/>
        <v/>
      </c>
      <c r="AR570" s="39" t="str">
        <f t="shared" si="11"/>
        <v/>
      </c>
      <c r="AS570" s="39" t="str">
        <f t="shared" si="12"/>
        <v/>
      </c>
      <c r="AT570" s="39" t="str">
        <f t="shared" si="13"/>
        <v/>
      </c>
      <c r="AU570" s="39" t="str">
        <f t="shared" si="14"/>
        <v/>
      </c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 t="str">
        <f t="shared" si="4"/>
        <v/>
      </c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E571" s="39"/>
      <c r="AG571" s="39"/>
      <c r="AH571" s="39" t="str">
        <f t="shared" si="5"/>
        <v/>
      </c>
      <c r="AI571" s="39" t="str">
        <f t="shared" si="6"/>
        <v/>
      </c>
      <c r="AM571" s="39" t="str">
        <f t="array" ref="AM571">IF(C571="","",IFERROR(XLOOKUP(C571,Orders!$A:$A,Orders!$E:$E,""),""))</f>
        <v/>
      </c>
      <c r="AN571" s="39" t="str">
        <f t="shared" si="7"/>
        <v/>
      </c>
      <c r="AO571" s="39" t="str">
        <f t="shared" si="8"/>
        <v/>
      </c>
      <c r="AP571" s="39" t="str">
        <f t="shared" si="9"/>
        <v/>
      </c>
      <c r="AQ571" s="39" t="str">
        <f t="shared" si="10"/>
        <v/>
      </c>
      <c r="AR571" s="39" t="str">
        <f t="shared" si="11"/>
        <v/>
      </c>
      <c r="AS571" s="39" t="str">
        <f t="shared" si="12"/>
        <v/>
      </c>
      <c r="AT571" s="39" t="str">
        <f t="shared" si="13"/>
        <v/>
      </c>
      <c r="AU571" s="39" t="str">
        <f t="shared" si="14"/>
        <v/>
      </c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 t="str">
        <f t="shared" si="4"/>
        <v/>
      </c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E572" s="39"/>
      <c r="AG572" s="39"/>
      <c r="AH572" s="39" t="str">
        <f t="shared" si="5"/>
        <v/>
      </c>
      <c r="AI572" s="39" t="str">
        <f t="shared" si="6"/>
        <v/>
      </c>
      <c r="AM572" s="39" t="str">
        <f t="array" ref="AM572">IF(C572="","",IFERROR(XLOOKUP(C572,Orders!$A:$A,Orders!$E:$E,""),""))</f>
        <v/>
      </c>
      <c r="AN572" s="39" t="str">
        <f t="shared" si="7"/>
        <v/>
      </c>
      <c r="AO572" s="39" t="str">
        <f t="shared" si="8"/>
        <v/>
      </c>
      <c r="AP572" s="39" t="str">
        <f t="shared" si="9"/>
        <v/>
      </c>
      <c r="AQ572" s="39" t="str">
        <f t="shared" si="10"/>
        <v/>
      </c>
      <c r="AR572" s="39" t="str">
        <f t="shared" si="11"/>
        <v/>
      </c>
      <c r="AS572" s="39" t="str">
        <f t="shared" si="12"/>
        <v/>
      </c>
      <c r="AT572" s="39" t="str">
        <f t="shared" si="13"/>
        <v/>
      </c>
      <c r="AU572" s="39" t="str">
        <f t="shared" si="14"/>
        <v/>
      </c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 t="str">
        <f t="shared" si="4"/>
        <v/>
      </c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E573" s="39"/>
      <c r="AG573" s="39"/>
      <c r="AH573" s="39" t="str">
        <f t="shared" si="5"/>
        <v/>
      </c>
      <c r="AI573" s="39" t="str">
        <f t="shared" si="6"/>
        <v/>
      </c>
      <c r="AM573" s="39" t="str">
        <f t="array" ref="AM573">IF(C573="","",IFERROR(XLOOKUP(C573,Orders!$A:$A,Orders!$E:$E,""),""))</f>
        <v/>
      </c>
      <c r="AN573" s="39" t="str">
        <f t="shared" si="7"/>
        <v/>
      </c>
      <c r="AO573" s="39" t="str">
        <f t="shared" si="8"/>
        <v/>
      </c>
      <c r="AP573" s="39" t="str">
        <f t="shared" si="9"/>
        <v/>
      </c>
      <c r="AQ573" s="39" t="str">
        <f t="shared" si="10"/>
        <v/>
      </c>
      <c r="AR573" s="39" t="str">
        <f t="shared" si="11"/>
        <v/>
      </c>
      <c r="AS573" s="39" t="str">
        <f t="shared" si="12"/>
        <v/>
      </c>
      <c r="AT573" s="39" t="str">
        <f t="shared" si="13"/>
        <v/>
      </c>
      <c r="AU573" s="39" t="str">
        <f t="shared" si="14"/>
        <v/>
      </c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 t="str">
        <f t="shared" si="4"/>
        <v/>
      </c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E574" s="39"/>
      <c r="AG574" s="39"/>
      <c r="AH574" s="39" t="str">
        <f t="shared" si="5"/>
        <v/>
      </c>
      <c r="AI574" s="39" t="str">
        <f t="shared" si="6"/>
        <v/>
      </c>
      <c r="AM574" s="39" t="str">
        <f t="array" ref="AM574">IF(C574="","",IFERROR(XLOOKUP(C574,Orders!$A:$A,Orders!$E:$E,""),""))</f>
        <v/>
      </c>
      <c r="AN574" s="39" t="str">
        <f t="shared" si="7"/>
        <v/>
      </c>
      <c r="AO574" s="39" t="str">
        <f t="shared" si="8"/>
        <v/>
      </c>
      <c r="AP574" s="39" t="str">
        <f t="shared" si="9"/>
        <v/>
      </c>
      <c r="AQ574" s="39" t="str">
        <f t="shared" si="10"/>
        <v/>
      </c>
      <c r="AR574" s="39" t="str">
        <f t="shared" si="11"/>
        <v/>
      </c>
      <c r="AS574" s="39" t="str">
        <f t="shared" si="12"/>
        <v/>
      </c>
      <c r="AT574" s="39" t="str">
        <f t="shared" si="13"/>
        <v/>
      </c>
      <c r="AU574" s="39" t="str">
        <f t="shared" si="14"/>
        <v/>
      </c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 t="str">
        <f t="shared" si="4"/>
        <v/>
      </c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E575" s="39"/>
      <c r="AG575" s="39"/>
      <c r="AH575" s="39" t="str">
        <f t="shared" si="5"/>
        <v/>
      </c>
      <c r="AI575" s="39" t="str">
        <f t="shared" si="6"/>
        <v/>
      </c>
      <c r="AM575" s="39" t="str">
        <f t="array" ref="AM575">IF(C575="","",IFERROR(XLOOKUP(C575,Orders!$A:$A,Orders!$E:$E,""),""))</f>
        <v/>
      </c>
      <c r="AN575" s="39" t="str">
        <f t="shared" si="7"/>
        <v/>
      </c>
      <c r="AO575" s="39" t="str">
        <f t="shared" si="8"/>
        <v/>
      </c>
      <c r="AP575" s="39" t="str">
        <f t="shared" si="9"/>
        <v/>
      </c>
      <c r="AQ575" s="39" t="str">
        <f t="shared" si="10"/>
        <v/>
      </c>
      <c r="AR575" s="39" t="str">
        <f t="shared" si="11"/>
        <v/>
      </c>
      <c r="AS575" s="39" t="str">
        <f t="shared" si="12"/>
        <v/>
      </c>
      <c r="AT575" s="39" t="str">
        <f t="shared" si="13"/>
        <v/>
      </c>
      <c r="AU575" s="39" t="str">
        <f t="shared" si="14"/>
        <v/>
      </c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 t="str">
        <f t="shared" si="4"/>
        <v/>
      </c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E576" s="39"/>
      <c r="AG576" s="39"/>
      <c r="AH576" s="39" t="str">
        <f t="shared" si="5"/>
        <v/>
      </c>
      <c r="AI576" s="39" t="str">
        <f t="shared" si="6"/>
        <v/>
      </c>
      <c r="AM576" s="39" t="str">
        <f t="array" ref="AM576">IF(C576="","",IFERROR(XLOOKUP(C576,Orders!$A:$A,Orders!$E:$E,""),""))</f>
        <v/>
      </c>
      <c r="AN576" s="39" t="str">
        <f t="shared" si="7"/>
        <v/>
      </c>
      <c r="AO576" s="39" t="str">
        <f t="shared" si="8"/>
        <v/>
      </c>
      <c r="AP576" s="39" t="str">
        <f t="shared" si="9"/>
        <v/>
      </c>
      <c r="AQ576" s="39" t="str">
        <f t="shared" si="10"/>
        <v/>
      </c>
      <c r="AR576" s="39" t="str">
        <f t="shared" si="11"/>
        <v/>
      </c>
      <c r="AS576" s="39" t="str">
        <f t="shared" si="12"/>
        <v/>
      </c>
      <c r="AT576" s="39" t="str">
        <f t="shared" si="13"/>
        <v/>
      </c>
      <c r="AU576" s="39" t="str">
        <f t="shared" si="14"/>
        <v/>
      </c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 t="str">
        <f t="shared" si="4"/>
        <v/>
      </c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E577" s="39"/>
      <c r="AG577" s="39"/>
      <c r="AH577" s="39" t="str">
        <f t="shared" si="5"/>
        <v/>
      </c>
      <c r="AI577" s="39" t="str">
        <f t="shared" si="6"/>
        <v/>
      </c>
      <c r="AM577" s="39" t="str">
        <f t="array" ref="AM577">IF(C577="","",IFERROR(XLOOKUP(C577,Orders!$A:$A,Orders!$E:$E,""),""))</f>
        <v/>
      </c>
      <c r="AN577" s="39" t="str">
        <f t="shared" si="7"/>
        <v/>
      </c>
      <c r="AO577" s="39" t="str">
        <f t="shared" si="8"/>
        <v/>
      </c>
      <c r="AP577" s="39" t="str">
        <f t="shared" si="9"/>
        <v/>
      </c>
      <c r="AQ577" s="39" t="str">
        <f t="shared" si="10"/>
        <v/>
      </c>
      <c r="AR577" s="39" t="str">
        <f t="shared" si="11"/>
        <v/>
      </c>
      <c r="AS577" s="39" t="str">
        <f t="shared" si="12"/>
        <v/>
      </c>
      <c r="AT577" s="39" t="str">
        <f t="shared" si="13"/>
        <v/>
      </c>
      <c r="AU577" s="39" t="str">
        <f t="shared" si="14"/>
        <v/>
      </c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 t="str">
        <f t="shared" si="4"/>
        <v/>
      </c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E578" s="39"/>
      <c r="AG578" s="39"/>
      <c r="AH578" s="39" t="str">
        <f t="shared" si="5"/>
        <v/>
      </c>
      <c r="AI578" s="39" t="str">
        <f t="shared" si="6"/>
        <v/>
      </c>
      <c r="AM578" s="39" t="str">
        <f t="array" ref="AM578">IF(C578="","",IFERROR(XLOOKUP(C578,Orders!$A:$A,Orders!$E:$E,""),""))</f>
        <v/>
      </c>
      <c r="AN578" s="39" t="str">
        <f t="shared" si="7"/>
        <v/>
      </c>
      <c r="AO578" s="39" t="str">
        <f t="shared" si="8"/>
        <v/>
      </c>
      <c r="AP578" s="39" t="str">
        <f t="shared" si="9"/>
        <v/>
      </c>
      <c r="AQ578" s="39" t="str">
        <f t="shared" si="10"/>
        <v/>
      </c>
      <c r="AR578" s="39" t="str">
        <f t="shared" si="11"/>
        <v/>
      </c>
      <c r="AS578" s="39" t="str">
        <f t="shared" si="12"/>
        <v/>
      </c>
      <c r="AT578" s="39" t="str">
        <f t="shared" si="13"/>
        <v/>
      </c>
      <c r="AU578" s="39" t="str">
        <f t="shared" si="14"/>
        <v/>
      </c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 t="str">
        <f t="shared" si="4"/>
        <v/>
      </c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E579" s="39"/>
      <c r="AG579" s="39"/>
      <c r="AH579" s="39" t="str">
        <f t="shared" si="5"/>
        <v/>
      </c>
      <c r="AI579" s="39" t="str">
        <f t="shared" si="6"/>
        <v/>
      </c>
      <c r="AM579" s="39" t="str">
        <f t="array" ref="AM579">IF(C579="","",IFERROR(XLOOKUP(C579,Orders!$A:$A,Orders!$E:$E,""),""))</f>
        <v/>
      </c>
      <c r="AN579" s="39" t="str">
        <f t="shared" si="7"/>
        <v/>
      </c>
      <c r="AO579" s="39" t="str">
        <f t="shared" si="8"/>
        <v/>
      </c>
      <c r="AP579" s="39" t="str">
        <f t="shared" si="9"/>
        <v/>
      </c>
      <c r="AQ579" s="39" t="str">
        <f t="shared" si="10"/>
        <v/>
      </c>
      <c r="AR579" s="39" t="str">
        <f t="shared" si="11"/>
        <v/>
      </c>
      <c r="AS579" s="39" t="str">
        <f t="shared" si="12"/>
        <v/>
      </c>
      <c r="AT579" s="39" t="str">
        <f t="shared" si="13"/>
        <v/>
      </c>
      <c r="AU579" s="39" t="str">
        <f t="shared" si="14"/>
        <v/>
      </c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 t="str">
        <f t="shared" si="4"/>
        <v/>
      </c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E580" s="39"/>
      <c r="AG580" s="39"/>
      <c r="AH580" s="39" t="str">
        <f t="shared" si="5"/>
        <v/>
      </c>
      <c r="AI580" s="39" t="str">
        <f t="shared" si="6"/>
        <v/>
      </c>
      <c r="AM580" s="39" t="str">
        <f t="array" ref="AM580">IF(C580="","",IFERROR(XLOOKUP(C580,Orders!$A:$A,Orders!$E:$E,""),""))</f>
        <v/>
      </c>
      <c r="AN580" s="39" t="str">
        <f t="shared" si="7"/>
        <v/>
      </c>
      <c r="AO580" s="39" t="str">
        <f t="shared" si="8"/>
        <v/>
      </c>
      <c r="AP580" s="39" t="str">
        <f t="shared" si="9"/>
        <v/>
      </c>
      <c r="AQ580" s="39" t="str">
        <f t="shared" si="10"/>
        <v/>
      </c>
      <c r="AR580" s="39" t="str">
        <f t="shared" si="11"/>
        <v/>
      </c>
      <c r="AS580" s="39" t="str">
        <f t="shared" si="12"/>
        <v/>
      </c>
      <c r="AT580" s="39" t="str">
        <f t="shared" si="13"/>
        <v/>
      </c>
      <c r="AU580" s="39" t="str">
        <f t="shared" si="14"/>
        <v/>
      </c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 t="str">
        <f t="shared" si="4"/>
        <v/>
      </c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E581" s="39"/>
      <c r="AG581" s="39"/>
      <c r="AH581" s="39" t="str">
        <f t="shared" si="5"/>
        <v/>
      </c>
      <c r="AI581" s="39" t="str">
        <f t="shared" si="6"/>
        <v/>
      </c>
      <c r="AM581" s="39" t="str">
        <f t="array" ref="AM581">IF(C581="","",IFERROR(XLOOKUP(C581,Orders!$A:$A,Orders!$E:$E,""),""))</f>
        <v/>
      </c>
      <c r="AN581" s="39" t="str">
        <f t="shared" si="7"/>
        <v/>
      </c>
      <c r="AO581" s="39" t="str">
        <f t="shared" si="8"/>
        <v/>
      </c>
      <c r="AP581" s="39" t="str">
        <f t="shared" si="9"/>
        <v/>
      </c>
      <c r="AQ581" s="39" t="str">
        <f t="shared" si="10"/>
        <v/>
      </c>
      <c r="AR581" s="39" t="str">
        <f t="shared" si="11"/>
        <v/>
      </c>
      <c r="AS581" s="39" t="str">
        <f t="shared" si="12"/>
        <v/>
      </c>
      <c r="AT581" s="39" t="str">
        <f t="shared" si="13"/>
        <v/>
      </c>
      <c r="AU581" s="39" t="str">
        <f t="shared" si="14"/>
        <v/>
      </c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 t="str">
        <f t="shared" si="4"/>
        <v/>
      </c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E582" s="39"/>
      <c r="AG582" s="39"/>
      <c r="AH582" s="39" t="str">
        <f t="shared" si="5"/>
        <v/>
      </c>
      <c r="AI582" s="39" t="str">
        <f t="shared" si="6"/>
        <v/>
      </c>
      <c r="AM582" s="39" t="str">
        <f t="array" ref="AM582">IF(C582="","",IFERROR(XLOOKUP(C582,Orders!$A:$A,Orders!$E:$E,""),""))</f>
        <v/>
      </c>
      <c r="AN582" s="39" t="str">
        <f t="shared" si="7"/>
        <v/>
      </c>
      <c r="AO582" s="39" t="str">
        <f t="shared" si="8"/>
        <v/>
      </c>
      <c r="AP582" s="39" t="str">
        <f t="shared" si="9"/>
        <v/>
      </c>
      <c r="AQ582" s="39" t="str">
        <f t="shared" si="10"/>
        <v/>
      </c>
      <c r="AR582" s="39" t="str">
        <f t="shared" si="11"/>
        <v/>
      </c>
      <c r="AS582" s="39" t="str">
        <f t="shared" si="12"/>
        <v/>
      </c>
      <c r="AT582" s="39" t="str">
        <f t="shared" si="13"/>
        <v/>
      </c>
      <c r="AU582" s="39" t="str">
        <f t="shared" si="14"/>
        <v/>
      </c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 t="str">
        <f t="shared" si="4"/>
        <v/>
      </c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E583" s="39"/>
      <c r="AG583" s="39"/>
      <c r="AH583" s="39" t="str">
        <f t="shared" si="5"/>
        <v/>
      </c>
      <c r="AI583" s="39" t="str">
        <f t="shared" si="6"/>
        <v/>
      </c>
      <c r="AM583" s="39" t="str">
        <f t="array" ref="AM583">IF(C583="","",IFERROR(XLOOKUP(C583,Orders!$A:$A,Orders!$E:$E,""),""))</f>
        <v/>
      </c>
      <c r="AN583" s="39" t="str">
        <f t="shared" si="7"/>
        <v/>
      </c>
      <c r="AO583" s="39" t="str">
        <f t="shared" si="8"/>
        <v/>
      </c>
      <c r="AP583" s="39" t="str">
        <f t="shared" si="9"/>
        <v/>
      </c>
      <c r="AQ583" s="39" t="str">
        <f t="shared" si="10"/>
        <v/>
      </c>
      <c r="AR583" s="39" t="str">
        <f t="shared" si="11"/>
        <v/>
      </c>
      <c r="AS583" s="39" t="str">
        <f t="shared" si="12"/>
        <v/>
      </c>
      <c r="AT583" s="39" t="str">
        <f t="shared" si="13"/>
        <v/>
      </c>
      <c r="AU583" s="39" t="str">
        <f t="shared" si="14"/>
        <v/>
      </c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 t="str">
        <f t="shared" si="4"/>
        <v/>
      </c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E584" s="39"/>
      <c r="AG584" s="39"/>
      <c r="AH584" s="39" t="str">
        <f t="shared" si="5"/>
        <v/>
      </c>
      <c r="AI584" s="39" t="str">
        <f t="shared" si="6"/>
        <v/>
      </c>
      <c r="AM584" s="39" t="str">
        <f t="array" ref="AM584">IF(C584="","",IFERROR(XLOOKUP(C584,Orders!$A:$A,Orders!$E:$E,""),""))</f>
        <v/>
      </c>
      <c r="AN584" s="39" t="str">
        <f t="shared" si="7"/>
        <v/>
      </c>
      <c r="AO584" s="39" t="str">
        <f t="shared" si="8"/>
        <v/>
      </c>
      <c r="AP584" s="39" t="str">
        <f t="shared" si="9"/>
        <v/>
      </c>
      <c r="AQ584" s="39" t="str">
        <f t="shared" si="10"/>
        <v/>
      </c>
      <c r="AR584" s="39" t="str">
        <f t="shared" si="11"/>
        <v/>
      </c>
      <c r="AS584" s="39" t="str">
        <f t="shared" si="12"/>
        <v/>
      </c>
      <c r="AT584" s="39" t="str">
        <f t="shared" si="13"/>
        <v/>
      </c>
      <c r="AU584" s="39" t="str">
        <f t="shared" si="14"/>
        <v/>
      </c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 t="str">
        <f t="shared" si="4"/>
        <v/>
      </c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E585" s="39"/>
      <c r="AG585" s="39"/>
      <c r="AH585" s="39" t="str">
        <f t="shared" si="5"/>
        <v/>
      </c>
      <c r="AI585" s="39" t="str">
        <f t="shared" si="6"/>
        <v/>
      </c>
      <c r="AM585" s="39" t="str">
        <f t="array" ref="AM585">IF(C585="","",IFERROR(XLOOKUP(C585,Orders!$A:$A,Orders!$E:$E,""),""))</f>
        <v/>
      </c>
      <c r="AN585" s="39" t="str">
        <f t="shared" si="7"/>
        <v/>
      </c>
      <c r="AO585" s="39" t="str">
        <f t="shared" si="8"/>
        <v/>
      </c>
      <c r="AP585" s="39" t="str">
        <f t="shared" si="9"/>
        <v/>
      </c>
      <c r="AQ585" s="39" t="str">
        <f t="shared" si="10"/>
        <v/>
      </c>
      <c r="AR585" s="39" t="str">
        <f t="shared" si="11"/>
        <v/>
      </c>
      <c r="AS585" s="39" t="str">
        <f t="shared" si="12"/>
        <v/>
      </c>
      <c r="AT585" s="39" t="str">
        <f t="shared" si="13"/>
        <v/>
      </c>
      <c r="AU585" s="39" t="str">
        <f t="shared" si="14"/>
        <v/>
      </c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 t="str">
        <f t="shared" si="4"/>
        <v/>
      </c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E586" s="39"/>
      <c r="AG586" s="39"/>
      <c r="AH586" s="39" t="str">
        <f t="shared" si="5"/>
        <v/>
      </c>
      <c r="AI586" s="39" t="str">
        <f t="shared" si="6"/>
        <v/>
      </c>
      <c r="AM586" s="39" t="str">
        <f t="array" ref="AM586">IF(C586="","",IFERROR(XLOOKUP(C586,Orders!$A:$A,Orders!$E:$E,""),""))</f>
        <v/>
      </c>
      <c r="AN586" s="39" t="str">
        <f t="shared" si="7"/>
        <v/>
      </c>
      <c r="AO586" s="39" t="str">
        <f t="shared" si="8"/>
        <v/>
      </c>
      <c r="AP586" s="39" t="str">
        <f t="shared" si="9"/>
        <v/>
      </c>
      <c r="AQ586" s="39" t="str">
        <f t="shared" si="10"/>
        <v/>
      </c>
      <c r="AR586" s="39" t="str">
        <f t="shared" si="11"/>
        <v/>
      </c>
      <c r="AS586" s="39" t="str">
        <f t="shared" si="12"/>
        <v/>
      </c>
      <c r="AT586" s="39" t="str">
        <f t="shared" si="13"/>
        <v/>
      </c>
      <c r="AU586" s="39" t="str">
        <f t="shared" si="14"/>
        <v/>
      </c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 t="str">
        <f t="shared" si="4"/>
        <v/>
      </c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E587" s="39"/>
      <c r="AG587" s="39"/>
      <c r="AH587" s="39" t="str">
        <f t="shared" si="5"/>
        <v/>
      </c>
      <c r="AI587" s="39" t="str">
        <f t="shared" si="6"/>
        <v/>
      </c>
      <c r="AM587" s="39" t="str">
        <f t="array" ref="AM587">IF(C587="","",IFERROR(XLOOKUP(C587,Orders!$A:$A,Orders!$E:$E,""),""))</f>
        <v/>
      </c>
      <c r="AN587" s="39" t="str">
        <f t="shared" si="7"/>
        <v/>
      </c>
      <c r="AO587" s="39" t="str">
        <f t="shared" si="8"/>
        <v/>
      </c>
      <c r="AP587" s="39" t="str">
        <f t="shared" si="9"/>
        <v/>
      </c>
      <c r="AQ587" s="39" t="str">
        <f t="shared" si="10"/>
        <v/>
      </c>
      <c r="AR587" s="39" t="str">
        <f t="shared" si="11"/>
        <v/>
      </c>
      <c r="AS587" s="39" t="str">
        <f t="shared" si="12"/>
        <v/>
      </c>
      <c r="AT587" s="39" t="str">
        <f t="shared" si="13"/>
        <v/>
      </c>
      <c r="AU587" s="39" t="str">
        <f t="shared" si="14"/>
        <v/>
      </c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 t="str">
        <f t="shared" si="4"/>
        <v/>
      </c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E588" s="39"/>
      <c r="AG588" s="39"/>
      <c r="AH588" s="39" t="str">
        <f t="shared" si="5"/>
        <v/>
      </c>
      <c r="AI588" s="39" t="str">
        <f t="shared" si="6"/>
        <v/>
      </c>
      <c r="AM588" s="39" t="str">
        <f t="array" ref="AM588">IF(C588="","",IFERROR(XLOOKUP(C588,Orders!$A:$A,Orders!$E:$E,""),""))</f>
        <v/>
      </c>
      <c r="AN588" s="39" t="str">
        <f t="shared" si="7"/>
        <v/>
      </c>
      <c r="AO588" s="39" t="str">
        <f t="shared" si="8"/>
        <v/>
      </c>
      <c r="AP588" s="39" t="str">
        <f t="shared" si="9"/>
        <v/>
      </c>
      <c r="AQ588" s="39" t="str">
        <f t="shared" si="10"/>
        <v/>
      </c>
      <c r="AR588" s="39" t="str">
        <f t="shared" si="11"/>
        <v/>
      </c>
      <c r="AS588" s="39" t="str">
        <f t="shared" si="12"/>
        <v/>
      </c>
      <c r="AT588" s="39" t="str">
        <f t="shared" si="13"/>
        <v/>
      </c>
      <c r="AU588" s="39" t="str">
        <f t="shared" si="14"/>
        <v/>
      </c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 t="str">
        <f t="shared" si="4"/>
        <v/>
      </c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E589" s="39"/>
      <c r="AG589" s="39"/>
      <c r="AH589" s="39" t="str">
        <f t="shared" si="5"/>
        <v/>
      </c>
      <c r="AI589" s="39" t="str">
        <f t="shared" si="6"/>
        <v/>
      </c>
      <c r="AM589" s="39" t="str">
        <f t="array" ref="AM589">IF(C589="","",IFERROR(XLOOKUP(C589,Orders!$A:$A,Orders!$E:$E,""),""))</f>
        <v/>
      </c>
      <c r="AN589" s="39" t="str">
        <f t="shared" si="7"/>
        <v/>
      </c>
      <c r="AO589" s="39" t="str">
        <f t="shared" si="8"/>
        <v/>
      </c>
      <c r="AP589" s="39" t="str">
        <f t="shared" si="9"/>
        <v/>
      </c>
      <c r="AQ589" s="39" t="str">
        <f t="shared" si="10"/>
        <v/>
      </c>
      <c r="AR589" s="39" t="str">
        <f t="shared" si="11"/>
        <v/>
      </c>
      <c r="AS589" s="39" t="str">
        <f t="shared" si="12"/>
        <v/>
      </c>
      <c r="AT589" s="39" t="str">
        <f t="shared" si="13"/>
        <v/>
      </c>
      <c r="AU589" s="39" t="str">
        <f t="shared" si="14"/>
        <v/>
      </c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 t="str">
        <f t="shared" si="4"/>
        <v/>
      </c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E590" s="39"/>
      <c r="AG590" s="39"/>
      <c r="AH590" s="39" t="str">
        <f t="shared" si="5"/>
        <v/>
      </c>
      <c r="AI590" s="39" t="str">
        <f t="shared" si="6"/>
        <v/>
      </c>
      <c r="AM590" s="39" t="str">
        <f t="array" ref="AM590">IF(C590="","",IFERROR(XLOOKUP(C590,Orders!$A:$A,Orders!$E:$E,""),""))</f>
        <v/>
      </c>
      <c r="AN590" s="39" t="str">
        <f t="shared" si="7"/>
        <v/>
      </c>
      <c r="AO590" s="39" t="str">
        <f t="shared" si="8"/>
        <v/>
      </c>
      <c r="AP590" s="39" t="str">
        <f t="shared" si="9"/>
        <v/>
      </c>
      <c r="AQ590" s="39" t="str">
        <f t="shared" si="10"/>
        <v/>
      </c>
      <c r="AR590" s="39" t="str">
        <f t="shared" si="11"/>
        <v/>
      </c>
      <c r="AS590" s="39" t="str">
        <f t="shared" si="12"/>
        <v/>
      </c>
      <c r="AT590" s="39" t="str">
        <f t="shared" si="13"/>
        <v/>
      </c>
      <c r="AU590" s="39" t="str">
        <f t="shared" si="14"/>
        <v/>
      </c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 t="str">
        <f t="shared" si="4"/>
        <v/>
      </c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E591" s="39"/>
      <c r="AG591" s="39"/>
      <c r="AH591" s="39" t="str">
        <f t="shared" si="5"/>
        <v/>
      </c>
      <c r="AI591" s="39" t="str">
        <f t="shared" si="6"/>
        <v/>
      </c>
      <c r="AM591" s="39" t="str">
        <f t="array" ref="AM591">IF(C591="","",IFERROR(XLOOKUP(C591,Orders!$A:$A,Orders!$E:$E,""),""))</f>
        <v/>
      </c>
      <c r="AN591" s="39" t="str">
        <f t="shared" si="7"/>
        <v/>
      </c>
      <c r="AO591" s="39" t="str">
        <f t="shared" si="8"/>
        <v/>
      </c>
      <c r="AP591" s="39" t="str">
        <f t="shared" si="9"/>
        <v/>
      </c>
      <c r="AQ591" s="39" t="str">
        <f t="shared" si="10"/>
        <v/>
      </c>
      <c r="AR591" s="39" t="str">
        <f t="shared" si="11"/>
        <v/>
      </c>
      <c r="AS591" s="39" t="str">
        <f t="shared" si="12"/>
        <v/>
      </c>
      <c r="AT591" s="39" t="str">
        <f t="shared" si="13"/>
        <v/>
      </c>
      <c r="AU591" s="39" t="str">
        <f t="shared" si="14"/>
        <v/>
      </c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 t="str">
        <f t="shared" si="4"/>
        <v/>
      </c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E592" s="39"/>
      <c r="AG592" s="39"/>
      <c r="AH592" s="39" t="str">
        <f t="shared" si="5"/>
        <v/>
      </c>
      <c r="AI592" s="39" t="str">
        <f t="shared" si="6"/>
        <v/>
      </c>
      <c r="AM592" s="39" t="str">
        <f t="array" ref="AM592">IF(C592="","",IFERROR(XLOOKUP(C592,Orders!$A:$A,Orders!$E:$E,""),""))</f>
        <v/>
      </c>
      <c r="AN592" s="39" t="str">
        <f t="shared" si="7"/>
        <v/>
      </c>
      <c r="AO592" s="39" t="str">
        <f t="shared" si="8"/>
        <v/>
      </c>
      <c r="AP592" s="39" t="str">
        <f t="shared" si="9"/>
        <v/>
      </c>
      <c r="AQ592" s="39" t="str">
        <f t="shared" si="10"/>
        <v/>
      </c>
      <c r="AR592" s="39" t="str">
        <f t="shared" si="11"/>
        <v/>
      </c>
      <c r="AS592" s="39" t="str">
        <f t="shared" si="12"/>
        <v/>
      </c>
      <c r="AT592" s="39" t="str">
        <f t="shared" si="13"/>
        <v/>
      </c>
      <c r="AU592" s="39" t="str">
        <f t="shared" si="14"/>
        <v/>
      </c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 t="str">
        <f t="shared" si="4"/>
        <v/>
      </c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E593" s="39"/>
      <c r="AG593" s="39"/>
      <c r="AH593" s="39" t="str">
        <f t="shared" si="5"/>
        <v/>
      </c>
      <c r="AI593" s="39" t="str">
        <f t="shared" si="6"/>
        <v/>
      </c>
      <c r="AM593" s="39" t="str">
        <f t="array" ref="AM593">IF(C593="","",IFERROR(XLOOKUP(C593,Orders!$A:$A,Orders!$E:$E,""),""))</f>
        <v/>
      </c>
      <c r="AN593" s="39" t="str">
        <f t="shared" si="7"/>
        <v/>
      </c>
      <c r="AO593" s="39" t="str">
        <f t="shared" si="8"/>
        <v/>
      </c>
      <c r="AP593" s="39" t="str">
        <f t="shared" si="9"/>
        <v/>
      </c>
      <c r="AQ593" s="39" t="str">
        <f t="shared" si="10"/>
        <v/>
      </c>
      <c r="AR593" s="39" t="str">
        <f t="shared" si="11"/>
        <v/>
      </c>
      <c r="AS593" s="39" t="str">
        <f t="shared" si="12"/>
        <v/>
      </c>
      <c r="AT593" s="39" t="str">
        <f t="shared" si="13"/>
        <v/>
      </c>
      <c r="AU593" s="39" t="str">
        <f t="shared" si="14"/>
        <v/>
      </c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 t="str">
        <f t="shared" si="4"/>
        <v/>
      </c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E594" s="39"/>
      <c r="AG594" s="39"/>
      <c r="AH594" s="39" t="str">
        <f t="shared" si="5"/>
        <v/>
      </c>
      <c r="AI594" s="39" t="str">
        <f t="shared" si="6"/>
        <v/>
      </c>
      <c r="AM594" s="39" t="str">
        <f t="array" ref="AM594">IF(C594="","",IFERROR(XLOOKUP(C594,Orders!$A:$A,Orders!$E:$E,""),""))</f>
        <v/>
      </c>
      <c r="AN594" s="39" t="str">
        <f t="shared" si="7"/>
        <v/>
      </c>
      <c r="AO594" s="39" t="str">
        <f t="shared" si="8"/>
        <v/>
      </c>
      <c r="AP594" s="39" t="str">
        <f t="shared" si="9"/>
        <v/>
      </c>
      <c r="AQ594" s="39" t="str">
        <f t="shared" si="10"/>
        <v/>
      </c>
      <c r="AR594" s="39" t="str">
        <f t="shared" si="11"/>
        <v/>
      </c>
      <c r="AS594" s="39" t="str">
        <f t="shared" si="12"/>
        <v/>
      </c>
      <c r="AT594" s="39" t="str">
        <f t="shared" si="13"/>
        <v/>
      </c>
      <c r="AU594" s="39" t="str">
        <f t="shared" si="14"/>
        <v/>
      </c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 t="str">
        <f t="shared" si="4"/>
        <v/>
      </c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E595" s="39"/>
      <c r="AG595" s="39"/>
      <c r="AH595" s="39" t="str">
        <f t="shared" si="5"/>
        <v/>
      </c>
      <c r="AI595" s="39" t="str">
        <f t="shared" si="6"/>
        <v/>
      </c>
      <c r="AM595" s="39" t="str">
        <f t="array" ref="AM595">IF(C595="","",IFERROR(XLOOKUP(C595,Orders!$A:$A,Orders!$E:$E,""),""))</f>
        <v/>
      </c>
      <c r="AN595" s="39" t="str">
        <f t="shared" si="7"/>
        <v/>
      </c>
      <c r="AO595" s="39" t="str">
        <f t="shared" si="8"/>
        <v/>
      </c>
      <c r="AP595" s="39" t="str">
        <f t="shared" si="9"/>
        <v/>
      </c>
      <c r="AQ595" s="39" t="str">
        <f t="shared" si="10"/>
        <v/>
      </c>
      <c r="AR595" s="39" t="str">
        <f t="shared" si="11"/>
        <v/>
      </c>
      <c r="AS595" s="39" t="str">
        <f t="shared" si="12"/>
        <v/>
      </c>
      <c r="AT595" s="39" t="str">
        <f t="shared" si="13"/>
        <v/>
      </c>
      <c r="AU595" s="39" t="str">
        <f t="shared" si="14"/>
        <v/>
      </c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 t="str">
        <f t="shared" si="4"/>
        <v/>
      </c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E596" s="39"/>
      <c r="AG596" s="39"/>
      <c r="AH596" s="39" t="str">
        <f t="shared" si="5"/>
        <v/>
      </c>
      <c r="AI596" s="39" t="str">
        <f t="shared" si="6"/>
        <v/>
      </c>
      <c r="AM596" s="39" t="str">
        <f t="array" ref="AM596">IF(C596="","",IFERROR(XLOOKUP(C596,Orders!$A:$A,Orders!$E:$E,""),""))</f>
        <v/>
      </c>
      <c r="AN596" s="39" t="str">
        <f t="shared" si="7"/>
        <v/>
      </c>
      <c r="AO596" s="39" t="str">
        <f t="shared" si="8"/>
        <v/>
      </c>
      <c r="AP596" s="39" t="str">
        <f t="shared" si="9"/>
        <v/>
      </c>
      <c r="AQ596" s="39" t="str">
        <f t="shared" si="10"/>
        <v/>
      </c>
      <c r="AR596" s="39" t="str">
        <f t="shared" si="11"/>
        <v/>
      </c>
      <c r="AS596" s="39" t="str">
        <f t="shared" si="12"/>
        <v/>
      </c>
      <c r="AT596" s="39" t="str">
        <f t="shared" si="13"/>
        <v/>
      </c>
      <c r="AU596" s="39" t="str">
        <f t="shared" si="14"/>
        <v/>
      </c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 t="str">
        <f t="shared" si="4"/>
        <v/>
      </c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E597" s="39"/>
      <c r="AG597" s="39"/>
      <c r="AH597" s="39" t="str">
        <f t="shared" si="5"/>
        <v/>
      </c>
      <c r="AI597" s="39" t="str">
        <f t="shared" si="6"/>
        <v/>
      </c>
      <c r="AM597" s="39" t="str">
        <f t="array" ref="AM597">IF(C597="","",IFERROR(XLOOKUP(C597,Orders!$A:$A,Orders!$E:$E,""),""))</f>
        <v/>
      </c>
      <c r="AN597" s="39" t="str">
        <f t="shared" si="7"/>
        <v/>
      </c>
      <c r="AO597" s="39" t="str">
        <f t="shared" si="8"/>
        <v/>
      </c>
      <c r="AP597" s="39" t="str">
        <f t="shared" si="9"/>
        <v/>
      </c>
      <c r="AQ597" s="39" t="str">
        <f t="shared" si="10"/>
        <v/>
      </c>
      <c r="AR597" s="39" t="str">
        <f t="shared" si="11"/>
        <v/>
      </c>
      <c r="AS597" s="39" t="str">
        <f t="shared" si="12"/>
        <v/>
      </c>
      <c r="AT597" s="39" t="str">
        <f t="shared" si="13"/>
        <v/>
      </c>
      <c r="AU597" s="39" t="str">
        <f t="shared" si="14"/>
        <v/>
      </c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 t="str">
        <f t="shared" si="4"/>
        <v/>
      </c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E598" s="39"/>
      <c r="AG598" s="39"/>
      <c r="AH598" s="39" t="str">
        <f t="shared" si="5"/>
        <v/>
      </c>
      <c r="AI598" s="39" t="str">
        <f t="shared" si="6"/>
        <v/>
      </c>
      <c r="AM598" s="39" t="str">
        <f t="array" ref="AM598">IF(C598="","",IFERROR(XLOOKUP(C598,Orders!$A:$A,Orders!$E:$E,""),""))</f>
        <v/>
      </c>
      <c r="AN598" s="39" t="str">
        <f t="shared" si="7"/>
        <v/>
      </c>
      <c r="AO598" s="39" t="str">
        <f t="shared" si="8"/>
        <v/>
      </c>
      <c r="AP598" s="39" t="str">
        <f t="shared" si="9"/>
        <v/>
      </c>
      <c r="AQ598" s="39" t="str">
        <f t="shared" si="10"/>
        <v/>
      </c>
      <c r="AR598" s="39" t="str">
        <f t="shared" si="11"/>
        <v/>
      </c>
      <c r="AS598" s="39" t="str">
        <f t="shared" si="12"/>
        <v/>
      </c>
      <c r="AT598" s="39" t="str">
        <f t="shared" si="13"/>
        <v/>
      </c>
      <c r="AU598" s="39" t="str">
        <f t="shared" si="14"/>
        <v/>
      </c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 t="str">
        <f t="shared" si="4"/>
        <v/>
      </c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E599" s="39"/>
      <c r="AG599" s="39"/>
      <c r="AH599" s="39" t="str">
        <f t="shared" si="5"/>
        <v/>
      </c>
      <c r="AI599" s="39" t="str">
        <f t="shared" si="6"/>
        <v/>
      </c>
      <c r="AM599" s="39" t="str">
        <f t="array" ref="AM599">IF(C599="","",IFERROR(XLOOKUP(C599,Orders!$A:$A,Orders!$E:$E,""),""))</f>
        <v/>
      </c>
      <c r="AN599" s="39" t="str">
        <f t="shared" si="7"/>
        <v/>
      </c>
      <c r="AO599" s="39" t="str">
        <f t="shared" si="8"/>
        <v/>
      </c>
      <c r="AP599" s="39" t="str">
        <f t="shared" si="9"/>
        <v/>
      </c>
      <c r="AQ599" s="39" t="str">
        <f t="shared" si="10"/>
        <v/>
      </c>
      <c r="AR599" s="39" t="str">
        <f t="shared" si="11"/>
        <v/>
      </c>
      <c r="AS599" s="39" t="str">
        <f t="shared" si="12"/>
        <v/>
      </c>
      <c r="AT599" s="39" t="str">
        <f t="shared" si="13"/>
        <v/>
      </c>
      <c r="AU599" s="39" t="str">
        <f t="shared" si="14"/>
        <v/>
      </c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 t="str">
        <f t="shared" si="4"/>
        <v/>
      </c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E600" s="39"/>
      <c r="AG600" s="39"/>
      <c r="AH600" s="39" t="str">
        <f t="shared" si="5"/>
        <v/>
      </c>
      <c r="AI600" s="39" t="str">
        <f t="shared" si="6"/>
        <v/>
      </c>
      <c r="AM600" s="39" t="str">
        <f t="array" ref="AM600">IF(C600="","",IFERROR(XLOOKUP(C600,Orders!$A:$A,Orders!$E:$E,""),""))</f>
        <v/>
      </c>
      <c r="AN600" s="39" t="str">
        <f t="shared" si="7"/>
        <v/>
      </c>
      <c r="AO600" s="39" t="str">
        <f t="shared" si="8"/>
        <v/>
      </c>
      <c r="AP600" s="39" t="str">
        <f t="shared" si="9"/>
        <v/>
      </c>
      <c r="AQ600" s="39" t="str">
        <f t="shared" si="10"/>
        <v/>
      </c>
      <c r="AR600" s="39" t="str">
        <f t="shared" si="11"/>
        <v/>
      </c>
      <c r="AS600" s="39" t="str">
        <f t="shared" si="12"/>
        <v/>
      </c>
      <c r="AT600" s="39" t="str">
        <f t="shared" si="13"/>
        <v/>
      </c>
      <c r="AU600" s="39" t="str">
        <f t="shared" si="14"/>
        <v/>
      </c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 t="str">
        <f t="shared" si="4"/>
        <v/>
      </c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E601" s="39"/>
      <c r="AG601" s="39"/>
      <c r="AH601" s="39" t="str">
        <f t="shared" si="5"/>
        <v/>
      </c>
      <c r="AI601" s="39" t="str">
        <f t="shared" si="6"/>
        <v/>
      </c>
      <c r="AM601" s="39" t="str">
        <f t="array" ref="AM601">IF(C601="","",IFERROR(XLOOKUP(C601,Orders!$A:$A,Orders!$E:$E,""),""))</f>
        <v/>
      </c>
      <c r="AN601" s="39" t="str">
        <f t="shared" si="7"/>
        <v/>
      </c>
      <c r="AO601" s="39" t="str">
        <f t="shared" si="8"/>
        <v/>
      </c>
      <c r="AP601" s="39" t="str">
        <f t="shared" si="9"/>
        <v/>
      </c>
      <c r="AQ601" s="39" t="str">
        <f t="shared" si="10"/>
        <v/>
      </c>
      <c r="AR601" s="39" t="str">
        <f t="shared" si="11"/>
        <v/>
      </c>
      <c r="AS601" s="39" t="str">
        <f t="shared" si="12"/>
        <v/>
      </c>
      <c r="AT601" s="39" t="str">
        <f t="shared" si="13"/>
        <v/>
      </c>
      <c r="AU601" s="39" t="str">
        <f t="shared" si="14"/>
        <v/>
      </c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 t="str">
        <f t="shared" si="4"/>
        <v/>
      </c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E602" s="39"/>
      <c r="AG602" s="39"/>
      <c r="AH602" s="39" t="str">
        <f t="shared" si="5"/>
        <v/>
      </c>
      <c r="AI602" s="39" t="str">
        <f t="shared" si="6"/>
        <v/>
      </c>
      <c r="AM602" s="39" t="str">
        <f t="array" ref="AM602">IF(C602="","",IFERROR(XLOOKUP(C602,Orders!$A:$A,Orders!$E:$E,""),""))</f>
        <v/>
      </c>
      <c r="AN602" s="39" t="str">
        <f t="shared" si="7"/>
        <v/>
      </c>
      <c r="AO602" s="39" t="str">
        <f t="shared" si="8"/>
        <v/>
      </c>
      <c r="AP602" s="39" t="str">
        <f t="shared" si="9"/>
        <v/>
      </c>
      <c r="AQ602" s="39" t="str">
        <f t="shared" si="10"/>
        <v/>
      </c>
      <c r="AR602" s="39" t="str">
        <f t="shared" si="11"/>
        <v/>
      </c>
      <c r="AS602" s="39" t="str">
        <f t="shared" si="12"/>
        <v/>
      </c>
      <c r="AT602" s="39" t="str">
        <f t="shared" si="13"/>
        <v/>
      </c>
      <c r="AU602" s="39" t="str">
        <f t="shared" si="14"/>
        <v/>
      </c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 t="str">
        <f t="shared" si="4"/>
        <v/>
      </c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E603" s="39"/>
      <c r="AG603" s="39"/>
      <c r="AH603" s="39" t="str">
        <f t="shared" si="5"/>
        <v/>
      </c>
      <c r="AI603" s="39" t="str">
        <f t="shared" si="6"/>
        <v/>
      </c>
      <c r="AM603" s="39" t="str">
        <f t="array" ref="AM603">IF(C603="","",IFERROR(XLOOKUP(C603,Orders!$A:$A,Orders!$E:$E,""),""))</f>
        <v/>
      </c>
      <c r="AN603" s="39" t="str">
        <f t="shared" si="7"/>
        <v/>
      </c>
      <c r="AO603" s="39" t="str">
        <f t="shared" si="8"/>
        <v/>
      </c>
      <c r="AP603" s="39" t="str">
        <f t="shared" si="9"/>
        <v/>
      </c>
      <c r="AQ603" s="39" t="str">
        <f t="shared" si="10"/>
        <v/>
      </c>
      <c r="AR603" s="39" t="str">
        <f t="shared" si="11"/>
        <v/>
      </c>
      <c r="AS603" s="39" t="str">
        <f t="shared" si="12"/>
        <v/>
      </c>
      <c r="AT603" s="39" t="str">
        <f t="shared" si="13"/>
        <v/>
      </c>
      <c r="AU603" s="39" t="str">
        <f t="shared" si="14"/>
        <v/>
      </c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 t="str">
        <f t="shared" si="4"/>
        <v/>
      </c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E604" s="39"/>
      <c r="AG604" s="39"/>
      <c r="AH604" s="39" t="str">
        <f t="shared" si="5"/>
        <v/>
      </c>
      <c r="AI604" s="39" t="str">
        <f t="shared" si="6"/>
        <v/>
      </c>
      <c r="AM604" s="39" t="str">
        <f t="array" ref="AM604">IF(C604="","",IFERROR(XLOOKUP(C604,Orders!$A:$A,Orders!$E:$E,""),""))</f>
        <v/>
      </c>
      <c r="AN604" s="39" t="str">
        <f t="shared" si="7"/>
        <v/>
      </c>
      <c r="AO604" s="39" t="str">
        <f t="shared" si="8"/>
        <v/>
      </c>
      <c r="AP604" s="39" t="str">
        <f t="shared" si="9"/>
        <v/>
      </c>
      <c r="AQ604" s="39" t="str">
        <f t="shared" si="10"/>
        <v/>
      </c>
      <c r="AR604" s="39" t="str">
        <f t="shared" si="11"/>
        <v/>
      </c>
      <c r="AS604" s="39" t="str">
        <f t="shared" si="12"/>
        <v/>
      </c>
      <c r="AT604" s="39" t="str">
        <f t="shared" si="13"/>
        <v/>
      </c>
      <c r="AU604" s="39" t="str">
        <f t="shared" si="14"/>
        <v/>
      </c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 t="str">
        <f t="shared" si="4"/>
        <v/>
      </c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E605" s="39"/>
      <c r="AG605" s="39"/>
      <c r="AH605" s="39" t="str">
        <f t="shared" si="5"/>
        <v/>
      </c>
      <c r="AI605" s="39" t="str">
        <f t="shared" si="6"/>
        <v/>
      </c>
      <c r="AM605" s="39" t="str">
        <f t="array" ref="AM605">IF(C605="","",IFERROR(XLOOKUP(C605,Orders!$A:$A,Orders!$E:$E,""),""))</f>
        <v/>
      </c>
      <c r="AN605" s="39" t="str">
        <f t="shared" si="7"/>
        <v/>
      </c>
      <c r="AO605" s="39" t="str">
        <f t="shared" si="8"/>
        <v/>
      </c>
      <c r="AP605" s="39" t="str">
        <f t="shared" si="9"/>
        <v/>
      </c>
      <c r="AQ605" s="39" t="str">
        <f t="shared" si="10"/>
        <v/>
      </c>
      <c r="AR605" s="39" t="str">
        <f t="shared" si="11"/>
        <v/>
      </c>
      <c r="AS605" s="39" t="str">
        <f t="shared" si="12"/>
        <v/>
      </c>
      <c r="AT605" s="39" t="str">
        <f t="shared" si="13"/>
        <v/>
      </c>
      <c r="AU605" s="39" t="str">
        <f t="shared" si="14"/>
        <v/>
      </c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 t="str">
        <f t="shared" si="4"/>
        <v/>
      </c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E606" s="39"/>
      <c r="AG606" s="39"/>
      <c r="AH606" s="39" t="str">
        <f t="shared" si="5"/>
        <v/>
      </c>
      <c r="AI606" s="39" t="str">
        <f t="shared" si="6"/>
        <v/>
      </c>
      <c r="AM606" s="39" t="str">
        <f t="array" ref="AM606">IF(C606="","",IFERROR(XLOOKUP(C606,Orders!$A:$A,Orders!$E:$E,""),""))</f>
        <v/>
      </c>
      <c r="AN606" s="39" t="str">
        <f t="shared" si="7"/>
        <v/>
      </c>
      <c r="AO606" s="39" t="str">
        <f t="shared" si="8"/>
        <v/>
      </c>
      <c r="AP606" s="39" t="str">
        <f t="shared" si="9"/>
        <v/>
      </c>
      <c r="AQ606" s="39" t="str">
        <f t="shared" si="10"/>
        <v/>
      </c>
      <c r="AR606" s="39" t="str">
        <f t="shared" si="11"/>
        <v/>
      </c>
      <c r="AS606" s="39" t="str">
        <f t="shared" si="12"/>
        <v/>
      </c>
      <c r="AT606" s="39" t="str">
        <f t="shared" si="13"/>
        <v/>
      </c>
      <c r="AU606" s="39" t="str">
        <f t="shared" si="14"/>
        <v/>
      </c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 t="str">
        <f t="shared" si="4"/>
        <v/>
      </c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E607" s="39"/>
      <c r="AG607" s="39"/>
      <c r="AH607" s="39" t="str">
        <f t="shared" si="5"/>
        <v/>
      </c>
      <c r="AI607" s="39" t="str">
        <f t="shared" si="6"/>
        <v/>
      </c>
      <c r="AM607" s="39" t="str">
        <f t="array" ref="AM607">IF(C607="","",IFERROR(XLOOKUP(C607,Orders!$A:$A,Orders!$E:$E,""),""))</f>
        <v/>
      </c>
      <c r="AN607" s="39" t="str">
        <f t="shared" si="7"/>
        <v/>
      </c>
      <c r="AO607" s="39" t="str">
        <f t="shared" si="8"/>
        <v/>
      </c>
      <c r="AP607" s="39" t="str">
        <f t="shared" si="9"/>
        <v/>
      </c>
      <c r="AQ607" s="39" t="str">
        <f t="shared" si="10"/>
        <v/>
      </c>
      <c r="AR607" s="39" t="str">
        <f t="shared" si="11"/>
        <v/>
      </c>
      <c r="AS607" s="39" t="str">
        <f t="shared" si="12"/>
        <v/>
      </c>
      <c r="AT607" s="39" t="str">
        <f t="shared" si="13"/>
        <v/>
      </c>
      <c r="AU607" s="39" t="str">
        <f t="shared" si="14"/>
        <v/>
      </c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 t="str">
        <f t="shared" si="4"/>
        <v/>
      </c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E608" s="39"/>
      <c r="AG608" s="39"/>
      <c r="AH608" s="39" t="str">
        <f t="shared" si="5"/>
        <v/>
      </c>
      <c r="AI608" s="39" t="str">
        <f t="shared" si="6"/>
        <v/>
      </c>
      <c r="AM608" s="39" t="str">
        <f t="array" ref="AM608">IF(C608="","",IFERROR(XLOOKUP(C608,Orders!$A:$A,Orders!$E:$E,""),""))</f>
        <v/>
      </c>
      <c r="AN608" s="39" t="str">
        <f t="shared" si="7"/>
        <v/>
      </c>
      <c r="AO608" s="39" t="str">
        <f t="shared" si="8"/>
        <v/>
      </c>
      <c r="AP608" s="39" t="str">
        <f t="shared" si="9"/>
        <v/>
      </c>
      <c r="AQ608" s="39" t="str">
        <f t="shared" si="10"/>
        <v/>
      </c>
      <c r="AR608" s="39" t="str">
        <f t="shared" si="11"/>
        <v/>
      </c>
      <c r="AS608" s="39" t="str">
        <f t="shared" si="12"/>
        <v/>
      </c>
      <c r="AT608" s="39" t="str">
        <f t="shared" si="13"/>
        <v/>
      </c>
      <c r="AU608" s="39" t="str">
        <f t="shared" si="14"/>
        <v/>
      </c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 t="str">
        <f t="shared" si="4"/>
        <v/>
      </c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E609" s="39"/>
      <c r="AG609" s="39"/>
      <c r="AH609" s="39" t="str">
        <f t="shared" si="5"/>
        <v/>
      </c>
      <c r="AI609" s="39" t="str">
        <f t="shared" si="6"/>
        <v/>
      </c>
      <c r="AM609" s="39" t="str">
        <f t="array" ref="AM609">IF(C609="","",IFERROR(XLOOKUP(C609,Orders!$A:$A,Orders!$E:$E,""),""))</f>
        <v/>
      </c>
      <c r="AN609" s="39" t="str">
        <f t="shared" si="7"/>
        <v/>
      </c>
      <c r="AO609" s="39" t="str">
        <f t="shared" si="8"/>
        <v/>
      </c>
      <c r="AP609" s="39" t="str">
        <f t="shared" si="9"/>
        <v/>
      </c>
      <c r="AQ609" s="39" t="str">
        <f t="shared" si="10"/>
        <v/>
      </c>
      <c r="AR609" s="39" t="str">
        <f t="shared" si="11"/>
        <v/>
      </c>
      <c r="AS609" s="39" t="str">
        <f t="shared" si="12"/>
        <v/>
      </c>
      <c r="AT609" s="39" t="str">
        <f t="shared" si="13"/>
        <v/>
      </c>
      <c r="AU609" s="39" t="str">
        <f t="shared" si="14"/>
        <v/>
      </c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 t="str">
        <f t="shared" si="4"/>
        <v/>
      </c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E610" s="39"/>
      <c r="AG610" s="39"/>
      <c r="AH610" s="39" t="str">
        <f t="shared" si="5"/>
        <v/>
      </c>
      <c r="AI610" s="39" t="str">
        <f t="shared" si="6"/>
        <v/>
      </c>
      <c r="AM610" s="39" t="str">
        <f t="array" ref="AM610">IF(C610="","",IFERROR(XLOOKUP(C610,Orders!$A:$A,Orders!$E:$E,""),""))</f>
        <v/>
      </c>
      <c r="AN610" s="39" t="str">
        <f t="shared" si="7"/>
        <v/>
      </c>
      <c r="AO610" s="39" t="str">
        <f t="shared" si="8"/>
        <v/>
      </c>
      <c r="AP610" s="39" t="str">
        <f t="shared" si="9"/>
        <v/>
      </c>
      <c r="AQ610" s="39" t="str">
        <f t="shared" si="10"/>
        <v/>
      </c>
      <c r="AR610" s="39" t="str">
        <f t="shared" si="11"/>
        <v/>
      </c>
      <c r="AS610" s="39" t="str">
        <f t="shared" si="12"/>
        <v/>
      </c>
      <c r="AT610" s="39" t="str">
        <f t="shared" si="13"/>
        <v/>
      </c>
      <c r="AU610" s="39" t="str">
        <f t="shared" si="14"/>
        <v/>
      </c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 t="str">
        <f t="shared" si="4"/>
        <v/>
      </c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E611" s="39"/>
      <c r="AG611" s="39"/>
      <c r="AH611" s="39" t="str">
        <f t="shared" si="5"/>
        <v/>
      </c>
      <c r="AI611" s="39" t="str">
        <f t="shared" si="6"/>
        <v/>
      </c>
      <c r="AM611" s="39" t="str">
        <f t="array" ref="AM611">IF(C611="","",IFERROR(XLOOKUP(C611,Orders!$A:$A,Orders!$E:$E,""),""))</f>
        <v/>
      </c>
      <c r="AN611" s="39" t="str">
        <f t="shared" si="7"/>
        <v/>
      </c>
      <c r="AO611" s="39" t="str">
        <f t="shared" si="8"/>
        <v/>
      </c>
      <c r="AP611" s="39" t="str">
        <f t="shared" si="9"/>
        <v/>
      </c>
      <c r="AQ611" s="39" t="str">
        <f t="shared" si="10"/>
        <v/>
      </c>
      <c r="AR611" s="39" t="str">
        <f t="shared" si="11"/>
        <v/>
      </c>
      <c r="AS611" s="39" t="str">
        <f t="shared" si="12"/>
        <v/>
      </c>
      <c r="AT611" s="39" t="str">
        <f t="shared" si="13"/>
        <v/>
      </c>
      <c r="AU611" s="39" t="str">
        <f t="shared" si="14"/>
        <v/>
      </c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 t="str">
        <f t="shared" si="4"/>
        <v/>
      </c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E612" s="39"/>
      <c r="AG612" s="39"/>
      <c r="AH612" s="39" t="str">
        <f t="shared" si="5"/>
        <v/>
      </c>
      <c r="AI612" s="39" t="str">
        <f t="shared" si="6"/>
        <v/>
      </c>
      <c r="AM612" s="39" t="str">
        <f t="array" ref="AM612">IF(C612="","",IFERROR(XLOOKUP(C612,Orders!$A:$A,Orders!$E:$E,""),""))</f>
        <v/>
      </c>
      <c r="AN612" s="39" t="str">
        <f t="shared" si="7"/>
        <v/>
      </c>
      <c r="AO612" s="39" t="str">
        <f t="shared" si="8"/>
        <v/>
      </c>
      <c r="AP612" s="39" t="str">
        <f t="shared" si="9"/>
        <v/>
      </c>
      <c r="AQ612" s="39" t="str">
        <f t="shared" si="10"/>
        <v/>
      </c>
      <c r="AR612" s="39" t="str">
        <f t="shared" si="11"/>
        <v/>
      </c>
      <c r="AS612" s="39" t="str">
        <f t="shared" si="12"/>
        <v/>
      </c>
      <c r="AT612" s="39" t="str">
        <f t="shared" si="13"/>
        <v/>
      </c>
      <c r="AU612" s="39" t="str">
        <f t="shared" si="14"/>
        <v/>
      </c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 t="str">
        <f t="shared" si="4"/>
        <v/>
      </c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E613" s="39"/>
      <c r="AG613" s="39"/>
      <c r="AH613" s="39" t="str">
        <f t="shared" si="5"/>
        <v/>
      </c>
      <c r="AI613" s="39" t="str">
        <f t="shared" si="6"/>
        <v/>
      </c>
      <c r="AM613" s="39" t="str">
        <f t="array" ref="AM613">IF(C613="","",IFERROR(XLOOKUP(C613,Orders!$A:$A,Orders!$E:$E,""),""))</f>
        <v/>
      </c>
      <c r="AN613" s="39" t="str">
        <f t="shared" si="7"/>
        <v/>
      </c>
      <c r="AO613" s="39" t="str">
        <f t="shared" si="8"/>
        <v/>
      </c>
      <c r="AP613" s="39" t="str">
        <f t="shared" si="9"/>
        <v/>
      </c>
      <c r="AQ613" s="39" t="str">
        <f t="shared" si="10"/>
        <v/>
      </c>
      <c r="AR613" s="39" t="str">
        <f t="shared" si="11"/>
        <v/>
      </c>
      <c r="AS613" s="39" t="str">
        <f t="shared" si="12"/>
        <v/>
      </c>
      <c r="AT613" s="39" t="str">
        <f t="shared" si="13"/>
        <v/>
      </c>
      <c r="AU613" s="39" t="str">
        <f t="shared" si="14"/>
        <v/>
      </c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 t="str">
        <f t="shared" si="4"/>
        <v/>
      </c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E614" s="39"/>
      <c r="AG614" s="39"/>
      <c r="AH614" s="39" t="str">
        <f t="shared" si="5"/>
        <v/>
      </c>
      <c r="AI614" s="39" t="str">
        <f t="shared" si="6"/>
        <v/>
      </c>
      <c r="AM614" s="39" t="str">
        <f t="array" ref="AM614">IF(C614="","",IFERROR(XLOOKUP(C614,Orders!$A:$A,Orders!$E:$E,""),""))</f>
        <v/>
      </c>
      <c r="AN614" s="39" t="str">
        <f t="shared" si="7"/>
        <v/>
      </c>
      <c r="AO614" s="39" t="str">
        <f t="shared" si="8"/>
        <v/>
      </c>
      <c r="AP614" s="39" t="str">
        <f t="shared" si="9"/>
        <v/>
      </c>
      <c r="AQ614" s="39" t="str">
        <f t="shared" si="10"/>
        <v/>
      </c>
      <c r="AR614" s="39" t="str">
        <f t="shared" si="11"/>
        <v/>
      </c>
      <c r="AS614" s="39" t="str">
        <f t="shared" si="12"/>
        <v/>
      </c>
      <c r="AT614" s="39" t="str">
        <f t="shared" si="13"/>
        <v/>
      </c>
      <c r="AU614" s="39" t="str">
        <f t="shared" si="14"/>
        <v/>
      </c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 t="str">
        <f t="shared" si="4"/>
        <v/>
      </c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E615" s="39"/>
      <c r="AG615" s="39"/>
      <c r="AH615" s="39" t="str">
        <f t="shared" si="5"/>
        <v/>
      </c>
      <c r="AI615" s="39" t="str">
        <f t="shared" si="6"/>
        <v/>
      </c>
      <c r="AM615" s="39" t="str">
        <f t="array" ref="AM615">IF(C615="","",IFERROR(XLOOKUP(C615,Orders!$A:$A,Orders!$E:$E,""),""))</f>
        <v/>
      </c>
      <c r="AN615" s="39" t="str">
        <f t="shared" si="7"/>
        <v/>
      </c>
      <c r="AO615" s="39" t="str">
        <f t="shared" si="8"/>
        <v/>
      </c>
      <c r="AP615" s="39" t="str">
        <f t="shared" si="9"/>
        <v/>
      </c>
      <c r="AQ615" s="39" t="str">
        <f t="shared" si="10"/>
        <v/>
      </c>
      <c r="AR615" s="39" t="str">
        <f t="shared" si="11"/>
        <v/>
      </c>
      <c r="AS615" s="39" t="str">
        <f t="shared" si="12"/>
        <v/>
      </c>
      <c r="AT615" s="39" t="str">
        <f t="shared" si="13"/>
        <v/>
      </c>
      <c r="AU615" s="39" t="str">
        <f t="shared" si="14"/>
        <v/>
      </c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 t="str">
        <f t="shared" si="4"/>
        <v/>
      </c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E616" s="39"/>
      <c r="AG616" s="39"/>
      <c r="AH616" s="39" t="str">
        <f t="shared" si="5"/>
        <v/>
      </c>
      <c r="AI616" s="39" t="str">
        <f t="shared" si="6"/>
        <v/>
      </c>
      <c r="AM616" s="39" t="str">
        <f t="array" ref="AM616">IF(C616="","",IFERROR(XLOOKUP(C616,Orders!$A:$A,Orders!$E:$E,""),""))</f>
        <v/>
      </c>
      <c r="AN616" s="39" t="str">
        <f t="shared" si="7"/>
        <v/>
      </c>
      <c r="AO616" s="39" t="str">
        <f t="shared" si="8"/>
        <v/>
      </c>
      <c r="AP616" s="39" t="str">
        <f t="shared" si="9"/>
        <v/>
      </c>
      <c r="AQ616" s="39" t="str">
        <f t="shared" si="10"/>
        <v/>
      </c>
      <c r="AR616" s="39" t="str">
        <f t="shared" si="11"/>
        <v/>
      </c>
      <c r="AS616" s="39" t="str">
        <f t="shared" si="12"/>
        <v/>
      </c>
      <c r="AT616" s="39" t="str">
        <f t="shared" si="13"/>
        <v/>
      </c>
      <c r="AU616" s="39" t="str">
        <f t="shared" si="14"/>
        <v/>
      </c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 t="str">
        <f t="shared" si="4"/>
        <v/>
      </c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E617" s="39"/>
      <c r="AG617" s="39"/>
      <c r="AH617" s="39" t="str">
        <f t="shared" si="5"/>
        <v/>
      </c>
      <c r="AI617" s="39" t="str">
        <f t="shared" si="6"/>
        <v/>
      </c>
      <c r="AM617" s="39" t="str">
        <f t="array" ref="AM617">IF(C617="","",IFERROR(XLOOKUP(C617,Orders!$A:$A,Orders!$E:$E,""),""))</f>
        <v/>
      </c>
      <c r="AN617" s="39" t="str">
        <f t="shared" si="7"/>
        <v/>
      </c>
      <c r="AO617" s="39" t="str">
        <f t="shared" si="8"/>
        <v/>
      </c>
      <c r="AP617" s="39" t="str">
        <f t="shared" si="9"/>
        <v/>
      </c>
      <c r="AQ617" s="39" t="str">
        <f t="shared" si="10"/>
        <v/>
      </c>
      <c r="AR617" s="39" t="str">
        <f t="shared" si="11"/>
        <v/>
      </c>
      <c r="AS617" s="39" t="str">
        <f t="shared" si="12"/>
        <v/>
      </c>
      <c r="AT617" s="39" t="str">
        <f t="shared" si="13"/>
        <v/>
      </c>
      <c r="AU617" s="39" t="str">
        <f t="shared" si="14"/>
        <v/>
      </c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 t="str">
        <f t="shared" si="4"/>
        <v/>
      </c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E618" s="39"/>
      <c r="AG618" s="39"/>
      <c r="AH618" s="39" t="str">
        <f t="shared" si="5"/>
        <v/>
      </c>
      <c r="AI618" s="39" t="str">
        <f t="shared" si="6"/>
        <v/>
      </c>
      <c r="AM618" s="39" t="str">
        <f t="array" ref="AM618">IF(C618="","",IFERROR(XLOOKUP(C618,Orders!$A:$A,Orders!$E:$E,""),""))</f>
        <v/>
      </c>
      <c r="AN618" s="39" t="str">
        <f t="shared" si="7"/>
        <v/>
      </c>
      <c r="AO618" s="39" t="str">
        <f t="shared" si="8"/>
        <v/>
      </c>
      <c r="AP618" s="39" t="str">
        <f t="shared" si="9"/>
        <v/>
      </c>
      <c r="AQ618" s="39" t="str">
        <f t="shared" si="10"/>
        <v/>
      </c>
      <c r="AR618" s="39" t="str">
        <f t="shared" si="11"/>
        <v/>
      </c>
      <c r="AS618" s="39" t="str">
        <f t="shared" si="12"/>
        <v/>
      </c>
      <c r="AT618" s="39" t="str">
        <f t="shared" si="13"/>
        <v/>
      </c>
      <c r="AU618" s="39" t="str">
        <f t="shared" si="14"/>
        <v/>
      </c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 t="str">
        <f t="shared" si="4"/>
        <v/>
      </c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E619" s="39"/>
      <c r="AG619" s="39"/>
      <c r="AH619" s="39" t="str">
        <f t="shared" si="5"/>
        <v/>
      </c>
      <c r="AI619" s="39" t="str">
        <f t="shared" si="6"/>
        <v/>
      </c>
      <c r="AM619" s="39" t="str">
        <f t="array" ref="AM619">IF(C619="","",IFERROR(XLOOKUP(C619,Orders!$A:$A,Orders!$E:$E,""),""))</f>
        <v/>
      </c>
      <c r="AN619" s="39" t="str">
        <f t="shared" si="7"/>
        <v/>
      </c>
      <c r="AO619" s="39" t="str">
        <f t="shared" si="8"/>
        <v/>
      </c>
      <c r="AP619" s="39" t="str">
        <f t="shared" si="9"/>
        <v/>
      </c>
      <c r="AQ619" s="39" t="str">
        <f t="shared" si="10"/>
        <v/>
      </c>
      <c r="AR619" s="39" t="str">
        <f t="shared" si="11"/>
        <v/>
      </c>
      <c r="AS619" s="39" t="str">
        <f t="shared" si="12"/>
        <v/>
      </c>
      <c r="AT619" s="39" t="str">
        <f t="shared" si="13"/>
        <v/>
      </c>
      <c r="AU619" s="39" t="str">
        <f t="shared" si="14"/>
        <v/>
      </c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 t="str">
        <f t="shared" si="4"/>
        <v/>
      </c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E620" s="39"/>
      <c r="AG620" s="39"/>
      <c r="AH620" s="39" t="str">
        <f t="shared" si="5"/>
        <v/>
      </c>
      <c r="AI620" s="39" t="str">
        <f t="shared" si="6"/>
        <v/>
      </c>
      <c r="AM620" s="39" t="str">
        <f t="array" ref="AM620">IF(C620="","",IFERROR(XLOOKUP(C620,Orders!$A:$A,Orders!$E:$E,""),""))</f>
        <v/>
      </c>
      <c r="AN620" s="39" t="str">
        <f t="shared" si="7"/>
        <v/>
      </c>
      <c r="AO620" s="39" t="str">
        <f t="shared" si="8"/>
        <v/>
      </c>
      <c r="AP620" s="39" t="str">
        <f t="shared" si="9"/>
        <v/>
      </c>
      <c r="AQ620" s="39" t="str">
        <f t="shared" si="10"/>
        <v/>
      </c>
      <c r="AR620" s="39" t="str">
        <f t="shared" si="11"/>
        <v/>
      </c>
      <c r="AS620" s="39" t="str">
        <f t="shared" si="12"/>
        <v/>
      </c>
      <c r="AT620" s="39" t="str">
        <f t="shared" si="13"/>
        <v/>
      </c>
      <c r="AU620" s="39" t="str">
        <f t="shared" si="14"/>
        <v/>
      </c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 t="str">
        <f t="shared" si="4"/>
        <v/>
      </c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E621" s="39"/>
      <c r="AG621" s="39"/>
      <c r="AH621" s="39" t="str">
        <f t="shared" si="5"/>
        <v/>
      </c>
      <c r="AI621" s="39" t="str">
        <f t="shared" si="6"/>
        <v/>
      </c>
      <c r="AM621" s="39" t="str">
        <f t="array" ref="AM621">IF(C621="","",IFERROR(XLOOKUP(C621,Orders!$A:$A,Orders!$E:$E,""),""))</f>
        <v/>
      </c>
      <c r="AN621" s="39" t="str">
        <f t="shared" si="7"/>
        <v/>
      </c>
      <c r="AO621" s="39" t="str">
        <f t="shared" si="8"/>
        <v/>
      </c>
      <c r="AP621" s="39" t="str">
        <f t="shared" si="9"/>
        <v/>
      </c>
      <c r="AQ621" s="39" t="str">
        <f t="shared" si="10"/>
        <v/>
      </c>
      <c r="AR621" s="39" t="str">
        <f t="shared" si="11"/>
        <v/>
      </c>
      <c r="AS621" s="39" t="str">
        <f t="shared" si="12"/>
        <v/>
      </c>
      <c r="AT621" s="39" t="str">
        <f t="shared" si="13"/>
        <v/>
      </c>
      <c r="AU621" s="39" t="str">
        <f t="shared" si="14"/>
        <v/>
      </c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 t="str">
        <f t="shared" si="4"/>
        <v/>
      </c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E622" s="39"/>
      <c r="AG622" s="39"/>
      <c r="AH622" s="39" t="str">
        <f t="shared" si="5"/>
        <v/>
      </c>
      <c r="AI622" s="39" t="str">
        <f t="shared" si="6"/>
        <v/>
      </c>
      <c r="AM622" s="39" t="str">
        <f t="array" ref="AM622">IF(C622="","",IFERROR(XLOOKUP(C622,Orders!$A:$A,Orders!$E:$E,""),""))</f>
        <v/>
      </c>
      <c r="AN622" s="39" t="str">
        <f t="shared" si="7"/>
        <v/>
      </c>
      <c r="AO622" s="39" t="str">
        <f t="shared" si="8"/>
        <v/>
      </c>
      <c r="AP622" s="39" t="str">
        <f t="shared" si="9"/>
        <v/>
      </c>
      <c r="AQ622" s="39" t="str">
        <f t="shared" si="10"/>
        <v/>
      </c>
      <c r="AR622" s="39" t="str">
        <f t="shared" si="11"/>
        <v/>
      </c>
      <c r="AS622" s="39" t="str">
        <f t="shared" si="12"/>
        <v/>
      </c>
      <c r="AT622" s="39" t="str">
        <f t="shared" si="13"/>
        <v/>
      </c>
      <c r="AU622" s="39" t="str">
        <f t="shared" si="14"/>
        <v/>
      </c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 t="str">
        <f t="shared" si="4"/>
        <v/>
      </c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E623" s="39"/>
      <c r="AG623" s="39"/>
      <c r="AH623" s="39" t="str">
        <f t="shared" si="5"/>
        <v/>
      </c>
      <c r="AI623" s="39" t="str">
        <f t="shared" si="6"/>
        <v/>
      </c>
      <c r="AM623" s="39" t="str">
        <f t="array" ref="AM623">IF(C623="","",IFERROR(XLOOKUP(C623,Orders!$A:$A,Orders!$E:$E,""),""))</f>
        <v/>
      </c>
      <c r="AN623" s="39" t="str">
        <f t="shared" si="7"/>
        <v/>
      </c>
      <c r="AO623" s="39" t="str">
        <f t="shared" si="8"/>
        <v/>
      </c>
      <c r="AP623" s="39" t="str">
        <f t="shared" si="9"/>
        <v/>
      </c>
      <c r="AQ623" s="39" t="str">
        <f t="shared" si="10"/>
        <v/>
      </c>
      <c r="AR623" s="39" t="str">
        <f t="shared" si="11"/>
        <v/>
      </c>
      <c r="AS623" s="39" t="str">
        <f t="shared" si="12"/>
        <v/>
      </c>
      <c r="AT623" s="39" t="str">
        <f t="shared" si="13"/>
        <v/>
      </c>
      <c r="AU623" s="39" t="str">
        <f t="shared" si="14"/>
        <v/>
      </c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 t="str">
        <f t="shared" si="4"/>
        <v/>
      </c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E624" s="39"/>
      <c r="AG624" s="39"/>
      <c r="AH624" s="39" t="str">
        <f t="shared" si="5"/>
        <v/>
      </c>
      <c r="AI624" s="39" t="str">
        <f t="shared" si="6"/>
        <v/>
      </c>
      <c r="AM624" s="39" t="str">
        <f t="array" ref="AM624">IF(C624="","",IFERROR(XLOOKUP(C624,Orders!$A:$A,Orders!$E:$E,""),""))</f>
        <v/>
      </c>
      <c r="AN624" s="39" t="str">
        <f t="shared" si="7"/>
        <v/>
      </c>
      <c r="AO624" s="39" t="str">
        <f t="shared" si="8"/>
        <v/>
      </c>
      <c r="AP624" s="39" t="str">
        <f t="shared" si="9"/>
        <v/>
      </c>
      <c r="AQ624" s="39" t="str">
        <f t="shared" si="10"/>
        <v/>
      </c>
      <c r="AR624" s="39" t="str">
        <f t="shared" si="11"/>
        <v/>
      </c>
      <c r="AS624" s="39" t="str">
        <f t="shared" si="12"/>
        <v/>
      </c>
      <c r="AT624" s="39" t="str">
        <f t="shared" si="13"/>
        <v/>
      </c>
      <c r="AU624" s="39" t="str">
        <f t="shared" si="14"/>
        <v/>
      </c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 t="str">
        <f t="shared" si="4"/>
        <v/>
      </c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E625" s="39"/>
      <c r="AG625" s="39"/>
      <c r="AH625" s="39" t="str">
        <f t="shared" si="5"/>
        <v/>
      </c>
      <c r="AI625" s="39" t="str">
        <f t="shared" si="6"/>
        <v/>
      </c>
      <c r="AM625" s="39" t="str">
        <f t="array" ref="AM625">IF(C625="","",IFERROR(XLOOKUP(C625,Orders!$A:$A,Orders!$E:$E,""),""))</f>
        <v/>
      </c>
      <c r="AN625" s="39" t="str">
        <f t="shared" si="7"/>
        <v/>
      </c>
      <c r="AO625" s="39" t="str">
        <f t="shared" si="8"/>
        <v/>
      </c>
      <c r="AP625" s="39" t="str">
        <f t="shared" si="9"/>
        <v/>
      </c>
      <c r="AQ625" s="39" t="str">
        <f t="shared" si="10"/>
        <v/>
      </c>
      <c r="AR625" s="39" t="str">
        <f t="shared" si="11"/>
        <v/>
      </c>
      <c r="AS625" s="39" t="str">
        <f t="shared" si="12"/>
        <v/>
      </c>
      <c r="AT625" s="39" t="str">
        <f t="shared" si="13"/>
        <v/>
      </c>
      <c r="AU625" s="39" t="str">
        <f t="shared" si="14"/>
        <v/>
      </c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 t="str">
        <f t="shared" si="4"/>
        <v/>
      </c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E626" s="39"/>
      <c r="AG626" s="39"/>
      <c r="AH626" s="39" t="str">
        <f t="shared" si="5"/>
        <v/>
      </c>
      <c r="AI626" s="39" t="str">
        <f t="shared" si="6"/>
        <v/>
      </c>
      <c r="AM626" s="39" t="str">
        <f t="array" ref="AM626">IF(C626="","",IFERROR(XLOOKUP(C626,Orders!$A:$A,Orders!$E:$E,""),""))</f>
        <v/>
      </c>
      <c r="AN626" s="39" t="str">
        <f t="shared" si="7"/>
        <v/>
      </c>
      <c r="AO626" s="39" t="str">
        <f t="shared" si="8"/>
        <v/>
      </c>
      <c r="AP626" s="39" t="str">
        <f t="shared" si="9"/>
        <v/>
      </c>
      <c r="AQ626" s="39" t="str">
        <f t="shared" si="10"/>
        <v/>
      </c>
      <c r="AR626" s="39" t="str">
        <f t="shared" si="11"/>
        <v/>
      </c>
      <c r="AS626" s="39" t="str">
        <f t="shared" si="12"/>
        <v/>
      </c>
      <c r="AT626" s="39" t="str">
        <f t="shared" si="13"/>
        <v/>
      </c>
      <c r="AU626" s="39" t="str">
        <f t="shared" si="14"/>
        <v/>
      </c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 t="str">
        <f t="shared" si="4"/>
        <v/>
      </c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E627" s="39"/>
      <c r="AG627" s="39"/>
      <c r="AH627" s="39" t="str">
        <f t="shared" si="5"/>
        <v/>
      </c>
      <c r="AI627" s="39" t="str">
        <f t="shared" si="6"/>
        <v/>
      </c>
      <c r="AM627" s="39" t="str">
        <f t="array" ref="AM627">IF(C627="","",IFERROR(XLOOKUP(C627,Orders!$A:$A,Orders!$E:$E,""),""))</f>
        <v/>
      </c>
      <c r="AN627" s="39" t="str">
        <f t="shared" si="7"/>
        <v/>
      </c>
      <c r="AO627" s="39" t="str">
        <f t="shared" si="8"/>
        <v/>
      </c>
      <c r="AP627" s="39" t="str">
        <f t="shared" si="9"/>
        <v/>
      </c>
      <c r="AQ627" s="39" t="str">
        <f t="shared" si="10"/>
        <v/>
      </c>
      <c r="AR627" s="39" t="str">
        <f t="shared" si="11"/>
        <v/>
      </c>
      <c r="AS627" s="39" t="str">
        <f t="shared" si="12"/>
        <v/>
      </c>
      <c r="AT627" s="39" t="str">
        <f t="shared" si="13"/>
        <v/>
      </c>
      <c r="AU627" s="39" t="str">
        <f t="shared" si="14"/>
        <v/>
      </c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 t="str">
        <f t="shared" si="4"/>
        <v/>
      </c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E628" s="39"/>
      <c r="AG628" s="39"/>
      <c r="AH628" s="39" t="str">
        <f t="shared" si="5"/>
        <v/>
      </c>
      <c r="AI628" s="39" t="str">
        <f t="shared" si="6"/>
        <v/>
      </c>
      <c r="AM628" s="39" t="str">
        <f t="array" ref="AM628">IF(C628="","",IFERROR(XLOOKUP(C628,Orders!$A:$A,Orders!$E:$E,""),""))</f>
        <v/>
      </c>
      <c r="AN628" s="39" t="str">
        <f t="shared" si="7"/>
        <v/>
      </c>
      <c r="AO628" s="39" t="str">
        <f t="shared" si="8"/>
        <v/>
      </c>
      <c r="AP628" s="39" t="str">
        <f t="shared" si="9"/>
        <v/>
      </c>
      <c r="AQ628" s="39" t="str">
        <f t="shared" si="10"/>
        <v/>
      </c>
      <c r="AR628" s="39" t="str">
        <f t="shared" si="11"/>
        <v/>
      </c>
      <c r="AS628" s="39" t="str">
        <f t="shared" si="12"/>
        <v/>
      </c>
      <c r="AT628" s="39" t="str">
        <f t="shared" si="13"/>
        <v/>
      </c>
      <c r="AU628" s="39" t="str">
        <f t="shared" si="14"/>
        <v/>
      </c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 t="str">
        <f t="shared" si="4"/>
        <v/>
      </c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E629" s="39"/>
      <c r="AG629" s="39"/>
      <c r="AH629" s="39" t="str">
        <f t="shared" si="5"/>
        <v/>
      </c>
      <c r="AI629" s="39" t="str">
        <f t="shared" si="6"/>
        <v/>
      </c>
      <c r="AM629" s="39" t="str">
        <f t="array" ref="AM629">IF(C629="","",IFERROR(XLOOKUP(C629,Orders!$A:$A,Orders!$E:$E,""),""))</f>
        <v/>
      </c>
      <c r="AN629" s="39" t="str">
        <f t="shared" si="7"/>
        <v/>
      </c>
      <c r="AO629" s="39" t="str">
        <f t="shared" si="8"/>
        <v/>
      </c>
      <c r="AP629" s="39" t="str">
        <f t="shared" si="9"/>
        <v/>
      </c>
      <c r="AQ629" s="39" t="str">
        <f t="shared" si="10"/>
        <v/>
      </c>
      <c r="AR629" s="39" t="str">
        <f t="shared" si="11"/>
        <v/>
      </c>
      <c r="AS629" s="39" t="str">
        <f t="shared" si="12"/>
        <v/>
      </c>
      <c r="AT629" s="39" t="str">
        <f t="shared" si="13"/>
        <v/>
      </c>
      <c r="AU629" s="39" t="str">
        <f t="shared" si="14"/>
        <v/>
      </c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 t="str">
        <f t="shared" si="4"/>
        <v/>
      </c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E630" s="39"/>
      <c r="AG630" s="39"/>
      <c r="AH630" s="39" t="str">
        <f t="shared" si="5"/>
        <v/>
      </c>
      <c r="AI630" s="39" t="str">
        <f t="shared" si="6"/>
        <v/>
      </c>
      <c r="AM630" s="39" t="str">
        <f t="array" ref="AM630">IF(C630="","",IFERROR(XLOOKUP(C630,Orders!$A:$A,Orders!$E:$E,""),""))</f>
        <v/>
      </c>
      <c r="AN630" s="39" t="str">
        <f t="shared" si="7"/>
        <v/>
      </c>
      <c r="AO630" s="39" t="str">
        <f t="shared" si="8"/>
        <v/>
      </c>
      <c r="AP630" s="39" t="str">
        <f t="shared" si="9"/>
        <v/>
      </c>
      <c r="AQ630" s="39" t="str">
        <f t="shared" si="10"/>
        <v/>
      </c>
      <c r="AR630" s="39" t="str">
        <f t="shared" si="11"/>
        <v/>
      </c>
      <c r="AS630" s="39" t="str">
        <f t="shared" si="12"/>
        <v/>
      </c>
      <c r="AT630" s="39" t="str">
        <f t="shared" si="13"/>
        <v/>
      </c>
      <c r="AU630" s="39" t="str">
        <f t="shared" si="14"/>
        <v/>
      </c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 t="str">
        <f t="shared" si="4"/>
        <v/>
      </c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E631" s="39"/>
      <c r="AG631" s="39"/>
      <c r="AH631" s="39" t="str">
        <f t="shared" si="5"/>
        <v/>
      </c>
      <c r="AI631" s="39" t="str">
        <f t="shared" si="6"/>
        <v/>
      </c>
      <c r="AM631" s="39" t="str">
        <f t="array" ref="AM631">IF(C631="","",IFERROR(XLOOKUP(C631,Orders!$A:$A,Orders!$E:$E,""),""))</f>
        <v/>
      </c>
      <c r="AN631" s="39" t="str">
        <f t="shared" si="7"/>
        <v/>
      </c>
      <c r="AO631" s="39" t="str">
        <f t="shared" si="8"/>
        <v/>
      </c>
      <c r="AP631" s="39" t="str">
        <f t="shared" si="9"/>
        <v/>
      </c>
      <c r="AQ631" s="39" t="str">
        <f t="shared" si="10"/>
        <v/>
      </c>
      <c r="AR631" s="39" t="str">
        <f t="shared" si="11"/>
        <v/>
      </c>
      <c r="AS631" s="39" t="str">
        <f t="shared" si="12"/>
        <v/>
      </c>
      <c r="AT631" s="39" t="str">
        <f t="shared" si="13"/>
        <v/>
      </c>
      <c r="AU631" s="39" t="str">
        <f t="shared" si="14"/>
        <v/>
      </c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 t="str">
        <f t="shared" si="4"/>
        <v/>
      </c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E632" s="39"/>
      <c r="AG632" s="39"/>
      <c r="AH632" s="39" t="str">
        <f t="shared" si="5"/>
        <v/>
      </c>
      <c r="AI632" s="39" t="str">
        <f t="shared" si="6"/>
        <v/>
      </c>
      <c r="AM632" s="39" t="str">
        <f t="array" ref="AM632">IF(C632="","",IFERROR(XLOOKUP(C632,Orders!$A:$A,Orders!$E:$E,""),""))</f>
        <v/>
      </c>
      <c r="AN632" s="39" t="str">
        <f t="shared" si="7"/>
        <v/>
      </c>
      <c r="AO632" s="39" t="str">
        <f t="shared" si="8"/>
        <v/>
      </c>
      <c r="AP632" s="39" t="str">
        <f t="shared" si="9"/>
        <v/>
      </c>
      <c r="AQ632" s="39" t="str">
        <f t="shared" si="10"/>
        <v/>
      </c>
      <c r="AR632" s="39" t="str">
        <f t="shared" si="11"/>
        <v/>
      </c>
      <c r="AS632" s="39" t="str">
        <f t="shared" si="12"/>
        <v/>
      </c>
      <c r="AT632" s="39" t="str">
        <f t="shared" si="13"/>
        <v/>
      </c>
      <c r="AU632" s="39" t="str">
        <f t="shared" si="14"/>
        <v/>
      </c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 t="str">
        <f t="shared" si="4"/>
        <v/>
      </c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E633" s="39"/>
      <c r="AG633" s="39"/>
      <c r="AH633" s="39" t="str">
        <f t="shared" si="5"/>
        <v/>
      </c>
      <c r="AI633" s="39" t="str">
        <f t="shared" si="6"/>
        <v/>
      </c>
      <c r="AM633" s="39" t="str">
        <f t="array" ref="AM633">IF(C633="","",IFERROR(XLOOKUP(C633,Orders!$A:$A,Orders!$E:$E,""),""))</f>
        <v/>
      </c>
      <c r="AN633" s="39" t="str">
        <f t="shared" si="7"/>
        <v/>
      </c>
      <c r="AO633" s="39" t="str">
        <f t="shared" si="8"/>
        <v/>
      </c>
      <c r="AP633" s="39" t="str">
        <f t="shared" si="9"/>
        <v/>
      </c>
      <c r="AQ633" s="39" t="str">
        <f t="shared" si="10"/>
        <v/>
      </c>
      <c r="AR633" s="39" t="str">
        <f t="shared" si="11"/>
        <v/>
      </c>
      <c r="AS633" s="39" t="str">
        <f t="shared" si="12"/>
        <v/>
      </c>
      <c r="AT633" s="39" t="str">
        <f t="shared" si="13"/>
        <v/>
      </c>
      <c r="AU633" s="39" t="str">
        <f t="shared" si="14"/>
        <v/>
      </c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 t="str">
        <f t="shared" si="4"/>
        <v/>
      </c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E634" s="39"/>
      <c r="AG634" s="39"/>
      <c r="AH634" s="39" t="str">
        <f t="shared" si="5"/>
        <v/>
      </c>
      <c r="AI634" s="39" t="str">
        <f t="shared" si="6"/>
        <v/>
      </c>
      <c r="AM634" s="39" t="str">
        <f t="array" ref="AM634">IF(C634="","",IFERROR(XLOOKUP(C634,Orders!$A:$A,Orders!$E:$E,""),""))</f>
        <v/>
      </c>
      <c r="AN634" s="39" t="str">
        <f t="shared" si="7"/>
        <v/>
      </c>
      <c r="AO634" s="39" t="str">
        <f t="shared" si="8"/>
        <v/>
      </c>
      <c r="AP634" s="39" t="str">
        <f t="shared" si="9"/>
        <v/>
      </c>
      <c r="AQ634" s="39" t="str">
        <f t="shared" si="10"/>
        <v/>
      </c>
      <c r="AR634" s="39" t="str">
        <f t="shared" si="11"/>
        <v/>
      </c>
      <c r="AS634" s="39" t="str">
        <f t="shared" si="12"/>
        <v/>
      </c>
      <c r="AT634" s="39" t="str">
        <f t="shared" si="13"/>
        <v/>
      </c>
      <c r="AU634" s="39" t="str">
        <f t="shared" si="14"/>
        <v/>
      </c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 t="str">
        <f t="shared" si="4"/>
        <v/>
      </c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E635" s="39"/>
      <c r="AG635" s="39"/>
      <c r="AH635" s="39" t="str">
        <f t="shared" si="5"/>
        <v/>
      </c>
      <c r="AI635" s="39" t="str">
        <f t="shared" si="6"/>
        <v/>
      </c>
      <c r="AM635" s="39" t="str">
        <f t="array" ref="AM635">IF(C635="","",IFERROR(XLOOKUP(C635,Orders!$A:$A,Orders!$E:$E,""),""))</f>
        <v/>
      </c>
      <c r="AN635" s="39" t="str">
        <f t="shared" si="7"/>
        <v/>
      </c>
      <c r="AO635" s="39" t="str">
        <f t="shared" si="8"/>
        <v/>
      </c>
      <c r="AP635" s="39" t="str">
        <f t="shared" si="9"/>
        <v/>
      </c>
      <c r="AQ635" s="39" t="str">
        <f t="shared" si="10"/>
        <v/>
      </c>
      <c r="AR635" s="39" t="str">
        <f t="shared" si="11"/>
        <v/>
      </c>
      <c r="AS635" s="39" t="str">
        <f t="shared" si="12"/>
        <v/>
      </c>
      <c r="AT635" s="39" t="str">
        <f t="shared" si="13"/>
        <v/>
      </c>
      <c r="AU635" s="39" t="str">
        <f t="shared" si="14"/>
        <v/>
      </c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 t="str">
        <f t="shared" si="4"/>
        <v/>
      </c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E636" s="39"/>
      <c r="AG636" s="39"/>
      <c r="AH636" s="39" t="str">
        <f t="shared" si="5"/>
        <v/>
      </c>
      <c r="AI636" s="39" t="str">
        <f t="shared" si="6"/>
        <v/>
      </c>
      <c r="AM636" s="39" t="str">
        <f t="array" ref="AM636">IF(C636="","",IFERROR(XLOOKUP(C636,Orders!$A:$A,Orders!$E:$E,""),""))</f>
        <v/>
      </c>
      <c r="AN636" s="39" t="str">
        <f t="shared" si="7"/>
        <v/>
      </c>
      <c r="AO636" s="39" t="str">
        <f t="shared" si="8"/>
        <v/>
      </c>
      <c r="AP636" s="39" t="str">
        <f t="shared" si="9"/>
        <v/>
      </c>
      <c r="AQ636" s="39" t="str">
        <f t="shared" si="10"/>
        <v/>
      </c>
      <c r="AR636" s="39" t="str">
        <f t="shared" si="11"/>
        <v/>
      </c>
      <c r="AS636" s="39" t="str">
        <f t="shared" si="12"/>
        <v/>
      </c>
      <c r="AT636" s="39" t="str">
        <f t="shared" si="13"/>
        <v/>
      </c>
      <c r="AU636" s="39" t="str">
        <f t="shared" si="14"/>
        <v/>
      </c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 t="str">
        <f t="shared" si="4"/>
        <v/>
      </c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E637" s="39"/>
      <c r="AG637" s="39"/>
      <c r="AH637" s="39" t="str">
        <f t="shared" si="5"/>
        <v/>
      </c>
      <c r="AI637" s="39" t="str">
        <f t="shared" si="6"/>
        <v/>
      </c>
      <c r="AM637" s="39" t="str">
        <f t="array" ref="AM637">IF(C637="","",IFERROR(XLOOKUP(C637,Orders!$A:$A,Orders!$E:$E,""),""))</f>
        <v/>
      </c>
      <c r="AN637" s="39" t="str">
        <f t="shared" si="7"/>
        <v/>
      </c>
      <c r="AO637" s="39" t="str">
        <f t="shared" si="8"/>
        <v/>
      </c>
      <c r="AP637" s="39" t="str">
        <f t="shared" si="9"/>
        <v/>
      </c>
      <c r="AQ637" s="39" t="str">
        <f t="shared" si="10"/>
        <v/>
      </c>
      <c r="AR637" s="39" t="str">
        <f t="shared" si="11"/>
        <v/>
      </c>
      <c r="AS637" s="39" t="str">
        <f t="shared" si="12"/>
        <v/>
      </c>
      <c r="AT637" s="39" t="str">
        <f t="shared" si="13"/>
        <v/>
      </c>
      <c r="AU637" s="39" t="str">
        <f t="shared" si="14"/>
        <v/>
      </c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 t="str">
        <f t="shared" si="4"/>
        <v/>
      </c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E638" s="39"/>
      <c r="AG638" s="39"/>
      <c r="AH638" s="39" t="str">
        <f t="shared" si="5"/>
        <v/>
      </c>
      <c r="AI638" s="39" t="str">
        <f t="shared" si="6"/>
        <v/>
      </c>
      <c r="AM638" s="39" t="str">
        <f t="array" ref="AM638">IF(C638="","",IFERROR(XLOOKUP(C638,Orders!$A:$A,Orders!$E:$E,""),""))</f>
        <v/>
      </c>
      <c r="AN638" s="39" t="str">
        <f t="shared" si="7"/>
        <v/>
      </c>
      <c r="AO638" s="39" t="str">
        <f t="shared" si="8"/>
        <v/>
      </c>
      <c r="AP638" s="39" t="str">
        <f t="shared" si="9"/>
        <v/>
      </c>
      <c r="AQ638" s="39" t="str">
        <f t="shared" si="10"/>
        <v/>
      </c>
      <c r="AR638" s="39" t="str">
        <f t="shared" si="11"/>
        <v/>
      </c>
      <c r="AS638" s="39" t="str">
        <f t="shared" si="12"/>
        <v/>
      </c>
      <c r="AT638" s="39" t="str">
        <f t="shared" si="13"/>
        <v/>
      </c>
      <c r="AU638" s="39" t="str">
        <f t="shared" si="14"/>
        <v/>
      </c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 t="str">
        <f t="shared" si="4"/>
        <v/>
      </c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E639" s="39"/>
      <c r="AG639" s="39"/>
      <c r="AH639" s="39" t="str">
        <f t="shared" si="5"/>
        <v/>
      </c>
      <c r="AI639" s="39" t="str">
        <f t="shared" si="6"/>
        <v/>
      </c>
      <c r="AM639" s="39" t="str">
        <f t="array" ref="AM639">IF(C639="","",IFERROR(XLOOKUP(C639,Orders!$A:$A,Orders!$E:$E,""),""))</f>
        <v/>
      </c>
      <c r="AN639" s="39" t="str">
        <f t="shared" si="7"/>
        <v/>
      </c>
      <c r="AO639" s="39" t="str">
        <f t="shared" si="8"/>
        <v/>
      </c>
      <c r="AP639" s="39" t="str">
        <f t="shared" si="9"/>
        <v/>
      </c>
      <c r="AQ639" s="39" t="str">
        <f t="shared" si="10"/>
        <v/>
      </c>
      <c r="AR639" s="39" t="str">
        <f t="shared" si="11"/>
        <v/>
      </c>
      <c r="AS639" s="39" t="str">
        <f t="shared" si="12"/>
        <v/>
      </c>
      <c r="AT639" s="39" t="str">
        <f t="shared" si="13"/>
        <v/>
      </c>
      <c r="AU639" s="39" t="str">
        <f t="shared" si="14"/>
        <v/>
      </c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 t="str">
        <f t="shared" si="4"/>
        <v/>
      </c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E640" s="39"/>
      <c r="AG640" s="39"/>
      <c r="AH640" s="39" t="str">
        <f t="shared" si="5"/>
        <v/>
      </c>
      <c r="AI640" s="39" t="str">
        <f t="shared" si="6"/>
        <v/>
      </c>
      <c r="AM640" s="39" t="str">
        <f t="array" ref="AM640">IF(C640="","",IFERROR(XLOOKUP(C640,Orders!$A:$A,Orders!$E:$E,""),""))</f>
        <v/>
      </c>
      <c r="AN640" s="39" t="str">
        <f t="shared" si="7"/>
        <v/>
      </c>
      <c r="AO640" s="39" t="str">
        <f t="shared" si="8"/>
        <v/>
      </c>
      <c r="AP640" s="39" t="str">
        <f t="shared" si="9"/>
        <v/>
      </c>
      <c r="AQ640" s="39" t="str">
        <f t="shared" si="10"/>
        <v/>
      </c>
      <c r="AR640" s="39" t="str">
        <f t="shared" si="11"/>
        <v/>
      </c>
      <c r="AS640" s="39" t="str">
        <f t="shared" si="12"/>
        <v/>
      </c>
      <c r="AT640" s="39" t="str">
        <f t="shared" si="13"/>
        <v/>
      </c>
      <c r="AU640" s="39" t="str">
        <f t="shared" si="14"/>
        <v/>
      </c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 t="str">
        <f t="shared" si="4"/>
        <v/>
      </c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E641" s="39"/>
      <c r="AG641" s="39"/>
      <c r="AH641" s="39" t="str">
        <f t="shared" si="5"/>
        <v/>
      </c>
      <c r="AI641" s="39" t="str">
        <f t="shared" si="6"/>
        <v/>
      </c>
      <c r="AM641" s="39" t="str">
        <f t="array" ref="AM641">IF(C641="","",IFERROR(XLOOKUP(C641,Orders!$A:$A,Orders!$E:$E,""),""))</f>
        <v/>
      </c>
      <c r="AN641" s="39" t="str">
        <f t="shared" si="7"/>
        <v/>
      </c>
      <c r="AO641" s="39" t="str">
        <f t="shared" si="8"/>
        <v/>
      </c>
      <c r="AP641" s="39" t="str">
        <f t="shared" si="9"/>
        <v/>
      </c>
      <c r="AQ641" s="39" t="str">
        <f t="shared" si="10"/>
        <v/>
      </c>
      <c r="AR641" s="39" t="str">
        <f t="shared" si="11"/>
        <v/>
      </c>
      <c r="AS641" s="39" t="str">
        <f t="shared" si="12"/>
        <v/>
      </c>
      <c r="AT641" s="39" t="str">
        <f t="shared" si="13"/>
        <v/>
      </c>
      <c r="AU641" s="39" t="str">
        <f t="shared" si="14"/>
        <v/>
      </c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 t="str">
        <f t="shared" si="4"/>
        <v/>
      </c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E642" s="39"/>
      <c r="AG642" s="39"/>
      <c r="AH642" s="39" t="str">
        <f t="shared" si="5"/>
        <v/>
      </c>
      <c r="AI642" s="39" t="str">
        <f t="shared" si="6"/>
        <v/>
      </c>
      <c r="AM642" s="39" t="str">
        <f t="array" ref="AM642">IF(C642="","",IFERROR(XLOOKUP(C642,Orders!$A:$A,Orders!$E:$E,""),""))</f>
        <v/>
      </c>
      <c r="AN642" s="39" t="str">
        <f t="shared" si="7"/>
        <v/>
      </c>
      <c r="AO642" s="39" t="str">
        <f t="shared" si="8"/>
        <v/>
      </c>
      <c r="AP642" s="39" t="str">
        <f t="shared" si="9"/>
        <v/>
      </c>
      <c r="AQ642" s="39" t="str">
        <f t="shared" si="10"/>
        <v/>
      </c>
      <c r="AR642" s="39" t="str">
        <f t="shared" si="11"/>
        <v/>
      </c>
      <c r="AS642" s="39" t="str">
        <f t="shared" si="12"/>
        <v/>
      </c>
      <c r="AT642" s="39" t="str">
        <f t="shared" si="13"/>
        <v/>
      </c>
      <c r="AU642" s="39" t="str">
        <f t="shared" si="14"/>
        <v/>
      </c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 t="str">
        <f t="shared" si="4"/>
        <v/>
      </c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E643" s="39"/>
      <c r="AG643" s="39"/>
      <c r="AH643" s="39" t="str">
        <f t="shared" si="5"/>
        <v/>
      </c>
      <c r="AI643" s="39" t="str">
        <f t="shared" si="6"/>
        <v/>
      </c>
      <c r="AM643" s="39" t="str">
        <f t="array" ref="AM643">IF(C643="","",IFERROR(XLOOKUP(C643,Orders!$A:$A,Orders!$E:$E,""),""))</f>
        <v/>
      </c>
      <c r="AN643" s="39" t="str">
        <f t="shared" si="7"/>
        <v/>
      </c>
      <c r="AO643" s="39" t="str">
        <f t="shared" si="8"/>
        <v/>
      </c>
      <c r="AP643" s="39" t="str">
        <f t="shared" si="9"/>
        <v/>
      </c>
      <c r="AQ643" s="39" t="str">
        <f t="shared" si="10"/>
        <v/>
      </c>
      <c r="AR643" s="39" t="str">
        <f t="shared" si="11"/>
        <v/>
      </c>
      <c r="AS643" s="39" t="str">
        <f t="shared" si="12"/>
        <v/>
      </c>
      <c r="AT643" s="39" t="str">
        <f t="shared" si="13"/>
        <v/>
      </c>
      <c r="AU643" s="39" t="str">
        <f t="shared" si="14"/>
        <v/>
      </c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 t="str">
        <f t="shared" si="4"/>
        <v/>
      </c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E644" s="39"/>
      <c r="AG644" s="39"/>
      <c r="AH644" s="39" t="str">
        <f t="shared" si="5"/>
        <v/>
      </c>
      <c r="AI644" s="39" t="str">
        <f t="shared" si="6"/>
        <v/>
      </c>
      <c r="AM644" s="39" t="str">
        <f t="array" ref="AM644">IF(C644="","",IFERROR(XLOOKUP(C644,Orders!$A:$A,Orders!$E:$E,""),""))</f>
        <v/>
      </c>
      <c r="AN644" s="39" t="str">
        <f t="shared" si="7"/>
        <v/>
      </c>
      <c r="AO644" s="39" t="str">
        <f t="shared" si="8"/>
        <v/>
      </c>
      <c r="AP644" s="39" t="str">
        <f t="shared" si="9"/>
        <v/>
      </c>
      <c r="AQ644" s="39" t="str">
        <f t="shared" si="10"/>
        <v/>
      </c>
      <c r="AR644" s="39" t="str">
        <f t="shared" si="11"/>
        <v/>
      </c>
      <c r="AS644" s="39" t="str">
        <f t="shared" si="12"/>
        <v/>
      </c>
      <c r="AT644" s="39" t="str">
        <f t="shared" si="13"/>
        <v/>
      </c>
      <c r="AU644" s="39" t="str">
        <f t="shared" si="14"/>
        <v/>
      </c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 t="str">
        <f t="shared" si="4"/>
        <v/>
      </c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E645" s="39"/>
      <c r="AG645" s="39"/>
      <c r="AH645" s="39" t="str">
        <f t="shared" si="5"/>
        <v/>
      </c>
      <c r="AI645" s="39" t="str">
        <f t="shared" si="6"/>
        <v/>
      </c>
      <c r="AM645" s="39" t="str">
        <f t="array" ref="AM645">IF(C645="","",IFERROR(XLOOKUP(C645,Orders!$A:$A,Orders!$E:$E,""),""))</f>
        <v/>
      </c>
      <c r="AN645" s="39" t="str">
        <f t="shared" si="7"/>
        <v/>
      </c>
      <c r="AO645" s="39" t="str">
        <f t="shared" si="8"/>
        <v/>
      </c>
      <c r="AP645" s="39" t="str">
        <f t="shared" si="9"/>
        <v/>
      </c>
      <c r="AQ645" s="39" t="str">
        <f t="shared" si="10"/>
        <v/>
      </c>
      <c r="AR645" s="39" t="str">
        <f t="shared" si="11"/>
        <v/>
      </c>
      <c r="AS645" s="39" t="str">
        <f t="shared" si="12"/>
        <v/>
      </c>
      <c r="AT645" s="39" t="str">
        <f t="shared" si="13"/>
        <v/>
      </c>
      <c r="AU645" s="39" t="str">
        <f t="shared" si="14"/>
        <v/>
      </c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 t="str">
        <f t="shared" si="4"/>
        <v/>
      </c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E646" s="39"/>
      <c r="AG646" s="39"/>
      <c r="AH646" s="39" t="str">
        <f t="shared" si="5"/>
        <v/>
      </c>
      <c r="AI646" s="39" t="str">
        <f t="shared" si="6"/>
        <v/>
      </c>
      <c r="AM646" s="39" t="str">
        <f t="array" ref="AM646">IF(C646="","",IFERROR(XLOOKUP(C646,Orders!$A:$A,Orders!$E:$E,""),""))</f>
        <v/>
      </c>
      <c r="AN646" s="39" t="str">
        <f t="shared" si="7"/>
        <v/>
      </c>
      <c r="AO646" s="39" t="str">
        <f t="shared" si="8"/>
        <v/>
      </c>
      <c r="AP646" s="39" t="str">
        <f t="shared" si="9"/>
        <v/>
      </c>
      <c r="AQ646" s="39" t="str">
        <f t="shared" si="10"/>
        <v/>
      </c>
      <c r="AR646" s="39" t="str">
        <f t="shared" si="11"/>
        <v/>
      </c>
      <c r="AS646" s="39" t="str">
        <f t="shared" si="12"/>
        <v/>
      </c>
      <c r="AT646" s="39" t="str">
        <f t="shared" si="13"/>
        <v/>
      </c>
      <c r="AU646" s="39" t="str">
        <f t="shared" si="14"/>
        <v/>
      </c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 t="str">
        <f t="shared" si="4"/>
        <v/>
      </c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E647" s="39"/>
      <c r="AG647" s="39"/>
      <c r="AH647" s="39" t="str">
        <f t="shared" si="5"/>
        <v/>
      </c>
      <c r="AI647" s="39" t="str">
        <f t="shared" si="6"/>
        <v/>
      </c>
      <c r="AM647" s="39" t="str">
        <f t="array" ref="AM647">IF(C647="","",IFERROR(XLOOKUP(C647,Orders!$A:$A,Orders!$E:$E,""),""))</f>
        <v/>
      </c>
      <c r="AN647" s="39" t="str">
        <f t="shared" si="7"/>
        <v/>
      </c>
      <c r="AO647" s="39" t="str">
        <f t="shared" si="8"/>
        <v/>
      </c>
      <c r="AP647" s="39" t="str">
        <f t="shared" si="9"/>
        <v/>
      </c>
      <c r="AQ647" s="39" t="str">
        <f t="shared" si="10"/>
        <v/>
      </c>
      <c r="AR647" s="39" t="str">
        <f t="shared" si="11"/>
        <v/>
      </c>
      <c r="AS647" s="39" t="str">
        <f t="shared" si="12"/>
        <v/>
      </c>
      <c r="AT647" s="39" t="str">
        <f t="shared" si="13"/>
        <v/>
      </c>
      <c r="AU647" s="39" t="str">
        <f t="shared" si="14"/>
        <v/>
      </c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 t="str">
        <f t="shared" si="4"/>
        <v/>
      </c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E648" s="39"/>
      <c r="AG648" s="39"/>
      <c r="AH648" s="39" t="str">
        <f t="shared" si="5"/>
        <v/>
      </c>
      <c r="AI648" s="39" t="str">
        <f t="shared" si="6"/>
        <v/>
      </c>
      <c r="AM648" s="39" t="str">
        <f t="array" ref="AM648">IF(C648="","",IFERROR(XLOOKUP(C648,Orders!$A:$A,Orders!$E:$E,""),""))</f>
        <v/>
      </c>
      <c r="AN648" s="39" t="str">
        <f t="shared" si="7"/>
        <v/>
      </c>
      <c r="AO648" s="39" t="str">
        <f t="shared" si="8"/>
        <v/>
      </c>
      <c r="AP648" s="39" t="str">
        <f t="shared" si="9"/>
        <v/>
      </c>
      <c r="AQ648" s="39" t="str">
        <f t="shared" si="10"/>
        <v/>
      </c>
      <c r="AR648" s="39" t="str">
        <f t="shared" si="11"/>
        <v/>
      </c>
      <c r="AS648" s="39" t="str">
        <f t="shared" si="12"/>
        <v/>
      </c>
      <c r="AT648" s="39" t="str">
        <f t="shared" si="13"/>
        <v/>
      </c>
      <c r="AU648" s="39" t="str">
        <f t="shared" si="14"/>
        <v/>
      </c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 t="str">
        <f t="shared" si="4"/>
        <v/>
      </c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E649" s="39"/>
      <c r="AG649" s="39"/>
      <c r="AH649" s="39" t="str">
        <f t="shared" si="5"/>
        <v/>
      </c>
      <c r="AI649" s="39" t="str">
        <f t="shared" si="6"/>
        <v/>
      </c>
      <c r="AM649" s="39" t="str">
        <f t="array" ref="AM649">IF(C649="","",IFERROR(XLOOKUP(C649,Orders!$A:$A,Orders!$E:$E,""),""))</f>
        <v/>
      </c>
      <c r="AN649" s="39" t="str">
        <f t="shared" si="7"/>
        <v/>
      </c>
      <c r="AO649" s="39" t="str">
        <f t="shared" si="8"/>
        <v/>
      </c>
      <c r="AP649" s="39" t="str">
        <f t="shared" si="9"/>
        <v/>
      </c>
      <c r="AQ649" s="39" t="str">
        <f t="shared" si="10"/>
        <v/>
      </c>
      <c r="AR649" s="39" t="str">
        <f t="shared" si="11"/>
        <v/>
      </c>
      <c r="AS649" s="39" t="str">
        <f t="shared" si="12"/>
        <v/>
      </c>
      <c r="AT649" s="39" t="str">
        <f t="shared" si="13"/>
        <v/>
      </c>
      <c r="AU649" s="39" t="str">
        <f t="shared" si="14"/>
        <v/>
      </c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 t="str">
        <f t="shared" si="4"/>
        <v/>
      </c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E650" s="39"/>
      <c r="AG650" s="39"/>
      <c r="AH650" s="39" t="str">
        <f t="shared" si="5"/>
        <v/>
      </c>
      <c r="AI650" s="39" t="str">
        <f t="shared" si="6"/>
        <v/>
      </c>
      <c r="AM650" s="39" t="str">
        <f t="array" ref="AM650">IF(C650="","",IFERROR(XLOOKUP(C650,Orders!$A:$A,Orders!$E:$E,""),""))</f>
        <v/>
      </c>
      <c r="AN650" s="39" t="str">
        <f t="shared" si="7"/>
        <v/>
      </c>
      <c r="AO650" s="39" t="str">
        <f t="shared" si="8"/>
        <v/>
      </c>
      <c r="AP650" s="39" t="str">
        <f t="shared" si="9"/>
        <v/>
      </c>
      <c r="AQ650" s="39" t="str">
        <f t="shared" si="10"/>
        <v/>
      </c>
      <c r="AR650" s="39" t="str">
        <f t="shared" si="11"/>
        <v/>
      </c>
      <c r="AS650" s="39" t="str">
        <f t="shared" si="12"/>
        <v/>
      </c>
      <c r="AT650" s="39" t="str">
        <f t="shared" si="13"/>
        <v/>
      </c>
      <c r="AU650" s="39" t="str">
        <f t="shared" si="14"/>
        <v/>
      </c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 t="str">
        <f t="shared" si="4"/>
        <v/>
      </c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E651" s="39"/>
      <c r="AG651" s="39"/>
      <c r="AH651" s="39" t="str">
        <f t="shared" si="5"/>
        <v/>
      </c>
      <c r="AI651" s="39" t="str">
        <f t="shared" si="6"/>
        <v/>
      </c>
      <c r="AM651" s="39" t="str">
        <f t="array" ref="AM651">IF(C651="","",IFERROR(XLOOKUP(C651,Orders!$A:$A,Orders!$E:$E,""),""))</f>
        <v/>
      </c>
      <c r="AN651" s="39" t="str">
        <f t="shared" si="7"/>
        <v/>
      </c>
      <c r="AO651" s="39" t="str">
        <f t="shared" si="8"/>
        <v/>
      </c>
      <c r="AP651" s="39" t="str">
        <f t="shared" si="9"/>
        <v/>
      </c>
      <c r="AQ651" s="39" t="str">
        <f t="shared" si="10"/>
        <v/>
      </c>
      <c r="AR651" s="39" t="str">
        <f t="shared" si="11"/>
        <v/>
      </c>
      <c r="AS651" s="39" t="str">
        <f t="shared" si="12"/>
        <v/>
      </c>
      <c r="AT651" s="39" t="str">
        <f t="shared" si="13"/>
        <v/>
      </c>
      <c r="AU651" s="39" t="str">
        <f t="shared" si="14"/>
        <v/>
      </c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 t="str">
        <f t="shared" si="4"/>
        <v/>
      </c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E652" s="39"/>
      <c r="AG652" s="39"/>
      <c r="AH652" s="39" t="str">
        <f t="shared" si="5"/>
        <v/>
      </c>
      <c r="AI652" s="39" t="str">
        <f t="shared" si="6"/>
        <v/>
      </c>
      <c r="AM652" s="39" t="str">
        <f t="array" ref="AM652">IF(C652="","",IFERROR(XLOOKUP(C652,Orders!$A:$A,Orders!$E:$E,""),""))</f>
        <v/>
      </c>
      <c r="AN652" s="39" t="str">
        <f t="shared" si="7"/>
        <v/>
      </c>
      <c r="AO652" s="39" t="str">
        <f t="shared" si="8"/>
        <v/>
      </c>
      <c r="AP652" s="39" t="str">
        <f t="shared" si="9"/>
        <v/>
      </c>
      <c r="AQ652" s="39" t="str">
        <f t="shared" si="10"/>
        <v/>
      </c>
      <c r="AR652" s="39" t="str">
        <f t="shared" si="11"/>
        <v/>
      </c>
      <c r="AS652" s="39" t="str">
        <f t="shared" si="12"/>
        <v/>
      </c>
      <c r="AT652" s="39" t="str">
        <f t="shared" si="13"/>
        <v/>
      </c>
      <c r="AU652" s="39" t="str">
        <f t="shared" si="14"/>
        <v/>
      </c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 t="str">
        <f t="shared" si="4"/>
        <v/>
      </c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E653" s="39"/>
      <c r="AG653" s="39"/>
      <c r="AH653" s="39" t="str">
        <f t="shared" si="5"/>
        <v/>
      </c>
      <c r="AI653" s="39" t="str">
        <f t="shared" si="6"/>
        <v/>
      </c>
      <c r="AM653" s="39" t="str">
        <f t="array" ref="AM653">IF(C653="","",IFERROR(XLOOKUP(C653,Orders!$A:$A,Orders!$E:$E,""),""))</f>
        <v/>
      </c>
      <c r="AN653" s="39" t="str">
        <f t="shared" si="7"/>
        <v/>
      </c>
      <c r="AO653" s="39" t="str">
        <f t="shared" si="8"/>
        <v/>
      </c>
      <c r="AP653" s="39" t="str">
        <f t="shared" si="9"/>
        <v/>
      </c>
      <c r="AQ653" s="39" t="str">
        <f t="shared" si="10"/>
        <v/>
      </c>
      <c r="AR653" s="39" t="str">
        <f t="shared" si="11"/>
        <v/>
      </c>
      <c r="AS653" s="39" t="str">
        <f t="shared" si="12"/>
        <v/>
      </c>
      <c r="AT653" s="39" t="str">
        <f t="shared" si="13"/>
        <v/>
      </c>
      <c r="AU653" s="39" t="str">
        <f t="shared" si="14"/>
        <v/>
      </c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 t="str">
        <f t="shared" si="4"/>
        <v/>
      </c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E654" s="39"/>
      <c r="AG654" s="39"/>
      <c r="AH654" s="39" t="str">
        <f t="shared" si="5"/>
        <v/>
      </c>
      <c r="AI654" s="39" t="str">
        <f t="shared" si="6"/>
        <v/>
      </c>
      <c r="AM654" s="39" t="str">
        <f t="array" ref="AM654">IF(C654="","",IFERROR(XLOOKUP(C654,Orders!$A:$A,Orders!$E:$E,""),""))</f>
        <v/>
      </c>
      <c r="AN654" s="39" t="str">
        <f t="shared" si="7"/>
        <v/>
      </c>
      <c r="AO654" s="39" t="str">
        <f t="shared" si="8"/>
        <v/>
      </c>
      <c r="AP654" s="39" t="str">
        <f t="shared" si="9"/>
        <v/>
      </c>
      <c r="AQ654" s="39" t="str">
        <f t="shared" si="10"/>
        <v/>
      </c>
      <c r="AR654" s="39" t="str">
        <f t="shared" si="11"/>
        <v/>
      </c>
      <c r="AS654" s="39" t="str">
        <f t="shared" si="12"/>
        <v/>
      </c>
      <c r="AT654" s="39" t="str">
        <f t="shared" si="13"/>
        <v/>
      </c>
      <c r="AU654" s="39" t="str">
        <f t="shared" si="14"/>
        <v/>
      </c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 t="str">
        <f t="shared" si="4"/>
        <v/>
      </c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E655" s="39"/>
      <c r="AG655" s="39"/>
      <c r="AH655" s="39" t="str">
        <f t="shared" si="5"/>
        <v/>
      </c>
      <c r="AI655" s="39" t="str">
        <f t="shared" si="6"/>
        <v/>
      </c>
      <c r="AM655" s="39" t="str">
        <f t="array" ref="AM655">IF(C655="","",IFERROR(XLOOKUP(C655,Orders!$A:$A,Orders!$E:$E,""),""))</f>
        <v/>
      </c>
      <c r="AN655" s="39" t="str">
        <f t="shared" si="7"/>
        <v/>
      </c>
      <c r="AO655" s="39" t="str">
        <f t="shared" si="8"/>
        <v/>
      </c>
      <c r="AP655" s="39" t="str">
        <f t="shared" si="9"/>
        <v/>
      </c>
      <c r="AQ655" s="39" t="str">
        <f t="shared" si="10"/>
        <v/>
      </c>
      <c r="AR655" s="39" t="str">
        <f t="shared" si="11"/>
        <v/>
      </c>
      <c r="AS655" s="39" t="str">
        <f t="shared" si="12"/>
        <v/>
      </c>
      <c r="AT655" s="39" t="str">
        <f t="shared" si="13"/>
        <v/>
      </c>
      <c r="AU655" s="39" t="str">
        <f t="shared" si="14"/>
        <v/>
      </c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 t="str">
        <f t="shared" si="4"/>
        <v/>
      </c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E656" s="39"/>
      <c r="AG656" s="39"/>
      <c r="AH656" s="39" t="str">
        <f t="shared" si="5"/>
        <v/>
      </c>
      <c r="AI656" s="39" t="str">
        <f t="shared" si="6"/>
        <v/>
      </c>
      <c r="AM656" s="39" t="str">
        <f t="array" ref="AM656">IF(C656="","",IFERROR(XLOOKUP(C656,Orders!$A:$A,Orders!$E:$E,""),""))</f>
        <v/>
      </c>
      <c r="AN656" s="39" t="str">
        <f t="shared" si="7"/>
        <v/>
      </c>
      <c r="AO656" s="39" t="str">
        <f t="shared" si="8"/>
        <v/>
      </c>
      <c r="AP656" s="39" t="str">
        <f t="shared" si="9"/>
        <v/>
      </c>
      <c r="AQ656" s="39" t="str">
        <f t="shared" si="10"/>
        <v/>
      </c>
      <c r="AR656" s="39" t="str">
        <f t="shared" si="11"/>
        <v/>
      </c>
      <c r="AS656" s="39" t="str">
        <f t="shared" si="12"/>
        <v/>
      </c>
      <c r="AT656" s="39" t="str">
        <f t="shared" si="13"/>
        <v/>
      </c>
      <c r="AU656" s="39" t="str">
        <f t="shared" si="14"/>
        <v/>
      </c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 t="str">
        <f t="shared" si="4"/>
        <v/>
      </c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E657" s="39"/>
      <c r="AG657" s="39"/>
      <c r="AH657" s="39" t="str">
        <f t="shared" si="5"/>
        <v/>
      </c>
      <c r="AI657" s="39" t="str">
        <f t="shared" si="6"/>
        <v/>
      </c>
      <c r="AM657" s="39" t="str">
        <f t="array" ref="AM657">IF(C657="","",IFERROR(XLOOKUP(C657,Orders!$A:$A,Orders!$E:$E,""),""))</f>
        <v/>
      </c>
      <c r="AN657" s="39" t="str">
        <f t="shared" si="7"/>
        <v/>
      </c>
      <c r="AO657" s="39" t="str">
        <f t="shared" si="8"/>
        <v/>
      </c>
      <c r="AP657" s="39" t="str">
        <f t="shared" si="9"/>
        <v/>
      </c>
      <c r="AQ657" s="39" t="str">
        <f t="shared" si="10"/>
        <v/>
      </c>
      <c r="AR657" s="39" t="str">
        <f t="shared" si="11"/>
        <v/>
      </c>
      <c r="AS657" s="39" t="str">
        <f t="shared" si="12"/>
        <v/>
      </c>
      <c r="AT657" s="39" t="str">
        <f t="shared" si="13"/>
        <v/>
      </c>
      <c r="AU657" s="39" t="str">
        <f t="shared" si="14"/>
        <v/>
      </c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 t="str">
        <f t="shared" si="4"/>
        <v/>
      </c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E658" s="39"/>
      <c r="AG658" s="39"/>
      <c r="AH658" s="39" t="str">
        <f t="shared" si="5"/>
        <v/>
      </c>
      <c r="AI658" s="39" t="str">
        <f t="shared" si="6"/>
        <v/>
      </c>
      <c r="AM658" s="39" t="str">
        <f t="array" ref="AM658">IF(C658="","",IFERROR(XLOOKUP(C658,Orders!$A:$A,Orders!$E:$E,""),""))</f>
        <v/>
      </c>
      <c r="AN658" s="39" t="str">
        <f t="shared" si="7"/>
        <v/>
      </c>
      <c r="AO658" s="39" t="str">
        <f t="shared" si="8"/>
        <v/>
      </c>
      <c r="AP658" s="39" t="str">
        <f t="shared" si="9"/>
        <v/>
      </c>
      <c r="AQ658" s="39" t="str">
        <f t="shared" si="10"/>
        <v/>
      </c>
      <c r="AR658" s="39" t="str">
        <f t="shared" si="11"/>
        <v/>
      </c>
      <c r="AS658" s="39" t="str">
        <f t="shared" si="12"/>
        <v/>
      </c>
      <c r="AT658" s="39" t="str">
        <f t="shared" si="13"/>
        <v/>
      </c>
      <c r="AU658" s="39" t="str">
        <f t="shared" si="14"/>
        <v/>
      </c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 t="str">
        <f t="shared" si="4"/>
        <v/>
      </c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E659" s="39"/>
      <c r="AG659" s="39"/>
      <c r="AH659" s="39" t="str">
        <f t="shared" si="5"/>
        <v/>
      </c>
      <c r="AI659" s="39" t="str">
        <f t="shared" si="6"/>
        <v/>
      </c>
      <c r="AM659" s="39" t="str">
        <f t="array" ref="AM659">IF(C659="","",IFERROR(XLOOKUP(C659,Orders!$A:$A,Orders!$E:$E,""),""))</f>
        <v/>
      </c>
      <c r="AN659" s="39" t="str">
        <f t="shared" si="7"/>
        <v/>
      </c>
      <c r="AO659" s="39" t="str">
        <f t="shared" si="8"/>
        <v/>
      </c>
      <c r="AP659" s="39" t="str">
        <f t="shared" si="9"/>
        <v/>
      </c>
      <c r="AQ659" s="39" t="str">
        <f t="shared" si="10"/>
        <v/>
      </c>
      <c r="AR659" s="39" t="str">
        <f t="shared" si="11"/>
        <v/>
      </c>
      <c r="AS659" s="39" t="str">
        <f t="shared" si="12"/>
        <v/>
      </c>
      <c r="AT659" s="39" t="str">
        <f t="shared" si="13"/>
        <v/>
      </c>
      <c r="AU659" s="39" t="str">
        <f t="shared" si="14"/>
        <v/>
      </c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 t="str">
        <f t="shared" si="4"/>
        <v/>
      </c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E660" s="39"/>
      <c r="AG660" s="39"/>
      <c r="AH660" s="39" t="str">
        <f t="shared" si="5"/>
        <v/>
      </c>
      <c r="AI660" s="39" t="str">
        <f t="shared" si="6"/>
        <v/>
      </c>
      <c r="AM660" s="39" t="str">
        <f t="array" ref="AM660">IF(C660="","",IFERROR(XLOOKUP(C660,Orders!$A:$A,Orders!$E:$E,""),""))</f>
        <v/>
      </c>
      <c r="AN660" s="39" t="str">
        <f t="shared" si="7"/>
        <v/>
      </c>
      <c r="AO660" s="39" t="str">
        <f t="shared" si="8"/>
        <v/>
      </c>
      <c r="AP660" s="39" t="str">
        <f t="shared" si="9"/>
        <v/>
      </c>
      <c r="AQ660" s="39" t="str">
        <f t="shared" si="10"/>
        <v/>
      </c>
      <c r="AR660" s="39" t="str">
        <f t="shared" si="11"/>
        <v/>
      </c>
      <c r="AS660" s="39" t="str">
        <f t="shared" si="12"/>
        <v/>
      </c>
      <c r="AT660" s="39" t="str">
        <f t="shared" si="13"/>
        <v/>
      </c>
      <c r="AU660" s="39" t="str">
        <f t="shared" si="14"/>
        <v/>
      </c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 t="str">
        <f t="shared" si="4"/>
        <v/>
      </c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E661" s="39"/>
      <c r="AG661" s="39"/>
      <c r="AH661" s="39" t="str">
        <f t="shared" si="5"/>
        <v/>
      </c>
      <c r="AI661" s="39" t="str">
        <f t="shared" si="6"/>
        <v/>
      </c>
      <c r="AM661" s="39" t="str">
        <f t="array" ref="AM661">IF(C661="","",IFERROR(XLOOKUP(C661,Orders!$A:$A,Orders!$E:$E,""),""))</f>
        <v/>
      </c>
      <c r="AN661" s="39" t="str">
        <f t="shared" si="7"/>
        <v/>
      </c>
      <c r="AO661" s="39" t="str">
        <f t="shared" si="8"/>
        <v/>
      </c>
      <c r="AP661" s="39" t="str">
        <f t="shared" si="9"/>
        <v/>
      </c>
      <c r="AQ661" s="39" t="str">
        <f t="shared" si="10"/>
        <v/>
      </c>
      <c r="AR661" s="39" t="str">
        <f t="shared" si="11"/>
        <v/>
      </c>
      <c r="AS661" s="39" t="str">
        <f t="shared" si="12"/>
        <v/>
      </c>
      <c r="AT661" s="39" t="str">
        <f t="shared" si="13"/>
        <v/>
      </c>
      <c r="AU661" s="39" t="str">
        <f t="shared" si="14"/>
        <v/>
      </c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 t="str">
        <f t="shared" si="4"/>
        <v/>
      </c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E662" s="39"/>
      <c r="AG662" s="39"/>
      <c r="AH662" s="39" t="str">
        <f t="shared" si="5"/>
        <v/>
      </c>
      <c r="AI662" s="39" t="str">
        <f t="shared" si="6"/>
        <v/>
      </c>
      <c r="AM662" s="39" t="str">
        <f t="array" ref="AM662">IF(C662="","",IFERROR(XLOOKUP(C662,Orders!$A:$A,Orders!$E:$E,""),""))</f>
        <v/>
      </c>
      <c r="AN662" s="39" t="str">
        <f t="shared" si="7"/>
        <v/>
      </c>
      <c r="AO662" s="39" t="str">
        <f t="shared" si="8"/>
        <v/>
      </c>
      <c r="AP662" s="39" t="str">
        <f t="shared" si="9"/>
        <v/>
      </c>
      <c r="AQ662" s="39" t="str">
        <f t="shared" si="10"/>
        <v/>
      </c>
      <c r="AR662" s="39" t="str">
        <f t="shared" si="11"/>
        <v/>
      </c>
      <c r="AS662" s="39" t="str">
        <f t="shared" si="12"/>
        <v/>
      </c>
      <c r="AT662" s="39" t="str">
        <f t="shared" si="13"/>
        <v/>
      </c>
      <c r="AU662" s="39" t="str">
        <f t="shared" si="14"/>
        <v/>
      </c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 t="str">
        <f t="shared" si="4"/>
        <v/>
      </c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E663" s="39"/>
      <c r="AG663" s="39"/>
      <c r="AH663" s="39" t="str">
        <f t="shared" si="5"/>
        <v/>
      </c>
      <c r="AI663" s="39" t="str">
        <f t="shared" si="6"/>
        <v/>
      </c>
      <c r="AM663" s="39" t="str">
        <f t="array" ref="AM663">IF(C663="","",IFERROR(XLOOKUP(C663,Orders!$A:$A,Orders!$E:$E,""),""))</f>
        <v/>
      </c>
      <c r="AN663" s="39" t="str">
        <f t="shared" si="7"/>
        <v/>
      </c>
      <c r="AO663" s="39" t="str">
        <f t="shared" si="8"/>
        <v/>
      </c>
      <c r="AP663" s="39" t="str">
        <f t="shared" si="9"/>
        <v/>
      </c>
      <c r="AQ663" s="39" t="str">
        <f t="shared" si="10"/>
        <v/>
      </c>
      <c r="AR663" s="39" t="str">
        <f t="shared" si="11"/>
        <v/>
      </c>
      <c r="AS663" s="39" t="str">
        <f t="shared" si="12"/>
        <v/>
      </c>
      <c r="AT663" s="39" t="str">
        <f t="shared" si="13"/>
        <v/>
      </c>
      <c r="AU663" s="39" t="str">
        <f t="shared" si="14"/>
        <v/>
      </c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 t="str">
        <f t="shared" si="4"/>
        <v/>
      </c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E664" s="39"/>
      <c r="AG664" s="39"/>
      <c r="AH664" s="39" t="str">
        <f t="shared" si="5"/>
        <v/>
      </c>
      <c r="AI664" s="39" t="str">
        <f t="shared" si="6"/>
        <v/>
      </c>
      <c r="AM664" s="39" t="str">
        <f t="array" ref="AM664">IF(C664="","",IFERROR(XLOOKUP(C664,Orders!$A:$A,Orders!$E:$E,""),""))</f>
        <v/>
      </c>
      <c r="AN664" s="39" t="str">
        <f t="shared" si="7"/>
        <v/>
      </c>
      <c r="AO664" s="39" t="str">
        <f t="shared" si="8"/>
        <v/>
      </c>
      <c r="AP664" s="39" t="str">
        <f t="shared" si="9"/>
        <v/>
      </c>
      <c r="AQ664" s="39" t="str">
        <f t="shared" si="10"/>
        <v/>
      </c>
      <c r="AR664" s="39" t="str">
        <f t="shared" si="11"/>
        <v/>
      </c>
      <c r="AS664" s="39" t="str">
        <f t="shared" si="12"/>
        <v/>
      </c>
      <c r="AT664" s="39" t="str">
        <f t="shared" si="13"/>
        <v/>
      </c>
      <c r="AU664" s="39" t="str">
        <f t="shared" si="14"/>
        <v/>
      </c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 t="str">
        <f t="shared" si="4"/>
        <v/>
      </c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E665" s="39"/>
      <c r="AG665" s="39"/>
      <c r="AH665" s="39" t="str">
        <f t="shared" si="5"/>
        <v/>
      </c>
      <c r="AI665" s="39" t="str">
        <f t="shared" si="6"/>
        <v/>
      </c>
      <c r="AM665" s="39" t="str">
        <f t="array" ref="AM665">IF(C665="","",IFERROR(XLOOKUP(C665,Orders!$A:$A,Orders!$E:$E,""),""))</f>
        <v/>
      </c>
      <c r="AN665" s="39" t="str">
        <f t="shared" si="7"/>
        <v/>
      </c>
      <c r="AO665" s="39" t="str">
        <f t="shared" si="8"/>
        <v/>
      </c>
      <c r="AP665" s="39" t="str">
        <f t="shared" si="9"/>
        <v/>
      </c>
      <c r="AQ665" s="39" t="str">
        <f t="shared" si="10"/>
        <v/>
      </c>
      <c r="AR665" s="39" t="str">
        <f t="shared" si="11"/>
        <v/>
      </c>
      <c r="AS665" s="39" t="str">
        <f t="shared" si="12"/>
        <v/>
      </c>
      <c r="AT665" s="39" t="str">
        <f t="shared" si="13"/>
        <v/>
      </c>
      <c r="AU665" s="39" t="str">
        <f t="shared" si="14"/>
        <v/>
      </c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 t="str">
        <f t="shared" si="4"/>
        <v/>
      </c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E666" s="39"/>
      <c r="AG666" s="39"/>
      <c r="AH666" s="39" t="str">
        <f t="shared" si="5"/>
        <v/>
      </c>
      <c r="AI666" s="39" t="str">
        <f t="shared" si="6"/>
        <v/>
      </c>
      <c r="AM666" s="39" t="str">
        <f t="array" ref="AM666">IF(C666="","",IFERROR(XLOOKUP(C666,Orders!$A:$A,Orders!$E:$E,""),""))</f>
        <v/>
      </c>
      <c r="AN666" s="39" t="str">
        <f t="shared" si="7"/>
        <v/>
      </c>
      <c r="AO666" s="39" t="str">
        <f t="shared" si="8"/>
        <v/>
      </c>
      <c r="AP666" s="39" t="str">
        <f t="shared" si="9"/>
        <v/>
      </c>
      <c r="AQ666" s="39" t="str">
        <f t="shared" si="10"/>
        <v/>
      </c>
      <c r="AR666" s="39" t="str">
        <f t="shared" si="11"/>
        <v/>
      </c>
      <c r="AS666" s="39" t="str">
        <f t="shared" si="12"/>
        <v/>
      </c>
      <c r="AT666" s="39" t="str">
        <f t="shared" si="13"/>
        <v/>
      </c>
      <c r="AU666" s="39" t="str">
        <f t="shared" si="14"/>
        <v/>
      </c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 t="str">
        <f t="shared" si="4"/>
        <v/>
      </c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E667" s="39"/>
      <c r="AG667" s="39"/>
      <c r="AH667" s="39" t="str">
        <f t="shared" si="5"/>
        <v/>
      </c>
      <c r="AI667" s="39" t="str">
        <f t="shared" si="6"/>
        <v/>
      </c>
      <c r="AM667" s="39" t="str">
        <f t="array" ref="AM667">IF(C667="","",IFERROR(XLOOKUP(C667,Orders!$A:$A,Orders!$E:$E,""),""))</f>
        <v/>
      </c>
      <c r="AN667" s="39" t="str">
        <f t="shared" si="7"/>
        <v/>
      </c>
      <c r="AO667" s="39" t="str">
        <f t="shared" si="8"/>
        <v/>
      </c>
      <c r="AP667" s="39" t="str">
        <f t="shared" si="9"/>
        <v/>
      </c>
      <c r="AQ667" s="39" t="str">
        <f t="shared" si="10"/>
        <v/>
      </c>
      <c r="AR667" s="39" t="str">
        <f t="shared" si="11"/>
        <v/>
      </c>
      <c r="AS667" s="39" t="str">
        <f t="shared" si="12"/>
        <v/>
      </c>
      <c r="AT667" s="39" t="str">
        <f t="shared" si="13"/>
        <v/>
      </c>
      <c r="AU667" s="39" t="str">
        <f t="shared" si="14"/>
        <v/>
      </c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 t="str">
        <f t="shared" si="4"/>
        <v/>
      </c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E668" s="39"/>
      <c r="AG668" s="39"/>
      <c r="AH668" s="39" t="str">
        <f t="shared" si="5"/>
        <v/>
      </c>
      <c r="AI668" s="39" t="str">
        <f t="shared" si="6"/>
        <v/>
      </c>
      <c r="AM668" s="39" t="str">
        <f t="array" ref="AM668">IF(C668="","",IFERROR(XLOOKUP(C668,Orders!$A:$A,Orders!$E:$E,""),""))</f>
        <v/>
      </c>
      <c r="AN668" s="39" t="str">
        <f t="shared" si="7"/>
        <v/>
      </c>
      <c r="AO668" s="39" t="str">
        <f t="shared" si="8"/>
        <v/>
      </c>
      <c r="AP668" s="39" t="str">
        <f t="shared" si="9"/>
        <v/>
      </c>
      <c r="AQ668" s="39" t="str">
        <f t="shared" si="10"/>
        <v/>
      </c>
      <c r="AR668" s="39" t="str">
        <f t="shared" si="11"/>
        <v/>
      </c>
      <c r="AS668" s="39" t="str">
        <f t="shared" si="12"/>
        <v/>
      </c>
      <c r="AT668" s="39" t="str">
        <f t="shared" si="13"/>
        <v/>
      </c>
      <c r="AU668" s="39" t="str">
        <f t="shared" si="14"/>
        <v/>
      </c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 t="str">
        <f t="shared" si="4"/>
        <v/>
      </c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E669" s="39"/>
      <c r="AG669" s="39"/>
      <c r="AH669" s="39" t="str">
        <f t="shared" si="5"/>
        <v/>
      </c>
      <c r="AI669" s="39" t="str">
        <f t="shared" si="6"/>
        <v/>
      </c>
      <c r="AM669" s="39" t="str">
        <f t="array" ref="AM669">IF(C669="","",IFERROR(XLOOKUP(C669,Orders!$A:$A,Orders!$E:$E,""),""))</f>
        <v/>
      </c>
      <c r="AN669" s="39" t="str">
        <f t="shared" si="7"/>
        <v/>
      </c>
      <c r="AO669" s="39" t="str">
        <f t="shared" si="8"/>
        <v/>
      </c>
      <c r="AP669" s="39" t="str">
        <f t="shared" si="9"/>
        <v/>
      </c>
      <c r="AQ669" s="39" t="str">
        <f t="shared" si="10"/>
        <v/>
      </c>
      <c r="AR669" s="39" t="str">
        <f t="shared" si="11"/>
        <v/>
      </c>
      <c r="AS669" s="39" t="str">
        <f t="shared" si="12"/>
        <v/>
      </c>
      <c r="AT669" s="39" t="str">
        <f t="shared" si="13"/>
        <v/>
      </c>
      <c r="AU669" s="39" t="str">
        <f t="shared" si="14"/>
        <v/>
      </c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 t="str">
        <f t="shared" si="4"/>
        <v/>
      </c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E670" s="39"/>
      <c r="AG670" s="39"/>
      <c r="AH670" s="39" t="str">
        <f t="shared" si="5"/>
        <v/>
      </c>
      <c r="AI670" s="39" t="str">
        <f t="shared" si="6"/>
        <v/>
      </c>
      <c r="AM670" s="39" t="str">
        <f t="array" ref="AM670">IF(C670="","",IFERROR(XLOOKUP(C670,Orders!$A:$A,Orders!$E:$E,""),""))</f>
        <v/>
      </c>
      <c r="AN670" s="39" t="str">
        <f t="shared" si="7"/>
        <v/>
      </c>
      <c r="AO670" s="39" t="str">
        <f t="shared" si="8"/>
        <v/>
      </c>
      <c r="AP670" s="39" t="str">
        <f t="shared" si="9"/>
        <v/>
      </c>
      <c r="AQ670" s="39" t="str">
        <f t="shared" si="10"/>
        <v/>
      </c>
      <c r="AR670" s="39" t="str">
        <f t="shared" si="11"/>
        <v/>
      </c>
      <c r="AS670" s="39" t="str">
        <f t="shared" si="12"/>
        <v/>
      </c>
      <c r="AT670" s="39" t="str">
        <f t="shared" si="13"/>
        <v/>
      </c>
      <c r="AU670" s="39" t="str">
        <f t="shared" si="14"/>
        <v/>
      </c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 t="str">
        <f t="shared" si="4"/>
        <v/>
      </c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E671" s="39"/>
      <c r="AG671" s="39"/>
      <c r="AH671" s="39" t="str">
        <f t="shared" si="5"/>
        <v/>
      </c>
      <c r="AI671" s="39" t="str">
        <f t="shared" si="6"/>
        <v/>
      </c>
      <c r="AM671" s="39" t="str">
        <f t="array" ref="AM671">IF(C671="","",IFERROR(XLOOKUP(C671,Orders!$A:$A,Orders!$E:$E,""),""))</f>
        <v/>
      </c>
      <c r="AN671" s="39" t="str">
        <f t="shared" si="7"/>
        <v/>
      </c>
      <c r="AO671" s="39" t="str">
        <f t="shared" si="8"/>
        <v/>
      </c>
      <c r="AP671" s="39" t="str">
        <f t="shared" si="9"/>
        <v/>
      </c>
      <c r="AQ671" s="39" t="str">
        <f t="shared" si="10"/>
        <v/>
      </c>
      <c r="AR671" s="39" t="str">
        <f t="shared" si="11"/>
        <v/>
      </c>
      <c r="AS671" s="39" t="str">
        <f t="shared" si="12"/>
        <v/>
      </c>
      <c r="AT671" s="39" t="str">
        <f t="shared" si="13"/>
        <v/>
      </c>
      <c r="AU671" s="39" t="str">
        <f t="shared" si="14"/>
        <v/>
      </c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 t="str">
        <f t="shared" si="4"/>
        <v/>
      </c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E672" s="39"/>
      <c r="AG672" s="39"/>
      <c r="AH672" s="39" t="str">
        <f t="shared" si="5"/>
        <v/>
      </c>
      <c r="AI672" s="39" t="str">
        <f t="shared" si="6"/>
        <v/>
      </c>
      <c r="AM672" s="39" t="str">
        <f t="array" ref="AM672">IF(C672="","",IFERROR(XLOOKUP(C672,Orders!$A:$A,Orders!$E:$E,""),""))</f>
        <v/>
      </c>
      <c r="AN672" s="39" t="str">
        <f t="shared" si="7"/>
        <v/>
      </c>
      <c r="AO672" s="39" t="str">
        <f t="shared" si="8"/>
        <v/>
      </c>
      <c r="AP672" s="39" t="str">
        <f t="shared" si="9"/>
        <v/>
      </c>
      <c r="AQ672" s="39" t="str">
        <f t="shared" si="10"/>
        <v/>
      </c>
      <c r="AR672" s="39" t="str">
        <f t="shared" si="11"/>
        <v/>
      </c>
      <c r="AS672" s="39" t="str">
        <f t="shared" si="12"/>
        <v/>
      </c>
      <c r="AT672" s="39" t="str">
        <f t="shared" si="13"/>
        <v/>
      </c>
      <c r="AU672" s="39" t="str">
        <f t="shared" si="14"/>
        <v/>
      </c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 t="str">
        <f t="shared" si="4"/>
        <v/>
      </c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E673" s="39"/>
      <c r="AG673" s="39"/>
      <c r="AH673" s="39" t="str">
        <f t="shared" si="5"/>
        <v/>
      </c>
      <c r="AI673" s="39" t="str">
        <f t="shared" si="6"/>
        <v/>
      </c>
      <c r="AM673" s="39" t="str">
        <f t="array" ref="AM673">IF(C673="","",IFERROR(XLOOKUP(C673,Orders!$A:$A,Orders!$E:$E,""),""))</f>
        <v/>
      </c>
      <c r="AN673" s="39" t="str">
        <f t="shared" si="7"/>
        <v/>
      </c>
      <c r="AO673" s="39" t="str">
        <f t="shared" si="8"/>
        <v/>
      </c>
      <c r="AP673" s="39" t="str">
        <f t="shared" si="9"/>
        <v/>
      </c>
      <c r="AQ673" s="39" t="str">
        <f t="shared" si="10"/>
        <v/>
      </c>
      <c r="AR673" s="39" t="str">
        <f t="shared" si="11"/>
        <v/>
      </c>
      <c r="AS673" s="39" t="str">
        <f t="shared" si="12"/>
        <v/>
      </c>
      <c r="AT673" s="39" t="str">
        <f t="shared" si="13"/>
        <v/>
      </c>
      <c r="AU673" s="39" t="str">
        <f t="shared" si="14"/>
        <v/>
      </c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 t="str">
        <f t="shared" si="4"/>
        <v/>
      </c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E674" s="39"/>
      <c r="AG674" s="39"/>
      <c r="AH674" s="39" t="str">
        <f t="shared" si="5"/>
        <v/>
      </c>
      <c r="AI674" s="39" t="str">
        <f t="shared" si="6"/>
        <v/>
      </c>
      <c r="AM674" s="39" t="str">
        <f t="array" ref="AM674">IF(C674="","",IFERROR(XLOOKUP(C674,Orders!$A:$A,Orders!$E:$E,""),""))</f>
        <v/>
      </c>
      <c r="AN674" s="39" t="str">
        <f t="shared" si="7"/>
        <v/>
      </c>
      <c r="AO674" s="39" t="str">
        <f t="shared" si="8"/>
        <v/>
      </c>
      <c r="AP674" s="39" t="str">
        <f t="shared" si="9"/>
        <v/>
      </c>
      <c r="AQ674" s="39" t="str">
        <f t="shared" si="10"/>
        <v/>
      </c>
      <c r="AR674" s="39" t="str">
        <f t="shared" si="11"/>
        <v/>
      </c>
      <c r="AS674" s="39" t="str">
        <f t="shared" si="12"/>
        <v/>
      </c>
      <c r="AT674" s="39" t="str">
        <f t="shared" si="13"/>
        <v/>
      </c>
      <c r="AU674" s="39" t="str">
        <f t="shared" si="14"/>
        <v/>
      </c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 t="str">
        <f t="shared" si="4"/>
        <v/>
      </c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E675" s="39"/>
      <c r="AG675" s="39"/>
      <c r="AH675" s="39" t="str">
        <f t="shared" si="5"/>
        <v/>
      </c>
      <c r="AI675" s="39" t="str">
        <f t="shared" si="6"/>
        <v/>
      </c>
      <c r="AM675" s="39" t="str">
        <f t="array" ref="AM675">IF(C675="","",IFERROR(XLOOKUP(C675,Orders!$A:$A,Orders!$E:$E,""),""))</f>
        <v/>
      </c>
      <c r="AN675" s="39" t="str">
        <f t="shared" si="7"/>
        <v/>
      </c>
      <c r="AO675" s="39" t="str">
        <f t="shared" si="8"/>
        <v/>
      </c>
      <c r="AP675" s="39" t="str">
        <f t="shared" si="9"/>
        <v/>
      </c>
      <c r="AQ675" s="39" t="str">
        <f t="shared" si="10"/>
        <v/>
      </c>
      <c r="AR675" s="39" t="str">
        <f t="shared" si="11"/>
        <v/>
      </c>
      <c r="AS675" s="39" t="str">
        <f t="shared" si="12"/>
        <v/>
      </c>
      <c r="AT675" s="39" t="str">
        <f t="shared" si="13"/>
        <v/>
      </c>
      <c r="AU675" s="39" t="str">
        <f t="shared" si="14"/>
        <v/>
      </c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 t="str">
        <f t="shared" si="4"/>
        <v/>
      </c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E676" s="39"/>
      <c r="AG676" s="39"/>
      <c r="AH676" s="39" t="str">
        <f t="shared" si="5"/>
        <v/>
      </c>
      <c r="AI676" s="39" t="str">
        <f t="shared" si="6"/>
        <v/>
      </c>
      <c r="AM676" s="39" t="str">
        <f t="array" ref="AM676">IF(C676="","",IFERROR(XLOOKUP(C676,Orders!$A:$A,Orders!$E:$E,""),""))</f>
        <v/>
      </c>
      <c r="AN676" s="39" t="str">
        <f t="shared" si="7"/>
        <v/>
      </c>
      <c r="AO676" s="39" t="str">
        <f t="shared" si="8"/>
        <v/>
      </c>
      <c r="AP676" s="39" t="str">
        <f t="shared" si="9"/>
        <v/>
      </c>
      <c r="AQ676" s="39" t="str">
        <f t="shared" si="10"/>
        <v/>
      </c>
      <c r="AR676" s="39" t="str">
        <f t="shared" si="11"/>
        <v/>
      </c>
      <c r="AS676" s="39" t="str">
        <f t="shared" si="12"/>
        <v/>
      </c>
      <c r="AT676" s="39" t="str">
        <f t="shared" si="13"/>
        <v/>
      </c>
      <c r="AU676" s="39" t="str">
        <f t="shared" si="14"/>
        <v/>
      </c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 t="str">
        <f t="shared" si="4"/>
        <v/>
      </c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E677" s="39"/>
      <c r="AG677" s="39"/>
      <c r="AH677" s="39" t="str">
        <f t="shared" si="5"/>
        <v/>
      </c>
      <c r="AI677" s="39" t="str">
        <f t="shared" si="6"/>
        <v/>
      </c>
      <c r="AM677" s="39" t="str">
        <f t="array" ref="AM677">IF(C677="","",IFERROR(XLOOKUP(C677,Orders!$A:$A,Orders!$E:$E,""),""))</f>
        <v/>
      </c>
      <c r="AN677" s="39" t="str">
        <f t="shared" si="7"/>
        <v/>
      </c>
      <c r="AO677" s="39" t="str">
        <f t="shared" si="8"/>
        <v/>
      </c>
      <c r="AP677" s="39" t="str">
        <f t="shared" si="9"/>
        <v/>
      </c>
      <c r="AQ677" s="39" t="str">
        <f t="shared" si="10"/>
        <v/>
      </c>
      <c r="AR677" s="39" t="str">
        <f t="shared" si="11"/>
        <v/>
      </c>
      <c r="AS677" s="39" t="str">
        <f t="shared" si="12"/>
        <v/>
      </c>
      <c r="AT677" s="39" t="str">
        <f t="shared" si="13"/>
        <v/>
      </c>
      <c r="AU677" s="39" t="str">
        <f t="shared" si="14"/>
        <v/>
      </c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 t="str">
        <f t="shared" si="4"/>
        <v/>
      </c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E678" s="39"/>
      <c r="AG678" s="39"/>
      <c r="AH678" s="39" t="str">
        <f t="shared" si="5"/>
        <v/>
      </c>
      <c r="AI678" s="39" t="str">
        <f t="shared" si="6"/>
        <v/>
      </c>
      <c r="AM678" s="39" t="str">
        <f t="array" ref="AM678">IF(C678="","",IFERROR(XLOOKUP(C678,Orders!$A:$A,Orders!$E:$E,""),""))</f>
        <v/>
      </c>
      <c r="AN678" s="39" t="str">
        <f t="shared" si="7"/>
        <v/>
      </c>
      <c r="AO678" s="39" t="str">
        <f t="shared" si="8"/>
        <v/>
      </c>
      <c r="AP678" s="39" t="str">
        <f t="shared" si="9"/>
        <v/>
      </c>
      <c r="AQ678" s="39" t="str">
        <f t="shared" si="10"/>
        <v/>
      </c>
      <c r="AR678" s="39" t="str">
        <f t="shared" si="11"/>
        <v/>
      </c>
      <c r="AS678" s="39" t="str">
        <f t="shared" si="12"/>
        <v/>
      </c>
      <c r="AT678" s="39" t="str">
        <f t="shared" si="13"/>
        <v/>
      </c>
      <c r="AU678" s="39" t="str">
        <f t="shared" si="14"/>
        <v/>
      </c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 t="str">
        <f t="shared" si="4"/>
        <v/>
      </c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E679" s="39"/>
      <c r="AG679" s="39"/>
      <c r="AH679" s="39" t="str">
        <f t="shared" si="5"/>
        <v/>
      </c>
      <c r="AI679" s="39" t="str">
        <f t="shared" si="6"/>
        <v/>
      </c>
      <c r="AM679" s="39" t="str">
        <f t="array" ref="AM679">IF(C679="","",IFERROR(XLOOKUP(C679,Orders!$A:$A,Orders!$E:$E,""),""))</f>
        <v/>
      </c>
      <c r="AN679" s="39" t="str">
        <f t="shared" si="7"/>
        <v/>
      </c>
      <c r="AO679" s="39" t="str">
        <f t="shared" si="8"/>
        <v/>
      </c>
      <c r="AP679" s="39" t="str">
        <f t="shared" si="9"/>
        <v/>
      </c>
      <c r="AQ679" s="39" t="str">
        <f t="shared" si="10"/>
        <v/>
      </c>
      <c r="AR679" s="39" t="str">
        <f t="shared" si="11"/>
        <v/>
      </c>
      <c r="AS679" s="39" t="str">
        <f t="shared" si="12"/>
        <v/>
      </c>
      <c r="AT679" s="39" t="str">
        <f t="shared" si="13"/>
        <v/>
      </c>
      <c r="AU679" s="39" t="str">
        <f t="shared" si="14"/>
        <v/>
      </c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 t="str">
        <f t="shared" si="4"/>
        <v/>
      </c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E680" s="39"/>
      <c r="AG680" s="39"/>
      <c r="AH680" s="39" t="str">
        <f t="shared" si="5"/>
        <v/>
      </c>
      <c r="AI680" s="39" t="str">
        <f t="shared" si="6"/>
        <v/>
      </c>
      <c r="AM680" s="39" t="str">
        <f t="array" ref="AM680">IF(C680="","",IFERROR(XLOOKUP(C680,Orders!$A:$A,Orders!$E:$E,""),""))</f>
        <v/>
      </c>
      <c r="AN680" s="39" t="str">
        <f t="shared" si="7"/>
        <v/>
      </c>
      <c r="AO680" s="39" t="str">
        <f t="shared" si="8"/>
        <v/>
      </c>
      <c r="AP680" s="39" t="str">
        <f t="shared" si="9"/>
        <v/>
      </c>
      <c r="AQ680" s="39" t="str">
        <f t="shared" si="10"/>
        <v/>
      </c>
      <c r="AR680" s="39" t="str">
        <f t="shared" si="11"/>
        <v/>
      </c>
      <c r="AS680" s="39" t="str">
        <f t="shared" si="12"/>
        <v/>
      </c>
      <c r="AT680" s="39" t="str">
        <f t="shared" si="13"/>
        <v/>
      </c>
      <c r="AU680" s="39" t="str">
        <f t="shared" si="14"/>
        <v/>
      </c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 t="str">
        <f t="shared" si="4"/>
        <v/>
      </c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E681" s="39"/>
      <c r="AG681" s="39"/>
      <c r="AH681" s="39" t="str">
        <f t="shared" si="5"/>
        <v/>
      </c>
      <c r="AI681" s="39" t="str">
        <f t="shared" si="6"/>
        <v/>
      </c>
      <c r="AM681" s="39" t="str">
        <f t="array" ref="AM681">IF(C681="","",IFERROR(XLOOKUP(C681,Orders!$A:$A,Orders!$E:$E,""),""))</f>
        <v/>
      </c>
      <c r="AN681" s="39" t="str">
        <f t="shared" si="7"/>
        <v/>
      </c>
      <c r="AO681" s="39" t="str">
        <f t="shared" si="8"/>
        <v/>
      </c>
      <c r="AP681" s="39" t="str">
        <f t="shared" si="9"/>
        <v/>
      </c>
      <c r="AQ681" s="39" t="str">
        <f t="shared" si="10"/>
        <v/>
      </c>
      <c r="AR681" s="39" t="str">
        <f t="shared" si="11"/>
        <v/>
      </c>
      <c r="AS681" s="39" t="str">
        <f t="shared" si="12"/>
        <v/>
      </c>
      <c r="AT681" s="39" t="str">
        <f t="shared" si="13"/>
        <v/>
      </c>
      <c r="AU681" s="39" t="str">
        <f t="shared" si="14"/>
        <v/>
      </c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 t="str">
        <f t="shared" si="4"/>
        <v/>
      </c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E682" s="39"/>
      <c r="AG682" s="39"/>
      <c r="AH682" s="39" t="str">
        <f t="shared" si="5"/>
        <v/>
      </c>
      <c r="AI682" s="39" t="str">
        <f t="shared" si="6"/>
        <v/>
      </c>
      <c r="AM682" s="39" t="str">
        <f t="array" ref="AM682">IF(C682="","",IFERROR(XLOOKUP(C682,Orders!$A:$A,Orders!$E:$E,""),""))</f>
        <v/>
      </c>
      <c r="AN682" s="39" t="str">
        <f t="shared" si="7"/>
        <v/>
      </c>
      <c r="AO682" s="39" t="str">
        <f t="shared" si="8"/>
        <v/>
      </c>
      <c r="AP682" s="39" t="str">
        <f t="shared" si="9"/>
        <v/>
      </c>
      <c r="AQ682" s="39" t="str">
        <f t="shared" si="10"/>
        <v/>
      </c>
      <c r="AR682" s="39" t="str">
        <f t="shared" si="11"/>
        <v/>
      </c>
      <c r="AS682" s="39" t="str">
        <f t="shared" si="12"/>
        <v/>
      </c>
      <c r="AT682" s="39" t="str">
        <f t="shared" si="13"/>
        <v/>
      </c>
      <c r="AU682" s="39" t="str">
        <f t="shared" si="14"/>
        <v/>
      </c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 t="str">
        <f t="shared" si="4"/>
        <v/>
      </c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E683" s="39"/>
      <c r="AG683" s="39"/>
      <c r="AH683" s="39" t="str">
        <f t="shared" si="5"/>
        <v/>
      </c>
      <c r="AI683" s="39" t="str">
        <f t="shared" si="6"/>
        <v/>
      </c>
      <c r="AM683" s="39" t="str">
        <f t="array" ref="AM683">IF(C683="","",IFERROR(XLOOKUP(C683,Orders!$A:$A,Orders!$E:$E,""),""))</f>
        <v/>
      </c>
      <c r="AN683" s="39" t="str">
        <f t="shared" si="7"/>
        <v/>
      </c>
      <c r="AO683" s="39" t="str">
        <f t="shared" si="8"/>
        <v/>
      </c>
      <c r="AP683" s="39" t="str">
        <f t="shared" si="9"/>
        <v/>
      </c>
      <c r="AQ683" s="39" t="str">
        <f t="shared" si="10"/>
        <v/>
      </c>
      <c r="AR683" s="39" t="str">
        <f t="shared" si="11"/>
        <v/>
      </c>
      <c r="AS683" s="39" t="str">
        <f t="shared" si="12"/>
        <v/>
      </c>
      <c r="AT683" s="39" t="str">
        <f t="shared" si="13"/>
        <v/>
      </c>
      <c r="AU683" s="39" t="str">
        <f t="shared" si="14"/>
        <v/>
      </c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 t="str">
        <f t="shared" si="4"/>
        <v/>
      </c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E684" s="39"/>
      <c r="AG684" s="39"/>
      <c r="AH684" s="39" t="str">
        <f t="shared" si="5"/>
        <v/>
      </c>
      <c r="AI684" s="39" t="str">
        <f t="shared" si="6"/>
        <v/>
      </c>
      <c r="AM684" s="39" t="str">
        <f t="array" ref="AM684">IF(C684="","",IFERROR(XLOOKUP(C684,Orders!$A:$A,Orders!$E:$E,""),""))</f>
        <v/>
      </c>
      <c r="AN684" s="39" t="str">
        <f t="shared" si="7"/>
        <v/>
      </c>
      <c r="AO684" s="39" t="str">
        <f t="shared" si="8"/>
        <v/>
      </c>
      <c r="AP684" s="39" t="str">
        <f t="shared" si="9"/>
        <v/>
      </c>
      <c r="AQ684" s="39" t="str">
        <f t="shared" si="10"/>
        <v/>
      </c>
      <c r="AR684" s="39" t="str">
        <f t="shared" si="11"/>
        <v/>
      </c>
      <c r="AS684" s="39" t="str">
        <f t="shared" si="12"/>
        <v/>
      </c>
      <c r="AT684" s="39" t="str">
        <f t="shared" si="13"/>
        <v/>
      </c>
      <c r="AU684" s="39" t="str">
        <f t="shared" si="14"/>
        <v/>
      </c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 t="str">
        <f t="shared" si="4"/>
        <v/>
      </c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E685" s="39"/>
      <c r="AG685" s="39"/>
      <c r="AH685" s="39" t="str">
        <f t="shared" si="5"/>
        <v/>
      </c>
      <c r="AI685" s="39" t="str">
        <f t="shared" si="6"/>
        <v/>
      </c>
      <c r="AM685" s="39" t="str">
        <f t="array" ref="AM685">IF(C685="","",IFERROR(XLOOKUP(C685,Orders!$A:$A,Orders!$E:$E,""),""))</f>
        <v/>
      </c>
      <c r="AN685" s="39" t="str">
        <f t="shared" si="7"/>
        <v/>
      </c>
      <c r="AO685" s="39" t="str">
        <f t="shared" si="8"/>
        <v/>
      </c>
      <c r="AP685" s="39" t="str">
        <f t="shared" si="9"/>
        <v/>
      </c>
      <c r="AQ685" s="39" t="str">
        <f t="shared" si="10"/>
        <v/>
      </c>
      <c r="AR685" s="39" t="str">
        <f t="shared" si="11"/>
        <v/>
      </c>
      <c r="AS685" s="39" t="str">
        <f t="shared" si="12"/>
        <v/>
      </c>
      <c r="AT685" s="39" t="str">
        <f t="shared" si="13"/>
        <v/>
      </c>
      <c r="AU685" s="39" t="str">
        <f t="shared" si="14"/>
        <v/>
      </c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 t="str">
        <f t="shared" si="4"/>
        <v/>
      </c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E686" s="39"/>
      <c r="AG686" s="39"/>
      <c r="AH686" s="39" t="str">
        <f t="shared" si="5"/>
        <v/>
      </c>
      <c r="AI686" s="39" t="str">
        <f t="shared" si="6"/>
        <v/>
      </c>
      <c r="AM686" s="39" t="str">
        <f t="array" ref="AM686">IF(C686="","",IFERROR(XLOOKUP(C686,Orders!$A:$A,Orders!$E:$E,""),""))</f>
        <v/>
      </c>
      <c r="AN686" s="39" t="str">
        <f t="shared" si="7"/>
        <v/>
      </c>
      <c r="AO686" s="39" t="str">
        <f t="shared" si="8"/>
        <v/>
      </c>
      <c r="AP686" s="39" t="str">
        <f t="shared" si="9"/>
        <v/>
      </c>
      <c r="AQ686" s="39" t="str">
        <f t="shared" si="10"/>
        <v/>
      </c>
      <c r="AR686" s="39" t="str">
        <f t="shared" si="11"/>
        <v/>
      </c>
      <c r="AS686" s="39" t="str">
        <f t="shared" si="12"/>
        <v/>
      </c>
      <c r="AT686" s="39" t="str">
        <f t="shared" si="13"/>
        <v/>
      </c>
      <c r="AU686" s="39" t="str">
        <f t="shared" si="14"/>
        <v/>
      </c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 t="str">
        <f t="shared" si="4"/>
        <v/>
      </c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E687" s="39"/>
      <c r="AG687" s="39"/>
      <c r="AH687" s="39" t="str">
        <f t="shared" si="5"/>
        <v/>
      </c>
      <c r="AI687" s="39" t="str">
        <f t="shared" si="6"/>
        <v/>
      </c>
      <c r="AM687" s="39" t="str">
        <f t="array" ref="AM687">IF(C687="","",IFERROR(XLOOKUP(C687,Orders!$A:$A,Orders!$E:$E,""),""))</f>
        <v/>
      </c>
      <c r="AN687" s="39" t="str">
        <f t="shared" si="7"/>
        <v/>
      </c>
      <c r="AO687" s="39" t="str">
        <f t="shared" si="8"/>
        <v/>
      </c>
      <c r="AP687" s="39" t="str">
        <f t="shared" si="9"/>
        <v/>
      </c>
      <c r="AQ687" s="39" t="str">
        <f t="shared" si="10"/>
        <v/>
      </c>
      <c r="AR687" s="39" t="str">
        <f t="shared" si="11"/>
        <v/>
      </c>
      <c r="AS687" s="39" t="str">
        <f t="shared" si="12"/>
        <v/>
      </c>
      <c r="AT687" s="39" t="str">
        <f t="shared" si="13"/>
        <v/>
      </c>
      <c r="AU687" s="39" t="str">
        <f t="shared" si="14"/>
        <v/>
      </c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 t="str">
        <f t="shared" si="4"/>
        <v/>
      </c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E688" s="39"/>
      <c r="AG688" s="39"/>
      <c r="AH688" s="39" t="str">
        <f t="shared" si="5"/>
        <v/>
      </c>
      <c r="AI688" s="39" t="str">
        <f t="shared" si="6"/>
        <v/>
      </c>
      <c r="AM688" s="39" t="str">
        <f t="array" ref="AM688">IF(C688="","",IFERROR(XLOOKUP(C688,Orders!$A:$A,Orders!$E:$E,""),""))</f>
        <v/>
      </c>
      <c r="AN688" s="39" t="str">
        <f t="shared" si="7"/>
        <v/>
      </c>
      <c r="AO688" s="39" t="str">
        <f t="shared" si="8"/>
        <v/>
      </c>
      <c r="AP688" s="39" t="str">
        <f t="shared" si="9"/>
        <v/>
      </c>
      <c r="AQ688" s="39" t="str">
        <f t="shared" si="10"/>
        <v/>
      </c>
      <c r="AR688" s="39" t="str">
        <f t="shared" si="11"/>
        <v/>
      </c>
      <c r="AS688" s="39" t="str">
        <f t="shared" si="12"/>
        <v/>
      </c>
      <c r="AT688" s="39" t="str">
        <f t="shared" si="13"/>
        <v/>
      </c>
      <c r="AU688" s="39" t="str">
        <f t="shared" si="14"/>
        <v/>
      </c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 t="str">
        <f t="shared" si="4"/>
        <v/>
      </c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E689" s="39"/>
      <c r="AG689" s="39"/>
      <c r="AH689" s="39" t="str">
        <f t="shared" si="5"/>
        <v/>
      </c>
      <c r="AI689" s="39" t="str">
        <f t="shared" si="6"/>
        <v/>
      </c>
      <c r="AM689" s="39" t="str">
        <f t="array" ref="AM689">IF(C689="","",IFERROR(XLOOKUP(C689,Orders!$A:$A,Orders!$E:$E,""),""))</f>
        <v/>
      </c>
      <c r="AN689" s="39" t="str">
        <f t="shared" si="7"/>
        <v/>
      </c>
      <c r="AO689" s="39" t="str">
        <f t="shared" si="8"/>
        <v/>
      </c>
      <c r="AP689" s="39" t="str">
        <f t="shared" si="9"/>
        <v/>
      </c>
      <c r="AQ689" s="39" t="str">
        <f t="shared" si="10"/>
        <v/>
      </c>
      <c r="AR689" s="39" t="str">
        <f t="shared" si="11"/>
        <v/>
      </c>
      <c r="AS689" s="39" t="str">
        <f t="shared" si="12"/>
        <v/>
      </c>
      <c r="AT689" s="39" t="str">
        <f t="shared" si="13"/>
        <v/>
      </c>
      <c r="AU689" s="39" t="str">
        <f t="shared" si="14"/>
        <v/>
      </c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 t="str">
        <f t="shared" si="4"/>
        <v/>
      </c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E690" s="39"/>
      <c r="AG690" s="39"/>
      <c r="AH690" s="39" t="str">
        <f t="shared" si="5"/>
        <v/>
      </c>
      <c r="AI690" s="39" t="str">
        <f t="shared" si="6"/>
        <v/>
      </c>
      <c r="AM690" s="39" t="str">
        <f t="array" ref="AM690">IF(C690="","",IFERROR(XLOOKUP(C690,Orders!$A:$A,Orders!$E:$E,""),""))</f>
        <v/>
      </c>
      <c r="AN690" s="39" t="str">
        <f t="shared" si="7"/>
        <v/>
      </c>
      <c r="AO690" s="39" t="str">
        <f t="shared" si="8"/>
        <v/>
      </c>
      <c r="AP690" s="39" t="str">
        <f t="shared" si="9"/>
        <v/>
      </c>
      <c r="AQ690" s="39" t="str">
        <f t="shared" si="10"/>
        <v/>
      </c>
      <c r="AR690" s="39" t="str">
        <f t="shared" si="11"/>
        <v/>
      </c>
      <c r="AS690" s="39" t="str">
        <f t="shared" si="12"/>
        <v/>
      </c>
      <c r="AT690" s="39" t="str">
        <f t="shared" si="13"/>
        <v/>
      </c>
      <c r="AU690" s="39" t="str">
        <f t="shared" si="14"/>
        <v/>
      </c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 t="str">
        <f t="shared" si="4"/>
        <v/>
      </c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E691" s="39"/>
      <c r="AG691" s="39"/>
      <c r="AH691" s="39" t="str">
        <f t="shared" si="5"/>
        <v/>
      </c>
      <c r="AI691" s="39" t="str">
        <f t="shared" si="6"/>
        <v/>
      </c>
      <c r="AM691" s="39" t="str">
        <f t="array" ref="AM691">IF(C691="","",IFERROR(XLOOKUP(C691,Orders!$A:$A,Orders!$E:$E,""),""))</f>
        <v/>
      </c>
      <c r="AN691" s="39" t="str">
        <f t="shared" si="7"/>
        <v/>
      </c>
      <c r="AO691" s="39" t="str">
        <f t="shared" si="8"/>
        <v/>
      </c>
      <c r="AP691" s="39" t="str">
        <f t="shared" si="9"/>
        <v/>
      </c>
      <c r="AQ691" s="39" t="str">
        <f t="shared" si="10"/>
        <v/>
      </c>
      <c r="AR691" s="39" t="str">
        <f t="shared" si="11"/>
        <v/>
      </c>
      <c r="AS691" s="39" t="str">
        <f t="shared" si="12"/>
        <v/>
      </c>
      <c r="AT691" s="39" t="str">
        <f t="shared" si="13"/>
        <v/>
      </c>
      <c r="AU691" s="39" t="str">
        <f t="shared" si="14"/>
        <v/>
      </c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 t="str">
        <f t="shared" si="4"/>
        <v/>
      </c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E692" s="39"/>
      <c r="AG692" s="39"/>
      <c r="AH692" s="39" t="str">
        <f t="shared" si="5"/>
        <v/>
      </c>
      <c r="AI692" s="39" t="str">
        <f t="shared" si="6"/>
        <v/>
      </c>
      <c r="AM692" s="39" t="str">
        <f t="array" ref="AM692">IF(C692="","",IFERROR(XLOOKUP(C692,Orders!$A:$A,Orders!$E:$E,""),""))</f>
        <v/>
      </c>
      <c r="AN692" s="39" t="str">
        <f t="shared" si="7"/>
        <v/>
      </c>
      <c r="AO692" s="39" t="str">
        <f t="shared" si="8"/>
        <v/>
      </c>
      <c r="AP692" s="39" t="str">
        <f t="shared" si="9"/>
        <v/>
      </c>
      <c r="AQ692" s="39" t="str">
        <f t="shared" si="10"/>
        <v/>
      </c>
      <c r="AR692" s="39" t="str">
        <f t="shared" si="11"/>
        <v/>
      </c>
      <c r="AS692" s="39" t="str">
        <f t="shared" si="12"/>
        <v/>
      </c>
      <c r="AT692" s="39" t="str">
        <f t="shared" si="13"/>
        <v/>
      </c>
      <c r="AU692" s="39" t="str">
        <f t="shared" si="14"/>
        <v/>
      </c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 t="str">
        <f t="shared" si="4"/>
        <v/>
      </c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E693" s="39"/>
      <c r="AG693" s="39"/>
      <c r="AH693" s="39" t="str">
        <f t="shared" si="5"/>
        <v/>
      </c>
      <c r="AI693" s="39" t="str">
        <f t="shared" si="6"/>
        <v/>
      </c>
      <c r="AM693" s="39" t="str">
        <f t="array" ref="AM693">IF(C693="","",IFERROR(XLOOKUP(C693,Orders!$A:$A,Orders!$E:$E,""),""))</f>
        <v/>
      </c>
      <c r="AN693" s="39" t="str">
        <f t="shared" si="7"/>
        <v/>
      </c>
      <c r="AO693" s="39" t="str">
        <f t="shared" si="8"/>
        <v/>
      </c>
      <c r="AP693" s="39" t="str">
        <f t="shared" si="9"/>
        <v/>
      </c>
      <c r="AQ693" s="39" t="str">
        <f t="shared" si="10"/>
        <v/>
      </c>
      <c r="AR693" s="39" t="str">
        <f t="shared" si="11"/>
        <v/>
      </c>
      <c r="AS693" s="39" t="str">
        <f t="shared" si="12"/>
        <v/>
      </c>
      <c r="AT693" s="39" t="str">
        <f t="shared" si="13"/>
        <v/>
      </c>
      <c r="AU693" s="39" t="str">
        <f t="shared" si="14"/>
        <v/>
      </c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 t="str">
        <f t="shared" si="4"/>
        <v/>
      </c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E694" s="39"/>
      <c r="AG694" s="39"/>
      <c r="AH694" s="39" t="str">
        <f t="shared" si="5"/>
        <v/>
      </c>
      <c r="AI694" s="39" t="str">
        <f t="shared" si="6"/>
        <v/>
      </c>
      <c r="AM694" s="39" t="str">
        <f t="array" ref="AM694">IF(C694="","",IFERROR(XLOOKUP(C694,Orders!$A:$A,Orders!$E:$E,""),""))</f>
        <v/>
      </c>
      <c r="AN694" s="39" t="str">
        <f t="shared" si="7"/>
        <v/>
      </c>
      <c r="AO694" s="39" t="str">
        <f t="shared" si="8"/>
        <v/>
      </c>
      <c r="AP694" s="39" t="str">
        <f t="shared" si="9"/>
        <v/>
      </c>
      <c r="AQ694" s="39" t="str">
        <f t="shared" si="10"/>
        <v/>
      </c>
      <c r="AR694" s="39" t="str">
        <f t="shared" si="11"/>
        <v/>
      </c>
      <c r="AS694" s="39" t="str">
        <f t="shared" si="12"/>
        <v/>
      </c>
      <c r="AT694" s="39" t="str">
        <f t="shared" si="13"/>
        <v/>
      </c>
      <c r="AU694" s="39" t="str">
        <f t="shared" si="14"/>
        <v/>
      </c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 t="str">
        <f t="shared" si="4"/>
        <v/>
      </c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E695" s="39"/>
      <c r="AG695" s="39"/>
      <c r="AH695" s="39" t="str">
        <f t="shared" si="5"/>
        <v/>
      </c>
      <c r="AI695" s="39" t="str">
        <f t="shared" si="6"/>
        <v/>
      </c>
      <c r="AM695" s="39" t="str">
        <f t="array" ref="AM695">IF(C695="","",IFERROR(XLOOKUP(C695,Orders!$A:$A,Orders!$E:$E,""),""))</f>
        <v/>
      </c>
      <c r="AN695" s="39" t="str">
        <f t="shared" si="7"/>
        <v/>
      </c>
      <c r="AO695" s="39" t="str">
        <f t="shared" si="8"/>
        <v/>
      </c>
      <c r="AP695" s="39" t="str">
        <f t="shared" si="9"/>
        <v/>
      </c>
      <c r="AQ695" s="39" t="str">
        <f t="shared" si="10"/>
        <v/>
      </c>
      <c r="AR695" s="39" t="str">
        <f t="shared" si="11"/>
        <v/>
      </c>
      <c r="AS695" s="39" t="str">
        <f t="shared" si="12"/>
        <v/>
      </c>
      <c r="AT695" s="39" t="str">
        <f t="shared" si="13"/>
        <v/>
      </c>
      <c r="AU695" s="39" t="str">
        <f t="shared" si="14"/>
        <v/>
      </c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 t="str">
        <f t="shared" si="4"/>
        <v/>
      </c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E696" s="39"/>
      <c r="AG696" s="39"/>
      <c r="AH696" s="39" t="str">
        <f t="shared" si="5"/>
        <v/>
      </c>
      <c r="AI696" s="39" t="str">
        <f t="shared" si="6"/>
        <v/>
      </c>
      <c r="AM696" s="39" t="str">
        <f t="array" ref="AM696">IF(C696="","",IFERROR(XLOOKUP(C696,Orders!$A:$A,Orders!$E:$E,""),""))</f>
        <v/>
      </c>
      <c r="AN696" s="39" t="str">
        <f t="shared" si="7"/>
        <v/>
      </c>
      <c r="AO696" s="39" t="str">
        <f t="shared" si="8"/>
        <v/>
      </c>
      <c r="AP696" s="39" t="str">
        <f t="shared" si="9"/>
        <v/>
      </c>
      <c r="AQ696" s="39" t="str">
        <f t="shared" si="10"/>
        <v/>
      </c>
      <c r="AR696" s="39" t="str">
        <f t="shared" si="11"/>
        <v/>
      </c>
      <c r="AS696" s="39" t="str">
        <f t="shared" si="12"/>
        <v/>
      </c>
      <c r="AT696" s="39" t="str">
        <f t="shared" si="13"/>
        <v/>
      </c>
      <c r="AU696" s="39" t="str">
        <f t="shared" si="14"/>
        <v/>
      </c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 t="str">
        <f t="shared" si="4"/>
        <v/>
      </c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E697" s="39"/>
      <c r="AG697" s="39"/>
      <c r="AH697" s="39" t="str">
        <f t="shared" si="5"/>
        <v/>
      </c>
      <c r="AI697" s="39" t="str">
        <f t="shared" si="6"/>
        <v/>
      </c>
      <c r="AM697" s="39" t="str">
        <f t="array" ref="AM697">IF(C697="","",IFERROR(XLOOKUP(C697,Orders!$A:$A,Orders!$E:$E,""),""))</f>
        <v/>
      </c>
      <c r="AN697" s="39" t="str">
        <f t="shared" si="7"/>
        <v/>
      </c>
      <c r="AO697" s="39" t="str">
        <f t="shared" si="8"/>
        <v/>
      </c>
      <c r="AP697" s="39" t="str">
        <f t="shared" si="9"/>
        <v/>
      </c>
      <c r="AQ697" s="39" t="str">
        <f t="shared" si="10"/>
        <v/>
      </c>
      <c r="AR697" s="39" t="str">
        <f t="shared" si="11"/>
        <v/>
      </c>
      <c r="AS697" s="39" t="str">
        <f t="shared" si="12"/>
        <v/>
      </c>
      <c r="AT697" s="39" t="str">
        <f t="shared" si="13"/>
        <v/>
      </c>
      <c r="AU697" s="39" t="str">
        <f t="shared" si="14"/>
        <v/>
      </c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 t="str">
        <f t="shared" si="4"/>
        <v/>
      </c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E698" s="39"/>
      <c r="AG698" s="39"/>
      <c r="AH698" s="39" t="str">
        <f t="shared" si="5"/>
        <v/>
      </c>
      <c r="AI698" s="39" t="str">
        <f t="shared" si="6"/>
        <v/>
      </c>
      <c r="AM698" s="39" t="str">
        <f t="array" ref="AM698">IF(C698="","",IFERROR(XLOOKUP(C698,Orders!$A:$A,Orders!$E:$E,""),""))</f>
        <v/>
      </c>
      <c r="AN698" s="39" t="str">
        <f t="shared" si="7"/>
        <v/>
      </c>
      <c r="AO698" s="39" t="str">
        <f t="shared" si="8"/>
        <v/>
      </c>
      <c r="AP698" s="39" t="str">
        <f t="shared" si="9"/>
        <v/>
      </c>
      <c r="AQ698" s="39" t="str">
        <f t="shared" si="10"/>
        <v/>
      </c>
      <c r="AR698" s="39" t="str">
        <f t="shared" si="11"/>
        <v/>
      </c>
      <c r="AS698" s="39" t="str">
        <f t="shared" si="12"/>
        <v/>
      </c>
      <c r="AT698" s="39" t="str">
        <f t="shared" si="13"/>
        <v/>
      </c>
      <c r="AU698" s="39" t="str">
        <f t="shared" si="14"/>
        <v/>
      </c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 t="str">
        <f t="shared" si="4"/>
        <v/>
      </c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E699" s="39"/>
      <c r="AG699" s="39"/>
      <c r="AH699" s="39" t="str">
        <f t="shared" si="5"/>
        <v/>
      </c>
      <c r="AI699" s="39" t="str">
        <f t="shared" si="6"/>
        <v/>
      </c>
      <c r="AM699" s="39" t="str">
        <f t="array" ref="AM699">IF(C699="","",IFERROR(XLOOKUP(C699,Orders!$A:$A,Orders!$E:$E,""),""))</f>
        <v/>
      </c>
      <c r="AN699" s="39" t="str">
        <f t="shared" si="7"/>
        <v/>
      </c>
      <c r="AO699" s="39" t="str">
        <f t="shared" si="8"/>
        <v/>
      </c>
      <c r="AP699" s="39" t="str">
        <f t="shared" si="9"/>
        <v/>
      </c>
      <c r="AQ699" s="39" t="str">
        <f t="shared" si="10"/>
        <v/>
      </c>
      <c r="AR699" s="39" t="str">
        <f t="shared" si="11"/>
        <v/>
      </c>
      <c r="AS699" s="39" t="str">
        <f t="shared" si="12"/>
        <v/>
      </c>
      <c r="AT699" s="39" t="str">
        <f t="shared" si="13"/>
        <v/>
      </c>
      <c r="AU699" s="39" t="str">
        <f t="shared" si="14"/>
        <v/>
      </c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 t="str">
        <f t="shared" si="4"/>
        <v/>
      </c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E700" s="39"/>
      <c r="AG700" s="39"/>
      <c r="AH700" s="39" t="str">
        <f t="shared" si="5"/>
        <v/>
      </c>
      <c r="AI700" s="39" t="str">
        <f t="shared" si="6"/>
        <v/>
      </c>
      <c r="AM700" s="39" t="str">
        <f t="array" ref="AM700">IF(C700="","",IFERROR(XLOOKUP(C700,Orders!$A:$A,Orders!$E:$E,""),""))</f>
        <v/>
      </c>
      <c r="AN700" s="39" t="str">
        <f t="shared" si="7"/>
        <v/>
      </c>
      <c r="AO700" s="39" t="str">
        <f t="shared" si="8"/>
        <v/>
      </c>
      <c r="AP700" s="39" t="str">
        <f t="shared" si="9"/>
        <v/>
      </c>
      <c r="AQ700" s="39" t="str">
        <f t="shared" si="10"/>
        <v/>
      </c>
      <c r="AR700" s="39" t="str">
        <f t="shared" si="11"/>
        <v/>
      </c>
      <c r="AS700" s="39" t="str">
        <f t="shared" si="12"/>
        <v/>
      </c>
      <c r="AT700" s="39" t="str">
        <f t="shared" si="13"/>
        <v/>
      </c>
      <c r="AU700" s="39" t="str">
        <f t="shared" si="14"/>
        <v/>
      </c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 t="str">
        <f t="shared" si="4"/>
        <v/>
      </c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E701" s="39"/>
      <c r="AG701" s="39"/>
      <c r="AH701" s="39" t="str">
        <f t="shared" si="5"/>
        <v/>
      </c>
      <c r="AI701" s="39" t="str">
        <f t="shared" si="6"/>
        <v/>
      </c>
      <c r="AM701" s="39" t="str">
        <f t="array" ref="AM701">IF(C701="","",IFERROR(XLOOKUP(C701,Orders!$A:$A,Orders!$E:$E,""),""))</f>
        <v/>
      </c>
      <c r="AN701" s="39" t="str">
        <f t="shared" si="7"/>
        <v/>
      </c>
      <c r="AO701" s="39" t="str">
        <f t="shared" si="8"/>
        <v/>
      </c>
      <c r="AP701" s="39" t="str">
        <f t="shared" si="9"/>
        <v/>
      </c>
      <c r="AQ701" s="39" t="str">
        <f t="shared" si="10"/>
        <v/>
      </c>
      <c r="AR701" s="39" t="str">
        <f t="shared" si="11"/>
        <v/>
      </c>
      <c r="AS701" s="39" t="str">
        <f t="shared" si="12"/>
        <v/>
      </c>
      <c r="AT701" s="39" t="str">
        <f t="shared" si="13"/>
        <v/>
      </c>
      <c r="AU701" s="39" t="str">
        <f t="shared" si="14"/>
        <v/>
      </c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 t="str">
        <f t="shared" si="4"/>
        <v/>
      </c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E702" s="39"/>
      <c r="AG702" s="39"/>
      <c r="AH702" s="39" t="str">
        <f t="shared" si="5"/>
        <v/>
      </c>
      <c r="AI702" s="39" t="str">
        <f t="shared" si="6"/>
        <v/>
      </c>
      <c r="AM702" s="39" t="str">
        <f t="array" ref="AM702">IF(C702="","",IFERROR(XLOOKUP(C702,Orders!$A:$A,Orders!$E:$E,""),""))</f>
        <v/>
      </c>
      <c r="AN702" s="39" t="str">
        <f t="shared" si="7"/>
        <v/>
      </c>
      <c r="AO702" s="39" t="str">
        <f t="shared" si="8"/>
        <v/>
      </c>
      <c r="AP702" s="39" t="str">
        <f t="shared" si="9"/>
        <v/>
      </c>
      <c r="AQ702" s="39" t="str">
        <f t="shared" si="10"/>
        <v/>
      </c>
      <c r="AR702" s="39" t="str">
        <f t="shared" si="11"/>
        <v/>
      </c>
      <c r="AS702" s="39" t="str">
        <f t="shared" si="12"/>
        <v/>
      </c>
      <c r="AT702" s="39" t="str">
        <f t="shared" si="13"/>
        <v/>
      </c>
      <c r="AU702" s="39" t="str">
        <f t="shared" si="14"/>
        <v/>
      </c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 t="str">
        <f t="shared" si="4"/>
        <v/>
      </c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E703" s="39"/>
      <c r="AG703" s="39"/>
      <c r="AH703" s="39" t="str">
        <f t="shared" si="5"/>
        <v/>
      </c>
      <c r="AI703" s="39" t="str">
        <f t="shared" si="6"/>
        <v/>
      </c>
      <c r="AM703" s="39" t="str">
        <f t="array" ref="AM703">IF(C703="","",IFERROR(XLOOKUP(C703,Orders!$A:$A,Orders!$E:$E,""),""))</f>
        <v/>
      </c>
      <c r="AN703" s="39" t="str">
        <f t="shared" si="7"/>
        <v/>
      </c>
      <c r="AO703" s="39" t="str">
        <f t="shared" si="8"/>
        <v/>
      </c>
      <c r="AP703" s="39" t="str">
        <f t="shared" si="9"/>
        <v/>
      </c>
      <c r="AQ703" s="39" t="str">
        <f t="shared" si="10"/>
        <v/>
      </c>
      <c r="AR703" s="39" t="str">
        <f t="shared" si="11"/>
        <v/>
      </c>
      <c r="AS703" s="39" t="str">
        <f t="shared" si="12"/>
        <v/>
      </c>
      <c r="AT703" s="39" t="str">
        <f t="shared" si="13"/>
        <v/>
      </c>
      <c r="AU703" s="39" t="str">
        <f t="shared" si="14"/>
        <v/>
      </c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 t="str">
        <f t="shared" si="4"/>
        <v/>
      </c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E704" s="39"/>
      <c r="AG704" s="39"/>
      <c r="AH704" s="39" t="str">
        <f t="shared" si="5"/>
        <v/>
      </c>
      <c r="AI704" s="39" t="str">
        <f t="shared" si="6"/>
        <v/>
      </c>
      <c r="AM704" s="39" t="str">
        <f t="array" ref="AM704">IF(C704="","",IFERROR(XLOOKUP(C704,Orders!$A:$A,Orders!$E:$E,""),""))</f>
        <v/>
      </c>
      <c r="AN704" s="39" t="str">
        <f t="shared" si="7"/>
        <v/>
      </c>
      <c r="AO704" s="39" t="str">
        <f t="shared" si="8"/>
        <v/>
      </c>
      <c r="AP704" s="39" t="str">
        <f t="shared" si="9"/>
        <v/>
      </c>
      <c r="AQ704" s="39" t="str">
        <f t="shared" si="10"/>
        <v/>
      </c>
      <c r="AR704" s="39" t="str">
        <f t="shared" si="11"/>
        <v/>
      </c>
      <c r="AS704" s="39" t="str">
        <f t="shared" si="12"/>
        <v/>
      </c>
      <c r="AT704" s="39" t="str">
        <f t="shared" si="13"/>
        <v/>
      </c>
      <c r="AU704" s="39" t="str">
        <f t="shared" si="14"/>
        <v/>
      </c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 t="str">
        <f t="shared" si="4"/>
        <v/>
      </c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E705" s="39"/>
      <c r="AG705" s="39"/>
      <c r="AH705" s="39" t="str">
        <f t="shared" si="5"/>
        <v/>
      </c>
      <c r="AI705" s="39" t="str">
        <f t="shared" si="6"/>
        <v/>
      </c>
      <c r="AM705" s="39" t="str">
        <f t="array" ref="AM705">IF(C705="","",IFERROR(XLOOKUP(C705,Orders!$A:$A,Orders!$E:$E,""),""))</f>
        <v/>
      </c>
      <c r="AN705" s="39" t="str">
        <f t="shared" si="7"/>
        <v/>
      </c>
      <c r="AO705" s="39" t="str">
        <f t="shared" si="8"/>
        <v/>
      </c>
      <c r="AP705" s="39" t="str">
        <f t="shared" si="9"/>
        <v/>
      </c>
      <c r="AQ705" s="39" t="str">
        <f t="shared" si="10"/>
        <v/>
      </c>
      <c r="AR705" s="39" t="str">
        <f t="shared" si="11"/>
        <v/>
      </c>
      <c r="AS705" s="39" t="str">
        <f t="shared" si="12"/>
        <v/>
      </c>
      <c r="AT705" s="39" t="str">
        <f t="shared" si="13"/>
        <v/>
      </c>
      <c r="AU705" s="39" t="str">
        <f t="shared" si="14"/>
        <v/>
      </c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 t="str">
        <f t="shared" si="4"/>
        <v/>
      </c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E706" s="39"/>
      <c r="AG706" s="39"/>
      <c r="AH706" s="39" t="str">
        <f t="shared" si="5"/>
        <v/>
      </c>
      <c r="AI706" s="39" t="str">
        <f t="shared" si="6"/>
        <v/>
      </c>
      <c r="AM706" s="39" t="str">
        <f t="array" ref="AM706">IF(C706="","",IFERROR(XLOOKUP(C706,Orders!$A:$A,Orders!$E:$E,""),""))</f>
        <v/>
      </c>
      <c r="AN706" s="39" t="str">
        <f t="shared" si="7"/>
        <v/>
      </c>
      <c r="AO706" s="39" t="str">
        <f t="shared" si="8"/>
        <v/>
      </c>
      <c r="AP706" s="39" t="str">
        <f t="shared" si="9"/>
        <v/>
      </c>
      <c r="AQ706" s="39" t="str">
        <f t="shared" si="10"/>
        <v/>
      </c>
      <c r="AR706" s="39" t="str">
        <f t="shared" si="11"/>
        <v/>
      </c>
      <c r="AS706" s="39" t="str">
        <f t="shared" si="12"/>
        <v/>
      </c>
      <c r="AT706" s="39" t="str">
        <f t="shared" si="13"/>
        <v/>
      </c>
      <c r="AU706" s="39" t="str">
        <f t="shared" si="14"/>
        <v/>
      </c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 t="str">
        <f t="shared" si="4"/>
        <v/>
      </c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E707" s="39"/>
      <c r="AG707" s="39"/>
      <c r="AH707" s="39" t="str">
        <f t="shared" si="5"/>
        <v/>
      </c>
      <c r="AI707" s="39" t="str">
        <f t="shared" si="6"/>
        <v/>
      </c>
      <c r="AM707" s="39" t="str">
        <f t="array" ref="AM707">IF(C707="","",IFERROR(XLOOKUP(C707,Orders!$A:$A,Orders!$E:$E,""),""))</f>
        <v/>
      </c>
      <c r="AN707" s="39" t="str">
        <f t="shared" si="7"/>
        <v/>
      </c>
      <c r="AO707" s="39" t="str">
        <f t="shared" si="8"/>
        <v/>
      </c>
      <c r="AP707" s="39" t="str">
        <f t="shared" si="9"/>
        <v/>
      </c>
      <c r="AQ707" s="39" t="str">
        <f t="shared" si="10"/>
        <v/>
      </c>
      <c r="AR707" s="39" t="str">
        <f t="shared" si="11"/>
        <v/>
      </c>
      <c r="AS707" s="39" t="str">
        <f t="shared" si="12"/>
        <v/>
      </c>
      <c r="AT707" s="39" t="str">
        <f t="shared" si="13"/>
        <v/>
      </c>
      <c r="AU707" s="39" t="str">
        <f t="shared" si="14"/>
        <v/>
      </c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 t="str">
        <f t="shared" si="4"/>
        <v/>
      </c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E708" s="39"/>
      <c r="AG708" s="39"/>
      <c r="AH708" s="39" t="str">
        <f t="shared" si="5"/>
        <v/>
      </c>
      <c r="AI708" s="39" t="str">
        <f t="shared" si="6"/>
        <v/>
      </c>
      <c r="AM708" s="39" t="str">
        <f t="array" ref="AM708">IF(C708="","",IFERROR(XLOOKUP(C708,Orders!$A:$A,Orders!$E:$E,""),""))</f>
        <v/>
      </c>
      <c r="AN708" s="39" t="str">
        <f t="shared" si="7"/>
        <v/>
      </c>
      <c r="AO708" s="39" t="str">
        <f t="shared" si="8"/>
        <v/>
      </c>
      <c r="AP708" s="39" t="str">
        <f t="shared" si="9"/>
        <v/>
      </c>
      <c r="AQ708" s="39" t="str">
        <f t="shared" si="10"/>
        <v/>
      </c>
      <c r="AR708" s="39" t="str">
        <f t="shared" si="11"/>
        <v/>
      </c>
      <c r="AS708" s="39" t="str">
        <f t="shared" si="12"/>
        <v/>
      </c>
      <c r="AT708" s="39" t="str">
        <f t="shared" si="13"/>
        <v/>
      </c>
      <c r="AU708" s="39" t="str">
        <f t="shared" si="14"/>
        <v/>
      </c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 t="str">
        <f t="shared" si="4"/>
        <v/>
      </c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E709" s="39"/>
      <c r="AG709" s="39"/>
      <c r="AH709" s="39" t="str">
        <f t="shared" si="5"/>
        <v/>
      </c>
      <c r="AI709" s="39" t="str">
        <f t="shared" si="6"/>
        <v/>
      </c>
      <c r="AM709" s="39" t="str">
        <f t="array" ref="AM709">IF(C709="","",IFERROR(XLOOKUP(C709,Orders!$A:$A,Orders!$E:$E,""),""))</f>
        <v/>
      </c>
      <c r="AN709" s="39" t="str">
        <f t="shared" si="7"/>
        <v/>
      </c>
      <c r="AO709" s="39" t="str">
        <f t="shared" si="8"/>
        <v/>
      </c>
      <c r="AP709" s="39" t="str">
        <f t="shared" si="9"/>
        <v/>
      </c>
      <c r="AQ709" s="39" t="str">
        <f t="shared" si="10"/>
        <v/>
      </c>
      <c r="AR709" s="39" t="str">
        <f t="shared" si="11"/>
        <v/>
      </c>
      <c r="AS709" s="39" t="str">
        <f t="shared" si="12"/>
        <v/>
      </c>
      <c r="AT709" s="39" t="str">
        <f t="shared" si="13"/>
        <v/>
      </c>
      <c r="AU709" s="39" t="str">
        <f t="shared" si="14"/>
        <v/>
      </c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 t="str">
        <f t="shared" si="4"/>
        <v/>
      </c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E710" s="39"/>
      <c r="AG710" s="39"/>
      <c r="AH710" s="39" t="str">
        <f t="shared" si="5"/>
        <v/>
      </c>
      <c r="AI710" s="39" t="str">
        <f t="shared" si="6"/>
        <v/>
      </c>
      <c r="AM710" s="39" t="str">
        <f t="array" ref="AM710">IF(C710="","",IFERROR(XLOOKUP(C710,Orders!$A:$A,Orders!$E:$E,""),""))</f>
        <v/>
      </c>
      <c r="AN710" s="39" t="str">
        <f t="shared" si="7"/>
        <v/>
      </c>
      <c r="AO710" s="39" t="str">
        <f t="shared" si="8"/>
        <v/>
      </c>
      <c r="AP710" s="39" t="str">
        <f t="shared" si="9"/>
        <v/>
      </c>
      <c r="AQ710" s="39" t="str">
        <f t="shared" si="10"/>
        <v/>
      </c>
      <c r="AR710" s="39" t="str">
        <f t="shared" si="11"/>
        <v/>
      </c>
      <c r="AS710" s="39" t="str">
        <f t="shared" si="12"/>
        <v/>
      </c>
      <c r="AT710" s="39" t="str">
        <f t="shared" si="13"/>
        <v/>
      </c>
      <c r="AU710" s="39" t="str">
        <f t="shared" si="14"/>
        <v/>
      </c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 t="str">
        <f t="shared" si="4"/>
        <v/>
      </c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E711" s="39"/>
      <c r="AG711" s="39"/>
      <c r="AH711" s="39" t="str">
        <f t="shared" si="5"/>
        <v/>
      </c>
      <c r="AI711" s="39" t="str">
        <f t="shared" si="6"/>
        <v/>
      </c>
      <c r="AM711" s="39" t="str">
        <f t="array" ref="AM711">IF(C711="","",IFERROR(XLOOKUP(C711,Orders!$A:$A,Orders!$E:$E,""),""))</f>
        <v/>
      </c>
      <c r="AN711" s="39" t="str">
        <f t="shared" si="7"/>
        <v/>
      </c>
      <c r="AO711" s="39" t="str">
        <f t="shared" si="8"/>
        <v/>
      </c>
      <c r="AP711" s="39" t="str">
        <f t="shared" si="9"/>
        <v/>
      </c>
      <c r="AQ711" s="39" t="str">
        <f t="shared" si="10"/>
        <v/>
      </c>
      <c r="AR711" s="39" t="str">
        <f t="shared" si="11"/>
        <v/>
      </c>
      <c r="AS711" s="39" t="str">
        <f t="shared" si="12"/>
        <v/>
      </c>
      <c r="AT711" s="39" t="str">
        <f t="shared" si="13"/>
        <v/>
      </c>
      <c r="AU711" s="39" t="str">
        <f t="shared" si="14"/>
        <v/>
      </c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 t="str">
        <f t="shared" si="4"/>
        <v/>
      </c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E712" s="39"/>
      <c r="AG712" s="39"/>
      <c r="AH712" s="39" t="str">
        <f t="shared" si="5"/>
        <v/>
      </c>
      <c r="AI712" s="39" t="str">
        <f t="shared" si="6"/>
        <v/>
      </c>
      <c r="AM712" s="39" t="str">
        <f t="array" ref="AM712">IF(C712="","",IFERROR(XLOOKUP(C712,Orders!$A:$A,Orders!$E:$E,""),""))</f>
        <v/>
      </c>
      <c r="AN712" s="39" t="str">
        <f t="shared" si="7"/>
        <v/>
      </c>
      <c r="AO712" s="39" t="str">
        <f t="shared" si="8"/>
        <v/>
      </c>
      <c r="AP712" s="39" t="str">
        <f t="shared" si="9"/>
        <v/>
      </c>
      <c r="AQ712" s="39" t="str">
        <f t="shared" si="10"/>
        <v/>
      </c>
      <c r="AR712" s="39" t="str">
        <f t="shared" si="11"/>
        <v/>
      </c>
      <c r="AS712" s="39" t="str">
        <f t="shared" si="12"/>
        <v/>
      </c>
      <c r="AT712" s="39" t="str">
        <f t="shared" si="13"/>
        <v/>
      </c>
      <c r="AU712" s="39" t="str">
        <f t="shared" si="14"/>
        <v/>
      </c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 t="str">
        <f t="shared" si="4"/>
        <v/>
      </c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E713" s="39"/>
      <c r="AG713" s="39"/>
      <c r="AH713" s="39" t="str">
        <f t="shared" si="5"/>
        <v/>
      </c>
      <c r="AI713" s="39" t="str">
        <f t="shared" si="6"/>
        <v/>
      </c>
      <c r="AM713" s="39" t="str">
        <f t="array" ref="AM713">IF(C713="","",IFERROR(XLOOKUP(C713,Orders!$A:$A,Orders!$E:$E,""),""))</f>
        <v/>
      </c>
      <c r="AN713" s="39" t="str">
        <f t="shared" si="7"/>
        <v/>
      </c>
      <c r="AO713" s="39" t="str">
        <f t="shared" si="8"/>
        <v/>
      </c>
      <c r="AP713" s="39" t="str">
        <f t="shared" si="9"/>
        <v/>
      </c>
      <c r="AQ713" s="39" t="str">
        <f t="shared" si="10"/>
        <v/>
      </c>
      <c r="AR713" s="39" t="str">
        <f t="shared" si="11"/>
        <v/>
      </c>
      <c r="AS713" s="39" t="str">
        <f t="shared" si="12"/>
        <v/>
      </c>
      <c r="AT713" s="39" t="str">
        <f t="shared" si="13"/>
        <v/>
      </c>
      <c r="AU713" s="39" t="str">
        <f t="shared" si="14"/>
        <v/>
      </c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 t="str">
        <f t="shared" si="4"/>
        <v/>
      </c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E714" s="39"/>
      <c r="AG714" s="39"/>
      <c r="AH714" s="39" t="str">
        <f t="shared" si="5"/>
        <v/>
      </c>
      <c r="AI714" s="39" t="str">
        <f t="shared" si="6"/>
        <v/>
      </c>
      <c r="AM714" s="39" t="str">
        <f t="array" ref="AM714">IF(C714="","",IFERROR(XLOOKUP(C714,Orders!$A:$A,Orders!$E:$E,""),""))</f>
        <v/>
      </c>
      <c r="AN714" s="39" t="str">
        <f t="shared" si="7"/>
        <v/>
      </c>
      <c r="AO714" s="39" t="str">
        <f t="shared" si="8"/>
        <v/>
      </c>
      <c r="AP714" s="39" t="str">
        <f t="shared" si="9"/>
        <v/>
      </c>
      <c r="AQ714" s="39" t="str">
        <f t="shared" si="10"/>
        <v/>
      </c>
      <c r="AR714" s="39" t="str">
        <f t="shared" si="11"/>
        <v/>
      </c>
      <c r="AS714" s="39" t="str">
        <f t="shared" si="12"/>
        <v/>
      </c>
      <c r="AT714" s="39" t="str">
        <f t="shared" si="13"/>
        <v/>
      </c>
      <c r="AU714" s="39" t="str">
        <f t="shared" si="14"/>
        <v/>
      </c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 t="str">
        <f t="shared" si="4"/>
        <v/>
      </c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E715" s="39"/>
      <c r="AG715" s="39"/>
      <c r="AH715" s="39" t="str">
        <f t="shared" si="5"/>
        <v/>
      </c>
      <c r="AI715" s="39" t="str">
        <f t="shared" si="6"/>
        <v/>
      </c>
      <c r="AM715" s="39" t="str">
        <f t="array" ref="AM715">IF(C715="","",IFERROR(XLOOKUP(C715,Orders!$A:$A,Orders!$E:$E,""),""))</f>
        <v/>
      </c>
      <c r="AN715" s="39" t="str">
        <f t="shared" si="7"/>
        <v/>
      </c>
      <c r="AO715" s="39" t="str">
        <f t="shared" si="8"/>
        <v/>
      </c>
      <c r="AP715" s="39" t="str">
        <f t="shared" si="9"/>
        <v/>
      </c>
      <c r="AQ715" s="39" t="str">
        <f t="shared" si="10"/>
        <v/>
      </c>
      <c r="AR715" s="39" t="str">
        <f t="shared" si="11"/>
        <v/>
      </c>
      <c r="AS715" s="39" t="str">
        <f t="shared" si="12"/>
        <v/>
      </c>
      <c r="AT715" s="39" t="str">
        <f t="shared" si="13"/>
        <v/>
      </c>
      <c r="AU715" s="39" t="str">
        <f t="shared" si="14"/>
        <v/>
      </c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 t="str">
        <f t="shared" si="4"/>
        <v/>
      </c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E716" s="39"/>
      <c r="AG716" s="39"/>
      <c r="AH716" s="39" t="str">
        <f t="shared" si="5"/>
        <v/>
      </c>
      <c r="AI716" s="39" t="str">
        <f t="shared" si="6"/>
        <v/>
      </c>
      <c r="AM716" s="39" t="str">
        <f t="array" ref="AM716">IF(C716="","",IFERROR(XLOOKUP(C716,Orders!$A:$A,Orders!$E:$E,""),""))</f>
        <v/>
      </c>
      <c r="AN716" s="39" t="str">
        <f t="shared" si="7"/>
        <v/>
      </c>
      <c r="AO716" s="39" t="str">
        <f t="shared" si="8"/>
        <v/>
      </c>
      <c r="AP716" s="39" t="str">
        <f t="shared" si="9"/>
        <v/>
      </c>
      <c r="AQ716" s="39" t="str">
        <f t="shared" si="10"/>
        <v/>
      </c>
      <c r="AR716" s="39" t="str">
        <f t="shared" si="11"/>
        <v/>
      </c>
      <c r="AS716" s="39" t="str">
        <f t="shared" si="12"/>
        <v/>
      </c>
      <c r="AT716" s="39" t="str">
        <f t="shared" si="13"/>
        <v/>
      </c>
      <c r="AU716" s="39" t="str">
        <f t="shared" si="14"/>
        <v/>
      </c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 t="str">
        <f t="shared" si="4"/>
        <v/>
      </c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E717" s="39"/>
      <c r="AG717" s="39"/>
      <c r="AH717" s="39" t="str">
        <f t="shared" si="5"/>
        <v/>
      </c>
      <c r="AI717" s="39" t="str">
        <f t="shared" si="6"/>
        <v/>
      </c>
      <c r="AM717" s="39" t="str">
        <f t="array" ref="AM717">IF(C717="","",IFERROR(XLOOKUP(C717,Orders!$A:$A,Orders!$E:$E,""),""))</f>
        <v/>
      </c>
      <c r="AN717" s="39" t="str">
        <f t="shared" si="7"/>
        <v/>
      </c>
      <c r="AO717" s="39" t="str">
        <f t="shared" si="8"/>
        <v/>
      </c>
      <c r="AP717" s="39" t="str">
        <f t="shared" si="9"/>
        <v/>
      </c>
      <c r="AQ717" s="39" t="str">
        <f t="shared" si="10"/>
        <v/>
      </c>
      <c r="AR717" s="39" t="str">
        <f t="shared" si="11"/>
        <v/>
      </c>
      <c r="AS717" s="39" t="str">
        <f t="shared" si="12"/>
        <v/>
      </c>
      <c r="AT717" s="39" t="str">
        <f t="shared" si="13"/>
        <v/>
      </c>
      <c r="AU717" s="39" t="str">
        <f t="shared" si="14"/>
        <v/>
      </c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 t="str">
        <f t="shared" si="4"/>
        <v/>
      </c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E718" s="39"/>
      <c r="AG718" s="39"/>
      <c r="AH718" s="39" t="str">
        <f t="shared" si="5"/>
        <v/>
      </c>
      <c r="AI718" s="39" t="str">
        <f t="shared" si="6"/>
        <v/>
      </c>
      <c r="AM718" s="39" t="str">
        <f t="array" ref="AM718">IF(C718="","",IFERROR(XLOOKUP(C718,Orders!$A:$A,Orders!$E:$E,""),""))</f>
        <v/>
      </c>
      <c r="AN718" s="39" t="str">
        <f t="shared" si="7"/>
        <v/>
      </c>
      <c r="AO718" s="39" t="str">
        <f t="shared" si="8"/>
        <v/>
      </c>
      <c r="AP718" s="39" t="str">
        <f t="shared" si="9"/>
        <v/>
      </c>
      <c r="AQ718" s="39" t="str">
        <f t="shared" si="10"/>
        <v/>
      </c>
      <c r="AR718" s="39" t="str">
        <f t="shared" si="11"/>
        <v/>
      </c>
      <c r="AS718" s="39" t="str">
        <f t="shared" si="12"/>
        <v/>
      </c>
      <c r="AT718" s="39" t="str">
        <f t="shared" si="13"/>
        <v/>
      </c>
      <c r="AU718" s="39" t="str">
        <f t="shared" si="14"/>
        <v/>
      </c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 t="str">
        <f t="shared" si="4"/>
        <v/>
      </c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E719" s="39"/>
      <c r="AG719" s="39"/>
      <c r="AH719" s="39" t="str">
        <f t="shared" si="5"/>
        <v/>
      </c>
      <c r="AI719" s="39" t="str">
        <f t="shared" si="6"/>
        <v/>
      </c>
      <c r="AM719" s="39" t="str">
        <f t="array" ref="AM719">IF(C719="","",IFERROR(XLOOKUP(C719,Orders!$A:$A,Orders!$E:$E,""),""))</f>
        <v/>
      </c>
      <c r="AN719" s="39" t="str">
        <f t="shared" si="7"/>
        <v/>
      </c>
      <c r="AO719" s="39" t="str">
        <f t="shared" si="8"/>
        <v/>
      </c>
      <c r="AP719" s="39" t="str">
        <f t="shared" si="9"/>
        <v/>
      </c>
      <c r="AQ719" s="39" t="str">
        <f t="shared" si="10"/>
        <v/>
      </c>
      <c r="AR719" s="39" t="str">
        <f t="shared" si="11"/>
        <v/>
      </c>
      <c r="AS719" s="39" t="str">
        <f t="shared" si="12"/>
        <v/>
      </c>
      <c r="AT719" s="39" t="str">
        <f t="shared" si="13"/>
        <v/>
      </c>
      <c r="AU719" s="39" t="str">
        <f t="shared" si="14"/>
        <v/>
      </c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 t="str">
        <f t="shared" si="4"/>
        <v/>
      </c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E720" s="39"/>
      <c r="AG720" s="39"/>
      <c r="AH720" s="39" t="str">
        <f t="shared" si="5"/>
        <v/>
      </c>
      <c r="AI720" s="39" t="str">
        <f t="shared" si="6"/>
        <v/>
      </c>
      <c r="AM720" s="39" t="str">
        <f t="array" ref="AM720">IF(C720="","",IFERROR(XLOOKUP(C720,Orders!$A:$A,Orders!$E:$E,""),""))</f>
        <v/>
      </c>
      <c r="AN720" s="39" t="str">
        <f t="shared" si="7"/>
        <v/>
      </c>
      <c r="AO720" s="39" t="str">
        <f t="shared" si="8"/>
        <v/>
      </c>
      <c r="AP720" s="39" t="str">
        <f t="shared" si="9"/>
        <v/>
      </c>
      <c r="AQ720" s="39" t="str">
        <f t="shared" si="10"/>
        <v/>
      </c>
      <c r="AR720" s="39" t="str">
        <f t="shared" si="11"/>
        <v/>
      </c>
      <c r="AS720" s="39" t="str">
        <f t="shared" si="12"/>
        <v/>
      </c>
      <c r="AT720" s="39" t="str">
        <f t="shared" si="13"/>
        <v/>
      </c>
      <c r="AU720" s="39" t="str">
        <f t="shared" si="14"/>
        <v/>
      </c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 t="str">
        <f t="shared" si="4"/>
        <v/>
      </c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E721" s="39"/>
      <c r="AG721" s="39"/>
      <c r="AH721" s="39" t="str">
        <f t="shared" si="5"/>
        <v/>
      </c>
      <c r="AI721" s="39" t="str">
        <f t="shared" si="6"/>
        <v/>
      </c>
      <c r="AM721" s="39" t="str">
        <f t="array" ref="AM721">IF(C721="","",IFERROR(XLOOKUP(C721,Orders!$A:$A,Orders!$E:$E,""),""))</f>
        <v/>
      </c>
      <c r="AN721" s="39" t="str">
        <f t="shared" si="7"/>
        <v/>
      </c>
      <c r="AO721" s="39" t="str">
        <f t="shared" si="8"/>
        <v/>
      </c>
      <c r="AP721" s="39" t="str">
        <f t="shared" si="9"/>
        <v/>
      </c>
      <c r="AQ721" s="39" t="str">
        <f t="shared" si="10"/>
        <v/>
      </c>
      <c r="AR721" s="39" t="str">
        <f t="shared" si="11"/>
        <v/>
      </c>
      <c r="AS721" s="39" t="str">
        <f t="shared" si="12"/>
        <v/>
      </c>
      <c r="AT721" s="39" t="str">
        <f t="shared" si="13"/>
        <v/>
      </c>
      <c r="AU721" s="39" t="str">
        <f t="shared" si="14"/>
        <v/>
      </c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 t="str">
        <f t="shared" si="4"/>
        <v/>
      </c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E722" s="39"/>
      <c r="AG722" s="39"/>
      <c r="AH722" s="39" t="str">
        <f t="shared" si="5"/>
        <v/>
      </c>
      <c r="AI722" s="39" t="str">
        <f t="shared" si="6"/>
        <v/>
      </c>
      <c r="AM722" s="39" t="str">
        <f t="array" ref="AM722">IF(C722="","",IFERROR(XLOOKUP(C722,Orders!$A:$A,Orders!$E:$E,""),""))</f>
        <v/>
      </c>
      <c r="AN722" s="39" t="str">
        <f t="shared" si="7"/>
        <v/>
      </c>
      <c r="AO722" s="39" t="str">
        <f t="shared" si="8"/>
        <v/>
      </c>
      <c r="AP722" s="39" t="str">
        <f t="shared" si="9"/>
        <v/>
      </c>
      <c r="AQ722" s="39" t="str">
        <f t="shared" si="10"/>
        <v/>
      </c>
      <c r="AR722" s="39" t="str">
        <f t="shared" si="11"/>
        <v/>
      </c>
      <c r="AS722" s="39" t="str">
        <f t="shared" si="12"/>
        <v/>
      </c>
      <c r="AT722" s="39" t="str">
        <f t="shared" si="13"/>
        <v/>
      </c>
      <c r="AU722" s="39" t="str">
        <f t="shared" si="14"/>
        <v/>
      </c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 t="str">
        <f t="shared" si="4"/>
        <v/>
      </c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E723" s="39"/>
      <c r="AG723" s="39"/>
      <c r="AH723" s="39" t="str">
        <f t="shared" si="5"/>
        <v/>
      </c>
      <c r="AI723" s="39" t="str">
        <f t="shared" si="6"/>
        <v/>
      </c>
      <c r="AM723" s="39" t="str">
        <f t="array" ref="AM723">IF(C723="","",IFERROR(XLOOKUP(C723,Orders!$A:$A,Orders!$E:$E,""),""))</f>
        <v/>
      </c>
      <c r="AN723" s="39" t="str">
        <f t="shared" si="7"/>
        <v/>
      </c>
      <c r="AO723" s="39" t="str">
        <f t="shared" si="8"/>
        <v/>
      </c>
      <c r="AP723" s="39" t="str">
        <f t="shared" si="9"/>
        <v/>
      </c>
      <c r="AQ723" s="39" t="str">
        <f t="shared" si="10"/>
        <v/>
      </c>
      <c r="AR723" s="39" t="str">
        <f t="shared" si="11"/>
        <v/>
      </c>
      <c r="AS723" s="39" t="str">
        <f t="shared" si="12"/>
        <v/>
      </c>
      <c r="AT723" s="39" t="str">
        <f t="shared" si="13"/>
        <v/>
      </c>
      <c r="AU723" s="39" t="str">
        <f t="shared" si="14"/>
        <v/>
      </c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 t="str">
        <f t="shared" si="4"/>
        <v/>
      </c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E724" s="39"/>
      <c r="AG724" s="39"/>
      <c r="AH724" s="39" t="str">
        <f t="shared" si="5"/>
        <v/>
      </c>
      <c r="AI724" s="39" t="str">
        <f t="shared" si="6"/>
        <v/>
      </c>
      <c r="AM724" s="39" t="str">
        <f t="array" ref="AM724">IF(C724="","",IFERROR(XLOOKUP(C724,Orders!$A:$A,Orders!$E:$E,""),""))</f>
        <v/>
      </c>
      <c r="AN724" s="39" t="str">
        <f t="shared" si="7"/>
        <v/>
      </c>
      <c r="AO724" s="39" t="str">
        <f t="shared" si="8"/>
        <v/>
      </c>
      <c r="AP724" s="39" t="str">
        <f t="shared" si="9"/>
        <v/>
      </c>
      <c r="AQ724" s="39" t="str">
        <f t="shared" si="10"/>
        <v/>
      </c>
      <c r="AR724" s="39" t="str">
        <f t="shared" si="11"/>
        <v/>
      </c>
      <c r="AS724" s="39" t="str">
        <f t="shared" si="12"/>
        <v/>
      </c>
      <c r="AT724" s="39" t="str">
        <f t="shared" si="13"/>
        <v/>
      </c>
      <c r="AU724" s="39" t="str">
        <f t="shared" si="14"/>
        <v/>
      </c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 t="str">
        <f t="shared" si="4"/>
        <v/>
      </c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E725" s="39"/>
      <c r="AG725" s="39"/>
      <c r="AH725" s="39" t="str">
        <f t="shared" si="5"/>
        <v/>
      </c>
      <c r="AI725" s="39" t="str">
        <f t="shared" si="6"/>
        <v/>
      </c>
      <c r="AM725" s="39" t="str">
        <f t="array" ref="AM725">IF(C725="","",IFERROR(XLOOKUP(C725,Orders!$A:$A,Orders!$E:$E,""),""))</f>
        <v/>
      </c>
      <c r="AN725" s="39" t="str">
        <f t="shared" si="7"/>
        <v/>
      </c>
      <c r="AO725" s="39" t="str">
        <f t="shared" si="8"/>
        <v/>
      </c>
      <c r="AP725" s="39" t="str">
        <f t="shared" si="9"/>
        <v/>
      </c>
      <c r="AQ725" s="39" t="str">
        <f t="shared" si="10"/>
        <v/>
      </c>
      <c r="AR725" s="39" t="str">
        <f t="shared" si="11"/>
        <v/>
      </c>
      <c r="AS725" s="39" t="str">
        <f t="shared" si="12"/>
        <v/>
      </c>
      <c r="AT725" s="39" t="str">
        <f t="shared" si="13"/>
        <v/>
      </c>
      <c r="AU725" s="39" t="str">
        <f t="shared" si="14"/>
        <v/>
      </c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 t="str">
        <f t="shared" si="4"/>
        <v/>
      </c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E726" s="39"/>
      <c r="AG726" s="39"/>
      <c r="AH726" s="39" t="str">
        <f t="shared" si="5"/>
        <v/>
      </c>
      <c r="AI726" s="39" t="str">
        <f t="shared" si="6"/>
        <v/>
      </c>
      <c r="AM726" s="39" t="str">
        <f t="array" ref="AM726">IF(C726="","",IFERROR(XLOOKUP(C726,Orders!$A:$A,Orders!$E:$E,""),""))</f>
        <v/>
      </c>
      <c r="AN726" s="39" t="str">
        <f t="shared" si="7"/>
        <v/>
      </c>
      <c r="AO726" s="39" t="str">
        <f t="shared" si="8"/>
        <v/>
      </c>
      <c r="AP726" s="39" t="str">
        <f t="shared" si="9"/>
        <v/>
      </c>
      <c r="AQ726" s="39" t="str">
        <f t="shared" si="10"/>
        <v/>
      </c>
      <c r="AR726" s="39" t="str">
        <f t="shared" si="11"/>
        <v/>
      </c>
      <c r="AS726" s="39" t="str">
        <f t="shared" si="12"/>
        <v/>
      </c>
      <c r="AT726" s="39" t="str">
        <f t="shared" si="13"/>
        <v/>
      </c>
      <c r="AU726" s="39" t="str">
        <f t="shared" si="14"/>
        <v/>
      </c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 t="str">
        <f t="shared" si="4"/>
        <v/>
      </c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E727" s="39"/>
      <c r="AG727" s="39"/>
      <c r="AH727" s="39" t="str">
        <f t="shared" si="5"/>
        <v/>
      </c>
      <c r="AI727" s="39" t="str">
        <f t="shared" si="6"/>
        <v/>
      </c>
      <c r="AM727" s="39" t="str">
        <f t="array" ref="AM727">IF(C727="","",IFERROR(XLOOKUP(C727,Orders!$A:$A,Orders!$E:$E,""),""))</f>
        <v/>
      </c>
      <c r="AN727" s="39" t="str">
        <f t="shared" si="7"/>
        <v/>
      </c>
      <c r="AO727" s="39" t="str">
        <f t="shared" si="8"/>
        <v/>
      </c>
      <c r="AP727" s="39" t="str">
        <f t="shared" si="9"/>
        <v/>
      </c>
      <c r="AQ727" s="39" t="str">
        <f t="shared" si="10"/>
        <v/>
      </c>
      <c r="AR727" s="39" t="str">
        <f t="shared" si="11"/>
        <v/>
      </c>
      <c r="AS727" s="39" t="str">
        <f t="shared" si="12"/>
        <v/>
      </c>
      <c r="AT727" s="39" t="str">
        <f t="shared" si="13"/>
        <v/>
      </c>
      <c r="AU727" s="39" t="str">
        <f t="shared" si="14"/>
        <v/>
      </c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 t="str">
        <f t="shared" si="4"/>
        <v/>
      </c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E728" s="39"/>
      <c r="AG728" s="39"/>
      <c r="AH728" s="39" t="str">
        <f t="shared" si="5"/>
        <v/>
      </c>
      <c r="AI728" s="39" t="str">
        <f t="shared" si="6"/>
        <v/>
      </c>
      <c r="AM728" s="39" t="str">
        <f t="array" ref="AM728">IF(C728="","",IFERROR(XLOOKUP(C728,Orders!$A:$A,Orders!$E:$E,""),""))</f>
        <v/>
      </c>
      <c r="AN728" s="39" t="str">
        <f t="shared" si="7"/>
        <v/>
      </c>
      <c r="AO728" s="39" t="str">
        <f t="shared" si="8"/>
        <v/>
      </c>
      <c r="AP728" s="39" t="str">
        <f t="shared" si="9"/>
        <v/>
      </c>
      <c r="AQ728" s="39" t="str">
        <f t="shared" si="10"/>
        <v/>
      </c>
      <c r="AR728" s="39" t="str">
        <f t="shared" si="11"/>
        <v/>
      </c>
      <c r="AS728" s="39" t="str">
        <f t="shared" si="12"/>
        <v/>
      </c>
      <c r="AT728" s="39" t="str">
        <f t="shared" si="13"/>
        <v/>
      </c>
      <c r="AU728" s="39" t="str">
        <f t="shared" si="14"/>
        <v/>
      </c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 t="str">
        <f t="shared" si="4"/>
        <v/>
      </c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E729" s="39"/>
      <c r="AG729" s="39"/>
      <c r="AH729" s="39" t="str">
        <f t="shared" si="5"/>
        <v/>
      </c>
      <c r="AI729" s="39" t="str">
        <f t="shared" si="6"/>
        <v/>
      </c>
      <c r="AM729" s="39" t="str">
        <f t="array" ref="AM729">IF(C729="","",IFERROR(XLOOKUP(C729,Orders!$A:$A,Orders!$E:$E,""),""))</f>
        <v/>
      </c>
      <c r="AN729" s="39" t="str">
        <f t="shared" si="7"/>
        <v/>
      </c>
      <c r="AO729" s="39" t="str">
        <f t="shared" si="8"/>
        <v/>
      </c>
      <c r="AP729" s="39" t="str">
        <f t="shared" si="9"/>
        <v/>
      </c>
      <c r="AQ729" s="39" t="str">
        <f t="shared" si="10"/>
        <v/>
      </c>
      <c r="AR729" s="39" t="str">
        <f t="shared" si="11"/>
        <v/>
      </c>
      <c r="AS729" s="39" t="str">
        <f t="shared" si="12"/>
        <v/>
      </c>
      <c r="AT729" s="39" t="str">
        <f t="shared" si="13"/>
        <v/>
      </c>
      <c r="AU729" s="39" t="str">
        <f t="shared" si="14"/>
        <v/>
      </c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 t="str">
        <f t="shared" si="4"/>
        <v/>
      </c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E730" s="39"/>
      <c r="AG730" s="39"/>
      <c r="AH730" s="39" t="str">
        <f t="shared" si="5"/>
        <v/>
      </c>
      <c r="AI730" s="39" t="str">
        <f t="shared" si="6"/>
        <v/>
      </c>
      <c r="AM730" s="39" t="str">
        <f t="array" ref="AM730">IF(C730="","",IFERROR(XLOOKUP(C730,Orders!$A:$A,Orders!$E:$E,""),""))</f>
        <v/>
      </c>
      <c r="AN730" s="39" t="str">
        <f t="shared" si="7"/>
        <v/>
      </c>
      <c r="AO730" s="39" t="str">
        <f t="shared" si="8"/>
        <v/>
      </c>
      <c r="AP730" s="39" t="str">
        <f t="shared" si="9"/>
        <v/>
      </c>
      <c r="AQ730" s="39" t="str">
        <f t="shared" si="10"/>
        <v/>
      </c>
      <c r="AR730" s="39" t="str">
        <f t="shared" si="11"/>
        <v/>
      </c>
      <c r="AS730" s="39" t="str">
        <f t="shared" si="12"/>
        <v/>
      </c>
      <c r="AT730" s="39" t="str">
        <f t="shared" si="13"/>
        <v/>
      </c>
      <c r="AU730" s="39" t="str">
        <f t="shared" si="14"/>
        <v/>
      </c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 t="str">
        <f t="shared" si="4"/>
        <v/>
      </c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E731" s="39"/>
      <c r="AG731" s="39"/>
      <c r="AH731" s="39" t="str">
        <f t="shared" si="5"/>
        <v/>
      </c>
      <c r="AI731" s="39" t="str">
        <f t="shared" si="6"/>
        <v/>
      </c>
      <c r="AM731" s="39" t="str">
        <f t="array" ref="AM731">IF(C731="","",IFERROR(XLOOKUP(C731,Orders!$A:$A,Orders!$E:$E,""),""))</f>
        <v/>
      </c>
      <c r="AN731" s="39" t="str">
        <f t="shared" si="7"/>
        <v/>
      </c>
      <c r="AO731" s="39" t="str">
        <f t="shared" si="8"/>
        <v/>
      </c>
      <c r="AP731" s="39" t="str">
        <f t="shared" si="9"/>
        <v/>
      </c>
      <c r="AQ731" s="39" t="str">
        <f t="shared" si="10"/>
        <v/>
      </c>
      <c r="AR731" s="39" t="str">
        <f t="shared" si="11"/>
        <v/>
      </c>
      <c r="AS731" s="39" t="str">
        <f t="shared" si="12"/>
        <v/>
      </c>
      <c r="AT731" s="39" t="str">
        <f t="shared" si="13"/>
        <v/>
      </c>
      <c r="AU731" s="39" t="str">
        <f t="shared" si="14"/>
        <v/>
      </c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 t="str">
        <f t="shared" si="4"/>
        <v/>
      </c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E732" s="39"/>
      <c r="AG732" s="39"/>
      <c r="AH732" s="39" t="str">
        <f t="shared" si="5"/>
        <v/>
      </c>
      <c r="AI732" s="39" t="str">
        <f t="shared" si="6"/>
        <v/>
      </c>
      <c r="AM732" s="39" t="str">
        <f t="array" ref="AM732">IF(C732="","",IFERROR(XLOOKUP(C732,Orders!$A:$A,Orders!$E:$E,""),""))</f>
        <v/>
      </c>
      <c r="AN732" s="39" t="str">
        <f t="shared" si="7"/>
        <v/>
      </c>
      <c r="AO732" s="39" t="str">
        <f t="shared" si="8"/>
        <v/>
      </c>
      <c r="AP732" s="39" t="str">
        <f t="shared" si="9"/>
        <v/>
      </c>
      <c r="AQ732" s="39" t="str">
        <f t="shared" si="10"/>
        <v/>
      </c>
      <c r="AR732" s="39" t="str">
        <f t="shared" si="11"/>
        <v/>
      </c>
      <c r="AS732" s="39" t="str">
        <f t="shared" si="12"/>
        <v/>
      </c>
      <c r="AT732" s="39" t="str">
        <f t="shared" si="13"/>
        <v/>
      </c>
      <c r="AU732" s="39" t="str">
        <f t="shared" si="14"/>
        <v/>
      </c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 t="str">
        <f t="shared" si="4"/>
        <v/>
      </c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E733" s="39"/>
      <c r="AG733" s="39"/>
      <c r="AH733" s="39" t="str">
        <f t="shared" si="5"/>
        <v/>
      </c>
      <c r="AI733" s="39" t="str">
        <f t="shared" si="6"/>
        <v/>
      </c>
      <c r="AM733" s="39" t="str">
        <f t="array" ref="AM733">IF(C733="","",IFERROR(XLOOKUP(C733,Orders!$A:$A,Orders!$E:$E,""),""))</f>
        <v/>
      </c>
      <c r="AN733" s="39" t="str">
        <f t="shared" si="7"/>
        <v/>
      </c>
      <c r="AO733" s="39" t="str">
        <f t="shared" si="8"/>
        <v/>
      </c>
      <c r="AP733" s="39" t="str">
        <f t="shared" si="9"/>
        <v/>
      </c>
      <c r="AQ733" s="39" t="str">
        <f t="shared" si="10"/>
        <v/>
      </c>
      <c r="AR733" s="39" t="str">
        <f t="shared" si="11"/>
        <v/>
      </c>
      <c r="AS733" s="39" t="str">
        <f t="shared" si="12"/>
        <v/>
      </c>
      <c r="AT733" s="39" t="str">
        <f t="shared" si="13"/>
        <v/>
      </c>
      <c r="AU733" s="39" t="str">
        <f t="shared" si="14"/>
        <v/>
      </c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 t="str">
        <f t="shared" si="4"/>
        <v/>
      </c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E734" s="39"/>
      <c r="AG734" s="39"/>
      <c r="AH734" s="39" t="str">
        <f t="shared" si="5"/>
        <v/>
      </c>
      <c r="AI734" s="39" t="str">
        <f t="shared" si="6"/>
        <v/>
      </c>
      <c r="AM734" s="39" t="str">
        <f t="array" ref="AM734">IF(C734="","",IFERROR(XLOOKUP(C734,Orders!$A:$A,Orders!$E:$E,""),""))</f>
        <v/>
      </c>
      <c r="AN734" s="39" t="str">
        <f t="shared" si="7"/>
        <v/>
      </c>
      <c r="AO734" s="39" t="str">
        <f t="shared" si="8"/>
        <v/>
      </c>
      <c r="AP734" s="39" t="str">
        <f t="shared" si="9"/>
        <v/>
      </c>
      <c r="AQ734" s="39" t="str">
        <f t="shared" si="10"/>
        <v/>
      </c>
      <c r="AR734" s="39" t="str">
        <f t="shared" si="11"/>
        <v/>
      </c>
      <c r="AS734" s="39" t="str">
        <f t="shared" si="12"/>
        <v/>
      </c>
      <c r="AT734" s="39" t="str">
        <f t="shared" si="13"/>
        <v/>
      </c>
      <c r="AU734" s="39" t="str">
        <f t="shared" si="14"/>
        <v/>
      </c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 t="str">
        <f t="shared" si="4"/>
        <v/>
      </c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E735" s="39"/>
      <c r="AG735" s="39"/>
      <c r="AH735" s="39" t="str">
        <f t="shared" si="5"/>
        <v/>
      </c>
      <c r="AI735" s="39" t="str">
        <f t="shared" si="6"/>
        <v/>
      </c>
      <c r="AM735" s="39" t="str">
        <f t="array" ref="AM735">IF(C735="","",IFERROR(XLOOKUP(C735,Orders!$A:$A,Orders!$E:$E,""),""))</f>
        <v/>
      </c>
      <c r="AN735" s="39" t="str">
        <f t="shared" si="7"/>
        <v/>
      </c>
      <c r="AO735" s="39" t="str">
        <f t="shared" si="8"/>
        <v/>
      </c>
      <c r="AP735" s="39" t="str">
        <f t="shared" si="9"/>
        <v/>
      </c>
      <c r="AQ735" s="39" t="str">
        <f t="shared" si="10"/>
        <v/>
      </c>
      <c r="AR735" s="39" t="str">
        <f t="shared" si="11"/>
        <v/>
      </c>
      <c r="AS735" s="39" t="str">
        <f t="shared" si="12"/>
        <v/>
      </c>
      <c r="AT735" s="39" t="str">
        <f t="shared" si="13"/>
        <v/>
      </c>
      <c r="AU735" s="39" t="str">
        <f t="shared" si="14"/>
        <v/>
      </c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 t="str">
        <f t="shared" si="4"/>
        <v/>
      </c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E736" s="39"/>
      <c r="AG736" s="39"/>
      <c r="AH736" s="39" t="str">
        <f t="shared" si="5"/>
        <v/>
      </c>
      <c r="AI736" s="39" t="str">
        <f t="shared" si="6"/>
        <v/>
      </c>
      <c r="AM736" s="39" t="str">
        <f t="array" ref="AM736">IF(C736="","",IFERROR(XLOOKUP(C736,Orders!$A:$A,Orders!$E:$E,""),""))</f>
        <v/>
      </c>
      <c r="AN736" s="39" t="str">
        <f t="shared" si="7"/>
        <v/>
      </c>
      <c r="AO736" s="39" t="str">
        <f t="shared" si="8"/>
        <v/>
      </c>
      <c r="AP736" s="39" t="str">
        <f t="shared" si="9"/>
        <v/>
      </c>
      <c r="AQ736" s="39" t="str">
        <f t="shared" si="10"/>
        <v/>
      </c>
      <c r="AR736" s="39" t="str">
        <f t="shared" si="11"/>
        <v/>
      </c>
      <c r="AS736" s="39" t="str">
        <f t="shared" si="12"/>
        <v/>
      </c>
      <c r="AT736" s="39" t="str">
        <f t="shared" si="13"/>
        <v/>
      </c>
      <c r="AU736" s="39" t="str">
        <f t="shared" si="14"/>
        <v/>
      </c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 t="str">
        <f t="shared" si="4"/>
        <v/>
      </c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E737" s="39"/>
      <c r="AG737" s="39"/>
      <c r="AH737" s="39" t="str">
        <f t="shared" si="5"/>
        <v/>
      </c>
      <c r="AI737" s="39" t="str">
        <f t="shared" si="6"/>
        <v/>
      </c>
      <c r="AM737" s="39" t="str">
        <f t="array" ref="AM737">IF(C737="","",IFERROR(XLOOKUP(C737,Orders!$A:$A,Orders!$E:$E,""),""))</f>
        <v/>
      </c>
      <c r="AN737" s="39" t="str">
        <f t="shared" si="7"/>
        <v/>
      </c>
      <c r="AO737" s="39" t="str">
        <f t="shared" si="8"/>
        <v/>
      </c>
      <c r="AP737" s="39" t="str">
        <f t="shared" si="9"/>
        <v/>
      </c>
      <c r="AQ737" s="39" t="str">
        <f t="shared" si="10"/>
        <v/>
      </c>
      <c r="AR737" s="39" t="str">
        <f t="shared" si="11"/>
        <v/>
      </c>
      <c r="AS737" s="39" t="str">
        <f t="shared" si="12"/>
        <v/>
      </c>
      <c r="AT737" s="39" t="str">
        <f t="shared" si="13"/>
        <v/>
      </c>
      <c r="AU737" s="39" t="str">
        <f t="shared" si="14"/>
        <v/>
      </c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 t="str">
        <f t="shared" si="4"/>
        <v/>
      </c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E738" s="39"/>
      <c r="AG738" s="39"/>
      <c r="AH738" s="39" t="str">
        <f t="shared" si="5"/>
        <v/>
      </c>
      <c r="AI738" s="39" t="str">
        <f t="shared" si="6"/>
        <v/>
      </c>
      <c r="AM738" s="39" t="str">
        <f t="array" ref="AM738">IF(C738="","",IFERROR(XLOOKUP(C738,Orders!$A:$A,Orders!$E:$E,""),""))</f>
        <v/>
      </c>
      <c r="AN738" s="39" t="str">
        <f t="shared" si="7"/>
        <v/>
      </c>
      <c r="AO738" s="39" t="str">
        <f t="shared" si="8"/>
        <v/>
      </c>
      <c r="AP738" s="39" t="str">
        <f t="shared" si="9"/>
        <v/>
      </c>
      <c r="AQ738" s="39" t="str">
        <f t="shared" si="10"/>
        <v/>
      </c>
      <c r="AR738" s="39" t="str">
        <f t="shared" si="11"/>
        <v/>
      </c>
      <c r="AS738" s="39" t="str">
        <f t="shared" si="12"/>
        <v/>
      </c>
      <c r="AT738" s="39" t="str">
        <f t="shared" si="13"/>
        <v/>
      </c>
      <c r="AU738" s="39" t="str">
        <f t="shared" si="14"/>
        <v/>
      </c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 t="str">
        <f t="shared" si="4"/>
        <v/>
      </c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E739" s="39"/>
      <c r="AG739" s="39"/>
      <c r="AH739" s="39" t="str">
        <f t="shared" si="5"/>
        <v/>
      </c>
      <c r="AI739" s="39" t="str">
        <f t="shared" si="6"/>
        <v/>
      </c>
      <c r="AM739" s="39" t="str">
        <f t="array" ref="AM739">IF(C739="","",IFERROR(XLOOKUP(C739,Orders!$A:$A,Orders!$E:$E,""),""))</f>
        <v/>
      </c>
      <c r="AN739" s="39" t="str">
        <f t="shared" si="7"/>
        <v/>
      </c>
      <c r="AO739" s="39" t="str">
        <f t="shared" si="8"/>
        <v/>
      </c>
      <c r="AP739" s="39" t="str">
        <f t="shared" si="9"/>
        <v/>
      </c>
      <c r="AQ739" s="39" t="str">
        <f t="shared" si="10"/>
        <v/>
      </c>
      <c r="AR739" s="39" t="str">
        <f t="shared" si="11"/>
        <v/>
      </c>
      <c r="AS739" s="39" t="str">
        <f t="shared" si="12"/>
        <v/>
      </c>
      <c r="AT739" s="39" t="str">
        <f t="shared" si="13"/>
        <v/>
      </c>
      <c r="AU739" s="39" t="str">
        <f t="shared" si="14"/>
        <v/>
      </c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 t="str">
        <f t="shared" si="4"/>
        <v/>
      </c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E740" s="39"/>
      <c r="AG740" s="39"/>
      <c r="AH740" s="39" t="str">
        <f t="shared" si="5"/>
        <v/>
      </c>
      <c r="AI740" s="39" t="str">
        <f t="shared" si="6"/>
        <v/>
      </c>
      <c r="AM740" s="39" t="str">
        <f t="array" ref="AM740">IF(C740="","",IFERROR(XLOOKUP(C740,Orders!$A:$A,Orders!$E:$E,""),""))</f>
        <v/>
      </c>
      <c r="AN740" s="39" t="str">
        <f t="shared" si="7"/>
        <v/>
      </c>
      <c r="AO740" s="39" t="str">
        <f t="shared" si="8"/>
        <v/>
      </c>
      <c r="AP740" s="39" t="str">
        <f t="shared" si="9"/>
        <v/>
      </c>
      <c r="AQ740" s="39" t="str">
        <f t="shared" si="10"/>
        <v/>
      </c>
      <c r="AR740" s="39" t="str">
        <f t="shared" si="11"/>
        <v/>
      </c>
      <c r="AS740" s="39" t="str">
        <f t="shared" si="12"/>
        <v/>
      </c>
      <c r="AT740" s="39" t="str">
        <f t="shared" si="13"/>
        <v/>
      </c>
      <c r="AU740" s="39" t="str">
        <f t="shared" si="14"/>
        <v/>
      </c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 t="str">
        <f t="shared" si="4"/>
        <v/>
      </c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E741" s="39"/>
      <c r="AG741" s="39"/>
      <c r="AH741" s="39" t="str">
        <f t="shared" si="5"/>
        <v/>
      </c>
      <c r="AI741" s="39" t="str">
        <f t="shared" si="6"/>
        <v/>
      </c>
      <c r="AM741" s="39" t="str">
        <f t="array" ref="AM741">IF(C741="","",IFERROR(XLOOKUP(C741,Orders!$A:$A,Orders!$E:$E,""),""))</f>
        <v/>
      </c>
      <c r="AN741" s="39" t="str">
        <f t="shared" si="7"/>
        <v/>
      </c>
      <c r="AO741" s="39" t="str">
        <f t="shared" si="8"/>
        <v/>
      </c>
      <c r="AP741" s="39" t="str">
        <f t="shared" si="9"/>
        <v/>
      </c>
      <c r="AQ741" s="39" t="str">
        <f t="shared" si="10"/>
        <v/>
      </c>
      <c r="AR741" s="39" t="str">
        <f t="shared" si="11"/>
        <v/>
      </c>
      <c r="AS741" s="39" t="str">
        <f t="shared" si="12"/>
        <v/>
      </c>
      <c r="AT741" s="39" t="str">
        <f t="shared" si="13"/>
        <v/>
      </c>
      <c r="AU741" s="39" t="str">
        <f t="shared" si="14"/>
        <v/>
      </c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 t="str">
        <f t="shared" si="4"/>
        <v/>
      </c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E742" s="39"/>
      <c r="AG742" s="39"/>
      <c r="AH742" s="39" t="str">
        <f t="shared" si="5"/>
        <v/>
      </c>
      <c r="AI742" s="39" t="str">
        <f t="shared" si="6"/>
        <v/>
      </c>
      <c r="AM742" s="39" t="str">
        <f t="array" ref="AM742">IF(C742="","",IFERROR(XLOOKUP(C742,Orders!$A:$A,Orders!$E:$E,""),""))</f>
        <v/>
      </c>
      <c r="AN742" s="39" t="str">
        <f t="shared" si="7"/>
        <v/>
      </c>
      <c r="AO742" s="39" t="str">
        <f t="shared" si="8"/>
        <v/>
      </c>
      <c r="AP742" s="39" t="str">
        <f t="shared" si="9"/>
        <v/>
      </c>
      <c r="AQ742" s="39" t="str">
        <f t="shared" si="10"/>
        <v/>
      </c>
      <c r="AR742" s="39" t="str">
        <f t="shared" si="11"/>
        <v/>
      </c>
      <c r="AS742" s="39" t="str">
        <f t="shared" si="12"/>
        <v/>
      </c>
      <c r="AT742" s="39" t="str">
        <f t="shared" si="13"/>
        <v/>
      </c>
      <c r="AU742" s="39" t="str">
        <f t="shared" si="14"/>
        <v/>
      </c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 t="str">
        <f t="shared" si="4"/>
        <v/>
      </c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E743" s="39"/>
      <c r="AG743" s="39"/>
      <c r="AH743" s="39" t="str">
        <f t="shared" si="5"/>
        <v/>
      </c>
      <c r="AI743" s="39" t="str">
        <f t="shared" si="6"/>
        <v/>
      </c>
      <c r="AM743" s="39" t="str">
        <f t="array" ref="AM743">IF(C743="","",IFERROR(XLOOKUP(C743,Orders!$A:$A,Orders!$E:$E,""),""))</f>
        <v/>
      </c>
      <c r="AN743" s="39" t="str">
        <f t="shared" si="7"/>
        <v/>
      </c>
      <c r="AO743" s="39" t="str">
        <f t="shared" si="8"/>
        <v/>
      </c>
      <c r="AP743" s="39" t="str">
        <f t="shared" si="9"/>
        <v/>
      </c>
      <c r="AQ743" s="39" t="str">
        <f t="shared" si="10"/>
        <v/>
      </c>
      <c r="AR743" s="39" t="str">
        <f t="shared" si="11"/>
        <v/>
      </c>
      <c r="AS743" s="39" t="str">
        <f t="shared" si="12"/>
        <v/>
      </c>
      <c r="AT743" s="39" t="str">
        <f t="shared" si="13"/>
        <v/>
      </c>
      <c r="AU743" s="39" t="str">
        <f t="shared" si="14"/>
        <v/>
      </c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 t="str">
        <f t="shared" si="4"/>
        <v/>
      </c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E744" s="39"/>
      <c r="AG744" s="39"/>
      <c r="AH744" s="39" t="str">
        <f t="shared" si="5"/>
        <v/>
      </c>
      <c r="AI744" s="39" t="str">
        <f t="shared" si="6"/>
        <v/>
      </c>
      <c r="AM744" s="39" t="str">
        <f t="array" ref="AM744">IF(C744="","",IFERROR(XLOOKUP(C744,Orders!$A:$A,Orders!$E:$E,""),""))</f>
        <v/>
      </c>
      <c r="AN744" s="39" t="str">
        <f t="shared" si="7"/>
        <v/>
      </c>
      <c r="AO744" s="39" t="str">
        <f t="shared" si="8"/>
        <v/>
      </c>
      <c r="AP744" s="39" t="str">
        <f t="shared" si="9"/>
        <v/>
      </c>
      <c r="AQ744" s="39" t="str">
        <f t="shared" si="10"/>
        <v/>
      </c>
      <c r="AR744" s="39" t="str">
        <f t="shared" si="11"/>
        <v/>
      </c>
      <c r="AS744" s="39" t="str">
        <f t="shared" si="12"/>
        <v/>
      </c>
      <c r="AT744" s="39" t="str">
        <f t="shared" si="13"/>
        <v/>
      </c>
      <c r="AU744" s="39" t="str">
        <f t="shared" si="14"/>
        <v/>
      </c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 t="str">
        <f t="shared" si="4"/>
        <v/>
      </c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E745" s="39"/>
      <c r="AG745" s="39"/>
      <c r="AH745" s="39" t="str">
        <f t="shared" si="5"/>
        <v/>
      </c>
      <c r="AI745" s="39" t="str">
        <f t="shared" si="6"/>
        <v/>
      </c>
      <c r="AM745" s="39" t="str">
        <f t="array" ref="AM745">IF(C745="","",IFERROR(XLOOKUP(C745,Orders!$A:$A,Orders!$E:$E,""),""))</f>
        <v/>
      </c>
      <c r="AN745" s="39" t="str">
        <f t="shared" si="7"/>
        <v/>
      </c>
      <c r="AO745" s="39" t="str">
        <f t="shared" si="8"/>
        <v/>
      </c>
      <c r="AP745" s="39" t="str">
        <f t="shared" si="9"/>
        <v/>
      </c>
      <c r="AQ745" s="39" t="str">
        <f t="shared" si="10"/>
        <v/>
      </c>
      <c r="AR745" s="39" t="str">
        <f t="shared" si="11"/>
        <v/>
      </c>
      <c r="AS745" s="39" t="str">
        <f t="shared" si="12"/>
        <v/>
      </c>
      <c r="AT745" s="39" t="str">
        <f t="shared" si="13"/>
        <v/>
      </c>
      <c r="AU745" s="39" t="str">
        <f t="shared" si="14"/>
        <v/>
      </c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 t="str">
        <f t="shared" si="4"/>
        <v/>
      </c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E746" s="39"/>
      <c r="AG746" s="39"/>
      <c r="AH746" s="39" t="str">
        <f t="shared" si="5"/>
        <v/>
      </c>
      <c r="AI746" s="39" t="str">
        <f t="shared" si="6"/>
        <v/>
      </c>
      <c r="AM746" s="39" t="str">
        <f t="array" ref="AM746">IF(C746="","",IFERROR(XLOOKUP(C746,Orders!$A:$A,Orders!$E:$E,""),""))</f>
        <v/>
      </c>
      <c r="AN746" s="39" t="str">
        <f t="shared" si="7"/>
        <v/>
      </c>
      <c r="AO746" s="39" t="str">
        <f t="shared" si="8"/>
        <v/>
      </c>
      <c r="AP746" s="39" t="str">
        <f t="shared" si="9"/>
        <v/>
      </c>
      <c r="AQ746" s="39" t="str">
        <f t="shared" si="10"/>
        <v/>
      </c>
      <c r="AR746" s="39" t="str">
        <f t="shared" si="11"/>
        <v/>
      </c>
      <c r="AS746" s="39" t="str">
        <f t="shared" si="12"/>
        <v/>
      </c>
      <c r="AT746" s="39" t="str">
        <f t="shared" si="13"/>
        <v/>
      </c>
      <c r="AU746" s="39" t="str">
        <f t="shared" si="14"/>
        <v/>
      </c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 t="str">
        <f t="shared" si="4"/>
        <v/>
      </c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E747" s="39"/>
      <c r="AG747" s="39"/>
      <c r="AH747" s="39" t="str">
        <f t="shared" si="5"/>
        <v/>
      </c>
      <c r="AI747" s="39" t="str">
        <f t="shared" si="6"/>
        <v/>
      </c>
      <c r="AM747" s="39" t="str">
        <f t="array" ref="AM747">IF(C747="","",IFERROR(XLOOKUP(C747,Orders!$A:$A,Orders!$E:$E,""),""))</f>
        <v/>
      </c>
      <c r="AN747" s="39" t="str">
        <f t="shared" si="7"/>
        <v/>
      </c>
      <c r="AO747" s="39" t="str">
        <f t="shared" si="8"/>
        <v/>
      </c>
      <c r="AP747" s="39" t="str">
        <f t="shared" si="9"/>
        <v/>
      </c>
      <c r="AQ747" s="39" t="str">
        <f t="shared" si="10"/>
        <v/>
      </c>
      <c r="AR747" s="39" t="str">
        <f t="shared" si="11"/>
        <v/>
      </c>
      <c r="AS747" s="39" t="str">
        <f t="shared" si="12"/>
        <v/>
      </c>
      <c r="AT747" s="39" t="str">
        <f t="shared" si="13"/>
        <v/>
      </c>
      <c r="AU747" s="39" t="str">
        <f t="shared" si="14"/>
        <v/>
      </c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 t="str">
        <f t="shared" si="4"/>
        <v/>
      </c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E748" s="39"/>
      <c r="AG748" s="39"/>
      <c r="AH748" s="39" t="str">
        <f t="shared" si="5"/>
        <v/>
      </c>
      <c r="AI748" s="39" t="str">
        <f t="shared" si="6"/>
        <v/>
      </c>
      <c r="AM748" s="39" t="str">
        <f t="array" ref="AM748">IF(C748="","",IFERROR(XLOOKUP(C748,Orders!$A:$A,Orders!$E:$E,""),""))</f>
        <v/>
      </c>
      <c r="AN748" s="39" t="str">
        <f t="shared" si="7"/>
        <v/>
      </c>
      <c r="AO748" s="39" t="str">
        <f t="shared" si="8"/>
        <v/>
      </c>
      <c r="AP748" s="39" t="str">
        <f t="shared" si="9"/>
        <v/>
      </c>
      <c r="AQ748" s="39" t="str">
        <f t="shared" si="10"/>
        <v/>
      </c>
      <c r="AR748" s="39" t="str">
        <f t="shared" si="11"/>
        <v/>
      </c>
      <c r="AS748" s="39" t="str">
        <f t="shared" si="12"/>
        <v/>
      </c>
      <c r="AT748" s="39" t="str">
        <f t="shared" si="13"/>
        <v/>
      </c>
      <c r="AU748" s="39" t="str">
        <f t="shared" si="14"/>
        <v/>
      </c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 t="str">
        <f t="shared" si="4"/>
        <v/>
      </c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E749" s="39"/>
      <c r="AG749" s="39"/>
      <c r="AH749" s="39" t="str">
        <f t="shared" si="5"/>
        <v/>
      </c>
      <c r="AI749" s="39" t="str">
        <f t="shared" si="6"/>
        <v/>
      </c>
      <c r="AM749" s="39" t="str">
        <f t="array" ref="AM749">IF(C749="","",IFERROR(XLOOKUP(C749,Orders!$A:$A,Orders!$E:$E,""),""))</f>
        <v/>
      </c>
      <c r="AN749" s="39" t="str">
        <f t="shared" si="7"/>
        <v/>
      </c>
      <c r="AO749" s="39" t="str">
        <f t="shared" si="8"/>
        <v/>
      </c>
      <c r="AP749" s="39" t="str">
        <f t="shared" si="9"/>
        <v/>
      </c>
      <c r="AQ749" s="39" t="str">
        <f t="shared" si="10"/>
        <v/>
      </c>
      <c r="AR749" s="39" t="str">
        <f t="shared" si="11"/>
        <v/>
      </c>
      <c r="AS749" s="39" t="str">
        <f t="shared" si="12"/>
        <v/>
      </c>
      <c r="AT749" s="39" t="str">
        <f t="shared" si="13"/>
        <v/>
      </c>
      <c r="AU749" s="39" t="str">
        <f t="shared" si="14"/>
        <v/>
      </c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 t="str">
        <f t="shared" si="4"/>
        <v/>
      </c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E750" s="39"/>
      <c r="AG750" s="39"/>
      <c r="AH750" s="39" t="str">
        <f t="shared" si="5"/>
        <v/>
      </c>
      <c r="AI750" s="39" t="str">
        <f t="shared" si="6"/>
        <v/>
      </c>
      <c r="AM750" s="39" t="str">
        <f t="array" ref="AM750">IF(C750="","",IFERROR(XLOOKUP(C750,Orders!$A:$A,Orders!$E:$E,""),""))</f>
        <v/>
      </c>
      <c r="AN750" s="39" t="str">
        <f t="shared" si="7"/>
        <v/>
      </c>
      <c r="AO750" s="39" t="str">
        <f t="shared" si="8"/>
        <v/>
      </c>
      <c r="AP750" s="39" t="str">
        <f t="shared" si="9"/>
        <v/>
      </c>
      <c r="AQ750" s="39" t="str">
        <f t="shared" si="10"/>
        <v/>
      </c>
      <c r="AR750" s="39" t="str">
        <f t="shared" si="11"/>
        <v/>
      </c>
      <c r="AS750" s="39" t="str">
        <f t="shared" si="12"/>
        <v/>
      </c>
      <c r="AT750" s="39" t="str">
        <f t="shared" si="13"/>
        <v/>
      </c>
      <c r="AU750" s="39" t="str">
        <f t="shared" si="14"/>
        <v/>
      </c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 t="str">
        <f t="shared" si="4"/>
        <v/>
      </c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E751" s="39"/>
      <c r="AG751" s="39"/>
      <c r="AH751" s="39" t="str">
        <f t="shared" si="5"/>
        <v/>
      </c>
      <c r="AI751" s="39" t="str">
        <f t="shared" si="6"/>
        <v/>
      </c>
      <c r="AM751" s="39" t="str">
        <f t="array" ref="AM751">IF(C751="","",IFERROR(XLOOKUP(C751,Orders!$A:$A,Orders!$E:$E,""),""))</f>
        <v/>
      </c>
      <c r="AN751" s="39" t="str">
        <f t="shared" si="7"/>
        <v/>
      </c>
      <c r="AO751" s="39" t="str">
        <f t="shared" si="8"/>
        <v/>
      </c>
      <c r="AP751" s="39" t="str">
        <f t="shared" si="9"/>
        <v/>
      </c>
      <c r="AQ751" s="39" t="str">
        <f t="shared" si="10"/>
        <v/>
      </c>
      <c r="AR751" s="39" t="str">
        <f t="shared" si="11"/>
        <v/>
      </c>
      <c r="AS751" s="39" t="str">
        <f t="shared" si="12"/>
        <v/>
      </c>
      <c r="AT751" s="39" t="str">
        <f t="shared" si="13"/>
        <v/>
      </c>
      <c r="AU751" s="39" t="str">
        <f t="shared" si="14"/>
        <v/>
      </c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 t="str">
        <f t="shared" si="4"/>
        <v/>
      </c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E752" s="39"/>
      <c r="AG752" s="39"/>
      <c r="AH752" s="39" t="str">
        <f t="shared" si="5"/>
        <v/>
      </c>
      <c r="AI752" s="39" t="str">
        <f t="shared" si="6"/>
        <v/>
      </c>
      <c r="AM752" s="39" t="str">
        <f t="array" ref="AM752">IF(C752="","",IFERROR(XLOOKUP(C752,Orders!$A:$A,Orders!$E:$E,""),""))</f>
        <v/>
      </c>
      <c r="AN752" s="39" t="str">
        <f t="shared" si="7"/>
        <v/>
      </c>
      <c r="AO752" s="39" t="str">
        <f t="shared" si="8"/>
        <v/>
      </c>
      <c r="AP752" s="39" t="str">
        <f t="shared" si="9"/>
        <v/>
      </c>
      <c r="AQ752" s="39" t="str">
        <f t="shared" si="10"/>
        <v/>
      </c>
      <c r="AR752" s="39" t="str">
        <f t="shared" si="11"/>
        <v/>
      </c>
      <c r="AS752" s="39" t="str">
        <f t="shared" si="12"/>
        <v/>
      </c>
      <c r="AT752" s="39" t="str">
        <f t="shared" si="13"/>
        <v/>
      </c>
      <c r="AU752" s="39" t="str">
        <f t="shared" si="14"/>
        <v/>
      </c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 t="str">
        <f t="shared" si="4"/>
        <v/>
      </c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E753" s="39"/>
      <c r="AG753" s="39"/>
      <c r="AH753" s="39" t="str">
        <f t="shared" si="5"/>
        <v/>
      </c>
      <c r="AI753" s="39" t="str">
        <f t="shared" si="6"/>
        <v/>
      </c>
      <c r="AM753" s="39" t="str">
        <f t="array" ref="AM753">IF(C753="","",IFERROR(XLOOKUP(C753,Orders!$A:$A,Orders!$E:$E,""),""))</f>
        <v/>
      </c>
      <c r="AN753" s="39" t="str">
        <f t="shared" si="7"/>
        <v/>
      </c>
      <c r="AO753" s="39" t="str">
        <f t="shared" si="8"/>
        <v/>
      </c>
      <c r="AP753" s="39" t="str">
        <f t="shared" si="9"/>
        <v/>
      </c>
      <c r="AQ753" s="39" t="str">
        <f t="shared" si="10"/>
        <v/>
      </c>
      <c r="AR753" s="39" t="str">
        <f t="shared" si="11"/>
        <v/>
      </c>
      <c r="AS753" s="39" t="str">
        <f t="shared" si="12"/>
        <v/>
      </c>
      <c r="AT753" s="39" t="str">
        <f t="shared" si="13"/>
        <v/>
      </c>
      <c r="AU753" s="39" t="str">
        <f t="shared" si="14"/>
        <v/>
      </c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 t="str">
        <f t="shared" si="4"/>
        <v/>
      </c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E754" s="39"/>
      <c r="AG754" s="39"/>
      <c r="AH754" s="39" t="str">
        <f t="shared" si="5"/>
        <v/>
      </c>
      <c r="AI754" s="39" t="str">
        <f t="shared" si="6"/>
        <v/>
      </c>
      <c r="AM754" s="39" t="str">
        <f t="array" ref="AM754">IF(C754="","",IFERROR(XLOOKUP(C754,Orders!$A:$A,Orders!$E:$E,""),""))</f>
        <v/>
      </c>
      <c r="AN754" s="39" t="str">
        <f t="shared" si="7"/>
        <v/>
      </c>
      <c r="AO754" s="39" t="str">
        <f t="shared" si="8"/>
        <v/>
      </c>
      <c r="AP754" s="39" t="str">
        <f t="shared" si="9"/>
        <v/>
      </c>
      <c r="AQ754" s="39" t="str">
        <f t="shared" si="10"/>
        <v/>
      </c>
      <c r="AR754" s="39" t="str">
        <f t="shared" si="11"/>
        <v/>
      </c>
      <c r="AS754" s="39" t="str">
        <f t="shared" si="12"/>
        <v/>
      </c>
      <c r="AT754" s="39" t="str">
        <f t="shared" si="13"/>
        <v/>
      </c>
      <c r="AU754" s="39" t="str">
        <f t="shared" si="14"/>
        <v/>
      </c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 t="str">
        <f t="shared" si="4"/>
        <v/>
      </c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E755" s="39"/>
      <c r="AG755" s="39"/>
      <c r="AH755" s="39" t="str">
        <f t="shared" si="5"/>
        <v/>
      </c>
      <c r="AI755" s="39" t="str">
        <f t="shared" si="6"/>
        <v/>
      </c>
      <c r="AM755" s="39" t="str">
        <f t="array" ref="AM755">IF(C755="","",IFERROR(XLOOKUP(C755,Orders!$A:$A,Orders!$E:$E,""),""))</f>
        <v/>
      </c>
      <c r="AN755" s="39" t="str">
        <f t="shared" si="7"/>
        <v/>
      </c>
      <c r="AO755" s="39" t="str">
        <f t="shared" si="8"/>
        <v/>
      </c>
      <c r="AP755" s="39" t="str">
        <f t="shared" si="9"/>
        <v/>
      </c>
      <c r="AQ755" s="39" t="str">
        <f t="shared" si="10"/>
        <v/>
      </c>
      <c r="AR755" s="39" t="str">
        <f t="shared" si="11"/>
        <v/>
      </c>
      <c r="AS755" s="39" t="str">
        <f t="shared" si="12"/>
        <v/>
      </c>
      <c r="AT755" s="39" t="str">
        <f t="shared" si="13"/>
        <v/>
      </c>
      <c r="AU755" s="39" t="str">
        <f t="shared" si="14"/>
        <v/>
      </c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 t="str">
        <f t="shared" si="4"/>
        <v/>
      </c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E756" s="39"/>
      <c r="AG756" s="39"/>
      <c r="AH756" s="39" t="str">
        <f t="shared" si="5"/>
        <v/>
      </c>
      <c r="AI756" s="39" t="str">
        <f t="shared" si="6"/>
        <v/>
      </c>
      <c r="AM756" s="39" t="str">
        <f t="array" ref="AM756">IF(C756="","",IFERROR(XLOOKUP(C756,Orders!$A:$A,Orders!$E:$E,""),""))</f>
        <v/>
      </c>
      <c r="AN756" s="39" t="str">
        <f t="shared" si="7"/>
        <v/>
      </c>
      <c r="AO756" s="39" t="str">
        <f t="shared" si="8"/>
        <v/>
      </c>
      <c r="AP756" s="39" t="str">
        <f t="shared" si="9"/>
        <v/>
      </c>
      <c r="AQ756" s="39" t="str">
        <f t="shared" si="10"/>
        <v/>
      </c>
      <c r="AR756" s="39" t="str">
        <f t="shared" si="11"/>
        <v/>
      </c>
      <c r="AS756" s="39" t="str">
        <f t="shared" si="12"/>
        <v/>
      </c>
      <c r="AT756" s="39" t="str">
        <f t="shared" si="13"/>
        <v/>
      </c>
      <c r="AU756" s="39" t="str">
        <f t="shared" si="14"/>
        <v/>
      </c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 t="str">
        <f t="shared" si="4"/>
        <v/>
      </c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E757" s="39"/>
      <c r="AG757" s="39"/>
      <c r="AH757" s="39" t="str">
        <f t="shared" si="5"/>
        <v/>
      </c>
      <c r="AI757" s="39" t="str">
        <f t="shared" si="6"/>
        <v/>
      </c>
      <c r="AM757" s="39" t="str">
        <f t="array" ref="AM757">IF(C757="","",IFERROR(XLOOKUP(C757,Orders!$A:$A,Orders!$E:$E,""),""))</f>
        <v/>
      </c>
      <c r="AN757" s="39" t="str">
        <f t="shared" si="7"/>
        <v/>
      </c>
      <c r="AO757" s="39" t="str">
        <f t="shared" si="8"/>
        <v/>
      </c>
      <c r="AP757" s="39" t="str">
        <f t="shared" si="9"/>
        <v/>
      </c>
      <c r="AQ757" s="39" t="str">
        <f t="shared" si="10"/>
        <v/>
      </c>
      <c r="AR757" s="39" t="str">
        <f t="shared" si="11"/>
        <v/>
      </c>
      <c r="AS757" s="39" t="str">
        <f t="shared" si="12"/>
        <v/>
      </c>
      <c r="AT757" s="39" t="str">
        <f t="shared" si="13"/>
        <v/>
      </c>
      <c r="AU757" s="39" t="str">
        <f t="shared" si="14"/>
        <v/>
      </c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 t="str">
        <f t="shared" si="4"/>
        <v/>
      </c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E758" s="39"/>
      <c r="AG758" s="39"/>
      <c r="AH758" s="39" t="str">
        <f t="shared" si="5"/>
        <v/>
      </c>
      <c r="AI758" s="39" t="str">
        <f t="shared" si="6"/>
        <v/>
      </c>
      <c r="AM758" s="39" t="str">
        <f t="array" ref="AM758">IF(C758="","",IFERROR(XLOOKUP(C758,Orders!$A:$A,Orders!$E:$E,""),""))</f>
        <v/>
      </c>
      <c r="AN758" s="39" t="str">
        <f t="shared" si="7"/>
        <v/>
      </c>
      <c r="AO758" s="39" t="str">
        <f t="shared" si="8"/>
        <v/>
      </c>
      <c r="AP758" s="39" t="str">
        <f t="shared" si="9"/>
        <v/>
      </c>
      <c r="AQ758" s="39" t="str">
        <f t="shared" si="10"/>
        <v/>
      </c>
      <c r="AR758" s="39" t="str">
        <f t="shared" si="11"/>
        <v/>
      </c>
      <c r="AS758" s="39" t="str">
        <f t="shared" si="12"/>
        <v/>
      </c>
      <c r="AT758" s="39" t="str">
        <f t="shared" si="13"/>
        <v/>
      </c>
      <c r="AU758" s="39" t="str">
        <f t="shared" si="14"/>
        <v/>
      </c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 t="str">
        <f t="shared" si="4"/>
        <v/>
      </c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E759" s="39"/>
      <c r="AG759" s="39"/>
      <c r="AH759" s="39" t="str">
        <f t="shared" si="5"/>
        <v/>
      </c>
      <c r="AI759" s="39" t="str">
        <f t="shared" si="6"/>
        <v/>
      </c>
      <c r="AM759" s="39" t="str">
        <f t="array" ref="AM759">IF(C759="","",IFERROR(XLOOKUP(C759,Orders!$A:$A,Orders!$E:$E,""),""))</f>
        <v/>
      </c>
      <c r="AN759" s="39" t="str">
        <f t="shared" si="7"/>
        <v/>
      </c>
      <c r="AO759" s="39" t="str">
        <f t="shared" si="8"/>
        <v/>
      </c>
      <c r="AP759" s="39" t="str">
        <f t="shared" si="9"/>
        <v/>
      </c>
      <c r="AQ759" s="39" t="str">
        <f t="shared" si="10"/>
        <v/>
      </c>
      <c r="AR759" s="39" t="str">
        <f t="shared" si="11"/>
        <v/>
      </c>
      <c r="AS759" s="39" t="str">
        <f t="shared" si="12"/>
        <v/>
      </c>
      <c r="AT759" s="39" t="str">
        <f t="shared" si="13"/>
        <v/>
      </c>
      <c r="AU759" s="39" t="str">
        <f t="shared" si="14"/>
        <v/>
      </c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 t="str">
        <f t="shared" si="4"/>
        <v/>
      </c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E760" s="39"/>
      <c r="AG760" s="39"/>
      <c r="AH760" s="39" t="str">
        <f t="shared" si="5"/>
        <v/>
      </c>
      <c r="AI760" s="39" t="str">
        <f t="shared" si="6"/>
        <v/>
      </c>
      <c r="AM760" s="39" t="str">
        <f t="array" ref="AM760">IF(C760="","",IFERROR(XLOOKUP(C760,Orders!$A:$A,Orders!$E:$E,""),""))</f>
        <v/>
      </c>
      <c r="AN760" s="39" t="str">
        <f t="shared" si="7"/>
        <v/>
      </c>
      <c r="AO760" s="39" t="str">
        <f t="shared" si="8"/>
        <v/>
      </c>
      <c r="AP760" s="39" t="str">
        <f t="shared" si="9"/>
        <v/>
      </c>
      <c r="AQ760" s="39" t="str">
        <f t="shared" si="10"/>
        <v/>
      </c>
      <c r="AR760" s="39" t="str">
        <f t="shared" si="11"/>
        <v/>
      </c>
      <c r="AS760" s="39" t="str">
        <f t="shared" si="12"/>
        <v/>
      </c>
      <c r="AT760" s="39" t="str">
        <f t="shared" si="13"/>
        <v/>
      </c>
      <c r="AU760" s="39" t="str">
        <f t="shared" si="14"/>
        <v/>
      </c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 t="str">
        <f t="shared" si="4"/>
        <v/>
      </c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E761" s="39"/>
      <c r="AG761" s="39"/>
      <c r="AH761" s="39" t="str">
        <f t="shared" si="5"/>
        <v/>
      </c>
      <c r="AI761" s="39" t="str">
        <f t="shared" si="6"/>
        <v/>
      </c>
      <c r="AM761" s="39" t="str">
        <f t="array" ref="AM761">IF(C761="","",IFERROR(XLOOKUP(C761,Orders!$A:$A,Orders!$E:$E,""),""))</f>
        <v/>
      </c>
      <c r="AN761" s="39" t="str">
        <f t="shared" si="7"/>
        <v/>
      </c>
      <c r="AO761" s="39" t="str">
        <f t="shared" si="8"/>
        <v/>
      </c>
      <c r="AP761" s="39" t="str">
        <f t="shared" si="9"/>
        <v/>
      </c>
      <c r="AQ761" s="39" t="str">
        <f t="shared" si="10"/>
        <v/>
      </c>
      <c r="AR761" s="39" t="str">
        <f t="shared" si="11"/>
        <v/>
      </c>
      <c r="AS761" s="39" t="str">
        <f t="shared" si="12"/>
        <v/>
      </c>
      <c r="AT761" s="39" t="str">
        <f t="shared" si="13"/>
        <v/>
      </c>
      <c r="AU761" s="39" t="str">
        <f t="shared" si="14"/>
        <v/>
      </c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 t="str">
        <f t="shared" si="4"/>
        <v/>
      </c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E762" s="39"/>
      <c r="AG762" s="39"/>
      <c r="AH762" s="39" t="str">
        <f t="shared" si="5"/>
        <v/>
      </c>
      <c r="AI762" s="39" t="str">
        <f t="shared" si="6"/>
        <v/>
      </c>
      <c r="AM762" s="39" t="str">
        <f t="array" ref="AM762">IF(C762="","",IFERROR(XLOOKUP(C762,Orders!$A:$A,Orders!$E:$E,""),""))</f>
        <v/>
      </c>
      <c r="AN762" s="39" t="str">
        <f t="shared" si="7"/>
        <v/>
      </c>
      <c r="AO762" s="39" t="str">
        <f t="shared" si="8"/>
        <v/>
      </c>
      <c r="AP762" s="39" t="str">
        <f t="shared" si="9"/>
        <v/>
      </c>
      <c r="AQ762" s="39" t="str">
        <f t="shared" si="10"/>
        <v/>
      </c>
      <c r="AR762" s="39" t="str">
        <f t="shared" si="11"/>
        <v/>
      </c>
      <c r="AS762" s="39" t="str">
        <f t="shared" si="12"/>
        <v/>
      </c>
      <c r="AT762" s="39" t="str">
        <f t="shared" si="13"/>
        <v/>
      </c>
      <c r="AU762" s="39" t="str">
        <f t="shared" si="14"/>
        <v/>
      </c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 t="str">
        <f t="shared" si="4"/>
        <v/>
      </c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E763" s="39"/>
      <c r="AG763" s="39"/>
      <c r="AH763" s="39" t="str">
        <f t="shared" si="5"/>
        <v/>
      </c>
      <c r="AI763" s="39" t="str">
        <f t="shared" si="6"/>
        <v/>
      </c>
      <c r="AM763" s="39" t="str">
        <f t="array" ref="AM763">IF(C763="","",IFERROR(XLOOKUP(C763,Orders!$A:$A,Orders!$E:$E,""),""))</f>
        <v/>
      </c>
      <c r="AN763" s="39" t="str">
        <f t="shared" si="7"/>
        <v/>
      </c>
      <c r="AO763" s="39" t="str">
        <f t="shared" si="8"/>
        <v/>
      </c>
      <c r="AP763" s="39" t="str">
        <f t="shared" si="9"/>
        <v/>
      </c>
      <c r="AQ763" s="39" t="str">
        <f t="shared" si="10"/>
        <v/>
      </c>
      <c r="AR763" s="39" t="str">
        <f t="shared" si="11"/>
        <v/>
      </c>
      <c r="AS763" s="39" t="str">
        <f t="shared" si="12"/>
        <v/>
      </c>
      <c r="AT763" s="39" t="str">
        <f t="shared" si="13"/>
        <v/>
      </c>
      <c r="AU763" s="39" t="str">
        <f t="shared" si="14"/>
        <v/>
      </c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 t="str">
        <f t="shared" si="4"/>
        <v/>
      </c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E764" s="39"/>
      <c r="AG764" s="39"/>
      <c r="AH764" s="39" t="str">
        <f t="shared" si="5"/>
        <v/>
      </c>
      <c r="AI764" s="39" t="str">
        <f t="shared" si="6"/>
        <v/>
      </c>
      <c r="AM764" s="39" t="str">
        <f t="array" ref="AM764">IF(C764="","",IFERROR(XLOOKUP(C764,Orders!$A:$A,Orders!$E:$E,""),""))</f>
        <v/>
      </c>
      <c r="AN764" s="39" t="str">
        <f t="shared" si="7"/>
        <v/>
      </c>
      <c r="AO764" s="39" t="str">
        <f t="shared" si="8"/>
        <v/>
      </c>
      <c r="AP764" s="39" t="str">
        <f t="shared" si="9"/>
        <v/>
      </c>
      <c r="AQ764" s="39" t="str">
        <f t="shared" si="10"/>
        <v/>
      </c>
      <c r="AR764" s="39" t="str">
        <f t="shared" si="11"/>
        <v/>
      </c>
      <c r="AS764" s="39" t="str">
        <f t="shared" si="12"/>
        <v/>
      </c>
      <c r="AT764" s="39" t="str">
        <f t="shared" si="13"/>
        <v/>
      </c>
      <c r="AU764" s="39" t="str">
        <f t="shared" si="14"/>
        <v/>
      </c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 t="str">
        <f t="shared" si="4"/>
        <v/>
      </c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E765" s="39"/>
      <c r="AG765" s="39"/>
      <c r="AH765" s="39" t="str">
        <f t="shared" si="5"/>
        <v/>
      </c>
      <c r="AI765" s="39" t="str">
        <f t="shared" si="6"/>
        <v/>
      </c>
      <c r="AM765" s="39" t="str">
        <f t="array" ref="AM765">IF(C765="","",IFERROR(XLOOKUP(C765,Orders!$A:$A,Orders!$E:$E,""),""))</f>
        <v/>
      </c>
      <c r="AN765" s="39" t="str">
        <f t="shared" si="7"/>
        <v/>
      </c>
      <c r="AO765" s="39" t="str">
        <f t="shared" si="8"/>
        <v/>
      </c>
      <c r="AP765" s="39" t="str">
        <f t="shared" si="9"/>
        <v/>
      </c>
      <c r="AQ765" s="39" t="str">
        <f t="shared" si="10"/>
        <v/>
      </c>
      <c r="AR765" s="39" t="str">
        <f t="shared" si="11"/>
        <v/>
      </c>
      <c r="AS765" s="39" t="str">
        <f t="shared" si="12"/>
        <v/>
      </c>
      <c r="AT765" s="39" t="str">
        <f t="shared" si="13"/>
        <v/>
      </c>
      <c r="AU765" s="39" t="str">
        <f t="shared" si="14"/>
        <v/>
      </c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 t="str">
        <f t="shared" si="4"/>
        <v/>
      </c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E766" s="39"/>
      <c r="AG766" s="39"/>
      <c r="AH766" s="39" t="str">
        <f t="shared" si="5"/>
        <v/>
      </c>
      <c r="AI766" s="39" t="str">
        <f t="shared" si="6"/>
        <v/>
      </c>
      <c r="AM766" s="39" t="str">
        <f t="array" ref="AM766">IF(C766="","",IFERROR(XLOOKUP(C766,Orders!$A:$A,Orders!$E:$E,""),""))</f>
        <v/>
      </c>
      <c r="AN766" s="39" t="str">
        <f t="shared" si="7"/>
        <v/>
      </c>
      <c r="AO766" s="39" t="str">
        <f t="shared" si="8"/>
        <v/>
      </c>
      <c r="AP766" s="39" t="str">
        <f t="shared" si="9"/>
        <v/>
      </c>
      <c r="AQ766" s="39" t="str">
        <f t="shared" si="10"/>
        <v/>
      </c>
      <c r="AR766" s="39" t="str">
        <f t="shared" si="11"/>
        <v/>
      </c>
      <c r="AS766" s="39" t="str">
        <f t="shared" si="12"/>
        <v/>
      </c>
      <c r="AT766" s="39" t="str">
        <f t="shared" si="13"/>
        <v/>
      </c>
      <c r="AU766" s="39" t="str">
        <f t="shared" si="14"/>
        <v/>
      </c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 t="str">
        <f t="shared" si="4"/>
        <v/>
      </c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E767" s="39"/>
      <c r="AG767" s="39"/>
      <c r="AH767" s="39" t="str">
        <f t="shared" si="5"/>
        <v/>
      </c>
      <c r="AI767" s="39" t="str">
        <f t="shared" si="6"/>
        <v/>
      </c>
      <c r="AM767" s="39" t="str">
        <f t="array" ref="AM767">IF(C767="","",IFERROR(XLOOKUP(C767,Orders!$A:$A,Orders!$E:$E,""),""))</f>
        <v/>
      </c>
      <c r="AN767" s="39" t="str">
        <f t="shared" si="7"/>
        <v/>
      </c>
      <c r="AO767" s="39" t="str">
        <f t="shared" si="8"/>
        <v/>
      </c>
      <c r="AP767" s="39" t="str">
        <f t="shared" si="9"/>
        <v/>
      </c>
      <c r="AQ767" s="39" t="str">
        <f t="shared" si="10"/>
        <v/>
      </c>
      <c r="AR767" s="39" t="str">
        <f t="shared" si="11"/>
        <v/>
      </c>
      <c r="AS767" s="39" t="str">
        <f t="shared" si="12"/>
        <v/>
      </c>
      <c r="AT767" s="39" t="str">
        <f t="shared" si="13"/>
        <v/>
      </c>
      <c r="AU767" s="39" t="str">
        <f t="shared" si="14"/>
        <v/>
      </c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 t="str">
        <f t="shared" si="4"/>
        <v/>
      </c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E768" s="39"/>
      <c r="AG768" s="39"/>
      <c r="AH768" s="39" t="str">
        <f t="shared" si="5"/>
        <v/>
      </c>
      <c r="AI768" s="39" t="str">
        <f t="shared" si="6"/>
        <v/>
      </c>
      <c r="AM768" s="39" t="str">
        <f t="array" ref="AM768">IF(C768="","",IFERROR(XLOOKUP(C768,Orders!$A:$A,Orders!$E:$E,""),""))</f>
        <v/>
      </c>
      <c r="AN768" s="39" t="str">
        <f t="shared" si="7"/>
        <v/>
      </c>
      <c r="AO768" s="39" t="str">
        <f t="shared" si="8"/>
        <v/>
      </c>
      <c r="AP768" s="39" t="str">
        <f t="shared" si="9"/>
        <v/>
      </c>
      <c r="AQ768" s="39" t="str">
        <f t="shared" si="10"/>
        <v/>
      </c>
      <c r="AR768" s="39" t="str">
        <f t="shared" si="11"/>
        <v/>
      </c>
      <c r="AS768" s="39" t="str">
        <f t="shared" si="12"/>
        <v/>
      </c>
      <c r="AT768" s="39" t="str">
        <f t="shared" si="13"/>
        <v/>
      </c>
      <c r="AU768" s="39" t="str">
        <f t="shared" si="14"/>
        <v/>
      </c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 t="str">
        <f t="shared" si="4"/>
        <v/>
      </c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E769" s="39"/>
      <c r="AG769" s="39"/>
      <c r="AH769" s="39" t="str">
        <f t="shared" si="5"/>
        <v/>
      </c>
      <c r="AI769" s="39" t="str">
        <f t="shared" si="6"/>
        <v/>
      </c>
      <c r="AM769" s="39" t="str">
        <f t="array" ref="AM769">IF(C769="","",IFERROR(XLOOKUP(C769,Orders!$A:$A,Orders!$E:$E,""),""))</f>
        <v/>
      </c>
      <c r="AN769" s="39" t="str">
        <f t="shared" si="7"/>
        <v/>
      </c>
      <c r="AO769" s="39" t="str">
        <f t="shared" si="8"/>
        <v/>
      </c>
      <c r="AP769" s="39" t="str">
        <f t="shared" si="9"/>
        <v/>
      </c>
      <c r="AQ769" s="39" t="str">
        <f t="shared" si="10"/>
        <v/>
      </c>
      <c r="AR769" s="39" t="str">
        <f t="shared" si="11"/>
        <v/>
      </c>
      <c r="AS769" s="39" t="str">
        <f t="shared" si="12"/>
        <v/>
      </c>
      <c r="AT769" s="39" t="str">
        <f t="shared" si="13"/>
        <v/>
      </c>
      <c r="AU769" s="39" t="str">
        <f t="shared" si="14"/>
        <v/>
      </c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 t="str">
        <f t="shared" si="4"/>
        <v/>
      </c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E770" s="39"/>
      <c r="AG770" s="39"/>
      <c r="AH770" s="39" t="str">
        <f t="shared" si="5"/>
        <v/>
      </c>
      <c r="AI770" s="39" t="str">
        <f t="shared" si="6"/>
        <v/>
      </c>
      <c r="AM770" s="39" t="str">
        <f t="array" ref="AM770">IF(C770="","",IFERROR(XLOOKUP(C770,Orders!$A:$A,Orders!$E:$E,""),""))</f>
        <v/>
      </c>
      <c r="AN770" s="39" t="str">
        <f t="shared" si="7"/>
        <v/>
      </c>
      <c r="AO770" s="39" t="str">
        <f t="shared" si="8"/>
        <v/>
      </c>
      <c r="AP770" s="39" t="str">
        <f t="shared" si="9"/>
        <v/>
      </c>
      <c r="AQ770" s="39" t="str">
        <f t="shared" si="10"/>
        <v/>
      </c>
      <c r="AR770" s="39" t="str">
        <f t="shared" si="11"/>
        <v/>
      </c>
      <c r="AS770" s="39" t="str">
        <f t="shared" si="12"/>
        <v/>
      </c>
      <c r="AT770" s="39" t="str">
        <f t="shared" si="13"/>
        <v/>
      </c>
      <c r="AU770" s="39" t="str">
        <f t="shared" si="14"/>
        <v/>
      </c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 t="str">
        <f t="shared" si="4"/>
        <v/>
      </c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E771" s="39"/>
      <c r="AG771" s="39"/>
      <c r="AH771" s="39" t="str">
        <f t="shared" si="5"/>
        <v/>
      </c>
      <c r="AI771" s="39" t="str">
        <f t="shared" si="6"/>
        <v/>
      </c>
      <c r="AM771" s="39" t="str">
        <f t="array" ref="AM771">IF(C771="","",IFERROR(XLOOKUP(C771,Orders!$A:$A,Orders!$E:$E,""),""))</f>
        <v/>
      </c>
      <c r="AN771" s="39" t="str">
        <f t="shared" si="7"/>
        <v/>
      </c>
      <c r="AO771" s="39" t="str">
        <f t="shared" si="8"/>
        <v/>
      </c>
      <c r="AP771" s="39" t="str">
        <f t="shared" si="9"/>
        <v/>
      </c>
      <c r="AQ771" s="39" t="str">
        <f t="shared" si="10"/>
        <v/>
      </c>
      <c r="AR771" s="39" t="str">
        <f t="shared" si="11"/>
        <v/>
      </c>
      <c r="AS771" s="39" t="str">
        <f t="shared" si="12"/>
        <v/>
      </c>
      <c r="AT771" s="39" t="str">
        <f t="shared" si="13"/>
        <v/>
      </c>
      <c r="AU771" s="39" t="str">
        <f t="shared" si="14"/>
        <v/>
      </c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 t="str">
        <f t="shared" si="4"/>
        <v/>
      </c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E772" s="39"/>
      <c r="AG772" s="39"/>
      <c r="AH772" s="39" t="str">
        <f t="shared" si="5"/>
        <v/>
      </c>
      <c r="AI772" s="39" t="str">
        <f t="shared" si="6"/>
        <v/>
      </c>
      <c r="AM772" s="39" t="str">
        <f t="array" ref="AM772">IF(C772="","",IFERROR(XLOOKUP(C772,Orders!$A:$A,Orders!$E:$E,""),""))</f>
        <v/>
      </c>
      <c r="AN772" s="39" t="str">
        <f t="shared" si="7"/>
        <v/>
      </c>
      <c r="AO772" s="39" t="str">
        <f t="shared" si="8"/>
        <v/>
      </c>
      <c r="AP772" s="39" t="str">
        <f t="shared" si="9"/>
        <v/>
      </c>
      <c r="AQ772" s="39" t="str">
        <f t="shared" si="10"/>
        <v/>
      </c>
      <c r="AR772" s="39" t="str">
        <f t="shared" si="11"/>
        <v/>
      </c>
      <c r="AS772" s="39" t="str">
        <f t="shared" si="12"/>
        <v/>
      </c>
      <c r="AT772" s="39" t="str">
        <f t="shared" si="13"/>
        <v/>
      </c>
      <c r="AU772" s="39" t="str">
        <f t="shared" si="14"/>
        <v/>
      </c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 t="str">
        <f t="shared" si="4"/>
        <v/>
      </c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E773" s="39"/>
      <c r="AG773" s="39"/>
      <c r="AH773" s="39" t="str">
        <f t="shared" si="5"/>
        <v/>
      </c>
      <c r="AI773" s="39" t="str">
        <f t="shared" si="6"/>
        <v/>
      </c>
      <c r="AM773" s="39" t="str">
        <f t="array" ref="AM773">IF(C773="","",IFERROR(XLOOKUP(C773,Orders!$A:$A,Orders!$E:$E,""),""))</f>
        <v/>
      </c>
      <c r="AN773" s="39" t="str">
        <f t="shared" si="7"/>
        <v/>
      </c>
      <c r="AO773" s="39" t="str">
        <f t="shared" si="8"/>
        <v/>
      </c>
      <c r="AP773" s="39" t="str">
        <f t="shared" si="9"/>
        <v/>
      </c>
      <c r="AQ773" s="39" t="str">
        <f t="shared" si="10"/>
        <v/>
      </c>
      <c r="AR773" s="39" t="str">
        <f t="shared" si="11"/>
        <v/>
      </c>
      <c r="AS773" s="39" t="str">
        <f t="shared" si="12"/>
        <v/>
      </c>
      <c r="AT773" s="39" t="str">
        <f t="shared" si="13"/>
        <v/>
      </c>
      <c r="AU773" s="39" t="str">
        <f t="shared" si="14"/>
        <v/>
      </c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 t="str">
        <f t="shared" si="4"/>
        <v/>
      </c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E774" s="39"/>
      <c r="AG774" s="39"/>
      <c r="AH774" s="39" t="str">
        <f t="shared" si="5"/>
        <v/>
      </c>
      <c r="AI774" s="39" t="str">
        <f t="shared" si="6"/>
        <v/>
      </c>
      <c r="AM774" s="39" t="str">
        <f t="array" ref="AM774">IF(C774="","",IFERROR(XLOOKUP(C774,Orders!$A:$A,Orders!$E:$E,""),""))</f>
        <v/>
      </c>
      <c r="AN774" s="39" t="str">
        <f t="shared" si="7"/>
        <v/>
      </c>
      <c r="AO774" s="39" t="str">
        <f t="shared" si="8"/>
        <v/>
      </c>
      <c r="AP774" s="39" t="str">
        <f t="shared" si="9"/>
        <v/>
      </c>
      <c r="AQ774" s="39" t="str">
        <f t="shared" si="10"/>
        <v/>
      </c>
      <c r="AR774" s="39" t="str">
        <f t="shared" si="11"/>
        <v/>
      </c>
      <c r="AS774" s="39" t="str">
        <f t="shared" si="12"/>
        <v/>
      </c>
      <c r="AT774" s="39" t="str">
        <f t="shared" si="13"/>
        <v/>
      </c>
      <c r="AU774" s="39" t="str">
        <f t="shared" si="14"/>
        <v/>
      </c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 t="str">
        <f t="shared" si="4"/>
        <v/>
      </c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E775" s="39"/>
      <c r="AG775" s="39"/>
      <c r="AH775" s="39" t="str">
        <f t="shared" si="5"/>
        <v/>
      </c>
      <c r="AI775" s="39" t="str">
        <f t="shared" si="6"/>
        <v/>
      </c>
      <c r="AM775" s="39" t="str">
        <f t="array" ref="AM775">IF(C775="","",IFERROR(XLOOKUP(C775,Orders!$A:$A,Orders!$E:$E,""),""))</f>
        <v/>
      </c>
      <c r="AN775" s="39" t="str">
        <f t="shared" si="7"/>
        <v/>
      </c>
      <c r="AO775" s="39" t="str">
        <f t="shared" si="8"/>
        <v/>
      </c>
      <c r="AP775" s="39" t="str">
        <f t="shared" si="9"/>
        <v/>
      </c>
      <c r="AQ775" s="39" t="str">
        <f t="shared" si="10"/>
        <v/>
      </c>
      <c r="AR775" s="39" t="str">
        <f t="shared" si="11"/>
        <v/>
      </c>
      <c r="AS775" s="39" t="str">
        <f t="shared" si="12"/>
        <v/>
      </c>
      <c r="AT775" s="39" t="str">
        <f t="shared" si="13"/>
        <v/>
      </c>
      <c r="AU775" s="39" t="str">
        <f t="shared" si="14"/>
        <v/>
      </c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 t="str">
        <f t="shared" si="4"/>
        <v/>
      </c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E776" s="39"/>
      <c r="AG776" s="39"/>
      <c r="AH776" s="39" t="str">
        <f t="shared" si="5"/>
        <v/>
      </c>
      <c r="AI776" s="39" t="str">
        <f t="shared" si="6"/>
        <v/>
      </c>
      <c r="AM776" s="39" t="str">
        <f t="array" ref="AM776">IF(C776="","",IFERROR(XLOOKUP(C776,Orders!$A:$A,Orders!$E:$E,""),""))</f>
        <v/>
      </c>
      <c r="AN776" s="39" t="str">
        <f t="shared" si="7"/>
        <v/>
      </c>
      <c r="AO776" s="39" t="str">
        <f t="shared" si="8"/>
        <v/>
      </c>
      <c r="AP776" s="39" t="str">
        <f t="shared" si="9"/>
        <v/>
      </c>
      <c r="AQ776" s="39" t="str">
        <f t="shared" si="10"/>
        <v/>
      </c>
      <c r="AR776" s="39" t="str">
        <f t="shared" si="11"/>
        <v/>
      </c>
      <c r="AS776" s="39" t="str">
        <f t="shared" si="12"/>
        <v/>
      </c>
      <c r="AT776" s="39" t="str">
        <f t="shared" si="13"/>
        <v/>
      </c>
      <c r="AU776" s="39" t="str">
        <f t="shared" si="14"/>
        <v/>
      </c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 t="str">
        <f t="shared" si="4"/>
        <v/>
      </c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E777" s="39"/>
      <c r="AG777" s="39"/>
      <c r="AH777" s="39" t="str">
        <f t="shared" si="5"/>
        <v/>
      </c>
      <c r="AI777" s="39" t="str">
        <f t="shared" si="6"/>
        <v/>
      </c>
      <c r="AM777" s="39" t="str">
        <f t="array" ref="AM777">IF(C777="","",IFERROR(XLOOKUP(C777,Orders!$A:$A,Orders!$E:$E,""),""))</f>
        <v/>
      </c>
      <c r="AN777" s="39" t="str">
        <f t="shared" si="7"/>
        <v/>
      </c>
      <c r="AO777" s="39" t="str">
        <f t="shared" si="8"/>
        <v/>
      </c>
      <c r="AP777" s="39" t="str">
        <f t="shared" si="9"/>
        <v/>
      </c>
      <c r="AQ777" s="39" t="str">
        <f t="shared" si="10"/>
        <v/>
      </c>
      <c r="AR777" s="39" t="str">
        <f t="shared" si="11"/>
        <v/>
      </c>
      <c r="AS777" s="39" t="str">
        <f t="shared" si="12"/>
        <v/>
      </c>
      <c r="AT777" s="39" t="str">
        <f t="shared" si="13"/>
        <v/>
      </c>
      <c r="AU777" s="39" t="str">
        <f t="shared" si="14"/>
        <v/>
      </c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 t="str">
        <f t="shared" si="4"/>
        <v/>
      </c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E778" s="39"/>
      <c r="AG778" s="39"/>
      <c r="AH778" s="39" t="str">
        <f t="shared" si="5"/>
        <v/>
      </c>
      <c r="AI778" s="39" t="str">
        <f t="shared" si="6"/>
        <v/>
      </c>
      <c r="AM778" s="39" t="str">
        <f t="array" ref="AM778">IF(C778="","",IFERROR(XLOOKUP(C778,Orders!$A:$A,Orders!$E:$E,""),""))</f>
        <v/>
      </c>
      <c r="AN778" s="39" t="str">
        <f t="shared" si="7"/>
        <v/>
      </c>
      <c r="AO778" s="39" t="str">
        <f t="shared" si="8"/>
        <v/>
      </c>
      <c r="AP778" s="39" t="str">
        <f t="shared" si="9"/>
        <v/>
      </c>
      <c r="AQ778" s="39" t="str">
        <f t="shared" si="10"/>
        <v/>
      </c>
      <c r="AR778" s="39" t="str">
        <f t="shared" si="11"/>
        <v/>
      </c>
      <c r="AS778" s="39" t="str">
        <f t="shared" si="12"/>
        <v/>
      </c>
      <c r="AT778" s="39" t="str">
        <f t="shared" si="13"/>
        <v/>
      </c>
      <c r="AU778" s="39" t="str">
        <f t="shared" si="14"/>
        <v/>
      </c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 t="str">
        <f t="shared" si="4"/>
        <v/>
      </c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E779" s="39"/>
      <c r="AG779" s="39"/>
      <c r="AH779" s="39" t="str">
        <f t="shared" si="5"/>
        <v/>
      </c>
      <c r="AI779" s="39" t="str">
        <f t="shared" si="6"/>
        <v/>
      </c>
      <c r="AM779" s="39" t="str">
        <f t="array" ref="AM779">IF(C779="","",IFERROR(XLOOKUP(C779,Orders!$A:$A,Orders!$E:$E,""),""))</f>
        <v/>
      </c>
      <c r="AN779" s="39" t="str">
        <f t="shared" si="7"/>
        <v/>
      </c>
      <c r="AO779" s="39" t="str">
        <f t="shared" si="8"/>
        <v/>
      </c>
      <c r="AP779" s="39" t="str">
        <f t="shared" si="9"/>
        <v/>
      </c>
      <c r="AQ779" s="39" t="str">
        <f t="shared" si="10"/>
        <v/>
      </c>
      <c r="AR779" s="39" t="str">
        <f t="shared" si="11"/>
        <v/>
      </c>
      <c r="AS779" s="39" t="str">
        <f t="shared" si="12"/>
        <v/>
      </c>
      <c r="AT779" s="39" t="str">
        <f t="shared" si="13"/>
        <v/>
      </c>
      <c r="AU779" s="39" t="str">
        <f t="shared" si="14"/>
        <v/>
      </c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 t="str">
        <f t="shared" si="4"/>
        <v/>
      </c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E780" s="39"/>
      <c r="AG780" s="39"/>
      <c r="AH780" s="39" t="str">
        <f t="shared" si="5"/>
        <v/>
      </c>
      <c r="AI780" s="39" t="str">
        <f t="shared" si="6"/>
        <v/>
      </c>
      <c r="AM780" s="39" t="str">
        <f t="array" ref="AM780">IF(C780="","",IFERROR(XLOOKUP(C780,Orders!$A:$A,Orders!$E:$E,""),""))</f>
        <v/>
      </c>
      <c r="AN780" s="39" t="str">
        <f t="shared" si="7"/>
        <v/>
      </c>
      <c r="AO780" s="39" t="str">
        <f t="shared" si="8"/>
        <v/>
      </c>
      <c r="AP780" s="39" t="str">
        <f t="shared" si="9"/>
        <v/>
      </c>
      <c r="AQ780" s="39" t="str">
        <f t="shared" si="10"/>
        <v/>
      </c>
      <c r="AR780" s="39" t="str">
        <f t="shared" si="11"/>
        <v/>
      </c>
      <c r="AS780" s="39" t="str">
        <f t="shared" si="12"/>
        <v/>
      </c>
      <c r="AT780" s="39" t="str">
        <f t="shared" si="13"/>
        <v/>
      </c>
      <c r="AU780" s="39" t="str">
        <f t="shared" si="14"/>
        <v/>
      </c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 t="str">
        <f t="shared" si="4"/>
        <v/>
      </c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E781" s="39"/>
      <c r="AG781" s="39"/>
      <c r="AH781" s="39" t="str">
        <f t="shared" si="5"/>
        <v/>
      </c>
      <c r="AI781" s="39" t="str">
        <f t="shared" si="6"/>
        <v/>
      </c>
      <c r="AM781" s="39" t="str">
        <f t="array" ref="AM781">IF(C781="","",IFERROR(XLOOKUP(C781,Orders!$A:$A,Orders!$E:$E,""),""))</f>
        <v/>
      </c>
      <c r="AN781" s="39" t="str">
        <f t="shared" si="7"/>
        <v/>
      </c>
      <c r="AO781" s="39" t="str">
        <f t="shared" si="8"/>
        <v/>
      </c>
      <c r="AP781" s="39" t="str">
        <f t="shared" si="9"/>
        <v/>
      </c>
      <c r="AQ781" s="39" t="str">
        <f t="shared" si="10"/>
        <v/>
      </c>
      <c r="AR781" s="39" t="str">
        <f t="shared" si="11"/>
        <v/>
      </c>
      <c r="AS781" s="39" t="str">
        <f t="shared" si="12"/>
        <v/>
      </c>
      <c r="AT781" s="39" t="str">
        <f t="shared" si="13"/>
        <v/>
      </c>
      <c r="AU781" s="39" t="str">
        <f t="shared" si="14"/>
        <v/>
      </c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 t="str">
        <f t="shared" si="4"/>
        <v/>
      </c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E782" s="39"/>
      <c r="AG782" s="39"/>
      <c r="AH782" s="39" t="str">
        <f t="shared" si="5"/>
        <v/>
      </c>
      <c r="AI782" s="39" t="str">
        <f t="shared" si="6"/>
        <v/>
      </c>
      <c r="AM782" s="39" t="str">
        <f t="array" ref="AM782">IF(C782="","",IFERROR(XLOOKUP(C782,Orders!$A:$A,Orders!$E:$E,""),""))</f>
        <v/>
      </c>
      <c r="AN782" s="39" t="str">
        <f t="shared" si="7"/>
        <v/>
      </c>
      <c r="AO782" s="39" t="str">
        <f t="shared" si="8"/>
        <v/>
      </c>
      <c r="AP782" s="39" t="str">
        <f t="shared" si="9"/>
        <v/>
      </c>
      <c r="AQ782" s="39" t="str">
        <f t="shared" si="10"/>
        <v/>
      </c>
      <c r="AR782" s="39" t="str">
        <f t="shared" si="11"/>
        <v/>
      </c>
      <c r="AS782" s="39" t="str">
        <f t="shared" si="12"/>
        <v/>
      </c>
      <c r="AT782" s="39" t="str">
        <f t="shared" si="13"/>
        <v/>
      </c>
      <c r="AU782" s="39" t="str">
        <f t="shared" si="14"/>
        <v/>
      </c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 t="str">
        <f t="shared" si="4"/>
        <v/>
      </c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E783" s="39"/>
      <c r="AG783" s="39"/>
      <c r="AH783" s="39" t="str">
        <f t="shared" si="5"/>
        <v/>
      </c>
      <c r="AI783" s="39" t="str">
        <f t="shared" si="6"/>
        <v/>
      </c>
      <c r="AM783" s="39" t="str">
        <f t="array" ref="AM783">IF(C783="","",IFERROR(XLOOKUP(C783,Orders!$A:$A,Orders!$E:$E,""),""))</f>
        <v/>
      </c>
      <c r="AN783" s="39" t="str">
        <f t="shared" si="7"/>
        <v/>
      </c>
      <c r="AO783" s="39" t="str">
        <f t="shared" si="8"/>
        <v/>
      </c>
      <c r="AP783" s="39" t="str">
        <f t="shared" si="9"/>
        <v/>
      </c>
      <c r="AQ783" s="39" t="str">
        <f t="shared" si="10"/>
        <v/>
      </c>
      <c r="AR783" s="39" t="str">
        <f t="shared" si="11"/>
        <v/>
      </c>
      <c r="AS783" s="39" t="str">
        <f t="shared" si="12"/>
        <v/>
      </c>
      <c r="AT783" s="39" t="str">
        <f t="shared" si="13"/>
        <v/>
      </c>
      <c r="AU783" s="39" t="str">
        <f t="shared" si="14"/>
        <v/>
      </c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 t="str">
        <f t="shared" si="4"/>
        <v/>
      </c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E784" s="39"/>
      <c r="AG784" s="39"/>
      <c r="AH784" s="39" t="str">
        <f t="shared" si="5"/>
        <v/>
      </c>
      <c r="AI784" s="39" t="str">
        <f t="shared" si="6"/>
        <v/>
      </c>
      <c r="AM784" s="39" t="str">
        <f t="array" ref="AM784">IF(C784="","",IFERROR(XLOOKUP(C784,Orders!$A:$A,Orders!$E:$E,""),""))</f>
        <v/>
      </c>
      <c r="AN784" s="39" t="str">
        <f t="shared" si="7"/>
        <v/>
      </c>
      <c r="AO784" s="39" t="str">
        <f t="shared" si="8"/>
        <v/>
      </c>
      <c r="AP784" s="39" t="str">
        <f t="shared" si="9"/>
        <v/>
      </c>
      <c r="AQ784" s="39" t="str">
        <f t="shared" si="10"/>
        <v/>
      </c>
      <c r="AR784" s="39" t="str">
        <f t="shared" si="11"/>
        <v/>
      </c>
      <c r="AS784" s="39" t="str">
        <f t="shared" si="12"/>
        <v/>
      </c>
      <c r="AT784" s="39" t="str">
        <f t="shared" si="13"/>
        <v/>
      </c>
      <c r="AU784" s="39" t="str">
        <f t="shared" si="14"/>
        <v/>
      </c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 t="str">
        <f t="shared" si="4"/>
        <v/>
      </c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E785" s="39"/>
      <c r="AG785" s="39"/>
      <c r="AH785" s="39" t="str">
        <f t="shared" si="5"/>
        <v/>
      </c>
      <c r="AI785" s="39" t="str">
        <f t="shared" si="6"/>
        <v/>
      </c>
      <c r="AM785" s="39" t="str">
        <f t="array" ref="AM785">IF(C785="","",IFERROR(XLOOKUP(C785,Orders!$A:$A,Orders!$E:$E,""),""))</f>
        <v/>
      </c>
      <c r="AN785" s="39" t="str">
        <f t="shared" si="7"/>
        <v/>
      </c>
      <c r="AO785" s="39" t="str">
        <f t="shared" si="8"/>
        <v/>
      </c>
      <c r="AP785" s="39" t="str">
        <f t="shared" si="9"/>
        <v/>
      </c>
      <c r="AQ785" s="39" t="str">
        <f t="shared" si="10"/>
        <v/>
      </c>
      <c r="AR785" s="39" t="str">
        <f t="shared" si="11"/>
        <v/>
      </c>
      <c r="AS785" s="39" t="str">
        <f t="shared" si="12"/>
        <v/>
      </c>
      <c r="AT785" s="39" t="str">
        <f t="shared" si="13"/>
        <v/>
      </c>
      <c r="AU785" s="39" t="str">
        <f t="shared" si="14"/>
        <v/>
      </c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 t="str">
        <f t="shared" si="4"/>
        <v/>
      </c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E786" s="39"/>
      <c r="AG786" s="39"/>
      <c r="AH786" s="39" t="str">
        <f t="shared" si="5"/>
        <v/>
      </c>
      <c r="AI786" s="39" t="str">
        <f t="shared" si="6"/>
        <v/>
      </c>
      <c r="AM786" s="39" t="str">
        <f t="array" ref="AM786">IF(C786="","",IFERROR(XLOOKUP(C786,Orders!$A:$A,Orders!$E:$E,""),""))</f>
        <v/>
      </c>
      <c r="AN786" s="39" t="str">
        <f t="shared" si="7"/>
        <v/>
      </c>
      <c r="AO786" s="39" t="str">
        <f t="shared" si="8"/>
        <v/>
      </c>
      <c r="AP786" s="39" t="str">
        <f t="shared" si="9"/>
        <v/>
      </c>
      <c r="AQ786" s="39" t="str">
        <f t="shared" si="10"/>
        <v/>
      </c>
      <c r="AR786" s="39" t="str">
        <f t="shared" si="11"/>
        <v/>
      </c>
      <c r="AS786" s="39" t="str">
        <f t="shared" si="12"/>
        <v/>
      </c>
      <c r="AT786" s="39" t="str">
        <f t="shared" si="13"/>
        <v/>
      </c>
      <c r="AU786" s="39" t="str">
        <f t="shared" si="14"/>
        <v/>
      </c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 t="str">
        <f t="shared" si="4"/>
        <v/>
      </c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E787" s="39"/>
      <c r="AG787" s="39"/>
      <c r="AH787" s="39" t="str">
        <f t="shared" si="5"/>
        <v/>
      </c>
      <c r="AI787" s="39" t="str">
        <f t="shared" si="6"/>
        <v/>
      </c>
      <c r="AM787" s="39" t="str">
        <f t="array" ref="AM787">IF(C787="","",IFERROR(XLOOKUP(C787,Orders!$A:$A,Orders!$E:$E,""),""))</f>
        <v/>
      </c>
      <c r="AN787" s="39" t="str">
        <f t="shared" si="7"/>
        <v/>
      </c>
      <c r="AO787" s="39" t="str">
        <f t="shared" si="8"/>
        <v/>
      </c>
      <c r="AP787" s="39" t="str">
        <f t="shared" si="9"/>
        <v/>
      </c>
      <c r="AQ787" s="39" t="str">
        <f t="shared" si="10"/>
        <v/>
      </c>
      <c r="AR787" s="39" t="str">
        <f t="shared" si="11"/>
        <v/>
      </c>
      <c r="AS787" s="39" t="str">
        <f t="shared" si="12"/>
        <v/>
      </c>
      <c r="AT787" s="39" t="str">
        <f t="shared" si="13"/>
        <v/>
      </c>
      <c r="AU787" s="39" t="str">
        <f t="shared" si="14"/>
        <v/>
      </c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 t="str">
        <f t="shared" si="4"/>
        <v/>
      </c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E788" s="39"/>
      <c r="AG788" s="39"/>
      <c r="AH788" s="39" t="str">
        <f t="shared" si="5"/>
        <v/>
      </c>
      <c r="AI788" s="39" t="str">
        <f t="shared" si="6"/>
        <v/>
      </c>
      <c r="AM788" s="39" t="str">
        <f t="array" ref="AM788">IF(C788="","",IFERROR(XLOOKUP(C788,Orders!$A:$A,Orders!$E:$E,""),""))</f>
        <v/>
      </c>
      <c r="AN788" s="39" t="str">
        <f t="shared" si="7"/>
        <v/>
      </c>
      <c r="AO788" s="39" t="str">
        <f t="shared" si="8"/>
        <v/>
      </c>
      <c r="AP788" s="39" t="str">
        <f t="shared" si="9"/>
        <v/>
      </c>
      <c r="AQ788" s="39" t="str">
        <f t="shared" si="10"/>
        <v/>
      </c>
      <c r="AR788" s="39" t="str">
        <f t="shared" si="11"/>
        <v/>
      </c>
      <c r="AS788" s="39" t="str">
        <f t="shared" si="12"/>
        <v/>
      </c>
      <c r="AT788" s="39" t="str">
        <f t="shared" si="13"/>
        <v/>
      </c>
      <c r="AU788" s="39" t="str">
        <f t="shared" si="14"/>
        <v/>
      </c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 t="str">
        <f t="shared" si="4"/>
        <v/>
      </c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E789" s="39"/>
      <c r="AG789" s="39"/>
      <c r="AH789" s="39" t="str">
        <f t="shared" si="5"/>
        <v/>
      </c>
      <c r="AI789" s="39" t="str">
        <f t="shared" si="6"/>
        <v/>
      </c>
      <c r="AM789" s="39" t="str">
        <f t="array" ref="AM789">IF(C789="","",IFERROR(XLOOKUP(C789,Orders!$A:$A,Orders!$E:$E,""),""))</f>
        <v/>
      </c>
      <c r="AN789" s="39" t="str">
        <f t="shared" si="7"/>
        <v/>
      </c>
      <c r="AO789" s="39" t="str">
        <f t="shared" si="8"/>
        <v/>
      </c>
      <c r="AP789" s="39" t="str">
        <f t="shared" si="9"/>
        <v/>
      </c>
      <c r="AQ789" s="39" t="str">
        <f t="shared" si="10"/>
        <v/>
      </c>
      <c r="AR789" s="39" t="str">
        <f t="shared" si="11"/>
        <v/>
      </c>
      <c r="AS789" s="39" t="str">
        <f t="shared" si="12"/>
        <v/>
      </c>
      <c r="AT789" s="39" t="str">
        <f t="shared" si="13"/>
        <v/>
      </c>
      <c r="AU789" s="39" t="str">
        <f t="shared" si="14"/>
        <v/>
      </c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 t="str">
        <f t="shared" si="4"/>
        <v/>
      </c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E790" s="39"/>
      <c r="AG790" s="39"/>
      <c r="AH790" s="39" t="str">
        <f t="shared" si="5"/>
        <v/>
      </c>
      <c r="AI790" s="39" t="str">
        <f t="shared" si="6"/>
        <v/>
      </c>
      <c r="AM790" s="39" t="str">
        <f t="array" ref="AM790">IF(C790="","",IFERROR(XLOOKUP(C790,Orders!$A:$A,Orders!$E:$E,""),""))</f>
        <v/>
      </c>
      <c r="AN790" s="39" t="str">
        <f t="shared" si="7"/>
        <v/>
      </c>
      <c r="AO790" s="39" t="str">
        <f t="shared" si="8"/>
        <v/>
      </c>
      <c r="AP790" s="39" t="str">
        <f t="shared" si="9"/>
        <v/>
      </c>
      <c r="AQ790" s="39" t="str">
        <f t="shared" si="10"/>
        <v/>
      </c>
      <c r="AR790" s="39" t="str">
        <f t="shared" si="11"/>
        <v/>
      </c>
      <c r="AS790" s="39" t="str">
        <f t="shared" si="12"/>
        <v/>
      </c>
      <c r="AT790" s="39" t="str">
        <f t="shared" si="13"/>
        <v/>
      </c>
      <c r="AU790" s="39" t="str">
        <f t="shared" si="14"/>
        <v/>
      </c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 t="str">
        <f t="shared" si="4"/>
        <v/>
      </c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E791" s="39"/>
      <c r="AG791" s="39"/>
      <c r="AH791" s="39" t="str">
        <f t="shared" si="5"/>
        <v/>
      </c>
      <c r="AI791" s="39" t="str">
        <f t="shared" si="6"/>
        <v/>
      </c>
      <c r="AM791" s="39" t="str">
        <f t="array" ref="AM791">IF(C791="","",IFERROR(XLOOKUP(C791,Orders!$A:$A,Orders!$E:$E,""),""))</f>
        <v/>
      </c>
      <c r="AN791" s="39" t="str">
        <f t="shared" si="7"/>
        <v/>
      </c>
      <c r="AO791" s="39" t="str">
        <f t="shared" si="8"/>
        <v/>
      </c>
      <c r="AP791" s="39" t="str">
        <f t="shared" si="9"/>
        <v/>
      </c>
      <c r="AQ791" s="39" t="str">
        <f t="shared" si="10"/>
        <v/>
      </c>
      <c r="AR791" s="39" t="str">
        <f t="shared" si="11"/>
        <v/>
      </c>
      <c r="AS791" s="39" t="str">
        <f t="shared" si="12"/>
        <v/>
      </c>
      <c r="AT791" s="39" t="str">
        <f t="shared" si="13"/>
        <v/>
      </c>
      <c r="AU791" s="39" t="str">
        <f t="shared" si="14"/>
        <v/>
      </c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 t="str">
        <f t="shared" si="4"/>
        <v/>
      </c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E792" s="39"/>
      <c r="AG792" s="39"/>
      <c r="AH792" s="39" t="str">
        <f t="shared" si="5"/>
        <v/>
      </c>
      <c r="AI792" s="39" t="str">
        <f t="shared" si="6"/>
        <v/>
      </c>
      <c r="AM792" s="39" t="str">
        <f t="array" ref="AM792">IF(C792="","",IFERROR(XLOOKUP(C792,Orders!$A:$A,Orders!$E:$E,""),""))</f>
        <v/>
      </c>
      <c r="AN792" s="39" t="str">
        <f t="shared" si="7"/>
        <v/>
      </c>
      <c r="AO792" s="39" t="str">
        <f t="shared" si="8"/>
        <v/>
      </c>
      <c r="AP792" s="39" t="str">
        <f t="shared" si="9"/>
        <v/>
      </c>
      <c r="AQ792" s="39" t="str">
        <f t="shared" si="10"/>
        <v/>
      </c>
      <c r="AR792" s="39" t="str">
        <f t="shared" si="11"/>
        <v/>
      </c>
      <c r="AS792" s="39" t="str">
        <f t="shared" si="12"/>
        <v/>
      </c>
      <c r="AT792" s="39" t="str">
        <f t="shared" si="13"/>
        <v/>
      </c>
      <c r="AU792" s="39" t="str">
        <f t="shared" si="14"/>
        <v/>
      </c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 t="str">
        <f t="shared" si="4"/>
        <v/>
      </c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E793" s="39"/>
      <c r="AG793" s="39"/>
      <c r="AH793" s="39" t="str">
        <f t="shared" si="5"/>
        <v/>
      </c>
      <c r="AI793" s="39" t="str">
        <f t="shared" si="6"/>
        <v/>
      </c>
      <c r="AM793" s="39" t="str">
        <f t="array" ref="AM793">IF(C793="","",IFERROR(XLOOKUP(C793,Orders!$A:$A,Orders!$E:$E,""),""))</f>
        <v/>
      </c>
      <c r="AN793" s="39" t="str">
        <f t="shared" si="7"/>
        <v/>
      </c>
      <c r="AO793" s="39" t="str">
        <f t="shared" si="8"/>
        <v/>
      </c>
      <c r="AP793" s="39" t="str">
        <f t="shared" si="9"/>
        <v/>
      </c>
      <c r="AQ793" s="39" t="str">
        <f t="shared" si="10"/>
        <v/>
      </c>
      <c r="AR793" s="39" t="str">
        <f t="shared" si="11"/>
        <v/>
      </c>
      <c r="AS793" s="39" t="str">
        <f t="shared" si="12"/>
        <v/>
      </c>
      <c r="AT793" s="39" t="str">
        <f t="shared" si="13"/>
        <v/>
      </c>
      <c r="AU793" s="39" t="str">
        <f t="shared" si="14"/>
        <v/>
      </c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 t="str">
        <f t="shared" si="4"/>
        <v/>
      </c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E794" s="39"/>
      <c r="AG794" s="39"/>
      <c r="AH794" s="39" t="str">
        <f t="shared" si="5"/>
        <v/>
      </c>
      <c r="AI794" s="39" t="str">
        <f t="shared" si="6"/>
        <v/>
      </c>
      <c r="AM794" s="39" t="str">
        <f t="array" ref="AM794">IF(C794="","",IFERROR(XLOOKUP(C794,Orders!$A:$A,Orders!$E:$E,""),""))</f>
        <v/>
      </c>
      <c r="AN794" s="39" t="str">
        <f t="shared" si="7"/>
        <v/>
      </c>
      <c r="AO794" s="39" t="str">
        <f t="shared" si="8"/>
        <v/>
      </c>
      <c r="AP794" s="39" t="str">
        <f t="shared" si="9"/>
        <v/>
      </c>
      <c r="AQ794" s="39" t="str">
        <f t="shared" si="10"/>
        <v/>
      </c>
      <c r="AR794" s="39" t="str">
        <f t="shared" si="11"/>
        <v/>
      </c>
      <c r="AS794" s="39" t="str">
        <f t="shared" si="12"/>
        <v/>
      </c>
      <c r="AT794" s="39" t="str">
        <f t="shared" si="13"/>
        <v/>
      </c>
      <c r="AU794" s="39" t="str">
        <f t="shared" si="14"/>
        <v/>
      </c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 t="str">
        <f t="shared" si="4"/>
        <v/>
      </c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E795" s="39"/>
      <c r="AG795" s="39"/>
      <c r="AH795" s="39" t="str">
        <f t="shared" si="5"/>
        <v/>
      </c>
      <c r="AI795" s="39" t="str">
        <f t="shared" si="6"/>
        <v/>
      </c>
      <c r="AM795" s="39" t="str">
        <f t="array" ref="AM795">IF(C795="","",IFERROR(XLOOKUP(C795,Orders!$A:$A,Orders!$E:$E,""),""))</f>
        <v/>
      </c>
      <c r="AN795" s="39" t="str">
        <f t="shared" si="7"/>
        <v/>
      </c>
      <c r="AO795" s="39" t="str">
        <f t="shared" si="8"/>
        <v/>
      </c>
      <c r="AP795" s="39" t="str">
        <f t="shared" si="9"/>
        <v/>
      </c>
      <c r="AQ795" s="39" t="str">
        <f t="shared" si="10"/>
        <v/>
      </c>
      <c r="AR795" s="39" t="str">
        <f t="shared" si="11"/>
        <v/>
      </c>
      <c r="AS795" s="39" t="str">
        <f t="shared" si="12"/>
        <v/>
      </c>
      <c r="AT795" s="39" t="str">
        <f t="shared" si="13"/>
        <v/>
      </c>
      <c r="AU795" s="39" t="str">
        <f t="shared" si="14"/>
        <v/>
      </c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 t="str">
        <f t="shared" si="4"/>
        <v/>
      </c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E796" s="39"/>
      <c r="AG796" s="39"/>
      <c r="AH796" s="39" t="str">
        <f t="shared" si="5"/>
        <v/>
      </c>
      <c r="AI796" s="39" t="str">
        <f t="shared" si="6"/>
        <v/>
      </c>
      <c r="AM796" s="39" t="str">
        <f t="array" ref="AM796">IF(C796="","",IFERROR(XLOOKUP(C796,Orders!$A:$A,Orders!$E:$E,""),""))</f>
        <v/>
      </c>
      <c r="AN796" s="39" t="str">
        <f t="shared" si="7"/>
        <v/>
      </c>
      <c r="AO796" s="39" t="str">
        <f t="shared" si="8"/>
        <v/>
      </c>
      <c r="AP796" s="39" t="str">
        <f t="shared" si="9"/>
        <v/>
      </c>
      <c r="AQ796" s="39" t="str">
        <f t="shared" si="10"/>
        <v/>
      </c>
      <c r="AR796" s="39" t="str">
        <f t="shared" si="11"/>
        <v/>
      </c>
      <c r="AS796" s="39" t="str">
        <f t="shared" si="12"/>
        <v/>
      </c>
      <c r="AT796" s="39" t="str">
        <f t="shared" si="13"/>
        <v/>
      </c>
      <c r="AU796" s="39" t="str">
        <f t="shared" si="14"/>
        <v/>
      </c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 t="str">
        <f t="shared" si="4"/>
        <v/>
      </c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E797" s="39"/>
      <c r="AG797" s="39"/>
      <c r="AH797" s="39" t="str">
        <f t="shared" si="5"/>
        <v/>
      </c>
      <c r="AI797" s="39" t="str">
        <f t="shared" si="6"/>
        <v/>
      </c>
      <c r="AM797" s="39" t="str">
        <f t="array" ref="AM797">IF(C797="","",IFERROR(XLOOKUP(C797,Orders!$A:$A,Orders!$E:$E,""),""))</f>
        <v/>
      </c>
      <c r="AN797" s="39" t="str">
        <f t="shared" si="7"/>
        <v/>
      </c>
      <c r="AO797" s="39" t="str">
        <f t="shared" si="8"/>
        <v/>
      </c>
      <c r="AP797" s="39" t="str">
        <f t="shared" si="9"/>
        <v/>
      </c>
      <c r="AQ797" s="39" t="str">
        <f t="shared" si="10"/>
        <v/>
      </c>
      <c r="AR797" s="39" t="str">
        <f t="shared" si="11"/>
        <v/>
      </c>
      <c r="AS797" s="39" t="str">
        <f t="shared" si="12"/>
        <v/>
      </c>
      <c r="AT797" s="39" t="str">
        <f t="shared" si="13"/>
        <v/>
      </c>
      <c r="AU797" s="39" t="str">
        <f t="shared" si="14"/>
        <v/>
      </c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 t="str">
        <f t="shared" si="4"/>
        <v/>
      </c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E798" s="39"/>
      <c r="AG798" s="39"/>
      <c r="AH798" s="39" t="str">
        <f t="shared" si="5"/>
        <v/>
      </c>
      <c r="AI798" s="39" t="str">
        <f t="shared" si="6"/>
        <v/>
      </c>
      <c r="AM798" s="39" t="str">
        <f t="array" ref="AM798">IF(C798="","",IFERROR(XLOOKUP(C798,Orders!$A:$A,Orders!$E:$E,""),""))</f>
        <v/>
      </c>
      <c r="AN798" s="39" t="str">
        <f t="shared" si="7"/>
        <v/>
      </c>
      <c r="AO798" s="39" t="str">
        <f t="shared" si="8"/>
        <v/>
      </c>
      <c r="AP798" s="39" t="str">
        <f t="shared" si="9"/>
        <v/>
      </c>
      <c r="AQ798" s="39" t="str">
        <f t="shared" si="10"/>
        <v/>
      </c>
      <c r="AR798" s="39" t="str">
        <f t="shared" si="11"/>
        <v/>
      </c>
      <c r="AS798" s="39" t="str">
        <f t="shared" si="12"/>
        <v/>
      </c>
      <c r="AT798" s="39" t="str">
        <f t="shared" si="13"/>
        <v/>
      </c>
      <c r="AU798" s="39" t="str">
        <f t="shared" si="14"/>
        <v/>
      </c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 t="str">
        <f t="shared" si="4"/>
        <v/>
      </c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E799" s="39"/>
      <c r="AG799" s="39"/>
      <c r="AH799" s="39" t="str">
        <f t="shared" si="5"/>
        <v/>
      </c>
      <c r="AI799" s="39" t="str">
        <f t="shared" si="6"/>
        <v/>
      </c>
      <c r="AM799" s="39" t="str">
        <f t="array" ref="AM799">IF(C799="","",IFERROR(XLOOKUP(C799,Orders!$A:$A,Orders!$E:$E,""),""))</f>
        <v/>
      </c>
      <c r="AN799" s="39" t="str">
        <f t="shared" si="7"/>
        <v/>
      </c>
      <c r="AO799" s="39" t="str">
        <f t="shared" si="8"/>
        <v/>
      </c>
      <c r="AP799" s="39" t="str">
        <f t="shared" si="9"/>
        <v/>
      </c>
      <c r="AQ799" s="39" t="str">
        <f t="shared" si="10"/>
        <v/>
      </c>
      <c r="AR799" s="39" t="str">
        <f t="shared" si="11"/>
        <v/>
      </c>
      <c r="AS799" s="39" t="str">
        <f t="shared" si="12"/>
        <v/>
      </c>
      <c r="AT799" s="39" t="str">
        <f t="shared" si="13"/>
        <v/>
      </c>
      <c r="AU799" s="39" t="str">
        <f t="shared" si="14"/>
        <v/>
      </c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 t="str">
        <f t="shared" si="4"/>
        <v/>
      </c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E800" s="39"/>
      <c r="AG800" s="39"/>
      <c r="AH800" s="39" t="str">
        <f t="shared" si="5"/>
        <v/>
      </c>
      <c r="AI800" s="39" t="str">
        <f t="shared" si="6"/>
        <v/>
      </c>
      <c r="AM800" s="39" t="str">
        <f t="array" ref="AM800">IF(C800="","",IFERROR(XLOOKUP(C800,Orders!$A:$A,Orders!$E:$E,""),""))</f>
        <v/>
      </c>
      <c r="AN800" s="39" t="str">
        <f t="shared" si="7"/>
        <v/>
      </c>
      <c r="AO800" s="39" t="str">
        <f t="shared" si="8"/>
        <v/>
      </c>
      <c r="AP800" s="39" t="str">
        <f t="shared" si="9"/>
        <v/>
      </c>
      <c r="AQ800" s="39" t="str">
        <f t="shared" si="10"/>
        <v/>
      </c>
      <c r="AR800" s="39" t="str">
        <f t="shared" si="11"/>
        <v/>
      </c>
      <c r="AS800" s="39" t="str">
        <f t="shared" si="12"/>
        <v/>
      </c>
      <c r="AT800" s="39" t="str">
        <f t="shared" si="13"/>
        <v/>
      </c>
      <c r="AU800" s="39" t="str">
        <f t="shared" si="14"/>
        <v/>
      </c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 t="str">
        <f t="shared" si="4"/>
        <v/>
      </c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E801" s="39"/>
      <c r="AG801" s="39"/>
      <c r="AH801" s="39" t="str">
        <f t="shared" si="5"/>
        <v/>
      </c>
      <c r="AI801" s="39" t="str">
        <f t="shared" si="6"/>
        <v/>
      </c>
      <c r="AM801" s="39" t="str">
        <f t="array" ref="AM801">IF(C801="","",IFERROR(XLOOKUP(C801,Orders!$A:$A,Orders!$E:$E,""),""))</f>
        <v/>
      </c>
      <c r="AN801" s="39" t="str">
        <f t="shared" si="7"/>
        <v/>
      </c>
      <c r="AO801" s="39" t="str">
        <f t="shared" si="8"/>
        <v/>
      </c>
      <c r="AP801" s="39" t="str">
        <f t="shared" si="9"/>
        <v/>
      </c>
      <c r="AQ801" s="39" t="str">
        <f t="shared" si="10"/>
        <v/>
      </c>
      <c r="AR801" s="39" t="str">
        <f t="shared" si="11"/>
        <v/>
      </c>
      <c r="AS801" s="39" t="str">
        <f t="shared" si="12"/>
        <v/>
      </c>
      <c r="AT801" s="39" t="str">
        <f t="shared" si="13"/>
        <v/>
      </c>
      <c r="AU801" s="39" t="str">
        <f t="shared" si="14"/>
        <v/>
      </c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 t="str">
        <f t="shared" si="4"/>
        <v/>
      </c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E802" s="39"/>
      <c r="AG802" s="39"/>
      <c r="AH802" s="39" t="str">
        <f t="shared" si="5"/>
        <v/>
      </c>
      <c r="AI802" s="39" t="str">
        <f t="shared" si="6"/>
        <v/>
      </c>
      <c r="AM802" s="39" t="str">
        <f t="array" ref="AM802">IF(C802="","",IFERROR(XLOOKUP(C802,Orders!$A:$A,Orders!$E:$E,""),""))</f>
        <v/>
      </c>
      <c r="AN802" s="39" t="str">
        <f t="shared" si="7"/>
        <v/>
      </c>
      <c r="AO802" s="39" t="str">
        <f t="shared" si="8"/>
        <v/>
      </c>
      <c r="AP802" s="39" t="str">
        <f t="shared" si="9"/>
        <v/>
      </c>
      <c r="AQ802" s="39" t="str">
        <f t="shared" si="10"/>
        <v/>
      </c>
      <c r="AR802" s="39" t="str">
        <f t="shared" si="11"/>
        <v/>
      </c>
      <c r="AS802" s="39" t="str">
        <f t="shared" si="12"/>
        <v/>
      </c>
      <c r="AT802" s="39" t="str">
        <f t="shared" si="13"/>
        <v/>
      </c>
      <c r="AU802" s="39" t="str">
        <f t="shared" si="14"/>
        <v/>
      </c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 t="str">
        <f t="shared" si="4"/>
        <v/>
      </c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E803" s="39"/>
      <c r="AG803" s="39"/>
      <c r="AH803" s="39" t="str">
        <f t="shared" si="5"/>
        <v/>
      </c>
      <c r="AI803" s="39" t="str">
        <f t="shared" si="6"/>
        <v/>
      </c>
      <c r="AM803" s="39" t="str">
        <f t="array" ref="AM803">IF(C803="","",IFERROR(XLOOKUP(C803,Orders!$A:$A,Orders!$E:$E,""),""))</f>
        <v/>
      </c>
      <c r="AN803" s="39" t="str">
        <f t="shared" si="7"/>
        <v/>
      </c>
      <c r="AO803" s="39" t="str">
        <f t="shared" si="8"/>
        <v/>
      </c>
      <c r="AP803" s="39" t="str">
        <f t="shared" si="9"/>
        <v/>
      </c>
      <c r="AQ803" s="39" t="str">
        <f t="shared" si="10"/>
        <v/>
      </c>
      <c r="AR803" s="39" t="str">
        <f t="shared" si="11"/>
        <v/>
      </c>
      <c r="AS803" s="39" t="str">
        <f t="shared" si="12"/>
        <v/>
      </c>
      <c r="AT803" s="39" t="str">
        <f t="shared" si="13"/>
        <v/>
      </c>
      <c r="AU803" s="39" t="str">
        <f t="shared" si="14"/>
        <v/>
      </c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 t="str">
        <f t="shared" si="4"/>
        <v/>
      </c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E804" s="39"/>
      <c r="AG804" s="39"/>
      <c r="AH804" s="39" t="str">
        <f t="shared" si="5"/>
        <v/>
      </c>
      <c r="AI804" s="39" t="str">
        <f t="shared" si="6"/>
        <v/>
      </c>
      <c r="AM804" s="39" t="str">
        <f t="array" ref="AM804">IF(C804="","",IFERROR(XLOOKUP(C804,Orders!$A:$A,Orders!$E:$E,""),""))</f>
        <v/>
      </c>
      <c r="AN804" s="39" t="str">
        <f t="shared" si="7"/>
        <v/>
      </c>
      <c r="AO804" s="39" t="str">
        <f t="shared" si="8"/>
        <v/>
      </c>
      <c r="AP804" s="39" t="str">
        <f t="shared" si="9"/>
        <v/>
      </c>
      <c r="AQ804" s="39" t="str">
        <f t="shared" si="10"/>
        <v/>
      </c>
      <c r="AR804" s="39" t="str">
        <f t="shared" si="11"/>
        <v/>
      </c>
      <c r="AS804" s="39" t="str">
        <f t="shared" si="12"/>
        <v/>
      </c>
      <c r="AT804" s="39" t="str">
        <f t="shared" si="13"/>
        <v/>
      </c>
      <c r="AU804" s="39" t="str">
        <f t="shared" si="14"/>
        <v/>
      </c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 t="str">
        <f t="shared" si="4"/>
        <v/>
      </c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E805" s="39"/>
      <c r="AG805" s="39"/>
      <c r="AH805" s="39" t="str">
        <f t="shared" si="5"/>
        <v/>
      </c>
      <c r="AI805" s="39" t="str">
        <f t="shared" si="6"/>
        <v/>
      </c>
      <c r="AM805" s="39" t="str">
        <f t="array" ref="AM805">IF(C805="","",IFERROR(XLOOKUP(C805,Orders!$A:$A,Orders!$E:$E,""),""))</f>
        <v/>
      </c>
      <c r="AN805" s="39" t="str">
        <f t="shared" si="7"/>
        <v/>
      </c>
      <c r="AO805" s="39" t="str">
        <f t="shared" si="8"/>
        <v/>
      </c>
      <c r="AP805" s="39" t="str">
        <f t="shared" si="9"/>
        <v/>
      </c>
      <c r="AQ805" s="39" t="str">
        <f t="shared" si="10"/>
        <v/>
      </c>
      <c r="AR805" s="39" t="str">
        <f t="shared" si="11"/>
        <v/>
      </c>
      <c r="AS805" s="39" t="str">
        <f t="shared" si="12"/>
        <v/>
      </c>
      <c r="AT805" s="39" t="str">
        <f t="shared" si="13"/>
        <v/>
      </c>
      <c r="AU805" s="39" t="str">
        <f t="shared" si="14"/>
        <v/>
      </c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 t="str">
        <f t="shared" si="4"/>
        <v/>
      </c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E806" s="39"/>
      <c r="AG806" s="39"/>
      <c r="AH806" s="39" t="str">
        <f t="shared" si="5"/>
        <v/>
      </c>
      <c r="AI806" s="39" t="str">
        <f t="shared" si="6"/>
        <v/>
      </c>
      <c r="AM806" s="39" t="str">
        <f t="array" ref="AM806">IF(C806="","",IFERROR(XLOOKUP(C806,Orders!$A:$A,Orders!$E:$E,""),""))</f>
        <v/>
      </c>
      <c r="AN806" s="39" t="str">
        <f t="shared" si="7"/>
        <v/>
      </c>
      <c r="AO806" s="39" t="str">
        <f t="shared" si="8"/>
        <v/>
      </c>
      <c r="AP806" s="39" t="str">
        <f t="shared" si="9"/>
        <v/>
      </c>
      <c r="AQ806" s="39" t="str">
        <f t="shared" si="10"/>
        <v/>
      </c>
      <c r="AR806" s="39" t="str">
        <f t="shared" si="11"/>
        <v/>
      </c>
      <c r="AS806" s="39" t="str">
        <f t="shared" si="12"/>
        <v/>
      </c>
      <c r="AT806" s="39" t="str">
        <f t="shared" si="13"/>
        <v/>
      </c>
      <c r="AU806" s="39" t="str">
        <f t="shared" si="14"/>
        <v/>
      </c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 t="str">
        <f t="shared" si="4"/>
        <v/>
      </c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E807" s="39"/>
      <c r="AG807" s="39"/>
      <c r="AH807" s="39" t="str">
        <f t="shared" si="5"/>
        <v/>
      </c>
      <c r="AI807" s="39" t="str">
        <f t="shared" si="6"/>
        <v/>
      </c>
      <c r="AM807" s="39" t="str">
        <f t="array" ref="AM807">IF(C807="","",IFERROR(XLOOKUP(C807,Orders!$A:$A,Orders!$E:$E,""),""))</f>
        <v/>
      </c>
      <c r="AN807" s="39" t="str">
        <f t="shared" si="7"/>
        <v/>
      </c>
      <c r="AO807" s="39" t="str">
        <f t="shared" si="8"/>
        <v/>
      </c>
      <c r="AP807" s="39" t="str">
        <f t="shared" si="9"/>
        <v/>
      </c>
      <c r="AQ807" s="39" t="str">
        <f t="shared" si="10"/>
        <v/>
      </c>
      <c r="AR807" s="39" t="str">
        <f t="shared" si="11"/>
        <v/>
      </c>
      <c r="AS807" s="39" t="str">
        <f t="shared" si="12"/>
        <v/>
      </c>
      <c r="AT807" s="39" t="str">
        <f t="shared" si="13"/>
        <v/>
      </c>
      <c r="AU807" s="39" t="str">
        <f t="shared" si="14"/>
        <v/>
      </c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 t="str">
        <f t="shared" si="4"/>
        <v/>
      </c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E808" s="39"/>
      <c r="AG808" s="39"/>
      <c r="AH808" s="39" t="str">
        <f t="shared" si="5"/>
        <v/>
      </c>
      <c r="AI808" s="39" t="str">
        <f t="shared" si="6"/>
        <v/>
      </c>
      <c r="AM808" s="39" t="str">
        <f t="array" ref="AM808">IF(C808="","",IFERROR(XLOOKUP(C808,Orders!$A:$A,Orders!$E:$E,""),""))</f>
        <v/>
      </c>
      <c r="AN808" s="39" t="str">
        <f t="shared" si="7"/>
        <v/>
      </c>
      <c r="AO808" s="39" t="str">
        <f t="shared" si="8"/>
        <v/>
      </c>
      <c r="AP808" s="39" t="str">
        <f t="shared" si="9"/>
        <v/>
      </c>
      <c r="AQ808" s="39" t="str">
        <f t="shared" si="10"/>
        <v/>
      </c>
      <c r="AR808" s="39" t="str">
        <f t="shared" si="11"/>
        <v/>
      </c>
      <c r="AS808" s="39" t="str">
        <f t="shared" si="12"/>
        <v/>
      </c>
      <c r="AT808" s="39" t="str">
        <f t="shared" si="13"/>
        <v/>
      </c>
      <c r="AU808" s="39" t="str">
        <f t="shared" si="14"/>
        <v/>
      </c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 t="str">
        <f t="shared" si="4"/>
        <v/>
      </c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E809" s="39"/>
      <c r="AG809" s="39"/>
      <c r="AH809" s="39" t="str">
        <f t="shared" si="5"/>
        <v/>
      </c>
      <c r="AI809" s="39" t="str">
        <f t="shared" si="6"/>
        <v/>
      </c>
      <c r="AM809" s="39" t="str">
        <f t="array" ref="AM809">IF(C809="","",IFERROR(XLOOKUP(C809,Orders!$A:$A,Orders!$E:$E,""),""))</f>
        <v/>
      </c>
      <c r="AN809" s="39" t="str">
        <f t="shared" si="7"/>
        <v/>
      </c>
      <c r="AO809" s="39" t="str">
        <f t="shared" si="8"/>
        <v/>
      </c>
      <c r="AP809" s="39" t="str">
        <f t="shared" si="9"/>
        <v/>
      </c>
      <c r="AQ809" s="39" t="str">
        <f t="shared" si="10"/>
        <v/>
      </c>
      <c r="AR809" s="39" t="str">
        <f t="shared" si="11"/>
        <v/>
      </c>
      <c r="AS809" s="39" t="str">
        <f t="shared" si="12"/>
        <v/>
      </c>
      <c r="AT809" s="39" t="str">
        <f t="shared" si="13"/>
        <v/>
      </c>
      <c r="AU809" s="39" t="str">
        <f t="shared" si="14"/>
        <v/>
      </c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 t="str">
        <f t="shared" si="4"/>
        <v/>
      </c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E810" s="39"/>
      <c r="AG810" s="39"/>
      <c r="AH810" s="39" t="str">
        <f t="shared" si="5"/>
        <v/>
      </c>
      <c r="AI810" s="39" t="str">
        <f t="shared" si="6"/>
        <v/>
      </c>
      <c r="AM810" s="39" t="str">
        <f t="array" ref="AM810">IF(C810="","",IFERROR(XLOOKUP(C810,Orders!$A:$A,Orders!$E:$E,""),""))</f>
        <v/>
      </c>
      <c r="AN810" s="39" t="str">
        <f t="shared" si="7"/>
        <v/>
      </c>
      <c r="AO810" s="39" t="str">
        <f t="shared" si="8"/>
        <v/>
      </c>
      <c r="AP810" s="39" t="str">
        <f t="shared" si="9"/>
        <v/>
      </c>
      <c r="AQ810" s="39" t="str">
        <f t="shared" si="10"/>
        <v/>
      </c>
      <c r="AR810" s="39" t="str">
        <f t="shared" si="11"/>
        <v/>
      </c>
      <c r="AS810" s="39" t="str">
        <f t="shared" si="12"/>
        <v/>
      </c>
      <c r="AT810" s="39" t="str">
        <f t="shared" si="13"/>
        <v/>
      </c>
      <c r="AU810" s="39" t="str">
        <f t="shared" si="14"/>
        <v/>
      </c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 t="str">
        <f t="shared" si="4"/>
        <v/>
      </c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E811" s="39"/>
      <c r="AG811" s="39"/>
      <c r="AH811" s="39" t="str">
        <f t="shared" si="5"/>
        <v/>
      </c>
      <c r="AI811" s="39" t="str">
        <f t="shared" si="6"/>
        <v/>
      </c>
      <c r="AM811" s="39" t="str">
        <f t="array" ref="AM811">IF(C811="","",IFERROR(XLOOKUP(C811,Orders!$A:$A,Orders!$E:$E,""),""))</f>
        <v/>
      </c>
      <c r="AN811" s="39" t="str">
        <f t="shared" si="7"/>
        <v/>
      </c>
      <c r="AO811" s="39" t="str">
        <f t="shared" si="8"/>
        <v/>
      </c>
      <c r="AP811" s="39" t="str">
        <f t="shared" si="9"/>
        <v/>
      </c>
      <c r="AQ811" s="39" t="str">
        <f t="shared" si="10"/>
        <v/>
      </c>
      <c r="AR811" s="39" t="str">
        <f t="shared" si="11"/>
        <v/>
      </c>
      <c r="AS811" s="39" t="str">
        <f t="shared" si="12"/>
        <v/>
      </c>
      <c r="AT811" s="39" t="str">
        <f t="shared" si="13"/>
        <v/>
      </c>
      <c r="AU811" s="39" t="str">
        <f t="shared" si="14"/>
        <v/>
      </c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 t="str">
        <f t="shared" si="4"/>
        <v/>
      </c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E812" s="39"/>
      <c r="AG812" s="39"/>
      <c r="AH812" s="39" t="str">
        <f t="shared" si="5"/>
        <v/>
      </c>
      <c r="AI812" s="39" t="str">
        <f t="shared" si="6"/>
        <v/>
      </c>
      <c r="AM812" s="39" t="str">
        <f t="array" ref="AM812">IF(C812="","",IFERROR(XLOOKUP(C812,Orders!$A:$A,Orders!$E:$E,""),""))</f>
        <v/>
      </c>
      <c r="AN812" s="39" t="str">
        <f t="shared" si="7"/>
        <v/>
      </c>
      <c r="AO812" s="39" t="str">
        <f t="shared" si="8"/>
        <v/>
      </c>
      <c r="AP812" s="39" t="str">
        <f t="shared" si="9"/>
        <v/>
      </c>
      <c r="AQ812" s="39" t="str">
        <f t="shared" si="10"/>
        <v/>
      </c>
      <c r="AR812" s="39" t="str">
        <f t="shared" si="11"/>
        <v/>
      </c>
      <c r="AS812" s="39" t="str">
        <f t="shared" si="12"/>
        <v/>
      </c>
      <c r="AT812" s="39" t="str">
        <f t="shared" si="13"/>
        <v/>
      </c>
      <c r="AU812" s="39" t="str">
        <f t="shared" si="14"/>
        <v/>
      </c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 t="str">
        <f t="shared" si="4"/>
        <v/>
      </c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E813" s="39"/>
      <c r="AG813" s="39"/>
      <c r="AH813" s="39" t="str">
        <f t="shared" si="5"/>
        <v/>
      </c>
      <c r="AI813" s="39" t="str">
        <f t="shared" si="6"/>
        <v/>
      </c>
      <c r="AM813" s="39" t="str">
        <f t="array" ref="AM813">IF(C813="","",IFERROR(XLOOKUP(C813,Orders!$A:$A,Orders!$E:$E,""),""))</f>
        <v/>
      </c>
      <c r="AN813" s="39" t="str">
        <f t="shared" si="7"/>
        <v/>
      </c>
      <c r="AO813" s="39" t="str">
        <f t="shared" si="8"/>
        <v/>
      </c>
      <c r="AP813" s="39" t="str">
        <f t="shared" si="9"/>
        <v/>
      </c>
      <c r="AQ813" s="39" t="str">
        <f t="shared" si="10"/>
        <v/>
      </c>
      <c r="AR813" s="39" t="str">
        <f t="shared" si="11"/>
        <v/>
      </c>
      <c r="AS813" s="39" t="str">
        <f t="shared" si="12"/>
        <v/>
      </c>
      <c r="AT813" s="39" t="str">
        <f t="shared" si="13"/>
        <v/>
      </c>
      <c r="AU813" s="39" t="str">
        <f t="shared" si="14"/>
        <v/>
      </c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 t="str">
        <f t="shared" si="4"/>
        <v/>
      </c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E814" s="39"/>
      <c r="AG814" s="39"/>
      <c r="AH814" s="39" t="str">
        <f t="shared" si="5"/>
        <v/>
      </c>
      <c r="AI814" s="39" t="str">
        <f t="shared" si="6"/>
        <v/>
      </c>
      <c r="AM814" s="39" t="str">
        <f t="array" ref="AM814">IF(C814="","",IFERROR(XLOOKUP(C814,Orders!$A:$A,Orders!$E:$E,""),""))</f>
        <v/>
      </c>
      <c r="AN814" s="39" t="str">
        <f t="shared" si="7"/>
        <v/>
      </c>
      <c r="AO814" s="39" t="str">
        <f t="shared" si="8"/>
        <v/>
      </c>
      <c r="AP814" s="39" t="str">
        <f t="shared" si="9"/>
        <v/>
      </c>
      <c r="AQ814" s="39" t="str">
        <f t="shared" si="10"/>
        <v/>
      </c>
      <c r="AR814" s="39" t="str">
        <f t="shared" si="11"/>
        <v/>
      </c>
      <c r="AS814" s="39" t="str">
        <f t="shared" si="12"/>
        <v/>
      </c>
      <c r="AT814" s="39" t="str">
        <f t="shared" si="13"/>
        <v/>
      </c>
      <c r="AU814" s="39" t="str">
        <f t="shared" si="14"/>
        <v/>
      </c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 t="str">
        <f t="shared" si="4"/>
        <v/>
      </c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E815" s="39"/>
      <c r="AG815" s="39"/>
      <c r="AH815" s="39" t="str">
        <f t="shared" si="5"/>
        <v/>
      </c>
      <c r="AI815" s="39" t="str">
        <f t="shared" si="6"/>
        <v/>
      </c>
      <c r="AM815" s="39" t="str">
        <f t="array" ref="AM815">IF(C815="","",IFERROR(XLOOKUP(C815,Orders!$A:$A,Orders!$E:$E,""),""))</f>
        <v/>
      </c>
      <c r="AN815" s="39" t="str">
        <f t="shared" si="7"/>
        <v/>
      </c>
      <c r="AO815" s="39" t="str">
        <f t="shared" si="8"/>
        <v/>
      </c>
      <c r="AP815" s="39" t="str">
        <f t="shared" si="9"/>
        <v/>
      </c>
      <c r="AQ815" s="39" t="str">
        <f t="shared" si="10"/>
        <v/>
      </c>
      <c r="AR815" s="39" t="str">
        <f t="shared" si="11"/>
        <v/>
      </c>
      <c r="AS815" s="39" t="str">
        <f t="shared" si="12"/>
        <v/>
      </c>
      <c r="AT815" s="39" t="str">
        <f t="shared" si="13"/>
        <v/>
      </c>
      <c r="AU815" s="39" t="str">
        <f t="shared" si="14"/>
        <v/>
      </c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 t="str">
        <f t="shared" si="4"/>
        <v/>
      </c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E816" s="39"/>
      <c r="AG816" s="39"/>
      <c r="AH816" s="39" t="str">
        <f t="shared" si="5"/>
        <v/>
      </c>
      <c r="AI816" s="39" t="str">
        <f t="shared" si="6"/>
        <v/>
      </c>
      <c r="AM816" s="39" t="str">
        <f t="array" ref="AM816">IF(C816="","",IFERROR(XLOOKUP(C816,Orders!$A:$A,Orders!$E:$E,""),""))</f>
        <v/>
      </c>
      <c r="AN816" s="39" t="str">
        <f t="shared" si="7"/>
        <v/>
      </c>
      <c r="AO816" s="39" t="str">
        <f t="shared" si="8"/>
        <v/>
      </c>
      <c r="AP816" s="39" t="str">
        <f t="shared" si="9"/>
        <v/>
      </c>
      <c r="AQ816" s="39" t="str">
        <f t="shared" si="10"/>
        <v/>
      </c>
      <c r="AR816" s="39" t="str">
        <f t="shared" si="11"/>
        <v/>
      </c>
      <c r="AS816" s="39" t="str">
        <f t="shared" si="12"/>
        <v/>
      </c>
      <c r="AT816" s="39" t="str">
        <f t="shared" si="13"/>
        <v/>
      </c>
      <c r="AU816" s="39" t="str">
        <f t="shared" si="14"/>
        <v/>
      </c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 t="str">
        <f t="shared" si="4"/>
        <v/>
      </c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E817" s="39"/>
      <c r="AG817" s="39"/>
      <c r="AH817" s="39" t="str">
        <f t="shared" si="5"/>
        <v/>
      </c>
      <c r="AI817" s="39" t="str">
        <f t="shared" si="6"/>
        <v/>
      </c>
      <c r="AM817" s="39" t="str">
        <f t="array" ref="AM817">IF(C817="","",IFERROR(XLOOKUP(C817,Orders!$A:$A,Orders!$E:$E,""),""))</f>
        <v/>
      </c>
      <c r="AN817" s="39" t="str">
        <f t="shared" si="7"/>
        <v/>
      </c>
      <c r="AO817" s="39" t="str">
        <f t="shared" si="8"/>
        <v/>
      </c>
      <c r="AP817" s="39" t="str">
        <f t="shared" si="9"/>
        <v/>
      </c>
      <c r="AQ817" s="39" t="str">
        <f t="shared" si="10"/>
        <v/>
      </c>
      <c r="AR817" s="39" t="str">
        <f t="shared" si="11"/>
        <v/>
      </c>
      <c r="AS817" s="39" t="str">
        <f t="shared" si="12"/>
        <v/>
      </c>
      <c r="AT817" s="39" t="str">
        <f t="shared" si="13"/>
        <v/>
      </c>
      <c r="AU817" s="39" t="str">
        <f t="shared" si="14"/>
        <v/>
      </c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 t="str">
        <f t="shared" si="4"/>
        <v/>
      </c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E818" s="39"/>
      <c r="AG818" s="39"/>
      <c r="AH818" s="39" t="str">
        <f t="shared" si="5"/>
        <v/>
      </c>
      <c r="AI818" s="39" t="str">
        <f t="shared" si="6"/>
        <v/>
      </c>
      <c r="AM818" s="39" t="str">
        <f t="array" ref="AM818">IF(C818="","",IFERROR(XLOOKUP(C818,Orders!$A:$A,Orders!$E:$E,""),""))</f>
        <v/>
      </c>
      <c r="AN818" s="39" t="str">
        <f t="shared" si="7"/>
        <v/>
      </c>
      <c r="AO818" s="39" t="str">
        <f t="shared" si="8"/>
        <v/>
      </c>
      <c r="AP818" s="39" t="str">
        <f t="shared" si="9"/>
        <v/>
      </c>
      <c r="AQ818" s="39" t="str">
        <f t="shared" si="10"/>
        <v/>
      </c>
      <c r="AR818" s="39" t="str">
        <f t="shared" si="11"/>
        <v/>
      </c>
      <c r="AS818" s="39" t="str">
        <f t="shared" si="12"/>
        <v/>
      </c>
      <c r="AT818" s="39" t="str">
        <f t="shared" si="13"/>
        <v/>
      </c>
      <c r="AU818" s="39" t="str">
        <f t="shared" si="14"/>
        <v/>
      </c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 t="str">
        <f t="shared" si="4"/>
        <v/>
      </c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E819" s="39"/>
      <c r="AG819" s="39"/>
      <c r="AH819" s="39" t="str">
        <f t="shared" si="5"/>
        <v/>
      </c>
      <c r="AI819" s="39" t="str">
        <f t="shared" si="6"/>
        <v/>
      </c>
      <c r="AM819" s="39" t="str">
        <f t="array" ref="AM819">IF(C819="","",IFERROR(XLOOKUP(C819,Orders!$A:$A,Orders!$E:$E,""),""))</f>
        <v/>
      </c>
      <c r="AN819" s="39" t="str">
        <f t="shared" si="7"/>
        <v/>
      </c>
      <c r="AO819" s="39" t="str">
        <f t="shared" si="8"/>
        <v/>
      </c>
      <c r="AP819" s="39" t="str">
        <f t="shared" si="9"/>
        <v/>
      </c>
      <c r="AQ819" s="39" t="str">
        <f t="shared" si="10"/>
        <v/>
      </c>
      <c r="AR819" s="39" t="str">
        <f t="shared" si="11"/>
        <v/>
      </c>
      <c r="AS819" s="39" t="str">
        <f t="shared" si="12"/>
        <v/>
      </c>
      <c r="AT819" s="39" t="str">
        <f t="shared" si="13"/>
        <v/>
      </c>
      <c r="AU819" s="39" t="str">
        <f t="shared" si="14"/>
        <v/>
      </c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 t="str">
        <f t="shared" si="4"/>
        <v/>
      </c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E820" s="39"/>
      <c r="AG820" s="39"/>
      <c r="AH820" s="39" t="str">
        <f t="shared" si="5"/>
        <v/>
      </c>
      <c r="AI820" s="39" t="str">
        <f t="shared" si="6"/>
        <v/>
      </c>
      <c r="AM820" s="39" t="str">
        <f t="array" ref="AM820">IF(C820="","",IFERROR(XLOOKUP(C820,Orders!$A:$A,Orders!$E:$E,""),""))</f>
        <v/>
      </c>
      <c r="AN820" s="39" t="str">
        <f t="shared" si="7"/>
        <v/>
      </c>
      <c r="AO820" s="39" t="str">
        <f t="shared" si="8"/>
        <v/>
      </c>
      <c r="AP820" s="39" t="str">
        <f t="shared" si="9"/>
        <v/>
      </c>
      <c r="AQ820" s="39" t="str">
        <f t="shared" si="10"/>
        <v/>
      </c>
      <c r="AR820" s="39" t="str">
        <f t="shared" si="11"/>
        <v/>
      </c>
      <c r="AS820" s="39" t="str">
        <f t="shared" si="12"/>
        <v/>
      </c>
      <c r="AT820" s="39" t="str">
        <f t="shared" si="13"/>
        <v/>
      </c>
      <c r="AU820" s="39" t="str">
        <f t="shared" si="14"/>
        <v/>
      </c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 t="str">
        <f t="shared" si="4"/>
        <v/>
      </c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E821" s="39"/>
      <c r="AG821" s="39"/>
      <c r="AH821" s="39" t="str">
        <f t="shared" si="5"/>
        <v/>
      </c>
      <c r="AI821" s="39" t="str">
        <f t="shared" si="6"/>
        <v/>
      </c>
      <c r="AM821" s="39" t="str">
        <f t="array" ref="AM821">IF(C821="","",IFERROR(XLOOKUP(C821,Orders!$A:$A,Orders!$E:$E,""),""))</f>
        <v/>
      </c>
      <c r="AN821" s="39" t="str">
        <f t="shared" si="7"/>
        <v/>
      </c>
      <c r="AO821" s="39" t="str">
        <f t="shared" si="8"/>
        <v/>
      </c>
      <c r="AP821" s="39" t="str">
        <f t="shared" si="9"/>
        <v/>
      </c>
      <c r="AQ821" s="39" t="str">
        <f t="shared" si="10"/>
        <v/>
      </c>
      <c r="AR821" s="39" t="str">
        <f t="shared" si="11"/>
        <v/>
      </c>
      <c r="AS821" s="39" t="str">
        <f t="shared" si="12"/>
        <v/>
      </c>
      <c r="AT821" s="39" t="str">
        <f t="shared" si="13"/>
        <v/>
      </c>
      <c r="AU821" s="39" t="str">
        <f t="shared" si="14"/>
        <v/>
      </c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 t="str">
        <f t="shared" si="4"/>
        <v/>
      </c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E822" s="39"/>
      <c r="AG822" s="39"/>
      <c r="AH822" s="39" t="str">
        <f t="shared" si="5"/>
        <v/>
      </c>
      <c r="AI822" s="39" t="str">
        <f t="shared" si="6"/>
        <v/>
      </c>
      <c r="AM822" s="39" t="str">
        <f t="array" ref="AM822">IF(C822="","",IFERROR(XLOOKUP(C822,Orders!$A:$A,Orders!$E:$E,""),""))</f>
        <v/>
      </c>
      <c r="AN822" s="39" t="str">
        <f t="shared" si="7"/>
        <v/>
      </c>
      <c r="AO822" s="39" t="str">
        <f t="shared" si="8"/>
        <v/>
      </c>
      <c r="AP822" s="39" t="str">
        <f t="shared" si="9"/>
        <v/>
      </c>
      <c r="AQ822" s="39" t="str">
        <f t="shared" si="10"/>
        <v/>
      </c>
      <c r="AR822" s="39" t="str">
        <f t="shared" si="11"/>
        <v/>
      </c>
      <c r="AS822" s="39" t="str">
        <f t="shared" si="12"/>
        <v/>
      </c>
      <c r="AT822" s="39" t="str">
        <f t="shared" si="13"/>
        <v/>
      </c>
      <c r="AU822" s="39" t="str">
        <f t="shared" si="14"/>
        <v/>
      </c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 t="str">
        <f t="shared" si="4"/>
        <v/>
      </c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E823" s="39"/>
      <c r="AG823" s="39"/>
      <c r="AH823" s="39" t="str">
        <f t="shared" si="5"/>
        <v/>
      </c>
      <c r="AI823" s="39" t="str">
        <f t="shared" si="6"/>
        <v/>
      </c>
      <c r="AM823" s="39" t="str">
        <f t="array" ref="AM823">IF(C823="","",IFERROR(XLOOKUP(C823,Orders!$A:$A,Orders!$E:$E,""),""))</f>
        <v/>
      </c>
      <c r="AN823" s="39" t="str">
        <f t="shared" si="7"/>
        <v/>
      </c>
      <c r="AO823" s="39" t="str">
        <f t="shared" si="8"/>
        <v/>
      </c>
      <c r="AP823" s="39" t="str">
        <f t="shared" si="9"/>
        <v/>
      </c>
      <c r="AQ823" s="39" t="str">
        <f t="shared" si="10"/>
        <v/>
      </c>
      <c r="AR823" s="39" t="str">
        <f t="shared" si="11"/>
        <v/>
      </c>
      <c r="AS823" s="39" t="str">
        <f t="shared" si="12"/>
        <v/>
      </c>
      <c r="AT823" s="39" t="str">
        <f t="shared" si="13"/>
        <v/>
      </c>
      <c r="AU823" s="39" t="str">
        <f t="shared" si="14"/>
        <v/>
      </c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 t="str">
        <f t="shared" si="4"/>
        <v/>
      </c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E824" s="39"/>
      <c r="AG824" s="39"/>
      <c r="AH824" s="39" t="str">
        <f t="shared" si="5"/>
        <v/>
      </c>
      <c r="AI824" s="39" t="str">
        <f t="shared" si="6"/>
        <v/>
      </c>
      <c r="AM824" s="39" t="str">
        <f t="array" ref="AM824">IF(C824="","",IFERROR(XLOOKUP(C824,Orders!$A:$A,Orders!$E:$E,""),""))</f>
        <v/>
      </c>
      <c r="AN824" s="39" t="str">
        <f t="shared" si="7"/>
        <v/>
      </c>
      <c r="AO824" s="39" t="str">
        <f t="shared" si="8"/>
        <v/>
      </c>
      <c r="AP824" s="39" t="str">
        <f t="shared" si="9"/>
        <v/>
      </c>
      <c r="AQ824" s="39" t="str">
        <f t="shared" si="10"/>
        <v/>
      </c>
      <c r="AR824" s="39" t="str">
        <f t="shared" si="11"/>
        <v/>
      </c>
      <c r="AS824" s="39" t="str">
        <f t="shared" si="12"/>
        <v/>
      </c>
      <c r="AT824" s="39" t="str">
        <f t="shared" si="13"/>
        <v/>
      </c>
      <c r="AU824" s="39" t="str">
        <f t="shared" si="14"/>
        <v/>
      </c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 t="str">
        <f t="shared" si="4"/>
        <v/>
      </c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E825" s="39"/>
      <c r="AG825" s="39"/>
      <c r="AH825" s="39" t="str">
        <f t="shared" si="5"/>
        <v/>
      </c>
      <c r="AI825" s="39" t="str">
        <f t="shared" si="6"/>
        <v/>
      </c>
      <c r="AM825" s="39" t="str">
        <f t="array" ref="AM825">IF(C825="","",IFERROR(XLOOKUP(C825,Orders!$A:$A,Orders!$E:$E,""),""))</f>
        <v/>
      </c>
      <c r="AN825" s="39" t="str">
        <f t="shared" si="7"/>
        <v/>
      </c>
      <c r="AO825" s="39" t="str">
        <f t="shared" si="8"/>
        <v/>
      </c>
      <c r="AP825" s="39" t="str">
        <f t="shared" si="9"/>
        <v/>
      </c>
      <c r="AQ825" s="39" t="str">
        <f t="shared" si="10"/>
        <v/>
      </c>
      <c r="AR825" s="39" t="str">
        <f t="shared" si="11"/>
        <v/>
      </c>
      <c r="AS825" s="39" t="str">
        <f t="shared" si="12"/>
        <v/>
      </c>
      <c r="AT825" s="39" t="str">
        <f t="shared" si="13"/>
        <v/>
      </c>
      <c r="AU825" s="39" t="str">
        <f t="shared" si="14"/>
        <v/>
      </c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 t="str">
        <f t="shared" si="4"/>
        <v/>
      </c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E826" s="39"/>
      <c r="AG826" s="39"/>
      <c r="AH826" s="39" t="str">
        <f t="shared" si="5"/>
        <v/>
      </c>
      <c r="AI826" s="39" t="str">
        <f t="shared" si="6"/>
        <v/>
      </c>
      <c r="AM826" s="39" t="str">
        <f t="array" ref="AM826">IF(C826="","",IFERROR(XLOOKUP(C826,Orders!$A:$A,Orders!$E:$E,""),""))</f>
        <v/>
      </c>
      <c r="AN826" s="39" t="str">
        <f t="shared" si="7"/>
        <v/>
      </c>
      <c r="AO826" s="39" t="str">
        <f t="shared" si="8"/>
        <v/>
      </c>
      <c r="AP826" s="39" t="str">
        <f t="shared" si="9"/>
        <v/>
      </c>
      <c r="AQ826" s="39" t="str">
        <f t="shared" si="10"/>
        <v/>
      </c>
      <c r="AR826" s="39" t="str">
        <f t="shared" si="11"/>
        <v/>
      </c>
      <c r="AS826" s="39" t="str">
        <f t="shared" si="12"/>
        <v/>
      </c>
      <c r="AT826" s="39" t="str">
        <f t="shared" si="13"/>
        <v/>
      </c>
      <c r="AU826" s="39" t="str">
        <f t="shared" si="14"/>
        <v/>
      </c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 t="str">
        <f t="shared" si="4"/>
        <v/>
      </c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E827" s="39"/>
      <c r="AG827" s="39"/>
      <c r="AH827" s="39" t="str">
        <f t="shared" si="5"/>
        <v/>
      </c>
      <c r="AI827" s="39" t="str">
        <f t="shared" si="6"/>
        <v/>
      </c>
      <c r="AM827" s="39" t="str">
        <f t="array" ref="AM827">IF(C827="","",IFERROR(XLOOKUP(C827,Orders!$A:$A,Orders!$E:$E,""),""))</f>
        <v/>
      </c>
      <c r="AN827" s="39" t="str">
        <f t="shared" si="7"/>
        <v/>
      </c>
      <c r="AO827" s="39" t="str">
        <f t="shared" si="8"/>
        <v/>
      </c>
      <c r="AP827" s="39" t="str">
        <f t="shared" si="9"/>
        <v/>
      </c>
      <c r="AQ827" s="39" t="str">
        <f t="shared" si="10"/>
        <v/>
      </c>
      <c r="AR827" s="39" t="str">
        <f t="shared" si="11"/>
        <v/>
      </c>
      <c r="AS827" s="39" t="str">
        <f t="shared" si="12"/>
        <v/>
      </c>
      <c r="AT827" s="39" t="str">
        <f t="shared" si="13"/>
        <v/>
      </c>
      <c r="AU827" s="39" t="str">
        <f t="shared" si="14"/>
        <v/>
      </c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 t="str">
        <f t="shared" si="4"/>
        <v/>
      </c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E828" s="39"/>
      <c r="AG828" s="39"/>
      <c r="AH828" s="39" t="str">
        <f t="shared" si="5"/>
        <v/>
      </c>
      <c r="AI828" s="39" t="str">
        <f t="shared" si="6"/>
        <v/>
      </c>
      <c r="AM828" s="39" t="str">
        <f t="array" ref="AM828">IF(C828="","",IFERROR(XLOOKUP(C828,Orders!$A:$A,Orders!$E:$E,""),""))</f>
        <v/>
      </c>
      <c r="AN828" s="39" t="str">
        <f t="shared" si="7"/>
        <v/>
      </c>
      <c r="AO828" s="39" t="str">
        <f t="shared" si="8"/>
        <v/>
      </c>
      <c r="AP828" s="39" t="str">
        <f t="shared" si="9"/>
        <v/>
      </c>
      <c r="AQ828" s="39" t="str">
        <f t="shared" si="10"/>
        <v/>
      </c>
      <c r="AR828" s="39" t="str">
        <f t="shared" si="11"/>
        <v/>
      </c>
      <c r="AS828" s="39" t="str">
        <f t="shared" si="12"/>
        <v/>
      </c>
      <c r="AT828" s="39" t="str">
        <f t="shared" si="13"/>
        <v/>
      </c>
      <c r="AU828" s="39" t="str">
        <f t="shared" si="14"/>
        <v/>
      </c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 t="str">
        <f t="shared" si="4"/>
        <v/>
      </c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E829" s="39"/>
      <c r="AG829" s="39"/>
      <c r="AH829" s="39" t="str">
        <f t="shared" si="5"/>
        <v/>
      </c>
      <c r="AI829" s="39" t="str">
        <f t="shared" si="6"/>
        <v/>
      </c>
      <c r="AM829" s="39" t="str">
        <f t="array" ref="AM829">IF(C829="","",IFERROR(XLOOKUP(C829,Orders!$A:$A,Orders!$E:$E,""),""))</f>
        <v/>
      </c>
      <c r="AN829" s="39" t="str">
        <f t="shared" si="7"/>
        <v/>
      </c>
      <c r="AO829" s="39" t="str">
        <f t="shared" si="8"/>
        <v/>
      </c>
      <c r="AP829" s="39" t="str">
        <f t="shared" si="9"/>
        <v/>
      </c>
      <c r="AQ829" s="39" t="str">
        <f t="shared" si="10"/>
        <v/>
      </c>
      <c r="AR829" s="39" t="str">
        <f t="shared" si="11"/>
        <v/>
      </c>
      <c r="AS829" s="39" t="str">
        <f t="shared" si="12"/>
        <v/>
      </c>
      <c r="AT829" s="39" t="str">
        <f t="shared" si="13"/>
        <v/>
      </c>
      <c r="AU829" s="39" t="str">
        <f t="shared" si="14"/>
        <v/>
      </c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 t="str">
        <f t="shared" si="4"/>
        <v/>
      </c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E830" s="39"/>
      <c r="AG830" s="39"/>
      <c r="AH830" s="39" t="str">
        <f t="shared" si="5"/>
        <v/>
      </c>
      <c r="AI830" s="39" t="str">
        <f t="shared" si="6"/>
        <v/>
      </c>
      <c r="AM830" s="39" t="str">
        <f t="array" ref="AM830">IF(C830="","",IFERROR(XLOOKUP(C830,Orders!$A:$A,Orders!$E:$E,""),""))</f>
        <v/>
      </c>
      <c r="AN830" s="39" t="str">
        <f t="shared" si="7"/>
        <v/>
      </c>
      <c r="AO830" s="39" t="str">
        <f t="shared" si="8"/>
        <v/>
      </c>
      <c r="AP830" s="39" t="str">
        <f t="shared" si="9"/>
        <v/>
      </c>
      <c r="AQ830" s="39" t="str">
        <f t="shared" si="10"/>
        <v/>
      </c>
      <c r="AR830" s="39" t="str">
        <f t="shared" si="11"/>
        <v/>
      </c>
      <c r="AS830" s="39" t="str">
        <f t="shared" si="12"/>
        <v/>
      </c>
      <c r="AT830" s="39" t="str">
        <f t="shared" si="13"/>
        <v/>
      </c>
      <c r="AU830" s="39" t="str">
        <f t="shared" si="14"/>
        <v/>
      </c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 t="str">
        <f t="shared" si="4"/>
        <v/>
      </c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E831" s="39"/>
      <c r="AG831" s="39"/>
      <c r="AH831" s="39" t="str">
        <f t="shared" si="5"/>
        <v/>
      </c>
      <c r="AI831" s="39" t="str">
        <f t="shared" si="6"/>
        <v/>
      </c>
      <c r="AM831" s="39" t="str">
        <f t="array" ref="AM831">IF(C831="","",IFERROR(XLOOKUP(C831,Orders!$A:$A,Orders!$E:$E,""),""))</f>
        <v/>
      </c>
      <c r="AN831" s="39" t="str">
        <f t="shared" si="7"/>
        <v/>
      </c>
      <c r="AO831" s="39" t="str">
        <f t="shared" si="8"/>
        <v/>
      </c>
      <c r="AP831" s="39" t="str">
        <f t="shared" si="9"/>
        <v/>
      </c>
      <c r="AQ831" s="39" t="str">
        <f t="shared" si="10"/>
        <v/>
      </c>
      <c r="AR831" s="39" t="str">
        <f t="shared" si="11"/>
        <v/>
      </c>
      <c r="AS831" s="39" t="str">
        <f t="shared" si="12"/>
        <v/>
      </c>
      <c r="AT831" s="39" t="str">
        <f t="shared" si="13"/>
        <v/>
      </c>
      <c r="AU831" s="39" t="str">
        <f t="shared" si="14"/>
        <v/>
      </c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 t="str">
        <f t="shared" si="4"/>
        <v/>
      </c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E832" s="39"/>
      <c r="AG832" s="39"/>
      <c r="AH832" s="39" t="str">
        <f t="shared" si="5"/>
        <v/>
      </c>
      <c r="AI832" s="39" t="str">
        <f t="shared" si="6"/>
        <v/>
      </c>
      <c r="AM832" s="39" t="str">
        <f t="array" ref="AM832">IF(C832="","",IFERROR(XLOOKUP(C832,Orders!$A:$A,Orders!$E:$E,""),""))</f>
        <v/>
      </c>
      <c r="AN832" s="39" t="str">
        <f t="shared" si="7"/>
        <v/>
      </c>
      <c r="AO832" s="39" t="str">
        <f t="shared" si="8"/>
        <v/>
      </c>
      <c r="AP832" s="39" t="str">
        <f t="shared" si="9"/>
        <v/>
      </c>
      <c r="AQ832" s="39" t="str">
        <f t="shared" si="10"/>
        <v/>
      </c>
      <c r="AR832" s="39" t="str">
        <f t="shared" si="11"/>
        <v/>
      </c>
      <c r="AS832" s="39" t="str">
        <f t="shared" si="12"/>
        <v/>
      </c>
      <c r="AT832" s="39" t="str">
        <f t="shared" si="13"/>
        <v/>
      </c>
      <c r="AU832" s="39" t="str">
        <f t="shared" si="14"/>
        <v/>
      </c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 t="str">
        <f t="shared" si="4"/>
        <v/>
      </c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E833" s="39"/>
      <c r="AG833" s="39"/>
      <c r="AH833" s="39" t="str">
        <f t="shared" si="5"/>
        <v/>
      </c>
      <c r="AI833" s="39" t="str">
        <f t="shared" si="6"/>
        <v/>
      </c>
      <c r="AM833" s="39" t="str">
        <f t="array" ref="AM833">IF(C833="","",IFERROR(XLOOKUP(C833,Orders!$A:$A,Orders!$E:$E,""),""))</f>
        <v/>
      </c>
      <c r="AN833" s="39" t="str">
        <f t="shared" si="7"/>
        <v/>
      </c>
      <c r="AO833" s="39" t="str">
        <f t="shared" si="8"/>
        <v/>
      </c>
      <c r="AP833" s="39" t="str">
        <f t="shared" si="9"/>
        <v/>
      </c>
      <c r="AQ833" s="39" t="str">
        <f t="shared" si="10"/>
        <v/>
      </c>
      <c r="AR833" s="39" t="str">
        <f t="shared" si="11"/>
        <v/>
      </c>
      <c r="AS833" s="39" t="str">
        <f t="shared" si="12"/>
        <v/>
      </c>
      <c r="AT833" s="39" t="str">
        <f t="shared" si="13"/>
        <v/>
      </c>
      <c r="AU833" s="39" t="str">
        <f t="shared" si="14"/>
        <v/>
      </c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 t="str">
        <f t="shared" si="4"/>
        <v/>
      </c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E834" s="39"/>
      <c r="AG834" s="39"/>
      <c r="AH834" s="39" t="str">
        <f t="shared" si="5"/>
        <v/>
      </c>
      <c r="AI834" s="39" t="str">
        <f t="shared" si="6"/>
        <v/>
      </c>
      <c r="AM834" s="39" t="str">
        <f t="array" ref="AM834">IF(C834="","",IFERROR(XLOOKUP(C834,Orders!$A:$A,Orders!$E:$E,""),""))</f>
        <v/>
      </c>
      <c r="AN834" s="39" t="str">
        <f t="shared" si="7"/>
        <v/>
      </c>
      <c r="AO834" s="39" t="str">
        <f t="shared" si="8"/>
        <v/>
      </c>
      <c r="AP834" s="39" t="str">
        <f t="shared" si="9"/>
        <v/>
      </c>
      <c r="AQ834" s="39" t="str">
        <f t="shared" si="10"/>
        <v/>
      </c>
      <c r="AR834" s="39" t="str">
        <f t="shared" si="11"/>
        <v/>
      </c>
      <c r="AS834" s="39" t="str">
        <f t="shared" si="12"/>
        <v/>
      </c>
      <c r="AT834" s="39" t="str">
        <f t="shared" si="13"/>
        <v/>
      </c>
      <c r="AU834" s="39" t="str">
        <f t="shared" si="14"/>
        <v/>
      </c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 t="str">
        <f t="shared" si="4"/>
        <v/>
      </c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E835" s="39"/>
      <c r="AG835" s="39"/>
      <c r="AH835" s="39" t="str">
        <f t="shared" si="5"/>
        <v/>
      </c>
      <c r="AI835" s="39" t="str">
        <f t="shared" si="6"/>
        <v/>
      </c>
      <c r="AM835" s="39" t="str">
        <f t="array" ref="AM835">IF(C835="","",IFERROR(XLOOKUP(C835,Orders!$A:$A,Orders!$E:$E,""),""))</f>
        <v/>
      </c>
      <c r="AN835" s="39" t="str">
        <f t="shared" si="7"/>
        <v/>
      </c>
      <c r="AO835" s="39" t="str">
        <f t="shared" si="8"/>
        <v/>
      </c>
      <c r="AP835" s="39" t="str">
        <f t="shared" si="9"/>
        <v/>
      </c>
      <c r="AQ835" s="39" t="str">
        <f t="shared" si="10"/>
        <v/>
      </c>
      <c r="AR835" s="39" t="str">
        <f t="shared" si="11"/>
        <v/>
      </c>
      <c r="AS835" s="39" t="str">
        <f t="shared" si="12"/>
        <v/>
      </c>
      <c r="AT835" s="39" t="str">
        <f t="shared" si="13"/>
        <v/>
      </c>
      <c r="AU835" s="39" t="str">
        <f t="shared" si="14"/>
        <v/>
      </c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 t="str">
        <f t="shared" si="4"/>
        <v/>
      </c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E836" s="39"/>
      <c r="AG836" s="39"/>
      <c r="AH836" s="39" t="str">
        <f t="shared" si="5"/>
        <v/>
      </c>
      <c r="AI836" s="39" t="str">
        <f t="shared" si="6"/>
        <v/>
      </c>
      <c r="AM836" s="39" t="str">
        <f t="array" ref="AM836">IF(C836="","",IFERROR(XLOOKUP(C836,Orders!$A:$A,Orders!$E:$E,""),""))</f>
        <v/>
      </c>
      <c r="AN836" s="39" t="str">
        <f t="shared" si="7"/>
        <v/>
      </c>
      <c r="AO836" s="39" t="str">
        <f t="shared" si="8"/>
        <v/>
      </c>
      <c r="AP836" s="39" t="str">
        <f t="shared" si="9"/>
        <v/>
      </c>
      <c r="AQ836" s="39" t="str">
        <f t="shared" si="10"/>
        <v/>
      </c>
      <c r="AR836" s="39" t="str">
        <f t="shared" si="11"/>
        <v/>
      </c>
      <c r="AS836" s="39" t="str">
        <f t="shared" si="12"/>
        <v/>
      </c>
      <c r="AT836" s="39" t="str">
        <f t="shared" si="13"/>
        <v/>
      </c>
      <c r="AU836" s="39" t="str">
        <f t="shared" si="14"/>
        <v/>
      </c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 t="str">
        <f t="shared" si="4"/>
        <v/>
      </c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E837" s="39"/>
      <c r="AG837" s="39"/>
      <c r="AH837" s="39" t="str">
        <f t="shared" si="5"/>
        <v/>
      </c>
      <c r="AI837" s="39" t="str">
        <f t="shared" si="6"/>
        <v/>
      </c>
      <c r="AM837" s="39" t="str">
        <f t="array" ref="AM837">IF(C837="","",IFERROR(XLOOKUP(C837,Orders!$A:$A,Orders!$E:$E,""),""))</f>
        <v/>
      </c>
      <c r="AN837" s="39" t="str">
        <f t="shared" si="7"/>
        <v/>
      </c>
      <c r="AO837" s="39" t="str">
        <f t="shared" si="8"/>
        <v/>
      </c>
      <c r="AP837" s="39" t="str">
        <f t="shared" si="9"/>
        <v/>
      </c>
      <c r="AQ837" s="39" t="str">
        <f t="shared" si="10"/>
        <v/>
      </c>
      <c r="AR837" s="39" t="str">
        <f t="shared" si="11"/>
        <v/>
      </c>
      <c r="AS837" s="39" t="str">
        <f t="shared" si="12"/>
        <v/>
      </c>
      <c r="AT837" s="39" t="str">
        <f t="shared" si="13"/>
        <v/>
      </c>
      <c r="AU837" s="39" t="str">
        <f t="shared" si="14"/>
        <v/>
      </c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 t="str">
        <f t="shared" si="4"/>
        <v/>
      </c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E838" s="39"/>
      <c r="AG838" s="39"/>
      <c r="AH838" s="39" t="str">
        <f t="shared" si="5"/>
        <v/>
      </c>
      <c r="AI838" s="39" t="str">
        <f t="shared" si="6"/>
        <v/>
      </c>
      <c r="AM838" s="39" t="str">
        <f t="array" ref="AM838">IF(C838="","",IFERROR(XLOOKUP(C838,Orders!$A:$A,Orders!$E:$E,""),""))</f>
        <v/>
      </c>
      <c r="AN838" s="39" t="str">
        <f t="shared" si="7"/>
        <v/>
      </c>
      <c r="AO838" s="39" t="str">
        <f t="shared" si="8"/>
        <v/>
      </c>
      <c r="AP838" s="39" t="str">
        <f t="shared" si="9"/>
        <v/>
      </c>
      <c r="AQ838" s="39" t="str">
        <f t="shared" si="10"/>
        <v/>
      </c>
      <c r="AR838" s="39" t="str">
        <f t="shared" si="11"/>
        <v/>
      </c>
      <c r="AS838" s="39" t="str">
        <f t="shared" si="12"/>
        <v/>
      </c>
      <c r="AT838" s="39" t="str">
        <f t="shared" si="13"/>
        <v/>
      </c>
      <c r="AU838" s="39" t="str">
        <f t="shared" si="14"/>
        <v/>
      </c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 t="str">
        <f t="shared" si="4"/>
        <v/>
      </c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E839" s="39"/>
      <c r="AG839" s="39"/>
      <c r="AH839" s="39" t="str">
        <f t="shared" si="5"/>
        <v/>
      </c>
      <c r="AI839" s="39" t="str">
        <f t="shared" si="6"/>
        <v/>
      </c>
      <c r="AM839" s="39" t="str">
        <f t="array" ref="AM839">IF(C839="","",IFERROR(XLOOKUP(C839,Orders!$A:$A,Orders!$E:$E,""),""))</f>
        <v/>
      </c>
      <c r="AN839" s="39" t="str">
        <f t="shared" si="7"/>
        <v/>
      </c>
      <c r="AO839" s="39" t="str">
        <f t="shared" si="8"/>
        <v/>
      </c>
      <c r="AP839" s="39" t="str">
        <f t="shared" si="9"/>
        <v/>
      </c>
      <c r="AQ839" s="39" t="str">
        <f t="shared" si="10"/>
        <v/>
      </c>
      <c r="AR839" s="39" t="str">
        <f t="shared" si="11"/>
        <v/>
      </c>
      <c r="AS839" s="39" t="str">
        <f t="shared" si="12"/>
        <v/>
      </c>
      <c r="AT839" s="39" t="str">
        <f t="shared" si="13"/>
        <v/>
      </c>
      <c r="AU839" s="39" t="str">
        <f t="shared" si="14"/>
        <v/>
      </c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 t="str">
        <f t="shared" si="4"/>
        <v/>
      </c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E840" s="39"/>
      <c r="AG840" s="39"/>
      <c r="AH840" s="39" t="str">
        <f t="shared" si="5"/>
        <v/>
      </c>
      <c r="AI840" s="39" t="str">
        <f t="shared" si="6"/>
        <v/>
      </c>
      <c r="AM840" s="39" t="str">
        <f t="array" ref="AM840">IF(C840="","",IFERROR(XLOOKUP(C840,Orders!$A:$A,Orders!$E:$E,""),""))</f>
        <v/>
      </c>
      <c r="AN840" s="39" t="str">
        <f t="shared" si="7"/>
        <v/>
      </c>
      <c r="AO840" s="39" t="str">
        <f t="shared" si="8"/>
        <v/>
      </c>
      <c r="AP840" s="39" t="str">
        <f t="shared" si="9"/>
        <v/>
      </c>
      <c r="AQ840" s="39" t="str">
        <f t="shared" si="10"/>
        <v/>
      </c>
      <c r="AR840" s="39" t="str">
        <f t="shared" si="11"/>
        <v/>
      </c>
      <c r="AS840" s="39" t="str">
        <f t="shared" si="12"/>
        <v/>
      </c>
      <c r="AT840" s="39" t="str">
        <f t="shared" si="13"/>
        <v/>
      </c>
      <c r="AU840" s="39" t="str">
        <f t="shared" si="14"/>
        <v/>
      </c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 t="str">
        <f t="shared" si="4"/>
        <v/>
      </c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E841" s="39"/>
      <c r="AG841" s="39"/>
      <c r="AH841" s="39" t="str">
        <f t="shared" si="5"/>
        <v/>
      </c>
      <c r="AI841" s="39" t="str">
        <f t="shared" si="6"/>
        <v/>
      </c>
      <c r="AM841" s="39" t="str">
        <f t="array" ref="AM841">IF(C841="","",IFERROR(XLOOKUP(C841,Orders!$A:$A,Orders!$E:$E,""),""))</f>
        <v/>
      </c>
      <c r="AN841" s="39" t="str">
        <f t="shared" si="7"/>
        <v/>
      </c>
      <c r="AO841" s="39" t="str">
        <f t="shared" si="8"/>
        <v/>
      </c>
      <c r="AP841" s="39" t="str">
        <f t="shared" si="9"/>
        <v/>
      </c>
      <c r="AQ841" s="39" t="str">
        <f t="shared" si="10"/>
        <v/>
      </c>
      <c r="AR841" s="39" t="str">
        <f t="shared" si="11"/>
        <v/>
      </c>
      <c r="AS841" s="39" t="str">
        <f t="shared" si="12"/>
        <v/>
      </c>
      <c r="AT841" s="39" t="str">
        <f t="shared" si="13"/>
        <v/>
      </c>
      <c r="AU841" s="39" t="str">
        <f t="shared" si="14"/>
        <v/>
      </c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 t="str">
        <f t="shared" si="4"/>
        <v/>
      </c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E842" s="39"/>
      <c r="AG842" s="39"/>
      <c r="AH842" s="39" t="str">
        <f t="shared" si="5"/>
        <v/>
      </c>
      <c r="AI842" s="39" t="str">
        <f t="shared" si="6"/>
        <v/>
      </c>
      <c r="AM842" s="39" t="str">
        <f t="array" ref="AM842">IF(C842="","",IFERROR(XLOOKUP(C842,Orders!$A:$A,Orders!$E:$E,""),""))</f>
        <v/>
      </c>
      <c r="AN842" s="39" t="str">
        <f t="shared" si="7"/>
        <v/>
      </c>
      <c r="AO842" s="39" t="str">
        <f t="shared" si="8"/>
        <v/>
      </c>
      <c r="AP842" s="39" t="str">
        <f t="shared" si="9"/>
        <v/>
      </c>
      <c r="AQ842" s="39" t="str">
        <f t="shared" si="10"/>
        <v/>
      </c>
      <c r="AR842" s="39" t="str">
        <f t="shared" si="11"/>
        <v/>
      </c>
      <c r="AS842" s="39" t="str">
        <f t="shared" si="12"/>
        <v/>
      </c>
      <c r="AT842" s="39" t="str">
        <f t="shared" si="13"/>
        <v/>
      </c>
      <c r="AU842" s="39" t="str">
        <f t="shared" si="14"/>
        <v/>
      </c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 t="str">
        <f t="shared" si="4"/>
        <v/>
      </c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E843" s="39"/>
      <c r="AG843" s="39"/>
      <c r="AH843" s="39" t="str">
        <f t="shared" si="5"/>
        <v/>
      </c>
      <c r="AI843" s="39" t="str">
        <f t="shared" si="6"/>
        <v/>
      </c>
      <c r="AM843" s="39" t="str">
        <f t="array" ref="AM843">IF(C843="","",IFERROR(XLOOKUP(C843,Orders!$A:$A,Orders!$E:$E,""),""))</f>
        <v/>
      </c>
      <c r="AN843" s="39" t="str">
        <f t="shared" si="7"/>
        <v/>
      </c>
      <c r="AO843" s="39" t="str">
        <f t="shared" si="8"/>
        <v/>
      </c>
      <c r="AP843" s="39" t="str">
        <f t="shared" si="9"/>
        <v/>
      </c>
      <c r="AQ843" s="39" t="str">
        <f t="shared" si="10"/>
        <v/>
      </c>
      <c r="AR843" s="39" t="str">
        <f t="shared" si="11"/>
        <v/>
      </c>
      <c r="AS843" s="39" t="str">
        <f t="shared" si="12"/>
        <v/>
      </c>
      <c r="AT843" s="39" t="str">
        <f t="shared" si="13"/>
        <v/>
      </c>
      <c r="AU843" s="39" t="str">
        <f t="shared" si="14"/>
        <v/>
      </c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 t="str">
        <f t="shared" si="4"/>
        <v/>
      </c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E844" s="39"/>
      <c r="AG844" s="39"/>
      <c r="AH844" s="39" t="str">
        <f t="shared" si="5"/>
        <v/>
      </c>
      <c r="AI844" s="39" t="str">
        <f t="shared" si="6"/>
        <v/>
      </c>
      <c r="AM844" s="39" t="str">
        <f t="array" ref="AM844">IF(C844="","",IFERROR(XLOOKUP(C844,Orders!$A:$A,Orders!$E:$E,""),""))</f>
        <v/>
      </c>
      <c r="AN844" s="39" t="str">
        <f t="shared" si="7"/>
        <v/>
      </c>
      <c r="AO844" s="39" t="str">
        <f t="shared" si="8"/>
        <v/>
      </c>
      <c r="AP844" s="39" t="str">
        <f t="shared" si="9"/>
        <v/>
      </c>
      <c r="AQ844" s="39" t="str">
        <f t="shared" si="10"/>
        <v/>
      </c>
      <c r="AR844" s="39" t="str">
        <f t="shared" si="11"/>
        <v/>
      </c>
      <c r="AS844" s="39" t="str">
        <f t="shared" si="12"/>
        <v/>
      </c>
      <c r="AT844" s="39" t="str">
        <f t="shared" si="13"/>
        <v/>
      </c>
      <c r="AU844" s="39" t="str">
        <f t="shared" si="14"/>
        <v/>
      </c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 t="str">
        <f t="shared" si="4"/>
        <v/>
      </c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E845" s="39"/>
      <c r="AG845" s="39"/>
      <c r="AH845" s="39" t="str">
        <f t="shared" si="5"/>
        <v/>
      </c>
      <c r="AI845" s="39" t="str">
        <f t="shared" si="6"/>
        <v/>
      </c>
      <c r="AM845" s="39" t="str">
        <f t="array" ref="AM845">IF(C845="","",IFERROR(XLOOKUP(C845,Orders!$A:$A,Orders!$E:$E,""),""))</f>
        <v/>
      </c>
      <c r="AN845" s="39" t="str">
        <f t="shared" si="7"/>
        <v/>
      </c>
      <c r="AO845" s="39" t="str">
        <f t="shared" si="8"/>
        <v/>
      </c>
      <c r="AP845" s="39" t="str">
        <f t="shared" si="9"/>
        <v/>
      </c>
      <c r="AQ845" s="39" t="str">
        <f t="shared" si="10"/>
        <v/>
      </c>
      <c r="AR845" s="39" t="str">
        <f t="shared" si="11"/>
        <v/>
      </c>
      <c r="AS845" s="39" t="str">
        <f t="shared" si="12"/>
        <v/>
      </c>
      <c r="AT845" s="39" t="str">
        <f t="shared" si="13"/>
        <v/>
      </c>
      <c r="AU845" s="39" t="str">
        <f t="shared" si="14"/>
        <v/>
      </c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 t="str">
        <f t="shared" si="4"/>
        <v/>
      </c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E846" s="39"/>
      <c r="AG846" s="39"/>
      <c r="AH846" s="39" t="str">
        <f t="shared" si="5"/>
        <v/>
      </c>
      <c r="AI846" s="39" t="str">
        <f t="shared" si="6"/>
        <v/>
      </c>
      <c r="AM846" s="39" t="str">
        <f t="array" ref="AM846">IF(C846="","",IFERROR(XLOOKUP(C846,Orders!$A:$A,Orders!$E:$E,""),""))</f>
        <v/>
      </c>
      <c r="AN846" s="39" t="str">
        <f t="shared" si="7"/>
        <v/>
      </c>
      <c r="AO846" s="39" t="str">
        <f t="shared" si="8"/>
        <v/>
      </c>
      <c r="AP846" s="39" t="str">
        <f t="shared" si="9"/>
        <v/>
      </c>
      <c r="AQ846" s="39" t="str">
        <f t="shared" si="10"/>
        <v/>
      </c>
      <c r="AR846" s="39" t="str">
        <f t="shared" si="11"/>
        <v/>
      </c>
      <c r="AS846" s="39" t="str">
        <f t="shared" si="12"/>
        <v/>
      </c>
      <c r="AT846" s="39" t="str">
        <f t="shared" si="13"/>
        <v/>
      </c>
      <c r="AU846" s="39" t="str">
        <f t="shared" si="14"/>
        <v/>
      </c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 t="str">
        <f t="shared" si="4"/>
        <v/>
      </c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E847" s="39"/>
      <c r="AG847" s="39"/>
      <c r="AH847" s="39" t="str">
        <f t="shared" si="5"/>
        <v/>
      </c>
      <c r="AI847" s="39" t="str">
        <f t="shared" si="6"/>
        <v/>
      </c>
      <c r="AM847" s="39" t="str">
        <f t="array" ref="AM847">IF(C847="","",IFERROR(XLOOKUP(C847,Orders!$A:$A,Orders!$E:$E,""),""))</f>
        <v/>
      </c>
      <c r="AN847" s="39" t="str">
        <f t="shared" si="7"/>
        <v/>
      </c>
      <c r="AO847" s="39" t="str">
        <f t="shared" si="8"/>
        <v/>
      </c>
      <c r="AP847" s="39" t="str">
        <f t="shared" si="9"/>
        <v/>
      </c>
      <c r="AQ847" s="39" t="str">
        <f t="shared" si="10"/>
        <v/>
      </c>
      <c r="AR847" s="39" t="str">
        <f t="shared" si="11"/>
        <v/>
      </c>
      <c r="AS847" s="39" t="str">
        <f t="shared" si="12"/>
        <v/>
      </c>
      <c r="AT847" s="39" t="str">
        <f t="shared" si="13"/>
        <v/>
      </c>
      <c r="AU847" s="39" t="str">
        <f t="shared" si="14"/>
        <v/>
      </c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 t="str">
        <f t="shared" si="4"/>
        <v/>
      </c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E848" s="39"/>
      <c r="AG848" s="39"/>
      <c r="AH848" s="39" t="str">
        <f t="shared" si="5"/>
        <v/>
      </c>
      <c r="AI848" s="39" t="str">
        <f t="shared" si="6"/>
        <v/>
      </c>
      <c r="AM848" s="39" t="str">
        <f t="array" ref="AM848">IF(C848="","",IFERROR(XLOOKUP(C848,Orders!$A:$A,Orders!$E:$E,""),""))</f>
        <v/>
      </c>
      <c r="AN848" s="39" t="str">
        <f t="shared" si="7"/>
        <v/>
      </c>
      <c r="AO848" s="39" t="str">
        <f t="shared" si="8"/>
        <v/>
      </c>
      <c r="AP848" s="39" t="str">
        <f t="shared" si="9"/>
        <v/>
      </c>
      <c r="AQ848" s="39" t="str">
        <f t="shared" si="10"/>
        <v/>
      </c>
      <c r="AR848" s="39" t="str">
        <f t="shared" si="11"/>
        <v/>
      </c>
      <c r="AS848" s="39" t="str">
        <f t="shared" si="12"/>
        <v/>
      </c>
      <c r="AT848" s="39" t="str">
        <f t="shared" si="13"/>
        <v/>
      </c>
      <c r="AU848" s="39" t="str">
        <f t="shared" si="14"/>
        <v/>
      </c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 t="str">
        <f t="shared" si="4"/>
        <v/>
      </c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E849" s="39"/>
      <c r="AG849" s="39"/>
      <c r="AH849" s="39" t="str">
        <f t="shared" si="5"/>
        <v/>
      </c>
      <c r="AI849" s="39" t="str">
        <f t="shared" si="6"/>
        <v/>
      </c>
      <c r="AM849" s="39" t="str">
        <f t="array" ref="AM849">IF(C849="","",IFERROR(XLOOKUP(C849,Orders!$A:$A,Orders!$E:$E,""),""))</f>
        <v/>
      </c>
      <c r="AN849" s="39" t="str">
        <f t="shared" si="7"/>
        <v/>
      </c>
      <c r="AO849" s="39" t="str">
        <f t="shared" si="8"/>
        <v/>
      </c>
      <c r="AP849" s="39" t="str">
        <f t="shared" si="9"/>
        <v/>
      </c>
      <c r="AQ849" s="39" t="str">
        <f t="shared" si="10"/>
        <v/>
      </c>
      <c r="AR849" s="39" t="str">
        <f t="shared" si="11"/>
        <v/>
      </c>
      <c r="AS849" s="39" t="str">
        <f t="shared" si="12"/>
        <v/>
      </c>
      <c r="AT849" s="39" t="str">
        <f t="shared" si="13"/>
        <v/>
      </c>
      <c r="AU849" s="39" t="str">
        <f t="shared" si="14"/>
        <v/>
      </c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 t="str">
        <f t="shared" si="4"/>
        <v/>
      </c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E850" s="39"/>
      <c r="AG850" s="39"/>
      <c r="AH850" s="39" t="str">
        <f t="shared" si="5"/>
        <v/>
      </c>
      <c r="AI850" s="39" t="str">
        <f t="shared" si="6"/>
        <v/>
      </c>
      <c r="AM850" s="39" t="str">
        <f t="array" ref="AM850">IF(C850="","",IFERROR(XLOOKUP(C850,Orders!$A:$A,Orders!$E:$E,""),""))</f>
        <v/>
      </c>
      <c r="AN850" s="39" t="str">
        <f t="shared" si="7"/>
        <v/>
      </c>
      <c r="AO850" s="39" t="str">
        <f t="shared" si="8"/>
        <v/>
      </c>
      <c r="AP850" s="39" t="str">
        <f t="shared" si="9"/>
        <v/>
      </c>
      <c r="AQ850" s="39" t="str">
        <f t="shared" si="10"/>
        <v/>
      </c>
      <c r="AR850" s="39" t="str">
        <f t="shared" si="11"/>
        <v/>
      </c>
      <c r="AS850" s="39" t="str">
        <f t="shared" si="12"/>
        <v/>
      </c>
      <c r="AT850" s="39" t="str">
        <f t="shared" si="13"/>
        <v/>
      </c>
      <c r="AU850" s="39" t="str">
        <f t="shared" si="14"/>
        <v/>
      </c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 t="str">
        <f t="shared" si="4"/>
        <v/>
      </c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E851" s="39"/>
      <c r="AG851" s="39"/>
      <c r="AH851" s="39" t="str">
        <f t="shared" si="5"/>
        <v/>
      </c>
      <c r="AI851" s="39" t="str">
        <f t="shared" si="6"/>
        <v/>
      </c>
      <c r="AM851" s="39" t="str">
        <f t="array" ref="AM851">IF(C851="","",IFERROR(XLOOKUP(C851,Orders!$A:$A,Orders!$E:$E,""),""))</f>
        <v/>
      </c>
      <c r="AN851" s="39" t="str">
        <f t="shared" si="7"/>
        <v/>
      </c>
      <c r="AO851" s="39" t="str">
        <f t="shared" si="8"/>
        <v/>
      </c>
      <c r="AP851" s="39" t="str">
        <f t="shared" si="9"/>
        <v/>
      </c>
      <c r="AQ851" s="39" t="str">
        <f t="shared" si="10"/>
        <v/>
      </c>
      <c r="AR851" s="39" t="str">
        <f t="shared" si="11"/>
        <v/>
      </c>
      <c r="AS851" s="39" t="str">
        <f t="shared" si="12"/>
        <v/>
      </c>
      <c r="AT851" s="39" t="str">
        <f t="shared" si="13"/>
        <v/>
      </c>
      <c r="AU851" s="39" t="str">
        <f t="shared" si="14"/>
        <v/>
      </c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 t="str">
        <f t="shared" si="4"/>
        <v/>
      </c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E852" s="39"/>
      <c r="AG852" s="39"/>
      <c r="AH852" s="39" t="str">
        <f t="shared" si="5"/>
        <v/>
      </c>
      <c r="AI852" s="39" t="str">
        <f t="shared" si="6"/>
        <v/>
      </c>
      <c r="AM852" s="39" t="str">
        <f t="array" ref="AM852">IF(C852="","",IFERROR(XLOOKUP(C852,Orders!$A:$A,Orders!$E:$E,""),""))</f>
        <v/>
      </c>
      <c r="AN852" s="39" t="str">
        <f t="shared" si="7"/>
        <v/>
      </c>
      <c r="AO852" s="39" t="str">
        <f t="shared" si="8"/>
        <v/>
      </c>
      <c r="AP852" s="39" t="str">
        <f t="shared" si="9"/>
        <v/>
      </c>
      <c r="AQ852" s="39" t="str">
        <f t="shared" si="10"/>
        <v/>
      </c>
      <c r="AR852" s="39" t="str">
        <f t="shared" si="11"/>
        <v/>
      </c>
      <c r="AS852" s="39" t="str">
        <f t="shared" si="12"/>
        <v/>
      </c>
      <c r="AT852" s="39" t="str">
        <f t="shared" si="13"/>
        <v/>
      </c>
      <c r="AU852" s="39" t="str">
        <f t="shared" si="14"/>
        <v/>
      </c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 t="str">
        <f t="shared" si="4"/>
        <v/>
      </c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E853" s="39"/>
      <c r="AG853" s="39"/>
      <c r="AH853" s="39" t="str">
        <f t="shared" si="5"/>
        <v/>
      </c>
      <c r="AI853" s="39" t="str">
        <f t="shared" si="6"/>
        <v/>
      </c>
      <c r="AM853" s="39" t="str">
        <f t="array" ref="AM853">IF(C853="","",IFERROR(XLOOKUP(C853,Orders!$A:$A,Orders!$E:$E,""),""))</f>
        <v/>
      </c>
      <c r="AN853" s="39" t="str">
        <f t="shared" si="7"/>
        <v/>
      </c>
      <c r="AO853" s="39" t="str">
        <f t="shared" si="8"/>
        <v/>
      </c>
      <c r="AP853" s="39" t="str">
        <f t="shared" si="9"/>
        <v/>
      </c>
      <c r="AQ853" s="39" t="str">
        <f t="shared" si="10"/>
        <v/>
      </c>
      <c r="AR853" s="39" t="str">
        <f t="shared" si="11"/>
        <v/>
      </c>
      <c r="AS853" s="39" t="str">
        <f t="shared" si="12"/>
        <v/>
      </c>
      <c r="AT853" s="39" t="str">
        <f t="shared" si="13"/>
        <v/>
      </c>
      <c r="AU853" s="39" t="str">
        <f t="shared" si="14"/>
        <v/>
      </c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 t="str">
        <f t="shared" si="4"/>
        <v/>
      </c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E854" s="39"/>
      <c r="AG854" s="39"/>
      <c r="AH854" s="39" t="str">
        <f t="shared" si="5"/>
        <v/>
      </c>
      <c r="AI854" s="39" t="str">
        <f t="shared" si="6"/>
        <v/>
      </c>
      <c r="AM854" s="39" t="str">
        <f t="array" ref="AM854">IF(C854="","",IFERROR(XLOOKUP(C854,Orders!$A:$A,Orders!$E:$E,""),""))</f>
        <v/>
      </c>
      <c r="AN854" s="39" t="str">
        <f t="shared" si="7"/>
        <v/>
      </c>
      <c r="AO854" s="39" t="str">
        <f t="shared" si="8"/>
        <v/>
      </c>
      <c r="AP854" s="39" t="str">
        <f t="shared" si="9"/>
        <v/>
      </c>
      <c r="AQ854" s="39" t="str">
        <f t="shared" si="10"/>
        <v/>
      </c>
      <c r="AR854" s="39" t="str">
        <f t="shared" si="11"/>
        <v/>
      </c>
      <c r="AS854" s="39" t="str">
        <f t="shared" si="12"/>
        <v/>
      </c>
      <c r="AT854" s="39" t="str">
        <f t="shared" si="13"/>
        <v/>
      </c>
      <c r="AU854" s="39" t="str">
        <f t="shared" si="14"/>
        <v/>
      </c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 t="str">
        <f t="shared" si="4"/>
        <v/>
      </c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E855" s="39"/>
      <c r="AG855" s="39"/>
      <c r="AH855" s="39" t="str">
        <f t="shared" si="5"/>
        <v/>
      </c>
      <c r="AI855" s="39" t="str">
        <f t="shared" si="6"/>
        <v/>
      </c>
      <c r="AM855" s="39" t="str">
        <f t="array" ref="AM855">IF(C855="","",IFERROR(XLOOKUP(C855,Orders!$A:$A,Orders!$E:$E,""),""))</f>
        <v/>
      </c>
      <c r="AN855" s="39" t="str">
        <f t="shared" si="7"/>
        <v/>
      </c>
      <c r="AO855" s="39" t="str">
        <f t="shared" si="8"/>
        <v/>
      </c>
      <c r="AP855" s="39" t="str">
        <f t="shared" si="9"/>
        <v/>
      </c>
      <c r="AQ855" s="39" t="str">
        <f t="shared" si="10"/>
        <v/>
      </c>
      <c r="AR855" s="39" t="str">
        <f t="shared" si="11"/>
        <v/>
      </c>
      <c r="AS855" s="39" t="str">
        <f t="shared" si="12"/>
        <v/>
      </c>
      <c r="AT855" s="39" t="str">
        <f t="shared" si="13"/>
        <v/>
      </c>
      <c r="AU855" s="39" t="str">
        <f t="shared" si="14"/>
        <v/>
      </c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 t="str">
        <f t="shared" si="4"/>
        <v/>
      </c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E856" s="39"/>
      <c r="AG856" s="39"/>
      <c r="AH856" s="39" t="str">
        <f t="shared" si="5"/>
        <v/>
      </c>
      <c r="AI856" s="39" t="str">
        <f t="shared" si="6"/>
        <v/>
      </c>
      <c r="AM856" s="39" t="str">
        <f t="array" ref="AM856">IF(C856="","",IFERROR(XLOOKUP(C856,Orders!$A:$A,Orders!$E:$E,""),""))</f>
        <v/>
      </c>
      <c r="AN856" s="39" t="str">
        <f t="shared" si="7"/>
        <v/>
      </c>
      <c r="AO856" s="39" t="str">
        <f t="shared" si="8"/>
        <v/>
      </c>
      <c r="AP856" s="39" t="str">
        <f t="shared" si="9"/>
        <v/>
      </c>
      <c r="AQ856" s="39" t="str">
        <f t="shared" si="10"/>
        <v/>
      </c>
      <c r="AR856" s="39" t="str">
        <f t="shared" si="11"/>
        <v/>
      </c>
      <c r="AS856" s="39" t="str">
        <f t="shared" si="12"/>
        <v/>
      </c>
      <c r="AT856" s="39" t="str">
        <f t="shared" si="13"/>
        <v/>
      </c>
      <c r="AU856" s="39" t="str">
        <f t="shared" si="14"/>
        <v/>
      </c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 t="str">
        <f t="shared" si="4"/>
        <v/>
      </c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E857" s="39"/>
      <c r="AG857" s="39"/>
      <c r="AH857" s="39" t="str">
        <f t="shared" si="5"/>
        <v/>
      </c>
      <c r="AI857" s="39" t="str">
        <f t="shared" si="6"/>
        <v/>
      </c>
      <c r="AM857" s="39" t="str">
        <f t="array" ref="AM857">IF(C857="","",IFERROR(XLOOKUP(C857,Orders!$A:$A,Orders!$E:$E,""),""))</f>
        <v/>
      </c>
      <c r="AN857" s="39" t="str">
        <f t="shared" si="7"/>
        <v/>
      </c>
      <c r="AO857" s="39" t="str">
        <f t="shared" si="8"/>
        <v/>
      </c>
      <c r="AP857" s="39" t="str">
        <f t="shared" si="9"/>
        <v/>
      </c>
      <c r="AQ857" s="39" t="str">
        <f t="shared" si="10"/>
        <v/>
      </c>
      <c r="AR857" s="39" t="str">
        <f t="shared" si="11"/>
        <v/>
      </c>
      <c r="AS857" s="39" t="str">
        <f t="shared" si="12"/>
        <v/>
      </c>
      <c r="AT857" s="39" t="str">
        <f t="shared" si="13"/>
        <v/>
      </c>
      <c r="AU857" s="39" t="str">
        <f t="shared" si="14"/>
        <v/>
      </c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 t="str">
        <f t="shared" si="4"/>
        <v/>
      </c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E858" s="39"/>
      <c r="AG858" s="39"/>
      <c r="AH858" s="39" t="str">
        <f t="shared" si="5"/>
        <v/>
      </c>
      <c r="AI858" s="39" t="str">
        <f t="shared" si="6"/>
        <v/>
      </c>
      <c r="AM858" s="39" t="str">
        <f t="array" ref="AM858">IF(C858="","",IFERROR(XLOOKUP(C858,Orders!$A:$A,Orders!$E:$E,""),""))</f>
        <v/>
      </c>
      <c r="AN858" s="39" t="str">
        <f t="shared" si="7"/>
        <v/>
      </c>
      <c r="AO858" s="39" t="str">
        <f t="shared" si="8"/>
        <v/>
      </c>
      <c r="AP858" s="39" t="str">
        <f t="shared" si="9"/>
        <v/>
      </c>
      <c r="AQ858" s="39" t="str">
        <f t="shared" si="10"/>
        <v/>
      </c>
      <c r="AR858" s="39" t="str">
        <f t="shared" si="11"/>
        <v/>
      </c>
      <c r="AS858" s="39" t="str">
        <f t="shared" si="12"/>
        <v/>
      </c>
      <c r="AT858" s="39" t="str">
        <f t="shared" si="13"/>
        <v/>
      </c>
      <c r="AU858" s="39" t="str">
        <f t="shared" si="14"/>
        <v/>
      </c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 t="str">
        <f t="shared" si="4"/>
        <v/>
      </c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E859" s="39"/>
      <c r="AG859" s="39"/>
      <c r="AH859" s="39" t="str">
        <f t="shared" si="5"/>
        <v/>
      </c>
      <c r="AI859" s="39" t="str">
        <f t="shared" si="6"/>
        <v/>
      </c>
      <c r="AM859" s="39" t="str">
        <f t="array" ref="AM859">IF(C859="","",IFERROR(XLOOKUP(C859,Orders!$A:$A,Orders!$E:$E,""),""))</f>
        <v/>
      </c>
      <c r="AN859" s="39" t="str">
        <f t="shared" si="7"/>
        <v/>
      </c>
      <c r="AO859" s="39" t="str">
        <f t="shared" si="8"/>
        <v/>
      </c>
      <c r="AP859" s="39" t="str">
        <f t="shared" si="9"/>
        <v/>
      </c>
      <c r="AQ859" s="39" t="str">
        <f t="shared" si="10"/>
        <v/>
      </c>
      <c r="AR859" s="39" t="str">
        <f t="shared" si="11"/>
        <v/>
      </c>
      <c r="AS859" s="39" t="str">
        <f t="shared" si="12"/>
        <v/>
      </c>
      <c r="AT859" s="39" t="str">
        <f t="shared" si="13"/>
        <v/>
      </c>
      <c r="AU859" s="39" t="str">
        <f t="shared" si="14"/>
        <v/>
      </c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 t="str">
        <f t="shared" si="4"/>
        <v/>
      </c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E860" s="39"/>
      <c r="AG860" s="39"/>
      <c r="AH860" s="39" t="str">
        <f t="shared" si="5"/>
        <v/>
      </c>
      <c r="AI860" s="39" t="str">
        <f t="shared" si="6"/>
        <v/>
      </c>
      <c r="AM860" s="39" t="str">
        <f t="array" ref="AM860">IF(C860="","",IFERROR(XLOOKUP(C860,Orders!$A:$A,Orders!$E:$E,""),""))</f>
        <v/>
      </c>
      <c r="AN860" s="39" t="str">
        <f t="shared" si="7"/>
        <v/>
      </c>
      <c r="AO860" s="39" t="str">
        <f t="shared" si="8"/>
        <v/>
      </c>
      <c r="AP860" s="39" t="str">
        <f t="shared" si="9"/>
        <v/>
      </c>
      <c r="AQ860" s="39" t="str">
        <f t="shared" si="10"/>
        <v/>
      </c>
      <c r="AR860" s="39" t="str">
        <f t="shared" si="11"/>
        <v/>
      </c>
      <c r="AS860" s="39" t="str">
        <f t="shared" si="12"/>
        <v/>
      </c>
      <c r="AT860" s="39" t="str">
        <f t="shared" si="13"/>
        <v/>
      </c>
      <c r="AU860" s="39" t="str">
        <f t="shared" si="14"/>
        <v/>
      </c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 t="str">
        <f t="shared" si="4"/>
        <v/>
      </c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E861" s="39"/>
      <c r="AG861" s="39"/>
      <c r="AH861" s="39" t="str">
        <f t="shared" si="5"/>
        <v/>
      </c>
      <c r="AI861" s="39" t="str">
        <f t="shared" si="6"/>
        <v/>
      </c>
      <c r="AM861" s="39" t="str">
        <f t="array" ref="AM861">IF(C861="","",IFERROR(XLOOKUP(C861,Orders!$A:$A,Orders!$E:$E,""),""))</f>
        <v/>
      </c>
      <c r="AN861" s="39" t="str">
        <f t="shared" si="7"/>
        <v/>
      </c>
      <c r="AO861" s="39" t="str">
        <f t="shared" si="8"/>
        <v/>
      </c>
      <c r="AP861" s="39" t="str">
        <f t="shared" si="9"/>
        <v/>
      </c>
      <c r="AQ861" s="39" t="str">
        <f t="shared" si="10"/>
        <v/>
      </c>
      <c r="AR861" s="39" t="str">
        <f t="shared" si="11"/>
        <v/>
      </c>
      <c r="AS861" s="39" t="str">
        <f t="shared" si="12"/>
        <v/>
      </c>
      <c r="AT861" s="39" t="str">
        <f t="shared" si="13"/>
        <v/>
      </c>
      <c r="AU861" s="39" t="str">
        <f t="shared" si="14"/>
        <v/>
      </c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 t="str">
        <f t="shared" si="4"/>
        <v/>
      </c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E862" s="39"/>
      <c r="AG862" s="39"/>
      <c r="AH862" s="39" t="str">
        <f t="shared" si="5"/>
        <v/>
      </c>
      <c r="AI862" s="39" t="str">
        <f t="shared" si="6"/>
        <v/>
      </c>
      <c r="AM862" s="39" t="str">
        <f t="array" ref="AM862">IF(C862="","",IFERROR(XLOOKUP(C862,Orders!$A:$A,Orders!$E:$E,""),""))</f>
        <v/>
      </c>
      <c r="AN862" s="39" t="str">
        <f t="shared" si="7"/>
        <v/>
      </c>
      <c r="AO862" s="39" t="str">
        <f t="shared" si="8"/>
        <v/>
      </c>
      <c r="AP862" s="39" t="str">
        <f t="shared" si="9"/>
        <v/>
      </c>
      <c r="AQ862" s="39" t="str">
        <f t="shared" si="10"/>
        <v/>
      </c>
      <c r="AR862" s="39" t="str">
        <f t="shared" si="11"/>
        <v/>
      </c>
      <c r="AS862" s="39" t="str">
        <f t="shared" si="12"/>
        <v/>
      </c>
      <c r="AT862" s="39" t="str">
        <f t="shared" si="13"/>
        <v/>
      </c>
      <c r="AU862" s="39" t="str">
        <f t="shared" si="14"/>
        <v/>
      </c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 t="str">
        <f t="shared" si="4"/>
        <v/>
      </c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E863" s="39"/>
      <c r="AG863" s="39"/>
      <c r="AH863" s="39" t="str">
        <f t="shared" si="5"/>
        <v/>
      </c>
      <c r="AI863" s="39" t="str">
        <f t="shared" si="6"/>
        <v/>
      </c>
      <c r="AM863" s="39" t="str">
        <f t="array" ref="AM863">IF(C863="","",IFERROR(XLOOKUP(C863,Orders!$A:$A,Orders!$E:$E,""),""))</f>
        <v/>
      </c>
      <c r="AN863" s="39" t="str">
        <f t="shared" si="7"/>
        <v/>
      </c>
      <c r="AO863" s="39" t="str">
        <f t="shared" si="8"/>
        <v/>
      </c>
      <c r="AP863" s="39" t="str">
        <f t="shared" si="9"/>
        <v/>
      </c>
      <c r="AQ863" s="39" t="str">
        <f t="shared" si="10"/>
        <v/>
      </c>
      <c r="AR863" s="39" t="str">
        <f t="shared" si="11"/>
        <v/>
      </c>
      <c r="AS863" s="39" t="str">
        <f t="shared" si="12"/>
        <v/>
      </c>
      <c r="AT863" s="39" t="str">
        <f t="shared" si="13"/>
        <v/>
      </c>
      <c r="AU863" s="39" t="str">
        <f t="shared" si="14"/>
        <v/>
      </c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 t="str">
        <f t="shared" si="4"/>
        <v/>
      </c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E864" s="39"/>
      <c r="AG864" s="39"/>
      <c r="AH864" s="39" t="str">
        <f t="shared" si="5"/>
        <v/>
      </c>
      <c r="AI864" s="39" t="str">
        <f t="shared" si="6"/>
        <v/>
      </c>
      <c r="AM864" s="39" t="str">
        <f t="array" ref="AM864">IF(C864="","",IFERROR(XLOOKUP(C864,Orders!$A:$A,Orders!$E:$E,""),""))</f>
        <v/>
      </c>
      <c r="AN864" s="39" t="str">
        <f t="shared" si="7"/>
        <v/>
      </c>
      <c r="AO864" s="39" t="str">
        <f t="shared" si="8"/>
        <v/>
      </c>
      <c r="AP864" s="39" t="str">
        <f t="shared" si="9"/>
        <v/>
      </c>
      <c r="AQ864" s="39" t="str">
        <f t="shared" si="10"/>
        <v/>
      </c>
      <c r="AR864" s="39" t="str">
        <f t="shared" si="11"/>
        <v/>
      </c>
      <c r="AS864" s="39" t="str">
        <f t="shared" si="12"/>
        <v/>
      </c>
      <c r="AT864" s="39" t="str">
        <f t="shared" si="13"/>
        <v/>
      </c>
      <c r="AU864" s="39" t="str">
        <f t="shared" si="14"/>
        <v/>
      </c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 t="str">
        <f t="shared" si="4"/>
        <v/>
      </c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E865" s="39"/>
      <c r="AG865" s="39"/>
      <c r="AH865" s="39" t="str">
        <f t="shared" si="5"/>
        <v/>
      </c>
      <c r="AI865" s="39" t="str">
        <f t="shared" si="6"/>
        <v/>
      </c>
      <c r="AM865" s="39" t="str">
        <f t="array" ref="AM865">IF(C865="","",IFERROR(XLOOKUP(C865,Orders!$A:$A,Orders!$E:$E,""),""))</f>
        <v/>
      </c>
      <c r="AN865" s="39" t="str">
        <f t="shared" si="7"/>
        <v/>
      </c>
      <c r="AO865" s="39" t="str">
        <f t="shared" si="8"/>
        <v/>
      </c>
      <c r="AP865" s="39" t="str">
        <f t="shared" si="9"/>
        <v/>
      </c>
      <c r="AQ865" s="39" t="str">
        <f t="shared" si="10"/>
        <v/>
      </c>
      <c r="AR865" s="39" t="str">
        <f t="shared" si="11"/>
        <v/>
      </c>
      <c r="AS865" s="39" t="str">
        <f t="shared" si="12"/>
        <v/>
      </c>
      <c r="AT865" s="39" t="str">
        <f t="shared" si="13"/>
        <v/>
      </c>
      <c r="AU865" s="39" t="str">
        <f t="shared" si="14"/>
        <v/>
      </c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 t="str">
        <f t="shared" si="4"/>
        <v/>
      </c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E866" s="39"/>
      <c r="AG866" s="39"/>
      <c r="AH866" s="39" t="str">
        <f t="shared" si="5"/>
        <v/>
      </c>
      <c r="AI866" s="39" t="str">
        <f t="shared" si="6"/>
        <v/>
      </c>
      <c r="AM866" s="39" t="str">
        <f t="array" ref="AM866">IF(C866="","",IFERROR(XLOOKUP(C866,Orders!$A:$A,Orders!$E:$E,""),""))</f>
        <v/>
      </c>
      <c r="AN866" s="39" t="str">
        <f t="shared" si="7"/>
        <v/>
      </c>
      <c r="AO866" s="39" t="str">
        <f t="shared" si="8"/>
        <v/>
      </c>
      <c r="AP866" s="39" t="str">
        <f t="shared" si="9"/>
        <v/>
      </c>
      <c r="AQ866" s="39" t="str">
        <f t="shared" si="10"/>
        <v/>
      </c>
      <c r="AR866" s="39" t="str">
        <f t="shared" si="11"/>
        <v/>
      </c>
      <c r="AS866" s="39" t="str">
        <f t="shared" si="12"/>
        <v/>
      </c>
      <c r="AT866" s="39" t="str">
        <f t="shared" si="13"/>
        <v/>
      </c>
      <c r="AU866" s="39" t="str">
        <f t="shared" si="14"/>
        <v/>
      </c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 t="str">
        <f t="shared" si="4"/>
        <v/>
      </c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E867" s="39"/>
      <c r="AG867" s="39"/>
      <c r="AH867" s="39" t="str">
        <f t="shared" si="5"/>
        <v/>
      </c>
      <c r="AI867" s="39" t="str">
        <f t="shared" si="6"/>
        <v/>
      </c>
      <c r="AM867" s="39" t="str">
        <f t="array" ref="AM867">IF(C867="","",IFERROR(XLOOKUP(C867,Orders!$A:$A,Orders!$E:$E,""),""))</f>
        <v/>
      </c>
      <c r="AN867" s="39" t="str">
        <f t="shared" si="7"/>
        <v/>
      </c>
      <c r="AO867" s="39" t="str">
        <f t="shared" si="8"/>
        <v/>
      </c>
      <c r="AP867" s="39" t="str">
        <f t="shared" si="9"/>
        <v/>
      </c>
      <c r="AQ867" s="39" t="str">
        <f t="shared" si="10"/>
        <v/>
      </c>
      <c r="AR867" s="39" t="str">
        <f t="shared" si="11"/>
        <v/>
      </c>
      <c r="AS867" s="39" t="str">
        <f t="shared" si="12"/>
        <v/>
      </c>
      <c r="AT867" s="39" t="str">
        <f t="shared" si="13"/>
        <v/>
      </c>
      <c r="AU867" s="39" t="str">
        <f t="shared" si="14"/>
        <v/>
      </c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 t="str">
        <f t="shared" si="4"/>
        <v/>
      </c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E868" s="39"/>
      <c r="AG868" s="39"/>
      <c r="AH868" s="39" t="str">
        <f t="shared" si="5"/>
        <v/>
      </c>
      <c r="AI868" s="39" t="str">
        <f t="shared" si="6"/>
        <v/>
      </c>
      <c r="AM868" s="39" t="str">
        <f t="array" ref="AM868">IF(C868="","",IFERROR(XLOOKUP(C868,Orders!$A:$A,Orders!$E:$E,""),""))</f>
        <v/>
      </c>
      <c r="AN868" s="39" t="str">
        <f t="shared" si="7"/>
        <v/>
      </c>
      <c r="AO868" s="39" t="str">
        <f t="shared" si="8"/>
        <v/>
      </c>
      <c r="AP868" s="39" t="str">
        <f t="shared" si="9"/>
        <v/>
      </c>
      <c r="AQ868" s="39" t="str">
        <f t="shared" si="10"/>
        <v/>
      </c>
      <c r="AR868" s="39" t="str">
        <f t="shared" si="11"/>
        <v/>
      </c>
      <c r="AS868" s="39" t="str">
        <f t="shared" si="12"/>
        <v/>
      </c>
      <c r="AT868" s="39" t="str">
        <f t="shared" si="13"/>
        <v/>
      </c>
      <c r="AU868" s="39" t="str">
        <f t="shared" si="14"/>
        <v/>
      </c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 t="str">
        <f t="shared" si="4"/>
        <v/>
      </c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E869" s="39"/>
      <c r="AG869" s="39"/>
      <c r="AH869" s="39" t="str">
        <f t="shared" si="5"/>
        <v/>
      </c>
      <c r="AI869" s="39" t="str">
        <f t="shared" si="6"/>
        <v/>
      </c>
      <c r="AM869" s="39" t="str">
        <f t="array" ref="AM869">IF(C869="","",IFERROR(XLOOKUP(C869,Orders!$A:$A,Orders!$E:$E,""),""))</f>
        <v/>
      </c>
      <c r="AN869" s="39" t="str">
        <f t="shared" si="7"/>
        <v/>
      </c>
      <c r="AO869" s="39" t="str">
        <f t="shared" si="8"/>
        <v/>
      </c>
      <c r="AP869" s="39" t="str">
        <f t="shared" si="9"/>
        <v/>
      </c>
      <c r="AQ869" s="39" t="str">
        <f t="shared" si="10"/>
        <v/>
      </c>
      <c r="AR869" s="39" t="str">
        <f t="shared" si="11"/>
        <v/>
      </c>
      <c r="AS869" s="39" t="str">
        <f t="shared" si="12"/>
        <v/>
      </c>
      <c r="AT869" s="39" t="str">
        <f t="shared" si="13"/>
        <v/>
      </c>
      <c r="AU869" s="39" t="str">
        <f t="shared" si="14"/>
        <v/>
      </c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 t="str">
        <f t="shared" si="4"/>
        <v/>
      </c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E870" s="39"/>
      <c r="AG870" s="39"/>
      <c r="AH870" s="39" t="str">
        <f t="shared" si="5"/>
        <v/>
      </c>
      <c r="AI870" s="39" t="str">
        <f t="shared" si="6"/>
        <v/>
      </c>
      <c r="AM870" s="39" t="str">
        <f t="array" ref="AM870">IF(C870="","",IFERROR(XLOOKUP(C870,Orders!$A:$A,Orders!$E:$E,""),""))</f>
        <v/>
      </c>
      <c r="AN870" s="39" t="str">
        <f t="shared" si="7"/>
        <v/>
      </c>
      <c r="AO870" s="39" t="str">
        <f t="shared" si="8"/>
        <v/>
      </c>
      <c r="AP870" s="39" t="str">
        <f t="shared" si="9"/>
        <v/>
      </c>
      <c r="AQ870" s="39" t="str">
        <f t="shared" si="10"/>
        <v/>
      </c>
      <c r="AR870" s="39" t="str">
        <f t="shared" si="11"/>
        <v/>
      </c>
      <c r="AS870" s="39" t="str">
        <f t="shared" si="12"/>
        <v/>
      </c>
      <c r="AT870" s="39" t="str">
        <f t="shared" si="13"/>
        <v/>
      </c>
      <c r="AU870" s="39" t="str">
        <f t="shared" si="14"/>
        <v/>
      </c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 t="str">
        <f t="shared" si="4"/>
        <v/>
      </c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E871" s="39"/>
      <c r="AG871" s="39"/>
      <c r="AH871" s="39" t="str">
        <f t="shared" si="5"/>
        <v/>
      </c>
      <c r="AI871" s="39" t="str">
        <f t="shared" si="6"/>
        <v/>
      </c>
      <c r="AM871" s="39" t="str">
        <f t="array" ref="AM871">IF(C871="","",IFERROR(XLOOKUP(C871,Orders!$A:$A,Orders!$E:$E,""),""))</f>
        <v/>
      </c>
      <c r="AN871" s="39" t="str">
        <f t="shared" si="7"/>
        <v/>
      </c>
      <c r="AO871" s="39" t="str">
        <f t="shared" si="8"/>
        <v/>
      </c>
      <c r="AP871" s="39" t="str">
        <f t="shared" si="9"/>
        <v/>
      </c>
      <c r="AQ871" s="39" t="str">
        <f t="shared" si="10"/>
        <v/>
      </c>
      <c r="AR871" s="39" t="str">
        <f t="shared" si="11"/>
        <v/>
      </c>
      <c r="AS871" s="39" t="str">
        <f t="shared" si="12"/>
        <v/>
      </c>
      <c r="AT871" s="39" t="str">
        <f t="shared" si="13"/>
        <v/>
      </c>
      <c r="AU871" s="39" t="str">
        <f t="shared" si="14"/>
        <v/>
      </c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 t="str">
        <f t="shared" si="4"/>
        <v/>
      </c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E872" s="39"/>
      <c r="AG872" s="39"/>
      <c r="AH872" s="39" t="str">
        <f t="shared" si="5"/>
        <v/>
      </c>
      <c r="AI872" s="39" t="str">
        <f t="shared" si="6"/>
        <v/>
      </c>
      <c r="AM872" s="39" t="str">
        <f t="array" ref="AM872">IF(C872="","",IFERROR(XLOOKUP(C872,Orders!$A:$A,Orders!$E:$E,""),""))</f>
        <v/>
      </c>
      <c r="AN872" s="39" t="str">
        <f t="shared" si="7"/>
        <v/>
      </c>
      <c r="AO872" s="39" t="str">
        <f t="shared" si="8"/>
        <v/>
      </c>
      <c r="AP872" s="39" t="str">
        <f t="shared" si="9"/>
        <v/>
      </c>
      <c r="AQ872" s="39" t="str">
        <f t="shared" si="10"/>
        <v/>
      </c>
      <c r="AR872" s="39" t="str">
        <f t="shared" si="11"/>
        <v/>
      </c>
      <c r="AS872" s="39" t="str">
        <f t="shared" si="12"/>
        <v/>
      </c>
      <c r="AT872" s="39" t="str">
        <f t="shared" si="13"/>
        <v/>
      </c>
      <c r="AU872" s="39" t="str">
        <f t="shared" si="14"/>
        <v/>
      </c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 t="str">
        <f t="shared" si="4"/>
        <v/>
      </c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E873" s="39"/>
      <c r="AG873" s="39"/>
      <c r="AH873" s="39" t="str">
        <f t="shared" si="5"/>
        <v/>
      </c>
      <c r="AI873" s="39" t="str">
        <f t="shared" si="6"/>
        <v/>
      </c>
      <c r="AM873" s="39" t="str">
        <f t="array" ref="AM873">IF(C873="","",IFERROR(XLOOKUP(C873,Orders!$A:$A,Orders!$E:$E,""),""))</f>
        <v/>
      </c>
      <c r="AN873" s="39" t="str">
        <f t="shared" si="7"/>
        <v/>
      </c>
      <c r="AO873" s="39" t="str">
        <f t="shared" si="8"/>
        <v/>
      </c>
      <c r="AP873" s="39" t="str">
        <f t="shared" si="9"/>
        <v/>
      </c>
      <c r="AQ873" s="39" t="str">
        <f t="shared" si="10"/>
        <v/>
      </c>
      <c r="AR873" s="39" t="str">
        <f t="shared" si="11"/>
        <v/>
      </c>
      <c r="AS873" s="39" t="str">
        <f t="shared" si="12"/>
        <v/>
      </c>
      <c r="AT873" s="39" t="str">
        <f t="shared" si="13"/>
        <v/>
      </c>
      <c r="AU873" s="39" t="str">
        <f t="shared" si="14"/>
        <v/>
      </c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 t="str">
        <f t="shared" si="4"/>
        <v/>
      </c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E874" s="39"/>
      <c r="AG874" s="39"/>
      <c r="AH874" s="39" t="str">
        <f t="shared" si="5"/>
        <v/>
      </c>
      <c r="AI874" s="39" t="str">
        <f t="shared" si="6"/>
        <v/>
      </c>
      <c r="AM874" s="39" t="str">
        <f t="array" ref="AM874">IF(C874="","",IFERROR(XLOOKUP(C874,Orders!$A:$A,Orders!$E:$E,""),""))</f>
        <v/>
      </c>
      <c r="AN874" s="39" t="str">
        <f t="shared" si="7"/>
        <v/>
      </c>
      <c r="AO874" s="39" t="str">
        <f t="shared" si="8"/>
        <v/>
      </c>
      <c r="AP874" s="39" t="str">
        <f t="shared" si="9"/>
        <v/>
      </c>
      <c r="AQ874" s="39" t="str">
        <f t="shared" si="10"/>
        <v/>
      </c>
      <c r="AR874" s="39" t="str">
        <f t="shared" si="11"/>
        <v/>
      </c>
      <c r="AS874" s="39" t="str">
        <f t="shared" si="12"/>
        <v/>
      </c>
      <c r="AT874" s="39" t="str">
        <f t="shared" si="13"/>
        <v/>
      </c>
      <c r="AU874" s="39" t="str">
        <f t="shared" si="14"/>
        <v/>
      </c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 t="str">
        <f t="shared" si="4"/>
        <v/>
      </c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E875" s="39"/>
      <c r="AG875" s="39"/>
      <c r="AH875" s="39" t="str">
        <f t="shared" si="5"/>
        <v/>
      </c>
      <c r="AI875" s="39" t="str">
        <f t="shared" si="6"/>
        <v/>
      </c>
      <c r="AM875" s="39" t="str">
        <f t="array" ref="AM875">IF(C875="","",IFERROR(XLOOKUP(C875,Orders!$A:$A,Orders!$E:$E,""),""))</f>
        <v/>
      </c>
      <c r="AN875" s="39" t="str">
        <f t="shared" si="7"/>
        <v/>
      </c>
      <c r="AO875" s="39" t="str">
        <f t="shared" si="8"/>
        <v/>
      </c>
      <c r="AP875" s="39" t="str">
        <f t="shared" si="9"/>
        <v/>
      </c>
      <c r="AQ875" s="39" t="str">
        <f t="shared" si="10"/>
        <v/>
      </c>
      <c r="AR875" s="39" t="str">
        <f t="shared" si="11"/>
        <v/>
      </c>
      <c r="AS875" s="39" t="str">
        <f t="shared" si="12"/>
        <v/>
      </c>
      <c r="AT875" s="39" t="str">
        <f t="shared" si="13"/>
        <v/>
      </c>
      <c r="AU875" s="39" t="str">
        <f t="shared" si="14"/>
        <v/>
      </c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 t="str">
        <f t="shared" si="4"/>
        <v/>
      </c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E876" s="39"/>
      <c r="AG876" s="39"/>
      <c r="AH876" s="39" t="str">
        <f t="shared" si="5"/>
        <v/>
      </c>
      <c r="AI876" s="39" t="str">
        <f t="shared" si="6"/>
        <v/>
      </c>
      <c r="AM876" s="39" t="str">
        <f t="array" ref="AM876">IF(C876="","",IFERROR(XLOOKUP(C876,Orders!$A:$A,Orders!$E:$E,""),""))</f>
        <v/>
      </c>
      <c r="AN876" s="39" t="str">
        <f t="shared" si="7"/>
        <v/>
      </c>
      <c r="AO876" s="39" t="str">
        <f t="shared" si="8"/>
        <v/>
      </c>
      <c r="AP876" s="39" t="str">
        <f t="shared" si="9"/>
        <v/>
      </c>
      <c r="AQ876" s="39" t="str">
        <f t="shared" si="10"/>
        <v/>
      </c>
      <c r="AR876" s="39" t="str">
        <f t="shared" si="11"/>
        <v/>
      </c>
      <c r="AS876" s="39" t="str">
        <f t="shared" si="12"/>
        <v/>
      </c>
      <c r="AT876" s="39" t="str">
        <f t="shared" si="13"/>
        <v/>
      </c>
      <c r="AU876" s="39" t="str">
        <f t="shared" si="14"/>
        <v/>
      </c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 t="str">
        <f t="shared" si="4"/>
        <v/>
      </c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E877" s="39"/>
      <c r="AG877" s="39"/>
      <c r="AH877" s="39" t="str">
        <f t="shared" si="5"/>
        <v/>
      </c>
      <c r="AI877" s="39" t="str">
        <f t="shared" si="6"/>
        <v/>
      </c>
      <c r="AM877" s="39" t="str">
        <f t="array" ref="AM877">IF(C877="","",IFERROR(XLOOKUP(C877,Orders!$A:$A,Orders!$E:$E,""),""))</f>
        <v/>
      </c>
      <c r="AN877" s="39" t="str">
        <f t="shared" si="7"/>
        <v/>
      </c>
      <c r="AO877" s="39" t="str">
        <f t="shared" si="8"/>
        <v/>
      </c>
      <c r="AP877" s="39" t="str">
        <f t="shared" si="9"/>
        <v/>
      </c>
      <c r="AQ877" s="39" t="str">
        <f t="shared" si="10"/>
        <v/>
      </c>
      <c r="AR877" s="39" t="str">
        <f t="shared" si="11"/>
        <v/>
      </c>
      <c r="AS877" s="39" t="str">
        <f t="shared" si="12"/>
        <v/>
      </c>
      <c r="AT877" s="39" t="str">
        <f t="shared" si="13"/>
        <v/>
      </c>
      <c r="AU877" s="39" t="str">
        <f t="shared" si="14"/>
        <v/>
      </c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 t="str">
        <f t="shared" si="4"/>
        <v/>
      </c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E878" s="39"/>
      <c r="AG878" s="39"/>
      <c r="AH878" s="39" t="str">
        <f t="shared" si="5"/>
        <v/>
      </c>
      <c r="AI878" s="39" t="str">
        <f t="shared" si="6"/>
        <v/>
      </c>
      <c r="AM878" s="39" t="str">
        <f t="array" ref="AM878">IF(C878="","",IFERROR(XLOOKUP(C878,Orders!$A:$A,Orders!$E:$E,""),""))</f>
        <v/>
      </c>
      <c r="AN878" s="39" t="str">
        <f t="shared" si="7"/>
        <v/>
      </c>
      <c r="AO878" s="39" t="str">
        <f t="shared" si="8"/>
        <v/>
      </c>
      <c r="AP878" s="39" t="str">
        <f t="shared" si="9"/>
        <v/>
      </c>
      <c r="AQ878" s="39" t="str">
        <f t="shared" si="10"/>
        <v/>
      </c>
      <c r="AR878" s="39" t="str">
        <f t="shared" si="11"/>
        <v/>
      </c>
      <c r="AS878" s="39" t="str">
        <f t="shared" si="12"/>
        <v/>
      </c>
      <c r="AT878" s="39" t="str">
        <f t="shared" si="13"/>
        <v/>
      </c>
      <c r="AU878" s="39" t="str">
        <f t="shared" si="14"/>
        <v/>
      </c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 t="str">
        <f t="shared" si="4"/>
        <v/>
      </c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E879" s="39"/>
      <c r="AG879" s="39"/>
      <c r="AH879" s="39" t="str">
        <f t="shared" si="5"/>
        <v/>
      </c>
      <c r="AI879" s="39" t="str">
        <f t="shared" si="6"/>
        <v/>
      </c>
      <c r="AM879" s="39" t="str">
        <f t="array" ref="AM879">IF(C879="","",IFERROR(XLOOKUP(C879,Orders!$A:$A,Orders!$E:$E,""),""))</f>
        <v/>
      </c>
      <c r="AN879" s="39" t="str">
        <f t="shared" si="7"/>
        <v/>
      </c>
      <c r="AO879" s="39" t="str">
        <f t="shared" si="8"/>
        <v/>
      </c>
      <c r="AP879" s="39" t="str">
        <f t="shared" si="9"/>
        <v/>
      </c>
      <c r="AQ879" s="39" t="str">
        <f t="shared" si="10"/>
        <v/>
      </c>
      <c r="AR879" s="39" t="str">
        <f t="shared" si="11"/>
        <v/>
      </c>
      <c r="AS879" s="39" t="str">
        <f t="shared" si="12"/>
        <v/>
      </c>
      <c r="AT879" s="39" t="str">
        <f t="shared" si="13"/>
        <v/>
      </c>
      <c r="AU879" s="39" t="str">
        <f t="shared" si="14"/>
        <v/>
      </c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 t="str">
        <f t="shared" si="4"/>
        <v/>
      </c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E880" s="39"/>
      <c r="AG880" s="39"/>
      <c r="AH880" s="39" t="str">
        <f t="shared" si="5"/>
        <v/>
      </c>
      <c r="AI880" s="39" t="str">
        <f t="shared" si="6"/>
        <v/>
      </c>
      <c r="AM880" s="39" t="str">
        <f t="array" ref="AM880">IF(C880="","",IFERROR(XLOOKUP(C880,Orders!$A:$A,Orders!$E:$E,""),""))</f>
        <v/>
      </c>
      <c r="AN880" s="39" t="str">
        <f t="shared" si="7"/>
        <v/>
      </c>
      <c r="AO880" s="39" t="str">
        <f t="shared" si="8"/>
        <v/>
      </c>
      <c r="AP880" s="39" t="str">
        <f t="shared" si="9"/>
        <v/>
      </c>
      <c r="AQ880" s="39" t="str">
        <f t="shared" si="10"/>
        <v/>
      </c>
      <c r="AR880" s="39" t="str">
        <f t="shared" si="11"/>
        <v/>
      </c>
      <c r="AS880" s="39" t="str">
        <f t="shared" si="12"/>
        <v/>
      </c>
      <c r="AT880" s="39" t="str">
        <f t="shared" si="13"/>
        <v/>
      </c>
      <c r="AU880" s="39" t="str">
        <f t="shared" si="14"/>
        <v/>
      </c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 t="str">
        <f t="shared" si="4"/>
        <v/>
      </c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E881" s="39"/>
      <c r="AG881" s="39"/>
      <c r="AH881" s="39" t="str">
        <f t="shared" si="5"/>
        <v/>
      </c>
      <c r="AI881" s="39" t="str">
        <f t="shared" si="6"/>
        <v/>
      </c>
      <c r="AM881" s="39" t="str">
        <f t="array" ref="AM881">IF(C881="","",IFERROR(XLOOKUP(C881,Orders!$A:$A,Orders!$E:$E,""),""))</f>
        <v/>
      </c>
      <c r="AN881" s="39" t="str">
        <f t="shared" si="7"/>
        <v/>
      </c>
      <c r="AO881" s="39" t="str">
        <f t="shared" si="8"/>
        <v/>
      </c>
      <c r="AP881" s="39" t="str">
        <f t="shared" si="9"/>
        <v/>
      </c>
      <c r="AQ881" s="39" t="str">
        <f t="shared" si="10"/>
        <v/>
      </c>
      <c r="AR881" s="39" t="str">
        <f t="shared" si="11"/>
        <v/>
      </c>
      <c r="AS881" s="39" t="str">
        <f t="shared" si="12"/>
        <v/>
      </c>
      <c r="AT881" s="39" t="str">
        <f t="shared" si="13"/>
        <v/>
      </c>
      <c r="AU881" s="39" t="str">
        <f t="shared" si="14"/>
        <v/>
      </c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 t="str">
        <f t="shared" si="4"/>
        <v/>
      </c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E882" s="39"/>
      <c r="AG882" s="39"/>
      <c r="AH882" s="39" t="str">
        <f t="shared" si="5"/>
        <v/>
      </c>
      <c r="AI882" s="39" t="str">
        <f t="shared" si="6"/>
        <v/>
      </c>
      <c r="AM882" s="39" t="str">
        <f t="array" ref="AM882">IF(C882="","",IFERROR(XLOOKUP(C882,Orders!$A:$A,Orders!$E:$E,""),""))</f>
        <v/>
      </c>
      <c r="AN882" s="39" t="str">
        <f t="shared" si="7"/>
        <v/>
      </c>
      <c r="AO882" s="39" t="str">
        <f t="shared" si="8"/>
        <v/>
      </c>
      <c r="AP882" s="39" t="str">
        <f t="shared" si="9"/>
        <v/>
      </c>
      <c r="AQ882" s="39" t="str">
        <f t="shared" si="10"/>
        <v/>
      </c>
      <c r="AR882" s="39" t="str">
        <f t="shared" si="11"/>
        <v/>
      </c>
      <c r="AS882" s="39" t="str">
        <f t="shared" si="12"/>
        <v/>
      </c>
      <c r="AT882" s="39" t="str">
        <f t="shared" si="13"/>
        <v/>
      </c>
      <c r="AU882" s="39" t="str">
        <f t="shared" si="14"/>
        <v/>
      </c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 t="str">
        <f t="shared" si="4"/>
        <v/>
      </c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E883" s="39"/>
      <c r="AG883" s="39"/>
      <c r="AH883" s="39" t="str">
        <f t="shared" si="5"/>
        <v/>
      </c>
      <c r="AI883" s="39" t="str">
        <f t="shared" si="6"/>
        <v/>
      </c>
      <c r="AM883" s="39" t="str">
        <f t="array" ref="AM883">IF(C883="","",IFERROR(XLOOKUP(C883,Orders!$A:$A,Orders!$E:$E,""),""))</f>
        <v/>
      </c>
      <c r="AN883" s="39" t="str">
        <f t="shared" si="7"/>
        <v/>
      </c>
      <c r="AO883" s="39" t="str">
        <f t="shared" si="8"/>
        <v/>
      </c>
      <c r="AP883" s="39" t="str">
        <f t="shared" si="9"/>
        <v/>
      </c>
      <c r="AQ883" s="39" t="str">
        <f t="shared" si="10"/>
        <v/>
      </c>
      <c r="AR883" s="39" t="str">
        <f t="shared" si="11"/>
        <v/>
      </c>
      <c r="AS883" s="39" t="str">
        <f t="shared" si="12"/>
        <v/>
      </c>
      <c r="AT883" s="39" t="str">
        <f t="shared" si="13"/>
        <v/>
      </c>
      <c r="AU883" s="39" t="str">
        <f t="shared" si="14"/>
        <v/>
      </c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 t="str">
        <f t="shared" si="4"/>
        <v/>
      </c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E884" s="39"/>
      <c r="AG884" s="39"/>
      <c r="AH884" s="39" t="str">
        <f t="shared" si="5"/>
        <v/>
      </c>
      <c r="AI884" s="39" t="str">
        <f t="shared" si="6"/>
        <v/>
      </c>
      <c r="AM884" s="39" t="str">
        <f t="array" ref="AM884">IF(C884="","",IFERROR(XLOOKUP(C884,Orders!$A:$A,Orders!$E:$E,""),""))</f>
        <v/>
      </c>
      <c r="AN884" s="39" t="str">
        <f t="shared" si="7"/>
        <v/>
      </c>
      <c r="AO884" s="39" t="str">
        <f t="shared" si="8"/>
        <v/>
      </c>
      <c r="AP884" s="39" t="str">
        <f t="shared" si="9"/>
        <v/>
      </c>
      <c r="AQ884" s="39" t="str">
        <f t="shared" si="10"/>
        <v/>
      </c>
      <c r="AR884" s="39" t="str">
        <f t="shared" si="11"/>
        <v/>
      </c>
      <c r="AS884" s="39" t="str">
        <f t="shared" si="12"/>
        <v/>
      </c>
      <c r="AT884" s="39" t="str">
        <f t="shared" si="13"/>
        <v/>
      </c>
      <c r="AU884" s="39" t="str">
        <f t="shared" si="14"/>
        <v/>
      </c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 t="str">
        <f t="shared" si="4"/>
        <v/>
      </c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E885" s="39"/>
      <c r="AG885" s="39"/>
      <c r="AH885" s="39" t="str">
        <f t="shared" si="5"/>
        <v/>
      </c>
      <c r="AI885" s="39" t="str">
        <f t="shared" si="6"/>
        <v/>
      </c>
      <c r="AM885" s="39" t="str">
        <f t="array" ref="AM885">IF(C885="","",IFERROR(XLOOKUP(C885,Orders!$A:$A,Orders!$E:$E,""),""))</f>
        <v/>
      </c>
      <c r="AN885" s="39" t="str">
        <f t="shared" si="7"/>
        <v/>
      </c>
      <c r="AO885" s="39" t="str">
        <f t="shared" si="8"/>
        <v/>
      </c>
      <c r="AP885" s="39" t="str">
        <f t="shared" si="9"/>
        <v/>
      </c>
      <c r="AQ885" s="39" t="str">
        <f t="shared" si="10"/>
        <v/>
      </c>
      <c r="AR885" s="39" t="str">
        <f t="shared" si="11"/>
        <v/>
      </c>
      <c r="AS885" s="39" t="str">
        <f t="shared" si="12"/>
        <v/>
      </c>
      <c r="AT885" s="39" t="str">
        <f t="shared" si="13"/>
        <v/>
      </c>
      <c r="AU885" s="39" t="str">
        <f t="shared" si="14"/>
        <v/>
      </c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 t="str">
        <f t="shared" si="4"/>
        <v/>
      </c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E886" s="39"/>
      <c r="AG886" s="39"/>
      <c r="AH886" s="39" t="str">
        <f t="shared" si="5"/>
        <v/>
      </c>
      <c r="AI886" s="39" t="str">
        <f t="shared" si="6"/>
        <v/>
      </c>
      <c r="AM886" s="39" t="str">
        <f t="array" ref="AM886">IF(C886="","",IFERROR(XLOOKUP(C886,Orders!$A:$A,Orders!$E:$E,""),""))</f>
        <v/>
      </c>
      <c r="AN886" s="39" t="str">
        <f t="shared" si="7"/>
        <v/>
      </c>
      <c r="AO886" s="39" t="str">
        <f t="shared" si="8"/>
        <v/>
      </c>
      <c r="AP886" s="39" t="str">
        <f t="shared" si="9"/>
        <v/>
      </c>
      <c r="AQ886" s="39" t="str">
        <f t="shared" si="10"/>
        <v/>
      </c>
      <c r="AR886" s="39" t="str">
        <f t="shared" si="11"/>
        <v/>
      </c>
      <c r="AS886" s="39" t="str">
        <f t="shared" si="12"/>
        <v/>
      </c>
      <c r="AT886" s="39" t="str">
        <f t="shared" si="13"/>
        <v/>
      </c>
      <c r="AU886" s="39" t="str">
        <f t="shared" si="14"/>
        <v/>
      </c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 t="str">
        <f t="shared" si="4"/>
        <v/>
      </c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E887" s="39"/>
      <c r="AG887" s="39"/>
      <c r="AH887" s="39" t="str">
        <f t="shared" si="5"/>
        <v/>
      </c>
      <c r="AI887" s="39" t="str">
        <f t="shared" si="6"/>
        <v/>
      </c>
      <c r="AM887" s="39" t="str">
        <f t="array" ref="AM887">IF(C887="","",IFERROR(XLOOKUP(C887,Orders!$A:$A,Orders!$E:$E,""),""))</f>
        <v/>
      </c>
      <c r="AN887" s="39" t="str">
        <f t="shared" si="7"/>
        <v/>
      </c>
      <c r="AO887" s="39" t="str">
        <f t="shared" si="8"/>
        <v/>
      </c>
      <c r="AP887" s="39" t="str">
        <f t="shared" si="9"/>
        <v/>
      </c>
      <c r="AQ887" s="39" t="str">
        <f t="shared" si="10"/>
        <v/>
      </c>
      <c r="AR887" s="39" t="str">
        <f t="shared" si="11"/>
        <v/>
      </c>
      <c r="AS887" s="39" t="str">
        <f t="shared" si="12"/>
        <v/>
      </c>
      <c r="AT887" s="39" t="str">
        <f t="shared" si="13"/>
        <v/>
      </c>
      <c r="AU887" s="39" t="str">
        <f t="shared" si="14"/>
        <v/>
      </c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 t="str">
        <f t="shared" si="4"/>
        <v/>
      </c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E888" s="39"/>
      <c r="AG888" s="39"/>
      <c r="AH888" s="39" t="str">
        <f t="shared" si="5"/>
        <v/>
      </c>
      <c r="AI888" s="39" t="str">
        <f t="shared" si="6"/>
        <v/>
      </c>
      <c r="AM888" s="39" t="str">
        <f t="array" ref="AM888">IF(C888="","",IFERROR(XLOOKUP(C888,Orders!$A:$A,Orders!$E:$E,""),""))</f>
        <v/>
      </c>
      <c r="AN888" s="39" t="str">
        <f t="shared" si="7"/>
        <v/>
      </c>
      <c r="AO888" s="39" t="str">
        <f t="shared" si="8"/>
        <v/>
      </c>
      <c r="AP888" s="39" t="str">
        <f t="shared" si="9"/>
        <v/>
      </c>
      <c r="AQ888" s="39" t="str">
        <f t="shared" si="10"/>
        <v/>
      </c>
      <c r="AR888" s="39" t="str">
        <f t="shared" si="11"/>
        <v/>
      </c>
      <c r="AS888" s="39" t="str">
        <f t="shared" si="12"/>
        <v/>
      </c>
      <c r="AT888" s="39" t="str">
        <f t="shared" si="13"/>
        <v/>
      </c>
      <c r="AU888" s="39" t="str">
        <f t="shared" si="14"/>
        <v/>
      </c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 t="str">
        <f t="shared" si="4"/>
        <v/>
      </c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E889" s="39"/>
      <c r="AG889" s="39"/>
      <c r="AH889" s="39" t="str">
        <f t="shared" si="5"/>
        <v/>
      </c>
      <c r="AI889" s="39" t="str">
        <f t="shared" si="6"/>
        <v/>
      </c>
      <c r="AM889" s="39" t="str">
        <f t="array" ref="AM889">IF(C889="","",IFERROR(XLOOKUP(C889,Orders!$A:$A,Orders!$E:$E,""),""))</f>
        <v/>
      </c>
      <c r="AN889" s="39" t="str">
        <f t="shared" si="7"/>
        <v/>
      </c>
      <c r="AO889" s="39" t="str">
        <f t="shared" si="8"/>
        <v/>
      </c>
      <c r="AP889" s="39" t="str">
        <f t="shared" si="9"/>
        <v/>
      </c>
      <c r="AQ889" s="39" t="str">
        <f t="shared" si="10"/>
        <v/>
      </c>
      <c r="AR889" s="39" t="str">
        <f t="shared" si="11"/>
        <v/>
      </c>
      <c r="AS889" s="39" t="str">
        <f t="shared" si="12"/>
        <v/>
      </c>
      <c r="AT889" s="39" t="str">
        <f t="shared" si="13"/>
        <v/>
      </c>
      <c r="AU889" s="39" t="str">
        <f t="shared" si="14"/>
        <v/>
      </c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 t="str">
        <f t="shared" si="4"/>
        <v/>
      </c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E890" s="39"/>
      <c r="AG890" s="39"/>
      <c r="AH890" s="39" t="str">
        <f t="shared" si="5"/>
        <v/>
      </c>
      <c r="AI890" s="39" t="str">
        <f t="shared" si="6"/>
        <v/>
      </c>
      <c r="AM890" s="39" t="str">
        <f t="array" ref="AM890">IF(C890="","",IFERROR(XLOOKUP(C890,Orders!$A:$A,Orders!$E:$E,""),""))</f>
        <v/>
      </c>
      <c r="AN890" s="39" t="str">
        <f t="shared" si="7"/>
        <v/>
      </c>
      <c r="AO890" s="39" t="str">
        <f t="shared" si="8"/>
        <v/>
      </c>
      <c r="AP890" s="39" t="str">
        <f t="shared" si="9"/>
        <v/>
      </c>
      <c r="AQ890" s="39" t="str">
        <f t="shared" si="10"/>
        <v/>
      </c>
      <c r="AR890" s="39" t="str">
        <f t="shared" si="11"/>
        <v/>
      </c>
      <c r="AS890" s="39" t="str">
        <f t="shared" si="12"/>
        <v/>
      </c>
      <c r="AT890" s="39" t="str">
        <f t="shared" si="13"/>
        <v/>
      </c>
      <c r="AU890" s="39" t="str">
        <f t="shared" si="14"/>
        <v/>
      </c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 t="str">
        <f t="shared" si="4"/>
        <v/>
      </c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E891" s="39"/>
      <c r="AG891" s="39"/>
      <c r="AH891" s="39" t="str">
        <f t="shared" si="5"/>
        <v/>
      </c>
      <c r="AI891" s="39" t="str">
        <f t="shared" si="6"/>
        <v/>
      </c>
      <c r="AM891" s="39" t="str">
        <f t="array" ref="AM891">IF(C891="","",IFERROR(XLOOKUP(C891,Orders!$A:$A,Orders!$E:$E,""),""))</f>
        <v/>
      </c>
      <c r="AN891" s="39" t="str">
        <f t="shared" si="7"/>
        <v/>
      </c>
      <c r="AO891" s="39" t="str">
        <f t="shared" si="8"/>
        <v/>
      </c>
      <c r="AP891" s="39" t="str">
        <f t="shared" si="9"/>
        <v/>
      </c>
      <c r="AQ891" s="39" t="str">
        <f t="shared" si="10"/>
        <v/>
      </c>
      <c r="AR891" s="39" t="str">
        <f t="shared" si="11"/>
        <v/>
      </c>
      <c r="AS891" s="39" t="str">
        <f t="shared" si="12"/>
        <v/>
      </c>
      <c r="AT891" s="39" t="str">
        <f t="shared" si="13"/>
        <v/>
      </c>
      <c r="AU891" s="39" t="str">
        <f t="shared" si="14"/>
        <v/>
      </c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 t="str">
        <f t="shared" si="4"/>
        <v/>
      </c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E892" s="39"/>
      <c r="AG892" s="39"/>
      <c r="AH892" s="39" t="str">
        <f t="shared" si="5"/>
        <v/>
      </c>
      <c r="AI892" s="39" t="str">
        <f t="shared" si="6"/>
        <v/>
      </c>
      <c r="AM892" s="39" t="str">
        <f t="array" ref="AM892">IF(C892="","",IFERROR(XLOOKUP(C892,Orders!$A:$A,Orders!$E:$E,""),""))</f>
        <v/>
      </c>
      <c r="AN892" s="39" t="str">
        <f t="shared" si="7"/>
        <v/>
      </c>
      <c r="AO892" s="39" t="str">
        <f t="shared" si="8"/>
        <v/>
      </c>
      <c r="AP892" s="39" t="str">
        <f t="shared" si="9"/>
        <v/>
      </c>
      <c r="AQ892" s="39" t="str">
        <f t="shared" si="10"/>
        <v/>
      </c>
      <c r="AR892" s="39" t="str">
        <f t="shared" si="11"/>
        <v/>
      </c>
      <c r="AS892" s="39" t="str">
        <f t="shared" si="12"/>
        <v/>
      </c>
      <c r="AT892" s="39" t="str">
        <f t="shared" si="13"/>
        <v/>
      </c>
      <c r="AU892" s="39" t="str">
        <f t="shared" si="14"/>
        <v/>
      </c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 t="str">
        <f t="shared" si="4"/>
        <v/>
      </c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E893" s="39"/>
      <c r="AG893" s="39"/>
      <c r="AH893" s="39" t="str">
        <f t="shared" si="5"/>
        <v/>
      </c>
      <c r="AI893" s="39" t="str">
        <f t="shared" si="6"/>
        <v/>
      </c>
      <c r="AM893" s="39" t="str">
        <f t="array" ref="AM893">IF(C893="","",IFERROR(XLOOKUP(C893,Orders!$A:$A,Orders!$E:$E,""),""))</f>
        <v/>
      </c>
      <c r="AN893" s="39" t="str">
        <f t="shared" si="7"/>
        <v/>
      </c>
      <c r="AO893" s="39" t="str">
        <f t="shared" si="8"/>
        <v/>
      </c>
      <c r="AP893" s="39" t="str">
        <f t="shared" si="9"/>
        <v/>
      </c>
      <c r="AQ893" s="39" t="str">
        <f t="shared" si="10"/>
        <v/>
      </c>
      <c r="AR893" s="39" t="str">
        <f t="shared" si="11"/>
        <v/>
      </c>
      <c r="AS893" s="39" t="str">
        <f t="shared" si="12"/>
        <v/>
      </c>
      <c r="AT893" s="39" t="str">
        <f t="shared" si="13"/>
        <v/>
      </c>
      <c r="AU893" s="39" t="str">
        <f t="shared" si="14"/>
        <v/>
      </c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 t="str">
        <f t="shared" si="4"/>
        <v/>
      </c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E894" s="39"/>
      <c r="AG894" s="39"/>
      <c r="AH894" s="39" t="str">
        <f t="shared" si="5"/>
        <v/>
      </c>
      <c r="AI894" s="39" t="str">
        <f t="shared" si="6"/>
        <v/>
      </c>
      <c r="AM894" s="39" t="str">
        <f t="array" ref="AM894">IF(C894="","",IFERROR(XLOOKUP(C894,Orders!$A:$A,Orders!$E:$E,""),""))</f>
        <v/>
      </c>
      <c r="AN894" s="39" t="str">
        <f t="shared" si="7"/>
        <v/>
      </c>
      <c r="AO894" s="39" t="str">
        <f t="shared" si="8"/>
        <v/>
      </c>
      <c r="AP894" s="39" t="str">
        <f t="shared" si="9"/>
        <v/>
      </c>
      <c r="AQ894" s="39" t="str">
        <f t="shared" si="10"/>
        <v/>
      </c>
      <c r="AR894" s="39" t="str">
        <f t="shared" si="11"/>
        <v/>
      </c>
      <c r="AS894" s="39" t="str">
        <f t="shared" si="12"/>
        <v/>
      </c>
      <c r="AT894" s="39" t="str">
        <f t="shared" si="13"/>
        <v/>
      </c>
      <c r="AU894" s="39" t="str">
        <f t="shared" si="14"/>
        <v/>
      </c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 t="str">
        <f t="shared" si="4"/>
        <v/>
      </c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E895" s="39"/>
      <c r="AG895" s="39"/>
      <c r="AH895" s="39" t="str">
        <f t="shared" si="5"/>
        <v/>
      </c>
      <c r="AI895" s="39" t="str">
        <f t="shared" si="6"/>
        <v/>
      </c>
      <c r="AM895" s="39" t="str">
        <f t="array" ref="AM895">IF(C895="","",IFERROR(XLOOKUP(C895,Orders!$A:$A,Orders!$E:$E,""),""))</f>
        <v/>
      </c>
      <c r="AN895" s="39" t="str">
        <f t="shared" si="7"/>
        <v/>
      </c>
      <c r="AO895" s="39" t="str">
        <f t="shared" si="8"/>
        <v/>
      </c>
      <c r="AP895" s="39" t="str">
        <f t="shared" si="9"/>
        <v/>
      </c>
      <c r="AQ895" s="39" t="str">
        <f t="shared" si="10"/>
        <v/>
      </c>
      <c r="AR895" s="39" t="str">
        <f t="shared" si="11"/>
        <v/>
      </c>
      <c r="AS895" s="39" t="str">
        <f t="shared" si="12"/>
        <v/>
      </c>
      <c r="AT895" s="39" t="str">
        <f t="shared" si="13"/>
        <v/>
      </c>
      <c r="AU895" s="39" t="str">
        <f t="shared" si="14"/>
        <v/>
      </c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 t="str">
        <f t="shared" si="4"/>
        <v/>
      </c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E896" s="39"/>
      <c r="AG896" s="39"/>
      <c r="AH896" s="39" t="str">
        <f t="shared" si="5"/>
        <v/>
      </c>
      <c r="AI896" s="39" t="str">
        <f t="shared" si="6"/>
        <v/>
      </c>
      <c r="AM896" s="39" t="str">
        <f t="array" ref="AM896">IF(C896="","",IFERROR(XLOOKUP(C896,Orders!$A:$A,Orders!$E:$E,""),""))</f>
        <v/>
      </c>
      <c r="AN896" s="39" t="str">
        <f t="shared" si="7"/>
        <v/>
      </c>
      <c r="AO896" s="39" t="str">
        <f t="shared" si="8"/>
        <v/>
      </c>
      <c r="AP896" s="39" t="str">
        <f t="shared" si="9"/>
        <v/>
      </c>
      <c r="AQ896" s="39" t="str">
        <f t="shared" si="10"/>
        <v/>
      </c>
      <c r="AR896" s="39" t="str">
        <f t="shared" si="11"/>
        <v/>
      </c>
      <c r="AS896" s="39" t="str">
        <f t="shared" si="12"/>
        <v/>
      </c>
      <c r="AT896" s="39" t="str">
        <f t="shared" si="13"/>
        <v/>
      </c>
      <c r="AU896" s="39" t="str">
        <f t="shared" si="14"/>
        <v/>
      </c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 t="str">
        <f t="shared" si="4"/>
        <v/>
      </c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E897" s="39"/>
      <c r="AG897" s="39"/>
      <c r="AH897" s="39" t="str">
        <f t="shared" si="5"/>
        <v/>
      </c>
      <c r="AI897" s="39" t="str">
        <f t="shared" si="6"/>
        <v/>
      </c>
      <c r="AM897" s="39" t="str">
        <f t="array" ref="AM897">IF(C897="","",IFERROR(XLOOKUP(C897,Orders!$A:$A,Orders!$E:$E,""),""))</f>
        <v/>
      </c>
      <c r="AN897" s="39" t="str">
        <f t="shared" si="7"/>
        <v/>
      </c>
      <c r="AO897" s="39" t="str">
        <f t="shared" si="8"/>
        <v/>
      </c>
      <c r="AP897" s="39" t="str">
        <f t="shared" si="9"/>
        <v/>
      </c>
      <c r="AQ897" s="39" t="str">
        <f t="shared" si="10"/>
        <v/>
      </c>
      <c r="AR897" s="39" t="str">
        <f t="shared" si="11"/>
        <v/>
      </c>
      <c r="AS897" s="39" t="str">
        <f t="shared" si="12"/>
        <v/>
      </c>
      <c r="AT897" s="39" t="str">
        <f t="shared" si="13"/>
        <v/>
      </c>
      <c r="AU897" s="39" t="str">
        <f t="shared" si="14"/>
        <v/>
      </c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 t="str">
        <f t="shared" si="4"/>
        <v/>
      </c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E898" s="39"/>
      <c r="AG898" s="39"/>
      <c r="AH898" s="39" t="str">
        <f t="shared" si="5"/>
        <v/>
      </c>
      <c r="AI898" s="39" t="str">
        <f t="shared" si="6"/>
        <v/>
      </c>
      <c r="AM898" s="39" t="str">
        <f t="array" ref="AM898">IF(C898="","",IFERROR(XLOOKUP(C898,Orders!$A:$A,Orders!$E:$E,""),""))</f>
        <v/>
      </c>
      <c r="AN898" s="39" t="str">
        <f t="shared" si="7"/>
        <v/>
      </c>
      <c r="AO898" s="39" t="str">
        <f t="shared" si="8"/>
        <v/>
      </c>
      <c r="AP898" s="39" t="str">
        <f t="shared" si="9"/>
        <v/>
      </c>
      <c r="AQ898" s="39" t="str">
        <f t="shared" si="10"/>
        <v/>
      </c>
      <c r="AR898" s="39" t="str">
        <f t="shared" si="11"/>
        <v/>
      </c>
      <c r="AS898" s="39" t="str">
        <f t="shared" si="12"/>
        <v/>
      </c>
      <c r="AT898" s="39" t="str">
        <f t="shared" si="13"/>
        <v/>
      </c>
      <c r="AU898" s="39" t="str">
        <f t="shared" si="14"/>
        <v/>
      </c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 t="str">
        <f t="shared" si="4"/>
        <v/>
      </c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E899" s="39"/>
      <c r="AG899" s="39"/>
      <c r="AH899" s="39" t="str">
        <f t="shared" si="5"/>
        <v/>
      </c>
      <c r="AI899" s="39" t="str">
        <f t="shared" si="6"/>
        <v/>
      </c>
      <c r="AM899" s="39" t="str">
        <f t="array" ref="AM899">IF(C899="","",IFERROR(XLOOKUP(C899,Orders!$A:$A,Orders!$E:$E,""),""))</f>
        <v/>
      </c>
      <c r="AN899" s="39" t="str">
        <f t="shared" si="7"/>
        <v/>
      </c>
      <c r="AO899" s="39" t="str">
        <f t="shared" si="8"/>
        <v/>
      </c>
      <c r="AP899" s="39" t="str">
        <f t="shared" si="9"/>
        <v/>
      </c>
      <c r="AQ899" s="39" t="str">
        <f t="shared" si="10"/>
        <v/>
      </c>
      <c r="AR899" s="39" t="str">
        <f t="shared" si="11"/>
        <v/>
      </c>
      <c r="AS899" s="39" t="str">
        <f t="shared" si="12"/>
        <v/>
      </c>
      <c r="AT899" s="39" t="str">
        <f t="shared" si="13"/>
        <v/>
      </c>
      <c r="AU899" s="39" t="str">
        <f t="shared" si="14"/>
        <v/>
      </c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 t="str">
        <f t="shared" si="4"/>
        <v/>
      </c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E900" s="39"/>
      <c r="AG900" s="39"/>
      <c r="AH900" s="39" t="str">
        <f t="shared" si="5"/>
        <v/>
      </c>
      <c r="AI900" s="39" t="str">
        <f t="shared" si="6"/>
        <v/>
      </c>
      <c r="AM900" s="39" t="str">
        <f t="array" ref="AM900">IF(C900="","",IFERROR(XLOOKUP(C900,Orders!$A:$A,Orders!$E:$E,""),""))</f>
        <v/>
      </c>
      <c r="AN900" s="39" t="str">
        <f t="shared" si="7"/>
        <v/>
      </c>
      <c r="AO900" s="39" t="str">
        <f t="shared" si="8"/>
        <v/>
      </c>
      <c r="AP900" s="39" t="str">
        <f t="shared" si="9"/>
        <v/>
      </c>
      <c r="AQ900" s="39" t="str">
        <f t="shared" si="10"/>
        <v/>
      </c>
      <c r="AR900" s="39" t="str">
        <f t="shared" si="11"/>
        <v/>
      </c>
      <c r="AS900" s="39" t="str">
        <f t="shared" si="12"/>
        <v/>
      </c>
      <c r="AT900" s="39" t="str">
        <f t="shared" si="13"/>
        <v/>
      </c>
      <c r="AU900" s="39" t="str">
        <f t="shared" si="14"/>
        <v/>
      </c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 t="str">
        <f t="shared" si="4"/>
        <v/>
      </c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E901" s="39"/>
      <c r="AG901" s="39"/>
      <c r="AH901" s="39" t="str">
        <f t="shared" si="5"/>
        <v/>
      </c>
      <c r="AI901" s="39" t="str">
        <f t="shared" si="6"/>
        <v/>
      </c>
      <c r="AM901" s="39" t="str">
        <f t="array" ref="AM901">IF(C901="","",IFERROR(XLOOKUP(C901,Orders!$A:$A,Orders!$E:$E,""),""))</f>
        <v/>
      </c>
      <c r="AN901" s="39" t="str">
        <f t="shared" si="7"/>
        <v/>
      </c>
      <c r="AO901" s="39" t="str">
        <f t="shared" si="8"/>
        <v/>
      </c>
      <c r="AP901" s="39" t="str">
        <f t="shared" si="9"/>
        <v/>
      </c>
      <c r="AQ901" s="39" t="str">
        <f t="shared" si="10"/>
        <v/>
      </c>
      <c r="AR901" s="39" t="str">
        <f t="shared" si="11"/>
        <v/>
      </c>
      <c r="AS901" s="39" t="str">
        <f t="shared" si="12"/>
        <v/>
      </c>
      <c r="AT901" s="39" t="str">
        <f t="shared" si="13"/>
        <v/>
      </c>
      <c r="AU901" s="39" t="str">
        <f t="shared" si="14"/>
        <v/>
      </c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 t="str">
        <f t="shared" si="4"/>
        <v/>
      </c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E902" s="39"/>
      <c r="AG902" s="39"/>
      <c r="AH902" s="39" t="str">
        <f t="shared" si="5"/>
        <v/>
      </c>
      <c r="AI902" s="39" t="str">
        <f t="shared" si="6"/>
        <v/>
      </c>
      <c r="AM902" s="39" t="str">
        <f t="array" ref="AM902">IF(C902="","",IFERROR(XLOOKUP(C902,Orders!$A:$A,Orders!$E:$E,""),""))</f>
        <v/>
      </c>
      <c r="AN902" s="39" t="str">
        <f t="shared" si="7"/>
        <v/>
      </c>
      <c r="AO902" s="39" t="str">
        <f t="shared" si="8"/>
        <v/>
      </c>
      <c r="AP902" s="39" t="str">
        <f t="shared" si="9"/>
        <v/>
      </c>
      <c r="AQ902" s="39" t="str">
        <f t="shared" si="10"/>
        <v/>
      </c>
      <c r="AR902" s="39" t="str">
        <f t="shared" si="11"/>
        <v/>
      </c>
      <c r="AS902" s="39" t="str">
        <f t="shared" si="12"/>
        <v/>
      </c>
      <c r="AT902" s="39" t="str">
        <f t="shared" si="13"/>
        <v/>
      </c>
      <c r="AU902" s="39" t="str">
        <f t="shared" si="14"/>
        <v/>
      </c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 t="str">
        <f t="shared" si="4"/>
        <v/>
      </c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E903" s="39"/>
      <c r="AG903" s="39"/>
      <c r="AH903" s="39" t="str">
        <f t="shared" si="5"/>
        <v/>
      </c>
      <c r="AI903" s="39" t="str">
        <f t="shared" si="6"/>
        <v/>
      </c>
      <c r="AM903" s="39" t="str">
        <f t="array" ref="AM903">IF(C903="","",IFERROR(XLOOKUP(C903,Orders!$A:$A,Orders!$E:$E,""),""))</f>
        <v/>
      </c>
      <c r="AN903" s="39" t="str">
        <f t="shared" si="7"/>
        <v/>
      </c>
      <c r="AO903" s="39" t="str">
        <f t="shared" si="8"/>
        <v/>
      </c>
      <c r="AP903" s="39" t="str">
        <f t="shared" si="9"/>
        <v/>
      </c>
      <c r="AQ903" s="39" t="str">
        <f t="shared" si="10"/>
        <v/>
      </c>
      <c r="AR903" s="39" t="str">
        <f t="shared" si="11"/>
        <v/>
      </c>
      <c r="AS903" s="39" t="str">
        <f t="shared" si="12"/>
        <v/>
      </c>
      <c r="AT903" s="39" t="str">
        <f t="shared" si="13"/>
        <v/>
      </c>
      <c r="AU903" s="39" t="str">
        <f t="shared" si="14"/>
        <v/>
      </c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 t="str">
        <f t="shared" si="4"/>
        <v/>
      </c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E904" s="39"/>
      <c r="AG904" s="39"/>
      <c r="AH904" s="39" t="str">
        <f t="shared" si="5"/>
        <v/>
      </c>
      <c r="AI904" s="39" t="str">
        <f t="shared" si="6"/>
        <v/>
      </c>
      <c r="AM904" s="39" t="str">
        <f t="array" ref="AM904">IF(C904="","",IFERROR(XLOOKUP(C904,Orders!$A:$A,Orders!$E:$E,""),""))</f>
        <v/>
      </c>
      <c r="AN904" s="39" t="str">
        <f t="shared" si="7"/>
        <v/>
      </c>
      <c r="AO904" s="39" t="str">
        <f t="shared" si="8"/>
        <v/>
      </c>
      <c r="AP904" s="39" t="str">
        <f t="shared" si="9"/>
        <v/>
      </c>
      <c r="AQ904" s="39" t="str">
        <f t="shared" si="10"/>
        <v/>
      </c>
      <c r="AR904" s="39" t="str">
        <f t="shared" si="11"/>
        <v/>
      </c>
      <c r="AS904" s="39" t="str">
        <f t="shared" si="12"/>
        <v/>
      </c>
      <c r="AT904" s="39" t="str">
        <f t="shared" si="13"/>
        <v/>
      </c>
      <c r="AU904" s="39" t="str">
        <f t="shared" si="14"/>
        <v/>
      </c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 t="str">
        <f t="shared" si="4"/>
        <v/>
      </c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E905" s="39"/>
      <c r="AG905" s="39"/>
      <c r="AH905" s="39" t="str">
        <f t="shared" si="5"/>
        <v/>
      </c>
      <c r="AI905" s="39" t="str">
        <f t="shared" si="6"/>
        <v/>
      </c>
      <c r="AM905" s="39" t="str">
        <f t="array" ref="AM905">IF(C905="","",IFERROR(XLOOKUP(C905,Orders!$A:$A,Orders!$E:$E,""),""))</f>
        <v/>
      </c>
      <c r="AN905" s="39" t="str">
        <f t="shared" si="7"/>
        <v/>
      </c>
      <c r="AO905" s="39" t="str">
        <f t="shared" si="8"/>
        <v/>
      </c>
      <c r="AP905" s="39" t="str">
        <f t="shared" si="9"/>
        <v/>
      </c>
      <c r="AQ905" s="39" t="str">
        <f t="shared" si="10"/>
        <v/>
      </c>
      <c r="AR905" s="39" t="str">
        <f t="shared" si="11"/>
        <v/>
      </c>
      <c r="AS905" s="39" t="str">
        <f t="shared" si="12"/>
        <v/>
      </c>
      <c r="AT905" s="39" t="str">
        <f t="shared" si="13"/>
        <v/>
      </c>
      <c r="AU905" s="39" t="str">
        <f t="shared" si="14"/>
        <v/>
      </c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 t="str">
        <f t="shared" si="4"/>
        <v/>
      </c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E906" s="39"/>
      <c r="AG906" s="39"/>
      <c r="AH906" s="39" t="str">
        <f t="shared" si="5"/>
        <v/>
      </c>
      <c r="AI906" s="39" t="str">
        <f t="shared" si="6"/>
        <v/>
      </c>
      <c r="AM906" s="39" t="str">
        <f t="array" ref="AM906">IF(C906="","",IFERROR(XLOOKUP(C906,Orders!$A:$A,Orders!$E:$E,""),""))</f>
        <v/>
      </c>
      <c r="AN906" s="39" t="str">
        <f t="shared" si="7"/>
        <v/>
      </c>
      <c r="AO906" s="39" t="str">
        <f t="shared" si="8"/>
        <v/>
      </c>
      <c r="AP906" s="39" t="str">
        <f t="shared" si="9"/>
        <v/>
      </c>
      <c r="AQ906" s="39" t="str">
        <f t="shared" si="10"/>
        <v/>
      </c>
      <c r="AR906" s="39" t="str">
        <f t="shared" si="11"/>
        <v/>
      </c>
      <c r="AS906" s="39" t="str">
        <f t="shared" si="12"/>
        <v/>
      </c>
      <c r="AT906" s="39" t="str">
        <f t="shared" si="13"/>
        <v/>
      </c>
      <c r="AU906" s="39" t="str">
        <f t="shared" si="14"/>
        <v/>
      </c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 t="str">
        <f t="shared" si="4"/>
        <v/>
      </c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E907" s="39"/>
      <c r="AG907" s="39"/>
      <c r="AH907" s="39" t="str">
        <f t="shared" si="5"/>
        <v/>
      </c>
      <c r="AI907" s="39" t="str">
        <f t="shared" si="6"/>
        <v/>
      </c>
      <c r="AM907" s="39" t="str">
        <f t="array" ref="AM907">IF(C907="","",IFERROR(XLOOKUP(C907,Orders!$A:$A,Orders!$E:$E,""),""))</f>
        <v/>
      </c>
      <c r="AN907" s="39" t="str">
        <f t="shared" si="7"/>
        <v/>
      </c>
      <c r="AO907" s="39" t="str">
        <f t="shared" si="8"/>
        <v/>
      </c>
      <c r="AP907" s="39" t="str">
        <f t="shared" si="9"/>
        <v/>
      </c>
      <c r="AQ907" s="39" t="str">
        <f t="shared" si="10"/>
        <v/>
      </c>
      <c r="AR907" s="39" t="str">
        <f t="shared" si="11"/>
        <v/>
      </c>
      <c r="AS907" s="39" t="str">
        <f t="shared" si="12"/>
        <v/>
      </c>
      <c r="AT907" s="39" t="str">
        <f t="shared" si="13"/>
        <v/>
      </c>
      <c r="AU907" s="39" t="str">
        <f t="shared" si="14"/>
        <v/>
      </c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 t="str">
        <f t="shared" si="4"/>
        <v/>
      </c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E908" s="39"/>
      <c r="AG908" s="39"/>
      <c r="AH908" s="39" t="str">
        <f t="shared" si="5"/>
        <v/>
      </c>
      <c r="AI908" s="39" t="str">
        <f t="shared" si="6"/>
        <v/>
      </c>
      <c r="AM908" s="39" t="str">
        <f t="array" ref="AM908">IF(C908="","",IFERROR(XLOOKUP(C908,Orders!$A:$A,Orders!$E:$E,""),""))</f>
        <v/>
      </c>
      <c r="AN908" s="39" t="str">
        <f t="shared" si="7"/>
        <v/>
      </c>
      <c r="AO908" s="39" t="str">
        <f t="shared" si="8"/>
        <v/>
      </c>
      <c r="AP908" s="39" t="str">
        <f t="shared" si="9"/>
        <v/>
      </c>
      <c r="AQ908" s="39" t="str">
        <f t="shared" si="10"/>
        <v/>
      </c>
      <c r="AR908" s="39" t="str">
        <f t="shared" si="11"/>
        <v/>
      </c>
      <c r="AS908" s="39" t="str">
        <f t="shared" si="12"/>
        <v/>
      </c>
      <c r="AT908" s="39" t="str">
        <f t="shared" si="13"/>
        <v/>
      </c>
      <c r="AU908" s="39" t="str">
        <f t="shared" si="14"/>
        <v/>
      </c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 t="str">
        <f t="shared" si="4"/>
        <v/>
      </c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E909" s="39"/>
      <c r="AG909" s="39"/>
      <c r="AH909" s="39" t="str">
        <f t="shared" si="5"/>
        <v/>
      </c>
      <c r="AI909" s="39" t="str">
        <f t="shared" si="6"/>
        <v/>
      </c>
      <c r="AM909" s="39" t="str">
        <f t="array" ref="AM909">IF(C909="","",IFERROR(XLOOKUP(C909,Orders!$A:$A,Orders!$E:$E,""),""))</f>
        <v/>
      </c>
      <c r="AN909" s="39" t="str">
        <f t="shared" si="7"/>
        <v/>
      </c>
      <c r="AO909" s="39" t="str">
        <f t="shared" si="8"/>
        <v/>
      </c>
      <c r="AP909" s="39" t="str">
        <f t="shared" si="9"/>
        <v/>
      </c>
      <c r="AQ909" s="39" t="str">
        <f t="shared" si="10"/>
        <v/>
      </c>
      <c r="AR909" s="39" t="str">
        <f t="shared" si="11"/>
        <v/>
      </c>
      <c r="AS909" s="39" t="str">
        <f t="shared" si="12"/>
        <v/>
      </c>
      <c r="AT909" s="39" t="str">
        <f t="shared" si="13"/>
        <v/>
      </c>
      <c r="AU909" s="39" t="str">
        <f t="shared" si="14"/>
        <v/>
      </c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 t="str">
        <f t="shared" si="4"/>
        <v/>
      </c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E910" s="39"/>
      <c r="AG910" s="39"/>
      <c r="AH910" s="39" t="str">
        <f t="shared" si="5"/>
        <v/>
      </c>
      <c r="AI910" s="39" t="str">
        <f t="shared" si="6"/>
        <v/>
      </c>
      <c r="AM910" s="39" t="str">
        <f t="array" ref="AM910">IF(C910="","",IFERROR(XLOOKUP(C910,Orders!$A:$A,Orders!$E:$E,""),""))</f>
        <v/>
      </c>
      <c r="AN910" s="39" t="str">
        <f t="shared" si="7"/>
        <v/>
      </c>
      <c r="AO910" s="39" t="str">
        <f t="shared" si="8"/>
        <v/>
      </c>
      <c r="AP910" s="39" t="str">
        <f t="shared" si="9"/>
        <v/>
      </c>
      <c r="AQ910" s="39" t="str">
        <f t="shared" si="10"/>
        <v/>
      </c>
      <c r="AR910" s="39" t="str">
        <f t="shared" si="11"/>
        <v/>
      </c>
      <c r="AS910" s="39" t="str">
        <f t="shared" si="12"/>
        <v/>
      </c>
      <c r="AT910" s="39" t="str">
        <f t="shared" si="13"/>
        <v/>
      </c>
      <c r="AU910" s="39" t="str">
        <f t="shared" si="14"/>
        <v/>
      </c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 t="str">
        <f t="shared" si="4"/>
        <v/>
      </c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E911" s="39"/>
      <c r="AG911" s="39"/>
      <c r="AH911" s="39" t="str">
        <f t="shared" si="5"/>
        <v/>
      </c>
      <c r="AI911" s="39" t="str">
        <f t="shared" si="6"/>
        <v/>
      </c>
      <c r="AM911" s="39" t="str">
        <f t="array" ref="AM911">IF(C911="","",IFERROR(XLOOKUP(C911,Orders!$A:$A,Orders!$E:$E,""),""))</f>
        <v/>
      </c>
      <c r="AN911" s="39" t="str">
        <f t="shared" si="7"/>
        <v/>
      </c>
      <c r="AO911" s="39" t="str">
        <f t="shared" si="8"/>
        <v/>
      </c>
      <c r="AP911" s="39" t="str">
        <f t="shared" si="9"/>
        <v/>
      </c>
      <c r="AQ911" s="39" t="str">
        <f t="shared" si="10"/>
        <v/>
      </c>
      <c r="AR911" s="39" t="str">
        <f t="shared" si="11"/>
        <v/>
      </c>
      <c r="AS911" s="39" t="str">
        <f t="shared" si="12"/>
        <v/>
      </c>
      <c r="AT911" s="39" t="str">
        <f t="shared" si="13"/>
        <v/>
      </c>
      <c r="AU911" s="39" t="str">
        <f t="shared" si="14"/>
        <v/>
      </c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 t="str">
        <f t="shared" si="4"/>
        <v/>
      </c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E912" s="39"/>
      <c r="AG912" s="39"/>
      <c r="AH912" s="39" t="str">
        <f t="shared" si="5"/>
        <v/>
      </c>
      <c r="AI912" s="39" t="str">
        <f t="shared" si="6"/>
        <v/>
      </c>
      <c r="AM912" s="39" t="str">
        <f t="array" ref="AM912">IF(C912="","",IFERROR(XLOOKUP(C912,Orders!$A:$A,Orders!$E:$E,""),""))</f>
        <v/>
      </c>
      <c r="AN912" s="39" t="str">
        <f t="shared" si="7"/>
        <v/>
      </c>
      <c r="AO912" s="39" t="str">
        <f t="shared" si="8"/>
        <v/>
      </c>
      <c r="AP912" s="39" t="str">
        <f t="shared" si="9"/>
        <v/>
      </c>
      <c r="AQ912" s="39" t="str">
        <f t="shared" si="10"/>
        <v/>
      </c>
      <c r="AR912" s="39" t="str">
        <f t="shared" si="11"/>
        <v/>
      </c>
      <c r="AS912" s="39" t="str">
        <f t="shared" si="12"/>
        <v/>
      </c>
      <c r="AT912" s="39" t="str">
        <f t="shared" si="13"/>
        <v/>
      </c>
      <c r="AU912" s="39" t="str">
        <f t="shared" si="14"/>
        <v/>
      </c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 t="str">
        <f t="shared" si="4"/>
        <v/>
      </c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E913" s="39"/>
      <c r="AG913" s="39"/>
      <c r="AH913" s="39" t="str">
        <f t="shared" si="5"/>
        <v/>
      </c>
      <c r="AI913" s="39" t="str">
        <f t="shared" si="6"/>
        <v/>
      </c>
      <c r="AM913" s="39" t="str">
        <f t="array" ref="AM913">IF(C913="","",IFERROR(XLOOKUP(C913,Orders!$A:$A,Orders!$E:$E,""),""))</f>
        <v/>
      </c>
      <c r="AN913" s="39" t="str">
        <f t="shared" si="7"/>
        <v/>
      </c>
      <c r="AO913" s="39" t="str">
        <f t="shared" si="8"/>
        <v/>
      </c>
      <c r="AP913" s="39" t="str">
        <f t="shared" si="9"/>
        <v/>
      </c>
      <c r="AQ913" s="39" t="str">
        <f t="shared" si="10"/>
        <v/>
      </c>
      <c r="AR913" s="39" t="str">
        <f t="shared" si="11"/>
        <v/>
      </c>
      <c r="AS913" s="39" t="str">
        <f t="shared" si="12"/>
        <v/>
      </c>
      <c r="AT913" s="39" t="str">
        <f t="shared" si="13"/>
        <v/>
      </c>
      <c r="AU913" s="39" t="str">
        <f t="shared" si="14"/>
        <v/>
      </c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 t="str">
        <f t="shared" si="4"/>
        <v/>
      </c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E914" s="39"/>
      <c r="AG914" s="39"/>
      <c r="AH914" s="39" t="str">
        <f t="shared" si="5"/>
        <v/>
      </c>
      <c r="AI914" s="39" t="str">
        <f t="shared" si="6"/>
        <v/>
      </c>
      <c r="AM914" s="39" t="str">
        <f t="array" ref="AM914">IF(C914="","",IFERROR(XLOOKUP(C914,Orders!$A:$A,Orders!$E:$E,""),""))</f>
        <v/>
      </c>
      <c r="AN914" s="39" t="str">
        <f t="shared" si="7"/>
        <v/>
      </c>
      <c r="AO914" s="39" t="str">
        <f t="shared" si="8"/>
        <v/>
      </c>
      <c r="AP914" s="39" t="str">
        <f t="shared" si="9"/>
        <v/>
      </c>
      <c r="AQ914" s="39" t="str">
        <f t="shared" si="10"/>
        <v/>
      </c>
      <c r="AR914" s="39" t="str">
        <f t="shared" si="11"/>
        <v/>
      </c>
      <c r="AS914" s="39" t="str">
        <f t="shared" si="12"/>
        <v/>
      </c>
      <c r="AT914" s="39" t="str">
        <f t="shared" si="13"/>
        <v/>
      </c>
      <c r="AU914" s="39" t="str">
        <f t="shared" si="14"/>
        <v/>
      </c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 t="str">
        <f t="shared" si="4"/>
        <v/>
      </c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E915" s="39"/>
      <c r="AG915" s="39"/>
      <c r="AH915" s="39" t="str">
        <f t="shared" si="5"/>
        <v/>
      </c>
      <c r="AI915" s="39" t="str">
        <f t="shared" si="6"/>
        <v/>
      </c>
      <c r="AM915" s="39" t="str">
        <f t="array" ref="AM915">IF(C915="","",IFERROR(XLOOKUP(C915,Orders!$A:$A,Orders!$E:$E,""),""))</f>
        <v/>
      </c>
      <c r="AN915" s="39" t="str">
        <f t="shared" si="7"/>
        <v/>
      </c>
      <c r="AO915" s="39" t="str">
        <f t="shared" si="8"/>
        <v/>
      </c>
      <c r="AP915" s="39" t="str">
        <f t="shared" si="9"/>
        <v/>
      </c>
      <c r="AQ915" s="39" t="str">
        <f t="shared" si="10"/>
        <v/>
      </c>
      <c r="AR915" s="39" t="str">
        <f t="shared" si="11"/>
        <v/>
      </c>
      <c r="AS915" s="39" t="str">
        <f t="shared" si="12"/>
        <v/>
      </c>
      <c r="AT915" s="39" t="str">
        <f t="shared" si="13"/>
        <v/>
      </c>
      <c r="AU915" s="39" t="str">
        <f t="shared" si="14"/>
        <v/>
      </c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 t="str">
        <f t="shared" si="4"/>
        <v/>
      </c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E916" s="39"/>
      <c r="AG916" s="39"/>
      <c r="AH916" s="39" t="str">
        <f t="shared" si="5"/>
        <v/>
      </c>
      <c r="AI916" s="39" t="str">
        <f t="shared" si="6"/>
        <v/>
      </c>
      <c r="AM916" s="39" t="str">
        <f t="array" ref="AM916">IF(C916="","",IFERROR(XLOOKUP(C916,Orders!$A:$A,Orders!$E:$E,""),""))</f>
        <v/>
      </c>
      <c r="AN916" s="39" t="str">
        <f t="shared" si="7"/>
        <v/>
      </c>
      <c r="AO916" s="39" t="str">
        <f t="shared" si="8"/>
        <v/>
      </c>
      <c r="AP916" s="39" t="str">
        <f t="shared" si="9"/>
        <v/>
      </c>
      <c r="AQ916" s="39" t="str">
        <f t="shared" si="10"/>
        <v/>
      </c>
      <c r="AR916" s="39" t="str">
        <f t="shared" si="11"/>
        <v/>
      </c>
      <c r="AS916" s="39" t="str">
        <f t="shared" si="12"/>
        <v/>
      </c>
      <c r="AT916" s="39" t="str">
        <f t="shared" si="13"/>
        <v/>
      </c>
      <c r="AU916" s="39" t="str">
        <f t="shared" si="14"/>
        <v/>
      </c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 t="str">
        <f t="shared" si="4"/>
        <v/>
      </c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E917" s="39"/>
      <c r="AG917" s="39"/>
      <c r="AH917" s="39" t="str">
        <f t="shared" si="5"/>
        <v/>
      </c>
      <c r="AI917" s="39" t="str">
        <f t="shared" si="6"/>
        <v/>
      </c>
      <c r="AM917" s="39" t="str">
        <f t="array" ref="AM917">IF(C917="","",IFERROR(XLOOKUP(C917,Orders!$A:$A,Orders!$E:$E,""),""))</f>
        <v/>
      </c>
      <c r="AN917" s="39" t="str">
        <f t="shared" si="7"/>
        <v/>
      </c>
      <c r="AO917" s="39" t="str">
        <f t="shared" si="8"/>
        <v/>
      </c>
      <c r="AP917" s="39" t="str">
        <f t="shared" si="9"/>
        <v/>
      </c>
      <c r="AQ917" s="39" t="str">
        <f t="shared" si="10"/>
        <v/>
      </c>
      <c r="AR917" s="39" t="str">
        <f t="shared" si="11"/>
        <v/>
      </c>
      <c r="AS917" s="39" t="str">
        <f t="shared" si="12"/>
        <v/>
      </c>
      <c r="AT917" s="39" t="str">
        <f t="shared" si="13"/>
        <v/>
      </c>
      <c r="AU917" s="39" t="str">
        <f t="shared" si="14"/>
        <v/>
      </c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 t="str">
        <f t="shared" si="4"/>
        <v/>
      </c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E918" s="39"/>
      <c r="AG918" s="39"/>
      <c r="AH918" s="39" t="str">
        <f t="shared" si="5"/>
        <v/>
      </c>
      <c r="AI918" s="39" t="str">
        <f t="shared" si="6"/>
        <v/>
      </c>
      <c r="AM918" s="39" t="str">
        <f t="array" ref="AM918">IF(C918="","",IFERROR(XLOOKUP(C918,Orders!$A:$A,Orders!$E:$E,""),""))</f>
        <v/>
      </c>
      <c r="AN918" s="39" t="str">
        <f t="shared" si="7"/>
        <v/>
      </c>
      <c r="AO918" s="39" t="str">
        <f t="shared" si="8"/>
        <v/>
      </c>
      <c r="AP918" s="39" t="str">
        <f t="shared" si="9"/>
        <v/>
      </c>
      <c r="AQ918" s="39" t="str">
        <f t="shared" si="10"/>
        <v/>
      </c>
      <c r="AR918" s="39" t="str">
        <f t="shared" si="11"/>
        <v/>
      </c>
      <c r="AS918" s="39" t="str">
        <f t="shared" si="12"/>
        <v/>
      </c>
      <c r="AT918" s="39" t="str">
        <f t="shared" si="13"/>
        <v/>
      </c>
      <c r="AU918" s="39" t="str">
        <f t="shared" si="14"/>
        <v/>
      </c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 t="str">
        <f t="shared" si="4"/>
        <v/>
      </c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E919" s="39"/>
      <c r="AG919" s="39"/>
      <c r="AH919" s="39" t="str">
        <f t="shared" si="5"/>
        <v/>
      </c>
      <c r="AI919" s="39" t="str">
        <f t="shared" si="6"/>
        <v/>
      </c>
      <c r="AM919" s="39" t="str">
        <f t="array" ref="AM919">IF(C919="","",IFERROR(XLOOKUP(C919,Orders!$A:$A,Orders!$E:$E,""),""))</f>
        <v/>
      </c>
      <c r="AN919" s="39" t="str">
        <f t="shared" si="7"/>
        <v/>
      </c>
      <c r="AO919" s="39" t="str">
        <f t="shared" si="8"/>
        <v/>
      </c>
      <c r="AP919" s="39" t="str">
        <f t="shared" si="9"/>
        <v/>
      </c>
      <c r="AQ919" s="39" t="str">
        <f t="shared" si="10"/>
        <v/>
      </c>
      <c r="AR919" s="39" t="str">
        <f t="shared" si="11"/>
        <v/>
      </c>
      <c r="AS919" s="39" t="str">
        <f t="shared" si="12"/>
        <v/>
      </c>
      <c r="AT919" s="39" t="str">
        <f t="shared" si="13"/>
        <v/>
      </c>
      <c r="AU919" s="39" t="str">
        <f t="shared" si="14"/>
        <v/>
      </c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 t="str">
        <f t="shared" si="4"/>
        <v/>
      </c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E920" s="39"/>
      <c r="AG920" s="39"/>
      <c r="AH920" s="39" t="str">
        <f t="shared" si="5"/>
        <v/>
      </c>
      <c r="AI920" s="39" t="str">
        <f t="shared" si="6"/>
        <v/>
      </c>
      <c r="AM920" s="39" t="str">
        <f t="array" ref="AM920">IF(C920="","",IFERROR(XLOOKUP(C920,Orders!$A:$A,Orders!$E:$E,""),""))</f>
        <v/>
      </c>
      <c r="AN920" s="39" t="str">
        <f t="shared" si="7"/>
        <v/>
      </c>
      <c r="AO920" s="39" t="str">
        <f t="shared" si="8"/>
        <v/>
      </c>
      <c r="AP920" s="39" t="str">
        <f t="shared" si="9"/>
        <v/>
      </c>
      <c r="AQ920" s="39" t="str">
        <f t="shared" si="10"/>
        <v/>
      </c>
      <c r="AR920" s="39" t="str">
        <f t="shared" si="11"/>
        <v/>
      </c>
      <c r="AS920" s="39" t="str">
        <f t="shared" si="12"/>
        <v/>
      </c>
      <c r="AT920" s="39" t="str">
        <f t="shared" si="13"/>
        <v/>
      </c>
      <c r="AU920" s="39" t="str">
        <f t="shared" si="14"/>
        <v/>
      </c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 t="str">
        <f t="shared" si="4"/>
        <v/>
      </c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E921" s="39"/>
      <c r="AG921" s="39"/>
      <c r="AH921" s="39" t="str">
        <f t="shared" si="5"/>
        <v/>
      </c>
      <c r="AI921" s="39" t="str">
        <f t="shared" si="6"/>
        <v/>
      </c>
      <c r="AM921" s="39" t="str">
        <f t="array" ref="AM921">IF(C921="","",IFERROR(XLOOKUP(C921,Orders!$A:$A,Orders!$E:$E,""),""))</f>
        <v/>
      </c>
      <c r="AN921" s="39" t="str">
        <f t="shared" si="7"/>
        <v/>
      </c>
      <c r="AO921" s="39" t="str">
        <f t="shared" si="8"/>
        <v/>
      </c>
      <c r="AP921" s="39" t="str">
        <f t="shared" si="9"/>
        <v/>
      </c>
      <c r="AQ921" s="39" t="str">
        <f t="shared" si="10"/>
        <v/>
      </c>
      <c r="AR921" s="39" t="str">
        <f t="shared" si="11"/>
        <v/>
      </c>
      <c r="AS921" s="39" t="str">
        <f t="shared" si="12"/>
        <v/>
      </c>
      <c r="AT921" s="39" t="str">
        <f t="shared" si="13"/>
        <v/>
      </c>
      <c r="AU921" s="39" t="str">
        <f t="shared" si="14"/>
        <v/>
      </c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 t="str">
        <f t="shared" si="4"/>
        <v/>
      </c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E922" s="39"/>
      <c r="AG922" s="39"/>
      <c r="AH922" s="39" t="str">
        <f t="shared" si="5"/>
        <v/>
      </c>
      <c r="AI922" s="39" t="str">
        <f t="shared" si="6"/>
        <v/>
      </c>
      <c r="AM922" s="39" t="str">
        <f t="array" ref="AM922">IF(C922="","",IFERROR(XLOOKUP(C922,Orders!$A:$A,Orders!$E:$E,""),""))</f>
        <v/>
      </c>
      <c r="AN922" s="39" t="str">
        <f t="shared" si="7"/>
        <v/>
      </c>
      <c r="AO922" s="39" t="str">
        <f t="shared" si="8"/>
        <v/>
      </c>
      <c r="AP922" s="39" t="str">
        <f t="shared" si="9"/>
        <v/>
      </c>
      <c r="AQ922" s="39" t="str">
        <f t="shared" si="10"/>
        <v/>
      </c>
      <c r="AR922" s="39" t="str">
        <f t="shared" si="11"/>
        <v/>
      </c>
      <c r="AS922" s="39" t="str">
        <f t="shared" si="12"/>
        <v/>
      </c>
      <c r="AT922" s="39" t="str">
        <f t="shared" si="13"/>
        <v/>
      </c>
      <c r="AU922" s="39" t="str">
        <f t="shared" si="14"/>
        <v/>
      </c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 t="str">
        <f t="shared" si="4"/>
        <v/>
      </c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E923" s="39"/>
      <c r="AG923" s="39"/>
      <c r="AH923" s="39" t="str">
        <f t="shared" si="5"/>
        <v/>
      </c>
      <c r="AI923" s="39" t="str">
        <f t="shared" si="6"/>
        <v/>
      </c>
      <c r="AM923" s="39" t="str">
        <f t="array" ref="AM923">IF(C923="","",IFERROR(XLOOKUP(C923,Orders!$A:$A,Orders!$E:$E,""),""))</f>
        <v/>
      </c>
      <c r="AN923" s="39" t="str">
        <f t="shared" si="7"/>
        <v/>
      </c>
      <c r="AO923" s="39" t="str">
        <f t="shared" si="8"/>
        <v/>
      </c>
      <c r="AP923" s="39" t="str">
        <f t="shared" si="9"/>
        <v/>
      </c>
      <c r="AQ923" s="39" t="str">
        <f t="shared" si="10"/>
        <v/>
      </c>
      <c r="AR923" s="39" t="str">
        <f t="shared" si="11"/>
        <v/>
      </c>
      <c r="AS923" s="39" t="str">
        <f t="shared" si="12"/>
        <v/>
      </c>
      <c r="AT923" s="39" t="str">
        <f t="shared" si="13"/>
        <v/>
      </c>
      <c r="AU923" s="39" t="str">
        <f t="shared" si="14"/>
        <v/>
      </c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 t="str">
        <f t="shared" si="4"/>
        <v/>
      </c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E924" s="39"/>
      <c r="AG924" s="39"/>
      <c r="AH924" s="39" t="str">
        <f t="shared" si="5"/>
        <v/>
      </c>
      <c r="AI924" s="39" t="str">
        <f t="shared" si="6"/>
        <v/>
      </c>
      <c r="AM924" s="39" t="str">
        <f t="array" ref="AM924">IF(C924="","",IFERROR(XLOOKUP(C924,Orders!$A:$A,Orders!$E:$E,""),""))</f>
        <v/>
      </c>
      <c r="AN924" s="39" t="str">
        <f t="shared" si="7"/>
        <v/>
      </c>
      <c r="AO924" s="39" t="str">
        <f t="shared" si="8"/>
        <v/>
      </c>
      <c r="AP924" s="39" t="str">
        <f t="shared" si="9"/>
        <v/>
      </c>
      <c r="AQ924" s="39" t="str">
        <f t="shared" si="10"/>
        <v/>
      </c>
      <c r="AR924" s="39" t="str">
        <f t="shared" si="11"/>
        <v/>
      </c>
      <c r="AS924" s="39" t="str">
        <f t="shared" si="12"/>
        <v/>
      </c>
      <c r="AT924" s="39" t="str">
        <f t="shared" si="13"/>
        <v/>
      </c>
      <c r="AU924" s="39" t="str">
        <f t="shared" si="14"/>
        <v/>
      </c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 t="str">
        <f t="shared" si="4"/>
        <v/>
      </c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E925" s="39"/>
      <c r="AG925" s="39"/>
      <c r="AH925" s="39" t="str">
        <f t="shared" si="5"/>
        <v/>
      </c>
      <c r="AI925" s="39" t="str">
        <f t="shared" si="6"/>
        <v/>
      </c>
      <c r="AM925" s="39" t="str">
        <f t="array" ref="AM925">IF(C925="","",IFERROR(XLOOKUP(C925,Orders!$A:$A,Orders!$E:$E,""),""))</f>
        <v/>
      </c>
      <c r="AN925" s="39" t="str">
        <f t="shared" si="7"/>
        <v/>
      </c>
      <c r="AO925" s="39" t="str">
        <f t="shared" si="8"/>
        <v/>
      </c>
      <c r="AP925" s="39" t="str">
        <f t="shared" si="9"/>
        <v/>
      </c>
      <c r="AQ925" s="39" t="str">
        <f t="shared" si="10"/>
        <v/>
      </c>
      <c r="AR925" s="39" t="str">
        <f t="shared" si="11"/>
        <v/>
      </c>
      <c r="AS925" s="39" t="str">
        <f t="shared" si="12"/>
        <v/>
      </c>
      <c r="AT925" s="39" t="str">
        <f t="shared" si="13"/>
        <v/>
      </c>
      <c r="AU925" s="39" t="str">
        <f t="shared" si="14"/>
        <v/>
      </c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 t="str">
        <f t="shared" si="4"/>
        <v/>
      </c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E926" s="39"/>
      <c r="AG926" s="39"/>
      <c r="AH926" s="39" t="str">
        <f t="shared" si="5"/>
        <v/>
      </c>
      <c r="AI926" s="39" t="str">
        <f t="shared" si="6"/>
        <v/>
      </c>
      <c r="AM926" s="39" t="str">
        <f t="array" ref="AM926">IF(C926="","",IFERROR(XLOOKUP(C926,Orders!$A:$A,Orders!$E:$E,""),""))</f>
        <v/>
      </c>
      <c r="AN926" s="39" t="str">
        <f t="shared" si="7"/>
        <v/>
      </c>
      <c r="AO926" s="39" t="str">
        <f t="shared" si="8"/>
        <v/>
      </c>
      <c r="AP926" s="39" t="str">
        <f t="shared" si="9"/>
        <v/>
      </c>
      <c r="AQ926" s="39" t="str">
        <f t="shared" si="10"/>
        <v/>
      </c>
      <c r="AR926" s="39" t="str">
        <f t="shared" si="11"/>
        <v/>
      </c>
      <c r="AS926" s="39" t="str">
        <f t="shared" si="12"/>
        <v/>
      </c>
      <c r="AT926" s="39" t="str">
        <f t="shared" si="13"/>
        <v/>
      </c>
      <c r="AU926" s="39" t="str">
        <f t="shared" si="14"/>
        <v/>
      </c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 t="str">
        <f t="shared" si="4"/>
        <v/>
      </c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E927" s="39"/>
      <c r="AG927" s="39"/>
      <c r="AH927" s="39" t="str">
        <f t="shared" si="5"/>
        <v/>
      </c>
      <c r="AI927" s="39" t="str">
        <f t="shared" si="6"/>
        <v/>
      </c>
      <c r="AM927" s="39" t="str">
        <f t="array" ref="AM927">IF(C927="","",IFERROR(XLOOKUP(C927,Orders!$A:$A,Orders!$E:$E,""),""))</f>
        <v/>
      </c>
      <c r="AN927" s="39" t="str">
        <f t="shared" si="7"/>
        <v/>
      </c>
      <c r="AO927" s="39" t="str">
        <f t="shared" si="8"/>
        <v/>
      </c>
      <c r="AP927" s="39" t="str">
        <f t="shared" si="9"/>
        <v/>
      </c>
      <c r="AQ927" s="39" t="str">
        <f t="shared" si="10"/>
        <v/>
      </c>
      <c r="AR927" s="39" t="str">
        <f t="shared" si="11"/>
        <v/>
      </c>
      <c r="AS927" s="39" t="str">
        <f t="shared" si="12"/>
        <v/>
      </c>
      <c r="AT927" s="39" t="str">
        <f t="shared" si="13"/>
        <v/>
      </c>
      <c r="AU927" s="39" t="str">
        <f t="shared" si="14"/>
        <v/>
      </c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 t="str">
        <f t="shared" si="4"/>
        <v/>
      </c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E928" s="39"/>
      <c r="AG928" s="39"/>
      <c r="AH928" s="39" t="str">
        <f t="shared" si="5"/>
        <v/>
      </c>
      <c r="AI928" s="39" t="str">
        <f t="shared" si="6"/>
        <v/>
      </c>
      <c r="AM928" s="39" t="str">
        <f t="array" ref="AM928">IF(C928="","",IFERROR(XLOOKUP(C928,Orders!$A:$A,Orders!$E:$E,""),""))</f>
        <v/>
      </c>
      <c r="AN928" s="39" t="str">
        <f t="shared" si="7"/>
        <v/>
      </c>
      <c r="AO928" s="39" t="str">
        <f t="shared" si="8"/>
        <v/>
      </c>
      <c r="AP928" s="39" t="str">
        <f t="shared" si="9"/>
        <v/>
      </c>
      <c r="AQ928" s="39" t="str">
        <f t="shared" si="10"/>
        <v/>
      </c>
      <c r="AR928" s="39" t="str">
        <f t="shared" si="11"/>
        <v/>
      </c>
      <c r="AS928" s="39" t="str">
        <f t="shared" si="12"/>
        <v/>
      </c>
      <c r="AT928" s="39" t="str">
        <f t="shared" si="13"/>
        <v/>
      </c>
      <c r="AU928" s="39" t="str">
        <f t="shared" si="14"/>
        <v/>
      </c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 t="str">
        <f t="shared" si="4"/>
        <v/>
      </c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E929" s="39"/>
      <c r="AG929" s="39"/>
      <c r="AH929" s="39" t="str">
        <f t="shared" si="5"/>
        <v/>
      </c>
      <c r="AI929" s="39" t="str">
        <f t="shared" si="6"/>
        <v/>
      </c>
      <c r="AM929" s="39" t="str">
        <f t="array" ref="AM929">IF(C929="","",IFERROR(XLOOKUP(C929,Orders!$A:$A,Orders!$E:$E,""),""))</f>
        <v/>
      </c>
      <c r="AN929" s="39" t="str">
        <f t="shared" si="7"/>
        <v/>
      </c>
      <c r="AO929" s="39" t="str">
        <f t="shared" si="8"/>
        <v/>
      </c>
      <c r="AP929" s="39" t="str">
        <f t="shared" si="9"/>
        <v/>
      </c>
      <c r="AQ929" s="39" t="str">
        <f t="shared" si="10"/>
        <v/>
      </c>
      <c r="AR929" s="39" t="str">
        <f t="shared" si="11"/>
        <v/>
      </c>
      <c r="AS929" s="39" t="str">
        <f t="shared" si="12"/>
        <v/>
      </c>
      <c r="AT929" s="39" t="str">
        <f t="shared" si="13"/>
        <v/>
      </c>
      <c r="AU929" s="39" t="str">
        <f t="shared" si="14"/>
        <v/>
      </c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 t="str">
        <f t="shared" si="4"/>
        <v/>
      </c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E930" s="39"/>
      <c r="AG930" s="39"/>
      <c r="AH930" s="39" t="str">
        <f t="shared" si="5"/>
        <v/>
      </c>
      <c r="AI930" s="39" t="str">
        <f t="shared" si="6"/>
        <v/>
      </c>
      <c r="AM930" s="39" t="str">
        <f t="array" ref="AM930">IF(C930="","",IFERROR(XLOOKUP(C930,Orders!$A:$A,Orders!$E:$E,""),""))</f>
        <v/>
      </c>
      <c r="AN930" s="39" t="str">
        <f t="shared" si="7"/>
        <v/>
      </c>
      <c r="AO930" s="39" t="str">
        <f t="shared" si="8"/>
        <v/>
      </c>
      <c r="AP930" s="39" t="str">
        <f t="shared" si="9"/>
        <v/>
      </c>
      <c r="AQ930" s="39" t="str">
        <f t="shared" si="10"/>
        <v/>
      </c>
      <c r="AR930" s="39" t="str">
        <f t="shared" si="11"/>
        <v/>
      </c>
      <c r="AS930" s="39" t="str">
        <f t="shared" si="12"/>
        <v/>
      </c>
      <c r="AT930" s="39" t="str">
        <f t="shared" si="13"/>
        <v/>
      </c>
      <c r="AU930" s="39" t="str">
        <f t="shared" si="14"/>
        <v/>
      </c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 t="str">
        <f t="shared" si="4"/>
        <v/>
      </c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E931" s="39"/>
      <c r="AG931" s="39"/>
      <c r="AH931" s="39" t="str">
        <f t="shared" si="5"/>
        <v/>
      </c>
      <c r="AI931" s="39" t="str">
        <f t="shared" si="6"/>
        <v/>
      </c>
      <c r="AM931" s="39" t="str">
        <f t="array" ref="AM931">IF(C931="","",IFERROR(XLOOKUP(C931,Orders!$A:$A,Orders!$E:$E,""),""))</f>
        <v/>
      </c>
      <c r="AN931" s="39" t="str">
        <f t="shared" si="7"/>
        <v/>
      </c>
      <c r="AO931" s="39" t="str">
        <f t="shared" si="8"/>
        <v/>
      </c>
      <c r="AP931" s="39" t="str">
        <f t="shared" si="9"/>
        <v/>
      </c>
      <c r="AQ931" s="39" t="str">
        <f t="shared" si="10"/>
        <v/>
      </c>
      <c r="AR931" s="39" t="str">
        <f t="shared" si="11"/>
        <v/>
      </c>
      <c r="AS931" s="39" t="str">
        <f t="shared" si="12"/>
        <v/>
      </c>
      <c r="AT931" s="39" t="str">
        <f t="shared" si="13"/>
        <v/>
      </c>
      <c r="AU931" s="39" t="str">
        <f t="shared" si="14"/>
        <v/>
      </c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 t="str">
        <f t="shared" si="4"/>
        <v/>
      </c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E932" s="39"/>
      <c r="AG932" s="39"/>
      <c r="AH932" s="39" t="str">
        <f t="shared" si="5"/>
        <v/>
      </c>
      <c r="AI932" s="39" t="str">
        <f t="shared" si="6"/>
        <v/>
      </c>
      <c r="AM932" s="39" t="str">
        <f t="array" ref="AM932">IF(C932="","",IFERROR(XLOOKUP(C932,Orders!$A:$A,Orders!$E:$E,""),""))</f>
        <v/>
      </c>
      <c r="AN932" s="39" t="str">
        <f t="shared" si="7"/>
        <v/>
      </c>
      <c r="AO932" s="39" t="str">
        <f t="shared" si="8"/>
        <v/>
      </c>
      <c r="AP932" s="39" t="str">
        <f t="shared" si="9"/>
        <v/>
      </c>
      <c r="AQ932" s="39" t="str">
        <f t="shared" si="10"/>
        <v/>
      </c>
      <c r="AR932" s="39" t="str">
        <f t="shared" si="11"/>
        <v/>
      </c>
      <c r="AS932" s="39" t="str">
        <f t="shared" si="12"/>
        <v/>
      </c>
      <c r="AT932" s="39" t="str">
        <f t="shared" si="13"/>
        <v/>
      </c>
      <c r="AU932" s="39" t="str">
        <f t="shared" si="14"/>
        <v/>
      </c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 t="str">
        <f t="shared" si="4"/>
        <v/>
      </c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E933" s="39"/>
      <c r="AG933" s="39"/>
      <c r="AH933" s="39" t="str">
        <f t="shared" si="5"/>
        <v/>
      </c>
      <c r="AI933" s="39" t="str">
        <f t="shared" si="6"/>
        <v/>
      </c>
      <c r="AM933" s="39" t="str">
        <f t="array" ref="AM933">IF(C933="","",IFERROR(XLOOKUP(C933,Orders!$A:$A,Orders!$E:$E,""),""))</f>
        <v/>
      </c>
      <c r="AN933" s="39" t="str">
        <f t="shared" si="7"/>
        <v/>
      </c>
      <c r="AO933" s="39" t="str">
        <f t="shared" si="8"/>
        <v/>
      </c>
      <c r="AP933" s="39" t="str">
        <f t="shared" si="9"/>
        <v/>
      </c>
      <c r="AQ933" s="39" t="str">
        <f t="shared" si="10"/>
        <v/>
      </c>
      <c r="AR933" s="39" t="str">
        <f t="shared" si="11"/>
        <v/>
      </c>
      <c r="AS933" s="39" t="str">
        <f t="shared" si="12"/>
        <v/>
      </c>
      <c r="AT933" s="39" t="str">
        <f t="shared" si="13"/>
        <v/>
      </c>
      <c r="AU933" s="39" t="str">
        <f t="shared" si="14"/>
        <v/>
      </c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 t="str">
        <f t="shared" si="4"/>
        <v/>
      </c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E934" s="39"/>
      <c r="AG934" s="39"/>
      <c r="AH934" s="39" t="str">
        <f t="shared" si="5"/>
        <v/>
      </c>
      <c r="AI934" s="39" t="str">
        <f t="shared" si="6"/>
        <v/>
      </c>
      <c r="AM934" s="39" t="str">
        <f t="array" ref="AM934">IF(C934="","",IFERROR(XLOOKUP(C934,Orders!$A:$A,Orders!$E:$E,""),""))</f>
        <v/>
      </c>
      <c r="AN934" s="39" t="str">
        <f t="shared" si="7"/>
        <v/>
      </c>
      <c r="AO934" s="39" t="str">
        <f t="shared" si="8"/>
        <v/>
      </c>
      <c r="AP934" s="39" t="str">
        <f t="shared" si="9"/>
        <v/>
      </c>
      <c r="AQ934" s="39" t="str">
        <f t="shared" si="10"/>
        <v/>
      </c>
      <c r="AR934" s="39" t="str">
        <f t="shared" si="11"/>
        <v/>
      </c>
      <c r="AS934" s="39" t="str">
        <f t="shared" si="12"/>
        <v/>
      </c>
      <c r="AT934" s="39" t="str">
        <f t="shared" si="13"/>
        <v/>
      </c>
      <c r="AU934" s="39" t="str">
        <f t="shared" si="14"/>
        <v/>
      </c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 t="str">
        <f t="shared" si="4"/>
        <v/>
      </c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E935" s="39"/>
      <c r="AG935" s="39"/>
      <c r="AH935" s="39" t="str">
        <f t="shared" si="5"/>
        <v/>
      </c>
      <c r="AI935" s="39" t="str">
        <f t="shared" si="6"/>
        <v/>
      </c>
      <c r="AM935" s="39" t="str">
        <f t="array" ref="AM935">IF(C935="","",IFERROR(XLOOKUP(C935,Orders!$A:$A,Orders!$E:$E,""),""))</f>
        <v/>
      </c>
      <c r="AN935" s="39" t="str">
        <f t="shared" si="7"/>
        <v/>
      </c>
      <c r="AO935" s="39" t="str">
        <f t="shared" si="8"/>
        <v/>
      </c>
      <c r="AP935" s="39" t="str">
        <f t="shared" si="9"/>
        <v/>
      </c>
      <c r="AQ935" s="39" t="str">
        <f t="shared" si="10"/>
        <v/>
      </c>
      <c r="AR935" s="39" t="str">
        <f t="shared" si="11"/>
        <v/>
      </c>
      <c r="AS935" s="39" t="str">
        <f t="shared" si="12"/>
        <v/>
      </c>
      <c r="AT935" s="39" t="str">
        <f t="shared" si="13"/>
        <v/>
      </c>
      <c r="AU935" s="39" t="str">
        <f t="shared" si="14"/>
        <v/>
      </c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 t="str">
        <f t="shared" si="4"/>
        <v/>
      </c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E936" s="39"/>
      <c r="AG936" s="39"/>
      <c r="AH936" s="39" t="str">
        <f t="shared" si="5"/>
        <v/>
      </c>
      <c r="AI936" s="39" t="str">
        <f t="shared" si="6"/>
        <v/>
      </c>
      <c r="AM936" s="39" t="str">
        <f t="array" ref="AM936">IF(C936="","",IFERROR(XLOOKUP(C936,Orders!$A:$A,Orders!$E:$E,""),""))</f>
        <v/>
      </c>
      <c r="AN936" s="39" t="str">
        <f t="shared" si="7"/>
        <v/>
      </c>
      <c r="AO936" s="39" t="str">
        <f t="shared" si="8"/>
        <v/>
      </c>
      <c r="AP936" s="39" t="str">
        <f t="shared" si="9"/>
        <v/>
      </c>
      <c r="AQ936" s="39" t="str">
        <f t="shared" si="10"/>
        <v/>
      </c>
      <c r="AR936" s="39" t="str">
        <f t="shared" si="11"/>
        <v/>
      </c>
      <c r="AS936" s="39" t="str">
        <f t="shared" si="12"/>
        <v/>
      </c>
      <c r="AT936" s="39" t="str">
        <f t="shared" si="13"/>
        <v/>
      </c>
      <c r="AU936" s="39" t="str">
        <f t="shared" si="14"/>
        <v/>
      </c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 t="str">
        <f t="shared" si="4"/>
        <v/>
      </c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E937" s="39"/>
      <c r="AG937" s="39"/>
      <c r="AH937" s="39" t="str">
        <f t="shared" si="5"/>
        <v/>
      </c>
      <c r="AI937" s="39" t="str">
        <f t="shared" si="6"/>
        <v/>
      </c>
      <c r="AM937" s="39" t="str">
        <f t="array" ref="AM937">IF(C937="","",IFERROR(XLOOKUP(C937,Orders!$A:$A,Orders!$E:$E,""),""))</f>
        <v/>
      </c>
      <c r="AN937" s="39" t="str">
        <f t="shared" si="7"/>
        <v/>
      </c>
      <c r="AO937" s="39" t="str">
        <f t="shared" si="8"/>
        <v/>
      </c>
      <c r="AP937" s="39" t="str">
        <f t="shared" si="9"/>
        <v/>
      </c>
      <c r="AQ937" s="39" t="str">
        <f t="shared" si="10"/>
        <v/>
      </c>
      <c r="AR937" s="39" t="str">
        <f t="shared" si="11"/>
        <v/>
      </c>
      <c r="AS937" s="39" t="str">
        <f t="shared" si="12"/>
        <v/>
      </c>
      <c r="AT937" s="39" t="str">
        <f t="shared" si="13"/>
        <v/>
      </c>
      <c r="AU937" s="39" t="str">
        <f t="shared" si="14"/>
        <v/>
      </c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 t="str">
        <f t="shared" si="4"/>
        <v/>
      </c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E938" s="39"/>
      <c r="AG938" s="39"/>
      <c r="AH938" s="39" t="str">
        <f t="shared" si="5"/>
        <v/>
      </c>
      <c r="AI938" s="39" t="str">
        <f t="shared" si="6"/>
        <v/>
      </c>
      <c r="AM938" s="39" t="str">
        <f t="array" ref="AM938">IF(C938="","",IFERROR(XLOOKUP(C938,Orders!$A:$A,Orders!$E:$E,""),""))</f>
        <v/>
      </c>
      <c r="AN938" s="39" t="str">
        <f t="shared" si="7"/>
        <v/>
      </c>
      <c r="AO938" s="39" t="str">
        <f t="shared" si="8"/>
        <v/>
      </c>
      <c r="AP938" s="39" t="str">
        <f t="shared" si="9"/>
        <v/>
      </c>
      <c r="AQ938" s="39" t="str">
        <f t="shared" si="10"/>
        <v/>
      </c>
      <c r="AR938" s="39" t="str">
        <f t="shared" si="11"/>
        <v/>
      </c>
      <c r="AS938" s="39" t="str">
        <f t="shared" si="12"/>
        <v/>
      </c>
      <c r="AT938" s="39" t="str">
        <f t="shared" si="13"/>
        <v/>
      </c>
      <c r="AU938" s="39" t="str">
        <f t="shared" si="14"/>
        <v/>
      </c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 t="str">
        <f t="shared" si="4"/>
        <v/>
      </c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E939" s="39"/>
      <c r="AG939" s="39"/>
      <c r="AH939" s="39" t="str">
        <f t="shared" si="5"/>
        <v/>
      </c>
      <c r="AI939" s="39" t="str">
        <f t="shared" si="6"/>
        <v/>
      </c>
      <c r="AM939" s="39" t="str">
        <f t="array" ref="AM939">IF(C939="","",IFERROR(XLOOKUP(C939,Orders!$A:$A,Orders!$E:$E,""),""))</f>
        <v/>
      </c>
      <c r="AN939" s="39" t="str">
        <f t="shared" si="7"/>
        <v/>
      </c>
      <c r="AO939" s="39" t="str">
        <f t="shared" si="8"/>
        <v/>
      </c>
      <c r="AP939" s="39" t="str">
        <f t="shared" si="9"/>
        <v/>
      </c>
      <c r="AQ939" s="39" t="str">
        <f t="shared" si="10"/>
        <v/>
      </c>
      <c r="AR939" s="39" t="str">
        <f t="shared" si="11"/>
        <v/>
      </c>
      <c r="AS939" s="39" t="str">
        <f t="shared" si="12"/>
        <v/>
      </c>
      <c r="AT939" s="39" t="str">
        <f t="shared" si="13"/>
        <v/>
      </c>
      <c r="AU939" s="39" t="str">
        <f t="shared" si="14"/>
        <v/>
      </c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 t="str">
        <f t="shared" si="4"/>
        <v/>
      </c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E940" s="39"/>
      <c r="AG940" s="39"/>
      <c r="AH940" s="39" t="str">
        <f t="shared" si="5"/>
        <v/>
      </c>
      <c r="AI940" s="39" t="str">
        <f t="shared" si="6"/>
        <v/>
      </c>
      <c r="AM940" s="39" t="str">
        <f t="array" ref="AM940">IF(C940="","",IFERROR(XLOOKUP(C940,Orders!$A:$A,Orders!$E:$E,""),""))</f>
        <v/>
      </c>
      <c r="AN940" s="39" t="str">
        <f t="shared" si="7"/>
        <v/>
      </c>
      <c r="AO940" s="39" t="str">
        <f t="shared" si="8"/>
        <v/>
      </c>
      <c r="AP940" s="39" t="str">
        <f t="shared" si="9"/>
        <v/>
      </c>
      <c r="AQ940" s="39" t="str">
        <f t="shared" si="10"/>
        <v/>
      </c>
      <c r="AR940" s="39" t="str">
        <f t="shared" si="11"/>
        <v/>
      </c>
      <c r="AS940" s="39" t="str">
        <f t="shared" si="12"/>
        <v/>
      </c>
      <c r="AT940" s="39" t="str">
        <f t="shared" si="13"/>
        <v/>
      </c>
      <c r="AU940" s="39" t="str">
        <f t="shared" si="14"/>
        <v/>
      </c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 t="str">
        <f t="shared" si="4"/>
        <v/>
      </c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E941" s="39"/>
      <c r="AG941" s="39"/>
      <c r="AH941" s="39" t="str">
        <f t="shared" si="5"/>
        <v/>
      </c>
      <c r="AI941" s="39" t="str">
        <f t="shared" si="6"/>
        <v/>
      </c>
      <c r="AM941" s="39" t="str">
        <f t="array" ref="AM941">IF(C941="","",IFERROR(XLOOKUP(C941,Orders!$A:$A,Orders!$E:$E,""),""))</f>
        <v/>
      </c>
      <c r="AN941" s="39" t="str">
        <f t="shared" si="7"/>
        <v/>
      </c>
      <c r="AO941" s="39" t="str">
        <f t="shared" si="8"/>
        <v/>
      </c>
      <c r="AP941" s="39" t="str">
        <f t="shared" si="9"/>
        <v/>
      </c>
      <c r="AQ941" s="39" t="str">
        <f t="shared" si="10"/>
        <v/>
      </c>
      <c r="AR941" s="39" t="str">
        <f t="shared" si="11"/>
        <v/>
      </c>
      <c r="AS941" s="39" t="str">
        <f t="shared" si="12"/>
        <v/>
      </c>
      <c r="AT941" s="39" t="str">
        <f t="shared" si="13"/>
        <v/>
      </c>
      <c r="AU941" s="39" t="str">
        <f t="shared" si="14"/>
        <v/>
      </c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 t="str">
        <f t="shared" si="4"/>
        <v/>
      </c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E942" s="39"/>
      <c r="AG942" s="39"/>
      <c r="AH942" s="39" t="str">
        <f t="shared" si="5"/>
        <v/>
      </c>
      <c r="AI942" s="39" t="str">
        <f t="shared" si="6"/>
        <v/>
      </c>
      <c r="AM942" s="39" t="str">
        <f t="array" ref="AM942">IF(C942="","",IFERROR(XLOOKUP(C942,Orders!$A:$A,Orders!$E:$E,""),""))</f>
        <v/>
      </c>
      <c r="AN942" s="39" t="str">
        <f t="shared" si="7"/>
        <v/>
      </c>
      <c r="AO942" s="39" t="str">
        <f t="shared" si="8"/>
        <v/>
      </c>
      <c r="AP942" s="39" t="str">
        <f t="shared" si="9"/>
        <v/>
      </c>
      <c r="AQ942" s="39" t="str">
        <f t="shared" si="10"/>
        <v/>
      </c>
      <c r="AR942" s="39" t="str">
        <f t="shared" si="11"/>
        <v/>
      </c>
      <c r="AS942" s="39" t="str">
        <f t="shared" si="12"/>
        <v/>
      </c>
      <c r="AT942" s="39" t="str">
        <f t="shared" si="13"/>
        <v/>
      </c>
      <c r="AU942" s="39" t="str">
        <f t="shared" si="14"/>
        <v/>
      </c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 t="str">
        <f t="shared" si="4"/>
        <v/>
      </c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E943" s="39"/>
      <c r="AG943" s="39"/>
      <c r="AH943" s="39" t="str">
        <f t="shared" si="5"/>
        <v/>
      </c>
      <c r="AI943" s="39" t="str">
        <f t="shared" si="6"/>
        <v/>
      </c>
      <c r="AM943" s="39" t="str">
        <f t="array" ref="AM943">IF(C943="","",IFERROR(XLOOKUP(C943,Orders!$A:$A,Orders!$E:$E,""),""))</f>
        <v/>
      </c>
      <c r="AN943" s="39" t="str">
        <f t="shared" si="7"/>
        <v/>
      </c>
      <c r="AO943" s="39" t="str">
        <f t="shared" si="8"/>
        <v/>
      </c>
      <c r="AP943" s="39" t="str">
        <f t="shared" si="9"/>
        <v/>
      </c>
      <c r="AQ943" s="39" t="str">
        <f t="shared" si="10"/>
        <v/>
      </c>
      <c r="AR943" s="39" t="str">
        <f t="shared" si="11"/>
        <v/>
      </c>
      <c r="AS943" s="39" t="str">
        <f t="shared" si="12"/>
        <v/>
      </c>
      <c r="AT943" s="39" t="str">
        <f t="shared" si="13"/>
        <v/>
      </c>
      <c r="AU943" s="39" t="str">
        <f t="shared" si="14"/>
        <v/>
      </c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 t="str">
        <f t="shared" si="4"/>
        <v/>
      </c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E944" s="39"/>
      <c r="AG944" s="39"/>
      <c r="AH944" s="39" t="str">
        <f t="shared" si="5"/>
        <v/>
      </c>
      <c r="AI944" s="39" t="str">
        <f t="shared" si="6"/>
        <v/>
      </c>
      <c r="AM944" s="39" t="str">
        <f t="array" ref="AM944">IF(C944="","",IFERROR(XLOOKUP(C944,Orders!$A:$A,Orders!$E:$E,""),""))</f>
        <v/>
      </c>
      <c r="AN944" s="39" t="str">
        <f t="shared" si="7"/>
        <v/>
      </c>
      <c r="AO944" s="39" t="str">
        <f t="shared" si="8"/>
        <v/>
      </c>
      <c r="AP944" s="39" t="str">
        <f t="shared" si="9"/>
        <v/>
      </c>
      <c r="AQ944" s="39" t="str">
        <f t="shared" si="10"/>
        <v/>
      </c>
      <c r="AR944" s="39" t="str">
        <f t="shared" si="11"/>
        <v/>
      </c>
      <c r="AS944" s="39" t="str">
        <f t="shared" si="12"/>
        <v/>
      </c>
      <c r="AT944" s="39" t="str">
        <f t="shared" si="13"/>
        <v/>
      </c>
      <c r="AU944" s="39" t="str">
        <f t="shared" si="14"/>
        <v/>
      </c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 t="str">
        <f t="shared" si="4"/>
        <v/>
      </c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E945" s="39"/>
      <c r="AG945" s="39"/>
      <c r="AH945" s="39" t="str">
        <f t="shared" si="5"/>
        <v/>
      </c>
      <c r="AI945" s="39" t="str">
        <f t="shared" si="6"/>
        <v/>
      </c>
      <c r="AM945" s="39" t="str">
        <f t="array" ref="AM945">IF(C945="","",IFERROR(XLOOKUP(C945,Orders!$A:$A,Orders!$E:$E,""),""))</f>
        <v/>
      </c>
      <c r="AN945" s="39" t="str">
        <f t="shared" si="7"/>
        <v/>
      </c>
      <c r="AO945" s="39" t="str">
        <f t="shared" si="8"/>
        <v/>
      </c>
      <c r="AP945" s="39" t="str">
        <f t="shared" si="9"/>
        <v/>
      </c>
      <c r="AQ945" s="39" t="str">
        <f t="shared" si="10"/>
        <v/>
      </c>
      <c r="AR945" s="39" t="str">
        <f t="shared" si="11"/>
        <v/>
      </c>
      <c r="AS945" s="39" t="str">
        <f t="shared" si="12"/>
        <v/>
      </c>
      <c r="AT945" s="39" t="str">
        <f t="shared" si="13"/>
        <v/>
      </c>
      <c r="AU945" s="39" t="str">
        <f t="shared" si="14"/>
        <v/>
      </c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 t="str">
        <f t="shared" si="4"/>
        <v/>
      </c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E946" s="39"/>
      <c r="AG946" s="39"/>
      <c r="AH946" s="39" t="str">
        <f t="shared" si="5"/>
        <v/>
      </c>
      <c r="AI946" s="39" t="str">
        <f t="shared" si="6"/>
        <v/>
      </c>
      <c r="AM946" s="39" t="str">
        <f t="array" ref="AM946">IF(C946="","",IFERROR(XLOOKUP(C946,Orders!$A:$A,Orders!$E:$E,""),""))</f>
        <v/>
      </c>
      <c r="AN946" s="39" t="str">
        <f t="shared" si="7"/>
        <v/>
      </c>
      <c r="AO946" s="39" t="str">
        <f t="shared" si="8"/>
        <v/>
      </c>
      <c r="AP946" s="39" t="str">
        <f t="shared" si="9"/>
        <v/>
      </c>
      <c r="AQ946" s="39" t="str">
        <f t="shared" si="10"/>
        <v/>
      </c>
      <c r="AR946" s="39" t="str">
        <f t="shared" si="11"/>
        <v/>
      </c>
      <c r="AS946" s="39" t="str">
        <f t="shared" si="12"/>
        <v/>
      </c>
      <c r="AT946" s="39" t="str">
        <f t="shared" si="13"/>
        <v/>
      </c>
      <c r="AU946" s="39" t="str">
        <f t="shared" si="14"/>
        <v/>
      </c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 t="str">
        <f t="shared" si="4"/>
        <v/>
      </c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E947" s="39"/>
      <c r="AG947" s="39"/>
      <c r="AH947" s="39" t="str">
        <f t="shared" si="5"/>
        <v/>
      </c>
      <c r="AI947" s="39" t="str">
        <f t="shared" si="6"/>
        <v/>
      </c>
      <c r="AM947" s="39" t="str">
        <f t="array" ref="AM947">IF(C947="","",IFERROR(XLOOKUP(C947,Orders!$A:$A,Orders!$E:$E,""),""))</f>
        <v/>
      </c>
      <c r="AN947" s="39" t="str">
        <f t="shared" si="7"/>
        <v/>
      </c>
      <c r="AO947" s="39" t="str">
        <f t="shared" si="8"/>
        <v/>
      </c>
      <c r="AP947" s="39" t="str">
        <f t="shared" si="9"/>
        <v/>
      </c>
      <c r="AQ947" s="39" t="str">
        <f t="shared" si="10"/>
        <v/>
      </c>
      <c r="AR947" s="39" t="str">
        <f t="shared" si="11"/>
        <v/>
      </c>
      <c r="AS947" s="39" t="str">
        <f t="shared" si="12"/>
        <v/>
      </c>
      <c r="AT947" s="39" t="str">
        <f t="shared" si="13"/>
        <v/>
      </c>
      <c r="AU947" s="39" t="str">
        <f t="shared" si="14"/>
        <v/>
      </c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 t="str">
        <f t="shared" si="4"/>
        <v/>
      </c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E948" s="39"/>
      <c r="AG948" s="39"/>
      <c r="AH948" s="39" t="str">
        <f t="shared" si="5"/>
        <v/>
      </c>
      <c r="AI948" s="39" t="str">
        <f t="shared" si="6"/>
        <v/>
      </c>
      <c r="AM948" s="39" t="str">
        <f t="array" ref="AM948">IF(C948="","",IFERROR(XLOOKUP(C948,Orders!$A:$A,Orders!$E:$E,""),""))</f>
        <v/>
      </c>
      <c r="AN948" s="39" t="str">
        <f t="shared" si="7"/>
        <v/>
      </c>
      <c r="AO948" s="39" t="str">
        <f t="shared" si="8"/>
        <v/>
      </c>
      <c r="AP948" s="39" t="str">
        <f t="shared" si="9"/>
        <v/>
      </c>
      <c r="AQ948" s="39" t="str">
        <f t="shared" si="10"/>
        <v/>
      </c>
      <c r="AR948" s="39" t="str">
        <f t="shared" si="11"/>
        <v/>
      </c>
      <c r="AS948" s="39" t="str">
        <f t="shared" si="12"/>
        <v/>
      </c>
      <c r="AT948" s="39" t="str">
        <f t="shared" si="13"/>
        <v/>
      </c>
      <c r="AU948" s="39" t="str">
        <f t="shared" si="14"/>
        <v/>
      </c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 t="str">
        <f t="shared" si="4"/>
        <v/>
      </c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E949" s="39"/>
      <c r="AG949" s="39"/>
      <c r="AH949" s="39" t="str">
        <f t="shared" si="5"/>
        <v/>
      </c>
      <c r="AI949" s="39" t="str">
        <f t="shared" si="6"/>
        <v/>
      </c>
      <c r="AM949" s="39" t="str">
        <f t="array" ref="AM949">IF(C949="","",IFERROR(XLOOKUP(C949,Orders!$A:$A,Orders!$E:$E,""),""))</f>
        <v/>
      </c>
      <c r="AN949" s="39" t="str">
        <f t="shared" si="7"/>
        <v/>
      </c>
      <c r="AO949" s="39" t="str">
        <f t="shared" si="8"/>
        <v/>
      </c>
      <c r="AP949" s="39" t="str">
        <f t="shared" si="9"/>
        <v/>
      </c>
      <c r="AQ949" s="39" t="str">
        <f t="shared" si="10"/>
        <v/>
      </c>
      <c r="AR949" s="39" t="str">
        <f t="shared" si="11"/>
        <v/>
      </c>
      <c r="AS949" s="39" t="str">
        <f t="shared" si="12"/>
        <v/>
      </c>
      <c r="AT949" s="39" t="str">
        <f t="shared" si="13"/>
        <v/>
      </c>
      <c r="AU949" s="39" t="str">
        <f t="shared" si="14"/>
        <v/>
      </c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 t="str">
        <f t="shared" si="4"/>
        <v/>
      </c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E950" s="39"/>
      <c r="AG950" s="39"/>
      <c r="AH950" s="39" t="str">
        <f t="shared" si="5"/>
        <v/>
      </c>
      <c r="AI950" s="39" t="str">
        <f t="shared" si="6"/>
        <v/>
      </c>
      <c r="AM950" s="39" t="str">
        <f t="array" ref="AM950">IF(C950="","",IFERROR(XLOOKUP(C950,Orders!$A:$A,Orders!$E:$E,""),""))</f>
        <v/>
      </c>
      <c r="AN950" s="39" t="str">
        <f t="shared" si="7"/>
        <v/>
      </c>
      <c r="AO950" s="39" t="str">
        <f t="shared" si="8"/>
        <v/>
      </c>
      <c r="AP950" s="39" t="str">
        <f t="shared" si="9"/>
        <v/>
      </c>
      <c r="AQ950" s="39" t="str">
        <f t="shared" si="10"/>
        <v/>
      </c>
      <c r="AR950" s="39" t="str">
        <f t="shared" si="11"/>
        <v/>
      </c>
      <c r="AS950" s="39" t="str">
        <f t="shared" si="12"/>
        <v/>
      </c>
      <c r="AT950" s="39" t="str">
        <f t="shared" si="13"/>
        <v/>
      </c>
      <c r="AU950" s="39" t="str">
        <f t="shared" si="14"/>
        <v/>
      </c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 t="str">
        <f t="shared" si="4"/>
        <v/>
      </c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E951" s="39"/>
      <c r="AG951" s="39"/>
      <c r="AH951" s="39" t="str">
        <f t="shared" si="5"/>
        <v/>
      </c>
      <c r="AI951" s="39" t="str">
        <f t="shared" si="6"/>
        <v/>
      </c>
      <c r="AM951" s="39" t="str">
        <f t="array" ref="AM951">IF(C951="","",IFERROR(XLOOKUP(C951,Orders!$A:$A,Orders!$E:$E,""),""))</f>
        <v/>
      </c>
      <c r="AN951" s="39" t="str">
        <f t="shared" si="7"/>
        <v/>
      </c>
      <c r="AO951" s="39" t="str">
        <f t="shared" si="8"/>
        <v/>
      </c>
      <c r="AP951" s="39" t="str">
        <f t="shared" si="9"/>
        <v/>
      </c>
      <c r="AQ951" s="39" t="str">
        <f t="shared" si="10"/>
        <v/>
      </c>
      <c r="AR951" s="39" t="str">
        <f t="shared" si="11"/>
        <v/>
      </c>
      <c r="AS951" s="39" t="str">
        <f t="shared" si="12"/>
        <v/>
      </c>
      <c r="AT951" s="39" t="str">
        <f t="shared" si="13"/>
        <v/>
      </c>
      <c r="AU951" s="39" t="str">
        <f t="shared" si="14"/>
        <v/>
      </c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 t="str">
        <f t="shared" si="4"/>
        <v/>
      </c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E952" s="39"/>
      <c r="AG952" s="39"/>
      <c r="AH952" s="39" t="str">
        <f t="shared" si="5"/>
        <v/>
      </c>
      <c r="AI952" s="39" t="str">
        <f t="shared" si="6"/>
        <v/>
      </c>
      <c r="AM952" s="39" t="str">
        <f t="array" ref="AM952">IF(C952="","",IFERROR(XLOOKUP(C952,Orders!$A:$A,Orders!$E:$E,""),""))</f>
        <v/>
      </c>
      <c r="AN952" s="39" t="str">
        <f t="shared" si="7"/>
        <v/>
      </c>
      <c r="AO952" s="39" t="str">
        <f t="shared" si="8"/>
        <v/>
      </c>
      <c r="AP952" s="39" t="str">
        <f t="shared" si="9"/>
        <v/>
      </c>
      <c r="AQ952" s="39" t="str">
        <f t="shared" si="10"/>
        <v/>
      </c>
      <c r="AR952" s="39" t="str">
        <f t="shared" si="11"/>
        <v/>
      </c>
      <c r="AS952" s="39" t="str">
        <f t="shared" si="12"/>
        <v/>
      </c>
      <c r="AT952" s="39" t="str">
        <f t="shared" si="13"/>
        <v/>
      </c>
      <c r="AU952" s="39" t="str">
        <f t="shared" si="14"/>
        <v/>
      </c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 t="str">
        <f t="shared" si="4"/>
        <v/>
      </c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E953" s="39"/>
      <c r="AG953" s="39"/>
      <c r="AH953" s="39" t="str">
        <f t="shared" si="5"/>
        <v/>
      </c>
      <c r="AI953" s="39" t="str">
        <f t="shared" si="6"/>
        <v/>
      </c>
      <c r="AM953" s="39" t="str">
        <f t="array" ref="AM953">IF(C953="","",IFERROR(XLOOKUP(C953,Orders!$A:$A,Orders!$E:$E,""),""))</f>
        <v/>
      </c>
      <c r="AN953" s="39" t="str">
        <f t="shared" si="7"/>
        <v/>
      </c>
      <c r="AO953" s="39" t="str">
        <f t="shared" si="8"/>
        <v/>
      </c>
      <c r="AP953" s="39" t="str">
        <f t="shared" si="9"/>
        <v/>
      </c>
      <c r="AQ953" s="39" t="str">
        <f t="shared" si="10"/>
        <v/>
      </c>
      <c r="AR953" s="39" t="str">
        <f t="shared" si="11"/>
        <v/>
      </c>
      <c r="AS953" s="39" t="str">
        <f t="shared" si="12"/>
        <v/>
      </c>
      <c r="AT953" s="39" t="str">
        <f t="shared" si="13"/>
        <v/>
      </c>
      <c r="AU953" s="39" t="str">
        <f t="shared" si="14"/>
        <v/>
      </c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 t="str">
        <f t="shared" si="4"/>
        <v/>
      </c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E954" s="39"/>
      <c r="AG954" s="39"/>
      <c r="AH954" s="39" t="str">
        <f t="shared" si="5"/>
        <v/>
      </c>
      <c r="AI954" s="39" t="str">
        <f t="shared" si="6"/>
        <v/>
      </c>
      <c r="AM954" s="39" t="str">
        <f t="array" ref="AM954">IF(C954="","",IFERROR(XLOOKUP(C954,Orders!$A:$A,Orders!$E:$E,""),""))</f>
        <v/>
      </c>
      <c r="AN954" s="39" t="str">
        <f t="shared" si="7"/>
        <v/>
      </c>
      <c r="AO954" s="39" t="str">
        <f t="shared" si="8"/>
        <v/>
      </c>
      <c r="AP954" s="39" t="str">
        <f t="shared" si="9"/>
        <v/>
      </c>
      <c r="AQ954" s="39" t="str">
        <f t="shared" si="10"/>
        <v/>
      </c>
      <c r="AR954" s="39" t="str">
        <f t="shared" si="11"/>
        <v/>
      </c>
      <c r="AS954" s="39" t="str">
        <f t="shared" si="12"/>
        <v/>
      </c>
      <c r="AT954" s="39" t="str">
        <f t="shared" si="13"/>
        <v/>
      </c>
      <c r="AU954" s="39" t="str">
        <f t="shared" si="14"/>
        <v/>
      </c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 t="str">
        <f t="shared" si="4"/>
        <v/>
      </c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E955" s="39"/>
      <c r="AG955" s="39"/>
      <c r="AH955" s="39" t="str">
        <f t="shared" si="5"/>
        <v/>
      </c>
      <c r="AI955" s="39" t="str">
        <f t="shared" si="6"/>
        <v/>
      </c>
      <c r="AM955" s="39" t="str">
        <f t="array" ref="AM955">IF(C955="","",IFERROR(XLOOKUP(C955,Orders!$A:$A,Orders!$E:$E,""),""))</f>
        <v/>
      </c>
      <c r="AN955" s="39" t="str">
        <f t="shared" si="7"/>
        <v/>
      </c>
      <c r="AO955" s="39" t="str">
        <f t="shared" si="8"/>
        <v/>
      </c>
      <c r="AP955" s="39" t="str">
        <f t="shared" si="9"/>
        <v/>
      </c>
      <c r="AQ955" s="39" t="str">
        <f t="shared" si="10"/>
        <v/>
      </c>
      <c r="AR955" s="39" t="str">
        <f t="shared" si="11"/>
        <v/>
      </c>
      <c r="AS955" s="39" t="str">
        <f t="shared" si="12"/>
        <v/>
      </c>
      <c r="AT955" s="39" t="str">
        <f t="shared" si="13"/>
        <v/>
      </c>
      <c r="AU955" s="39" t="str">
        <f t="shared" si="14"/>
        <v/>
      </c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 t="str">
        <f t="shared" si="4"/>
        <v/>
      </c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E956" s="39"/>
      <c r="AG956" s="39"/>
      <c r="AH956" s="39" t="str">
        <f t="shared" si="5"/>
        <v/>
      </c>
      <c r="AI956" s="39" t="str">
        <f t="shared" si="6"/>
        <v/>
      </c>
      <c r="AM956" s="39" t="str">
        <f t="array" ref="AM956">IF(C956="","",IFERROR(XLOOKUP(C956,Orders!$A:$A,Orders!$E:$E,""),""))</f>
        <v/>
      </c>
      <c r="AN956" s="39" t="str">
        <f t="shared" si="7"/>
        <v/>
      </c>
      <c r="AO956" s="39" t="str">
        <f t="shared" si="8"/>
        <v/>
      </c>
      <c r="AP956" s="39" t="str">
        <f t="shared" si="9"/>
        <v/>
      </c>
      <c r="AQ956" s="39" t="str">
        <f t="shared" si="10"/>
        <v/>
      </c>
      <c r="AR956" s="39" t="str">
        <f t="shared" si="11"/>
        <v/>
      </c>
      <c r="AS956" s="39" t="str">
        <f t="shared" si="12"/>
        <v/>
      </c>
      <c r="AT956" s="39" t="str">
        <f t="shared" si="13"/>
        <v/>
      </c>
      <c r="AU956" s="39" t="str">
        <f t="shared" si="14"/>
        <v/>
      </c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 t="str">
        <f t="shared" si="4"/>
        <v/>
      </c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E957" s="39"/>
      <c r="AG957" s="39"/>
      <c r="AH957" s="39" t="str">
        <f t="shared" si="5"/>
        <v/>
      </c>
      <c r="AI957" s="39" t="str">
        <f t="shared" si="6"/>
        <v/>
      </c>
      <c r="AM957" s="39" t="str">
        <f t="array" ref="AM957">IF(C957="","",IFERROR(XLOOKUP(C957,Orders!$A:$A,Orders!$E:$E,""),""))</f>
        <v/>
      </c>
      <c r="AN957" s="39" t="str">
        <f t="shared" si="7"/>
        <v/>
      </c>
      <c r="AO957" s="39" t="str">
        <f t="shared" si="8"/>
        <v/>
      </c>
      <c r="AP957" s="39" t="str">
        <f t="shared" si="9"/>
        <v/>
      </c>
      <c r="AQ957" s="39" t="str">
        <f t="shared" si="10"/>
        <v/>
      </c>
      <c r="AR957" s="39" t="str">
        <f t="shared" si="11"/>
        <v/>
      </c>
      <c r="AS957" s="39" t="str">
        <f t="shared" si="12"/>
        <v/>
      </c>
      <c r="AT957" s="39" t="str">
        <f t="shared" si="13"/>
        <v/>
      </c>
      <c r="AU957" s="39" t="str">
        <f t="shared" si="14"/>
        <v/>
      </c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 t="str">
        <f t="shared" si="4"/>
        <v/>
      </c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E958" s="39"/>
      <c r="AG958" s="39"/>
      <c r="AH958" s="39" t="str">
        <f t="shared" si="5"/>
        <v/>
      </c>
      <c r="AI958" s="39" t="str">
        <f t="shared" si="6"/>
        <v/>
      </c>
      <c r="AM958" s="39" t="str">
        <f t="array" ref="AM958">IF(C958="","",IFERROR(XLOOKUP(C958,Orders!$A:$A,Orders!$E:$E,""),""))</f>
        <v/>
      </c>
      <c r="AN958" s="39" t="str">
        <f t="shared" si="7"/>
        <v/>
      </c>
      <c r="AO958" s="39" t="str">
        <f t="shared" si="8"/>
        <v/>
      </c>
      <c r="AP958" s="39" t="str">
        <f t="shared" si="9"/>
        <v/>
      </c>
      <c r="AQ958" s="39" t="str">
        <f t="shared" si="10"/>
        <v/>
      </c>
      <c r="AR958" s="39" t="str">
        <f t="shared" si="11"/>
        <v/>
      </c>
      <c r="AS958" s="39" t="str">
        <f t="shared" si="12"/>
        <v/>
      </c>
      <c r="AT958" s="39" t="str">
        <f t="shared" si="13"/>
        <v/>
      </c>
      <c r="AU958" s="39" t="str">
        <f t="shared" si="14"/>
        <v/>
      </c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 t="str">
        <f t="shared" si="4"/>
        <v/>
      </c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E959" s="39"/>
      <c r="AG959" s="39"/>
      <c r="AH959" s="39" t="str">
        <f t="shared" si="5"/>
        <v/>
      </c>
      <c r="AI959" s="39" t="str">
        <f t="shared" si="6"/>
        <v/>
      </c>
      <c r="AM959" s="39" t="str">
        <f t="array" ref="AM959">IF(C959="","",IFERROR(XLOOKUP(C959,Orders!$A:$A,Orders!$E:$E,""),""))</f>
        <v/>
      </c>
      <c r="AN959" s="39" t="str">
        <f t="shared" si="7"/>
        <v/>
      </c>
      <c r="AO959" s="39" t="str">
        <f t="shared" si="8"/>
        <v/>
      </c>
      <c r="AP959" s="39" t="str">
        <f t="shared" si="9"/>
        <v/>
      </c>
      <c r="AQ959" s="39" t="str">
        <f t="shared" si="10"/>
        <v/>
      </c>
      <c r="AR959" s="39" t="str">
        <f t="shared" si="11"/>
        <v/>
      </c>
      <c r="AS959" s="39" t="str">
        <f t="shared" si="12"/>
        <v/>
      </c>
      <c r="AT959" s="39" t="str">
        <f t="shared" si="13"/>
        <v/>
      </c>
      <c r="AU959" s="39" t="str">
        <f t="shared" si="14"/>
        <v/>
      </c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 t="str">
        <f t="shared" si="4"/>
        <v/>
      </c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E960" s="39"/>
      <c r="AG960" s="39"/>
      <c r="AH960" s="39" t="str">
        <f t="shared" si="5"/>
        <v/>
      </c>
      <c r="AI960" s="39" t="str">
        <f t="shared" si="6"/>
        <v/>
      </c>
      <c r="AM960" s="39" t="str">
        <f t="array" ref="AM960">IF(C960="","",IFERROR(XLOOKUP(C960,Orders!$A:$A,Orders!$E:$E,""),""))</f>
        <v/>
      </c>
      <c r="AN960" s="39" t="str">
        <f t="shared" si="7"/>
        <v/>
      </c>
      <c r="AO960" s="39" t="str">
        <f t="shared" si="8"/>
        <v/>
      </c>
      <c r="AP960" s="39" t="str">
        <f t="shared" si="9"/>
        <v/>
      </c>
      <c r="AQ960" s="39" t="str">
        <f t="shared" si="10"/>
        <v/>
      </c>
      <c r="AR960" s="39" t="str">
        <f t="shared" si="11"/>
        <v/>
      </c>
      <c r="AS960" s="39" t="str">
        <f t="shared" si="12"/>
        <v/>
      </c>
      <c r="AT960" s="39" t="str">
        <f t="shared" si="13"/>
        <v/>
      </c>
      <c r="AU960" s="39" t="str">
        <f t="shared" si="14"/>
        <v/>
      </c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 t="str">
        <f t="shared" si="4"/>
        <v/>
      </c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E961" s="39"/>
      <c r="AG961" s="39"/>
      <c r="AH961" s="39" t="str">
        <f t="shared" si="5"/>
        <v/>
      </c>
      <c r="AI961" s="39" t="str">
        <f t="shared" si="6"/>
        <v/>
      </c>
      <c r="AM961" s="39" t="str">
        <f t="array" ref="AM961">IF(C961="","",IFERROR(XLOOKUP(C961,Orders!$A:$A,Orders!$E:$E,""),""))</f>
        <v/>
      </c>
      <c r="AN961" s="39" t="str">
        <f t="shared" si="7"/>
        <v/>
      </c>
      <c r="AO961" s="39" t="str">
        <f t="shared" si="8"/>
        <v/>
      </c>
      <c r="AP961" s="39" t="str">
        <f t="shared" si="9"/>
        <v/>
      </c>
      <c r="AQ961" s="39" t="str">
        <f t="shared" si="10"/>
        <v/>
      </c>
      <c r="AR961" s="39" t="str">
        <f t="shared" si="11"/>
        <v/>
      </c>
      <c r="AS961" s="39" t="str">
        <f t="shared" si="12"/>
        <v/>
      </c>
      <c r="AT961" s="39" t="str">
        <f t="shared" si="13"/>
        <v/>
      </c>
      <c r="AU961" s="39" t="str">
        <f t="shared" si="14"/>
        <v/>
      </c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 t="str">
        <f t="shared" si="4"/>
        <v/>
      </c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E962" s="39"/>
      <c r="AG962" s="39"/>
      <c r="AH962" s="39" t="str">
        <f t="shared" si="5"/>
        <v/>
      </c>
      <c r="AI962" s="39" t="str">
        <f t="shared" si="6"/>
        <v/>
      </c>
      <c r="AM962" s="39" t="str">
        <f t="array" ref="AM962">IF(C962="","",IFERROR(XLOOKUP(C962,Orders!$A:$A,Orders!$E:$E,""),""))</f>
        <v/>
      </c>
      <c r="AN962" s="39" t="str">
        <f t="shared" si="7"/>
        <v/>
      </c>
      <c r="AO962" s="39" t="str">
        <f t="shared" si="8"/>
        <v/>
      </c>
      <c r="AP962" s="39" t="str">
        <f t="shared" si="9"/>
        <v/>
      </c>
      <c r="AQ962" s="39" t="str">
        <f t="shared" si="10"/>
        <v/>
      </c>
      <c r="AR962" s="39" t="str">
        <f t="shared" si="11"/>
        <v/>
      </c>
      <c r="AS962" s="39" t="str">
        <f t="shared" si="12"/>
        <v/>
      </c>
      <c r="AT962" s="39" t="str">
        <f t="shared" si="13"/>
        <v/>
      </c>
      <c r="AU962" s="39" t="str">
        <f t="shared" si="14"/>
        <v/>
      </c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 t="str">
        <f t="shared" si="4"/>
        <v/>
      </c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E963" s="39"/>
      <c r="AG963" s="39"/>
      <c r="AH963" s="39" t="str">
        <f t="shared" si="5"/>
        <v/>
      </c>
      <c r="AI963" s="39" t="str">
        <f t="shared" si="6"/>
        <v/>
      </c>
      <c r="AM963" s="39" t="str">
        <f t="array" ref="AM963">IF(C963="","",IFERROR(XLOOKUP(C963,Orders!$A:$A,Orders!$E:$E,""),""))</f>
        <v/>
      </c>
      <c r="AN963" s="39" t="str">
        <f t="shared" si="7"/>
        <v/>
      </c>
      <c r="AO963" s="39" t="str">
        <f t="shared" si="8"/>
        <v/>
      </c>
      <c r="AP963" s="39" t="str">
        <f t="shared" si="9"/>
        <v/>
      </c>
      <c r="AQ963" s="39" t="str">
        <f t="shared" si="10"/>
        <v/>
      </c>
      <c r="AR963" s="39" t="str">
        <f t="shared" si="11"/>
        <v/>
      </c>
      <c r="AS963" s="39" t="str">
        <f t="shared" si="12"/>
        <v/>
      </c>
      <c r="AT963" s="39" t="str">
        <f t="shared" si="13"/>
        <v/>
      </c>
      <c r="AU963" s="39" t="str">
        <f t="shared" si="14"/>
        <v/>
      </c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 t="str">
        <f t="shared" si="4"/>
        <v/>
      </c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E964" s="39"/>
      <c r="AG964" s="39"/>
      <c r="AH964" s="39" t="str">
        <f t="shared" si="5"/>
        <v/>
      </c>
      <c r="AI964" s="39" t="str">
        <f t="shared" si="6"/>
        <v/>
      </c>
      <c r="AM964" s="39" t="str">
        <f t="array" ref="AM964">IF(C964="","",IFERROR(XLOOKUP(C964,Orders!$A:$A,Orders!$E:$E,""),""))</f>
        <v/>
      </c>
      <c r="AN964" s="39" t="str">
        <f t="shared" si="7"/>
        <v/>
      </c>
      <c r="AO964" s="39" t="str">
        <f t="shared" si="8"/>
        <v/>
      </c>
      <c r="AP964" s="39" t="str">
        <f t="shared" si="9"/>
        <v/>
      </c>
      <c r="AQ964" s="39" t="str">
        <f t="shared" si="10"/>
        <v/>
      </c>
      <c r="AR964" s="39" t="str">
        <f t="shared" si="11"/>
        <v/>
      </c>
      <c r="AS964" s="39" t="str">
        <f t="shared" si="12"/>
        <v/>
      </c>
      <c r="AT964" s="39" t="str">
        <f t="shared" si="13"/>
        <v/>
      </c>
      <c r="AU964" s="39" t="str">
        <f t="shared" si="14"/>
        <v/>
      </c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 t="str">
        <f t="shared" si="4"/>
        <v/>
      </c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E965" s="39"/>
      <c r="AG965" s="39"/>
      <c r="AH965" s="39" t="str">
        <f t="shared" si="5"/>
        <v/>
      </c>
      <c r="AI965" s="39" t="str">
        <f t="shared" si="6"/>
        <v/>
      </c>
      <c r="AM965" s="39" t="str">
        <f t="array" ref="AM965">IF(C965="","",IFERROR(XLOOKUP(C965,Orders!$A:$A,Orders!$E:$E,""),""))</f>
        <v/>
      </c>
      <c r="AN965" s="39" t="str">
        <f t="shared" si="7"/>
        <v/>
      </c>
      <c r="AO965" s="39" t="str">
        <f t="shared" si="8"/>
        <v/>
      </c>
      <c r="AP965" s="39" t="str">
        <f t="shared" si="9"/>
        <v/>
      </c>
      <c r="AQ965" s="39" t="str">
        <f t="shared" si="10"/>
        <v/>
      </c>
      <c r="AR965" s="39" t="str">
        <f t="shared" si="11"/>
        <v/>
      </c>
      <c r="AS965" s="39" t="str">
        <f t="shared" si="12"/>
        <v/>
      </c>
      <c r="AT965" s="39" t="str">
        <f t="shared" si="13"/>
        <v/>
      </c>
      <c r="AU965" s="39" t="str">
        <f t="shared" si="14"/>
        <v/>
      </c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 t="str">
        <f t="shared" si="4"/>
        <v/>
      </c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E966" s="39"/>
      <c r="AG966" s="39"/>
      <c r="AH966" s="39" t="str">
        <f t="shared" si="5"/>
        <v/>
      </c>
      <c r="AI966" s="39" t="str">
        <f t="shared" si="6"/>
        <v/>
      </c>
      <c r="AM966" s="39" t="str">
        <f t="array" ref="AM966">IF(C966="","",IFERROR(XLOOKUP(C966,Orders!$A:$A,Orders!$E:$E,""),""))</f>
        <v/>
      </c>
      <c r="AN966" s="39" t="str">
        <f t="shared" si="7"/>
        <v/>
      </c>
      <c r="AO966" s="39" t="str">
        <f t="shared" si="8"/>
        <v/>
      </c>
      <c r="AP966" s="39" t="str">
        <f t="shared" si="9"/>
        <v/>
      </c>
      <c r="AQ966" s="39" t="str">
        <f t="shared" si="10"/>
        <v/>
      </c>
      <c r="AR966" s="39" t="str">
        <f t="shared" si="11"/>
        <v/>
      </c>
      <c r="AS966" s="39" t="str">
        <f t="shared" si="12"/>
        <v/>
      </c>
      <c r="AT966" s="39" t="str">
        <f t="shared" si="13"/>
        <v/>
      </c>
      <c r="AU966" s="39" t="str">
        <f t="shared" si="14"/>
        <v/>
      </c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 t="str">
        <f t="shared" si="4"/>
        <v/>
      </c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E967" s="39"/>
      <c r="AG967" s="39"/>
      <c r="AH967" s="39" t="str">
        <f t="shared" si="5"/>
        <v/>
      </c>
      <c r="AI967" s="39" t="str">
        <f t="shared" si="6"/>
        <v/>
      </c>
      <c r="AM967" s="39" t="str">
        <f t="array" ref="AM967">IF(C967="","",IFERROR(XLOOKUP(C967,Orders!$A:$A,Orders!$E:$E,""),""))</f>
        <v/>
      </c>
      <c r="AN967" s="39" t="str">
        <f t="shared" si="7"/>
        <v/>
      </c>
      <c r="AO967" s="39" t="str">
        <f t="shared" si="8"/>
        <v/>
      </c>
      <c r="AP967" s="39" t="str">
        <f t="shared" si="9"/>
        <v/>
      </c>
      <c r="AQ967" s="39" t="str">
        <f t="shared" si="10"/>
        <v/>
      </c>
      <c r="AR967" s="39" t="str">
        <f t="shared" si="11"/>
        <v/>
      </c>
      <c r="AS967" s="39" t="str">
        <f t="shared" si="12"/>
        <v/>
      </c>
      <c r="AT967" s="39" t="str">
        <f t="shared" si="13"/>
        <v/>
      </c>
      <c r="AU967" s="39" t="str">
        <f t="shared" si="14"/>
        <v/>
      </c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 t="str">
        <f t="shared" si="4"/>
        <v/>
      </c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E968" s="39"/>
      <c r="AG968" s="39"/>
      <c r="AH968" s="39" t="str">
        <f t="shared" si="5"/>
        <v/>
      </c>
      <c r="AI968" s="39" t="str">
        <f t="shared" si="6"/>
        <v/>
      </c>
      <c r="AM968" s="39" t="str">
        <f t="array" ref="AM968">IF(C968="","",IFERROR(XLOOKUP(C968,Orders!$A:$A,Orders!$E:$E,""),""))</f>
        <v/>
      </c>
      <c r="AN968" s="39" t="str">
        <f t="shared" si="7"/>
        <v/>
      </c>
      <c r="AO968" s="39" t="str">
        <f t="shared" si="8"/>
        <v/>
      </c>
      <c r="AP968" s="39" t="str">
        <f t="shared" si="9"/>
        <v/>
      </c>
      <c r="AQ968" s="39" t="str">
        <f t="shared" si="10"/>
        <v/>
      </c>
      <c r="AR968" s="39" t="str">
        <f t="shared" si="11"/>
        <v/>
      </c>
      <c r="AS968" s="39" t="str">
        <f t="shared" si="12"/>
        <v/>
      </c>
      <c r="AT968" s="39" t="str">
        <f t="shared" si="13"/>
        <v/>
      </c>
      <c r="AU968" s="39" t="str">
        <f t="shared" si="14"/>
        <v/>
      </c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 t="str">
        <f t="shared" si="4"/>
        <v/>
      </c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E969" s="39"/>
      <c r="AG969" s="39"/>
      <c r="AH969" s="39" t="str">
        <f t="shared" si="5"/>
        <v/>
      </c>
      <c r="AI969" s="39" t="str">
        <f t="shared" si="6"/>
        <v/>
      </c>
      <c r="AM969" s="39" t="str">
        <f t="array" ref="AM969">IF(C969="","",IFERROR(XLOOKUP(C969,Orders!$A:$A,Orders!$E:$E,""),""))</f>
        <v/>
      </c>
      <c r="AN969" s="39" t="str">
        <f t="shared" si="7"/>
        <v/>
      </c>
      <c r="AO969" s="39" t="str">
        <f t="shared" si="8"/>
        <v/>
      </c>
      <c r="AP969" s="39" t="str">
        <f t="shared" si="9"/>
        <v/>
      </c>
      <c r="AQ969" s="39" t="str">
        <f t="shared" si="10"/>
        <v/>
      </c>
      <c r="AR969" s="39" t="str">
        <f t="shared" si="11"/>
        <v/>
      </c>
      <c r="AS969" s="39" t="str">
        <f t="shared" si="12"/>
        <v/>
      </c>
      <c r="AT969" s="39" t="str">
        <f t="shared" si="13"/>
        <v/>
      </c>
      <c r="AU969" s="39" t="str">
        <f t="shared" si="14"/>
        <v/>
      </c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 t="str">
        <f t="shared" si="4"/>
        <v/>
      </c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E970" s="39"/>
      <c r="AG970" s="39"/>
      <c r="AH970" s="39" t="str">
        <f t="shared" si="5"/>
        <v/>
      </c>
      <c r="AI970" s="39" t="str">
        <f t="shared" si="6"/>
        <v/>
      </c>
      <c r="AM970" s="39" t="str">
        <f t="array" ref="AM970">IF(C970="","",IFERROR(XLOOKUP(C970,Orders!$A:$A,Orders!$E:$E,""),""))</f>
        <v/>
      </c>
      <c r="AN970" s="39" t="str">
        <f t="shared" si="7"/>
        <v/>
      </c>
      <c r="AO970" s="39" t="str">
        <f t="shared" si="8"/>
        <v/>
      </c>
      <c r="AP970" s="39" t="str">
        <f t="shared" si="9"/>
        <v/>
      </c>
      <c r="AQ970" s="39" t="str">
        <f t="shared" si="10"/>
        <v/>
      </c>
      <c r="AR970" s="39" t="str">
        <f t="shared" si="11"/>
        <v/>
      </c>
      <c r="AS970" s="39" t="str">
        <f t="shared" si="12"/>
        <v/>
      </c>
      <c r="AT970" s="39" t="str">
        <f t="shared" si="13"/>
        <v/>
      </c>
      <c r="AU970" s="39" t="str">
        <f t="shared" si="14"/>
        <v/>
      </c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 t="str">
        <f t="shared" si="4"/>
        <v/>
      </c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E971" s="39"/>
      <c r="AG971" s="39"/>
      <c r="AH971" s="39" t="str">
        <f t="shared" si="5"/>
        <v/>
      </c>
      <c r="AI971" s="39" t="str">
        <f t="shared" si="6"/>
        <v/>
      </c>
      <c r="AM971" s="39" t="str">
        <f t="array" ref="AM971">IF(C971="","",IFERROR(XLOOKUP(C971,Orders!$A:$A,Orders!$E:$E,""),""))</f>
        <v/>
      </c>
      <c r="AN971" s="39" t="str">
        <f t="shared" si="7"/>
        <v/>
      </c>
      <c r="AO971" s="39" t="str">
        <f t="shared" si="8"/>
        <v/>
      </c>
      <c r="AP971" s="39" t="str">
        <f t="shared" si="9"/>
        <v/>
      </c>
      <c r="AQ971" s="39" t="str">
        <f t="shared" si="10"/>
        <v/>
      </c>
      <c r="AR971" s="39" t="str">
        <f t="shared" si="11"/>
        <v/>
      </c>
      <c r="AS971" s="39" t="str">
        <f t="shared" si="12"/>
        <v/>
      </c>
      <c r="AT971" s="39" t="str">
        <f t="shared" si="13"/>
        <v/>
      </c>
      <c r="AU971" s="39" t="str">
        <f t="shared" si="14"/>
        <v/>
      </c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 t="str">
        <f t="shared" si="4"/>
        <v/>
      </c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E972" s="39"/>
      <c r="AG972" s="39"/>
      <c r="AH972" s="39" t="str">
        <f t="shared" si="5"/>
        <v/>
      </c>
      <c r="AI972" s="39" t="str">
        <f t="shared" si="6"/>
        <v/>
      </c>
      <c r="AM972" s="39" t="str">
        <f t="array" ref="AM972">IF(C972="","",IFERROR(XLOOKUP(C972,Orders!$A:$A,Orders!$E:$E,""),""))</f>
        <v/>
      </c>
      <c r="AN972" s="39" t="str">
        <f t="shared" si="7"/>
        <v/>
      </c>
      <c r="AO972" s="39" t="str">
        <f t="shared" si="8"/>
        <v/>
      </c>
      <c r="AP972" s="39" t="str">
        <f t="shared" si="9"/>
        <v/>
      </c>
      <c r="AQ972" s="39" t="str">
        <f t="shared" si="10"/>
        <v/>
      </c>
      <c r="AR972" s="39" t="str">
        <f t="shared" si="11"/>
        <v/>
      </c>
      <c r="AS972" s="39" t="str">
        <f t="shared" si="12"/>
        <v/>
      </c>
      <c r="AT972" s="39" t="str">
        <f t="shared" si="13"/>
        <v/>
      </c>
      <c r="AU972" s="39" t="str">
        <f t="shared" si="14"/>
        <v/>
      </c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 t="str">
        <f t="shared" si="4"/>
        <v/>
      </c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E973" s="39"/>
      <c r="AG973" s="39"/>
      <c r="AH973" s="39" t="str">
        <f t="shared" si="5"/>
        <v/>
      </c>
      <c r="AI973" s="39" t="str">
        <f t="shared" si="6"/>
        <v/>
      </c>
      <c r="AM973" s="39" t="str">
        <f t="array" ref="AM973">IF(C973="","",IFERROR(XLOOKUP(C973,Orders!$A:$A,Orders!$E:$E,""),""))</f>
        <v/>
      </c>
      <c r="AN973" s="39" t="str">
        <f t="shared" si="7"/>
        <v/>
      </c>
      <c r="AO973" s="39" t="str">
        <f t="shared" si="8"/>
        <v/>
      </c>
      <c r="AP973" s="39" t="str">
        <f t="shared" si="9"/>
        <v/>
      </c>
      <c r="AQ973" s="39" t="str">
        <f t="shared" si="10"/>
        <v/>
      </c>
      <c r="AR973" s="39" t="str">
        <f t="shared" si="11"/>
        <v/>
      </c>
      <c r="AS973" s="39" t="str">
        <f t="shared" si="12"/>
        <v/>
      </c>
      <c r="AT973" s="39" t="str">
        <f t="shared" si="13"/>
        <v/>
      </c>
      <c r="AU973" s="39" t="str">
        <f t="shared" si="14"/>
        <v/>
      </c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 t="str">
        <f t="shared" si="4"/>
        <v/>
      </c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E974" s="39"/>
      <c r="AG974" s="39"/>
      <c r="AH974" s="39" t="str">
        <f t="shared" si="5"/>
        <v/>
      </c>
      <c r="AI974" s="39" t="str">
        <f t="shared" si="6"/>
        <v/>
      </c>
      <c r="AM974" s="39" t="str">
        <f t="array" ref="AM974">IF(C974="","",IFERROR(XLOOKUP(C974,Orders!$A:$A,Orders!$E:$E,""),""))</f>
        <v/>
      </c>
      <c r="AN974" s="39" t="str">
        <f t="shared" si="7"/>
        <v/>
      </c>
      <c r="AO974" s="39" t="str">
        <f t="shared" si="8"/>
        <v/>
      </c>
      <c r="AP974" s="39" t="str">
        <f t="shared" si="9"/>
        <v/>
      </c>
      <c r="AQ974" s="39" t="str">
        <f t="shared" si="10"/>
        <v/>
      </c>
      <c r="AR974" s="39" t="str">
        <f t="shared" si="11"/>
        <v/>
      </c>
      <c r="AS974" s="39" t="str">
        <f t="shared" si="12"/>
        <v/>
      </c>
      <c r="AT974" s="39" t="str">
        <f t="shared" si="13"/>
        <v/>
      </c>
      <c r="AU974" s="39" t="str">
        <f t="shared" si="14"/>
        <v/>
      </c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 t="str">
        <f t="shared" si="4"/>
        <v/>
      </c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E975" s="39"/>
      <c r="AG975" s="39"/>
      <c r="AH975" s="39" t="str">
        <f t="shared" si="5"/>
        <v/>
      </c>
      <c r="AI975" s="39" t="str">
        <f t="shared" si="6"/>
        <v/>
      </c>
      <c r="AM975" s="39" t="str">
        <f t="array" ref="AM975">IF(C975="","",IFERROR(XLOOKUP(C975,Orders!$A:$A,Orders!$E:$E,""),""))</f>
        <v/>
      </c>
      <c r="AN975" s="39" t="str">
        <f t="shared" si="7"/>
        <v/>
      </c>
      <c r="AO975" s="39" t="str">
        <f t="shared" si="8"/>
        <v/>
      </c>
      <c r="AP975" s="39" t="str">
        <f t="shared" si="9"/>
        <v/>
      </c>
      <c r="AQ975" s="39" t="str">
        <f t="shared" si="10"/>
        <v/>
      </c>
      <c r="AR975" s="39" t="str">
        <f t="shared" si="11"/>
        <v/>
      </c>
      <c r="AS975" s="39" t="str">
        <f t="shared" si="12"/>
        <v/>
      </c>
      <c r="AT975" s="39" t="str">
        <f t="shared" si="13"/>
        <v/>
      </c>
      <c r="AU975" s="39" t="str">
        <f t="shared" si="14"/>
        <v/>
      </c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 t="str">
        <f t="shared" si="4"/>
        <v/>
      </c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E976" s="39"/>
      <c r="AG976" s="39"/>
      <c r="AH976" s="39" t="str">
        <f t="shared" si="5"/>
        <v/>
      </c>
      <c r="AI976" s="39" t="str">
        <f t="shared" si="6"/>
        <v/>
      </c>
      <c r="AM976" s="39" t="str">
        <f t="array" ref="AM976">IF(C976="","",IFERROR(XLOOKUP(C976,Orders!$A:$A,Orders!$E:$E,""),""))</f>
        <v/>
      </c>
      <c r="AN976" s="39" t="str">
        <f t="shared" si="7"/>
        <v/>
      </c>
      <c r="AO976" s="39" t="str">
        <f t="shared" si="8"/>
        <v/>
      </c>
      <c r="AP976" s="39" t="str">
        <f t="shared" si="9"/>
        <v/>
      </c>
      <c r="AQ976" s="39" t="str">
        <f t="shared" si="10"/>
        <v/>
      </c>
      <c r="AR976" s="39" t="str">
        <f t="shared" si="11"/>
        <v/>
      </c>
      <c r="AS976" s="39" t="str">
        <f t="shared" si="12"/>
        <v/>
      </c>
      <c r="AT976" s="39" t="str">
        <f t="shared" si="13"/>
        <v/>
      </c>
      <c r="AU976" s="39" t="str">
        <f t="shared" si="14"/>
        <v/>
      </c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 t="str">
        <f t="shared" si="4"/>
        <v/>
      </c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E977" s="39"/>
      <c r="AG977" s="39"/>
      <c r="AH977" s="39" t="str">
        <f t="shared" si="5"/>
        <v/>
      </c>
      <c r="AI977" s="39" t="str">
        <f t="shared" si="6"/>
        <v/>
      </c>
      <c r="AM977" s="39" t="str">
        <f t="array" ref="AM977">IF(C977="","",IFERROR(XLOOKUP(C977,Orders!$A:$A,Orders!$E:$E,""),""))</f>
        <v/>
      </c>
      <c r="AN977" s="39" t="str">
        <f t="shared" si="7"/>
        <v/>
      </c>
      <c r="AO977" s="39" t="str">
        <f t="shared" si="8"/>
        <v/>
      </c>
      <c r="AP977" s="39" t="str">
        <f t="shared" si="9"/>
        <v/>
      </c>
      <c r="AQ977" s="39" t="str">
        <f t="shared" si="10"/>
        <v/>
      </c>
      <c r="AR977" s="39" t="str">
        <f t="shared" si="11"/>
        <v/>
      </c>
      <c r="AS977" s="39" t="str">
        <f t="shared" si="12"/>
        <v/>
      </c>
      <c r="AT977" s="39" t="str">
        <f t="shared" si="13"/>
        <v/>
      </c>
      <c r="AU977" s="39" t="str">
        <f t="shared" si="14"/>
        <v/>
      </c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 t="str">
        <f t="shared" si="4"/>
        <v/>
      </c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E978" s="39"/>
      <c r="AG978" s="39"/>
      <c r="AH978" s="39" t="str">
        <f t="shared" si="5"/>
        <v/>
      </c>
      <c r="AI978" s="39" t="str">
        <f t="shared" si="6"/>
        <v/>
      </c>
      <c r="AM978" s="39" t="str">
        <f t="array" ref="AM978">IF(C978="","",IFERROR(XLOOKUP(C978,Orders!$A:$A,Orders!$E:$E,""),""))</f>
        <v/>
      </c>
      <c r="AN978" s="39" t="str">
        <f t="shared" si="7"/>
        <v/>
      </c>
      <c r="AO978" s="39" t="str">
        <f t="shared" si="8"/>
        <v/>
      </c>
      <c r="AP978" s="39" t="str">
        <f t="shared" si="9"/>
        <v/>
      </c>
      <c r="AQ978" s="39" t="str">
        <f t="shared" si="10"/>
        <v/>
      </c>
      <c r="AR978" s="39" t="str">
        <f t="shared" si="11"/>
        <v/>
      </c>
      <c r="AS978" s="39" t="str">
        <f t="shared" si="12"/>
        <v/>
      </c>
      <c r="AT978" s="39" t="str">
        <f t="shared" si="13"/>
        <v/>
      </c>
      <c r="AU978" s="39" t="str">
        <f t="shared" si="14"/>
        <v/>
      </c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 t="str">
        <f t="shared" si="4"/>
        <v/>
      </c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E979" s="39"/>
      <c r="AG979" s="39"/>
      <c r="AH979" s="39" t="str">
        <f t="shared" si="5"/>
        <v/>
      </c>
      <c r="AI979" s="39" t="str">
        <f t="shared" si="6"/>
        <v/>
      </c>
      <c r="AM979" s="39" t="str">
        <f t="array" ref="AM979">IF(C979="","",IFERROR(XLOOKUP(C979,Orders!$A:$A,Orders!$E:$E,""),""))</f>
        <v/>
      </c>
      <c r="AN979" s="39" t="str">
        <f t="shared" si="7"/>
        <v/>
      </c>
      <c r="AO979" s="39" t="str">
        <f t="shared" si="8"/>
        <v/>
      </c>
      <c r="AP979" s="39" t="str">
        <f t="shared" si="9"/>
        <v/>
      </c>
      <c r="AQ979" s="39" t="str">
        <f t="shared" si="10"/>
        <v/>
      </c>
      <c r="AR979" s="39" t="str">
        <f t="shared" si="11"/>
        <v/>
      </c>
      <c r="AS979" s="39" t="str">
        <f t="shared" si="12"/>
        <v/>
      </c>
      <c r="AT979" s="39" t="str">
        <f t="shared" si="13"/>
        <v/>
      </c>
      <c r="AU979" s="39" t="str">
        <f t="shared" si="14"/>
        <v/>
      </c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 t="str">
        <f t="shared" si="4"/>
        <v/>
      </c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E980" s="39"/>
      <c r="AG980" s="39"/>
      <c r="AH980" s="39" t="str">
        <f t="shared" si="5"/>
        <v/>
      </c>
      <c r="AI980" s="39" t="str">
        <f t="shared" si="6"/>
        <v/>
      </c>
      <c r="AM980" s="39" t="str">
        <f t="array" ref="AM980">IF(C980="","",IFERROR(XLOOKUP(C980,Orders!$A:$A,Orders!$E:$E,""),""))</f>
        <v/>
      </c>
      <c r="AN980" s="39" t="str">
        <f t="shared" si="7"/>
        <v/>
      </c>
      <c r="AO980" s="39" t="str">
        <f t="shared" si="8"/>
        <v/>
      </c>
      <c r="AP980" s="39" t="str">
        <f t="shared" si="9"/>
        <v/>
      </c>
      <c r="AQ980" s="39" t="str">
        <f t="shared" si="10"/>
        <v/>
      </c>
      <c r="AR980" s="39" t="str">
        <f t="shared" si="11"/>
        <v/>
      </c>
      <c r="AS980" s="39" t="str">
        <f t="shared" si="12"/>
        <v/>
      </c>
      <c r="AT980" s="39" t="str">
        <f t="shared" si="13"/>
        <v/>
      </c>
      <c r="AU980" s="39" t="str">
        <f t="shared" si="14"/>
        <v/>
      </c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 t="str">
        <f t="shared" si="4"/>
        <v/>
      </c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E981" s="39"/>
      <c r="AG981" s="39"/>
      <c r="AH981" s="39" t="str">
        <f t="shared" si="5"/>
        <v/>
      </c>
      <c r="AI981" s="39" t="str">
        <f t="shared" si="6"/>
        <v/>
      </c>
      <c r="AM981" s="39" t="str">
        <f t="array" ref="AM981">IF(C981="","",IFERROR(XLOOKUP(C981,Orders!$A:$A,Orders!$E:$E,""),""))</f>
        <v/>
      </c>
      <c r="AN981" s="39" t="str">
        <f t="shared" si="7"/>
        <v/>
      </c>
      <c r="AO981" s="39" t="str">
        <f t="shared" si="8"/>
        <v/>
      </c>
      <c r="AP981" s="39" t="str">
        <f t="shared" si="9"/>
        <v/>
      </c>
      <c r="AQ981" s="39" t="str">
        <f t="shared" si="10"/>
        <v/>
      </c>
      <c r="AR981" s="39" t="str">
        <f t="shared" si="11"/>
        <v/>
      </c>
      <c r="AS981" s="39" t="str">
        <f t="shared" si="12"/>
        <v/>
      </c>
      <c r="AT981" s="39" t="str">
        <f t="shared" si="13"/>
        <v/>
      </c>
      <c r="AU981" s="39" t="str">
        <f t="shared" si="14"/>
        <v/>
      </c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 t="str">
        <f t="shared" si="4"/>
        <v/>
      </c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E982" s="39"/>
      <c r="AG982" s="39"/>
      <c r="AH982" s="39" t="str">
        <f t="shared" si="5"/>
        <v/>
      </c>
      <c r="AI982" s="39" t="str">
        <f t="shared" si="6"/>
        <v/>
      </c>
      <c r="AM982" s="39" t="str">
        <f t="array" ref="AM982">IF(C982="","",IFERROR(XLOOKUP(C982,Orders!$A:$A,Orders!$E:$E,""),""))</f>
        <v/>
      </c>
      <c r="AN982" s="39" t="str">
        <f t="shared" si="7"/>
        <v/>
      </c>
      <c r="AO982" s="39" t="str">
        <f t="shared" si="8"/>
        <v/>
      </c>
      <c r="AP982" s="39" t="str">
        <f t="shared" si="9"/>
        <v/>
      </c>
      <c r="AQ982" s="39" t="str">
        <f t="shared" si="10"/>
        <v/>
      </c>
      <c r="AR982" s="39" t="str">
        <f t="shared" si="11"/>
        <v/>
      </c>
      <c r="AS982" s="39" t="str">
        <f t="shared" si="12"/>
        <v/>
      </c>
      <c r="AT982" s="39" t="str">
        <f t="shared" si="13"/>
        <v/>
      </c>
      <c r="AU982" s="39" t="str">
        <f t="shared" si="14"/>
        <v/>
      </c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 t="str">
        <f t="shared" si="4"/>
        <v/>
      </c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E983" s="39"/>
      <c r="AG983" s="39"/>
      <c r="AH983" s="39" t="str">
        <f t="shared" si="5"/>
        <v/>
      </c>
      <c r="AI983" s="39" t="str">
        <f t="shared" si="6"/>
        <v/>
      </c>
      <c r="AM983" s="39" t="str">
        <f t="array" ref="AM983">IF(C983="","",IFERROR(XLOOKUP(C983,Orders!$A:$A,Orders!$E:$E,""),""))</f>
        <v/>
      </c>
      <c r="AN983" s="39" t="str">
        <f t="shared" si="7"/>
        <v/>
      </c>
      <c r="AO983" s="39" t="str">
        <f t="shared" si="8"/>
        <v/>
      </c>
      <c r="AP983" s="39" t="str">
        <f t="shared" si="9"/>
        <v/>
      </c>
      <c r="AQ983" s="39" t="str">
        <f t="shared" si="10"/>
        <v/>
      </c>
      <c r="AR983" s="39" t="str">
        <f t="shared" si="11"/>
        <v/>
      </c>
      <c r="AS983" s="39" t="str">
        <f t="shared" si="12"/>
        <v/>
      </c>
      <c r="AT983" s="39" t="str">
        <f t="shared" si="13"/>
        <v/>
      </c>
      <c r="AU983" s="39" t="str">
        <f t="shared" si="14"/>
        <v/>
      </c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 t="str">
        <f t="shared" si="4"/>
        <v/>
      </c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E984" s="39"/>
      <c r="AG984" s="39"/>
      <c r="AH984" s="39" t="str">
        <f t="shared" si="5"/>
        <v/>
      </c>
      <c r="AI984" s="39" t="str">
        <f t="shared" si="6"/>
        <v/>
      </c>
      <c r="AM984" s="39" t="str">
        <f t="array" ref="AM984">IF(C984="","",IFERROR(XLOOKUP(C984,Orders!$A:$A,Orders!$E:$E,""),""))</f>
        <v/>
      </c>
      <c r="AN984" s="39" t="str">
        <f t="shared" si="7"/>
        <v/>
      </c>
      <c r="AO984" s="39" t="str">
        <f t="shared" si="8"/>
        <v/>
      </c>
      <c r="AP984" s="39" t="str">
        <f t="shared" si="9"/>
        <v/>
      </c>
      <c r="AQ984" s="39" t="str">
        <f t="shared" si="10"/>
        <v/>
      </c>
      <c r="AR984" s="39" t="str">
        <f t="shared" si="11"/>
        <v/>
      </c>
      <c r="AS984" s="39" t="str">
        <f t="shared" si="12"/>
        <v/>
      </c>
      <c r="AT984" s="39" t="str">
        <f t="shared" si="13"/>
        <v/>
      </c>
      <c r="AU984" s="39" t="str">
        <f t="shared" si="14"/>
        <v/>
      </c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 t="str">
        <f t="shared" si="4"/>
        <v/>
      </c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E985" s="39"/>
      <c r="AG985" s="39"/>
      <c r="AH985" s="39" t="str">
        <f t="shared" si="5"/>
        <v/>
      </c>
      <c r="AI985" s="39" t="str">
        <f t="shared" si="6"/>
        <v/>
      </c>
      <c r="AM985" s="39" t="str">
        <f t="array" ref="AM985">IF(C985="","",IFERROR(XLOOKUP(C985,Orders!$A:$A,Orders!$E:$E,""),""))</f>
        <v/>
      </c>
      <c r="AN985" s="39" t="str">
        <f t="shared" si="7"/>
        <v/>
      </c>
      <c r="AO985" s="39" t="str">
        <f t="shared" si="8"/>
        <v/>
      </c>
      <c r="AP985" s="39" t="str">
        <f t="shared" si="9"/>
        <v/>
      </c>
      <c r="AQ985" s="39" t="str">
        <f t="shared" si="10"/>
        <v/>
      </c>
      <c r="AR985" s="39" t="str">
        <f t="shared" si="11"/>
        <v/>
      </c>
      <c r="AS985" s="39" t="str">
        <f t="shared" si="12"/>
        <v/>
      </c>
      <c r="AT985" s="39" t="str">
        <f t="shared" si="13"/>
        <v/>
      </c>
      <c r="AU985" s="39" t="str">
        <f t="shared" si="14"/>
        <v/>
      </c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 t="str">
        <f t="shared" si="4"/>
        <v/>
      </c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E986" s="39"/>
      <c r="AG986" s="39"/>
      <c r="AH986" s="39" t="str">
        <f t="shared" si="5"/>
        <v/>
      </c>
      <c r="AI986" s="39" t="str">
        <f t="shared" si="6"/>
        <v/>
      </c>
      <c r="AM986" s="39" t="str">
        <f t="array" ref="AM986">IF(C986="","",IFERROR(XLOOKUP(C986,Orders!$A:$A,Orders!$E:$E,""),""))</f>
        <v/>
      </c>
      <c r="AN986" s="39" t="str">
        <f t="shared" si="7"/>
        <v/>
      </c>
      <c r="AO986" s="39" t="str">
        <f t="shared" si="8"/>
        <v/>
      </c>
      <c r="AP986" s="39" t="str">
        <f t="shared" si="9"/>
        <v/>
      </c>
      <c r="AQ986" s="39" t="str">
        <f t="shared" si="10"/>
        <v/>
      </c>
      <c r="AR986" s="39" t="str">
        <f t="shared" si="11"/>
        <v/>
      </c>
      <c r="AS986" s="39" t="str">
        <f t="shared" si="12"/>
        <v/>
      </c>
      <c r="AT986" s="39" t="str">
        <f t="shared" si="13"/>
        <v/>
      </c>
      <c r="AU986" s="39" t="str">
        <f t="shared" si="14"/>
        <v/>
      </c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 t="str">
        <f t="shared" si="4"/>
        <v/>
      </c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E987" s="39"/>
      <c r="AG987" s="39"/>
      <c r="AH987" s="39" t="str">
        <f t="shared" si="5"/>
        <v/>
      </c>
      <c r="AI987" s="39" t="str">
        <f t="shared" si="6"/>
        <v/>
      </c>
      <c r="AM987" s="39" t="str">
        <f t="array" ref="AM987">IF(C987="","",IFERROR(XLOOKUP(C987,Orders!$A:$A,Orders!$E:$E,""),""))</f>
        <v/>
      </c>
      <c r="AN987" s="39" t="str">
        <f t="shared" si="7"/>
        <v/>
      </c>
      <c r="AO987" s="39" t="str">
        <f t="shared" si="8"/>
        <v/>
      </c>
      <c r="AP987" s="39" t="str">
        <f t="shared" si="9"/>
        <v/>
      </c>
      <c r="AQ987" s="39" t="str">
        <f t="shared" si="10"/>
        <v/>
      </c>
      <c r="AR987" s="39" t="str">
        <f t="shared" si="11"/>
        <v/>
      </c>
      <c r="AS987" s="39" t="str">
        <f t="shared" si="12"/>
        <v/>
      </c>
      <c r="AT987" s="39" t="str">
        <f t="shared" si="13"/>
        <v/>
      </c>
      <c r="AU987" s="39" t="str">
        <f t="shared" si="14"/>
        <v/>
      </c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 t="str">
        <f t="shared" si="4"/>
        <v/>
      </c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E988" s="39"/>
      <c r="AG988" s="39"/>
      <c r="AH988" s="39" t="str">
        <f t="shared" si="5"/>
        <v/>
      </c>
      <c r="AI988" s="39" t="str">
        <f t="shared" si="6"/>
        <v/>
      </c>
      <c r="AM988" s="39" t="str">
        <f t="array" ref="AM988">IF(C988="","",IFERROR(XLOOKUP(C988,Orders!$A:$A,Orders!$E:$E,""),""))</f>
        <v/>
      </c>
      <c r="AN988" s="39" t="str">
        <f t="shared" si="7"/>
        <v/>
      </c>
      <c r="AO988" s="39" t="str">
        <f t="shared" si="8"/>
        <v/>
      </c>
      <c r="AP988" s="39" t="str">
        <f t="shared" si="9"/>
        <v/>
      </c>
      <c r="AQ988" s="39" t="str">
        <f t="shared" si="10"/>
        <v/>
      </c>
      <c r="AR988" s="39" t="str">
        <f t="shared" si="11"/>
        <v/>
      </c>
      <c r="AS988" s="39" t="str">
        <f t="shared" si="12"/>
        <v/>
      </c>
      <c r="AT988" s="39" t="str">
        <f t="shared" si="13"/>
        <v/>
      </c>
      <c r="AU988" s="39" t="str">
        <f t="shared" si="14"/>
        <v/>
      </c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 t="str">
        <f t="shared" si="4"/>
        <v/>
      </c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E989" s="39"/>
      <c r="AG989" s="39"/>
      <c r="AH989" s="39" t="str">
        <f t="shared" si="5"/>
        <v/>
      </c>
      <c r="AI989" s="39" t="str">
        <f t="shared" si="6"/>
        <v/>
      </c>
      <c r="AM989" s="39" t="str">
        <f t="array" ref="AM989">IF(C989="","",IFERROR(XLOOKUP(C989,Orders!$A:$A,Orders!$E:$E,""),""))</f>
        <v/>
      </c>
      <c r="AN989" s="39" t="str">
        <f t="shared" si="7"/>
        <v/>
      </c>
      <c r="AO989" s="39" t="str">
        <f t="shared" si="8"/>
        <v/>
      </c>
      <c r="AP989" s="39" t="str">
        <f t="shared" si="9"/>
        <v/>
      </c>
      <c r="AQ989" s="39" t="str">
        <f t="shared" si="10"/>
        <v/>
      </c>
      <c r="AR989" s="39" t="str">
        <f t="shared" si="11"/>
        <v/>
      </c>
      <c r="AS989" s="39" t="str">
        <f t="shared" si="12"/>
        <v/>
      </c>
      <c r="AT989" s="39" t="str">
        <f t="shared" si="13"/>
        <v/>
      </c>
      <c r="AU989" s="39" t="str">
        <f t="shared" si="14"/>
        <v/>
      </c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 t="str">
        <f t="shared" si="4"/>
        <v/>
      </c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E990" s="39"/>
      <c r="AG990" s="39"/>
      <c r="AH990" s="39" t="str">
        <f t="shared" si="5"/>
        <v/>
      </c>
      <c r="AI990" s="39" t="str">
        <f t="shared" si="6"/>
        <v/>
      </c>
      <c r="AM990" s="39" t="str">
        <f t="array" ref="AM990">IF(C990="","",IFERROR(XLOOKUP(C990,Orders!$A:$A,Orders!$E:$E,""),""))</f>
        <v/>
      </c>
      <c r="AN990" s="39" t="str">
        <f t="shared" si="7"/>
        <v/>
      </c>
      <c r="AO990" s="39" t="str">
        <f t="shared" si="8"/>
        <v/>
      </c>
      <c r="AP990" s="39" t="str">
        <f t="shared" si="9"/>
        <v/>
      </c>
      <c r="AQ990" s="39" t="str">
        <f t="shared" si="10"/>
        <v/>
      </c>
      <c r="AR990" s="39" t="str">
        <f t="shared" si="11"/>
        <v/>
      </c>
      <c r="AS990" s="39" t="str">
        <f t="shared" si="12"/>
        <v/>
      </c>
      <c r="AT990" s="39" t="str">
        <f t="shared" si="13"/>
        <v/>
      </c>
      <c r="AU990" s="39" t="str">
        <f t="shared" si="14"/>
        <v/>
      </c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 t="str">
        <f t="shared" si="4"/>
        <v/>
      </c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E991" s="39"/>
      <c r="AG991" s="39"/>
      <c r="AH991" s="39" t="str">
        <f t="shared" si="5"/>
        <v/>
      </c>
      <c r="AI991" s="39" t="str">
        <f t="shared" si="6"/>
        <v/>
      </c>
      <c r="AM991" s="39" t="str">
        <f t="array" ref="AM991">IF(C991="","",IFERROR(XLOOKUP(C991,Orders!$A:$A,Orders!$E:$E,""),""))</f>
        <v/>
      </c>
      <c r="AN991" s="39" t="str">
        <f t="shared" si="7"/>
        <v/>
      </c>
      <c r="AO991" s="39" t="str">
        <f t="shared" si="8"/>
        <v/>
      </c>
      <c r="AP991" s="39" t="str">
        <f t="shared" si="9"/>
        <v/>
      </c>
      <c r="AQ991" s="39" t="str">
        <f t="shared" si="10"/>
        <v/>
      </c>
      <c r="AR991" s="39" t="str">
        <f t="shared" si="11"/>
        <v/>
      </c>
      <c r="AS991" s="39" t="str">
        <f t="shared" si="12"/>
        <v/>
      </c>
      <c r="AT991" s="39" t="str">
        <f t="shared" si="13"/>
        <v/>
      </c>
      <c r="AU991" s="39" t="str">
        <f t="shared" si="14"/>
        <v/>
      </c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 t="str">
        <f t="shared" si="4"/>
        <v/>
      </c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E992" s="39"/>
      <c r="AG992" s="39"/>
      <c r="AH992" s="39" t="str">
        <f t="shared" si="5"/>
        <v/>
      </c>
      <c r="AI992" s="39" t="str">
        <f t="shared" si="6"/>
        <v/>
      </c>
      <c r="AM992" s="39" t="str">
        <f t="array" ref="AM992">IF(C992="","",IFERROR(XLOOKUP(C992,Orders!$A:$A,Orders!$E:$E,""),""))</f>
        <v/>
      </c>
      <c r="AN992" s="39" t="str">
        <f t="shared" si="7"/>
        <v/>
      </c>
      <c r="AO992" s="39" t="str">
        <f t="shared" si="8"/>
        <v/>
      </c>
      <c r="AP992" s="39" t="str">
        <f t="shared" si="9"/>
        <v/>
      </c>
      <c r="AQ992" s="39" t="str">
        <f t="shared" si="10"/>
        <v/>
      </c>
      <c r="AR992" s="39" t="str">
        <f t="shared" si="11"/>
        <v/>
      </c>
      <c r="AS992" s="39" t="str">
        <f t="shared" si="12"/>
        <v/>
      </c>
      <c r="AT992" s="39" t="str">
        <f t="shared" si="13"/>
        <v/>
      </c>
      <c r="AU992" s="39" t="str">
        <f t="shared" si="14"/>
        <v/>
      </c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 t="str">
        <f t="shared" si="4"/>
        <v/>
      </c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E993" s="39"/>
      <c r="AG993" s="39"/>
      <c r="AH993" s="39" t="str">
        <f t="shared" si="5"/>
        <v/>
      </c>
      <c r="AI993" s="39" t="str">
        <f t="shared" si="6"/>
        <v/>
      </c>
      <c r="AM993" s="39" t="str">
        <f t="array" ref="AM993">IF(C993="","",IFERROR(XLOOKUP(C993,Orders!$A:$A,Orders!$E:$E,""),""))</f>
        <v/>
      </c>
      <c r="AN993" s="39" t="str">
        <f t="shared" si="7"/>
        <v/>
      </c>
      <c r="AO993" s="39" t="str">
        <f t="shared" si="8"/>
        <v/>
      </c>
      <c r="AP993" s="39" t="str">
        <f t="shared" si="9"/>
        <v/>
      </c>
      <c r="AQ993" s="39" t="str">
        <f t="shared" si="10"/>
        <v/>
      </c>
      <c r="AR993" s="39" t="str">
        <f t="shared" si="11"/>
        <v/>
      </c>
      <c r="AS993" s="39" t="str">
        <f t="shared" si="12"/>
        <v/>
      </c>
      <c r="AT993" s="39" t="str">
        <f t="shared" si="13"/>
        <v/>
      </c>
      <c r="AU993" s="39" t="str">
        <f t="shared" si="14"/>
        <v/>
      </c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 t="str">
        <f t="shared" si="4"/>
        <v/>
      </c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E994" s="39"/>
      <c r="AG994" s="39"/>
      <c r="AH994" s="39" t="str">
        <f t="shared" si="5"/>
        <v/>
      </c>
      <c r="AI994" s="39" t="str">
        <f t="shared" si="6"/>
        <v/>
      </c>
      <c r="AM994" s="39" t="str">
        <f t="array" ref="AM994">IF(C994="","",IFERROR(XLOOKUP(C994,Orders!$A:$A,Orders!$E:$E,""),""))</f>
        <v/>
      </c>
      <c r="AN994" s="39" t="str">
        <f t="shared" si="7"/>
        <v/>
      </c>
      <c r="AO994" s="39" t="str">
        <f t="shared" si="8"/>
        <v/>
      </c>
      <c r="AP994" s="39" t="str">
        <f t="shared" si="9"/>
        <v/>
      </c>
      <c r="AQ994" s="39" t="str">
        <f t="shared" si="10"/>
        <v/>
      </c>
      <c r="AR994" s="39" t="str">
        <f t="shared" si="11"/>
        <v/>
      </c>
      <c r="AS994" s="39" t="str">
        <f t="shared" si="12"/>
        <v/>
      </c>
      <c r="AT994" s="39" t="str">
        <f t="shared" si="13"/>
        <v/>
      </c>
      <c r="AU994" s="39" t="str">
        <f t="shared" si="14"/>
        <v/>
      </c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 t="str">
        <f t="shared" si="4"/>
        <v/>
      </c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E995" s="39"/>
      <c r="AG995" s="39"/>
      <c r="AH995" s="39" t="str">
        <f t="shared" si="5"/>
        <v/>
      </c>
      <c r="AI995" s="39" t="str">
        <f t="shared" si="6"/>
        <v/>
      </c>
      <c r="AM995" s="39" t="str">
        <f t="array" ref="AM995">IF(C995="","",IFERROR(XLOOKUP(C995,Orders!$A:$A,Orders!$E:$E,""),""))</f>
        <v/>
      </c>
      <c r="AN995" s="39" t="str">
        <f t="shared" si="7"/>
        <v/>
      </c>
      <c r="AO995" s="39" t="str">
        <f t="shared" si="8"/>
        <v/>
      </c>
      <c r="AP995" s="39" t="str">
        <f t="shared" si="9"/>
        <v/>
      </c>
      <c r="AQ995" s="39" t="str">
        <f t="shared" si="10"/>
        <v/>
      </c>
      <c r="AR995" s="39" t="str">
        <f t="shared" si="11"/>
        <v/>
      </c>
      <c r="AS995" s="39" t="str">
        <f t="shared" si="12"/>
        <v/>
      </c>
      <c r="AT995" s="39" t="str">
        <f t="shared" si="13"/>
        <v/>
      </c>
      <c r="AU995" s="39" t="str">
        <f t="shared" si="14"/>
        <v/>
      </c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 t="str">
        <f t="shared" si="4"/>
        <v/>
      </c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E996" s="39"/>
      <c r="AG996" s="39"/>
      <c r="AH996" s="39" t="str">
        <f t="shared" si="5"/>
        <v/>
      </c>
      <c r="AI996" s="39" t="str">
        <f t="shared" si="6"/>
        <v/>
      </c>
      <c r="AM996" s="39" t="str">
        <f t="array" ref="AM996">IF(C996="","",IFERROR(XLOOKUP(C996,Orders!$A:$A,Orders!$E:$E,""),""))</f>
        <v/>
      </c>
      <c r="AN996" s="39" t="str">
        <f t="shared" si="7"/>
        <v/>
      </c>
      <c r="AO996" s="39" t="str">
        <f t="shared" si="8"/>
        <v/>
      </c>
      <c r="AP996" s="39" t="str">
        <f t="shared" si="9"/>
        <v/>
      </c>
      <c r="AQ996" s="39" t="str">
        <f t="shared" si="10"/>
        <v/>
      </c>
      <c r="AR996" s="39" t="str">
        <f t="shared" si="11"/>
        <v/>
      </c>
      <c r="AS996" s="39" t="str">
        <f t="shared" si="12"/>
        <v/>
      </c>
      <c r="AT996" s="39" t="str">
        <f t="shared" si="13"/>
        <v/>
      </c>
      <c r="AU996" s="39" t="str">
        <f t="shared" si="14"/>
        <v/>
      </c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 t="str">
        <f t="shared" si="4"/>
        <v/>
      </c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E997" s="39"/>
      <c r="AG997" s="39"/>
      <c r="AH997" s="39" t="str">
        <f t="shared" si="5"/>
        <v/>
      </c>
      <c r="AI997" s="39" t="str">
        <f t="shared" si="6"/>
        <v/>
      </c>
      <c r="AM997" s="39" t="str">
        <f t="array" ref="AM997">IF(C997="","",IFERROR(XLOOKUP(C997,Orders!$A:$A,Orders!$E:$E,""),""))</f>
        <v/>
      </c>
      <c r="AN997" s="39" t="str">
        <f t="shared" si="7"/>
        <v/>
      </c>
      <c r="AO997" s="39" t="str">
        <f t="shared" si="8"/>
        <v/>
      </c>
      <c r="AP997" s="39" t="str">
        <f t="shared" si="9"/>
        <v/>
      </c>
      <c r="AQ997" s="39" t="str">
        <f t="shared" si="10"/>
        <v/>
      </c>
      <c r="AR997" s="39" t="str">
        <f t="shared" si="11"/>
        <v/>
      </c>
      <c r="AS997" s="39" t="str">
        <f t="shared" si="12"/>
        <v/>
      </c>
      <c r="AT997" s="39" t="str">
        <f t="shared" si="13"/>
        <v/>
      </c>
      <c r="AU997" s="39" t="str">
        <f t="shared" si="14"/>
        <v/>
      </c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 t="str">
        <f t="shared" si="4"/>
        <v/>
      </c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E998" s="39"/>
      <c r="AG998" s="39"/>
      <c r="AH998" s="39" t="str">
        <f t="shared" si="5"/>
        <v/>
      </c>
      <c r="AI998" s="39" t="str">
        <f t="shared" si="6"/>
        <v/>
      </c>
      <c r="AM998" s="39" t="str">
        <f t="array" ref="AM998">IF(C998="","",IFERROR(XLOOKUP(C998,Orders!$A:$A,Orders!$E:$E,""),""))</f>
        <v/>
      </c>
      <c r="AN998" s="39" t="str">
        <f t="shared" si="7"/>
        <v/>
      </c>
      <c r="AO998" s="39" t="str">
        <f t="shared" si="8"/>
        <v/>
      </c>
      <c r="AP998" s="39" t="str">
        <f t="shared" si="9"/>
        <v/>
      </c>
      <c r="AQ998" s="39" t="str">
        <f t="shared" si="10"/>
        <v/>
      </c>
      <c r="AR998" s="39" t="str">
        <f t="shared" si="11"/>
        <v/>
      </c>
      <c r="AS998" s="39" t="str">
        <f t="shared" si="12"/>
        <v/>
      </c>
      <c r="AT998" s="39" t="str">
        <f t="shared" si="13"/>
        <v/>
      </c>
      <c r="AU998" s="39" t="str">
        <f t="shared" si="14"/>
        <v/>
      </c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 t="str">
        <f t="shared" si="4"/>
        <v/>
      </c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E999" s="39"/>
      <c r="AG999" s="39"/>
      <c r="AH999" s="39" t="str">
        <f t="shared" si="5"/>
        <v/>
      </c>
      <c r="AI999" s="39" t="str">
        <f t="shared" si="6"/>
        <v/>
      </c>
      <c r="AM999" s="39" t="str">
        <f t="array" ref="AM999">IF(C999="","",IFERROR(XLOOKUP(C999,Orders!$A:$A,Orders!$E:$E,""),""))</f>
        <v/>
      </c>
      <c r="AN999" s="39" t="str">
        <f t="shared" si="7"/>
        <v/>
      </c>
      <c r="AO999" s="39" t="str">
        <f t="shared" si="8"/>
        <v/>
      </c>
      <c r="AP999" s="39" t="str">
        <f t="shared" si="9"/>
        <v/>
      </c>
      <c r="AQ999" s="39" t="str">
        <f t="shared" si="10"/>
        <v/>
      </c>
      <c r="AR999" s="39" t="str">
        <f t="shared" si="11"/>
        <v/>
      </c>
      <c r="AS999" s="39" t="str">
        <f t="shared" si="12"/>
        <v/>
      </c>
      <c r="AT999" s="39" t="str">
        <f t="shared" si="13"/>
        <v/>
      </c>
      <c r="AU999" s="39" t="str">
        <f t="shared" si="14"/>
        <v/>
      </c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 t="str">
        <f t="shared" si="4"/>
        <v/>
      </c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E1000" s="39"/>
      <c r="AG1000" s="39"/>
      <c r="AH1000" s="39" t="str">
        <f t="shared" si="5"/>
        <v/>
      </c>
      <c r="AI1000" s="39" t="str">
        <f t="shared" si="6"/>
        <v/>
      </c>
      <c r="AM1000" s="39" t="str">
        <f t="array" ref="AM1000">IF(C1000="","",IFERROR(XLOOKUP(C1000,Orders!$A:$A,Orders!$E:$E,""),""))</f>
        <v/>
      </c>
      <c r="AN1000" s="39" t="str">
        <f t="shared" si="7"/>
        <v/>
      </c>
      <c r="AO1000" s="39" t="str">
        <f t="shared" si="8"/>
        <v/>
      </c>
      <c r="AP1000" s="39" t="str">
        <f t="shared" si="9"/>
        <v/>
      </c>
      <c r="AQ1000" s="39" t="str">
        <f t="shared" si="10"/>
        <v/>
      </c>
      <c r="AR1000" s="39" t="str">
        <f t="shared" si="11"/>
        <v/>
      </c>
      <c r="AS1000" s="39" t="str">
        <f t="shared" si="12"/>
        <v/>
      </c>
      <c r="AT1000" s="39" t="str">
        <f t="shared" si="13"/>
        <v/>
      </c>
      <c r="AU1000" s="39" t="str">
        <f t="shared" si="14"/>
        <v/>
      </c>
    </row>
  </sheetData>
  <autoFilter ref="$A$5:$N$305"/>
  <dataValidations>
    <dataValidation type="list" allowBlank="1" sqref="E6:E305">
      <formula1>"Active,Completed,Cancelled"</formula1>
    </dataValidation>
    <dataValidation type="list" allowBlank="1" sqref="AC6:AC505 AE6:AE1000">
      <formula1>"Y,N"</formula1>
    </dataValidation>
    <dataValidation type="list" allowBlank="1" sqref="AG6:AG1000">
      <formula1>"Could not finish,No show,Deadline missed,Account issue,Other"</formula1>
    </dataValidation>
    <dataValidation type="decimal" allowBlank="1" sqref="N6:N1000">
      <formula1>1.0</formula1>
      <formula2>5.0</formula2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6.0"/>
    <col customWidth="1" min="2" max="2" width="10.0"/>
    <col customWidth="1" min="3" max="3" width="12.0"/>
    <col customWidth="1" min="4" max="4" width="20.0"/>
    <col customWidth="1" min="5" max="5" width="14.0"/>
    <col customWidth="1" min="6" max="6" width="18.0"/>
    <col customWidth="1" min="7" max="7" width="8.0"/>
    <col customWidth="1" min="8" max="9" width="10.0"/>
    <col customWidth="1" min="10" max="10" width="20.0"/>
    <col customWidth="1" min="11" max="12" width="10.0"/>
    <col customWidth="1" min="13" max="14" width="11.0"/>
    <col customWidth="1" min="15" max="15" width="15.0"/>
    <col customWidth="1" min="16" max="16" width="10.0"/>
    <col customWidth="1" min="17" max="18" width="12.0"/>
    <col customWidth="1" min="19" max="19" width="20.0"/>
    <col customWidth="1" min="20" max="21" width="10.0"/>
    <col customWidth="1" min="22" max="22" width="9.0"/>
    <col customWidth="1" min="23" max="23" width="12.0"/>
    <col customWidth="1" min="24" max="24" width="10.0"/>
    <col customWidth="1" min="25" max="25" width="12.0"/>
    <col customWidth="1" min="26" max="26" width="9.0"/>
    <col customWidth="1" min="27" max="27" width="10.0"/>
    <col customWidth="1" min="28" max="28" width="14.0"/>
    <col customWidth="1" min="29" max="29" width="13.0"/>
    <col customWidth="1" min="30" max="30" width="10.0"/>
    <col customWidth="1" min="31" max="36" width="8.71"/>
  </cols>
  <sheetData>
    <row r="1">
      <c r="A1" s="22"/>
      <c r="B1" s="37" t="s">
        <v>334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40" t="s">
        <v>335</v>
      </c>
    </row>
    <row r="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</row>
    <row r="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</row>
    <row r="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</row>
    <row r="5" ht="21.75" customHeight="1">
      <c r="A5" s="45" t="s">
        <v>335</v>
      </c>
      <c r="B5" s="38" t="s">
        <v>280</v>
      </c>
      <c r="C5" s="38" t="s">
        <v>281</v>
      </c>
      <c r="D5" s="38" t="s">
        <v>336</v>
      </c>
      <c r="E5" s="38" t="s">
        <v>262</v>
      </c>
      <c r="F5" s="38" t="s">
        <v>307</v>
      </c>
      <c r="G5" s="38" t="s">
        <v>309</v>
      </c>
      <c r="H5" s="38" t="s">
        <v>337</v>
      </c>
      <c r="I5" s="38" t="s">
        <v>338</v>
      </c>
      <c r="J5" s="38" t="s">
        <v>282</v>
      </c>
      <c r="K5" s="38" t="s">
        <v>339</v>
      </c>
      <c r="L5" s="38" t="s">
        <v>4</v>
      </c>
      <c r="M5" s="38" t="s">
        <v>96</v>
      </c>
      <c r="N5" s="38" t="s">
        <v>340</v>
      </c>
      <c r="O5" s="38" t="s">
        <v>101</v>
      </c>
      <c r="P5" s="38" t="s">
        <v>341</v>
      </c>
      <c r="Q5" s="38" t="s">
        <v>342</v>
      </c>
      <c r="R5" s="38" t="s">
        <v>343</v>
      </c>
      <c r="S5" s="38" t="s">
        <v>283</v>
      </c>
      <c r="T5" s="38" t="s">
        <v>285</v>
      </c>
      <c r="U5" s="38" t="s">
        <v>7</v>
      </c>
      <c r="V5" s="38" t="s">
        <v>344</v>
      </c>
      <c r="W5" s="38" t="s">
        <v>345</v>
      </c>
      <c r="X5" s="38" t="s">
        <v>346</v>
      </c>
      <c r="Y5" s="38" t="s">
        <v>347</v>
      </c>
      <c r="Z5" s="38" t="s">
        <v>348</v>
      </c>
      <c r="AA5" s="38" t="s">
        <v>349</v>
      </c>
      <c r="AB5" s="38" t="s">
        <v>350</v>
      </c>
      <c r="AC5" s="38" t="s">
        <v>351</v>
      </c>
      <c r="AD5" s="38" t="s">
        <v>352</v>
      </c>
      <c r="AE5" s="38" t="s">
        <v>353</v>
      </c>
      <c r="AF5" s="40" t="s">
        <v>354</v>
      </c>
      <c r="AG5" s="40" t="s">
        <v>355</v>
      </c>
      <c r="AH5" s="40" t="s">
        <v>356</v>
      </c>
      <c r="AI5" s="40" t="s">
        <v>357</v>
      </c>
      <c r="AJ5" s="22"/>
      <c r="AK5" s="39" t="s">
        <v>107</v>
      </c>
      <c r="AL5" s="39" t="s">
        <v>358</v>
      </c>
      <c r="AM5" s="39" t="s">
        <v>359</v>
      </c>
      <c r="AN5" s="39" t="s">
        <v>360</v>
      </c>
      <c r="AO5" s="39" t="s">
        <v>361</v>
      </c>
    </row>
    <row r="6">
      <c r="A6" s="46" t="str">
        <f t="shared" ref="A6:A1000" si="1">IFERROR(IF($AD6="","",IF($AD6=1,"🥇",IF($AD6=2,"🥈",IF($AD6=3,"🥉",$AD6)))),"")</f>
        <v/>
      </c>
      <c r="B6" s="40" t="str">
        <f>IF(Bids!$A6="","",Bids!$A6)</f>
        <v>B2001</v>
      </c>
      <c r="C6" s="40" t="str">
        <f>IF(Bids!$B6="","",Bids!$B6)</f>
        <v>O1001</v>
      </c>
      <c r="D6" s="40" t="str">
        <f>IF($C6="","",IFERROR(VLOOKUP($C6,Orders!$A:$J,9,FALSE),""))</f>
        <v/>
      </c>
      <c r="E6" s="40" t="str">
        <f>IF($C6="","",IFERROR(VLOOKUP($C6,Orders!$A:$J,3,FALSE),""))</f>
        <v/>
      </c>
      <c r="F6" s="40" t="str">
        <f>IF($C6="","",IFERROR(VLOOKUP($C6,Orders!$A:$J,4,FALSE),""))</f>
        <v/>
      </c>
      <c r="G6" s="40" t="str">
        <f>IF($C6="","",IFERROR(VLOOKUP($C6,Orders!$A:$J,5,FALSE),""))</f>
        <v/>
      </c>
      <c r="H6" s="40" t="str">
        <f>IF($C6="","",IFERROR(VLOOKUP($C6,Orders!$A:$J,6,FALSE),""))</f>
        <v/>
      </c>
      <c r="I6" s="40" t="str">
        <f>IF($C6="","",IFERROR(VLOOKUP($C6,Orders!$A:$J,7,FALSE),""))</f>
        <v/>
      </c>
      <c r="J6" s="40" t="str">
        <f>IF(Bids!$C6="","",Bids!$C6)</f>
        <v>GRD-01</v>
      </c>
      <c r="K6" s="40" t="str">
        <f>IF($J6="","",IFERROR(VLOOKUP($J6,Grinders!$A:$N,2,FALSE),""))</f>
        <v>7unds</v>
      </c>
      <c r="L6" s="40" t="str">
        <f>IF($J6="","",IFERROR(VLOOKUP($J6,Grinders!$A:$N,3,FALSE),""))</f>
        <v>Regular</v>
      </c>
      <c r="M6" s="40" t="str">
        <f>IF($J6="","",IFERROR(VLOOKUP($J6,Grinders!$A:$N,4,FALSE),""))</f>
        <v>3</v>
      </c>
      <c r="N6" s="40">
        <f>IF($J6="","",IFERROR(VLOOKUP($J6,Grinders!$A:$N,5,FALSE),""))</f>
        <v>1</v>
      </c>
      <c r="O6" s="40">
        <f t="shared" ref="O6:O1000" si="2">IF(OR($M6="",$M6=0),"",$N6/$M6)</f>
        <v>0.3333333333</v>
      </c>
      <c r="P6" s="40">
        <f>IF($J6="","",IFERROR(VLOOKUP($J6,Grinders!$A:$N,6,FALSE),""))</f>
        <v>0</v>
      </c>
      <c r="Q6" s="40">
        <f>IF($J6="","",IFERROR(VLOOKUP($J6,Grinders!$A:$N,8,FALSE),""))</f>
        <v>-3</v>
      </c>
      <c r="R6" s="40">
        <f>IFERROR(IF($J6="","",IF($L6="Elite",MAX(50,MIN(100,Config!$B$27*MAX(0,MIN(100,(1-IF($O6="",0,$O6))*100)) + Config!$B$28*MAX(0,MIN(100,(1-MIN(1,IF(Config!$B$30=0,1,$P6/Config!$B$30)))*100)) + Config!$B$29*MAX(0,MIN(100,MIN(1,IF($Q6="",0,$Q6)/Config!$B$23)*100)))),MIN(100,Config!$B$27*MAX(0,MIN(100,(1-IF($O6="",0,$O6))*100)) + Config!$B$28*MAX(0,MIN(100,(1-MIN(1,IF(Config!$B$30=0,1,$P6/Config!$B$30)))*100)) + Config!$B$29*MAX(0,MIN(100,MIN(1,IF($Q6="",0,$Q6)/Config!$B$23)*100))))),"")
</f>
        <v>66.66666667</v>
      </c>
      <c r="S6" s="40">
        <f>IF(Bids!$AC6="","",Bids!$AC6)</f>
        <v>350</v>
      </c>
      <c r="T6" s="47">
        <f>IF(Bids!$F6="","",Bids!$F6)</f>
        <v>46075.82986</v>
      </c>
      <c r="U6" s="40" t="str">
        <f t="shared" ref="U6:U1000" si="3">IF(OR($F6="",$S6=""),"",IF($F6=0,"",($F6-$S6)/$F6))</f>
        <v/>
      </c>
      <c r="V6" s="40" t="str">
        <f>IF($U6="","",IF(Config!$B$17=Config!$B$16,IF($U6&gt;=Config!$B$17,100,0),MAX(0,MIN(100,($U6-Config!$B$16)/(Config!$B$17-Config!$B$16)*100))))</f>
        <v/>
      </c>
      <c r="W6" s="48">
        <f>IF($L6="Elite",Config!$B$21,0)</f>
        <v>0</v>
      </c>
      <c r="X6" s="40" t="str">
        <f>IFERROR(IF(OR($T6="",$G6=""),"",IF($T6&gt;$G6,
  MAX(0, 60-(($T6-$G6)*24/Config!$B$19)*60),
  MEDIAN(60, 100, 60+(($G6-$T6)*24/Config!$B$20)*40)
)),"")
</f>
        <v/>
      </c>
      <c r="Y6" s="40" t="str">
        <f>IF($J6="","",IFERROR(VLOOKUP($J6,Grinders!$A:$N,10,FALSE),""))</f>
        <v/>
      </c>
      <c r="Z6" s="40" t="str">
        <f>IF($J6="","",IFERROR(VLOOKUP($J6,Grinders!$A:$N,11,FALSE),""))</f>
        <v/>
      </c>
      <c r="AA6" s="40">
        <f>IF($J6="","",IFERROR(VLOOKUP($J6,Grinders!$A:$N,12,FALSE),""))</f>
        <v>0</v>
      </c>
      <c r="AB6" s="40" t="str">
        <f>IF(OR(AL6=1,AM6=1),0,=IFERROR(IF(OR($C6="",$J6=""),0,IF($D6&lt;&gt;"Open",0,IF(COUNTIFS(GrinderServices!$A:$A,$J6,GrinderServices!$B:$B,$E6,GrinderServices!$D:$D,"Y")=0,0,IF($U6&lt;Config!$B$16,0,IF(Config!$B$18=1,IF($N6&gt;=$M6,0,1),1))))),""))</f>
        <v>#ERROR!</v>
      </c>
      <c r="AC6" s="40" t="str">
        <f>IFERROR((IF(OR(AL6=1,AM6=1),"",=IFERROR((IFERROR(IF($AB6=0,"",((Config!$B$6*$V6 + Config!$B$7*$R6 + Config!$B$8*$W6 + Config!$B$9*$X6 + Config!$B$10*$Y6 + Config!$B$11*$Z6 - Config!$B$12*$AA6)/Config!$B$13)+$AH6+$AI6),""))*(1-IFERROR(VLOOKUP(J6,Grinders!$A:$AB, 28, FALSE),0)),"")))*(1+AO6),"")</f>
        <v>#ERROR!</v>
      </c>
      <c r="AD6" s="40" t="str">
        <f t="shared" ref="AD6:AD1000" si="4">IFERROR(IF($AC6="","",IF(AND($L6="Elite",$AB6=1,$N6&lt;$M6),MIN(1+COUNTIFS($C$6:$C$1000,$C6,$AB$6:$AB$1000,1,$AC$6:$AC$1000,"&gt;"&amp;$AC6),ROUNDUP(COUNTIFS($C$6:$C$1000,$C6,$AB$6:$AB$1000,1)/2,0)),1+COUNTIFS($C$6:$C$1000,$C6,$AB$6:$AB$1000,1,$AC$6:$AC$1000,"&gt;"&amp;$AC6))),"")</f>
        <v/>
      </c>
      <c r="AE6" s="40" t="str">
        <f>IFERROR(__xludf.DUMMYFUNCTION("IF($AC6="""","""",IF($AC6=IFERROR(MAX(FILTER($AC$6:$AC$1000,$C$6:$C$1000=$C6,$AB$6:$AB$1000=1)),),""WINNER"",""""))"),"#ERROR!")</f>
        <v>#ERROR!</v>
      </c>
      <c r="AF6" s="40" t="str">
        <f t="shared" ref="AF6:AF1000" si="5">IFERROR(IF($C6="","",TEXTJOIN(" | ",TRUE,"Profit "&amp;TEXT($U6,"0%")&amp;" (P "&amp;ROUND($V6,0)&amp;")","Fair "&amp;ROUND($R6,0),"Load "&amp;$N6&amp;"/"&amp;$M6,"Recent7d "&amp;$P6,"NewGrinder "&amp;IF($AG6=0,"YES",""),"HighValueElite +"&amp;$AI6,"Bonus +"&amp;ROUND($AH6+$AI6,1),"Tier "&amp;$L6,"Score "&amp;ROUND($AC6,1))),"")</f>
        <v/>
      </c>
      <c r="AG6" s="40">
        <f>IF($J6="","",COUNTIF(Assignments!$B:$B,$J6))</f>
        <v>1</v>
      </c>
      <c r="AH6" s="40">
        <f>IF($J6="","",IF(AND($AG6=0,$N6&lt;$M6),Config!$B$43,0))</f>
        <v>0</v>
      </c>
      <c r="AI6" s="40">
        <f>IF($J6="","",IF(AND($L6="Elite",$F6&gt;=Config!$B$41,$N6&lt;$M6),Config!$B$42,0))</f>
        <v>0</v>
      </c>
      <c r="AJ6" s="22"/>
      <c r="AK6" s="39">
        <f>IFERROR(VLOOKUP(J6,Grinders!$A:$Q,28,FALSE),0)</f>
        <v>0</v>
      </c>
      <c r="AL6" s="39">
        <f>IF(Config!$B$1003&lt;&gt;"Y",0,IF(IFERROR(VLOOKUP(J6,Grinders!$A:$P,27,FALSE),0)&gt;=3,IF(OR(F6&gt;=Config!$B$1001,ISNUMBER(SEARCH(E6,Config!$B$1002))),1,0),0))</f>
        <v>0</v>
      </c>
      <c r="AM6" s="39">
        <f t="array" ref="AM6">IFERROR(IF(INDEX(Bids!$AE:$AE,MATCH(B6,Bids!$A:$A,0))="Pending",1,0),0)</f>
        <v>0</v>
      </c>
      <c r="AN6" s="39">
        <f t="array" ref="AN6">IF(C6="","",IFERROR(XLOOKUP(C6,Assignments!$C:$C,Assignments!$AU:$AU,0),0))</f>
        <v>0</v>
      </c>
      <c r="AO6" s="39">
        <f>IF(AND(Config!$B$1006="Y",AN6=1),Config!$B$1007,0)</f>
        <v>0</v>
      </c>
    </row>
    <row r="7">
      <c r="A7" s="46" t="str">
        <f t="shared" si="1"/>
        <v/>
      </c>
      <c r="B7" s="40" t="str">
        <f>IF(Bids!$A7="","",Bids!$A7)</f>
        <v>B2002</v>
      </c>
      <c r="C7" s="40" t="str">
        <f>IF(Bids!$B7="","",Bids!$B7)</f>
        <v>O1001</v>
      </c>
      <c r="D7" s="40" t="str">
        <f>IF($C7="","",IFERROR(VLOOKUP($C7,Orders!$A:$J,9,FALSE),""))</f>
        <v/>
      </c>
      <c r="E7" s="40" t="str">
        <f>IF($C7="","",IFERROR(VLOOKUP($C7,Orders!$A:$J,3,FALSE),""))</f>
        <v/>
      </c>
      <c r="F7" s="40" t="str">
        <f>IF($C7="","",IFERROR(VLOOKUP($C7,Orders!$A:$J,4,FALSE),""))</f>
        <v/>
      </c>
      <c r="G7" s="40" t="str">
        <f>IF($C7="","",IFERROR(VLOOKUP($C7,Orders!$A:$J,5,FALSE),""))</f>
        <v/>
      </c>
      <c r="H7" s="40" t="str">
        <f>IF($C7="","",IFERROR(VLOOKUP($C7,Orders!$A:$J,6,FALSE),""))</f>
        <v/>
      </c>
      <c r="I7" s="40" t="str">
        <f>IF($C7="","",IFERROR(VLOOKUP($C7,Orders!$A:$J,7,FALSE),""))</f>
        <v/>
      </c>
      <c r="J7" s="40" t="str">
        <f>IF(Bids!$C7="","",Bids!$C7)</f>
        <v>G002</v>
      </c>
      <c r="K7" s="40" t="str">
        <f>IF($J7="","",IFERROR(VLOOKUP($J7,Grinders!$A:$N,2,FALSE),""))</f>
        <v/>
      </c>
      <c r="L7" s="40" t="str">
        <f>IF($J7="","",IFERROR(VLOOKUP($J7,Grinders!$A:$N,3,FALSE),""))</f>
        <v/>
      </c>
      <c r="M7" s="40" t="str">
        <f>IF($J7="","",IFERROR(VLOOKUP($J7,Grinders!$A:$N,4,FALSE),""))</f>
        <v/>
      </c>
      <c r="N7" s="40" t="str">
        <f>IF($J7="","",IFERROR(VLOOKUP($J7,Grinders!$A:$N,5,FALSE),""))</f>
        <v/>
      </c>
      <c r="O7" s="40" t="str">
        <f t="shared" si="2"/>
        <v/>
      </c>
      <c r="P7" s="40" t="str">
        <f>IF($J7="","",IFERROR(VLOOKUP($J7,Grinders!$A:$N,6,FALSE),""))</f>
        <v/>
      </c>
      <c r="Q7" s="40" t="str">
        <f>IF($J7="","",IFERROR(VLOOKUP($J7,Grinders!$A:$N,8,FALSE),""))</f>
        <v/>
      </c>
      <c r="R7" s="40">
        <f>IFERROR(IF($J7="","",IF($L7="Elite",MAX(50,MIN(100,Config!$B$27*MAX(0,MIN(100,(1-IF($O7="",0,$O7))*100)) + Config!$B$28*MAX(0,MIN(100,(1-MIN(1,IF(Config!$B$30=0,1,$P7/Config!$B$30)))*100)) + Config!$B$29*MAX(0,MIN(100,MIN(1,IF($Q7="",0,$Q7)/Config!$B$23)*100)))),MIN(100,Config!$B$27*MAX(0,MIN(100,(1-IF($O7="",0,$O7))*100)) + Config!$B$28*MAX(0,MIN(100,(1-MIN(1,IF(Config!$B$30=0,1,$P7/Config!$B$30)))*100)) + Config!$B$29*MAX(0,MIN(100,MIN(1,IF($Q7="",0,$Q7)/Config!$B$23)*100))))),"")
</f>
        <v>85</v>
      </c>
      <c r="S7" s="40">
        <f>IF(Bids!$AC7="","",Bids!$AC7)</f>
        <v>150</v>
      </c>
      <c r="T7" s="47">
        <f>IF(Bids!$F7="","",Bids!$F7)</f>
        <v>46076.82986</v>
      </c>
      <c r="U7" s="40" t="str">
        <f t="shared" si="3"/>
        <v/>
      </c>
      <c r="V7" s="40" t="str">
        <f>IF($U7="","",IF(Config!$B$17=Config!$B$16,IF($U7&gt;=Config!$B$17,100,0),MAX(0,MIN(100,($U7-Config!$B$16)/(Config!$B$17-Config!$B$16)*100))))</f>
        <v/>
      </c>
      <c r="W7" s="40">
        <f>IF($L7="Elite",Config!$B$21,0)</f>
        <v>0</v>
      </c>
      <c r="X7" s="40" t="str">
        <f>IFERROR(IF(OR($T7="",$G7=""),"",IF($T7&gt;$G7,
  MAX(0, 60-(($T7-$G7)*24/Config!$B$19)*60),
  MEDIAN(60, 100, 60+(($G7-$T7)*24/Config!$B$20)*40)
)),"")
</f>
        <v/>
      </c>
      <c r="Y7" s="40" t="str">
        <f>IF($J7="","",IFERROR(VLOOKUP($J7,Grinders!$A:$N,10,FALSE),""))</f>
        <v/>
      </c>
      <c r="Z7" s="40" t="str">
        <f>IF($J7="","",IFERROR(VLOOKUP($J7,Grinders!$A:$N,11,FALSE),""))</f>
        <v/>
      </c>
      <c r="AA7" s="40" t="str">
        <f>IF($J7="","",IFERROR(VLOOKUP($J7,Grinders!$A:$N,12,FALSE),""))</f>
        <v/>
      </c>
      <c r="AB7" s="40" t="str">
        <f>IF(OR(AL7=1,AM7=1),0,=IFERROR(IF(OR($C7="",$J7=""),0,IF($D7&lt;&gt;"Open",0,IF(COUNTIFS(GrinderServices!$A:$A,$J7,GrinderServices!$B:$B,$E7,GrinderServices!$D:$D,"Y")=0,0,IF($U7&lt;Config!$B$16,0,IF(Config!$B$18=1,IF($N7&gt;=$M7,0,1),1))))),""))</f>
        <v>#ERROR!</v>
      </c>
      <c r="AC7" s="40" t="str">
        <f>IFERROR((IF(OR(AL7=1,AM7=1),"",=IFERROR((IFERROR(IF($AB7=0,"",((Config!$B$6*$V7 + Config!$B$7*$R7 + Config!$B$8*$W7 + Config!$B$9*$X7 + Config!$B$10*$Y7 + Config!$B$11*$Z7 - Config!$B$12*$AA7)/Config!$B$13)+$AH7+$AI7),""))*(1-IFERROR(VLOOKUP(J7,Grinders!$A:$AB, 28, FALSE),0)),"")))*(1+AO7),"")</f>
        <v>#ERROR!</v>
      </c>
      <c r="AD7" s="40" t="str">
        <f t="shared" si="4"/>
        <v/>
      </c>
      <c r="AE7" s="40" t="str">
        <f>IFERROR(__xludf.DUMMYFUNCTION("IF($AC7="""","""",IF($AC7=IFERROR(MAX(FILTER($AC$6:$AC$1000,$C$6:$C$1000=$C7,$AB$6:$AB$1000=1)),),""WINNER"",""""))"),"#ERROR!")</f>
        <v>#ERROR!</v>
      </c>
      <c r="AF7" s="40" t="str">
        <f t="shared" si="5"/>
        <v/>
      </c>
      <c r="AG7" s="40">
        <f>IF($J7="","",COUNTIF(Assignments!$B:$B,$J7))</f>
        <v>0</v>
      </c>
      <c r="AH7" s="40">
        <f>IF($J7="","",IF(AND($AG7=0,$N7&lt;$M7),Config!$B$43,0))</f>
        <v>0</v>
      </c>
      <c r="AI7" s="40">
        <f>IF($J7="","",IF(AND($L7="Elite",$F7&gt;=Config!$B$41,$N7&lt;$M7),Config!$B$42,0))</f>
        <v>0</v>
      </c>
      <c r="AJ7" s="22"/>
      <c r="AK7" s="39">
        <f>IFERROR(VLOOKUP(J7,Grinders!$A:$Q,28,FALSE),0)</f>
        <v>0</v>
      </c>
      <c r="AL7" s="39">
        <f>IF(Config!$B$1003&lt;&gt;"Y",0,IF(IFERROR(VLOOKUP(J7,Grinders!$A:$P,27,FALSE),0)&gt;=3,IF(OR(F7&gt;=Config!$B$1001,ISNUMBER(SEARCH(E7,Config!$B$1002))),1,0),0))</f>
        <v>0</v>
      </c>
      <c r="AM7" s="39">
        <f t="array" ref="AM7">IFERROR(IF(INDEX(Bids!$AE:$AE,MATCH(B7,Bids!$A:$A,0))="Pending",1,0),0)</f>
        <v>0</v>
      </c>
      <c r="AN7" s="39">
        <f t="array" ref="AN7">IF(C7="","",IFERROR(XLOOKUP(C7,Assignments!$C:$C,Assignments!$AU:$AU,0),0))</f>
        <v>0</v>
      </c>
      <c r="AO7" s="39">
        <f>IF(AND(Config!$B$1006="Y",AN7=1),Config!$B$1007,0)</f>
        <v>0</v>
      </c>
    </row>
    <row r="8">
      <c r="A8" s="46" t="str">
        <f t="shared" si="1"/>
        <v/>
      </c>
      <c r="B8" s="40" t="str">
        <f>IF(Bids!$A8="","",Bids!$A8)</f>
        <v>B2003</v>
      </c>
      <c r="C8" s="40" t="str">
        <f>IF(Bids!$B8="","",Bids!$B8)</f>
        <v>O1002</v>
      </c>
      <c r="D8" s="40" t="str">
        <f>IF($C8="","",IFERROR(VLOOKUP($C8,Orders!$A:$J,9,FALSE),""))</f>
        <v/>
      </c>
      <c r="E8" s="40" t="str">
        <f>IF($C8="","",IFERROR(VLOOKUP($C8,Orders!$A:$J,3,FALSE),""))</f>
        <v/>
      </c>
      <c r="F8" s="40" t="str">
        <f>IF($C8="","",IFERROR(VLOOKUP($C8,Orders!$A:$J,4,FALSE),""))</f>
        <v/>
      </c>
      <c r="G8" s="40" t="str">
        <f>IF($C8="","",IFERROR(VLOOKUP($C8,Orders!$A:$J,5,FALSE),""))</f>
        <v/>
      </c>
      <c r="H8" s="40" t="str">
        <f>IF($C8="","",IFERROR(VLOOKUP($C8,Orders!$A:$J,6,FALSE),""))</f>
        <v/>
      </c>
      <c r="I8" s="40" t="str">
        <f>IF($C8="","",IFERROR(VLOOKUP($C8,Orders!$A:$J,7,FALSE),""))</f>
        <v/>
      </c>
      <c r="J8" s="40" t="str">
        <f>IF(Bids!$C8="","",Bids!$C8)</f>
        <v>G003</v>
      </c>
      <c r="K8" s="40" t="str">
        <f>IF($J8="","",IFERROR(VLOOKUP($J8,Grinders!$A:$N,2,FALSE),""))</f>
        <v/>
      </c>
      <c r="L8" s="40" t="str">
        <f>IF($J8="","",IFERROR(VLOOKUP($J8,Grinders!$A:$N,3,FALSE),""))</f>
        <v/>
      </c>
      <c r="M8" s="40" t="str">
        <f>IF($J8="","",IFERROR(VLOOKUP($J8,Grinders!$A:$N,4,FALSE),""))</f>
        <v/>
      </c>
      <c r="N8" s="40" t="str">
        <f>IF($J8="","",IFERROR(VLOOKUP($J8,Grinders!$A:$N,5,FALSE),""))</f>
        <v/>
      </c>
      <c r="O8" s="40" t="str">
        <f t="shared" si="2"/>
        <v/>
      </c>
      <c r="P8" s="40" t="str">
        <f>IF($J8="","",IFERROR(VLOOKUP($J8,Grinders!$A:$N,6,FALSE),""))</f>
        <v/>
      </c>
      <c r="Q8" s="40" t="str">
        <f>IF($J8="","",IFERROR(VLOOKUP($J8,Grinders!$A:$N,8,FALSE),""))</f>
        <v/>
      </c>
      <c r="R8" s="40">
        <f>IFERROR(IF($J8="","",IF($L8="Elite",MAX(50,MIN(100,Config!$B$27*MAX(0,MIN(100,(1-IF($O8="",0,$O8))*100)) + Config!$B$28*MAX(0,MIN(100,(1-MIN(1,IF(Config!$B$30=0,1,$P8/Config!$B$30)))*100)) + Config!$B$29*MAX(0,MIN(100,MIN(1,IF($Q8="",0,$Q8)/Config!$B$23)*100)))),MIN(100,Config!$B$27*MAX(0,MIN(100,(1-IF($O8="",0,$O8))*100)) + Config!$B$28*MAX(0,MIN(100,(1-MIN(1,IF(Config!$B$30=0,1,$P8/Config!$B$30)))*100)) + Config!$B$29*MAX(0,MIN(100,MIN(1,IF($Q8="",0,$Q8)/Config!$B$23)*100))))),"")
</f>
        <v>85</v>
      </c>
      <c r="S8" s="40">
        <f>IF(Bids!$AC8="","",Bids!$AC8)</f>
        <v>400</v>
      </c>
      <c r="T8" s="47">
        <f>IF(Bids!$F8="","",Bids!$F8)</f>
        <v>46073.82986</v>
      </c>
      <c r="U8" s="40" t="str">
        <f t="shared" si="3"/>
        <v/>
      </c>
      <c r="V8" s="40" t="str">
        <f>IF($U8="","",IF(Config!$B$17=Config!$B$16,IF($U8&gt;=Config!$B$17,100,0),MAX(0,MIN(100,($U8-Config!$B$16)/(Config!$B$17-Config!$B$16)*100))))</f>
        <v/>
      </c>
      <c r="W8" s="40">
        <f>IF($L8="Elite",Config!$B$21,0)</f>
        <v>0</v>
      </c>
      <c r="X8" s="40" t="str">
        <f>IFERROR(IF(OR($T8="",$G8=""),"",IF($T8&gt;$G8,
  MAX(0, 60-(($T8-$G8)*24/Config!$B$19)*60),
  MEDIAN(60, 100, 60+(($G8-$T8)*24/Config!$B$20)*40)
)),"")
</f>
        <v/>
      </c>
      <c r="Y8" s="40" t="str">
        <f>IF($J8="","",IFERROR(VLOOKUP($J8,Grinders!$A:$N,10,FALSE),""))</f>
        <v/>
      </c>
      <c r="Z8" s="40" t="str">
        <f>IF($J8="","",IFERROR(VLOOKUP($J8,Grinders!$A:$N,11,FALSE),""))</f>
        <v/>
      </c>
      <c r="AA8" s="40" t="str">
        <f>IF($J8="","",IFERROR(VLOOKUP($J8,Grinders!$A:$N,12,FALSE),""))</f>
        <v/>
      </c>
      <c r="AB8" s="40" t="str">
        <f>IF(OR(AL8=1,AM8=1),0,=IFERROR(IF(OR($C8="",$J8=""),0,IF($D8&lt;&gt;"Open",0,IF(COUNTIFS(GrinderServices!$A:$A,$J8,GrinderServices!$B:$B,$E8,GrinderServices!$D:$D,"Y")=0,0,IF($U8&lt;Config!$B$16,0,IF(Config!$B$18=1,IF($N8&gt;=$M8,0,1),1))))),""))</f>
        <v>#ERROR!</v>
      </c>
      <c r="AC8" s="40" t="str">
        <f>IFERROR((IF(OR(AL8=1,AM8=1),"",=IFERROR((IFERROR(IF($AB8=0,"",((Config!$B$6*$V8 + Config!$B$7*$R8 + Config!$B$8*$W8 + Config!$B$9*$X8 + Config!$B$10*$Y8 + Config!$B$11*$Z8 - Config!$B$12*$AA8)/Config!$B$13)+$AH8+$AI8),""))*(1-IFERROR(VLOOKUP(J8,Grinders!$A:$AB, 28, FALSE),0)),"")))*(1+AO8),"")</f>
        <v>#ERROR!</v>
      </c>
      <c r="AD8" s="40" t="str">
        <f t="shared" si="4"/>
        <v/>
      </c>
      <c r="AE8" s="40" t="str">
        <f>IFERROR(__xludf.DUMMYFUNCTION("IF($AC8="""","""",IF($AC8=IFERROR(MAX(FILTER($AC$6:$AC$1000,$C$6:$C$1000=$C8,$AB$6:$AB$1000=1)),),""WINNER"",""""))"),"#ERROR!")</f>
        <v>#ERROR!</v>
      </c>
      <c r="AF8" s="40" t="str">
        <f t="shared" si="5"/>
        <v/>
      </c>
      <c r="AG8" s="40">
        <f>IF($J8="","",COUNTIF(Assignments!$B:$B,$J8))</f>
        <v>0</v>
      </c>
      <c r="AH8" s="40">
        <f>IF($J8="","",IF(AND($AG8=0,$N8&lt;$M8),Config!$B$43,0))</f>
        <v>0</v>
      </c>
      <c r="AI8" s="40">
        <f>IF($J8="","",IF(AND($L8="Elite",$F8&gt;=Config!$B$41,$N8&lt;$M8),Config!$B$42,0))</f>
        <v>0</v>
      </c>
      <c r="AJ8" s="22"/>
      <c r="AK8" s="39">
        <f>IFERROR(VLOOKUP(J8,Grinders!$A:$Q,28,FALSE),0)</f>
        <v>0</v>
      </c>
      <c r="AL8" s="39">
        <f>IF(Config!$B$1003&lt;&gt;"Y",0,IF(IFERROR(VLOOKUP(J8,Grinders!$A:$P,27,FALSE),0)&gt;=3,IF(OR(F8&gt;=Config!$B$1001,ISNUMBER(SEARCH(E8,Config!$B$1002))),1,0),0))</f>
        <v>0</v>
      </c>
      <c r="AM8" s="39">
        <f t="array" ref="AM8">IFERROR(IF(INDEX(Bids!$AE:$AE,MATCH(B8,Bids!$A:$A,0))="Pending",1,0),0)</f>
        <v>0</v>
      </c>
      <c r="AN8" s="39">
        <f t="array" ref="AN8">IF(C8="","",IFERROR(XLOOKUP(C8,Assignments!$C:$C,Assignments!$AU:$AU,0),0))</f>
        <v>0</v>
      </c>
      <c r="AO8" s="39">
        <f>IF(AND(Config!$B$1006="Y",AN8=1),Config!$B$1007,0)</f>
        <v>0</v>
      </c>
    </row>
    <row r="9">
      <c r="A9" s="46" t="str">
        <f t="shared" si="1"/>
        <v/>
      </c>
      <c r="B9" s="40" t="str">
        <f>IF(Bids!$A9="","",Bids!$A9)</f>
        <v>B2004</v>
      </c>
      <c r="C9" s="40" t="str">
        <f>IF(Bids!$B9="","",Bids!$B9)</f>
        <v>O1002</v>
      </c>
      <c r="D9" s="40" t="str">
        <f>IF($C9="","",IFERROR(VLOOKUP($C9,Orders!$A:$J,9,FALSE),""))</f>
        <v/>
      </c>
      <c r="E9" s="40" t="str">
        <f>IF($C9="","",IFERROR(VLOOKUP($C9,Orders!$A:$J,3,FALSE),""))</f>
        <v/>
      </c>
      <c r="F9" s="40" t="str">
        <f>IF($C9="","",IFERROR(VLOOKUP($C9,Orders!$A:$J,4,FALSE),""))</f>
        <v/>
      </c>
      <c r="G9" s="40" t="str">
        <f>IF($C9="","",IFERROR(VLOOKUP($C9,Orders!$A:$J,5,FALSE),""))</f>
        <v/>
      </c>
      <c r="H9" s="40" t="str">
        <f>IF($C9="","",IFERROR(VLOOKUP($C9,Orders!$A:$J,6,FALSE),""))</f>
        <v/>
      </c>
      <c r="I9" s="40" t="str">
        <f>IF($C9="","",IFERROR(VLOOKUP($C9,Orders!$A:$J,7,FALSE),""))</f>
        <v/>
      </c>
      <c r="J9" s="40" t="str">
        <f>IF(Bids!$C9="","",Bids!$C9)</f>
        <v>G001</v>
      </c>
      <c r="K9" s="40" t="str">
        <f>IF($J9="","",IFERROR(VLOOKUP($J9,Grinders!$A:$N,2,FALSE),""))</f>
        <v/>
      </c>
      <c r="L9" s="40" t="str">
        <f>IF($J9="","",IFERROR(VLOOKUP($J9,Grinders!$A:$N,3,FALSE),""))</f>
        <v/>
      </c>
      <c r="M9" s="40" t="str">
        <f>IF($J9="","",IFERROR(VLOOKUP($J9,Grinders!$A:$N,4,FALSE),""))</f>
        <v/>
      </c>
      <c r="N9" s="40" t="str">
        <f>IF($J9="","",IFERROR(VLOOKUP($J9,Grinders!$A:$N,5,FALSE),""))</f>
        <v/>
      </c>
      <c r="O9" s="40" t="str">
        <f t="shared" si="2"/>
        <v/>
      </c>
      <c r="P9" s="40" t="str">
        <f>IF($J9="","",IFERROR(VLOOKUP($J9,Grinders!$A:$N,6,FALSE),""))</f>
        <v/>
      </c>
      <c r="Q9" s="40" t="str">
        <f>IF($J9="","",IFERROR(VLOOKUP($J9,Grinders!$A:$N,8,FALSE),""))</f>
        <v/>
      </c>
      <c r="R9" s="40">
        <f>IFERROR(IF($J9="","",IF($L9="Elite",MAX(50,MIN(100,Config!$B$27*MAX(0,MIN(100,(1-IF($O9="",0,$O9))*100)) + Config!$B$28*MAX(0,MIN(100,(1-MIN(1,IF(Config!$B$30=0,1,$P9/Config!$B$30)))*100)) + Config!$B$29*MAX(0,MIN(100,MIN(1,IF($Q9="",0,$Q9)/Config!$B$23)*100)))),MIN(100,Config!$B$27*MAX(0,MIN(100,(1-IF($O9="",0,$O9))*100)) + Config!$B$28*MAX(0,MIN(100,(1-MIN(1,IF(Config!$B$30=0,1,$P9/Config!$B$30)))*100)) + Config!$B$29*MAX(0,MIN(100,MIN(1,IF($Q9="",0,$Q9)/Config!$B$23)*100))))),"")
</f>
        <v>85</v>
      </c>
      <c r="S9" s="40">
        <f>IF(Bids!$AC9="","",Bids!$AC9)</f>
        <v>420</v>
      </c>
      <c r="T9" s="47">
        <f>IF(Bids!$F9="","",Bids!$F9)</f>
        <v>46073.32986</v>
      </c>
      <c r="U9" s="40" t="str">
        <f t="shared" si="3"/>
        <v/>
      </c>
      <c r="V9" s="40" t="str">
        <f>IF($U9="","",IF(Config!$B$17=Config!$B$16,IF($U9&gt;=Config!$B$17,100,0),MAX(0,MIN(100,($U9-Config!$B$16)/(Config!$B$17-Config!$B$16)*100))))</f>
        <v/>
      </c>
      <c r="W9" s="48">
        <f>IF($L9="Elite",Config!$B$21,0)</f>
        <v>0</v>
      </c>
      <c r="X9" s="40" t="str">
        <f>IFERROR(IF(OR($T9="",$G9=""),"",IF($T9&gt;$G9,
  MAX(0, 60-(($T9-$G9)*24/Config!$B$19)*60),
  MEDIAN(60, 100, 60+(($G9-$T9)*24/Config!$B$20)*40)
)),"")
</f>
        <v/>
      </c>
      <c r="Y9" s="40" t="str">
        <f>IF($J9="","",IFERROR(VLOOKUP($J9,Grinders!$A:$N,10,FALSE),""))</f>
        <v/>
      </c>
      <c r="Z9" s="40" t="str">
        <f>IF($J9="","",IFERROR(VLOOKUP($J9,Grinders!$A:$N,11,FALSE),""))</f>
        <v/>
      </c>
      <c r="AA9" s="40" t="str">
        <f>IF($J9="","",IFERROR(VLOOKUP($J9,Grinders!$A:$N,12,FALSE),""))</f>
        <v/>
      </c>
      <c r="AB9" s="40" t="str">
        <f>IF(OR(AL9=1,AM9=1),0,=IFERROR(IF(OR($C9="",$J9=""),0,IF($D9&lt;&gt;"Open",0,IF(COUNTIFS(GrinderServices!$A:$A,$J9,GrinderServices!$B:$B,$E9,GrinderServices!$D:$D,"Y")=0,0,IF($U9&lt;Config!$B$16,0,IF(Config!$B$18=1,IF($N9&gt;=$M9,0,1),1))))),""))</f>
        <v>#ERROR!</v>
      </c>
      <c r="AC9" s="40" t="str">
        <f>IFERROR((IF(OR(AL9=1,AM9=1),"",=IFERROR((IFERROR(IF($AB9=0,"",((Config!$B$6*$V9 + Config!$B$7*$R9 + Config!$B$8*$W9 + Config!$B$9*$X9 + Config!$B$10*$Y9 + Config!$B$11*$Z9 - Config!$B$12*$AA9)/Config!$B$13)+$AH9+$AI9),""))*(1-IFERROR(VLOOKUP(J9,Grinders!$A:$AB, 28, FALSE),0)),"")))*(1+AO9),"")</f>
        <v>#ERROR!</v>
      </c>
      <c r="AD9" s="40" t="str">
        <f t="shared" si="4"/>
        <v/>
      </c>
      <c r="AE9" s="40" t="str">
        <f>IFERROR(__xludf.DUMMYFUNCTION("IF($AC9="""","""",IF($AC9=IFERROR(MAX(FILTER($AC$6:$AC$1000,$C$6:$C$1000=$C9,$AB$6:$AB$1000=1)),),""WINNER"",""""))"),"#ERROR!")</f>
        <v>#ERROR!</v>
      </c>
      <c r="AF9" s="40" t="str">
        <f t="shared" si="5"/>
        <v/>
      </c>
      <c r="AG9" s="40">
        <f>IF($J9="","",COUNTIF(Assignments!$B:$B,$J9))</f>
        <v>0</v>
      </c>
      <c r="AH9" s="40">
        <f>IF($J9="","",IF(AND($AG9=0,$N9&lt;$M9),Config!$B$43,0))</f>
        <v>0</v>
      </c>
      <c r="AI9" s="40">
        <f>IF($J9="","",IF(AND($L9="Elite",$F9&gt;=Config!$B$41,$N9&lt;$M9),Config!$B$42,0))</f>
        <v>0</v>
      </c>
      <c r="AJ9" s="22"/>
      <c r="AK9" s="39">
        <f>IFERROR(VLOOKUP(J9,Grinders!$A:$Q,28,FALSE),0)</f>
        <v>0</v>
      </c>
      <c r="AL9" s="39">
        <f>IF(Config!$B$1003&lt;&gt;"Y",0,IF(IFERROR(VLOOKUP(J9,Grinders!$A:$P,27,FALSE),0)&gt;=3,IF(OR(F9&gt;=Config!$B$1001,ISNUMBER(SEARCH(E9,Config!$B$1002))),1,0),0))</f>
        <v>0</v>
      </c>
      <c r="AM9" s="39">
        <f t="array" ref="AM9">IFERROR(IF(INDEX(Bids!$AE:$AE,MATCH(B9,Bids!$A:$A,0))="Pending",1,0),0)</f>
        <v>0</v>
      </c>
      <c r="AN9" s="39">
        <f t="array" ref="AN9">IF(C9="","",IFERROR(XLOOKUP(C9,Assignments!$C:$C,Assignments!$AU:$AU,0),0))</f>
        <v>0</v>
      </c>
      <c r="AO9" s="39">
        <f>IF(AND(Config!$B$1006="Y",AN9=1),Config!$B$1007,0)</f>
        <v>0</v>
      </c>
    </row>
    <row r="10">
      <c r="A10" s="46" t="str">
        <f t="shared" si="1"/>
        <v/>
      </c>
      <c r="B10" s="40" t="str">
        <f>IF(Bids!$A10="","",Bids!$A10)</f>
        <v>B2005</v>
      </c>
      <c r="C10" s="40" t="str">
        <f>IF(Bids!$B10="","",Bids!$B10)</f>
        <v>O1003</v>
      </c>
      <c r="D10" s="40" t="str">
        <f>IF($C10="","",IFERROR(VLOOKUP($C10,Orders!$A:$J,9,FALSE),""))</f>
        <v/>
      </c>
      <c r="E10" s="40" t="str">
        <f>IF($C10="","",IFERROR(VLOOKUP($C10,Orders!$A:$J,3,FALSE),""))</f>
        <v/>
      </c>
      <c r="F10" s="40" t="str">
        <f>IF($C10="","",IFERROR(VLOOKUP($C10,Orders!$A:$J,4,FALSE),""))</f>
        <v/>
      </c>
      <c r="G10" s="40" t="str">
        <f>IF($C10="","",IFERROR(VLOOKUP($C10,Orders!$A:$J,5,FALSE),""))</f>
        <v/>
      </c>
      <c r="H10" s="40" t="str">
        <f>IF($C10="","",IFERROR(VLOOKUP($C10,Orders!$A:$J,6,FALSE),""))</f>
        <v/>
      </c>
      <c r="I10" s="40" t="str">
        <f>IF($C10="","",IFERROR(VLOOKUP($C10,Orders!$A:$J,7,FALSE),""))</f>
        <v/>
      </c>
      <c r="J10" s="40" t="str">
        <f>IF(Bids!$C10="","",Bids!$C10)</f>
        <v>G004</v>
      </c>
      <c r="K10" s="40" t="str">
        <f>IF($J10="","",IFERROR(VLOOKUP($J10,Grinders!$A:$N,2,FALSE),""))</f>
        <v/>
      </c>
      <c r="L10" s="40" t="str">
        <f>IF($J10="","",IFERROR(VLOOKUP($J10,Grinders!$A:$N,3,FALSE),""))</f>
        <v/>
      </c>
      <c r="M10" s="40" t="str">
        <f>IF($J10="","",IFERROR(VLOOKUP($J10,Grinders!$A:$N,4,FALSE),""))</f>
        <v/>
      </c>
      <c r="N10" s="40" t="str">
        <f>IF($J10="","",IFERROR(VLOOKUP($J10,Grinders!$A:$N,5,FALSE),""))</f>
        <v/>
      </c>
      <c r="O10" s="40" t="str">
        <f t="shared" si="2"/>
        <v/>
      </c>
      <c r="P10" s="40" t="str">
        <f>IF($J10="","",IFERROR(VLOOKUP($J10,Grinders!$A:$N,6,FALSE),""))</f>
        <v/>
      </c>
      <c r="Q10" s="40" t="str">
        <f>IF($J10="","",IFERROR(VLOOKUP($J10,Grinders!$A:$N,8,FALSE),""))</f>
        <v/>
      </c>
      <c r="R10" s="40">
        <f>IFERROR(IF($J10="","",IF($L10="Elite",MAX(50,MIN(100,Config!$B$27*MAX(0,MIN(100,(1-IF($O10="",0,$O10))*100)) + Config!$B$28*MAX(0,MIN(100,(1-MIN(1,IF(Config!$B$30=0,1,$P10/Config!$B$30)))*100)) + Config!$B$29*MAX(0,MIN(100,MIN(1,IF($Q10="",0,$Q10)/Config!$B$23)*100)))),MIN(100,Config!$B$27*MAX(0,MIN(100,(1-IF($O10="",0,$O10))*100)) + Config!$B$28*MAX(0,MIN(100,(1-MIN(1,IF(Config!$B$30=0,1,$P10/Config!$B$30)))*100)) + Config!$B$29*MAX(0,MIN(100,MIN(1,IF($Q10="",0,$Q10)/Config!$B$23)*100))))),"")
</f>
        <v>85</v>
      </c>
      <c r="S10" s="40">
        <f>IF(Bids!$AC10="","",Bids!$AC10)</f>
        <v>800</v>
      </c>
      <c r="T10" s="47">
        <f>IF(Bids!$F10="","",Bids!$F10)</f>
        <v>46077.82986</v>
      </c>
      <c r="U10" s="40" t="str">
        <f t="shared" si="3"/>
        <v/>
      </c>
      <c r="V10" s="40" t="str">
        <f>IF($U10="","",IF(Config!$B$17=Config!$B$16,IF($U10&gt;=Config!$B$17,100,0),MAX(0,MIN(100,($U10-Config!$B$16)/(Config!$B$17-Config!$B$16)*100))))</f>
        <v/>
      </c>
      <c r="W10" s="48">
        <f>IF($L10="Elite",Config!$B$21,0)</f>
        <v>0</v>
      </c>
      <c r="X10" s="40" t="str">
        <f>IFERROR(IF(OR($T10="",$G10=""),"",IF($T10&gt;$G10,
  MAX(0, 60-(($T10-$G10)*24/Config!$B$19)*60),
  MEDIAN(60, 100, 60+(($G10-$T10)*24/Config!$B$20)*40)
)),"")
</f>
        <v/>
      </c>
      <c r="Y10" s="40" t="str">
        <f>IF($J10="","",IFERROR(VLOOKUP($J10,Grinders!$A:$N,10,FALSE),""))</f>
        <v/>
      </c>
      <c r="Z10" s="40" t="str">
        <f>IF($J10="","",IFERROR(VLOOKUP($J10,Grinders!$A:$N,11,FALSE),""))</f>
        <v/>
      </c>
      <c r="AA10" s="40" t="str">
        <f>IF($J10="","",IFERROR(VLOOKUP($J10,Grinders!$A:$N,12,FALSE),""))</f>
        <v/>
      </c>
      <c r="AB10" s="40" t="str">
        <f>IF(OR(AL10=1,AM10=1),0,=IFERROR(IF(OR($C10="",$J10=""),0,IF($D10&lt;&gt;"Open",0,IF(COUNTIFS(GrinderServices!$A:$A,$J10,GrinderServices!$B:$B,$E10,GrinderServices!$D:$D,"Y")=0,0,IF($U10&lt;Config!$B$16,0,IF(Config!$B$18=1,IF($N10&gt;=$M10,0,1),1))))),""))</f>
        <v>#ERROR!</v>
      </c>
      <c r="AC10" s="40" t="str">
        <f>IFERROR((IF(OR(AL10=1,AM10=1),"",=IFERROR((IFERROR(IF($AB10=0,"",((Config!$B$6*$V10 + Config!$B$7*$R10 + Config!$B$8*$W10 + Config!$B$9*$X10 + Config!$B$10*$Y10 + Config!$B$11*$Z10 - Config!$B$12*$AA10)/Config!$B$13)+$AH10+$AI10),""))*(1-IFERROR(VLOOKUP(J10,Grinders!$A:$AB, 28, FALSE),0)),"")))*(1+AO10),"")</f>
        <v>#ERROR!</v>
      </c>
      <c r="AD10" s="40" t="str">
        <f t="shared" si="4"/>
        <v/>
      </c>
      <c r="AE10" s="40" t="str">
        <f>IFERROR(__xludf.DUMMYFUNCTION("IF($AC10="""","""",IF($AC10=IFERROR(MAX(FILTER($AC$6:$AC$1000,$C$6:$C$1000=$C10,$AB$6:$AB$1000=1)),),""WINNER"",""""))"),"#ERROR!")</f>
        <v>#ERROR!</v>
      </c>
      <c r="AF10" s="40" t="str">
        <f t="shared" si="5"/>
        <v/>
      </c>
      <c r="AG10" s="40">
        <f>IF($J10="","",COUNTIF(Assignments!$B:$B,$J10))</f>
        <v>0</v>
      </c>
      <c r="AH10" s="40">
        <f>IF($J10="","",IF(AND($AG10=0,$N10&lt;$M10),Config!$B$43,0))</f>
        <v>0</v>
      </c>
      <c r="AI10" s="40">
        <f>IF($J10="","",IF(AND($L10="Elite",$F10&gt;=Config!$B$41,$N10&lt;$M10),Config!$B$42,0))</f>
        <v>0</v>
      </c>
      <c r="AJ10" s="22"/>
      <c r="AK10" s="39">
        <f>IFERROR(VLOOKUP(J10,Grinders!$A:$Q,28,FALSE),0)</f>
        <v>0</v>
      </c>
      <c r="AL10" s="39">
        <f>IF(Config!$B$1003&lt;&gt;"Y",0,IF(IFERROR(VLOOKUP(J10,Grinders!$A:$P,27,FALSE),0)&gt;=3,IF(OR(F10&gt;=Config!$B$1001,ISNUMBER(SEARCH(E10,Config!$B$1002))),1,0),0))</f>
        <v>0</v>
      </c>
      <c r="AM10" s="39">
        <f t="array" ref="AM10">IFERROR(IF(INDEX(Bids!$AE:$AE,MATCH(B10,Bids!$A:$A,0))="Pending",1,0),0)</f>
        <v>0</v>
      </c>
      <c r="AN10" s="39">
        <f t="array" ref="AN10">IF(C10="","",IFERROR(XLOOKUP(C10,Assignments!$C:$C,Assignments!$AU:$AU,0),0))</f>
        <v>0</v>
      </c>
      <c r="AO10" s="39">
        <f>IF(AND(Config!$B$1006="Y",AN10=1),Config!$B$1007,0)</f>
        <v>0</v>
      </c>
    </row>
    <row r="11">
      <c r="A11" s="46" t="str">
        <f t="shared" si="1"/>
        <v/>
      </c>
      <c r="B11" s="40" t="str">
        <f>IF(Bids!$A11="","",Bids!$A11)</f>
        <v>B2006</v>
      </c>
      <c r="C11" s="40" t="str">
        <f>IF(Bids!$B11="","",Bids!$B11)</f>
        <v>O1003</v>
      </c>
      <c r="D11" s="40" t="str">
        <f>IF($C11="","",IFERROR(VLOOKUP($C11,Orders!$A:$J,9,FALSE),""))</f>
        <v/>
      </c>
      <c r="E11" s="40" t="str">
        <f>IF($C11="","",IFERROR(VLOOKUP($C11,Orders!$A:$J,3,FALSE),""))</f>
        <v/>
      </c>
      <c r="F11" s="40" t="str">
        <f>IF($C11="","",IFERROR(VLOOKUP($C11,Orders!$A:$J,4,FALSE),""))</f>
        <v/>
      </c>
      <c r="G11" s="40" t="str">
        <f>IF($C11="","",IFERROR(VLOOKUP($C11,Orders!$A:$J,5,FALSE),""))</f>
        <v/>
      </c>
      <c r="H11" s="40" t="str">
        <f>IF($C11="","",IFERROR(VLOOKUP($C11,Orders!$A:$J,6,FALSE),""))</f>
        <v/>
      </c>
      <c r="I11" s="40" t="str">
        <f>IF($C11="","",IFERROR(VLOOKUP($C11,Orders!$A:$J,7,FALSE),""))</f>
        <v/>
      </c>
      <c r="J11" s="40" t="str">
        <f>IF(Bids!$C11="","",Bids!$C11)</f>
        <v>G001</v>
      </c>
      <c r="K11" s="40" t="str">
        <f>IF($J11="","",IFERROR(VLOOKUP($J11,Grinders!$A:$N,2,FALSE),""))</f>
        <v/>
      </c>
      <c r="L11" s="40" t="str">
        <f>IF($J11="","",IFERROR(VLOOKUP($J11,Grinders!$A:$N,3,FALSE),""))</f>
        <v/>
      </c>
      <c r="M11" s="40" t="str">
        <f>IF($J11="","",IFERROR(VLOOKUP($J11,Grinders!$A:$N,4,FALSE),""))</f>
        <v/>
      </c>
      <c r="N11" s="40" t="str">
        <f>IF($J11="","",IFERROR(VLOOKUP($J11,Grinders!$A:$N,5,FALSE),""))</f>
        <v/>
      </c>
      <c r="O11" s="40" t="str">
        <f t="shared" si="2"/>
        <v/>
      </c>
      <c r="P11" s="40" t="str">
        <f>IF($J11="","",IFERROR(VLOOKUP($J11,Grinders!$A:$N,6,FALSE),""))</f>
        <v/>
      </c>
      <c r="Q11" s="40" t="str">
        <f>IF($J11="","",IFERROR(VLOOKUP($J11,Grinders!$A:$N,8,FALSE),""))</f>
        <v/>
      </c>
      <c r="R11" s="40">
        <f>IFERROR(IF($J11="","",IF($L11="Elite",MAX(50,MIN(100,Config!$B$27*MAX(0,MIN(100,(1-IF($O11="",0,$O11))*100)) + Config!$B$28*MAX(0,MIN(100,(1-MIN(1,IF(Config!$B$30=0,1,$P11/Config!$B$30)))*100)) + Config!$B$29*MAX(0,MIN(100,MIN(1,IF($Q11="",0,$Q11)/Config!$B$23)*100)))),MIN(100,Config!$B$27*MAX(0,MIN(100,(1-IF($O11="",0,$O11))*100)) + Config!$B$28*MAX(0,MIN(100,(1-MIN(1,IF(Config!$B$30=0,1,$P11/Config!$B$30)))*100)) + Config!$B$29*MAX(0,MIN(100,MIN(1,IF($Q11="",0,$Q11)/Config!$B$23)*100))))),"")
</f>
        <v>85</v>
      </c>
      <c r="S11" s="40">
        <f>IF(Bids!$AC11="","",Bids!$AC11)</f>
        <v>700</v>
      </c>
      <c r="T11" s="47">
        <f>IF(Bids!$F11="","",Bids!$F11)</f>
        <v>46078.82986</v>
      </c>
      <c r="U11" s="40" t="str">
        <f t="shared" si="3"/>
        <v/>
      </c>
      <c r="V11" s="40" t="str">
        <f>IF($U11="","",IF(Config!$B$17=Config!$B$16,IF($U11&gt;=Config!$B$17,100,0),MAX(0,MIN(100,($U11-Config!$B$16)/(Config!$B$17-Config!$B$16)*100))))</f>
        <v/>
      </c>
      <c r="W11" s="48">
        <f>IF($L11="Elite",Config!$B$21,0)</f>
        <v>0</v>
      </c>
      <c r="X11" s="40" t="str">
        <f>IFERROR(IF(OR($T11="",$G11=""),"",IF($T11&gt;$G11,
  MAX(0, 60-(($T11-$G11)*24/Config!$B$19)*60),
  MEDIAN(60, 100, 60+(($G11-$T11)*24/Config!$B$20)*40)
)),"")
</f>
        <v/>
      </c>
      <c r="Y11" s="40" t="str">
        <f>IF($J11="","",IFERROR(VLOOKUP($J11,Grinders!$A:$N,10,FALSE),""))</f>
        <v/>
      </c>
      <c r="Z11" s="40" t="str">
        <f>IF($J11="","",IFERROR(VLOOKUP($J11,Grinders!$A:$N,11,FALSE),""))</f>
        <v/>
      </c>
      <c r="AA11" s="40" t="str">
        <f>IF($J11="","",IFERROR(VLOOKUP($J11,Grinders!$A:$N,12,FALSE),""))</f>
        <v/>
      </c>
      <c r="AB11" s="40" t="str">
        <f>IF(OR(AL11=1,AM11=1),0,=IFERROR(IF(OR($C11="",$J11=""),0,IF($D11&lt;&gt;"Open",0,IF(COUNTIFS(GrinderServices!$A:$A,$J11,GrinderServices!$B:$B,$E11,GrinderServices!$D:$D,"Y")=0,0,IF($U11&lt;Config!$B$16,0,IF(Config!$B$18=1,IF($N11&gt;=$M11,0,1),1))))),""))</f>
        <v>#ERROR!</v>
      </c>
      <c r="AC11" s="40" t="str">
        <f>IFERROR((IF(OR(AL11=1,AM11=1),"",=IFERROR((IFERROR(IF($AB11=0,"",((Config!$B$6*$V11 + Config!$B$7*$R11 + Config!$B$8*$W11 + Config!$B$9*$X11 + Config!$B$10*$Y11 + Config!$B$11*$Z11 - Config!$B$12*$AA11)/Config!$B$13)+$AH11+$AI11),""))*(1-IFERROR(VLOOKUP(J11,Grinders!$A:$AB, 28, FALSE),0)),"")))*(1+AO11),"")</f>
        <v>#ERROR!</v>
      </c>
      <c r="AD11" s="40" t="str">
        <f t="shared" si="4"/>
        <v/>
      </c>
      <c r="AE11" s="40" t="str">
        <f>IFERROR(__xludf.DUMMYFUNCTION("IF($AC11="""","""",IF($AC11=IFERROR(MAX(FILTER($AC$6:$AC$1000,$C$6:$C$1000=$C11,$AB$6:$AB$1000=1)),),""WINNER"",""""))"),"#ERROR!")</f>
        <v>#ERROR!</v>
      </c>
      <c r="AF11" s="40" t="str">
        <f t="shared" si="5"/>
        <v/>
      </c>
      <c r="AG11" s="40">
        <f>IF($J11="","",COUNTIF(Assignments!$B:$B,$J11))</f>
        <v>0</v>
      </c>
      <c r="AH11" s="40">
        <f>IF($J11="","",IF(AND($AG11=0,$N11&lt;$M11),Config!$B$43,0))</f>
        <v>0</v>
      </c>
      <c r="AI11" s="40">
        <f>IF($J11="","",IF(AND($L11="Elite",$F11&gt;=Config!$B$41,$N11&lt;$M11),Config!$B$42,0))</f>
        <v>0</v>
      </c>
      <c r="AJ11" s="22"/>
      <c r="AK11" s="39">
        <f>IFERROR(VLOOKUP(J11,Grinders!$A:$Q,28,FALSE),0)</f>
        <v>0</v>
      </c>
      <c r="AL11" s="39">
        <f>IF(Config!$B$1003&lt;&gt;"Y",0,IF(IFERROR(VLOOKUP(J11,Grinders!$A:$P,27,FALSE),0)&gt;=3,IF(OR(F11&gt;=Config!$B$1001,ISNUMBER(SEARCH(E11,Config!$B$1002))),1,0),0))</f>
        <v>0</v>
      </c>
      <c r="AM11" s="39">
        <f t="array" ref="AM11">IFERROR(IF(INDEX(Bids!$AE:$AE,MATCH(B11,Bids!$A:$A,0))="Pending",1,0),0)</f>
        <v>0</v>
      </c>
      <c r="AN11" s="39">
        <f t="array" ref="AN11">IF(C11="","",IFERROR(XLOOKUP(C11,Assignments!$C:$C,Assignments!$AU:$AU,0),0))</f>
        <v>0</v>
      </c>
      <c r="AO11" s="39">
        <f>IF(AND(Config!$B$1006="Y",AN11=1),Config!$B$1007,0)</f>
        <v>0</v>
      </c>
    </row>
    <row r="12">
      <c r="A12" s="46" t="str">
        <f t="shared" si="1"/>
        <v/>
      </c>
      <c r="B12" s="40" t="str">
        <f>IF(Bids!$A12="","",Bids!$A12)</f>
        <v/>
      </c>
      <c r="C12" s="40" t="str">
        <f>IF(Bids!$B12="","",Bids!$B12)</f>
        <v/>
      </c>
      <c r="D12" s="40" t="str">
        <f>IF($C12="","",IFERROR(VLOOKUP($C12,Orders!$A:$J,9,FALSE),""))</f>
        <v/>
      </c>
      <c r="E12" s="40" t="str">
        <f>IF($C12="","",IFERROR(VLOOKUP($C12,Orders!$A:$J,3,FALSE),""))</f>
        <v/>
      </c>
      <c r="F12" s="40" t="str">
        <f>IF($C12="","",IFERROR(VLOOKUP($C12,Orders!$A:$J,4,FALSE),""))</f>
        <v/>
      </c>
      <c r="G12" s="40" t="str">
        <f>IF($C12="","",IFERROR(VLOOKUP($C12,Orders!$A:$J,5,FALSE),""))</f>
        <v/>
      </c>
      <c r="H12" s="40" t="str">
        <f>IF($C12="","",IFERROR(VLOOKUP($C12,Orders!$A:$J,6,FALSE),""))</f>
        <v/>
      </c>
      <c r="I12" s="40" t="str">
        <f>IF($C12="","",IFERROR(VLOOKUP($C12,Orders!$A:$J,7,FALSE),""))</f>
        <v/>
      </c>
      <c r="J12" s="40" t="str">
        <f>IF(Bids!$C12="","",Bids!$C12)</f>
        <v/>
      </c>
      <c r="K12" s="40" t="str">
        <f>IF($J12="","",IFERROR(VLOOKUP($J12,Grinders!$A:$N,2,FALSE),""))</f>
        <v/>
      </c>
      <c r="L12" s="40" t="str">
        <f>IF($J12="","",IFERROR(VLOOKUP($J12,Grinders!$A:$N,3,FALSE),""))</f>
        <v/>
      </c>
      <c r="M12" s="40" t="str">
        <f>IF($J12="","",IFERROR(VLOOKUP($J12,Grinders!$A:$N,4,FALSE),""))</f>
        <v/>
      </c>
      <c r="N12" s="40" t="str">
        <f>IF($J12="","",IFERROR(VLOOKUP($J12,Grinders!$A:$N,5,FALSE),""))</f>
        <v/>
      </c>
      <c r="O12" s="40" t="str">
        <f t="shared" si="2"/>
        <v/>
      </c>
      <c r="P12" s="40" t="str">
        <f>IF($J12="","",IFERROR(VLOOKUP($J12,Grinders!$A:$N,6,FALSE),""))</f>
        <v/>
      </c>
      <c r="Q12" s="40" t="str">
        <f>IF($J12="","",IFERROR(VLOOKUP($J12,Grinders!$A:$N,8,FALSE),""))</f>
        <v/>
      </c>
      <c r="R12" s="40" t="str">
        <f>IFERROR(IF($J12="","",IF($L12="Elite",MAX(50,MIN(100,Config!$B$27*MAX(0,MIN(100,(1-IF($O12="",0,$O12))*100)) + Config!$B$28*MAX(0,MIN(100,(1-MIN(1,IF(Config!$B$30=0,1,$P12/Config!$B$30)))*100)) + Config!$B$29*MAX(0,MIN(100,MIN(1,IF($Q12="",0,$Q12)/Config!$B$23)*100)))),MIN(100,Config!$B$27*MAX(0,MIN(100,(1-IF($O12="",0,$O12))*100)) + Config!$B$28*MAX(0,MIN(100,(1-MIN(1,IF(Config!$B$30=0,1,$P12/Config!$B$30)))*100)) + Config!$B$29*MAX(0,MIN(100,MIN(1,IF($Q12="",0,$Q12)/Config!$B$23)*100))))),"")
</f>
        <v/>
      </c>
      <c r="S12" s="40" t="str">
        <f>IF(Bids!$AC12="","",Bids!$AC12)</f>
        <v/>
      </c>
      <c r="T12" s="40" t="str">
        <f>IF(Bids!$F12="","",Bids!$F12)</f>
        <v/>
      </c>
      <c r="U12" s="40" t="str">
        <f t="shared" si="3"/>
        <v/>
      </c>
      <c r="V12" s="40" t="str">
        <f>IF($U12="","",IF(Config!$B$17=Config!$B$16,IF($U12&gt;=Config!$B$17,100,0),MAX(0,MIN(100,($U12-Config!$B$16)/(Config!$B$17-Config!$B$16)*100))))</f>
        <v/>
      </c>
      <c r="W12" s="40">
        <f>IF($L12="Elite",Config!$B$21,0)</f>
        <v>0</v>
      </c>
      <c r="X12" s="40" t="str">
        <f>IFERROR(IF(OR($T12="",$G12=""),"",IF($T12&gt;$G12,
  MAX(0, 60-(($T12-$G12)*24/Config!$B$19)*60),
  MEDIAN(60, 100, 60+(($G12-$T12)*24/Config!$B$20)*40)
)),"")
</f>
        <v/>
      </c>
      <c r="Y12" s="40" t="str">
        <f>IF($J12="","",IFERROR(VLOOKUP($J12,Grinders!$A:$N,10,FALSE),""))</f>
        <v/>
      </c>
      <c r="Z12" s="40" t="str">
        <f>IF($J12="","",IFERROR(VLOOKUP($J12,Grinders!$A:$N,11,FALSE),""))</f>
        <v/>
      </c>
      <c r="AA12" s="40" t="str">
        <f>IF($J12="","",IFERROR(VLOOKUP($J12,Grinders!$A:$N,12,FALSE),""))</f>
        <v/>
      </c>
      <c r="AB12" s="40" t="str">
        <f>IF(OR(AL12=1,AM12=1),0,=IFERROR(IF(OR($C12="",$J12=""),0,IF($D12&lt;&gt;"Open",0,IF(COUNTIFS(GrinderServices!$A:$A,$J12,GrinderServices!$B:$B,$E12,GrinderServices!$D:$D,"Y")=0,0,IF($U12&lt;Config!$B$16,0,IF(Config!$B$18=1,IF($N12&gt;=$M12,0,1),1))))),""))</f>
        <v>#ERROR!</v>
      </c>
      <c r="AC12" s="40" t="str">
        <f>IFERROR((IF(OR(AL12=1,AM12=1),"",=IFERROR((IFERROR(IF($AB12=0,"",((Config!$B$6*$V12 + Config!$B$7*$R12 + Config!$B$8*$W12 + Config!$B$9*$X12 + Config!$B$10*$Y12 + Config!$B$11*$Z12 - Config!$B$12*$AA12)/Config!$B$13)+$AH12+$AI12),""))*(1-IFERROR(VLOOKUP(J12,Grinders!$A:$AB, 28, FALSE),0)),"")))*(1+AO12),"")</f>
        <v>#ERROR!</v>
      </c>
      <c r="AD12" s="40" t="str">
        <f t="shared" si="4"/>
        <v/>
      </c>
      <c r="AE12" s="40" t="str">
        <f>IFERROR(__xludf.DUMMYFUNCTION("IF($AC12="""","""",IF($AC12=IFERROR(MAX(FILTER($AC$6:$AC$1000,$C$6:$C$1000=$C12,$AB$6:$AB$1000=1)),),""WINNER"",""""))"),"#ERROR!")</f>
        <v>#ERROR!</v>
      </c>
      <c r="AF12" s="40" t="str">
        <f t="shared" si="5"/>
        <v/>
      </c>
      <c r="AG12" s="40" t="str">
        <f>IF($J12="","",COUNTIF(Assignments!$B:$B,$J12))</f>
        <v/>
      </c>
      <c r="AH12" s="40" t="str">
        <f>IF($J12="","",IF(AND($AG12=0,$N12&lt;$M12),Config!$B$43,0))</f>
        <v/>
      </c>
      <c r="AI12" s="40" t="str">
        <f>IF($J12="","",IF(AND($L12="Elite",$F12&gt;=Config!$B$41,$N12&lt;$M12),Config!$B$42,0))</f>
        <v/>
      </c>
      <c r="AJ12" s="22"/>
      <c r="AK12" s="39">
        <f>IFERROR(VLOOKUP(J12,Grinders!$A:$Q,28,FALSE),0)</f>
        <v>0</v>
      </c>
      <c r="AL12" s="39">
        <f>IF(Config!$B$1003&lt;&gt;"Y",0,IF(IFERROR(VLOOKUP(J12,Grinders!$A:$P,27,FALSE),0)&gt;=3,IF(OR(F12&gt;=Config!$B$1001,ISNUMBER(SEARCH(E12,Config!$B$1002))),1,0),0))</f>
        <v>0</v>
      </c>
      <c r="AM12" s="39">
        <f t="array" ref="AM12">IFERROR(IF(INDEX(Bids!$AE:$AE,MATCH(B12,Bids!$A:$A,0))="Pending",1,0),0)</f>
        <v>0</v>
      </c>
      <c r="AN12" s="39" t="str">
        <f t="array" ref="AN12">IF(C12="","",IFERROR(XLOOKUP(C12,Assignments!$C:$C,Assignments!$AU:$AU,0),0))</f>
        <v/>
      </c>
      <c r="AO12" s="39">
        <f>IF(AND(Config!$B$1006="Y",AN12=1),Config!$B$1007,0)</f>
        <v>0</v>
      </c>
    </row>
    <row r="13">
      <c r="A13" s="46" t="str">
        <f t="shared" si="1"/>
        <v/>
      </c>
      <c r="B13" s="40" t="str">
        <f>IF(Bids!$A13="","",Bids!$A13)</f>
        <v/>
      </c>
      <c r="C13" s="40" t="str">
        <f>IF(Bids!$B13="","",Bids!$B13)</f>
        <v/>
      </c>
      <c r="D13" s="40" t="str">
        <f>IF($C13="","",IFERROR(VLOOKUP($C13,Orders!$A:$J,9,FALSE),""))</f>
        <v/>
      </c>
      <c r="E13" s="40" t="str">
        <f>IF($C13="","",IFERROR(VLOOKUP($C13,Orders!$A:$J,3,FALSE),""))</f>
        <v/>
      </c>
      <c r="F13" s="40" t="str">
        <f>IF($C13="","",IFERROR(VLOOKUP($C13,Orders!$A:$J,4,FALSE),""))</f>
        <v/>
      </c>
      <c r="G13" s="40" t="str">
        <f>IF($C13="","",IFERROR(VLOOKUP($C13,Orders!$A:$J,5,FALSE),""))</f>
        <v/>
      </c>
      <c r="H13" s="40" t="str">
        <f>IF($C13="","",IFERROR(VLOOKUP($C13,Orders!$A:$J,6,FALSE),""))</f>
        <v/>
      </c>
      <c r="I13" s="40" t="str">
        <f>IF($C13="","",IFERROR(VLOOKUP($C13,Orders!$A:$J,7,FALSE),""))</f>
        <v/>
      </c>
      <c r="J13" s="40" t="str">
        <f>IF(Bids!$C13="","",Bids!$C13)</f>
        <v/>
      </c>
      <c r="K13" s="40" t="str">
        <f>IF($J13="","",IFERROR(VLOOKUP($J13,Grinders!$A:$N,2,FALSE),""))</f>
        <v/>
      </c>
      <c r="L13" s="40" t="str">
        <f>IF($J13="","",IFERROR(VLOOKUP($J13,Grinders!$A:$N,3,FALSE),""))</f>
        <v/>
      </c>
      <c r="M13" s="40" t="str">
        <f>IF($J13="","",IFERROR(VLOOKUP($J13,Grinders!$A:$N,4,FALSE),""))</f>
        <v/>
      </c>
      <c r="N13" s="40" t="str">
        <f>IF($J13="","",IFERROR(VLOOKUP($J13,Grinders!$A:$N,5,FALSE),""))</f>
        <v/>
      </c>
      <c r="O13" s="40" t="str">
        <f t="shared" si="2"/>
        <v/>
      </c>
      <c r="P13" s="40" t="str">
        <f>IF($J13="","",IFERROR(VLOOKUP($J13,Grinders!$A:$N,6,FALSE),""))</f>
        <v/>
      </c>
      <c r="Q13" s="40" t="str">
        <f>IF($J13="","",IFERROR(VLOOKUP($J13,Grinders!$A:$N,8,FALSE),""))</f>
        <v/>
      </c>
      <c r="R13" s="40" t="str">
        <f>IFERROR(IF($J13="","",IF($L13="Elite",MAX(50,MIN(100,Config!$B$27*MAX(0,MIN(100,(1-IF($O13="",0,$O13))*100)) + Config!$B$28*MAX(0,MIN(100,(1-MIN(1,IF(Config!$B$30=0,1,$P13/Config!$B$30)))*100)) + Config!$B$29*MAX(0,MIN(100,MIN(1,IF($Q13="",0,$Q13)/Config!$B$23)*100)))),MIN(100,Config!$B$27*MAX(0,MIN(100,(1-IF($O13="",0,$O13))*100)) + Config!$B$28*MAX(0,MIN(100,(1-MIN(1,IF(Config!$B$30=0,1,$P13/Config!$B$30)))*100)) + Config!$B$29*MAX(0,MIN(100,MIN(1,IF($Q13="",0,$Q13)/Config!$B$23)*100))))),"")
</f>
        <v/>
      </c>
      <c r="S13" s="40" t="str">
        <f>IF(Bids!$AC13="","",Bids!$AC13)</f>
        <v/>
      </c>
      <c r="T13" s="40" t="str">
        <f>IF(Bids!$F13="","",Bids!$F13)</f>
        <v/>
      </c>
      <c r="U13" s="40" t="str">
        <f t="shared" si="3"/>
        <v/>
      </c>
      <c r="V13" s="40" t="str">
        <f>IF($U13="","",IF(Config!$B$17=Config!$B$16,IF($U13&gt;=Config!$B$17,100,0),MAX(0,MIN(100,($U13-Config!$B$16)/(Config!$B$17-Config!$B$16)*100))))</f>
        <v/>
      </c>
      <c r="W13" s="40">
        <f>IF($L13="Elite",Config!$B$21,0)</f>
        <v>0</v>
      </c>
      <c r="X13" s="40" t="str">
        <f>IFERROR(IF(OR($T13="",$G13=""),"",IF($T13&gt;$G13,
  MAX(0, 60-(($T13-$G13)*24/Config!$B$19)*60),
  MEDIAN(60, 100, 60+(($G13-$T13)*24/Config!$B$20)*40)
)),"")
</f>
        <v/>
      </c>
      <c r="Y13" s="40" t="str">
        <f>IF($J13="","",IFERROR(VLOOKUP($J13,Grinders!$A:$N,10,FALSE),""))</f>
        <v/>
      </c>
      <c r="Z13" s="40" t="str">
        <f>IF($J13="","",IFERROR(VLOOKUP($J13,Grinders!$A:$N,11,FALSE),""))</f>
        <v/>
      </c>
      <c r="AA13" s="40" t="str">
        <f>IF($J13="","",IFERROR(VLOOKUP($J13,Grinders!$A:$N,12,FALSE),""))</f>
        <v/>
      </c>
      <c r="AB13" s="40" t="str">
        <f>IF(OR(AL13=1,AM13=1),0,=IFERROR(IF(OR($C13="",$J13=""),0,IF($D13&lt;&gt;"Open",0,IF(COUNTIFS(GrinderServices!$A:$A,$J13,GrinderServices!$B:$B,$E13,GrinderServices!$D:$D,"Y")=0,0,IF($U13&lt;Config!$B$16,0,IF(Config!$B$18=1,IF($N13&gt;=$M13,0,1),1))))),""))</f>
        <v>#ERROR!</v>
      </c>
      <c r="AC13" s="40" t="str">
        <f>IFERROR((IF(OR(AL13=1,AM13=1),"",=IFERROR((IFERROR(IF($AB13=0,"",((Config!$B$6*$V13 + Config!$B$7*$R13 + Config!$B$8*$W13 + Config!$B$9*$X13 + Config!$B$10*$Y13 + Config!$B$11*$Z13 - Config!$B$12*$AA13)/Config!$B$13)+$AH13+$AI13),""))*(1-IFERROR(VLOOKUP(J13,Grinders!$A:$AB, 28, FALSE),0)),"")))*(1+AO13),"")</f>
        <v>#ERROR!</v>
      </c>
      <c r="AD13" s="40" t="str">
        <f t="shared" si="4"/>
        <v/>
      </c>
      <c r="AE13" s="40" t="str">
        <f>IFERROR(__xludf.DUMMYFUNCTION("IF($AC13="""","""",IF($AC13=IFERROR(MAX(FILTER($AC$6:$AC$1000,$C$6:$C$1000=$C13,$AB$6:$AB$1000=1)),),""WINNER"",""""))"),"#ERROR!")</f>
        <v>#ERROR!</v>
      </c>
      <c r="AF13" s="40" t="str">
        <f t="shared" si="5"/>
        <v/>
      </c>
      <c r="AG13" s="40" t="str">
        <f>IF($J13="","",COUNTIF(Assignments!$B:$B,$J13))</f>
        <v/>
      </c>
      <c r="AH13" s="40" t="str">
        <f>IF($J13="","",IF(AND($AG13=0,$N13&lt;$M13),Config!$B$43,0))</f>
        <v/>
      </c>
      <c r="AI13" s="40" t="str">
        <f>IF($J13="","",IF(AND($L13="Elite",$F13&gt;=Config!$B$41,$N13&lt;$M13),Config!$B$42,0))</f>
        <v/>
      </c>
      <c r="AJ13" s="22"/>
      <c r="AK13" s="39">
        <f>IFERROR(VLOOKUP(J13,Grinders!$A:$Q,28,FALSE),0)</f>
        <v>0</v>
      </c>
      <c r="AL13" s="39">
        <f>IF(Config!$B$1003&lt;&gt;"Y",0,IF(IFERROR(VLOOKUP(J13,Grinders!$A:$P,27,FALSE),0)&gt;=3,IF(OR(F13&gt;=Config!$B$1001,ISNUMBER(SEARCH(E13,Config!$B$1002))),1,0),0))</f>
        <v>0</v>
      </c>
      <c r="AM13" s="39">
        <f t="array" ref="AM13">IFERROR(IF(INDEX(Bids!$AE:$AE,MATCH(B13,Bids!$A:$A,0))="Pending",1,0),0)</f>
        <v>0</v>
      </c>
      <c r="AN13" s="39" t="str">
        <f t="array" ref="AN13">IF(C13="","",IFERROR(XLOOKUP(C13,Assignments!$C:$C,Assignments!$AU:$AU,0),0))</f>
        <v/>
      </c>
      <c r="AO13" s="39">
        <f>IF(AND(Config!$B$1006="Y",AN13=1),Config!$B$1007,0)</f>
        <v>0</v>
      </c>
    </row>
    <row r="14">
      <c r="A14" s="46" t="str">
        <f t="shared" si="1"/>
        <v/>
      </c>
      <c r="B14" s="40" t="str">
        <f>IF(Bids!$A14="","",Bids!$A14)</f>
        <v/>
      </c>
      <c r="C14" s="40" t="str">
        <f>IF(Bids!$B14="","",Bids!$B14)</f>
        <v/>
      </c>
      <c r="D14" s="40" t="str">
        <f>IF($C14="","",IFERROR(VLOOKUP($C14,Orders!$A:$J,9,FALSE),""))</f>
        <v/>
      </c>
      <c r="E14" s="40" t="str">
        <f>IF($C14="","",IFERROR(VLOOKUP($C14,Orders!$A:$J,3,FALSE),""))</f>
        <v/>
      </c>
      <c r="F14" s="40" t="str">
        <f>IF($C14="","",IFERROR(VLOOKUP($C14,Orders!$A:$J,4,FALSE),""))</f>
        <v/>
      </c>
      <c r="G14" s="40" t="str">
        <f>IF($C14="","",IFERROR(VLOOKUP($C14,Orders!$A:$J,5,FALSE),""))</f>
        <v/>
      </c>
      <c r="H14" s="40" t="str">
        <f>IF($C14="","",IFERROR(VLOOKUP($C14,Orders!$A:$J,6,FALSE),""))</f>
        <v/>
      </c>
      <c r="I14" s="40" t="str">
        <f>IF($C14="","",IFERROR(VLOOKUP($C14,Orders!$A:$J,7,FALSE),""))</f>
        <v/>
      </c>
      <c r="J14" s="40" t="str">
        <f>IF(Bids!$C14="","",Bids!$C14)</f>
        <v/>
      </c>
      <c r="K14" s="40" t="str">
        <f>IF($J14="","",IFERROR(VLOOKUP($J14,Grinders!$A:$N,2,FALSE),""))</f>
        <v/>
      </c>
      <c r="L14" s="40" t="str">
        <f>IF($J14="","",IFERROR(VLOOKUP($J14,Grinders!$A:$N,3,FALSE),""))</f>
        <v/>
      </c>
      <c r="M14" s="40" t="str">
        <f>IF($J14="","",IFERROR(VLOOKUP($J14,Grinders!$A:$N,4,FALSE),""))</f>
        <v/>
      </c>
      <c r="N14" s="40" t="str">
        <f>IF($J14="","",IFERROR(VLOOKUP($J14,Grinders!$A:$N,5,FALSE),""))</f>
        <v/>
      </c>
      <c r="O14" s="40" t="str">
        <f t="shared" si="2"/>
        <v/>
      </c>
      <c r="P14" s="40" t="str">
        <f>IF($J14="","",IFERROR(VLOOKUP($J14,Grinders!$A:$N,6,FALSE),""))</f>
        <v/>
      </c>
      <c r="Q14" s="40" t="str">
        <f>IF($J14="","",IFERROR(VLOOKUP($J14,Grinders!$A:$N,8,FALSE),""))</f>
        <v/>
      </c>
      <c r="R14" s="40" t="str">
        <f>IFERROR(IF($J14="","",IF($L14="Elite",MAX(50,MIN(100,Config!$B$27*MAX(0,MIN(100,(1-IF($O14="",0,$O14))*100)) + Config!$B$28*MAX(0,MIN(100,(1-MIN(1,IF(Config!$B$30=0,1,$P14/Config!$B$30)))*100)) + Config!$B$29*MAX(0,MIN(100,MIN(1,IF($Q14="",0,$Q14)/Config!$B$23)*100)))),MIN(100,Config!$B$27*MAX(0,MIN(100,(1-IF($O14="",0,$O14))*100)) + Config!$B$28*MAX(0,MIN(100,(1-MIN(1,IF(Config!$B$30=0,1,$P14/Config!$B$30)))*100)) + Config!$B$29*MAX(0,MIN(100,MIN(1,IF($Q14="",0,$Q14)/Config!$B$23)*100))))),"")
</f>
        <v/>
      </c>
      <c r="S14" s="40" t="str">
        <f>IF(Bids!$AC14="","",Bids!$AC14)</f>
        <v/>
      </c>
      <c r="T14" s="40" t="str">
        <f>IF(Bids!$F14="","",Bids!$F14)</f>
        <v/>
      </c>
      <c r="U14" s="40" t="str">
        <f t="shared" si="3"/>
        <v/>
      </c>
      <c r="V14" s="40" t="str">
        <f>IF($U14="","",IF(Config!$B$17=Config!$B$16,IF($U14&gt;=Config!$B$17,100,0),MAX(0,MIN(100,($U14-Config!$B$16)/(Config!$B$17-Config!$B$16)*100))))</f>
        <v/>
      </c>
      <c r="W14" s="40">
        <f>IF($L14="Elite",Config!$B$21,0)</f>
        <v>0</v>
      </c>
      <c r="X14" s="40" t="str">
        <f>IFERROR(IF(OR($T14="",$G14=""),"",IF($T14&gt;$G14,
  MAX(0, 60-(($T14-$G14)*24/Config!$B$19)*60),
  MEDIAN(60, 100, 60+(($G14-$T14)*24/Config!$B$20)*40)
)),"")
</f>
        <v/>
      </c>
      <c r="Y14" s="40" t="str">
        <f>IF($J14="","",IFERROR(VLOOKUP($J14,Grinders!$A:$N,10,FALSE),""))</f>
        <v/>
      </c>
      <c r="Z14" s="40" t="str">
        <f>IF($J14="","",IFERROR(VLOOKUP($J14,Grinders!$A:$N,11,FALSE),""))</f>
        <v/>
      </c>
      <c r="AA14" s="40" t="str">
        <f>IF($J14="","",IFERROR(VLOOKUP($J14,Grinders!$A:$N,12,FALSE),""))</f>
        <v/>
      </c>
      <c r="AB14" s="40" t="str">
        <f>IF(OR(AL14=1,AM14=1),0,=IFERROR(IF(OR($C14="",$J14=""),0,IF($D14&lt;&gt;"Open",0,IF(COUNTIFS(GrinderServices!$A:$A,$J14,GrinderServices!$B:$B,$E14,GrinderServices!$D:$D,"Y")=0,0,IF($U14&lt;Config!$B$16,0,IF(Config!$B$18=1,IF($N14&gt;=$M14,0,1),1))))),""))</f>
        <v>#ERROR!</v>
      </c>
      <c r="AC14" s="40" t="str">
        <f>IFERROR((IF(OR(AL14=1,AM14=1),"",=IFERROR((IFERROR(IF($AB14=0,"",((Config!$B$6*$V14 + Config!$B$7*$R14 + Config!$B$8*$W14 + Config!$B$9*$X14 + Config!$B$10*$Y14 + Config!$B$11*$Z14 - Config!$B$12*$AA14)/Config!$B$13)+$AH14+$AI14),""))*(1-IFERROR(VLOOKUP(J14,Grinders!$A:$AB, 28, FALSE),0)),"")))*(1+AO14),"")</f>
        <v>#ERROR!</v>
      </c>
      <c r="AD14" s="40" t="str">
        <f t="shared" si="4"/>
        <v/>
      </c>
      <c r="AE14" s="40" t="str">
        <f>IFERROR(__xludf.DUMMYFUNCTION("IF($AC14="""","""",IF($AC14=IFERROR(MAX(FILTER($AC$6:$AC$1000,$C$6:$C$1000=$C14,$AB$6:$AB$1000=1)),),""WINNER"",""""))"),"#ERROR!")</f>
        <v>#ERROR!</v>
      </c>
      <c r="AF14" s="40" t="str">
        <f t="shared" si="5"/>
        <v/>
      </c>
      <c r="AG14" s="40" t="str">
        <f>IF($J14="","",COUNTIF(Assignments!$B:$B,$J14))</f>
        <v/>
      </c>
      <c r="AH14" s="40" t="str">
        <f>IF($J14="","",IF(AND($AG14=0,$N14&lt;$M14),Config!$B$43,0))</f>
        <v/>
      </c>
      <c r="AI14" s="40" t="str">
        <f>IF($J14="","",IF(AND($L14="Elite",$F14&gt;=Config!$B$41,$N14&lt;$M14),Config!$B$42,0))</f>
        <v/>
      </c>
      <c r="AJ14" s="22"/>
      <c r="AK14" s="39">
        <f>IFERROR(VLOOKUP(J14,Grinders!$A:$Q,28,FALSE),0)</f>
        <v>0</v>
      </c>
      <c r="AL14" s="39">
        <f>IF(Config!$B$1003&lt;&gt;"Y",0,IF(IFERROR(VLOOKUP(J14,Grinders!$A:$P,27,FALSE),0)&gt;=3,IF(OR(F14&gt;=Config!$B$1001,ISNUMBER(SEARCH(E14,Config!$B$1002))),1,0),0))</f>
        <v>0</v>
      </c>
      <c r="AM14" s="39">
        <f t="array" ref="AM14">IFERROR(IF(INDEX(Bids!$AE:$AE,MATCH(B14,Bids!$A:$A,0))="Pending",1,0),0)</f>
        <v>0</v>
      </c>
      <c r="AN14" s="39" t="str">
        <f t="array" ref="AN14">IF(C14="","",IFERROR(XLOOKUP(C14,Assignments!$C:$C,Assignments!$AU:$AU,0),0))</f>
        <v/>
      </c>
      <c r="AO14" s="39">
        <f>IF(AND(Config!$B$1006="Y",AN14=1),Config!$B$1007,0)</f>
        <v>0</v>
      </c>
    </row>
    <row r="15">
      <c r="A15" s="46" t="str">
        <f t="shared" si="1"/>
        <v/>
      </c>
      <c r="B15" s="40" t="str">
        <f>IF(Bids!$A15="","",Bids!$A15)</f>
        <v/>
      </c>
      <c r="C15" s="40" t="str">
        <f>IF(Bids!$B15="","",Bids!$B15)</f>
        <v/>
      </c>
      <c r="D15" s="40" t="str">
        <f>IF($C15="","",IFERROR(VLOOKUP($C15,Orders!$A:$J,9,FALSE),""))</f>
        <v/>
      </c>
      <c r="E15" s="40" t="str">
        <f>IF($C15="","",IFERROR(VLOOKUP($C15,Orders!$A:$J,3,FALSE),""))</f>
        <v/>
      </c>
      <c r="F15" s="40" t="str">
        <f>IF($C15="","",IFERROR(VLOOKUP($C15,Orders!$A:$J,4,FALSE),""))</f>
        <v/>
      </c>
      <c r="G15" s="40" t="str">
        <f>IF($C15="","",IFERROR(VLOOKUP($C15,Orders!$A:$J,5,FALSE),""))</f>
        <v/>
      </c>
      <c r="H15" s="40" t="str">
        <f>IF($C15="","",IFERROR(VLOOKUP($C15,Orders!$A:$J,6,FALSE),""))</f>
        <v/>
      </c>
      <c r="I15" s="40" t="str">
        <f>IF($C15="","",IFERROR(VLOOKUP($C15,Orders!$A:$J,7,FALSE),""))</f>
        <v/>
      </c>
      <c r="J15" s="40" t="str">
        <f>IF(Bids!$C15="","",Bids!$C15)</f>
        <v/>
      </c>
      <c r="K15" s="40" t="str">
        <f>IF($J15="","",IFERROR(VLOOKUP($J15,Grinders!$A:$N,2,FALSE),""))</f>
        <v/>
      </c>
      <c r="L15" s="40" t="str">
        <f>IF($J15="","",IFERROR(VLOOKUP($J15,Grinders!$A:$N,3,FALSE),""))</f>
        <v/>
      </c>
      <c r="M15" s="40" t="str">
        <f>IF($J15="","",IFERROR(VLOOKUP($J15,Grinders!$A:$N,4,FALSE),""))</f>
        <v/>
      </c>
      <c r="N15" s="40" t="str">
        <f>IF($J15="","",IFERROR(VLOOKUP($J15,Grinders!$A:$N,5,FALSE),""))</f>
        <v/>
      </c>
      <c r="O15" s="40" t="str">
        <f t="shared" si="2"/>
        <v/>
      </c>
      <c r="P15" s="40" t="str">
        <f>IF($J15="","",IFERROR(VLOOKUP($J15,Grinders!$A:$N,6,FALSE),""))</f>
        <v/>
      </c>
      <c r="Q15" s="40" t="str">
        <f>IF($J15="","",IFERROR(VLOOKUP($J15,Grinders!$A:$N,8,FALSE),""))</f>
        <v/>
      </c>
      <c r="R15" s="40" t="str">
        <f>IFERROR(IF($J15="","",IF($L15="Elite",MAX(50,MIN(100,Config!$B$27*MAX(0,MIN(100,(1-IF($O15="",0,$O15))*100)) + Config!$B$28*MAX(0,MIN(100,(1-MIN(1,IF(Config!$B$30=0,1,$P15/Config!$B$30)))*100)) + Config!$B$29*MAX(0,MIN(100,MIN(1,IF($Q15="",0,$Q15)/Config!$B$23)*100)))),MIN(100,Config!$B$27*MAX(0,MIN(100,(1-IF($O15="",0,$O15))*100)) + Config!$B$28*MAX(0,MIN(100,(1-MIN(1,IF(Config!$B$30=0,1,$P15/Config!$B$30)))*100)) + Config!$B$29*MAX(0,MIN(100,MIN(1,IF($Q15="",0,$Q15)/Config!$B$23)*100))))),"")
</f>
        <v/>
      </c>
      <c r="S15" s="40" t="str">
        <f>IF(Bids!$AC15="","",Bids!$AC15)</f>
        <v/>
      </c>
      <c r="T15" s="40" t="str">
        <f>IF(Bids!$F15="","",Bids!$F15)</f>
        <v/>
      </c>
      <c r="U15" s="40" t="str">
        <f t="shared" si="3"/>
        <v/>
      </c>
      <c r="V15" s="40" t="str">
        <f>IF($U15="","",IF(Config!$B$17=Config!$B$16,IF($U15&gt;=Config!$B$17,100,0),MAX(0,MIN(100,($U15-Config!$B$16)/(Config!$B$17-Config!$B$16)*100))))</f>
        <v/>
      </c>
      <c r="W15" s="40">
        <f>IF($L15="Elite",Config!$B$21,0)</f>
        <v>0</v>
      </c>
      <c r="X15" s="40" t="str">
        <f>IFERROR(IF(OR($T15="",$G15=""),"",IF($T15&gt;$G15,
  MAX(0, 60-(($T15-$G15)*24/Config!$B$19)*60),
  MEDIAN(60, 100, 60+(($G15-$T15)*24/Config!$B$20)*40)
)),"")
</f>
        <v/>
      </c>
      <c r="Y15" s="40" t="str">
        <f>IF($J15="","",IFERROR(VLOOKUP($J15,Grinders!$A:$N,10,FALSE),""))</f>
        <v/>
      </c>
      <c r="Z15" s="40" t="str">
        <f>IF($J15="","",IFERROR(VLOOKUP($J15,Grinders!$A:$N,11,FALSE),""))</f>
        <v/>
      </c>
      <c r="AA15" s="40" t="str">
        <f>IF($J15="","",IFERROR(VLOOKUP($J15,Grinders!$A:$N,12,FALSE),""))</f>
        <v/>
      </c>
      <c r="AB15" s="40" t="str">
        <f>IF(OR(AL15=1,AM15=1),0,=IFERROR(IF(OR($C15="",$J15=""),0,IF($D15&lt;&gt;"Open",0,IF(COUNTIFS(GrinderServices!$A:$A,$J15,GrinderServices!$B:$B,$E15,GrinderServices!$D:$D,"Y")=0,0,IF($U15&lt;Config!$B$16,0,IF(Config!$B$18=1,IF($N15&gt;=$M15,0,1),1))))),""))</f>
        <v>#ERROR!</v>
      </c>
      <c r="AC15" s="40" t="str">
        <f>IFERROR((IF(OR(AL15=1,AM15=1),"",=IFERROR((IFERROR(IF($AB15=0,"",((Config!$B$6*$V15 + Config!$B$7*$R15 + Config!$B$8*$W15 + Config!$B$9*$X15 + Config!$B$10*$Y15 + Config!$B$11*$Z15 - Config!$B$12*$AA15)/Config!$B$13)+$AH15+$AI15),""))*(1-IFERROR(VLOOKUP(J15,Grinders!$A:$AB, 28, FALSE),0)),"")))*(1+AO15),"")</f>
        <v>#ERROR!</v>
      </c>
      <c r="AD15" s="40" t="str">
        <f t="shared" si="4"/>
        <v/>
      </c>
      <c r="AE15" s="40" t="str">
        <f>IFERROR(__xludf.DUMMYFUNCTION("IF($AC15="""","""",IF($AC15=IFERROR(MAX(FILTER($AC$6:$AC$1000,$C$6:$C$1000=$C15,$AB$6:$AB$1000=1)),),""WINNER"",""""))"),"#ERROR!")</f>
        <v>#ERROR!</v>
      </c>
      <c r="AF15" s="40" t="str">
        <f t="shared" si="5"/>
        <v/>
      </c>
      <c r="AG15" s="40" t="str">
        <f>IF($J15="","",COUNTIF(Assignments!$B:$B,$J15))</f>
        <v/>
      </c>
      <c r="AH15" s="40" t="str">
        <f>IF($J15="","",IF(AND($AG15=0,$N15&lt;$M15),Config!$B$43,0))</f>
        <v/>
      </c>
      <c r="AI15" s="40" t="str">
        <f>IF($J15="","",IF(AND($L15="Elite",$F15&gt;=Config!$B$41,$N15&lt;$M15),Config!$B$42,0))</f>
        <v/>
      </c>
      <c r="AJ15" s="22"/>
      <c r="AK15" s="39">
        <f>IFERROR(VLOOKUP(J15,Grinders!$A:$Q,28,FALSE),0)</f>
        <v>0</v>
      </c>
      <c r="AL15" s="39">
        <f>IF(Config!$B$1003&lt;&gt;"Y",0,IF(IFERROR(VLOOKUP(J15,Grinders!$A:$P,27,FALSE),0)&gt;=3,IF(OR(F15&gt;=Config!$B$1001,ISNUMBER(SEARCH(E15,Config!$B$1002))),1,0),0))</f>
        <v>0</v>
      </c>
      <c r="AM15" s="39">
        <f t="array" ref="AM15">IFERROR(IF(INDEX(Bids!$AE:$AE,MATCH(B15,Bids!$A:$A,0))="Pending",1,0),0)</f>
        <v>0</v>
      </c>
      <c r="AN15" s="39" t="str">
        <f t="array" ref="AN15">IF(C15="","",IFERROR(XLOOKUP(C15,Assignments!$C:$C,Assignments!$AU:$AU,0),0))</f>
        <v/>
      </c>
      <c r="AO15" s="39">
        <f>IF(AND(Config!$B$1006="Y",AN15=1),Config!$B$1007,0)</f>
        <v>0</v>
      </c>
    </row>
    <row r="16">
      <c r="A16" s="46" t="str">
        <f t="shared" si="1"/>
        <v/>
      </c>
      <c r="B16" s="40" t="str">
        <f>IF(Bids!$A16="","",Bids!$A16)</f>
        <v/>
      </c>
      <c r="C16" s="40" t="str">
        <f>IF(Bids!$B16="","",Bids!$B16)</f>
        <v/>
      </c>
      <c r="D16" s="40" t="str">
        <f>IF($C16="","",IFERROR(VLOOKUP($C16,Orders!$A:$J,9,FALSE),""))</f>
        <v/>
      </c>
      <c r="E16" s="40" t="str">
        <f>IF($C16="","",IFERROR(VLOOKUP($C16,Orders!$A:$J,3,FALSE),""))</f>
        <v/>
      </c>
      <c r="F16" s="40" t="str">
        <f>IF($C16="","",IFERROR(VLOOKUP($C16,Orders!$A:$J,4,FALSE),""))</f>
        <v/>
      </c>
      <c r="G16" s="40" t="str">
        <f>IF($C16="","",IFERROR(VLOOKUP($C16,Orders!$A:$J,5,FALSE),""))</f>
        <v/>
      </c>
      <c r="H16" s="40" t="str">
        <f>IF($C16="","",IFERROR(VLOOKUP($C16,Orders!$A:$J,6,FALSE),""))</f>
        <v/>
      </c>
      <c r="I16" s="40" t="str">
        <f>IF($C16="","",IFERROR(VLOOKUP($C16,Orders!$A:$J,7,FALSE),""))</f>
        <v/>
      </c>
      <c r="J16" s="40" t="str">
        <f>IF(Bids!$C16="","",Bids!$C16)</f>
        <v/>
      </c>
      <c r="K16" s="40" t="str">
        <f>IF($J16="","",IFERROR(VLOOKUP($J16,Grinders!$A:$N,2,FALSE),""))</f>
        <v/>
      </c>
      <c r="L16" s="40" t="str">
        <f>IF($J16="","",IFERROR(VLOOKUP($J16,Grinders!$A:$N,3,FALSE),""))</f>
        <v/>
      </c>
      <c r="M16" s="40" t="str">
        <f>IF($J16="","",IFERROR(VLOOKUP($J16,Grinders!$A:$N,4,FALSE),""))</f>
        <v/>
      </c>
      <c r="N16" s="40" t="str">
        <f>IF($J16="","",IFERROR(VLOOKUP($J16,Grinders!$A:$N,5,FALSE),""))</f>
        <v/>
      </c>
      <c r="O16" s="40" t="str">
        <f t="shared" si="2"/>
        <v/>
      </c>
      <c r="P16" s="40" t="str">
        <f>IF($J16="","",IFERROR(VLOOKUP($J16,Grinders!$A:$N,6,FALSE),""))</f>
        <v/>
      </c>
      <c r="Q16" s="40" t="str">
        <f>IF($J16="","",IFERROR(VLOOKUP($J16,Grinders!$A:$N,8,FALSE),""))</f>
        <v/>
      </c>
      <c r="R16" s="40" t="str">
        <f>IFERROR(IF($J16="","",IF($L16="Elite",MAX(50,MIN(100,Config!$B$27*MAX(0,MIN(100,(1-IF($O16="",0,$O16))*100)) + Config!$B$28*MAX(0,MIN(100,(1-MIN(1,IF(Config!$B$30=0,1,$P16/Config!$B$30)))*100)) + Config!$B$29*MAX(0,MIN(100,MIN(1,IF($Q16="",0,$Q16)/Config!$B$23)*100)))),MIN(100,Config!$B$27*MAX(0,MIN(100,(1-IF($O16="",0,$O16))*100)) + Config!$B$28*MAX(0,MIN(100,(1-MIN(1,IF(Config!$B$30=0,1,$P16/Config!$B$30)))*100)) + Config!$B$29*MAX(0,MIN(100,MIN(1,IF($Q16="",0,$Q16)/Config!$B$23)*100))))),"")
</f>
        <v/>
      </c>
      <c r="S16" s="40" t="str">
        <f>IF(Bids!$AC16="","",Bids!$AC16)</f>
        <v/>
      </c>
      <c r="T16" s="40" t="str">
        <f>IF(Bids!$F16="","",Bids!$F16)</f>
        <v/>
      </c>
      <c r="U16" s="40" t="str">
        <f t="shared" si="3"/>
        <v/>
      </c>
      <c r="V16" s="40" t="str">
        <f>IF($U16="","",IF(Config!$B$17=Config!$B$16,IF($U16&gt;=Config!$B$17,100,0),MAX(0,MIN(100,($U16-Config!$B$16)/(Config!$B$17-Config!$B$16)*100))))</f>
        <v/>
      </c>
      <c r="W16" s="40">
        <f>IF($L16="Elite",Config!$B$21,0)</f>
        <v>0</v>
      </c>
      <c r="X16" s="40" t="str">
        <f>IFERROR(IF(OR($T16="",$G16=""),"",IF($T16&gt;$G16,
  MAX(0, 60-(($T16-$G16)*24/Config!$B$19)*60),
  MEDIAN(60, 100, 60+(($G16-$T16)*24/Config!$B$20)*40)
)),"")
</f>
        <v/>
      </c>
      <c r="Y16" s="40" t="str">
        <f>IF($J16="","",IFERROR(VLOOKUP($J16,Grinders!$A:$N,10,FALSE),""))</f>
        <v/>
      </c>
      <c r="Z16" s="40" t="str">
        <f>IF($J16="","",IFERROR(VLOOKUP($J16,Grinders!$A:$N,11,FALSE),""))</f>
        <v/>
      </c>
      <c r="AA16" s="40" t="str">
        <f>IF($J16="","",IFERROR(VLOOKUP($J16,Grinders!$A:$N,12,FALSE),""))</f>
        <v/>
      </c>
      <c r="AB16" s="40" t="str">
        <f>IF(OR(AL16=1,AM16=1),0,=IFERROR(IF(OR($C16="",$J16=""),0,IF($D16&lt;&gt;"Open",0,IF(COUNTIFS(GrinderServices!$A:$A,$J16,GrinderServices!$B:$B,$E16,GrinderServices!$D:$D,"Y")=0,0,IF($U16&lt;Config!$B$16,0,IF(Config!$B$18=1,IF($N16&gt;=$M16,0,1),1))))),""))</f>
        <v>#ERROR!</v>
      </c>
      <c r="AC16" s="40" t="str">
        <f>IFERROR((IF(OR(AL16=1,AM16=1),"",=IFERROR((IFERROR(IF($AB16=0,"",((Config!$B$6*$V16 + Config!$B$7*$R16 + Config!$B$8*$W16 + Config!$B$9*$X16 + Config!$B$10*$Y16 + Config!$B$11*$Z16 - Config!$B$12*$AA16)/Config!$B$13)+$AH16+$AI16),""))*(1-IFERROR(VLOOKUP(J16,Grinders!$A:$AB, 28, FALSE),0)),"")))*(1+AO16),"")</f>
        <v>#ERROR!</v>
      </c>
      <c r="AD16" s="40" t="str">
        <f t="shared" si="4"/>
        <v/>
      </c>
      <c r="AE16" s="40" t="str">
        <f>IFERROR(__xludf.DUMMYFUNCTION("IF($AC16="""","""",IF($AC16=IFERROR(MAX(FILTER($AC$6:$AC$1000,$C$6:$C$1000=$C16,$AB$6:$AB$1000=1)),),""WINNER"",""""))"),"#ERROR!")</f>
        <v>#ERROR!</v>
      </c>
      <c r="AF16" s="40" t="str">
        <f t="shared" si="5"/>
        <v/>
      </c>
      <c r="AG16" s="40" t="str">
        <f>IF($J16="","",COUNTIF(Assignments!$B:$B,$J16))</f>
        <v/>
      </c>
      <c r="AH16" s="40" t="str">
        <f>IF($J16="","",IF(AND($AG16=0,$N16&lt;$M16),Config!$B$43,0))</f>
        <v/>
      </c>
      <c r="AI16" s="40" t="str">
        <f>IF($J16="","",IF(AND($L16="Elite",$F16&gt;=Config!$B$41,$N16&lt;$M16),Config!$B$42,0))</f>
        <v/>
      </c>
      <c r="AJ16" s="22"/>
      <c r="AK16" s="39">
        <f>IFERROR(VLOOKUP(J16,Grinders!$A:$Q,28,FALSE),0)</f>
        <v>0</v>
      </c>
      <c r="AL16" s="39">
        <f>IF(Config!$B$1003&lt;&gt;"Y",0,IF(IFERROR(VLOOKUP(J16,Grinders!$A:$P,27,FALSE),0)&gt;=3,IF(OR(F16&gt;=Config!$B$1001,ISNUMBER(SEARCH(E16,Config!$B$1002))),1,0),0))</f>
        <v>0</v>
      </c>
      <c r="AM16" s="39">
        <f t="array" ref="AM16">IFERROR(IF(INDEX(Bids!$AE:$AE,MATCH(B16,Bids!$A:$A,0))="Pending",1,0),0)</f>
        <v>0</v>
      </c>
      <c r="AN16" s="39" t="str">
        <f t="array" ref="AN16">IF(C16="","",IFERROR(XLOOKUP(C16,Assignments!$C:$C,Assignments!$AU:$AU,0),0))</f>
        <v/>
      </c>
      <c r="AO16" s="39">
        <f>IF(AND(Config!$B$1006="Y",AN16=1),Config!$B$1007,0)</f>
        <v>0</v>
      </c>
    </row>
    <row r="17">
      <c r="A17" s="46" t="str">
        <f t="shared" si="1"/>
        <v/>
      </c>
      <c r="B17" s="40" t="str">
        <f>IF(Bids!$A17="","",Bids!$A17)</f>
        <v/>
      </c>
      <c r="C17" s="40" t="str">
        <f>IF(Bids!$B17="","",Bids!$B17)</f>
        <v/>
      </c>
      <c r="D17" s="40" t="str">
        <f>IF($C17="","",IFERROR(VLOOKUP($C17,Orders!$A:$J,9,FALSE),""))</f>
        <v/>
      </c>
      <c r="E17" s="40" t="str">
        <f>IF($C17="","",IFERROR(VLOOKUP($C17,Orders!$A:$J,3,FALSE),""))</f>
        <v/>
      </c>
      <c r="F17" s="40" t="str">
        <f>IF($C17="","",IFERROR(VLOOKUP($C17,Orders!$A:$J,4,FALSE),""))</f>
        <v/>
      </c>
      <c r="G17" s="40" t="str">
        <f>IF($C17="","",IFERROR(VLOOKUP($C17,Orders!$A:$J,5,FALSE),""))</f>
        <v/>
      </c>
      <c r="H17" s="40" t="str">
        <f>IF($C17="","",IFERROR(VLOOKUP($C17,Orders!$A:$J,6,FALSE),""))</f>
        <v/>
      </c>
      <c r="I17" s="40" t="str">
        <f>IF($C17="","",IFERROR(VLOOKUP($C17,Orders!$A:$J,7,FALSE),""))</f>
        <v/>
      </c>
      <c r="J17" s="40" t="str">
        <f>IF(Bids!$C17="","",Bids!$C17)</f>
        <v/>
      </c>
      <c r="K17" s="40" t="str">
        <f>IF($J17="","",IFERROR(VLOOKUP($J17,Grinders!$A:$N,2,FALSE),""))</f>
        <v/>
      </c>
      <c r="L17" s="40" t="str">
        <f>IF($J17="","",IFERROR(VLOOKUP($J17,Grinders!$A:$N,3,FALSE),""))</f>
        <v/>
      </c>
      <c r="M17" s="40" t="str">
        <f>IF($J17="","",IFERROR(VLOOKUP($J17,Grinders!$A:$N,4,FALSE),""))</f>
        <v/>
      </c>
      <c r="N17" s="40" t="str">
        <f>IF($J17="","",IFERROR(VLOOKUP($J17,Grinders!$A:$N,5,FALSE),""))</f>
        <v/>
      </c>
      <c r="O17" s="40" t="str">
        <f t="shared" si="2"/>
        <v/>
      </c>
      <c r="P17" s="40" t="str">
        <f>IF($J17="","",IFERROR(VLOOKUP($J17,Grinders!$A:$N,6,FALSE),""))</f>
        <v/>
      </c>
      <c r="Q17" s="40" t="str">
        <f>IF($J17="","",IFERROR(VLOOKUP($J17,Grinders!$A:$N,8,FALSE),""))</f>
        <v/>
      </c>
      <c r="R17" s="40" t="str">
        <f>IFERROR(IF($J17="","",IF($L17="Elite",MAX(50,MIN(100,Config!$B$27*MAX(0,MIN(100,(1-IF($O17="",0,$O17))*100)) + Config!$B$28*MAX(0,MIN(100,(1-MIN(1,IF(Config!$B$30=0,1,$P17/Config!$B$30)))*100)) + Config!$B$29*MAX(0,MIN(100,MIN(1,IF($Q17="",0,$Q17)/Config!$B$23)*100)))),MIN(100,Config!$B$27*MAX(0,MIN(100,(1-IF($O17="",0,$O17))*100)) + Config!$B$28*MAX(0,MIN(100,(1-MIN(1,IF(Config!$B$30=0,1,$P17/Config!$B$30)))*100)) + Config!$B$29*MAX(0,MIN(100,MIN(1,IF($Q17="",0,$Q17)/Config!$B$23)*100))))),"")
</f>
        <v/>
      </c>
      <c r="S17" s="40" t="str">
        <f>IF(Bids!$AC17="","",Bids!$AC17)</f>
        <v/>
      </c>
      <c r="T17" s="40" t="str">
        <f>IF(Bids!$F17="","",Bids!$F17)</f>
        <v/>
      </c>
      <c r="U17" s="40" t="str">
        <f t="shared" si="3"/>
        <v/>
      </c>
      <c r="V17" s="40" t="str">
        <f>IF($U17="","",IF(Config!$B$17=Config!$B$16,IF($U17&gt;=Config!$B$17,100,0),MAX(0,MIN(100,($U17-Config!$B$16)/(Config!$B$17-Config!$B$16)*100))))</f>
        <v/>
      </c>
      <c r="W17" s="40">
        <f>IF($L17="Elite",Config!$B$21,0)</f>
        <v>0</v>
      </c>
      <c r="X17" s="40" t="str">
        <f>IFERROR(IF(OR($T17="",$G17=""),"",IF($T17&gt;$G17,
  MAX(0, 60-(($T17-$G17)*24/Config!$B$19)*60),
  MEDIAN(60, 100, 60+(($G17-$T17)*24/Config!$B$20)*40)
)),"")
</f>
        <v/>
      </c>
      <c r="Y17" s="40" t="str">
        <f>IF($J17="","",IFERROR(VLOOKUP($J17,Grinders!$A:$N,10,FALSE),""))</f>
        <v/>
      </c>
      <c r="Z17" s="40" t="str">
        <f>IF($J17="","",IFERROR(VLOOKUP($J17,Grinders!$A:$N,11,FALSE),""))</f>
        <v/>
      </c>
      <c r="AA17" s="40" t="str">
        <f>IF($J17="","",IFERROR(VLOOKUP($J17,Grinders!$A:$N,12,FALSE),""))</f>
        <v/>
      </c>
      <c r="AB17" s="40" t="str">
        <f>IF(OR(AL17=1,AM17=1),0,=IFERROR(IF(OR($C17="",$J17=""),0,IF($D17&lt;&gt;"Open",0,IF(COUNTIFS(GrinderServices!$A:$A,$J17,GrinderServices!$B:$B,$E17,GrinderServices!$D:$D,"Y")=0,0,IF($U17&lt;Config!$B$16,0,IF(Config!$B$18=1,IF($N17&gt;=$M17,0,1),1))))),""))</f>
        <v>#ERROR!</v>
      </c>
      <c r="AC17" s="40" t="str">
        <f>IFERROR((IF(OR(AL17=1,AM17=1),"",=IFERROR((IFERROR(IF($AB17=0,"",((Config!$B$6*$V17 + Config!$B$7*$R17 + Config!$B$8*$W17 + Config!$B$9*$X17 + Config!$B$10*$Y17 + Config!$B$11*$Z17 - Config!$B$12*$AA17)/Config!$B$13)+$AH17+$AI17),""))*(1-IFERROR(VLOOKUP(J17,Grinders!$A:$AB, 28, FALSE),0)),"")))*(1+AO17),"")</f>
        <v>#ERROR!</v>
      </c>
      <c r="AD17" s="40" t="str">
        <f t="shared" si="4"/>
        <v/>
      </c>
      <c r="AE17" s="40" t="str">
        <f>IFERROR(__xludf.DUMMYFUNCTION("IF($AC17="""","""",IF($AC17=IFERROR(MAX(FILTER($AC$6:$AC$1000,$C$6:$C$1000=$C17,$AB$6:$AB$1000=1)),),""WINNER"",""""))"),"#ERROR!")</f>
        <v>#ERROR!</v>
      </c>
      <c r="AF17" s="40" t="str">
        <f t="shared" si="5"/>
        <v/>
      </c>
      <c r="AG17" s="40" t="str">
        <f>IF($J17="","",COUNTIF(Assignments!$B:$B,$J17))</f>
        <v/>
      </c>
      <c r="AH17" s="40" t="str">
        <f>IF($J17="","",IF(AND($AG17=0,$N17&lt;$M17),Config!$B$43,0))</f>
        <v/>
      </c>
      <c r="AI17" s="40" t="str">
        <f>IF($J17="","",IF(AND($L17="Elite",$F17&gt;=Config!$B$41,$N17&lt;$M17),Config!$B$42,0))</f>
        <v/>
      </c>
      <c r="AJ17" s="22"/>
      <c r="AK17" s="39">
        <f>IFERROR(VLOOKUP(J17,Grinders!$A:$Q,28,FALSE),0)</f>
        <v>0</v>
      </c>
      <c r="AL17" s="39">
        <f>IF(Config!$B$1003&lt;&gt;"Y",0,IF(IFERROR(VLOOKUP(J17,Grinders!$A:$P,27,FALSE),0)&gt;=3,IF(OR(F17&gt;=Config!$B$1001,ISNUMBER(SEARCH(E17,Config!$B$1002))),1,0),0))</f>
        <v>0</v>
      </c>
      <c r="AM17" s="39">
        <f t="array" ref="AM17">IFERROR(IF(INDEX(Bids!$AE:$AE,MATCH(B17,Bids!$A:$A,0))="Pending",1,0),0)</f>
        <v>0</v>
      </c>
      <c r="AN17" s="39" t="str">
        <f t="array" ref="AN17">IF(C17="","",IFERROR(XLOOKUP(C17,Assignments!$C:$C,Assignments!$AU:$AU,0),0))</f>
        <v/>
      </c>
      <c r="AO17" s="39">
        <f>IF(AND(Config!$B$1006="Y",AN17=1),Config!$B$1007,0)</f>
        <v>0</v>
      </c>
    </row>
    <row r="18">
      <c r="A18" s="46" t="str">
        <f t="shared" si="1"/>
        <v/>
      </c>
      <c r="B18" s="40" t="str">
        <f>IF(Bids!$A18="","",Bids!$A18)</f>
        <v/>
      </c>
      <c r="C18" s="40" t="str">
        <f>IF(Bids!$B18="","",Bids!$B18)</f>
        <v/>
      </c>
      <c r="D18" s="40" t="str">
        <f>IF($C18="","",IFERROR(VLOOKUP($C18,Orders!$A:$J,9,FALSE),""))</f>
        <v/>
      </c>
      <c r="E18" s="40" t="str">
        <f>IF($C18="","",IFERROR(VLOOKUP($C18,Orders!$A:$J,3,FALSE),""))</f>
        <v/>
      </c>
      <c r="F18" s="40" t="str">
        <f>IF($C18="","",IFERROR(VLOOKUP($C18,Orders!$A:$J,4,FALSE),""))</f>
        <v/>
      </c>
      <c r="G18" s="40" t="str">
        <f>IF($C18="","",IFERROR(VLOOKUP($C18,Orders!$A:$J,5,FALSE),""))</f>
        <v/>
      </c>
      <c r="H18" s="40" t="str">
        <f>IF($C18="","",IFERROR(VLOOKUP($C18,Orders!$A:$J,6,FALSE),""))</f>
        <v/>
      </c>
      <c r="I18" s="40" t="str">
        <f>IF($C18="","",IFERROR(VLOOKUP($C18,Orders!$A:$J,7,FALSE),""))</f>
        <v/>
      </c>
      <c r="J18" s="40" t="str">
        <f>IF(Bids!$C18="","",Bids!$C18)</f>
        <v/>
      </c>
      <c r="K18" s="40" t="str">
        <f>IF($J18="","",IFERROR(VLOOKUP($J18,Grinders!$A:$N,2,FALSE),""))</f>
        <v/>
      </c>
      <c r="L18" s="40" t="str">
        <f>IF($J18="","",IFERROR(VLOOKUP($J18,Grinders!$A:$N,3,FALSE),""))</f>
        <v/>
      </c>
      <c r="M18" s="40" t="str">
        <f>IF($J18="","",IFERROR(VLOOKUP($J18,Grinders!$A:$N,4,FALSE),""))</f>
        <v/>
      </c>
      <c r="N18" s="40" t="str">
        <f>IF($J18="","",IFERROR(VLOOKUP($J18,Grinders!$A:$N,5,FALSE),""))</f>
        <v/>
      </c>
      <c r="O18" s="40" t="str">
        <f t="shared" si="2"/>
        <v/>
      </c>
      <c r="P18" s="40" t="str">
        <f>IF($J18="","",IFERROR(VLOOKUP($J18,Grinders!$A:$N,6,FALSE),""))</f>
        <v/>
      </c>
      <c r="Q18" s="40" t="str">
        <f>IF($J18="","",IFERROR(VLOOKUP($J18,Grinders!$A:$N,8,FALSE),""))</f>
        <v/>
      </c>
      <c r="R18" s="40" t="str">
        <f>IFERROR(IF($J18="","",IF($L18="Elite",MAX(50,MIN(100,Config!$B$27*MAX(0,MIN(100,(1-IF($O18="",0,$O18))*100)) + Config!$B$28*MAX(0,MIN(100,(1-MIN(1,IF(Config!$B$30=0,1,$P18/Config!$B$30)))*100)) + Config!$B$29*MAX(0,MIN(100,MIN(1,IF($Q18="",0,$Q18)/Config!$B$23)*100)))),MIN(100,Config!$B$27*MAX(0,MIN(100,(1-IF($O18="",0,$O18))*100)) + Config!$B$28*MAX(0,MIN(100,(1-MIN(1,IF(Config!$B$30=0,1,$P18/Config!$B$30)))*100)) + Config!$B$29*MAX(0,MIN(100,MIN(1,IF($Q18="",0,$Q18)/Config!$B$23)*100))))),"")
</f>
        <v/>
      </c>
      <c r="S18" s="40" t="str">
        <f>IF(Bids!$AC18="","",Bids!$AC18)</f>
        <v/>
      </c>
      <c r="T18" s="40" t="str">
        <f>IF(Bids!$F18="","",Bids!$F18)</f>
        <v/>
      </c>
      <c r="U18" s="40" t="str">
        <f t="shared" si="3"/>
        <v/>
      </c>
      <c r="V18" s="40" t="str">
        <f>IF($U18="","",IF(Config!$B$17=Config!$B$16,IF($U18&gt;=Config!$B$17,100,0),MAX(0,MIN(100,($U18-Config!$B$16)/(Config!$B$17-Config!$B$16)*100))))</f>
        <v/>
      </c>
      <c r="W18" s="40">
        <f>IF($L18="Elite",Config!$B$21,0)</f>
        <v>0</v>
      </c>
      <c r="X18" s="40" t="str">
        <f>IFERROR(IF(OR($T18="",$G18=""),"",IF($T18&gt;$G18,
  MAX(0, 60-(($T18-$G18)*24/Config!$B$19)*60),
  MEDIAN(60, 100, 60+(($G18-$T18)*24/Config!$B$20)*40)
)),"")
</f>
        <v/>
      </c>
      <c r="Y18" s="40" t="str">
        <f>IF($J18="","",IFERROR(VLOOKUP($J18,Grinders!$A:$N,10,FALSE),""))</f>
        <v/>
      </c>
      <c r="Z18" s="40" t="str">
        <f>IF($J18="","",IFERROR(VLOOKUP($J18,Grinders!$A:$N,11,FALSE),""))</f>
        <v/>
      </c>
      <c r="AA18" s="40" t="str">
        <f>IF($J18="","",IFERROR(VLOOKUP($J18,Grinders!$A:$N,12,FALSE),""))</f>
        <v/>
      </c>
      <c r="AB18" s="40" t="str">
        <f>IF(OR(AL18=1,AM18=1),0,=IFERROR(IF(OR($C18="",$J18=""),0,IF($D18&lt;&gt;"Open",0,IF(COUNTIFS(GrinderServices!$A:$A,$J18,GrinderServices!$B:$B,$E18,GrinderServices!$D:$D,"Y")=0,0,IF($U18&lt;Config!$B$16,0,IF(Config!$B$18=1,IF($N18&gt;=$M18,0,1),1))))),""))</f>
        <v>#ERROR!</v>
      </c>
      <c r="AC18" s="40" t="str">
        <f>IFERROR((IF(OR(AL18=1,AM18=1),"",=IFERROR((IFERROR(IF($AB18=0,"",((Config!$B$6*$V18 + Config!$B$7*$R18 + Config!$B$8*$W18 + Config!$B$9*$X18 + Config!$B$10*$Y18 + Config!$B$11*$Z18 - Config!$B$12*$AA18)/Config!$B$13)+$AH18+$AI18),""))*(1-IFERROR(VLOOKUP(J18,Grinders!$A:$AB, 28, FALSE),0)),"")))*(1+AO18),"")</f>
        <v>#ERROR!</v>
      </c>
      <c r="AD18" s="40" t="str">
        <f t="shared" si="4"/>
        <v/>
      </c>
      <c r="AE18" s="40" t="str">
        <f>IFERROR(__xludf.DUMMYFUNCTION("IF($AC18="""","""",IF($AC18=IFERROR(MAX(FILTER($AC$6:$AC$1000,$C$6:$C$1000=$C18,$AB$6:$AB$1000=1)),),""WINNER"",""""))"),"#ERROR!")</f>
        <v>#ERROR!</v>
      </c>
      <c r="AF18" s="40" t="str">
        <f t="shared" si="5"/>
        <v/>
      </c>
      <c r="AG18" s="40" t="str">
        <f>IF($J18="","",COUNTIF(Assignments!$B:$B,$J18))</f>
        <v/>
      </c>
      <c r="AH18" s="40" t="str">
        <f>IF($J18="","",IF(AND($AG18=0,$N18&lt;$M18),Config!$B$43,0))</f>
        <v/>
      </c>
      <c r="AI18" s="40" t="str">
        <f>IF($J18="","",IF(AND($L18="Elite",$F18&gt;=Config!$B$41,$N18&lt;$M18),Config!$B$42,0))</f>
        <v/>
      </c>
      <c r="AJ18" s="22"/>
      <c r="AK18" s="39">
        <f>IFERROR(VLOOKUP(J18,Grinders!$A:$Q,28,FALSE),0)</f>
        <v>0</v>
      </c>
      <c r="AL18" s="39">
        <f>IF(Config!$B$1003&lt;&gt;"Y",0,IF(IFERROR(VLOOKUP(J18,Grinders!$A:$P,27,FALSE),0)&gt;=3,IF(OR(F18&gt;=Config!$B$1001,ISNUMBER(SEARCH(E18,Config!$B$1002))),1,0),0))</f>
        <v>0</v>
      </c>
      <c r="AM18" s="39">
        <f t="array" ref="AM18">IFERROR(IF(INDEX(Bids!$AE:$AE,MATCH(B18,Bids!$A:$A,0))="Pending",1,0),0)</f>
        <v>0</v>
      </c>
      <c r="AN18" s="39" t="str">
        <f t="array" ref="AN18">IF(C18="","",IFERROR(XLOOKUP(C18,Assignments!$C:$C,Assignments!$AU:$AU,0),0))</f>
        <v/>
      </c>
      <c r="AO18" s="39">
        <f>IF(AND(Config!$B$1006="Y",AN18=1),Config!$B$1007,0)</f>
        <v>0</v>
      </c>
    </row>
    <row r="19">
      <c r="A19" s="46" t="str">
        <f t="shared" si="1"/>
        <v/>
      </c>
      <c r="B19" s="40" t="str">
        <f>IF(Bids!$A19="","",Bids!$A19)</f>
        <v/>
      </c>
      <c r="C19" s="40" t="str">
        <f>IF(Bids!$B19="","",Bids!$B19)</f>
        <v/>
      </c>
      <c r="D19" s="40" t="str">
        <f>IF($C19="","",IFERROR(VLOOKUP($C19,Orders!$A:$J,9,FALSE),""))</f>
        <v/>
      </c>
      <c r="E19" s="40" t="str">
        <f>IF($C19="","",IFERROR(VLOOKUP($C19,Orders!$A:$J,3,FALSE),""))</f>
        <v/>
      </c>
      <c r="F19" s="40" t="str">
        <f>IF($C19="","",IFERROR(VLOOKUP($C19,Orders!$A:$J,4,FALSE),""))</f>
        <v/>
      </c>
      <c r="G19" s="40" t="str">
        <f>IF($C19="","",IFERROR(VLOOKUP($C19,Orders!$A:$J,5,FALSE),""))</f>
        <v/>
      </c>
      <c r="H19" s="40" t="str">
        <f>IF($C19="","",IFERROR(VLOOKUP($C19,Orders!$A:$J,6,FALSE),""))</f>
        <v/>
      </c>
      <c r="I19" s="40" t="str">
        <f>IF($C19="","",IFERROR(VLOOKUP($C19,Orders!$A:$J,7,FALSE),""))</f>
        <v/>
      </c>
      <c r="J19" s="40" t="str">
        <f>IF(Bids!$C19="","",Bids!$C19)</f>
        <v/>
      </c>
      <c r="K19" s="40" t="str">
        <f>IF($J19="","",IFERROR(VLOOKUP($J19,Grinders!$A:$N,2,FALSE),""))</f>
        <v/>
      </c>
      <c r="L19" s="40" t="str">
        <f>IF($J19="","",IFERROR(VLOOKUP($J19,Grinders!$A:$N,3,FALSE),""))</f>
        <v/>
      </c>
      <c r="M19" s="40" t="str">
        <f>IF($J19="","",IFERROR(VLOOKUP($J19,Grinders!$A:$N,4,FALSE),""))</f>
        <v/>
      </c>
      <c r="N19" s="40" t="str">
        <f>IF($J19="","",IFERROR(VLOOKUP($J19,Grinders!$A:$N,5,FALSE),""))</f>
        <v/>
      </c>
      <c r="O19" s="40" t="str">
        <f t="shared" si="2"/>
        <v/>
      </c>
      <c r="P19" s="40" t="str">
        <f>IF($J19="","",IFERROR(VLOOKUP($J19,Grinders!$A:$N,6,FALSE),""))</f>
        <v/>
      </c>
      <c r="Q19" s="40" t="str">
        <f>IF($J19="","",IFERROR(VLOOKUP($J19,Grinders!$A:$N,8,FALSE),""))</f>
        <v/>
      </c>
      <c r="R19" s="40" t="str">
        <f>IFERROR(IF($J19="","",IF($L19="Elite",MAX(50,MIN(100,Config!$B$27*MAX(0,MIN(100,(1-IF($O19="",0,$O19))*100)) + Config!$B$28*MAX(0,MIN(100,(1-MIN(1,IF(Config!$B$30=0,1,$P19/Config!$B$30)))*100)) + Config!$B$29*MAX(0,MIN(100,MIN(1,IF($Q19="",0,$Q19)/Config!$B$23)*100)))),MIN(100,Config!$B$27*MAX(0,MIN(100,(1-IF($O19="",0,$O19))*100)) + Config!$B$28*MAX(0,MIN(100,(1-MIN(1,IF(Config!$B$30=0,1,$P19/Config!$B$30)))*100)) + Config!$B$29*MAX(0,MIN(100,MIN(1,IF($Q19="",0,$Q19)/Config!$B$23)*100))))),"")
</f>
        <v/>
      </c>
      <c r="S19" s="40" t="str">
        <f>IF(Bids!$AC19="","",Bids!$AC19)</f>
        <v/>
      </c>
      <c r="T19" s="40" t="str">
        <f>IF(Bids!$F19="","",Bids!$F19)</f>
        <v/>
      </c>
      <c r="U19" s="40" t="str">
        <f t="shared" si="3"/>
        <v/>
      </c>
      <c r="V19" s="40" t="str">
        <f>IF($U19="","",IF(Config!$B$17=Config!$B$16,IF($U19&gt;=Config!$B$17,100,0),MAX(0,MIN(100,($U19-Config!$B$16)/(Config!$B$17-Config!$B$16)*100))))</f>
        <v/>
      </c>
      <c r="W19" s="40">
        <f>IF($L19="Elite",Config!$B$21,0)</f>
        <v>0</v>
      </c>
      <c r="X19" s="40" t="str">
        <f>IFERROR(IF(OR($T19="",$G19=""),"",IF($T19&gt;$G19,
  MAX(0, 60-(($T19-$G19)*24/Config!$B$19)*60),
  MEDIAN(60, 100, 60+(($G19-$T19)*24/Config!$B$20)*40)
)),"")
</f>
        <v/>
      </c>
      <c r="Y19" s="40" t="str">
        <f>IF($J19="","",IFERROR(VLOOKUP($J19,Grinders!$A:$N,10,FALSE),""))</f>
        <v/>
      </c>
      <c r="Z19" s="40" t="str">
        <f>IF($J19="","",IFERROR(VLOOKUP($J19,Grinders!$A:$N,11,FALSE),""))</f>
        <v/>
      </c>
      <c r="AA19" s="40" t="str">
        <f>IF($J19="","",IFERROR(VLOOKUP($J19,Grinders!$A:$N,12,FALSE),""))</f>
        <v/>
      </c>
      <c r="AB19" s="40" t="str">
        <f>IF(OR(AL19=1,AM19=1),0,=IFERROR(IF(OR($C19="",$J19=""),0,IF($D19&lt;&gt;"Open",0,IF(COUNTIFS(GrinderServices!$A:$A,$J19,GrinderServices!$B:$B,$E19,GrinderServices!$D:$D,"Y")=0,0,IF($U19&lt;Config!$B$16,0,IF(Config!$B$18=1,IF($N19&gt;=$M19,0,1),1))))),""))</f>
        <v>#ERROR!</v>
      </c>
      <c r="AC19" s="40" t="str">
        <f>IFERROR((IF(OR(AL19=1,AM19=1),"",=IFERROR((IFERROR(IF($AB19=0,"",((Config!$B$6*$V19 + Config!$B$7*$R19 + Config!$B$8*$W19 + Config!$B$9*$X19 + Config!$B$10*$Y19 + Config!$B$11*$Z19 - Config!$B$12*$AA19)/Config!$B$13)+$AH19+$AI19),""))*(1-IFERROR(VLOOKUP(J19,Grinders!$A:$AB, 28, FALSE),0)),"")))*(1+AO19),"")</f>
        <v>#ERROR!</v>
      </c>
      <c r="AD19" s="40" t="str">
        <f t="shared" si="4"/>
        <v/>
      </c>
      <c r="AE19" s="40" t="str">
        <f>IFERROR(__xludf.DUMMYFUNCTION("IF($AC19="""","""",IF($AC19=IFERROR(MAX(FILTER($AC$6:$AC$1000,$C$6:$C$1000=$C19,$AB$6:$AB$1000=1)),),""WINNER"",""""))"),"#ERROR!")</f>
        <v>#ERROR!</v>
      </c>
      <c r="AF19" s="40" t="str">
        <f t="shared" si="5"/>
        <v/>
      </c>
      <c r="AG19" s="40" t="str">
        <f>IF($J19="","",COUNTIF(Assignments!$B:$B,$J19))</f>
        <v/>
      </c>
      <c r="AH19" s="40" t="str">
        <f>IF($J19="","",IF(AND($AG19=0,$N19&lt;$M19),Config!$B$43,0))</f>
        <v/>
      </c>
      <c r="AI19" s="40" t="str">
        <f>IF($J19="","",IF(AND($L19="Elite",$F19&gt;=Config!$B$41,$N19&lt;$M19),Config!$B$42,0))</f>
        <v/>
      </c>
      <c r="AJ19" s="22"/>
      <c r="AK19" s="39">
        <f>IFERROR(VLOOKUP(J19,Grinders!$A:$Q,28,FALSE),0)</f>
        <v>0</v>
      </c>
      <c r="AL19" s="39">
        <f>IF(Config!$B$1003&lt;&gt;"Y",0,IF(IFERROR(VLOOKUP(J19,Grinders!$A:$P,27,FALSE),0)&gt;=3,IF(OR(F19&gt;=Config!$B$1001,ISNUMBER(SEARCH(E19,Config!$B$1002))),1,0),0))</f>
        <v>0</v>
      </c>
      <c r="AM19" s="39">
        <f t="array" ref="AM19">IFERROR(IF(INDEX(Bids!$AE:$AE,MATCH(B19,Bids!$A:$A,0))="Pending",1,0),0)</f>
        <v>0</v>
      </c>
      <c r="AN19" s="39" t="str">
        <f t="array" ref="AN19">IF(C19="","",IFERROR(XLOOKUP(C19,Assignments!$C:$C,Assignments!$AU:$AU,0),0))</f>
        <v/>
      </c>
      <c r="AO19" s="39">
        <f>IF(AND(Config!$B$1006="Y",AN19=1),Config!$B$1007,0)</f>
        <v>0</v>
      </c>
    </row>
    <row r="20">
      <c r="A20" s="46" t="str">
        <f t="shared" si="1"/>
        <v/>
      </c>
      <c r="B20" s="40" t="str">
        <f>IF(Bids!$A20="","",Bids!$A20)</f>
        <v/>
      </c>
      <c r="C20" s="40" t="str">
        <f>IF(Bids!$B20="","",Bids!$B20)</f>
        <v/>
      </c>
      <c r="D20" s="40" t="str">
        <f>IF($C20="","",IFERROR(VLOOKUP($C20,Orders!$A:$J,9,FALSE),""))</f>
        <v/>
      </c>
      <c r="E20" s="40" t="str">
        <f>IF($C20="","",IFERROR(VLOOKUP($C20,Orders!$A:$J,3,FALSE),""))</f>
        <v/>
      </c>
      <c r="F20" s="40" t="str">
        <f>IF($C20="","",IFERROR(VLOOKUP($C20,Orders!$A:$J,4,FALSE),""))</f>
        <v/>
      </c>
      <c r="G20" s="40" t="str">
        <f>IF($C20="","",IFERROR(VLOOKUP($C20,Orders!$A:$J,5,FALSE),""))</f>
        <v/>
      </c>
      <c r="H20" s="40" t="str">
        <f>IF($C20="","",IFERROR(VLOOKUP($C20,Orders!$A:$J,6,FALSE),""))</f>
        <v/>
      </c>
      <c r="I20" s="40" t="str">
        <f>IF($C20="","",IFERROR(VLOOKUP($C20,Orders!$A:$J,7,FALSE),""))</f>
        <v/>
      </c>
      <c r="J20" s="40" t="str">
        <f>IF(Bids!$C20="","",Bids!$C20)</f>
        <v/>
      </c>
      <c r="K20" s="40" t="str">
        <f>IF($J20="","",IFERROR(VLOOKUP($J20,Grinders!$A:$N,2,FALSE),""))</f>
        <v/>
      </c>
      <c r="L20" s="40" t="str">
        <f>IF($J20="","",IFERROR(VLOOKUP($J20,Grinders!$A:$N,3,FALSE),""))</f>
        <v/>
      </c>
      <c r="M20" s="40" t="str">
        <f>IF($J20="","",IFERROR(VLOOKUP($J20,Grinders!$A:$N,4,FALSE),""))</f>
        <v/>
      </c>
      <c r="N20" s="40" t="str">
        <f>IF($J20="","",IFERROR(VLOOKUP($J20,Grinders!$A:$N,5,FALSE),""))</f>
        <v/>
      </c>
      <c r="O20" s="40" t="str">
        <f t="shared" si="2"/>
        <v/>
      </c>
      <c r="P20" s="40" t="str">
        <f>IF($J20="","",IFERROR(VLOOKUP($J20,Grinders!$A:$N,6,FALSE),""))</f>
        <v/>
      </c>
      <c r="Q20" s="40" t="str">
        <f>IF($J20="","",IFERROR(VLOOKUP($J20,Grinders!$A:$N,8,FALSE),""))</f>
        <v/>
      </c>
      <c r="R20" s="40" t="str">
        <f>IFERROR(IF($J20="","",IF($L20="Elite",MAX(50,MIN(100,Config!$B$27*MAX(0,MIN(100,(1-IF($O20="",0,$O20))*100)) + Config!$B$28*MAX(0,MIN(100,(1-MIN(1,IF(Config!$B$30=0,1,$P20/Config!$B$30)))*100)) + Config!$B$29*MAX(0,MIN(100,MIN(1,IF($Q20="",0,$Q20)/Config!$B$23)*100)))),MIN(100,Config!$B$27*MAX(0,MIN(100,(1-IF($O20="",0,$O20))*100)) + Config!$B$28*MAX(0,MIN(100,(1-MIN(1,IF(Config!$B$30=0,1,$P20/Config!$B$30)))*100)) + Config!$B$29*MAX(0,MIN(100,MIN(1,IF($Q20="",0,$Q20)/Config!$B$23)*100))))),"")
</f>
        <v/>
      </c>
      <c r="S20" s="40" t="str">
        <f>IF(Bids!$AC20="","",Bids!$AC20)</f>
        <v/>
      </c>
      <c r="T20" s="40" t="str">
        <f>IF(Bids!$F20="","",Bids!$F20)</f>
        <v/>
      </c>
      <c r="U20" s="40" t="str">
        <f t="shared" si="3"/>
        <v/>
      </c>
      <c r="V20" s="40" t="str">
        <f>IF($U20="","",IF(Config!$B$17=Config!$B$16,IF($U20&gt;=Config!$B$17,100,0),MAX(0,MIN(100,($U20-Config!$B$16)/(Config!$B$17-Config!$B$16)*100))))</f>
        <v/>
      </c>
      <c r="W20" s="40">
        <f>IF($L20="Elite",Config!$B$21,0)</f>
        <v>0</v>
      </c>
      <c r="X20" s="40" t="str">
        <f>IFERROR(IF(OR($T20="",$G20=""),"",IF($T20&gt;$G20,
  MAX(0, 60-(($T20-$G20)*24/Config!$B$19)*60),
  MEDIAN(60, 100, 60+(($G20-$T20)*24/Config!$B$20)*40)
)),"")
</f>
        <v/>
      </c>
      <c r="Y20" s="40" t="str">
        <f>IF($J20="","",IFERROR(VLOOKUP($J20,Grinders!$A:$N,10,FALSE),""))</f>
        <v/>
      </c>
      <c r="Z20" s="40" t="str">
        <f>IF($J20="","",IFERROR(VLOOKUP($J20,Grinders!$A:$N,11,FALSE),""))</f>
        <v/>
      </c>
      <c r="AA20" s="40" t="str">
        <f>IF($J20="","",IFERROR(VLOOKUP($J20,Grinders!$A:$N,12,FALSE),""))</f>
        <v/>
      </c>
      <c r="AB20" s="40" t="str">
        <f>IF(OR(AL20=1,AM20=1),0,=IFERROR(IF(OR($C20="",$J20=""),0,IF($D20&lt;&gt;"Open",0,IF(COUNTIFS(GrinderServices!$A:$A,$J20,GrinderServices!$B:$B,$E20,GrinderServices!$D:$D,"Y")=0,0,IF($U20&lt;Config!$B$16,0,IF(Config!$B$18=1,IF($N20&gt;=$M20,0,1),1))))),""))</f>
        <v>#ERROR!</v>
      </c>
      <c r="AC20" s="40" t="str">
        <f>IFERROR((IF(OR(AL20=1,AM20=1),"",=IFERROR((IFERROR(IF($AB20=0,"",((Config!$B$6*$V20 + Config!$B$7*$R20 + Config!$B$8*$W20 + Config!$B$9*$X20 + Config!$B$10*$Y20 + Config!$B$11*$Z20 - Config!$B$12*$AA20)/Config!$B$13)+$AH20+$AI20),""))*(1-IFERROR(VLOOKUP(J20,Grinders!$A:$AB, 28, FALSE),0)),"")))*(1+AO20),"")</f>
        <v>#ERROR!</v>
      </c>
      <c r="AD20" s="40" t="str">
        <f t="shared" si="4"/>
        <v/>
      </c>
      <c r="AE20" s="40" t="str">
        <f>IFERROR(__xludf.DUMMYFUNCTION("IF($AC20="""","""",IF($AC20=IFERROR(MAX(FILTER($AC$6:$AC$1000,$C$6:$C$1000=$C20,$AB$6:$AB$1000=1)),),""WINNER"",""""))"),"#ERROR!")</f>
        <v>#ERROR!</v>
      </c>
      <c r="AF20" s="40" t="str">
        <f t="shared" si="5"/>
        <v/>
      </c>
      <c r="AG20" s="40" t="str">
        <f>IF($J20="","",COUNTIF(Assignments!$B:$B,$J20))</f>
        <v/>
      </c>
      <c r="AH20" s="40" t="str">
        <f>IF($J20="","",IF(AND($AG20=0,$N20&lt;$M20),Config!$B$43,0))</f>
        <v/>
      </c>
      <c r="AI20" s="40" t="str">
        <f>IF($J20="","",IF(AND($L20="Elite",$F20&gt;=Config!$B$41,$N20&lt;$M20),Config!$B$42,0))</f>
        <v/>
      </c>
      <c r="AJ20" s="22"/>
      <c r="AK20" s="39">
        <f>IFERROR(VLOOKUP(J20,Grinders!$A:$Q,28,FALSE),0)</f>
        <v>0</v>
      </c>
      <c r="AL20" s="39">
        <f>IF(Config!$B$1003&lt;&gt;"Y",0,IF(IFERROR(VLOOKUP(J20,Grinders!$A:$P,27,FALSE),0)&gt;=3,IF(OR(F20&gt;=Config!$B$1001,ISNUMBER(SEARCH(E20,Config!$B$1002))),1,0),0))</f>
        <v>0</v>
      </c>
      <c r="AM20" s="39">
        <f t="array" ref="AM20">IFERROR(IF(INDEX(Bids!$AE:$AE,MATCH(B20,Bids!$A:$A,0))="Pending",1,0),0)</f>
        <v>0</v>
      </c>
      <c r="AN20" s="39" t="str">
        <f t="array" ref="AN20">IF(C20="","",IFERROR(XLOOKUP(C20,Assignments!$C:$C,Assignments!$AU:$AU,0),0))</f>
        <v/>
      </c>
      <c r="AO20" s="39">
        <f>IF(AND(Config!$B$1006="Y",AN20=1),Config!$B$1007,0)</f>
        <v>0</v>
      </c>
    </row>
    <row r="21" ht="15.75" customHeight="1">
      <c r="A21" s="46" t="str">
        <f t="shared" si="1"/>
        <v/>
      </c>
      <c r="B21" s="40" t="str">
        <f>IF(Bids!$A21="","",Bids!$A21)</f>
        <v/>
      </c>
      <c r="C21" s="40" t="str">
        <f>IF(Bids!$B21="","",Bids!$B21)</f>
        <v/>
      </c>
      <c r="D21" s="40" t="str">
        <f>IF($C21="","",IFERROR(VLOOKUP($C21,Orders!$A:$J,9,FALSE),""))</f>
        <v/>
      </c>
      <c r="E21" s="40" t="str">
        <f>IF($C21="","",IFERROR(VLOOKUP($C21,Orders!$A:$J,3,FALSE),""))</f>
        <v/>
      </c>
      <c r="F21" s="40" t="str">
        <f>IF($C21="","",IFERROR(VLOOKUP($C21,Orders!$A:$J,4,FALSE),""))</f>
        <v/>
      </c>
      <c r="G21" s="40" t="str">
        <f>IF($C21="","",IFERROR(VLOOKUP($C21,Orders!$A:$J,5,FALSE),""))</f>
        <v/>
      </c>
      <c r="H21" s="40" t="str">
        <f>IF($C21="","",IFERROR(VLOOKUP($C21,Orders!$A:$J,6,FALSE),""))</f>
        <v/>
      </c>
      <c r="I21" s="40" t="str">
        <f>IF($C21="","",IFERROR(VLOOKUP($C21,Orders!$A:$J,7,FALSE),""))</f>
        <v/>
      </c>
      <c r="J21" s="40" t="str">
        <f>IF(Bids!$C21="","",Bids!$C21)</f>
        <v/>
      </c>
      <c r="K21" s="40" t="str">
        <f>IF($J21="","",IFERROR(VLOOKUP($J21,Grinders!$A:$N,2,FALSE),""))</f>
        <v/>
      </c>
      <c r="L21" s="40" t="str">
        <f>IF($J21="","",IFERROR(VLOOKUP($J21,Grinders!$A:$N,3,FALSE),""))</f>
        <v/>
      </c>
      <c r="M21" s="40" t="str">
        <f>IF($J21="","",IFERROR(VLOOKUP($J21,Grinders!$A:$N,4,FALSE),""))</f>
        <v/>
      </c>
      <c r="N21" s="40" t="str">
        <f>IF($J21="","",IFERROR(VLOOKUP($J21,Grinders!$A:$N,5,FALSE),""))</f>
        <v/>
      </c>
      <c r="O21" s="40" t="str">
        <f t="shared" si="2"/>
        <v/>
      </c>
      <c r="P21" s="40" t="str">
        <f>IF($J21="","",IFERROR(VLOOKUP($J21,Grinders!$A:$N,6,FALSE),""))</f>
        <v/>
      </c>
      <c r="Q21" s="40" t="str">
        <f>IF($J21="","",IFERROR(VLOOKUP($J21,Grinders!$A:$N,8,FALSE),""))</f>
        <v/>
      </c>
      <c r="R21" s="40" t="str">
        <f>IFERROR(IF($J21="","",IF($L21="Elite",MAX(50,MIN(100,Config!$B$27*MAX(0,MIN(100,(1-IF($O21="",0,$O21))*100)) + Config!$B$28*MAX(0,MIN(100,(1-MIN(1,IF(Config!$B$30=0,1,$P21/Config!$B$30)))*100)) + Config!$B$29*MAX(0,MIN(100,MIN(1,IF($Q21="",0,$Q21)/Config!$B$23)*100)))),MIN(100,Config!$B$27*MAX(0,MIN(100,(1-IF($O21="",0,$O21))*100)) + Config!$B$28*MAX(0,MIN(100,(1-MIN(1,IF(Config!$B$30=0,1,$P21/Config!$B$30)))*100)) + Config!$B$29*MAX(0,MIN(100,MIN(1,IF($Q21="",0,$Q21)/Config!$B$23)*100))))),"")
</f>
        <v/>
      </c>
      <c r="S21" s="40" t="str">
        <f>IF(Bids!$AC21="","",Bids!$AC21)</f>
        <v/>
      </c>
      <c r="T21" s="40" t="str">
        <f>IF(Bids!$F21="","",Bids!$F21)</f>
        <v/>
      </c>
      <c r="U21" s="40" t="str">
        <f t="shared" si="3"/>
        <v/>
      </c>
      <c r="V21" s="40" t="str">
        <f>IF($U21="","",IF(Config!$B$17=Config!$B$16,IF($U21&gt;=Config!$B$17,100,0),MAX(0,MIN(100,($U21-Config!$B$16)/(Config!$B$17-Config!$B$16)*100))))</f>
        <v/>
      </c>
      <c r="W21" s="40">
        <f>IF($L21="Elite",Config!$B$21,0)</f>
        <v>0</v>
      </c>
      <c r="X21" s="40" t="str">
        <f>IFERROR(IF(OR($T21="",$G21=""),"",IF($T21&gt;$G21,
  MAX(0, 60-(($T21-$G21)*24/Config!$B$19)*60),
  MEDIAN(60, 100, 60+(($G21-$T21)*24/Config!$B$20)*40)
)),"")
</f>
        <v/>
      </c>
      <c r="Y21" s="40" t="str">
        <f>IF($J21="","",IFERROR(VLOOKUP($J21,Grinders!$A:$N,10,FALSE),""))</f>
        <v/>
      </c>
      <c r="Z21" s="40" t="str">
        <f>IF($J21="","",IFERROR(VLOOKUP($J21,Grinders!$A:$N,11,FALSE),""))</f>
        <v/>
      </c>
      <c r="AA21" s="40" t="str">
        <f>IF($J21="","",IFERROR(VLOOKUP($J21,Grinders!$A:$N,12,FALSE),""))</f>
        <v/>
      </c>
      <c r="AB21" s="40" t="str">
        <f>IF(OR(AL21=1,AM21=1),0,=IFERROR(IF(OR($C21="",$J21=""),0,IF($D21&lt;&gt;"Open",0,IF(COUNTIFS(GrinderServices!$A:$A,$J21,GrinderServices!$B:$B,$E21,GrinderServices!$D:$D,"Y")=0,0,IF($U21&lt;Config!$B$16,0,IF(Config!$B$18=1,IF($N21&gt;=$M21,0,1),1))))),""))</f>
        <v>#ERROR!</v>
      </c>
      <c r="AC21" s="40" t="str">
        <f>IFERROR((IF(OR(AL21=1,AM21=1),"",=IFERROR((IFERROR(IF($AB21=0,"",((Config!$B$6*$V21 + Config!$B$7*$R21 + Config!$B$8*$W21 + Config!$B$9*$X21 + Config!$B$10*$Y21 + Config!$B$11*$Z21 - Config!$B$12*$AA21)/Config!$B$13)+$AH21+$AI21),""))*(1-IFERROR(VLOOKUP(J21,Grinders!$A:$AB, 28, FALSE),0)),"")))*(1+AO21),"")</f>
        <v>#ERROR!</v>
      </c>
      <c r="AD21" s="40" t="str">
        <f t="shared" si="4"/>
        <v/>
      </c>
      <c r="AE21" s="40" t="str">
        <f>IFERROR(__xludf.DUMMYFUNCTION("IF($AC21="""","""",IF($AC21=IFERROR(MAX(FILTER($AC$6:$AC$1000,$C$6:$C$1000=$C21,$AB$6:$AB$1000=1)),),""WINNER"",""""))"),"#ERROR!")</f>
        <v>#ERROR!</v>
      </c>
      <c r="AF21" s="40" t="str">
        <f t="shared" si="5"/>
        <v/>
      </c>
      <c r="AG21" s="40" t="str">
        <f>IF($J21="","",COUNTIF(Assignments!$B:$B,$J21))</f>
        <v/>
      </c>
      <c r="AH21" s="40" t="str">
        <f>IF($J21="","",IF(AND($AG21=0,$N21&lt;$M21),Config!$B$43,0))</f>
        <v/>
      </c>
      <c r="AI21" s="40" t="str">
        <f>IF($J21="","",IF(AND($L21="Elite",$F21&gt;=Config!$B$41,$N21&lt;$M21),Config!$B$42,0))</f>
        <v/>
      </c>
      <c r="AJ21" s="22"/>
      <c r="AK21" s="39">
        <f>IFERROR(VLOOKUP(J21,Grinders!$A:$Q,28,FALSE),0)</f>
        <v>0</v>
      </c>
      <c r="AL21" s="39">
        <f>IF(Config!$B$1003&lt;&gt;"Y",0,IF(IFERROR(VLOOKUP(J21,Grinders!$A:$P,27,FALSE),0)&gt;=3,IF(OR(F21&gt;=Config!$B$1001,ISNUMBER(SEARCH(E21,Config!$B$1002))),1,0),0))</f>
        <v>0</v>
      </c>
      <c r="AM21" s="39">
        <f t="array" ref="AM21">IFERROR(IF(INDEX(Bids!$AE:$AE,MATCH(B21,Bids!$A:$A,0))="Pending",1,0),0)</f>
        <v>0</v>
      </c>
      <c r="AN21" s="39" t="str">
        <f t="array" ref="AN21">IF(C21="","",IFERROR(XLOOKUP(C21,Assignments!$C:$C,Assignments!$AU:$AU,0),0))</f>
        <v/>
      </c>
      <c r="AO21" s="39">
        <f>IF(AND(Config!$B$1006="Y",AN21=1),Config!$B$1007,0)</f>
        <v>0</v>
      </c>
    </row>
    <row r="22" ht="15.75" customHeight="1">
      <c r="A22" s="46" t="str">
        <f t="shared" si="1"/>
        <v/>
      </c>
      <c r="B22" s="40" t="str">
        <f>IF(Bids!$A22="","",Bids!$A22)</f>
        <v/>
      </c>
      <c r="C22" s="40" t="str">
        <f>IF(Bids!$B22="","",Bids!$B22)</f>
        <v/>
      </c>
      <c r="D22" s="40" t="str">
        <f>IF($C22="","",IFERROR(VLOOKUP($C22,Orders!$A:$J,9,FALSE),""))</f>
        <v/>
      </c>
      <c r="E22" s="40" t="str">
        <f>IF($C22="","",IFERROR(VLOOKUP($C22,Orders!$A:$J,3,FALSE),""))</f>
        <v/>
      </c>
      <c r="F22" s="40" t="str">
        <f>IF($C22="","",IFERROR(VLOOKUP($C22,Orders!$A:$J,4,FALSE),""))</f>
        <v/>
      </c>
      <c r="G22" s="40" t="str">
        <f>IF($C22="","",IFERROR(VLOOKUP($C22,Orders!$A:$J,5,FALSE),""))</f>
        <v/>
      </c>
      <c r="H22" s="40" t="str">
        <f>IF($C22="","",IFERROR(VLOOKUP($C22,Orders!$A:$J,6,FALSE),""))</f>
        <v/>
      </c>
      <c r="I22" s="40" t="str">
        <f>IF($C22="","",IFERROR(VLOOKUP($C22,Orders!$A:$J,7,FALSE),""))</f>
        <v/>
      </c>
      <c r="J22" s="40" t="str">
        <f>IF(Bids!$C22="","",Bids!$C22)</f>
        <v/>
      </c>
      <c r="K22" s="40" t="str">
        <f>IF($J22="","",IFERROR(VLOOKUP($J22,Grinders!$A:$N,2,FALSE),""))</f>
        <v/>
      </c>
      <c r="L22" s="40" t="str">
        <f>IF($J22="","",IFERROR(VLOOKUP($J22,Grinders!$A:$N,3,FALSE),""))</f>
        <v/>
      </c>
      <c r="M22" s="40" t="str">
        <f>IF($J22="","",IFERROR(VLOOKUP($J22,Grinders!$A:$N,4,FALSE),""))</f>
        <v/>
      </c>
      <c r="N22" s="40" t="str">
        <f>IF($J22="","",IFERROR(VLOOKUP($J22,Grinders!$A:$N,5,FALSE),""))</f>
        <v/>
      </c>
      <c r="O22" s="40" t="str">
        <f t="shared" si="2"/>
        <v/>
      </c>
      <c r="P22" s="40" t="str">
        <f>IF($J22="","",IFERROR(VLOOKUP($J22,Grinders!$A:$N,6,FALSE),""))</f>
        <v/>
      </c>
      <c r="Q22" s="40" t="str">
        <f>IF($J22="","",IFERROR(VLOOKUP($J22,Grinders!$A:$N,8,FALSE),""))</f>
        <v/>
      </c>
      <c r="R22" s="40" t="str">
        <f>IFERROR(IF($J22="","",IF($L22="Elite",MAX(50,MIN(100,Config!$B$27*MAX(0,MIN(100,(1-IF($O22="",0,$O22))*100)) + Config!$B$28*MAX(0,MIN(100,(1-MIN(1,IF(Config!$B$30=0,1,$P22/Config!$B$30)))*100)) + Config!$B$29*MAX(0,MIN(100,MIN(1,IF($Q22="",0,$Q22)/Config!$B$23)*100)))),MIN(100,Config!$B$27*MAX(0,MIN(100,(1-IF($O22="",0,$O22))*100)) + Config!$B$28*MAX(0,MIN(100,(1-MIN(1,IF(Config!$B$30=0,1,$P22/Config!$B$30)))*100)) + Config!$B$29*MAX(0,MIN(100,MIN(1,IF($Q22="",0,$Q22)/Config!$B$23)*100))))),"")
</f>
        <v/>
      </c>
      <c r="S22" s="40" t="str">
        <f>IF(Bids!$AC22="","",Bids!$AC22)</f>
        <v/>
      </c>
      <c r="T22" s="40" t="str">
        <f>IF(Bids!$F22="","",Bids!$F22)</f>
        <v/>
      </c>
      <c r="U22" s="40" t="str">
        <f t="shared" si="3"/>
        <v/>
      </c>
      <c r="V22" s="40" t="str">
        <f>IF($U22="","",IF(Config!$B$17=Config!$B$16,IF($U22&gt;=Config!$B$17,100,0),MAX(0,MIN(100,($U22-Config!$B$16)/(Config!$B$17-Config!$B$16)*100))))</f>
        <v/>
      </c>
      <c r="W22" s="40">
        <f>IF($L22="Elite",Config!$B$21,0)</f>
        <v>0</v>
      </c>
      <c r="X22" s="40" t="str">
        <f>IFERROR(IF(OR($T22="",$G22=""),"",IF($T22&gt;$G22,
  MAX(0, 60-(($T22-$G22)*24/Config!$B$19)*60),
  MEDIAN(60, 100, 60+(($G22-$T22)*24/Config!$B$20)*40)
)),"")
</f>
        <v/>
      </c>
      <c r="Y22" s="40" t="str">
        <f>IF($J22="","",IFERROR(VLOOKUP($J22,Grinders!$A:$N,10,FALSE),""))</f>
        <v/>
      </c>
      <c r="Z22" s="40" t="str">
        <f>IF($J22="","",IFERROR(VLOOKUP($J22,Grinders!$A:$N,11,FALSE),""))</f>
        <v/>
      </c>
      <c r="AA22" s="40" t="str">
        <f>IF($J22="","",IFERROR(VLOOKUP($J22,Grinders!$A:$N,12,FALSE),""))</f>
        <v/>
      </c>
      <c r="AB22" s="40" t="str">
        <f>IF(OR(AL22=1,AM22=1),0,=IFERROR(IF(OR($C22="",$J22=""),0,IF($D22&lt;&gt;"Open",0,IF(COUNTIFS(GrinderServices!$A:$A,$J22,GrinderServices!$B:$B,$E22,GrinderServices!$D:$D,"Y")=0,0,IF($U22&lt;Config!$B$16,0,IF(Config!$B$18=1,IF($N22&gt;=$M22,0,1),1))))),""))</f>
        <v>#ERROR!</v>
      </c>
      <c r="AC22" s="40" t="str">
        <f>IFERROR((IF(OR(AL22=1,AM22=1),"",=IFERROR((IFERROR(IF($AB22=0,"",((Config!$B$6*$V22 + Config!$B$7*$R22 + Config!$B$8*$W22 + Config!$B$9*$X22 + Config!$B$10*$Y22 + Config!$B$11*$Z22 - Config!$B$12*$AA22)/Config!$B$13)+$AH22+$AI22),""))*(1-IFERROR(VLOOKUP(J22,Grinders!$A:$AB, 28, FALSE),0)),"")))*(1+AO22),"")</f>
        <v>#ERROR!</v>
      </c>
      <c r="AD22" s="40" t="str">
        <f t="shared" si="4"/>
        <v/>
      </c>
      <c r="AE22" s="40" t="str">
        <f>IFERROR(__xludf.DUMMYFUNCTION("IF($AC22="""","""",IF($AC22=IFERROR(MAX(FILTER($AC$6:$AC$1000,$C$6:$C$1000=$C22,$AB$6:$AB$1000=1)),),""WINNER"",""""))"),"#ERROR!")</f>
        <v>#ERROR!</v>
      </c>
      <c r="AF22" s="40" t="str">
        <f t="shared" si="5"/>
        <v/>
      </c>
      <c r="AG22" s="40" t="str">
        <f>IF($J22="","",COUNTIF(Assignments!$B:$B,$J22))</f>
        <v/>
      </c>
      <c r="AH22" s="40" t="str">
        <f>IF($J22="","",IF(AND($AG22=0,$N22&lt;$M22),Config!$B$43,0))</f>
        <v/>
      </c>
      <c r="AI22" s="40" t="str">
        <f>IF($J22="","",IF(AND($L22="Elite",$F22&gt;=Config!$B$41,$N22&lt;$M22),Config!$B$42,0))</f>
        <v/>
      </c>
      <c r="AJ22" s="22"/>
      <c r="AK22" s="39">
        <f>IFERROR(VLOOKUP(J22,Grinders!$A:$Q,28,FALSE),0)</f>
        <v>0</v>
      </c>
      <c r="AL22" s="39">
        <f>IF(Config!$B$1003&lt;&gt;"Y",0,IF(IFERROR(VLOOKUP(J22,Grinders!$A:$P,27,FALSE),0)&gt;=3,IF(OR(F22&gt;=Config!$B$1001,ISNUMBER(SEARCH(E22,Config!$B$1002))),1,0),0))</f>
        <v>0</v>
      </c>
      <c r="AM22" s="39">
        <f t="array" ref="AM22">IFERROR(IF(INDEX(Bids!$AE:$AE,MATCH(B22,Bids!$A:$A,0))="Pending",1,0),0)</f>
        <v>0</v>
      </c>
      <c r="AN22" s="39" t="str">
        <f t="array" ref="AN22">IF(C22="","",IFERROR(XLOOKUP(C22,Assignments!$C:$C,Assignments!$AU:$AU,0),0))</f>
        <v/>
      </c>
      <c r="AO22" s="39">
        <f>IF(AND(Config!$B$1006="Y",AN22=1),Config!$B$1007,0)</f>
        <v>0</v>
      </c>
    </row>
    <row r="23" ht="15.75" customHeight="1">
      <c r="A23" s="46" t="str">
        <f t="shared" si="1"/>
        <v/>
      </c>
      <c r="B23" s="40" t="str">
        <f>IF(Bids!$A23="","",Bids!$A23)</f>
        <v/>
      </c>
      <c r="C23" s="40" t="str">
        <f>IF(Bids!$B23="","",Bids!$B23)</f>
        <v/>
      </c>
      <c r="D23" s="40" t="str">
        <f>IF($C23="","",IFERROR(VLOOKUP($C23,Orders!$A:$J,9,FALSE),""))</f>
        <v/>
      </c>
      <c r="E23" s="40" t="str">
        <f>IF($C23="","",IFERROR(VLOOKUP($C23,Orders!$A:$J,3,FALSE),""))</f>
        <v/>
      </c>
      <c r="F23" s="40" t="str">
        <f>IF($C23="","",IFERROR(VLOOKUP($C23,Orders!$A:$J,4,FALSE),""))</f>
        <v/>
      </c>
      <c r="G23" s="40" t="str">
        <f>IF($C23="","",IFERROR(VLOOKUP($C23,Orders!$A:$J,5,FALSE),""))</f>
        <v/>
      </c>
      <c r="H23" s="40" t="str">
        <f>IF($C23="","",IFERROR(VLOOKUP($C23,Orders!$A:$J,6,FALSE),""))</f>
        <v/>
      </c>
      <c r="I23" s="40" t="str">
        <f>IF($C23="","",IFERROR(VLOOKUP($C23,Orders!$A:$J,7,FALSE),""))</f>
        <v/>
      </c>
      <c r="J23" s="40" t="str">
        <f>IF(Bids!$C23="","",Bids!$C23)</f>
        <v/>
      </c>
      <c r="K23" s="40" t="str">
        <f>IF($J23="","",IFERROR(VLOOKUP($J23,Grinders!$A:$N,2,FALSE),""))</f>
        <v/>
      </c>
      <c r="L23" s="40" t="str">
        <f>IF($J23="","",IFERROR(VLOOKUP($J23,Grinders!$A:$N,3,FALSE),""))</f>
        <v/>
      </c>
      <c r="M23" s="40" t="str">
        <f>IF($J23="","",IFERROR(VLOOKUP($J23,Grinders!$A:$N,4,FALSE),""))</f>
        <v/>
      </c>
      <c r="N23" s="40" t="str">
        <f>IF($J23="","",IFERROR(VLOOKUP($J23,Grinders!$A:$N,5,FALSE),""))</f>
        <v/>
      </c>
      <c r="O23" s="40" t="str">
        <f t="shared" si="2"/>
        <v/>
      </c>
      <c r="P23" s="40" t="str">
        <f>IF($J23="","",IFERROR(VLOOKUP($J23,Grinders!$A:$N,6,FALSE),""))</f>
        <v/>
      </c>
      <c r="Q23" s="40" t="str">
        <f>IF($J23="","",IFERROR(VLOOKUP($J23,Grinders!$A:$N,8,FALSE),""))</f>
        <v/>
      </c>
      <c r="R23" s="40" t="str">
        <f>IFERROR(IF($J23="","",IF($L23="Elite",MAX(50,MIN(100,Config!$B$27*MAX(0,MIN(100,(1-IF($O23="",0,$O23))*100)) + Config!$B$28*MAX(0,MIN(100,(1-MIN(1,IF(Config!$B$30=0,1,$P23/Config!$B$30)))*100)) + Config!$B$29*MAX(0,MIN(100,MIN(1,IF($Q23="",0,$Q23)/Config!$B$23)*100)))),MIN(100,Config!$B$27*MAX(0,MIN(100,(1-IF($O23="",0,$O23))*100)) + Config!$B$28*MAX(0,MIN(100,(1-MIN(1,IF(Config!$B$30=0,1,$P23/Config!$B$30)))*100)) + Config!$B$29*MAX(0,MIN(100,MIN(1,IF($Q23="",0,$Q23)/Config!$B$23)*100))))),"")
</f>
        <v/>
      </c>
      <c r="S23" s="40" t="str">
        <f>IF(Bids!$AC23="","",Bids!$AC23)</f>
        <v/>
      </c>
      <c r="T23" s="40" t="str">
        <f>IF(Bids!$F23="","",Bids!$F23)</f>
        <v/>
      </c>
      <c r="U23" s="40" t="str">
        <f t="shared" si="3"/>
        <v/>
      </c>
      <c r="V23" s="40" t="str">
        <f>IF($U23="","",IF(Config!$B$17=Config!$B$16,IF($U23&gt;=Config!$B$17,100,0),MAX(0,MIN(100,($U23-Config!$B$16)/(Config!$B$17-Config!$B$16)*100))))</f>
        <v/>
      </c>
      <c r="W23" s="40">
        <f>IF($L23="Elite",Config!$B$21,0)</f>
        <v>0</v>
      </c>
      <c r="X23" s="40" t="str">
        <f>IFERROR(IF(OR($T23="",$G23=""),"",IF($T23&gt;$G23,
  MAX(0, 60-(($T23-$G23)*24/Config!$B$19)*60),
  MEDIAN(60, 100, 60+(($G23-$T23)*24/Config!$B$20)*40)
)),"")
</f>
        <v/>
      </c>
      <c r="Y23" s="40" t="str">
        <f>IF($J23="","",IFERROR(VLOOKUP($J23,Grinders!$A:$N,10,FALSE),""))</f>
        <v/>
      </c>
      <c r="Z23" s="40" t="str">
        <f>IF($J23="","",IFERROR(VLOOKUP($J23,Grinders!$A:$N,11,FALSE),""))</f>
        <v/>
      </c>
      <c r="AA23" s="40" t="str">
        <f>IF($J23="","",IFERROR(VLOOKUP($J23,Grinders!$A:$N,12,FALSE),""))</f>
        <v/>
      </c>
      <c r="AB23" s="40" t="str">
        <f>IF(OR(AL23=1,AM23=1),0,=IFERROR(IF(OR($C23="",$J23=""),0,IF($D23&lt;&gt;"Open",0,IF(COUNTIFS(GrinderServices!$A:$A,$J23,GrinderServices!$B:$B,$E23,GrinderServices!$D:$D,"Y")=0,0,IF($U23&lt;Config!$B$16,0,IF(Config!$B$18=1,IF($N23&gt;=$M23,0,1),1))))),""))</f>
        <v>#ERROR!</v>
      </c>
      <c r="AC23" s="40" t="str">
        <f>IFERROR((IF(OR(AL23=1,AM23=1),"",=IFERROR((IFERROR(IF($AB23=0,"",((Config!$B$6*$V23 + Config!$B$7*$R23 + Config!$B$8*$W23 + Config!$B$9*$X23 + Config!$B$10*$Y23 + Config!$B$11*$Z23 - Config!$B$12*$AA23)/Config!$B$13)+$AH23+$AI23),""))*(1-IFERROR(VLOOKUP(J23,Grinders!$A:$AB, 28, FALSE),0)),"")))*(1+AO23),"")</f>
        <v>#ERROR!</v>
      </c>
      <c r="AD23" s="40" t="str">
        <f t="shared" si="4"/>
        <v/>
      </c>
      <c r="AE23" s="40" t="str">
        <f>IFERROR(__xludf.DUMMYFUNCTION("IF($AC23="""","""",IF($AC23=IFERROR(MAX(FILTER($AC$6:$AC$1000,$C$6:$C$1000=$C23,$AB$6:$AB$1000=1)),),""WINNER"",""""))"),"#ERROR!")</f>
        <v>#ERROR!</v>
      </c>
      <c r="AF23" s="40" t="str">
        <f t="shared" si="5"/>
        <v/>
      </c>
      <c r="AG23" s="40" t="str">
        <f>IF($J23="","",COUNTIF(Assignments!$B:$B,$J23))</f>
        <v/>
      </c>
      <c r="AH23" s="40" t="str">
        <f>IF($J23="","",IF(AND($AG23=0,$N23&lt;$M23),Config!$B$43,0))</f>
        <v/>
      </c>
      <c r="AI23" s="40" t="str">
        <f>IF($J23="","",IF(AND($L23="Elite",$F23&gt;=Config!$B$41,$N23&lt;$M23),Config!$B$42,0))</f>
        <v/>
      </c>
      <c r="AJ23" s="22"/>
      <c r="AK23" s="39">
        <f>IFERROR(VLOOKUP(J23,Grinders!$A:$Q,28,FALSE),0)</f>
        <v>0</v>
      </c>
      <c r="AL23" s="39">
        <f>IF(Config!$B$1003&lt;&gt;"Y",0,IF(IFERROR(VLOOKUP(J23,Grinders!$A:$P,27,FALSE),0)&gt;=3,IF(OR(F23&gt;=Config!$B$1001,ISNUMBER(SEARCH(E23,Config!$B$1002))),1,0),0))</f>
        <v>0</v>
      </c>
      <c r="AM23" s="39">
        <f t="array" ref="AM23">IFERROR(IF(INDEX(Bids!$AE:$AE,MATCH(B23,Bids!$A:$A,0))="Pending",1,0),0)</f>
        <v>0</v>
      </c>
      <c r="AN23" s="39" t="str">
        <f t="array" ref="AN23">IF(C23="","",IFERROR(XLOOKUP(C23,Assignments!$C:$C,Assignments!$AU:$AU,0),0))</f>
        <v/>
      </c>
      <c r="AO23" s="39">
        <f>IF(AND(Config!$B$1006="Y",AN23=1),Config!$B$1007,0)</f>
        <v>0</v>
      </c>
    </row>
    <row r="24" ht="15.75" customHeight="1">
      <c r="A24" s="46" t="str">
        <f t="shared" si="1"/>
        <v/>
      </c>
      <c r="B24" s="40" t="str">
        <f>IF(Bids!$A24="","",Bids!$A24)</f>
        <v/>
      </c>
      <c r="C24" s="40" t="str">
        <f>IF(Bids!$B24="","",Bids!$B24)</f>
        <v/>
      </c>
      <c r="D24" s="40" t="str">
        <f>IF($C24="","",IFERROR(VLOOKUP($C24,Orders!$A:$J,9,FALSE),""))</f>
        <v/>
      </c>
      <c r="E24" s="40" t="str">
        <f>IF($C24="","",IFERROR(VLOOKUP($C24,Orders!$A:$J,3,FALSE),""))</f>
        <v/>
      </c>
      <c r="F24" s="40" t="str">
        <f>IF($C24="","",IFERROR(VLOOKUP($C24,Orders!$A:$J,4,FALSE),""))</f>
        <v/>
      </c>
      <c r="G24" s="40" t="str">
        <f>IF($C24="","",IFERROR(VLOOKUP($C24,Orders!$A:$J,5,FALSE),""))</f>
        <v/>
      </c>
      <c r="H24" s="40" t="str">
        <f>IF($C24="","",IFERROR(VLOOKUP($C24,Orders!$A:$J,6,FALSE),""))</f>
        <v/>
      </c>
      <c r="I24" s="40" t="str">
        <f>IF($C24="","",IFERROR(VLOOKUP($C24,Orders!$A:$J,7,FALSE),""))</f>
        <v/>
      </c>
      <c r="J24" s="40" t="str">
        <f>IF(Bids!$C24="","",Bids!$C24)</f>
        <v/>
      </c>
      <c r="K24" s="40" t="str">
        <f>IF($J24="","",IFERROR(VLOOKUP($J24,Grinders!$A:$N,2,FALSE),""))</f>
        <v/>
      </c>
      <c r="L24" s="40" t="str">
        <f>IF($J24="","",IFERROR(VLOOKUP($J24,Grinders!$A:$N,3,FALSE),""))</f>
        <v/>
      </c>
      <c r="M24" s="40" t="str">
        <f>IF($J24="","",IFERROR(VLOOKUP($J24,Grinders!$A:$N,4,FALSE),""))</f>
        <v/>
      </c>
      <c r="N24" s="40" t="str">
        <f>IF($J24="","",IFERROR(VLOOKUP($J24,Grinders!$A:$N,5,FALSE),""))</f>
        <v/>
      </c>
      <c r="O24" s="40" t="str">
        <f t="shared" si="2"/>
        <v/>
      </c>
      <c r="P24" s="40" t="str">
        <f>IF($J24="","",IFERROR(VLOOKUP($J24,Grinders!$A:$N,6,FALSE),""))</f>
        <v/>
      </c>
      <c r="Q24" s="40" t="str">
        <f>IF($J24="","",IFERROR(VLOOKUP($J24,Grinders!$A:$N,8,FALSE),""))</f>
        <v/>
      </c>
      <c r="R24" s="40" t="str">
        <f>IFERROR(IF($J24="","",IF($L24="Elite",MAX(50,MIN(100,Config!$B$27*MAX(0,MIN(100,(1-IF($O24="",0,$O24))*100)) + Config!$B$28*MAX(0,MIN(100,(1-MIN(1,IF(Config!$B$30=0,1,$P24/Config!$B$30)))*100)) + Config!$B$29*MAX(0,MIN(100,MIN(1,IF($Q24="",0,$Q24)/Config!$B$23)*100)))),MIN(100,Config!$B$27*MAX(0,MIN(100,(1-IF($O24="",0,$O24))*100)) + Config!$B$28*MAX(0,MIN(100,(1-MIN(1,IF(Config!$B$30=0,1,$P24/Config!$B$30)))*100)) + Config!$B$29*MAX(0,MIN(100,MIN(1,IF($Q24="",0,$Q24)/Config!$B$23)*100))))),"")
</f>
        <v/>
      </c>
      <c r="S24" s="40" t="str">
        <f>IF(Bids!$AC24="","",Bids!$AC24)</f>
        <v/>
      </c>
      <c r="T24" s="40" t="str">
        <f>IF(Bids!$F24="","",Bids!$F24)</f>
        <v/>
      </c>
      <c r="U24" s="40" t="str">
        <f t="shared" si="3"/>
        <v/>
      </c>
      <c r="V24" s="40" t="str">
        <f>IF($U24="","",IF(Config!$B$17=Config!$B$16,IF($U24&gt;=Config!$B$17,100,0),MAX(0,MIN(100,($U24-Config!$B$16)/(Config!$B$17-Config!$B$16)*100))))</f>
        <v/>
      </c>
      <c r="W24" s="40">
        <f>IF($L24="Elite",Config!$B$21,0)</f>
        <v>0</v>
      </c>
      <c r="X24" s="40" t="str">
        <f>IFERROR(IF(OR($T24="",$G24=""),"",IF($T24&gt;$G24,
  MAX(0, 60-(($T24-$G24)*24/Config!$B$19)*60),
  MEDIAN(60, 100, 60+(($G24-$T24)*24/Config!$B$20)*40)
)),"")
</f>
        <v/>
      </c>
      <c r="Y24" s="40" t="str">
        <f>IF($J24="","",IFERROR(VLOOKUP($J24,Grinders!$A:$N,10,FALSE),""))</f>
        <v/>
      </c>
      <c r="Z24" s="40" t="str">
        <f>IF($J24="","",IFERROR(VLOOKUP($J24,Grinders!$A:$N,11,FALSE),""))</f>
        <v/>
      </c>
      <c r="AA24" s="40" t="str">
        <f>IF($J24="","",IFERROR(VLOOKUP($J24,Grinders!$A:$N,12,FALSE),""))</f>
        <v/>
      </c>
      <c r="AB24" s="40" t="str">
        <f>IF(OR(AL24=1,AM24=1),0,=IFERROR(IF(OR($C24="",$J24=""),0,IF($D24&lt;&gt;"Open",0,IF(COUNTIFS(GrinderServices!$A:$A,$J24,GrinderServices!$B:$B,$E24,GrinderServices!$D:$D,"Y")=0,0,IF($U24&lt;Config!$B$16,0,IF(Config!$B$18=1,IF($N24&gt;=$M24,0,1),1))))),""))</f>
        <v>#ERROR!</v>
      </c>
      <c r="AC24" s="40" t="str">
        <f>IFERROR((IF(OR(AL24=1,AM24=1),"",=IFERROR((IFERROR(IF($AB24=0,"",((Config!$B$6*$V24 + Config!$B$7*$R24 + Config!$B$8*$W24 + Config!$B$9*$X24 + Config!$B$10*$Y24 + Config!$B$11*$Z24 - Config!$B$12*$AA24)/Config!$B$13)+$AH24+$AI24),""))*(1-IFERROR(VLOOKUP(J24,Grinders!$A:$AB, 28, FALSE),0)),"")))*(1+AO24),"")</f>
        <v>#ERROR!</v>
      </c>
      <c r="AD24" s="40" t="str">
        <f t="shared" si="4"/>
        <v/>
      </c>
      <c r="AE24" s="40" t="str">
        <f>IFERROR(__xludf.DUMMYFUNCTION("IF($AC24="""","""",IF($AC24=IFERROR(MAX(FILTER($AC$6:$AC$1000,$C$6:$C$1000=$C24,$AB$6:$AB$1000=1)),),""WINNER"",""""))"),"#ERROR!")</f>
        <v>#ERROR!</v>
      </c>
      <c r="AF24" s="40" t="str">
        <f t="shared" si="5"/>
        <v/>
      </c>
      <c r="AG24" s="40" t="str">
        <f>IF($J24="","",COUNTIF(Assignments!$B:$B,$J24))</f>
        <v/>
      </c>
      <c r="AH24" s="40" t="str">
        <f>IF($J24="","",IF(AND($AG24=0,$N24&lt;$M24),Config!$B$43,0))</f>
        <v/>
      </c>
      <c r="AI24" s="40" t="str">
        <f>IF($J24="","",IF(AND($L24="Elite",$F24&gt;=Config!$B$41,$N24&lt;$M24),Config!$B$42,0))</f>
        <v/>
      </c>
      <c r="AJ24" s="22"/>
      <c r="AK24" s="39">
        <f>IFERROR(VLOOKUP(J24,Grinders!$A:$Q,28,FALSE),0)</f>
        <v>0</v>
      </c>
      <c r="AL24" s="39">
        <f>IF(Config!$B$1003&lt;&gt;"Y",0,IF(IFERROR(VLOOKUP(J24,Grinders!$A:$P,27,FALSE),0)&gt;=3,IF(OR(F24&gt;=Config!$B$1001,ISNUMBER(SEARCH(E24,Config!$B$1002))),1,0),0))</f>
        <v>0</v>
      </c>
      <c r="AM24" s="39">
        <f t="array" ref="AM24">IFERROR(IF(INDEX(Bids!$AE:$AE,MATCH(B24,Bids!$A:$A,0))="Pending",1,0),0)</f>
        <v>0</v>
      </c>
      <c r="AN24" s="39" t="str">
        <f t="array" ref="AN24">IF(C24="","",IFERROR(XLOOKUP(C24,Assignments!$C:$C,Assignments!$AU:$AU,0),0))</f>
        <v/>
      </c>
      <c r="AO24" s="39">
        <f>IF(AND(Config!$B$1006="Y",AN24=1),Config!$B$1007,0)</f>
        <v>0</v>
      </c>
    </row>
    <row r="25" ht="15.75" customHeight="1">
      <c r="A25" s="46" t="str">
        <f t="shared" si="1"/>
        <v/>
      </c>
      <c r="B25" s="40" t="str">
        <f>IF(Bids!$A25="","",Bids!$A25)</f>
        <v/>
      </c>
      <c r="C25" s="40" t="str">
        <f>IF(Bids!$B25="","",Bids!$B25)</f>
        <v/>
      </c>
      <c r="D25" s="40" t="str">
        <f>IF($C25="","",IFERROR(VLOOKUP($C25,Orders!$A:$J,9,FALSE),""))</f>
        <v/>
      </c>
      <c r="E25" s="40" t="str">
        <f>IF($C25="","",IFERROR(VLOOKUP($C25,Orders!$A:$J,3,FALSE),""))</f>
        <v/>
      </c>
      <c r="F25" s="40" t="str">
        <f>IF($C25="","",IFERROR(VLOOKUP($C25,Orders!$A:$J,4,FALSE),""))</f>
        <v/>
      </c>
      <c r="G25" s="40" t="str">
        <f>IF($C25="","",IFERROR(VLOOKUP($C25,Orders!$A:$J,5,FALSE),""))</f>
        <v/>
      </c>
      <c r="H25" s="40" t="str">
        <f>IF($C25="","",IFERROR(VLOOKUP($C25,Orders!$A:$J,6,FALSE),""))</f>
        <v/>
      </c>
      <c r="I25" s="40" t="str">
        <f>IF($C25="","",IFERROR(VLOOKUP($C25,Orders!$A:$J,7,FALSE),""))</f>
        <v/>
      </c>
      <c r="J25" s="40" t="str">
        <f>IF(Bids!$C25="","",Bids!$C25)</f>
        <v/>
      </c>
      <c r="K25" s="40" t="str">
        <f>IF($J25="","",IFERROR(VLOOKUP($J25,Grinders!$A:$N,2,FALSE),""))</f>
        <v/>
      </c>
      <c r="L25" s="40" t="str">
        <f>IF($J25="","",IFERROR(VLOOKUP($J25,Grinders!$A:$N,3,FALSE),""))</f>
        <v/>
      </c>
      <c r="M25" s="40" t="str">
        <f>IF($J25="","",IFERROR(VLOOKUP($J25,Grinders!$A:$N,4,FALSE),""))</f>
        <v/>
      </c>
      <c r="N25" s="40" t="str">
        <f>IF($J25="","",IFERROR(VLOOKUP($J25,Grinders!$A:$N,5,FALSE),""))</f>
        <v/>
      </c>
      <c r="O25" s="40" t="str">
        <f t="shared" si="2"/>
        <v/>
      </c>
      <c r="P25" s="40" t="str">
        <f>IF($J25="","",IFERROR(VLOOKUP($J25,Grinders!$A:$N,6,FALSE),""))</f>
        <v/>
      </c>
      <c r="Q25" s="40" t="str">
        <f>IF($J25="","",IFERROR(VLOOKUP($J25,Grinders!$A:$N,8,FALSE),""))</f>
        <v/>
      </c>
      <c r="R25" s="40" t="str">
        <f>IFERROR(IF($J25="","",IF($L25="Elite",MAX(50,MIN(100,Config!$B$27*MAX(0,MIN(100,(1-IF($O25="",0,$O25))*100)) + Config!$B$28*MAX(0,MIN(100,(1-MIN(1,IF(Config!$B$30=0,1,$P25/Config!$B$30)))*100)) + Config!$B$29*MAX(0,MIN(100,MIN(1,IF($Q25="",0,$Q25)/Config!$B$23)*100)))),MIN(100,Config!$B$27*MAX(0,MIN(100,(1-IF($O25="",0,$O25))*100)) + Config!$B$28*MAX(0,MIN(100,(1-MIN(1,IF(Config!$B$30=0,1,$P25/Config!$B$30)))*100)) + Config!$B$29*MAX(0,MIN(100,MIN(1,IF($Q25="",0,$Q25)/Config!$B$23)*100))))),"")
</f>
        <v/>
      </c>
      <c r="S25" s="40" t="str">
        <f>IF(Bids!$AC25="","",Bids!$AC25)</f>
        <v/>
      </c>
      <c r="T25" s="40" t="str">
        <f>IF(Bids!$F25="","",Bids!$F25)</f>
        <v/>
      </c>
      <c r="U25" s="40" t="str">
        <f t="shared" si="3"/>
        <v/>
      </c>
      <c r="V25" s="40" t="str">
        <f>IF($U25="","",IF(Config!$B$17=Config!$B$16,IF($U25&gt;=Config!$B$17,100,0),MAX(0,MIN(100,($U25-Config!$B$16)/(Config!$B$17-Config!$B$16)*100))))</f>
        <v/>
      </c>
      <c r="W25" s="40">
        <f>IF($L25="Elite",Config!$B$21,0)</f>
        <v>0</v>
      </c>
      <c r="X25" s="40" t="str">
        <f>IFERROR(IF(OR($T25="",$G25=""),"",IF($T25&gt;$G25,
  MAX(0, 60-(($T25-$G25)*24/Config!$B$19)*60),
  MEDIAN(60, 100, 60+(($G25-$T25)*24/Config!$B$20)*40)
)),"")
</f>
        <v/>
      </c>
      <c r="Y25" s="40" t="str">
        <f>IF($J25="","",IFERROR(VLOOKUP($J25,Grinders!$A:$N,10,FALSE),""))</f>
        <v/>
      </c>
      <c r="Z25" s="40" t="str">
        <f>IF($J25="","",IFERROR(VLOOKUP($J25,Grinders!$A:$N,11,FALSE),""))</f>
        <v/>
      </c>
      <c r="AA25" s="40" t="str">
        <f>IF($J25="","",IFERROR(VLOOKUP($J25,Grinders!$A:$N,12,FALSE),""))</f>
        <v/>
      </c>
      <c r="AB25" s="40" t="str">
        <f>IF(OR(AL25=1,AM25=1),0,=IFERROR(IF(OR($C25="",$J25=""),0,IF($D25&lt;&gt;"Open",0,IF(COUNTIFS(GrinderServices!$A:$A,$J25,GrinderServices!$B:$B,$E25,GrinderServices!$D:$D,"Y")=0,0,IF($U25&lt;Config!$B$16,0,IF(Config!$B$18=1,IF($N25&gt;=$M25,0,1),1))))),""))</f>
        <v>#ERROR!</v>
      </c>
      <c r="AC25" s="40" t="str">
        <f>IFERROR((IF(OR(AL25=1,AM25=1),"",=IFERROR((IFERROR(IF($AB25=0,"",((Config!$B$6*$V25 + Config!$B$7*$R25 + Config!$B$8*$W25 + Config!$B$9*$X25 + Config!$B$10*$Y25 + Config!$B$11*$Z25 - Config!$B$12*$AA25)/Config!$B$13)+$AH25+$AI25),""))*(1-IFERROR(VLOOKUP(J25,Grinders!$A:$AB, 28, FALSE),0)),"")))*(1+AO25),"")</f>
        <v>#ERROR!</v>
      </c>
      <c r="AD25" s="40" t="str">
        <f t="shared" si="4"/>
        <v/>
      </c>
      <c r="AE25" s="40" t="str">
        <f>IFERROR(__xludf.DUMMYFUNCTION("IF($AC25="""","""",IF($AC25=IFERROR(MAX(FILTER($AC$6:$AC$1000,$C$6:$C$1000=$C25,$AB$6:$AB$1000=1)),),""WINNER"",""""))"),"#ERROR!")</f>
        <v>#ERROR!</v>
      </c>
      <c r="AF25" s="40" t="str">
        <f t="shared" si="5"/>
        <v/>
      </c>
      <c r="AG25" s="40" t="str">
        <f>IF($J25="","",COUNTIF(Assignments!$B:$B,$J25))</f>
        <v/>
      </c>
      <c r="AH25" s="40" t="str">
        <f>IF($J25="","",IF(AND($AG25=0,$N25&lt;$M25),Config!$B$43,0))</f>
        <v/>
      </c>
      <c r="AI25" s="40" t="str">
        <f>IF($J25="","",IF(AND($L25="Elite",$F25&gt;=Config!$B$41,$N25&lt;$M25),Config!$B$42,0))</f>
        <v/>
      </c>
      <c r="AJ25" s="22"/>
      <c r="AK25" s="39">
        <f>IFERROR(VLOOKUP(J25,Grinders!$A:$Q,28,FALSE),0)</f>
        <v>0</v>
      </c>
      <c r="AL25" s="39">
        <f>IF(Config!$B$1003&lt;&gt;"Y",0,IF(IFERROR(VLOOKUP(J25,Grinders!$A:$P,27,FALSE),0)&gt;=3,IF(OR(F25&gt;=Config!$B$1001,ISNUMBER(SEARCH(E25,Config!$B$1002))),1,0),0))</f>
        <v>0</v>
      </c>
      <c r="AM25" s="39">
        <f t="array" ref="AM25">IFERROR(IF(INDEX(Bids!$AE:$AE,MATCH(B25,Bids!$A:$A,0))="Pending",1,0),0)</f>
        <v>0</v>
      </c>
      <c r="AN25" s="39" t="str">
        <f t="array" ref="AN25">IF(C25="","",IFERROR(XLOOKUP(C25,Assignments!$C:$C,Assignments!$AU:$AU,0),0))</f>
        <v/>
      </c>
      <c r="AO25" s="39">
        <f>IF(AND(Config!$B$1006="Y",AN25=1),Config!$B$1007,0)</f>
        <v>0</v>
      </c>
    </row>
    <row r="26" ht="15.75" customHeight="1">
      <c r="A26" s="46" t="str">
        <f t="shared" si="1"/>
        <v/>
      </c>
      <c r="B26" s="40" t="str">
        <f>IF(Bids!$A26="","",Bids!$A26)</f>
        <v/>
      </c>
      <c r="C26" s="40" t="str">
        <f>IF(Bids!$B26="","",Bids!$B26)</f>
        <v/>
      </c>
      <c r="D26" s="40" t="str">
        <f>IF($C26="","",IFERROR(VLOOKUP($C26,Orders!$A:$J,9,FALSE),""))</f>
        <v/>
      </c>
      <c r="E26" s="40" t="str">
        <f>IF($C26="","",IFERROR(VLOOKUP($C26,Orders!$A:$J,3,FALSE),""))</f>
        <v/>
      </c>
      <c r="F26" s="40" t="str">
        <f>IF($C26="","",IFERROR(VLOOKUP($C26,Orders!$A:$J,4,FALSE),""))</f>
        <v/>
      </c>
      <c r="G26" s="40" t="str">
        <f>IF($C26="","",IFERROR(VLOOKUP($C26,Orders!$A:$J,5,FALSE),""))</f>
        <v/>
      </c>
      <c r="H26" s="40" t="str">
        <f>IF($C26="","",IFERROR(VLOOKUP($C26,Orders!$A:$J,6,FALSE),""))</f>
        <v/>
      </c>
      <c r="I26" s="40" t="str">
        <f>IF($C26="","",IFERROR(VLOOKUP($C26,Orders!$A:$J,7,FALSE),""))</f>
        <v/>
      </c>
      <c r="J26" s="40" t="str">
        <f>IF(Bids!$C26="","",Bids!$C26)</f>
        <v/>
      </c>
      <c r="K26" s="40" t="str">
        <f>IF($J26="","",IFERROR(VLOOKUP($J26,Grinders!$A:$N,2,FALSE),""))</f>
        <v/>
      </c>
      <c r="L26" s="40" t="str">
        <f>IF($J26="","",IFERROR(VLOOKUP($J26,Grinders!$A:$N,3,FALSE),""))</f>
        <v/>
      </c>
      <c r="M26" s="40" t="str">
        <f>IF($J26="","",IFERROR(VLOOKUP($J26,Grinders!$A:$N,4,FALSE),""))</f>
        <v/>
      </c>
      <c r="N26" s="40" t="str">
        <f>IF($J26="","",IFERROR(VLOOKUP($J26,Grinders!$A:$N,5,FALSE),""))</f>
        <v/>
      </c>
      <c r="O26" s="40" t="str">
        <f t="shared" si="2"/>
        <v/>
      </c>
      <c r="P26" s="40" t="str">
        <f>IF($J26="","",IFERROR(VLOOKUP($J26,Grinders!$A:$N,6,FALSE),""))</f>
        <v/>
      </c>
      <c r="Q26" s="40" t="str">
        <f>IF($J26="","",IFERROR(VLOOKUP($J26,Grinders!$A:$N,8,FALSE),""))</f>
        <v/>
      </c>
      <c r="R26" s="40" t="str">
        <f>IFERROR(IF($J26="","",IF($L26="Elite",MAX(50,MIN(100,Config!$B$27*MAX(0,MIN(100,(1-IF($O26="",0,$O26))*100)) + Config!$B$28*MAX(0,MIN(100,(1-MIN(1,IF(Config!$B$30=0,1,$P26/Config!$B$30)))*100)) + Config!$B$29*MAX(0,MIN(100,MIN(1,IF($Q26="",0,$Q26)/Config!$B$23)*100)))),MIN(100,Config!$B$27*MAX(0,MIN(100,(1-IF($O26="",0,$O26))*100)) + Config!$B$28*MAX(0,MIN(100,(1-MIN(1,IF(Config!$B$30=0,1,$P26/Config!$B$30)))*100)) + Config!$B$29*MAX(0,MIN(100,MIN(1,IF($Q26="",0,$Q26)/Config!$B$23)*100))))),"")
</f>
        <v/>
      </c>
      <c r="S26" s="40" t="str">
        <f>IF(Bids!$AC26="","",Bids!$AC26)</f>
        <v/>
      </c>
      <c r="T26" s="40" t="str">
        <f>IF(Bids!$F26="","",Bids!$F26)</f>
        <v/>
      </c>
      <c r="U26" s="40" t="str">
        <f t="shared" si="3"/>
        <v/>
      </c>
      <c r="V26" s="40" t="str">
        <f>IF($U26="","",IF(Config!$B$17=Config!$B$16,IF($U26&gt;=Config!$B$17,100,0),MAX(0,MIN(100,($U26-Config!$B$16)/(Config!$B$17-Config!$B$16)*100))))</f>
        <v/>
      </c>
      <c r="W26" s="40">
        <f>IF($L26="Elite",Config!$B$21,0)</f>
        <v>0</v>
      </c>
      <c r="X26" s="40" t="str">
        <f>IFERROR(IF(OR($T26="",$G26=""),"",IF($T26&gt;$G26,
  MAX(0, 60-(($T26-$G26)*24/Config!$B$19)*60),
  MEDIAN(60, 100, 60+(($G26-$T26)*24/Config!$B$20)*40)
)),"")
</f>
        <v/>
      </c>
      <c r="Y26" s="40" t="str">
        <f>IF($J26="","",IFERROR(VLOOKUP($J26,Grinders!$A:$N,10,FALSE),""))</f>
        <v/>
      </c>
      <c r="Z26" s="40" t="str">
        <f>IF($J26="","",IFERROR(VLOOKUP($J26,Grinders!$A:$N,11,FALSE),""))</f>
        <v/>
      </c>
      <c r="AA26" s="40" t="str">
        <f>IF($J26="","",IFERROR(VLOOKUP($J26,Grinders!$A:$N,12,FALSE),""))</f>
        <v/>
      </c>
      <c r="AB26" s="40" t="str">
        <f>IF(OR(AL26=1,AM26=1),0,=IFERROR(IF(OR($C26="",$J26=""),0,IF($D26&lt;&gt;"Open",0,IF(COUNTIFS(GrinderServices!$A:$A,$J26,GrinderServices!$B:$B,$E26,GrinderServices!$D:$D,"Y")=0,0,IF($U26&lt;Config!$B$16,0,IF(Config!$B$18=1,IF($N26&gt;=$M26,0,1),1))))),""))</f>
        <v>#ERROR!</v>
      </c>
      <c r="AC26" s="40" t="str">
        <f>IFERROR((IF(OR(AL26=1,AM26=1),"",=IFERROR((IFERROR(IF($AB26=0,"",((Config!$B$6*$V26 + Config!$B$7*$R26 + Config!$B$8*$W26 + Config!$B$9*$X26 + Config!$B$10*$Y26 + Config!$B$11*$Z26 - Config!$B$12*$AA26)/Config!$B$13)+$AH26+$AI26),""))*(1-IFERROR(VLOOKUP(J26,Grinders!$A:$AB, 28, FALSE),0)),"")))*(1+AO26),"")</f>
        <v>#ERROR!</v>
      </c>
      <c r="AD26" s="40" t="str">
        <f t="shared" si="4"/>
        <v/>
      </c>
      <c r="AE26" s="40" t="str">
        <f>IFERROR(__xludf.DUMMYFUNCTION("IF($AC26="""","""",IF($AC26=IFERROR(MAX(FILTER($AC$6:$AC$1000,$C$6:$C$1000=$C26,$AB$6:$AB$1000=1)),),""WINNER"",""""))"),"#ERROR!")</f>
        <v>#ERROR!</v>
      </c>
      <c r="AF26" s="40" t="str">
        <f t="shared" si="5"/>
        <v/>
      </c>
      <c r="AG26" s="40" t="str">
        <f>IF($J26="","",COUNTIF(Assignments!$B:$B,$J26))</f>
        <v/>
      </c>
      <c r="AH26" s="40" t="str">
        <f>IF($J26="","",IF(AND($AG26=0,$N26&lt;$M26),Config!$B$43,0))</f>
        <v/>
      </c>
      <c r="AI26" s="40" t="str">
        <f>IF($J26="","",IF(AND($L26="Elite",$F26&gt;=Config!$B$41,$N26&lt;$M26),Config!$B$42,0))</f>
        <v/>
      </c>
      <c r="AJ26" s="22"/>
      <c r="AK26" s="39">
        <f>IFERROR(VLOOKUP(J26,Grinders!$A:$Q,28,FALSE),0)</f>
        <v>0</v>
      </c>
      <c r="AL26" s="39">
        <f>IF(Config!$B$1003&lt;&gt;"Y",0,IF(IFERROR(VLOOKUP(J26,Grinders!$A:$P,27,FALSE),0)&gt;=3,IF(OR(F26&gt;=Config!$B$1001,ISNUMBER(SEARCH(E26,Config!$B$1002))),1,0),0))</f>
        <v>0</v>
      </c>
      <c r="AM26" s="39">
        <f t="array" ref="AM26">IFERROR(IF(INDEX(Bids!$AE:$AE,MATCH(B26,Bids!$A:$A,0))="Pending",1,0),0)</f>
        <v>0</v>
      </c>
      <c r="AN26" s="39" t="str">
        <f t="array" ref="AN26">IF(C26="","",IFERROR(XLOOKUP(C26,Assignments!$C:$C,Assignments!$AU:$AU,0),0))</f>
        <v/>
      </c>
      <c r="AO26" s="39">
        <f>IF(AND(Config!$B$1006="Y",AN26=1),Config!$B$1007,0)</f>
        <v>0</v>
      </c>
    </row>
    <row r="27" ht="15.75" customHeight="1">
      <c r="A27" s="46" t="str">
        <f t="shared" si="1"/>
        <v/>
      </c>
      <c r="B27" s="40" t="str">
        <f>IF(Bids!$A27="","",Bids!$A27)</f>
        <v/>
      </c>
      <c r="C27" s="40" t="str">
        <f>IF(Bids!$B27="","",Bids!$B27)</f>
        <v/>
      </c>
      <c r="D27" s="40" t="str">
        <f>IF($C27="","",IFERROR(VLOOKUP($C27,Orders!$A:$J,9,FALSE),""))</f>
        <v/>
      </c>
      <c r="E27" s="40" t="str">
        <f>IF($C27="","",IFERROR(VLOOKUP($C27,Orders!$A:$J,3,FALSE),""))</f>
        <v/>
      </c>
      <c r="F27" s="40" t="str">
        <f>IF($C27="","",IFERROR(VLOOKUP($C27,Orders!$A:$J,4,FALSE),""))</f>
        <v/>
      </c>
      <c r="G27" s="40" t="str">
        <f>IF($C27="","",IFERROR(VLOOKUP($C27,Orders!$A:$J,5,FALSE),""))</f>
        <v/>
      </c>
      <c r="H27" s="40" t="str">
        <f>IF($C27="","",IFERROR(VLOOKUP($C27,Orders!$A:$J,6,FALSE),""))</f>
        <v/>
      </c>
      <c r="I27" s="40" t="str">
        <f>IF($C27="","",IFERROR(VLOOKUP($C27,Orders!$A:$J,7,FALSE),""))</f>
        <v/>
      </c>
      <c r="J27" s="40" t="str">
        <f>IF(Bids!$C27="","",Bids!$C27)</f>
        <v/>
      </c>
      <c r="K27" s="40" t="str">
        <f>IF($J27="","",IFERROR(VLOOKUP($J27,Grinders!$A:$N,2,FALSE),""))</f>
        <v/>
      </c>
      <c r="L27" s="40" t="str">
        <f>IF($J27="","",IFERROR(VLOOKUP($J27,Grinders!$A:$N,3,FALSE),""))</f>
        <v/>
      </c>
      <c r="M27" s="40" t="str">
        <f>IF($J27="","",IFERROR(VLOOKUP($J27,Grinders!$A:$N,4,FALSE),""))</f>
        <v/>
      </c>
      <c r="N27" s="40" t="str">
        <f>IF($J27="","",IFERROR(VLOOKUP($J27,Grinders!$A:$N,5,FALSE),""))</f>
        <v/>
      </c>
      <c r="O27" s="40" t="str">
        <f t="shared" si="2"/>
        <v/>
      </c>
      <c r="P27" s="40" t="str">
        <f>IF($J27="","",IFERROR(VLOOKUP($J27,Grinders!$A:$N,6,FALSE),""))</f>
        <v/>
      </c>
      <c r="Q27" s="40" t="str">
        <f>IF($J27="","",IFERROR(VLOOKUP($J27,Grinders!$A:$N,8,FALSE),""))</f>
        <v/>
      </c>
      <c r="R27" s="40" t="str">
        <f>IFERROR(IF($J27="","",IF($L27="Elite",MAX(50,MIN(100,Config!$B$27*MAX(0,MIN(100,(1-IF($O27="",0,$O27))*100)) + Config!$B$28*MAX(0,MIN(100,(1-MIN(1,IF(Config!$B$30=0,1,$P27/Config!$B$30)))*100)) + Config!$B$29*MAX(0,MIN(100,MIN(1,IF($Q27="",0,$Q27)/Config!$B$23)*100)))),MIN(100,Config!$B$27*MAX(0,MIN(100,(1-IF($O27="",0,$O27))*100)) + Config!$B$28*MAX(0,MIN(100,(1-MIN(1,IF(Config!$B$30=0,1,$P27/Config!$B$30)))*100)) + Config!$B$29*MAX(0,MIN(100,MIN(1,IF($Q27="",0,$Q27)/Config!$B$23)*100))))),"")
</f>
        <v/>
      </c>
      <c r="S27" s="40" t="str">
        <f>IF(Bids!$AC27="","",Bids!$AC27)</f>
        <v/>
      </c>
      <c r="T27" s="40" t="str">
        <f>IF(Bids!$F27="","",Bids!$F27)</f>
        <v/>
      </c>
      <c r="U27" s="40" t="str">
        <f t="shared" si="3"/>
        <v/>
      </c>
      <c r="V27" s="40" t="str">
        <f>IF($U27="","",IF(Config!$B$17=Config!$B$16,IF($U27&gt;=Config!$B$17,100,0),MAX(0,MIN(100,($U27-Config!$B$16)/(Config!$B$17-Config!$B$16)*100))))</f>
        <v/>
      </c>
      <c r="W27" s="40">
        <f>IF($L27="Elite",Config!$B$21,0)</f>
        <v>0</v>
      </c>
      <c r="X27" s="40" t="str">
        <f>IFERROR(IF(OR($T27="",$G27=""),"",IF($T27&gt;$G27,
  MAX(0, 60-(($T27-$G27)*24/Config!$B$19)*60),
  MEDIAN(60, 100, 60+(($G27-$T27)*24/Config!$B$20)*40)
)),"")
</f>
        <v/>
      </c>
      <c r="Y27" s="40" t="str">
        <f>IF($J27="","",IFERROR(VLOOKUP($J27,Grinders!$A:$N,10,FALSE),""))</f>
        <v/>
      </c>
      <c r="Z27" s="40" t="str">
        <f>IF($J27="","",IFERROR(VLOOKUP($J27,Grinders!$A:$N,11,FALSE),""))</f>
        <v/>
      </c>
      <c r="AA27" s="40" t="str">
        <f>IF($J27="","",IFERROR(VLOOKUP($J27,Grinders!$A:$N,12,FALSE),""))</f>
        <v/>
      </c>
      <c r="AB27" s="40" t="str">
        <f>IF(OR(AL27=1,AM27=1),0,=IFERROR(IF(OR($C27="",$J27=""),0,IF($D27&lt;&gt;"Open",0,IF(COUNTIFS(GrinderServices!$A:$A,$J27,GrinderServices!$B:$B,$E27,GrinderServices!$D:$D,"Y")=0,0,IF($U27&lt;Config!$B$16,0,IF(Config!$B$18=1,IF($N27&gt;=$M27,0,1),1))))),""))</f>
        <v>#ERROR!</v>
      </c>
      <c r="AC27" s="40" t="str">
        <f>IFERROR((IF(OR(AL27=1,AM27=1),"",=IFERROR((IFERROR(IF($AB27=0,"",((Config!$B$6*$V27 + Config!$B$7*$R27 + Config!$B$8*$W27 + Config!$B$9*$X27 + Config!$B$10*$Y27 + Config!$B$11*$Z27 - Config!$B$12*$AA27)/Config!$B$13)+$AH27+$AI27),""))*(1-IFERROR(VLOOKUP(J27,Grinders!$A:$AB, 28, FALSE),0)),"")))*(1+AO27),"")</f>
        <v>#ERROR!</v>
      </c>
      <c r="AD27" s="40" t="str">
        <f t="shared" si="4"/>
        <v/>
      </c>
      <c r="AE27" s="40" t="str">
        <f>IFERROR(__xludf.DUMMYFUNCTION("IF($AC27="""","""",IF($AC27=IFERROR(MAX(FILTER($AC$6:$AC$1000,$C$6:$C$1000=$C27,$AB$6:$AB$1000=1)),),""WINNER"",""""))"),"#ERROR!")</f>
        <v>#ERROR!</v>
      </c>
      <c r="AF27" s="40" t="str">
        <f t="shared" si="5"/>
        <v/>
      </c>
      <c r="AG27" s="40" t="str">
        <f>IF($J27="","",COUNTIF(Assignments!$B:$B,$J27))</f>
        <v/>
      </c>
      <c r="AH27" s="40" t="str">
        <f>IF($J27="","",IF(AND($AG27=0,$N27&lt;$M27),Config!$B$43,0))</f>
        <v/>
      </c>
      <c r="AI27" s="40" t="str">
        <f>IF($J27="","",IF(AND($L27="Elite",$F27&gt;=Config!$B$41,$N27&lt;$M27),Config!$B$42,0))</f>
        <v/>
      </c>
      <c r="AJ27" s="22"/>
      <c r="AK27" s="39">
        <f>IFERROR(VLOOKUP(J27,Grinders!$A:$Q,28,FALSE),0)</f>
        <v>0</v>
      </c>
      <c r="AL27" s="39">
        <f>IF(Config!$B$1003&lt;&gt;"Y",0,IF(IFERROR(VLOOKUP(J27,Grinders!$A:$P,27,FALSE),0)&gt;=3,IF(OR(F27&gt;=Config!$B$1001,ISNUMBER(SEARCH(E27,Config!$B$1002))),1,0),0))</f>
        <v>0</v>
      </c>
      <c r="AM27" s="39">
        <f t="array" ref="AM27">IFERROR(IF(INDEX(Bids!$AE:$AE,MATCH(B27,Bids!$A:$A,0))="Pending",1,0),0)</f>
        <v>0</v>
      </c>
      <c r="AN27" s="39" t="str">
        <f t="array" ref="AN27">IF(C27="","",IFERROR(XLOOKUP(C27,Assignments!$C:$C,Assignments!$AU:$AU,0),0))</f>
        <v/>
      </c>
      <c r="AO27" s="39">
        <f>IF(AND(Config!$B$1006="Y",AN27=1),Config!$B$1007,0)</f>
        <v>0</v>
      </c>
    </row>
    <row r="28" ht="15.75" customHeight="1">
      <c r="A28" s="46" t="str">
        <f t="shared" si="1"/>
        <v/>
      </c>
      <c r="B28" s="40" t="str">
        <f>IF(Bids!$A28="","",Bids!$A28)</f>
        <v/>
      </c>
      <c r="C28" s="40" t="str">
        <f>IF(Bids!$B28="","",Bids!$B28)</f>
        <v/>
      </c>
      <c r="D28" s="40" t="str">
        <f>IF($C28="","",IFERROR(VLOOKUP($C28,Orders!$A:$J,9,FALSE),""))</f>
        <v/>
      </c>
      <c r="E28" s="40" t="str">
        <f>IF($C28="","",IFERROR(VLOOKUP($C28,Orders!$A:$J,3,FALSE),""))</f>
        <v/>
      </c>
      <c r="F28" s="40" t="str">
        <f>IF($C28="","",IFERROR(VLOOKUP($C28,Orders!$A:$J,4,FALSE),""))</f>
        <v/>
      </c>
      <c r="G28" s="40" t="str">
        <f>IF($C28="","",IFERROR(VLOOKUP($C28,Orders!$A:$J,5,FALSE),""))</f>
        <v/>
      </c>
      <c r="H28" s="40" t="str">
        <f>IF($C28="","",IFERROR(VLOOKUP($C28,Orders!$A:$J,6,FALSE),""))</f>
        <v/>
      </c>
      <c r="I28" s="40" t="str">
        <f>IF($C28="","",IFERROR(VLOOKUP($C28,Orders!$A:$J,7,FALSE),""))</f>
        <v/>
      </c>
      <c r="J28" s="40" t="str">
        <f>IF(Bids!$C28="","",Bids!$C28)</f>
        <v/>
      </c>
      <c r="K28" s="40" t="str">
        <f>IF($J28="","",IFERROR(VLOOKUP($J28,Grinders!$A:$N,2,FALSE),""))</f>
        <v/>
      </c>
      <c r="L28" s="40" t="str">
        <f>IF($J28="","",IFERROR(VLOOKUP($J28,Grinders!$A:$N,3,FALSE),""))</f>
        <v/>
      </c>
      <c r="M28" s="40" t="str">
        <f>IF($J28="","",IFERROR(VLOOKUP($J28,Grinders!$A:$N,4,FALSE),""))</f>
        <v/>
      </c>
      <c r="N28" s="40" t="str">
        <f>IF($J28="","",IFERROR(VLOOKUP($J28,Grinders!$A:$N,5,FALSE),""))</f>
        <v/>
      </c>
      <c r="O28" s="40" t="str">
        <f t="shared" si="2"/>
        <v/>
      </c>
      <c r="P28" s="40" t="str">
        <f>IF($J28="","",IFERROR(VLOOKUP($J28,Grinders!$A:$N,6,FALSE),""))</f>
        <v/>
      </c>
      <c r="Q28" s="40" t="str">
        <f>IF($J28="","",IFERROR(VLOOKUP($J28,Grinders!$A:$N,8,FALSE),""))</f>
        <v/>
      </c>
      <c r="R28" s="40" t="str">
        <f>IFERROR(IF($J28="","",IF($L28="Elite",MAX(50,MIN(100,Config!$B$27*MAX(0,MIN(100,(1-IF($O28="",0,$O28))*100)) + Config!$B$28*MAX(0,MIN(100,(1-MIN(1,IF(Config!$B$30=0,1,$P28/Config!$B$30)))*100)) + Config!$B$29*MAX(0,MIN(100,MIN(1,IF($Q28="",0,$Q28)/Config!$B$23)*100)))),MIN(100,Config!$B$27*MAX(0,MIN(100,(1-IF($O28="",0,$O28))*100)) + Config!$B$28*MAX(0,MIN(100,(1-MIN(1,IF(Config!$B$30=0,1,$P28/Config!$B$30)))*100)) + Config!$B$29*MAX(0,MIN(100,MIN(1,IF($Q28="",0,$Q28)/Config!$B$23)*100))))),"")
</f>
        <v/>
      </c>
      <c r="S28" s="40" t="str">
        <f>IF(Bids!$AC28="","",Bids!$AC28)</f>
        <v/>
      </c>
      <c r="T28" s="40" t="str">
        <f>IF(Bids!$F28="","",Bids!$F28)</f>
        <v/>
      </c>
      <c r="U28" s="40" t="str">
        <f t="shared" si="3"/>
        <v/>
      </c>
      <c r="V28" s="40" t="str">
        <f>IF($U28="","",IF(Config!$B$17=Config!$B$16,IF($U28&gt;=Config!$B$17,100,0),MAX(0,MIN(100,($U28-Config!$B$16)/(Config!$B$17-Config!$B$16)*100))))</f>
        <v/>
      </c>
      <c r="W28" s="40">
        <f>IF($L28="Elite",Config!$B$21,0)</f>
        <v>0</v>
      </c>
      <c r="X28" s="40" t="str">
        <f>IFERROR(IF(OR($T28="",$G28=""),"",IF($T28&gt;$G28,
  MAX(0, 60-(($T28-$G28)*24/Config!$B$19)*60),
  MEDIAN(60, 100, 60+(($G28-$T28)*24/Config!$B$20)*40)
)),"")
</f>
        <v/>
      </c>
      <c r="Y28" s="40" t="str">
        <f>IF($J28="","",IFERROR(VLOOKUP($J28,Grinders!$A:$N,10,FALSE),""))</f>
        <v/>
      </c>
      <c r="Z28" s="40" t="str">
        <f>IF($J28="","",IFERROR(VLOOKUP($J28,Grinders!$A:$N,11,FALSE),""))</f>
        <v/>
      </c>
      <c r="AA28" s="40" t="str">
        <f>IF($J28="","",IFERROR(VLOOKUP($J28,Grinders!$A:$N,12,FALSE),""))</f>
        <v/>
      </c>
      <c r="AB28" s="40" t="str">
        <f>IF(OR(AL28=1,AM28=1),0,=IFERROR(IF(OR($C28="",$J28=""),0,IF($D28&lt;&gt;"Open",0,IF(COUNTIFS(GrinderServices!$A:$A,$J28,GrinderServices!$B:$B,$E28,GrinderServices!$D:$D,"Y")=0,0,IF($U28&lt;Config!$B$16,0,IF(Config!$B$18=1,IF($N28&gt;=$M28,0,1),1))))),""))</f>
        <v>#ERROR!</v>
      </c>
      <c r="AC28" s="40" t="str">
        <f>IFERROR((IF(OR(AL28=1,AM28=1),"",=IFERROR((IFERROR(IF($AB28=0,"",((Config!$B$6*$V28 + Config!$B$7*$R28 + Config!$B$8*$W28 + Config!$B$9*$X28 + Config!$B$10*$Y28 + Config!$B$11*$Z28 - Config!$B$12*$AA28)/Config!$B$13)+$AH28+$AI28),""))*(1-IFERROR(VLOOKUP(J28,Grinders!$A:$AB, 28, FALSE),0)),"")))*(1+AO28),"")</f>
        <v>#ERROR!</v>
      </c>
      <c r="AD28" s="40" t="str">
        <f t="shared" si="4"/>
        <v/>
      </c>
      <c r="AE28" s="40" t="str">
        <f>IFERROR(__xludf.DUMMYFUNCTION("IF($AC28="""","""",IF($AC28=IFERROR(MAX(FILTER($AC$6:$AC$1000,$C$6:$C$1000=$C28,$AB$6:$AB$1000=1)),),""WINNER"",""""))"),"#ERROR!")</f>
        <v>#ERROR!</v>
      </c>
      <c r="AF28" s="40" t="str">
        <f t="shared" si="5"/>
        <v/>
      </c>
      <c r="AG28" s="40" t="str">
        <f>IF($J28="","",COUNTIF(Assignments!$B:$B,$J28))</f>
        <v/>
      </c>
      <c r="AH28" s="40" t="str">
        <f>IF($J28="","",IF(AND($AG28=0,$N28&lt;$M28),Config!$B$43,0))</f>
        <v/>
      </c>
      <c r="AI28" s="40" t="str">
        <f>IF($J28="","",IF(AND($L28="Elite",$F28&gt;=Config!$B$41,$N28&lt;$M28),Config!$B$42,0))</f>
        <v/>
      </c>
      <c r="AJ28" s="22"/>
      <c r="AK28" s="39">
        <f>IFERROR(VLOOKUP(J28,Grinders!$A:$Q,28,FALSE),0)</f>
        <v>0</v>
      </c>
      <c r="AL28" s="39">
        <f>IF(Config!$B$1003&lt;&gt;"Y",0,IF(IFERROR(VLOOKUP(J28,Grinders!$A:$P,27,FALSE),0)&gt;=3,IF(OR(F28&gt;=Config!$B$1001,ISNUMBER(SEARCH(E28,Config!$B$1002))),1,0),0))</f>
        <v>0</v>
      </c>
      <c r="AM28" s="39">
        <f t="array" ref="AM28">IFERROR(IF(INDEX(Bids!$AE:$AE,MATCH(B28,Bids!$A:$A,0))="Pending",1,0),0)</f>
        <v>0</v>
      </c>
      <c r="AN28" s="39" t="str">
        <f t="array" ref="AN28">IF(C28="","",IFERROR(XLOOKUP(C28,Assignments!$C:$C,Assignments!$AU:$AU,0),0))</f>
        <v/>
      </c>
      <c r="AO28" s="39">
        <f>IF(AND(Config!$B$1006="Y",AN28=1),Config!$B$1007,0)</f>
        <v>0</v>
      </c>
    </row>
    <row r="29" ht="15.75" customHeight="1">
      <c r="A29" s="46" t="str">
        <f t="shared" si="1"/>
        <v/>
      </c>
      <c r="B29" s="40" t="str">
        <f>IF(Bids!$A29="","",Bids!$A29)</f>
        <v/>
      </c>
      <c r="C29" s="40" t="str">
        <f>IF(Bids!$B29="","",Bids!$B29)</f>
        <v/>
      </c>
      <c r="D29" s="40" t="str">
        <f>IF($C29="","",IFERROR(VLOOKUP($C29,Orders!$A:$J,9,FALSE),""))</f>
        <v/>
      </c>
      <c r="E29" s="40" t="str">
        <f>IF($C29="","",IFERROR(VLOOKUP($C29,Orders!$A:$J,3,FALSE),""))</f>
        <v/>
      </c>
      <c r="F29" s="40" t="str">
        <f>IF($C29="","",IFERROR(VLOOKUP($C29,Orders!$A:$J,4,FALSE),""))</f>
        <v/>
      </c>
      <c r="G29" s="40" t="str">
        <f>IF($C29="","",IFERROR(VLOOKUP($C29,Orders!$A:$J,5,FALSE),""))</f>
        <v/>
      </c>
      <c r="H29" s="40" t="str">
        <f>IF($C29="","",IFERROR(VLOOKUP($C29,Orders!$A:$J,6,FALSE),""))</f>
        <v/>
      </c>
      <c r="I29" s="40" t="str">
        <f>IF($C29="","",IFERROR(VLOOKUP($C29,Orders!$A:$J,7,FALSE),""))</f>
        <v/>
      </c>
      <c r="J29" s="40" t="str">
        <f>IF(Bids!$C29="","",Bids!$C29)</f>
        <v/>
      </c>
      <c r="K29" s="40" t="str">
        <f>IF($J29="","",IFERROR(VLOOKUP($J29,Grinders!$A:$N,2,FALSE),""))</f>
        <v/>
      </c>
      <c r="L29" s="40" t="str">
        <f>IF($J29="","",IFERROR(VLOOKUP($J29,Grinders!$A:$N,3,FALSE),""))</f>
        <v/>
      </c>
      <c r="M29" s="40" t="str">
        <f>IF($J29="","",IFERROR(VLOOKUP($J29,Grinders!$A:$N,4,FALSE),""))</f>
        <v/>
      </c>
      <c r="N29" s="40" t="str">
        <f>IF($J29="","",IFERROR(VLOOKUP($J29,Grinders!$A:$N,5,FALSE),""))</f>
        <v/>
      </c>
      <c r="O29" s="40" t="str">
        <f t="shared" si="2"/>
        <v/>
      </c>
      <c r="P29" s="40" t="str">
        <f>IF($J29="","",IFERROR(VLOOKUP($J29,Grinders!$A:$N,6,FALSE),""))</f>
        <v/>
      </c>
      <c r="Q29" s="40" t="str">
        <f>IF($J29="","",IFERROR(VLOOKUP($J29,Grinders!$A:$N,8,FALSE),""))</f>
        <v/>
      </c>
      <c r="R29" s="40" t="str">
        <f>IFERROR(IF($J29="","",IF($L29="Elite",MAX(50,MIN(100,Config!$B$27*MAX(0,MIN(100,(1-IF($O29="",0,$O29))*100)) + Config!$B$28*MAX(0,MIN(100,(1-MIN(1,IF(Config!$B$30=0,1,$P29/Config!$B$30)))*100)) + Config!$B$29*MAX(0,MIN(100,MIN(1,IF($Q29="",0,$Q29)/Config!$B$23)*100)))),MIN(100,Config!$B$27*MAX(0,MIN(100,(1-IF($O29="",0,$O29))*100)) + Config!$B$28*MAX(0,MIN(100,(1-MIN(1,IF(Config!$B$30=0,1,$P29/Config!$B$30)))*100)) + Config!$B$29*MAX(0,MIN(100,MIN(1,IF($Q29="",0,$Q29)/Config!$B$23)*100))))),"")
</f>
        <v/>
      </c>
      <c r="S29" s="40" t="str">
        <f>IF(Bids!$AC29="","",Bids!$AC29)</f>
        <v/>
      </c>
      <c r="T29" s="40" t="str">
        <f>IF(Bids!$F29="","",Bids!$F29)</f>
        <v/>
      </c>
      <c r="U29" s="40" t="str">
        <f t="shared" si="3"/>
        <v/>
      </c>
      <c r="V29" s="40" t="str">
        <f>IF($U29="","",IF(Config!$B$17=Config!$B$16,IF($U29&gt;=Config!$B$17,100,0),MAX(0,MIN(100,($U29-Config!$B$16)/(Config!$B$17-Config!$B$16)*100))))</f>
        <v/>
      </c>
      <c r="W29" s="40">
        <f>IF($L29="Elite",Config!$B$21,0)</f>
        <v>0</v>
      </c>
      <c r="X29" s="40" t="str">
        <f>IFERROR(IF(OR($T29="",$G29=""),"",IF($T29&gt;$G29,
  MAX(0, 60-(($T29-$G29)*24/Config!$B$19)*60),
  MEDIAN(60, 100, 60+(($G29-$T29)*24/Config!$B$20)*40)
)),"")
</f>
        <v/>
      </c>
      <c r="Y29" s="40" t="str">
        <f>IF($J29="","",IFERROR(VLOOKUP($J29,Grinders!$A:$N,10,FALSE),""))</f>
        <v/>
      </c>
      <c r="Z29" s="40" t="str">
        <f>IF($J29="","",IFERROR(VLOOKUP($J29,Grinders!$A:$N,11,FALSE),""))</f>
        <v/>
      </c>
      <c r="AA29" s="40" t="str">
        <f>IF($J29="","",IFERROR(VLOOKUP($J29,Grinders!$A:$N,12,FALSE),""))</f>
        <v/>
      </c>
      <c r="AB29" s="40" t="str">
        <f>IF(OR(AL29=1,AM29=1),0,=IFERROR(IF(OR($C29="",$J29=""),0,IF($D29&lt;&gt;"Open",0,IF(COUNTIFS(GrinderServices!$A:$A,$J29,GrinderServices!$B:$B,$E29,GrinderServices!$D:$D,"Y")=0,0,IF($U29&lt;Config!$B$16,0,IF(Config!$B$18=1,IF($N29&gt;=$M29,0,1),1))))),""))</f>
        <v>#ERROR!</v>
      </c>
      <c r="AC29" s="40" t="str">
        <f>IFERROR((IF(OR(AL29=1,AM29=1),"",=IFERROR((IFERROR(IF($AB29=0,"",((Config!$B$6*$V29 + Config!$B$7*$R29 + Config!$B$8*$W29 + Config!$B$9*$X29 + Config!$B$10*$Y29 + Config!$B$11*$Z29 - Config!$B$12*$AA29)/Config!$B$13)+$AH29+$AI29),""))*(1-IFERROR(VLOOKUP(J29,Grinders!$A:$AB, 28, FALSE),0)),"")))*(1+AO29),"")</f>
        <v>#ERROR!</v>
      </c>
      <c r="AD29" s="40" t="str">
        <f t="shared" si="4"/>
        <v/>
      </c>
      <c r="AE29" s="40" t="str">
        <f>IFERROR(__xludf.DUMMYFUNCTION("IF($AC29="""","""",IF($AC29=IFERROR(MAX(FILTER($AC$6:$AC$1000,$C$6:$C$1000=$C29,$AB$6:$AB$1000=1)),),""WINNER"",""""))"),"#ERROR!")</f>
        <v>#ERROR!</v>
      </c>
      <c r="AF29" s="40" t="str">
        <f t="shared" si="5"/>
        <v/>
      </c>
      <c r="AG29" s="40" t="str">
        <f>IF($J29="","",COUNTIF(Assignments!$B:$B,$J29))</f>
        <v/>
      </c>
      <c r="AH29" s="40" t="str">
        <f>IF($J29="","",IF(AND($AG29=0,$N29&lt;$M29),Config!$B$43,0))</f>
        <v/>
      </c>
      <c r="AI29" s="40" t="str">
        <f>IF($J29="","",IF(AND($L29="Elite",$F29&gt;=Config!$B$41,$N29&lt;$M29),Config!$B$42,0))</f>
        <v/>
      </c>
      <c r="AJ29" s="22"/>
      <c r="AK29" s="39">
        <f>IFERROR(VLOOKUP(J29,Grinders!$A:$Q,28,FALSE),0)</f>
        <v>0</v>
      </c>
      <c r="AL29" s="39">
        <f>IF(Config!$B$1003&lt;&gt;"Y",0,IF(IFERROR(VLOOKUP(J29,Grinders!$A:$P,27,FALSE),0)&gt;=3,IF(OR(F29&gt;=Config!$B$1001,ISNUMBER(SEARCH(E29,Config!$B$1002))),1,0),0))</f>
        <v>0</v>
      </c>
      <c r="AM29" s="39">
        <f t="array" ref="AM29">IFERROR(IF(INDEX(Bids!$AE:$AE,MATCH(B29,Bids!$A:$A,0))="Pending",1,0),0)</f>
        <v>0</v>
      </c>
      <c r="AN29" s="39" t="str">
        <f t="array" ref="AN29">IF(C29="","",IFERROR(XLOOKUP(C29,Assignments!$C:$C,Assignments!$AU:$AU,0),0))</f>
        <v/>
      </c>
      <c r="AO29" s="39">
        <f>IF(AND(Config!$B$1006="Y",AN29=1),Config!$B$1007,0)</f>
        <v>0</v>
      </c>
    </row>
    <row r="30" ht="15.75" customHeight="1">
      <c r="A30" s="46" t="str">
        <f t="shared" si="1"/>
        <v/>
      </c>
      <c r="B30" s="40" t="str">
        <f>IF(Bids!$A30="","",Bids!$A30)</f>
        <v/>
      </c>
      <c r="C30" s="40" t="str">
        <f>IF(Bids!$B30="","",Bids!$B30)</f>
        <v/>
      </c>
      <c r="D30" s="40" t="str">
        <f>IF($C30="","",IFERROR(VLOOKUP($C30,Orders!$A:$J,9,FALSE),""))</f>
        <v/>
      </c>
      <c r="E30" s="40" t="str">
        <f>IF($C30="","",IFERROR(VLOOKUP($C30,Orders!$A:$J,3,FALSE),""))</f>
        <v/>
      </c>
      <c r="F30" s="40" t="str">
        <f>IF($C30="","",IFERROR(VLOOKUP($C30,Orders!$A:$J,4,FALSE),""))</f>
        <v/>
      </c>
      <c r="G30" s="40" t="str">
        <f>IF($C30="","",IFERROR(VLOOKUP($C30,Orders!$A:$J,5,FALSE),""))</f>
        <v/>
      </c>
      <c r="H30" s="40" t="str">
        <f>IF($C30="","",IFERROR(VLOOKUP($C30,Orders!$A:$J,6,FALSE),""))</f>
        <v/>
      </c>
      <c r="I30" s="40" t="str">
        <f>IF($C30="","",IFERROR(VLOOKUP($C30,Orders!$A:$J,7,FALSE),""))</f>
        <v/>
      </c>
      <c r="J30" s="40" t="str">
        <f>IF(Bids!$C30="","",Bids!$C30)</f>
        <v/>
      </c>
      <c r="K30" s="40" t="str">
        <f>IF($J30="","",IFERROR(VLOOKUP($J30,Grinders!$A:$N,2,FALSE),""))</f>
        <v/>
      </c>
      <c r="L30" s="40" t="str">
        <f>IF($J30="","",IFERROR(VLOOKUP($J30,Grinders!$A:$N,3,FALSE),""))</f>
        <v/>
      </c>
      <c r="M30" s="40" t="str">
        <f>IF($J30="","",IFERROR(VLOOKUP($J30,Grinders!$A:$N,4,FALSE),""))</f>
        <v/>
      </c>
      <c r="N30" s="40" t="str">
        <f>IF($J30="","",IFERROR(VLOOKUP($J30,Grinders!$A:$N,5,FALSE),""))</f>
        <v/>
      </c>
      <c r="O30" s="40" t="str">
        <f t="shared" si="2"/>
        <v/>
      </c>
      <c r="P30" s="40" t="str">
        <f>IF($J30="","",IFERROR(VLOOKUP($J30,Grinders!$A:$N,6,FALSE),""))</f>
        <v/>
      </c>
      <c r="Q30" s="40" t="str">
        <f>IF($J30="","",IFERROR(VLOOKUP($J30,Grinders!$A:$N,8,FALSE),""))</f>
        <v/>
      </c>
      <c r="R30" s="40" t="str">
        <f>IFERROR(IF($J30="","",IF($L30="Elite",MAX(50,MIN(100,Config!$B$27*MAX(0,MIN(100,(1-IF($O30="",0,$O30))*100)) + Config!$B$28*MAX(0,MIN(100,(1-MIN(1,IF(Config!$B$30=0,1,$P30/Config!$B$30)))*100)) + Config!$B$29*MAX(0,MIN(100,MIN(1,IF($Q30="",0,$Q30)/Config!$B$23)*100)))),MIN(100,Config!$B$27*MAX(0,MIN(100,(1-IF($O30="",0,$O30))*100)) + Config!$B$28*MAX(0,MIN(100,(1-MIN(1,IF(Config!$B$30=0,1,$P30/Config!$B$30)))*100)) + Config!$B$29*MAX(0,MIN(100,MIN(1,IF($Q30="",0,$Q30)/Config!$B$23)*100))))),"")
</f>
        <v/>
      </c>
      <c r="S30" s="40" t="str">
        <f>IF(Bids!$AC30="","",Bids!$AC30)</f>
        <v/>
      </c>
      <c r="T30" s="40" t="str">
        <f>IF(Bids!$F30="","",Bids!$F30)</f>
        <v/>
      </c>
      <c r="U30" s="40" t="str">
        <f t="shared" si="3"/>
        <v/>
      </c>
      <c r="V30" s="40" t="str">
        <f>IF($U30="","",IF(Config!$B$17=Config!$B$16,IF($U30&gt;=Config!$B$17,100,0),MAX(0,MIN(100,($U30-Config!$B$16)/(Config!$B$17-Config!$B$16)*100))))</f>
        <v/>
      </c>
      <c r="W30" s="40">
        <f>IF($L30="Elite",Config!$B$21,0)</f>
        <v>0</v>
      </c>
      <c r="X30" s="40" t="str">
        <f>IFERROR(IF(OR($T30="",$G30=""),"",IF($T30&gt;$G30,
  MAX(0, 60-(($T30-$G30)*24/Config!$B$19)*60),
  MEDIAN(60, 100, 60+(($G30-$T30)*24/Config!$B$20)*40)
)),"")
</f>
        <v/>
      </c>
      <c r="Y30" s="40" t="str">
        <f>IF($J30="","",IFERROR(VLOOKUP($J30,Grinders!$A:$N,10,FALSE),""))</f>
        <v/>
      </c>
      <c r="Z30" s="40" t="str">
        <f>IF($J30="","",IFERROR(VLOOKUP($J30,Grinders!$A:$N,11,FALSE),""))</f>
        <v/>
      </c>
      <c r="AA30" s="40" t="str">
        <f>IF($J30="","",IFERROR(VLOOKUP($J30,Grinders!$A:$N,12,FALSE),""))</f>
        <v/>
      </c>
      <c r="AB30" s="40" t="str">
        <f>IF(OR(AL30=1,AM30=1),0,=IFERROR(IF(OR($C30="",$J30=""),0,IF($D30&lt;&gt;"Open",0,IF(COUNTIFS(GrinderServices!$A:$A,$J30,GrinderServices!$B:$B,$E30,GrinderServices!$D:$D,"Y")=0,0,IF($U30&lt;Config!$B$16,0,IF(Config!$B$18=1,IF($N30&gt;=$M30,0,1),1))))),""))</f>
        <v>#ERROR!</v>
      </c>
      <c r="AC30" s="40" t="str">
        <f>IFERROR((IF(OR(AL30=1,AM30=1),"",=IFERROR((IFERROR(IF($AB30=0,"",((Config!$B$6*$V30 + Config!$B$7*$R30 + Config!$B$8*$W30 + Config!$B$9*$X30 + Config!$B$10*$Y30 + Config!$B$11*$Z30 - Config!$B$12*$AA30)/Config!$B$13)+$AH30+$AI30),""))*(1-IFERROR(VLOOKUP(J30,Grinders!$A:$AB, 28, FALSE),0)),"")))*(1+AO30),"")</f>
        <v>#ERROR!</v>
      </c>
      <c r="AD30" s="40" t="str">
        <f t="shared" si="4"/>
        <v/>
      </c>
      <c r="AE30" s="40" t="str">
        <f>IFERROR(__xludf.DUMMYFUNCTION("IF($AC30="""","""",IF($AC30=IFERROR(MAX(FILTER($AC$6:$AC$1000,$C$6:$C$1000=$C30,$AB$6:$AB$1000=1)),),""WINNER"",""""))"),"#ERROR!")</f>
        <v>#ERROR!</v>
      </c>
      <c r="AF30" s="40" t="str">
        <f t="shared" si="5"/>
        <v/>
      </c>
      <c r="AG30" s="40" t="str">
        <f>IF($J30="","",COUNTIF(Assignments!$B:$B,$J30))</f>
        <v/>
      </c>
      <c r="AH30" s="40" t="str">
        <f>IF($J30="","",IF(AND($AG30=0,$N30&lt;$M30),Config!$B$43,0))</f>
        <v/>
      </c>
      <c r="AI30" s="40" t="str">
        <f>IF($J30="","",IF(AND($L30="Elite",$F30&gt;=Config!$B$41,$N30&lt;$M30),Config!$B$42,0))</f>
        <v/>
      </c>
      <c r="AJ30" s="22"/>
      <c r="AK30" s="39">
        <f>IFERROR(VLOOKUP(J30,Grinders!$A:$Q,28,FALSE),0)</f>
        <v>0</v>
      </c>
      <c r="AL30" s="39">
        <f>IF(Config!$B$1003&lt;&gt;"Y",0,IF(IFERROR(VLOOKUP(J30,Grinders!$A:$P,27,FALSE),0)&gt;=3,IF(OR(F30&gt;=Config!$B$1001,ISNUMBER(SEARCH(E30,Config!$B$1002))),1,0),0))</f>
        <v>0</v>
      </c>
      <c r="AM30" s="39">
        <f t="array" ref="AM30">IFERROR(IF(INDEX(Bids!$AE:$AE,MATCH(B30,Bids!$A:$A,0))="Pending",1,0),0)</f>
        <v>0</v>
      </c>
      <c r="AN30" s="39" t="str">
        <f t="array" ref="AN30">IF(C30="","",IFERROR(XLOOKUP(C30,Assignments!$C:$C,Assignments!$AU:$AU,0),0))</f>
        <v/>
      </c>
      <c r="AO30" s="39">
        <f>IF(AND(Config!$B$1006="Y",AN30=1),Config!$B$1007,0)</f>
        <v>0</v>
      </c>
    </row>
    <row r="31" ht="15.75" customHeight="1">
      <c r="A31" s="46" t="str">
        <f t="shared" si="1"/>
        <v/>
      </c>
      <c r="B31" s="40" t="str">
        <f>IF(Bids!$A31="","",Bids!$A31)</f>
        <v/>
      </c>
      <c r="C31" s="40" t="str">
        <f>IF(Bids!$B31="","",Bids!$B31)</f>
        <v/>
      </c>
      <c r="D31" s="40" t="str">
        <f>IF($C31="","",IFERROR(VLOOKUP($C31,Orders!$A:$J,9,FALSE),""))</f>
        <v/>
      </c>
      <c r="E31" s="40" t="str">
        <f>IF($C31="","",IFERROR(VLOOKUP($C31,Orders!$A:$J,3,FALSE),""))</f>
        <v/>
      </c>
      <c r="F31" s="40" t="str">
        <f>IF($C31="","",IFERROR(VLOOKUP($C31,Orders!$A:$J,4,FALSE),""))</f>
        <v/>
      </c>
      <c r="G31" s="40" t="str">
        <f>IF($C31="","",IFERROR(VLOOKUP($C31,Orders!$A:$J,5,FALSE),""))</f>
        <v/>
      </c>
      <c r="H31" s="40" t="str">
        <f>IF($C31="","",IFERROR(VLOOKUP($C31,Orders!$A:$J,6,FALSE),""))</f>
        <v/>
      </c>
      <c r="I31" s="40" t="str">
        <f>IF($C31="","",IFERROR(VLOOKUP($C31,Orders!$A:$J,7,FALSE),""))</f>
        <v/>
      </c>
      <c r="J31" s="40" t="str">
        <f>IF(Bids!$C31="","",Bids!$C31)</f>
        <v/>
      </c>
      <c r="K31" s="40" t="str">
        <f>IF($J31="","",IFERROR(VLOOKUP($J31,Grinders!$A:$N,2,FALSE),""))</f>
        <v/>
      </c>
      <c r="L31" s="40" t="str">
        <f>IF($J31="","",IFERROR(VLOOKUP($J31,Grinders!$A:$N,3,FALSE),""))</f>
        <v/>
      </c>
      <c r="M31" s="40" t="str">
        <f>IF($J31="","",IFERROR(VLOOKUP($J31,Grinders!$A:$N,4,FALSE),""))</f>
        <v/>
      </c>
      <c r="N31" s="40" t="str">
        <f>IF($J31="","",IFERROR(VLOOKUP($J31,Grinders!$A:$N,5,FALSE),""))</f>
        <v/>
      </c>
      <c r="O31" s="40" t="str">
        <f t="shared" si="2"/>
        <v/>
      </c>
      <c r="P31" s="40" t="str">
        <f>IF($J31="","",IFERROR(VLOOKUP($J31,Grinders!$A:$N,6,FALSE),""))</f>
        <v/>
      </c>
      <c r="Q31" s="40" t="str">
        <f>IF($J31="","",IFERROR(VLOOKUP($J31,Grinders!$A:$N,8,FALSE),""))</f>
        <v/>
      </c>
      <c r="R31" s="40" t="str">
        <f>IFERROR(IF($J31="","",IF($L31="Elite",MAX(50,MIN(100,Config!$B$27*MAX(0,MIN(100,(1-IF($O31="",0,$O31))*100)) + Config!$B$28*MAX(0,MIN(100,(1-MIN(1,IF(Config!$B$30=0,1,$P31/Config!$B$30)))*100)) + Config!$B$29*MAX(0,MIN(100,MIN(1,IF($Q31="",0,$Q31)/Config!$B$23)*100)))),MIN(100,Config!$B$27*MAX(0,MIN(100,(1-IF($O31="",0,$O31))*100)) + Config!$B$28*MAX(0,MIN(100,(1-MIN(1,IF(Config!$B$30=0,1,$P31/Config!$B$30)))*100)) + Config!$B$29*MAX(0,MIN(100,MIN(1,IF($Q31="",0,$Q31)/Config!$B$23)*100))))),"")
</f>
        <v/>
      </c>
      <c r="S31" s="40" t="str">
        <f>IF(Bids!$AC31="","",Bids!$AC31)</f>
        <v/>
      </c>
      <c r="T31" s="40" t="str">
        <f>IF(Bids!$F31="","",Bids!$F31)</f>
        <v/>
      </c>
      <c r="U31" s="40" t="str">
        <f t="shared" si="3"/>
        <v/>
      </c>
      <c r="V31" s="40" t="str">
        <f>IF($U31="","",IF(Config!$B$17=Config!$B$16,IF($U31&gt;=Config!$B$17,100,0),MAX(0,MIN(100,($U31-Config!$B$16)/(Config!$B$17-Config!$B$16)*100))))</f>
        <v/>
      </c>
      <c r="W31" s="40">
        <f>IF($L31="Elite",Config!$B$21,0)</f>
        <v>0</v>
      </c>
      <c r="X31" s="40" t="str">
        <f>IFERROR(IF(OR($T31="",$G31=""),"",IF($T31&gt;$G31,
  MAX(0, 60-(($T31-$G31)*24/Config!$B$19)*60),
  MEDIAN(60, 100, 60+(($G31-$T31)*24/Config!$B$20)*40)
)),"")
</f>
        <v/>
      </c>
      <c r="Y31" s="40" t="str">
        <f>IF($J31="","",IFERROR(VLOOKUP($J31,Grinders!$A:$N,10,FALSE),""))</f>
        <v/>
      </c>
      <c r="Z31" s="40" t="str">
        <f>IF($J31="","",IFERROR(VLOOKUP($J31,Grinders!$A:$N,11,FALSE),""))</f>
        <v/>
      </c>
      <c r="AA31" s="40" t="str">
        <f>IF($J31="","",IFERROR(VLOOKUP($J31,Grinders!$A:$N,12,FALSE),""))</f>
        <v/>
      </c>
      <c r="AB31" s="40" t="str">
        <f>IF(OR(AL31=1,AM31=1),0,=IFERROR(IF(OR($C31="",$J31=""),0,IF($D31&lt;&gt;"Open",0,IF(COUNTIFS(GrinderServices!$A:$A,$J31,GrinderServices!$B:$B,$E31,GrinderServices!$D:$D,"Y")=0,0,IF($U31&lt;Config!$B$16,0,IF(Config!$B$18=1,IF($N31&gt;=$M31,0,1),1))))),""))</f>
        <v>#ERROR!</v>
      </c>
      <c r="AC31" s="40" t="str">
        <f>IFERROR((IF(OR(AL31=1,AM31=1),"",=IFERROR((IFERROR(IF($AB31=0,"",((Config!$B$6*$V31 + Config!$B$7*$R31 + Config!$B$8*$W31 + Config!$B$9*$X31 + Config!$B$10*$Y31 + Config!$B$11*$Z31 - Config!$B$12*$AA31)/Config!$B$13)+$AH31+$AI31),""))*(1-IFERROR(VLOOKUP(J31,Grinders!$A:$AB, 28, FALSE),0)),"")))*(1+AO31),"")</f>
        <v>#ERROR!</v>
      </c>
      <c r="AD31" s="40" t="str">
        <f t="shared" si="4"/>
        <v/>
      </c>
      <c r="AE31" s="40" t="str">
        <f>IFERROR(__xludf.DUMMYFUNCTION("IF($AC31="""","""",IF($AC31=IFERROR(MAX(FILTER($AC$6:$AC$1000,$C$6:$C$1000=$C31,$AB$6:$AB$1000=1)),),""WINNER"",""""))"),"#ERROR!")</f>
        <v>#ERROR!</v>
      </c>
      <c r="AF31" s="40" t="str">
        <f t="shared" si="5"/>
        <v/>
      </c>
      <c r="AG31" s="40" t="str">
        <f>IF($J31="","",COUNTIF(Assignments!$B:$B,$J31))</f>
        <v/>
      </c>
      <c r="AH31" s="40" t="str">
        <f>IF($J31="","",IF(AND($AG31=0,$N31&lt;$M31),Config!$B$43,0))</f>
        <v/>
      </c>
      <c r="AI31" s="40" t="str">
        <f>IF($J31="","",IF(AND($L31="Elite",$F31&gt;=Config!$B$41,$N31&lt;$M31),Config!$B$42,0))</f>
        <v/>
      </c>
      <c r="AJ31" s="22"/>
      <c r="AK31" s="39">
        <f>IFERROR(VLOOKUP(J31,Grinders!$A:$Q,28,FALSE),0)</f>
        <v>0</v>
      </c>
      <c r="AL31" s="39">
        <f>IF(Config!$B$1003&lt;&gt;"Y",0,IF(IFERROR(VLOOKUP(J31,Grinders!$A:$P,27,FALSE),0)&gt;=3,IF(OR(F31&gt;=Config!$B$1001,ISNUMBER(SEARCH(E31,Config!$B$1002))),1,0),0))</f>
        <v>0</v>
      </c>
      <c r="AM31" s="39">
        <f t="array" ref="AM31">IFERROR(IF(INDEX(Bids!$AE:$AE,MATCH(B31,Bids!$A:$A,0))="Pending",1,0),0)</f>
        <v>0</v>
      </c>
      <c r="AN31" s="39" t="str">
        <f t="array" ref="AN31">IF(C31="","",IFERROR(XLOOKUP(C31,Assignments!$C:$C,Assignments!$AU:$AU,0),0))</f>
        <v/>
      </c>
      <c r="AO31" s="39">
        <f>IF(AND(Config!$B$1006="Y",AN31=1),Config!$B$1007,0)</f>
        <v>0</v>
      </c>
    </row>
    <row r="32" ht="15.75" customHeight="1">
      <c r="A32" s="46" t="str">
        <f t="shared" si="1"/>
        <v/>
      </c>
      <c r="B32" s="40" t="str">
        <f>IF(Bids!$A32="","",Bids!$A32)</f>
        <v/>
      </c>
      <c r="C32" s="40" t="str">
        <f>IF(Bids!$B32="","",Bids!$B32)</f>
        <v/>
      </c>
      <c r="D32" s="40" t="str">
        <f>IF($C32="","",IFERROR(VLOOKUP($C32,Orders!$A:$J,9,FALSE),""))</f>
        <v/>
      </c>
      <c r="E32" s="40" t="str">
        <f>IF($C32="","",IFERROR(VLOOKUP($C32,Orders!$A:$J,3,FALSE),""))</f>
        <v/>
      </c>
      <c r="F32" s="40" t="str">
        <f>IF($C32="","",IFERROR(VLOOKUP($C32,Orders!$A:$J,4,FALSE),""))</f>
        <v/>
      </c>
      <c r="G32" s="40" t="str">
        <f>IF($C32="","",IFERROR(VLOOKUP($C32,Orders!$A:$J,5,FALSE),""))</f>
        <v/>
      </c>
      <c r="H32" s="40" t="str">
        <f>IF($C32="","",IFERROR(VLOOKUP($C32,Orders!$A:$J,6,FALSE),""))</f>
        <v/>
      </c>
      <c r="I32" s="40" t="str">
        <f>IF($C32="","",IFERROR(VLOOKUP($C32,Orders!$A:$J,7,FALSE),""))</f>
        <v/>
      </c>
      <c r="J32" s="40" t="str">
        <f>IF(Bids!$C32="","",Bids!$C32)</f>
        <v/>
      </c>
      <c r="K32" s="40" t="str">
        <f>IF($J32="","",IFERROR(VLOOKUP($J32,Grinders!$A:$N,2,FALSE),""))</f>
        <v/>
      </c>
      <c r="L32" s="40" t="str">
        <f>IF($J32="","",IFERROR(VLOOKUP($J32,Grinders!$A:$N,3,FALSE),""))</f>
        <v/>
      </c>
      <c r="M32" s="40" t="str">
        <f>IF($J32="","",IFERROR(VLOOKUP($J32,Grinders!$A:$N,4,FALSE),""))</f>
        <v/>
      </c>
      <c r="N32" s="40" t="str">
        <f>IF($J32="","",IFERROR(VLOOKUP($J32,Grinders!$A:$N,5,FALSE),""))</f>
        <v/>
      </c>
      <c r="O32" s="40" t="str">
        <f t="shared" si="2"/>
        <v/>
      </c>
      <c r="P32" s="40" t="str">
        <f>IF($J32="","",IFERROR(VLOOKUP($J32,Grinders!$A:$N,6,FALSE),""))</f>
        <v/>
      </c>
      <c r="Q32" s="40" t="str">
        <f>IF($J32="","",IFERROR(VLOOKUP($J32,Grinders!$A:$N,8,FALSE),""))</f>
        <v/>
      </c>
      <c r="R32" s="40" t="str">
        <f>IFERROR(IF($J32="","",IF($L32="Elite",MAX(50,MIN(100,Config!$B$27*MAX(0,MIN(100,(1-IF($O32="",0,$O32))*100)) + Config!$B$28*MAX(0,MIN(100,(1-MIN(1,IF(Config!$B$30=0,1,$P32/Config!$B$30)))*100)) + Config!$B$29*MAX(0,MIN(100,MIN(1,IF($Q32="",0,$Q32)/Config!$B$23)*100)))),MIN(100,Config!$B$27*MAX(0,MIN(100,(1-IF($O32="",0,$O32))*100)) + Config!$B$28*MAX(0,MIN(100,(1-MIN(1,IF(Config!$B$30=0,1,$P32/Config!$B$30)))*100)) + Config!$B$29*MAX(0,MIN(100,MIN(1,IF($Q32="",0,$Q32)/Config!$B$23)*100))))),"")
</f>
        <v/>
      </c>
      <c r="S32" s="40" t="str">
        <f>IF(Bids!$AC32="","",Bids!$AC32)</f>
        <v/>
      </c>
      <c r="T32" s="40" t="str">
        <f>IF(Bids!$F32="","",Bids!$F32)</f>
        <v/>
      </c>
      <c r="U32" s="40" t="str">
        <f t="shared" si="3"/>
        <v/>
      </c>
      <c r="V32" s="40" t="str">
        <f>IF($U32="","",IF(Config!$B$17=Config!$B$16,IF($U32&gt;=Config!$B$17,100,0),MAX(0,MIN(100,($U32-Config!$B$16)/(Config!$B$17-Config!$B$16)*100))))</f>
        <v/>
      </c>
      <c r="W32" s="40">
        <f>IF($L32="Elite",Config!$B$21,0)</f>
        <v>0</v>
      </c>
      <c r="X32" s="40" t="str">
        <f>IFERROR(IF(OR($T32="",$G32=""),"",IF($T32&gt;$G32,
  MAX(0, 60-(($T32-$G32)*24/Config!$B$19)*60),
  MEDIAN(60, 100, 60+(($G32-$T32)*24/Config!$B$20)*40)
)),"")
</f>
        <v/>
      </c>
      <c r="Y32" s="40" t="str">
        <f>IF($J32="","",IFERROR(VLOOKUP($J32,Grinders!$A:$N,10,FALSE),""))</f>
        <v/>
      </c>
      <c r="Z32" s="40" t="str">
        <f>IF($J32="","",IFERROR(VLOOKUP($J32,Grinders!$A:$N,11,FALSE),""))</f>
        <v/>
      </c>
      <c r="AA32" s="40" t="str">
        <f>IF($J32="","",IFERROR(VLOOKUP($J32,Grinders!$A:$N,12,FALSE),""))</f>
        <v/>
      </c>
      <c r="AB32" s="40" t="str">
        <f>IF(OR(AL32=1,AM32=1),0,=IFERROR(IF(OR($C32="",$J32=""),0,IF($D32&lt;&gt;"Open",0,IF(COUNTIFS(GrinderServices!$A:$A,$J32,GrinderServices!$B:$B,$E32,GrinderServices!$D:$D,"Y")=0,0,IF($U32&lt;Config!$B$16,0,IF(Config!$B$18=1,IF($N32&gt;=$M32,0,1),1))))),""))</f>
        <v>#ERROR!</v>
      </c>
      <c r="AC32" s="40" t="str">
        <f>IFERROR((IF(OR(AL32=1,AM32=1),"",=IFERROR((IFERROR(IF($AB32=0,"",((Config!$B$6*$V32 + Config!$B$7*$R32 + Config!$B$8*$W32 + Config!$B$9*$X32 + Config!$B$10*$Y32 + Config!$B$11*$Z32 - Config!$B$12*$AA32)/Config!$B$13)+$AH32+$AI32),""))*(1-IFERROR(VLOOKUP(J32,Grinders!$A:$AB, 28, FALSE),0)),"")))*(1+AO32),"")</f>
        <v>#ERROR!</v>
      </c>
      <c r="AD32" s="40" t="str">
        <f t="shared" si="4"/>
        <v/>
      </c>
      <c r="AE32" s="40" t="str">
        <f>IFERROR(__xludf.DUMMYFUNCTION("IF($AC32="""","""",IF($AC32=IFERROR(MAX(FILTER($AC$6:$AC$1000,$C$6:$C$1000=$C32,$AB$6:$AB$1000=1)),),""WINNER"",""""))"),"#ERROR!")</f>
        <v>#ERROR!</v>
      </c>
      <c r="AF32" s="40" t="str">
        <f t="shared" si="5"/>
        <v/>
      </c>
      <c r="AG32" s="40" t="str">
        <f>IF($J32="","",COUNTIF(Assignments!$B:$B,$J32))</f>
        <v/>
      </c>
      <c r="AH32" s="40" t="str">
        <f>IF($J32="","",IF(AND($AG32=0,$N32&lt;$M32),Config!$B$43,0))</f>
        <v/>
      </c>
      <c r="AI32" s="40" t="str">
        <f>IF($J32="","",IF(AND($L32="Elite",$F32&gt;=Config!$B$41,$N32&lt;$M32),Config!$B$42,0))</f>
        <v/>
      </c>
      <c r="AJ32" s="22"/>
      <c r="AK32" s="39">
        <f>IFERROR(VLOOKUP(J32,Grinders!$A:$Q,28,FALSE),0)</f>
        <v>0</v>
      </c>
      <c r="AL32" s="39">
        <f>IF(Config!$B$1003&lt;&gt;"Y",0,IF(IFERROR(VLOOKUP(J32,Grinders!$A:$P,27,FALSE),0)&gt;=3,IF(OR(F32&gt;=Config!$B$1001,ISNUMBER(SEARCH(E32,Config!$B$1002))),1,0),0))</f>
        <v>0</v>
      </c>
      <c r="AM32" s="39">
        <f t="array" ref="AM32">IFERROR(IF(INDEX(Bids!$AE:$AE,MATCH(B32,Bids!$A:$A,0))="Pending",1,0),0)</f>
        <v>0</v>
      </c>
      <c r="AN32" s="39" t="str">
        <f t="array" ref="AN32">IF(C32="","",IFERROR(XLOOKUP(C32,Assignments!$C:$C,Assignments!$AU:$AU,0),0))</f>
        <v/>
      </c>
      <c r="AO32" s="39">
        <f>IF(AND(Config!$B$1006="Y",AN32=1),Config!$B$1007,0)</f>
        <v>0</v>
      </c>
    </row>
    <row r="33" ht="15.75" customHeight="1">
      <c r="A33" s="46" t="str">
        <f t="shared" si="1"/>
        <v/>
      </c>
      <c r="B33" s="40" t="str">
        <f>IF(Bids!$A33="","",Bids!$A33)</f>
        <v/>
      </c>
      <c r="C33" s="40" t="str">
        <f>IF(Bids!$B33="","",Bids!$B33)</f>
        <v/>
      </c>
      <c r="D33" s="40" t="str">
        <f>IF($C33="","",IFERROR(VLOOKUP($C33,Orders!$A:$J,9,FALSE),""))</f>
        <v/>
      </c>
      <c r="E33" s="40" t="str">
        <f>IF($C33="","",IFERROR(VLOOKUP($C33,Orders!$A:$J,3,FALSE),""))</f>
        <v/>
      </c>
      <c r="F33" s="40" t="str">
        <f>IF($C33="","",IFERROR(VLOOKUP($C33,Orders!$A:$J,4,FALSE),""))</f>
        <v/>
      </c>
      <c r="G33" s="40" t="str">
        <f>IF($C33="","",IFERROR(VLOOKUP($C33,Orders!$A:$J,5,FALSE),""))</f>
        <v/>
      </c>
      <c r="H33" s="40" t="str">
        <f>IF($C33="","",IFERROR(VLOOKUP($C33,Orders!$A:$J,6,FALSE),""))</f>
        <v/>
      </c>
      <c r="I33" s="40" t="str">
        <f>IF($C33="","",IFERROR(VLOOKUP($C33,Orders!$A:$J,7,FALSE),""))</f>
        <v/>
      </c>
      <c r="J33" s="40" t="str">
        <f>IF(Bids!$C33="","",Bids!$C33)</f>
        <v/>
      </c>
      <c r="K33" s="40" t="str">
        <f>IF($J33="","",IFERROR(VLOOKUP($J33,Grinders!$A:$N,2,FALSE),""))</f>
        <v/>
      </c>
      <c r="L33" s="40" t="str">
        <f>IF($J33="","",IFERROR(VLOOKUP($J33,Grinders!$A:$N,3,FALSE),""))</f>
        <v/>
      </c>
      <c r="M33" s="40" t="str">
        <f>IF($J33="","",IFERROR(VLOOKUP($J33,Grinders!$A:$N,4,FALSE),""))</f>
        <v/>
      </c>
      <c r="N33" s="40" t="str">
        <f>IF($J33="","",IFERROR(VLOOKUP($J33,Grinders!$A:$N,5,FALSE),""))</f>
        <v/>
      </c>
      <c r="O33" s="40" t="str">
        <f t="shared" si="2"/>
        <v/>
      </c>
      <c r="P33" s="40" t="str">
        <f>IF($J33="","",IFERROR(VLOOKUP($J33,Grinders!$A:$N,6,FALSE),""))</f>
        <v/>
      </c>
      <c r="Q33" s="40" t="str">
        <f>IF($J33="","",IFERROR(VLOOKUP($J33,Grinders!$A:$N,8,FALSE),""))</f>
        <v/>
      </c>
      <c r="R33" s="40" t="str">
        <f>IFERROR(IF($J33="","",IF($L33="Elite",MAX(50,MIN(100,Config!$B$27*MAX(0,MIN(100,(1-IF($O33="",0,$O33))*100)) + Config!$B$28*MAX(0,MIN(100,(1-MIN(1,IF(Config!$B$30=0,1,$P33/Config!$B$30)))*100)) + Config!$B$29*MAX(0,MIN(100,MIN(1,IF($Q33="",0,$Q33)/Config!$B$23)*100)))),MIN(100,Config!$B$27*MAX(0,MIN(100,(1-IF($O33="",0,$O33))*100)) + Config!$B$28*MAX(0,MIN(100,(1-MIN(1,IF(Config!$B$30=0,1,$P33/Config!$B$30)))*100)) + Config!$B$29*MAX(0,MIN(100,MIN(1,IF($Q33="",0,$Q33)/Config!$B$23)*100))))),"")
</f>
        <v/>
      </c>
      <c r="S33" s="40" t="str">
        <f>IF(Bids!$AC33="","",Bids!$AC33)</f>
        <v/>
      </c>
      <c r="T33" s="40" t="str">
        <f>IF(Bids!$F33="","",Bids!$F33)</f>
        <v/>
      </c>
      <c r="U33" s="40" t="str">
        <f t="shared" si="3"/>
        <v/>
      </c>
      <c r="V33" s="40" t="str">
        <f>IF($U33="","",IF(Config!$B$17=Config!$B$16,IF($U33&gt;=Config!$B$17,100,0),MAX(0,MIN(100,($U33-Config!$B$16)/(Config!$B$17-Config!$B$16)*100))))</f>
        <v/>
      </c>
      <c r="W33" s="40">
        <f>IF($L33="Elite",Config!$B$21,0)</f>
        <v>0</v>
      </c>
      <c r="X33" s="40" t="str">
        <f>IFERROR(IF(OR($T33="",$G33=""),"",IF($T33&gt;$G33,
  MAX(0, 60-(($T33-$G33)*24/Config!$B$19)*60),
  MEDIAN(60, 100, 60+(($G33-$T33)*24/Config!$B$20)*40)
)),"")
</f>
        <v/>
      </c>
      <c r="Y33" s="40" t="str">
        <f>IF($J33="","",IFERROR(VLOOKUP($J33,Grinders!$A:$N,10,FALSE),""))</f>
        <v/>
      </c>
      <c r="Z33" s="40" t="str">
        <f>IF($J33="","",IFERROR(VLOOKUP($J33,Grinders!$A:$N,11,FALSE),""))</f>
        <v/>
      </c>
      <c r="AA33" s="40" t="str">
        <f>IF($J33="","",IFERROR(VLOOKUP($J33,Grinders!$A:$N,12,FALSE),""))</f>
        <v/>
      </c>
      <c r="AB33" s="40" t="str">
        <f>IF(OR(AL33=1,AM33=1),0,=IFERROR(IF(OR($C33="",$J33=""),0,IF($D33&lt;&gt;"Open",0,IF(COUNTIFS(GrinderServices!$A:$A,$J33,GrinderServices!$B:$B,$E33,GrinderServices!$D:$D,"Y")=0,0,IF($U33&lt;Config!$B$16,0,IF(Config!$B$18=1,IF($N33&gt;=$M33,0,1),1))))),""))</f>
        <v>#ERROR!</v>
      </c>
      <c r="AC33" s="40" t="str">
        <f>IFERROR((IF(OR(AL33=1,AM33=1),"",=IFERROR((IFERROR(IF($AB33=0,"",((Config!$B$6*$V33 + Config!$B$7*$R33 + Config!$B$8*$W33 + Config!$B$9*$X33 + Config!$B$10*$Y33 + Config!$B$11*$Z33 - Config!$B$12*$AA33)/Config!$B$13)+$AH33+$AI33),""))*(1-IFERROR(VLOOKUP(J33,Grinders!$A:$AB, 28, FALSE),0)),"")))*(1+AO33),"")</f>
        <v>#ERROR!</v>
      </c>
      <c r="AD33" s="40" t="str">
        <f t="shared" si="4"/>
        <v/>
      </c>
      <c r="AE33" s="40" t="str">
        <f>IFERROR(__xludf.DUMMYFUNCTION("IF($AC33="""","""",IF($AC33=IFERROR(MAX(FILTER($AC$6:$AC$1000,$C$6:$C$1000=$C33,$AB$6:$AB$1000=1)),),""WINNER"",""""))"),"#ERROR!")</f>
        <v>#ERROR!</v>
      </c>
      <c r="AF33" s="40" t="str">
        <f t="shared" si="5"/>
        <v/>
      </c>
      <c r="AG33" s="40" t="str">
        <f>IF($J33="","",COUNTIF(Assignments!$B:$B,$J33))</f>
        <v/>
      </c>
      <c r="AH33" s="40" t="str">
        <f>IF($J33="","",IF(AND($AG33=0,$N33&lt;$M33),Config!$B$43,0))</f>
        <v/>
      </c>
      <c r="AI33" s="40" t="str">
        <f>IF($J33="","",IF(AND($L33="Elite",$F33&gt;=Config!$B$41,$N33&lt;$M33),Config!$B$42,0))</f>
        <v/>
      </c>
      <c r="AJ33" s="22"/>
      <c r="AK33" s="39">
        <f>IFERROR(VLOOKUP(J33,Grinders!$A:$Q,28,FALSE),0)</f>
        <v>0</v>
      </c>
      <c r="AL33" s="39">
        <f>IF(Config!$B$1003&lt;&gt;"Y",0,IF(IFERROR(VLOOKUP(J33,Grinders!$A:$P,27,FALSE),0)&gt;=3,IF(OR(F33&gt;=Config!$B$1001,ISNUMBER(SEARCH(E33,Config!$B$1002))),1,0),0))</f>
        <v>0</v>
      </c>
      <c r="AM33" s="39">
        <f t="array" ref="AM33">IFERROR(IF(INDEX(Bids!$AE:$AE,MATCH(B33,Bids!$A:$A,0))="Pending",1,0),0)</f>
        <v>0</v>
      </c>
      <c r="AN33" s="39" t="str">
        <f t="array" ref="AN33">IF(C33="","",IFERROR(XLOOKUP(C33,Assignments!$C:$C,Assignments!$AU:$AU,0),0))</f>
        <v/>
      </c>
      <c r="AO33" s="39">
        <f>IF(AND(Config!$B$1006="Y",AN33=1),Config!$B$1007,0)</f>
        <v>0</v>
      </c>
    </row>
    <row r="34" ht="15.75" customHeight="1">
      <c r="A34" s="46" t="str">
        <f t="shared" si="1"/>
        <v/>
      </c>
      <c r="B34" s="40" t="str">
        <f>IF(Bids!$A34="","",Bids!$A34)</f>
        <v/>
      </c>
      <c r="C34" s="40" t="str">
        <f>IF(Bids!$B34="","",Bids!$B34)</f>
        <v/>
      </c>
      <c r="D34" s="40" t="str">
        <f>IF($C34="","",IFERROR(VLOOKUP($C34,Orders!$A:$J,9,FALSE),""))</f>
        <v/>
      </c>
      <c r="E34" s="40" t="str">
        <f>IF($C34="","",IFERROR(VLOOKUP($C34,Orders!$A:$J,3,FALSE),""))</f>
        <v/>
      </c>
      <c r="F34" s="40" t="str">
        <f>IF($C34="","",IFERROR(VLOOKUP($C34,Orders!$A:$J,4,FALSE),""))</f>
        <v/>
      </c>
      <c r="G34" s="40" t="str">
        <f>IF($C34="","",IFERROR(VLOOKUP($C34,Orders!$A:$J,5,FALSE),""))</f>
        <v/>
      </c>
      <c r="H34" s="40" t="str">
        <f>IF($C34="","",IFERROR(VLOOKUP($C34,Orders!$A:$J,6,FALSE),""))</f>
        <v/>
      </c>
      <c r="I34" s="40" t="str">
        <f>IF($C34="","",IFERROR(VLOOKUP($C34,Orders!$A:$J,7,FALSE),""))</f>
        <v/>
      </c>
      <c r="J34" s="40" t="str">
        <f>IF(Bids!$C34="","",Bids!$C34)</f>
        <v/>
      </c>
      <c r="K34" s="40" t="str">
        <f>IF($J34="","",IFERROR(VLOOKUP($J34,Grinders!$A:$N,2,FALSE),""))</f>
        <v/>
      </c>
      <c r="L34" s="40" t="str">
        <f>IF($J34="","",IFERROR(VLOOKUP($J34,Grinders!$A:$N,3,FALSE),""))</f>
        <v/>
      </c>
      <c r="M34" s="40" t="str">
        <f>IF($J34="","",IFERROR(VLOOKUP($J34,Grinders!$A:$N,4,FALSE),""))</f>
        <v/>
      </c>
      <c r="N34" s="40" t="str">
        <f>IF($J34="","",IFERROR(VLOOKUP($J34,Grinders!$A:$N,5,FALSE),""))</f>
        <v/>
      </c>
      <c r="O34" s="40" t="str">
        <f t="shared" si="2"/>
        <v/>
      </c>
      <c r="P34" s="40" t="str">
        <f>IF($J34="","",IFERROR(VLOOKUP($J34,Grinders!$A:$N,6,FALSE),""))</f>
        <v/>
      </c>
      <c r="Q34" s="40" t="str">
        <f>IF($J34="","",IFERROR(VLOOKUP($J34,Grinders!$A:$N,8,FALSE),""))</f>
        <v/>
      </c>
      <c r="R34" s="40" t="str">
        <f>IFERROR(IF($J34="","",IF($L34="Elite",MAX(50,MIN(100,Config!$B$27*MAX(0,MIN(100,(1-IF($O34="",0,$O34))*100)) + Config!$B$28*MAX(0,MIN(100,(1-MIN(1,IF(Config!$B$30=0,1,$P34/Config!$B$30)))*100)) + Config!$B$29*MAX(0,MIN(100,MIN(1,IF($Q34="",0,$Q34)/Config!$B$23)*100)))),MIN(100,Config!$B$27*MAX(0,MIN(100,(1-IF($O34="",0,$O34))*100)) + Config!$B$28*MAX(0,MIN(100,(1-MIN(1,IF(Config!$B$30=0,1,$P34/Config!$B$30)))*100)) + Config!$B$29*MAX(0,MIN(100,MIN(1,IF($Q34="",0,$Q34)/Config!$B$23)*100))))),"")
</f>
        <v/>
      </c>
      <c r="S34" s="40" t="str">
        <f>IF(Bids!$AC34="","",Bids!$AC34)</f>
        <v/>
      </c>
      <c r="T34" s="40" t="str">
        <f>IF(Bids!$F34="","",Bids!$F34)</f>
        <v/>
      </c>
      <c r="U34" s="40" t="str">
        <f t="shared" si="3"/>
        <v/>
      </c>
      <c r="V34" s="40" t="str">
        <f>IF($U34="","",IF(Config!$B$17=Config!$B$16,IF($U34&gt;=Config!$B$17,100,0),MAX(0,MIN(100,($U34-Config!$B$16)/(Config!$B$17-Config!$B$16)*100))))</f>
        <v/>
      </c>
      <c r="W34" s="40">
        <f>IF($L34="Elite",Config!$B$21,0)</f>
        <v>0</v>
      </c>
      <c r="X34" s="40" t="str">
        <f>IFERROR(IF(OR($T34="",$G34=""),"",IF($T34&gt;$G34,
  MAX(0, 60-(($T34-$G34)*24/Config!$B$19)*60),
  MEDIAN(60, 100, 60+(($G34-$T34)*24/Config!$B$20)*40)
)),"")
</f>
        <v/>
      </c>
      <c r="Y34" s="40" t="str">
        <f>IF($J34="","",IFERROR(VLOOKUP($J34,Grinders!$A:$N,10,FALSE),""))</f>
        <v/>
      </c>
      <c r="Z34" s="40" t="str">
        <f>IF($J34="","",IFERROR(VLOOKUP($J34,Grinders!$A:$N,11,FALSE),""))</f>
        <v/>
      </c>
      <c r="AA34" s="40" t="str">
        <f>IF($J34="","",IFERROR(VLOOKUP($J34,Grinders!$A:$N,12,FALSE),""))</f>
        <v/>
      </c>
      <c r="AB34" s="40" t="str">
        <f>IF(OR(AL34=1,AM34=1),0,=IFERROR(IF(OR($C34="",$J34=""),0,IF($D34&lt;&gt;"Open",0,IF(COUNTIFS(GrinderServices!$A:$A,$J34,GrinderServices!$B:$B,$E34,GrinderServices!$D:$D,"Y")=0,0,IF($U34&lt;Config!$B$16,0,IF(Config!$B$18=1,IF($N34&gt;=$M34,0,1),1))))),""))</f>
        <v>#ERROR!</v>
      </c>
      <c r="AC34" s="40" t="str">
        <f>IFERROR((IF(OR(AL34=1,AM34=1),"",=IFERROR((IFERROR(IF($AB34=0,"",((Config!$B$6*$V34 + Config!$B$7*$R34 + Config!$B$8*$W34 + Config!$B$9*$X34 + Config!$B$10*$Y34 + Config!$B$11*$Z34 - Config!$B$12*$AA34)/Config!$B$13)+$AH34+$AI34),""))*(1-IFERROR(VLOOKUP(J34,Grinders!$A:$AB, 28, FALSE),0)),"")))*(1+AO34),"")</f>
        <v>#ERROR!</v>
      </c>
      <c r="AD34" s="40" t="str">
        <f t="shared" si="4"/>
        <v/>
      </c>
      <c r="AE34" s="40" t="str">
        <f>IFERROR(__xludf.DUMMYFUNCTION("IF($AC34="""","""",IF($AC34=IFERROR(MAX(FILTER($AC$6:$AC$1000,$C$6:$C$1000=$C34,$AB$6:$AB$1000=1)),),""WINNER"",""""))"),"#ERROR!")</f>
        <v>#ERROR!</v>
      </c>
      <c r="AF34" s="40" t="str">
        <f t="shared" si="5"/>
        <v/>
      </c>
      <c r="AG34" s="40" t="str">
        <f>IF($J34="","",COUNTIF(Assignments!$B:$B,$J34))</f>
        <v/>
      </c>
      <c r="AH34" s="40" t="str">
        <f>IF($J34="","",IF(AND($AG34=0,$N34&lt;$M34),Config!$B$43,0))</f>
        <v/>
      </c>
      <c r="AI34" s="40" t="str">
        <f>IF($J34="","",IF(AND($L34="Elite",$F34&gt;=Config!$B$41,$N34&lt;$M34),Config!$B$42,0))</f>
        <v/>
      </c>
      <c r="AJ34" s="22"/>
      <c r="AK34" s="39">
        <f>IFERROR(VLOOKUP(J34,Grinders!$A:$Q,28,FALSE),0)</f>
        <v>0</v>
      </c>
      <c r="AL34" s="39">
        <f>IF(Config!$B$1003&lt;&gt;"Y",0,IF(IFERROR(VLOOKUP(J34,Grinders!$A:$P,27,FALSE),0)&gt;=3,IF(OR(F34&gt;=Config!$B$1001,ISNUMBER(SEARCH(E34,Config!$B$1002))),1,0),0))</f>
        <v>0</v>
      </c>
      <c r="AM34" s="39">
        <f t="array" ref="AM34">IFERROR(IF(INDEX(Bids!$AE:$AE,MATCH(B34,Bids!$A:$A,0))="Pending",1,0),0)</f>
        <v>0</v>
      </c>
      <c r="AN34" s="39" t="str">
        <f t="array" ref="AN34">IF(C34="","",IFERROR(XLOOKUP(C34,Assignments!$C:$C,Assignments!$AU:$AU,0),0))</f>
        <v/>
      </c>
      <c r="AO34" s="39">
        <f>IF(AND(Config!$B$1006="Y",AN34=1),Config!$B$1007,0)</f>
        <v>0</v>
      </c>
    </row>
    <row r="35" ht="15.75" customHeight="1">
      <c r="A35" s="46" t="str">
        <f t="shared" si="1"/>
        <v/>
      </c>
      <c r="B35" s="40" t="str">
        <f>IF(Bids!$A35="","",Bids!$A35)</f>
        <v/>
      </c>
      <c r="C35" s="40" t="str">
        <f>IF(Bids!$B35="","",Bids!$B35)</f>
        <v/>
      </c>
      <c r="D35" s="40" t="str">
        <f>IF($C35="","",IFERROR(VLOOKUP($C35,Orders!$A:$J,9,FALSE),""))</f>
        <v/>
      </c>
      <c r="E35" s="40" t="str">
        <f>IF($C35="","",IFERROR(VLOOKUP($C35,Orders!$A:$J,3,FALSE),""))</f>
        <v/>
      </c>
      <c r="F35" s="40" t="str">
        <f>IF($C35="","",IFERROR(VLOOKUP($C35,Orders!$A:$J,4,FALSE),""))</f>
        <v/>
      </c>
      <c r="G35" s="40" t="str">
        <f>IF($C35="","",IFERROR(VLOOKUP($C35,Orders!$A:$J,5,FALSE),""))</f>
        <v/>
      </c>
      <c r="H35" s="40" t="str">
        <f>IF($C35="","",IFERROR(VLOOKUP($C35,Orders!$A:$J,6,FALSE),""))</f>
        <v/>
      </c>
      <c r="I35" s="40" t="str">
        <f>IF($C35="","",IFERROR(VLOOKUP($C35,Orders!$A:$J,7,FALSE),""))</f>
        <v/>
      </c>
      <c r="J35" s="40" t="str">
        <f>IF(Bids!$C35="","",Bids!$C35)</f>
        <v/>
      </c>
      <c r="K35" s="40" t="str">
        <f>IF($J35="","",IFERROR(VLOOKUP($J35,Grinders!$A:$N,2,FALSE),""))</f>
        <v/>
      </c>
      <c r="L35" s="40" t="str">
        <f>IF($J35="","",IFERROR(VLOOKUP($J35,Grinders!$A:$N,3,FALSE),""))</f>
        <v/>
      </c>
      <c r="M35" s="40" t="str">
        <f>IF($J35="","",IFERROR(VLOOKUP($J35,Grinders!$A:$N,4,FALSE),""))</f>
        <v/>
      </c>
      <c r="N35" s="40" t="str">
        <f>IF($J35="","",IFERROR(VLOOKUP($J35,Grinders!$A:$N,5,FALSE),""))</f>
        <v/>
      </c>
      <c r="O35" s="40" t="str">
        <f t="shared" si="2"/>
        <v/>
      </c>
      <c r="P35" s="40" t="str">
        <f>IF($J35="","",IFERROR(VLOOKUP($J35,Grinders!$A:$N,6,FALSE),""))</f>
        <v/>
      </c>
      <c r="Q35" s="40" t="str">
        <f>IF($J35="","",IFERROR(VLOOKUP($J35,Grinders!$A:$N,8,FALSE),""))</f>
        <v/>
      </c>
      <c r="R35" s="40" t="str">
        <f>IFERROR(IF($J35="","",IF($L35="Elite",MAX(50,MIN(100,Config!$B$27*MAX(0,MIN(100,(1-IF($O35="",0,$O35))*100)) + Config!$B$28*MAX(0,MIN(100,(1-MIN(1,IF(Config!$B$30=0,1,$P35/Config!$B$30)))*100)) + Config!$B$29*MAX(0,MIN(100,MIN(1,IF($Q35="",0,$Q35)/Config!$B$23)*100)))),MIN(100,Config!$B$27*MAX(0,MIN(100,(1-IF($O35="",0,$O35))*100)) + Config!$B$28*MAX(0,MIN(100,(1-MIN(1,IF(Config!$B$30=0,1,$P35/Config!$B$30)))*100)) + Config!$B$29*MAX(0,MIN(100,MIN(1,IF($Q35="",0,$Q35)/Config!$B$23)*100))))),"")
</f>
        <v/>
      </c>
      <c r="S35" s="40" t="str">
        <f>IF(Bids!$AC35="","",Bids!$AC35)</f>
        <v/>
      </c>
      <c r="T35" s="40" t="str">
        <f>IF(Bids!$F35="","",Bids!$F35)</f>
        <v/>
      </c>
      <c r="U35" s="40" t="str">
        <f t="shared" si="3"/>
        <v/>
      </c>
      <c r="V35" s="40" t="str">
        <f>IF($U35="","",IF(Config!$B$17=Config!$B$16,IF($U35&gt;=Config!$B$17,100,0),MAX(0,MIN(100,($U35-Config!$B$16)/(Config!$B$17-Config!$B$16)*100))))</f>
        <v/>
      </c>
      <c r="W35" s="40">
        <f>IF($L35="Elite",Config!$B$21,0)</f>
        <v>0</v>
      </c>
      <c r="X35" s="40" t="str">
        <f>IFERROR(IF(OR($T35="",$G35=""),"",IF($T35&gt;$G35,
  MAX(0, 60-(($T35-$G35)*24/Config!$B$19)*60),
  MEDIAN(60, 100, 60+(($G35-$T35)*24/Config!$B$20)*40)
)),"")
</f>
        <v/>
      </c>
      <c r="Y35" s="40" t="str">
        <f>IF($J35="","",IFERROR(VLOOKUP($J35,Grinders!$A:$N,10,FALSE),""))</f>
        <v/>
      </c>
      <c r="Z35" s="40" t="str">
        <f>IF($J35="","",IFERROR(VLOOKUP($J35,Grinders!$A:$N,11,FALSE),""))</f>
        <v/>
      </c>
      <c r="AA35" s="40" t="str">
        <f>IF($J35="","",IFERROR(VLOOKUP($J35,Grinders!$A:$N,12,FALSE),""))</f>
        <v/>
      </c>
      <c r="AB35" s="40" t="str">
        <f>IF(OR(AL35=1,AM35=1),0,=IFERROR(IF(OR($C35="",$J35=""),0,IF($D35&lt;&gt;"Open",0,IF(COUNTIFS(GrinderServices!$A:$A,$J35,GrinderServices!$B:$B,$E35,GrinderServices!$D:$D,"Y")=0,0,IF($U35&lt;Config!$B$16,0,IF(Config!$B$18=1,IF($N35&gt;=$M35,0,1),1))))),""))</f>
        <v>#ERROR!</v>
      </c>
      <c r="AC35" s="40" t="str">
        <f>IFERROR((IF(OR(AL35=1,AM35=1),"",=IFERROR((IFERROR(IF($AB35=0,"",((Config!$B$6*$V35 + Config!$B$7*$R35 + Config!$B$8*$W35 + Config!$B$9*$X35 + Config!$B$10*$Y35 + Config!$B$11*$Z35 - Config!$B$12*$AA35)/Config!$B$13)+$AH35+$AI35),""))*(1-IFERROR(VLOOKUP(J35,Grinders!$A:$AB, 28, FALSE),0)),"")))*(1+AO35),"")</f>
        <v>#ERROR!</v>
      </c>
      <c r="AD35" s="40" t="str">
        <f t="shared" si="4"/>
        <v/>
      </c>
      <c r="AE35" s="40" t="str">
        <f>IFERROR(__xludf.DUMMYFUNCTION("IF($AC35="""","""",IF($AC35=IFERROR(MAX(FILTER($AC$6:$AC$1000,$C$6:$C$1000=$C35,$AB$6:$AB$1000=1)),),""WINNER"",""""))"),"#ERROR!")</f>
        <v>#ERROR!</v>
      </c>
      <c r="AF35" s="40" t="str">
        <f t="shared" si="5"/>
        <v/>
      </c>
      <c r="AG35" s="40" t="str">
        <f>IF($J35="","",COUNTIF(Assignments!$B:$B,$J35))</f>
        <v/>
      </c>
      <c r="AH35" s="40" t="str">
        <f>IF($J35="","",IF(AND($AG35=0,$N35&lt;$M35),Config!$B$43,0))</f>
        <v/>
      </c>
      <c r="AI35" s="40" t="str">
        <f>IF($J35="","",IF(AND($L35="Elite",$F35&gt;=Config!$B$41,$N35&lt;$M35),Config!$B$42,0))</f>
        <v/>
      </c>
      <c r="AJ35" s="22"/>
      <c r="AK35" s="39">
        <f>IFERROR(VLOOKUP(J35,Grinders!$A:$Q,28,FALSE),0)</f>
        <v>0</v>
      </c>
      <c r="AL35" s="39">
        <f>IF(Config!$B$1003&lt;&gt;"Y",0,IF(IFERROR(VLOOKUP(J35,Grinders!$A:$P,27,FALSE),0)&gt;=3,IF(OR(F35&gt;=Config!$B$1001,ISNUMBER(SEARCH(E35,Config!$B$1002))),1,0),0))</f>
        <v>0</v>
      </c>
      <c r="AM35" s="39">
        <f t="array" ref="AM35">IFERROR(IF(INDEX(Bids!$AE:$AE,MATCH(B35,Bids!$A:$A,0))="Pending",1,0),0)</f>
        <v>0</v>
      </c>
      <c r="AN35" s="39" t="str">
        <f t="array" ref="AN35">IF(C35="","",IFERROR(XLOOKUP(C35,Assignments!$C:$C,Assignments!$AU:$AU,0),0))</f>
        <v/>
      </c>
      <c r="AO35" s="39">
        <f>IF(AND(Config!$B$1006="Y",AN35=1),Config!$B$1007,0)</f>
        <v>0</v>
      </c>
    </row>
    <row r="36" ht="15.75" customHeight="1">
      <c r="A36" s="46" t="str">
        <f t="shared" si="1"/>
        <v/>
      </c>
      <c r="B36" s="40" t="str">
        <f>IF(Bids!$A36="","",Bids!$A36)</f>
        <v/>
      </c>
      <c r="C36" s="40" t="str">
        <f>IF(Bids!$B36="","",Bids!$B36)</f>
        <v/>
      </c>
      <c r="D36" s="40" t="str">
        <f>IF($C36="","",IFERROR(VLOOKUP($C36,Orders!$A:$J,9,FALSE),""))</f>
        <v/>
      </c>
      <c r="E36" s="40" t="str">
        <f>IF($C36="","",IFERROR(VLOOKUP($C36,Orders!$A:$J,3,FALSE),""))</f>
        <v/>
      </c>
      <c r="F36" s="40" t="str">
        <f>IF($C36="","",IFERROR(VLOOKUP($C36,Orders!$A:$J,4,FALSE),""))</f>
        <v/>
      </c>
      <c r="G36" s="40" t="str">
        <f>IF($C36="","",IFERROR(VLOOKUP($C36,Orders!$A:$J,5,FALSE),""))</f>
        <v/>
      </c>
      <c r="H36" s="40" t="str">
        <f>IF($C36="","",IFERROR(VLOOKUP($C36,Orders!$A:$J,6,FALSE),""))</f>
        <v/>
      </c>
      <c r="I36" s="40" t="str">
        <f>IF($C36="","",IFERROR(VLOOKUP($C36,Orders!$A:$J,7,FALSE),""))</f>
        <v/>
      </c>
      <c r="J36" s="40" t="str">
        <f>IF(Bids!$C36="","",Bids!$C36)</f>
        <v/>
      </c>
      <c r="K36" s="40" t="str">
        <f>IF($J36="","",IFERROR(VLOOKUP($J36,Grinders!$A:$N,2,FALSE),""))</f>
        <v/>
      </c>
      <c r="L36" s="40" t="str">
        <f>IF($J36="","",IFERROR(VLOOKUP($J36,Grinders!$A:$N,3,FALSE),""))</f>
        <v/>
      </c>
      <c r="M36" s="40" t="str">
        <f>IF($J36="","",IFERROR(VLOOKUP($J36,Grinders!$A:$N,4,FALSE),""))</f>
        <v/>
      </c>
      <c r="N36" s="40" t="str">
        <f>IF($J36="","",IFERROR(VLOOKUP($J36,Grinders!$A:$N,5,FALSE),""))</f>
        <v/>
      </c>
      <c r="O36" s="40" t="str">
        <f t="shared" si="2"/>
        <v/>
      </c>
      <c r="P36" s="40" t="str">
        <f>IF($J36="","",IFERROR(VLOOKUP($J36,Grinders!$A:$N,6,FALSE),""))</f>
        <v/>
      </c>
      <c r="Q36" s="40" t="str">
        <f>IF($J36="","",IFERROR(VLOOKUP($J36,Grinders!$A:$N,8,FALSE),""))</f>
        <v/>
      </c>
      <c r="R36" s="40" t="str">
        <f>IFERROR(IF($J36="","",IF($L36="Elite",MAX(50,MIN(100,Config!$B$27*MAX(0,MIN(100,(1-IF($O36="",0,$O36))*100)) + Config!$B$28*MAX(0,MIN(100,(1-MIN(1,IF(Config!$B$30=0,1,$P36/Config!$B$30)))*100)) + Config!$B$29*MAX(0,MIN(100,MIN(1,IF($Q36="",0,$Q36)/Config!$B$23)*100)))),MIN(100,Config!$B$27*MAX(0,MIN(100,(1-IF($O36="",0,$O36))*100)) + Config!$B$28*MAX(0,MIN(100,(1-MIN(1,IF(Config!$B$30=0,1,$P36/Config!$B$30)))*100)) + Config!$B$29*MAX(0,MIN(100,MIN(1,IF($Q36="",0,$Q36)/Config!$B$23)*100))))),"")
</f>
        <v/>
      </c>
      <c r="S36" s="40" t="str">
        <f>IF(Bids!$AC36="","",Bids!$AC36)</f>
        <v/>
      </c>
      <c r="T36" s="40" t="str">
        <f>IF(Bids!$F36="","",Bids!$F36)</f>
        <v/>
      </c>
      <c r="U36" s="40" t="str">
        <f t="shared" si="3"/>
        <v/>
      </c>
      <c r="V36" s="40" t="str">
        <f>IF($U36="","",IF(Config!$B$17=Config!$B$16,IF($U36&gt;=Config!$B$17,100,0),MAX(0,MIN(100,($U36-Config!$B$16)/(Config!$B$17-Config!$B$16)*100))))</f>
        <v/>
      </c>
      <c r="W36" s="40">
        <f>IF($L36="Elite",Config!$B$21,0)</f>
        <v>0</v>
      </c>
      <c r="X36" s="40" t="str">
        <f>IFERROR(IF(OR($T36="",$G36=""),"",IF($T36&gt;$G36,
  MAX(0, 60-(($T36-$G36)*24/Config!$B$19)*60),
  MEDIAN(60, 100, 60+(($G36-$T36)*24/Config!$B$20)*40)
)),"")
</f>
        <v/>
      </c>
      <c r="Y36" s="40" t="str">
        <f>IF($J36="","",IFERROR(VLOOKUP($J36,Grinders!$A:$N,10,FALSE),""))</f>
        <v/>
      </c>
      <c r="Z36" s="40" t="str">
        <f>IF($J36="","",IFERROR(VLOOKUP($J36,Grinders!$A:$N,11,FALSE),""))</f>
        <v/>
      </c>
      <c r="AA36" s="40" t="str">
        <f>IF($J36="","",IFERROR(VLOOKUP($J36,Grinders!$A:$N,12,FALSE),""))</f>
        <v/>
      </c>
      <c r="AB36" s="40" t="str">
        <f>IF(OR(AL36=1,AM36=1),0,=IFERROR(IF(OR($C36="",$J36=""),0,IF($D36&lt;&gt;"Open",0,IF(COUNTIFS(GrinderServices!$A:$A,$J36,GrinderServices!$B:$B,$E36,GrinderServices!$D:$D,"Y")=0,0,IF($U36&lt;Config!$B$16,0,IF(Config!$B$18=1,IF($N36&gt;=$M36,0,1),1))))),""))</f>
        <v>#ERROR!</v>
      </c>
      <c r="AC36" s="40" t="str">
        <f>IFERROR((IF(OR(AL36=1,AM36=1),"",=IFERROR((IFERROR(IF($AB36=0,"",((Config!$B$6*$V36 + Config!$B$7*$R36 + Config!$B$8*$W36 + Config!$B$9*$X36 + Config!$B$10*$Y36 + Config!$B$11*$Z36 - Config!$B$12*$AA36)/Config!$B$13)+$AH36+$AI36),""))*(1-IFERROR(VLOOKUP(J36,Grinders!$A:$AB, 28, FALSE),0)),"")))*(1+AO36),"")</f>
        <v>#ERROR!</v>
      </c>
      <c r="AD36" s="40" t="str">
        <f t="shared" si="4"/>
        <v/>
      </c>
      <c r="AE36" s="40" t="str">
        <f>IFERROR(__xludf.DUMMYFUNCTION("IF($AC36="""","""",IF($AC36=IFERROR(MAX(FILTER($AC$6:$AC$1000,$C$6:$C$1000=$C36,$AB$6:$AB$1000=1)),),""WINNER"",""""))"),"#ERROR!")</f>
        <v>#ERROR!</v>
      </c>
      <c r="AF36" s="40" t="str">
        <f t="shared" si="5"/>
        <v/>
      </c>
      <c r="AG36" s="40" t="str">
        <f>IF($J36="","",COUNTIF(Assignments!$B:$B,$J36))</f>
        <v/>
      </c>
      <c r="AH36" s="40" t="str">
        <f>IF($J36="","",IF(AND($AG36=0,$N36&lt;$M36),Config!$B$43,0))</f>
        <v/>
      </c>
      <c r="AI36" s="40" t="str">
        <f>IF($J36="","",IF(AND($L36="Elite",$F36&gt;=Config!$B$41,$N36&lt;$M36),Config!$B$42,0))</f>
        <v/>
      </c>
      <c r="AJ36" s="22"/>
      <c r="AK36" s="39">
        <f>IFERROR(VLOOKUP(J36,Grinders!$A:$Q,28,FALSE),0)</f>
        <v>0</v>
      </c>
      <c r="AL36" s="39">
        <f>IF(Config!$B$1003&lt;&gt;"Y",0,IF(IFERROR(VLOOKUP(J36,Grinders!$A:$P,27,FALSE),0)&gt;=3,IF(OR(F36&gt;=Config!$B$1001,ISNUMBER(SEARCH(E36,Config!$B$1002))),1,0),0))</f>
        <v>0</v>
      </c>
      <c r="AM36" s="39">
        <f t="array" ref="AM36">IFERROR(IF(INDEX(Bids!$AE:$AE,MATCH(B36,Bids!$A:$A,0))="Pending",1,0),0)</f>
        <v>0</v>
      </c>
      <c r="AN36" s="39" t="str">
        <f t="array" ref="AN36">IF(C36="","",IFERROR(XLOOKUP(C36,Assignments!$C:$C,Assignments!$AU:$AU,0),0))</f>
        <v/>
      </c>
      <c r="AO36" s="39">
        <f>IF(AND(Config!$B$1006="Y",AN36=1),Config!$B$1007,0)</f>
        <v>0</v>
      </c>
    </row>
    <row r="37" ht="15.75" customHeight="1">
      <c r="A37" s="46" t="str">
        <f t="shared" si="1"/>
        <v/>
      </c>
      <c r="B37" s="40" t="str">
        <f>IF(Bids!$A37="","",Bids!$A37)</f>
        <v/>
      </c>
      <c r="C37" s="40" t="str">
        <f>IF(Bids!$B37="","",Bids!$B37)</f>
        <v/>
      </c>
      <c r="D37" s="40" t="str">
        <f>IF($C37="","",IFERROR(VLOOKUP($C37,Orders!$A:$J,9,FALSE),""))</f>
        <v/>
      </c>
      <c r="E37" s="40" t="str">
        <f>IF($C37="","",IFERROR(VLOOKUP($C37,Orders!$A:$J,3,FALSE),""))</f>
        <v/>
      </c>
      <c r="F37" s="40" t="str">
        <f>IF($C37="","",IFERROR(VLOOKUP($C37,Orders!$A:$J,4,FALSE),""))</f>
        <v/>
      </c>
      <c r="G37" s="40" t="str">
        <f>IF($C37="","",IFERROR(VLOOKUP($C37,Orders!$A:$J,5,FALSE),""))</f>
        <v/>
      </c>
      <c r="H37" s="40" t="str">
        <f>IF($C37="","",IFERROR(VLOOKUP($C37,Orders!$A:$J,6,FALSE),""))</f>
        <v/>
      </c>
      <c r="I37" s="40" t="str">
        <f>IF($C37="","",IFERROR(VLOOKUP($C37,Orders!$A:$J,7,FALSE),""))</f>
        <v/>
      </c>
      <c r="J37" s="40" t="str">
        <f>IF(Bids!$C37="","",Bids!$C37)</f>
        <v/>
      </c>
      <c r="K37" s="40" t="str">
        <f>IF($J37="","",IFERROR(VLOOKUP($J37,Grinders!$A:$N,2,FALSE),""))</f>
        <v/>
      </c>
      <c r="L37" s="40" t="str">
        <f>IF($J37="","",IFERROR(VLOOKUP($J37,Grinders!$A:$N,3,FALSE),""))</f>
        <v/>
      </c>
      <c r="M37" s="40" t="str">
        <f>IF($J37="","",IFERROR(VLOOKUP($J37,Grinders!$A:$N,4,FALSE),""))</f>
        <v/>
      </c>
      <c r="N37" s="40" t="str">
        <f>IF($J37="","",IFERROR(VLOOKUP($J37,Grinders!$A:$N,5,FALSE),""))</f>
        <v/>
      </c>
      <c r="O37" s="40" t="str">
        <f t="shared" si="2"/>
        <v/>
      </c>
      <c r="P37" s="40" t="str">
        <f>IF($J37="","",IFERROR(VLOOKUP($J37,Grinders!$A:$N,6,FALSE),""))</f>
        <v/>
      </c>
      <c r="Q37" s="40" t="str">
        <f>IF($J37="","",IFERROR(VLOOKUP($J37,Grinders!$A:$N,8,FALSE),""))</f>
        <v/>
      </c>
      <c r="R37" s="40" t="str">
        <f>IFERROR(IF($J37="","",IF($L37="Elite",MAX(50,MIN(100,Config!$B$27*MAX(0,MIN(100,(1-IF($O37="",0,$O37))*100)) + Config!$B$28*MAX(0,MIN(100,(1-MIN(1,IF(Config!$B$30=0,1,$P37/Config!$B$30)))*100)) + Config!$B$29*MAX(0,MIN(100,MIN(1,IF($Q37="",0,$Q37)/Config!$B$23)*100)))),MIN(100,Config!$B$27*MAX(0,MIN(100,(1-IF($O37="",0,$O37))*100)) + Config!$B$28*MAX(0,MIN(100,(1-MIN(1,IF(Config!$B$30=0,1,$P37/Config!$B$30)))*100)) + Config!$B$29*MAX(0,MIN(100,MIN(1,IF($Q37="",0,$Q37)/Config!$B$23)*100))))),"")
</f>
        <v/>
      </c>
      <c r="S37" s="40" t="str">
        <f>IF(Bids!$AC37="","",Bids!$AC37)</f>
        <v/>
      </c>
      <c r="T37" s="40" t="str">
        <f>IF(Bids!$F37="","",Bids!$F37)</f>
        <v/>
      </c>
      <c r="U37" s="40" t="str">
        <f t="shared" si="3"/>
        <v/>
      </c>
      <c r="V37" s="40" t="str">
        <f>IF($U37="","",IF(Config!$B$17=Config!$B$16,IF($U37&gt;=Config!$B$17,100,0),MAX(0,MIN(100,($U37-Config!$B$16)/(Config!$B$17-Config!$B$16)*100))))</f>
        <v/>
      </c>
      <c r="W37" s="40">
        <f>IF($L37="Elite",Config!$B$21,0)</f>
        <v>0</v>
      </c>
      <c r="X37" s="40" t="str">
        <f>IFERROR(IF(OR($T37="",$G37=""),"",IF($T37&gt;$G37,
  MAX(0, 60-(($T37-$G37)*24/Config!$B$19)*60),
  MEDIAN(60, 100, 60+(($G37-$T37)*24/Config!$B$20)*40)
)),"")
</f>
        <v/>
      </c>
      <c r="Y37" s="40" t="str">
        <f>IF($J37="","",IFERROR(VLOOKUP($J37,Grinders!$A:$N,10,FALSE),""))</f>
        <v/>
      </c>
      <c r="Z37" s="40" t="str">
        <f>IF($J37="","",IFERROR(VLOOKUP($J37,Grinders!$A:$N,11,FALSE),""))</f>
        <v/>
      </c>
      <c r="AA37" s="40" t="str">
        <f>IF($J37="","",IFERROR(VLOOKUP($J37,Grinders!$A:$N,12,FALSE),""))</f>
        <v/>
      </c>
      <c r="AB37" s="40" t="str">
        <f>IF(OR(AL37=1,AM37=1),0,=IFERROR(IF(OR($C37="",$J37=""),0,IF($D37&lt;&gt;"Open",0,IF(COUNTIFS(GrinderServices!$A:$A,$J37,GrinderServices!$B:$B,$E37,GrinderServices!$D:$D,"Y")=0,0,IF($U37&lt;Config!$B$16,0,IF(Config!$B$18=1,IF($N37&gt;=$M37,0,1),1))))),""))</f>
        <v>#ERROR!</v>
      </c>
      <c r="AC37" s="40" t="str">
        <f>IFERROR((IF(OR(AL37=1,AM37=1),"",=IFERROR((IFERROR(IF($AB37=0,"",((Config!$B$6*$V37 + Config!$B$7*$R37 + Config!$B$8*$W37 + Config!$B$9*$X37 + Config!$B$10*$Y37 + Config!$B$11*$Z37 - Config!$B$12*$AA37)/Config!$B$13)+$AH37+$AI37),""))*(1-IFERROR(VLOOKUP(J37,Grinders!$A:$AB, 28, FALSE),0)),"")))*(1+AO37),"")</f>
        <v>#ERROR!</v>
      </c>
      <c r="AD37" s="40" t="str">
        <f t="shared" si="4"/>
        <v/>
      </c>
      <c r="AE37" s="40" t="str">
        <f>IFERROR(__xludf.DUMMYFUNCTION("IF($AC37="""","""",IF($AC37=IFERROR(MAX(FILTER($AC$6:$AC$1000,$C$6:$C$1000=$C37,$AB$6:$AB$1000=1)),),""WINNER"",""""))"),"#ERROR!")</f>
        <v>#ERROR!</v>
      </c>
      <c r="AF37" s="40" t="str">
        <f t="shared" si="5"/>
        <v/>
      </c>
      <c r="AG37" s="40" t="str">
        <f>IF($J37="","",COUNTIF(Assignments!$B:$B,$J37))</f>
        <v/>
      </c>
      <c r="AH37" s="40" t="str">
        <f>IF($J37="","",IF(AND($AG37=0,$N37&lt;$M37),Config!$B$43,0))</f>
        <v/>
      </c>
      <c r="AI37" s="40" t="str">
        <f>IF($J37="","",IF(AND($L37="Elite",$F37&gt;=Config!$B$41,$N37&lt;$M37),Config!$B$42,0))</f>
        <v/>
      </c>
      <c r="AJ37" s="22"/>
      <c r="AK37" s="39">
        <f>IFERROR(VLOOKUP(J37,Grinders!$A:$Q,28,FALSE),0)</f>
        <v>0</v>
      </c>
      <c r="AL37" s="39">
        <f>IF(Config!$B$1003&lt;&gt;"Y",0,IF(IFERROR(VLOOKUP(J37,Grinders!$A:$P,27,FALSE),0)&gt;=3,IF(OR(F37&gt;=Config!$B$1001,ISNUMBER(SEARCH(E37,Config!$B$1002))),1,0),0))</f>
        <v>0</v>
      </c>
      <c r="AM37" s="39">
        <f t="array" ref="AM37">IFERROR(IF(INDEX(Bids!$AE:$AE,MATCH(B37,Bids!$A:$A,0))="Pending",1,0),0)</f>
        <v>0</v>
      </c>
      <c r="AN37" s="39" t="str">
        <f t="array" ref="AN37">IF(C37="","",IFERROR(XLOOKUP(C37,Assignments!$C:$C,Assignments!$AU:$AU,0),0))</f>
        <v/>
      </c>
      <c r="AO37" s="39">
        <f>IF(AND(Config!$B$1006="Y",AN37=1),Config!$B$1007,0)</f>
        <v>0</v>
      </c>
    </row>
    <row r="38" ht="15.75" customHeight="1">
      <c r="A38" s="46" t="str">
        <f t="shared" si="1"/>
        <v/>
      </c>
      <c r="B38" s="40" t="str">
        <f>IF(Bids!$A38="","",Bids!$A38)</f>
        <v/>
      </c>
      <c r="C38" s="40" t="str">
        <f>IF(Bids!$B38="","",Bids!$B38)</f>
        <v/>
      </c>
      <c r="D38" s="40" t="str">
        <f>IF($C38="","",IFERROR(VLOOKUP($C38,Orders!$A:$J,9,FALSE),""))</f>
        <v/>
      </c>
      <c r="E38" s="40" t="str">
        <f>IF($C38="","",IFERROR(VLOOKUP($C38,Orders!$A:$J,3,FALSE),""))</f>
        <v/>
      </c>
      <c r="F38" s="40" t="str">
        <f>IF($C38="","",IFERROR(VLOOKUP($C38,Orders!$A:$J,4,FALSE),""))</f>
        <v/>
      </c>
      <c r="G38" s="40" t="str">
        <f>IF($C38="","",IFERROR(VLOOKUP($C38,Orders!$A:$J,5,FALSE),""))</f>
        <v/>
      </c>
      <c r="H38" s="40" t="str">
        <f>IF($C38="","",IFERROR(VLOOKUP($C38,Orders!$A:$J,6,FALSE),""))</f>
        <v/>
      </c>
      <c r="I38" s="40" t="str">
        <f>IF($C38="","",IFERROR(VLOOKUP($C38,Orders!$A:$J,7,FALSE),""))</f>
        <v/>
      </c>
      <c r="J38" s="40" t="str">
        <f>IF(Bids!$C38="","",Bids!$C38)</f>
        <v/>
      </c>
      <c r="K38" s="40" t="str">
        <f>IF($J38="","",IFERROR(VLOOKUP($J38,Grinders!$A:$N,2,FALSE),""))</f>
        <v/>
      </c>
      <c r="L38" s="40" t="str">
        <f>IF($J38="","",IFERROR(VLOOKUP($J38,Grinders!$A:$N,3,FALSE),""))</f>
        <v/>
      </c>
      <c r="M38" s="40" t="str">
        <f>IF($J38="","",IFERROR(VLOOKUP($J38,Grinders!$A:$N,4,FALSE),""))</f>
        <v/>
      </c>
      <c r="N38" s="40" t="str">
        <f>IF($J38="","",IFERROR(VLOOKUP($J38,Grinders!$A:$N,5,FALSE),""))</f>
        <v/>
      </c>
      <c r="O38" s="40" t="str">
        <f t="shared" si="2"/>
        <v/>
      </c>
      <c r="P38" s="40" t="str">
        <f>IF($J38="","",IFERROR(VLOOKUP($J38,Grinders!$A:$N,6,FALSE),""))</f>
        <v/>
      </c>
      <c r="Q38" s="40" t="str">
        <f>IF($J38="","",IFERROR(VLOOKUP($J38,Grinders!$A:$N,8,FALSE),""))</f>
        <v/>
      </c>
      <c r="R38" s="40" t="str">
        <f>IFERROR(IF($J38="","",IF($L38="Elite",MAX(50,MIN(100,Config!$B$27*MAX(0,MIN(100,(1-IF($O38="",0,$O38))*100)) + Config!$B$28*MAX(0,MIN(100,(1-MIN(1,IF(Config!$B$30=0,1,$P38/Config!$B$30)))*100)) + Config!$B$29*MAX(0,MIN(100,MIN(1,IF($Q38="",0,$Q38)/Config!$B$23)*100)))),MIN(100,Config!$B$27*MAX(0,MIN(100,(1-IF($O38="",0,$O38))*100)) + Config!$B$28*MAX(0,MIN(100,(1-MIN(1,IF(Config!$B$30=0,1,$P38/Config!$B$30)))*100)) + Config!$B$29*MAX(0,MIN(100,MIN(1,IF($Q38="",0,$Q38)/Config!$B$23)*100))))),"")
</f>
        <v/>
      </c>
      <c r="S38" s="40" t="str">
        <f>IF(Bids!$AC38="","",Bids!$AC38)</f>
        <v/>
      </c>
      <c r="T38" s="40" t="str">
        <f>IF(Bids!$F38="","",Bids!$F38)</f>
        <v/>
      </c>
      <c r="U38" s="40" t="str">
        <f t="shared" si="3"/>
        <v/>
      </c>
      <c r="V38" s="40" t="str">
        <f>IF($U38="","",IF(Config!$B$17=Config!$B$16,IF($U38&gt;=Config!$B$17,100,0),MAX(0,MIN(100,($U38-Config!$B$16)/(Config!$B$17-Config!$B$16)*100))))</f>
        <v/>
      </c>
      <c r="W38" s="40">
        <f>IF($L38="Elite",Config!$B$21,0)</f>
        <v>0</v>
      </c>
      <c r="X38" s="40" t="str">
        <f>IFERROR(IF(OR($T38="",$G38=""),"",IF($T38&gt;$G38,
  MAX(0, 60-(($T38-$G38)*24/Config!$B$19)*60),
  MEDIAN(60, 100, 60+(($G38-$T38)*24/Config!$B$20)*40)
)),"")
</f>
        <v/>
      </c>
      <c r="Y38" s="40" t="str">
        <f>IF($J38="","",IFERROR(VLOOKUP($J38,Grinders!$A:$N,10,FALSE),""))</f>
        <v/>
      </c>
      <c r="Z38" s="40" t="str">
        <f>IF($J38="","",IFERROR(VLOOKUP($J38,Grinders!$A:$N,11,FALSE),""))</f>
        <v/>
      </c>
      <c r="AA38" s="40" t="str">
        <f>IF($J38="","",IFERROR(VLOOKUP($J38,Grinders!$A:$N,12,FALSE),""))</f>
        <v/>
      </c>
      <c r="AB38" s="40" t="str">
        <f>IF(OR(AL38=1,AM38=1),0,=IFERROR(IF(OR($C38="",$J38=""),0,IF($D38&lt;&gt;"Open",0,IF(COUNTIFS(GrinderServices!$A:$A,$J38,GrinderServices!$B:$B,$E38,GrinderServices!$D:$D,"Y")=0,0,IF($U38&lt;Config!$B$16,0,IF(Config!$B$18=1,IF($N38&gt;=$M38,0,1),1))))),""))</f>
        <v>#ERROR!</v>
      </c>
      <c r="AC38" s="40" t="str">
        <f>IFERROR((IF(OR(AL38=1,AM38=1),"",=IFERROR((IFERROR(IF($AB38=0,"",((Config!$B$6*$V38 + Config!$B$7*$R38 + Config!$B$8*$W38 + Config!$B$9*$X38 + Config!$B$10*$Y38 + Config!$B$11*$Z38 - Config!$B$12*$AA38)/Config!$B$13)+$AH38+$AI38),""))*(1-IFERROR(VLOOKUP(J38,Grinders!$A:$AB, 28, FALSE),0)),"")))*(1+AO38),"")</f>
        <v>#ERROR!</v>
      </c>
      <c r="AD38" s="40" t="str">
        <f t="shared" si="4"/>
        <v/>
      </c>
      <c r="AE38" s="40" t="str">
        <f>IFERROR(__xludf.DUMMYFUNCTION("IF($AC38="""","""",IF($AC38=IFERROR(MAX(FILTER($AC$6:$AC$1000,$C$6:$C$1000=$C38,$AB$6:$AB$1000=1)),),""WINNER"",""""))"),"#ERROR!")</f>
        <v>#ERROR!</v>
      </c>
      <c r="AF38" s="40" t="str">
        <f t="shared" si="5"/>
        <v/>
      </c>
      <c r="AG38" s="40" t="str">
        <f>IF($J38="","",COUNTIF(Assignments!$B:$B,$J38))</f>
        <v/>
      </c>
      <c r="AH38" s="40" t="str">
        <f>IF($J38="","",IF(AND($AG38=0,$N38&lt;$M38),Config!$B$43,0))</f>
        <v/>
      </c>
      <c r="AI38" s="40" t="str">
        <f>IF($J38="","",IF(AND($L38="Elite",$F38&gt;=Config!$B$41,$N38&lt;$M38),Config!$B$42,0))</f>
        <v/>
      </c>
      <c r="AJ38" s="22"/>
      <c r="AK38" s="39">
        <f>IFERROR(VLOOKUP(J38,Grinders!$A:$Q,28,FALSE),0)</f>
        <v>0</v>
      </c>
      <c r="AL38" s="39">
        <f>IF(Config!$B$1003&lt;&gt;"Y",0,IF(IFERROR(VLOOKUP(J38,Grinders!$A:$P,27,FALSE),0)&gt;=3,IF(OR(F38&gt;=Config!$B$1001,ISNUMBER(SEARCH(E38,Config!$B$1002))),1,0),0))</f>
        <v>0</v>
      </c>
      <c r="AM38" s="39">
        <f t="array" ref="AM38">IFERROR(IF(INDEX(Bids!$AE:$AE,MATCH(B38,Bids!$A:$A,0))="Pending",1,0),0)</f>
        <v>0</v>
      </c>
      <c r="AN38" s="39" t="str">
        <f t="array" ref="AN38">IF(C38="","",IFERROR(XLOOKUP(C38,Assignments!$C:$C,Assignments!$AU:$AU,0),0))</f>
        <v/>
      </c>
      <c r="AO38" s="39">
        <f>IF(AND(Config!$B$1006="Y",AN38=1),Config!$B$1007,0)</f>
        <v>0</v>
      </c>
    </row>
    <row r="39" ht="15.75" customHeight="1">
      <c r="A39" s="46" t="str">
        <f t="shared" si="1"/>
        <v/>
      </c>
      <c r="B39" s="40" t="str">
        <f>IF(Bids!$A39="","",Bids!$A39)</f>
        <v/>
      </c>
      <c r="C39" s="40" t="str">
        <f>IF(Bids!$B39="","",Bids!$B39)</f>
        <v/>
      </c>
      <c r="D39" s="40" t="str">
        <f>IF($C39="","",IFERROR(VLOOKUP($C39,Orders!$A:$J,9,FALSE),""))</f>
        <v/>
      </c>
      <c r="E39" s="40" t="str">
        <f>IF($C39="","",IFERROR(VLOOKUP($C39,Orders!$A:$J,3,FALSE),""))</f>
        <v/>
      </c>
      <c r="F39" s="40" t="str">
        <f>IF($C39="","",IFERROR(VLOOKUP($C39,Orders!$A:$J,4,FALSE),""))</f>
        <v/>
      </c>
      <c r="G39" s="40" t="str">
        <f>IF($C39="","",IFERROR(VLOOKUP($C39,Orders!$A:$J,5,FALSE),""))</f>
        <v/>
      </c>
      <c r="H39" s="40" t="str">
        <f>IF($C39="","",IFERROR(VLOOKUP($C39,Orders!$A:$J,6,FALSE),""))</f>
        <v/>
      </c>
      <c r="I39" s="40" t="str">
        <f>IF($C39="","",IFERROR(VLOOKUP($C39,Orders!$A:$J,7,FALSE),""))</f>
        <v/>
      </c>
      <c r="J39" s="40" t="str">
        <f>IF(Bids!$C39="","",Bids!$C39)</f>
        <v/>
      </c>
      <c r="K39" s="40" t="str">
        <f>IF($J39="","",IFERROR(VLOOKUP($J39,Grinders!$A:$N,2,FALSE),""))</f>
        <v/>
      </c>
      <c r="L39" s="40" t="str">
        <f>IF($J39="","",IFERROR(VLOOKUP($J39,Grinders!$A:$N,3,FALSE),""))</f>
        <v/>
      </c>
      <c r="M39" s="40" t="str">
        <f>IF($J39="","",IFERROR(VLOOKUP($J39,Grinders!$A:$N,4,FALSE),""))</f>
        <v/>
      </c>
      <c r="N39" s="40" t="str">
        <f>IF($J39="","",IFERROR(VLOOKUP($J39,Grinders!$A:$N,5,FALSE),""))</f>
        <v/>
      </c>
      <c r="O39" s="40" t="str">
        <f t="shared" si="2"/>
        <v/>
      </c>
      <c r="P39" s="40" t="str">
        <f>IF($J39="","",IFERROR(VLOOKUP($J39,Grinders!$A:$N,6,FALSE),""))</f>
        <v/>
      </c>
      <c r="Q39" s="40" t="str">
        <f>IF($J39="","",IFERROR(VLOOKUP($J39,Grinders!$A:$N,8,FALSE),""))</f>
        <v/>
      </c>
      <c r="R39" s="40" t="str">
        <f>IFERROR(IF($J39="","",IF($L39="Elite",MAX(50,MIN(100,Config!$B$27*MAX(0,MIN(100,(1-IF($O39="",0,$O39))*100)) + Config!$B$28*MAX(0,MIN(100,(1-MIN(1,IF(Config!$B$30=0,1,$P39/Config!$B$30)))*100)) + Config!$B$29*MAX(0,MIN(100,MIN(1,IF($Q39="",0,$Q39)/Config!$B$23)*100)))),MIN(100,Config!$B$27*MAX(0,MIN(100,(1-IF($O39="",0,$O39))*100)) + Config!$B$28*MAX(0,MIN(100,(1-MIN(1,IF(Config!$B$30=0,1,$P39/Config!$B$30)))*100)) + Config!$B$29*MAX(0,MIN(100,MIN(1,IF($Q39="",0,$Q39)/Config!$B$23)*100))))),"")
</f>
        <v/>
      </c>
      <c r="S39" s="40" t="str">
        <f>IF(Bids!$AC39="","",Bids!$AC39)</f>
        <v/>
      </c>
      <c r="T39" s="40" t="str">
        <f>IF(Bids!$F39="","",Bids!$F39)</f>
        <v/>
      </c>
      <c r="U39" s="40" t="str">
        <f t="shared" si="3"/>
        <v/>
      </c>
      <c r="V39" s="40" t="str">
        <f>IF($U39="","",IF(Config!$B$17=Config!$B$16,IF($U39&gt;=Config!$B$17,100,0),MAX(0,MIN(100,($U39-Config!$B$16)/(Config!$B$17-Config!$B$16)*100))))</f>
        <v/>
      </c>
      <c r="W39" s="40">
        <f>IF($L39="Elite",Config!$B$21,0)</f>
        <v>0</v>
      </c>
      <c r="X39" s="40" t="str">
        <f>IFERROR(IF(OR($T39="",$G39=""),"",IF($T39&gt;$G39,
  MAX(0, 60-(($T39-$G39)*24/Config!$B$19)*60),
  MEDIAN(60, 100, 60+(($G39-$T39)*24/Config!$B$20)*40)
)),"")
</f>
        <v/>
      </c>
      <c r="Y39" s="40" t="str">
        <f>IF($J39="","",IFERROR(VLOOKUP($J39,Grinders!$A:$N,10,FALSE),""))</f>
        <v/>
      </c>
      <c r="Z39" s="40" t="str">
        <f>IF($J39="","",IFERROR(VLOOKUP($J39,Grinders!$A:$N,11,FALSE),""))</f>
        <v/>
      </c>
      <c r="AA39" s="40" t="str">
        <f>IF($J39="","",IFERROR(VLOOKUP($J39,Grinders!$A:$N,12,FALSE),""))</f>
        <v/>
      </c>
      <c r="AB39" s="40" t="str">
        <f>IF(OR(AL39=1,AM39=1),0,=IFERROR(IF(OR($C39="",$J39=""),0,IF($D39&lt;&gt;"Open",0,IF(COUNTIFS(GrinderServices!$A:$A,$J39,GrinderServices!$B:$B,$E39,GrinderServices!$D:$D,"Y")=0,0,IF($U39&lt;Config!$B$16,0,IF(Config!$B$18=1,IF($N39&gt;=$M39,0,1),1))))),""))</f>
        <v>#ERROR!</v>
      </c>
      <c r="AC39" s="40" t="str">
        <f>IFERROR((IF(OR(AL39=1,AM39=1),"",=IFERROR((IFERROR(IF($AB39=0,"",((Config!$B$6*$V39 + Config!$B$7*$R39 + Config!$B$8*$W39 + Config!$B$9*$X39 + Config!$B$10*$Y39 + Config!$B$11*$Z39 - Config!$B$12*$AA39)/Config!$B$13)+$AH39+$AI39),""))*(1-IFERROR(VLOOKUP(J39,Grinders!$A:$AB, 28, FALSE),0)),"")))*(1+AO39),"")</f>
        <v>#ERROR!</v>
      </c>
      <c r="AD39" s="40" t="str">
        <f t="shared" si="4"/>
        <v/>
      </c>
      <c r="AE39" s="40" t="str">
        <f>IFERROR(__xludf.DUMMYFUNCTION("IF($AC39="""","""",IF($AC39=IFERROR(MAX(FILTER($AC$6:$AC$1000,$C$6:$C$1000=$C39,$AB$6:$AB$1000=1)),),""WINNER"",""""))"),"#ERROR!")</f>
        <v>#ERROR!</v>
      </c>
      <c r="AF39" s="40" t="str">
        <f t="shared" si="5"/>
        <v/>
      </c>
      <c r="AG39" s="40" t="str">
        <f>IF($J39="","",COUNTIF(Assignments!$B:$B,$J39))</f>
        <v/>
      </c>
      <c r="AH39" s="40" t="str">
        <f>IF($J39="","",IF(AND($AG39=0,$N39&lt;$M39),Config!$B$43,0))</f>
        <v/>
      </c>
      <c r="AI39" s="40" t="str">
        <f>IF($J39="","",IF(AND($L39="Elite",$F39&gt;=Config!$B$41,$N39&lt;$M39),Config!$B$42,0))</f>
        <v/>
      </c>
      <c r="AJ39" s="22"/>
      <c r="AK39" s="39">
        <f>IFERROR(VLOOKUP(J39,Grinders!$A:$Q,28,FALSE),0)</f>
        <v>0</v>
      </c>
      <c r="AL39" s="39">
        <f>IF(Config!$B$1003&lt;&gt;"Y",0,IF(IFERROR(VLOOKUP(J39,Grinders!$A:$P,27,FALSE),0)&gt;=3,IF(OR(F39&gt;=Config!$B$1001,ISNUMBER(SEARCH(E39,Config!$B$1002))),1,0),0))</f>
        <v>0</v>
      </c>
      <c r="AM39" s="39">
        <f t="array" ref="AM39">IFERROR(IF(INDEX(Bids!$AE:$AE,MATCH(B39,Bids!$A:$A,0))="Pending",1,0),0)</f>
        <v>0</v>
      </c>
      <c r="AN39" s="39" t="str">
        <f t="array" ref="AN39">IF(C39="","",IFERROR(XLOOKUP(C39,Assignments!$C:$C,Assignments!$AU:$AU,0),0))</f>
        <v/>
      </c>
      <c r="AO39" s="39">
        <f>IF(AND(Config!$B$1006="Y",AN39=1),Config!$B$1007,0)</f>
        <v>0</v>
      </c>
    </row>
    <row r="40" ht="15.75" customHeight="1">
      <c r="A40" s="46" t="str">
        <f t="shared" si="1"/>
        <v/>
      </c>
      <c r="B40" s="40" t="str">
        <f>IF(Bids!$A40="","",Bids!$A40)</f>
        <v/>
      </c>
      <c r="C40" s="40" t="str">
        <f>IF(Bids!$B40="","",Bids!$B40)</f>
        <v/>
      </c>
      <c r="D40" s="40" t="str">
        <f>IF($C40="","",IFERROR(VLOOKUP($C40,Orders!$A:$J,9,FALSE),""))</f>
        <v/>
      </c>
      <c r="E40" s="40" t="str">
        <f>IF($C40="","",IFERROR(VLOOKUP($C40,Orders!$A:$J,3,FALSE),""))</f>
        <v/>
      </c>
      <c r="F40" s="40" t="str">
        <f>IF($C40="","",IFERROR(VLOOKUP($C40,Orders!$A:$J,4,FALSE),""))</f>
        <v/>
      </c>
      <c r="G40" s="40" t="str">
        <f>IF($C40="","",IFERROR(VLOOKUP($C40,Orders!$A:$J,5,FALSE),""))</f>
        <v/>
      </c>
      <c r="H40" s="40" t="str">
        <f>IF($C40="","",IFERROR(VLOOKUP($C40,Orders!$A:$J,6,FALSE),""))</f>
        <v/>
      </c>
      <c r="I40" s="40" t="str">
        <f>IF($C40="","",IFERROR(VLOOKUP($C40,Orders!$A:$J,7,FALSE),""))</f>
        <v/>
      </c>
      <c r="J40" s="40" t="str">
        <f>IF(Bids!$C40="","",Bids!$C40)</f>
        <v/>
      </c>
      <c r="K40" s="40" t="str">
        <f>IF($J40="","",IFERROR(VLOOKUP($J40,Grinders!$A:$N,2,FALSE),""))</f>
        <v/>
      </c>
      <c r="L40" s="40" t="str">
        <f>IF($J40="","",IFERROR(VLOOKUP($J40,Grinders!$A:$N,3,FALSE),""))</f>
        <v/>
      </c>
      <c r="M40" s="40" t="str">
        <f>IF($J40="","",IFERROR(VLOOKUP($J40,Grinders!$A:$N,4,FALSE),""))</f>
        <v/>
      </c>
      <c r="N40" s="40" t="str">
        <f>IF($J40="","",IFERROR(VLOOKUP($J40,Grinders!$A:$N,5,FALSE),""))</f>
        <v/>
      </c>
      <c r="O40" s="40" t="str">
        <f t="shared" si="2"/>
        <v/>
      </c>
      <c r="P40" s="40" t="str">
        <f>IF($J40="","",IFERROR(VLOOKUP($J40,Grinders!$A:$N,6,FALSE),""))</f>
        <v/>
      </c>
      <c r="Q40" s="40" t="str">
        <f>IF($J40="","",IFERROR(VLOOKUP($J40,Grinders!$A:$N,8,FALSE),""))</f>
        <v/>
      </c>
      <c r="R40" s="40" t="str">
        <f>IFERROR(IF($J40="","",IF($L40="Elite",MAX(50,MIN(100,Config!$B$27*MAX(0,MIN(100,(1-IF($O40="",0,$O40))*100)) + Config!$B$28*MAX(0,MIN(100,(1-MIN(1,IF(Config!$B$30=0,1,$P40/Config!$B$30)))*100)) + Config!$B$29*MAX(0,MIN(100,MIN(1,IF($Q40="",0,$Q40)/Config!$B$23)*100)))),MIN(100,Config!$B$27*MAX(0,MIN(100,(1-IF($O40="",0,$O40))*100)) + Config!$B$28*MAX(0,MIN(100,(1-MIN(1,IF(Config!$B$30=0,1,$P40/Config!$B$30)))*100)) + Config!$B$29*MAX(0,MIN(100,MIN(1,IF($Q40="",0,$Q40)/Config!$B$23)*100))))),"")
</f>
        <v/>
      </c>
      <c r="S40" s="40" t="str">
        <f>IF(Bids!$AC40="","",Bids!$AC40)</f>
        <v/>
      </c>
      <c r="T40" s="40" t="str">
        <f>IF(Bids!$F40="","",Bids!$F40)</f>
        <v/>
      </c>
      <c r="U40" s="40" t="str">
        <f t="shared" si="3"/>
        <v/>
      </c>
      <c r="V40" s="40" t="str">
        <f>IF($U40="","",IF(Config!$B$17=Config!$B$16,IF($U40&gt;=Config!$B$17,100,0),MAX(0,MIN(100,($U40-Config!$B$16)/(Config!$B$17-Config!$B$16)*100))))</f>
        <v/>
      </c>
      <c r="W40" s="40">
        <f>IF($L40="Elite",Config!$B$21,0)</f>
        <v>0</v>
      </c>
      <c r="X40" s="40" t="str">
        <f>IFERROR(IF(OR($T40="",$G40=""),"",IF($T40&gt;$G40,
  MAX(0, 60-(($T40-$G40)*24/Config!$B$19)*60),
  MEDIAN(60, 100, 60+(($G40-$T40)*24/Config!$B$20)*40)
)),"")
</f>
        <v/>
      </c>
      <c r="Y40" s="40" t="str">
        <f>IF($J40="","",IFERROR(VLOOKUP($J40,Grinders!$A:$N,10,FALSE),""))</f>
        <v/>
      </c>
      <c r="Z40" s="40" t="str">
        <f>IF($J40="","",IFERROR(VLOOKUP($J40,Grinders!$A:$N,11,FALSE),""))</f>
        <v/>
      </c>
      <c r="AA40" s="40" t="str">
        <f>IF($J40="","",IFERROR(VLOOKUP($J40,Grinders!$A:$N,12,FALSE),""))</f>
        <v/>
      </c>
      <c r="AB40" s="40" t="str">
        <f>IF(OR(AL40=1,AM40=1),0,=IFERROR(IF(OR($C40="",$J40=""),0,IF($D40&lt;&gt;"Open",0,IF(COUNTIFS(GrinderServices!$A:$A,$J40,GrinderServices!$B:$B,$E40,GrinderServices!$D:$D,"Y")=0,0,IF($U40&lt;Config!$B$16,0,IF(Config!$B$18=1,IF($N40&gt;=$M40,0,1),1))))),""))</f>
        <v>#ERROR!</v>
      </c>
      <c r="AC40" s="40" t="str">
        <f>IFERROR((IF(OR(AL40=1,AM40=1),"",=IFERROR((IFERROR(IF($AB40=0,"",((Config!$B$6*$V40 + Config!$B$7*$R40 + Config!$B$8*$W40 + Config!$B$9*$X40 + Config!$B$10*$Y40 + Config!$B$11*$Z40 - Config!$B$12*$AA40)/Config!$B$13)+$AH40+$AI40),""))*(1-IFERROR(VLOOKUP(J40,Grinders!$A:$AB, 28, FALSE),0)),"")))*(1+AO40),"")</f>
        <v>#ERROR!</v>
      </c>
      <c r="AD40" s="40" t="str">
        <f t="shared" si="4"/>
        <v/>
      </c>
      <c r="AE40" s="40" t="str">
        <f>IFERROR(__xludf.DUMMYFUNCTION("IF($AC40="""","""",IF($AC40=IFERROR(MAX(FILTER($AC$6:$AC$1000,$C$6:$C$1000=$C40,$AB$6:$AB$1000=1)),),""WINNER"",""""))"),"#ERROR!")</f>
        <v>#ERROR!</v>
      </c>
      <c r="AF40" s="40" t="str">
        <f t="shared" si="5"/>
        <v/>
      </c>
      <c r="AG40" s="40" t="str">
        <f>IF($J40="","",COUNTIF(Assignments!$B:$B,$J40))</f>
        <v/>
      </c>
      <c r="AH40" s="40" t="str">
        <f>IF($J40="","",IF(AND($AG40=0,$N40&lt;$M40),Config!$B$43,0))</f>
        <v/>
      </c>
      <c r="AI40" s="40" t="str">
        <f>IF($J40="","",IF(AND($L40="Elite",$F40&gt;=Config!$B$41,$N40&lt;$M40),Config!$B$42,0))</f>
        <v/>
      </c>
      <c r="AJ40" s="22"/>
      <c r="AK40" s="39">
        <f>IFERROR(VLOOKUP(J40,Grinders!$A:$Q,28,FALSE),0)</f>
        <v>0</v>
      </c>
      <c r="AL40" s="39">
        <f>IF(Config!$B$1003&lt;&gt;"Y",0,IF(IFERROR(VLOOKUP(J40,Grinders!$A:$P,27,FALSE),0)&gt;=3,IF(OR(F40&gt;=Config!$B$1001,ISNUMBER(SEARCH(E40,Config!$B$1002))),1,0),0))</f>
        <v>0</v>
      </c>
      <c r="AM40" s="39">
        <f t="array" ref="AM40">IFERROR(IF(INDEX(Bids!$AE:$AE,MATCH(B40,Bids!$A:$A,0))="Pending",1,0),0)</f>
        <v>0</v>
      </c>
      <c r="AN40" s="39" t="str">
        <f t="array" ref="AN40">IF(C40="","",IFERROR(XLOOKUP(C40,Assignments!$C:$C,Assignments!$AU:$AU,0),0))</f>
        <v/>
      </c>
      <c r="AO40" s="39">
        <f>IF(AND(Config!$B$1006="Y",AN40=1),Config!$B$1007,0)</f>
        <v>0</v>
      </c>
    </row>
    <row r="41" ht="15.75" customHeight="1">
      <c r="A41" s="46" t="str">
        <f t="shared" si="1"/>
        <v/>
      </c>
      <c r="B41" s="40" t="str">
        <f>IF(Bids!$A41="","",Bids!$A41)</f>
        <v/>
      </c>
      <c r="C41" s="40" t="str">
        <f>IF(Bids!$B41="","",Bids!$B41)</f>
        <v/>
      </c>
      <c r="D41" s="40" t="str">
        <f>IF($C41="","",IFERROR(VLOOKUP($C41,Orders!$A:$J,9,FALSE),""))</f>
        <v/>
      </c>
      <c r="E41" s="40" t="str">
        <f>IF($C41="","",IFERROR(VLOOKUP($C41,Orders!$A:$J,3,FALSE),""))</f>
        <v/>
      </c>
      <c r="F41" s="40" t="str">
        <f>IF($C41="","",IFERROR(VLOOKUP($C41,Orders!$A:$J,4,FALSE),""))</f>
        <v/>
      </c>
      <c r="G41" s="40" t="str">
        <f>IF($C41="","",IFERROR(VLOOKUP($C41,Orders!$A:$J,5,FALSE),""))</f>
        <v/>
      </c>
      <c r="H41" s="40" t="str">
        <f>IF($C41="","",IFERROR(VLOOKUP($C41,Orders!$A:$J,6,FALSE),""))</f>
        <v/>
      </c>
      <c r="I41" s="40" t="str">
        <f>IF($C41="","",IFERROR(VLOOKUP($C41,Orders!$A:$J,7,FALSE),""))</f>
        <v/>
      </c>
      <c r="J41" s="40" t="str">
        <f>IF(Bids!$C41="","",Bids!$C41)</f>
        <v/>
      </c>
      <c r="K41" s="40" t="str">
        <f>IF($J41="","",IFERROR(VLOOKUP($J41,Grinders!$A:$N,2,FALSE),""))</f>
        <v/>
      </c>
      <c r="L41" s="40" t="str">
        <f>IF($J41="","",IFERROR(VLOOKUP($J41,Grinders!$A:$N,3,FALSE),""))</f>
        <v/>
      </c>
      <c r="M41" s="40" t="str">
        <f>IF($J41="","",IFERROR(VLOOKUP($J41,Grinders!$A:$N,4,FALSE),""))</f>
        <v/>
      </c>
      <c r="N41" s="40" t="str">
        <f>IF($J41="","",IFERROR(VLOOKUP($J41,Grinders!$A:$N,5,FALSE),""))</f>
        <v/>
      </c>
      <c r="O41" s="40" t="str">
        <f t="shared" si="2"/>
        <v/>
      </c>
      <c r="P41" s="40" t="str">
        <f>IF($J41="","",IFERROR(VLOOKUP($J41,Grinders!$A:$N,6,FALSE),""))</f>
        <v/>
      </c>
      <c r="Q41" s="40" t="str">
        <f>IF($J41="","",IFERROR(VLOOKUP($J41,Grinders!$A:$N,8,FALSE),""))</f>
        <v/>
      </c>
      <c r="R41" s="40" t="str">
        <f>IFERROR(IF($J41="","",IF($L41="Elite",MAX(50,MIN(100,Config!$B$27*MAX(0,MIN(100,(1-IF($O41="",0,$O41))*100)) + Config!$B$28*MAX(0,MIN(100,(1-MIN(1,IF(Config!$B$30=0,1,$P41/Config!$B$30)))*100)) + Config!$B$29*MAX(0,MIN(100,MIN(1,IF($Q41="",0,$Q41)/Config!$B$23)*100)))),MIN(100,Config!$B$27*MAX(0,MIN(100,(1-IF($O41="",0,$O41))*100)) + Config!$B$28*MAX(0,MIN(100,(1-MIN(1,IF(Config!$B$30=0,1,$P41/Config!$B$30)))*100)) + Config!$B$29*MAX(0,MIN(100,MIN(1,IF($Q41="",0,$Q41)/Config!$B$23)*100))))),"")
</f>
        <v/>
      </c>
      <c r="S41" s="40" t="str">
        <f>IF(Bids!$AC41="","",Bids!$AC41)</f>
        <v/>
      </c>
      <c r="T41" s="40" t="str">
        <f>IF(Bids!$F41="","",Bids!$F41)</f>
        <v/>
      </c>
      <c r="U41" s="40" t="str">
        <f t="shared" si="3"/>
        <v/>
      </c>
      <c r="V41" s="40" t="str">
        <f>IF($U41="","",IF(Config!$B$17=Config!$B$16,IF($U41&gt;=Config!$B$17,100,0),MAX(0,MIN(100,($U41-Config!$B$16)/(Config!$B$17-Config!$B$16)*100))))</f>
        <v/>
      </c>
      <c r="W41" s="40">
        <f>IF($L41="Elite",Config!$B$21,0)</f>
        <v>0</v>
      </c>
      <c r="X41" s="40" t="str">
        <f>IFERROR(IF(OR($T41="",$G41=""),"",IF($T41&gt;$G41,
  MAX(0, 60-(($T41-$G41)*24/Config!$B$19)*60),
  MEDIAN(60, 100, 60+(($G41-$T41)*24/Config!$B$20)*40)
)),"")
</f>
        <v/>
      </c>
      <c r="Y41" s="40" t="str">
        <f>IF($J41="","",IFERROR(VLOOKUP($J41,Grinders!$A:$N,10,FALSE),""))</f>
        <v/>
      </c>
      <c r="Z41" s="40" t="str">
        <f>IF($J41="","",IFERROR(VLOOKUP($J41,Grinders!$A:$N,11,FALSE),""))</f>
        <v/>
      </c>
      <c r="AA41" s="40" t="str">
        <f>IF($J41="","",IFERROR(VLOOKUP($J41,Grinders!$A:$N,12,FALSE),""))</f>
        <v/>
      </c>
      <c r="AB41" s="40" t="str">
        <f>IF(OR(AL41=1,AM41=1),0,=IFERROR(IF(OR($C41="",$J41=""),0,IF($D41&lt;&gt;"Open",0,IF(COUNTIFS(GrinderServices!$A:$A,$J41,GrinderServices!$B:$B,$E41,GrinderServices!$D:$D,"Y")=0,0,IF($U41&lt;Config!$B$16,0,IF(Config!$B$18=1,IF($N41&gt;=$M41,0,1),1))))),""))</f>
        <v>#ERROR!</v>
      </c>
      <c r="AC41" s="40" t="str">
        <f>IFERROR((IF(OR(AL41=1,AM41=1),"",=IFERROR((IFERROR(IF($AB41=0,"",((Config!$B$6*$V41 + Config!$B$7*$R41 + Config!$B$8*$W41 + Config!$B$9*$X41 + Config!$B$10*$Y41 + Config!$B$11*$Z41 - Config!$B$12*$AA41)/Config!$B$13)+$AH41+$AI41),""))*(1-IFERROR(VLOOKUP(J41,Grinders!$A:$AB, 28, FALSE),0)),"")))*(1+AO41),"")</f>
        <v>#ERROR!</v>
      </c>
      <c r="AD41" s="40" t="str">
        <f t="shared" si="4"/>
        <v/>
      </c>
      <c r="AE41" s="40" t="str">
        <f>IFERROR(__xludf.DUMMYFUNCTION("IF($AC41="""","""",IF($AC41=IFERROR(MAX(FILTER($AC$6:$AC$1000,$C$6:$C$1000=$C41,$AB$6:$AB$1000=1)),),""WINNER"",""""))"),"#ERROR!")</f>
        <v>#ERROR!</v>
      </c>
      <c r="AF41" s="40" t="str">
        <f t="shared" si="5"/>
        <v/>
      </c>
      <c r="AG41" s="40" t="str">
        <f>IF($J41="","",COUNTIF(Assignments!$B:$B,$J41))</f>
        <v/>
      </c>
      <c r="AH41" s="40" t="str">
        <f>IF($J41="","",IF(AND($AG41=0,$N41&lt;$M41),Config!$B$43,0))</f>
        <v/>
      </c>
      <c r="AI41" s="40" t="str">
        <f>IF($J41="","",IF(AND($L41="Elite",$F41&gt;=Config!$B$41,$N41&lt;$M41),Config!$B$42,0))</f>
        <v/>
      </c>
      <c r="AJ41" s="22"/>
      <c r="AK41" s="39">
        <f>IFERROR(VLOOKUP(J41,Grinders!$A:$Q,28,FALSE),0)</f>
        <v>0</v>
      </c>
      <c r="AL41" s="39">
        <f>IF(Config!$B$1003&lt;&gt;"Y",0,IF(IFERROR(VLOOKUP(J41,Grinders!$A:$P,27,FALSE),0)&gt;=3,IF(OR(F41&gt;=Config!$B$1001,ISNUMBER(SEARCH(E41,Config!$B$1002))),1,0),0))</f>
        <v>0</v>
      </c>
      <c r="AM41" s="39">
        <f t="array" ref="AM41">IFERROR(IF(INDEX(Bids!$AE:$AE,MATCH(B41,Bids!$A:$A,0))="Pending",1,0),0)</f>
        <v>0</v>
      </c>
      <c r="AN41" s="39" t="str">
        <f t="array" ref="AN41">IF(C41="","",IFERROR(XLOOKUP(C41,Assignments!$C:$C,Assignments!$AU:$AU,0),0))</f>
        <v/>
      </c>
      <c r="AO41" s="39">
        <f>IF(AND(Config!$B$1006="Y",AN41=1),Config!$B$1007,0)</f>
        <v>0</v>
      </c>
    </row>
    <row r="42" ht="15.75" customHeight="1">
      <c r="A42" s="46" t="str">
        <f t="shared" si="1"/>
        <v/>
      </c>
      <c r="B42" s="40" t="str">
        <f>IF(Bids!$A42="","",Bids!$A42)</f>
        <v/>
      </c>
      <c r="C42" s="40" t="str">
        <f>IF(Bids!$B42="","",Bids!$B42)</f>
        <v/>
      </c>
      <c r="D42" s="40" t="str">
        <f>IF($C42="","",IFERROR(VLOOKUP($C42,Orders!$A:$J,9,FALSE),""))</f>
        <v/>
      </c>
      <c r="E42" s="40" t="str">
        <f>IF($C42="","",IFERROR(VLOOKUP($C42,Orders!$A:$J,3,FALSE),""))</f>
        <v/>
      </c>
      <c r="F42" s="40" t="str">
        <f>IF($C42="","",IFERROR(VLOOKUP($C42,Orders!$A:$J,4,FALSE),""))</f>
        <v/>
      </c>
      <c r="G42" s="40" t="str">
        <f>IF($C42="","",IFERROR(VLOOKUP($C42,Orders!$A:$J,5,FALSE),""))</f>
        <v/>
      </c>
      <c r="H42" s="40" t="str">
        <f>IF($C42="","",IFERROR(VLOOKUP($C42,Orders!$A:$J,6,FALSE),""))</f>
        <v/>
      </c>
      <c r="I42" s="40" t="str">
        <f>IF($C42="","",IFERROR(VLOOKUP($C42,Orders!$A:$J,7,FALSE),""))</f>
        <v/>
      </c>
      <c r="J42" s="40" t="str">
        <f>IF(Bids!$C42="","",Bids!$C42)</f>
        <v/>
      </c>
      <c r="K42" s="40" t="str">
        <f>IF($J42="","",IFERROR(VLOOKUP($J42,Grinders!$A:$N,2,FALSE),""))</f>
        <v/>
      </c>
      <c r="L42" s="40" t="str">
        <f>IF($J42="","",IFERROR(VLOOKUP($J42,Grinders!$A:$N,3,FALSE),""))</f>
        <v/>
      </c>
      <c r="M42" s="40" t="str">
        <f>IF($J42="","",IFERROR(VLOOKUP($J42,Grinders!$A:$N,4,FALSE),""))</f>
        <v/>
      </c>
      <c r="N42" s="40" t="str">
        <f>IF($J42="","",IFERROR(VLOOKUP($J42,Grinders!$A:$N,5,FALSE),""))</f>
        <v/>
      </c>
      <c r="O42" s="40" t="str">
        <f t="shared" si="2"/>
        <v/>
      </c>
      <c r="P42" s="40" t="str">
        <f>IF($J42="","",IFERROR(VLOOKUP($J42,Grinders!$A:$N,6,FALSE),""))</f>
        <v/>
      </c>
      <c r="Q42" s="40" t="str">
        <f>IF($J42="","",IFERROR(VLOOKUP($J42,Grinders!$A:$N,8,FALSE),""))</f>
        <v/>
      </c>
      <c r="R42" s="40" t="str">
        <f>IFERROR(IF($J42="","",IF($L42="Elite",MAX(50,MIN(100,Config!$B$27*MAX(0,MIN(100,(1-IF($O42="",0,$O42))*100)) + Config!$B$28*MAX(0,MIN(100,(1-MIN(1,IF(Config!$B$30=0,1,$P42/Config!$B$30)))*100)) + Config!$B$29*MAX(0,MIN(100,MIN(1,IF($Q42="",0,$Q42)/Config!$B$23)*100)))),MIN(100,Config!$B$27*MAX(0,MIN(100,(1-IF($O42="",0,$O42))*100)) + Config!$B$28*MAX(0,MIN(100,(1-MIN(1,IF(Config!$B$30=0,1,$P42/Config!$B$30)))*100)) + Config!$B$29*MAX(0,MIN(100,MIN(1,IF($Q42="",0,$Q42)/Config!$B$23)*100))))),"")
</f>
        <v/>
      </c>
      <c r="S42" s="40" t="str">
        <f>IF(Bids!$AC42="","",Bids!$AC42)</f>
        <v/>
      </c>
      <c r="T42" s="40" t="str">
        <f>IF(Bids!$F42="","",Bids!$F42)</f>
        <v/>
      </c>
      <c r="U42" s="40" t="str">
        <f t="shared" si="3"/>
        <v/>
      </c>
      <c r="V42" s="40" t="str">
        <f>IF($U42="","",IF(Config!$B$17=Config!$B$16,IF($U42&gt;=Config!$B$17,100,0),MAX(0,MIN(100,($U42-Config!$B$16)/(Config!$B$17-Config!$B$16)*100))))</f>
        <v/>
      </c>
      <c r="W42" s="40">
        <f>IF($L42="Elite",Config!$B$21,0)</f>
        <v>0</v>
      </c>
      <c r="X42" s="40" t="str">
        <f>IFERROR(IF(OR($T42="",$G42=""),"",IF($T42&gt;$G42,
  MAX(0, 60-(($T42-$G42)*24/Config!$B$19)*60),
  MEDIAN(60, 100, 60+(($G42-$T42)*24/Config!$B$20)*40)
)),"")
</f>
        <v/>
      </c>
      <c r="Y42" s="40" t="str">
        <f>IF($J42="","",IFERROR(VLOOKUP($J42,Grinders!$A:$N,10,FALSE),""))</f>
        <v/>
      </c>
      <c r="Z42" s="40" t="str">
        <f>IF($J42="","",IFERROR(VLOOKUP($J42,Grinders!$A:$N,11,FALSE),""))</f>
        <v/>
      </c>
      <c r="AA42" s="40" t="str">
        <f>IF($J42="","",IFERROR(VLOOKUP($J42,Grinders!$A:$N,12,FALSE),""))</f>
        <v/>
      </c>
      <c r="AB42" s="40" t="str">
        <f>IF(OR(AL42=1,AM42=1),0,=IFERROR(IF(OR($C42="",$J42=""),0,IF($D42&lt;&gt;"Open",0,IF(COUNTIFS(GrinderServices!$A:$A,$J42,GrinderServices!$B:$B,$E42,GrinderServices!$D:$D,"Y")=0,0,IF($U42&lt;Config!$B$16,0,IF(Config!$B$18=1,IF($N42&gt;=$M42,0,1),1))))),""))</f>
        <v>#ERROR!</v>
      </c>
      <c r="AC42" s="40" t="str">
        <f>IFERROR((IF(OR(AL42=1,AM42=1),"",=IFERROR((IFERROR(IF($AB42=0,"",((Config!$B$6*$V42 + Config!$B$7*$R42 + Config!$B$8*$W42 + Config!$B$9*$X42 + Config!$B$10*$Y42 + Config!$B$11*$Z42 - Config!$B$12*$AA42)/Config!$B$13)+$AH42+$AI42),""))*(1-IFERROR(VLOOKUP(J42,Grinders!$A:$AB, 28, FALSE),0)),"")))*(1+AO42),"")</f>
        <v>#ERROR!</v>
      </c>
      <c r="AD42" s="40" t="str">
        <f t="shared" si="4"/>
        <v/>
      </c>
      <c r="AE42" s="40" t="str">
        <f>IFERROR(__xludf.DUMMYFUNCTION("IF($AC42="""","""",IF($AC42=IFERROR(MAX(FILTER($AC$6:$AC$1000,$C$6:$C$1000=$C42,$AB$6:$AB$1000=1)),),""WINNER"",""""))"),"#ERROR!")</f>
        <v>#ERROR!</v>
      </c>
      <c r="AF42" s="40" t="str">
        <f t="shared" si="5"/>
        <v/>
      </c>
      <c r="AG42" s="40" t="str">
        <f>IF($J42="","",COUNTIF(Assignments!$B:$B,$J42))</f>
        <v/>
      </c>
      <c r="AH42" s="40" t="str">
        <f>IF($J42="","",IF(AND($AG42=0,$N42&lt;$M42),Config!$B$43,0))</f>
        <v/>
      </c>
      <c r="AI42" s="40" t="str">
        <f>IF($J42="","",IF(AND($L42="Elite",$F42&gt;=Config!$B$41,$N42&lt;$M42),Config!$B$42,0))</f>
        <v/>
      </c>
      <c r="AJ42" s="22"/>
      <c r="AK42" s="39">
        <f>IFERROR(VLOOKUP(J42,Grinders!$A:$Q,28,FALSE),0)</f>
        <v>0</v>
      </c>
      <c r="AL42" s="39">
        <f>IF(Config!$B$1003&lt;&gt;"Y",0,IF(IFERROR(VLOOKUP(J42,Grinders!$A:$P,27,FALSE),0)&gt;=3,IF(OR(F42&gt;=Config!$B$1001,ISNUMBER(SEARCH(E42,Config!$B$1002))),1,0),0))</f>
        <v>0</v>
      </c>
      <c r="AM42" s="39">
        <f t="array" ref="AM42">IFERROR(IF(INDEX(Bids!$AE:$AE,MATCH(B42,Bids!$A:$A,0))="Pending",1,0),0)</f>
        <v>0</v>
      </c>
      <c r="AN42" s="39" t="str">
        <f t="array" ref="AN42">IF(C42="","",IFERROR(XLOOKUP(C42,Assignments!$C:$C,Assignments!$AU:$AU,0),0))</f>
        <v/>
      </c>
      <c r="AO42" s="39">
        <f>IF(AND(Config!$B$1006="Y",AN42=1),Config!$B$1007,0)</f>
        <v>0</v>
      </c>
    </row>
    <row r="43" ht="15.75" customHeight="1">
      <c r="A43" s="46" t="str">
        <f t="shared" si="1"/>
        <v/>
      </c>
      <c r="B43" s="40" t="str">
        <f>IF(Bids!$A43="","",Bids!$A43)</f>
        <v/>
      </c>
      <c r="C43" s="40" t="str">
        <f>IF(Bids!$B43="","",Bids!$B43)</f>
        <v/>
      </c>
      <c r="D43" s="40" t="str">
        <f>IF($C43="","",IFERROR(VLOOKUP($C43,Orders!$A:$J,9,FALSE),""))</f>
        <v/>
      </c>
      <c r="E43" s="40" t="str">
        <f>IF($C43="","",IFERROR(VLOOKUP($C43,Orders!$A:$J,3,FALSE),""))</f>
        <v/>
      </c>
      <c r="F43" s="40" t="str">
        <f>IF($C43="","",IFERROR(VLOOKUP($C43,Orders!$A:$J,4,FALSE),""))</f>
        <v/>
      </c>
      <c r="G43" s="40" t="str">
        <f>IF($C43="","",IFERROR(VLOOKUP($C43,Orders!$A:$J,5,FALSE),""))</f>
        <v/>
      </c>
      <c r="H43" s="40" t="str">
        <f>IF($C43="","",IFERROR(VLOOKUP($C43,Orders!$A:$J,6,FALSE),""))</f>
        <v/>
      </c>
      <c r="I43" s="40" t="str">
        <f>IF($C43="","",IFERROR(VLOOKUP($C43,Orders!$A:$J,7,FALSE),""))</f>
        <v/>
      </c>
      <c r="J43" s="40" t="str">
        <f>IF(Bids!$C43="","",Bids!$C43)</f>
        <v/>
      </c>
      <c r="K43" s="40" t="str">
        <f>IF($J43="","",IFERROR(VLOOKUP($J43,Grinders!$A:$N,2,FALSE),""))</f>
        <v/>
      </c>
      <c r="L43" s="40" t="str">
        <f>IF($J43="","",IFERROR(VLOOKUP($J43,Grinders!$A:$N,3,FALSE),""))</f>
        <v/>
      </c>
      <c r="M43" s="40" t="str">
        <f>IF($J43="","",IFERROR(VLOOKUP($J43,Grinders!$A:$N,4,FALSE),""))</f>
        <v/>
      </c>
      <c r="N43" s="40" t="str">
        <f>IF($J43="","",IFERROR(VLOOKUP($J43,Grinders!$A:$N,5,FALSE),""))</f>
        <v/>
      </c>
      <c r="O43" s="40" t="str">
        <f t="shared" si="2"/>
        <v/>
      </c>
      <c r="P43" s="40" t="str">
        <f>IF($J43="","",IFERROR(VLOOKUP($J43,Grinders!$A:$N,6,FALSE),""))</f>
        <v/>
      </c>
      <c r="Q43" s="40" t="str">
        <f>IF($J43="","",IFERROR(VLOOKUP($J43,Grinders!$A:$N,8,FALSE),""))</f>
        <v/>
      </c>
      <c r="R43" s="40" t="str">
        <f>IFERROR(IF($J43="","",IF($L43="Elite",MAX(50,MIN(100,Config!$B$27*MAX(0,MIN(100,(1-IF($O43="",0,$O43))*100)) + Config!$B$28*MAX(0,MIN(100,(1-MIN(1,IF(Config!$B$30=0,1,$P43/Config!$B$30)))*100)) + Config!$B$29*MAX(0,MIN(100,MIN(1,IF($Q43="",0,$Q43)/Config!$B$23)*100)))),MIN(100,Config!$B$27*MAX(0,MIN(100,(1-IF($O43="",0,$O43))*100)) + Config!$B$28*MAX(0,MIN(100,(1-MIN(1,IF(Config!$B$30=0,1,$P43/Config!$B$30)))*100)) + Config!$B$29*MAX(0,MIN(100,MIN(1,IF($Q43="",0,$Q43)/Config!$B$23)*100))))),"")
</f>
        <v/>
      </c>
      <c r="S43" s="40" t="str">
        <f>IF(Bids!$AC43="","",Bids!$AC43)</f>
        <v/>
      </c>
      <c r="T43" s="40" t="str">
        <f>IF(Bids!$F43="","",Bids!$F43)</f>
        <v/>
      </c>
      <c r="U43" s="40" t="str">
        <f t="shared" si="3"/>
        <v/>
      </c>
      <c r="V43" s="40" t="str">
        <f>IF($U43="","",IF(Config!$B$17=Config!$B$16,IF($U43&gt;=Config!$B$17,100,0),MAX(0,MIN(100,($U43-Config!$B$16)/(Config!$B$17-Config!$B$16)*100))))</f>
        <v/>
      </c>
      <c r="W43" s="40">
        <f>IF($L43="Elite",Config!$B$21,0)</f>
        <v>0</v>
      </c>
      <c r="X43" s="40" t="str">
        <f>IFERROR(IF(OR($T43="",$G43=""),"",IF($T43&gt;$G43,
  MAX(0, 60-(($T43-$G43)*24/Config!$B$19)*60),
  MEDIAN(60, 100, 60+(($G43-$T43)*24/Config!$B$20)*40)
)),"")
</f>
        <v/>
      </c>
      <c r="Y43" s="40" t="str">
        <f>IF($J43="","",IFERROR(VLOOKUP($J43,Grinders!$A:$N,10,FALSE),""))</f>
        <v/>
      </c>
      <c r="Z43" s="40" t="str">
        <f>IF($J43="","",IFERROR(VLOOKUP($J43,Grinders!$A:$N,11,FALSE),""))</f>
        <v/>
      </c>
      <c r="AA43" s="40" t="str">
        <f>IF($J43="","",IFERROR(VLOOKUP($J43,Grinders!$A:$N,12,FALSE),""))</f>
        <v/>
      </c>
      <c r="AB43" s="40" t="str">
        <f>IF(OR(AL43=1,AM43=1),0,=IFERROR(IF(OR($C43="",$J43=""),0,IF($D43&lt;&gt;"Open",0,IF(COUNTIFS(GrinderServices!$A:$A,$J43,GrinderServices!$B:$B,$E43,GrinderServices!$D:$D,"Y")=0,0,IF($U43&lt;Config!$B$16,0,IF(Config!$B$18=1,IF($N43&gt;=$M43,0,1),1))))),""))</f>
        <v>#ERROR!</v>
      </c>
      <c r="AC43" s="40" t="str">
        <f>IFERROR((IF(OR(AL43=1,AM43=1),"",=IFERROR((IFERROR(IF($AB43=0,"",((Config!$B$6*$V43 + Config!$B$7*$R43 + Config!$B$8*$W43 + Config!$B$9*$X43 + Config!$B$10*$Y43 + Config!$B$11*$Z43 - Config!$B$12*$AA43)/Config!$B$13)+$AH43+$AI43),""))*(1-IFERROR(VLOOKUP(J43,Grinders!$A:$AB, 28, FALSE),0)),"")))*(1+AO43),"")</f>
        <v>#ERROR!</v>
      </c>
      <c r="AD43" s="40" t="str">
        <f t="shared" si="4"/>
        <v/>
      </c>
      <c r="AE43" s="40" t="str">
        <f>IFERROR(__xludf.DUMMYFUNCTION("IF($AC43="""","""",IF($AC43=IFERROR(MAX(FILTER($AC$6:$AC$1000,$C$6:$C$1000=$C43,$AB$6:$AB$1000=1)),),""WINNER"",""""))"),"#ERROR!")</f>
        <v>#ERROR!</v>
      </c>
      <c r="AF43" s="40" t="str">
        <f t="shared" si="5"/>
        <v/>
      </c>
      <c r="AG43" s="40" t="str">
        <f>IF($J43="","",COUNTIF(Assignments!$B:$B,$J43))</f>
        <v/>
      </c>
      <c r="AH43" s="40" t="str">
        <f>IF($J43="","",IF(AND($AG43=0,$N43&lt;$M43),Config!$B$43,0))</f>
        <v/>
      </c>
      <c r="AI43" s="40" t="str">
        <f>IF($J43="","",IF(AND($L43="Elite",$F43&gt;=Config!$B$41,$N43&lt;$M43),Config!$B$42,0))</f>
        <v/>
      </c>
      <c r="AJ43" s="22"/>
      <c r="AK43" s="39">
        <f>IFERROR(VLOOKUP(J43,Grinders!$A:$Q,28,FALSE),0)</f>
        <v>0</v>
      </c>
      <c r="AL43" s="39">
        <f>IF(Config!$B$1003&lt;&gt;"Y",0,IF(IFERROR(VLOOKUP(J43,Grinders!$A:$P,27,FALSE),0)&gt;=3,IF(OR(F43&gt;=Config!$B$1001,ISNUMBER(SEARCH(E43,Config!$B$1002))),1,0),0))</f>
        <v>0</v>
      </c>
      <c r="AM43" s="39">
        <f t="array" ref="AM43">IFERROR(IF(INDEX(Bids!$AE:$AE,MATCH(B43,Bids!$A:$A,0))="Pending",1,0),0)</f>
        <v>0</v>
      </c>
      <c r="AN43" s="39" t="str">
        <f t="array" ref="AN43">IF(C43="","",IFERROR(XLOOKUP(C43,Assignments!$C:$C,Assignments!$AU:$AU,0),0))</f>
        <v/>
      </c>
      <c r="AO43" s="39">
        <f>IF(AND(Config!$B$1006="Y",AN43=1),Config!$B$1007,0)</f>
        <v>0</v>
      </c>
    </row>
    <row r="44" ht="15.75" customHeight="1">
      <c r="A44" s="46" t="str">
        <f t="shared" si="1"/>
        <v/>
      </c>
      <c r="B44" s="40" t="str">
        <f>IF(Bids!$A44="","",Bids!$A44)</f>
        <v/>
      </c>
      <c r="C44" s="40" t="str">
        <f>IF(Bids!$B44="","",Bids!$B44)</f>
        <v/>
      </c>
      <c r="D44" s="40" t="str">
        <f>IF($C44="","",IFERROR(VLOOKUP($C44,Orders!$A:$J,9,FALSE),""))</f>
        <v/>
      </c>
      <c r="E44" s="40" t="str">
        <f>IF($C44="","",IFERROR(VLOOKUP($C44,Orders!$A:$J,3,FALSE),""))</f>
        <v/>
      </c>
      <c r="F44" s="40" t="str">
        <f>IF($C44="","",IFERROR(VLOOKUP($C44,Orders!$A:$J,4,FALSE),""))</f>
        <v/>
      </c>
      <c r="G44" s="40" t="str">
        <f>IF($C44="","",IFERROR(VLOOKUP($C44,Orders!$A:$J,5,FALSE),""))</f>
        <v/>
      </c>
      <c r="H44" s="40" t="str">
        <f>IF($C44="","",IFERROR(VLOOKUP($C44,Orders!$A:$J,6,FALSE),""))</f>
        <v/>
      </c>
      <c r="I44" s="40" t="str">
        <f>IF($C44="","",IFERROR(VLOOKUP($C44,Orders!$A:$J,7,FALSE),""))</f>
        <v/>
      </c>
      <c r="J44" s="40" t="str">
        <f>IF(Bids!$C44="","",Bids!$C44)</f>
        <v/>
      </c>
      <c r="K44" s="40" t="str">
        <f>IF($J44="","",IFERROR(VLOOKUP($J44,Grinders!$A:$N,2,FALSE),""))</f>
        <v/>
      </c>
      <c r="L44" s="40" t="str">
        <f>IF($J44="","",IFERROR(VLOOKUP($J44,Grinders!$A:$N,3,FALSE),""))</f>
        <v/>
      </c>
      <c r="M44" s="40" t="str">
        <f>IF($J44="","",IFERROR(VLOOKUP($J44,Grinders!$A:$N,4,FALSE),""))</f>
        <v/>
      </c>
      <c r="N44" s="40" t="str">
        <f>IF($J44="","",IFERROR(VLOOKUP($J44,Grinders!$A:$N,5,FALSE),""))</f>
        <v/>
      </c>
      <c r="O44" s="40" t="str">
        <f t="shared" si="2"/>
        <v/>
      </c>
      <c r="P44" s="40" t="str">
        <f>IF($J44="","",IFERROR(VLOOKUP($J44,Grinders!$A:$N,6,FALSE),""))</f>
        <v/>
      </c>
      <c r="Q44" s="40" t="str">
        <f>IF($J44="","",IFERROR(VLOOKUP($J44,Grinders!$A:$N,8,FALSE),""))</f>
        <v/>
      </c>
      <c r="R44" s="40" t="str">
        <f>IFERROR(IF($J44="","",IF($L44="Elite",MAX(50,MIN(100,Config!$B$27*MAX(0,MIN(100,(1-IF($O44="",0,$O44))*100)) + Config!$B$28*MAX(0,MIN(100,(1-MIN(1,IF(Config!$B$30=0,1,$P44/Config!$B$30)))*100)) + Config!$B$29*MAX(0,MIN(100,MIN(1,IF($Q44="",0,$Q44)/Config!$B$23)*100)))),MIN(100,Config!$B$27*MAX(0,MIN(100,(1-IF($O44="",0,$O44))*100)) + Config!$B$28*MAX(0,MIN(100,(1-MIN(1,IF(Config!$B$30=0,1,$P44/Config!$B$30)))*100)) + Config!$B$29*MAX(0,MIN(100,MIN(1,IF($Q44="",0,$Q44)/Config!$B$23)*100))))),"")
</f>
        <v/>
      </c>
      <c r="S44" s="40" t="str">
        <f>IF(Bids!$AC44="","",Bids!$AC44)</f>
        <v/>
      </c>
      <c r="T44" s="40" t="str">
        <f>IF(Bids!$F44="","",Bids!$F44)</f>
        <v/>
      </c>
      <c r="U44" s="40" t="str">
        <f t="shared" si="3"/>
        <v/>
      </c>
      <c r="V44" s="40" t="str">
        <f>IF($U44="","",IF(Config!$B$17=Config!$B$16,IF($U44&gt;=Config!$B$17,100,0),MAX(0,MIN(100,($U44-Config!$B$16)/(Config!$B$17-Config!$B$16)*100))))</f>
        <v/>
      </c>
      <c r="W44" s="40">
        <f>IF($L44="Elite",Config!$B$21,0)</f>
        <v>0</v>
      </c>
      <c r="X44" s="40" t="str">
        <f>IFERROR(IF(OR($T44="",$G44=""),"",IF($T44&gt;$G44,
  MAX(0, 60-(($T44-$G44)*24/Config!$B$19)*60),
  MEDIAN(60, 100, 60+(($G44-$T44)*24/Config!$B$20)*40)
)),"")
</f>
        <v/>
      </c>
      <c r="Y44" s="40" t="str">
        <f>IF($J44="","",IFERROR(VLOOKUP($J44,Grinders!$A:$N,10,FALSE),""))</f>
        <v/>
      </c>
      <c r="Z44" s="40" t="str">
        <f>IF($J44="","",IFERROR(VLOOKUP($J44,Grinders!$A:$N,11,FALSE),""))</f>
        <v/>
      </c>
      <c r="AA44" s="40" t="str">
        <f>IF($J44="","",IFERROR(VLOOKUP($J44,Grinders!$A:$N,12,FALSE),""))</f>
        <v/>
      </c>
      <c r="AB44" s="40" t="str">
        <f>IF(OR(AL44=1,AM44=1),0,=IFERROR(IF(OR($C44="",$J44=""),0,IF($D44&lt;&gt;"Open",0,IF(COUNTIFS(GrinderServices!$A:$A,$J44,GrinderServices!$B:$B,$E44,GrinderServices!$D:$D,"Y")=0,0,IF($U44&lt;Config!$B$16,0,IF(Config!$B$18=1,IF($N44&gt;=$M44,0,1),1))))),""))</f>
        <v>#ERROR!</v>
      </c>
      <c r="AC44" s="40" t="str">
        <f>IFERROR((IF(OR(AL44=1,AM44=1),"",=IFERROR((IFERROR(IF($AB44=0,"",((Config!$B$6*$V44 + Config!$B$7*$R44 + Config!$B$8*$W44 + Config!$B$9*$X44 + Config!$B$10*$Y44 + Config!$B$11*$Z44 - Config!$B$12*$AA44)/Config!$B$13)+$AH44+$AI44),""))*(1-IFERROR(VLOOKUP(J44,Grinders!$A:$AB, 28, FALSE),0)),"")))*(1+AO44),"")</f>
        <v>#ERROR!</v>
      </c>
      <c r="AD44" s="40" t="str">
        <f t="shared" si="4"/>
        <v/>
      </c>
      <c r="AE44" s="40" t="str">
        <f>IFERROR(__xludf.DUMMYFUNCTION("IF($AC44="""","""",IF($AC44=IFERROR(MAX(FILTER($AC$6:$AC$1000,$C$6:$C$1000=$C44,$AB$6:$AB$1000=1)),),""WINNER"",""""))"),"#ERROR!")</f>
        <v>#ERROR!</v>
      </c>
      <c r="AF44" s="40" t="str">
        <f t="shared" si="5"/>
        <v/>
      </c>
      <c r="AG44" s="40" t="str">
        <f>IF($J44="","",COUNTIF(Assignments!$B:$B,$J44))</f>
        <v/>
      </c>
      <c r="AH44" s="40" t="str">
        <f>IF($J44="","",IF(AND($AG44=0,$N44&lt;$M44),Config!$B$43,0))</f>
        <v/>
      </c>
      <c r="AI44" s="40" t="str">
        <f>IF($J44="","",IF(AND($L44="Elite",$F44&gt;=Config!$B$41,$N44&lt;$M44),Config!$B$42,0))</f>
        <v/>
      </c>
      <c r="AJ44" s="22"/>
      <c r="AK44" s="39">
        <f>IFERROR(VLOOKUP(J44,Grinders!$A:$Q,28,FALSE),0)</f>
        <v>0</v>
      </c>
      <c r="AL44" s="39">
        <f>IF(Config!$B$1003&lt;&gt;"Y",0,IF(IFERROR(VLOOKUP(J44,Grinders!$A:$P,27,FALSE),0)&gt;=3,IF(OR(F44&gt;=Config!$B$1001,ISNUMBER(SEARCH(E44,Config!$B$1002))),1,0),0))</f>
        <v>0</v>
      </c>
      <c r="AM44" s="39">
        <f t="array" ref="AM44">IFERROR(IF(INDEX(Bids!$AE:$AE,MATCH(B44,Bids!$A:$A,0))="Pending",1,0),0)</f>
        <v>0</v>
      </c>
      <c r="AN44" s="39" t="str">
        <f t="array" ref="AN44">IF(C44="","",IFERROR(XLOOKUP(C44,Assignments!$C:$C,Assignments!$AU:$AU,0),0))</f>
        <v/>
      </c>
      <c r="AO44" s="39">
        <f>IF(AND(Config!$B$1006="Y",AN44=1),Config!$B$1007,0)</f>
        <v>0</v>
      </c>
    </row>
    <row r="45" ht="15.75" customHeight="1">
      <c r="A45" s="46" t="str">
        <f t="shared" si="1"/>
        <v/>
      </c>
      <c r="B45" s="40" t="str">
        <f>IF(Bids!$A45="","",Bids!$A45)</f>
        <v/>
      </c>
      <c r="C45" s="40" t="str">
        <f>IF(Bids!$B45="","",Bids!$B45)</f>
        <v/>
      </c>
      <c r="D45" s="40" t="str">
        <f>IF($C45="","",IFERROR(VLOOKUP($C45,Orders!$A:$J,9,FALSE),""))</f>
        <v/>
      </c>
      <c r="E45" s="40" t="str">
        <f>IF($C45="","",IFERROR(VLOOKUP($C45,Orders!$A:$J,3,FALSE),""))</f>
        <v/>
      </c>
      <c r="F45" s="40" t="str">
        <f>IF($C45="","",IFERROR(VLOOKUP($C45,Orders!$A:$J,4,FALSE),""))</f>
        <v/>
      </c>
      <c r="G45" s="40" t="str">
        <f>IF($C45="","",IFERROR(VLOOKUP($C45,Orders!$A:$J,5,FALSE),""))</f>
        <v/>
      </c>
      <c r="H45" s="40" t="str">
        <f>IF($C45="","",IFERROR(VLOOKUP($C45,Orders!$A:$J,6,FALSE),""))</f>
        <v/>
      </c>
      <c r="I45" s="40" t="str">
        <f>IF($C45="","",IFERROR(VLOOKUP($C45,Orders!$A:$J,7,FALSE),""))</f>
        <v/>
      </c>
      <c r="J45" s="40" t="str">
        <f>IF(Bids!$C45="","",Bids!$C45)</f>
        <v/>
      </c>
      <c r="K45" s="40" t="str">
        <f>IF($J45="","",IFERROR(VLOOKUP($J45,Grinders!$A:$N,2,FALSE),""))</f>
        <v/>
      </c>
      <c r="L45" s="40" t="str">
        <f>IF($J45="","",IFERROR(VLOOKUP($J45,Grinders!$A:$N,3,FALSE),""))</f>
        <v/>
      </c>
      <c r="M45" s="40" t="str">
        <f>IF($J45="","",IFERROR(VLOOKUP($J45,Grinders!$A:$N,4,FALSE),""))</f>
        <v/>
      </c>
      <c r="N45" s="40" t="str">
        <f>IF($J45="","",IFERROR(VLOOKUP($J45,Grinders!$A:$N,5,FALSE),""))</f>
        <v/>
      </c>
      <c r="O45" s="40" t="str">
        <f t="shared" si="2"/>
        <v/>
      </c>
      <c r="P45" s="40" t="str">
        <f>IF($J45="","",IFERROR(VLOOKUP($J45,Grinders!$A:$N,6,FALSE),""))</f>
        <v/>
      </c>
      <c r="Q45" s="40" t="str">
        <f>IF($J45="","",IFERROR(VLOOKUP($J45,Grinders!$A:$N,8,FALSE),""))</f>
        <v/>
      </c>
      <c r="R45" s="40" t="str">
        <f>IFERROR(IF($J45="","",IF($L45="Elite",MAX(50,MIN(100,Config!$B$27*MAX(0,MIN(100,(1-IF($O45="",0,$O45))*100)) + Config!$B$28*MAX(0,MIN(100,(1-MIN(1,IF(Config!$B$30=0,1,$P45/Config!$B$30)))*100)) + Config!$B$29*MAX(0,MIN(100,MIN(1,IF($Q45="",0,$Q45)/Config!$B$23)*100)))),MIN(100,Config!$B$27*MAX(0,MIN(100,(1-IF($O45="",0,$O45))*100)) + Config!$B$28*MAX(0,MIN(100,(1-MIN(1,IF(Config!$B$30=0,1,$P45/Config!$B$30)))*100)) + Config!$B$29*MAX(0,MIN(100,MIN(1,IF($Q45="",0,$Q45)/Config!$B$23)*100))))),"")
</f>
        <v/>
      </c>
      <c r="S45" s="40" t="str">
        <f>IF(Bids!$AC45="","",Bids!$AC45)</f>
        <v/>
      </c>
      <c r="T45" s="40" t="str">
        <f>IF(Bids!$F45="","",Bids!$F45)</f>
        <v/>
      </c>
      <c r="U45" s="40" t="str">
        <f t="shared" si="3"/>
        <v/>
      </c>
      <c r="V45" s="40" t="str">
        <f>IF($U45="","",IF(Config!$B$17=Config!$B$16,IF($U45&gt;=Config!$B$17,100,0),MAX(0,MIN(100,($U45-Config!$B$16)/(Config!$B$17-Config!$B$16)*100))))</f>
        <v/>
      </c>
      <c r="W45" s="40">
        <f>IF($L45="Elite",Config!$B$21,0)</f>
        <v>0</v>
      </c>
      <c r="X45" s="40" t="str">
        <f>IFERROR(IF(OR($T45="",$G45=""),"",IF($T45&gt;$G45,
  MAX(0, 60-(($T45-$G45)*24/Config!$B$19)*60),
  MEDIAN(60, 100, 60+(($G45-$T45)*24/Config!$B$20)*40)
)),"")
</f>
        <v/>
      </c>
      <c r="Y45" s="40" t="str">
        <f>IF($J45="","",IFERROR(VLOOKUP($J45,Grinders!$A:$N,10,FALSE),""))</f>
        <v/>
      </c>
      <c r="Z45" s="40" t="str">
        <f>IF($J45="","",IFERROR(VLOOKUP($J45,Grinders!$A:$N,11,FALSE),""))</f>
        <v/>
      </c>
      <c r="AA45" s="40" t="str">
        <f>IF($J45="","",IFERROR(VLOOKUP($J45,Grinders!$A:$N,12,FALSE),""))</f>
        <v/>
      </c>
      <c r="AB45" s="40" t="str">
        <f>IF(OR(AL45=1,AM45=1),0,=IFERROR(IF(OR($C45="",$J45=""),0,IF($D45&lt;&gt;"Open",0,IF(COUNTIFS(GrinderServices!$A:$A,$J45,GrinderServices!$B:$B,$E45,GrinderServices!$D:$D,"Y")=0,0,IF($U45&lt;Config!$B$16,0,IF(Config!$B$18=1,IF($N45&gt;=$M45,0,1),1))))),""))</f>
        <v>#ERROR!</v>
      </c>
      <c r="AC45" s="40" t="str">
        <f>IFERROR((IF(OR(AL45=1,AM45=1),"",=IFERROR((IFERROR(IF($AB45=0,"",((Config!$B$6*$V45 + Config!$B$7*$R45 + Config!$B$8*$W45 + Config!$B$9*$X45 + Config!$B$10*$Y45 + Config!$B$11*$Z45 - Config!$B$12*$AA45)/Config!$B$13)+$AH45+$AI45),""))*(1-IFERROR(VLOOKUP(J45,Grinders!$A:$AB, 28, FALSE),0)),"")))*(1+AO45),"")</f>
        <v>#ERROR!</v>
      </c>
      <c r="AD45" s="40" t="str">
        <f t="shared" si="4"/>
        <v/>
      </c>
      <c r="AE45" s="40" t="str">
        <f>IFERROR(__xludf.DUMMYFUNCTION("IF($AC45="""","""",IF($AC45=IFERROR(MAX(FILTER($AC$6:$AC$1000,$C$6:$C$1000=$C45,$AB$6:$AB$1000=1)),),""WINNER"",""""))"),"#ERROR!")</f>
        <v>#ERROR!</v>
      </c>
      <c r="AF45" s="40" t="str">
        <f t="shared" si="5"/>
        <v/>
      </c>
      <c r="AG45" s="40" t="str">
        <f>IF($J45="","",COUNTIF(Assignments!$B:$B,$J45))</f>
        <v/>
      </c>
      <c r="AH45" s="40" t="str">
        <f>IF($J45="","",IF(AND($AG45=0,$N45&lt;$M45),Config!$B$43,0))</f>
        <v/>
      </c>
      <c r="AI45" s="40" t="str">
        <f>IF($J45="","",IF(AND($L45="Elite",$F45&gt;=Config!$B$41,$N45&lt;$M45),Config!$B$42,0))</f>
        <v/>
      </c>
      <c r="AJ45" s="22"/>
      <c r="AK45" s="39">
        <f>IFERROR(VLOOKUP(J45,Grinders!$A:$Q,28,FALSE),0)</f>
        <v>0</v>
      </c>
      <c r="AL45" s="39">
        <f>IF(Config!$B$1003&lt;&gt;"Y",0,IF(IFERROR(VLOOKUP(J45,Grinders!$A:$P,27,FALSE),0)&gt;=3,IF(OR(F45&gt;=Config!$B$1001,ISNUMBER(SEARCH(E45,Config!$B$1002))),1,0),0))</f>
        <v>0</v>
      </c>
      <c r="AM45" s="39">
        <f t="array" ref="AM45">IFERROR(IF(INDEX(Bids!$AE:$AE,MATCH(B45,Bids!$A:$A,0))="Pending",1,0),0)</f>
        <v>0</v>
      </c>
      <c r="AN45" s="39" t="str">
        <f t="array" ref="AN45">IF(C45="","",IFERROR(XLOOKUP(C45,Assignments!$C:$C,Assignments!$AU:$AU,0),0))</f>
        <v/>
      </c>
      <c r="AO45" s="39">
        <f>IF(AND(Config!$B$1006="Y",AN45=1),Config!$B$1007,0)</f>
        <v>0</v>
      </c>
    </row>
    <row r="46" ht="15.75" customHeight="1">
      <c r="A46" s="46" t="str">
        <f t="shared" si="1"/>
        <v/>
      </c>
      <c r="B46" s="40" t="str">
        <f>IF(Bids!$A46="","",Bids!$A46)</f>
        <v/>
      </c>
      <c r="C46" s="40" t="str">
        <f>IF(Bids!$B46="","",Bids!$B46)</f>
        <v/>
      </c>
      <c r="D46" s="40" t="str">
        <f>IF($C46="","",IFERROR(VLOOKUP($C46,Orders!$A:$J,9,FALSE),""))</f>
        <v/>
      </c>
      <c r="E46" s="40" t="str">
        <f>IF($C46="","",IFERROR(VLOOKUP($C46,Orders!$A:$J,3,FALSE),""))</f>
        <v/>
      </c>
      <c r="F46" s="40" t="str">
        <f>IF($C46="","",IFERROR(VLOOKUP($C46,Orders!$A:$J,4,FALSE),""))</f>
        <v/>
      </c>
      <c r="G46" s="40" t="str">
        <f>IF($C46="","",IFERROR(VLOOKUP($C46,Orders!$A:$J,5,FALSE),""))</f>
        <v/>
      </c>
      <c r="H46" s="40" t="str">
        <f>IF($C46="","",IFERROR(VLOOKUP($C46,Orders!$A:$J,6,FALSE),""))</f>
        <v/>
      </c>
      <c r="I46" s="40" t="str">
        <f>IF($C46="","",IFERROR(VLOOKUP($C46,Orders!$A:$J,7,FALSE),""))</f>
        <v/>
      </c>
      <c r="J46" s="40" t="str">
        <f>IF(Bids!$C46="","",Bids!$C46)</f>
        <v/>
      </c>
      <c r="K46" s="40" t="str">
        <f>IF($J46="","",IFERROR(VLOOKUP($J46,Grinders!$A:$N,2,FALSE),""))</f>
        <v/>
      </c>
      <c r="L46" s="40" t="str">
        <f>IF($J46="","",IFERROR(VLOOKUP($J46,Grinders!$A:$N,3,FALSE),""))</f>
        <v/>
      </c>
      <c r="M46" s="40" t="str">
        <f>IF($J46="","",IFERROR(VLOOKUP($J46,Grinders!$A:$N,4,FALSE),""))</f>
        <v/>
      </c>
      <c r="N46" s="40" t="str">
        <f>IF($J46="","",IFERROR(VLOOKUP($J46,Grinders!$A:$N,5,FALSE),""))</f>
        <v/>
      </c>
      <c r="O46" s="40" t="str">
        <f t="shared" si="2"/>
        <v/>
      </c>
      <c r="P46" s="40" t="str">
        <f>IF($J46="","",IFERROR(VLOOKUP($J46,Grinders!$A:$N,6,FALSE),""))</f>
        <v/>
      </c>
      <c r="Q46" s="40" t="str">
        <f>IF($J46="","",IFERROR(VLOOKUP($J46,Grinders!$A:$N,8,FALSE),""))</f>
        <v/>
      </c>
      <c r="R46" s="40" t="str">
        <f>IFERROR(IF($J46="","",IF($L46="Elite",MAX(50,MIN(100,Config!$B$27*MAX(0,MIN(100,(1-IF($O46="",0,$O46))*100)) + Config!$B$28*MAX(0,MIN(100,(1-MIN(1,IF(Config!$B$30=0,1,$P46/Config!$B$30)))*100)) + Config!$B$29*MAX(0,MIN(100,MIN(1,IF($Q46="",0,$Q46)/Config!$B$23)*100)))),MIN(100,Config!$B$27*MAX(0,MIN(100,(1-IF($O46="",0,$O46))*100)) + Config!$B$28*MAX(0,MIN(100,(1-MIN(1,IF(Config!$B$30=0,1,$P46/Config!$B$30)))*100)) + Config!$B$29*MAX(0,MIN(100,MIN(1,IF($Q46="",0,$Q46)/Config!$B$23)*100))))),"")
</f>
        <v/>
      </c>
      <c r="S46" s="40" t="str">
        <f>IF(Bids!$AC46="","",Bids!$AC46)</f>
        <v/>
      </c>
      <c r="T46" s="40" t="str">
        <f>IF(Bids!$F46="","",Bids!$F46)</f>
        <v/>
      </c>
      <c r="U46" s="40" t="str">
        <f t="shared" si="3"/>
        <v/>
      </c>
      <c r="V46" s="40" t="str">
        <f>IF($U46="","",IF(Config!$B$17=Config!$B$16,IF($U46&gt;=Config!$B$17,100,0),MAX(0,MIN(100,($U46-Config!$B$16)/(Config!$B$17-Config!$B$16)*100))))</f>
        <v/>
      </c>
      <c r="W46" s="40">
        <f>IF($L46="Elite",Config!$B$21,0)</f>
        <v>0</v>
      </c>
      <c r="X46" s="40" t="str">
        <f>IFERROR(IF(OR($T46="",$G46=""),"",IF($T46&gt;$G46,
  MAX(0, 60-(($T46-$G46)*24/Config!$B$19)*60),
  MEDIAN(60, 100, 60+(($G46-$T46)*24/Config!$B$20)*40)
)),"")
</f>
        <v/>
      </c>
      <c r="Y46" s="40" t="str">
        <f>IF($J46="","",IFERROR(VLOOKUP($J46,Grinders!$A:$N,10,FALSE),""))</f>
        <v/>
      </c>
      <c r="Z46" s="40" t="str">
        <f>IF($J46="","",IFERROR(VLOOKUP($J46,Grinders!$A:$N,11,FALSE),""))</f>
        <v/>
      </c>
      <c r="AA46" s="40" t="str">
        <f>IF($J46="","",IFERROR(VLOOKUP($J46,Grinders!$A:$N,12,FALSE),""))</f>
        <v/>
      </c>
      <c r="AB46" s="40" t="str">
        <f>IF(OR(AL46=1,AM46=1),0,=IFERROR(IF(OR($C46="",$J46=""),0,IF($D46&lt;&gt;"Open",0,IF(COUNTIFS(GrinderServices!$A:$A,$J46,GrinderServices!$B:$B,$E46,GrinderServices!$D:$D,"Y")=0,0,IF($U46&lt;Config!$B$16,0,IF(Config!$B$18=1,IF($N46&gt;=$M46,0,1),1))))),""))</f>
        <v>#ERROR!</v>
      </c>
      <c r="AC46" s="40" t="str">
        <f>IFERROR((IF(OR(AL46=1,AM46=1),"",=IFERROR((IFERROR(IF($AB46=0,"",((Config!$B$6*$V46 + Config!$B$7*$R46 + Config!$B$8*$W46 + Config!$B$9*$X46 + Config!$B$10*$Y46 + Config!$B$11*$Z46 - Config!$B$12*$AA46)/Config!$B$13)+$AH46+$AI46),""))*(1-IFERROR(VLOOKUP(J46,Grinders!$A:$AB, 28, FALSE),0)),"")))*(1+AO46),"")</f>
        <v>#ERROR!</v>
      </c>
      <c r="AD46" s="40" t="str">
        <f t="shared" si="4"/>
        <v/>
      </c>
      <c r="AE46" s="40" t="str">
        <f>IFERROR(__xludf.DUMMYFUNCTION("IF($AC46="""","""",IF($AC46=IFERROR(MAX(FILTER($AC$6:$AC$1000,$C$6:$C$1000=$C46,$AB$6:$AB$1000=1)),),""WINNER"",""""))"),"#ERROR!")</f>
        <v>#ERROR!</v>
      </c>
      <c r="AF46" s="40" t="str">
        <f t="shared" si="5"/>
        <v/>
      </c>
      <c r="AG46" s="40" t="str">
        <f>IF($J46="","",COUNTIF(Assignments!$B:$B,$J46))</f>
        <v/>
      </c>
      <c r="AH46" s="40" t="str">
        <f>IF($J46="","",IF(AND($AG46=0,$N46&lt;$M46),Config!$B$43,0))</f>
        <v/>
      </c>
      <c r="AI46" s="40" t="str">
        <f>IF($J46="","",IF(AND($L46="Elite",$F46&gt;=Config!$B$41,$N46&lt;$M46),Config!$B$42,0))</f>
        <v/>
      </c>
      <c r="AJ46" s="22"/>
      <c r="AK46" s="39">
        <f>IFERROR(VLOOKUP(J46,Grinders!$A:$Q,28,FALSE),0)</f>
        <v>0</v>
      </c>
      <c r="AL46" s="39">
        <f>IF(Config!$B$1003&lt;&gt;"Y",0,IF(IFERROR(VLOOKUP(J46,Grinders!$A:$P,27,FALSE),0)&gt;=3,IF(OR(F46&gt;=Config!$B$1001,ISNUMBER(SEARCH(E46,Config!$B$1002))),1,0),0))</f>
        <v>0</v>
      </c>
      <c r="AM46" s="39">
        <f t="array" ref="AM46">IFERROR(IF(INDEX(Bids!$AE:$AE,MATCH(B46,Bids!$A:$A,0))="Pending",1,0),0)</f>
        <v>0</v>
      </c>
      <c r="AN46" s="39" t="str">
        <f t="array" ref="AN46">IF(C46="","",IFERROR(XLOOKUP(C46,Assignments!$C:$C,Assignments!$AU:$AU,0),0))</f>
        <v/>
      </c>
      <c r="AO46" s="39">
        <f>IF(AND(Config!$B$1006="Y",AN46=1),Config!$B$1007,0)</f>
        <v>0</v>
      </c>
    </row>
    <row r="47" ht="15.75" customHeight="1">
      <c r="A47" s="46" t="str">
        <f t="shared" si="1"/>
        <v/>
      </c>
      <c r="B47" s="40" t="str">
        <f>IF(Bids!$A47="","",Bids!$A47)</f>
        <v/>
      </c>
      <c r="C47" s="40" t="str">
        <f>IF(Bids!$B47="","",Bids!$B47)</f>
        <v/>
      </c>
      <c r="D47" s="40" t="str">
        <f>IF($C47="","",IFERROR(VLOOKUP($C47,Orders!$A:$J,9,FALSE),""))</f>
        <v/>
      </c>
      <c r="E47" s="40" t="str">
        <f>IF($C47="","",IFERROR(VLOOKUP($C47,Orders!$A:$J,3,FALSE),""))</f>
        <v/>
      </c>
      <c r="F47" s="40" t="str">
        <f>IF($C47="","",IFERROR(VLOOKUP($C47,Orders!$A:$J,4,FALSE),""))</f>
        <v/>
      </c>
      <c r="G47" s="40" t="str">
        <f>IF($C47="","",IFERROR(VLOOKUP($C47,Orders!$A:$J,5,FALSE),""))</f>
        <v/>
      </c>
      <c r="H47" s="40" t="str">
        <f>IF($C47="","",IFERROR(VLOOKUP($C47,Orders!$A:$J,6,FALSE),""))</f>
        <v/>
      </c>
      <c r="I47" s="40" t="str">
        <f>IF($C47="","",IFERROR(VLOOKUP($C47,Orders!$A:$J,7,FALSE),""))</f>
        <v/>
      </c>
      <c r="J47" s="40" t="str">
        <f>IF(Bids!$C47="","",Bids!$C47)</f>
        <v/>
      </c>
      <c r="K47" s="40" t="str">
        <f>IF($J47="","",IFERROR(VLOOKUP($J47,Grinders!$A:$N,2,FALSE),""))</f>
        <v/>
      </c>
      <c r="L47" s="40" t="str">
        <f>IF($J47="","",IFERROR(VLOOKUP($J47,Grinders!$A:$N,3,FALSE),""))</f>
        <v/>
      </c>
      <c r="M47" s="40" t="str">
        <f>IF($J47="","",IFERROR(VLOOKUP($J47,Grinders!$A:$N,4,FALSE),""))</f>
        <v/>
      </c>
      <c r="N47" s="40" t="str">
        <f>IF($J47="","",IFERROR(VLOOKUP($J47,Grinders!$A:$N,5,FALSE),""))</f>
        <v/>
      </c>
      <c r="O47" s="40" t="str">
        <f t="shared" si="2"/>
        <v/>
      </c>
      <c r="P47" s="40" t="str">
        <f>IF($J47="","",IFERROR(VLOOKUP($J47,Grinders!$A:$N,6,FALSE),""))</f>
        <v/>
      </c>
      <c r="Q47" s="40" t="str">
        <f>IF($J47="","",IFERROR(VLOOKUP($J47,Grinders!$A:$N,8,FALSE),""))</f>
        <v/>
      </c>
      <c r="R47" s="40" t="str">
        <f>IFERROR(IF($J47="","",IF($L47="Elite",MAX(50,MIN(100,Config!$B$27*MAX(0,MIN(100,(1-IF($O47="",0,$O47))*100)) + Config!$B$28*MAX(0,MIN(100,(1-MIN(1,IF(Config!$B$30=0,1,$P47/Config!$B$30)))*100)) + Config!$B$29*MAX(0,MIN(100,MIN(1,IF($Q47="",0,$Q47)/Config!$B$23)*100)))),MIN(100,Config!$B$27*MAX(0,MIN(100,(1-IF($O47="",0,$O47))*100)) + Config!$B$28*MAX(0,MIN(100,(1-MIN(1,IF(Config!$B$30=0,1,$P47/Config!$B$30)))*100)) + Config!$B$29*MAX(0,MIN(100,MIN(1,IF($Q47="",0,$Q47)/Config!$B$23)*100))))),"")
</f>
        <v/>
      </c>
      <c r="S47" s="40" t="str">
        <f>IF(Bids!$AC47="","",Bids!$AC47)</f>
        <v/>
      </c>
      <c r="T47" s="40" t="str">
        <f>IF(Bids!$F47="","",Bids!$F47)</f>
        <v/>
      </c>
      <c r="U47" s="40" t="str">
        <f t="shared" si="3"/>
        <v/>
      </c>
      <c r="V47" s="40" t="str">
        <f>IF($U47="","",IF(Config!$B$17=Config!$B$16,IF($U47&gt;=Config!$B$17,100,0),MAX(0,MIN(100,($U47-Config!$B$16)/(Config!$B$17-Config!$B$16)*100))))</f>
        <v/>
      </c>
      <c r="W47" s="40">
        <f>IF($L47="Elite",Config!$B$21,0)</f>
        <v>0</v>
      </c>
      <c r="X47" s="40" t="str">
        <f>IFERROR(IF(OR($T47="",$G47=""),"",IF($T47&gt;$G47,
  MAX(0, 60-(($T47-$G47)*24/Config!$B$19)*60),
  MEDIAN(60, 100, 60+(($G47-$T47)*24/Config!$B$20)*40)
)),"")
</f>
        <v/>
      </c>
      <c r="Y47" s="40" t="str">
        <f>IF($J47="","",IFERROR(VLOOKUP($J47,Grinders!$A:$N,10,FALSE),""))</f>
        <v/>
      </c>
      <c r="Z47" s="40" t="str">
        <f>IF($J47="","",IFERROR(VLOOKUP($J47,Grinders!$A:$N,11,FALSE),""))</f>
        <v/>
      </c>
      <c r="AA47" s="40" t="str">
        <f>IF($J47="","",IFERROR(VLOOKUP($J47,Grinders!$A:$N,12,FALSE),""))</f>
        <v/>
      </c>
      <c r="AB47" s="40" t="str">
        <f>IF(OR(AL47=1,AM47=1),0,=IFERROR(IF(OR($C47="",$J47=""),0,IF($D47&lt;&gt;"Open",0,IF(COUNTIFS(GrinderServices!$A:$A,$J47,GrinderServices!$B:$B,$E47,GrinderServices!$D:$D,"Y")=0,0,IF($U47&lt;Config!$B$16,0,IF(Config!$B$18=1,IF($N47&gt;=$M47,0,1),1))))),""))</f>
        <v>#ERROR!</v>
      </c>
      <c r="AC47" s="40" t="str">
        <f>IFERROR((IF(OR(AL47=1,AM47=1),"",=IFERROR((IFERROR(IF($AB47=0,"",((Config!$B$6*$V47 + Config!$B$7*$R47 + Config!$B$8*$W47 + Config!$B$9*$X47 + Config!$B$10*$Y47 + Config!$B$11*$Z47 - Config!$B$12*$AA47)/Config!$B$13)+$AH47+$AI47),""))*(1-IFERROR(VLOOKUP(J47,Grinders!$A:$AB, 28, FALSE),0)),"")))*(1+AO47),"")</f>
        <v>#ERROR!</v>
      </c>
      <c r="AD47" s="40" t="str">
        <f t="shared" si="4"/>
        <v/>
      </c>
      <c r="AE47" s="40" t="str">
        <f>IFERROR(__xludf.DUMMYFUNCTION("IF($AC47="""","""",IF($AC47=IFERROR(MAX(FILTER($AC$6:$AC$1000,$C$6:$C$1000=$C47,$AB$6:$AB$1000=1)),),""WINNER"",""""))"),"#ERROR!")</f>
        <v>#ERROR!</v>
      </c>
      <c r="AF47" s="40" t="str">
        <f t="shared" si="5"/>
        <v/>
      </c>
      <c r="AG47" s="40" t="str">
        <f>IF($J47="","",COUNTIF(Assignments!$B:$B,$J47))</f>
        <v/>
      </c>
      <c r="AH47" s="40" t="str">
        <f>IF($J47="","",IF(AND($AG47=0,$N47&lt;$M47),Config!$B$43,0))</f>
        <v/>
      </c>
      <c r="AI47" s="40" t="str">
        <f>IF($J47="","",IF(AND($L47="Elite",$F47&gt;=Config!$B$41,$N47&lt;$M47),Config!$B$42,0))</f>
        <v/>
      </c>
      <c r="AJ47" s="22"/>
      <c r="AK47" s="39">
        <f>IFERROR(VLOOKUP(J47,Grinders!$A:$Q,28,FALSE),0)</f>
        <v>0</v>
      </c>
      <c r="AL47" s="39">
        <f>IF(Config!$B$1003&lt;&gt;"Y",0,IF(IFERROR(VLOOKUP(J47,Grinders!$A:$P,27,FALSE),0)&gt;=3,IF(OR(F47&gt;=Config!$B$1001,ISNUMBER(SEARCH(E47,Config!$B$1002))),1,0),0))</f>
        <v>0</v>
      </c>
      <c r="AM47" s="39">
        <f t="array" ref="AM47">IFERROR(IF(INDEX(Bids!$AE:$AE,MATCH(B47,Bids!$A:$A,0))="Pending",1,0),0)</f>
        <v>0</v>
      </c>
      <c r="AN47" s="39" t="str">
        <f t="array" ref="AN47">IF(C47="","",IFERROR(XLOOKUP(C47,Assignments!$C:$C,Assignments!$AU:$AU,0),0))</f>
        <v/>
      </c>
      <c r="AO47" s="39">
        <f>IF(AND(Config!$B$1006="Y",AN47=1),Config!$B$1007,0)</f>
        <v>0</v>
      </c>
    </row>
    <row r="48" ht="15.75" customHeight="1">
      <c r="A48" s="46" t="str">
        <f t="shared" si="1"/>
        <v/>
      </c>
      <c r="B48" s="40" t="str">
        <f>IF(Bids!$A48="","",Bids!$A48)</f>
        <v/>
      </c>
      <c r="C48" s="40" t="str">
        <f>IF(Bids!$B48="","",Bids!$B48)</f>
        <v/>
      </c>
      <c r="D48" s="40" t="str">
        <f>IF($C48="","",IFERROR(VLOOKUP($C48,Orders!$A:$J,9,FALSE),""))</f>
        <v/>
      </c>
      <c r="E48" s="40" t="str">
        <f>IF($C48="","",IFERROR(VLOOKUP($C48,Orders!$A:$J,3,FALSE),""))</f>
        <v/>
      </c>
      <c r="F48" s="40" t="str">
        <f>IF($C48="","",IFERROR(VLOOKUP($C48,Orders!$A:$J,4,FALSE),""))</f>
        <v/>
      </c>
      <c r="G48" s="40" t="str">
        <f>IF($C48="","",IFERROR(VLOOKUP($C48,Orders!$A:$J,5,FALSE),""))</f>
        <v/>
      </c>
      <c r="H48" s="40" t="str">
        <f>IF($C48="","",IFERROR(VLOOKUP($C48,Orders!$A:$J,6,FALSE),""))</f>
        <v/>
      </c>
      <c r="I48" s="40" t="str">
        <f>IF($C48="","",IFERROR(VLOOKUP($C48,Orders!$A:$J,7,FALSE),""))</f>
        <v/>
      </c>
      <c r="J48" s="40" t="str">
        <f>IF(Bids!$C48="","",Bids!$C48)</f>
        <v/>
      </c>
      <c r="K48" s="40" t="str">
        <f>IF($J48="","",IFERROR(VLOOKUP($J48,Grinders!$A:$N,2,FALSE),""))</f>
        <v/>
      </c>
      <c r="L48" s="40" t="str">
        <f>IF($J48="","",IFERROR(VLOOKUP($J48,Grinders!$A:$N,3,FALSE),""))</f>
        <v/>
      </c>
      <c r="M48" s="40" t="str">
        <f>IF($J48="","",IFERROR(VLOOKUP($J48,Grinders!$A:$N,4,FALSE),""))</f>
        <v/>
      </c>
      <c r="N48" s="40" t="str">
        <f>IF($J48="","",IFERROR(VLOOKUP($J48,Grinders!$A:$N,5,FALSE),""))</f>
        <v/>
      </c>
      <c r="O48" s="40" t="str">
        <f t="shared" si="2"/>
        <v/>
      </c>
      <c r="P48" s="40" t="str">
        <f>IF($J48="","",IFERROR(VLOOKUP($J48,Grinders!$A:$N,6,FALSE),""))</f>
        <v/>
      </c>
      <c r="Q48" s="40" t="str">
        <f>IF($J48="","",IFERROR(VLOOKUP($J48,Grinders!$A:$N,8,FALSE),""))</f>
        <v/>
      </c>
      <c r="R48" s="40" t="str">
        <f>IFERROR(IF($J48="","",IF($L48="Elite",MAX(50,MIN(100,Config!$B$27*MAX(0,MIN(100,(1-IF($O48="",0,$O48))*100)) + Config!$B$28*MAX(0,MIN(100,(1-MIN(1,IF(Config!$B$30=0,1,$P48/Config!$B$30)))*100)) + Config!$B$29*MAX(0,MIN(100,MIN(1,IF($Q48="",0,$Q48)/Config!$B$23)*100)))),MIN(100,Config!$B$27*MAX(0,MIN(100,(1-IF($O48="",0,$O48))*100)) + Config!$B$28*MAX(0,MIN(100,(1-MIN(1,IF(Config!$B$30=0,1,$P48/Config!$B$30)))*100)) + Config!$B$29*MAX(0,MIN(100,MIN(1,IF($Q48="",0,$Q48)/Config!$B$23)*100))))),"")
</f>
        <v/>
      </c>
      <c r="S48" s="40" t="str">
        <f>IF(Bids!$AC48="","",Bids!$AC48)</f>
        <v/>
      </c>
      <c r="T48" s="40" t="str">
        <f>IF(Bids!$F48="","",Bids!$F48)</f>
        <v/>
      </c>
      <c r="U48" s="40" t="str">
        <f t="shared" si="3"/>
        <v/>
      </c>
      <c r="V48" s="40" t="str">
        <f>IF($U48="","",IF(Config!$B$17=Config!$B$16,IF($U48&gt;=Config!$B$17,100,0),MAX(0,MIN(100,($U48-Config!$B$16)/(Config!$B$17-Config!$B$16)*100))))</f>
        <v/>
      </c>
      <c r="W48" s="40">
        <f>IF($L48="Elite",Config!$B$21,0)</f>
        <v>0</v>
      </c>
      <c r="X48" s="40" t="str">
        <f>IFERROR(IF(OR($T48="",$G48=""),"",IF($T48&gt;$G48,
  MAX(0, 60-(($T48-$G48)*24/Config!$B$19)*60),
  MEDIAN(60, 100, 60+(($G48-$T48)*24/Config!$B$20)*40)
)),"")
</f>
        <v/>
      </c>
      <c r="Y48" s="40" t="str">
        <f>IF($J48="","",IFERROR(VLOOKUP($J48,Grinders!$A:$N,10,FALSE),""))</f>
        <v/>
      </c>
      <c r="Z48" s="40" t="str">
        <f>IF($J48="","",IFERROR(VLOOKUP($J48,Grinders!$A:$N,11,FALSE),""))</f>
        <v/>
      </c>
      <c r="AA48" s="40" t="str">
        <f>IF($J48="","",IFERROR(VLOOKUP($J48,Grinders!$A:$N,12,FALSE),""))</f>
        <v/>
      </c>
      <c r="AB48" s="40" t="str">
        <f>IF(OR(AL48=1,AM48=1),0,=IFERROR(IF(OR($C48="",$J48=""),0,IF($D48&lt;&gt;"Open",0,IF(COUNTIFS(GrinderServices!$A:$A,$J48,GrinderServices!$B:$B,$E48,GrinderServices!$D:$D,"Y")=0,0,IF($U48&lt;Config!$B$16,0,IF(Config!$B$18=1,IF($N48&gt;=$M48,0,1),1))))),""))</f>
        <v>#ERROR!</v>
      </c>
      <c r="AC48" s="40" t="str">
        <f>IFERROR((IF(OR(AL48=1,AM48=1),"",=IFERROR((IFERROR(IF($AB48=0,"",((Config!$B$6*$V48 + Config!$B$7*$R48 + Config!$B$8*$W48 + Config!$B$9*$X48 + Config!$B$10*$Y48 + Config!$B$11*$Z48 - Config!$B$12*$AA48)/Config!$B$13)+$AH48+$AI48),""))*(1-IFERROR(VLOOKUP(J48,Grinders!$A:$AB, 28, FALSE),0)),"")))*(1+AO48),"")</f>
        <v>#ERROR!</v>
      </c>
      <c r="AD48" s="40" t="str">
        <f t="shared" si="4"/>
        <v/>
      </c>
      <c r="AE48" s="40" t="str">
        <f>IFERROR(__xludf.DUMMYFUNCTION("IF($AC48="""","""",IF($AC48=IFERROR(MAX(FILTER($AC$6:$AC$1000,$C$6:$C$1000=$C48,$AB$6:$AB$1000=1)),),""WINNER"",""""))"),"#ERROR!")</f>
        <v>#ERROR!</v>
      </c>
      <c r="AF48" s="40" t="str">
        <f t="shared" si="5"/>
        <v/>
      </c>
      <c r="AG48" s="40" t="str">
        <f>IF($J48="","",COUNTIF(Assignments!$B:$B,$J48))</f>
        <v/>
      </c>
      <c r="AH48" s="40" t="str">
        <f>IF($J48="","",IF(AND($AG48=0,$N48&lt;$M48),Config!$B$43,0))</f>
        <v/>
      </c>
      <c r="AI48" s="40" t="str">
        <f>IF($J48="","",IF(AND($L48="Elite",$F48&gt;=Config!$B$41,$N48&lt;$M48),Config!$B$42,0))</f>
        <v/>
      </c>
      <c r="AJ48" s="22"/>
      <c r="AK48" s="39">
        <f>IFERROR(VLOOKUP(J48,Grinders!$A:$Q,28,FALSE),0)</f>
        <v>0</v>
      </c>
      <c r="AL48" s="39">
        <f>IF(Config!$B$1003&lt;&gt;"Y",0,IF(IFERROR(VLOOKUP(J48,Grinders!$A:$P,27,FALSE),0)&gt;=3,IF(OR(F48&gt;=Config!$B$1001,ISNUMBER(SEARCH(E48,Config!$B$1002))),1,0),0))</f>
        <v>0</v>
      </c>
      <c r="AM48" s="39">
        <f t="array" ref="AM48">IFERROR(IF(INDEX(Bids!$AE:$AE,MATCH(B48,Bids!$A:$A,0))="Pending",1,0),0)</f>
        <v>0</v>
      </c>
      <c r="AN48" s="39" t="str">
        <f t="array" ref="AN48">IF(C48="","",IFERROR(XLOOKUP(C48,Assignments!$C:$C,Assignments!$AU:$AU,0),0))</f>
        <v/>
      </c>
      <c r="AO48" s="39">
        <f>IF(AND(Config!$B$1006="Y",AN48=1),Config!$B$1007,0)</f>
        <v>0</v>
      </c>
    </row>
    <row r="49" ht="15.75" customHeight="1">
      <c r="A49" s="46" t="str">
        <f t="shared" si="1"/>
        <v/>
      </c>
      <c r="B49" s="40" t="str">
        <f>IF(Bids!$A49="","",Bids!$A49)</f>
        <v/>
      </c>
      <c r="C49" s="40" t="str">
        <f>IF(Bids!$B49="","",Bids!$B49)</f>
        <v/>
      </c>
      <c r="D49" s="40" t="str">
        <f>IF($C49="","",IFERROR(VLOOKUP($C49,Orders!$A:$J,9,FALSE),""))</f>
        <v/>
      </c>
      <c r="E49" s="40" t="str">
        <f>IF($C49="","",IFERROR(VLOOKUP($C49,Orders!$A:$J,3,FALSE),""))</f>
        <v/>
      </c>
      <c r="F49" s="40" t="str">
        <f>IF($C49="","",IFERROR(VLOOKUP($C49,Orders!$A:$J,4,FALSE),""))</f>
        <v/>
      </c>
      <c r="G49" s="40" t="str">
        <f>IF($C49="","",IFERROR(VLOOKUP($C49,Orders!$A:$J,5,FALSE),""))</f>
        <v/>
      </c>
      <c r="H49" s="40" t="str">
        <f>IF($C49="","",IFERROR(VLOOKUP($C49,Orders!$A:$J,6,FALSE),""))</f>
        <v/>
      </c>
      <c r="I49" s="40" t="str">
        <f>IF($C49="","",IFERROR(VLOOKUP($C49,Orders!$A:$J,7,FALSE),""))</f>
        <v/>
      </c>
      <c r="J49" s="40" t="str">
        <f>IF(Bids!$C49="","",Bids!$C49)</f>
        <v/>
      </c>
      <c r="K49" s="40" t="str">
        <f>IF($J49="","",IFERROR(VLOOKUP($J49,Grinders!$A:$N,2,FALSE),""))</f>
        <v/>
      </c>
      <c r="L49" s="40" t="str">
        <f>IF($J49="","",IFERROR(VLOOKUP($J49,Grinders!$A:$N,3,FALSE),""))</f>
        <v/>
      </c>
      <c r="M49" s="40" t="str">
        <f>IF($J49="","",IFERROR(VLOOKUP($J49,Grinders!$A:$N,4,FALSE),""))</f>
        <v/>
      </c>
      <c r="N49" s="40" t="str">
        <f>IF($J49="","",IFERROR(VLOOKUP($J49,Grinders!$A:$N,5,FALSE),""))</f>
        <v/>
      </c>
      <c r="O49" s="40" t="str">
        <f t="shared" si="2"/>
        <v/>
      </c>
      <c r="P49" s="40" t="str">
        <f>IF($J49="","",IFERROR(VLOOKUP($J49,Grinders!$A:$N,6,FALSE),""))</f>
        <v/>
      </c>
      <c r="Q49" s="40" t="str">
        <f>IF($J49="","",IFERROR(VLOOKUP($J49,Grinders!$A:$N,8,FALSE),""))</f>
        <v/>
      </c>
      <c r="R49" s="40" t="str">
        <f>IFERROR(IF($J49="","",IF($L49="Elite",MAX(50,MIN(100,Config!$B$27*MAX(0,MIN(100,(1-IF($O49="",0,$O49))*100)) + Config!$B$28*MAX(0,MIN(100,(1-MIN(1,IF(Config!$B$30=0,1,$P49/Config!$B$30)))*100)) + Config!$B$29*MAX(0,MIN(100,MIN(1,IF($Q49="",0,$Q49)/Config!$B$23)*100)))),MIN(100,Config!$B$27*MAX(0,MIN(100,(1-IF($O49="",0,$O49))*100)) + Config!$B$28*MAX(0,MIN(100,(1-MIN(1,IF(Config!$B$30=0,1,$P49/Config!$B$30)))*100)) + Config!$B$29*MAX(0,MIN(100,MIN(1,IF($Q49="",0,$Q49)/Config!$B$23)*100))))),"")
</f>
        <v/>
      </c>
      <c r="S49" s="40" t="str">
        <f>IF(Bids!$AC49="","",Bids!$AC49)</f>
        <v/>
      </c>
      <c r="T49" s="40" t="str">
        <f>IF(Bids!$F49="","",Bids!$F49)</f>
        <v/>
      </c>
      <c r="U49" s="40" t="str">
        <f t="shared" si="3"/>
        <v/>
      </c>
      <c r="V49" s="40" t="str">
        <f>IF($U49="","",IF(Config!$B$17=Config!$B$16,IF($U49&gt;=Config!$B$17,100,0),MAX(0,MIN(100,($U49-Config!$B$16)/(Config!$B$17-Config!$B$16)*100))))</f>
        <v/>
      </c>
      <c r="W49" s="40">
        <f>IF($L49="Elite",Config!$B$21,0)</f>
        <v>0</v>
      </c>
      <c r="X49" s="40" t="str">
        <f>IFERROR(IF(OR($T49="",$G49=""),"",IF($T49&gt;$G49,
  MAX(0, 60-(($T49-$G49)*24/Config!$B$19)*60),
  MEDIAN(60, 100, 60+(($G49-$T49)*24/Config!$B$20)*40)
)),"")
</f>
        <v/>
      </c>
      <c r="Y49" s="40" t="str">
        <f>IF($J49="","",IFERROR(VLOOKUP($J49,Grinders!$A:$N,10,FALSE),""))</f>
        <v/>
      </c>
      <c r="Z49" s="40" t="str">
        <f>IF($J49="","",IFERROR(VLOOKUP($J49,Grinders!$A:$N,11,FALSE),""))</f>
        <v/>
      </c>
      <c r="AA49" s="40" t="str">
        <f>IF($J49="","",IFERROR(VLOOKUP($J49,Grinders!$A:$N,12,FALSE),""))</f>
        <v/>
      </c>
      <c r="AB49" s="40" t="str">
        <f>IF(OR(AL49=1,AM49=1),0,=IFERROR(IF(OR($C49="",$J49=""),0,IF($D49&lt;&gt;"Open",0,IF(COUNTIFS(GrinderServices!$A:$A,$J49,GrinderServices!$B:$B,$E49,GrinderServices!$D:$D,"Y")=0,0,IF($U49&lt;Config!$B$16,0,IF(Config!$B$18=1,IF($N49&gt;=$M49,0,1),1))))),""))</f>
        <v>#ERROR!</v>
      </c>
      <c r="AC49" s="40" t="str">
        <f>IFERROR((IF(OR(AL49=1,AM49=1),"",=IFERROR((IFERROR(IF($AB49=0,"",((Config!$B$6*$V49 + Config!$B$7*$R49 + Config!$B$8*$W49 + Config!$B$9*$X49 + Config!$B$10*$Y49 + Config!$B$11*$Z49 - Config!$B$12*$AA49)/Config!$B$13)+$AH49+$AI49),""))*(1-IFERROR(VLOOKUP(J49,Grinders!$A:$AB, 28, FALSE),0)),"")))*(1+AO49),"")</f>
        <v>#ERROR!</v>
      </c>
      <c r="AD49" s="40" t="str">
        <f t="shared" si="4"/>
        <v/>
      </c>
      <c r="AE49" s="40" t="str">
        <f>IFERROR(__xludf.DUMMYFUNCTION("IF($AC49="""","""",IF($AC49=IFERROR(MAX(FILTER($AC$6:$AC$1000,$C$6:$C$1000=$C49,$AB$6:$AB$1000=1)),),""WINNER"",""""))"),"#ERROR!")</f>
        <v>#ERROR!</v>
      </c>
      <c r="AF49" s="40" t="str">
        <f t="shared" si="5"/>
        <v/>
      </c>
      <c r="AG49" s="40" t="str">
        <f>IF($J49="","",COUNTIF(Assignments!$B:$B,$J49))</f>
        <v/>
      </c>
      <c r="AH49" s="40" t="str">
        <f>IF($J49="","",IF(AND($AG49=0,$N49&lt;$M49),Config!$B$43,0))</f>
        <v/>
      </c>
      <c r="AI49" s="40" t="str">
        <f>IF($J49="","",IF(AND($L49="Elite",$F49&gt;=Config!$B$41,$N49&lt;$M49),Config!$B$42,0))</f>
        <v/>
      </c>
      <c r="AJ49" s="22"/>
      <c r="AK49" s="39">
        <f>IFERROR(VLOOKUP(J49,Grinders!$A:$Q,28,FALSE),0)</f>
        <v>0</v>
      </c>
      <c r="AL49" s="39">
        <f>IF(Config!$B$1003&lt;&gt;"Y",0,IF(IFERROR(VLOOKUP(J49,Grinders!$A:$P,27,FALSE),0)&gt;=3,IF(OR(F49&gt;=Config!$B$1001,ISNUMBER(SEARCH(E49,Config!$B$1002))),1,0),0))</f>
        <v>0</v>
      </c>
      <c r="AM49" s="39">
        <f t="array" ref="AM49">IFERROR(IF(INDEX(Bids!$AE:$AE,MATCH(B49,Bids!$A:$A,0))="Pending",1,0),0)</f>
        <v>0</v>
      </c>
      <c r="AN49" s="39" t="str">
        <f t="array" ref="AN49">IF(C49="","",IFERROR(XLOOKUP(C49,Assignments!$C:$C,Assignments!$AU:$AU,0),0))</f>
        <v/>
      </c>
      <c r="AO49" s="39">
        <f>IF(AND(Config!$B$1006="Y",AN49=1),Config!$B$1007,0)</f>
        <v>0</v>
      </c>
    </row>
    <row r="50" ht="15.75" customHeight="1">
      <c r="A50" s="46" t="str">
        <f t="shared" si="1"/>
        <v/>
      </c>
      <c r="B50" s="40" t="str">
        <f>IF(Bids!$A50="","",Bids!$A50)</f>
        <v/>
      </c>
      <c r="C50" s="40" t="str">
        <f>IF(Bids!$B50="","",Bids!$B50)</f>
        <v/>
      </c>
      <c r="D50" s="40" t="str">
        <f>IF($C50="","",IFERROR(VLOOKUP($C50,Orders!$A:$J,9,FALSE),""))</f>
        <v/>
      </c>
      <c r="E50" s="40" t="str">
        <f>IF($C50="","",IFERROR(VLOOKUP($C50,Orders!$A:$J,3,FALSE),""))</f>
        <v/>
      </c>
      <c r="F50" s="40" t="str">
        <f>IF($C50="","",IFERROR(VLOOKUP($C50,Orders!$A:$J,4,FALSE),""))</f>
        <v/>
      </c>
      <c r="G50" s="40" t="str">
        <f>IF($C50="","",IFERROR(VLOOKUP($C50,Orders!$A:$J,5,FALSE),""))</f>
        <v/>
      </c>
      <c r="H50" s="40" t="str">
        <f>IF($C50="","",IFERROR(VLOOKUP($C50,Orders!$A:$J,6,FALSE),""))</f>
        <v/>
      </c>
      <c r="I50" s="40" t="str">
        <f>IF($C50="","",IFERROR(VLOOKUP($C50,Orders!$A:$J,7,FALSE),""))</f>
        <v/>
      </c>
      <c r="J50" s="40" t="str">
        <f>IF(Bids!$C50="","",Bids!$C50)</f>
        <v/>
      </c>
      <c r="K50" s="40" t="str">
        <f>IF($J50="","",IFERROR(VLOOKUP($J50,Grinders!$A:$N,2,FALSE),""))</f>
        <v/>
      </c>
      <c r="L50" s="40" t="str">
        <f>IF($J50="","",IFERROR(VLOOKUP($J50,Grinders!$A:$N,3,FALSE),""))</f>
        <v/>
      </c>
      <c r="M50" s="40" t="str">
        <f>IF($J50="","",IFERROR(VLOOKUP($J50,Grinders!$A:$N,4,FALSE),""))</f>
        <v/>
      </c>
      <c r="N50" s="40" t="str">
        <f>IF($J50="","",IFERROR(VLOOKUP($J50,Grinders!$A:$N,5,FALSE),""))</f>
        <v/>
      </c>
      <c r="O50" s="40" t="str">
        <f t="shared" si="2"/>
        <v/>
      </c>
      <c r="P50" s="40" t="str">
        <f>IF($J50="","",IFERROR(VLOOKUP($J50,Grinders!$A:$N,6,FALSE),""))</f>
        <v/>
      </c>
      <c r="Q50" s="40" t="str">
        <f>IF($J50="","",IFERROR(VLOOKUP($J50,Grinders!$A:$N,8,FALSE),""))</f>
        <v/>
      </c>
      <c r="R50" s="40" t="str">
        <f>IFERROR(IF($J50="","",IF($L50="Elite",MAX(50,MIN(100,Config!$B$27*MAX(0,MIN(100,(1-IF($O50="",0,$O50))*100)) + Config!$B$28*MAX(0,MIN(100,(1-MIN(1,IF(Config!$B$30=0,1,$P50/Config!$B$30)))*100)) + Config!$B$29*MAX(0,MIN(100,MIN(1,IF($Q50="",0,$Q50)/Config!$B$23)*100)))),MIN(100,Config!$B$27*MAX(0,MIN(100,(1-IF($O50="",0,$O50))*100)) + Config!$B$28*MAX(0,MIN(100,(1-MIN(1,IF(Config!$B$30=0,1,$P50/Config!$B$30)))*100)) + Config!$B$29*MAX(0,MIN(100,MIN(1,IF($Q50="",0,$Q50)/Config!$B$23)*100))))),"")
</f>
        <v/>
      </c>
      <c r="S50" s="40" t="str">
        <f>IF(Bids!$AC50="","",Bids!$AC50)</f>
        <v/>
      </c>
      <c r="T50" s="40" t="str">
        <f>IF(Bids!$F50="","",Bids!$F50)</f>
        <v/>
      </c>
      <c r="U50" s="40" t="str">
        <f t="shared" si="3"/>
        <v/>
      </c>
      <c r="V50" s="40" t="str">
        <f>IF($U50="","",IF(Config!$B$17=Config!$B$16,IF($U50&gt;=Config!$B$17,100,0),MAX(0,MIN(100,($U50-Config!$B$16)/(Config!$B$17-Config!$B$16)*100))))</f>
        <v/>
      </c>
      <c r="W50" s="40">
        <f>IF($L50="Elite",Config!$B$21,0)</f>
        <v>0</v>
      </c>
      <c r="X50" s="40" t="str">
        <f>IFERROR(IF(OR($T50="",$G50=""),"",IF($T50&gt;$G50,
  MAX(0, 60-(($T50-$G50)*24/Config!$B$19)*60),
  MEDIAN(60, 100, 60+(($G50-$T50)*24/Config!$B$20)*40)
)),"")
</f>
        <v/>
      </c>
      <c r="Y50" s="40" t="str">
        <f>IF($J50="","",IFERROR(VLOOKUP($J50,Grinders!$A:$N,10,FALSE),""))</f>
        <v/>
      </c>
      <c r="Z50" s="40" t="str">
        <f>IF($J50="","",IFERROR(VLOOKUP($J50,Grinders!$A:$N,11,FALSE),""))</f>
        <v/>
      </c>
      <c r="AA50" s="40" t="str">
        <f>IF($J50="","",IFERROR(VLOOKUP($J50,Grinders!$A:$N,12,FALSE),""))</f>
        <v/>
      </c>
      <c r="AB50" s="40" t="str">
        <f>IF(OR(AL50=1,AM50=1),0,=IFERROR(IF(OR($C50="",$J50=""),0,IF($D50&lt;&gt;"Open",0,IF(COUNTIFS(GrinderServices!$A:$A,$J50,GrinderServices!$B:$B,$E50,GrinderServices!$D:$D,"Y")=0,0,IF($U50&lt;Config!$B$16,0,IF(Config!$B$18=1,IF($N50&gt;=$M50,0,1),1))))),""))</f>
        <v>#ERROR!</v>
      </c>
      <c r="AC50" s="40" t="str">
        <f>IFERROR((IF(OR(AL50=1,AM50=1),"",=IFERROR((IFERROR(IF($AB50=0,"",((Config!$B$6*$V50 + Config!$B$7*$R50 + Config!$B$8*$W50 + Config!$B$9*$X50 + Config!$B$10*$Y50 + Config!$B$11*$Z50 - Config!$B$12*$AA50)/Config!$B$13)+$AH50+$AI50),""))*(1-IFERROR(VLOOKUP(J50,Grinders!$A:$AB, 28, FALSE),0)),"")))*(1+AO50),"")</f>
        <v>#ERROR!</v>
      </c>
      <c r="AD50" s="40" t="str">
        <f t="shared" si="4"/>
        <v/>
      </c>
      <c r="AE50" s="40" t="str">
        <f>IFERROR(__xludf.DUMMYFUNCTION("IF($AC50="""","""",IF($AC50=IFERROR(MAX(FILTER($AC$6:$AC$1000,$C$6:$C$1000=$C50,$AB$6:$AB$1000=1)),),""WINNER"",""""))"),"#ERROR!")</f>
        <v>#ERROR!</v>
      </c>
      <c r="AF50" s="40" t="str">
        <f t="shared" si="5"/>
        <v/>
      </c>
      <c r="AG50" s="40" t="str">
        <f>IF($J50="","",COUNTIF(Assignments!$B:$B,$J50))</f>
        <v/>
      </c>
      <c r="AH50" s="40" t="str">
        <f>IF($J50="","",IF(AND($AG50=0,$N50&lt;$M50),Config!$B$43,0))</f>
        <v/>
      </c>
      <c r="AI50" s="40" t="str">
        <f>IF($J50="","",IF(AND($L50="Elite",$F50&gt;=Config!$B$41,$N50&lt;$M50),Config!$B$42,0))</f>
        <v/>
      </c>
      <c r="AJ50" s="22"/>
      <c r="AK50" s="39">
        <f>IFERROR(VLOOKUP(J50,Grinders!$A:$Q,28,FALSE),0)</f>
        <v>0</v>
      </c>
      <c r="AL50" s="39">
        <f>IF(Config!$B$1003&lt;&gt;"Y",0,IF(IFERROR(VLOOKUP(J50,Grinders!$A:$P,27,FALSE),0)&gt;=3,IF(OR(F50&gt;=Config!$B$1001,ISNUMBER(SEARCH(E50,Config!$B$1002))),1,0),0))</f>
        <v>0</v>
      </c>
      <c r="AM50" s="39">
        <f t="array" ref="AM50">IFERROR(IF(INDEX(Bids!$AE:$AE,MATCH(B50,Bids!$A:$A,0))="Pending",1,0),0)</f>
        <v>0</v>
      </c>
      <c r="AN50" s="39" t="str">
        <f t="array" ref="AN50">IF(C50="","",IFERROR(XLOOKUP(C50,Assignments!$C:$C,Assignments!$AU:$AU,0),0))</f>
        <v/>
      </c>
      <c r="AO50" s="39">
        <f>IF(AND(Config!$B$1006="Y",AN50=1),Config!$B$1007,0)</f>
        <v>0</v>
      </c>
    </row>
    <row r="51" ht="15.75" customHeight="1">
      <c r="A51" s="46" t="str">
        <f t="shared" si="1"/>
        <v/>
      </c>
      <c r="B51" s="40" t="str">
        <f>IF(Bids!$A51="","",Bids!$A51)</f>
        <v/>
      </c>
      <c r="C51" s="40" t="str">
        <f>IF(Bids!$B51="","",Bids!$B51)</f>
        <v/>
      </c>
      <c r="D51" s="40" t="str">
        <f>IF($C51="","",IFERROR(VLOOKUP($C51,Orders!$A:$J,9,FALSE),""))</f>
        <v/>
      </c>
      <c r="E51" s="40" t="str">
        <f>IF($C51="","",IFERROR(VLOOKUP($C51,Orders!$A:$J,3,FALSE),""))</f>
        <v/>
      </c>
      <c r="F51" s="40" t="str">
        <f>IF($C51="","",IFERROR(VLOOKUP($C51,Orders!$A:$J,4,FALSE),""))</f>
        <v/>
      </c>
      <c r="G51" s="40" t="str">
        <f>IF($C51="","",IFERROR(VLOOKUP($C51,Orders!$A:$J,5,FALSE),""))</f>
        <v/>
      </c>
      <c r="H51" s="40" t="str">
        <f>IF($C51="","",IFERROR(VLOOKUP($C51,Orders!$A:$J,6,FALSE),""))</f>
        <v/>
      </c>
      <c r="I51" s="40" t="str">
        <f>IF($C51="","",IFERROR(VLOOKUP($C51,Orders!$A:$J,7,FALSE),""))</f>
        <v/>
      </c>
      <c r="J51" s="40" t="str">
        <f>IF(Bids!$C51="","",Bids!$C51)</f>
        <v/>
      </c>
      <c r="K51" s="40" t="str">
        <f>IF($J51="","",IFERROR(VLOOKUP($J51,Grinders!$A:$N,2,FALSE),""))</f>
        <v/>
      </c>
      <c r="L51" s="40" t="str">
        <f>IF($J51="","",IFERROR(VLOOKUP($J51,Grinders!$A:$N,3,FALSE),""))</f>
        <v/>
      </c>
      <c r="M51" s="40" t="str">
        <f>IF($J51="","",IFERROR(VLOOKUP($J51,Grinders!$A:$N,4,FALSE),""))</f>
        <v/>
      </c>
      <c r="N51" s="40" t="str">
        <f>IF($J51="","",IFERROR(VLOOKUP($J51,Grinders!$A:$N,5,FALSE),""))</f>
        <v/>
      </c>
      <c r="O51" s="40" t="str">
        <f t="shared" si="2"/>
        <v/>
      </c>
      <c r="P51" s="40" t="str">
        <f>IF($J51="","",IFERROR(VLOOKUP($J51,Grinders!$A:$N,6,FALSE),""))</f>
        <v/>
      </c>
      <c r="Q51" s="40" t="str">
        <f>IF($J51="","",IFERROR(VLOOKUP($J51,Grinders!$A:$N,8,FALSE),""))</f>
        <v/>
      </c>
      <c r="R51" s="40" t="str">
        <f>IFERROR(IF($J51="","",IF($L51="Elite",MAX(50,MIN(100,Config!$B$27*MAX(0,MIN(100,(1-IF($O51="",0,$O51))*100)) + Config!$B$28*MAX(0,MIN(100,(1-MIN(1,IF(Config!$B$30=0,1,$P51/Config!$B$30)))*100)) + Config!$B$29*MAX(0,MIN(100,MIN(1,IF($Q51="",0,$Q51)/Config!$B$23)*100)))),MIN(100,Config!$B$27*MAX(0,MIN(100,(1-IF($O51="",0,$O51))*100)) + Config!$B$28*MAX(0,MIN(100,(1-MIN(1,IF(Config!$B$30=0,1,$P51/Config!$B$30)))*100)) + Config!$B$29*MAX(0,MIN(100,MIN(1,IF($Q51="",0,$Q51)/Config!$B$23)*100))))),"")
</f>
        <v/>
      </c>
      <c r="S51" s="40" t="str">
        <f>IF(Bids!$AC51="","",Bids!$AC51)</f>
        <v/>
      </c>
      <c r="T51" s="40" t="str">
        <f>IF(Bids!$F51="","",Bids!$F51)</f>
        <v/>
      </c>
      <c r="U51" s="40" t="str">
        <f t="shared" si="3"/>
        <v/>
      </c>
      <c r="V51" s="40" t="str">
        <f>IF($U51="","",IF(Config!$B$17=Config!$B$16,IF($U51&gt;=Config!$B$17,100,0),MAX(0,MIN(100,($U51-Config!$B$16)/(Config!$B$17-Config!$B$16)*100))))</f>
        <v/>
      </c>
      <c r="W51" s="40">
        <f>IF($L51="Elite",Config!$B$21,0)</f>
        <v>0</v>
      </c>
      <c r="X51" s="40" t="str">
        <f>IFERROR(IF(OR($T51="",$G51=""),"",IF($T51&gt;$G51,
  MAX(0, 60-(($T51-$G51)*24/Config!$B$19)*60),
  MEDIAN(60, 100, 60+(($G51-$T51)*24/Config!$B$20)*40)
)),"")
</f>
        <v/>
      </c>
      <c r="Y51" s="40" t="str">
        <f>IF($J51="","",IFERROR(VLOOKUP($J51,Grinders!$A:$N,10,FALSE),""))</f>
        <v/>
      </c>
      <c r="Z51" s="40" t="str">
        <f>IF($J51="","",IFERROR(VLOOKUP($J51,Grinders!$A:$N,11,FALSE),""))</f>
        <v/>
      </c>
      <c r="AA51" s="40" t="str">
        <f>IF($J51="","",IFERROR(VLOOKUP($J51,Grinders!$A:$N,12,FALSE),""))</f>
        <v/>
      </c>
      <c r="AB51" s="40" t="str">
        <f>IF(OR(AL51=1,AM51=1),0,=IFERROR(IF(OR($C51="",$J51=""),0,IF($D51&lt;&gt;"Open",0,IF(COUNTIFS(GrinderServices!$A:$A,$J51,GrinderServices!$B:$B,$E51,GrinderServices!$D:$D,"Y")=0,0,IF($U51&lt;Config!$B$16,0,IF(Config!$B$18=1,IF($N51&gt;=$M51,0,1),1))))),""))</f>
        <v>#ERROR!</v>
      </c>
      <c r="AC51" s="40" t="str">
        <f>IFERROR((IF(OR(AL51=1,AM51=1),"",=IFERROR((IFERROR(IF($AB51=0,"",((Config!$B$6*$V51 + Config!$B$7*$R51 + Config!$B$8*$W51 + Config!$B$9*$X51 + Config!$B$10*$Y51 + Config!$B$11*$Z51 - Config!$B$12*$AA51)/Config!$B$13)+$AH51+$AI51),""))*(1-IFERROR(VLOOKUP(J51,Grinders!$A:$AB, 28, FALSE),0)),"")))*(1+AO51),"")</f>
        <v>#ERROR!</v>
      </c>
      <c r="AD51" s="40" t="str">
        <f t="shared" si="4"/>
        <v/>
      </c>
      <c r="AE51" s="40" t="str">
        <f>IFERROR(__xludf.DUMMYFUNCTION("IF($AC51="""","""",IF($AC51=IFERROR(MAX(FILTER($AC$6:$AC$1000,$C$6:$C$1000=$C51,$AB$6:$AB$1000=1)),),""WINNER"",""""))"),"#ERROR!")</f>
        <v>#ERROR!</v>
      </c>
      <c r="AF51" s="40" t="str">
        <f t="shared" si="5"/>
        <v/>
      </c>
      <c r="AG51" s="40" t="str">
        <f>IF($J51="","",COUNTIF(Assignments!$B:$B,$J51))</f>
        <v/>
      </c>
      <c r="AH51" s="40" t="str">
        <f>IF($J51="","",IF(AND($AG51=0,$N51&lt;$M51),Config!$B$43,0))</f>
        <v/>
      </c>
      <c r="AI51" s="40" t="str">
        <f>IF($J51="","",IF(AND($L51="Elite",$F51&gt;=Config!$B$41,$N51&lt;$M51),Config!$B$42,0))</f>
        <v/>
      </c>
      <c r="AJ51" s="22"/>
      <c r="AK51" s="39">
        <f>IFERROR(VLOOKUP(J51,Grinders!$A:$Q,28,FALSE),0)</f>
        <v>0</v>
      </c>
      <c r="AL51" s="39">
        <f>IF(Config!$B$1003&lt;&gt;"Y",0,IF(IFERROR(VLOOKUP(J51,Grinders!$A:$P,27,FALSE),0)&gt;=3,IF(OR(F51&gt;=Config!$B$1001,ISNUMBER(SEARCH(E51,Config!$B$1002))),1,0),0))</f>
        <v>0</v>
      </c>
      <c r="AM51" s="39">
        <f t="array" ref="AM51">IFERROR(IF(INDEX(Bids!$AE:$AE,MATCH(B51,Bids!$A:$A,0))="Pending",1,0),0)</f>
        <v>0</v>
      </c>
      <c r="AN51" s="39" t="str">
        <f t="array" ref="AN51">IF(C51="","",IFERROR(XLOOKUP(C51,Assignments!$C:$C,Assignments!$AU:$AU,0),0))</f>
        <v/>
      </c>
      <c r="AO51" s="39">
        <f>IF(AND(Config!$B$1006="Y",AN51=1),Config!$B$1007,0)</f>
        <v>0</v>
      </c>
    </row>
    <row r="52" ht="15.75" customHeight="1">
      <c r="A52" s="46" t="str">
        <f t="shared" si="1"/>
        <v/>
      </c>
      <c r="B52" s="40" t="str">
        <f>IF(Bids!$A52="","",Bids!$A52)</f>
        <v/>
      </c>
      <c r="C52" s="40" t="str">
        <f>IF(Bids!$B52="","",Bids!$B52)</f>
        <v/>
      </c>
      <c r="D52" s="40" t="str">
        <f>IF($C52="","",IFERROR(VLOOKUP($C52,Orders!$A:$J,9,FALSE),""))</f>
        <v/>
      </c>
      <c r="E52" s="40" t="str">
        <f>IF($C52="","",IFERROR(VLOOKUP($C52,Orders!$A:$J,3,FALSE),""))</f>
        <v/>
      </c>
      <c r="F52" s="40" t="str">
        <f>IF($C52="","",IFERROR(VLOOKUP($C52,Orders!$A:$J,4,FALSE),""))</f>
        <v/>
      </c>
      <c r="G52" s="40" t="str">
        <f>IF($C52="","",IFERROR(VLOOKUP($C52,Orders!$A:$J,5,FALSE),""))</f>
        <v/>
      </c>
      <c r="H52" s="40" t="str">
        <f>IF($C52="","",IFERROR(VLOOKUP($C52,Orders!$A:$J,6,FALSE),""))</f>
        <v/>
      </c>
      <c r="I52" s="40" t="str">
        <f>IF($C52="","",IFERROR(VLOOKUP($C52,Orders!$A:$J,7,FALSE),""))</f>
        <v/>
      </c>
      <c r="J52" s="40" t="str">
        <f>IF(Bids!$C52="","",Bids!$C52)</f>
        <v/>
      </c>
      <c r="K52" s="40" t="str">
        <f>IF($J52="","",IFERROR(VLOOKUP($J52,Grinders!$A:$N,2,FALSE),""))</f>
        <v/>
      </c>
      <c r="L52" s="40" t="str">
        <f>IF($J52="","",IFERROR(VLOOKUP($J52,Grinders!$A:$N,3,FALSE),""))</f>
        <v/>
      </c>
      <c r="M52" s="40" t="str">
        <f>IF($J52="","",IFERROR(VLOOKUP($J52,Grinders!$A:$N,4,FALSE),""))</f>
        <v/>
      </c>
      <c r="N52" s="40" t="str">
        <f>IF($J52="","",IFERROR(VLOOKUP($J52,Grinders!$A:$N,5,FALSE),""))</f>
        <v/>
      </c>
      <c r="O52" s="40" t="str">
        <f t="shared" si="2"/>
        <v/>
      </c>
      <c r="P52" s="40" t="str">
        <f>IF($J52="","",IFERROR(VLOOKUP($J52,Grinders!$A:$N,6,FALSE),""))</f>
        <v/>
      </c>
      <c r="Q52" s="40" t="str">
        <f>IF($J52="","",IFERROR(VLOOKUP($J52,Grinders!$A:$N,8,FALSE),""))</f>
        <v/>
      </c>
      <c r="R52" s="40" t="str">
        <f>IFERROR(IF($J52="","",IF($L52="Elite",MAX(50,MIN(100,Config!$B$27*MAX(0,MIN(100,(1-IF($O52="",0,$O52))*100)) + Config!$B$28*MAX(0,MIN(100,(1-MIN(1,IF(Config!$B$30=0,1,$P52/Config!$B$30)))*100)) + Config!$B$29*MAX(0,MIN(100,MIN(1,IF($Q52="",0,$Q52)/Config!$B$23)*100)))),MIN(100,Config!$B$27*MAX(0,MIN(100,(1-IF($O52="",0,$O52))*100)) + Config!$B$28*MAX(0,MIN(100,(1-MIN(1,IF(Config!$B$30=0,1,$P52/Config!$B$30)))*100)) + Config!$B$29*MAX(0,MIN(100,MIN(1,IF($Q52="",0,$Q52)/Config!$B$23)*100))))),"")
</f>
        <v/>
      </c>
      <c r="S52" s="40" t="str">
        <f>IF(Bids!$AC52="","",Bids!$AC52)</f>
        <v/>
      </c>
      <c r="T52" s="40" t="str">
        <f>IF(Bids!$F52="","",Bids!$F52)</f>
        <v/>
      </c>
      <c r="U52" s="40" t="str">
        <f t="shared" si="3"/>
        <v/>
      </c>
      <c r="V52" s="40" t="str">
        <f>IF($U52="","",IF(Config!$B$17=Config!$B$16,IF($U52&gt;=Config!$B$17,100,0),MAX(0,MIN(100,($U52-Config!$B$16)/(Config!$B$17-Config!$B$16)*100))))</f>
        <v/>
      </c>
      <c r="W52" s="40">
        <f>IF($L52="Elite",Config!$B$21,0)</f>
        <v>0</v>
      </c>
      <c r="X52" s="40" t="str">
        <f>IFERROR(IF(OR($T52="",$G52=""),"",IF($T52&gt;$G52,
  MAX(0, 60-(($T52-$G52)*24/Config!$B$19)*60),
  MEDIAN(60, 100, 60+(($G52-$T52)*24/Config!$B$20)*40)
)),"")
</f>
        <v/>
      </c>
      <c r="Y52" s="40" t="str">
        <f>IF($J52="","",IFERROR(VLOOKUP($J52,Grinders!$A:$N,10,FALSE),""))</f>
        <v/>
      </c>
      <c r="Z52" s="40" t="str">
        <f>IF($J52="","",IFERROR(VLOOKUP($J52,Grinders!$A:$N,11,FALSE),""))</f>
        <v/>
      </c>
      <c r="AA52" s="40" t="str">
        <f>IF($J52="","",IFERROR(VLOOKUP($J52,Grinders!$A:$N,12,FALSE),""))</f>
        <v/>
      </c>
      <c r="AB52" s="40" t="str">
        <f>IF(OR(AL52=1,AM52=1),0,=IFERROR(IF(OR($C52="",$J52=""),0,IF($D52&lt;&gt;"Open",0,IF(COUNTIFS(GrinderServices!$A:$A,$J52,GrinderServices!$B:$B,$E52,GrinderServices!$D:$D,"Y")=0,0,IF($U52&lt;Config!$B$16,0,IF(Config!$B$18=1,IF($N52&gt;=$M52,0,1),1))))),""))</f>
        <v>#ERROR!</v>
      </c>
      <c r="AC52" s="40" t="str">
        <f>IFERROR((IF(OR(AL52=1,AM52=1),"",=IFERROR((IFERROR(IF($AB52=0,"",((Config!$B$6*$V52 + Config!$B$7*$R52 + Config!$B$8*$W52 + Config!$B$9*$X52 + Config!$B$10*$Y52 + Config!$B$11*$Z52 - Config!$B$12*$AA52)/Config!$B$13)+$AH52+$AI52),""))*(1-IFERROR(VLOOKUP(J52,Grinders!$A:$AB, 28, FALSE),0)),"")))*(1+AO52),"")</f>
        <v>#ERROR!</v>
      </c>
      <c r="AD52" s="40" t="str">
        <f t="shared" si="4"/>
        <v/>
      </c>
      <c r="AE52" s="40" t="str">
        <f>IFERROR(__xludf.DUMMYFUNCTION("IF($AC52="""","""",IF($AC52=IFERROR(MAX(FILTER($AC$6:$AC$1000,$C$6:$C$1000=$C52,$AB$6:$AB$1000=1)),),""WINNER"",""""))"),"#ERROR!")</f>
        <v>#ERROR!</v>
      </c>
      <c r="AF52" s="40" t="str">
        <f t="shared" si="5"/>
        <v/>
      </c>
      <c r="AG52" s="40" t="str">
        <f>IF($J52="","",COUNTIF(Assignments!$B:$B,$J52))</f>
        <v/>
      </c>
      <c r="AH52" s="40" t="str">
        <f>IF($J52="","",IF(AND($AG52=0,$N52&lt;$M52),Config!$B$43,0))</f>
        <v/>
      </c>
      <c r="AI52" s="40" t="str">
        <f>IF($J52="","",IF(AND($L52="Elite",$F52&gt;=Config!$B$41,$N52&lt;$M52),Config!$B$42,0))</f>
        <v/>
      </c>
      <c r="AJ52" s="22"/>
      <c r="AK52" s="39">
        <f>IFERROR(VLOOKUP(J52,Grinders!$A:$Q,28,FALSE),0)</f>
        <v>0</v>
      </c>
      <c r="AL52" s="39">
        <f>IF(Config!$B$1003&lt;&gt;"Y",0,IF(IFERROR(VLOOKUP(J52,Grinders!$A:$P,27,FALSE),0)&gt;=3,IF(OR(F52&gt;=Config!$B$1001,ISNUMBER(SEARCH(E52,Config!$B$1002))),1,0),0))</f>
        <v>0</v>
      </c>
      <c r="AM52" s="39">
        <f t="array" ref="AM52">IFERROR(IF(INDEX(Bids!$AE:$AE,MATCH(B52,Bids!$A:$A,0))="Pending",1,0),0)</f>
        <v>0</v>
      </c>
      <c r="AN52" s="39" t="str">
        <f t="array" ref="AN52">IF(C52="","",IFERROR(XLOOKUP(C52,Assignments!$C:$C,Assignments!$AU:$AU,0),0))</f>
        <v/>
      </c>
      <c r="AO52" s="39">
        <f>IF(AND(Config!$B$1006="Y",AN52=1),Config!$B$1007,0)</f>
        <v>0</v>
      </c>
    </row>
    <row r="53" ht="15.75" customHeight="1">
      <c r="A53" s="46" t="str">
        <f t="shared" si="1"/>
        <v/>
      </c>
      <c r="B53" s="40" t="str">
        <f>IF(Bids!$A53="","",Bids!$A53)</f>
        <v/>
      </c>
      <c r="C53" s="40" t="str">
        <f>IF(Bids!$B53="","",Bids!$B53)</f>
        <v/>
      </c>
      <c r="D53" s="40" t="str">
        <f>IF($C53="","",IFERROR(VLOOKUP($C53,Orders!$A:$J,9,FALSE),""))</f>
        <v/>
      </c>
      <c r="E53" s="40" t="str">
        <f>IF($C53="","",IFERROR(VLOOKUP($C53,Orders!$A:$J,3,FALSE),""))</f>
        <v/>
      </c>
      <c r="F53" s="40" t="str">
        <f>IF($C53="","",IFERROR(VLOOKUP($C53,Orders!$A:$J,4,FALSE),""))</f>
        <v/>
      </c>
      <c r="G53" s="40" t="str">
        <f>IF($C53="","",IFERROR(VLOOKUP($C53,Orders!$A:$J,5,FALSE),""))</f>
        <v/>
      </c>
      <c r="H53" s="40" t="str">
        <f>IF($C53="","",IFERROR(VLOOKUP($C53,Orders!$A:$J,6,FALSE),""))</f>
        <v/>
      </c>
      <c r="I53" s="40" t="str">
        <f>IF($C53="","",IFERROR(VLOOKUP($C53,Orders!$A:$J,7,FALSE),""))</f>
        <v/>
      </c>
      <c r="J53" s="40" t="str">
        <f>IF(Bids!$C53="","",Bids!$C53)</f>
        <v/>
      </c>
      <c r="K53" s="40" t="str">
        <f>IF($J53="","",IFERROR(VLOOKUP($J53,Grinders!$A:$N,2,FALSE),""))</f>
        <v/>
      </c>
      <c r="L53" s="40" t="str">
        <f>IF($J53="","",IFERROR(VLOOKUP($J53,Grinders!$A:$N,3,FALSE),""))</f>
        <v/>
      </c>
      <c r="M53" s="40" t="str">
        <f>IF($J53="","",IFERROR(VLOOKUP($J53,Grinders!$A:$N,4,FALSE),""))</f>
        <v/>
      </c>
      <c r="N53" s="40" t="str">
        <f>IF($J53="","",IFERROR(VLOOKUP($J53,Grinders!$A:$N,5,FALSE),""))</f>
        <v/>
      </c>
      <c r="O53" s="40" t="str">
        <f t="shared" si="2"/>
        <v/>
      </c>
      <c r="P53" s="40" t="str">
        <f>IF($J53="","",IFERROR(VLOOKUP($J53,Grinders!$A:$N,6,FALSE),""))</f>
        <v/>
      </c>
      <c r="Q53" s="40" t="str">
        <f>IF($J53="","",IFERROR(VLOOKUP($J53,Grinders!$A:$N,8,FALSE),""))</f>
        <v/>
      </c>
      <c r="R53" s="40" t="str">
        <f>IFERROR(IF($J53="","",IF($L53="Elite",MAX(50,MIN(100,Config!$B$27*MAX(0,MIN(100,(1-IF($O53="",0,$O53))*100)) + Config!$B$28*MAX(0,MIN(100,(1-MIN(1,IF(Config!$B$30=0,1,$P53/Config!$B$30)))*100)) + Config!$B$29*MAX(0,MIN(100,MIN(1,IF($Q53="",0,$Q53)/Config!$B$23)*100)))),MIN(100,Config!$B$27*MAX(0,MIN(100,(1-IF($O53="",0,$O53))*100)) + Config!$B$28*MAX(0,MIN(100,(1-MIN(1,IF(Config!$B$30=0,1,$P53/Config!$B$30)))*100)) + Config!$B$29*MAX(0,MIN(100,MIN(1,IF($Q53="",0,$Q53)/Config!$B$23)*100))))),"")
</f>
        <v/>
      </c>
      <c r="S53" s="40" t="str">
        <f>IF(Bids!$AC53="","",Bids!$AC53)</f>
        <v/>
      </c>
      <c r="T53" s="40" t="str">
        <f>IF(Bids!$F53="","",Bids!$F53)</f>
        <v/>
      </c>
      <c r="U53" s="40" t="str">
        <f t="shared" si="3"/>
        <v/>
      </c>
      <c r="V53" s="40" t="str">
        <f>IF($U53="","",IF(Config!$B$17=Config!$B$16,IF($U53&gt;=Config!$B$17,100,0),MAX(0,MIN(100,($U53-Config!$B$16)/(Config!$B$17-Config!$B$16)*100))))</f>
        <v/>
      </c>
      <c r="W53" s="40">
        <f>IF($L53="Elite",Config!$B$21,0)</f>
        <v>0</v>
      </c>
      <c r="X53" s="40" t="str">
        <f>IFERROR(IF(OR($T53="",$G53=""),"",IF($T53&gt;$G53,
  MAX(0, 60-(($T53-$G53)*24/Config!$B$19)*60),
  MEDIAN(60, 100, 60+(($G53-$T53)*24/Config!$B$20)*40)
)),"")
</f>
        <v/>
      </c>
      <c r="Y53" s="40" t="str">
        <f>IF($J53="","",IFERROR(VLOOKUP($J53,Grinders!$A:$N,10,FALSE),""))</f>
        <v/>
      </c>
      <c r="Z53" s="40" t="str">
        <f>IF($J53="","",IFERROR(VLOOKUP($J53,Grinders!$A:$N,11,FALSE),""))</f>
        <v/>
      </c>
      <c r="AA53" s="40" t="str">
        <f>IF($J53="","",IFERROR(VLOOKUP($J53,Grinders!$A:$N,12,FALSE),""))</f>
        <v/>
      </c>
      <c r="AB53" s="40" t="str">
        <f>IF(OR(AL53=1,AM53=1),0,=IFERROR(IF(OR($C53="",$J53=""),0,IF($D53&lt;&gt;"Open",0,IF(COUNTIFS(GrinderServices!$A:$A,$J53,GrinderServices!$B:$B,$E53,GrinderServices!$D:$D,"Y")=0,0,IF($U53&lt;Config!$B$16,0,IF(Config!$B$18=1,IF($N53&gt;=$M53,0,1),1))))),""))</f>
        <v>#ERROR!</v>
      </c>
      <c r="AC53" s="40" t="str">
        <f>IFERROR((IF(OR(AL53=1,AM53=1),"",=IFERROR((IFERROR(IF($AB53=0,"",((Config!$B$6*$V53 + Config!$B$7*$R53 + Config!$B$8*$W53 + Config!$B$9*$X53 + Config!$B$10*$Y53 + Config!$B$11*$Z53 - Config!$B$12*$AA53)/Config!$B$13)+$AH53+$AI53),""))*(1-IFERROR(VLOOKUP(J53,Grinders!$A:$AB, 28, FALSE),0)),"")))*(1+AO53),"")</f>
        <v>#ERROR!</v>
      </c>
      <c r="AD53" s="40" t="str">
        <f t="shared" si="4"/>
        <v/>
      </c>
      <c r="AE53" s="40" t="str">
        <f>IFERROR(__xludf.DUMMYFUNCTION("IF($AC53="""","""",IF($AC53=IFERROR(MAX(FILTER($AC$6:$AC$1000,$C$6:$C$1000=$C53,$AB$6:$AB$1000=1)),),""WINNER"",""""))"),"#ERROR!")</f>
        <v>#ERROR!</v>
      </c>
      <c r="AF53" s="40" t="str">
        <f t="shared" si="5"/>
        <v/>
      </c>
      <c r="AG53" s="40" t="str">
        <f>IF($J53="","",COUNTIF(Assignments!$B:$B,$J53))</f>
        <v/>
      </c>
      <c r="AH53" s="40" t="str">
        <f>IF($J53="","",IF(AND($AG53=0,$N53&lt;$M53),Config!$B$43,0))</f>
        <v/>
      </c>
      <c r="AI53" s="40" t="str">
        <f>IF($J53="","",IF(AND($L53="Elite",$F53&gt;=Config!$B$41,$N53&lt;$M53),Config!$B$42,0))</f>
        <v/>
      </c>
      <c r="AJ53" s="22"/>
      <c r="AK53" s="39">
        <f>IFERROR(VLOOKUP(J53,Grinders!$A:$Q,28,FALSE),0)</f>
        <v>0</v>
      </c>
      <c r="AL53" s="39">
        <f>IF(Config!$B$1003&lt;&gt;"Y",0,IF(IFERROR(VLOOKUP(J53,Grinders!$A:$P,27,FALSE),0)&gt;=3,IF(OR(F53&gt;=Config!$B$1001,ISNUMBER(SEARCH(E53,Config!$B$1002))),1,0),0))</f>
        <v>0</v>
      </c>
      <c r="AM53" s="39">
        <f t="array" ref="AM53">IFERROR(IF(INDEX(Bids!$AE:$AE,MATCH(B53,Bids!$A:$A,0))="Pending",1,0),0)</f>
        <v>0</v>
      </c>
      <c r="AN53" s="39" t="str">
        <f t="array" ref="AN53">IF(C53="","",IFERROR(XLOOKUP(C53,Assignments!$C:$C,Assignments!$AU:$AU,0),0))</f>
        <v/>
      </c>
      <c r="AO53" s="39">
        <f>IF(AND(Config!$B$1006="Y",AN53=1),Config!$B$1007,0)</f>
        <v>0</v>
      </c>
    </row>
    <row r="54" ht="15.75" customHeight="1">
      <c r="A54" s="46" t="str">
        <f t="shared" si="1"/>
        <v/>
      </c>
      <c r="B54" s="40" t="str">
        <f>IF(Bids!$A54="","",Bids!$A54)</f>
        <v/>
      </c>
      <c r="C54" s="40" t="str">
        <f>IF(Bids!$B54="","",Bids!$B54)</f>
        <v/>
      </c>
      <c r="D54" s="40" t="str">
        <f>IF($C54="","",IFERROR(VLOOKUP($C54,Orders!$A:$J,9,FALSE),""))</f>
        <v/>
      </c>
      <c r="E54" s="40" t="str">
        <f>IF($C54="","",IFERROR(VLOOKUP($C54,Orders!$A:$J,3,FALSE),""))</f>
        <v/>
      </c>
      <c r="F54" s="40" t="str">
        <f>IF($C54="","",IFERROR(VLOOKUP($C54,Orders!$A:$J,4,FALSE),""))</f>
        <v/>
      </c>
      <c r="G54" s="40" t="str">
        <f>IF($C54="","",IFERROR(VLOOKUP($C54,Orders!$A:$J,5,FALSE),""))</f>
        <v/>
      </c>
      <c r="H54" s="40" t="str">
        <f>IF($C54="","",IFERROR(VLOOKUP($C54,Orders!$A:$J,6,FALSE),""))</f>
        <v/>
      </c>
      <c r="I54" s="40" t="str">
        <f>IF($C54="","",IFERROR(VLOOKUP($C54,Orders!$A:$J,7,FALSE),""))</f>
        <v/>
      </c>
      <c r="J54" s="40" t="str">
        <f>IF(Bids!$C54="","",Bids!$C54)</f>
        <v/>
      </c>
      <c r="K54" s="40" t="str">
        <f>IF($J54="","",IFERROR(VLOOKUP($J54,Grinders!$A:$N,2,FALSE),""))</f>
        <v/>
      </c>
      <c r="L54" s="40" t="str">
        <f>IF($J54="","",IFERROR(VLOOKUP($J54,Grinders!$A:$N,3,FALSE),""))</f>
        <v/>
      </c>
      <c r="M54" s="40" t="str">
        <f>IF($J54="","",IFERROR(VLOOKUP($J54,Grinders!$A:$N,4,FALSE),""))</f>
        <v/>
      </c>
      <c r="N54" s="40" t="str">
        <f>IF($J54="","",IFERROR(VLOOKUP($J54,Grinders!$A:$N,5,FALSE),""))</f>
        <v/>
      </c>
      <c r="O54" s="40" t="str">
        <f t="shared" si="2"/>
        <v/>
      </c>
      <c r="P54" s="40" t="str">
        <f>IF($J54="","",IFERROR(VLOOKUP($J54,Grinders!$A:$N,6,FALSE),""))</f>
        <v/>
      </c>
      <c r="Q54" s="40" t="str">
        <f>IF($J54="","",IFERROR(VLOOKUP($J54,Grinders!$A:$N,8,FALSE),""))</f>
        <v/>
      </c>
      <c r="R54" s="40" t="str">
        <f>IFERROR(IF($J54="","",IF($L54="Elite",MAX(50,MIN(100,Config!$B$27*MAX(0,MIN(100,(1-IF($O54="",0,$O54))*100)) + Config!$B$28*MAX(0,MIN(100,(1-MIN(1,IF(Config!$B$30=0,1,$P54/Config!$B$30)))*100)) + Config!$B$29*MAX(0,MIN(100,MIN(1,IF($Q54="",0,$Q54)/Config!$B$23)*100)))),MIN(100,Config!$B$27*MAX(0,MIN(100,(1-IF($O54="",0,$O54))*100)) + Config!$B$28*MAX(0,MIN(100,(1-MIN(1,IF(Config!$B$30=0,1,$P54/Config!$B$30)))*100)) + Config!$B$29*MAX(0,MIN(100,MIN(1,IF($Q54="",0,$Q54)/Config!$B$23)*100))))),"")
</f>
        <v/>
      </c>
      <c r="S54" s="40" t="str">
        <f>IF(Bids!$AC54="","",Bids!$AC54)</f>
        <v/>
      </c>
      <c r="T54" s="40" t="str">
        <f>IF(Bids!$F54="","",Bids!$F54)</f>
        <v/>
      </c>
      <c r="U54" s="40" t="str">
        <f t="shared" si="3"/>
        <v/>
      </c>
      <c r="V54" s="40" t="str">
        <f>IF($U54="","",IF(Config!$B$17=Config!$B$16,IF($U54&gt;=Config!$B$17,100,0),MAX(0,MIN(100,($U54-Config!$B$16)/(Config!$B$17-Config!$B$16)*100))))</f>
        <v/>
      </c>
      <c r="W54" s="40">
        <f>IF($L54="Elite",Config!$B$21,0)</f>
        <v>0</v>
      </c>
      <c r="X54" s="40" t="str">
        <f>IFERROR(IF(OR($T54="",$G54=""),"",IF($T54&gt;$G54,
  MAX(0, 60-(($T54-$G54)*24/Config!$B$19)*60),
  MEDIAN(60, 100, 60+(($G54-$T54)*24/Config!$B$20)*40)
)),"")
</f>
        <v/>
      </c>
      <c r="Y54" s="40" t="str">
        <f>IF($J54="","",IFERROR(VLOOKUP($J54,Grinders!$A:$N,10,FALSE),""))</f>
        <v/>
      </c>
      <c r="Z54" s="40" t="str">
        <f>IF($J54="","",IFERROR(VLOOKUP($J54,Grinders!$A:$N,11,FALSE),""))</f>
        <v/>
      </c>
      <c r="AA54" s="40" t="str">
        <f>IF($J54="","",IFERROR(VLOOKUP($J54,Grinders!$A:$N,12,FALSE),""))</f>
        <v/>
      </c>
      <c r="AB54" s="40" t="str">
        <f>IF(OR(AL54=1,AM54=1),0,=IFERROR(IF(OR($C54="",$J54=""),0,IF($D54&lt;&gt;"Open",0,IF(COUNTIFS(GrinderServices!$A:$A,$J54,GrinderServices!$B:$B,$E54,GrinderServices!$D:$D,"Y")=0,0,IF($U54&lt;Config!$B$16,0,IF(Config!$B$18=1,IF($N54&gt;=$M54,0,1),1))))),""))</f>
        <v>#ERROR!</v>
      </c>
      <c r="AC54" s="40" t="str">
        <f>IFERROR((IF(OR(AL54=1,AM54=1),"",=IFERROR((IFERROR(IF($AB54=0,"",((Config!$B$6*$V54 + Config!$B$7*$R54 + Config!$B$8*$W54 + Config!$B$9*$X54 + Config!$B$10*$Y54 + Config!$B$11*$Z54 - Config!$B$12*$AA54)/Config!$B$13)+$AH54+$AI54),""))*(1-IFERROR(VLOOKUP(J54,Grinders!$A:$AB, 28, FALSE),0)),"")))*(1+AO54),"")</f>
        <v>#ERROR!</v>
      </c>
      <c r="AD54" s="40" t="str">
        <f t="shared" si="4"/>
        <v/>
      </c>
      <c r="AE54" s="40" t="str">
        <f>IFERROR(__xludf.DUMMYFUNCTION("IF($AC54="""","""",IF($AC54=IFERROR(MAX(FILTER($AC$6:$AC$1000,$C$6:$C$1000=$C54,$AB$6:$AB$1000=1)),),""WINNER"",""""))"),"#ERROR!")</f>
        <v>#ERROR!</v>
      </c>
      <c r="AF54" s="40" t="str">
        <f t="shared" si="5"/>
        <v/>
      </c>
      <c r="AG54" s="40" t="str">
        <f>IF($J54="","",COUNTIF(Assignments!$B:$B,$J54))</f>
        <v/>
      </c>
      <c r="AH54" s="40" t="str">
        <f>IF($J54="","",IF(AND($AG54=0,$N54&lt;$M54),Config!$B$43,0))</f>
        <v/>
      </c>
      <c r="AI54" s="40" t="str">
        <f>IF($J54="","",IF(AND($L54="Elite",$F54&gt;=Config!$B$41,$N54&lt;$M54),Config!$B$42,0))</f>
        <v/>
      </c>
      <c r="AJ54" s="22"/>
      <c r="AK54" s="39">
        <f>IFERROR(VLOOKUP(J54,Grinders!$A:$Q,28,FALSE),0)</f>
        <v>0</v>
      </c>
      <c r="AL54" s="39">
        <f>IF(Config!$B$1003&lt;&gt;"Y",0,IF(IFERROR(VLOOKUP(J54,Grinders!$A:$P,27,FALSE),0)&gt;=3,IF(OR(F54&gt;=Config!$B$1001,ISNUMBER(SEARCH(E54,Config!$B$1002))),1,0),0))</f>
        <v>0</v>
      </c>
      <c r="AM54" s="39">
        <f t="array" ref="AM54">IFERROR(IF(INDEX(Bids!$AE:$AE,MATCH(B54,Bids!$A:$A,0))="Pending",1,0),0)</f>
        <v>0</v>
      </c>
      <c r="AN54" s="39" t="str">
        <f t="array" ref="AN54">IF(C54="","",IFERROR(XLOOKUP(C54,Assignments!$C:$C,Assignments!$AU:$AU,0),0))</f>
        <v/>
      </c>
      <c r="AO54" s="39">
        <f>IF(AND(Config!$B$1006="Y",AN54=1),Config!$B$1007,0)</f>
        <v>0</v>
      </c>
    </row>
    <row r="55" ht="15.75" customHeight="1">
      <c r="A55" s="46" t="str">
        <f t="shared" si="1"/>
        <v/>
      </c>
      <c r="B55" s="40" t="str">
        <f>IF(Bids!$A55="","",Bids!$A55)</f>
        <v/>
      </c>
      <c r="C55" s="40" t="str">
        <f>IF(Bids!$B55="","",Bids!$B55)</f>
        <v/>
      </c>
      <c r="D55" s="40" t="str">
        <f>IF($C55="","",IFERROR(VLOOKUP($C55,Orders!$A:$J,9,FALSE),""))</f>
        <v/>
      </c>
      <c r="E55" s="40" t="str">
        <f>IF($C55="","",IFERROR(VLOOKUP($C55,Orders!$A:$J,3,FALSE),""))</f>
        <v/>
      </c>
      <c r="F55" s="40" t="str">
        <f>IF($C55="","",IFERROR(VLOOKUP($C55,Orders!$A:$J,4,FALSE),""))</f>
        <v/>
      </c>
      <c r="G55" s="40" t="str">
        <f>IF($C55="","",IFERROR(VLOOKUP($C55,Orders!$A:$J,5,FALSE),""))</f>
        <v/>
      </c>
      <c r="H55" s="40" t="str">
        <f>IF($C55="","",IFERROR(VLOOKUP($C55,Orders!$A:$J,6,FALSE),""))</f>
        <v/>
      </c>
      <c r="I55" s="40" t="str">
        <f>IF($C55="","",IFERROR(VLOOKUP($C55,Orders!$A:$J,7,FALSE),""))</f>
        <v/>
      </c>
      <c r="J55" s="40" t="str">
        <f>IF(Bids!$C55="","",Bids!$C55)</f>
        <v/>
      </c>
      <c r="K55" s="40" t="str">
        <f>IF($J55="","",IFERROR(VLOOKUP($J55,Grinders!$A:$N,2,FALSE),""))</f>
        <v/>
      </c>
      <c r="L55" s="40" t="str">
        <f>IF($J55="","",IFERROR(VLOOKUP($J55,Grinders!$A:$N,3,FALSE),""))</f>
        <v/>
      </c>
      <c r="M55" s="40" t="str">
        <f>IF($J55="","",IFERROR(VLOOKUP($J55,Grinders!$A:$N,4,FALSE),""))</f>
        <v/>
      </c>
      <c r="N55" s="40" t="str">
        <f>IF($J55="","",IFERROR(VLOOKUP($J55,Grinders!$A:$N,5,FALSE),""))</f>
        <v/>
      </c>
      <c r="O55" s="40" t="str">
        <f t="shared" si="2"/>
        <v/>
      </c>
      <c r="P55" s="40" t="str">
        <f>IF($J55="","",IFERROR(VLOOKUP($J55,Grinders!$A:$N,6,FALSE),""))</f>
        <v/>
      </c>
      <c r="Q55" s="40" t="str">
        <f>IF($J55="","",IFERROR(VLOOKUP($J55,Grinders!$A:$N,8,FALSE),""))</f>
        <v/>
      </c>
      <c r="R55" s="40" t="str">
        <f>IFERROR(IF($J55="","",IF($L55="Elite",MAX(50,MIN(100,Config!$B$27*MAX(0,MIN(100,(1-IF($O55="",0,$O55))*100)) + Config!$B$28*MAX(0,MIN(100,(1-MIN(1,IF(Config!$B$30=0,1,$P55/Config!$B$30)))*100)) + Config!$B$29*MAX(0,MIN(100,MIN(1,IF($Q55="",0,$Q55)/Config!$B$23)*100)))),MIN(100,Config!$B$27*MAX(0,MIN(100,(1-IF($O55="",0,$O55))*100)) + Config!$B$28*MAX(0,MIN(100,(1-MIN(1,IF(Config!$B$30=0,1,$P55/Config!$B$30)))*100)) + Config!$B$29*MAX(0,MIN(100,MIN(1,IF($Q55="",0,$Q55)/Config!$B$23)*100))))),"")
</f>
        <v/>
      </c>
      <c r="S55" s="40" t="str">
        <f>IF(Bids!$AC55="","",Bids!$AC55)</f>
        <v/>
      </c>
      <c r="T55" s="40" t="str">
        <f>IF(Bids!$F55="","",Bids!$F55)</f>
        <v/>
      </c>
      <c r="U55" s="40" t="str">
        <f t="shared" si="3"/>
        <v/>
      </c>
      <c r="V55" s="40" t="str">
        <f>IF($U55="","",IF(Config!$B$17=Config!$B$16,IF($U55&gt;=Config!$B$17,100,0),MAX(0,MIN(100,($U55-Config!$B$16)/(Config!$B$17-Config!$B$16)*100))))</f>
        <v/>
      </c>
      <c r="W55" s="40">
        <f>IF($L55="Elite",Config!$B$21,0)</f>
        <v>0</v>
      </c>
      <c r="X55" s="40" t="str">
        <f>IFERROR(IF(OR($T55="",$G55=""),"",IF($T55&gt;$G55,
  MAX(0, 60-(($T55-$G55)*24/Config!$B$19)*60),
  MEDIAN(60, 100, 60+(($G55-$T55)*24/Config!$B$20)*40)
)),"")
</f>
        <v/>
      </c>
      <c r="Y55" s="40" t="str">
        <f>IF($J55="","",IFERROR(VLOOKUP($J55,Grinders!$A:$N,10,FALSE),""))</f>
        <v/>
      </c>
      <c r="Z55" s="40" t="str">
        <f>IF($J55="","",IFERROR(VLOOKUP($J55,Grinders!$A:$N,11,FALSE),""))</f>
        <v/>
      </c>
      <c r="AA55" s="40" t="str">
        <f>IF($J55="","",IFERROR(VLOOKUP($J55,Grinders!$A:$N,12,FALSE),""))</f>
        <v/>
      </c>
      <c r="AB55" s="40" t="str">
        <f>IF(OR(AL55=1,AM55=1),0,=IFERROR(IF(OR($C55="",$J55=""),0,IF($D55&lt;&gt;"Open",0,IF(COUNTIFS(GrinderServices!$A:$A,$J55,GrinderServices!$B:$B,$E55,GrinderServices!$D:$D,"Y")=0,0,IF($U55&lt;Config!$B$16,0,IF(Config!$B$18=1,IF($N55&gt;=$M55,0,1),1))))),""))</f>
        <v>#ERROR!</v>
      </c>
      <c r="AC55" s="40" t="str">
        <f>IFERROR((IF(OR(AL55=1,AM55=1),"",=IFERROR((IFERROR(IF($AB55=0,"",((Config!$B$6*$V55 + Config!$B$7*$R55 + Config!$B$8*$W55 + Config!$B$9*$X55 + Config!$B$10*$Y55 + Config!$B$11*$Z55 - Config!$B$12*$AA55)/Config!$B$13)+$AH55+$AI55),""))*(1-IFERROR(VLOOKUP(J55,Grinders!$A:$AB, 28, FALSE),0)),"")))*(1+AO55),"")</f>
        <v>#ERROR!</v>
      </c>
      <c r="AD55" s="40" t="str">
        <f t="shared" si="4"/>
        <v/>
      </c>
      <c r="AE55" s="40" t="str">
        <f>IFERROR(__xludf.DUMMYFUNCTION("IF($AC55="""","""",IF($AC55=IFERROR(MAX(FILTER($AC$6:$AC$1000,$C$6:$C$1000=$C55,$AB$6:$AB$1000=1)),),""WINNER"",""""))"),"#ERROR!")</f>
        <v>#ERROR!</v>
      </c>
      <c r="AF55" s="40" t="str">
        <f t="shared" si="5"/>
        <v/>
      </c>
      <c r="AG55" s="40" t="str">
        <f>IF($J55="","",COUNTIF(Assignments!$B:$B,$J55))</f>
        <v/>
      </c>
      <c r="AH55" s="40" t="str">
        <f>IF($J55="","",IF(AND($AG55=0,$N55&lt;$M55),Config!$B$43,0))</f>
        <v/>
      </c>
      <c r="AI55" s="40" t="str">
        <f>IF($J55="","",IF(AND($L55="Elite",$F55&gt;=Config!$B$41,$N55&lt;$M55),Config!$B$42,0))</f>
        <v/>
      </c>
      <c r="AJ55" s="22"/>
      <c r="AK55" s="39">
        <f>IFERROR(VLOOKUP(J55,Grinders!$A:$Q,28,FALSE),0)</f>
        <v>0</v>
      </c>
      <c r="AL55" s="39">
        <f>IF(Config!$B$1003&lt;&gt;"Y",0,IF(IFERROR(VLOOKUP(J55,Grinders!$A:$P,27,FALSE),0)&gt;=3,IF(OR(F55&gt;=Config!$B$1001,ISNUMBER(SEARCH(E55,Config!$B$1002))),1,0),0))</f>
        <v>0</v>
      </c>
      <c r="AM55" s="39">
        <f t="array" ref="AM55">IFERROR(IF(INDEX(Bids!$AE:$AE,MATCH(B55,Bids!$A:$A,0))="Pending",1,0),0)</f>
        <v>0</v>
      </c>
      <c r="AN55" s="39" t="str">
        <f t="array" ref="AN55">IF(C55="","",IFERROR(XLOOKUP(C55,Assignments!$C:$C,Assignments!$AU:$AU,0),0))</f>
        <v/>
      </c>
      <c r="AO55" s="39">
        <f>IF(AND(Config!$B$1006="Y",AN55=1),Config!$B$1007,0)</f>
        <v>0</v>
      </c>
    </row>
    <row r="56" ht="15.75" customHeight="1">
      <c r="A56" s="46" t="str">
        <f t="shared" si="1"/>
        <v/>
      </c>
      <c r="B56" s="40" t="str">
        <f>IF(Bids!$A56="","",Bids!$A56)</f>
        <v/>
      </c>
      <c r="C56" s="40" t="str">
        <f>IF(Bids!$B56="","",Bids!$B56)</f>
        <v/>
      </c>
      <c r="D56" s="40" t="str">
        <f>IF($C56="","",IFERROR(VLOOKUP($C56,Orders!$A:$J,9,FALSE),""))</f>
        <v/>
      </c>
      <c r="E56" s="40" t="str">
        <f>IF($C56="","",IFERROR(VLOOKUP($C56,Orders!$A:$J,3,FALSE),""))</f>
        <v/>
      </c>
      <c r="F56" s="40" t="str">
        <f>IF($C56="","",IFERROR(VLOOKUP($C56,Orders!$A:$J,4,FALSE),""))</f>
        <v/>
      </c>
      <c r="G56" s="40" t="str">
        <f>IF($C56="","",IFERROR(VLOOKUP($C56,Orders!$A:$J,5,FALSE),""))</f>
        <v/>
      </c>
      <c r="H56" s="40" t="str">
        <f>IF($C56="","",IFERROR(VLOOKUP($C56,Orders!$A:$J,6,FALSE),""))</f>
        <v/>
      </c>
      <c r="I56" s="40" t="str">
        <f>IF($C56="","",IFERROR(VLOOKUP($C56,Orders!$A:$J,7,FALSE),""))</f>
        <v/>
      </c>
      <c r="J56" s="40" t="str">
        <f>IF(Bids!$C56="","",Bids!$C56)</f>
        <v/>
      </c>
      <c r="K56" s="40" t="str">
        <f>IF($J56="","",IFERROR(VLOOKUP($J56,Grinders!$A:$N,2,FALSE),""))</f>
        <v/>
      </c>
      <c r="L56" s="40" t="str">
        <f>IF($J56="","",IFERROR(VLOOKUP($J56,Grinders!$A:$N,3,FALSE),""))</f>
        <v/>
      </c>
      <c r="M56" s="40" t="str">
        <f>IF($J56="","",IFERROR(VLOOKUP($J56,Grinders!$A:$N,4,FALSE),""))</f>
        <v/>
      </c>
      <c r="N56" s="40" t="str">
        <f>IF($J56="","",IFERROR(VLOOKUP($J56,Grinders!$A:$N,5,FALSE),""))</f>
        <v/>
      </c>
      <c r="O56" s="40" t="str">
        <f t="shared" si="2"/>
        <v/>
      </c>
      <c r="P56" s="40" t="str">
        <f>IF($J56="","",IFERROR(VLOOKUP($J56,Grinders!$A:$N,6,FALSE),""))</f>
        <v/>
      </c>
      <c r="Q56" s="40" t="str">
        <f>IF($J56="","",IFERROR(VLOOKUP($J56,Grinders!$A:$N,8,FALSE),""))</f>
        <v/>
      </c>
      <c r="R56" s="40" t="str">
        <f>IFERROR(IF($J56="","",IF($L56="Elite",MAX(50,MIN(100,Config!$B$27*MAX(0,MIN(100,(1-IF($O56="",0,$O56))*100)) + Config!$B$28*MAX(0,MIN(100,(1-MIN(1,IF(Config!$B$30=0,1,$P56/Config!$B$30)))*100)) + Config!$B$29*MAX(0,MIN(100,MIN(1,IF($Q56="",0,$Q56)/Config!$B$23)*100)))),MIN(100,Config!$B$27*MAX(0,MIN(100,(1-IF($O56="",0,$O56))*100)) + Config!$B$28*MAX(0,MIN(100,(1-MIN(1,IF(Config!$B$30=0,1,$P56/Config!$B$30)))*100)) + Config!$B$29*MAX(0,MIN(100,MIN(1,IF($Q56="",0,$Q56)/Config!$B$23)*100))))),"")
</f>
        <v/>
      </c>
      <c r="S56" s="40" t="str">
        <f>IF(Bids!$AC56="","",Bids!$AC56)</f>
        <v/>
      </c>
      <c r="T56" s="40" t="str">
        <f>IF(Bids!$F56="","",Bids!$F56)</f>
        <v/>
      </c>
      <c r="U56" s="40" t="str">
        <f t="shared" si="3"/>
        <v/>
      </c>
      <c r="V56" s="40" t="str">
        <f>IF($U56="","",IF(Config!$B$17=Config!$B$16,IF($U56&gt;=Config!$B$17,100,0),MAX(0,MIN(100,($U56-Config!$B$16)/(Config!$B$17-Config!$B$16)*100))))</f>
        <v/>
      </c>
      <c r="W56" s="40">
        <f>IF($L56="Elite",Config!$B$21,0)</f>
        <v>0</v>
      </c>
      <c r="X56" s="40" t="str">
        <f>IFERROR(IF(OR($T56="",$G56=""),"",IF($T56&gt;$G56,
  MAX(0, 60-(($T56-$G56)*24/Config!$B$19)*60),
  MEDIAN(60, 100, 60+(($G56-$T56)*24/Config!$B$20)*40)
)),"")
</f>
        <v/>
      </c>
      <c r="Y56" s="40" t="str">
        <f>IF($J56="","",IFERROR(VLOOKUP($J56,Grinders!$A:$N,10,FALSE),""))</f>
        <v/>
      </c>
      <c r="Z56" s="40" t="str">
        <f>IF($J56="","",IFERROR(VLOOKUP($J56,Grinders!$A:$N,11,FALSE),""))</f>
        <v/>
      </c>
      <c r="AA56" s="40" t="str">
        <f>IF($J56="","",IFERROR(VLOOKUP($J56,Grinders!$A:$N,12,FALSE),""))</f>
        <v/>
      </c>
      <c r="AB56" s="40" t="str">
        <f>IF(OR(AL56=1,AM56=1),0,=IFERROR(IF(OR($C56="",$J56=""),0,IF($D56&lt;&gt;"Open",0,IF(COUNTIFS(GrinderServices!$A:$A,$J56,GrinderServices!$B:$B,$E56,GrinderServices!$D:$D,"Y")=0,0,IF($U56&lt;Config!$B$16,0,IF(Config!$B$18=1,IF($N56&gt;=$M56,0,1),1))))),""))</f>
        <v>#ERROR!</v>
      </c>
      <c r="AC56" s="40" t="str">
        <f>IFERROR((IF(OR(AL56=1,AM56=1),"",=IFERROR((IFERROR(IF($AB56=0,"",((Config!$B$6*$V56 + Config!$B$7*$R56 + Config!$B$8*$W56 + Config!$B$9*$X56 + Config!$B$10*$Y56 + Config!$B$11*$Z56 - Config!$B$12*$AA56)/Config!$B$13)+$AH56+$AI56),""))*(1-IFERROR(VLOOKUP(J56,Grinders!$A:$AB, 28, FALSE),0)),"")))*(1+AO56),"")</f>
        <v>#ERROR!</v>
      </c>
      <c r="AD56" s="40" t="str">
        <f t="shared" si="4"/>
        <v/>
      </c>
      <c r="AE56" s="40" t="str">
        <f>IFERROR(__xludf.DUMMYFUNCTION("IF($AC56="""","""",IF($AC56=IFERROR(MAX(FILTER($AC$6:$AC$1000,$C$6:$C$1000=$C56,$AB$6:$AB$1000=1)),),""WINNER"",""""))"),"#ERROR!")</f>
        <v>#ERROR!</v>
      </c>
      <c r="AF56" s="40" t="str">
        <f t="shared" si="5"/>
        <v/>
      </c>
      <c r="AG56" s="40" t="str">
        <f>IF($J56="","",COUNTIF(Assignments!$B:$B,$J56))</f>
        <v/>
      </c>
      <c r="AH56" s="40" t="str">
        <f>IF($J56="","",IF(AND($AG56=0,$N56&lt;$M56),Config!$B$43,0))</f>
        <v/>
      </c>
      <c r="AI56" s="40" t="str">
        <f>IF($J56="","",IF(AND($L56="Elite",$F56&gt;=Config!$B$41,$N56&lt;$M56),Config!$B$42,0))</f>
        <v/>
      </c>
      <c r="AJ56" s="22"/>
      <c r="AK56" s="39">
        <f>IFERROR(VLOOKUP(J56,Grinders!$A:$Q,28,FALSE),0)</f>
        <v>0</v>
      </c>
      <c r="AL56" s="39">
        <f>IF(Config!$B$1003&lt;&gt;"Y",0,IF(IFERROR(VLOOKUP(J56,Grinders!$A:$P,27,FALSE),0)&gt;=3,IF(OR(F56&gt;=Config!$B$1001,ISNUMBER(SEARCH(E56,Config!$B$1002))),1,0),0))</f>
        <v>0</v>
      </c>
      <c r="AM56" s="39">
        <f t="array" ref="AM56">IFERROR(IF(INDEX(Bids!$AE:$AE,MATCH(B56,Bids!$A:$A,0))="Pending",1,0),0)</f>
        <v>0</v>
      </c>
      <c r="AN56" s="39" t="str">
        <f t="array" ref="AN56">IF(C56="","",IFERROR(XLOOKUP(C56,Assignments!$C:$C,Assignments!$AU:$AU,0),0))</f>
        <v/>
      </c>
      <c r="AO56" s="39">
        <f>IF(AND(Config!$B$1006="Y",AN56=1),Config!$B$1007,0)</f>
        <v>0</v>
      </c>
    </row>
    <row r="57" ht="15.75" customHeight="1">
      <c r="A57" s="46" t="str">
        <f t="shared" si="1"/>
        <v/>
      </c>
      <c r="B57" s="40" t="str">
        <f>IF(Bids!$A57="","",Bids!$A57)</f>
        <v/>
      </c>
      <c r="C57" s="40" t="str">
        <f>IF(Bids!$B57="","",Bids!$B57)</f>
        <v/>
      </c>
      <c r="D57" s="40" t="str">
        <f>IF($C57="","",IFERROR(VLOOKUP($C57,Orders!$A:$J,9,FALSE),""))</f>
        <v/>
      </c>
      <c r="E57" s="40" t="str">
        <f>IF($C57="","",IFERROR(VLOOKUP($C57,Orders!$A:$J,3,FALSE),""))</f>
        <v/>
      </c>
      <c r="F57" s="40" t="str">
        <f>IF($C57="","",IFERROR(VLOOKUP($C57,Orders!$A:$J,4,FALSE),""))</f>
        <v/>
      </c>
      <c r="G57" s="40" t="str">
        <f>IF($C57="","",IFERROR(VLOOKUP($C57,Orders!$A:$J,5,FALSE),""))</f>
        <v/>
      </c>
      <c r="H57" s="40" t="str">
        <f>IF($C57="","",IFERROR(VLOOKUP($C57,Orders!$A:$J,6,FALSE),""))</f>
        <v/>
      </c>
      <c r="I57" s="40" t="str">
        <f>IF($C57="","",IFERROR(VLOOKUP($C57,Orders!$A:$J,7,FALSE),""))</f>
        <v/>
      </c>
      <c r="J57" s="40" t="str">
        <f>IF(Bids!$C57="","",Bids!$C57)</f>
        <v/>
      </c>
      <c r="K57" s="40" t="str">
        <f>IF($J57="","",IFERROR(VLOOKUP($J57,Grinders!$A:$N,2,FALSE),""))</f>
        <v/>
      </c>
      <c r="L57" s="40" t="str">
        <f>IF($J57="","",IFERROR(VLOOKUP($J57,Grinders!$A:$N,3,FALSE),""))</f>
        <v/>
      </c>
      <c r="M57" s="40" t="str">
        <f>IF($J57="","",IFERROR(VLOOKUP($J57,Grinders!$A:$N,4,FALSE),""))</f>
        <v/>
      </c>
      <c r="N57" s="40" t="str">
        <f>IF($J57="","",IFERROR(VLOOKUP($J57,Grinders!$A:$N,5,FALSE),""))</f>
        <v/>
      </c>
      <c r="O57" s="40" t="str">
        <f t="shared" si="2"/>
        <v/>
      </c>
      <c r="P57" s="40" t="str">
        <f>IF($J57="","",IFERROR(VLOOKUP($J57,Grinders!$A:$N,6,FALSE),""))</f>
        <v/>
      </c>
      <c r="Q57" s="40" t="str">
        <f>IF($J57="","",IFERROR(VLOOKUP($J57,Grinders!$A:$N,8,FALSE),""))</f>
        <v/>
      </c>
      <c r="R57" s="40" t="str">
        <f>IFERROR(IF($J57="","",IF($L57="Elite",MAX(50,MIN(100,Config!$B$27*MAX(0,MIN(100,(1-IF($O57="",0,$O57))*100)) + Config!$B$28*MAX(0,MIN(100,(1-MIN(1,IF(Config!$B$30=0,1,$P57/Config!$B$30)))*100)) + Config!$B$29*MAX(0,MIN(100,MIN(1,IF($Q57="",0,$Q57)/Config!$B$23)*100)))),MIN(100,Config!$B$27*MAX(0,MIN(100,(1-IF($O57="",0,$O57))*100)) + Config!$B$28*MAX(0,MIN(100,(1-MIN(1,IF(Config!$B$30=0,1,$P57/Config!$B$30)))*100)) + Config!$B$29*MAX(0,MIN(100,MIN(1,IF($Q57="",0,$Q57)/Config!$B$23)*100))))),"")
</f>
        <v/>
      </c>
      <c r="S57" s="40" t="str">
        <f>IF(Bids!$AC57="","",Bids!$AC57)</f>
        <v/>
      </c>
      <c r="T57" s="40" t="str">
        <f>IF(Bids!$F57="","",Bids!$F57)</f>
        <v/>
      </c>
      <c r="U57" s="40" t="str">
        <f t="shared" si="3"/>
        <v/>
      </c>
      <c r="V57" s="40" t="str">
        <f>IF($U57="","",IF(Config!$B$17=Config!$B$16,IF($U57&gt;=Config!$B$17,100,0),MAX(0,MIN(100,($U57-Config!$B$16)/(Config!$B$17-Config!$B$16)*100))))</f>
        <v/>
      </c>
      <c r="W57" s="40">
        <f>IF($L57="Elite",Config!$B$21,0)</f>
        <v>0</v>
      </c>
      <c r="X57" s="40" t="str">
        <f>IFERROR(IF(OR($T57="",$G57=""),"",IF($T57&gt;$G57,
  MAX(0, 60-(($T57-$G57)*24/Config!$B$19)*60),
  MEDIAN(60, 100, 60+(($G57-$T57)*24/Config!$B$20)*40)
)),"")
</f>
        <v/>
      </c>
      <c r="Y57" s="40" t="str">
        <f>IF($J57="","",IFERROR(VLOOKUP($J57,Grinders!$A:$N,10,FALSE),""))</f>
        <v/>
      </c>
      <c r="Z57" s="40" t="str">
        <f>IF($J57="","",IFERROR(VLOOKUP($J57,Grinders!$A:$N,11,FALSE),""))</f>
        <v/>
      </c>
      <c r="AA57" s="40" t="str">
        <f>IF($J57="","",IFERROR(VLOOKUP($J57,Grinders!$A:$N,12,FALSE),""))</f>
        <v/>
      </c>
      <c r="AB57" s="40" t="str">
        <f>IF(OR(AL57=1,AM57=1),0,=IFERROR(IF(OR($C57="",$J57=""),0,IF($D57&lt;&gt;"Open",0,IF(COUNTIFS(GrinderServices!$A:$A,$J57,GrinderServices!$B:$B,$E57,GrinderServices!$D:$D,"Y")=0,0,IF($U57&lt;Config!$B$16,0,IF(Config!$B$18=1,IF($N57&gt;=$M57,0,1),1))))),""))</f>
        <v>#ERROR!</v>
      </c>
      <c r="AC57" s="40" t="str">
        <f>IFERROR((IF(OR(AL57=1,AM57=1),"",=IFERROR((IFERROR(IF($AB57=0,"",((Config!$B$6*$V57 + Config!$B$7*$R57 + Config!$B$8*$W57 + Config!$B$9*$X57 + Config!$B$10*$Y57 + Config!$B$11*$Z57 - Config!$B$12*$AA57)/Config!$B$13)+$AH57+$AI57),""))*(1-IFERROR(VLOOKUP(J57,Grinders!$A:$AB, 28, FALSE),0)),"")))*(1+AO57),"")</f>
        <v>#ERROR!</v>
      </c>
      <c r="AD57" s="40" t="str">
        <f t="shared" si="4"/>
        <v/>
      </c>
      <c r="AE57" s="40" t="str">
        <f>IFERROR(__xludf.DUMMYFUNCTION("IF($AC57="""","""",IF($AC57=IFERROR(MAX(FILTER($AC$6:$AC$1000,$C$6:$C$1000=$C57,$AB$6:$AB$1000=1)),),""WINNER"",""""))"),"#ERROR!")</f>
        <v>#ERROR!</v>
      </c>
      <c r="AF57" s="40" t="str">
        <f t="shared" si="5"/>
        <v/>
      </c>
      <c r="AG57" s="40" t="str">
        <f>IF($J57="","",COUNTIF(Assignments!$B:$B,$J57))</f>
        <v/>
      </c>
      <c r="AH57" s="40" t="str">
        <f>IF($J57="","",IF(AND($AG57=0,$N57&lt;$M57),Config!$B$43,0))</f>
        <v/>
      </c>
      <c r="AI57" s="40" t="str">
        <f>IF($J57="","",IF(AND($L57="Elite",$F57&gt;=Config!$B$41,$N57&lt;$M57),Config!$B$42,0))</f>
        <v/>
      </c>
      <c r="AJ57" s="22"/>
      <c r="AK57" s="39">
        <f>IFERROR(VLOOKUP(J57,Grinders!$A:$Q,28,FALSE),0)</f>
        <v>0</v>
      </c>
      <c r="AL57" s="39">
        <f>IF(Config!$B$1003&lt;&gt;"Y",0,IF(IFERROR(VLOOKUP(J57,Grinders!$A:$P,27,FALSE),0)&gt;=3,IF(OR(F57&gt;=Config!$B$1001,ISNUMBER(SEARCH(E57,Config!$B$1002))),1,0),0))</f>
        <v>0</v>
      </c>
      <c r="AM57" s="39">
        <f t="array" ref="AM57">IFERROR(IF(INDEX(Bids!$AE:$AE,MATCH(B57,Bids!$A:$A,0))="Pending",1,0),0)</f>
        <v>0</v>
      </c>
      <c r="AN57" s="39" t="str">
        <f t="array" ref="AN57">IF(C57="","",IFERROR(XLOOKUP(C57,Assignments!$C:$C,Assignments!$AU:$AU,0),0))</f>
        <v/>
      </c>
      <c r="AO57" s="39">
        <f>IF(AND(Config!$B$1006="Y",AN57=1),Config!$B$1007,0)</f>
        <v>0</v>
      </c>
    </row>
    <row r="58" ht="15.75" customHeight="1">
      <c r="A58" s="46" t="str">
        <f t="shared" si="1"/>
        <v/>
      </c>
      <c r="B58" s="40" t="str">
        <f>IF(Bids!$A58="","",Bids!$A58)</f>
        <v/>
      </c>
      <c r="C58" s="40" t="str">
        <f>IF(Bids!$B58="","",Bids!$B58)</f>
        <v/>
      </c>
      <c r="D58" s="40" t="str">
        <f>IF($C58="","",IFERROR(VLOOKUP($C58,Orders!$A:$J,9,FALSE),""))</f>
        <v/>
      </c>
      <c r="E58" s="40" t="str">
        <f>IF($C58="","",IFERROR(VLOOKUP($C58,Orders!$A:$J,3,FALSE),""))</f>
        <v/>
      </c>
      <c r="F58" s="40" t="str">
        <f>IF($C58="","",IFERROR(VLOOKUP($C58,Orders!$A:$J,4,FALSE),""))</f>
        <v/>
      </c>
      <c r="G58" s="40" t="str">
        <f>IF($C58="","",IFERROR(VLOOKUP($C58,Orders!$A:$J,5,FALSE),""))</f>
        <v/>
      </c>
      <c r="H58" s="40" t="str">
        <f>IF($C58="","",IFERROR(VLOOKUP($C58,Orders!$A:$J,6,FALSE),""))</f>
        <v/>
      </c>
      <c r="I58" s="40" t="str">
        <f>IF($C58="","",IFERROR(VLOOKUP($C58,Orders!$A:$J,7,FALSE),""))</f>
        <v/>
      </c>
      <c r="J58" s="40" t="str">
        <f>IF(Bids!$C58="","",Bids!$C58)</f>
        <v/>
      </c>
      <c r="K58" s="40" t="str">
        <f>IF($J58="","",IFERROR(VLOOKUP($J58,Grinders!$A:$N,2,FALSE),""))</f>
        <v/>
      </c>
      <c r="L58" s="40" t="str">
        <f>IF($J58="","",IFERROR(VLOOKUP($J58,Grinders!$A:$N,3,FALSE),""))</f>
        <v/>
      </c>
      <c r="M58" s="40" t="str">
        <f>IF($J58="","",IFERROR(VLOOKUP($J58,Grinders!$A:$N,4,FALSE),""))</f>
        <v/>
      </c>
      <c r="N58" s="40" t="str">
        <f>IF($J58="","",IFERROR(VLOOKUP($J58,Grinders!$A:$N,5,FALSE),""))</f>
        <v/>
      </c>
      <c r="O58" s="40" t="str">
        <f t="shared" si="2"/>
        <v/>
      </c>
      <c r="P58" s="40" t="str">
        <f>IF($J58="","",IFERROR(VLOOKUP($J58,Grinders!$A:$N,6,FALSE),""))</f>
        <v/>
      </c>
      <c r="Q58" s="40" t="str">
        <f>IF($J58="","",IFERROR(VLOOKUP($J58,Grinders!$A:$N,8,FALSE),""))</f>
        <v/>
      </c>
      <c r="R58" s="40" t="str">
        <f>IFERROR(IF($J58="","",IF($L58="Elite",MAX(50,MIN(100,Config!$B$27*MAX(0,MIN(100,(1-IF($O58="",0,$O58))*100)) + Config!$B$28*MAX(0,MIN(100,(1-MIN(1,IF(Config!$B$30=0,1,$P58/Config!$B$30)))*100)) + Config!$B$29*MAX(0,MIN(100,MIN(1,IF($Q58="",0,$Q58)/Config!$B$23)*100)))),MIN(100,Config!$B$27*MAX(0,MIN(100,(1-IF($O58="",0,$O58))*100)) + Config!$B$28*MAX(0,MIN(100,(1-MIN(1,IF(Config!$B$30=0,1,$P58/Config!$B$30)))*100)) + Config!$B$29*MAX(0,MIN(100,MIN(1,IF($Q58="",0,$Q58)/Config!$B$23)*100))))),"")
</f>
        <v/>
      </c>
      <c r="S58" s="40" t="str">
        <f>IF(Bids!$AC58="","",Bids!$AC58)</f>
        <v/>
      </c>
      <c r="T58" s="40" t="str">
        <f>IF(Bids!$F58="","",Bids!$F58)</f>
        <v/>
      </c>
      <c r="U58" s="40" t="str">
        <f t="shared" si="3"/>
        <v/>
      </c>
      <c r="V58" s="40" t="str">
        <f>IF($U58="","",IF(Config!$B$17=Config!$B$16,IF($U58&gt;=Config!$B$17,100,0),MAX(0,MIN(100,($U58-Config!$B$16)/(Config!$B$17-Config!$B$16)*100))))</f>
        <v/>
      </c>
      <c r="W58" s="40">
        <f>IF($L58="Elite",Config!$B$21,0)</f>
        <v>0</v>
      </c>
      <c r="X58" s="40" t="str">
        <f>IFERROR(IF(OR($T58="",$G58=""),"",IF($T58&gt;$G58,
  MAX(0, 60-(($T58-$G58)*24/Config!$B$19)*60),
  MEDIAN(60, 100, 60+(($G58-$T58)*24/Config!$B$20)*40)
)),"")
</f>
        <v/>
      </c>
      <c r="Y58" s="40" t="str">
        <f>IF($J58="","",IFERROR(VLOOKUP($J58,Grinders!$A:$N,10,FALSE),""))</f>
        <v/>
      </c>
      <c r="Z58" s="40" t="str">
        <f>IF($J58="","",IFERROR(VLOOKUP($J58,Grinders!$A:$N,11,FALSE),""))</f>
        <v/>
      </c>
      <c r="AA58" s="40" t="str">
        <f>IF($J58="","",IFERROR(VLOOKUP($J58,Grinders!$A:$N,12,FALSE),""))</f>
        <v/>
      </c>
      <c r="AB58" s="40" t="str">
        <f>IF(OR(AL58=1,AM58=1),0,=IFERROR(IF(OR($C58="",$J58=""),0,IF($D58&lt;&gt;"Open",0,IF(COUNTIFS(GrinderServices!$A:$A,$J58,GrinderServices!$B:$B,$E58,GrinderServices!$D:$D,"Y")=0,0,IF($U58&lt;Config!$B$16,0,IF(Config!$B$18=1,IF($N58&gt;=$M58,0,1),1))))),""))</f>
        <v>#ERROR!</v>
      </c>
      <c r="AC58" s="40" t="str">
        <f>IFERROR((IF(OR(AL58=1,AM58=1),"",=IFERROR((IFERROR(IF($AB58=0,"",((Config!$B$6*$V58 + Config!$B$7*$R58 + Config!$B$8*$W58 + Config!$B$9*$X58 + Config!$B$10*$Y58 + Config!$B$11*$Z58 - Config!$B$12*$AA58)/Config!$B$13)+$AH58+$AI58),""))*(1-IFERROR(VLOOKUP(J58,Grinders!$A:$AB, 28, FALSE),0)),"")))*(1+AO58),"")</f>
        <v>#ERROR!</v>
      </c>
      <c r="AD58" s="40" t="str">
        <f t="shared" si="4"/>
        <v/>
      </c>
      <c r="AE58" s="40" t="str">
        <f>IFERROR(__xludf.DUMMYFUNCTION("IF($AC58="""","""",IF($AC58=IFERROR(MAX(FILTER($AC$6:$AC$1000,$C$6:$C$1000=$C58,$AB$6:$AB$1000=1)),),""WINNER"",""""))"),"#ERROR!")</f>
        <v>#ERROR!</v>
      </c>
      <c r="AF58" s="40" t="str">
        <f t="shared" si="5"/>
        <v/>
      </c>
      <c r="AG58" s="40" t="str">
        <f>IF($J58="","",COUNTIF(Assignments!$B:$B,$J58))</f>
        <v/>
      </c>
      <c r="AH58" s="40" t="str">
        <f>IF($J58="","",IF(AND($AG58=0,$N58&lt;$M58),Config!$B$43,0))</f>
        <v/>
      </c>
      <c r="AI58" s="40" t="str">
        <f>IF($J58="","",IF(AND($L58="Elite",$F58&gt;=Config!$B$41,$N58&lt;$M58),Config!$B$42,0))</f>
        <v/>
      </c>
      <c r="AJ58" s="22"/>
      <c r="AK58" s="39">
        <f>IFERROR(VLOOKUP(J58,Grinders!$A:$Q,28,FALSE),0)</f>
        <v>0</v>
      </c>
      <c r="AL58" s="39">
        <f>IF(Config!$B$1003&lt;&gt;"Y",0,IF(IFERROR(VLOOKUP(J58,Grinders!$A:$P,27,FALSE),0)&gt;=3,IF(OR(F58&gt;=Config!$B$1001,ISNUMBER(SEARCH(E58,Config!$B$1002))),1,0),0))</f>
        <v>0</v>
      </c>
      <c r="AM58" s="39">
        <f t="array" ref="AM58">IFERROR(IF(INDEX(Bids!$AE:$AE,MATCH(B58,Bids!$A:$A,0))="Pending",1,0),0)</f>
        <v>0</v>
      </c>
      <c r="AN58" s="39" t="str">
        <f t="array" ref="AN58">IF(C58="","",IFERROR(XLOOKUP(C58,Assignments!$C:$C,Assignments!$AU:$AU,0),0))</f>
        <v/>
      </c>
      <c r="AO58" s="39">
        <f>IF(AND(Config!$B$1006="Y",AN58=1),Config!$B$1007,0)</f>
        <v>0</v>
      </c>
    </row>
    <row r="59" ht="15.75" customHeight="1">
      <c r="A59" s="46" t="str">
        <f t="shared" si="1"/>
        <v/>
      </c>
      <c r="B59" s="40" t="str">
        <f>IF(Bids!$A59="","",Bids!$A59)</f>
        <v/>
      </c>
      <c r="C59" s="40" t="str">
        <f>IF(Bids!$B59="","",Bids!$B59)</f>
        <v/>
      </c>
      <c r="D59" s="40" t="str">
        <f>IF($C59="","",IFERROR(VLOOKUP($C59,Orders!$A:$J,9,FALSE),""))</f>
        <v/>
      </c>
      <c r="E59" s="40" t="str">
        <f>IF($C59="","",IFERROR(VLOOKUP($C59,Orders!$A:$J,3,FALSE),""))</f>
        <v/>
      </c>
      <c r="F59" s="40" t="str">
        <f>IF($C59="","",IFERROR(VLOOKUP($C59,Orders!$A:$J,4,FALSE),""))</f>
        <v/>
      </c>
      <c r="G59" s="40" t="str">
        <f>IF($C59="","",IFERROR(VLOOKUP($C59,Orders!$A:$J,5,FALSE),""))</f>
        <v/>
      </c>
      <c r="H59" s="40" t="str">
        <f>IF($C59="","",IFERROR(VLOOKUP($C59,Orders!$A:$J,6,FALSE),""))</f>
        <v/>
      </c>
      <c r="I59" s="40" t="str">
        <f>IF($C59="","",IFERROR(VLOOKUP($C59,Orders!$A:$J,7,FALSE),""))</f>
        <v/>
      </c>
      <c r="J59" s="40" t="str">
        <f>IF(Bids!$C59="","",Bids!$C59)</f>
        <v/>
      </c>
      <c r="K59" s="40" t="str">
        <f>IF($J59="","",IFERROR(VLOOKUP($J59,Grinders!$A:$N,2,FALSE),""))</f>
        <v/>
      </c>
      <c r="L59" s="40" t="str">
        <f>IF($J59="","",IFERROR(VLOOKUP($J59,Grinders!$A:$N,3,FALSE),""))</f>
        <v/>
      </c>
      <c r="M59" s="40" t="str">
        <f>IF($J59="","",IFERROR(VLOOKUP($J59,Grinders!$A:$N,4,FALSE),""))</f>
        <v/>
      </c>
      <c r="N59" s="40" t="str">
        <f>IF($J59="","",IFERROR(VLOOKUP($J59,Grinders!$A:$N,5,FALSE),""))</f>
        <v/>
      </c>
      <c r="O59" s="40" t="str">
        <f t="shared" si="2"/>
        <v/>
      </c>
      <c r="P59" s="40" t="str">
        <f>IF($J59="","",IFERROR(VLOOKUP($J59,Grinders!$A:$N,6,FALSE),""))</f>
        <v/>
      </c>
      <c r="Q59" s="40" t="str">
        <f>IF($J59="","",IFERROR(VLOOKUP($J59,Grinders!$A:$N,8,FALSE),""))</f>
        <v/>
      </c>
      <c r="R59" s="40" t="str">
        <f>IFERROR(IF($J59="","",IF($L59="Elite",MAX(50,MIN(100,Config!$B$27*MAX(0,MIN(100,(1-IF($O59="",0,$O59))*100)) + Config!$B$28*MAX(0,MIN(100,(1-MIN(1,IF(Config!$B$30=0,1,$P59/Config!$B$30)))*100)) + Config!$B$29*MAX(0,MIN(100,MIN(1,IF($Q59="",0,$Q59)/Config!$B$23)*100)))),MIN(100,Config!$B$27*MAX(0,MIN(100,(1-IF($O59="",0,$O59))*100)) + Config!$B$28*MAX(0,MIN(100,(1-MIN(1,IF(Config!$B$30=0,1,$P59/Config!$B$30)))*100)) + Config!$B$29*MAX(0,MIN(100,MIN(1,IF($Q59="",0,$Q59)/Config!$B$23)*100))))),"")
</f>
        <v/>
      </c>
      <c r="S59" s="40" t="str">
        <f>IF(Bids!$AC59="","",Bids!$AC59)</f>
        <v/>
      </c>
      <c r="T59" s="40" t="str">
        <f>IF(Bids!$F59="","",Bids!$F59)</f>
        <v/>
      </c>
      <c r="U59" s="40" t="str">
        <f t="shared" si="3"/>
        <v/>
      </c>
      <c r="V59" s="40" t="str">
        <f>IF($U59="","",IF(Config!$B$17=Config!$B$16,IF($U59&gt;=Config!$B$17,100,0),MAX(0,MIN(100,($U59-Config!$B$16)/(Config!$B$17-Config!$B$16)*100))))</f>
        <v/>
      </c>
      <c r="W59" s="40">
        <f>IF($L59="Elite",Config!$B$21,0)</f>
        <v>0</v>
      </c>
      <c r="X59" s="40" t="str">
        <f>IFERROR(IF(OR($T59="",$G59=""),"",IF($T59&gt;$G59,
  MAX(0, 60-(($T59-$G59)*24/Config!$B$19)*60),
  MEDIAN(60, 100, 60+(($G59-$T59)*24/Config!$B$20)*40)
)),"")
</f>
        <v/>
      </c>
      <c r="Y59" s="40" t="str">
        <f>IF($J59="","",IFERROR(VLOOKUP($J59,Grinders!$A:$N,10,FALSE),""))</f>
        <v/>
      </c>
      <c r="Z59" s="40" t="str">
        <f>IF($J59="","",IFERROR(VLOOKUP($J59,Grinders!$A:$N,11,FALSE),""))</f>
        <v/>
      </c>
      <c r="AA59" s="40" t="str">
        <f>IF($J59="","",IFERROR(VLOOKUP($J59,Grinders!$A:$N,12,FALSE),""))</f>
        <v/>
      </c>
      <c r="AB59" s="40" t="str">
        <f>IF(OR(AL59=1,AM59=1),0,=IFERROR(IF(OR($C59="",$J59=""),0,IF($D59&lt;&gt;"Open",0,IF(COUNTIFS(GrinderServices!$A:$A,$J59,GrinderServices!$B:$B,$E59,GrinderServices!$D:$D,"Y")=0,0,IF($U59&lt;Config!$B$16,0,IF(Config!$B$18=1,IF($N59&gt;=$M59,0,1),1))))),""))</f>
        <v>#ERROR!</v>
      </c>
      <c r="AC59" s="40" t="str">
        <f>IFERROR((IF(OR(AL59=1,AM59=1),"",=IFERROR((IFERROR(IF($AB59=0,"",((Config!$B$6*$V59 + Config!$B$7*$R59 + Config!$B$8*$W59 + Config!$B$9*$X59 + Config!$B$10*$Y59 + Config!$B$11*$Z59 - Config!$B$12*$AA59)/Config!$B$13)+$AH59+$AI59),""))*(1-IFERROR(VLOOKUP(J59,Grinders!$A:$AB, 28, FALSE),0)),"")))*(1+AO59),"")</f>
        <v>#ERROR!</v>
      </c>
      <c r="AD59" s="40" t="str">
        <f t="shared" si="4"/>
        <v/>
      </c>
      <c r="AE59" s="40" t="str">
        <f>IFERROR(__xludf.DUMMYFUNCTION("IF($AC59="""","""",IF($AC59=IFERROR(MAX(FILTER($AC$6:$AC$1000,$C$6:$C$1000=$C59,$AB$6:$AB$1000=1)),),""WINNER"",""""))"),"#ERROR!")</f>
        <v>#ERROR!</v>
      </c>
      <c r="AF59" s="40" t="str">
        <f t="shared" si="5"/>
        <v/>
      </c>
      <c r="AG59" s="40" t="str">
        <f>IF($J59="","",COUNTIF(Assignments!$B:$B,$J59))</f>
        <v/>
      </c>
      <c r="AH59" s="40" t="str">
        <f>IF($J59="","",IF(AND($AG59=0,$N59&lt;$M59),Config!$B$43,0))</f>
        <v/>
      </c>
      <c r="AI59" s="40" t="str">
        <f>IF($J59="","",IF(AND($L59="Elite",$F59&gt;=Config!$B$41,$N59&lt;$M59),Config!$B$42,0))</f>
        <v/>
      </c>
      <c r="AJ59" s="22"/>
      <c r="AK59" s="39">
        <f>IFERROR(VLOOKUP(J59,Grinders!$A:$Q,28,FALSE),0)</f>
        <v>0</v>
      </c>
      <c r="AL59" s="39">
        <f>IF(Config!$B$1003&lt;&gt;"Y",0,IF(IFERROR(VLOOKUP(J59,Grinders!$A:$P,27,FALSE),0)&gt;=3,IF(OR(F59&gt;=Config!$B$1001,ISNUMBER(SEARCH(E59,Config!$B$1002))),1,0),0))</f>
        <v>0</v>
      </c>
      <c r="AM59" s="39">
        <f t="array" ref="AM59">IFERROR(IF(INDEX(Bids!$AE:$AE,MATCH(B59,Bids!$A:$A,0))="Pending",1,0),0)</f>
        <v>0</v>
      </c>
      <c r="AN59" s="39" t="str">
        <f t="array" ref="AN59">IF(C59="","",IFERROR(XLOOKUP(C59,Assignments!$C:$C,Assignments!$AU:$AU,0),0))</f>
        <v/>
      </c>
      <c r="AO59" s="39">
        <f>IF(AND(Config!$B$1006="Y",AN59=1),Config!$B$1007,0)</f>
        <v>0</v>
      </c>
    </row>
    <row r="60" ht="15.75" customHeight="1">
      <c r="A60" s="46" t="str">
        <f t="shared" si="1"/>
        <v/>
      </c>
      <c r="B60" s="40" t="str">
        <f>IF(Bids!$A60="","",Bids!$A60)</f>
        <v/>
      </c>
      <c r="C60" s="40" t="str">
        <f>IF(Bids!$B60="","",Bids!$B60)</f>
        <v/>
      </c>
      <c r="D60" s="40" t="str">
        <f>IF($C60="","",IFERROR(VLOOKUP($C60,Orders!$A:$J,9,FALSE),""))</f>
        <v/>
      </c>
      <c r="E60" s="40" t="str">
        <f>IF($C60="","",IFERROR(VLOOKUP($C60,Orders!$A:$J,3,FALSE),""))</f>
        <v/>
      </c>
      <c r="F60" s="40" t="str">
        <f>IF($C60="","",IFERROR(VLOOKUP($C60,Orders!$A:$J,4,FALSE),""))</f>
        <v/>
      </c>
      <c r="G60" s="40" t="str">
        <f>IF($C60="","",IFERROR(VLOOKUP($C60,Orders!$A:$J,5,FALSE),""))</f>
        <v/>
      </c>
      <c r="H60" s="40" t="str">
        <f>IF($C60="","",IFERROR(VLOOKUP($C60,Orders!$A:$J,6,FALSE),""))</f>
        <v/>
      </c>
      <c r="I60" s="40" t="str">
        <f>IF($C60="","",IFERROR(VLOOKUP($C60,Orders!$A:$J,7,FALSE),""))</f>
        <v/>
      </c>
      <c r="J60" s="40" t="str">
        <f>IF(Bids!$C60="","",Bids!$C60)</f>
        <v/>
      </c>
      <c r="K60" s="40" t="str">
        <f>IF($J60="","",IFERROR(VLOOKUP($J60,Grinders!$A:$N,2,FALSE),""))</f>
        <v/>
      </c>
      <c r="L60" s="40" t="str">
        <f>IF($J60="","",IFERROR(VLOOKUP($J60,Grinders!$A:$N,3,FALSE),""))</f>
        <v/>
      </c>
      <c r="M60" s="40" t="str">
        <f>IF($J60="","",IFERROR(VLOOKUP($J60,Grinders!$A:$N,4,FALSE),""))</f>
        <v/>
      </c>
      <c r="N60" s="40" t="str">
        <f>IF($J60="","",IFERROR(VLOOKUP($J60,Grinders!$A:$N,5,FALSE),""))</f>
        <v/>
      </c>
      <c r="O60" s="40" t="str">
        <f t="shared" si="2"/>
        <v/>
      </c>
      <c r="P60" s="40" t="str">
        <f>IF($J60="","",IFERROR(VLOOKUP($J60,Grinders!$A:$N,6,FALSE),""))</f>
        <v/>
      </c>
      <c r="Q60" s="40" t="str">
        <f>IF($J60="","",IFERROR(VLOOKUP($J60,Grinders!$A:$N,8,FALSE),""))</f>
        <v/>
      </c>
      <c r="R60" s="40" t="str">
        <f>IFERROR(IF($J60="","",IF($L60="Elite",MAX(50,MIN(100,Config!$B$27*MAX(0,MIN(100,(1-IF($O60="",0,$O60))*100)) + Config!$B$28*MAX(0,MIN(100,(1-MIN(1,IF(Config!$B$30=0,1,$P60/Config!$B$30)))*100)) + Config!$B$29*MAX(0,MIN(100,MIN(1,IF($Q60="",0,$Q60)/Config!$B$23)*100)))),MIN(100,Config!$B$27*MAX(0,MIN(100,(1-IF($O60="",0,$O60))*100)) + Config!$B$28*MAX(0,MIN(100,(1-MIN(1,IF(Config!$B$30=0,1,$P60/Config!$B$30)))*100)) + Config!$B$29*MAX(0,MIN(100,MIN(1,IF($Q60="",0,$Q60)/Config!$B$23)*100))))),"")
</f>
        <v/>
      </c>
      <c r="S60" s="40" t="str">
        <f>IF(Bids!$AC60="","",Bids!$AC60)</f>
        <v/>
      </c>
      <c r="T60" s="40" t="str">
        <f>IF(Bids!$F60="","",Bids!$F60)</f>
        <v/>
      </c>
      <c r="U60" s="40" t="str">
        <f t="shared" si="3"/>
        <v/>
      </c>
      <c r="V60" s="40" t="str">
        <f>IF($U60="","",IF(Config!$B$17=Config!$B$16,IF($U60&gt;=Config!$B$17,100,0),MAX(0,MIN(100,($U60-Config!$B$16)/(Config!$B$17-Config!$B$16)*100))))</f>
        <v/>
      </c>
      <c r="W60" s="40">
        <f>IF($L60="Elite",Config!$B$21,0)</f>
        <v>0</v>
      </c>
      <c r="X60" s="40" t="str">
        <f>IFERROR(IF(OR($T60="",$G60=""),"",IF($T60&gt;$G60,
  MAX(0, 60-(($T60-$G60)*24/Config!$B$19)*60),
  MEDIAN(60, 100, 60+(($G60-$T60)*24/Config!$B$20)*40)
)),"")
</f>
        <v/>
      </c>
      <c r="Y60" s="40" t="str">
        <f>IF($J60="","",IFERROR(VLOOKUP($J60,Grinders!$A:$N,10,FALSE),""))</f>
        <v/>
      </c>
      <c r="Z60" s="40" t="str">
        <f>IF($J60="","",IFERROR(VLOOKUP($J60,Grinders!$A:$N,11,FALSE),""))</f>
        <v/>
      </c>
      <c r="AA60" s="40" t="str">
        <f>IF($J60="","",IFERROR(VLOOKUP($J60,Grinders!$A:$N,12,FALSE),""))</f>
        <v/>
      </c>
      <c r="AB60" s="40" t="str">
        <f>IF(OR(AL60=1,AM60=1),0,=IFERROR(IF(OR($C60="",$J60=""),0,IF($D60&lt;&gt;"Open",0,IF(COUNTIFS(GrinderServices!$A:$A,$J60,GrinderServices!$B:$B,$E60,GrinderServices!$D:$D,"Y")=0,0,IF($U60&lt;Config!$B$16,0,IF(Config!$B$18=1,IF($N60&gt;=$M60,0,1),1))))),""))</f>
        <v>#ERROR!</v>
      </c>
      <c r="AC60" s="40" t="str">
        <f>IFERROR((IF(OR(AL60=1,AM60=1),"",=IFERROR((IFERROR(IF($AB60=0,"",((Config!$B$6*$V60 + Config!$B$7*$R60 + Config!$B$8*$W60 + Config!$B$9*$X60 + Config!$B$10*$Y60 + Config!$B$11*$Z60 - Config!$B$12*$AA60)/Config!$B$13)+$AH60+$AI60),""))*(1-IFERROR(VLOOKUP(J60,Grinders!$A:$AB, 28, FALSE),0)),"")))*(1+AO60),"")</f>
        <v>#ERROR!</v>
      </c>
      <c r="AD60" s="40" t="str">
        <f t="shared" si="4"/>
        <v/>
      </c>
      <c r="AE60" s="40" t="str">
        <f>IFERROR(__xludf.DUMMYFUNCTION("IF($AC60="""","""",IF($AC60=IFERROR(MAX(FILTER($AC$6:$AC$1000,$C$6:$C$1000=$C60,$AB$6:$AB$1000=1)),),""WINNER"",""""))"),"#ERROR!")</f>
        <v>#ERROR!</v>
      </c>
      <c r="AF60" s="40" t="str">
        <f t="shared" si="5"/>
        <v/>
      </c>
      <c r="AG60" s="40" t="str">
        <f>IF($J60="","",COUNTIF(Assignments!$B:$B,$J60))</f>
        <v/>
      </c>
      <c r="AH60" s="40" t="str">
        <f>IF($J60="","",IF(AND($AG60=0,$N60&lt;$M60),Config!$B$43,0))</f>
        <v/>
      </c>
      <c r="AI60" s="40" t="str">
        <f>IF($J60="","",IF(AND($L60="Elite",$F60&gt;=Config!$B$41,$N60&lt;$M60),Config!$B$42,0))</f>
        <v/>
      </c>
      <c r="AJ60" s="22"/>
      <c r="AK60" s="39">
        <f>IFERROR(VLOOKUP(J60,Grinders!$A:$Q,28,FALSE),0)</f>
        <v>0</v>
      </c>
      <c r="AL60" s="39">
        <f>IF(Config!$B$1003&lt;&gt;"Y",0,IF(IFERROR(VLOOKUP(J60,Grinders!$A:$P,27,FALSE),0)&gt;=3,IF(OR(F60&gt;=Config!$B$1001,ISNUMBER(SEARCH(E60,Config!$B$1002))),1,0),0))</f>
        <v>0</v>
      </c>
      <c r="AM60" s="39">
        <f t="array" ref="AM60">IFERROR(IF(INDEX(Bids!$AE:$AE,MATCH(B60,Bids!$A:$A,0))="Pending",1,0),0)</f>
        <v>0</v>
      </c>
      <c r="AN60" s="39" t="str">
        <f t="array" ref="AN60">IF(C60="","",IFERROR(XLOOKUP(C60,Assignments!$C:$C,Assignments!$AU:$AU,0),0))</f>
        <v/>
      </c>
      <c r="AO60" s="39">
        <f>IF(AND(Config!$B$1006="Y",AN60=1),Config!$B$1007,0)</f>
        <v>0</v>
      </c>
    </row>
    <row r="61" ht="15.75" customHeight="1">
      <c r="A61" s="46" t="str">
        <f t="shared" si="1"/>
        <v/>
      </c>
      <c r="B61" s="40" t="str">
        <f>IF(Bids!$A61="","",Bids!$A61)</f>
        <v/>
      </c>
      <c r="C61" s="40" t="str">
        <f>IF(Bids!$B61="","",Bids!$B61)</f>
        <v/>
      </c>
      <c r="D61" s="40" t="str">
        <f>IF($C61="","",IFERROR(VLOOKUP($C61,Orders!$A:$J,9,FALSE),""))</f>
        <v/>
      </c>
      <c r="E61" s="40" t="str">
        <f>IF($C61="","",IFERROR(VLOOKUP($C61,Orders!$A:$J,3,FALSE),""))</f>
        <v/>
      </c>
      <c r="F61" s="40" t="str">
        <f>IF($C61="","",IFERROR(VLOOKUP($C61,Orders!$A:$J,4,FALSE),""))</f>
        <v/>
      </c>
      <c r="G61" s="40" t="str">
        <f>IF($C61="","",IFERROR(VLOOKUP($C61,Orders!$A:$J,5,FALSE),""))</f>
        <v/>
      </c>
      <c r="H61" s="40" t="str">
        <f>IF($C61="","",IFERROR(VLOOKUP($C61,Orders!$A:$J,6,FALSE),""))</f>
        <v/>
      </c>
      <c r="I61" s="40" t="str">
        <f>IF($C61="","",IFERROR(VLOOKUP($C61,Orders!$A:$J,7,FALSE),""))</f>
        <v/>
      </c>
      <c r="J61" s="40" t="str">
        <f>IF(Bids!$C61="","",Bids!$C61)</f>
        <v/>
      </c>
      <c r="K61" s="40" t="str">
        <f>IF($J61="","",IFERROR(VLOOKUP($J61,Grinders!$A:$N,2,FALSE),""))</f>
        <v/>
      </c>
      <c r="L61" s="40" t="str">
        <f>IF($J61="","",IFERROR(VLOOKUP($J61,Grinders!$A:$N,3,FALSE),""))</f>
        <v/>
      </c>
      <c r="M61" s="40" t="str">
        <f>IF($J61="","",IFERROR(VLOOKUP($J61,Grinders!$A:$N,4,FALSE),""))</f>
        <v/>
      </c>
      <c r="N61" s="40" t="str">
        <f>IF($J61="","",IFERROR(VLOOKUP($J61,Grinders!$A:$N,5,FALSE),""))</f>
        <v/>
      </c>
      <c r="O61" s="40" t="str">
        <f t="shared" si="2"/>
        <v/>
      </c>
      <c r="P61" s="40" t="str">
        <f>IF($J61="","",IFERROR(VLOOKUP($J61,Grinders!$A:$N,6,FALSE),""))</f>
        <v/>
      </c>
      <c r="Q61" s="40" t="str">
        <f>IF($J61="","",IFERROR(VLOOKUP($J61,Grinders!$A:$N,8,FALSE),""))</f>
        <v/>
      </c>
      <c r="R61" s="40" t="str">
        <f>IFERROR(IF($J61="","",IF($L61="Elite",MAX(50,MIN(100,Config!$B$27*MAX(0,MIN(100,(1-IF($O61="",0,$O61))*100)) + Config!$B$28*MAX(0,MIN(100,(1-MIN(1,IF(Config!$B$30=0,1,$P61/Config!$B$30)))*100)) + Config!$B$29*MAX(0,MIN(100,MIN(1,IF($Q61="",0,$Q61)/Config!$B$23)*100)))),MIN(100,Config!$B$27*MAX(0,MIN(100,(1-IF($O61="",0,$O61))*100)) + Config!$B$28*MAX(0,MIN(100,(1-MIN(1,IF(Config!$B$30=0,1,$P61/Config!$B$30)))*100)) + Config!$B$29*MAX(0,MIN(100,MIN(1,IF($Q61="",0,$Q61)/Config!$B$23)*100))))),"")
</f>
        <v/>
      </c>
      <c r="S61" s="40" t="str">
        <f>IF(Bids!$AC61="","",Bids!$AC61)</f>
        <v/>
      </c>
      <c r="T61" s="40" t="str">
        <f>IF(Bids!$F61="","",Bids!$F61)</f>
        <v/>
      </c>
      <c r="U61" s="40" t="str">
        <f t="shared" si="3"/>
        <v/>
      </c>
      <c r="V61" s="40" t="str">
        <f>IF($U61="","",IF(Config!$B$17=Config!$B$16,IF($U61&gt;=Config!$B$17,100,0),MAX(0,MIN(100,($U61-Config!$B$16)/(Config!$B$17-Config!$B$16)*100))))</f>
        <v/>
      </c>
      <c r="W61" s="40">
        <f>IF($L61="Elite",Config!$B$21,0)</f>
        <v>0</v>
      </c>
      <c r="X61" s="40" t="str">
        <f>IFERROR(IF(OR($T61="",$G61=""),"",IF($T61&gt;$G61,
  MAX(0, 60-(($T61-$G61)*24/Config!$B$19)*60),
  MEDIAN(60, 100, 60+(($G61-$T61)*24/Config!$B$20)*40)
)),"")
</f>
        <v/>
      </c>
      <c r="Y61" s="40" t="str">
        <f>IF($J61="","",IFERROR(VLOOKUP($J61,Grinders!$A:$N,10,FALSE),""))</f>
        <v/>
      </c>
      <c r="Z61" s="40" t="str">
        <f>IF($J61="","",IFERROR(VLOOKUP($J61,Grinders!$A:$N,11,FALSE),""))</f>
        <v/>
      </c>
      <c r="AA61" s="40" t="str">
        <f>IF($J61="","",IFERROR(VLOOKUP($J61,Grinders!$A:$N,12,FALSE),""))</f>
        <v/>
      </c>
      <c r="AB61" s="40" t="str">
        <f>IF(OR(AL61=1,AM61=1),0,=IFERROR(IF(OR($C61="",$J61=""),0,IF($D61&lt;&gt;"Open",0,IF(COUNTIFS(GrinderServices!$A:$A,$J61,GrinderServices!$B:$B,$E61,GrinderServices!$D:$D,"Y")=0,0,IF($U61&lt;Config!$B$16,0,IF(Config!$B$18=1,IF($N61&gt;=$M61,0,1),1))))),""))</f>
        <v>#ERROR!</v>
      </c>
      <c r="AC61" s="40" t="str">
        <f>IFERROR((IF(OR(AL61=1,AM61=1),"",=IFERROR((IFERROR(IF($AB61=0,"",((Config!$B$6*$V61 + Config!$B$7*$R61 + Config!$B$8*$W61 + Config!$B$9*$X61 + Config!$B$10*$Y61 + Config!$B$11*$Z61 - Config!$B$12*$AA61)/Config!$B$13)+$AH61+$AI61),""))*(1-IFERROR(VLOOKUP(J61,Grinders!$A:$AB, 28, FALSE),0)),"")))*(1+AO61),"")</f>
        <v>#ERROR!</v>
      </c>
      <c r="AD61" s="40" t="str">
        <f t="shared" si="4"/>
        <v/>
      </c>
      <c r="AE61" s="40" t="str">
        <f>IFERROR(__xludf.DUMMYFUNCTION("IF($AC61="""","""",IF($AC61=IFERROR(MAX(FILTER($AC$6:$AC$1000,$C$6:$C$1000=$C61,$AB$6:$AB$1000=1)),),""WINNER"",""""))"),"#ERROR!")</f>
        <v>#ERROR!</v>
      </c>
      <c r="AF61" s="40" t="str">
        <f t="shared" si="5"/>
        <v/>
      </c>
      <c r="AG61" s="40" t="str">
        <f>IF($J61="","",COUNTIF(Assignments!$B:$B,$J61))</f>
        <v/>
      </c>
      <c r="AH61" s="40" t="str">
        <f>IF($J61="","",IF(AND($AG61=0,$N61&lt;$M61),Config!$B$43,0))</f>
        <v/>
      </c>
      <c r="AI61" s="40" t="str">
        <f>IF($J61="","",IF(AND($L61="Elite",$F61&gt;=Config!$B$41,$N61&lt;$M61),Config!$B$42,0))</f>
        <v/>
      </c>
      <c r="AJ61" s="22"/>
      <c r="AK61" s="39">
        <f>IFERROR(VLOOKUP(J61,Grinders!$A:$Q,28,FALSE),0)</f>
        <v>0</v>
      </c>
      <c r="AL61" s="39">
        <f>IF(Config!$B$1003&lt;&gt;"Y",0,IF(IFERROR(VLOOKUP(J61,Grinders!$A:$P,27,FALSE),0)&gt;=3,IF(OR(F61&gt;=Config!$B$1001,ISNUMBER(SEARCH(E61,Config!$B$1002))),1,0),0))</f>
        <v>0</v>
      </c>
      <c r="AM61" s="39">
        <f t="array" ref="AM61">IFERROR(IF(INDEX(Bids!$AE:$AE,MATCH(B61,Bids!$A:$A,0))="Pending",1,0),0)</f>
        <v>0</v>
      </c>
      <c r="AN61" s="39" t="str">
        <f t="array" ref="AN61">IF(C61="","",IFERROR(XLOOKUP(C61,Assignments!$C:$C,Assignments!$AU:$AU,0),0))</f>
        <v/>
      </c>
      <c r="AO61" s="39">
        <f>IF(AND(Config!$B$1006="Y",AN61=1),Config!$B$1007,0)</f>
        <v>0</v>
      </c>
    </row>
    <row r="62" ht="15.75" customHeight="1">
      <c r="A62" s="46" t="str">
        <f t="shared" si="1"/>
        <v/>
      </c>
      <c r="B62" s="40" t="str">
        <f>IF(Bids!$A62="","",Bids!$A62)</f>
        <v/>
      </c>
      <c r="C62" s="40" t="str">
        <f>IF(Bids!$B62="","",Bids!$B62)</f>
        <v/>
      </c>
      <c r="D62" s="40" t="str">
        <f>IF($C62="","",IFERROR(VLOOKUP($C62,Orders!$A:$J,9,FALSE),""))</f>
        <v/>
      </c>
      <c r="E62" s="40" t="str">
        <f>IF($C62="","",IFERROR(VLOOKUP($C62,Orders!$A:$J,3,FALSE),""))</f>
        <v/>
      </c>
      <c r="F62" s="40" t="str">
        <f>IF($C62="","",IFERROR(VLOOKUP($C62,Orders!$A:$J,4,FALSE),""))</f>
        <v/>
      </c>
      <c r="G62" s="40" t="str">
        <f>IF($C62="","",IFERROR(VLOOKUP($C62,Orders!$A:$J,5,FALSE),""))</f>
        <v/>
      </c>
      <c r="H62" s="40" t="str">
        <f>IF($C62="","",IFERROR(VLOOKUP($C62,Orders!$A:$J,6,FALSE),""))</f>
        <v/>
      </c>
      <c r="I62" s="40" t="str">
        <f>IF($C62="","",IFERROR(VLOOKUP($C62,Orders!$A:$J,7,FALSE),""))</f>
        <v/>
      </c>
      <c r="J62" s="40" t="str">
        <f>IF(Bids!$C62="","",Bids!$C62)</f>
        <v/>
      </c>
      <c r="K62" s="40" t="str">
        <f>IF($J62="","",IFERROR(VLOOKUP($J62,Grinders!$A:$N,2,FALSE),""))</f>
        <v/>
      </c>
      <c r="L62" s="40" t="str">
        <f>IF($J62="","",IFERROR(VLOOKUP($J62,Grinders!$A:$N,3,FALSE),""))</f>
        <v/>
      </c>
      <c r="M62" s="40" t="str">
        <f>IF($J62="","",IFERROR(VLOOKUP($J62,Grinders!$A:$N,4,FALSE),""))</f>
        <v/>
      </c>
      <c r="N62" s="40" t="str">
        <f>IF($J62="","",IFERROR(VLOOKUP($J62,Grinders!$A:$N,5,FALSE),""))</f>
        <v/>
      </c>
      <c r="O62" s="40" t="str">
        <f t="shared" si="2"/>
        <v/>
      </c>
      <c r="P62" s="40" t="str">
        <f>IF($J62="","",IFERROR(VLOOKUP($J62,Grinders!$A:$N,6,FALSE),""))</f>
        <v/>
      </c>
      <c r="Q62" s="40" t="str">
        <f>IF($J62="","",IFERROR(VLOOKUP($J62,Grinders!$A:$N,8,FALSE),""))</f>
        <v/>
      </c>
      <c r="R62" s="40" t="str">
        <f>IFERROR(IF($J62="","",IF($L62="Elite",MAX(50,MIN(100,Config!$B$27*MAX(0,MIN(100,(1-IF($O62="",0,$O62))*100)) + Config!$B$28*MAX(0,MIN(100,(1-MIN(1,IF(Config!$B$30=0,1,$P62/Config!$B$30)))*100)) + Config!$B$29*MAX(0,MIN(100,MIN(1,IF($Q62="",0,$Q62)/Config!$B$23)*100)))),MIN(100,Config!$B$27*MAX(0,MIN(100,(1-IF($O62="",0,$O62))*100)) + Config!$B$28*MAX(0,MIN(100,(1-MIN(1,IF(Config!$B$30=0,1,$P62/Config!$B$30)))*100)) + Config!$B$29*MAX(0,MIN(100,MIN(1,IF($Q62="",0,$Q62)/Config!$B$23)*100))))),"")
</f>
        <v/>
      </c>
      <c r="S62" s="40" t="str">
        <f>IF(Bids!$AC62="","",Bids!$AC62)</f>
        <v/>
      </c>
      <c r="T62" s="40" t="str">
        <f>IF(Bids!$F62="","",Bids!$F62)</f>
        <v/>
      </c>
      <c r="U62" s="40" t="str">
        <f t="shared" si="3"/>
        <v/>
      </c>
      <c r="V62" s="40" t="str">
        <f>IF($U62="","",IF(Config!$B$17=Config!$B$16,IF($U62&gt;=Config!$B$17,100,0),MAX(0,MIN(100,($U62-Config!$B$16)/(Config!$B$17-Config!$B$16)*100))))</f>
        <v/>
      </c>
      <c r="W62" s="40">
        <f>IF($L62="Elite",Config!$B$21,0)</f>
        <v>0</v>
      </c>
      <c r="X62" s="40" t="str">
        <f>IFERROR(IF(OR($T62="",$G62=""),"",IF($T62&gt;$G62,
  MAX(0, 60-(($T62-$G62)*24/Config!$B$19)*60),
  MEDIAN(60, 100, 60+(($G62-$T62)*24/Config!$B$20)*40)
)),"")
</f>
        <v/>
      </c>
      <c r="Y62" s="40" t="str">
        <f>IF($J62="","",IFERROR(VLOOKUP($J62,Grinders!$A:$N,10,FALSE),""))</f>
        <v/>
      </c>
      <c r="Z62" s="40" t="str">
        <f>IF($J62="","",IFERROR(VLOOKUP($J62,Grinders!$A:$N,11,FALSE),""))</f>
        <v/>
      </c>
      <c r="AA62" s="40" t="str">
        <f>IF($J62="","",IFERROR(VLOOKUP($J62,Grinders!$A:$N,12,FALSE),""))</f>
        <v/>
      </c>
      <c r="AB62" s="40" t="str">
        <f>IF(OR(AL62=1,AM62=1),0,=IFERROR(IF(OR($C62="",$J62=""),0,IF($D62&lt;&gt;"Open",0,IF(COUNTIFS(GrinderServices!$A:$A,$J62,GrinderServices!$B:$B,$E62,GrinderServices!$D:$D,"Y")=0,0,IF($U62&lt;Config!$B$16,0,IF(Config!$B$18=1,IF($N62&gt;=$M62,0,1),1))))),""))</f>
        <v>#ERROR!</v>
      </c>
      <c r="AC62" s="40" t="str">
        <f>IFERROR((IF(OR(AL62=1,AM62=1),"",=IFERROR((IFERROR(IF($AB62=0,"",((Config!$B$6*$V62 + Config!$B$7*$R62 + Config!$B$8*$W62 + Config!$B$9*$X62 + Config!$B$10*$Y62 + Config!$B$11*$Z62 - Config!$B$12*$AA62)/Config!$B$13)+$AH62+$AI62),""))*(1-IFERROR(VLOOKUP(J62,Grinders!$A:$AB, 28, FALSE),0)),"")))*(1+AO62),"")</f>
        <v>#ERROR!</v>
      </c>
      <c r="AD62" s="40" t="str">
        <f t="shared" si="4"/>
        <v/>
      </c>
      <c r="AE62" s="40" t="str">
        <f>IFERROR(__xludf.DUMMYFUNCTION("IF($AC62="""","""",IF($AC62=IFERROR(MAX(FILTER($AC$6:$AC$1000,$C$6:$C$1000=$C62,$AB$6:$AB$1000=1)),),""WINNER"",""""))"),"#ERROR!")</f>
        <v>#ERROR!</v>
      </c>
      <c r="AF62" s="40" t="str">
        <f t="shared" si="5"/>
        <v/>
      </c>
      <c r="AG62" s="40" t="str">
        <f>IF($J62="","",COUNTIF(Assignments!$B:$B,$J62))</f>
        <v/>
      </c>
      <c r="AH62" s="40" t="str">
        <f>IF($J62="","",IF(AND($AG62=0,$N62&lt;$M62),Config!$B$43,0))</f>
        <v/>
      </c>
      <c r="AI62" s="40" t="str">
        <f>IF($J62="","",IF(AND($L62="Elite",$F62&gt;=Config!$B$41,$N62&lt;$M62),Config!$B$42,0))</f>
        <v/>
      </c>
      <c r="AJ62" s="22"/>
      <c r="AK62" s="39">
        <f>IFERROR(VLOOKUP(J62,Grinders!$A:$Q,28,FALSE),0)</f>
        <v>0</v>
      </c>
      <c r="AL62" s="39">
        <f>IF(Config!$B$1003&lt;&gt;"Y",0,IF(IFERROR(VLOOKUP(J62,Grinders!$A:$P,27,FALSE),0)&gt;=3,IF(OR(F62&gt;=Config!$B$1001,ISNUMBER(SEARCH(E62,Config!$B$1002))),1,0),0))</f>
        <v>0</v>
      </c>
      <c r="AM62" s="39">
        <f t="array" ref="AM62">IFERROR(IF(INDEX(Bids!$AE:$AE,MATCH(B62,Bids!$A:$A,0))="Pending",1,0),0)</f>
        <v>0</v>
      </c>
      <c r="AN62" s="39" t="str">
        <f t="array" ref="AN62">IF(C62="","",IFERROR(XLOOKUP(C62,Assignments!$C:$C,Assignments!$AU:$AU,0),0))</f>
        <v/>
      </c>
      <c r="AO62" s="39">
        <f>IF(AND(Config!$B$1006="Y",AN62=1),Config!$B$1007,0)</f>
        <v>0</v>
      </c>
    </row>
    <row r="63" ht="15.75" customHeight="1">
      <c r="A63" s="46" t="str">
        <f t="shared" si="1"/>
        <v/>
      </c>
      <c r="B63" s="40" t="str">
        <f>IF(Bids!$A63="","",Bids!$A63)</f>
        <v/>
      </c>
      <c r="C63" s="40" t="str">
        <f>IF(Bids!$B63="","",Bids!$B63)</f>
        <v/>
      </c>
      <c r="D63" s="40" t="str">
        <f>IF($C63="","",IFERROR(VLOOKUP($C63,Orders!$A:$J,9,FALSE),""))</f>
        <v/>
      </c>
      <c r="E63" s="40" t="str">
        <f>IF($C63="","",IFERROR(VLOOKUP($C63,Orders!$A:$J,3,FALSE),""))</f>
        <v/>
      </c>
      <c r="F63" s="40" t="str">
        <f>IF($C63="","",IFERROR(VLOOKUP($C63,Orders!$A:$J,4,FALSE),""))</f>
        <v/>
      </c>
      <c r="G63" s="40" t="str">
        <f>IF($C63="","",IFERROR(VLOOKUP($C63,Orders!$A:$J,5,FALSE),""))</f>
        <v/>
      </c>
      <c r="H63" s="40" t="str">
        <f>IF($C63="","",IFERROR(VLOOKUP($C63,Orders!$A:$J,6,FALSE),""))</f>
        <v/>
      </c>
      <c r="I63" s="40" t="str">
        <f>IF($C63="","",IFERROR(VLOOKUP($C63,Orders!$A:$J,7,FALSE),""))</f>
        <v/>
      </c>
      <c r="J63" s="40" t="str">
        <f>IF(Bids!$C63="","",Bids!$C63)</f>
        <v/>
      </c>
      <c r="K63" s="40" t="str">
        <f>IF($J63="","",IFERROR(VLOOKUP($J63,Grinders!$A:$N,2,FALSE),""))</f>
        <v/>
      </c>
      <c r="L63" s="40" t="str">
        <f>IF($J63="","",IFERROR(VLOOKUP($J63,Grinders!$A:$N,3,FALSE),""))</f>
        <v/>
      </c>
      <c r="M63" s="40" t="str">
        <f>IF($J63="","",IFERROR(VLOOKUP($J63,Grinders!$A:$N,4,FALSE),""))</f>
        <v/>
      </c>
      <c r="N63" s="40" t="str">
        <f>IF($J63="","",IFERROR(VLOOKUP($J63,Grinders!$A:$N,5,FALSE),""))</f>
        <v/>
      </c>
      <c r="O63" s="40" t="str">
        <f t="shared" si="2"/>
        <v/>
      </c>
      <c r="P63" s="40" t="str">
        <f>IF($J63="","",IFERROR(VLOOKUP($J63,Grinders!$A:$N,6,FALSE),""))</f>
        <v/>
      </c>
      <c r="Q63" s="40" t="str">
        <f>IF($J63="","",IFERROR(VLOOKUP($J63,Grinders!$A:$N,8,FALSE),""))</f>
        <v/>
      </c>
      <c r="R63" s="40" t="str">
        <f>IFERROR(IF($J63="","",IF($L63="Elite",MAX(50,MIN(100,Config!$B$27*MAX(0,MIN(100,(1-IF($O63="",0,$O63))*100)) + Config!$B$28*MAX(0,MIN(100,(1-MIN(1,IF(Config!$B$30=0,1,$P63/Config!$B$30)))*100)) + Config!$B$29*MAX(0,MIN(100,MIN(1,IF($Q63="",0,$Q63)/Config!$B$23)*100)))),MIN(100,Config!$B$27*MAX(0,MIN(100,(1-IF($O63="",0,$O63))*100)) + Config!$B$28*MAX(0,MIN(100,(1-MIN(1,IF(Config!$B$30=0,1,$P63/Config!$B$30)))*100)) + Config!$B$29*MAX(0,MIN(100,MIN(1,IF($Q63="",0,$Q63)/Config!$B$23)*100))))),"")
</f>
        <v/>
      </c>
      <c r="S63" s="40" t="str">
        <f>IF(Bids!$AC63="","",Bids!$AC63)</f>
        <v/>
      </c>
      <c r="T63" s="40" t="str">
        <f>IF(Bids!$F63="","",Bids!$F63)</f>
        <v/>
      </c>
      <c r="U63" s="40" t="str">
        <f t="shared" si="3"/>
        <v/>
      </c>
      <c r="V63" s="40" t="str">
        <f>IF($U63="","",IF(Config!$B$17=Config!$B$16,IF($U63&gt;=Config!$B$17,100,0),MAX(0,MIN(100,($U63-Config!$B$16)/(Config!$B$17-Config!$B$16)*100))))</f>
        <v/>
      </c>
      <c r="W63" s="40">
        <f>IF($L63="Elite",Config!$B$21,0)</f>
        <v>0</v>
      </c>
      <c r="X63" s="40" t="str">
        <f>IFERROR(IF(OR($T63="",$G63=""),"",IF($T63&gt;$G63,
  MAX(0, 60-(($T63-$G63)*24/Config!$B$19)*60),
  MEDIAN(60, 100, 60+(($G63-$T63)*24/Config!$B$20)*40)
)),"")
</f>
        <v/>
      </c>
      <c r="Y63" s="40" t="str">
        <f>IF($J63="","",IFERROR(VLOOKUP($J63,Grinders!$A:$N,10,FALSE),""))</f>
        <v/>
      </c>
      <c r="Z63" s="40" t="str">
        <f>IF($J63="","",IFERROR(VLOOKUP($J63,Grinders!$A:$N,11,FALSE),""))</f>
        <v/>
      </c>
      <c r="AA63" s="40" t="str">
        <f>IF($J63="","",IFERROR(VLOOKUP($J63,Grinders!$A:$N,12,FALSE),""))</f>
        <v/>
      </c>
      <c r="AB63" s="40" t="str">
        <f>IF(OR(AL63=1,AM63=1),0,=IFERROR(IF(OR($C63="",$J63=""),0,IF($D63&lt;&gt;"Open",0,IF(COUNTIFS(GrinderServices!$A:$A,$J63,GrinderServices!$B:$B,$E63,GrinderServices!$D:$D,"Y")=0,0,IF($U63&lt;Config!$B$16,0,IF(Config!$B$18=1,IF($N63&gt;=$M63,0,1),1))))),""))</f>
        <v>#ERROR!</v>
      </c>
      <c r="AC63" s="40" t="str">
        <f>IFERROR((IF(OR(AL63=1,AM63=1),"",=IFERROR((IFERROR(IF($AB63=0,"",((Config!$B$6*$V63 + Config!$B$7*$R63 + Config!$B$8*$W63 + Config!$B$9*$X63 + Config!$B$10*$Y63 + Config!$B$11*$Z63 - Config!$B$12*$AA63)/Config!$B$13)+$AH63+$AI63),""))*(1-IFERROR(VLOOKUP(J63,Grinders!$A:$AB, 28, FALSE),0)),"")))*(1+AO63),"")</f>
        <v>#ERROR!</v>
      </c>
      <c r="AD63" s="40" t="str">
        <f t="shared" si="4"/>
        <v/>
      </c>
      <c r="AE63" s="40" t="str">
        <f>IFERROR(__xludf.DUMMYFUNCTION("IF($AC63="""","""",IF($AC63=IFERROR(MAX(FILTER($AC$6:$AC$1000,$C$6:$C$1000=$C63,$AB$6:$AB$1000=1)),),""WINNER"",""""))"),"#ERROR!")</f>
        <v>#ERROR!</v>
      </c>
      <c r="AF63" s="40" t="str">
        <f t="shared" si="5"/>
        <v/>
      </c>
      <c r="AG63" s="40" t="str">
        <f>IF($J63="","",COUNTIF(Assignments!$B:$B,$J63))</f>
        <v/>
      </c>
      <c r="AH63" s="40" t="str">
        <f>IF($J63="","",IF(AND($AG63=0,$N63&lt;$M63),Config!$B$43,0))</f>
        <v/>
      </c>
      <c r="AI63" s="40" t="str">
        <f>IF($J63="","",IF(AND($L63="Elite",$F63&gt;=Config!$B$41,$N63&lt;$M63),Config!$B$42,0))</f>
        <v/>
      </c>
      <c r="AJ63" s="22"/>
      <c r="AK63" s="39">
        <f>IFERROR(VLOOKUP(J63,Grinders!$A:$Q,28,FALSE),0)</f>
        <v>0</v>
      </c>
      <c r="AL63" s="39">
        <f>IF(Config!$B$1003&lt;&gt;"Y",0,IF(IFERROR(VLOOKUP(J63,Grinders!$A:$P,27,FALSE),0)&gt;=3,IF(OR(F63&gt;=Config!$B$1001,ISNUMBER(SEARCH(E63,Config!$B$1002))),1,0),0))</f>
        <v>0</v>
      </c>
      <c r="AM63" s="39">
        <f t="array" ref="AM63">IFERROR(IF(INDEX(Bids!$AE:$AE,MATCH(B63,Bids!$A:$A,0))="Pending",1,0),0)</f>
        <v>0</v>
      </c>
      <c r="AN63" s="39" t="str">
        <f t="array" ref="AN63">IF(C63="","",IFERROR(XLOOKUP(C63,Assignments!$C:$C,Assignments!$AU:$AU,0),0))</f>
        <v/>
      </c>
      <c r="AO63" s="39">
        <f>IF(AND(Config!$B$1006="Y",AN63=1),Config!$B$1007,0)</f>
        <v>0</v>
      </c>
    </row>
    <row r="64" ht="15.75" customHeight="1">
      <c r="A64" s="46" t="str">
        <f t="shared" si="1"/>
        <v/>
      </c>
      <c r="B64" s="40" t="str">
        <f>IF(Bids!$A64="","",Bids!$A64)</f>
        <v/>
      </c>
      <c r="C64" s="40" t="str">
        <f>IF(Bids!$B64="","",Bids!$B64)</f>
        <v/>
      </c>
      <c r="D64" s="40" t="str">
        <f>IF($C64="","",IFERROR(VLOOKUP($C64,Orders!$A:$J,9,FALSE),""))</f>
        <v/>
      </c>
      <c r="E64" s="40" t="str">
        <f>IF($C64="","",IFERROR(VLOOKUP($C64,Orders!$A:$J,3,FALSE),""))</f>
        <v/>
      </c>
      <c r="F64" s="40" t="str">
        <f>IF($C64="","",IFERROR(VLOOKUP($C64,Orders!$A:$J,4,FALSE),""))</f>
        <v/>
      </c>
      <c r="G64" s="40" t="str">
        <f>IF($C64="","",IFERROR(VLOOKUP($C64,Orders!$A:$J,5,FALSE),""))</f>
        <v/>
      </c>
      <c r="H64" s="40" t="str">
        <f>IF($C64="","",IFERROR(VLOOKUP($C64,Orders!$A:$J,6,FALSE),""))</f>
        <v/>
      </c>
      <c r="I64" s="40" t="str">
        <f>IF($C64="","",IFERROR(VLOOKUP($C64,Orders!$A:$J,7,FALSE),""))</f>
        <v/>
      </c>
      <c r="J64" s="40" t="str">
        <f>IF(Bids!$C64="","",Bids!$C64)</f>
        <v/>
      </c>
      <c r="K64" s="40" t="str">
        <f>IF($J64="","",IFERROR(VLOOKUP($J64,Grinders!$A:$N,2,FALSE),""))</f>
        <v/>
      </c>
      <c r="L64" s="40" t="str">
        <f>IF($J64="","",IFERROR(VLOOKUP($J64,Grinders!$A:$N,3,FALSE),""))</f>
        <v/>
      </c>
      <c r="M64" s="40" t="str">
        <f>IF($J64="","",IFERROR(VLOOKUP($J64,Grinders!$A:$N,4,FALSE),""))</f>
        <v/>
      </c>
      <c r="N64" s="40" t="str">
        <f>IF($J64="","",IFERROR(VLOOKUP($J64,Grinders!$A:$N,5,FALSE),""))</f>
        <v/>
      </c>
      <c r="O64" s="40" t="str">
        <f t="shared" si="2"/>
        <v/>
      </c>
      <c r="P64" s="40" t="str">
        <f>IF($J64="","",IFERROR(VLOOKUP($J64,Grinders!$A:$N,6,FALSE),""))</f>
        <v/>
      </c>
      <c r="Q64" s="40" t="str">
        <f>IF($J64="","",IFERROR(VLOOKUP($J64,Grinders!$A:$N,8,FALSE),""))</f>
        <v/>
      </c>
      <c r="R64" s="40" t="str">
        <f>IFERROR(IF($J64="","",IF($L64="Elite",MAX(50,MIN(100,Config!$B$27*MAX(0,MIN(100,(1-IF($O64="",0,$O64))*100)) + Config!$B$28*MAX(0,MIN(100,(1-MIN(1,IF(Config!$B$30=0,1,$P64/Config!$B$30)))*100)) + Config!$B$29*MAX(0,MIN(100,MIN(1,IF($Q64="",0,$Q64)/Config!$B$23)*100)))),MIN(100,Config!$B$27*MAX(0,MIN(100,(1-IF($O64="",0,$O64))*100)) + Config!$B$28*MAX(0,MIN(100,(1-MIN(1,IF(Config!$B$30=0,1,$P64/Config!$B$30)))*100)) + Config!$B$29*MAX(0,MIN(100,MIN(1,IF($Q64="",0,$Q64)/Config!$B$23)*100))))),"")
</f>
        <v/>
      </c>
      <c r="S64" s="40" t="str">
        <f>IF(Bids!$AC64="","",Bids!$AC64)</f>
        <v/>
      </c>
      <c r="T64" s="40" t="str">
        <f>IF(Bids!$F64="","",Bids!$F64)</f>
        <v/>
      </c>
      <c r="U64" s="40" t="str">
        <f t="shared" si="3"/>
        <v/>
      </c>
      <c r="V64" s="40" t="str">
        <f>IF($U64="","",IF(Config!$B$17=Config!$B$16,IF($U64&gt;=Config!$B$17,100,0),MAX(0,MIN(100,($U64-Config!$B$16)/(Config!$B$17-Config!$B$16)*100))))</f>
        <v/>
      </c>
      <c r="W64" s="40">
        <f>IF($L64="Elite",Config!$B$21,0)</f>
        <v>0</v>
      </c>
      <c r="X64" s="40" t="str">
        <f>IFERROR(IF(OR($T64="",$G64=""),"",IF($T64&gt;$G64,
  MAX(0, 60-(($T64-$G64)*24/Config!$B$19)*60),
  MEDIAN(60, 100, 60+(($G64-$T64)*24/Config!$B$20)*40)
)),"")
</f>
        <v/>
      </c>
      <c r="Y64" s="40" t="str">
        <f>IF($J64="","",IFERROR(VLOOKUP($J64,Grinders!$A:$N,10,FALSE),""))</f>
        <v/>
      </c>
      <c r="Z64" s="40" t="str">
        <f>IF($J64="","",IFERROR(VLOOKUP($J64,Grinders!$A:$N,11,FALSE),""))</f>
        <v/>
      </c>
      <c r="AA64" s="40" t="str">
        <f>IF($J64="","",IFERROR(VLOOKUP($J64,Grinders!$A:$N,12,FALSE),""))</f>
        <v/>
      </c>
      <c r="AB64" s="40" t="str">
        <f>IF(OR(AL64=1,AM64=1),0,=IFERROR(IF(OR($C64="",$J64=""),0,IF($D64&lt;&gt;"Open",0,IF(COUNTIFS(GrinderServices!$A:$A,$J64,GrinderServices!$B:$B,$E64,GrinderServices!$D:$D,"Y")=0,0,IF($U64&lt;Config!$B$16,0,IF(Config!$B$18=1,IF($N64&gt;=$M64,0,1),1))))),""))</f>
        <v>#ERROR!</v>
      </c>
      <c r="AC64" s="40" t="str">
        <f>IFERROR((IF(OR(AL64=1,AM64=1),"",=IFERROR((IFERROR(IF($AB64=0,"",((Config!$B$6*$V64 + Config!$B$7*$R64 + Config!$B$8*$W64 + Config!$B$9*$X64 + Config!$B$10*$Y64 + Config!$B$11*$Z64 - Config!$B$12*$AA64)/Config!$B$13)+$AH64+$AI64),""))*(1-IFERROR(VLOOKUP(J64,Grinders!$A:$AB, 28, FALSE),0)),"")))*(1+AO64),"")</f>
        <v>#ERROR!</v>
      </c>
      <c r="AD64" s="40" t="str">
        <f t="shared" si="4"/>
        <v/>
      </c>
      <c r="AE64" s="40" t="str">
        <f>IFERROR(__xludf.DUMMYFUNCTION("IF($AC64="""","""",IF($AC64=IFERROR(MAX(FILTER($AC$6:$AC$1000,$C$6:$C$1000=$C64,$AB$6:$AB$1000=1)),),""WINNER"",""""))"),"#ERROR!")</f>
        <v>#ERROR!</v>
      </c>
      <c r="AF64" s="40" t="str">
        <f t="shared" si="5"/>
        <v/>
      </c>
      <c r="AG64" s="40" t="str">
        <f>IF($J64="","",COUNTIF(Assignments!$B:$B,$J64))</f>
        <v/>
      </c>
      <c r="AH64" s="40" t="str">
        <f>IF($J64="","",IF(AND($AG64=0,$N64&lt;$M64),Config!$B$43,0))</f>
        <v/>
      </c>
      <c r="AI64" s="40" t="str">
        <f>IF($J64="","",IF(AND($L64="Elite",$F64&gt;=Config!$B$41,$N64&lt;$M64),Config!$B$42,0))</f>
        <v/>
      </c>
      <c r="AJ64" s="22"/>
      <c r="AK64" s="39">
        <f>IFERROR(VLOOKUP(J64,Grinders!$A:$Q,28,FALSE),0)</f>
        <v>0</v>
      </c>
      <c r="AL64" s="39">
        <f>IF(Config!$B$1003&lt;&gt;"Y",0,IF(IFERROR(VLOOKUP(J64,Grinders!$A:$P,27,FALSE),0)&gt;=3,IF(OR(F64&gt;=Config!$B$1001,ISNUMBER(SEARCH(E64,Config!$B$1002))),1,0),0))</f>
        <v>0</v>
      </c>
      <c r="AM64" s="39">
        <f t="array" ref="AM64">IFERROR(IF(INDEX(Bids!$AE:$AE,MATCH(B64,Bids!$A:$A,0))="Pending",1,0),0)</f>
        <v>0</v>
      </c>
      <c r="AN64" s="39" t="str">
        <f t="array" ref="AN64">IF(C64="","",IFERROR(XLOOKUP(C64,Assignments!$C:$C,Assignments!$AU:$AU,0),0))</f>
        <v/>
      </c>
      <c r="AO64" s="39">
        <f>IF(AND(Config!$B$1006="Y",AN64=1),Config!$B$1007,0)</f>
        <v>0</v>
      </c>
    </row>
    <row r="65" ht="15.75" customHeight="1">
      <c r="A65" s="46" t="str">
        <f t="shared" si="1"/>
        <v/>
      </c>
      <c r="B65" s="40" t="str">
        <f>IF(Bids!$A65="","",Bids!$A65)</f>
        <v/>
      </c>
      <c r="C65" s="40" t="str">
        <f>IF(Bids!$B65="","",Bids!$B65)</f>
        <v/>
      </c>
      <c r="D65" s="40" t="str">
        <f>IF($C65="","",IFERROR(VLOOKUP($C65,Orders!$A:$J,9,FALSE),""))</f>
        <v/>
      </c>
      <c r="E65" s="40" t="str">
        <f>IF($C65="","",IFERROR(VLOOKUP($C65,Orders!$A:$J,3,FALSE),""))</f>
        <v/>
      </c>
      <c r="F65" s="40" t="str">
        <f>IF($C65="","",IFERROR(VLOOKUP($C65,Orders!$A:$J,4,FALSE),""))</f>
        <v/>
      </c>
      <c r="G65" s="40" t="str">
        <f>IF($C65="","",IFERROR(VLOOKUP($C65,Orders!$A:$J,5,FALSE),""))</f>
        <v/>
      </c>
      <c r="H65" s="40" t="str">
        <f>IF($C65="","",IFERROR(VLOOKUP($C65,Orders!$A:$J,6,FALSE),""))</f>
        <v/>
      </c>
      <c r="I65" s="40" t="str">
        <f>IF($C65="","",IFERROR(VLOOKUP($C65,Orders!$A:$J,7,FALSE),""))</f>
        <v/>
      </c>
      <c r="J65" s="40" t="str">
        <f>IF(Bids!$C65="","",Bids!$C65)</f>
        <v/>
      </c>
      <c r="K65" s="40" t="str">
        <f>IF($J65="","",IFERROR(VLOOKUP($J65,Grinders!$A:$N,2,FALSE),""))</f>
        <v/>
      </c>
      <c r="L65" s="40" t="str">
        <f>IF($J65="","",IFERROR(VLOOKUP($J65,Grinders!$A:$N,3,FALSE),""))</f>
        <v/>
      </c>
      <c r="M65" s="40" t="str">
        <f>IF($J65="","",IFERROR(VLOOKUP($J65,Grinders!$A:$N,4,FALSE),""))</f>
        <v/>
      </c>
      <c r="N65" s="40" t="str">
        <f>IF($J65="","",IFERROR(VLOOKUP($J65,Grinders!$A:$N,5,FALSE),""))</f>
        <v/>
      </c>
      <c r="O65" s="40" t="str">
        <f t="shared" si="2"/>
        <v/>
      </c>
      <c r="P65" s="40" t="str">
        <f>IF($J65="","",IFERROR(VLOOKUP($J65,Grinders!$A:$N,6,FALSE),""))</f>
        <v/>
      </c>
      <c r="Q65" s="40" t="str">
        <f>IF($J65="","",IFERROR(VLOOKUP($J65,Grinders!$A:$N,8,FALSE),""))</f>
        <v/>
      </c>
      <c r="R65" s="40" t="str">
        <f>IFERROR(IF($J65="","",IF($L65="Elite",MAX(50,MIN(100,Config!$B$27*MAX(0,MIN(100,(1-IF($O65="",0,$O65))*100)) + Config!$B$28*MAX(0,MIN(100,(1-MIN(1,IF(Config!$B$30=0,1,$P65/Config!$B$30)))*100)) + Config!$B$29*MAX(0,MIN(100,MIN(1,IF($Q65="",0,$Q65)/Config!$B$23)*100)))),MIN(100,Config!$B$27*MAX(0,MIN(100,(1-IF($O65="",0,$O65))*100)) + Config!$B$28*MAX(0,MIN(100,(1-MIN(1,IF(Config!$B$30=0,1,$P65/Config!$B$30)))*100)) + Config!$B$29*MAX(0,MIN(100,MIN(1,IF($Q65="",0,$Q65)/Config!$B$23)*100))))),"")
</f>
        <v/>
      </c>
      <c r="S65" s="40" t="str">
        <f>IF(Bids!$AC65="","",Bids!$AC65)</f>
        <v/>
      </c>
      <c r="T65" s="40" t="str">
        <f>IF(Bids!$F65="","",Bids!$F65)</f>
        <v/>
      </c>
      <c r="U65" s="40" t="str">
        <f t="shared" si="3"/>
        <v/>
      </c>
      <c r="V65" s="40" t="str">
        <f>IF($U65="","",IF(Config!$B$17=Config!$B$16,IF($U65&gt;=Config!$B$17,100,0),MAX(0,MIN(100,($U65-Config!$B$16)/(Config!$B$17-Config!$B$16)*100))))</f>
        <v/>
      </c>
      <c r="W65" s="40">
        <f>IF($L65="Elite",Config!$B$21,0)</f>
        <v>0</v>
      </c>
      <c r="X65" s="40" t="str">
        <f>IFERROR(IF(OR($T65="",$G65=""),"",IF($T65&gt;$G65,
  MAX(0, 60-(($T65-$G65)*24/Config!$B$19)*60),
  MEDIAN(60, 100, 60+(($G65-$T65)*24/Config!$B$20)*40)
)),"")
</f>
        <v/>
      </c>
      <c r="Y65" s="40" t="str">
        <f>IF($J65="","",IFERROR(VLOOKUP($J65,Grinders!$A:$N,10,FALSE),""))</f>
        <v/>
      </c>
      <c r="Z65" s="40" t="str">
        <f>IF($J65="","",IFERROR(VLOOKUP($J65,Grinders!$A:$N,11,FALSE),""))</f>
        <v/>
      </c>
      <c r="AA65" s="40" t="str">
        <f>IF($J65="","",IFERROR(VLOOKUP($J65,Grinders!$A:$N,12,FALSE),""))</f>
        <v/>
      </c>
      <c r="AB65" s="40" t="str">
        <f>IF(OR(AL65=1,AM65=1),0,=IFERROR(IF(OR($C65="",$J65=""),0,IF($D65&lt;&gt;"Open",0,IF(COUNTIFS(GrinderServices!$A:$A,$J65,GrinderServices!$B:$B,$E65,GrinderServices!$D:$D,"Y")=0,0,IF($U65&lt;Config!$B$16,0,IF(Config!$B$18=1,IF($N65&gt;=$M65,0,1),1))))),""))</f>
        <v>#ERROR!</v>
      </c>
      <c r="AC65" s="40" t="str">
        <f>IFERROR((IF(OR(AL65=1,AM65=1),"",=IFERROR((IFERROR(IF($AB65=0,"",((Config!$B$6*$V65 + Config!$B$7*$R65 + Config!$B$8*$W65 + Config!$B$9*$X65 + Config!$B$10*$Y65 + Config!$B$11*$Z65 - Config!$B$12*$AA65)/Config!$B$13)+$AH65+$AI65),""))*(1-IFERROR(VLOOKUP(J65,Grinders!$A:$AB, 28, FALSE),0)),"")))*(1+AO65),"")</f>
        <v>#ERROR!</v>
      </c>
      <c r="AD65" s="40" t="str">
        <f t="shared" si="4"/>
        <v/>
      </c>
      <c r="AE65" s="40" t="str">
        <f>IFERROR(__xludf.DUMMYFUNCTION("IF($AC65="""","""",IF($AC65=IFERROR(MAX(FILTER($AC$6:$AC$1000,$C$6:$C$1000=$C65,$AB$6:$AB$1000=1)),),""WINNER"",""""))"),"#ERROR!")</f>
        <v>#ERROR!</v>
      </c>
      <c r="AF65" s="40" t="str">
        <f t="shared" si="5"/>
        <v/>
      </c>
      <c r="AG65" s="40" t="str">
        <f>IF($J65="","",COUNTIF(Assignments!$B:$B,$J65))</f>
        <v/>
      </c>
      <c r="AH65" s="40" t="str">
        <f>IF($J65="","",IF(AND($AG65=0,$N65&lt;$M65),Config!$B$43,0))</f>
        <v/>
      </c>
      <c r="AI65" s="40" t="str">
        <f>IF($J65="","",IF(AND($L65="Elite",$F65&gt;=Config!$B$41,$N65&lt;$M65),Config!$B$42,0))</f>
        <v/>
      </c>
      <c r="AJ65" s="22"/>
      <c r="AK65" s="39">
        <f>IFERROR(VLOOKUP(J65,Grinders!$A:$Q,28,FALSE),0)</f>
        <v>0</v>
      </c>
      <c r="AL65" s="39">
        <f>IF(Config!$B$1003&lt;&gt;"Y",0,IF(IFERROR(VLOOKUP(J65,Grinders!$A:$P,27,FALSE),0)&gt;=3,IF(OR(F65&gt;=Config!$B$1001,ISNUMBER(SEARCH(E65,Config!$B$1002))),1,0),0))</f>
        <v>0</v>
      </c>
      <c r="AM65" s="39">
        <f t="array" ref="AM65">IFERROR(IF(INDEX(Bids!$AE:$AE,MATCH(B65,Bids!$A:$A,0))="Pending",1,0),0)</f>
        <v>0</v>
      </c>
      <c r="AN65" s="39" t="str">
        <f t="array" ref="AN65">IF(C65="","",IFERROR(XLOOKUP(C65,Assignments!$C:$C,Assignments!$AU:$AU,0),0))</f>
        <v/>
      </c>
      <c r="AO65" s="39">
        <f>IF(AND(Config!$B$1006="Y",AN65=1),Config!$B$1007,0)</f>
        <v>0</v>
      </c>
    </row>
    <row r="66" ht="15.75" customHeight="1">
      <c r="A66" s="46" t="str">
        <f t="shared" si="1"/>
        <v/>
      </c>
      <c r="B66" s="40" t="str">
        <f>IF(Bids!$A66="","",Bids!$A66)</f>
        <v/>
      </c>
      <c r="C66" s="40" t="str">
        <f>IF(Bids!$B66="","",Bids!$B66)</f>
        <v/>
      </c>
      <c r="D66" s="40" t="str">
        <f>IF($C66="","",IFERROR(VLOOKUP($C66,Orders!$A:$J,9,FALSE),""))</f>
        <v/>
      </c>
      <c r="E66" s="40" t="str">
        <f>IF($C66="","",IFERROR(VLOOKUP($C66,Orders!$A:$J,3,FALSE),""))</f>
        <v/>
      </c>
      <c r="F66" s="40" t="str">
        <f>IF($C66="","",IFERROR(VLOOKUP($C66,Orders!$A:$J,4,FALSE),""))</f>
        <v/>
      </c>
      <c r="G66" s="40" t="str">
        <f>IF($C66="","",IFERROR(VLOOKUP($C66,Orders!$A:$J,5,FALSE),""))</f>
        <v/>
      </c>
      <c r="H66" s="40" t="str">
        <f>IF($C66="","",IFERROR(VLOOKUP($C66,Orders!$A:$J,6,FALSE),""))</f>
        <v/>
      </c>
      <c r="I66" s="40" t="str">
        <f>IF($C66="","",IFERROR(VLOOKUP($C66,Orders!$A:$J,7,FALSE),""))</f>
        <v/>
      </c>
      <c r="J66" s="40" t="str">
        <f>IF(Bids!$C66="","",Bids!$C66)</f>
        <v/>
      </c>
      <c r="K66" s="40" t="str">
        <f>IF($J66="","",IFERROR(VLOOKUP($J66,Grinders!$A:$N,2,FALSE),""))</f>
        <v/>
      </c>
      <c r="L66" s="40" t="str">
        <f>IF($J66="","",IFERROR(VLOOKUP($J66,Grinders!$A:$N,3,FALSE),""))</f>
        <v/>
      </c>
      <c r="M66" s="40" t="str">
        <f>IF($J66="","",IFERROR(VLOOKUP($J66,Grinders!$A:$N,4,FALSE),""))</f>
        <v/>
      </c>
      <c r="N66" s="40" t="str">
        <f>IF($J66="","",IFERROR(VLOOKUP($J66,Grinders!$A:$N,5,FALSE),""))</f>
        <v/>
      </c>
      <c r="O66" s="40" t="str">
        <f t="shared" si="2"/>
        <v/>
      </c>
      <c r="P66" s="40" t="str">
        <f>IF($J66="","",IFERROR(VLOOKUP($J66,Grinders!$A:$N,6,FALSE),""))</f>
        <v/>
      </c>
      <c r="Q66" s="40" t="str">
        <f>IF($J66="","",IFERROR(VLOOKUP($J66,Grinders!$A:$N,8,FALSE),""))</f>
        <v/>
      </c>
      <c r="R66" s="40" t="str">
        <f>IFERROR(IF($J66="","",IF($L66="Elite",MAX(50,MIN(100,Config!$B$27*MAX(0,MIN(100,(1-IF($O66="",0,$O66))*100)) + Config!$B$28*MAX(0,MIN(100,(1-MIN(1,IF(Config!$B$30=0,1,$P66/Config!$B$30)))*100)) + Config!$B$29*MAX(0,MIN(100,MIN(1,IF($Q66="",0,$Q66)/Config!$B$23)*100)))),MIN(100,Config!$B$27*MAX(0,MIN(100,(1-IF($O66="",0,$O66))*100)) + Config!$B$28*MAX(0,MIN(100,(1-MIN(1,IF(Config!$B$30=0,1,$P66/Config!$B$30)))*100)) + Config!$B$29*MAX(0,MIN(100,MIN(1,IF($Q66="",0,$Q66)/Config!$B$23)*100))))),"")
</f>
        <v/>
      </c>
      <c r="S66" s="40" t="str">
        <f>IF(Bids!$AC66="","",Bids!$AC66)</f>
        <v/>
      </c>
      <c r="T66" s="40" t="str">
        <f>IF(Bids!$F66="","",Bids!$F66)</f>
        <v/>
      </c>
      <c r="U66" s="40" t="str">
        <f t="shared" si="3"/>
        <v/>
      </c>
      <c r="V66" s="40" t="str">
        <f>IF($U66="","",IF(Config!$B$17=Config!$B$16,IF($U66&gt;=Config!$B$17,100,0),MAX(0,MIN(100,($U66-Config!$B$16)/(Config!$B$17-Config!$B$16)*100))))</f>
        <v/>
      </c>
      <c r="W66" s="40">
        <f>IF($L66="Elite",Config!$B$21,0)</f>
        <v>0</v>
      </c>
      <c r="X66" s="40" t="str">
        <f>IFERROR(IF(OR($T66="",$G66=""),"",IF($T66&gt;$G66,
  MAX(0, 60-(($T66-$G66)*24/Config!$B$19)*60),
  MEDIAN(60, 100, 60+(($G66-$T66)*24/Config!$B$20)*40)
)),"")
</f>
        <v/>
      </c>
      <c r="Y66" s="40" t="str">
        <f>IF($J66="","",IFERROR(VLOOKUP($J66,Grinders!$A:$N,10,FALSE),""))</f>
        <v/>
      </c>
      <c r="Z66" s="40" t="str">
        <f>IF($J66="","",IFERROR(VLOOKUP($J66,Grinders!$A:$N,11,FALSE),""))</f>
        <v/>
      </c>
      <c r="AA66" s="40" t="str">
        <f>IF($J66="","",IFERROR(VLOOKUP($J66,Grinders!$A:$N,12,FALSE),""))</f>
        <v/>
      </c>
      <c r="AB66" s="40" t="str">
        <f>IF(OR(AL66=1,AM66=1),0,=IFERROR(IF(OR($C66="",$J66=""),0,IF($D66&lt;&gt;"Open",0,IF(COUNTIFS(GrinderServices!$A:$A,$J66,GrinderServices!$B:$B,$E66,GrinderServices!$D:$D,"Y")=0,0,IF($U66&lt;Config!$B$16,0,IF(Config!$B$18=1,IF($N66&gt;=$M66,0,1),1))))),""))</f>
        <v>#ERROR!</v>
      </c>
      <c r="AC66" s="40" t="str">
        <f>IFERROR((IF(OR(AL66=1,AM66=1),"",=IFERROR((IFERROR(IF($AB66=0,"",((Config!$B$6*$V66 + Config!$B$7*$R66 + Config!$B$8*$W66 + Config!$B$9*$X66 + Config!$B$10*$Y66 + Config!$B$11*$Z66 - Config!$B$12*$AA66)/Config!$B$13)+$AH66+$AI66),""))*(1-IFERROR(VLOOKUP(J66,Grinders!$A:$AB, 28, FALSE),0)),"")))*(1+AO66),"")</f>
        <v>#ERROR!</v>
      </c>
      <c r="AD66" s="40" t="str">
        <f t="shared" si="4"/>
        <v/>
      </c>
      <c r="AE66" s="40" t="str">
        <f>IFERROR(__xludf.DUMMYFUNCTION("IF($AC66="""","""",IF($AC66=IFERROR(MAX(FILTER($AC$6:$AC$1000,$C$6:$C$1000=$C66,$AB$6:$AB$1000=1)),),""WINNER"",""""))"),"#ERROR!")</f>
        <v>#ERROR!</v>
      </c>
      <c r="AF66" s="40" t="str">
        <f t="shared" si="5"/>
        <v/>
      </c>
      <c r="AG66" s="40" t="str">
        <f>IF($J66="","",COUNTIF(Assignments!$B:$B,$J66))</f>
        <v/>
      </c>
      <c r="AH66" s="40" t="str">
        <f>IF($J66="","",IF(AND($AG66=0,$N66&lt;$M66),Config!$B$43,0))</f>
        <v/>
      </c>
      <c r="AI66" s="40" t="str">
        <f>IF($J66="","",IF(AND($L66="Elite",$F66&gt;=Config!$B$41,$N66&lt;$M66),Config!$B$42,0))</f>
        <v/>
      </c>
      <c r="AJ66" s="22"/>
      <c r="AK66" s="39">
        <f>IFERROR(VLOOKUP(J66,Grinders!$A:$Q,28,FALSE),0)</f>
        <v>0</v>
      </c>
      <c r="AL66" s="39">
        <f>IF(Config!$B$1003&lt;&gt;"Y",0,IF(IFERROR(VLOOKUP(J66,Grinders!$A:$P,27,FALSE),0)&gt;=3,IF(OR(F66&gt;=Config!$B$1001,ISNUMBER(SEARCH(E66,Config!$B$1002))),1,0),0))</f>
        <v>0</v>
      </c>
      <c r="AM66" s="39">
        <f t="array" ref="AM66">IFERROR(IF(INDEX(Bids!$AE:$AE,MATCH(B66,Bids!$A:$A,0))="Pending",1,0),0)</f>
        <v>0</v>
      </c>
      <c r="AN66" s="39" t="str">
        <f t="array" ref="AN66">IF(C66="","",IFERROR(XLOOKUP(C66,Assignments!$C:$C,Assignments!$AU:$AU,0),0))</f>
        <v/>
      </c>
      <c r="AO66" s="39">
        <f>IF(AND(Config!$B$1006="Y",AN66=1),Config!$B$1007,0)</f>
        <v>0</v>
      </c>
    </row>
    <row r="67" ht="15.75" customHeight="1">
      <c r="A67" s="46" t="str">
        <f t="shared" si="1"/>
        <v/>
      </c>
      <c r="B67" s="40" t="str">
        <f>IF(Bids!$A67="","",Bids!$A67)</f>
        <v/>
      </c>
      <c r="C67" s="40" t="str">
        <f>IF(Bids!$B67="","",Bids!$B67)</f>
        <v/>
      </c>
      <c r="D67" s="40" t="str">
        <f>IF($C67="","",IFERROR(VLOOKUP($C67,Orders!$A:$J,9,FALSE),""))</f>
        <v/>
      </c>
      <c r="E67" s="40" t="str">
        <f>IF($C67="","",IFERROR(VLOOKUP($C67,Orders!$A:$J,3,FALSE),""))</f>
        <v/>
      </c>
      <c r="F67" s="40" t="str">
        <f>IF($C67="","",IFERROR(VLOOKUP($C67,Orders!$A:$J,4,FALSE),""))</f>
        <v/>
      </c>
      <c r="G67" s="40" t="str">
        <f>IF($C67="","",IFERROR(VLOOKUP($C67,Orders!$A:$J,5,FALSE),""))</f>
        <v/>
      </c>
      <c r="H67" s="40" t="str">
        <f>IF($C67="","",IFERROR(VLOOKUP($C67,Orders!$A:$J,6,FALSE),""))</f>
        <v/>
      </c>
      <c r="I67" s="40" t="str">
        <f>IF($C67="","",IFERROR(VLOOKUP($C67,Orders!$A:$J,7,FALSE),""))</f>
        <v/>
      </c>
      <c r="J67" s="40" t="str">
        <f>IF(Bids!$C67="","",Bids!$C67)</f>
        <v/>
      </c>
      <c r="K67" s="40" t="str">
        <f>IF($J67="","",IFERROR(VLOOKUP($J67,Grinders!$A:$N,2,FALSE),""))</f>
        <v/>
      </c>
      <c r="L67" s="40" t="str">
        <f>IF($J67="","",IFERROR(VLOOKUP($J67,Grinders!$A:$N,3,FALSE),""))</f>
        <v/>
      </c>
      <c r="M67" s="40" t="str">
        <f>IF($J67="","",IFERROR(VLOOKUP($J67,Grinders!$A:$N,4,FALSE),""))</f>
        <v/>
      </c>
      <c r="N67" s="40" t="str">
        <f>IF($J67="","",IFERROR(VLOOKUP($J67,Grinders!$A:$N,5,FALSE),""))</f>
        <v/>
      </c>
      <c r="O67" s="40" t="str">
        <f t="shared" si="2"/>
        <v/>
      </c>
      <c r="P67" s="40" t="str">
        <f>IF($J67="","",IFERROR(VLOOKUP($J67,Grinders!$A:$N,6,FALSE),""))</f>
        <v/>
      </c>
      <c r="Q67" s="40" t="str">
        <f>IF($J67="","",IFERROR(VLOOKUP($J67,Grinders!$A:$N,8,FALSE),""))</f>
        <v/>
      </c>
      <c r="R67" s="40" t="str">
        <f>IFERROR(IF($J67="","",IF($L67="Elite",MAX(50,MIN(100,Config!$B$27*MAX(0,MIN(100,(1-IF($O67="",0,$O67))*100)) + Config!$B$28*MAX(0,MIN(100,(1-MIN(1,IF(Config!$B$30=0,1,$P67/Config!$B$30)))*100)) + Config!$B$29*MAX(0,MIN(100,MIN(1,IF($Q67="",0,$Q67)/Config!$B$23)*100)))),MIN(100,Config!$B$27*MAX(0,MIN(100,(1-IF($O67="",0,$O67))*100)) + Config!$B$28*MAX(0,MIN(100,(1-MIN(1,IF(Config!$B$30=0,1,$P67/Config!$B$30)))*100)) + Config!$B$29*MAX(0,MIN(100,MIN(1,IF($Q67="",0,$Q67)/Config!$B$23)*100))))),"")
</f>
        <v/>
      </c>
      <c r="S67" s="40" t="str">
        <f>IF(Bids!$AC67="","",Bids!$AC67)</f>
        <v/>
      </c>
      <c r="T67" s="40" t="str">
        <f>IF(Bids!$F67="","",Bids!$F67)</f>
        <v/>
      </c>
      <c r="U67" s="40" t="str">
        <f t="shared" si="3"/>
        <v/>
      </c>
      <c r="V67" s="40" t="str">
        <f>IF($U67="","",IF(Config!$B$17=Config!$B$16,IF($U67&gt;=Config!$B$17,100,0),MAX(0,MIN(100,($U67-Config!$B$16)/(Config!$B$17-Config!$B$16)*100))))</f>
        <v/>
      </c>
      <c r="W67" s="40">
        <f>IF($L67="Elite",Config!$B$21,0)</f>
        <v>0</v>
      </c>
      <c r="X67" s="40" t="str">
        <f>IFERROR(IF(OR($T67="",$G67=""),"",IF($T67&gt;$G67,
  MAX(0, 60-(($T67-$G67)*24/Config!$B$19)*60),
  MEDIAN(60, 100, 60+(($G67-$T67)*24/Config!$B$20)*40)
)),"")
</f>
        <v/>
      </c>
      <c r="Y67" s="40" t="str">
        <f>IF($J67="","",IFERROR(VLOOKUP($J67,Grinders!$A:$N,10,FALSE),""))</f>
        <v/>
      </c>
      <c r="Z67" s="40" t="str">
        <f>IF($J67="","",IFERROR(VLOOKUP($J67,Grinders!$A:$N,11,FALSE),""))</f>
        <v/>
      </c>
      <c r="AA67" s="40" t="str">
        <f>IF($J67="","",IFERROR(VLOOKUP($J67,Grinders!$A:$N,12,FALSE),""))</f>
        <v/>
      </c>
      <c r="AB67" s="40" t="str">
        <f>IF(OR(AL67=1,AM67=1),0,=IFERROR(IF(OR($C67="",$J67=""),0,IF($D67&lt;&gt;"Open",0,IF(COUNTIFS(GrinderServices!$A:$A,$J67,GrinderServices!$B:$B,$E67,GrinderServices!$D:$D,"Y")=0,0,IF($U67&lt;Config!$B$16,0,IF(Config!$B$18=1,IF($N67&gt;=$M67,0,1),1))))),""))</f>
        <v>#ERROR!</v>
      </c>
      <c r="AC67" s="40" t="str">
        <f>IFERROR((IF(OR(AL67=1,AM67=1),"",=IFERROR((IFERROR(IF($AB67=0,"",((Config!$B$6*$V67 + Config!$B$7*$R67 + Config!$B$8*$W67 + Config!$B$9*$X67 + Config!$B$10*$Y67 + Config!$B$11*$Z67 - Config!$B$12*$AA67)/Config!$B$13)+$AH67+$AI67),""))*(1-IFERROR(VLOOKUP(J67,Grinders!$A:$AB, 28, FALSE),0)),"")))*(1+AO67),"")</f>
        <v>#ERROR!</v>
      </c>
      <c r="AD67" s="40" t="str">
        <f t="shared" si="4"/>
        <v/>
      </c>
      <c r="AE67" s="40" t="str">
        <f>IFERROR(__xludf.DUMMYFUNCTION("IF($AC67="""","""",IF($AC67=IFERROR(MAX(FILTER($AC$6:$AC$1000,$C$6:$C$1000=$C67,$AB$6:$AB$1000=1)),),""WINNER"",""""))"),"#ERROR!")</f>
        <v>#ERROR!</v>
      </c>
      <c r="AF67" s="40" t="str">
        <f t="shared" si="5"/>
        <v/>
      </c>
      <c r="AG67" s="40" t="str">
        <f>IF($J67="","",COUNTIF(Assignments!$B:$B,$J67))</f>
        <v/>
      </c>
      <c r="AH67" s="40" t="str">
        <f>IF($J67="","",IF(AND($AG67=0,$N67&lt;$M67),Config!$B$43,0))</f>
        <v/>
      </c>
      <c r="AI67" s="40" t="str">
        <f>IF($J67="","",IF(AND($L67="Elite",$F67&gt;=Config!$B$41,$N67&lt;$M67),Config!$B$42,0))</f>
        <v/>
      </c>
      <c r="AJ67" s="22"/>
      <c r="AK67" s="39">
        <f>IFERROR(VLOOKUP(J67,Grinders!$A:$Q,28,FALSE),0)</f>
        <v>0</v>
      </c>
      <c r="AL67" s="39">
        <f>IF(Config!$B$1003&lt;&gt;"Y",0,IF(IFERROR(VLOOKUP(J67,Grinders!$A:$P,27,FALSE),0)&gt;=3,IF(OR(F67&gt;=Config!$B$1001,ISNUMBER(SEARCH(E67,Config!$B$1002))),1,0),0))</f>
        <v>0</v>
      </c>
      <c r="AM67" s="39">
        <f t="array" ref="AM67">IFERROR(IF(INDEX(Bids!$AE:$AE,MATCH(B67,Bids!$A:$A,0))="Pending",1,0),0)</f>
        <v>0</v>
      </c>
      <c r="AN67" s="39" t="str">
        <f t="array" ref="AN67">IF(C67="","",IFERROR(XLOOKUP(C67,Assignments!$C:$C,Assignments!$AU:$AU,0),0))</f>
        <v/>
      </c>
      <c r="AO67" s="39">
        <f>IF(AND(Config!$B$1006="Y",AN67=1),Config!$B$1007,0)</f>
        <v>0</v>
      </c>
    </row>
    <row r="68" ht="15.75" customHeight="1">
      <c r="A68" s="46" t="str">
        <f t="shared" si="1"/>
        <v/>
      </c>
      <c r="B68" s="40" t="str">
        <f>IF(Bids!$A68="","",Bids!$A68)</f>
        <v/>
      </c>
      <c r="C68" s="40" t="str">
        <f>IF(Bids!$B68="","",Bids!$B68)</f>
        <v/>
      </c>
      <c r="D68" s="40" t="str">
        <f>IF($C68="","",IFERROR(VLOOKUP($C68,Orders!$A:$J,9,FALSE),""))</f>
        <v/>
      </c>
      <c r="E68" s="40" t="str">
        <f>IF($C68="","",IFERROR(VLOOKUP($C68,Orders!$A:$J,3,FALSE),""))</f>
        <v/>
      </c>
      <c r="F68" s="40" t="str">
        <f>IF($C68="","",IFERROR(VLOOKUP($C68,Orders!$A:$J,4,FALSE),""))</f>
        <v/>
      </c>
      <c r="G68" s="40" t="str">
        <f>IF($C68="","",IFERROR(VLOOKUP($C68,Orders!$A:$J,5,FALSE),""))</f>
        <v/>
      </c>
      <c r="H68" s="40" t="str">
        <f>IF($C68="","",IFERROR(VLOOKUP($C68,Orders!$A:$J,6,FALSE),""))</f>
        <v/>
      </c>
      <c r="I68" s="40" t="str">
        <f>IF($C68="","",IFERROR(VLOOKUP($C68,Orders!$A:$J,7,FALSE),""))</f>
        <v/>
      </c>
      <c r="J68" s="40" t="str">
        <f>IF(Bids!$C68="","",Bids!$C68)</f>
        <v/>
      </c>
      <c r="K68" s="40" t="str">
        <f>IF($J68="","",IFERROR(VLOOKUP($J68,Grinders!$A:$N,2,FALSE),""))</f>
        <v/>
      </c>
      <c r="L68" s="40" t="str">
        <f>IF($J68="","",IFERROR(VLOOKUP($J68,Grinders!$A:$N,3,FALSE),""))</f>
        <v/>
      </c>
      <c r="M68" s="40" t="str">
        <f>IF($J68="","",IFERROR(VLOOKUP($J68,Grinders!$A:$N,4,FALSE),""))</f>
        <v/>
      </c>
      <c r="N68" s="40" t="str">
        <f>IF($J68="","",IFERROR(VLOOKUP($J68,Grinders!$A:$N,5,FALSE),""))</f>
        <v/>
      </c>
      <c r="O68" s="40" t="str">
        <f t="shared" si="2"/>
        <v/>
      </c>
      <c r="P68" s="40" t="str">
        <f>IF($J68="","",IFERROR(VLOOKUP($J68,Grinders!$A:$N,6,FALSE),""))</f>
        <v/>
      </c>
      <c r="Q68" s="40" t="str">
        <f>IF($J68="","",IFERROR(VLOOKUP($J68,Grinders!$A:$N,8,FALSE),""))</f>
        <v/>
      </c>
      <c r="R68" s="40" t="str">
        <f>IFERROR(IF($J68="","",IF($L68="Elite",MAX(50,MIN(100,Config!$B$27*MAX(0,MIN(100,(1-IF($O68="",0,$O68))*100)) + Config!$B$28*MAX(0,MIN(100,(1-MIN(1,IF(Config!$B$30=0,1,$P68/Config!$B$30)))*100)) + Config!$B$29*MAX(0,MIN(100,MIN(1,IF($Q68="",0,$Q68)/Config!$B$23)*100)))),MIN(100,Config!$B$27*MAX(0,MIN(100,(1-IF($O68="",0,$O68))*100)) + Config!$B$28*MAX(0,MIN(100,(1-MIN(1,IF(Config!$B$30=0,1,$P68/Config!$B$30)))*100)) + Config!$B$29*MAX(0,MIN(100,MIN(1,IF($Q68="",0,$Q68)/Config!$B$23)*100))))),"")
</f>
        <v/>
      </c>
      <c r="S68" s="40" t="str">
        <f>IF(Bids!$AC68="","",Bids!$AC68)</f>
        <v/>
      </c>
      <c r="T68" s="40" t="str">
        <f>IF(Bids!$F68="","",Bids!$F68)</f>
        <v/>
      </c>
      <c r="U68" s="40" t="str">
        <f t="shared" si="3"/>
        <v/>
      </c>
      <c r="V68" s="40" t="str">
        <f>IF($U68="","",IF(Config!$B$17=Config!$B$16,IF($U68&gt;=Config!$B$17,100,0),MAX(0,MIN(100,($U68-Config!$B$16)/(Config!$B$17-Config!$B$16)*100))))</f>
        <v/>
      </c>
      <c r="W68" s="40">
        <f>IF($L68="Elite",Config!$B$21,0)</f>
        <v>0</v>
      </c>
      <c r="X68" s="40" t="str">
        <f>IFERROR(IF(OR($T68="",$G68=""),"",IF($T68&gt;$G68,
  MAX(0, 60-(($T68-$G68)*24/Config!$B$19)*60),
  MEDIAN(60, 100, 60+(($G68-$T68)*24/Config!$B$20)*40)
)),"")
</f>
        <v/>
      </c>
      <c r="Y68" s="40" t="str">
        <f>IF($J68="","",IFERROR(VLOOKUP($J68,Grinders!$A:$N,10,FALSE),""))</f>
        <v/>
      </c>
      <c r="Z68" s="40" t="str">
        <f>IF($J68="","",IFERROR(VLOOKUP($J68,Grinders!$A:$N,11,FALSE),""))</f>
        <v/>
      </c>
      <c r="AA68" s="40" t="str">
        <f>IF($J68="","",IFERROR(VLOOKUP($J68,Grinders!$A:$N,12,FALSE),""))</f>
        <v/>
      </c>
      <c r="AB68" s="40" t="str">
        <f>IF(OR(AL68=1,AM68=1),0,=IFERROR(IF(OR($C68="",$J68=""),0,IF($D68&lt;&gt;"Open",0,IF(COUNTIFS(GrinderServices!$A:$A,$J68,GrinderServices!$B:$B,$E68,GrinderServices!$D:$D,"Y")=0,0,IF($U68&lt;Config!$B$16,0,IF(Config!$B$18=1,IF($N68&gt;=$M68,0,1),1))))),""))</f>
        <v>#ERROR!</v>
      </c>
      <c r="AC68" s="40" t="str">
        <f>IFERROR((IF(OR(AL68=1,AM68=1),"",=IFERROR((IFERROR(IF($AB68=0,"",((Config!$B$6*$V68 + Config!$B$7*$R68 + Config!$B$8*$W68 + Config!$B$9*$X68 + Config!$B$10*$Y68 + Config!$B$11*$Z68 - Config!$B$12*$AA68)/Config!$B$13)+$AH68+$AI68),""))*(1-IFERROR(VLOOKUP(J68,Grinders!$A:$AB, 28, FALSE),0)),"")))*(1+AO68),"")</f>
        <v>#ERROR!</v>
      </c>
      <c r="AD68" s="40" t="str">
        <f t="shared" si="4"/>
        <v/>
      </c>
      <c r="AE68" s="40" t="str">
        <f>IFERROR(__xludf.DUMMYFUNCTION("IF($AC68="""","""",IF($AC68=IFERROR(MAX(FILTER($AC$6:$AC$1000,$C$6:$C$1000=$C68,$AB$6:$AB$1000=1)),),""WINNER"",""""))"),"#ERROR!")</f>
        <v>#ERROR!</v>
      </c>
      <c r="AF68" s="40" t="str">
        <f t="shared" si="5"/>
        <v/>
      </c>
      <c r="AG68" s="40" t="str">
        <f>IF($J68="","",COUNTIF(Assignments!$B:$B,$J68))</f>
        <v/>
      </c>
      <c r="AH68" s="40" t="str">
        <f>IF($J68="","",IF(AND($AG68=0,$N68&lt;$M68),Config!$B$43,0))</f>
        <v/>
      </c>
      <c r="AI68" s="40" t="str">
        <f>IF($J68="","",IF(AND($L68="Elite",$F68&gt;=Config!$B$41,$N68&lt;$M68),Config!$B$42,0))</f>
        <v/>
      </c>
      <c r="AJ68" s="22"/>
      <c r="AK68" s="39">
        <f>IFERROR(VLOOKUP(J68,Grinders!$A:$Q,28,FALSE),0)</f>
        <v>0</v>
      </c>
      <c r="AL68" s="39">
        <f>IF(Config!$B$1003&lt;&gt;"Y",0,IF(IFERROR(VLOOKUP(J68,Grinders!$A:$P,27,FALSE),0)&gt;=3,IF(OR(F68&gt;=Config!$B$1001,ISNUMBER(SEARCH(E68,Config!$B$1002))),1,0),0))</f>
        <v>0</v>
      </c>
      <c r="AM68" s="39">
        <f t="array" ref="AM68">IFERROR(IF(INDEX(Bids!$AE:$AE,MATCH(B68,Bids!$A:$A,0))="Pending",1,0),0)</f>
        <v>0</v>
      </c>
      <c r="AN68" s="39" t="str">
        <f t="array" ref="AN68">IF(C68="","",IFERROR(XLOOKUP(C68,Assignments!$C:$C,Assignments!$AU:$AU,0),0))</f>
        <v/>
      </c>
      <c r="AO68" s="39">
        <f>IF(AND(Config!$B$1006="Y",AN68=1),Config!$B$1007,0)</f>
        <v>0</v>
      </c>
    </row>
    <row r="69" ht="15.75" customHeight="1">
      <c r="A69" s="46" t="str">
        <f t="shared" si="1"/>
        <v/>
      </c>
      <c r="B69" s="40" t="str">
        <f>IF(Bids!$A69="","",Bids!$A69)</f>
        <v/>
      </c>
      <c r="C69" s="40" t="str">
        <f>IF(Bids!$B69="","",Bids!$B69)</f>
        <v/>
      </c>
      <c r="D69" s="40" t="str">
        <f>IF($C69="","",IFERROR(VLOOKUP($C69,Orders!$A:$J,9,FALSE),""))</f>
        <v/>
      </c>
      <c r="E69" s="40" t="str">
        <f>IF($C69="","",IFERROR(VLOOKUP($C69,Orders!$A:$J,3,FALSE),""))</f>
        <v/>
      </c>
      <c r="F69" s="40" t="str">
        <f>IF($C69="","",IFERROR(VLOOKUP($C69,Orders!$A:$J,4,FALSE),""))</f>
        <v/>
      </c>
      <c r="G69" s="40" t="str">
        <f>IF($C69="","",IFERROR(VLOOKUP($C69,Orders!$A:$J,5,FALSE),""))</f>
        <v/>
      </c>
      <c r="H69" s="40" t="str">
        <f>IF($C69="","",IFERROR(VLOOKUP($C69,Orders!$A:$J,6,FALSE),""))</f>
        <v/>
      </c>
      <c r="I69" s="40" t="str">
        <f>IF($C69="","",IFERROR(VLOOKUP($C69,Orders!$A:$J,7,FALSE),""))</f>
        <v/>
      </c>
      <c r="J69" s="40" t="str">
        <f>IF(Bids!$C69="","",Bids!$C69)</f>
        <v/>
      </c>
      <c r="K69" s="40" t="str">
        <f>IF($J69="","",IFERROR(VLOOKUP($J69,Grinders!$A:$N,2,FALSE),""))</f>
        <v/>
      </c>
      <c r="L69" s="40" t="str">
        <f>IF($J69="","",IFERROR(VLOOKUP($J69,Grinders!$A:$N,3,FALSE),""))</f>
        <v/>
      </c>
      <c r="M69" s="40" t="str">
        <f>IF($J69="","",IFERROR(VLOOKUP($J69,Grinders!$A:$N,4,FALSE),""))</f>
        <v/>
      </c>
      <c r="N69" s="40" t="str">
        <f>IF($J69="","",IFERROR(VLOOKUP($J69,Grinders!$A:$N,5,FALSE),""))</f>
        <v/>
      </c>
      <c r="O69" s="40" t="str">
        <f t="shared" si="2"/>
        <v/>
      </c>
      <c r="P69" s="40" t="str">
        <f>IF($J69="","",IFERROR(VLOOKUP($J69,Grinders!$A:$N,6,FALSE),""))</f>
        <v/>
      </c>
      <c r="Q69" s="40" t="str">
        <f>IF($J69="","",IFERROR(VLOOKUP($J69,Grinders!$A:$N,8,FALSE),""))</f>
        <v/>
      </c>
      <c r="R69" s="40" t="str">
        <f>IFERROR(IF($J69="","",IF($L69="Elite",MAX(50,MIN(100,Config!$B$27*MAX(0,MIN(100,(1-IF($O69="",0,$O69))*100)) + Config!$B$28*MAX(0,MIN(100,(1-MIN(1,IF(Config!$B$30=0,1,$P69/Config!$B$30)))*100)) + Config!$B$29*MAX(0,MIN(100,MIN(1,IF($Q69="",0,$Q69)/Config!$B$23)*100)))),MIN(100,Config!$B$27*MAX(0,MIN(100,(1-IF($O69="",0,$O69))*100)) + Config!$B$28*MAX(0,MIN(100,(1-MIN(1,IF(Config!$B$30=0,1,$P69/Config!$B$30)))*100)) + Config!$B$29*MAX(0,MIN(100,MIN(1,IF($Q69="",0,$Q69)/Config!$B$23)*100))))),"")
</f>
        <v/>
      </c>
      <c r="S69" s="40" t="str">
        <f>IF(Bids!$AC69="","",Bids!$AC69)</f>
        <v/>
      </c>
      <c r="T69" s="40" t="str">
        <f>IF(Bids!$F69="","",Bids!$F69)</f>
        <v/>
      </c>
      <c r="U69" s="40" t="str">
        <f t="shared" si="3"/>
        <v/>
      </c>
      <c r="V69" s="40" t="str">
        <f>IF($U69="","",IF(Config!$B$17=Config!$B$16,IF($U69&gt;=Config!$B$17,100,0),MAX(0,MIN(100,($U69-Config!$B$16)/(Config!$B$17-Config!$B$16)*100))))</f>
        <v/>
      </c>
      <c r="W69" s="40">
        <f>IF($L69="Elite",Config!$B$21,0)</f>
        <v>0</v>
      </c>
      <c r="X69" s="40" t="str">
        <f>IFERROR(IF(OR($T69="",$G69=""),"",IF($T69&gt;$G69,
  MAX(0, 60-(($T69-$G69)*24/Config!$B$19)*60),
  MEDIAN(60, 100, 60+(($G69-$T69)*24/Config!$B$20)*40)
)),"")
</f>
        <v/>
      </c>
      <c r="Y69" s="40" t="str">
        <f>IF($J69="","",IFERROR(VLOOKUP($J69,Grinders!$A:$N,10,FALSE),""))</f>
        <v/>
      </c>
      <c r="Z69" s="40" t="str">
        <f>IF($J69="","",IFERROR(VLOOKUP($J69,Grinders!$A:$N,11,FALSE),""))</f>
        <v/>
      </c>
      <c r="AA69" s="40" t="str">
        <f>IF($J69="","",IFERROR(VLOOKUP($J69,Grinders!$A:$N,12,FALSE),""))</f>
        <v/>
      </c>
      <c r="AB69" s="40" t="str">
        <f>IF(OR(AL69=1,AM69=1),0,=IFERROR(IF(OR($C69="",$J69=""),0,IF($D69&lt;&gt;"Open",0,IF(COUNTIFS(GrinderServices!$A:$A,$J69,GrinderServices!$B:$B,$E69,GrinderServices!$D:$D,"Y")=0,0,IF($U69&lt;Config!$B$16,0,IF(Config!$B$18=1,IF($N69&gt;=$M69,0,1),1))))),""))</f>
        <v>#ERROR!</v>
      </c>
      <c r="AC69" s="40" t="str">
        <f>IFERROR((IF(OR(AL69=1,AM69=1),"",=IFERROR((IFERROR(IF($AB69=0,"",((Config!$B$6*$V69 + Config!$B$7*$R69 + Config!$B$8*$W69 + Config!$B$9*$X69 + Config!$B$10*$Y69 + Config!$B$11*$Z69 - Config!$B$12*$AA69)/Config!$B$13)+$AH69+$AI69),""))*(1-IFERROR(VLOOKUP(J69,Grinders!$A:$AB, 28, FALSE),0)),"")))*(1+AO69),"")</f>
        <v>#ERROR!</v>
      </c>
      <c r="AD69" s="40" t="str">
        <f t="shared" si="4"/>
        <v/>
      </c>
      <c r="AE69" s="40" t="str">
        <f>IFERROR(__xludf.DUMMYFUNCTION("IF($AC69="""","""",IF($AC69=IFERROR(MAX(FILTER($AC$6:$AC$1000,$C$6:$C$1000=$C69,$AB$6:$AB$1000=1)),),""WINNER"",""""))"),"#ERROR!")</f>
        <v>#ERROR!</v>
      </c>
      <c r="AF69" s="40" t="str">
        <f t="shared" si="5"/>
        <v/>
      </c>
      <c r="AG69" s="40" t="str">
        <f>IF($J69="","",COUNTIF(Assignments!$B:$B,$J69))</f>
        <v/>
      </c>
      <c r="AH69" s="40" t="str">
        <f>IF($J69="","",IF(AND($AG69=0,$N69&lt;$M69),Config!$B$43,0))</f>
        <v/>
      </c>
      <c r="AI69" s="40" t="str">
        <f>IF($J69="","",IF(AND($L69="Elite",$F69&gt;=Config!$B$41,$N69&lt;$M69),Config!$B$42,0))</f>
        <v/>
      </c>
      <c r="AJ69" s="22"/>
      <c r="AK69" s="39">
        <f>IFERROR(VLOOKUP(J69,Grinders!$A:$Q,28,FALSE),0)</f>
        <v>0</v>
      </c>
      <c r="AL69" s="39">
        <f>IF(Config!$B$1003&lt;&gt;"Y",0,IF(IFERROR(VLOOKUP(J69,Grinders!$A:$P,27,FALSE),0)&gt;=3,IF(OR(F69&gt;=Config!$B$1001,ISNUMBER(SEARCH(E69,Config!$B$1002))),1,0),0))</f>
        <v>0</v>
      </c>
      <c r="AM69" s="39">
        <f t="array" ref="AM69">IFERROR(IF(INDEX(Bids!$AE:$AE,MATCH(B69,Bids!$A:$A,0))="Pending",1,0),0)</f>
        <v>0</v>
      </c>
      <c r="AN69" s="39" t="str">
        <f t="array" ref="AN69">IF(C69="","",IFERROR(XLOOKUP(C69,Assignments!$C:$C,Assignments!$AU:$AU,0),0))</f>
        <v/>
      </c>
      <c r="AO69" s="39">
        <f>IF(AND(Config!$B$1006="Y",AN69=1),Config!$B$1007,0)</f>
        <v>0</v>
      </c>
    </row>
    <row r="70" ht="15.75" customHeight="1">
      <c r="A70" s="46" t="str">
        <f t="shared" si="1"/>
        <v/>
      </c>
      <c r="B70" s="40" t="str">
        <f>IF(Bids!$A70="","",Bids!$A70)</f>
        <v/>
      </c>
      <c r="C70" s="40" t="str">
        <f>IF(Bids!$B70="","",Bids!$B70)</f>
        <v/>
      </c>
      <c r="D70" s="40" t="str">
        <f>IF($C70="","",IFERROR(VLOOKUP($C70,Orders!$A:$J,9,FALSE),""))</f>
        <v/>
      </c>
      <c r="E70" s="40" t="str">
        <f>IF($C70="","",IFERROR(VLOOKUP($C70,Orders!$A:$J,3,FALSE),""))</f>
        <v/>
      </c>
      <c r="F70" s="40" t="str">
        <f>IF($C70="","",IFERROR(VLOOKUP($C70,Orders!$A:$J,4,FALSE),""))</f>
        <v/>
      </c>
      <c r="G70" s="40" t="str">
        <f>IF($C70="","",IFERROR(VLOOKUP($C70,Orders!$A:$J,5,FALSE),""))</f>
        <v/>
      </c>
      <c r="H70" s="40" t="str">
        <f>IF($C70="","",IFERROR(VLOOKUP($C70,Orders!$A:$J,6,FALSE),""))</f>
        <v/>
      </c>
      <c r="I70" s="40" t="str">
        <f>IF($C70="","",IFERROR(VLOOKUP($C70,Orders!$A:$J,7,FALSE),""))</f>
        <v/>
      </c>
      <c r="J70" s="40" t="str">
        <f>IF(Bids!$C70="","",Bids!$C70)</f>
        <v/>
      </c>
      <c r="K70" s="40" t="str">
        <f>IF($J70="","",IFERROR(VLOOKUP($J70,Grinders!$A:$N,2,FALSE),""))</f>
        <v/>
      </c>
      <c r="L70" s="40" t="str">
        <f>IF($J70="","",IFERROR(VLOOKUP($J70,Grinders!$A:$N,3,FALSE),""))</f>
        <v/>
      </c>
      <c r="M70" s="40" t="str">
        <f>IF($J70="","",IFERROR(VLOOKUP($J70,Grinders!$A:$N,4,FALSE),""))</f>
        <v/>
      </c>
      <c r="N70" s="40" t="str">
        <f>IF($J70="","",IFERROR(VLOOKUP($J70,Grinders!$A:$N,5,FALSE),""))</f>
        <v/>
      </c>
      <c r="O70" s="40" t="str">
        <f t="shared" si="2"/>
        <v/>
      </c>
      <c r="P70" s="40" t="str">
        <f>IF($J70="","",IFERROR(VLOOKUP($J70,Grinders!$A:$N,6,FALSE),""))</f>
        <v/>
      </c>
      <c r="Q70" s="40" t="str">
        <f>IF($J70="","",IFERROR(VLOOKUP($J70,Grinders!$A:$N,8,FALSE),""))</f>
        <v/>
      </c>
      <c r="R70" s="40" t="str">
        <f>IFERROR(IF($J70="","",IF($L70="Elite",MAX(50,MIN(100,Config!$B$27*MAX(0,MIN(100,(1-IF($O70="",0,$O70))*100)) + Config!$B$28*MAX(0,MIN(100,(1-MIN(1,IF(Config!$B$30=0,1,$P70/Config!$B$30)))*100)) + Config!$B$29*MAX(0,MIN(100,MIN(1,IF($Q70="",0,$Q70)/Config!$B$23)*100)))),MIN(100,Config!$B$27*MAX(0,MIN(100,(1-IF($O70="",0,$O70))*100)) + Config!$B$28*MAX(0,MIN(100,(1-MIN(1,IF(Config!$B$30=0,1,$P70/Config!$B$30)))*100)) + Config!$B$29*MAX(0,MIN(100,MIN(1,IF($Q70="",0,$Q70)/Config!$B$23)*100))))),"")
</f>
        <v/>
      </c>
      <c r="S70" s="40" t="str">
        <f>IF(Bids!$AC70="","",Bids!$AC70)</f>
        <v/>
      </c>
      <c r="T70" s="40" t="str">
        <f>IF(Bids!$F70="","",Bids!$F70)</f>
        <v/>
      </c>
      <c r="U70" s="40" t="str">
        <f t="shared" si="3"/>
        <v/>
      </c>
      <c r="V70" s="40" t="str">
        <f>IF($U70="","",IF(Config!$B$17=Config!$B$16,IF($U70&gt;=Config!$B$17,100,0),MAX(0,MIN(100,($U70-Config!$B$16)/(Config!$B$17-Config!$B$16)*100))))</f>
        <v/>
      </c>
      <c r="W70" s="40">
        <f>IF($L70="Elite",Config!$B$21,0)</f>
        <v>0</v>
      </c>
      <c r="X70" s="40" t="str">
        <f>IFERROR(IF(OR($T70="",$G70=""),"",IF($T70&gt;$G70,
  MAX(0, 60-(($T70-$G70)*24/Config!$B$19)*60),
  MEDIAN(60, 100, 60+(($G70-$T70)*24/Config!$B$20)*40)
)),"")
</f>
        <v/>
      </c>
      <c r="Y70" s="40" t="str">
        <f>IF($J70="","",IFERROR(VLOOKUP($J70,Grinders!$A:$N,10,FALSE),""))</f>
        <v/>
      </c>
      <c r="Z70" s="40" t="str">
        <f>IF($J70="","",IFERROR(VLOOKUP($J70,Grinders!$A:$N,11,FALSE),""))</f>
        <v/>
      </c>
      <c r="AA70" s="40" t="str">
        <f>IF($J70="","",IFERROR(VLOOKUP($J70,Grinders!$A:$N,12,FALSE),""))</f>
        <v/>
      </c>
      <c r="AB70" s="40" t="str">
        <f>IF(OR(AL70=1,AM70=1),0,=IFERROR(IF(OR($C70="",$J70=""),0,IF($D70&lt;&gt;"Open",0,IF(COUNTIFS(GrinderServices!$A:$A,$J70,GrinderServices!$B:$B,$E70,GrinderServices!$D:$D,"Y")=0,0,IF($U70&lt;Config!$B$16,0,IF(Config!$B$18=1,IF($N70&gt;=$M70,0,1),1))))),""))</f>
        <v>#ERROR!</v>
      </c>
      <c r="AC70" s="40" t="str">
        <f>IFERROR((IF(OR(AL70=1,AM70=1),"",=IFERROR((IFERROR(IF($AB70=0,"",((Config!$B$6*$V70 + Config!$B$7*$R70 + Config!$B$8*$W70 + Config!$B$9*$X70 + Config!$B$10*$Y70 + Config!$B$11*$Z70 - Config!$B$12*$AA70)/Config!$B$13)+$AH70+$AI70),""))*(1-IFERROR(VLOOKUP(J70,Grinders!$A:$AB, 28, FALSE),0)),"")))*(1+AO70),"")</f>
        <v>#ERROR!</v>
      </c>
      <c r="AD70" s="40" t="str">
        <f t="shared" si="4"/>
        <v/>
      </c>
      <c r="AE70" s="40" t="str">
        <f>IFERROR(__xludf.DUMMYFUNCTION("IF($AC70="""","""",IF($AC70=IFERROR(MAX(FILTER($AC$6:$AC$1000,$C$6:$C$1000=$C70,$AB$6:$AB$1000=1)),),""WINNER"",""""))"),"#ERROR!")</f>
        <v>#ERROR!</v>
      </c>
      <c r="AF70" s="40" t="str">
        <f t="shared" si="5"/>
        <v/>
      </c>
      <c r="AG70" s="40" t="str">
        <f>IF($J70="","",COUNTIF(Assignments!$B:$B,$J70))</f>
        <v/>
      </c>
      <c r="AH70" s="40" t="str">
        <f>IF($J70="","",IF(AND($AG70=0,$N70&lt;$M70),Config!$B$43,0))</f>
        <v/>
      </c>
      <c r="AI70" s="40" t="str">
        <f>IF($J70="","",IF(AND($L70="Elite",$F70&gt;=Config!$B$41,$N70&lt;$M70),Config!$B$42,0))</f>
        <v/>
      </c>
      <c r="AJ70" s="22"/>
      <c r="AK70" s="39">
        <f>IFERROR(VLOOKUP(J70,Grinders!$A:$Q,28,FALSE),0)</f>
        <v>0</v>
      </c>
      <c r="AL70" s="39">
        <f>IF(Config!$B$1003&lt;&gt;"Y",0,IF(IFERROR(VLOOKUP(J70,Grinders!$A:$P,27,FALSE),0)&gt;=3,IF(OR(F70&gt;=Config!$B$1001,ISNUMBER(SEARCH(E70,Config!$B$1002))),1,0),0))</f>
        <v>0</v>
      </c>
      <c r="AM70" s="39">
        <f t="array" ref="AM70">IFERROR(IF(INDEX(Bids!$AE:$AE,MATCH(B70,Bids!$A:$A,0))="Pending",1,0),0)</f>
        <v>0</v>
      </c>
      <c r="AN70" s="39" t="str">
        <f t="array" ref="AN70">IF(C70="","",IFERROR(XLOOKUP(C70,Assignments!$C:$C,Assignments!$AU:$AU,0),0))</f>
        <v/>
      </c>
      <c r="AO70" s="39">
        <f>IF(AND(Config!$B$1006="Y",AN70=1),Config!$B$1007,0)</f>
        <v>0</v>
      </c>
    </row>
    <row r="71" ht="15.75" customHeight="1">
      <c r="A71" s="46" t="str">
        <f t="shared" si="1"/>
        <v/>
      </c>
      <c r="B71" s="40" t="str">
        <f>IF(Bids!$A71="","",Bids!$A71)</f>
        <v/>
      </c>
      <c r="C71" s="40" t="str">
        <f>IF(Bids!$B71="","",Bids!$B71)</f>
        <v/>
      </c>
      <c r="D71" s="40" t="str">
        <f>IF($C71="","",IFERROR(VLOOKUP($C71,Orders!$A:$J,9,FALSE),""))</f>
        <v/>
      </c>
      <c r="E71" s="40" t="str">
        <f>IF($C71="","",IFERROR(VLOOKUP($C71,Orders!$A:$J,3,FALSE),""))</f>
        <v/>
      </c>
      <c r="F71" s="40" t="str">
        <f>IF($C71="","",IFERROR(VLOOKUP($C71,Orders!$A:$J,4,FALSE),""))</f>
        <v/>
      </c>
      <c r="G71" s="40" t="str">
        <f>IF($C71="","",IFERROR(VLOOKUP($C71,Orders!$A:$J,5,FALSE),""))</f>
        <v/>
      </c>
      <c r="H71" s="40" t="str">
        <f>IF($C71="","",IFERROR(VLOOKUP($C71,Orders!$A:$J,6,FALSE),""))</f>
        <v/>
      </c>
      <c r="I71" s="40" t="str">
        <f>IF($C71="","",IFERROR(VLOOKUP($C71,Orders!$A:$J,7,FALSE),""))</f>
        <v/>
      </c>
      <c r="J71" s="40" t="str">
        <f>IF(Bids!$C71="","",Bids!$C71)</f>
        <v/>
      </c>
      <c r="K71" s="40" t="str">
        <f>IF($J71="","",IFERROR(VLOOKUP($J71,Grinders!$A:$N,2,FALSE),""))</f>
        <v/>
      </c>
      <c r="L71" s="40" t="str">
        <f>IF($J71="","",IFERROR(VLOOKUP($J71,Grinders!$A:$N,3,FALSE),""))</f>
        <v/>
      </c>
      <c r="M71" s="40" t="str">
        <f>IF($J71="","",IFERROR(VLOOKUP($J71,Grinders!$A:$N,4,FALSE),""))</f>
        <v/>
      </c>
      <c r="N71" s="40" t="str">
        <f>IF($J71="","",IFERROR(VLOOKUP($J71,Grinders!$A:$N,5,FALSE),""))</f>
        <v/>
      </c>
      <c r="O71" s="40" t="str">
        <f t="shared" si="2"/>
        <v/>
      </c>
      <c r="P71" s="40" t="str">
        <f>IF($J71="","",IFERROR(VLOOKUP($J71,Grinders!$A:$N,6,FALSE),""))</f>
        <v/>
      </c>
      <c r="Q71" s="40" t="str">
        <f>IF($J71="","",IFERROR(VLOOKUP($J71,Grinders!$A:$N,8,FALSE),""))</f>
        <v/>
      </c>
      <c r="R71" s="40" t="str">
        <f>IFERROR(IF($J71="","",IF($L71="Elite",MAX(50,MIN(100,Config!$B$27*MAX(0,MIN(100,(1-IF($O71="",0,$O71))*100)) + Config!$B$28*MAX(0,MIN(100,(1-MIN(1,IF(Config!$B$30=0,1,$P71/Config!$B$30)))*100)) + Config!$B$29*MAX(0,MIN(100,MIN(1,IF($Q71="",0,$Q71)/Config!$B$23)*100)))),MIN(100,Config!$B$27*MAX(0,MIN(100,(1-IF($O71="",0,$O71))*100)) + Config!$B$28*MAX(0,MIN(100,(1-MIN(1,IF(Config!$B$30=0,1,$P71/Config!$B$30)))*100)) + Config!$B$29*MAX(0,MIN(100,MIN(1,IF($Q71="",0,$Q71)/Config!$B$23)*100))))),"")
</f>
        <v/>
      </c>
      <c r="S71" s="40" t="str">
        <f>IF(Bids!$AC71="","",Bids!$AC71)</f>
        <v/>
      </c>
      <c r="T71" s="40" t="str">
        <f>IF(Bids!$F71="","",Bids!$F71)</f>
        <v/>
      </c>
      <c r="U71" s="40" t="str">
        <f t="shared" si="3"/>
        <v/>
      </c>
      <c r="V71" s="40" t="str">
        <f>IF($U71="","",IF(Config!$B$17=Config!$B$16,IF($U71&gt;=Config!$B$17,100,0),MAX(0,MIN(100,($U71-Config!$B$16)/(Config!$B$17-Config!$B$16)*100))))</f>
        <v/>
      </c>
      <c r="W71" s="40">
        <f>IF($L71="Elite",Config!$B$21,0)</f>
        <v>0</v>
      </c>
      <c r="X71" s="40" t="str">
        <f>IFERROR(IF(OR($T71="",$G71=""),"",IF($T71&gt;$G71,
  MAX(0, 60-(($T71-$G71)*24/Config!$B$19)*60),
  MEDIAN(60, 100, 60+(($G71-$T71)*24/Config!$B$20)*40)
)),"")
</f>
        <v/>
      </c>
      <c r="Y71" s="40" t="str">
        <f>IF($J71="","",IFERROR(VLOOKUP($J71,Grinders!$A:$N,10,FALSE),""))</f>
        <v/>
      </c>
      <c r="Z71" s="40" t="str">
        <f>IF($J71="","",IFERROR(VLOOKUP($J71,Grinders!$A:$N,11,FALSE),""))</f>
        <v/>
      </c>
      <c r="AA71" s="40" t="str">
        <f>IF($J71="","",IFERROR(VLOOKUP($J71,Grinders!$A:$N,12,FALSE),""))</f>
        <v/>
      </c>
      <c r="AB71" s="40" t="str">
        <f>IF(OR(AL71=1,AM71=1),0,=IFERROR(IF(OR($C71="",$J71=""),0,IF($D71&lt;&gt;"Open",0,IF(COUNTIFS(GrinderServices!$A:$A,$J71,GrinderServices!$B:$B,$E71,GrinderServices!$D:$D,"Y")=0,0,IF($U71&lt;Config!$B$16,0,IF(Config!$B$18=1,IF($N71&gt;=$M71,0,1),1))))),""))</f>
        <v>#ERROR!</v>
      </c>
      <c r="AC71" s="40" t="str">
        <f>IFERROR((IF(OR(AL71=1,AM71=1),"",=IFERROR((IFERROR(IF($AB71=0,"",((Config!$B$6*$V71 + Config!$B$7*$R71 + Config!$B$8*$W71 + Config!$B$9*$X71 + Config!$B$10*$Y71 + Config!$B$11*$Z71 - Config!$B$12*$AA71)/Config!$B$13)+$AH71+$AI71),""))*(1-IFERROR(VLOOKUP(J71,Grinders!$A:$AB, 28, FALSE),0)),"")))*(1+AO71),"")</f>
        <v>#ERROR!</v>
      </c>
      <c r="AD71" s="40" t="str">
        <f t="shared" si="4"/>
        <v/>
      </c>
      <c r="AE71" s="40" t="str">
        <f>IFERROR(__xludf.DUMMYFUNCTION("IF($AC71="""","""",IF($AC71=IFERROR(MAX(FILTER($AC$6:$AC$1000,$C$6:$C$1000=$C71,$AB$6:$AB$1000=1)),),""WINNER"",""""))"),"#ERROR!")</f>
        <v>#ERROR!</v>
      </c>
      <c r="AF71" s="40" t="str">
        <f t="shared" si="5"/>
        <v/>
      </c>
      <c r="AG71" s="40" t="str">
        <f>IF($J71="","",COUNTIF(Assignments!$B:$B,$J71))</f>
        <v/>
      </c>
      <c r="AH71" s="40" t="str">
        <f>IF($J71="","",IF(AND($AG71=0,$N71&lt;$M71),Config!$B$43,0))</f>
        <v/>
      </c>
      <c r="AI71" s="40" t="str">
        <f>IF($J71="","",IF(AND($L71="Elite",$F71&gt;=Config!$B$41,$N71&lt;$M71),Config!$B$42,0))</f>
        <v/>
      </c>
      <c r="AJ71" s="22"/>
      <c r="AK71" s="39">
        <f>IFERROR(VLOOKUP(J71,Grinders!$A:$Q,28,FALSE),0)</f>
        <v>0</v>
      </c>
      <c r="AL71" s="39">
        <f>IF(Config!$B$1003&lt;&gt;"Y",0,IF(IFERROR(VLOOKUP(J71,Grinders!$A:$P,27,FALSE),0)&gt;=3,IF(OR(F71&gt;=Config!$B$1001,ISNUMBER(SEARCH(E71,Config!$B$1002))),1,0),0))</f>
        <v>0</v>
      </c>
      <c r="AM71" s="39">
        <f t="array" ref="AM71">IFERROR(IF(INDEX(Bids!$AE:$AE,MATCH(B71,Bids!$A:$A,0))="Pending",1,0),0)</f>
        <v>0</v>
      </c>
      <c r="AN71" s="39" t="str">
        <f t="array" ref="AN71">IF(C71="","",IFERROR(XLOOKUP(C71,Assignments!$C:$C,Assignments!$AU:$AU,0),0))</f>
        <v/>
      </c>
      <c r="AO71" s="39">
        <f>IF(AND(Config!$B$1006="Y",AN71=1),Config!$B$1007,0)</f>
        <v>0</v>
      </c>
    </row>
    <row r="72" ht="15.75" customHeight="1">
      <c r="A72" s="46" t="str">
        <f t="shared" si="1"/>
        <v/>
      </c>
      <c r="B72" s="40" t="str">
        <f>IF(Bids!$A72="","",Bids!$A72)</f>
        <v/>
      </c>
      <c r="C72" s="40" t="str">
        <f>IF(Bids!$B72="","",Bids!$B72)</f>
        <v/>
      </c>
      <c r="D72" s="40" t="str">
        <f>IF($C72="","",IFERROR(VLOOKUP($C72,Orders!$A:$J,9,FALSE),""))</f>
        <v/>
      </c>
      <c r="E72" s="40" t="str">
        <f>IF($C72="","",IFERROR(VLOOKUP($C72,Orders!$A:$J,3,FALSE),""))</f>
        <v/>
      </c>
      <c r="F72" s="40" t="str">
        <f>IF($C72="","",IFERROR(VLOOKUP($C72,Orders!$A:$J,4,FALSE),""))</f>
        <v/>
      </c>
      <c r="G72" s="40" t="str">
        <f>IF($C72="","",IFERROR(VLOOKUP($C72,Orders!$A:$J,5,FALSE),""))</f>
        <v/>
      </c>
      <c r="H72" s="40" t="str">
        <f>IF($C72="","",IFERROR(VLOOKUP($C72,Orders!$A:$J,6,FALSE),""))</f>
        <v/>
      </c>
      <c r="I72" s="40" t="str">
        <f>IF($C72="","",IFERROR(VLOOKUP($C72,Orders!$A:$J,7,FALSE),""))</f>
        <v/>
      </c>
      <c r="J72" s="40" t="str">
        <f>IF(Bids!$C72="","",Bids!$C72)</f>
        <v/>
      </c>
      <c r="K72" s="40" t="str">
        <f>IF($J72="","",IFERROR(VLOOKUP($J72,Grinders!$A:$N,2,FALSE),""))</f>
        <v/>
      </c>
      <c r="L72" s="40" t="str">
        <f>IF($J72="","",IFERROR(VLOOKUP($J72,Grinders!$A:$N,3,FALSE),""))</f>
        <v/>
      </c>
      <c r="M72" s="40" t="str">
        <f>IF($J72="","",IFERROR(VLOOKUP($J72,Grinders!$A:$N,4,FALSE),""))</f>
        <v/>
      </c>
      <c r="N72" s="40" t="str">
        <f>IF($J72="","",IFERROR(VLOOKUP($J72,Grinders!$A:$N,5,FALSE),""))</f>
        <v/>
      </c>
      <c r="O72" s="40" t="str">
        <f t="shared" si="2"/>
        <v/>
      </c>
      <c r="P72" s="40" t="str">
        <f>IF($J72="","",IFERROR(VLOOKUP($J72,Grinders!$A:$N,6,FALSE),""))</f>
        <v/>
      </c>
      <c r="Q72" s="40" t="str">
        <f>IF($J72="","",IFERROR(VLOOKUP($J72,Grinders!$A:$N,8,FALSE),""))</f>
        <v/>
      </c>
      <c r="R72" s="40" t="str">
        <f>IFERROR(IF($J72="","",IF($L72="Elite",MAX(50,MIN(100,Config!$B$27*MAX(0,MIN(100,(1-IF($O72="",0,$O72))*100)) + Config!$B$28*MAX(0,MIN(100,(1-MIN(1,IF(Config!$B$30=0,1,$P72/Config!$B$30)))*100)) + Config!$B$29*MAX(0,MIN(100,MIN(1,IF($Q72="",0,$Q72)/Config!$B$23)*100)))),MIN(100,Config!$B$27*MAX(0,MIN(100,(1-IF($O72="",0,$O72))*100)) + Config!$B$28*MAX(0,MIN(100,(1-MIN(1,IF(Config!$B$30=0,1,$P72/Config!$B$30)))*100)) + Config!$B$29*MAX(0,MIN(100,MIN(1,IF($Q72="",0,$Q72)/Config!$B$23)*100))))),"")
</f>
        <v/>
      </c>
      <c r="S72" s="40" t="str">
        <f>IF(Bids!$AC72="","",Bids!$AC72)</f>
        <v/>
      </c>
      <c r="T72" s="40" t="str">
        <f>IF(Bids!$F72="","",Bids!$F72)</f>
        <v/>
      </c>
      <c r="U72" s="40" t="str">
        <f t="shared" si="3"/>
        <v/>
      </c>
      <c r="V72" s="40" t="str">
        <f>IF($U72="","",IF(Config!$B$17=Config!$B$16,IF($U72&gt;=Config!$B$17,100,0),MAX(0,MIN(100,($U72-Config!$B$16)/(Config!$B$17-Config!$B$16)*100))))</f>
        <v/>
      </c>
      <c r="W72" s="40">
        <f>IF($L72="Elite",Config!$B$21,0)</f>
        <v>0</v>
      </c>
      <c r="X72" s="40" t="str">
        <f>IFERROR(IF(OR($T72="",$G72=""),"",IF($T72&gt;$G72,
  MAX(0, 60-(($T72-$G72)*24/Config!$B$19)*60),
  MEDIAN(60, 100, 60+(($G72-$T72)*24/Config!$B$20)*40)
)),"")
</f>
        <v/>
      </c>
      <c r="Y72" s="40" t="str">
        <f>IF($J72="","",IFERROR(VLOOKUP($J72,Grinders!$A:$N,10,FALSE),""))</f>
        <v/>
      </c>
      <c r="Z72" s="40" t="str">
        <f>IF($J72="","",IFERROR(VLOOKUP($J72,Grinders!$A:$N,11,FALSE),""))</f>
        <v/>
      </c>
      <c r="AA72" s="40" t="str">
        <f>IF($J72="","",IFERROR(VLOOKUP($J72,Grinders!$A:$N,12,FALSE),""))</f>
        <v/>
      </c>
      <c r="AB72" s="40" t="str">
        <f>IF(OR(AL72=1,AM72=1),0,=IFERROR(IF(OR($C72="",$J72=""),0,IF($D72&lt;&gt;"Open",0,IF(COUNTIFS(GrinderServices!$A:$A,$J72,GrinderServices!$B:$B,$E72,GrinderServices!$D:$D,"Y")=0,0,IF($U72&lt;Config!$B$16,0,IF(Config!$B$18=1,IF($N72&gt;=$M72,0,1),1))))),""))</f>
        <v>#ERROR!</v>
      </c>
      <c r="AC72" s="40" t="str">
        <f>IFERROR((IF(OR(AL72=1,AM72=1),"",=IFERROR((IFERROR(IF($AB72=0,"",((Config!$B$6*$V72 + Config!$B$7*$R72 + Config!$B$8*$W72 + Config!$B$9*$X72 + Config!$B$10*$Y72 + Config!$B$11*$Z72 - Config!$B$12*$AA72)/Config!$B$13)+$AH72+$AI72),""))*(1-IFERROR(VLOOKUP(J72,Grinders!$A:$AB, 28, FALSE),0)),"")))*(1+AO72),"")</f>
        <v>#ERROR!</v>
      </c>
      <c r="AD72" s="40" t="str">
        <f t="shared" si="4"/>
        <v/>
      </c>
      <c r="AE72" s="40" t="str">
        <f>IFERROR(__xludf.DUMMYFUNCTION("IF($AC72="""","""",IF($AC72=IFERROR(MAX(FILTER($AC$6:$AC$1000,$C$6:$C$1000=$C72,$AB$6:$AB$1000=1)),),""WINNER"",""""))"),"#ERROR!")</f>
        <v>#ERROR!</v>
      </c>
      <c r="AF72" s="40" t="str">
        <f t="shared" si="5"/>
        <v/>
      </c>
      <c r="AG72" s="40" t="str">
        <f>IF($J72="","",COUNTIF(Assignments!$B:$B,$J72))</f>
        <v/>
      </c>
      <c r="AH72" s="40" t="str">
        <f>IF($J72="","",IF(AND($AG72=0,$N72&lt;$M72),Config!$B$43,0))</f>
        <v/>
      </c>
      <c r="AI72" s="40" t="str">
        <f>IF($J72="","",IF(AND($L72="Elite",$F72&gt;=Config!$B$41,$N72&lt;$M72),Config!$B$42,0))</f>
        <v/>
      </c>
      <c r="AJ72" s="22"/>
      <c r="AK72" s="39">
        <f>IFERROR(VLOOKUP(J72,Grinders!$A:$Q,28,FALSE),0)</f>
        <v>0</v>
      </c>
      <c r="AL72" s="39">
        <f>IF(Config!$B$1003&lt;&gt;"Y",0,IF(IFERROR(VLOOKUP(J72,Grinders!$A:$P,27,FALSE),0)&gt;=3,IF(OR(F72&gt;=Config!$B$1001,ISNUMBER(SEARCH(E72,Config!$B$1002))),1,0),0))</f>
        <v>0</v>
      </c>
      <c r="AM72" s="39">
        <f t="array" ref="AM72">IFERROR(IF(INDEX(Bids!$AE:$AE,MATCH(B72,Bids!$A:$A,0))="Pending",1,0),0)</f>
        <v>0</v>
      </c>
      <c r="AN72" s="39" t="str">
        <f t="array" ref="AN72">IF(C72="","",IFERROR(XLOOKUP(C72,Assignments!$C:$C,Assignments!$AU:$AU,0),0))</f>
        <v/>
      </c>
      <c r="AO72" s="39">
        <f>IF(AND(Config!$B$1006="Y",AN72=1),Config!$B$1007,0)</f>
        <v>0</v>
      </c>
    </row>
    <row r="73" ht="15.75" customHeight="1">
      <c r="A73" s="46" t="str">
        <f t="shared" si="1"/>
        <v/>
      </c>
      <c r="B73" s="40" t="str">
        <f>IF(Bids!$A73="","",Bids!$A73)</f>
        <v/>
      </c>
      <c r="C73" s="40" t="str">
        <f>IF(Bids!$B73="","",Bids!$B73)</f>
        <v/>
      </c>
      <c r="D73" s="40" t="str">
        <f>IF($C73="","",IFERROR(VLOOKUP($C73,Orders!$A:$J,9,FALSE),""))</f>
        <v/>
      </c>
      <c r="E73" s="40" t="str">
        <f>IF($C73="","",IFERROR(VLOOKUP($C73,Orders!$A:$J,3,FALSE),""))</f>
        <v/>
      </c>
      <c r="F73" s="40" t="str">
        <f>IF($C73="","",IFERROR(VLOOKUP($C73,Orders!$A:$J,4,FALSE),""))</f>
        <v/>
      </c>
      <c r="G73" s="40" t="str">
        <f>IF($C73="","",IFERROR(VLOOKUP($C73,Orders!$A:$J,5,FALSE),""))</f>
        <v/>
      </c>
      <c r="H73" s="40" t="str">
        <f>IF($C73="","",IFERROR(VLOOKUP($C73,Orders!$A:$J,6,FALSE),""))</f>
        <v/>
      </c>
      <c r="I73" s="40" t="str">
        <f>IF($C73="","",IFERROR(VLOOKUP($C73,Orders!$A:$J,7,FALSE),""))</f>
        <v/>
      </c>
      <c r="J73" s="40" t="str">
        <f>IF(Bids!$C73="","",Bids!$C73)</f>
        <v/>
      </c>
      <c r="K73" s="40" t="str">
        <f>IF($J73="","",IFERROR(VLOOKUP($J73,Grinders!$A:$N,2,FALSE),""))</f>
        <v/>
      </c>
      <c r="L73" s="40" t="str">
        <f>IF($J73="","",IFERROR(VLOOKUP($J73,Grinders!$A:$N,3,FALSE),""))</f>
        <v/>
      </c>
      <c r="M73" s="40" t="str">
        <f>IF($J73="","",IFERROR(VLOOKUP($J73,Grinders!$A:$N,4,FALSE),""))</f>
        <v/>
      </c>
      <c r="N73" s="40" t="str">
        <f>IF($J73="","",IFERROR(VLOOKUP($J73,Grinders!$A:$N,5,FALSE),""))</f>
        <v/>
      </c>
      <c r="O73" s="40" t="str">
        <f t="shared" si="2"/>
        <v/>
      </c>
      <c r="P73" s="40" t="str">
        <f>IF($J73="","",IFERROR(VLOOKUP($J73,Grinders!$A:$N,6,FALSE),""))</f>
        <v/>
      </c>
      <c r="Q73" s="40" t="str">
        <f>IF($J73="","",IFERROR(VLOOKUP($J73,Grinders!$A:$N,8,FALSE),""))</f>
        <v/>
      </c>
      <c r="R73" s="40" t="str">
        <f>IFERROR(IF($J73="","",IF($L73="Elite",MAX(50,MIN(100,Config!$B$27*MAX(0,MIN(100,(1-IF($O73="",0,$O73))*100)) + Config!$B$28*MAX(0,MIN(100,(1-MIN(1,IF(Config!$B$30=0,1,$P73/Config!$B$30)))*100)) + Config!$B$29*MAX(0,MIN(100,MIN(1,IF($Q73="",0,$Q73)/Config!$B$23)*100)))),MIN(100,Config!$B$27*MAX(0,MIN(100,(1-IF($O73="",0,$O73))*100)) + Config!$B$28*MAX(0,MIN(100,(1-MIN(1,IF(Config!$B$30=0,1,$P73/Config!$B$30)))*100)) + Config!$B$29*MAX(0,MIN(100,MIN(1,IF($Q73="",0,$Q73)/Config!$B$23)*100))))),"")
</f>
        <v/>
      </c>
      <c r="S73" s="40" t="str">
        <f>IF(Bids!$AC73="","",Bids!$AC73)</f>
        <v/>
      </c>
      <c r="T73" s="40" t="str">
        <f>IF(Bids!$F73="","",Bids!$F73)</f>
        <v/>
      </c>
      <c r="U73" s="40" t="str">
        <f t="shared" si="3"/>
        <v/>
      </c>
      <c r="V73" s="40" t="str">
        <f>IF($U73="","",IF(Config!$B$17=Config!$B$16,IF($U73&gt;=Config!$B$17,100,0),MAX(0,MIN(100,($U73-Config!$B$16)/(Config!$B$17-Config!$B$16)*100))))</f>
        <v/>
      </c>
      <c r="W73" s="40">
        <f>IF($L73="Elite",Config!$B$21,0)</f>
        <v>0</v>
      </c>
      <c r="X73" s="40" t="str">
        <f>IFERROR(IF(OR($T73="",$G73=""),"",IF($T73&gt;$G73,
  MAX(0, 60-(($T73-$G73)*24/Config!$B$19)*60),
  MEDIAN(60, 100, 60+(($G73-$T73)*24/Config!$B$20)*40)
)),"")
</f>
        <v/>
      </c>
      <c r="Y73" s="40" t="str">
        <f>IF($J73="","",IFERROR(VLOOKUP($J73,Grinders!$A:$N,10,FALSE),""))</f>
        <v/>
      </c>
      <c r="Z73" s="40" t="str">
        <f>IF($J73="","",IFERROR(VLOOKUP($J73,Grinders!$A:$N,11,FALSE),""))</f>
        <v/>
      </c>
      <c r="AA73" s="40" t="str">
        <f>IF($J73="","",IFERROR(VLOOKUP($J73,Grinders!$A:$N,12,FALSE),""))</f>
        <v/>
      </c>
      <c r="AB73" s="40" t="str">
        <f>IF(OR(AL73=1,AM73=1),0,=IFERROR(IF(OR($C73="",$J73=""),0,IF($D73&lt;&gt;"Open",0,IF(COUNTIFS(GrinderServices!$A:$A,$J73,GrinderServices!$B:$B,$E73,GrinderServices!$D:$D,"Y")=0,0,IF($U73&lt;Config!$B$16,0,IF(Config!$B$18=1,IF($N73&gt;=$M73,0,1),1))))),""))</f>
        <v>#ERROR!</v>
      </c>
      <c r="AC73" s="40" t="str">
        <f>IFERROR((IF(OR(AL73=1,AM73=1),"",=IFERROR((IFERROR(IF($AB73=0,"",((Config!$B$6*$V73 + Config!$B$7*$R73 + Config!$B$8*$W73 + Config!$B$9*$X73 + Config!$B$10*$Y73 + Config!$B$11*$Z73 - Config!$B$12*$AA73)/Config!$B$13)+$AH73+$AI73),""))*(1-IFERROR(VLOOKUP(J73,Grinders!$A:$AB, 28, FALSE),0)),"")))*(1+AO73),"")</f>
        <v>#ERROR!</v>
      </c>
      <c r="AD73" s="40" t="str">
        <f t="shared" si="4"/>
        <v/>
      </c>
      <c r="AE73" s="40" t="str">
        <f>IFERROR(__xludf.DUMMYFUNCTION("IF($AC73="""","""",IF($AC73=IFERROR(MAX(FILTER($AC$6:$AC$1000,$C$6:$C$1000=$C73,$AB$6:$AB$1000=1)),),""WINNER"",""""))"),"#ERROR!")</f>
        <v>#ERROR!</v>
      </c>
      <c r="AF73" s="40" t="str">
        <f t="shared" si="5"/>
        <v/>
      </c>
      <c r="AG73" s="40" t="str">
        <f>IF($J73="","",COUNTIF(Assignments!$B:$B,$J73))</f>
        <v/>
      </c>
      <c r="AH73" s="40" t="str">
        <f>IF($J73="","",IF(AND($AG73=0,$N73&lt;$M73),Config!$B$43,0))</f>
        <v/>
      </c>
      <c r="AI73" s="40" t="str">
        <f>IF($J73="","",IF(AND($L73="Elite",$F73&gt;=Config!$B$41,$N73&lt;$M73),Config!$B$42,0))</f>
        <v/>
      </c>
      <c r="AJ73" s="22"/>
      <c r="AK73" s="39">
        <f>IFERROR(VLOOKUP(J73,Grinders!$A:$Q,28,FALSE),0)</f>
        <v>0</v>
      </c>
      <c r="AL73" s="39">
        <f>IF(Config!$B$1003&lt;&gt;"Y",0,IF(IFERROR(VLOOKUP(J73,Grinders!$A:$P,27,FALSE),0)&gt;=3,IF(OR(F73&gt;=Config!$B$1001,ISNUMBER(SEARCH(E73,Config!$B$1002))),1,0),0))</f>
        <v>0</v>
      </c>
      <c r="AM73" s="39">
        <f t="array" ref="AM73">IFERROR(IF(INDEX(Bids!$AE:$AE,MATCH(B73,Bids!$A:$A,0))="Pending",1,0),0)</f>
        <v>0</v>
      </c>
      <c r="AN73" s="39" t="str">
        <f t="array" ref="AN73">IF(C73="","",IFERROR(XLOOKUP(C73,Assignments!$C:$C,Assignments!$AU:$AU,0),0))</f>
        <v/>
      </c>
      <c r="AO73" s="39">
        <f>IF(AND(Config!$B$1006="Y",AN73=1),Config!$B$1007,0)</f>
        <v>0</v>
      </c>
    </row>
    <row r="74" ht="15.75" customHeight="1">
      <c r="A74" s="46" t="str">
        <f t="shared" si="1"/>
        <v/>
      </c>
      <c r="B74" s="40" t="str">
        <f>IF(Bids!$A74="","",Bids!$A74)</f>
        <v/>
      </c>
      <c r="C74" s="40" t="str">
        <f>IF(Bids!$B74="","",Bids!$B74)</f>
        <v/>
      </c>
      <c r="D74" s="40" t="str">
        <f>IF($C74="","",IFERROR(VLOOKUP($C74,Orders!$A:$J,9,FALSE),""))</f>
        <v/>
      </c>
      <c r="E74" s="40" t="str">
        <f>IF($C74="","",IFERROR(VLOOKUP($C74,Orders!$A:$J,3,FALSE),""))</f>
        <v/>
      </c>
      <c r="F74" s="40" t="str">
        <f>IF($C74="","",IFERROR(VLOOKUP($C74,Orders!$A:$J,4,FALSE),""))</f>
        <v/>
      </c>
      <c r="G74" s="40" t="str">
        <f>IF($C74="","",IFERROR(VLOOKUP($C74,Orders!$A:$J,5,FALSE),""))</f>
        <v/>
      </c>
      <c r="H74" s="40" t="str">
        <f>IF($C74="","",IFERROR(VLOOKUP($C74,Orders!$A:$J,6,FALSE),""))</f>
        <v/>
      </c>
      <c r="I74" s="40" t="str">
        <f>IF($C74="","",IFERROR(VLOOKUP($C74,Orders!$A:$J,7,FALSE),""))</f>
        <v/>
      </c>
      <c r="J74" s="40" t="str">
        <f>IF(Bids!$C74="","",Bids!$C74)</f>
        <v/>
      </c>
      <c r="K74" s="40" t="str">
        <f>IF($J74="","",IFERROR(VLOOKUP($J74,Grinders!$A:$N,2,FALSE),""))</f>
        <v/>
      </c>
      <c r="L74" s="40" t="str">
        <f>IF($J74="","",IFERROR(VLOOKUP($J74,Grinders!$A:$N,3,FALSE),""))</f>
        <v/>
      </c>
      <c r="M74" s="40" t="str">
        <f>IF($J74="","",IFERROR(VLOOKUP($J74,Grinders!$A:$N,4,FALSE),""))</f>
        <v/>
      </c>
      <c r="N74" s="40" t="str">
        <f>IF($J74="","",IFERROR(VLOOKUP($J74,Grinders!$A:$N,5,FALSE),""))</f>
        <v/>
      </c>
      <c r="O74" s="40" t="str">
        <f t="shared" si="2"/>
        <v/>
      </c>
      <c r="P74" s="40" t="str">
        <f>IF($J74="","",IFERROR(VLOOKUP($J74,Grinders!$A:$N,6,FALSE),""))</f>
        <v/>
      </c>
      <c r="Q74" s="40" t="str">
        <f>IF($J74="","",IFERROR(VLOOKUP($J74,Grinders!$A:$N,8,FALSE),""))</f>
        <v/>
      </c>
      <c r="R74" s="40" t="str">
        <f>IFERROR(IF($J74="","",IF($L74="Elite",MAX(50,MIN(100,Config!$B$27*MAX(0,MIN(100,(1-IF($O74="",0,$O74))*100)) + Config!$B$28*MAX(0,MIN(100,(1-MIN(1,IF(Config!$B$30=0,1,$P74/Config!$B$30)))*100)) + Config!$B$29*MAX(0,MIN(100,MIN(1,IF($Q74="",0,$Q74)/Config!$B$23)*100)))),MIN(100,Config!$B$27*MAX(0,MIN(100,(1-IF($O74="",0,$O74))*100)) + Config!$B$28*MAX(0,MIN(100,(1-MIN(1,IF(Config!$B$30=0,1,$P74/Config!$B$30)))*100)) + Config!$B$29*MAX(0,MIN(100,MIN(1,IF($Q74="",0,$Q74)/Config!$B$23)*100))))),"")
</f>
        <v/>
      </c>
      <c r="S74" s="40" t="str">
        <f>IF(Bids!$AC74="","",Bids!$AC74)</f>
        <v/>
      </c>
      <c r="T74" s="40" t="str">
        <f>IF(Bids!$F74="","",Bids!$F74)</f>
        <v/>
      </c>
      <c r="U74" s="40" t="str">
        <f t="shared" si="3"/>
        <v/>
      </c>
      <c r="V74" s="40" t="str">
        <f>IF($U74="","",IF(Config!$B$17=Config!$B$16,IF($U74&gt;=Config!$B$17,100,0),MAX(0,MIN(100,($U74-Config!$B$16)/(Config!$B$17-Config!$B$16)*100))))</f>
        <v/>
      </c>
      <c r="W74" s="40">
        <f>IF($L74="Elite",Config!$B$21,0)</f>
        <v>0</v>
      </c>
      <c r="X74" s="40" t="str">
        <f>IFERROR(IF(OR($T74="",$G74=""),"",IF($T74&gt;$G74,
  MAX(0, 60-(($T74-$G74)*24/Config!$B$19)*60),
  MEDIAN(60, 100, 60+(($G74-$T74)*24/Config!$B$20)*40)
)),"")
</f>
        <v/>
      </c>
      <c r="Y74" s="40" t="str">
        <f>IF($J74="","",IFERROR(VLOOKUP($J74,Grinders!$A:$N,10,FALSE),""))</f>
        <v/>
      </c>
      <c r="Z74" s="40" t="str">
        <f>IF($J74="","",IFERROR(VLOOKUP($J74,Grinders!$A:$N,11,FALSE),""))</f>
        <v/>
      </c>
      <c r="AA74" s="40" t="str">
        <f>IF($J74="","",IFERROR(VLOOKUP($J74,Grinders!$A:$N,12,FALSE),""))</f>
        <v/>
      </c>
      <c r="AB74" s="40" t="str">
        <f>IF(OR(AL74=1,AM74=1),0,=IFERROR(IF(OR($C74="",$J74=""),0,IF($D74&lt;&gt;"Open",0,IF(COUNTIFS(GrinderServices!$A:$A,$J74,GrinderServices!$B:$B,$E74,GrinderServices!$D:$D,"Y")=0,0,IF($U74&lt;Config!$B$16,0,IF(Config!$B$18=1,IF($N74&gt;=$M74,0,1),1))))),""))</f>
        <v>#ERROR!</v>
      </c>
      <c r="AC74" s="40" t="str">
        <f>IFERROR((IF(OR(AL74=1,AM74=1),"",=IFERROR((IFERROR(IF($AB74=0,"",((Config!$B$6*$V74 + Config!$B$7*$R74 + Config!$B$8*$W74 + Config!$B$9*$X74 + Config!$B$10*$Y74 + Config!$B$11*$Z74 - Config!$B$12*$AA74)/Config!$B$13)+$AH74+$AI74),""))*(1-IFERROR(VLOOKUP(J74,Grinders!$A:$AB, 28, FALSE),0)),"")))*(1+AO74),"")</f>
        <v>#ERROR!</v>
      </c>
      <c r="AD74" s="40" t="str">
        <f t="shared" si="4"/>
        <v/>
      </c>
      <c r="AE74" s="40" t="str">
        <f>IFERROR(__xludf.DUMMYFUNCTION("IF($AC74="""","""",IF($AC74=IFERROR(MAX(FILTER($AC$6:$AC$1000,$C$6:$C$1000=$C74,$AB$6:$AB$1000=1)),),""WINNER"",""""))"),"#ERROR!")</f>
        <v>#ERROR!</v>
      </c>
      <c r="AF74" s="40" t="str">
        <f t="shared" si="5"/>
        <v/>
      </c>
      <c r="AG74" s="40" t="str">
        <f>IF($J74="","",COUNTIF(Assignments!$B:$B,$J74))</f>
        <v/>
      </c>
      <c r="AH74" s="40" t="str">
        <f>IF($J74="","",IF(AND($AG74=0,$N74&lt;$M74),Config!$B$43,0))</f>
        <v/>
      </c>
      <c r="AI74" s="40" t="str">
        <f>IF($J74="","",IF(AND($L74="Elite",$F74&gt;=Config!$B$41,$N74&lt;$M74),Config!$B$42,0))</f>
        <v/>
      </c>
      <c r="AJ74" s="22"/>
      <c r="AK74" s="39">
        <f>IFERROR(VLOOKUP(J74,Grinders!$A:$Q,28,FALSE),0)</f>
        <v>0</v>
      </c>
      <c r="AL74" s="39">
        <f>IF(Config!$B$1003&lt;&gt;"Y",0,IF(IFERROR(VLOOKUP(J74,Grinders!$A:$P,27,FALSE),0)&gt;=3,IF(OR(F74&gt;=Config!$B$1001,ISNUMBER(SEARCH(E74,Config!$B$1002))),1,0),0))</f>
        <v>0</v>
      </c>
      <c r="AM74" s="39">
        <f t="array" ref="AM74">IFERROR(IF(INDEX(Bids!$AE:$AE,MATCH(B74,Bids!$A:$A,0))="Pending",1,0),0)</f>
        <v>0</v>
      </c>
      <c r="AN74" s="39" t="str">
        <f t="array" ref="AN74">IF(C74="","",IFERROR(XLOOKUP(C74,Assignments!$C:$C,Assignments!$AU:$AU,0),0))</f>
        <v/>
      </c>
      <c r="AO74" s="39">
        <f>IF(AND(Config!$B$1006="Y",AN74=1),Config!$B$1007,0)</f>
        <v>0</v>
      </c>
    </row>
    <row r="75" ht="15.75" customHeight="1">
      <c r="A75" s="46" t="str">
        <f t="shared" si="1"/>
        <v/>
      </c>
      <c r="B75" s="40" t="str">
        <f>IF(Bids!$A75="","",Bids!$A75)</f>
        <v/>
      </c>
      <c r="C75" s="40" t="str">
        <f>IF(Bids!$B75="","",Bids!$B75)</f>
        <v/>
      </c>
      <c r="D75" s="40" t="str">
        <f>IF($C75="","",IFERROR(VLOOKUP($C75,Orders!$A:$J,9,FALSE),""))</f>
        <v/>
      </c>
      <c r="E75" s="40" t="str">
        <f>IF($C75="","",IFERROR(VLOOKUP($C75,Orders!$A:$J,3,FALSE),""))</f>
        <v/>
      </c>
      <c r="F75" s="40" t="str">
        <f>IF($C75="","",IFERROR(VLOOKUP($C75,Orders!$A:$J,4,FALSE),""))</f>
        <v/>
      </c>
      <c r="G75" s="40" t="str">
        <f>IF($C75="","",IFERROR(VLOOKUP($C75,Orders!$A:$J,5,FALSE),""))</f>
        <v/>
      </c>
      <c r="H75" s="40" t="str">
        <f>IF($C75="","",IFERROR(VLOOKUP($C75,Orders!$A:$J,6,FALSE),""))</f>
        <v/>
      </c>
      <c r="I75" s="40" t="str">
        <f>IF($C75="","",IFERROR(VLOOKUP($C75,Orders!$A:$J,7,FALSE),""))</f>
        <v/>
      </c>
      <c r="J75" s="40" t="str">
        <f>IF(Bids!$C75="","",Bids!$C75)</f>
        <v/>
      </c>
      <c r="K75" s="40" t="str">
        <f>IF($J75="","",IFERROR(VLOOKUP($J75,Grinders!$A:$N,2,FALSE),""))</f>
        <v/>
      </c>
      <c r="L75" s="40" t="str">
        <f>IF($J75="","",IFERROR(VLOOKUP($J75,Grinders!$A:$N,3,FALSE),""))</f>
        <v/>
      </c>
      <c r="M75" s="40" t="str">
        <f>IF($J75="","",IFERROR(VLOOKUP($J75,Grinders!$A:$N,4,FALSE),""))</f>
        <v/>
      </c>
      <c r="N75" s="40" t="str">
        <f>IF($J75="","",IFERROR(VLOOKUP($J75,Grinders!$A:$N,5,FALSE),""))</f>
        <v/>
      </c>
      <c r="O75" s="40" t="str">
        <f t="shared" si="2"/>
        <v/>
      </c>
      <c r="P75" s="40" t="str">
        <f>IF($J75="","",IFERROR(VLOOKUP($J75,Grinders!$A:$N,6,FALSE),""))</f>
        <v/>
      </c>
      <c r="Q75" s="40" t="str">
        <f>IF($J75="","",IFERROR(VLOOKUP($J75,Grinders!$A:$N,8,FALSE),""))</f>
        <v/>
      </c>
      <c r="R75" s="40" t="str">
        <f>IFERROR(IF($J75="","",IF($L75="Elite",MAX(50,MIN(100,Config!$B$27*MAX(0,MIN(100,(1-IF($O75="",0,$O75))*100)) + Config!$B$28*MAX(0,MIN(100,(1-MIN(1,IF(Config!$B$30=0,1,$P75/Config!$B$30)))*100)) + Config!$B$29*MAX(0,MIN(100,MIN(1,IF($Q75="",0,$Q75)/Config!$B$23)*100)))),MIN(100,Config!$B$27*MAX(0,MIN(100,(1-IF($O75="",0,$O75))*100)) + Config!$B$28*MAX(0,MIN(100,(1-MIN(1,IF(Config!$B$30=0,1,$P75/Config!$B$30)))*100)) + Config!$B$29*MAX(0,MIN(100,MIN(1,IF($Q75="",0,$Q75)/Config!$B$23)*100))))),"")
</f>
        <v/>
      </c>
      <c r="S75" s="40" t="str">
        <f>IF(Bids!$AC75="","",Bids!$AC75)</f>
        <v/>
      </c>
      <c r="T75" s="40" t="str">
        <f>IF(Bids!$F75="","",Bids!$F75)</f>
        <v/>
      </c>
      <c r="U75" s="40" t="str">
        <f t="shared" si="3"/>
        <v/>
      </c>
      <c r="V75" s="40" t="str">
        <f>IF($U75="","",IF(Config!$B$17=Config!$B$16,IF($U75&gt;=Config!$B$17,100,0),MAX(0,MIN(100,($U75-Config!$B$16)/(Config!$B$17-Config!$B$16)*100))))</f>
        <v/>
      </c>
      <c r="W75" s="40">
        <f>IF($L75="Elite",Config!$B$21,0)</f>
        <v>0</v>
      </c>
      <c r="X75" s="40" t="str">
        <f>IFERROR(IF(OR($T75="",$G75=""),"",IF($T75&gt;$G75,
  MAX(0, 60-(($T75-$G75)*24/Config!$B$19)*60),
  MEDIAN(60, 100, 60+(($G75-$T75)*24/Config!$B$20)*40)
)),"")
</f>
        <v/>
      </c>
      <c r="Y75" s="40" t="str">
        <f>IF($J75="","",IFERROR(VLOOKUP($J75,Grinders!$A:$N,10,FALSE),""))</f>
        <v/>
      </c>
      <c r="Z75" s="40" t="str">
        <f>IF($J75="","",IFERROR(VLOOKUP($J75,Grinders!$A:$N,11,FALSE),""))</f>
        <v/>
      </c>
      <c r="AA75" s="40" t="str">
        <f>IF($J75="","",IFERROR(VLOOKUP($J75,Grinders!$A:$N,12,FALSE),""))</f>
        <v/>
      </c>
      <c r="AB75" s="40" t="str">
        <f>IF(OR(AL75=1,AM75=1),0,=IFERROR(IF(OR($C75="",$J75=""),0,IF($D75&lt;&gt;"Open",0,IF(COUNTIFS(GrinderServices!$A:$A,$J75,GrinderServices!$B:$B,$E75,GrinderServices!$D:$D,"Y")=0,0,IF($U75&lt;Config!$B$16,0,IF(Config!$B$18=1,IF($N75&gt;=$M75,0,1),1))))),""))</f>
        <v>#ERROR!</v>
      </c>
      <c r="AC75" s="40" t="str">
        <f>IFERROR((IF(OR(AL75=1,AM75=1),"",=IFERROR((IFERROR(IF($AB75=0,"",((Config!$B$6*$V75 + Config!$B$7*$R75 + Config!$B$8*$W75 + Config!$B$9*$X75 + Config!$B$10*$Y75 + Config!$B$11*$Z75 - Config!$B$12*$AA75)/Config!$B$13)+$AH75+$AI75),""))*(1-IFERROR(VLOOKUP(J75,Grinders!$A:$AB, 28, FALSE),0)),"")))*(1+AO75),"")</f>
        <v>#ERROR!</v>
      </c>
      <c r="AD75" s="40" t="str">
        <f t="shared" si="4"/>
        <v/>
      </c>
      <c r="AE75" s="40" t="str">
        <f>IFERROR(__xludf.DUMMYFUNCTION("IF($AC75="""","""",IF($AC75=IFERROR(MAX(FILTER($AC$6:$AC$1000,$C$6:$C$1000=$C75,$AB$6:$AB$1000=1)),),""WINNER"",""""))"),"#ERROR!")</f>
        <v>#ERROR!</v>
      </c>
      <c r="AF75" s="40" t="str">
        <f t="shared" si="5"/>
        <v/>
      </c>
      <c r="AG75" s="40" t="str">
        <f>IF($J75="","",COUNTIF(Assignments!$B:$B,$J75))</f>
        <v/>
      </c>
      <c r="AH75" s="40" t="str">
        <f>IF($J75="","",IF(AND($AG75=0,$N75&lt;$M75),Config!$B$43,0))</f>
        <v/>
      </c>
      <c r="AI75" s="40" t="str">
        <f>IF($J75="","",IF(AND($L75="Elite",$F75&gt;=Config!$B$41,$N75&lt;$M75),Config!$B$42,0))</f>
        <v/>
      </c>
      <c r="AJ75" s="22"/>
      <c r="AK75" s="39">
        <f>IFERROR(VLOOKUP(J75,Grinders!$A:$Q,28,FALSE),0)</f>
        <v>0</v>
      </c>
      <c r="AL75" s="39">
        <f>IF(Config!$B$1003&lt;&gt;"Y",0,IF(IFERROR(VLOOKUP(J75,Grinders!$A:$P,27,FALSE),0)&gt;=3,IF(OR(F75&gt;=Config!$B$1001,ISNUMBER(SEARCH(E75,Config!$B$1002))),1,0),0))</f>
        <v>0</v>
      </c>
      <c r="AM75" s="39">
        <f t="array" ref="AM75">IFERROR(IF(INDEX(Bids!$AE:$AE,MATCH(B75,Bids!$A:$A,0))="Pending",1,0),0)</f>
        <v>0</v>
      </c>
      <c r="AN75" s="39" t="str">
        <f t="array" ref="AN75">IF(C75="","",IFERROR(XLOOKUP(C75,Assignments!$C:$C,Assignments!$AU:$AU,0),0))</f>
        <v/>
      </c>
      <c r="AO75" s="39">
        <f>IF(AND(Config!$B$1006="Y",AN75=1),Config!$B$1007,0)</f>
        <v>0</v>
      </c>
    </row>
    <row r="76" ht="15.75" customHeight="1">
      <c r="A76" s="46" t="str">
        <f t="shared" si="1"/>
        <v/>
      </c>
      <c r="B76" s="40" t="str">
        <f>IF(Bids!$A76="","",Bids!$A76)</f>
        <v/>
      </c>
      <c r="C76" s="40" t="str">
        <f>IF(Bids!$B76="","",Bids!$B76)</f>
        <v/>
      </c>
      <c r="D76" s="40" t="str">
        <f>IF($C76="","",IFERROR(VLOOKUP($C76,Orders!$A:$J,9,FALSE),""))</f>
        <v/>
      </c>
      <c r="E76" s="40" t="str">
        <f>IF($C76="","",IFERROR(VLOOKUP($C76,Orders!$A:$J,3,FALSE),""))</f>
        <v/>
      </c>
      <c r="F76" s="40" t="str">
        <f>IF($C76="","",IFERROR(VLOOKUP($C76,Orders!$A:$J,4,FALSE),""))</f>
        <v/>
      </c>
      <c r="G76" s="40" t="str">
        <f>IF($C76="","",IFERROR(VLOOKUP($C76,Orders!$A:$J,5,FALSE),""))</f>
        <v/>
      </c>
      <c r="H76" s="40" t="str">
        <f>IF($C76="","",IFERROR(VLOOKUP($C76,Orders!$A:$J,6,FALSE),""))</f>
        <v/>
      </c>
      <c r="I76" s="40" t="str">
        <f>IF($C76="","",IFERROR(VLOOKUP($C76,Orders!$A:$J,7,FALSE),""))</f>
        <v/>
      </c>
      <c r="J76" s="40" t="str">
        <f>IF(Bids!$C76="","",Bids!$C76)</f>
        <v/>
      </c>
      <c r="K76" s="40" t="str">
        <f>IF($J76="","",IFERROR(VLOOKUP($J76,Grinders!$A:$N,2,FALSE),""))</f>
        <v/>
      </c>
      <c r="L76" s="40" t="str">
        <f>IF($J76="","",IFERROR(VLOOKUP($J76,Grinders!$A:$N,3,FALSE),""))</f>
        <v/>
      </c>
      <c r="M76" s="40" t="str">
        <f>IF($J76="","",IFERROR(VLOOKUP($J76,Grinders!$A:$N,4,FALSE),""))</f>
        <v/>
      </c>
      <c r="N76" s="40" t="str">
        <f>IF($J76="","",IFERROR(VLOOKUP($J76,Grinders!$A:$N,5,FALSE),""))</f>
        <v/>
      </c>
      <c r="O76" s="40" t="str">
        <f t="shared" si="2"/>
        <v/>
      </c>
      <c r="P76" s="40" t="str">
        <f>IF($J76="","",IFERROR(VLOOKUP($J76,Grinders!$A:$N,6,FALSE),""))</f>
        <v/>
      </c>
      <c r="Q76" s="40" t="str">
        <f>IF($J76="","",IFERROR(VLOOKUP($J76,Grinders!$A:$N,8,FALSE),""))</f>
        <v/>
      </c>
      <c r="R76" s="40" t="str">
        <f>IFERROR(IF($J76="","",IF($L76="Elite",MAX(50,MIN(100,Config!$B$27*MAX(0,MIN(100,(1-IF($O76="",0,$O76))*100)) + Config!$B$28*MAX(0,MIN(100,(1-MIN(1,IF(Config!$B$30=0,1,$P76/Config!$B$30)))*100)) + Config!$B$29*MAX(0,MIN(100,MIN(1,IF($Q76="",0,$Q76)/Config!$B$23)*100)))),MIN(100,Config!$B$27*MAX(0,MIN(100,(1-IF($O76="",0,$O76))*100)) + Config!$B$28*MAX(0,MIN(100,(1-MIN(1,IF(Config!$B$30=0,1,$P76/Config!$B$30)))*100)) + Config!$B$29*MAX(0,MIN(100,MIN(1,IF($Q76="",0,$Q76)/Config!$B$23)*100))))),"")
</f>
        <v/>
      </c>
      <c r="S76" s="40" t="str">
        <f>IF(Bids!$AC76="","",Bids!$AC76)</f>
        <v/>
      </c>
      <c r="T76" s="40" t="str">
        <f>IF(Bids!$F76="","",Bids!$F76)</f>
        <v/>
      </c>
      <c r="U76" s="40" t="str">
        <f t="shared" si="3"/>
        <v/>
      </c>
      <c r="V76" s="40" t="str">
        <f>IF($U76="","",IF(Config!$B$17=Config!$B$16,IF($U76&gt;=Config!$B$17,100,0),MAX(0,MIN(100,($U76-Config!$B$16)/(Config!$B$17-Config!$B$16)*100))))</f>
        <v/>
      </c>
      <c r="W76" s="40">
        <f>IF($L76="Elite",Config!$B$21,0)</f>
        <v>0</v>
      </c>
      <c r="X76" s="40" t="str">
        <f>IFERROR(IF(OR($T76="",$G76=""),"",IF($T76&gt;$G76,
  MAX(0, 60-(($T76-$G76)*24/Config!$B$19)*60),
  MEDIAN(60, 100, 60+(($G76-$T76)*24/Config!$B$20)*40)
)),"")
</f>
        <v/>
      </c>
      <c r="Y76" s="40" t="str">
        <f>IF($J76="","",IFERROR(VLOOKUP($J76,Grinders!$A:$N,10,FALSE),""))</f>
        <v/>
      </c>
      <c r="Z76" s="40" t="str">
        <f>IF($J76="","",IFERROR(VLOOKUP($J76,Grinders!$A:$N,11,FALSE),""))</f>
        <v/>
      </c>
      <c r="AA76" s="40" t="str">
        <f>IF($J76="","",IFERROR(VLOOKUP($J76,Grinders!$A:$N,12,FALSE),""))</f>
        <v/>
      </c>
      <c r="AB76" s="40" t="str">
        <f>IF(OR(AL76=1,AM76=1),0,=IFERROR(IF(OR($C76="",$J76=""),0,IF($D76&lt;&gt;"Open",0,IF(COUNTIFS(GrinderServices!$A:$A,$J76,GrinderServices!$B:$B,$E76,GrinderServices!$D:$D,"Y")=0,0,IF($U76&lt;Config!$B$16,0,IF(Config!$B$18=1,IF($N76&gt;=$M76,0,1),1))))),""))</f>
        <v>#ERROR!</v>
      </c>
      <c r="AC76" s="40" t="str">
        <f>IFERROR((IF(OR(AL76=1,AM76=1),"",=IFERROR((IFERROR(IF($AB76=0,"",((Config!$B$6*$V76 + Config!$B$7*$R76 + Config!$B$8*$W76 + Config!$B$9*$X76 + Config!$B$10*$Y76 + Config!$B$11*$Z76 - Config!$B$12*$AA76)/Config!$B$13)+$AH76+$AI76),""))*(1-IFERROR(VLOOKUP(J76,Grinders!$A:$AB, 28, FALSE),0)),"")))*(1+AO76),"")</f>
        <v>#ERROR!</v>
      </c>
      <c r="AD76" s="40" t="str">
        <f t="shared" si="4"/>
        <v/>
      </c>
      <c r="AE76" s="40" t="str">
        <f>IFERROR(__xludf.DUMMYFUNCTION("IF($AC76="""","""",IF($AC76=IFERROR(MAX(FILTER($AC$6:$AC$1000,$C$6:$C$1000=$C76,$AB$6:$AB$1000=1)),),""WINNER"",""""))"),"#ERROR!")</f>
        <v>#ERROR!</v>
      </c>
      <c r="AF76" s="40" t="str">
        <f t="shared" si="5"/>
        <v/>
      </c>
      <c r="AG76" s="40" t="str">
        <f>IF($J76="","",COUNTIF(Assignments!$B:$B,$J76))</f>
        <v/>
      </c>
      <c r="AH76" s="40" t="str">
        <f>IF($J76="","",IF(AND($AG76=0,$N76&lt;$M76),Config!$B$43,0))</f>
        <v/>
      </c>
      <c r="AI76" s="40" t="str">
        <f>IF($J76="","",IF(AND($L76="Elite",$F76&gt;=Config!$B$41,$N76&lt;$M76),Config!$B$42,0))</f>
        <v/>
      </c>
      <c r="AJ76" s="22"/>
      <c r="AK76" s="39">
        <f>IFERROR(VLOOKUP(J76,Grinders!$A:$Q,28,FALSE),0)</f>
        <v>0</v>
      </c>
      <c r="AL76" s="39">
        <f>IF(Config!$B$1003&lt;&gt;"Y",0,IF(IFERROR(VLOOKUP(J76,Grinders!$A:$P,27,FALSE),0)&gt;=3,IF(OR(F76&gt;=Config!$B$1001,ISNUMBER(SEARCH(E76,Config!$B$1002))),1,0),0))</f>
        <v>0</v>
      </c>
      <c r="AM76" s="39">
        <f t="array" ref="AM76">IFERROR(IF(INDEX(Bids!$AE:$AE,MATCH(B76,Bids!$A:$A,0))="Pending",1,0),0)</f>
        <v>0</v>
      </c>
      <c r="AN76" s="39" t="str">
        <f t="array" ref="AN76">IF(C76="","",IFERROR(XLOOKUP(C76,Assignments!$C:$C,Assignments!$AU:$AU,0),0))</f>
        <v/>
      </c>
      <c r="AO76" s="39">
        <f>IF(AND(Config!$B$1006="Y",AN76=1),Config!$B$1007,0)</f>
        <v>0</v>
      </c>
    </row>
    <row r="77" ht="15.75" customHeight="1">
      <c r="A77" s="46" t="str">
        <f t="shared" si="1"/>
        <v/>
      </c>
      <c r="B77" s="40" t="str">
        <f>IF(Bids!$A77="","",Bids!$A77)</f>
        <v/>
      </c>
      <c r="C77" s="40" t="str">
        <f>IF(Bids!$B77="","",Bids!$B77)</f>
        <v/>
      </c>
      <c r="D77" s="40" t="str">
        <f>IF($C77="","",IFERROR(VLOOKUP($C77,Orders!$A:$J,9,FALSE),""))</f>
        <v/>
      </c>
      <c r="E77" s="40" t="str">
        <f>IF($C77="","",IFERROR(VLOOKUP($C77,Orders!$A:$J,3,FALSE),""))</f>
        <v/>
      </c>
      <c r="F77" s="40" t="str">
        <f>IF($C77="","",IFERROR(VLOOKUP($C77,Orders!$A:$J,4,FALSE),""))</f>
        <v/>
      </c>
      <c r="G77" s="40" t="str">
        <f>IF($C77="","",IFERROR(VLOOKUP($C77,Orders!$A:$J,5,FALSE),""))</f>
        <v/>
      </c>
      <c r="H77" s="40" t="str">
        <f>IF($C77="","",IFERROR(VLOOKUP($C77,Orders!$A:$J,6,FALSE),""))</f>
        <v/>
      </c>
      <c r="I77" s="40" t="str">
        <f>IF($C77="","",IFERROR(VLOOKUP($C77,Orders!$A:$J,7,FALSE),""))</f>
        <v/>
      </c>
      <c r="J77" s="40" t="str">
        <f>IF(Bids!$C77="","",Bids!$C77)</f>
        <v/>
      </c>
      <c r="K77" s="40" t="str">
        <f>IF($J77="","",IFERROR(VLOOKUP($J77,Grinders!$A:$N,2,FALSE),""))</f>
        <v/>
      </c>
      <c r="L77" s="40" t="str">
        <f>IF($J77="","",IFERROR(VLOOKUP($J77,Grinders!$A:$N,3,FALSE),""))</f>
        <v/>
      </c>
      <c r="M77" s="40" t="str">
        <f>IF($J77="","",IFERROR(VLOOKUP($J77,Grinders!$A:$N,4,FALSE),""))</f>
        <v/>
      </c>
      <c r="N77" s="40" t="str">
        <f>IF($J77="","",IFERROR(VLOOKUP($J77,Grinders!$A:$N,5,FALSE),""))</f>
        <v/>
      </c>
      <c r="O77" s="40" t="str">
        <f t="shared" si="2"/>
        <v/>
      </c>
      <c r="P77" s="40" t="str">
        <f>IF($J77="","",IFERROR(VLOOKUP($J77,Grinders!$A:$N,6,FALSE),""))</f>
        <v/>
      </c>
      <c r="Q77" s="40" t="str">
        <f>IF($J77="","",IFERROR(VLOOKUP($J77,Grinders!$A:$N,8,FALSE),""))</f>
        <v/>
      </c>
      <c r="R77" s="40" t="str">
        <f>IFERROR(IF($J77="","",IF($L77="Elite",MAX(50,MIN(100,Config!$B$27*MAX(0,MIN(100,(1-IF($O77="",0,$O77))*100)) + Config!$B$28*MAX(0,MIN(100,(1-MIN(1,IF(Config!$B$30=0,1,$P77/Config!$B$30)))*100)) + Config!$B$29*MAX(0,MIN(100,MIN(1,IF($Q77="",0,$Q77)/Config!$B$23)*100)))),MIN(100,Config!$B$27*MAX(0,MIN(100,(1-IF($O77="",0,$O77))*100)) + Config!$B$28*MAX(0,MIN(100,(1-MIN(1,IF(Config!$B$30=0,1,$P77/Config!$B$30)))*100)) + Config!$B$29*MAX(0,MIN(100,MIN(1,IF($Q77="",0,$Q77)/Config!$B$23)*100))))),"")
</f>
        <v/>
      </c>
      <c r="S77" s="40" t="str">
        <f>IF(Bids!$AC77="","",Bids!$AC77)</f>
        <v/>
      </c>
      <c r="T77" s="40" t="str">
        <f>IF(Bids!$F77="","",Bids!$F77)</f>
        <v/>
      </c>
      <c r="U77" s="40" t="str">
        <f t="shared" si="3"/>
        <v/>
      </c>
      <c r="V77" s="40" t="str">
        <f>IF($U77="","",IF(Config!$B$17=Config!$B$16,IF($U77&gt;=Config!$B$17,100,0),MAX(0,MIN(100,($U77-Config!$B$16)/(Config!$B$17-Config!$B$16)*100))))</f>
        <v/>
      </c>
      <c r="W77" s="40">
        <f>IF($L77="Elite",Config!$B$21,0)</f>
        <v>0</v>
      </c>
      <c r="X77" s="40" t="str">
        <f>IFERROR(IF(OR($T77="",$G77=""),"",IF($T77&gt;$G77,
  MAX(0, 60-(($T77-$G77)*24/Config!$B$19)*60),
  MEDIAN(60, 100, 60+(($G77-$T77)*24/Config!$B$20)*40)
)),"")
</f>
        <v/>
      </c>
      <c r="Y77" s="40" t="str">
        <f>IF($J77="","",IFERROR(VLOOKUP($J77,Grinders!$A:$N,10,FALSE),""))</f>
        <v/>
      </c>
      <c r="Z77" s="40" t="str">
        <f>IF($J77="","",IFERROR(VLOOKUP($J77,Grinders!$A:$N,11,FALSE),""))</f>
        <v/>
      </c>
      <c r="AA77" s="40" t="str">
        <f>IF($J77="","",IFERROR(VLOOKUP($J77,Grinders!$A:$N,12,FALSE),""))</f>
        <v/>
      </c>
      <c r="AB77" s="40" t="str">
        <f>IF(OR(AL77=1,AM77=1),0,=IFERROR(IF(OR($C77="",$J77=""),0,IF($D77&lt;&gt;"Open",0,IF(COUNTIFS(GrinderServices!$A:$A,$J77,GrinderServices!$B:$B,$E77,GrinderServices!$D:$D,"Y")=0,0,IF($U77&lt;Config!$B$16,0,IF(Config!$B$18=1,IF($N77&gt;=$M77,0,1),1))))),""))</f>
        <v>#ERROR!</v>
      </c>
      <c r="AC77" s="40" t="str">
        <f>IFERROR((IF(OR(AL77=1,AM77=1),"",=IFERROR((IFERROR(IF($AB77=0,"",((Config!$B$6*$V77 + Config!$B$7*$R77 + Config!$B$8*$W77 + Config!$B$9*$X77 + Config!$B$10*$Y77 + Config!$B$11*$Z77 - Config!$B$12*$AA77)/Config!$B$13)+$AH77+$AI77),""))*(1-IFERROR(VLOOKUP(J77,Grinders!$A:$AB, 28, FALSE),0)),"")))*(1+AO77),"")</f>
        <v>#ERROR!</v>
      </c>
      <c r="AD77" s="40" t="str">
        <f t="shared" si="4"/>
        <v/>
      </c>
      <c r="AE77" s="40" t="str">
        <f>IFERROR(__xludf.DUMMYFUNCTION("IF($AC77="""","""",IF($AC77=IFERROR(MAX(FILTER($AC$6:$AC$1000,$C$6:$C$1000=$C77,$AB$6:$AB$1000=1)),),""WINNER"",""""))"),"#ERROR!")</f>
        <v>#ERROR!</v>
      </c>
      <c r="AF77" s="40" t="str">
        <f t="shared" si="5"/>
        <v/>
      </c>
      <c r="AG77" s="40" t="str">
        <f>IF($J77="","",COUNTIF(Assignments!$B:$B,$J77))</f>
        <v/>
      </c>
      <c r="AH77" s="40" t="str">
        <f>IF($J77="","",IF(AND($AG77=0,$N77&lt;$M77),Config!$B$43,0))</f>
        <v/>
      </c>
      <c r="AI77" s="40" t="str">
        <f>IF($J77="","",IF(AND($L77="Elite",$F77&gt;=Config!$B$41,$N77&lt;$M77),Config!$B$42,0))</f>
        <v/>
      </c>
      <c r="AJ77" s="22"/>
      <c r="AK77" s="39">
        <f>IFERROR(VLOOKUP(J77,Grinders!$A:$Q,28,FALSE),0)</f>
        <v>0</v>
      </c>
      <c r="AL77" s="39">
        <f>IF(Config!$B$1003&lt;&gt;"Y",0,IF(IFERROR(VLOOKUP(J77,Grinders!$A:$P,27,FALSE),0)&gt;=3,IF(OR(F77&gt;=Config!$B$1001,ISNUMBER(SEARCH(E77,Config!$B$1002))),1,0),0))</f>
        <v>0</v>
      </c>
      <c r="AM77" s="39">
        <f t="array" ref="AM77">IFERROR(IF(INDEX(Bids!$AE:$AE,MATCH(B77,Bids!$A:$A,0))="Pending",1,0),0)</f>
        <v>0</v>
      </c>
      <c r="AN77" s="39" t="str">
        <f t="array" ref="AN77">IF(C77="","",IFERROR(XLOOKUP(C77,Assignments!$C:$C,Assignments!$AU:$AU,0),0))</f>
        <v/>
      </c>
      <c r="AO77" s="39">
        <f>IF(AND(Config!$B$1006="Y",AN77=1),Config!$B$1007,0)</f>
        <v>0</v>
      </c>
    </row>
    <row r="78" ht="15.75" customHeight="1">
      <c r="A78" s="46" t="str">
        <f t="shared" si="1"/>
        <v/>
      </c>
      <c r="B78" s="40" t="str">
        <f>IF(Bids!$A78="","",Bids!$A78)</f>
        <v/>
      </c>
      <c r="C78" s="40" t="str">
        <f>IF(Bids!$B78="","",Bids!$B78)</f>
        <v/>
      </c>
      <c r="D78" s="40" t="str">
        <f>IF($C78="","",IFERROR(VLOOKUP($C78,Orders!$A:$J,9,FALSE),""))</f>
        <v/>
      </c>
      <c r="E78" s="40" t="str">
        <f>IF($C78="","",IFERROR(VLOOKUP($C78,Orders!$A:$J,3,FALSE),""))</f>
        <v/>
      </c>
      <c r="F78" s="40" t="str">
        <f>IF($C78="","",IFERROR(VLOOKUP($C78,Orders!$A:$J,4,FALSE),""))</f>
        <v/>
      </c>
      <c r="G78" s="40" t="str">
        <f>IF($C78="","",IFERROR(VLOOKUP($C78,Orders!$A:$J,5,FALSE),""))</f>
        <v/>
      </c>
      <c r="H78" s="40" t="str">
        <f>IF($C78="","",IFERROR(VLOOKUP($C78,Orders!$A:$J,6,FALSE),""))</f>
        <v/>
      </c>
      <c r="I78" s="40" t="str">
        <f>IF($C78="","",IFERROR(VLOOKUP($C78,Orders!$A:$J,7,FALSE),""))</f>
        <v/>
      </c>
      <c r="J78" s="40" t="str">
        <f>IF(Bids!$C78="","",Bids!$C78)</f>
        <v/>
      </c>
      <c r="K78" s="40" t="str">
        <f>IF($J78="","",IFERROR(VLOOKUP($J78,Grinders!$A:$N,2,FALSE),""))</f>
        <v/>
      </c>
      <c r="L78" s="40" t="str">
        <f>IF($J78="","",IFERROR(VLOOKUP($J78,Grinders!$A:$N,3,FALSE),""))</f>
        <v/>
      </c>
      <c r="M78" s="40" t="str">
        <f>IF($J78="","",IFERROR(VLOOKUP($J78,Grinders!$A:$N,4,FALSE),""))</f>
        <v/>
      </c>
      <c r="N78" s="40" t="str">
        <f>IF($J78="","",IFERROR(VLOOKUP($J78,Grinders!$A:$N,5,FALSE),""))</f>
        <v/>
      </c>
      <c r="O78" s="40" t="str">
        <f t="shared" si="2"/>
        <v/>
      </c>
      <c r="P78" s="40" t="str">
        <f>IF($J78="","",IFERROR(VLOOKUP($J78,Grinders!$A:$N,6,FALSE),""))</f>
        <v/>
      </c>
      <c r="Q78" s="40" t="str">
        <f>IF($J78="","",IFERROR(VLOOKUP($J78,Grinders!$A:$N,8,FALSE),""))</f>
        <v/>
      </c>
      <c r="R78" s="40" t="str">
        <f>IFERROR(IF($J78="","",IF($L78="Elite",MAX(50,MIN(100,Config!$B$27*MAX(0,MIN(100,(1-IF($O78="",0,$O78))*100)) + Config!$B$28*MAX(0,MIN(100,(1-MIN(1,IF(Config!$B$30=0,1,$P78/Config!$B$30)))*100)) + Config!$B$29*MAX(0,MIN(100,MIN(1,IF($Q78="",0,$Q78)/Config!$B$23)*100)))),MIN(100,Config!$B$27*MAX(0,MIN(100,(1-IF($O78="",0,$O78))*100)) + Config!$B$28*MAX(0,MIN(100,(1-MIN(1,IF(Config!$B$30=0,1,$P78/Config!$B$30)))*100)) + Config!$B$29*MAX(0,MIN(100,MIN(1,IF($Q78="",0,$Q78)/Config!$B$23)*100))))),"")
</f>
        <v/>
      </c>
      <c r="S78" s="40" t="str">
        <f>IF(Bids!$AC78="","",Bids!$AC78)</f>
        <v/>
      </c>
      <c r="T78" s="40" t="str">
        <f>IF(Bids!$F78="","",Bids!$F78)</f>
        <v/>
      </c>
      <c r="U78" s="40" t="str">
        <f t="shared" si="3"/>
        <v/>
      </c>
      <c r="V78" s="40" t="str">
        <f>IF($U78="","",IF(Config!$B$17=Config!$B$16,IF($U78&gt;=Config!$B$17,100,0),MAX(0,MIN(100,($U78-Config!$B$16)/(Config!$B$17-Config!$B$16)*100))))</f>
        <v/>
      </c>
      <c r="W78" s="40">
        <f>IF($L78="Elite",Config!$B$21,0)</f>
        <v>0</v>
      </c>
      <c r="X78" s="40" t="str">
        <f>IFERROR(IF(OR($T78="",$G78=""),"",IF($T78&gt;$G78,
  MAX(0, 60-(($T78-$G78)*24/Config!$B$19)*60),
  MEDIAN(60, 100, 60+(($G78-$T78)*24/Config!$B$20)*40)
)),"")
</f>
        <v/>
      </c>
      <c r="Y78" s="40" t="str">
        <f>IF($J78="","",IFERROR(VLOOKUP($J78,Grinders!$A:$N,10,FALSE),""))</f>
        <v/>
      </c>
      <c r="Z78" s="40" t="str">
        <f>IF($J78="","",IFERROR(VLOOKUP($J78,Grinders!$A:$N,11,FALSE),""))</f>
        <v/>
      </c>
      <c r="AA78" s="40" t="str">
        <f>IF($J78="","",IFERROR(VLOOKUP($J78,Grinders!$A:$N,12,FALSE),""))</f>
        <v/>
      </c>
      <c r="AB78" s="40" t="str">
        <f>IF(OR(AL78=1,AM78=1),0,=IFERROR(IF(OR($C78="",$J78=""),0,IF($D78&lt;&gt;"Open",0,IF(COUNTIFS(GrinderServices!$A:$A,$J78,GrinderServices!$B:$B,$E78,GrinderServices!$D:$D,"Y")=0,0,IF($U78&lt;Config!$B$16,0,IF(Config!$B$18=1,IF($N78&gt;=$M78,0,1),1))))),""))</f>
        <v>#ERROR!</v>
      </c>
      <c r="AC78" s="40" t="str">
        <f>IFERROR((IF(OR(AL78=1,AM78=1),"",=IFERROR((IFERROR(IF($AB78=0,"",((Config!$B$6*$V78 + Config!$B$7*$R78 + Config!$B$8*$W78 + Config!$B$9*$X78 + Config!$B$10*$Y78 + Config!$B$11*$Z78 - Config!$B$12*$AA78)/Config!$B$13)+$AH78+$AI78),""))*(1-IFERROR(VLOOKUP(J78,Grinders!$A:$AB, 28, FALSE),0)),"")))*(1+AO78),"")</f>
        <v>#ERROR!</v>
      </c>
      <c r="AD78" s="40" t="str">
        <f t="shared" si="4"/>
        <v/>
      </c>
      <c r="AE78" s="40" t="str">
        <f>IFERROR(__xludf.DUMMYFUNCTION("IF($AC78="""","""",IF($AC78=IFERROR(MAX(FILTER($AC$6:$AC$1000,$C$6:$C$1000=$C78,$AB$6:$AB$1000=1)),),""WINNER"",""""))"),"#ERROR!")</f>
        <v>#ERROR!</v>
      </c>
      <c r="AF78" s="40" t="str">
        <f t="shared" si="5"/>
        <v/>
      </c>
      <c r="AG78" s="40" t="str">
        <f>IF($J78="","",COUNTIF(Assignments!$B:$B,$J78))</f>
        <v/>
      </c>
      <c r="AH78" s="40" t="str">
        <f>IF($J78="","",IF(AND($AG78=0,$N78&lt;$M78),Config!$B$43,0))</f>
        <v/>
      </c>
      <c r="AI78" s="40" t="str">
        <f>IF($J78="","",IF(AND($L78="Elite",$F78&gt;=Config!$B$41,$N78&lt;$M78),Config!$B$42,0))</f>
        <v/>
      </c>
      <c r="AJ78" s="22"/>
      <c r="AK78" s="39">
        <f>IFERROR(VLOOKUP(J78,Grinders!$A:$Q,28,FALSE),0)</f>
        <v>0</v>
      </c>
      <c r="AL78" s="39">
        <f>IF(Config!$B$1003&lt;&gt;"Y",0,IF(IFERROR(VLOOKUP(J78,Grinders!$A:$P,27,FALSE),0)&gt;=3,IF(OR(F78&gt;=Config!$B$1001,ISNUMBER(SEARCH(E78,Config!$B$1002))),1,0),0))</f>
        <v>0</v>
      </c>
      <c r="AM78" s="39">
        <f t="array" ref="AM78">IFERROR(IF(INDEX(Bids!$AE:$AE,MATCH(B78,Bids!$A:$A,0))="Pending",1,0),0)</f>
        <v>0</v>
      </c>
      <c r="AN78" s="39" t="str">
        <f t="array" ref="AN78">IF(C78="","",IFERROR(XLOOKUP(C78,Assignments!$C:$C,Assignments!$AU:$AU,0),0))</f>
        <v/>
      </c>
      <c r="AO78" s="39">
        <f>IF(AND(Config!$B$1006="Y",AN78=1),Config!$B$1007,0)</f>
        <v>0</v>
      </c>
    </row>
    <row r="79" ht="15.75" customHeight="1">
      <c r="A79" s="46" t="str">
        <f t="shared" si="1"/>
        <v/>
      </c>
      <c r="B79" s="40" t="str">
        <f>IF(Bids!$A79="","",Bids!$A79)</f>
        <v/>
      </c>
      <c r="C79" s="40" t="str">
        <f>IF(Bids!$B79="","",Bids!$B79)</f>
        <v/>
      </c>
      <c r="D79" s="40" t="str">
        <f>IF($C79="","",IFERROR(VLOOKUP($C79,Orders!$A:$J,9,FALSE),""))</f>
        <v/>
      </c>
      <c r="E79" s="40" t="str">
        <f>IF($C79="","",IFERROR(VLOOKUP($C79,Orders!$A:$J,3,FALSE),""))</f>
        <v/>
      </c>
      <c r="F79" s="40" t="str">
        <f>IF($C79="","",IFERROR(VLOOKUP($C79,Orders!$A:$J,4,FALSE),""))</f>
        <v/>
      </c>
      <c r="G79" s="40" t="str">
        <f>IF($C79="","",IFERROR(VLOOKUP($C79,Orders!$A:$J,5,FALSE),""))</f>
        <v/>
      </c>
      <c r="H79" s="40" t="str">
        <f>IF($C79="","",IFERROR(VLOOKUP($C79,Orders!$A:$J,6,FALSE),""))</f>
        <v/>
      </c>
      <c r="I79" s="40" t="str">
        <f>IF($C79="","",IFERROR(VLOOKUP($C79,Orders!$A:$J,7,FALSE),""))</f>
        <v/>
      </c>
      <c r="J79" s="40" t="str">
        <f>IF(Bids!$C79="","",Bids!$C79)</f>
        <v/>
      </c>
      <c r="K79" s="40" t="str">
        <f>IF($J79="","",IFERROR(VLOOKUP($J79,Grinders!$A:$N,2,FALSE),""))</f>
        <v/>
      </c>
      <c r="L79" s="40" t="str">
        <f>IF($J79="","",IFERROR(VLOOKUP($J79,Grinders!$A:$N,3,FALSE),""))</f>
        <v/>
      </c>
      <c r="M79" s="40" t="str">
        <f>IF($J79="","",IFERROR(VLOOKUP($J79,Grinders!$A:$N,4,FALSE),""))</f>
        <v/>
      </c>
      <c r="N79" s="40" t="str">
        <f>IF($J79="","",IFERROR(VLOOKUP($J79,Grinders!$A:$N,5,FALSE),""))</f>
        <v/>
      </c>
      <c r="O79" s="40" t="str">
        <f t="shared" si="2"/>
        <v/>
      </c>
      <c r="P79" s="40" t="str">
        <f>IF($J79="","",IFERROR(VLOOKUP($J79,Grinders!$A:$N,6,FALSE),""))</f>
        <v/>
      </c>
      <c r="Q79" s="40" t="str">
        <f>IF($J79="","",IFERROR(VLOOKUP($J79,Grinders!$A:$N,8,FALSE),""))</f>
        <v/>
      </c>
      <c r="R79" s="40" t="str">
        <f>IFERROR(IF($J79="","",IF($L79="Elite",MAX(50,MIN(100,Config!$B$27*MAX(0,MIN(100,(1-IF($O79="",0,$O79))*100)) + Config!$B$28*MAX(0,MIN(100,(1-MIN(1,IF(Config!$B$30=0,1,$P79/Config!$B$30)))*100)) + Config!$B$29*MAX(0,MIN(100,MIN(1,IF($Q79="",0,$Q79)/Config!$B$23)*100)))),MIN(100,Config!$B$27*MAX(0,MIN(100,(1-IF($O79="",0,$O79))*100)) + Config!$B$28*MAX(0,MIN(100,(1-MIN(1,IF(Config!$B$30=0,1,$P79/Config!$B$30)))*100)) + Config!$B$29*MAX(0,MIN(100,MIN(1,IF($Q79="",0,$Q79)/Config!$B$23)*100))))),"")
</f>
        <v/>
      </c>
      <c r="S79" s="40" t="str">
        <f>IF(Bids!$AC79="","",Bids!$AC79)</f>
        <v/>
      </c>
      <c r="T79" s="40" t="str">
        <f>IF(Bids!$F79="","",Bids!$F79)</f>
        <v/>
      </c>
      <c r="U79" s="40" t="str">
        <f t="shared" si="3"/>
        <v/>
      </c>
      <c r="V79" s="40" t="str">
        <f>IF($U79="","",IF(Config!$B$17=Config!$B$16,IF($U79&gt;=Config!$B$17,100,0),MAX(0,MIN(100,($U79-Config!$B$16)/(Config!$B$17-Config!$B$16)*100))))</f>
        <v/>
      </c>
      <c r="W79" s="40">
        <f>IF($L79="Elite",Config!$B$21,0)</f>
        <v>0</v>
      </c>
      <c r="X79" s="40" t="str">
        <f>IFERROR(IF(OR($T79="",$G79=""),"",IF($T79&gt;$G79,
  MAX(0, 60-(($T79-$G79)*24/Config!$B$19)*60),
  MEDIAN(60, 100, 60+(($G79-$T79)*24/Config!$B$20)*40)
)),"")
</f>
        <v/>
      </c>
      <c r="Y79" s="40" t="str">
        <f>IF($J79="","",IFERROR(VLOOKUP($J79,Grinders!$A:$N,10,FALSE),""))</f>
        <v/>
      </c>
      <c r="Z79" s="40" t="str">
        <f>IF($J79="","",IFERROR(VLOOKUP($J79,Grinders!$A:$N,11,FALSE),""))</f>
        <v/>
      </c>
      <c r="AA79" s="40" t="str">
        <f>IF($J79="","",IFERROR(VLOOKUP($J79,Grinders!$A:$N,12,FALSE),""))</f>
        <v/>
      </c>
      <c r="AB79" s="40" t="str">
        <f>IF(OR(AL79=1,AM79=1),0,=IFERROR(IF(OR($C79="",$J79=""),0,IF($D79&lt;&gt;"Open",0,IF(COUNTIFS(GrinderServices!$A:$A,$J79,GrinderServices!$B:$B,$E79,GrinderServices!$D:$D,"Y")=0,0,IF($U79&lt;Config!$B$16,0,IF(Config!$B$18=1,IF($N79&gt;=$M79,0,1),1))))),""))</f>
        <v>#ERROR!</v>
      </c>
      <c r="AC79" s="40" t="str">
        <f>IFERROR((IF(OR(AL79=1,AM79=1),"",=IFERROR((IFERROR(IF($AB79=0,"",((Config!$B$6*$V79 + Config!$B$7*$R79 + Config!$B$8*$W79 + Config!$B$9*$X79 + Config!$B$10*$Y79 + Config!$B$11*$Z79 - Config!$B$12*$AA79)/Config!$B$13)+$AH79+$AI79),""))*(1-IFERROR(VLOOKUP(J79,Grinders!$A:$AB, 28, FALSE),0)),"")))*(1+AO79),"")</f>
        <v>#ERROR!</v>
      </c>
      <c r="AD79" s="40" t="str">
        <f t="shared" si="4"/>
        <v/>
      </c>
      <c r="AE79" s="40" t="str">
        <f>IFERROR(__xludf.DUMMYFUNCTION("IF($AC79="""","""",IF($AC79=IFERROR(MAX(FILTER($AC$6:$AC$1000,$C$6:$C$1000=$C79,$AB$6:$AB$1000=1)),),""WINNER"",""""))"),"#ERROR!")</f>
        <v>#ERROR!</v>
      </c>
      <c r="AF79" s="40" t="str">
        <f t="shared" si="5"/>
        <v/>
      </c>
      <c r="AG79" s="40" t="str">
        <f>IF($J79="","",COUNTIF(Assignments!$B:$B,$J79))</f>
        <v/>
      </c>
      <c r="AH79" s="40" t="str">
        <f>IF($J79="","",IF(AND($AG79=0,$N79&lt;$M79),Config!$B$43,0))</f>
        <v/>
      </c>
      <c r="AI79" s="40" t="str">
        <f>IF($J79="","",IF(AND($L79="Elite",$F79&gt;=Config!$B$41,$N79&lt;$M79),Config!$B$42,0))</f>
        <v/>
      </c>
      <c r="AJ79" s="22"/>
      <c r="AK79" s="39">
        <f>IFERROR(VLOOKUP(J79,Grinders!$A:$Q,28,FALSE),0)</f>
        <v>0</v>
      </c>
      <c r="AL79" s="39">
        <f>IF(Config!$B$1003&lt;&gt;"Y",0,IF(IFERROR(VLOOKUP(J79,Grinders!$A:$P,27,FALSE),0)&gt;=3,IF(OR(F79&gt;=Config!$B$1001,ISNUMBER(SEARCH(E79,Config!$B$1002))),1,0),0))</f>
        <v>0</v>
      </c>
      <c r="AM79" s="39">
        <f t="array" ref="AM79">IFERROR(IF(INDEX(Bids!$AE:$AE,MATCH(B79,Bids!$A:$A,0))="Pending",1,0),0)</f>
        <v>0</v>
      </c>
      <c r="AN79" s="39" t="str">
        <f t="array" ref="AN79">IF(C79="","",IFERROR(XLOOKUP(C79,Assignments!$C:$C,Assignments!$AU:$AU,0),0))</f>
        <v/>
      </c>
      <c r="AO79" s="39">
        <f>IF(AND(Config!$B$1006="Y",AN79=1),Config!$B$1007,0)</f>
        <v>0</v>
      </c>
    </row>
    <row r="80" ht="15.75" customHeight="1">
      <c r="A80" s="46" t="str">
        <f t="shared" si="1"/>
        <v/>
      </c>
      <c r="B80" s="40" t="str">
        <f>IF(Bids!$A80="","",Bids!$A80)</f>
        <v/>
      </c>
      <c r="C80" s="40" t="str">
        <f>IF(Bids!$B80="","",Bids!$B80)</f>
        <v/>
      </c>
      <c r="D80" s="40" t="str">
        <f>IF($C80="","",IFERROR(VLOOKUP($C80,Orders!$A:$J,9,FALSE),""))</f>
        <v/>
      </c>
      <c r="E80" s="40" t="str">
        <f>IF($C80="","",IFERROR(VLOOKUP($C80,Orders!$A:$J,3,FALSE),""))</f>
        <v/>
      </c>
      <c r="F80" s="40" t="str">
        <f>IF($C80="","",IFERROR(VLOOKUP($C80,Orders!$A:$J,4,FALSE),""))</f>
        <v/>
      </c>
      <c r="G80" s="40" t="str">
        <f>IF($C80="","",IFERROR(VLOOKUP($C80,Orders!$A:$J,5,FALSE),""))</f>
        <v/>
      </c>
      <c r="H80" s="40" t="str">
        <f>IF($C80="","",IFERROR(VLOOKUP($C80,Orders!$A:$J,6,FALSE),""))</f>
        <v/>
      </c>
      <c r="I80" s="40" t="str">
        <f>IF($C80="","",IFERROR(VLOOKUP($C80,Orders!$A:$J,7,FALSE),""))</f>
        <v/>
      </c>
      <c r="J80" s="40" t="str">
        <f>IF(Bids!$C80="","",Bids!$C80)</f>
        <v/>
      </c>
      <c r="K80" s="40" t="str">
        <f>IF($J80="","",IFERROR(VLOOKUP($J80,Grinders!$A:$N,2,FALSE),""))</f>
        <v/>
      </c>
      <c r="L80" s="40" t="str">
        <f>IF($J80="","",IFERROR(VLOOKUP($J80,Grinders!$A:$N,3,FALSE),""))</f>
        <v/>
      </c>
      <c r="M80" s="40" t="str">
        <f>IF($J80="","",IFERROR(VLOOKUP($J80,Grinders!$A:$N,4,FALSE),""))</f>
        <v/>
      </c>
      <c r="N80" s="40" t="str">
        <f>IF($J80="","",IFERROR(VLOOKUP($J80,Grinders!$A:$N,5,FALSE),""))</f>
        <v/>
      </c>
      <c r="O80" s="40" t="str">
        <f t="shared" si="2"/>
        <v/>
      </c>
      <c r="P80" s="40" t="str">
        <f>IF($J80="","",IFERROR(VLOOKUP($J80,Grinders!$A:$N,6,FALSE),""))</f>
        <v/>
      </c>
      <c r="Q80" s="40" t="str">
        <f>IF($J80="","",IFERROR(VLOOKUP($J80,Grinders!$A:$N,8,FALSE),""))</f>
        <v/>
      </c>
      <c r="R80" s="40" t="str">
        <f>IFERROR(IF($J80="","",IF($L80="Elite",MAX(50,MIN(100,Config!$B$27*MAX(0,MIN(100,(1-IF($O80="",0,$O80))*100)) + Config!$B$28*MAX(0,MIN(100,(1-MIN(1,IF(Config!$B$30=0,1,$P80/Config!$B$30)))*100)) + Config!$B$29*MAX(0,MIN(100,MIN(1,IF($Q80="",0,$Q80)/Config!$B$23)*100)))),MIN(100,Config!$B$27*MAX(0,MIN(100,(1-IF($O80="",0,$O80))*100)) + Config!$B$28*MAX(0,MIN(100,(1-MIN(1,IF(Config!$B$30=0,1,$P80/Config!$B$30)))*100)) + Config!$B$29*MAX(0,MIN(100,MIN(1,IF($Q80="",0,$Q80)/Config!$B$23)*100))))),"")
</f>
        <v/>
      </c>
      <c r="S80" s="40" t="str">
        <f>IF(Bids!$AC80="","",Bids!$AC80)</f>
        <v/>
      </c>
      <c r="T80" s="40" t="str">
        <f>IF(Bids!$F80="","",Bids!$F80)</f>
        <v/>
      </c>
      <c r="U80" s="40" t="str">
        <f t="shared" si="3"/>
        <v/>
      </c>
      <c r="V80" s="40" t="str">
        <f>IF($U80="","",IF(Config!$B$17=Config!$B$16,IF($U80&gt;=Config!$B$17,100,0),MAX(0,MIN(100,($U80-Config!$B$16)/(Config!$B$17-Config!$B$16)*100))))</f>
        <v/>
      </c>
      <c r="W80" s="40">
        <f>IF($L80="Elite",Config!$B$21,0)</f>
        <v>0</v>
      </c>
      <c r="X80" s="40" t="str">
        <f>IFERROR(IF(OR($T80="",$G80=""),"",IF($T80&gt;$G80,
  MAX(0, 60-(($T80-$G80)*24/Config!$B$19)*60),
  MEDIAN(60, 100, 60+(($G80-$T80)*24/Config!$B$20)*40)
)),"")
</f>
        <v/>
      </c>
      <c r="Y80" s="40" t="str">
        <f>IF($J80="","",IFERROR(VLOOKUP($J80,Grinders!$A:$N,10,FALSE),""))</f>
        <v/>
      </c>
      <c r="Z80" s="40" t="str">
        <f>IF($J80="","",IFERROR(VLOOKUP($J80,Grinders!$A:$N,11,FALSE),""))</f>
        <v/>
      </c>
      <c r="AA80" s="40" t="str">
        <f>IF($J80="","",IFERROR(VLOOKUP($J80,Grinders!$A:$N,12,FALSE),""))</f>
        <v/>
      </c>
      <c r="AB80" s="40" t="str">
        <f>IF(OR(AL80=1,AM80=1),0,=IFERROR(IF(OR($C80="",$J80=""),0,IF($D80&lt;&gt;"Open",0,IF(COUNTIFS(GrinderServices!$A:$A,$J80,GrinderServices!$B:$B,$E80,GrinderServices!$D:$D,"Y")=0,0,IF($U80&lt;Config!$B$16,0,IF(Config!$B$18=1,IF($N80&gt;=$M80,0,1),1))))),""))</f>
        <v>#ERROR!</v>
      </c>
      <c r="AC80" s="40" t="str">
        <f>IFERROR((IF(OR(AL80=1,AM80=1),"",=IFERROR((IFERROR(IF($AB80=0,"",((Config!$B$6*$V80 + Config!$B$7*$R80 + Config!$B$8*$W80 + Config!$B$9*$X80 + Config!$B$10*$Y80 + Config!$B$11*$Z80 - Config!$B$12*$AA80)/Config!$B$13)+$AH80+$AI80),""))*(1-IFERROR(VLOOKUP(J80,Grinders!$A:$AB, 28, FALSE),0)),"")))*(1+AO80),"")</f>
        <v>#ERROR!</v>
      </c>
      <c r="AD80" s="40" t="str">
        <f t="shared" si="4"/>
        <v/>
      </c>
      <c r="AE80" s="40" t="str">
        <f>IFERROR(__xludf.DUMMYFUNCTION("IF($AC80="""","""",IF($AC80=IFERROR(MAX(FILTER($AC$6:$AC$1000,$C$6:$C$1000=$C80,$AB$6:$AB$1000=1)),),""WINNER"",""""))"),"#ERROR!")</f>
        <v>#ERROR!</v>
      </c>
      <c r="AF80" s="40" t="str">
        <f t="shared" si="5"/>
        <v/>
      </c>
      <c r="AG80" s="40" t="str">
        <f>IF($J80="","",COUNTIF(Assignments!$B:$B,$J80))</f>
        <v/>
      </c>
      <c r="AH80" s="40" t="str">
        <f>IF($J80="","",IF(AND($AG80=0,$N80&lt;$M80),Config!$B$43,0))</f>
        <v/>
      </c>
      <c r="AI80" s="40" t="str">
        <f>IF($J80="","",IF(AND($L80="Elite",$F80&gt;=Config!$B$41,$N80&lt;$M80),Config!$B$42,0))</f>
        <v/>
      </c>
      <c r="AJ80" s="22"/>
      <c r="AK80" s="39">
        <f>IFERROR(VLOOKUP(J80,Grinders!$A:$Q,28,FALSE),0)</f>
        <v>0</v>
      </c>
      <c r="AL80" s="39">
        <f>IF(Config!$B$1003&lt;&gt;"Y",0,IF(IFERROR(VLOOKUP(J80,Grinders!$A:$P,27,FALSE),0)&gt;=3,IF(OR(F80&gt;=Config!$B$1001,ISNUMBER(SEARCH(E80,Config!$B$1002))),1,0),0))</f>
        <v>0</v>
      </c>
      <c r="AM80" s="39">
        <f t="array" ref="AM80">IFERROR(IF(INDEX(Bids!$AE:$AE,MATCH(B80,Bids!$A:$A,0))="Pending",1,0),0)</f>
        <v>0</v>
      </c>
      <c r="AN80" s="39" t="str">
        <f t="array" ref="AN80">IF(C80="","",IFERROR(XLOOKUP(C80,Assignments!$C:$C,Assignments!$AU:$AU,0),0))</f>
        <v/>
      </c>
      <c r="AO80" s="39">
        <f>IF(AND(Config!$B$1006="Y",AN80=1),Config!$B$1007,0)</f>
        <v>0</v>
      </c>
    </row>
    <row r="81" ht="15.75" customHeight="1">
      <c r="A81" s="46" t="str">
        <f t="shared" si="1"/>
        <v/>
      </c>
      <c r="B81" s="40" t="str">
        <f>IF(Bids!$A81="","",Bids!$A81)</f>
        <v/>
      </c>
      <c r="C81" s="40" t="str">
        <f>IF(Bids!$B81="","",Bids!$B81)</f>
        <v/>
      </c>
      <c r="D81" s="40" t="str">
        <f>IF($C81="","",IFERROR(VLOOKUP($C81,Orders!$A:$J,9,FALSE),""))</f>
        <v/>
      </c>
      <c r="E81" s="40" t="str">
        <f>IF($C81="","",IFERROR(VLOOKUP($C81,Orders!$A:$J,3,FALSE),""))</f>
        <v/>
      </c>
      <c r="F81" s="40" t="str">
        <f>IF($C81="","",IFERROR(VLOOKUP($C81,Orders!$A:$J,4,FALSE),""))</f>
        <v/>
      </c>
      <c r="G81" s="40" t="str">
        <f>IF($C81="","",IFERROR(VLOOKUP($C81,Orders!$A:$J,5,FALSE),""))</f>
        <v/>
      </c>
      <c r="H81" s="40" t="str">
        <f>IF($C81="","",IFERROR(VLOOKUP($C81,Orders!$A:$J,6,FALSE),""))</f>
        <v/>
      </c>
      <c r="I81" s="40" t="str">
        <f>IF($C81="","",IFERROR(VLOOKUP($C81,Orders!$A:$J,7,FALSE),""))</f>
        <v/>
      </c>
      <c r="J81" s="40" t="str">
        <f>IF(Bids!$C81="","",Bids!$C81)</f>
        <v/>
      </c>
      <c r="K81" s="40" t="str">
        <f>IF($J81="","",IFERROR(VLOOKUP($J81,Grinders!$A:$N,2,FALSE),""))</f>
        <v/>
      </c>
      <c r="L81" s="40" t="str">
        <f>IF($J81="","",IFERROR(VLOOKUP($J81,Grinders!$A:$N,3,FALSE),""))</f>
        <v/>
      </c>
      <c r="M81" s="40" t="str">
        <f>IF($J81="","",IFERROR(VLOOKUP($J81,Grinders!$A:$N,4,FALSE),""))</f>
        <v/>
      </c>
      <c r="N81" s="40" t="str">
        <f>IF($J81="","",IFERROR(VLOOKUP($J81,Grinders!$A:$N,5,FALSE),""))</f>
        <v/>
      </c>
      <c r="O81" s="40" t="str">
        <f t="shared" si="2"/>
        <v/>
      </c>
      <c r="P81" s="40" t="str">
        <f>IF($J81="","",IFERROR(VLOOKUP($J81,Grinders!$A:$N,6,FALSE),""))</f>
        <v/>
      </c>
      <c r="Q81" s="40" t="str">
        <f>IF($J81="","",IFERROR(VLOOKUP($J81,Grinders!$A:$N,8,FALSE),""))</f>
        <v/>
      </c>
      <c r="R81" s="40" t="str">
        <f>IFERROR(IF($J81="","",IF($L81="Elite",MAX(50,MIN(100,Config!$B$27*MAX(0,MIN(100,(1-IF($O81="",0,$O81))*100)) + Config!$B$28*MAX(0,MIN(100,(1-MIN(1,IF(Config!$B$30=0,1,$P81/Config!$B$30)))*100)) + Config!$B$29*MAX(0,MIN(100,MIN(1,IF($Q81="",0,$Q81)/Config!$B$23)*100)))),MIN(100,Config!$B$27*MAX(0,MIN(100,(1-IF($O81="",0,$O81))*100)) + Config!$B$28*MAX(0,MIN(100,(1-MIN(1,IF(Config!$B$30=0,1,$P81/Config!$B$30)))*100)) + Config!$B$29*MAX(0,MIN(100,MIN(1,IF($Q81="",0,$Q81)/Config!$B$23)*100))))),"")
</f>
        <v/>
      </c>
      <c r="S81" s="40" t="str">
        <f>IF(Bids!$AC81="","",Bids!$AC81)</f>
        <v/>
      </c>
      <c r="T81" s="40" t="str">
        <f>IF(Bids!$F81="","",Bids!$F81)</f>
        <v/>
      </c>
      <c r="U81" s="40" t="str">
        <f t="shared" si="3"/>
        <v/>
      </c>
      <c r="V81" s="40" t="str">
        <f>IF($U81="","",IF(Config!$B$17=Config!$B$16,IF($U81&gt;=Config!$B$17,100,0),MAX(0,MIN(100,($U81-Config!$B$16)/(Config!$B$17-Config!$B$16)*100))))</f>
        <v/>
      </c>
      <c r="W81" s="40">
        <f>IF($L81="Elite",Config!$B$21,0)</f>
        <v>0</v>
      </c>
      <c r="X81" s="40" t="str">
        <f>IFERROR(IF(OR($T81="",$G81=""),"",IF($T81&gt;$G81,
  MAX(0, 60-(($T81-$G81)*24/Config!$B$19)*60),
  MEDIAN(60, 100, 60+(($G81-$T81)*24/Config!$B$20)*40)
)),"")
</f>
        <v/>
      </c>
      <c r="Y81" s="40" t="str">
        <f>IF($J81="","",IFERROR(VLOOKUP($J81,Grinders!$A:$N,10,FALSE),""))</f>
        <v/>
      </c>
      <c r="Z81" s="40" t="str">
        <f>IF($J81="","",IFERROR(VLOOKUP($J81,Grinders!$A:$N,11,FALSE),""))</f>
        <v/>
      </c>
      <c r="AA81" s="40" t="str">
        <f>IF($J81="","",IFERROR(VLOOKUP($J81,Grinders!$A:$N,12,FALSE),""))</f>
        <v/>
      </c>
      <c r="AB81" s="40" t="str">
        <f>IF(OR(AL81=1,AM81=1),0,=IFERROR(IF(OR($C81="",$J81=""),0,IF($D81&lt;&gt;"Open",0,IF(COUNTIFS(GrinderServices!$A:$A,$J81,GrinderServices!$B:$B,$E81,GrinderServices!$D:$D,"Y")=0,0,IF($U81&lt;Config!$B$16,0,IF(Config!$B$18=1,IF($N81&gt;=$M81,0,1),1))))),""))</f>
        <v>#ERROR!</v>
      </c>
      <c r="AC81" s="40" t="str">
        <f>IFERROR((IF(OR(AL81=1,AM81=1),"",=IFERROR((IFERROR(IF($AB81=0,"",((Config!$B$6*$V81 + Config!$B$7*$R81 + Config!$B$8*$W81 + Config!$B$9*$X81 + Config!$B$10*$Y81 + Config!$B$11*$Z81 - Config!$B$12*$AA81)/Config!$B$13)+$AH81+$AI81),""))*(1-IFERROR(VLOOKUP(J81,Grinders!$A:$AB, 28, FALSE),0)),"")))*(1+AO81),"")</f>
        <v>#ERROR!</v>
      </c>
      <c r="AD81" s="40" t="str">
        <f t="shared" si="4"/>
        <v/>
      </c>
      <c r="AE81" s="40" t="str">
        <f>IFERROR(__xludf.DUMMYFUNCTION("IF($AC81="""","""",IF($AC81=IFERROR(MAX(FILTER($AC$6:$AC$1000,$C$6:$C$1000=$C81,$AB$6:$AB$1000=1)),),""WINNER"",""""))"),"#ERROR!")</f>
        <v>#ERROR!</v>
      </c>
      <c r="AF81" s="40" t="str">
        <f t="shared" si="5"/>
        <v/>
      </c>
      <c r="AG81" s="40" t="str">
        <f>IF($J81="","",COUNTIF(Assignments!$B:$B,$J81))</f>
        <v/>
      </c>
      <c r="AH81" s="40" t="str">
        <f>IF($J81="","",IF(AND($AG81=0,$N81&lt;$M81),Config!$B$43,0))</f>
        <v/>
      </c>
      <c r="AI81" s="40" t="str">
        <f>IF($J81="","",IF(AND($L81="Elite",$F81&gt;=Config!$B$41,$N81&lt;$M81),Config!$B$42,0))</f>
        <v/>
      </c>
      <c r="AJ81" s="22"/>
      <c r="AK81" s="39">
        <f>IFERROR(VLOOKUP(J81,Grinders!$A:$Q,28,FALSE),0)</f>
        <v>0</v>
      </c>
      <c r="AL81" s="39">
        <f>IF(Config!$B$1003&lt;&gt;"Y",0,IF(IFERROR(VLOOKUP(J81,Grinders!$A:$P,27,FALSE),0)&gt;=3,IF(OR(F81&gt;=Config!$B$1001,ISNUMBER(SEARCH(E81,Config!$B$1002))),1,0),0))</f>
        <v>0</v>
      </c>
      <c r="AM81" s="39">
        <f t="array" ref="AM81">IFERROR(IF(INDEX(Bids!$AE:$AE,MATCH(B81,Bids!$A:$A,0))="Pending",1,0),0)</f>
        <v>0</v>
      </c>
      <c r="AN81" s="39" t="str">
        <f t="array" ref="AN81">IF(C81="","",IFERROR(XLOOKUP(C81,Assignments!$C:$C,Assignments!$AU:$AU,0),0))</f>
        <v/>
      </c>
      <c r="AO81" s="39">
        <f>IF(AND(Config!$B$1006="Y",AN81=1),Config!$B$1007,0)</f>
        <v>0</v>
      </c>
    </row>
    <row r="82" ht="15.75" customHeight="1">
      <c r="A82" s="46" t="str">
        <f t="shared" si="1"/>
        <v/>
      </c>
      <c r="B82" s="40" t="str">
        <f>IF(Bids!$A82="","",Bids!$A82)</f>
        <v/>
      </c>
      <c r="C82" s="40" t="str">
        <f>IF(Bids!$B82="","",Bids!$B82)</f>
        <v/>
      </c>
      <c r="D82" s="40" t="str">
        <f>IF($C82="","",IFERROR(VLOOKUP($C82,Orders!$A:$J,9,FALSE),""))</f>
        <v/>
      </c>
      <c r="E82" s="40" t="str">
        <f>IF($C82="","",IFERROR(VLOOKUP($C82,Orders!$A:$J,3,FALSE),""))</f>
        <v/>
      </c>
      <c r="F82" s="40" t="str">
        <f>IF($C82="","",IFERROR(VLOOKUP($C82,Orders!$A:$J,4,FALSE),""))</f>
        <v/>
      </c>
      <c r="G82" s="40" t="str">
        <f>IF($C82="","",IFERROR(VLOOKUP($C82,Orders!$A:$J,5,FALSE),""))</f>
        <v/>
      </c>
      <c r="H82" s="40" t="str">
        <f>IF($C82="","",IFERROR(VLOOKUP($C82,Orders!$A:$J,6,FALSE),""))</f>
        <v/>
      </c>
      <c r="I82" s="40" t="str">
        <f>IF($C82="","",IFERROR(VLOOKUP($C82,Orders!$A:$J,7,FALSE),""))</f>
        <v/>
      </c>
      <c r="J82" s="40" t="str">
        <f>IF(Bids!$C82="","",Bids!$C82)</f>
        <v/>
      </c>
      <c r="K82" s="40" t="str">
        <f>IF($J82="","",IFERROR(VLOOKUP($J82,Grinders!$A:$N,2,FALSE),""))</f>
        <v/>
      </c>
      <c r="L82" s="40" t="str">
        <f>IF($J82="","",IFERROR(VLOOKUP($J82,Grinders!$A:$N,3,FALSE),""))</f>
        <v/>
      </c>
      <c r="M82" s="40" t="str">
        <f>IF($J82="","",IFERROR(VLOOKUP($J82,Grinders!$A:$N,4,FALSE),""))</f>
        <v/>
      </c>
      <c r="N82" s="40" t="str">
        <f>IF($J82="","",IFERROR(VLOOKUP($J82,Grinders!$A:$N,5,FALSE),""))</f>
        <v/>
      </c>
      <c r="O82" s="40" t="str">
        <f t="shared" si="2"/>
        <v/>
      </c>
      <c r="P82" s="40" t="str">
        <f>IF($J82="","",IFERROR(VLOOKUP($J82,Grinders!$A:$N,6,FALSE),""))</f>
        <v/>
      </c>
      <c r="Q82" s="40" t="str">
        <f>IF($J82="","",IFERROR(VLOOKUP($J82,Grinders!$A:$N,8,FALSE),""))</f>
        <v/>
      </c>
      <c r="R82" s="40" t="str">
        <f>IFERROR(IF($J82="","",IF($L82="Elite",MAX(50,MIN(100,Config!$B$27*MAX(0,MIN(100,(1-IF($O82="",0,$O82))*100)) + Config!$B$28*MAX(0,MIN(100,(1-MIN(1,IF(Config!$B$30=0,1,$P82/Config!$B$30)))*100)) + Config!$B$29*MAX(0,MIN(100,MIN(1,IF($Q82="",0,$Q82)/Config!$B$23)*100)))),MIN(100,Config!$B$27*MAX(0,MIN(100,(1-IF($O82="",0,$O82))*100)) + Config!$B$28*MAX(0,MIN(100,(1-MIN(1,IF(Config!$B$30=0,1,$P82/Config!$B$30)))*100)) + Config!$B$29*MAX(0,MIN(100,MIN(1,IF($Q82="",0,$Q82)/Config!$B$23)*100))))),"")
</f>
        <v/>
      </c>
      <c r="S82" s="40" t="str">
        <f>IF(Bids!$AC82="","",Bids!$AC82)</f>
        <v/>
      </c>
      <c r="T82" s="40" t="str">
        <f>IF(Bids!$F82="","",Bids!$F82)</f>
        <v/>
      </c>
      <c r="U82" s="40" t="str">
        <f t="shared" si="3"/>
        <v/>
      </c>
      <c r="V82" s="40" t="str">
        <f>IF($U82="","",IF(Config!$B$17=Config!$B$16,IF($U82&gt;=Config!$B$17,100,0),MAX(0,MIN(100,($U82-Config!$B$16)/(Config!$B$17-Config!$B$16)*100))))</f>
        <v/>
      </c>
      <c r="W82" s="40">
        <f>IF($L82="Elite",Config!$B$21,0)</f>
        <v>0</v>
      </c>
      <c r="X82" s="40" t="str">
        <f>IFERROR(IF(OR($T82="",$G82=""),"",IF($T82&gt;$G82,
  MAX(0, 60-(($T82-$G82)*24/Config!$B$19)*60),
  MEDIAN(60, 100, 60+(($G82-$T82)*24/Config!$B$20)*40)
)),"")
</f>
        <v/>
      </c>
      <c r="Y82" s="40" t="str">
        <f>IF($J82="","",IFERROR(VLOOKUP($J82,Grinders!$A:$N,10,FALSE),""))</f>
        <v/>
      </c>
      <c r="Z82" s="40" t="str">
        <f>IF($J82="","",IFERROR(VLOOKUP($J82,Grinders!$A:$N,11,FALSE),""))</f>
        <v/>
      </c>
      <c r="AA82" s="40" t="str">
        <f>IF($J82="","",IFERROR(VLOOKUP($J82,Grinders!$A:$N,12,FALSE),""))</f>
        <v/>
      </c>
      <c r="AB82" s="40" t="str">
        <f>IF(OR(AL82=1,AM82=1),0,=IFERROR(IF(OR($C82="",$J82=""),0,IF($D82&lt;&gt;"Open",0,IF(COUNTIFS(GrinderServices!$A:$A,$J82,GrinderServices!$B:$B,$E82,GrinderServices!$D:$D,"Y")=0,0,IF($U82&lt;Config!$B$16,0,IF(Config!$B$18=1,IF($N82&gt;=$M82,0,1),1))))),""))</f>
        <v>#ERROR!</v>
      </c>
      <c r="AC82" s="40" t="str">
        <f>IFERROR((IF(OR(AL82=1,AM82=1),"",=IFERROR((IFERROR(IF($AB82=0,"",((Config!$B$6*$V82 + Config!$B$7*$R82 + Config!$B$8*$W82 + Config!$B$9*$X82 + Config!$B$10*$Y82 + Config!$B$11*$Z82 - Config!$B$12*$AA82)/Config!$B$13)+$AH82+$AI82),""))*(1-IFERROR(VLOOKUP(J82,Grinders!$A:$AB, 28, FALSE),0)),"")))*(1+AO82),"")</f>
        <v>#ERROR!</v>
      </c>
      <c r="AD82" s="40" t="str">
        <f t="shared" si="4"/>
        <v/>
      </c>
      <c r="AE82" s="40" t="str">
        <f>IFERROR(__xludf.DUMMYFUNCTION("IF($AC82="""","""",IF($AC82=IFERROR(MAX(FILTER($AC$6:$AC$1000,$C$6:$C$1000=$C82,$AB$6:$AB$1000=1)),),""WINNER"",""""))"),"#ERROR!")</f>
        <v>#ERROR!</v>
      </c>
      <c r="AF82" s="40" t="str">
        <f t="shared" si="5"/>
        <v/>
      </c>
      <c r="AG82" s="40" t="str">
        <f>IF($J82="","",COUNTIF(Assignments!$B:$B,$J82))</f>
        <v/>
      </c>
      <c r="AH82" s="40" t="str">
        <f>IF($J82="","",IF(AND($AG82=0,$N82&lt;$M82),Config!$B$43,0))</f>
        <v/>
      </c>
      <c r="AI82" s="40" t="str">
        <f>IF($J82="","",IF(AND($L82="Elite",$F82&gt;=Config!$B$41,$N82&lt;$M82),Config!$B$42,0))</f>
        <v/>
      </c>
      <c r="AJ82" s="22"/>
      <c r="AK82" s="39">
        <f>IFERROR(VLOOKUP(J82,Grinders!$A:$Q,28,FALSE),0)</f>
        <v>0</v>
      </c>
      <c r="AL82" s="39">
        <f>IF(Config!$B$1003&lt;&gt;"Y",0,IF(IFERROR(VLOOKUP(J82,Grinders!$A:$P,27,FALSE),0)&gt;=3,IF(OR(F82&gt;=Config!$B$1001,ISNUMBER(SEARCH(E82,Config!$B$1002))),1,0),0))</f>
        <v>0</v>
      </c>
      <c r="AM82" s="39">
        <f t="array" ref="AM82">IFERROR(IF(INDEX(Bids!$AE:$AE,MATCH(B82,Bids!$A:$A,0))="Pending",1,0),0)</f>
        <v>0</v>
      </c>
      <c r="AN82" s="39" t="str">
        <f t="array" ref="AN82">IF(C82="","",IFERROR(XLOOKUP(C82,Assignments!$C:$C,Assignments!$AU:$AU,0),0))</f>
        <v/>
      </c>
      <c r="AO82" s="39">
        <f>IF(AND(Config!$B$1006="Y",AN82=1),Config!$B$1007,0)</f>
        <v>0</v>
      </c>
    </row>
    <row r="83" ht="15.75" customHeight="1">
      <c r="A83" s="46" t="str">
        <f t="shared" si="1"/>
        <v/>
      </c>
      <c r="B83" s="40" t="str">
        <f>IF(Bids!$A83="","",Bids!$A83)</f>
        <v/>
      </c>
      <c r="C83" s="40" t="str">
        <f>IF(Bids!$B83="","",Bids!$B83)</f>
        <v/>
      </c>
      <c r="D83" s="40" t="str">
        <f>IF($C83="","",IFERROR(VLOOKUP($C83,Orders!$A:$J,9,FALSE),""))</f>
        <v/>
      </c>
      <c r="E83" s="40" t="str">
        <f>IF($C83="","",IFERROR(VLOOKUP($C83,Orders!$A:$J,3,FALSE),""))</f>
        <v/>
      </c>
      <c r="F83" s="40" t="str">
        <f>IF($C83="","",IFERROR(VLOOKUP($C83,Orders!$A:$J,4,FALSE),""))</f>
        <v/>
      </c>
      <c r="G83" s="40" t="str">
        <f>IF($C83="","",IFERROR(VLOOKUP($C83,Orders!$A:$J,5,FALSE),""))</f>
        <v/>
      </c>
      <c r="H83" s="40" t="str">
        <f>IF($C83="","",IFERROR(VLOOKUP($C83,Orders!$A:$J,6,FALSE),""))</f>
        <v/>
      </c>
      <c r="I83" s="40" t="str">
        <f>IF($C83="","",IFERROR(VLOOKUP($C83,Orders!$A:$J,7,FALSE),""))</f>
        <v/>
      </c>
      <c r="J83" s="40" t="str">
        <f>IF(Bids!$C83="","",Bids!$C83)</f>
        <v/>
      </c>
      <c r="K83" s="40" t="str">
        <f>IF($J83="","",IFERROR(VLOOKUP($J83,Grinders!$A:$N,2,FALSE),""))</f>
        <v/>
      </c>
      <c r="L83" s="40" t="str">
        <f>IF($J83="","",IFERROR(VLOOKUP($J83,Grinders!$A:$N,3,FALSE),""))</f>
        <v/>
      </c>
      <c r="M83" s="40" t="str">
        <f>IF($J83="","",IFERROR(VLOOKUP($J83,Grinders!$A:$N,4,FALSE),""))</f>
        <v/>
      </c>
      <c r="N83" s="40" t="str">
        <f>IF($J83="","",IFERROR(VLOOKUP($J83,Grinders!$A:$N,5,FALSE),""))</f>
        <v/>
      </c>
      <c r="O83" s="40" t="str">
        <f t="shared" si="2"/>
        <v/>
      </c>
      <c r="P83" s="40" t="str">
        <f>IF($J83="","",IFERROR(VLOOKUP($J83,Grinders!$A:$N,6,FALSE),""))</f>
        <v/>
      </c>
      <c r="Q83" s="40" t="str">
        <f>IF($J83="","",IFERROR(VLOOKUP($J83,Grinders!$A:$N,8,FALSE),""))</f>
        <v/>
      </c>
      <c r="R83" s="40" t="str">
        <f>IFERROR(IF($J83="","",IF($L83="Elite",MAX(50,MIN(100,Config!$B$27*MAX(0,MIN(100,(1-IF($O83="",0,$O83))*100)) + Config!$B$28*MAX(0,MIN(100,(1-MIN(1,IF(Config!$B$30=0,1,$P83/Config!$B$30)))*100)) + Config!$B$29*MAX(0,MIN(100,MIN(1,IF($Q83="",0,$Q83)/Config!$B$23)*100)))),MIN(100,Config!$B$27*MAX(0,MIN(100,(1-IF($O83="",0,$O83))*100)) + Config!$B$28*MAX(0,MIN(100,(1-MIN(1,IF(Config!$B$30=0,1,$P83/Config!$B$30)))*100)) + Config!$B$29*MAX(0,MIN(100,MIN(1,IF($Q83="",0,$Q83)/Config!$B$23)*100))))),"")
</f>
        <v/>
      </c>
      <c r="S83" s="40" t="str">
        <f>IF(Bids!$AC83="","",Bids!$AC83)</f>
        <v/>
      </c>
      <c r="T83" s="40" t="str">
        <f>IF(Bids!$F83="","",Bids!$F83)</f>
        <v/>
      </c>
      <c r="U83" s="40" t="str">
        <f t="shared" si="3"/>
        <v/>
      </c>
      <c r="V83" s="40" t="str">
        <f>IF($U83="","",IF(Config!$B$17=Config!$B$16,IF($U83&gt;=Config!$B$17,100,0),MAX(0,MIN(100,($U83-Config!$B$16)/(Config!$B$17-Config!$B$16)*100))))</f>
        <v/>
      </c>
      <c r="W83" s="40">
        <f>IF($L83="Elite",Config!$B$21,0)</f>
        <v>0</v>
      </c>
      <c r="X83" s="40" t="str">
        <f>IFERROR(IF(OR($T83="",$G83=""),"",IF($T83&gt;$G83,
  MAX(0, 60-(($T83-$G83)*24/Config!$B$19)*60),
  MEDIAN(60, 100, 60+(($G83-$T83)*24/Config!$B$20)*40)
)),"")
</f>
        <v/>
      </c>
      <c r="Y83" s="40" t="str">
        <f>IF($J83="","",IFERROR(VLOOKUP($J83,Grinders!$A:$N,10,FALSE),""))</f>
        <v/>
      </c>
      <c r="Z83" s="40" t="str">
        <f>IF($J83="","",IFERROR(VLOOKUP($J83,Grinders!$A:$N,11,FALSE),""))</f>
        <v/>
      </c>
      <c r="AA83" s="40" t="str">
        <f>IF($J83="","",IFERROR(VLOOKUP($J83,Grinders!$A:$N,12,FALSE),""))</f>
        <v/>
      </c>
      <c r="AB83" s="40" t="str">
        <f>IF(OR(AL83=1,AM83=1),0,=IFERROR(IF(OR($C83="",$J83=""),0,IF($D83&lt;&gt;"Open",0,IF(COUNTIFS(GrinderServices!$A:$A,$J83,GrinderServices!$B:$B,$E83,GrinderServices!$D:$D,"Y")=0,0,IF($U83&lt;Config!$B$16,0,IF(Config!$B$18=1,IF($N83&gt;=$M83,0,1),1))))),""))</f>
        <v>#ERROR!</v>
      </c>
      <c r="AC83" s="40" t="str">
        <f>IFERROR((IF(OR(AL83=1,AM83=1),"",=IFERROR((IFERROR(IF($AB83=0,"",((Config!$B$6*$V83 + Config!$B$7*$R83 + Config!$B$8*$W83 + Config!$B$9*$X83 + Config!$B$10*$Y83 + Config!$B$11*$Z83 - Config!$B$12*$AA83)/Config!$B$13)+$AH83+$AI83),""))*(1-IFERROR(VLOOKUP(J83,Grinders!$A:$AB, 28, FALSE),0)),"")))*(1+AO83),"")</f>
        <v>#ERROR!</v>
      </c>
      <c r="AD83" s="40" t="str">
        <f t="shared" si="4"/>
        <v/>
      </c>
      <c r="AE83" s="40" t="str">
        <f>IFERROR(__xludf.DUMMYFUNCTION("IF($AC83="""","""",IF($AC83=IFERROR(MAX(FILTER($AC$6:$AC$1000,$C$6:$C$1000=$C83,$AB$6:$AB$1000=1)),),""WINNER"",""""))"),"#ERROR!")</f>
        <v>#ERROR!</v>
      </c>
      <c r="AF83" s="40" t="str">
        <f t="shared" si="5"/>
        <v/>
      </c>
      <c r="AG83" s="40" t="str">
        <f>IF($J83="","",COUNTIF(Assignments!$B:$B,$J83))</f>
        <v/>
      </c>
      <c r="AH83" s="40" t="str">
        <f>IF($J83="","",IF(AND($AG83=0,$N83&lt;$M83),Config!$B$43,0))</f>
        <v/>
      </c>
      <c r="AI83" s="40" t="str">
        <f>IF($J83="","",IF(AND($L83="Elite",$F83&gt;=Config!$B$41,$N83&lt;$M83),Config!$B$42,0))</f>
        <v/>
      </c>
      <c r="AJ83" s="22"/>
      <c r="AK83" s="39">
        <f>IFERROR(VLOOKUP(J83,Grinders!$A:$Q,28,FALSE),0)</f>
        <v>0</v>
      </c>
      <c r="AL83" s="39">
        <f>IF(Config!$B$1003&lt;&gt;"Y",0,IF(IFERROR(VLOOKUP(J83,Grinders!$A:$P,27,FALSE),0)&gt;=3,IF(OR(F83&gt;=Config!$B$1001,ISNUMBER(SEARCH(E83,Config!$B$1002))),1,0),0))</f>
        <v>0</v>
      </c>
      <c r="AM83" s="39">
        <f t="array" ref="AM83">IFERROR(IF(INDEX(Bids!$AE:$AE,MATCH(B83,Bids!$A:$A,0))="Pending",1,0),0)</f>
        <v>0</v>
      </c>
      <c r="AN83" s="39" t="str">
        <f t="array" ref="AN83">IF(C83="","",IFERROR(XLOOKUP(C83,Assignments!$C:$C,Assignments!$AU:$AU,0),0))</f>
        <v/>
      </c>
      <c r="AO83" s="39">
        <f>IF(AND(Config!$B$1006="Y",AN83=1),Config!$B$1007,0)</f>
        <v>0</v>
      </c>
    </row>
    <row r="84" ht="15.75" customHeight="1">
      <c r="A84" s="46" t="str">
        <f t="shared" si="1"/>
        <v/>
      </c>
      <c r="B84" s="40" t="str">
        <f>IF(Bids!$A84="","",Bids!$A84)</f>
        <v/>
      </c>
      <c r="C84" s="40" t="str">
        <f>IF(Bids!$B84="","",Bids!$B84)</f>
        <v/>
      </c>
      <c r="D84" s="40" t="str">
        <f>IF($C84="","",IFERROR(VLOOKUP($C84,Orders!$A:$J,9,FALSE),""))</f>
        <v/>
      </c>
      <c r="E84" s="40" t="str">
        <f>IF($C84="","",IFERROR(VLOOKUP($C84,Orders!$A:$J,3,FALSE),""))</f>
        <v/>
      </c>
      <c r="F84" s="40" t="str">
        <f>IF($C84="","",IFERROR(VLOOKUP($C84,Orders!$A:$J,4,FALSE),""))</f>
        <v/>
      </c>
      <c r="G84" s="40" t="str">
        <f>IF($C84="","",IFERROR(VLOOKUP($C84,Orders!$A:$J,5,FALSE),""))</f>
        <v/>
      </c>
      <c r="H84" s="40" t="str">
        <f>IF($C84="","",IFERROR(VLOOKUP($C84,Orders!$A:$J,6,FALSE),""))</f>
        <v/>
      </c>
      <c r="I84" s="40" t="str">
        <f>IF($C84="","",IFERROR(VLOOKUP($C84,Orders!$A:$J,7,FALSE),""))</f>
        <v/>
      </c>
      <c r="J84" s="40" t="str">
        <f>IF(Bids!$C84="","",Bids!$C84)</f>
        <v/>
      </c>
      <c r="K84" s="40" t="str">
        <f>IF($J84="","",IFERROR(VLOOKUP($J84,Grinders!$A:$N,2,FALSE),""))</f>
        <v/>
      </c>
      <c r="L84" s="40" t="str">
        <f>IF($J84="","",IFERROR(VLOOKUP($J84,Grinders!$A:$N,3,FALSE),""))</f>
        <v/>
      </c>
      <c r="M84" s="40" t="str">
        <f>IF($J84="","",IFERROR(VLOOKUP($J84,Grinders!$A:$N,4,FALSE),""))</f>
        <v/>
      </c>
      <c r="N84" s="40" t="str">
        <f>IF($J84="","",IFERROR(VLOOKUP($J84,Grinders!$A:$N,5,FALSE),""))</f>
        <v/>
      </c>
      <c r="O84" s="40" t="str">
        <f t="shared" si="2"/>
        <v/>
      </c>
      <c r="P84" s="40" t="str">
        <f>IF($J84="","",IFERROR(VLOOKUP($J84,Grinders!$A:$N,6,FALSE),""))</f>
        <v/>
      </c>
      <c r="Q84" s="40" t="str">
        <f>IF($J84="","",IFERROR(VLOOKUP($J84,Grinders!$A:$N,8,FALSE),""))</f>
        <v/>
      </c>
      <c r="R84" s="40" t="str">
        <f>IFERROR(IF($J84="","",IF($L84="Elite",MAX(50,MIN(100,Config!$B$27*MAX(0,MIN(100,(1-IF($O84="",0,$O84))*100)) + Config!$B$28*MAX(0,MIN(100,(1-MIN(1,IF(Config!$B$30=0,1,$P84/Config!$B$30)))*100)) + Config!$B$29*MAX(0,MIN(100,MIN(1,IF($Q84="",0,$Q84)/Config!$B$23)*100)))),MIN(100,Config!$B$27*MAX(0,MIN(100,(1-IF($O84="",0,$O84))*100)) + Config!$B$28*MAX(0,MIN(100,(1-MIN(1,IF(Config!$B$30=0,1,$P84/Config!$B$30)))*100)) + Config!$B$29*MAX(0,MIN(100,MIN(1,IF($Q84="",0,$Q84)/Config!$B$23)*100))))),"")
</f>
        <v/>
      </c>
      <c r="S84" s="40" t="str">
        <f>IF(Bids!$AC84="","",Bids!$AC84)</f>
        <v/>
      </c>
      <c r="T84" s="40" t="str">
        <f>IF(Bids!$F84="","",Bids!$F84)</f>
        <v/>
      </c>
      <c r="U84" s="40" t="str">
        <f t="shared" si="3"/>
        <v/>
      </c>
      <c r="V84" s="40" t="str">
        <f>IF($U84="","",IF(Config!$B$17=Config!$B$16,IF($U84&gt;=Config!$B$17,100,0),MAX(0,MIN(100,($U84-Config!$B$16)/(Config!$B$17-Config!$B$16)*100))))</f>
        <v/>
      </c>
      <c r="W84" s="40">
        <f>IF($L84="Elite",Config!$B$21,0)</f>
        <v>0</v>
      </c>
      <c r="X84" s="40" t="str">
        <f>IFERROR(IF(OR($T84="",$G84=""),"",IF($T84&gt;$G84,
  MAX(0, 60-(($T84-$G84)*24/Config!$B$19)*60),
  MEDIAN(60, 100, 60+(($G84-$T84)*24/Config!$B$20)*40)
)),"")
</f>
        <v/>
      </c>
      <c r="Y84" s="40" t="str">
        <f>IF($J84="","",IFERROR(VLOOKUP($J84,Grinders!$A:$N,10,FALSE),""))</f>
        <v/>
      </c>
      <c r="Z84" s="40" t="str">
        <f>IF($J84="","",IFERROR(VLOOKUP($J84,Grinders!$A:$N,11,FALSE),""))</f>
        <v/>
      </c>
      <c r="AA84" s="40" t="str">
        <f>IF($J84="","",IFERROR(VLOOKUP($J84,Grinders!$A:$N,12,FALSE),""))</f>
        <v/>
      </c>
      <c r="AB84" s="40" t="str">
        <f>IF(OR(AL84=1,AM84=1),0,=IFERROR(IF(OR($C84="",$J84=""),0,IF($D84&lt;&gt;"Open",0,IF(COUNTIFS(GrinderServices!$A:$A,$J84,GrinderServices!$B:$B,$E84,GrinderServices!$D:$D,"Y")=0,0,IF($U84&lt;Config!$B$16,0,IF(Config!$B$18=1,IF($N84&gt;=$M84,0,1),1))))),""))</f>
        <v>#ERROR!</v>
      </c>
      <c r="AC84" s="40" t="str">
        <f>IFERROR((IF(OR(AL84=1,AM84=1),"",=IFERROR((IFERROR(IF($AB84=0,"",((Config!$B$6*$V84 + Config!$B$7*$R84 + Config!$B$8*$W84 + Config!$B$9*$X84 + Config!$B$10*$Y84 + Config!$B$11*$Z84 - Config!$B$12*$AA84)/Config!$B$13)+$AH84+$AI84),""))*(1-IFERROR(VLOOKUP(J84,Grinders!$A:$AB, 28, FALSE),0)),"")))*(1+AO84),"")</f>
        <v>#ERROR!</v>
      </c>
      <c r="AD84" s="40" t="str">
        <f t="shared" si="4"/>
        <v/>
      </c>
      <c r="AE84" s="40" t="str">
        <f>IFERROR(__xludf.DUMMYFUNCTION("IF($AC84="""","""",IF($AC84=IFERROR(MAX(FILTER($AC$6:$AC$1000,$C$6:$C$1000=$C84,$AB$6:$AB$1000=1)),),""WINNER"",""""))"),"#ERROR!")</f>
        <v>#ERROR!</v>
      </c>
      <c r="AF84" s="40" t="str">
        <f t="shared" si="5"/>
        <v/>
      </c>
      <c r="AG84" s="40" t="str">
        <f>IF($J84="","",COUNTIF(Assignments!$B:$B,$J84))</f>
        <v/>
      </c>
      <c r="AH84" s="40" t="str">
        <f>IF($J84="","",IF(AND($AG84=0,$N84&lt;$M84),Config!$B$43,0))</f>
        <v/>
      </c>
      <c r="AI84" s="40" t="str">
        <f>IF($J84="","",IF(AND($L84="Elite",$F84&gt;=Config!$B$41,$N84&lt;$M84),Config!$B$42,0))</f>
        <v/>
      </c>
      <c r="AJ84" s="22"/>
      <c r="AK84" s="39">
        <f>IFERROR(VLOOKUP(J84,Grinders!$A:$Q,28,FALSE),0)</f>
        <v>0</v>
      </c>
      <c r="AL84" s="39">
        <f>IF(Config!$B$1003&lt;&gt;"Y",0,IF(IFERROR(VLOOKUP(J84,Grinders!$A:$P,27,FALSE),0)&gt;=3,IF(OR(F84&gt;=Config!$B$1001,ISNUMBER(SEARCH(E84,Config!$B$1002))),1,0),0))</f>
        <v>0</v>
      </c>
      <c r="AM84" s="39">
        <f t="array" ref="AM84">IFERROR(IF(INDEX(Bids!$AE:$AE,MATCH(B84,Bids!$A:$A,0))="Pending",1,0),0)</f>
        <v>0</v>
      </c>
      <c r="AN84" s="39" t="str">
        <f t="array" ref="AN84">IF(C84="","",IFERROR(XLOOKUP(C84,Assignments!$C:$C,Assignments!$AU:$AU,0),0))</f>
        <v/>
      </c>
      <c r="AO84" s="39">
        <f>IF(AND(Config!$B$1006="Y",AN84=1),Config!$B$1007,0)</f>
        <v>0</v>
      </c>
    </row>
    <row r="85" ht="15.75" customHeight="1">
      <c r="A85" s="46" t="str">
        <f t="shared" si="1"/>
        <v/>
      </c>
      <c r="B85" s="40" t="str">
        <f>IF(Bids!$A85="","",Bids!$A85)</f>
        <v/>
      </c>
      <c r="C85" s="40" t="str">
        <f>IF(Bids!$B85="","",Bids!$B85)</f>
        <v/>
      </c>
      <c r="D85" s="40" t="str">
        <f>IF($C85="","",IFERROR(VLOOKUP($C85,Orders!$A:$J,9,FALSE),""))</f>
        <v/>
      </c>
      <c r="E85" s="40" t="str">
        <f>IF($C85="","",IFERROR(VLOOKUP($C85,Orders!$A:$J,3,FALSE),""))</f>
        <v/>
      </c>
      <c r="F85" s="40" t="str">
        <f>IF($C85="","",IFERROR(VLOOKUP($C85,Orders!$A:$J,4,FALSE),""))</f>
        <v/>
      </c>
      <c r="G85" s="40" t="str">
        <f>IF($C85="","",IFERROR(VLOOKUP($C85,Orders!$A:$J,5,FALSE),""))</f>
        <v/>
      </c>
      <c r="H85" s="40" t="str">
        <f>IF($C85="","",IFERROR(VLOOKUP($C85,Orders!$A:$J,6,FALSE),""))</f>
        <v/>
      </c>
      <c r="I85" s="40" t="str">
        <f>IF($C85="","",IFERROR(VLOOKUP($C85,Orders!$A:$J,7,FALSE),""))</f>
        <v/>
      </c>
      <c r="J85" s="40" t="str">
        <f>IF(Bids!$C85="","",Bids!$C85)</f>
        <v/>
      </c>
      <c r="K85" s="40" t="str">
        <f>IF($J85="","",IFERROR(VLOOKUP($J85,Grinders!$A:$N,2,FALSE),""))</f>
        <v/>
      </c>
      <c r="L85" s="40" t="str">
        <f>IF($J85="","",IFERROR(VLOOKUP($J85,Grinders!$A:$N,3,FALSE),""))</f>
        <v/>
      </c>
      <c r="M85" s="40" t="str">
        <f>IF($J85="","",IFERROR(VLOOKUP($J85,Grinders!$A:$N,4,FALSE),""))</f>
        <v/>
      </c>
      <c r="N85" s="40" t="str">
        <f>IF($J85="","",IFERROR(VLOOKUP($J85,Grinders!$A:$N,5,FALSE),""))</f>
        <v/>
      </c>
      <c r="O85" s="40" t="str">
        <f t="shared" si="2"/>
        <v/>
      </c>
      <c r="P85" s="40" t="str">
        <f>IF($J85="","",IFERROR(VLOOKUP($J85,Grinders!$A:$N,6,FALSE),""))</f>
        <v/>
      </c>
      <c r="Q85" s="40" t="str">
        <f>IF($J85="","",IFERROR(VLOOKUP($J85,Grinders!$A:$N,8,FALSE),""))</f>
        <v/>
      </c>
      <c r="R85" s="40" t="str">
        <f>IFERROR(IF($J85="","",IF($L85="Elite",MAX(50,MIN(100,Config!$B$27*MAX(0,MIN(100,(1-IF($O85="",0,$O85))*100)) + Config!$B$28*MAX(0,MIN(100,(1-MIN(1,IF(Config!$B$30=0,1,$P85/Config!$B$30)))*100)) + Config!$B$29*MAX(0,MIN(100,MIN(1,IF($Q85="",0,$Q85)/Config!$B$23)*100)))),MIN(100,Config!$B$27*MAX(0,MIN(100,(1-IF($O85="",0,$O85))*100)) + Config!$B$28*MAX(0,MIN(100,(1-MIN(1,IF(Config!$B$30=0,1,$P85/Config!$B$30)))*100)) + Config!$B$29*MAX(0,MIN(100,MIN(1,IF($Q85="",0,$Q85)/Config!$B$23)*100))))),"")
</f>
        <v/>
      </c>
      <c r="S85" s="40" t="str">
        <f>IF(Bids!$AC85="","",Bids!$AC85)</f>
        <v/>
      </c>
      <c r="T85" s="40" t="str">
        <f>IF(Bids!$F85="","",Bids!$F85)</f>
        <v/>
      </c>
      <c r="U85" s="40" t="str">
        <f t="shared" si="3"/>
        <v/>
      </c>
      <c r="V85" s="40" t="str">
        <f>IF($U85="","",IF(Config!$B$17=Config!$B$16,IF($U85&gt;=Config!$B$17,100,0),MAX(0,MIN(100,($U85-Config!$B$16)/(Config!$B$17-Config!$B$16)*100))))</f>
        <v/>
      </c>
      <c r="W85" s="40">
        <f>IF($L85="Elite",Config!$B$21,0)</f>
        <v>0</v>
      </c>
      <c r="X85" s="40" t="str">
        <f>IFERROR(IF(OR($T85="",$G85=""),"",IF($T85&gt;$G85,
  MAX(0, 60-(($T85-$G85)*24/Config!$B$19)*60),
  MEDIAN(60, 100, 60+(($G85-$T85)*24/Config!$B$20)*40)
)),"")
</f>
        <v/>
      </c>
      <c r="Y85" s="40" t="str">
        <f>IF($J85="","",IFERROR(VLOOKUP($J85,Grinders!$A:$N,10,FALSE),""))</f>
        <v/>
      </c>
      <c r="Z85" s="40" t="str">
        <f>IF($J85="","",IFERROR(VLOOKUP($J85,Grinders!$A:$N,11,FALSE),""))</f>
        <v/>
      </c>
      <c r="AA85" s="40" t="str">
        <f>IF($J85="","",IFERROR(VLOOKUP($J85,Grinders!$A:$N,12,FALSE),""))</f>
        <v/>
      </c>
      <c r="AB85" s="40" t="str">
        <f>IF(OR(AL85=1,AM85=1),0,=IFERROR(IF(OR($C85="",$J85=""),0,IF($D85&lt;&gt;"Open",0,IF(COUNTIFS(GrinderServices!$A:$A,$J85,GrinderServices!$B:$B,$E85,GrinderServices!$D:$D,"Y")=0,0,IF($U85&lt;Config!$B$16,0,IF(Config!$B$18=1,IF($N85&gt;=$M85,0,1),1))))),""))</f>
        <v>#ERROR!</v>
      </c>
      <c r="AC85" s="40" t="str">
        <f>IFERROR((IF(OR(AL85=1,AM85=1),"",=IFERROR((IFERROR(IF($AB85=0,"",((Config!$B$6*$V85 + Config!$B$7*$R85 + Config!$B$8*$W85 + Config!$B$9*$X85 + Config!$B$10*$Y85 + Config!$B$11*$Z85 - Config!$B$12*$AA85)/Config!$B$13)+$AH85+$AI85),""))*(1-IFERROR(VLOOKUP(J85,Grinders!$A:$AB, 28, FALSE),0)),"")))*(1+AO85),"")</f>
        <v>#ERROR!</v>
      </c>
      <c r="AD85" s="40" t="str">
        <f t="shared" si="4"/>
        <v/>
      </c>
      <c r="AE85" s="40" t="str">
        <f>IFERROR(__xludf.DUMMYFUNCTION("IF($AC85="""","""",IF($AC85=IFERROR(MAX(FILTER($AC$6:$AC$1000,$C$6:$C$1000=$C85,$AB$6:$AB$1000=1)),),""WINNER"",""""))"),"#ERROR!")</f>
        <v>#ERROR!</v>
      </c>
      <c r="AF85" s="40" t="str">
        <f t="shared" si="5"/>
        <v/>
      </c>
      <c r="AG85" s="40" t="str">
        <f>IF($J85="","",COUNTIF(Assignments!$B:$B,$J85))</f>
        <v/>
      </c>
      <c r="AH85" s="40" t="str">
        <f>IF($J85="","",IF(AND($AG85=0,$N85&lt;$M85),Config!$B$43,0))</f>
        <v/>
      </c>
      <c r="AI85" s="40" t="str">
        <f>IF($J85="","",IF(AND($L85="Elite",$F85&gt;=Config!$B$41,$N85&lt;$M85),Config!$B$42,0))</f>
        <v/>
      </c>
      <c r="AJ85" s="22"/>
      <c r="AK85" s="39">
        <f>IFERROR(VLOOKUP(J85,Grinders!$A:$Q,28,FALSE),0)</f>
        <v>0</v>
      </c>
      <c r="AL85" s="39">
        <f>IF(Config!$B$1003&lt;&gt;"Y",0,IF(IFERROR(VLOOKUP(J85,Grinders!$A:$P,27,FALSE),0)&gt;=3,IF(OR(F85&gt;=Config!$B$1001,ISNUMBER(SEARCH(E85,Config!$B$1002))),1,0),0))</f>
        <v>0</v>
      </c>
      <c r="AM85" s="39">
        <f t="array" ref="AM85">IFERROR(IF(INDEX(Bids!$AE:$AE,MATCH(B85,Bids!$A:$A,0))="Pending",1,0),0)</f>
        <v>0</v>
      </c>
      <c r="AN85" s="39" t="str">
        <f t="array" ref="AN85">IF(C85="","",IFERROR(XLOOKUP(C85,Assignments!$C:$C,Assignments!$AU:$AU,0),0))</f>
        <v/>
      </c>
      <c r="AO85" s="39">
        <f>IF(AND(Config!$B$1006="Y",AN85=1),Config!$B$1007,0)</f>
        <v>0</v>
      </c>
    </row>
    <row r="86" ht="15.75" customHeight="1">
      <c r="A86" s="46" t="str">
        <f t="shared" si="1"/>
        <v/>
      </c>
      <c r="B86" s="40" t="str">
        <f>IF(Bids!$A86="","",Bids!$A86)</f>
        <v/>
      </c>
      <c r="C86" s="40" t="str">
        <f>IF(Bids!$B86="","",Bids!$B86)</f>
        <v/>
      </c>
      <c r="D86" s="40" t="str">
        <f>IF($C86="","",IFERROR(VLOOKUP($C86,Orders!$A:$J,9,FALSE),""))</f>
        <v/>
      </c>
      <c r="E86" s="40" t="str">
        <f>IF($C86="","",IFERROR(VLOOKUP($C86,Orders!$A:$J,3,FALSE),""))</f>
        <v/>
      </c>
      <c r="F86" s="40" t="str">
        <f>IF($C86="","",IFERROR(VLOOKUP($C86,Orders!$A:$J,4,FALSE),""))</f>
        <v/>
      </c>
      <c r="G86" s="40" t="str">
        <f>IF($C86="","",IFERROR(VLOOKUP($C86,Orders!$A:$J,5,FALSE),""))</f>
        <v/>
      </c>
      <c r="H86" s="40" t="str">
        <f>IF($C86="","",IFERROR(VLOOKUP($C86,Orders!$A:$J,6,FALSE),""))</f>
        <v/>
      </c>
      <c r="I86" s="40" t="str">
        <f>IF($C86="","",IFERROR(VLOOKUP($C86,Orders!$A:$J,7,FALSE),""))</f>
        <v/>
      </c>
      <c r="J86" s="40" t="str">
        <f>IF(Bids!$C86="","",Bids!$C86)</f>
        <v/>
      </c>
      <c r="K86" s="40" t="str">
        <f>IF($J86="","",IFERROR(VLOOKUP($J86,Grinders!$A:$N,2,FALSE),""))</f>
        <v/>
      </c>
      <c r="L86" s="40" t="str">
        <f>IF($J86="","",IFERROR(VLOOKUP($J86,Grinders!$A:$N,3,FALSE),""))</f>
        <v/>
      </c>
      <c r="M86" s="40" t="str">
        <f>IF($J86="","",IFERROR(VLOOKUP($J86,Grinders!$A:$N,4,FALSE),""))</f>
        <v/>
      </c>
      <c r="N86" s="40" t="str">
        <f>IF($J86="","",IFERROR(VLOOKUP($J86,Grinders!$A:$N,5,FALSE),""))</f>
        <v/>
      </c>
      <c r="O86" s="40" t="str">
        <f t="shared" si="2"/>
        <v/>
      </c>
      <c r="P86" s="40" t="str">
        <f>IF($J86="","",IFERROR(VLOOKUP($J86,Grinders!$A:$N,6,FALSE),""))</f>
        <v/>
      </c>
      <c r="Q86" s="40" t="str">
        <f>IF($J86="","",IFERROR(VLOOKUP($J86,Grinders!$A:$N,8,FALSE),""))</f>
        <v/>
      </c>
      <c r="R86" s="40" t="str">
        <f>IFERROR(IF($J86="","",IF($L86="Elite",MAX(50,MIN(100,Config!$B$27*MAX(0,MIN(100,(1-IF($O86="",0,$O86))*100)) + Config!$B$28*MAX(0,MIN(100,(1-MIN(1,IF(Config!$B$30=0,1,$P86/Config!$B$30)))*100)) + Config!$B$29*MAX(0,MIN(100,MIN(1,IF($Q86="",0,$Q86)/Config!$B$23)*100)))),MIN(100,Config!$B$27*MAX(0,MIN(100,(1-IF($O86="",0,$O86))*100)) + Config!$B$28*MAX(0,MIN(100,(1-MIN(1,IF(Config!$B$30=0,1,$P86/Config!$B$30)))*100)) + Config!$B$29*MAX(0,MIN(100,MIN(1,IF($Q86="",0,$Q86)/Config!$B$23)*100))))),"")
</f>
        <v/>
      </c>
      <c r="S86" s="40" t="str">
        <f>IF(Bids!$AC86="","",Bids!$AC86)</f>
        <v/>
      </c>
      <c r="T86" s="40" t="str">
        <f>IF(Bids!$F86="","",Bids!$F86)</f>
        <v/>
      </c>
      <c r="U86" s="40" t="str">
        <f t="shared" si="3"/>
        <v/>
      </c>
      <c r="V86" s="40" t="str">
        <f>IF($U86="","",IF(Config!$B$17=Config!$B$16,IF($U86&gt;=Config!$B$17,100,0),MAX(0,MIN(100,($U86-Config!$B$16)/(Config!$B$17-Config!$B$16)*100))))</f>
        <v/>
      </c>
      <c r="W86" s="40">
        <f>IF($L86="Elite",Config!$B$21,0)</f>
        <v>0</v>
      </c>
      <c r="X86" s="40" t="str">
        <f>IFERROR(IF(OR($T86="",$G86=""),"",IF($T86&gt;$G86,
  MAX(0, 60-(($T86-$G86)*24/Config!$B$19)*60),
  MEDIAN(60, 100, 60+(($G86-$T86)*24/Config!$B$20)*40)
)),"")
</f>
        <v/>
      </c>
      <c r="Y86" s="40" t="str">
        <f>IF($J86="","",IFERROR(VLOOKUP($J86,Grinders!$A:$N,10,FALSE),""))</f>
        <v/>
      </c>
      <c r="Z86" s="40" t="str">
        <f>IF($J86="","",IFERROR(VLOOKUP($J86,Grinders!$A:$N,11,FALSE),""))</f>
        <v/>
      </c>
      <c r="AA86" s="40" t="str">
        <f>IF($J86="","",IFERROR(VLOOKUP($J86,Grinders!$A:$N,12,FALSE),""))</f>
        <v/>
      </c>
      <c r="AB86" s="40" t="str">
        <f>IF(OR(AL86=1,AM86=1),0,=IFERROR(IF(OR($C86="",$J86=""),0,IF($D86&lt;&gt;"Open",0,IF(COUNTIFS(GrinderServices!$A:$A,$J86,GrinderServices!$B:$B,$E86,GrinderServices!$D:$D,"Y")=0,0,IF($U86&lt;Config!$B$16,0,IF(Config!$B$18=1,IF($N86&gt;=$M86,0,1),1))))),""))</f>
        <v>#ERROR!</v>
      </c>
      <c r="AC86" s="40" t="str">
        <f>IFERROR((IF(OR(AL86=1,AM86=1),"",=IFERROR((IFERROR(IF($AB86=0,"",((Config!$B$6*$V86 + Config!$B$7*$R86 + Config!$B$8*$W86 + Config!$B$9*$X86 + Config!$B$10*$Y86 + Config!$B$11*$Z86 - Config!$B$12*$AA86)/Config!$B$13)+$AH86+$AI86),""))*(1-IFERROR(VLOOKUP(J86,Grinders!$A:$AB, 28, FALSE),0)),"")))*(1+AO86),"")</f>
        <v>#ERROR!</v>
      </c>
      <c r="AD86" s="40" t="str">
        <f t="shared" si="4"/>
        <v/>
      </c>
      <c r="AE86" s="40" t="str">
        <f>IFERROR(__xludf.DUMMYFUNCTION("IF($AC86="""","""",IF($AC86=IFERROR(MAX(FILTER($AC$6:$AC$1000,$C$6:$C$1000=$C86,$AB$6:$AB$1000=1)),),""WINNER"",""""))"),"#ERROR!")</f>
        <v>#ERROR!</v>
      </c>
      <c r="AF86" s="40" t="str">
        <f t="shared" si="5"/>
        <v/>
      </c>
      <c r="AG86" s="40" t="str">
        <f>IF($J86="","",COUNTIF(Assignments!$B:$B,$J86))</f>
        <v/>
      </c>
      <c r="AH86" s="40" t="str">
        <f>IF($J86="","",IF(AND($AG86=0,$N86&lt;$M86),Config!$B$43,0))</f>
        <v/>
      </c>
      <c r="AI86" s="40" t="str">
        <f>IF($J86="","",IF(AND($L86="Elite",$F86&gt;=Config!$B$41,$N86&lt;$M86),Config!$B$42,0))</f>
        <v/>
      </c>
      <c r="AJ86" s="22"/>
      <c r="AK86" s="39">
        <f>IFERROR(VLOOKUP(J86,Grinders!$A:$Q,28,FALSE),0)</f>
        <v>0</v>
      </c>
      <c r="AL86" s="39">
        <f>IF(Config!$B$1003&lt;&gt;"Y",0,IF(IFERROR(VLOOKUP(J86,Grinders!$A:$P,27,FALSE),0)&gt;=3,IF(OR(F86&gt;=Config!$B$1001,ISNUMBER(SEARCH(E86,Config!$B$1002))),1,0),0))</f>
        <v>0</v>
      </c>
      <c r="AM86" s="39">
        <f t="array" ref="AM86">IFERROR(IF(INDEX(Bids!$AE:$AE,MATCH(B86,Bids!$A:$A,0))="Pending",1,0),0)</f>
        <v>0</v>
      </c>
      <c r="AN86" s="39" t="str">
        <f t="array" ref="AN86">IF(C86="","",IFERROR(XLOOKUP(C86,Assignments!$C:$C,Assignments!$AU:$AU,0),0))</f>
        <v/>
      </c>
      <c r="AO86" s="39">
        <f>IF(AND(Config!$B$1006="Y",AN86=1),Config!$B$1007,0)</f>
        <v>0</v>
      </c>
    </row>
    <row r="87" ht="15.75" customHeight="1">
      <c r="A87" s="46" t="str">
        <f t="shared" si="1"/>
        <v/>
      </c>
      <c r="B87" s="40" t="str">
        <f>IF(Bids!$A87="","",Bids!$A87)</f>
        <v/>
      </c>
      <c r="C87" s="40" t="str">
        <f>IF(Bids!$B87="","",Bids!$B87)</f>
        <v/>
      </c>
      <c r="D87" s="40" t="str">
        <f>IF($C87="","",IFERROR(VLOOKUP($C87,Orders!$A:$J,9,FALSE),""))</f>
        <v/>
      </c>
      <c r="E87" s="40" t="str">
        <f>IF($C87="","",IFERROR(VLOOKUP($C87,Orders!$A:$J,3,FALSE),""))</f>
        <v/>
      </c>
      <c r="F87" s="40" t="str">
        <f>IF($C87="","",IFERROR(VLOOKUP($C87,Orders!$A:$J,4,FALSE),""))</f>
        <v/>
      </c>
      <c r="G87" s="40" t="str">
        <f>IF($C87="","",IFERROR(VLOOKUP($C87,Orders!$A:$J,5,FALSE),""))</f>
        <v/>
      </c>
      <c r="H87" s="40" t="str">
        <f>IF($C87="","",IFERROR(VLOOKUP($C87,Orders!$A:$J,6,FALSE),""))</f>
        <v/>
      </c>
      <c r="I87" s="40" t="str">
        <f>IF($C87="","",IFERROR(VLOOKUP($C87,Orders!$A:$J,7,FALSE),""))</f>
        <v/>
      </c>
      <c r="J87" s="40" t="str">
        <f>IF(Bids!$C87="","",Bids!$C87)</f>
        <v/>
      </c>
      <c r="K87" s="40" t="str">
        <f>IF($J87="","",IFERROR(VLOOKUP($J87,Grinders!$A:$N,2,FALSE),""))</f>
        <v/>
      </c>
      <c r="L87" s="40" t="str">
        <f>IF($J87="","",IFERROR(VLOOKUP($J87,Grinders!$A:$N,3,FALSE),""))</f>
        <v/>
      </c>
      <c r="M87" s="40" t="str">
        <f>IF($J87="","",IFERROR(VLOOKUP($J87,Grinders!$A:$N,4,FALSE),""))</f>
        <v/>
      </c>
      <c r="N87" s="40" t="str">
        <f>IF($J87="","",IFERROR(VLOOKUP($J87,Grinders!$A:$N,5,FALSE),""))</f>
        <v/>
      </c>
      <c r="O87" s="40" t="str">
        <f t="shared" si="2"/>
        <v/>
      </c>
      <c r="P87" s="40" t="str">
        <f>IF($J87="","",IFERROR(VLOOKUP($J87,Grinders!$A:$N,6,FALSE),""))</f>
        <v/>
      </c>
      <c r="Q87" s="40" t="str">
        <f>IF($J87="","",IFERROR(VLOOKUP($J87,Grinders!$A:$N,8,FALSE),""))</f>
        <v/>
      </c>
      <c r="R87" s="40" t="str">
        <f>IFERROR(IF($J87="","",IF($L87="Elite",MAX(50,MIN(100,Config!$B$27*MAX(0,MIN(100,(1-IF($O87="",0,$O87))*100)) + Config!$B$28*MAX(0,MIN(100,(1-MIN(1,IF(Config!$B$30=0,1,$P87/Config!$B$30)))*100)) + Config!$B$29*MAX(0,MIN(100,MIN(1,IF($Q87="",0,$Q87)/Config!$B$23)*100)))),MIN(100,Config!$B$27*MAX(0,MIN(100,(1-IF($O87="",0,$O87))*100)) + Config!$B$28*MAX(0,MIN(100,(1-MIN(1,IF(Config!$B$30=0,1,$P87/Config!$B$30)))*100)) + Config!$B$29*MAX(0,MIN(100,MIN(1,IF($Q87="",0,$Q87)/Config!$B$23)*100))))),"")
</f>
        <v/>
      </c>
      <c r="S87" s="40" t="str">
        <f>IF(Bids!$AC87="","",Bids!$AC87)</f>
        <v/>
      </c>
      <c r="T87" s="40" t="str">
        <f>IF(Bids!$F87="","",Bids!$F87)</f>
        <v/>
      </c>
      <c r="U87" s="40" t="str">
        <f t="shared" si="3"/>
        <v/>
      </c>
      <c r="V87" s="40" t="str">
        <f>IF($U87="","",IF(Config!$B$17=Config!$B$16,IF($U87&gt;=Config!$B$17,100,0),MAX(0,MIN(100,($U87-Config!$B$16)/(Config!$B$17-Config!$B$16)*100))))</f>
        <v/>
      </c>
      <c r="W87" s="40">
        <f>IF($L87="Elite",Config!$B$21,0)</f>
        <v>0</v>
      </c>
      <c r="X87" s="40" t="str">
        <f>IFERROR(IF(OR($T87="",$G87=""),"",IF($T87&gt;$G87,
  MAX(0, 60-(($T87-$G87)*24/Config!$B$19)*60),
  MEDIAN(60, 100, 60+(($G87-$T87)*24/Config!$B$20)*40)
)),"")
</f>
        <v/>
      </c>
      <c r="Y87" s="40" t="str">
        <f>IF($J87="","",IFERROR(VLOOKUP($J87,Grinders!$A:$N,10,FALSE),""))</f>
        <v/>
      </c>
      <c r="Z87" s="40" t="str">
        <f>IF($J87="","",IFERROR(VLOOKUP($J87,Grinders!$A:$N,11,FALSE),""))</f>
        <v/>
      </c>
      <c r="AA87" s="40" t="str">
        <f>IF($J87="","",IFERROR(VLOOKUP($J87,Grinders!$A:$N,12,FALSE),""))</f>
        <v/>
      </c>
      <c r="AB87" s="40" t="str">
        <f>IF(OR(AL87=1,AM87=1),0,=IFERROR(IF(OR($C87="",$J87=""),0,IF($D87&lt;&gt;"Open",0,IF(COUNTIFS(GrinderServices!$A:$A,$J87,GrinderServices!$B:$B,$E87,GrinderServices!$D:$D,"Y")=0,0,IF($U87&lt;Config!$B$16,0,IF(Config!$B$18=1,IF($N87&gt;=$M87,0,1),1))))),""))</f>
        <v>#ERROR!</v>
      </c>
      <c r="AC87" s="40" t="str">
        <f>IFERROR((IF(OR(AL87=1,AM87=1),"",=IFERROR((IFERROR(IF($AB87=0,"",((Config!$B$6*$V87 + Config!$B$7*$R87 + Config!$B$8*$W87 + Config!$B$9*$X87 + Config!$B$10*$Y87 + Config!$B$11*$Z87 - Config!$B$12*$AA87)/Config!$B$13)+$AH87+$AI87),""))*(1-IFERROR(VLOOKUP(J87,Grinders!$A:$AB, 28, FALSE),0)),"")))*(1+AO87),"")</f>
        <v>#ERROR!</v>
      </c>
      <c r="AD87" s="40" t="str">
        <f t="shared" si="4"/>
        <v/>
      </c>
      <c r="AE87" s="40" t="str">
        <f>IFERROR(__xludf.DUMMYFUNCTION("IF($AC87="""","""",IF($AC87=IFERROR(MAX(FILTER($AC$6:$AC$1000,$C$6:$C$1000=$C87,$AB$6:$AB$1000=1)),),""WINNER"",""""))"),"#ERROR!")</f>
        <v>#ERROR!</v>
      </c>
      <c r="AF87" s="40" t="str">
        <f t="shared" si="5"/>
        <v/>
      </c>
      <c r="AG87" s="40" t="str">
        <f>IF($J87="","",COUNTIF(Assignments!$B:$B,$J87))</f>
        <v/>
      </c>
      <c r="AH87" s="40" t="str">
        <f>IF($J87="","",IF(AND($AG87=0,$N87&lt;$M87),Config!$B$43,0))</f>
        <v/>
      </c>
      <c r="AI87" s="40" t="str">
        <f>IF($J87="","",IF(AND($L87="Elite",$F87&gt;=Config!$B$41,$N87&lt;$M87),Config!$B$42,0))</f>
        <v/>
      </c>
      <c r="AJ87" s="22"/>
      <c r="AK87" s="39">
        <f>IFERROR(VLOOKUP(J87,Grinders!$A:$Q,28,FALSE),0)</f>
        <v>0</v>
      </c>
      <c r="AL87" s="39">
        <f>IF(Config!$B$1003&lt;&gt;"Y",0,IF(IFERROR(VLOOKUP(J87,Grinders!$A:$P,27,FALSE),0)&gt;=3,IF(OR(F87&gt;=Config!$B$1001,ISNUMBER(SEARCH(E87,Config!$B$1002))),1,0),0))</f>
        <v>0</v>
      </c>
      <c r="AM87" s="39">
        <f t="array" ref="AM87">IFERROR(IF(INDEX(Bids!$AE:$AE,MATCH(B87,Bids!$A:$A,0))="Pending",1,0),0)</f>
        <v>0</v>
      </c>
      <c r="AN87" s="39" t="str">
        <f t="array" ref="AN87">IF(C87="","",IFERROR(XLOOKUP(C87,Assignments!$C:$C,Assignments!$AU:$AU,0),0))</f>
        <v/>
      </c>
      <c r="AO87" s="39">
        <f>IF(AND(Config!$B$1006="Y",AN87=1),Config!$B$1007,0)</f>
        <v>0</v>
      </c>
    </row>
    <row r="88" ht="15.75" customHeight="1">
      <c r="A88" s="46" t="str">
        <f t="shared" si="1"/>
        <v/>
      </c>
      <c r="B88" s="40" t="str">
        <f>IF(Bids!$A88="","",Bids!$A88)</f>
        <v/>
      </c>
      <c r="C88" s="40" t="str">
        <f>IF(Bids!$B88="","",Bids!$B88)</f>
        <v/>
      </c>
      <c r="D88" s="40" t="str">
        <f>IF($C88="","",IFERROR(VLOOKUP($C88,Orders!$A:$J,9,FALSE),""))</f>
        <v/>
      </c>
      <c r="E88" s="40" t="str">
        <f>IF($C88="","",IFERROR(VLOOKUP($C88,Orders!$A:$J,3,FALSE),""))</f>
        <v/>
      </c>
      <c r="F88" s="40" t="str">
        <f>IF($C88="","",IFERROR(VLOOKUP($C88,Orders!$A:$J,4,FALSE),""))</f>
        <v/>
      </c>
      <c r="G88" s="40" t="str">
        <f>IF($C88="","",IFERROR(VLOOKUP($C88,Orders!$A:$J,5,FALSE),""))</f>
        <v/>
      </c>
      <c r="H88" s="40" t="str">
        <f>IF($C88="","",IFERROR(VLOOKUP($C88,Orders!$A:$J,6,FALSE),""))</f>
        <v/>
      </c>
      <c r="I88" s="40" t="str">
        <f>IF($C88="","",IFERROR(VLOOKUP($C88,Orders!$A:$J,7,FALSE),""))</f>
        <v/>
      </c>
      <c r="J88" s="40" t="str">
        <f>IF(Bids!$C88="","",Bids!$C88)</f>
        <v/>
      </c>
      <c r="K88" s="40" t="str">
        <f>IF($J88="","",IFERROR(VLOOKUP($J88,Grinders!$A:$N,2,FALSE),""))</f>
        <v/>
      </c>
      <c r="L88" s="40" t="str">
        <f>IF($J88="","",IFERROR(VLOOKUP($J88,Grinders!$A:$N,3,FALSE),""))</f>
        <v/>
      </c>
      <c r="M88" s="40" t="str">
        <f>IF($J88="","",IFERROR(VLOOKUP($J88,Grinders!$A:$N,4,FALSE),""))</f>
        <v/>
      </c>
      <c r="N88" s="40" t="str">
        <f>IF($J88="","",IFERROR(VLOOKUP($J88,Grinders!$A:$N,5,FALSE),""))</f>
        <v/>
      </c>
      <c r="O88" s="40" t="str">
        <f t="shared" si="2"/>
        <v/>
      </c>
      <c r="P88" s="40" t="str">
        <f>IF($J88="","",IFERROR(VLOOKUP($J88,Grinders!$A:$N,6,FALSE),""))</f>
        <v/>
      </c>
      <c r="Q88" s="40" t="str">
        <f>IF($J88="","",IFERROR(VLOOKUP($J88,Grinders!$A:$N,8,FALSE),""))</f>
        <v/>
      </c>
      <c r="R88" s="40" t="str">
        <f>IFERROR(IF($J88="","",IF($L88="Elite",MAX(50,MIN(100,Config!$B$27*MAX(0,MIN(100,(1-IF($O88="",0,$O88))*100)) + Config!$B$28*MAX(0,MIN(100,(1-MIN(1,IF(Config!$B$30=0,1,$P88/Config!$B$30)))*100)) + Config!$B$29*MAX(0,MIN(100,MIN(1,IF($Q88="",0,$Q88)/Config!$B$23)*100)))),MIN(100,Config!$B$27*MAX(0,MIN(100,(1-IF($O88="",0,$O88))*100)) + Config!$B$28*MAX(0,MIN(100,(1-MIN(1,IF(Config!$B$30=0,1,$P88/Config!$B$30)))*100)) + Config!$B$29*MAX(0,MIN(100,MIN(1,IF($Q88="",0,$Q88)/Config!$B$23)*100))))),"")
</f>
        <v/>
      </c>
      <c r="S88" s="40" t="str">
        <f>IF(Bids!$AC88="","",Bids!$AC88)</f>
        <v/>
      </c>
      <c r="T88" s="40" t="str">
        <f>IF(Bids!$F88="","",Bids!$F88)</f>
        <v/>
      </c>
      <c r="U88" s="40" t="str">
        <f t="shared" si="3"/>
        <v/>
      </c>
      <c r="V88" s="40" t="str">
        <f>IF($U88="","",IF(Config!$B$17=Config!$B$16,IF($U88&gt;=Config!$B$17,100,0),MAX(0,MIN(100,($U88-Config!$B$16)/(Config!$B$17-Config!$B$16)*100))))</f>
        <v/>
      </c>
      <c r="W88" s="40">
        <f>IF($L88="Elite",Config!$B$21,0)</f>
        <v>0</v>
      </c>
      <c r="X88" s="40" t="str">
        <f>IFERROR(IF(OR($T88="",$G88=""),"",IF($T88&gt;$G88,
  MAX(0, 60-(($T88-$G88)*24/Config!$B$19)*60),
  MEDIAN(60, 100, 60+(($G88-$T88)*24/Config!$B$20)*40)
)),"")
</f>
        <v/>
      </c>
      <c r="Y88" s="40" t="str">
        <f>IF($J88="","",IFERROR(VLOOKUP($J88,Grinders!$A:$N,10,FALSE),""))</f>
        <v/>
      </c>
      <c r="Z88" s="40" t="str">
        <f>IF($J88="","",IFERROR(VLOOKUP($J88,Grinders!$A:$N,11,FALSE),""))</f>
        <v/>
      </c>
      <c r="AA88" s="40" t="str">
        <f>IF($J88="","",IFERROR(VLOOKUP($J88,Grinders!$A:$N,12,FALSE),""))</f>
        <v/>
      </c>
      <c r="AB88" s="40" t="str">
        <f>IF(OR(AL88=1,AM88=1),0,=IFERROR(IF(OR($C88="",$J88=""),0,IF($D88&lt;&gt;"Open",0,IF(COUNTIFS(GrinderServices!$A:$A,$J88,GrinderServices!$B:$B,$E88,GrinderServices!$D:$D,"Y")=0,0,IF($U88&lt;Config!$B$16,0,IF(Config!$B$18=1,IF($N88&gt;=$M88,0,1),1))))),""))</f>
        <v>#ERROR!</v>
      </c>
      <c r="AC88" s="40" t="str">
        <f>IFERROR((IF(OR(AL88=1,AM88=1),"",=IFERROR((IFERROR(IF($AB88=0,"",((Config!$B$6*$V88 + Config!$B$7*$R88 + Config!$B$8*$W88 + Config!$B$9*$X88 + Config!$B$10*$Y88 + Config!$B$11*$Z88 - Config!$B$12*$AA88)/Config!$B$13)+$AH88+$AI88),""))*(1-IFERROR(VLOOKUP(J88,Grinders!$A:$AB, 28, FALSE),0)),"")))*(1+AO88),"")</f>
        <v>#ERROR!</v>
      </c>
      <c r="AD88" s="40" t="str">
        <f t="shared" si="4"/>
        <v/>
      </c>
      <c r="AE88" s="40" t="str">
        <f>IFERROR(__xludf.DUMMYFUNCTION("IF($AC88="""","""",IF($AC88=IFERROR(MAX(FILTER($AC$6:$AC$1000,$C$6:$C$1000=$C88,$AB$6:$AB$1000=1)),),""WINNER"",""""))"),"#ERROR!")</f>
        <v>#ERROR!</v>
      </c>
      <c r="AF88" s="40" t="str">
        <f t="shared" si="5"/>
        <v/>
      </c>
      <c r="AG88" s="40" t="str">
        <f>IF($J88="","",COUNTIF(Assignments!$B:$B,$J88))</f>
        <v/>
      </c>
      <c r="AH88" s="40" t="str">
        <f>IF($J88="","",IF(AND($AG88=0,$N88&lt;$M88),Config!$B$43,0))</f>
        <v/>
      </c>
      <c r="AI88" s="40" t="str">
        <f>IF($J88="","",IF(AND($L88="Elite",$F88&gt;=Config!$B$41,$N88&lt;$M88),Config!$B$42,0))</f>
        <v/>
      </c>
      <c r="AJ88" s="22"/>
      <c r="AK88" s="39">
        <f>IFERROR(VLOOKUP(J88,Grinders!$A:$Q,28,FALSE),0)</f>
        <v>0</v>
      </c>
      <c r="AL88" s="39">
        <f>IF(Config!$B$1003&lt;&gt;"Y",0,IF(IFERROR(VLOOKUP(J88,Grinders!$A:$P,27,FALSE),0)&gt;=3,IF(OR(F88&gt;=Config!$B$1001,ISNUMBER(SEARCH(E88,Config!$B$1002))),1,0),0))</f>
        <v>0</v>
      </c>
      <c r="AM88" s="39">
        <f t="array" ref="AM88">IFERROR(IF(INDEX(Bids!$AE:$AE,MATCH(B88,Bids!$A:$A,0))="Pending",1,0),0)</f>
        <v>0</v>
      </c>
      <c r="AN88" s="39" t="str">
        <f t="array" ref="AN88">IF(C88="","",IFERROR(XLOOKUP(C88,Assignments!$C:$C,Assignments!$AU:$AU,0),0))</f>
        <v/>
      </c>
      <c r="AO88" s="39">
        <f>IF(AND(Config!$B$1006="Y",AN88=1),Config!$B$1007,0)</f>
        <v>0</v>
      </c>
    </row>
    <row r="89" ht="15.75" customHeight="1">
      <c r="A89" s="46" t="str">
        <f t="shared" si="1"/>
        <v/>
      </c>
      <c r="B89" s="40" t="str">
        <f>IF(Bids!$A89="","",Bids!$A89)</f>
        <v/>
      </c>
      <c r="C89" s="40" t="str">
        <f>IF(Bids!$B89="","",Bids!$B89)</f>
        <v/>
      </c>
      <c r="D89" s="40" t="str">
        <f>IF($C89="","",IFERROR(VLOOKUP($C89,Orders!$A:$J,9,FALSE),""))</f>
        <v/>
      </c>
      <c r="E89" s="40" t="str">
        <f>IF($C89="","",IFERROR(VLOOKUP($C89,Orders!$A:$J,3,FALSE),""))</f>
        <v/>
      </c>
      <c r="F89" s="40" t="str">
        <f>IF($C89="","",IFERROR(VLOOKUP($C89,Orders!$A:$J,4,FALSE),""))</f>
        <v/>
      </c>
      <c r="G89" s="40" t="str">
        <f>IF($C89="","",IFERROR(VLOOKUP($C89,Orders!$A:$J,5,FALSE),""))</f>
        <v/>
      </c>
      <c r="H89" s="40" t="str">
        <f>IF($C89="","",IFERROR(VLOOKUP($C89,Orders!$A:$J,6,FALSE),""))</f>
        <v/>
      </c>
      <c r="I89" s="40" t="str">
        <f>IF($C89="","",IFERROR(VLOOKUP($C89,Orders!$A:$J,7,FALSE),""))</f>
        <v/>
      </c>
      <c r="J89" s="40" t="str">
        <f>IF(Bids!$C89="","",Bids!$C89)</f>
        <v/>
      </c>
      <c r="K89" s="40" t="str">
        <f>IF($J89="","",IFERROR(VLOOKUP($J89,Grinders!$A:$N,2,FALSE),""))</f>
        <v/>
      </c>
      <c r="L89" s="40" t="str">
        <f>IF($J89="","",IFERROR(VLOOKUP($J89,Grinders!$A:$N,3,FALSE),""))</f>
        <v/>
      </c>
      <c r="M89" s="40" t="str">
        <f>IF($J89="","",IFERROR(VLOOKUP($J89,Grinders!$A:$N,4,FALSE),""))</f>
        <v/>
      </c>
      <c r="N89" s="40" t="str">
        <f>IF($J89="","",IFERROR(VLOOKUP($J89,Grinders!$A:$N,5,FALSE),""))</f>
        <v/>
      </c>
      <c r="O89" s="40" t="str">
        <f t="shared" si="2"/>
        <v/>
      </c>
      <c r="P89" s="40" t="str">
        <f>IF($J89="","",IFERROR(VLOOKUP($J89,Grinders!$A:$N,6,FALSE),""))</f>
        <v/>
      </c>
      <c r="Q89" s="40" t="str">
        <f>IF($J89="","",IFERROR(VLOOKUP($J89,Grinders!$A:$N,8,FALSE),""))</f>
        <v/>
      </c>
      <c r="R89" s="40" t="str">
        <f>IFERROR(IF($J89="","",IF($L89="Elite",MAX(50,MIN(100,Config!$B$27*MAX(0,MIN(100,(1-IF($O89="",0,$O89))*100)) + Config!$B$28*MAX(0,MIN(100,(1-MIN(1,IF(Config!$B$30=0,1,$P89/Config!$B$30)))*100)) + Config!$B$29*MAX(0,MIN(100,MIN(1,IF($Q89="",0,$Q89)/Config!$B$23)*100)))),MIN(100,Config!$B$27*MAX(0,MIN(100,(1-IF($O89="",0,$O89))*100)) + Config!$B$28*MAX(0,MIN(100,(1-MIN(1,IF(Config!$B$30=0,1,$P89/Config!$B$30)))*100)) + Config!$B$29*MAX(0,MIN(100,MIN(1,IF($Q89="",0,$Q89)/Config!$B$23)*100))))),"")
</f>
        <v/>
      </c>
      <c r="S89" s="40" t="str">
        <f>IF(Bids!$AC89="","",Bids!$AC89)</f>
        <v/>
      </c>
      <c r="T89" s="40" t="str">
        <f>IF(Bids!$F89="","",Bids!$F89)</f>
        <v/>
      </c>
      <c r="U89" s="40" t="str">
        <f t="shared" si="3"/>
        <v/>
      </c>
      <c r="V89" s="40" t="str">
        <f>IF($U89="","",IF(Config!$B$17=Config!$B$16,IF($U89&gt;=Config!$B$17,100,0),MAX(0,MIN(100,($U89-Config!$B$16)/(Config!$B$17-Config!$B$16)*100))))</f>
        <v/>
      </c>
      <c r="W89" s="40">
        <f>IF($L89="Elite",Config!$B$21,0)</f>
        <v>0</v>
      </c>
      <c r="X89" s="40" t="str">
        <f>IFERROR(IF(OR($T89="",$G89=""),"",IF($T89&gt;$G89,
  MAX(0, 60-(($T89-$G89)*24/Config!$B$19)*60),
  MEDIAN(60, 100, 60+(($G89-$T89)*24/Config!$B$20)*40)
)),"")
</f>
        <v/>
      </c>
      <c r="Y89" s="40" t="str">
        <f>IF($J89="","",IFERROR(VLOOKUP($J89,Grinders!$A:$N,10,FALSE),""))</f>
        <v/>
      </c>
      <c r="Z89" s="40" t="str">
        <f>IF($J89="","",IFERROR(VLOOKUP($J89,Grinders!$A:$N,11,FALSE),""))</f>
        <v/>
      </c>
      <c r="AA89" s="40" t="str">
        <f>IF($J89="","",IFERROR(VLOOKUP($J89,Grinders!$A:$N,12,FALSE),""))</f>
        <v/>
      </c>
      <c r="AB89" s="40" t="str">
        <f>IF(OR(AL89=1,AM89=1),0,=IFERROR(IF(OR($C89="",$J89=""),0,IF($D89&lt;&gt;"Open",0,IF(COUNTIFS(GrinderServices!$A:$A,$J89,GrinderServices!$B:$B,$E89,GrinderServices!$D:$D,"Y")=0,0,IF($U89&lt;Config!$B$16,0,IF(Config!$B$18=1,IF($N89&gt;=$M89,0,1),1))))),""))</f>
        <v>#ERROR!</v>
      </c>
      <c r="AC89" s="40" t="str">
        <f>IFERROR((IF(OR(AL89=1,AM89=1),"",=IFERROR((IFERROR(IF($AB89=0,"",((Config!$B$6*$V89 + Config!$B$7*$R89 + Config!$B$8*$W89 + Config!$B$9*$X89 + Config!$B$10*$Y89 + Config!$B$11*$Z89 - Config!$B$12*$AA89)/Config!$B$13)+$AH89+$AI89),""))*(1-IFERROR(VLOOKUP(J89,Grinders!$A:$AB, 28, FALSE),0)),"")))*(1+AO89),"")</f>
        <v>#ERROR!</v>
      </c>
      <c r="AD89" s="40" t="str">
        <f t="shared" si="4"/>
        <v/>
      </c>
      <c r="AE89" s="40" t="str">
        <f>IFERROR(__xludf.DUMMYFUNCTION("IF($AC89="""","""",IF($AC89=IFERROR(MAX(FILTER($AC$6:$AC$1000,$C$6:$C$1000=$C89,$AB$6:$AB$1000=1)),),""WINNER"",""""))"),"#ERROR!")</f>
        <v>#ERROR!</v>
      </c>
      <c r="AF89" s="40" t="str">
        <f t="shared" si="5"/>
        <v/>
      </c>
      <c r="AG89" s="40" t="str">
        <f>IF($J89="","",COUNTIF(Assignments!$B:$B,$J89))</f>
        <v/>
      </c>
      <c r="AH89" s="40" t="str">
        <f>IF($J89="","",IF(AND($AG89=0,$N89&lt;$M89),Config!$B$43,0))</f>
        <v/>
      </c>
      <c r="AI89" s="40" t="str">
        <f>IF($J89="","",IF(AND($L89="Elite",$F89&gt;=Config!$B$41,$N89&lt;$M89),Config!$B$42,0))</f>
        <v/>
      </c>
      <c r="AJ89" s="22"/>
      <c r="AK89" s="39">
        <f>IFERROR(VLOOKUP(J89,Grinders!$A:$Q,28,FALSE),0)</f>
        <v>0</v>
      </c>
      <c r="AL89" s="39">
        <f>IF(Config!$B$1003&lt;&gt;"Y",0,IF(IFERROR(VLOOKUP(J89,Grinders!$A:$P,27,FALSE),0)&gt;=3,IF(OR(F89&gt;=Config!$B$1001,ISNUMBER(SEARCH(E89,Config!$B$1002))),1,0),0))</f>
        <v>0</v>
      </c>
      <c r="AM89" s="39">
        <f t="array" ref="AM89">IFERROR(IF(INDEX(Bids!$AE:$AE,MATCH(B89,Bids!$A:$A,0))="Pending",1,0),0)</f>
        <v>0</v>
      </c>
      <c r="AN89" s="39" t="str">
        <f t="array" ref="AN89">IF(C89="","",IFERROR(XLOOKUP(C89,Assignments!$C:$C,Assignments!$AU:$AU,0),0))</f>
        <v/>
      </c>
      <c r="AO89" s="39">
        <f>IF(AND(Config!$B$1006="Y",AN89=1),Config!$B$1007,0)</f>
        <v>0</v>
      </c>
    </row>
    <row r="90" ht="15.75" customHeight="1">
      <c r="A90" s="46" t="str">
        <f t="shared" si="1"/>
        <v/>
      </c>
      <c r="B90" s="40" t="str">
        <f>IF(Bids!$A90="","",Bids!$A90)</f>
        <v/>
      </c>
      <c r="C90" s="40" t="str">
        <f>IF(Bids!$B90="","",Bids!$B90)</f>
        <v/>
      </c>
      <c r="D90" s="40" t="str">
        <f>IF($C90="","",IFERROR(VLOOKUP($C90,Orders!$A:$J,9,FALSE),""))</f>
        <v/>
      </c>
      <c r="E90" s="40" t="str">
        <f>IF($C90="","",IFERROR(VLOOKUP($C90,Orders!$A:$J,3,FALSE),""))</f>
        <v/>
      </c>
      <c r="F90" s="40" t="str">
        <f>IF($C90="","",IFERROR(VLOOKUP($C90,Orders!$A:$J,4,FALSE),""))</f>
        <v/>
      </c>
      <c r="G90" s="40" t="str">
        <f>IF($C90="","",IFERROR(VLOOKUP($C90,Orders!$A:$J,5,FALSE),""))</f>
        <v/>
      </c>
      <c r="H90" s="40" t="str">
        <f>IF($C90="","",IFERROR(VLOOKUP($C90,Orders!$A:$J,6,FALSE),""))</f>
        <v/>
      </c>
      <c r="I90" s="40" t="str">
        <f>IF($C90="","",IFERROR(VLOOKUP($C90,Orders!$A:$J,7,FALSE),""))</f>
        <v/>
      </c>
      <c r="J90" s="40" t="str">
        <f>IF(Bids!$C90="","",Bids!$C90)</f>
        <v/>
      </c>
      <c r="K90" s="40" t="str">
        <f>IF($J90="","",IFERROR(VLOOKUP($J90,Grinders!$A:$N,2,FALSE),""))</f>
        <v/>
      </c>
      <c r="L90" s="40" t="str">
        <f>IF($J90="","",IFERROR(VLOOKUP($J90,Grinders!$A:$N,3,FALSE),""))</f>
        <v/>
      </c>
      <c r="M90" s="40" t="str">
        <f>IF($J90="","",IFERROR(VLOOKUP($J90,Grinders!$A:$N,4,FALSE),""))</f>
        <v/>
      </c>
      <c r="N90" s="40" t="str">
        <f>IF($J90="","",IFERROR(VLOOKUP($J90,Grinders!$A:$N,5,FALSE),""))</f>
        <v/>
      </c>
      <c r="O90" s="40" t="str">
        <f t="shared" si="2"/>
        <v/>
      </c>
      <c r="P90" s="40" t="str">
        <f>IF($J90="","",IFERROR(VLOOKUP($J90,Grinders!$A:$N,6,FALSE),""))</f>
        <v/>
      </c>
      <c r="Q90" s="40" t="str">
        <f>IF($J90="","",IFERROR(VLOOKUP($J90,Grinders!$A:$N,8,FALSE),""))</f>
        <v/>
      </c>
      <c r="R90" s="40" t="str">
        <f>IFERROR(IF($J90="","",IF($L90="Elite",MAX(50,MIN(100,Config!$B$27*MAX(0,MIN(100,(1-IF($O90="",0,$O90))*100)) + Config!$B$28*MAX(0,MIN(100,(1-MIN(1,IF(Config!$B$30=0,1,$P90/Config!$B$30)))*100)) + Config!$B$29*MAX(0,MIN(100,MIN(1,IF($Q90="",0,$Q90)/Config!$B$23)*100)))),MIN(100,Config!$B$27*MAX(0,MIN(100,(1-IF($O90="",0,$O90))*100)) + Config!$B$28*MAX(0,MIN(100,(1-MIN(1,IF(Config!$B$30=0,1,$P90/Config!$B$30)))*100)) + Config!$B$29*MAX(0,MIN(100,MIN(1,IF($Q90="",0,$Q90)/Config!$B$23)*100))))),"")
</f>
        <v/>
      </c>
      <c r="S90" s="40" t="str">
        <f>IF(Bids!$AC90="","",Bids!$AC90)</f>
        <v/>
      </c>
      <c r="T90" s="40" t="str">
        <f>IF(Bids!$F90="","",Bids!$F90)</f>
        <v/>
      </c>
      <c r="U90" s="40" t="str">
        <f t="shared" si="3"/>
        <v/>
      </c>
      <c r="V90" s="40" t="str">
        <f>IF($U90="","",IF(Config!$B$17=Config!$B$16,IF($U90&gt;=Config!$B$17,100,0),MAX(0,MIN(100,($U90-Config!$B$16)/(Config!$B$17-Config!$B$16)*100))))</f>
        <v/>
      </c>
      <c r="W90" s="40">
        <f>IF($L90="Elite",Config!$B$21,0)</f>
        <v>0</v>
      </c>
      <c r="X90" s="40" t="str">
        <f>IFERROR(IF(OR($T90="",$G90=""),"",IF($T90&gt;$G90,
  MAX(0, 60-(($T90-$G90)*24/Config!$B$19)*60),
  MEDIAN(60, 100, 60+(($G90-$T90)*24/Config!$B$20)*40)
)),"")
</f>
        <v/>
      </c>
      <c r="Y90" s="40" t="str">
        <f>IF($J90="","",IFERROR(VLOOKUP($J90,Grinders!$A:$N,10,FALSE),""))</f>
        <v/>
      </c>
      <c r="Z90" s="40" t="str">
        <f>IF($J90="","",IFERROR(VLOOKUP($J90,Grinders!$A:$N,11,FALSE),""))</f>
        <v/>
      </c>
      <c r="AA90" s="40" t="str">
        <f>IF($J90="","",IFERROR(VLOOKUP($J90,Grinders!$A:$N,12,FALSE),""))</f>
        <v/>
      </c>
      <c r="AB90" s="40" t="str">
        <f>IF(OR(AL90=1,AM90=1),0,=IFERROR(IF(OR($C90="",$J90=""),0,IF($D90&lt;&gt;"Open",0,IF(COUNTIFS(GrinderServices!$A:$A,$J90,GrinderServices!$B:$B,$E90,GrinderServices!$D:$D,"Y")=0,0,IF($U90&lt;Config!$B$16,0,IF(Config!$B$18=1,IF($N90&gt;=$M90,0,1),1))))),""))</f>
        <v>#ERROR!</v>
      </c>
      <c r="AC90" s="40" t="str">
        <f>IFERROR((IF(OR(AL90=1,AM90=1),"",=IFERROR((IFERROR(IF($AB90=0,"",((Config!$B$6*$V90 + Config!$B$7*$R90 + Config!$B$8*$W90 + Config!$B$9*$X90 + Config!$B$10*$Y90 + Config!$B$11*$Z90 - Config!$B$12*$AA90)/Config!$B$13)+$AH90+$AI90),""))*(1-IFERROR(VLOOKUP(J90,Grinders!$A:$AB, 28, FALSE),0)),"")))*(1+AO90),"")</f>
        <v>#ERROR!</v>
      </c>
      <c r="AD90" s="40" t="str">
        <f t="shared" si="4"/>
        <v/>
      </c>
      <c r="AE90" s="40" t="str">
        <f>IFERROR(__xludf.DUMMYFUNCTION("IF($AC90="""","""",IF($AC90=IFERROR(MAX(FILTER($AC$6:$AC$1000,$C$6:$C$1000=$C90,$AB$6:$AB$1000=1)),),""WINNER"",""""))"),"#ERROR!")</f>
        <v>#ERROR!</v>
      </c>
      <c r="AF90" s="40" t="str">
        <f t="shared" si="5"/>
        <v/>
      </c>
      <c r="AG90" s="40" t="str">
        <f>IF($J90="","",COUNTIF(Assignments!$B:$B,$J90))</f>
        <v/>
      </c>
      <c r="AH90" s="40" t="str">
        <f>IF($J90="","",IF(AND($AG90=0,$N90&lt;$M90),Config!$B$43,0))</f>
        <v/>
      </c>
      <c r="AI90" s="40" t="str">
        <f>IF($J90="","",IF(AND($L90="Elite",$F90&gt;=Config!$B$41,$N90&lt;$M90),Config!$B$42,0))</f>
        <v/>
      </c>
      <c r="AJ90" s="22"/>
      <c r="AK90" s="39">
        <f>IFERROR(VLOOKUP(J90,Grinders!$A:$Q,28,FALSE),0)</f>
        <v>0</v>
      </c>
      <c r="AL90" s="39">
        <f>IF(Config!$B$1003&lt;&gt;"Y",0,IF(IFERROR(VLOOKUP(J90,Grinders!$A:$P,27,FALSE),0)&gt;=3,IF(OR(F90&gt;=Config!$B$1001,ISNUMBER(SEARCH(E90,Config!$B$1002))),1,0),0))</f>
        <v>0</v>
      </c>
      <c r="AM90" s="39">
        <f t="array" ref="AM90">IFERROR(IF(INDEX(Bids!$AE:$AE,MATCH(B90,Bids!$A:$A,0))="Pending",1,0),0)</f>
        <v>0</v>
      </c>
      <c r="AN90" s="39" t="str">
        <f t="array" ref="AN90">IF(C90="","",IFERROR(XLOOKUP(C90,Assignments!$C:$C,Assignments!$AU:$AU,0),0))</f>
        <v/>
      </c>
      <c r="AO90" s="39">
        <f>IF(AND(Config!$B$1006="Y",AN90=1),Config!$B$1007,0)</f>
        <v>0</v>
      </c>
    </row>
    <row r="91" ht="15.75" customHeight="1">
      <c r="A91" s="46" t="str">
        <f t="shared" si="1"/>
        <v/>
      </c>
      <c r="B91" s="40" t="str">
        <f>IF(Bids!$A91="","",Bids!$A91)</f>
        <v/>
      </c>
      <c r="C91" s="40" t="str">
        <f>IF(Bids!$B91="","",Bids!$B91)</f>
        <v/>
      </c>
      <c r="D91" s="40" t="str">
        <f>IF($C91="","",IFERROR(VLOOKUP($C91,Orders!$A:$J,9,FALSE),""))</f>
        <v/>
      </c>
      <c r="E91" s="40" t="str">
        <f>IF($C91="","",IFERROR(VLOOKUP($C91,Orders!$A:$J,3,FALSE),""))</f>
        <v/>
      </c>
      <c r="F91" s="40" t="str">
        <f>IF($C91="","",IFERROR(VLOOKUP($C91,Orders!$A:$J,4,FALSE),""))</f>
        <v/>
      </c>
      <c r="G91" s="40" t="str">
        <f>IF($C91="","",IFERROR(VLOOKUP($C91,Orders!$A:$J,5,FALSE),""))</f>
        <v/>
      </c>
      <c r="H91" s="40" t="str">
        <f>IF($C91="","",IFERROR(VLOOKUP($C91,Orders!$A:$J,6,FALSE),""))</f>
        <v/>
      </c>
      <c r="I91" s="40" t="str">
        <f>IF($C91="","",IFERROR(VLOOKUP($C91,Orders!$A:$J,7,FALSE),""))</f>
        <v/>
      </c>
      <c r="J91" s="40" t="str">
        <f>IF(Bids!$C91="","",Bids!$C91)</f>
        <v/>
      </c>
      <c r="K91" s="40" t="str">
        <f>IF($J91="","",IFERROR(VLOOKUP($J91,Grinders!$A:$N,2,FALSE),""))</f>
        <v/>
      </c>
      <c r="L91" s="40" t="str">
        <f>IF($J91="","",IFERROR(VLOOKUP($J91,Grinders!$A:$N,3,FALSE),""))</f>
        <v/>
      </c>
      <c r="M91" s="40" t="str">
        <f>IF($J91="","",IFERROR(VLOOKUP($J91,Grinders!$A:$N,4,FALSE),""))</f>
        <v/>
      </c>
      <c r="N91" s="40" t="str">
        <f>IF($J91="","",IFERROR(VLOOKUP($J91,Grinders!$A:$N,5,FALSE),""))</f>
        <v/>
      </c>
      <c r="O91" s="40" t="str">
        <f t="shared" si="2"/>
        <v/>
      </c>
      <c r="P91" s="40" t="str">
        <f>IF($J91="","",IFERROR(VLOOKUP($J91,Grinders!$A:$N,6,FALSE),""))</f>
        <v/>
      </c>
      <c r="Q91" s="40" t="str">
        <f>IF($J91="","",IFERROR(VLOOKUP($J91,Grinders!$A:$N,8,FALSE),""))</f>
        <v/>
      </c>
      <c r="R91" s="40" t="str">
        <f>IFERROR(IF($J91="","",IF($L91="Elite",MAX(50,MIN(100,Config!$B$27*MAX(0,MIN(100,(1-IF($O91="",0,$O91))*100)) + Config!$B$28*MAX(0,MIN(100,(1-MIN(1,IF(Config!$B$30=0,1,$P91/Config!$B$30)))*100)) + Config!$B$29*MAX(0,MIN(100,MIN(1,IF($Q91="",0,$Q91)/Config!$B$23)*100)))),MIN(100,Config!$B$27*MAX(0,MIN(100,(1-IF($O91="",0,$O91))*100)) + Config!$B$28*MAX(0,MIN(100,(1-MIN(1,IF(Config!$B$30=0,1,$P91/Config!$B$30)))*100)) + Config!$B$29*MAX(0,MIN(100,MIN(1,IF($Q91="",0,$Q91)/Config!$B$23)*100))))),"")
</f>
        <v/>
      </c>
      <c r="S91" s="40" t="str">
        <f>IF(Bids!$AC91="","",Bids!$AC91)</f>
        <v/>
      </c>
      <c r="T91" s="40" t="str">
        <f>IF(Bids!$F91="","",Bids!$F91)</f>
        <v/>
      </c>
      <c r="U91" s="40" t="str">
        <f t="shared" si="3"/>
        <v/>
      </c>
      <c r="V91" s="40" t="str">
        <f>IF($U91="","",IF(Config!$B$17=Config!$B$16,IF($U91&gt;=Config!$B$17,100,0),MAX(0,MIN(100,($U91-Config!$B$16)/(Config!$B$17-Config!$B$16)*100))))</f>
        <v/>
      </c>
      <c r="W91" s="40">
        <f>IF($L91="Elite",Config!$B$21,0)</f>
        <v>0</v>
      </c>
      <c r="X91" s="40" t="str">
        <f>IFERROR(IF(OR($T91="",$G91=""),"",IF($T91&gt;$G91,
  MAX(0, 60-(($T91-$G91)*24/Config!$B$19)*60),
  MEDIAN(60, 100, 60+(($G91-$T91)*24/Config!$B$20)*40)
)),"")
</f>
        <v/>
      </c>
      <c r="Y91" s="40" t="str">
        <f>IF($J91="","",IFERROR(VLOOKUP($J91,Grinders!$A:$N,10,FALSE),""))</f>
        <v/>
      </c>
      <c r="Z91" s="40" t="str">
        <f>IF($J91="","",IFERROR(VLOOKUP($J91,Grinders!$A:$N,11,FALSE),""))</f>
        <v/>
      </c>
      <c r="AA91" s="40" t="str">
        <f>IF($J91="","",IFERROR(VLOOKUP($J91,Grinders!$A:$N,12,FALSE),""))</f>
        <v/>
      </c>
      <c r="AB91" s="40" t="str">
        <f>IF(OR(AL91=1,AM91=1),0,=IFERROR(IF(OR($C91="",$J91=""),0,IF($D91&lt;&gt;"Open",0,IF(COUNTIFS(GrinderServices!$A:$A,$J91,GrinderServices!$B:$B,$E91,GrinderServices!$D:$D,"Y")=0,0,IF($U91&lt;Config!$B$16,0,IF(Config!$B$18=1,IF($N91&gt;=$M91,0,1),1))))),""))</f>
        <v>#ERROR!</v>
      </c>
      <c r="AC91" s="40" t="str">
        <f>IFERROR((IF(OR(AL91=1,AM91=1),"",=IFERROR((IFERROR(IF($AB91=0,"",((Config!$B$6*$V91 + Config!$B$7*$R91 + Config!$B$8*$W91 + Config!$B$9*$X91 + Config!$B$10*$Y91 + Config!$B$11*$Z91 - Config!$B$12*$AA91)/Config!$B$13)+$AH91+$AI91),""))*(1-IFERROR(VLOOKUP(J91,Grinders!$A:$AB, 28, FALSE),0)),"")))*(1+AO91),"")</f>
        <v>#ERROR!</v>
      </c>
      <c r="AD91" s="40" t="str">
        <f t="shared" si="4"/>
        <v/>
      </c>
      <c r="AE91" s="40" t="str">
        <f>IFERROR(__xludf.DUMMYFUNCTION("IF($AC91="""","""",IF($AC91=IFERROR(MAX(FILTER($AC$6:$AC$1000,$C$6:$C$1000=$C91,$AB$6:$AB$1000=1)),),""WINNER"",""""))"),"#ERROR!")</f>
        <v>#ERROR!</v>
      </c>
      <c r="AF91" s="40" t="str">
        <f t="shared" si="5"/>
        <v/>
      </c>
      <c r="AG91" s="40" t="str">
        <f>IF($J91="","",COUNTIF(Assignments!$B:$B,$J91))</f>
        <v/>
      </c>
      <c r="AH91" s="40" t="str">
        <f>IF($J91="","",IF(AND($AG91=0,$N91&lt;$M91),Config!$B$43,0))</f>
        <v/>
      </c>
      <c r="AI91" s="40" t="str">
        <f>IF($J91="","",IF(AND($L91="Elite",$F91&gt;=Config!$B$41,$N91&lt;$M91),Config!$B$42,0))</f>
        <v/>
      </c>
      <c r="AJ91" s="22"/>
      <c r="AK91" s="39">
        <f>IFERROR(VLOOKUP(J91,Grinders!$A:$Q,28,FALSE),0)</f>
        <v>0</v>
      </c>
      <c r="AL91" s="39">
        <f>IF(Config!$B$1003&lt;&gt;"Y",0,IF(IFERROR(VLOOKUP(J91,Grinders!$A:$P,27,FALSE),0)&gt;=3,IF(OR(F91&gt;=Config!$B$1001,ISNUMBER(SEARCH(E91,Config!$B$1002))),1,0),0))</f>
        <v>0</v>
      </c>
      <c r="AM91" s="39">
        <f t="array" ref="AM91">IFERROR(IF(INDEX(Bids!$AE:$AE,MATCH(B91,Bids!$A:$A,0))="Pending",1,0),0)</f>
        <v>0</v>
      </c>
      <c r="AN91" s="39" t="str">
        <f t="array" ref="AN91">IF(C91="","",IFERROR(XLOOKUP(C91,Assignments!$C:$C,Assignments!$AU:$AU,0),0))</f>
        <v/>
      </c>
      <c r="AO91" s="39">
        <f>IF(AND(Config!$B$1006="Y",AN91=1),Config!$B$1007,0)</f>
        <v>0</v>
      </c>
    </row>
    <row r="92" ht="15.75" customHeight="1">
      <c r="A92" s="46" t="str">
        <f t="shared" si="1"/>
        <v/>
      </c>
      <c r="B92" s="40" t="str">
        <f>IF(Bids!$A92="","",Bids!$A92)</f>
        <v/>
      </c>
      <c r="C92" s="40" t="str">
        <f>IF(Bids!$B92="","",Bids!$B92)</f>
        <v/>
      </c>
      <c r="D92" s="40" t="str">
        <f>IF($C92="","",IFERROR(VLOOKUP($C92,Orders!$A:$J,9,FALSE),""))</f>
        <v/>
      </c>
      <c r="E92" s="40" t="str">
        <f>IF($C92="","",IFERROR(VLOOKUP($C92,Orders!$A:$J,3,FALSE),""))</f>
        <v/>
      </c>
      <c r="F92" s="40" t="str">
        <f>IF($C92="","",IFERROR(VLOOKUP($C92,Orders!$A:$J,4,FALSE),""))</f>
        <v/>
      </c>
      <c r="G92" s="40" t="str">
        <f>IF($C92="","",IFERROR(VLOOKUP($C92,Orders!$A:$J,5,FALSE),""))</f>
        <v/>
      </c>
      <c r="H92" s="40" t="str">
        <f>IF($C92="","",IFERROR(VLOOKUP($C92,Orders!$A:$J,6,FALSE),""))</f>
        <v/>
      </c>
      <c r="I92" s="40" t="str">
        <f>IF($C92="","",IFERROR(VLOOKUP($C92,Orders!$A:$J,7,FALSE),""))</f>
        <v/>
      </c>
      <c r="J92" s="40" t="str">
        <f>IF(Bids!$C92="","",Bids!$C92)</f>
        <v/>
      </c>
      <c r="K92" s="40" t="str">
        <f>IF($J92="","",IFERROR(VLOOKUP($J92,Grinders!$A:$N,2,FALSE),""))</f>
        <v/>
      </c>
      <c r="L92" s="40" t="str">
        <f>IF($J92="","",IFERROR(VLOOKUP($J92,Grinders!$A:$N,3,FALSE),""))</f>
        <v/>
      </c>
      <c r="M92" s="40" t="str">
        <f>IF($J92="","",IFERROR(VLOOKUP($J92,Grinders!$A:$N,4,FALSE),""))</f>
        <v/>
      </c>
      <c r="N92" s="40" t="str">
        <f>IF($J92="","",IFERROR(VLOOKUP($J92,Grinders!$A:$N,5,FALSE),""))</f>
        <v/>
      </c>
      <c r="O92" s="40" t="str">
        <f t="shared" si="2"/>
        <v/>
      </c>
      <c r="P92" s="40" t="str">
        <f>IF($J92="","",IFERROR(VLOOKUP($J92,Grinders!$A:$N,6,FALSE),""))</f>
        <v/>
      </c>
      <c r="Q92" s="40" t="str">
        <f>IF($J92="","",IFERROR(VLOOKUP($J92,Grinders!$A:$N,8,FALSE),""))</f>
        <v/>
      </c>
      <c r="R92" s="40" t="str">
        <f>IFERROR(IF($J92="","",IF($L92="Elite",MAX(50,MIN(100,Config!$B$27*MAX(0,MIN(100,(1-IF($O92="",0,$O92))*100)) + Config!$B$28*MAX(0,MIN(100,(1-MIN(1,IF(Config!$B$30=0,1,$P92/Config!$B$30)))*100)) + Config!$B$29*MAX(0,MIN(100,MIN(1,IF($Q92="",0,$Q92)/Config!$B$23)*100)))),MIN(100,Config!$B$27*MAX(0,MIN(100,(1-IF($O92="",0,$O92))*100)) + Config!$B$28*MAX(0,MIN(100,(1-MIN(1,IF(Config!$B$30=0,1,$P92/Config!$B$30)))*100)) + Config!$B$29*MAX(0,MIN(100,MIN(1,IF($Q92="",0,$Q92)/Config!$B$23)*100))))),"")
</f>
        <v/>
      </c>
      <c r="S92" s="40" t="str">
        <f>IF(Bids!$AC92="","",Bids!$AC92)</f>
        <v/>
      </c>
      <c r="T92" s="40" t="str">
        <f>IF(Bids!$F92="","",Bids!$F92)</f>
        <v/>
      </c>
      <c r="U92" s="40" t="str">
        <f t="shared" si="3"/>
        <v/>
      </c>
      <c r="V92" s="40" t="str">
        <f>IF($U92="","",IF(Config!$B$17=Config!$B$16,IF($U92&gt;=Config!$B$17,100,0),MAX(0,MIN(100,($U92-Config!$B$16)/(Config!$B$17-Config!$B$16)*100))))</f>
        <v/>
      </c>
      <c r="W92" s="40">
        <f>IF($L92="Elite",Config!$B$21,0)</f>
        <v>0</v>
      </c>
      <c r="X92" s="40" t="str">
        <f>IFERROR(IF(OR($T92="",$G92=""),"",IF($T92&gt;$G92,
  MAX(0, 60-(($T92-$G92)*24/Config!$B$19)*60),
  MEDIAN(60, 100, 60+(($G92-$T92)*24/Config!$B$20)*40)
)),"")
</f>
        <v/>
      </c>
      <c r="Y92" s="40" t="str">
        <f>IF($J92="","",IFERROR(VLOOKUP($J92,Grinders!$A:$N,10,FALSE),""))</f>
        <v/>
      </c>
      <c r="Z92" s="40" t="str">
        <f>IF($J92="","",IFERROR(VLOOKUP($J92,Grinders!$A:$N,11,FALSE),""))</f>
        <v/>
      </c>
      <c r="AA92" s="40" t="str">
        <f>IF($J92="","",IFERROR(VLOOKUP($J92,Grinders!$A:$N,12,FALSE),""))</f>
        <v/>
      </c>
      <c r="AB92" s="40" t="str">
        <f>IF(OR(AL92=1,AM92=1),0,=IFERROR(IF(OR($C92="",$J92=""),0,IF($D92&lt;&gt;"Open",0,IF(COUNTIFS(GrinderServices!$A:$A,$J92,GrinderServices!$B:$B,$E92,GrinderServices!$D:$D,"Y")=0,0,IF($U92&lt;Config!$B$16,0,IF(Config!$B$18=1,IF($N92&gt;=$M92,0,1),1))))),""))</f>
        <v>#ERROR!</v>
      </c>
      <c r="AC92" s="40" t="str">
        <f>IFERROR((IF(OR(AL92=1,AM92=1),"",=IFERROR((IFERROR(IF($AB92=0,"",((Config!$B$6*$V92 + Config!$B$7*$R92 + Config!$B$8*$W92 + Config!$B$9*$X92 + Config!$B$10*$Y92 + Config!$B$11*$Z92 - Config!$B$12*$AA92)/Config!$B$13)+$AH92+$AI92),""))*(1-IFERROR(VLOOKUP(J92,Grinders!$A:$AB, 28, FALSE),0)),"")))*(1+AO92),"")</f>
        <v>#ERROR!</v>
      </c>
      <c r="AD92" s="40" t="str">
        <f t="shared" si="4"/>
        <v/>
      </c>
      <c r="AE92" s="40" t="str">
        <f>IFERROR(__xludf.DUMMYFUNCTION("IF($AC92="""","""",IF($AC92=IFERROR(MAX(FILTER($AC$6:$AC$1000,$C$6:$C$1000=$C92,$AB$6:$AB$1000=1)),),""WINNER"",""""))"),"#ERROR!")</f>
        <v>#ERROR!</v>
      </c>
      <c r="AF92" s="40" t="str">
        <f t="shared" si="5"/>
        <v/>
      </c>
      <c r="AG92" s="40" t="str">
        <f>IF($J92="","",COUNTIF(Assignments!$B:$B,$J92))</f>
        <v/>
      </c>
      <c r="AH92" s="40" t="str">
        <f>IF($J92="","",IF(AND($AG92=0,$N92&lt;$M92),Config!$B$43,0))</f>
        <v/>
      </c>
      <c r="AI92" s="40" t="str">
        <f>IF($J92="","",IF(AND($L92="Elite",$F92&gt;=Config!$B$41,$N92&lt;$M92),Config!$B$42,0))</f>
        <v/>
      </c>
      <c r="AJ92" s="22"/>
      <c r="AK92" s="39">
        <f>IFERROR(VLOOKUP(J92,Grinders!$A:$Q,28,FALSE),0)</f>
        <v>0</v>
      </c>
      <c r="AL92" s="39">
        <f>IF(Config!$B$1003&lt;&gt;"Y",0,IF(IFERROR(VLOOKUP(J92,Grinders!$A:$P,27,FALSE),0)&gt;=3,IF(OR(F92&gt;=Config!$B$1001,ISNUMBER(SEARCH(E92,Config!$B$1002))),1,0),0))</f>
        <v>0</v>
      </c>
      <c r="AM92" s="39">
        <f t="array" ref="AM92">IFERROR(IF(INDEX(Bids!$AE:$AE,MATCH(B92,Bids!$A:$A,0))="Pending",1,0),0)</f>
        <v>0</v>
      </c>
      <c r="AN92" s="39" t="str">
        <f t="array" ref="AN92">IF(C92="","",IFERROR(XLOOKUP(C92,Assignments!$C:$C,Assignments!$AU:$AU,0),0))</f>
        <v/>
      </c>
      <c r="AO92" s="39">
        <f>IF(AND(Config!$B$1006="Y",AN92=1),Config!$B$1007,0)</f>
        <v>0</v>
      </c>
    </row>
    <row r="93" ht="15.75" customHeight="1">
      <c r="A93" s="46" t="str">
        <f t="shared" si="1"/>
        <v/>
      </c>
      <c r="B93" s="40" t="str">
        <f>IF(Bids!$A93="","",Bids!$A93)</f>
        <v/>
      </c>
      <c r="C93" s="40" t="str">
        <f>IF(Bids!$B93="","",Bids!$B93)</f>
        <v/>
      </c>
      <c r="D93" s="40" t="str">
        <f>IF($C93="","",IFERROR(VLOOKUP($C93,Orders!$A:$J,9,FALSE),""))</f>
        <v/>
      </c>
      <c r="E93" s="40" t="str">
        <f>IF($C93="","",IFERROR(VLOOKUP($C93,Orders!$A:$J,3,FALSE),""))</f>
        <v/>
      </c>
      <c r="F93" s="40" t="str">
        <f>IF($C93="","",IFERROR(VLOOKUP($C93,Orders!$A:$J,4,FALSE),""))</f>
        <v/>
      </c>
      <c r="G93" s="40" t="str">
        <f>IF($C93="","",IFERROR(VLOOKUP($C93,Orders!$A:$J,5,FALSE),""))</f>
        <v/>
      </c>
      <c r="H93" s="40" t="str">
        <f>IF($C93="","",IFERROR(VLOOKUP($C93,Orders!$A:$J,6,FALSE),""))</f>
        <v/>
      </c>
      <c r="I93" s="40" t="str">
        <f>IF($C93="","",IFERROR(VLOOKUP($C93,Orders!$A:$J,7,FALSE),""))</f>
        <v/>
      </c>
      <c r="J93" s="40" t="str">
        <f>IF(Bids!$C93="","",Bids!$C93)</f>
        <v/>
      </c>
      <c r="K93" s="40" t="str">
        <f>IF($J93="","",IFERROR(VLOOKUP($J93,Grinders!$A:$N,2,FALSE),""))</f>
        <v/>
      </c>
      <c r="L93" s="40" t="str">
        <f>IF($J93="","",IFERROR(VLOOKUP($J93,Grinders!$A:$N,3,FALSE),""))</f>
        <v/>
      </c>
      <c r="M93" s="40" t="str">
        <f>IF($J93="","",IFERROR(VLOOKUP($J93,Grinders!$A:$N,4,FALSE),""))</f>
        <v/>
      </c>
      <c r="N93" s="40" t="str">
        <f>IF($J93="","",IFERROR(VLOOKUP($J93,Grinders!$A:$N,5,FALSE),""))</f>
        <v/>
      </c>
      <c r="O93" s="40" t="str">
        <f t="shared" si="2"/>
        <v/>
      </c>
      <c r="P93" s="40" t="str">
        <f>IF($J93="","",IFERROR(VLOOKUP($J93,Grinders!$A:$N,6,FALSE),""))</f>
        <v/>
      </c>
      <c r="Q93" s="40" t="str">
        <f>IF($J93="","",IFERROR(VLOOKUP($J93,Grinders!$A:$N,8,FALSE),""))</f>
        <v/>
      </c>
      <c r="R93" s="40" t="str">
        <f>IFERROR(IF($J93="","",IF($L93="Elite",MAX(50,MIN(100,Config!$B$27*MAX(0,MIN(100,(1-IF($O93="",0,$O93))*100)) + Config!$B$28*MAX(0,MIN(100,(1-MIN(1,IF(Config!$B$30=0,1,$P93/Config!$B$30)))*100)) + Config!$B$29*MAX(0,MIN(100,MIN(1,IF($Q93="",0,$Q93)/Config!$B$23)*100)))),MIN(100,Config!$B$27*MAX(0,MIN(100,(1-IF($O93="",0,$O93))*100)) + Config!$B$28*MAX(0,MIN(100,(1-MIN(1,IF(Config!$B$30=0,1,$P93/Config!$B$30)))*100)) + Config!$B$29*MAX(0,MIN(100,MIN(1,IF($Q93="",0,$Q93)/Config!$B$23)*100))))),"")
</f>
        <v/>
      </c>
      <c r="S93" s="40" t="str">
        <f>IF(Bids!$AC93="","",Bids!$AC93)</f>
        <v/>
      </c>
      <c r="T93" s="40" t="str">
        <f>IF(Bids!$F93="","",Bids!$F93)</f>
        <v/>
      </c>
      <c r="U93" s="40" t="str">
        <f t="shared" si="3"/>
        <v/>
      </c>
      <c r="V93" s="40" t="str">
        <f>IF($U93="","",IF(Config!$B$17=Config!$B$16,IF($U93&gt;=Config!$B$17,100,0),MAX(0,MIN(100,($U93-Config!$B$16)/(Config!$B$17-Config!$B$16)*100))))</f>
        <v/>
      </c>
      <c r="W93" s="40">
        <f>IF($L93="Elite",Config!$B$21,0)</f>
        <v>0</v>
      </c>
      <c r="X93" s="40" t="str">
        <f>IFERROR(IF(OR($T93="",$G93=""),"",IF($T93&gt;$G93,
  MAX(0, 60-(($T93-$G93)*24/Config!$B$19)*60),
  MEDIAN(60, 100, 60+(($G93-$T93)*24/Config!$B$20)*40)
)),"")
</f>
        <v/>
      </c>
      <c r="Y93" s="40" t="str">
        <f>IF($J93="","",IFERROR(VLOOKUP($J93,Grinders!$A:$N,10,FALSE),""))</f>
        <v/>
      </c>
      <c r="Z93" s="40" t="str">
        <f>IF($J93="","",IFERROR(VLOOKUP($J93,Grinders!$A:$N,11,FALSE),""))</f>
        <v/>
      </c>
      <c r="AA93" s="40" t="str">
        <f>IF($J93="","",IFERROR(VLOOKUP($J93,Grinders!$A:$N,12,FALSE),""))</f>
        <v/>
      </c>
      <c r="AB93" s="40" t="str">
        <f>IF(OR(AL93=1,AM93=1),0,=IFERROR(IF(OR($C93="",$J93=""),0,IF($D93&lt;&gt;"Open",0,IF(COUNTIFS(GrinderServices!$A:$A,$J93,GrinderServices!$B:$B,$E93,GrinderServices!$D:$D,"Y")=0,0,IF($U93&lt;Config!$B$16,0,IF(Config!$B$18=1,IF($N93&gt;=$M93,0,1),1))))),""))</f>
        <v>#ERROR!</v>
      </c>
      <c r="AC93" s="40" t="str">
        <f>IFERROR((IF(OR(AL93=1,AM93=1),"",=IFERROR((IFERROR(IF($AB93=0,"",((Config!$B$6*$V93 + Config!$B$7*$R93 + Config!$B$8*$W93 + Config!$B$9*$X93 + Config!$B$10*$Y93 + Config!$B$11*$Z93 - Config!$B$12*$AA93)/Config!$B$13)+$AH93+$AI93),""))*(1-IFERROR(VLOOKUP(J93,Grinders!$A:$AB, 28, FALSE),0)),"")))*(1+AO93),"")</f>
        <v>#ERROR!</v>
      </c>
      <c r="AD93" s="40" t="str">
        <f t="shared" si="4"/>
        <v/>
      </c>
      <c r="AE93" s="40" t="str">
        <f>IFERROR(__xludf.DUMMYFUNCTION("IF($AC93="""","""",IF($AC93=IFERROR(MAX(FILTER($AC$6:$AC$1000,$C$6:$C$1000=$C93,$AB$6:$AB$1000=1)),),""WINNER"",""""))"),"#ERROR!")</f>
        <v>#ERROR!</v>
      </c>
      <c r="AF93" s="40" t="str">
        <f t="shared" si="5"/>
        <v/>
      </c>
      <c r="AG93" s="40" t="str">
        <f>IF($J93="","",COUNTIF(Assignments!$B:$B,$J93))</f>
        <v/>
      </c>
      <c r="AH93" s="40" t="str">
        <f>IF($J93="","",IF(AND($AG93=0,$N93&lt;$M93),Config!$B$43,0))</f>
        <v/>
      </c>
      <c r="AI93" s="40" t="str">
        <f>IF($J93="","",IF(AND($L93="Elite",$F93&gt;=Config!$B$41,$N93&lt;$M93),Config!$B$42,0))</f>
        <v/>
      </c>
      <c r="AJ93" s="22"/>
      <c r="AK93" s="39">
        <f>IFERROR(VLOOKUP(J93,Grinders!$A:$Q,28,FALSE),0)</f>
        <v>0</v>
      </c>
      <c r="AL93" s="39">
        <f>IF(Config!$B$1003&lt;&gt;"Y",0,IF(IFERROR(VLOOKUP(J93,Grinders!$A:$P,27,FALSE),0)&gt;=3,IF(OR(F93&gt;=Config!$B$1001,ISNUMBER(SEARCH(E93,Config!$B$1002))),1,0),0))</f>
        <v>0</v>
      </c>
      <c r="AM93" s="39">
        <f t="array" ref="AM93">IFERROR(IF(INDEX(Bids!$AE:$AE,MATCH(B93,Bids!$A:$A,0))="Pending",1,0),0)</f>
        <v>0</v>
      </c>
      <c r="AN93" s="39" t="str">
        <f t="array" ref="AN93">IF(C93="","",IFERROR(XLOOKUP(C93,Assignments!$C:$C,Assignments!$AU:$AU,0),0))</f>
        <v/>
      </c>
      <c r="AO93" s="39">
        <f>IF(AND(Config!$B$1006="Y",AN93=1),Config!$B$1007,0)</f>
        <v>0</v>
      </c>
    </row>
    <row r="94" ht="15.75" customHeight="1">
      <c r="A94" s="46" t="str">
        <f t="shared" si="1"/>
        <v/>
      </c>
      <c r="B94" s="40" t="str">
        <f>IF(Bids!$A94="","",Bids!$A94)</f>
        <v/>
      </c>
      <c r="C94" s="40" t="str">
        <f>IF(Bids!$B94="","",Bids!$B94)</f>
        <v/>
      </c>
      <c r="D94" s="40" t="str">
        <f>IF($C94="","",IFERROR(VLOOKUP($C94,Orders!$A:$J,9,FALSE),""))</f>
        <v/>
      </c>
      <c r="E94" s="40" t="str">
        <f>IF($C94="","",IFERROR(VLOOKUP($C94,Orders!$A:$J,3,FALSE),""))</f>
        <v/>
      </c>
      <c r="F94" s="40" t="str">
        <f>IF($C94="","",IFERROR(VLOOKUP($C94,Orders!$A:$J,4,FALSE),""))</f>
        <v/>
      </c>
      <c r="G94" s="40" t="str">
        <f>IF($C94="","",IFERROR(VLOOKUP($C94,Orders!$A:$J,5,FALSE),""))</f>
        <v/>
      </c>
      <c r="H94" s="40" t="str">
        <f>IF($C94="","",IFERROR(VLOOKUP($C94,Orders!$A:$J,6,FALSE),""))</f>
        <v/>
      </c>
      <c r="I94" s="40" t="str">
        <f>IF($C94="","",IFERROR(VLOOKUP($C94,Orders!$A:$J,7,FALSE),""))</f>
        <v/>
      </c>
      <c r="J94" s="40" t="str">
        <f>IF(Bids!$C94="","",Bids!$C94)</f>
        <v/>
      </c>
      <c r="K94" s="40" t="str">
        <f>IF($J94="","",IFERROR(VLOOKUP($J94,Grinders!$A:$N,2,FALSE),""))</f>
        <v/>
      </c>
      <c r="L94" s="40" t="str">
        <f>IF($J94="","",IFERROR(VLOOKUP($J94,Grinders!$A:$N,3,FALSE),""))</f>
        <v/>
      </c>
      <c r="M94" s="40" t="str">
        <f>IF($J94="","",IFERROR(VLOOKUP($J94,Grinders!$A:$N,4,FALSE),""))</f>
        <v/>
      </c>
      <c r="N94" s="40" t="str">
        <f>IF($J94="","",IFERROR(VLOOKUP($J94,Grinders!$A:$N,5,FALSE),""))</f>
        <v/>
      </c>
      <c r="O94" s="40" t="str">
        <f t="shared" si="2"/>
        <v/>
      </c>
      <c r="P94" s="40" t="str">
        <f>IF($J94="","",IFERROR(VLOOKUP($J94,Grinders!$A:$N,6,FALSE),""))</f>
        <v/>
      </c>
      <c r="Q94" s="40" t="str">
        <f>IF($J94="","",IFERROR(VLOOKUP($J94,Grinders!$A:$N,8,FALSE),""))</f>
        <v/>
      </c>
      <c r="R94" s="40" t="str">
        <f>IFERROR(IF($J94="","",IF($L94="Elite",MAX(50,MIN(100,Config!$B$27*MAX(0,MIN(100,(1-IF($O94="",0,$O94))*100)) + Config!$B$28*MAX(0,MIN(100,(1-MIN(1,IF(Config!$B$30=0,1,$P94/Config!$B$30)))*100)) + Config!$B$29*MAX(0,MIN(100,MIN(1,IF($Q94="",0,$Q94)/Config!$B$23)*100)))),MIN(100,Config!$B$27*MAX(0,MIN(100,(1-IF($O94="",0,$O94))*100)) + Config!$B$28*MAX(0,MIN(100,(1-MIN(1,IF(Config!$B$30=0,1,$P94/Config!$B$30)))*100)) + Config!$B$29*MAX(0,MIN(100,MIN(1,IF($Q94="",0,$Q94)/Config!$B$23)*100))))),"")
</f>
        <v/>
      </c>
      <c r="S94" s="40" t="str">
        <f>IF(Bids!$AC94="","",Bids!$AC94)</f>
        <v/>
      </c>
      <c r="T94" s="40" t="str">
        <f>IF(Bids!$F94="","",Bids!$F94)</f>
        <v/>
      </c>
      <c r="U94" s="40" t="str">
        <f t="shared" si="3"/>
        <v/>
      </c>
      <c r="V94" s="40" t="str">
        <f>IF($U94="","",IF(Config!$B$17=Config!$B$16,IF($U94&gt;=Config!$B$17,100,0),MAX(0,MIN(100,($U94-Config!$B$16)/(Config!$B$17-Config!$B$16)*100))))</f>
        <v/>
      </c>
      <c r="W94" s="40">
        <f>IF($L94="Elite",Config!$B$21,0)</f>
        <v>0</v>
      </c>
      <c r="X94" s="40" t="str">
        <f>IFERROR(IF(OR($T94="",$G94=""),"",IF($T94&gt;$G94,
  MAX(0, 60-(($T94-$G94)*24/Config!$B$19)*60),
  MEDIAN(60, 100, 60+(($G94-$T94)*24/Config!$B$20)*40)
)),"")
</f>
        <v/>
      </c>
      <c r="Y94" s="40" t="str">
        <f>IF($J94="","",IFERROR(VLOOKUP($J94,Grinders!$A:$N,10,FALSE),""))</f>
        <v/>
      </c>
      <c r="Z94" s="40" t="str">
        <f>IF($J94="","",IFERROR(VLOOKUP($J94,Grinders!$A:$N,11,FALSE),""))</f>
        <v/>
      </c>
      <c r="AA94" s="40" t="str">
        <f>IF($J94="","",IFERROR(VLOOKUP($J94,Grinders!$A:$N,12,FALSE),""))</f>
        <v/>
      </c>
      <c r="AB94" s="40" t="str">
        <f>IF(OR(AL94=1,AM94=1),0,=IFERROR(IF(OR($C94="",$J94=""),0,IF($D94&lt;&gt;"Open",0,IF(COUNTIFS(GrinderServices!$A:$A,$J94,GrinderServices!$B:$B,$E94,GrinderServices!$D:$D,"Y")=0,0,IF($U94&lt;Config!$B$16,0,IF(Config!$B$18=1,IF($N94&gt;=$M94,0,1),1))))),""))</f>
        <v>#ERROR!</v>
      </c>
      <c r="AC94" s="40" t="str">
        <f>IFERROR((IF(OR(AL94=1,AM94=1),"",=IFERROR((IFERROR(IF($AB94=0,"",((Config!$B$6*$V94 + Config!$B$7*$R94 + Config!$B$8*$W94 + Config!$B$9*$X94 + Config!$B$10*$Y94 + Config!$B$11*$Z94 - Config!$B$12*$AA94)/Config!$B$13)+$AH94+$AI94),""))*(1-IFERROR(VLOOKUP(J94,Grinders!$A:$AB, 28, FALSE),0)),"")))*(1+AO94),"")</f>
        <v>#ERROR!</v>
      </c>
      <c r="AD94" s="40" t="str">
        <f t="shared" si="4"/>
        <v/>
      </c>
      <c r="AE94" s="40" t="str">
        <f>IFERROR(__xludf.DUMMYFUNCTION("IF($AC94="""","""",IF($AC94=IFERROR(MAX(FILTER($AC$6:$AC$1000,$C$6:$C$1000=$C94,$AB$6:$AB$1000=1)),),""WINNER"",""""))"),"#ERROR!")</f>
        <v>#ERROR!</v>
      </c>
      <c r="AF94" s="40" t="str">
        <f t="shared" si="5"/>
        <v/>
      </c>
      <c r="AG94" s="40" t="str">
        <f>IF($J94="","",COUNTIF(Assignments!$B:$B,$J94))</f>
        <v/>
      </c>
      <c r="AH94" s="40" t="str">
        <f>IF($J94="","",IF(AND($AG94=0,$N94&lt;$M94),Config!$B$43,0))</f>
        <v/>
      </c>
      <c r="AI94" s="40" t="str">
        <f>IF($J94="","",IF(AND($L94="Elite",$F94&gt;=Config!$B$41,$N94&lt;$M94),Config!$B$42,0))</f>
        <v/>
      </c>
      <c r="AJ94" s="22"/>
      <c r="AK94" s="39">
        <f>IFERROR(VLOOKUP(J94,Grinders!$A:$Q,28,FALSE),0)</f>
        <v>0</v>
      </c>
      <c r="AL94" s="39">
        <f>IF(Config!$B$1003&lt;&gt;"Y",0,IF(IFERROR(VLOOKUP(J94,Grinders!$A:$P,27,FALSE),0)&gt;=3,IF(OR(F94&gt;=Config!$B$1001,ISNUMBER(SEARCH(E94,Config!$B$1002))),1,0),0))</f>
        <v>0</v>
      </c>
      <c r="AM94" s="39">
        <f t="array" ref="AM94">IFERROR(IF(INDEX(Bids!$AE:$AE,MATCH(B94,Bids!$A:$A,0))="Pending",1,0),0)</f>
        <v>0</v>
      </c>
      <c r="AN94" s="39" t="str">
        <f t="array" ref="AN94">IF(C94="","",IFERROR(XLOOKUP(C94,Assignments!$C:$C,Assignments!$AU:$AU,0),0))</f>
        <v/>
      </c>
      <c r="AO94" s="39">
        <f>IF(AND(Config!$B$1006="Y",AN94=1),Config!$B$1007,0)</f>
        <v>0</v>
      </c>
    </row>
    <row r="95" ht="15.75" customHeight="1">
      <c r="A95" s="46" t="str">
        <f t="shared" si="1"/>
        <v/>
      </c>
      <c r="B95" s="40" t="str">
        <f>IF(Bids!$A95="","",Bids!$A95)</f>
        <v/>
      </c>
      <c r="C95" s="40" t="str">
        <f>IF(Bids!$B95="","",Bids!$B95)</f>
        <v/>
      </c>
      <c r="D95" s="40" t="str">
        <f>IF($C95="","",IFERROR(VLOOKUP($C95,Orders!$A:$J,9,FALSE),""))</f>
        <v/>
      </c>
      <c r="E95" s="40" t="str">
        <f>IF($C95="","",IFERROR(VLOOKUP($C95,Orders!$A:$J,3,FALSE),""))</f>
        <v/>
      </c>
      <c r="F95" s="40" t="str">
        <f>IF($C95="","",IFERROR(VLOOKUP($C95,Orders!$A:$J,4,FALSE),""))</f>
        <v/>
      </c>
      <c r="G95" s="40" t="str">
        <f>IF($C95="","",IFERROR(VLOOKUP($C95,Orders!$A:$J,5,FALSE),""))</f>
        <v/>
      </c>
      <c r="H95" s="40" t="str">
        <f>IF($C95="","",IFERROR(VLOOKUP($C95,Orders!$A:$J,6,FALSE),""))</f>
        <v/>
      </c>
      <c r="I95" s="40" t="str">
        <f>IF($C95="","",IFERROR(VLOOKUP($C95,Orders!$A:$J,7,FALSE),""))</f>
        <v/>
      </c>
      <c r="J95" s="40" t="str">
        <f>IF(Bids!$C95="","",Bids!$C95)</f>
        <v/>
      </c>
      <c r="K95" s="40" t="str">
        <f>IF($J95="","",IFERROR(VLOOKUP($J95,Grinders!$A:$N,2,FALSE),""))</f>
        <v/>
      </c>
      <c r="L95" s="40" t="str">
        <f>IF($J95="","",IFERROR(VLOOKUP($J95,Grinders!$A:$N,3,FALSE),""))</f>
        <v/>
      </c>
      <c r="M95" s="40" t="str">
        <f>IF($J95="","",IFERROR(VLOOKUP($J95,Grinders!$A:$N,4,FALSE),""))</f>
        <v/>
      </c>
      <c r="N95" s="40" t="str">
        <f>IF($J95="","",IFERROR(VLOOKUP($J95,Grinders!$A:$N,5,FALSE),""))</f>
        <v/>
      </c>
      <c r="O95" s="40" t="str">
        <f t="shared" si="2"/>
        <v/>
      </c>
      <c r="P95" s="40" t="str">
        <f>IF($J95="","",IFERROR(VLOOKUP($J95,Grinders!$A:$N,6,FALSE),""))</f>
        <v/>
      </c>
      <c r="Q95" s="40" t="str">
        <f>IF($J95="","",IFERROR(VLOOKUP($J95,Grinders!$A:$N,8,FALSE),""))</f>
        <v/>
      </c>
      <c r="R95" s="40" t="str">
        <f>IFERROR(IF($J95="","",IF($L95="Elite",MAX(50,MIN(100,Config!$B$27*MAX(0,MIN(100,(1-IF($O95="",0,$O95))*100)) + Config!$B$28*MAX(0,MIN(100,(1-MIN(1,IF(Config!$B$30=0,1,$P95/Config!$B$30)))*100)) + Config!$B$29*MAX(0,MIN(100,MIN(1,IF($Q95="",0,$Q95)/Config!$B$23)*100)))),MIN(100,Config!$B$27*MAX(0,MIN(100,(1-IF($O95="",0,$O95))*100)) + Config!$B$28*MAX(0,MIN(100,(1-MIN(1,IF(Config!$B$30=0,1,$P95/Config!$B$30)))*100)) + Config!$B$29*MAX(0,MIN(100,MIN(1,IF($Q95="",0,$Q95)/Config!$B$23)*100))))),"")
</f>
        <v/>
      </c>
      <c r="S95" s="40" t="str">
        <f>IF(Bids!$AC95="","",Bids!$AC95)</f>
        <v/>
      </c>
      <c r="T95" s="40" t="str">
        <f>IF(Bids!$F95="","",Bids!$F95)</f>
        <v/>
      </c>
      <c r="U95" s="40" t="str">
        <f t="shared" si="3"/>
        <v/>
      </c>
      <c r="V95" s="40" t="str">
        <f>IF($U95="","",IF(Config!$B$17=Config!$B$16,IF($U95&gt;=Config!$B$17,100,0),MAX(0,MIN(100,($U95-Config!$B$16)/(Config!$B$17-Config!$B$16)*100))))</f>
        <v/>
      </c>
      <c r="W95" s="40">
        <f>IF($L95="Elite",Config!$B$21,0)</f>
        <v>0</v>
      </c>
      <c r="X95" s="40" t="str">
        <f>IFERROR(IF(OR($T95="",$G95=""),"",IF($T95&gt;$G95,
  MAX(0, 60-(($T95-$G95)*24/Config!$B$19)*60),
  MEDIAN(60, 100, 60+(($G95-$T95)*24/Config!$B$20)*40)
)),"")
</f>
        <v/>
      </c>
      <c r="Y95" s="40" t="str">
        <f>IF($J95="","",IFERROR(VLOOKUP($J95,Grinders!$A:$N,10,FALSE),""))</f>
        <v/>
      </c>
      <c r="Z95" s="40" t="str">
        <f>IF($J95="","",IFERROR(VLOOKUP($J95,Grinders!$A:$N,11,FALSE),""))</f>
        <v/>
      </c>
      <c r="AA95" s="40" t="str">
        <f>IF($J95="","",IFERROR(VLOOKUP($J95,Grinders!$A:$N,12,FALSE),""))</f>
        <v/>
      </c>
      <c r="AB95" s="40" t="str">
        <f>IF(OR(AL95=1,AM95=1),0,=IFERROR(IF(OR($C95="",$J95=""),0,IF($D95&lt;&gt;"Open",0,IF(COUNTIFS(GrinderServices!$A:$A,$J95,GrinderServices!$B:$B,$E95,GrinderServices!$D:$D,"Y")=0,0,IF($U95&lt;Config!$B$16,0,IF(Config!$B$18=1,IF($N95&gt;=$M95,0,1),1))))),""))</f>
        <v>#ERROR!</v>
      </c>
      <c r="AC95" s="40" t="str">
        <f>IFERROR((IF(OR(AL95=1,AM95=1),"",=IFERROR((IFERROR(IF($AB95=0,"",((Config!$B$6*$V95 + Config!$B$7*$R95 + Config!$B$8*$W95 + Config!$B$9*$X95 + Config!$B$10*$Y95 + Config!$B$11*$Z95 - Config!$B$12*$AA95)/Config!$B$13)+$AH95+$AI95),""))*(1-IFERROR(VLOOKUP(J95,Grinders!$A:$AB, 28, FALSE),0)),"")))*(1+AO95),"")</f>
        <v>#ERROR!</v>
      </c>
      <c r="AD95" s="40" t="str">
        <f t="shared" si="4"/>
        <v/>
      </c>
      <c r="AE95" s="40" t="str">
        <f>IFERROR(__xludf.DUMMYFUNCTION("IF($AC95="""","""",IF($AC95=IFERROR(MAX(FILTER($AC$6:$AC$1000,$C$6:$C$1000=$C95,$AB$6:$AB$1000=1)),),""WINNER"",""""))"),"#ERROR!")</f>
        <v>#ERROR!</v>
      </c>
      <c r="AF95" s="40" t="str">
        <f t="shared" si="5"/>
        <v/>
      </c>
      <c r="AG95" s="40" t="str">
        <f>IF($J95="","",COUNTIF(Assignments!$B:$B,$J95))</f>
        <v/>
      </c>
      <c r="AH95" s="40" t="str">
        <f>IF($J95="","",IF(AND($AG95=0,$N95&lt;$M95),Config!$B$43,0))</f>
        <v/>
      </c>
      <c r="AI95" s="40" t="str">
        <f>IF($J95="","",IF(AND($L95="Elite",$F95&gt;=Config!$B$41,$N95&lt;$M95),Config!$B$42,0))</f>
        <v/>
      </c>
      <c r="AJ95" s="22"/>
      <c r="AK95" s="39">
        <f>IFERROR(VLOOKUP(J95,Grinders!$A:$Q,28,FALSE),0)</f>
        <v>0</v>
      </c>
      <c r="AL95" s="39">
        <f>IF(Config!$B$1003&lt;&gt;"Y",0,IF(IFERROR(VLOOKUP(J95,Grinders!$A:$P,27,FALSE),0)&gt;=3,IF(OR(F95&gt;=Config!$B$1001,ISNUMBER(SEARCH(E95,Config!$B$1002))),1,0),0))</f>
        <v>0</v>
      </c>
      <c r="AM95" s="39">
        <f t="array" ref="AM95">IFERROR(IF(INDEX(Bids!$AE:$AE,MATCH(B95,Bids!$A:$A,0))="Pending",1,0),0)</f>
        <v>0</v>
      </c>
      <c r="AN95" s="39" t="str">
        <f t="array" ref="AN95">IF(C95="","",IFERROR(XLOOKUP(C95,Assignments!$C:$C,Assignments!$AU:$AU,0),0))</f>
        <v/>
      </c>
      <c r="AO95" s="39">
        <f>IF(AND(Config!$B$1006="Y",AN95=1),Config!$B$1007,0)</f>
        <v>0</v>
      </c>
    </row>
    <row r="96" ht="15.75" customHeight="1">
      <c r="A96" s="46" t="str">
        <f t="shared" si="1"/>
        <v/>
      </c>
      <c r="B96" s="40" t="str">
        <f>IF(Bids!$A96="","",Bids!$A96)</f>
        <v/>
      </c>
      <c r="C96" s="40" t="str">
        <f>IF(Bids!$B96="","",Bids!$B96)</f>
        <v/>
      </c>
      <c r="D96" s="40" t="str">
        <f>IF($C96="","",IFERROR(VLOOKUP($C96,Orders!$A:$J,9,FALSE),""))</f>
        <v/>
      </c>
      <c r="E96" s="40" t="str">
        <f>IF($C96="","",IFERROR(VLOOKUP($C96,Orders!$A:$J,3,FALSE),""))</f>
        <v/>
      </c>
      <c r="F96" s="40" t="str">
        <f>IF($C96="","",IFERROR(VLOOKUP($C96,Orders!$A:$J,4,FALSE),""))</f>
        <v/>
      </c>
      <c r="G96" s="40" t="str">
        <f>IF($C96="","",IFERROR(VLOOKUP($C96,Orders!$A:$J,5,FALSE),""))</f>
        <v/>
      </c>
      <c r="H96" s="40" t="str">
        <f>IF($C96="","",IFERROR(VLOOKUP($C96,Orders!$A:$J,6,FALSE),""))</f>
        <v/>
      </c>
      <c r="I96" s="40" t="str">
        <f>IF($C96="","",IFERROR(VLOOKUP($C96,Orders!$A:$J,7,FALSE),""))</f>
        <v/>
      </c>
      <c r="J96" s="40" t="str">
        <f>IF(Bids!$C96="","",Bids!$C96)</f>
        <v/>
      </c>
      <c r="K96" s="40" t="str">
        <f>IF($J96="","",IFERROR(VLOOKUP($J96,Grinders!$A:$N,2,FALSE),""))</f>
        <v/>
      </c>
      <c r="L96" s="40" t="str">
        <f>IF($J96="","",IFERROR(VLOOKUP($J96,Grinders!$A:$N,3,FALSE),""))</f>
        <v/>
      </c>
      <c r="M96" s="40" t="str">
        <f>IF($J96="","",IFERROR(VLOOKUP($J96,Grinders!$A:$N,4,FALSE),""))</f>
        <v/>
      </c>
      <c r="N96" s="40" t="str">
        <f>IF($J96="","",IFERROR(VLOOKUP($J96,Grinders!$A:$N,5,FALSE),""))</f>
        <v/>
      </c>
      <c r="O96" s="40" t="str">
        <f t="shared" si="2"/>
        <v/>
      </c>
      <c r="P96" s="40" t="str">
        <f>IF($J96="","",IFERROR(VLOOKUP($J96,Grinders!$A:$N,6,FALSE),""))</f>
        <v/>
      </c>
      <c r="Q96" s="40" t="str">
        <f>IF($J96="","",IFERROR(VLOOKUP($J96,Grinders!$A:$N,8,FALSE),""))</f>
        <v/>
      </c>
      <c r="R96" s="40" t="str">
        <f>IFERROR(IF($J96="","",IF($L96="Elite",MAX(50,MIN(100,Config!$B$27*MAX(0,MIN(100,(1-IF($O96="",0,$O96))*100)) + Config!$B$28*MAX(0,MIN(100,(1-MIN(1,IF(Config!$B$30=0,1,$P96/Config!$B$30)))*100)) + Config!$B$29*MAX(0,MIN(100,MIN(1,IF($Q96="",0,$Q96)/Config!$B$23)*100)))),MIN(100,Config!$B$27*MAX(0,MIN(100,(1-IF($O96="",0,$O96))*100)) + Config!$B$28*MAX(0,MIN(100,(1-MIN(1,IF(Config!$B$30=0,1,$P96/Config!$B$30)))*100)) + Config!$B$29*MAX(0,MIN(100,MIN(1,IF($Q96="",0,$Q96)/Config!$B$23)*100))))),"")
</f>
        <v/>
      </c>
      <c r="S96" s="40" t="str">
        <f>IF(Bids!$AC96="","",Bids!$AC96)</f>
        <v/>
      </c>
      <c r="T96" s="40" t="str">
        <f>IF(Bids!$F96="","",Bids!$F96)</f>
        <v/>
      </c>
      <c r="U96" s="40" t="str">
        <f t="shared" si="3"/>
        <v/>
      </c>
      <c r="V96" s="40" t="str">
        <f>IF($U96="","",IF(Config!$B$17=Config!$B$16,IF($U96&gt;=Config!$B$17,100,0),MAX(0,MIN(100,($U96-Config!$B$16)/(Config!$B$17-Config!$B$16)*100))))</f>
        <v/>
      </c>
      <c r="W96" s="40">
        <f>IF($L96="Elite",Config!$B$21,0)</f>
        <v>0</v>
      </c>
      <c r="X96" s="40" t="str">
        <f>IFERROR(IF(OR($T96="",$G96=""),"",IF($T96&gt;$G96,
  MAX(0, 60-(($T96-$G96)*24/Config!$B$19)*60),
  MEDIAN(60, 100, 60+(($G96-$T96)*24/Config!$B$20)*40)
)),"")
</f>
        <v/>
      </c>
      <c r="Y96" s="40" t="str">
        <f>IF($J96="","",IFERROR(VLOOKUP($J96,Grinders!$A:$N,10,FALSE),""))</f>
        <v/>
      </c>
      <c r="Z96" s="40" t="str">
        <f>IF($J96="","",IFERROR(VLOOKUP($J96,Grinders!$A:$N,11,FALSE),""))</f>
        <v/>
      </c>
      <c r="AA96" s="40" t="str">
        <f>IF($J96="","",IFERROR(VLOOKUP($J96,Grinders!$A:$N,12,FALSE),""))</f>
        <v/>
      </c>
      <c r="AB96" s="40" t="str">
        <f>IF(OR(AL96=1,AM96=1),0,=IFERROR(IF(OR($C96="",$J96=""),0,IF($D96&lt;&gt;"Open",0,IF(COUNTIFS(GrinderServices!$A:$A,$J96,GrinderServices!$B:$B,$E96,GrinderServices!$D:$D,"Y")=0,0,IF($U96&lt;Config!$B$16,0,IF(Config!$B$18=1,IF($N96&gt;=$M96,0,1),1))))),""))</f>
        <v>#ERROR!</v>
      </c>
      <c r="AC96" s="40" t="str">
        <f>IFERROR((IF(OR(AL96=1,AM96=1),"",=IFERROR((IFERROR(IF($AB96=0,"",((Config!$B$6*$V96 + Config!$B$7*$R96 + Config!$B$8*$W96 + Config!$B$9*$X96 + Config!$B$10*$Y96 + Config!$B$11*$Z96 - Config!$B$12*$AA96)/Config!$B$13)+$AH96+$AI96),""))*(1-IFERROR(VLOOKUP(J96,Grinders!$A:$AB, 28, FALSE),0)),"")))*(1+AO96),"")</f>
        <v>#ERROR!</v>
      </c>
      <c r="AD96" s="40" t="str">
        <f t="shared" si="4"/>
        <v/>
      </c>
      <c r="AE96" s="40" t="str">
        <f>IFERROR(__xludf.DUMMYFUNCTION("IF($AC96="""","""",IF($AC96=IFERROR(MAX(FILTER($AC$6:$AC$1000,$C$6:$C$1000=$C96,$AB$6:$AB$1000=1)),),""WINNER"",""""))"),"#ERROR!")</f>
        <v>#ERROR!</v>
      </c>
      <c r="AF96" s="40" t="str">
        <f t="shared" si="5"/>
        <v/>
      </c>
      <c r="AG96" s="40" t="str">
        <f>IF($J96="","",COUNTIF(Assignments!$B:$B,$J96))</f>
        <v/>
      </c>
      <c r="AH96" s="40" t="str">
        <f>IF($J96="","",IF(AND($AG96=0,$N96&lt;$M96),Config!$B$43,0))</f>
        <v/>
      </c>
      <c r="AI96" s="40" t="str">
        <f>IF($J96="","",IF(AND($L96="Elite",$F96&gt;=Config!$B$41,$N96&lt;$M96),Config!$B$42,0))</f>
        <v/>
      </c>
      <c r="AJ96" s="22"/>
      <c r="AK96" s="39">
        <f>IFERROR(VLOOKUP(J96,Grinders!$A:$Q,28,FALSE),0)</f>
        <v>0</v>
      </c>
      <c r="AL96" s="39">
        <f>IF(Config!$B$1003&lt;&gt;"Y",0,IF(IFERROR(VLOOKUP(J96,Grinders!$A:$P,27,FALSE),0)&gt;=3,IF(OR(F96&gt;=Config!$B$1001,ISNUMBER(SEARCH(E96,Config!$B$1002))),1,0),0))</f>
        <v>0</v>
      </c>
      <c r="AM96" s="39">
        <f t="array" ref="AM96">IFERROR(IF(INDEX(Bids!$AE:$AE,MATCH(B96,Bids!$A:$A,0))="Pending",1,0),0)</f>
        <v>0</v>
      </c>
      <c r="AN96" s="39" t="str">
        <f t="array" ref="AN96">IF(C96="","",IFERROR(XLOOKUP(C96,Assignments!$C:$C,Assignments!$AU:$AU,0),0))</f>
        <v/>
      </c>
      <c r="AO96" s="39">
        <f>IF(AND(Config!$B$1006="Y",AN96=1),Config!$B$1007,0)</f>
        <v>0</v>
      </c>
    </row>
    <row r="97" ht="15.75" customHeight="1">
      <c r="A97" s="46" t="str">
        <f t="shared" si="1"/>
        <v/>
      </c>
      <c r="B97" s="40" t="str">
        <f>IF(Bids!$A97="","",Bids!$A97)</f>
        <v/>
      </c>
      <c r="C97" s="40" t="str">
        <f>IF(Bids!$B97="","",Bids!$B97)</f>
        <v/>
      </c>
      <c r="D97" s="40" t="str">
        <f>IF($C97="","",IFERROR(VLOOKUP($C97,Orders!$A:$J,9,FALSE),""))</f>
        <v/>
      </c>
      <c r="E97" s="40" t="str">
        <f>IF($C97="","",IFERROR(VLOOKUP($C97,Orders!$A:$J,3,FALSE),""))</f>
        <v/>
      </c>
      <c r="F97" s="40" t="str">
        <f>IF($C97="","",IFERROR(VLOOKUP($C97,Orders!$A:$J,4,FALSE),""))</f>
        <v/>
      </c>
      <c r="G97" s="40" t="str">
        <f>IF($C97="","",IFERROR(VLOOKUP($C97,Orders!$A:$J,5,FALSE),""))</f>
        <v/>
      </c>
      <c r="H97" s="40" t="str">
        <f>IF($C97="","",IFERROR(VLOOKUP($C97,Orders!$A:$J,6,FALSE),""))</f>
        <v/>
      </c>
      <c r="I97" s="40" t="str">
        <f>IF($C97="","",IFERROR(VLOOKUP($C97,Orders!$A:$J,7,FALSE),""))</f>
        <v/>
      </c>
      <c r="J97" s="40" t="str">
        <f>IF(Bids!$C97="","",Bids!$C97)</f>
        <v/>
      </c>
      <c r="K97" s="40" t="str">
        <f>IF($J97="","",IFERROR(VLOOKUP($J97,Grinders!$A:$N,2,FALSE),""))</f>
        <v/>
      </c>
      <c r="L97" s="40" t="str">
        <f>IF($J97="","",IFERROR(VLOOKUP($J97,Grinders!$A:$N,3,FALSE),""))</f>
        <v/>
      </c>
      <c r="M97" s="40" t="str">
        <f>IF($J97="","",IFERROR(VLOOKUP($J97,Grinders!$A:$N,4,FALSE),""))</f>
        <v/>
      </c>
      <c r="N97" s="40" t="str">
        <f>IF($J97="","",IFERROR(VLOOKUP($J97,Grinders!$A:$N,5,FALSE),""))</f>
        <v/>
      </c>
      <c r="O97" s="40" t="str">
        <f t="shared" si="2"/>
        <v/>
      </c>
      <c r="P97" s="40" t="str">
        <f>IF($J97="","",IFERROR(VLOOKUP($J97,Grinders!$A:$N,6,FALSE),""))</f>
        <v/>
      </c>
      <c r="Q97" s="40" t="str">
        <f>IF($J97="","",IFERROR(VLOOKUP($J97,Grinders!$A:$N,8,FALSE),""))</f>
        <v/>
      </c>
      <c r="R97" s="40" t="str">
        <f>IFERROR(IF($J97="","",IF($L97="Elite",MAX(50,MIN(100,Config!$B$27*MAX(0,MIN(100,(1-IF($O97="",0,$O97))*100)) + Config!$B$28*MAX(0,MIN(100,(1-MIN(1,IF(Config!$B$30=0,1,$P97/Config!$B$30)))*100)) + Config!$B$29*MAX(0,MIN(100,MIN(1,IF($Q97="",0,$Q97)/Config!$B$23)*100)))),MIN(100,Config!$B$27*MAX(0,MIN(100,(1-IF($O97="",0,$O97))*100)) + Config!$B$28*MAX(0,MIN(100,(1-MIN(1,IF(Config!$B$30=0,1,$P97/Config!$B$30)))*100)) + Config!$B$29*MAX(0,MIN(100,MIN(1,IF($Q97="",0,$Q97)/Config!$B$23)*100))))),"")
</f>
        <v/>
      </c>
      <c r="S97" s="40" t="str">
        <f>IF(Bids!$AC97="","",Bids!$AC97)</f>
        <v/>
      </c>
      <c r="T97" s="40" t="str">
        <f>IF(Bids!$F97="","",Bids!$F97)</f>
        <v/>
      </c>
      <c r="U97" s="40" t="str">
        <f t="shared" si="3"/>
        <v/>
      </c>
      <c r="V97" s="40" t="str">
        <f>IF($U97="","",IF(Config!$B$17=Config!$B$16,IF($U97&gt;=Config!$B$17,100,0),MAX(0,MIN(100,($U97-Config!$B$16)/(Config!$B$17-Config!$B$16)*100))))</f>
        <v/>
      </c>
      <c r="W97" s="40">
        <f>IF($L97="Elite",Config!$B$21,0)</f>
        <v>0</v>
      </c>
      <c r="X97" s="40" t="str">
        <f>IFERROR(IF(OR($T97="",$G97=""),"",IF($T97&gt;$G97,
  MAX(0, 60-(($T97-$G97)*24/Config!$B$19)*60),
  MEDIAN(60, 100, 60+(($G97-$T97)*24/Config!$B$20)*40)
)),"")
</f>
        <v/>
      </c>
      <c r="Y97" s="40" t="str">
        <f>IF($J97="","",IFERROR(VLOOKUP($J97,Grinders!$A:$N,10,FALSE),""))</f>
        <v/>
      </c>
      <c r="Z97" s="40" t="str">
        <f>IF($J97="","",IFERROR(VLOOKUP($J97,Grinders!$A:$N,11,FALSE),""))</f>
        <v/>
      </c>
      <c r="AA97" s="40" t="str">
        <f>IF($J97="","",IFERROR(VLOOKUP($J97,Grinders!$A:$N,12,FALSE),""))</f>
        <v/>
      </c>
      <c r="AB97" s="40" t="str">
        <f>IF(OR(AL97=1,AM97=1),0,=IFERROR(IF(OR($C97="",$J97=""),0,IF($D97&lt;&gt;"Open",0,IF(COUNTIFS(GrinderServices!$A:$A,$J97,GrinderServices!$B:$B,$E97,GrinderServices!$D:$D,"Y")=0,0,IF($U97&lt;Config!$B$16,0,IF(Config!$B$18=1,IF($N97&gt;=$M97,0,1),1))))),""))</f>
        <v>#ERROR!</v>
      </c>
      <c r="AC97" s="40" t="str">
        <f>IFERROR((IF(OR(AL97=1,AM97=1),"",=IFERROR((IFERROR(IF($AB97=0,"",((Config!$B$6*$V97 + Config!$B$7*$R97 + Config!$B$8*$W97 + Config!$B$9*$X97 + Config!$B$10*$Y97 + Config!$B$11*$Z97 - Config!$B$12*$AA97)/Config!$B$13)+$AH97+$AI97),""))*(1-IFERROR(VLOOKUP(J97,Grinders!$A:$AB, 28, FALSE),0)),"")))*(1+AO97),"")</f>
        <v>#ERROR!</v>
      </c>
      <c r="AD97" s="40" t="str">
        <f t="shared" si="4"/>
        <v/>
      </c>
      <c r="AE97" s="40" t="str">
        <f>IFERROR(__xludf.DUMMYFUNCTION("IF($AC97="""","""",IF($AC97=IFERROR(MAX(FILTER($AC$6:$AC$1000,$C$6:$C$1000=$C97,$AB$6:$AB$1000=1)),),""WINNER"",""""))"),"#ERROR!")</f>
        <v>#ERROR!</v>
      </c>
      <c r="AF97" s="40" t="str">
        <f t="shared" si="5"/>
        <v/>
      </c>
      <c r="AG97" s="40" t="str">
        <f>IF($J97="","",COUNTIF(Assignments!$B:$B,$J97))</f>
        <v/>
      </c>
      <c r="AH97" s="40" t="str">
        <f>IF($J97="","",IF(AND($AG97=0,$N97&lt;$M97),Config!$B$43,0))</f>
        <v/>
      </c>
      <c r="AI97" s="40" t="str">
        <f>IF($J97="","",IF(AND($L97="Elite",$F97&gt;=Config!$B$41,$N97&lt;$M97),Config!$B$42,0))</f>
        <v/>
      </c>
      <c r="AJ97" s="22"/>
      <c r="AK97" s="39">
        <f>IFERROR(VLOOKUP(J97,Grinders!$A:$Q,28,FALSE),0)</f>
        <v>0</v>
      </c>
      <c r="AL97" s="39">
        <f>IF(Config!$B$1003&lt;&gt;"Y",0,IF(IFERROR(VLOOKUP(J97,Grinders!$A:$P,27,FALSE),0)&gt;=3,IF(OR(F97&gt;=Config!$B$1001,ISNUMBER(SEARCH(E97,Config!$B$1002))),1,0),0))</f>
        <v>0</v>
      </c>
      <c r="AM97" s="39">
        <f t="array" ref="AM97">IFERROR(IF(INDEX(Bids!$AE:$AE,MATCH(B97,Bids!$A:$A,0))="Pending",1,0),0)</f>
        <v>0</v>
      </c>
      <c r="AN97" s="39" t="str">
        <f t="array" ref="AN97">IF(C97="","",IFERROR(XLOOKUP(C97,Assignments!$C:$C,Assignments!$AU:$AU,0),0))</f>
        <v/>
      </c>
      <c r="AO97" s="39">
        <f>IF(AND(Config!$B$1006="Y",AN97=1),Config!$B$1007,0)</f>
        <v>0</v>
      </c>
    </row>
    <row r="98" ht="15.75" customHeight="1">
      <c r="A98" s="46" t="str">
        <f t="shared" si="1"/>
        <v/>
      </c>
      <c r="B98" s="40" t="str">
        <f>IF(Bids!$A98="","",Bids!$A98)</f>
        <v/>
      </c>
      <c r="C98" s="40" t="str">
        <f>IF(Bids!$B98="","",Bids!$B98)</f>
        <v/>
      </c>
      <c r="D98" s="40" t="str">
        <f>IF($C98="","",IFERROR(VLOOKUP($C98,Orders!$A:$J,9,FALSE),""))</f>
        <v/>
      </c>
      <c r="E98" s="40" t="str">
        <f>IF($C98="","",IFERROR(VLOOKUP($C98,Orders!$A:$J,3,FALSE),""))</f>
        <v/>
      </c>
      <c r="F98" s="40" t="str">
        <f>IF($C98="","",IFERROR(VLOOKUP($C98,Orders!$A:$J,4,FALSE),""))</f>
        <v/>
      </c>
      <c r="G98" s="40" t="str">
        <f>IF($C98="","",IFERROR(VLOOKUP($C98,Orders!$A:$J,5,FALSE),""))</f>
        <v/>
      </c>
      <c r="H98" s="40" t="str">
        <f>IF($C98="","",IFERROR(VLOOKUP($C98,Orders!$A:$J,6,FALSE),""))</f>
        <v/>
      </c>
      <c r="I98" s="40" t="str">
        <f>IF($C98="","",IFERROR(VLOOKUP($C98,Orders!$A:$J,7,FALSE),""))</f>
        <v/>
      </c>
      <c r="J98" s="40" t="str">
        <f>IF(Bids!$C98="","",Bids!$C98)</f>
        <v/>
      </c>
      <c r="K98" s="40" t="str">
        <f>IF($J98="","",IFERROR(VLOOKUP($J98,Grinders!$A:$N,2,FALSE),""))</f>
        <v/>
      </c>
      <c r="L98" s="40" t="str">
        <f>IF($J98="","",IFERROR(VLOOKUP($J98,Grinders!$A:$N,3,FALSE),""))</f>
        <v/>
      </c>
      <c r="M98" s="40" t="str">
        <f>IF($J98="","",IFERROR(VLOOKUP($J98,Grinders!$A:$N,4,FALSE),""))</f>
        <v/>
      </c>
      <c r="N98" s="40" t="str">
        <f>IF($J98="","",IFERROR(VLOOKUP($J98,Grinders!$A:$N,5,FALSE),""))</f>
        <v/>
      </c>
      <c r="O98" s="40" t="str">
        <f t="shared" si="2"/>
        <v/>
      </c>
      <c r="P98" s="40" t="str">
        <f>IF($J98="","",IFERROR(VLOOKUP($J98,Grinders!$A:$N,6,FALSE),""))</f>
        <v/>
      </c>
      <c r="Q98" s="40" t="str">
        <f>IF($J98="","",IFERROR(VLOOKUP($J98,Grinders!$A:$N,8,FALSE),""))</f>
        <v/>
      </c>
      <c r="R98" s="40" t="str">
        <f>IFERROR(IF($J98="","",IF($L98="Elite",MAX(50,MIN(100,Config!$B$27*MAX(0,MIN(100,(1-IF($O98="",0,$O98))*100)) + Config!$B$28*MAX(0,MIN(100,(1-MIN(1,IF(Config!$B$30=0,1,$P98/Config!$B$30)))*100)) + Config!$B$29*MAX(0,MIN(100,MIN(1,IF($Q98="",0,$Q98)/Config!$B$23)*100)))),MIN(100,Config!$B$27*MAX(0,MIN(100,(1-IF($O98="",0,$O98))*100)) + Config!$B$28*MAX(0,MIN(100,(1-MIN(1,IF(Config!$B$30=0,1,$P98/Config!$B$30)))*100)) + Config!$B$29*MAX(0,MIN(100,MIN(1,IF($Q98="",0,$Q98)/Config!$B$23)*100))))),"")
</f>
        <v/>
      </c>
      <c r="S98" s="40" t="str">
        <f>IF(Bids!$AC98="","",Bids!$AC98)</f>
        <v/>
      </c>
      <c r="T98" s="40" t="str">
        <f>IF(Bids!$F98="","",Bids!$F98)</f>
        <v/>
      </c>
      <c r="U98" s="40" t="str">
        <f t="shared" si="3"/>
        <v/>
      </c>
      <c r="V98" s="40" t="str">
        <f>IF($U98="","",IF(Config!$B$17=Config!$B$16,IF($U98&gt;=Config!$B$17,100,0),MAX(0,MIN(100,($U98-Config!$B$16)/(Config!$B$17-Config!$B$16)*100))))</f>
        <v/>
      </c>
      <c r="W98" s="40">
        <f>IF($L98="Elite",Config!$B$21,0)</f>
        <v>0</v>
      </c>
      <c r="X98" s="40" t="str">
        <f>IFERROR(IF(OR($T98="",$G98=""),"",IF($T98&gt;$G98,
  MAX(0, 60-(($T98-$G98)*24/Config!$B$19)*60),
  MEDIAN(60, 100, 60+(($G98-$T98)*24/Config!$B$20)*40)
)),"")
</f>
        <v/>
      </c>
      <c r="Y98" s="40" t="str">
        <f>IF($J98="","",IFERROR(VLOOKUP($J98,Grinders!$A:$N,10,FALSE),""))</f>
        <v/>
      </c>
      <c r="Z98" s="40" t="str">
        <f>IF($J98="","",IFERROR(VLOOKUP($J98,Grinders!$A:$N,11,FALSE),""))</f>
        <v/>
      </c>
      <c r="AA98" s="40" t="str">
        <f>IF($J98="","",IFERROR(VLOOKUP($J98,Grinders!$A:$N,12,FALSE),""))</f>
        <v/>
      </c>
      <c r="AB98" s="40" t="str">
        <f>IF(OR(AL98=1,AM98=1),0,=IFERROR(IF(OR($C98="",$J98=""),0,IF($D98&lt;&gt;"Open",0,IF(COUNTIFS(GrinderServices!$A:$A,$J98,GrinderServices!$B:$B,$E98,GrinderServices!$D:$D,"Y")=0,0,IF($U98&lt;Config!$B$16,0,IF(Config!$B$18=1,IF($N98&gt;=$M98,0,1),1))))),""))</f>
        <v>#ERROR!</v>
      </c>
      <c r="AC98" s="40" t="str">
        <f>IFERROR((IF(OR(AL98=1,AM98=1),"",=IFERROR((IFERROR(IF($AB98=0,"",((Config!$B$6*$V98 + Config!$B$7*$R98 + Config!$B$8*$W98 + Config!$B$9*$X98 + Config!$B$10*$Y98 + Config!$B$11*$Z98 - Config!$B$12*$AA98)/Config!$B$13)+$AH98+$AI98),""))*(1-IFERROR(VLOOKUP(J98,Grinders!$A:$AB, 28, FALSE),0)),"")))*(1+AO98),"")</f>
        <v>#ERROR!</v>
      </c>
      <c r="AD98" s="40" t="str">
        <f t="shared" si="4"/>
        <v/>
      </c>
      <c r="AE98" s="40" t="str">
        <f>IFERROR(__xludf.DUMMYFUNCTION("IF($AC98="""","""",IF($AC98=IFERROR(MAX(FILTER($AC$6:$AC$1000,$C$6:$C$1000=$C98,$AB$6:$AB$1000=1)),),""WINNER"",""""))"),"#ERROR!")</f>
        <v>#ERROR!</v>
      </c>
      <c r="AF98" s="40" t="str">
        <f t="shared" si="5"/>
        <v/>
      </c>
      <c r="AG98" s="40" t="str">
        <f>IF($J98="","",COUNTIF(Assignments!$B:$B,$J98))</f>
        <v/>
      </c>
      <c r="AH98" s="40" t="str">
        <f>IF($J98="","",IF(AND($AG98=0,$N98&lt;$M98),Config!$B$43,0))</f>
        <v/>
      </c>
      <c r="AI98" s="40" t="str">
        <f>IF($J98="","",IF(AND($L98="Elite",$F98&gt;=Config!$B$41,$N98&lt;$M98),Config!$B$42,0))</f>
        <v/>
      </c>
      <c r="AJ98" s="22"/>
      <c r="AK98" s="39">
        <f>IFERROR(VLOOKUP(J98,Grinders!$A:$Q,28,FALSE),0)</f>
        <v>0</v>
      </c>
      <c r="AL98" s="39">
        <f>IF(Config!$B$1003&lt;&gt;"Y",0,IF(IFERROR(VLOOKUP(J98,Grinders!$A:$P,27,FALSE),0)&gt;=3,IF(OR(F98&gt;=Config!$B$1001,ISNUMBER(SEARCH(E98,Config!$B$1002))),1,0),0))</f>
        <v>0</v>
      </c>
      <c r="AM98" s="39">
        <f t="array" ref="AM98">IFERROR(IF(INDEX(Bids!$AE:$AE,MATCH(B98,Bids!$A:$A,0))="Pending",1,0),0)</f>
        <v>0</v>
      </c>
      <c r="AN98" s="39" t="str">
        <f t="array" ref="AN98">IF(C98="","",IFERROR(XLOOKUP(C98,Assignments!$C:$C,Assignments!$AU:$AU,0),0))</f>
        <v/>
      </c>
      <c r="AO98" s="39">
        <f>IF(AND(Config!$B$1006="Y",AN98=1),Config!$B$1007,0)</f>
        <v>0</v>
      </c>
    </row>
    <row r="99" ht="15.75" customHeight="1">
      <c r="A99" s="46" t="str">
        <f t="shared" si="1"/>
        <v/>
      </c>
      <c r="B99" s="40" t="str">
        <f>IF(Bids!$A99="","",Bids!$A99)</f>
        <v/>
      </c>
      <c r="C99" s="40" t="str">
        <f>IF(Bids!$B99="","",Bids!$B99)</f>
        <v/>
      </c>
      <c r="D99" s="40" t="str">
        <f>IF($C99="","",IFERROR(VLOOKUP($C99,Orders!$A:$J,9,FALSE),""))</f>
        <v/>
      </c>
      <c r="E99" s="40" t="str">
        <f>IF($C99="","",IFERROR(VLOOKUP($C99,Orders!$A:$J,3,FALSE),""))</f>
        <v/>
      </c>
      <c r="F99" s="40" t="str">
        <f>IF($C99="","",IFERROR(VLOOKUP($C99,Orders!$A:$J,4,FALSE),""))</f>
        <v/>
      </c>
      <c r="G99" s="40" t="str">
        <f>IF($C99="","",IFERROR(VLOOKUP($C99,Orders!$A:$J,5,FALSE),""))</f>
        <v/>
      </c>
      <c r="H99" s="40" t="str">
        <f>IF($C99="","",IFERROR(VLOOKUP($C99,Orders!$A:$J,6,FALSE),""))</f>
        <v/>
      </c>
      <c r="I99" s="40" t="str">
        <f>IF($C99="","",IFERROR(VLOOKUP($C99,Orders!$A:$J,7,FALSE),""))</f>
        <v/>
      </c>
      <c r="J99" s="40" t="str">
        <f>IF(Bids!$C99="","",Bids!$C99)</f>
        <v/>
      </c>
      <c r="K99" s="40" t="str">
        <f>IF($J99="","",IFERROR(VLOOKUP($J99,Grinders!$A:$N,2,FALSE),""))</f>
        <v/>
      </c>
      <c r="L99" s="40" t="str">
        <f>IF($J99="","",IFERROR(VLOOKUP($J99,Grinders!$A:$N,3,FALSE),""))</f>
        <v/>
      </c>
      <c r="M99" s="40" t="str">
        <f>IF($J99="","",IFERROR(VLOOKUP($J99,Grinders!$A:$N,4,FALSE),""))</f>
        <v/>
      </c>
      <c r="N99" s="40" t="str">
        <f>IF($J99="","",IFERROR(VLOOKUP($J99,Grinders!$A:$N,5,FALSE),""))</f>
        <v/>
      </c>
      <c r="O99" s="40" t="str">
        <f t="shared" si="2"/>
        <v/>
      </c>
      <c r="P99" s="40" t="str">
        <f>IF($J99="","",IFERROR(VLOOKUP($J99,Grinders!$A:$N,6,FALSE),""))</f>
        <v/>
      </c>
      <c r="Q99" s="40" t="str">
        <f>IF($J99="","",IFERROR(VLOOKUP($J99,Grinders!$A:$N,8,FALSE),""))</f>
        <v/>
      </c>
      <c r="R99" s="40" t="str">
        <f>IFERROR(IF($J99="","",IF($L99="Elite",MAX(50,MIN(100,Config!$B$27*MAX(0,MIN(100,(1-IF($O99="",0,$O99))*100)) + Config!$B$28*MAX(0,MIN(100,(1-MIN(1,IF(Config!$B$30=0,1,$P99/Config!$B$30)))*100)) + Config!$B$29*MAX(0,MIN(100,MIN(1,IF($Q99="",0,$Q99)/Config!$B$23)*100)))),MIN(100,Config!$B$27*MAX(0,MIN(100,(1-IF($O99="",0,$O99))*100)) + Config!$B$28*MAX(0,MIN(100,(1-MIN(1,IF(Config!$B$30=0,1,$P99/Config!$B$30)))*100)) + Config!$B$29*MAX(0,MIN(100,MIN(1,IF($Q99="",0,$Q99)/Config!$B$23)*100))))),"")
</f>
        <v/>
      </c>
      <c r="S99" s="40" t="str">
        <f>IF(Bids!$AC99="","",Bids!$AC99)</f>
        <v/>
      </c>
      <c r="T99" s="40" t="str">
        <f>IF(Bids!$F99="","",Bids!$F99)</f>
        <v/>
      </c>
      <c r="U99" s="40" t="str">
        <f t="shared" si="3"/>
        <v/>
      </c>
      <c r="V99" s="40" t="str">
        <f>IF($U99="","",IF(Config!$B$17=Config!$B$16,IF($U99&gt;=Config!$B$17,100,0),MAX(0,MIN(100,($U99-Config!$B$16)/(Config!$B$17-Config!$B$16)*100))))</f>
        <v/>
      </c>
      <c r="W99" s="40">
        <f>IF($L99="Elite",Config!$B$21,0)</f>
        <v>0</v>
      </c>
      <c r="X99" s="40" t="str">
        <f>IFERROR(IF(OR($T99="",$G99=""),"",IF($T99&gt;$G99,
  MAX(0, 60-(($T99-$G99)*24/Config!$B$19)*60),
  MEDIAN(60, 100, 60+(($G99-$T99)*24/Config!$B$20)*40)
)),"")
</f>
        <v/>
      </c>
      <c r="Y99" s="40" t="str">
        <f>IF($J99="","",IFERROR(VLOOKUP($J99,Grinders!$A:$N,10,FALSE),""))</f>
        <v/>
      </c>
      <c r="Z99" s="40" t="str">
        <f>IF($J99="","",IFERROR(VLOOKUP($J99,Grinders!$A:$N,11,FALSE),""))</f>
        <v/>
      </c>
      <c r="AA99" s="40" t="str">
        <f>IF($J99="","",IFERROR(VLOOKUP($J99,Grinders!$A:$N,12,FALSE),""))</f>
        <v/>
      </c>
      <c r="AB99" s="40" t="str">
        <f>IF(OR(AL99=1,AM99=1),0,=IFERROR(IF(OR($C99="",$J99=""),0,IF($D99&lt;&gt;"Open",0,IF(COUNTIFS(GrinderServices!$A:$A,$J99,GrinderServices!$B:$B,$E99,GrinderServices!$D:$D,"Y")=0,0,IF($U99&lt;Config!$B$16,0,IF(Config!$B$18=1,IF($N99&gt;=$M99,0,1),1))))),""))</f>
        <v>#ERROR!</v>
      </c>
      <c r="AC99" s="40" t="str">
        <f>IFERROR((IF(OR(AL99=1,AM99=1),"",=IFERROR((IFERROR(IF($AB99=0,"",((Config!$B$6*$V99 + Config!$B$7*$R99 + Config!$B$8*$W99 + Config!$B$9*$X99 + Config!$B$10*$Y99 + Config!$B$11*$Z99 - Config!$B$12*$AA99)/Config!$B$13)+$AH99+$AI99),""))*(1-IFERROR(VLOOKUP(J99,Grinders!$A:$AB, 28, FALSE),0)),"")))*(1+AO99),"")</f>
        <v>#ERROR!</v>
      </c>
      <c r="AD99" s="40" t="str">
        <f t="shared" si="4"/>
        <v/>
      </c>
      <c r="AE99" s="40" t="str">
        <f>IFERROR(__xludf.DUMMYFUNCTION("IF($AC99="""","""",IF($AC99=IFERROR(MAX(FILTER($AC$6:$AC$1000,$C$6:$C$1000=$C99,$AB$6:$AB$1000=1)),),""WINNER"",""""))"),"#ERROR!")</f>
        <v>#ERROR!</v>
      </c>
      <c r="AF99" s="40" t="str">
        <f t="shared" si="5"/>
        <v/>
      </c>
      <c r="AG99" s="40" t="str">
        <f>IF($J99="","",COUNTIF(Assignments!$B:$B,$J99))</f>
        <v/>
      </c>
      <c r="AH99" s="40" t="str">
        <f>IF($J99="","",IF(AND($AG99=0,$N99&lt;$M99),Config!$B$43,0))</f>
        <v/>
      </c>
      <c r="AI99" s="40" t="str">
        <f>IF($J99="","",IF(AND($L99="Elite",$F99&gt;=Config!$B$41,$N99&lt;$M99),Config!$B$42,0))</f>
        <v/>
      </c>
      <c r="AJ99" s="22"/>
      <c r="AK99" s="39">
        <f>IFERROR(VLOOKUP(J99,Grinders!$A:$Q,28,FALSE),0)</f>
        <v>0</v>
      </c>
      <c r="AL99" s="39">
        <f>IF(Config!$B$1003&lt;&gt;"Y",0,IF(IFERROR(VLOOKUP(J99,Grinders!$A:$P,27,FALSE),0)&gt;=3,IF(OR(F99&gt;=Config!$B$1001,ISNUMBER(SEARCH(E99,Config!$B$1002))),1,0),0))</f>
        <v>0</v>
      </c>
      <c r="AM99" s="39">
        <f t="array" ref="AM99">IFERROR(IF(INDEX(Bids!$AE:$AE,MATCH(B99,Bids!$A:$A,0))="Pending",1,0),0)</f>
        <v>0</v>
      </c>
      <c r="AN99" s="39" t="str">
        <f t="array" ref="AN99">IF(C99="","",IFERROR(XLOOKUP(C99,Assignments!$C:$C,Assignments!$AU:$AU,0),0))</f>
        <v/>
      </c>
      <c r="AO99" s="39">
        <f>IF(AND(Config!$B$1006="Y",AN99=1),Config!$B$1007,0)</f>
        <v>0</v>
      </c>
    </row>
    <row r="100" ht="15.75" customHeight="1">
      <c r="A100" s="46" t="str">
        <f t="shared" si="1"/>
        <v/>
      </c>
      <c r="B100" s="40" t="str">
        <f>IF(Bids!$A100="","",Bids!$A100)</f>
        <v/>
      </c>
      <c r="C100" s="40" t="str">
        <f>IF(Bids!$B100="","",Bids!$B100)</f>
        <v/>
      </c>
      <c r="D100" s="40" t="str">
        <f>IF($C100="","",IFERROR(VLOOKUP($C100,Orders!$A:$J,9,FALSE),""))</f>
        <v/>
      </c>
      <c r="E100" s="40" t="str">
        <f>IF($C100="","",IFERROR(VLOOKUP($C100,Orders!$A:$J,3,FALSE),""))</f>
        <v/>
      </c>
      <c r="F100" s="40" t="str">
        <f>IF($C100="","",IFERROR(VLOOKUP($C100,Orders!$A:$J,4,FALSE),""))</f>
        <v/>
      </c>
      <c r="G100" s="40" t="str">
        <f>IF($C100="","",IFERROR(VLOOKUP($C100,Orders!$A:$J,5,FALSE),""))</f>
        <v/>
      </c>
      <c r="H100" s="40" t="str">
        <f>IF($C100="","",IFERROR(VLOOKUP($C100,Orders!$A:$J,6,FALSE),""))</f>
        <v/>
      </c>
      <c r="I100" s="40" t="str">
        <f>IF($C100="","",IFERROR(VLOOKUP($C100,Orders!$A:$J,7,FALSE),""))</f>
        <v/>
      </c>
      <c r="J100" s="40" t="str">
        <f>IF(Bids!$C100="","",Bids!$C100)</f>
        <v/>
      </c>
      <c r="K100" s="40" t="str">
        <f>IF($J100="","",IFERROR(VLOOKUP($J100,Grinders!$A:$N,2,FALSE),""))</f>
        <v/>
      </c>
      <c r="L100" s="40" t="str">
        <f>IF($J100="","",IFERROR(VLOOKUP($J100,Grinders!$A:$N,3,FALSE),""))</f>
        <v/>
      </c>
      <c r="M100" s="40" t="str">
        <f>IF($J100="","",IFERROR(VLOOKUP($J100,Grinders!$A:$N,4,FALSE),""))</f>
        <v/>
      </c>
      <c r="N100" s="40" t="str">
        <f>IF($J100="","",IFERROR(VLOOKUP($J100,Grinders!$A:$N,5,FALSE),""))</f>
        <v/>
      </c>
      <c r="O100" s="40" t="str">
        <f t="shared" si="2"/>
        <v/>
      </c>
      <c r="P100" s="40" t="str">
        <f>IF($J100="","",IFERROR(VLOOKUP($J100,Grinders!$A:$N,6,FALSE),""))</f>
        <v/>
      </c>
      <c r="Q100" s="40" t="str">
        <f>IF($J100="","",IFERROR(VLOOKUP($J100,Grinders!$A:$N,8,FALSE),""))</f>
        <v/>
      </c>
      <c r="R100" s="40" t="str">
        <f>IFERROR(IF($J100="","",IF($L100="Elite",MAX(50,MIN(100,Config!$B$27*MAX(0,MIN(100,(1-IF($O100="",0,$O100))*100)) + Config!$B$28*MAX(0,MIN(100,(1-MIN(1,IF(Config!$B$30=0,1,$P100/Config!$B$30)))*100)) + Config!$B$29*MAX(0,MIN(100,MIN(1,IF($Q100="",0,$Q100)/Config!$B$23)*100)))),MIN(100,Config!$B$27*MAX(0,MIN(100,(1-IF($O100="",0,$O100))*100)) + Config!$B$28*MAX(0,MIN(100,(1-MIN(1,IF(Config!$B$30=0,1,$P100/Config!$B$30)))*100)) + Config!$B$29*MAX(0,MIN(100,MIN(1,IF($Q100="",0,$Q100)/Config!$B$23)*100))))),"")
</f>
        <v/>
      </c>
      <c r="S100" s="40" t="str">
        <f>IF(Bids!$AC100="","",Bids!$AC100)</f>
        <v/>
      </c>
      <c r="T100" s="40" t="str">
        <f>IF(Bids!$F100="","",Bids!$F100)</f>
        <v/>
      </c>
      <c r="U100" s="40" t="str">
        <f t="shared" si="3"/>
        <v/>
      </c>
      <c r="V100" s="40" t="str">
        <f>IF($U100="","",IF(Config!$B$17=Config!$B$16,IF($U100&gt;=Config!$B$17,100,0),MAX(0,MIN(100,($U100-Config!$B$16)/(Config!$B$17-Config!$B$16)*100))))</f>
        <v/>
      </c>
      <c r="W100" s="40">
        <f>IF($L100="Elite",Config!$B$21,0)</f>
        <v>0</v>
      </c>
      <c r="X100" s="40" t="str">
        <f>IFERROR(IF(OR($T100="",$G100=""),"",IF($T100&gt;$G100,
  MAX(0, 60-(($T100-$G100)*24/Config!$B$19)*60),
  MEDIAN(60, 100, 60+(($G100-$T100)*24/Config!$B$20)*40)
)),"")
</f>
        <v/>
      </c>
      <c r="Y100" s="40" t="str">
        <f>IF($J100="","",IFERROR(VLOOKUP($J100,Grinders!$A:$N,10,FALSE),""))</f>
        <v/>
      </c>
      <c r="Z100" s="40" t="str">
        <f>IF($J100="","",IFERROR(VLOOKUP($J100,Grinders!$A:$N,11,FALSE),""))</f>
        <v/>
      </c>
      <c r="AA100" s="40" t="str">
        <f>IF($J100="","",IFERROR(VLOOKUP($J100,Grinders!$A:$N,12,FALSE),""))</f>
        <v/>
      </c>
      <c r="AB100" s="40" t="str">
        <f>IF(OR(AL100=1,AM100=1),0,=IFERROR(IF(OR($C100="",$J100=""),0,IF($D100&lt;&gt;"Open",0,IF(COUNTIFS(GrinderServices!$A:$A,$J100,GrinderServices!$B:$B,$E100,GrinderServices!$D:$D,"Y")=0,0,IF($U100&lt;Config!$B$16,0,IF(Config!$B$18=1,IF($N100&gt;=$M100,0,1),1))))),""))</f>
        <v>#ERROR!</v>
      </c>
      <c r="AC100" s="40" t="str">
        <f>IFERROR((IF(OR(AL100=1,AM100=1),"",=IFERROR((IFERROR(IF($AB100=0,"",((Config!$B$6*$V100 + Config!$B$7*$R100 + Config!$B$8*$W100 + Config!$B$9*$X100 + Config!$B$10*$Y100 + Config!$B$11*$Z100 - Config!$B$12*$AA100)/Config!$B$13)+$AH100+$AI100),""))*(1-IFERROR(VLOOKUP(J100,Grinders!$A:$AB, 28, FALSE),0)),"")))*(1+AO100),"")</f>
        <v>#ERROR!</v>
      </c>
      <c r="AD100" s="40" t="str">
        <f t="shared" si="4"/>
        <v/>
      </c>
      <c r="AE100" s="40" t="str">
        <f>IFERROR(__xludf.DUMMYFUNCTION("IF($AC100="""","""",IF($AC100=IFERROR(MAX(FILTER($AC$6:$AC$1000,$C$6:$C$1000=$C100,$AB$6:$AB$1000=1)),),""WINNER"",""""))"),"#ERROR!")</f>
        <v>#ERROR!</v>
      </c>
      <c r="AF100" s="40" t="str">
        <f t="shared" si="5"/>
        <v/>
      </c>
      <c r="AG100" s="40" t="str">
        <f>IF($J100="","",COUNTIF(Assignments!$B:$B,$J100))</f>
        <v/>
      </c>
      <c r="AH100" s="40" t="str">
        <f>IF($J100="","",IF(AND($AG100=0,$N100&lt;$M100),Config!$B$43,0))</f>
        <v/>
      </c>
      <c r="AI100" s="40" t="str">
        <f>IF($J100="","",IF(AND($L100="Elite",$F100&gt;=Config!$B$41,$N100&lt;$M100),Config!$B$42,0))</f>
        <v/>
      </c>
      <c r="AJ100" s="22"/>
      <c r="AK100" s="39">
        <f>IFERROR(VLOOKUP(J100,Grinders!$A:$Q,28,FALSE),0)</f>
        <v>0</v>
      </c>
      <c r="AL100" s="39">
        <f>IF(Config!$B$1003&lt;&gt;"Y",0,IF(IFERROR(VLOOKUP(J100,Grinders!$A:$P,27,FALSE),0)&gt;=3,IF(OR(F100&gt;=Config!$B$1001,ISNUMBER(SEARCH(E100,Config!$B$1002))),1,0),0))</f>
        <v>0</v>
      </c>
      <c r="AM100" s="39">
        <f t="array" ref="AM100">IFERROR(IF(INDEX(Bids!$AE:$AE,MATCH(B100,Bids!$A:$A,0))="Pending",1,0),0)</f>
        <v>0</v>
      </c>
      <c r="AN100" s="39" t="str">
        <f t="array" ref="AN100">IF(C100="","",IFERROR(XLOOKUP(C100,Assignments!$C:$C,Assignments!$AU:$AU,0),0))</f>
        <v/>
      </c>
      <c r="AO100" s="39">
        <f>IF(AND(Config!$B$1006="Y",AN100=1),Config!$B$1007,0)</f>
        <v>0</v>
      </c>
    </row>
    <row r="101" ht="15.75" customHeight="1">
      <c r="A101" s="46" t="str">
        <f t="shared" si="1"/>
        <v/>
      </c>
      <c r="B101" s="40" t="str">
        <f>IF(Bids!$A101="","",Bids!$A101)</f>
        <v/>
      </c>
      <c r="C101" s="40" t="str">
        <f>IF(Bids!$B101="","",Bids!$B101)</f>
        <v/>
      </c>
      <c r="D101" s="40" t="str">
        <f>IF($C101="","",IFERROR(VLOOKUP($C101,Orders!$A:$J,9,FALSE),""))</f>
        <v/>
      </c>
      <c r="E101" s="40" t="str">
        <f>IF($C101="","",IFERROR(VLOOKUP($C101,Orders!$A:$J,3,FALSE),""))</f>
        <v/>
      </c>
      <c r="F101" s="40" t="str">
        <f>IF($C101="","",IFERROR(VLOOKUP($C101,Orders!$A:$J,4,FALSE),""))</f>
        <v/>
      </c>
      <c r="G101" s="40" t="str">
        <f>IF($C101="","",IFERROR(VLOOKUP($C101,Orders!$A:$J,5,FALSE),""))</f>
        <v/>
      </c>
      <c r="H101" s="40" t="str">
        <f>IF($C101="","",IFERROR(VLOOKUP($C101,Orders!$A:$J,6,FALSE),""))</f>
        <v/>
      </c>
      <c r="I101" s="40" t="str">
        <f>IF($C101="","",IFERROR(VLOOKUP($C101,Orders!$A:$J,7,FALSE),""))</f>
        <v/>
      </c>
      <c r="J101" s="40" t="str">
        <f>IF(Bids!$C101="","",Bids!$C101)</f>
        <v/>
      </c>
      <c r="K101" s="40" t="str">
        <f>IF($J101="","",IFERROR(VLOOKUP($J101,Grinders!$A:$N,2,FALSE),""))</f>
        <v/>
      </c>
      <c r="L101" s="40" t="str">
        <f>IF($J101="","",IFERROR(VLOOKUP($J101,Grinders!$A:$N,3,FALSE),""))</f>
        <v/>
      </c>
      <c r="M101" s="40" t="str">
        <f>IF($J101="","",IFERROR(VLOOKUP($J101,Grinders!$A:$N,4,FALSE),""))</f>
        <v/>
      </c>
      <c r="N101" s="40" t="str">
        <f>IF($J101="","",IFERROR(VLOOKUP($J101,Grinders!$A:$N,5,FALSE),""))</f>
        <v/>
      </c>
      <c r="O101" s="40" t="str">
        <f t="shared" si="2"/>
        <v/>
      </c>
      <c r="P101" s="40" t="str">
        <f>IF($J101="","",IFERROR(VLOOKUP($J101,Grinders!$A:$N,6,FALSE),""))</f>
        <v/>
      </c>
      <c r="Q101" s="40" t="str">
        <f>IF($J101="","",IFERROR(VLOOKUP($J101,Grinders!$A:$N,8,FALSE),""))</f>
        <v/>
      </c>
      <c r="R101" s="40" t="str">
        <f>IFERROR(IF($J101="","",IF($L101="Elite",MAX(50,MIN(100,Config!$B$27*MAX(0,MIN(100,(1-IF($O101="",0,$O101))*100)) + Config!$B$28*MAX(0,MIN(100,(1-MIN(1,IF(Config!$B$30=0,1,$P101/Config!$B$30)))*100)) + Config!$B$29*MAX(0,MIN(100,MIN(1,IF($Q101="",0,$Q101)/Config!$B$23)*100)))),MIN(100,Config!$B$27*MAX(0,MIN(100,(1-IF($O101="",0,$O101))*100)) + Config!$B$28*MAX(0,MIN(100,(1-MIN(1,IF(Config!$B$30=0,1,$P101/Config!$B$30)))*100)) + Config!$B$29*MAX(0,MIN(100,MIN(1,IF($Q101="",0,$Q101)/Config!$B$23)*100))))),"")
</f>
        <v/>
      </c>
      <c r="S101" s="40" t="str">
        <f>IF(Bids!$AC101="","",Bids!$AC101)</f>
        <v/>
      </c>
      <c r="T101" s="40" t="str">
        <f>IF(Bids!$F101="","",Bids!$F101)</f>
        <v/>
      </c>
      <c r="U101" s="40" t="str">
        <f t="shared" si="3"/>
        <v/>
      </c>
      <c r="V101" s="40" t="str">
        <f>IF($U101="","",IF(Config!$B$17=Config!$B$16,IF($U101&gt;=Config!$B$17,100,0),MAX(0,MIN(100,($U101-Config!$B$16)/(Config!$B$17-Config!$B$16)*100))))</f>
        <v/>
      </c>
      <c r="W101" s="40">
        <f>IF($L101="Elite",Config!$B$21,0)</f>
        <v>0</v>
      </c>
      <c r="X101" s="40" t="str">
        <f>IFERROR(IF(OR($T101="",$G101=""),"",IF($T101&gt;$G101,
  MAX(0, 60-(($T101-$G101)*24/Config!$B$19)*60),
  MEDIAN(60, 100, 60+(($G101-$T101)*24/Config!$B$20)*40)
)),"")
</f>
        <v/>
      </c>
      <c r="Y101" s="40" t="str">
        <f>IF($J101="","",IFERROR(VLOOKUP($J101,Grinders!$A:$N,10,FALSE),""))</f>
        <v/>
      </c>
      <c r="Z101" s="40" t="str">
        <f>IF($J101="","",IFERROR(VLOOKUP($J101,Grinders!$A:$N,11,FALSE),""))</f>
        <v/>
      </c>
      <c r="AA101" s="40" t="str">
        <f>IF($J101="","",IFERROR(VLOOKUP($J101,Grinders!$A:$N,12,FALSE),""))</f>
        <v/>
      </c>
      <c r="AB101" s="40" t="str">
        <f>IF(OR(AL101=1,AM101=1),0,=IFERROR(IF(OR($C101="",$J101=""),0,IF($D101&lt;&gt;"Open",0,IF(COUNTIFS(GrinderServices!$A:$A,$J101,GrinderServices!$B:$B,$E101,GrinderServices!$D:$D,"Y")=0,0,IF($U101&lt;Config!$B$16,0,IF(Config!$B$18=1,IF($N101&gt;=$M101,0,1),1))))),""))</f>
        <v>#ERROR!</v>
      </c>
      <c r="AC101" s="40" t="str">
        <f>IFERROR((IF(OR(AL101=1,AM101=1),"",=IFERROR((IFERROR(IF($AB101=0,"",((Config!$B$6*$V101 + Config!$B$7*$R101 + Config!$B$8*$W101 + Config!$B$9*$X101 + Config!$B$10*$Y101 + Config!$B$11*$Z101 - Config!$B$12*$AA101)/Config!$B$13)+$AH101+$AI101),""))*(1-IFERROR(VLOOKUP(J101,Grinders!$A:$AB, 28, FALSE),0)),"")))*(1+AO101),"")</f>
        <v>#ERROR!</v>
      </c>
      <c r="AD101" s="40" t="str">
        <f t="shared" si="4"/>
        <v/>
      </c>
      <c r="AE101" s="40" t="str">
        <f>IFERROR(__xludf.DUMMYFUNCTION("IF($AC101="""","""",IF($AC101=IFERROR(MAX(FILTER($AC$6:$AC$1000,$C$6:$C$1000=$C101,$AB$6:$AB$1000=1)),),""WINNER"",""""))"),"#ERROR!")</f>
        <v>#ERROR!</v>
      </c>
      <c r="AF101" s="40" t="str">
        <f t="shared" si="5"/>
        <v/>
      </c>
      <c r="AG101" s="40" t="str">
        <f>IF($J101="","",COUNTIF(Assignments!$B:$B,$J101))</f>
        <v/>
      </c>
      <c r="AH101" s="40" t="str">
        <f>IF($J101="","",IF(AND($AG101=0,$N101&lt;$M101),Config!$B$43,0))</f>
        <v/>
      </c>
      <c r="AI101" s="40" t="str">
        <f>IF($J101="","",IF(AND($L101="Elite",$F101&gt;=Config!$B$41,$N101&lt;$M101),Config!$B$42,0))</f>
        <v/>
      </c>
      <c r="AJ101" s="22"/>
      <c r="AK101" s="39">
        <f>IFERROR(VLOOKUP(J101,Grinders!$A:$Q,28,FALSE),0)</f>
        <v>0</v>
      </c>
      <c r="AL101" s="39">
        <f>IF(Config!$B$1003&lt;&gt;"Y",0,IF(IFERROR(VLOOKUP(J101,Grinders!$A:$P,27,FALSE),0)&gt;=3,IF(OR(F101&gt;=Config!$B$1001,ISNUMBER(SEARCH(E101,Config!$B$1002))),1,0),0))</f>
        <v>0</v>
      </c>
      <c r="AM101" s="39">
        <f t="array" ref="AM101">IFERROR(IF(INDEX(Bids!$AE:$AE,MATCH(B101,Bids!$A:$A,0))="Pending",1,0),0)</f>
        <v>0</v>
      </c>
      <c r="AN101" s="39" t="str">
        <f t="array" ref="AN101">IF(C101="","",IFERROR(XLOOKUP(C101,Assignments!$C:$C,Assignments!$AU:$AU,0),0))</f>
        <v/>
      </c>
      <c r="AO101" s="39">
        <f>IF(AND(Config!$B$1006="Y",AN101=1),Config!$B$1007,0)</f>
        <v>0</v>
      </c>
    </row>
    <row r="102" ht="15.75" customHeight="1">
      <c r="A102" s="46" t="str">
        <f t="shared" si="1"/>
        <v/>
      </c>
      <c r="B102" s="40" t="str">
        <f>IF(Bids!$A102="","",Bids!$A102)</f>
        <v/>
      </c>
      <c r="C102" s="40" t="str">
        <f>IF(Bids!$B102="","",Bids!$B102)</f>
        <v/>
      </c>
      <c r="D102" s="40" t="str">
        <f>IF($C102="","",IFERROR(VLOOKUP($C102,Orders!$A:$J,9,FALSE),""))</f>
        <v/>
      </c>
      <c r="E102" s="40" t="str">
        <f>IF($C102="","",IFERROR(VLOOKUP($C102,Orders!$A:$J,3,FALSE),""))</f>
        <v/>
      </c>
      <c r="F102" s="40" t="str">
        <f>IF($C102="","",IFERROR(VLOOKUP($C102,Orders!$A:$J,4,FALSE),""))</f>
        <v/>
      </c>
      <c r="G102" s="40" t="str">
        <f>IF($C102="","",IFERROR(VLOOKUP($C102,Orders!$A:$J,5,FALSE),""))</f>
        <v/>
      </c>
      <c r="H102" s="40" t="str">
        <f>IF($C102="","",IFERROR(VLOOKUP($C102,Orders!$A:$J,6,FALSE),""))</f>
        <v/>
      </c>
      <c r="I102" s="40" t="str">
        <f>IF($C102="","",IFERROR(VLOOKUP($C102,Orders!$A:$J,7,FALSE),""))</f>
        <v/>
      </c>
      <c r="J102" s="40" t="str">
        <f>IF(Bids!$C102="","",Bids!$C102)</f>
        <v/>
      </c>
      <c r="K102" s="40" t="str">
        <f>IF($J102="","",IFERROR(VLOOKUP($J102,Grinders!$A:$N,2,FALSE),""))</f>
        <v/>
      </c>
      <c r="L102" s="40" t="str">
        <f>IF($J102="","",IFERROR(VLOOKUP($J102,Grinders!$A:$N,3,FALSE),""))</f>
        <v/>
      </c>
      <c r="M102" s="40" t="str">
        <f>IF($J102="","",IFERROR(VLOOKUP($J102,Grinders!$A:$N,4,FALSE),""))</f>
        <v/>
      </c>
      <c r="N102" s="40" t="str">
        <f>IF($J102="","",IFERROR(VLOOKUP($J102,Grinders!$A:$N,5,FALSE),""))</f>
        <v/>
      </c>
      <c r="O102" s="40" t="str">
        <f t="shared" si="2"/>
        <v/>
      </c>
      <c r="P102" s="40" t="str">
        <f>IF($J102="","",IFERROR(VLOOKUP($J102,Grinders!$A:$N,6,FALSE),""))</f>
        <v/>
      </c>
      <c r="Q102" s="40" t="str">
        <f>IF($J102="","",IFERROR(VLOOKUP($J102,Grinders!$A:$N,8,FALSE),""))</f>
        <v/>
      </c>
      <c r="R102" s="40" t="str">
        <f>IFERROR(IF($J102="","",IF($L102="Elite",MAX(50,MIN(100,Config!$B$27*MAX(0,MIN(100,(1-IF($O102="",0,$O102))*100)) + Config!$B$28*MAX(0,MIN(100,(1-MIN(1,IF(Config!$B$30=0,1,$P102/Config!$B$30)))*100)) + Config!$B$29*MAX(0,MIN(100,MIN(1,IF($Q102="",0,$Q102)/Config!$B$23)*100)))),MIN(100,Config!$B$27*MAX(0,MIN(100,(1-IF($O102="",0,$O102))*100)) + Config!$B$28*MAX(0,MIN(100,(1-MIN(1,IF(Config!$B$30=0,1,$P102/Config!$B$30)))*100)) + Config!$B$29*MAX(0,MIN(100,MIN(1,IF($Q102="",0,$Q102)/Config!$B$23)*100))))),"")
</f>
        <v/>
      </c>
      <c r="S102" s="40" t="str">
        <f>IF(Bids!$AC102="","",Bids!$AC102)</f>
        <v/>
      </c>
      <c r="T102" s="40" t="str">
        <f>IF(Bids!$F102="","",Bids!$F102)</f>
        <v/>
      </c>
      <c r="U102" s="40" t="str">
        <f t="shared" si="3"/>
        <v/>
      </c>
      <c r="V102" s="40" t="str">
        <f>IF($U102="","",IF(Config!$B$17=Config!$B$16,IF($U102&gt;=Config!$B$17,100,0),MAX(0,MIN(100,($U102-Config!$B$16)/(Config!$B$17-Config!$B$16)*100))))</f>
        <v/>
      </c>
      <c r="W102" s="40">
        <f>IF($L102="Elite",Config!$B$21,0)</f>
        <v>0</v>
      </c>
      <c r="X102" s="40" t="str">
        <f>IFERROR(IF(OR($T102="",$G102=""),"",IF($T102&gt;$G102,
  MAX(0, 60-(($T102-$G102)*24/Config!$B$19)*60),
  MEDIAN(60, 100, 60+(($G102-$T102)*24/Config!$B$20)*40)
)),"")
</f>
        <v/>
      </c>
      <c r="Y102" s="40" t="str">
        <f>IF($J102="","",IFERROR(VLOOKUP($J102,Grinders!$A:$N,10,FALSE),""))</f>
        <v/>
      </c>
      <c r="Z102" s="40" t="str">
        <f>IF($J102="","",IFERROR(VLOOKUP($J102,Grinders!$A:$N,11,FALSE),""))</f>
        <v/>
      </c>
      <c r="AA102" s="40" t="str">
        <f>IF($J102="","",IFERROR(VLOOKUP($J102,Grinders!$A:$N,12,FALSE),""))</f>
        <v/>
      </c>
      <c r="AB102" s="40" t="str">
        <f>IF(OR(AL102=1,AM102=1),0,=IFERROR(IF(OR($C102="",$J102=""),0,IF($D102&lt;&gt;"Open",0,IF(COUNTIFS(GrinderServices!$A:$A,$J102,GrinderServices!$B:$B,$E102,GrinderServices!$D:$D,"Y")=0,0,IF($U102&lt;Config!$B$16,0,IF(Config!$B$18=1,IF($N102&gt;=$M102,0,1),1))))),""))</f>
        <v>#ERROR!</v>
      </c>
      <c r="AC102" s="40" t="str">
        <f>IFERROR((IF(OR(AL102=1,AM102=1),"",=IFERROR((IFERROR(IF($AB102=0,"",((Config!$B$6*$V102 + Config!$B$7*$R102 + Config!$B$8*$W102 + Config!$B$9*$X102 + Config!$B$10*$Y102 + Config!$B$11*$Z102 - Config!$B$12*$AA102)/Config!$B$13)+$AH102+$AI102),""))*(1-IFERROR(VLOOKUP(J102,Grinders!$A:$AB, 28, FALSE),0)),"")))*(1+AO102),"")</f>
        <v>#ERROR!</v>
      </c>
      <c r="AD102" s="40" t="str">
        <f t="shared" si="4"/>
        <v/>
      </c>
      <c r="AE102" s="40" t="str">
        <f>IFERROR(__xludf.DUMMYFUNCTION("IF($AC102="""","""",IF($AC102=IFERROR(MAX(FILTER($AC$6:$AC$1000,$C$6:$C$1000=$C102,$AB$6:$AB$1000=1)),),""WINNER"",""""))"),"#ERROR!")</f>
        <v>#ERROR!</v>
      </c>
      <c r="AF102" s="40" t="str">
        <f t="shared" si="5"/>
        <v/>
      </c>
      <c r="AG102" s="40" t="str">
        <f>IF($J102="","",COUNTIF(Assignments!$B:$B,$J102))</f>
        <v/>
      </c>
      <c r="AH102" s="40" t="str">
        <f>IF($J102="","",IF(AND($AG102=0,$N102&lt;$M102),Config!$B$43,0))</f>
        <v/>
      </c>
      <c r="AI102" s="40" t="str">
        <f>IF($J102="","",IF(AND($L102="Elite",$F102&gt;=Config!$B$41,$N102&lt;$M102),Config!$B$42,0))</f>
        <v/>
      </c>
      <c r="AJ102" s="22"/>
      <c r="AK102" s="39">
        <f>IFERROR(VLOOKUP(J102,Grinders!$A:$Q,28,FALSE),0)</f>
        <v>0</v>
      </c>
      <c r="AL102" s="39">
        <f>IF(Config!$B$1003&lt;&gt;"Y",0,IF(IFERROR(VLOOKUP(J102,Grinders!$A:$P,27,FALSE),0)&gt;=3,IF(OR(F102&gt;=Config!$B$1001,ISNUMBER(SEARCH(E102,Config!$B$1002))),1,0),0))</f>
        <v>0</v>
      </c>
      <c r="AM102" s="39">
        <f t="array" ref="AM102">IFERROR(IF(INDEX(Bids!$AE:$AE,MATCH(B102,Bids!$A:$A,0))="Pending",1,0),0)</f>
        <v>0</v>
      </c>
      <c r="AN102" s="39" t="str">
        <f t="array" ref="AN102">IF(C102="","",IFERROR(XLOOKUP(C102,Assignments!$C:$C,Assignments!$AU:$AU,0),0))</f>
        <v/>
      </c>
      <c r="AO102" s="39">
        <f>IF(AND(Config!$B$1006="Y",AN102=1),Config!$B$1007,0)</f>
        <v>0</v>
      </c>
    </row>
    <row r="103" ht="15.75" customHeight="1">
      <c r="A103" s="46" t="str">
        <f t="shared" si="1"/>
        <v/>
      </c>
      <c r="B103" s="40" t="str">
        <f>IF(Bids!$A103="","",Bids!$A103)</f>
        <v/>
      </c>
      <c r="C103" s="40" t="str">
        <f>IF(Bids!$B103="","",Bids!$B103)</f>
        <v/>
      </c>
      <c r="D103" s="40" t="str">
        <f>IF($C103="","",IFERROR(VLOOKUP($C103,Orders!$A:$J,9,FALSE),""))</f>
        <v/>
      </c>
      <c r="E103" s="40" t="str">
        <f>IF($C103="","",IFERROR(VLOOKUP($C103,Orders!$A:$J,3,FALSE),""))</f>
        <v/>
      </c>
      <c r="F103" s="40" t="str">
        <f>IF($C103="","",IFERROR(VLOOKUP($C103,Orders!$A:$J,4,FALSE),""))</f>
        <v/>
      </c>
      <c r="G103" s="40" t="str">
        <f>IF($C103="","",IFERROR(VLOOKUP($C103,Orders!$A:$J,5,FALSE),""))</f>
        <v/>
      </c>
      <c r="H103" s="40" t="str">
        <f>IF($C103="","",IFERROR(VLOOKUP($C103,Orders!$A:$J,6,FALSE),""))</f>
        <v/>
      </c>
      <c r="I103" s="40" t="str">
        <f>IF($C103="","",IFERROR(VLOOKUP($C103,Orders!$A:$J,7,FALSE),""))</f>
        <v/>
      </c>
      <c r="J103" s="40" t="str">
        <f>IF(Bids!$C103="","",Bids!$C103)</f>
        <v/>
      </c>
      <c r="K103" s="40" t="str">
        <f>IF($J103="","",IFERROR(VLOOKUP($J103,Grinders!$A:$N,2,FALSE),""))</f>
        <v/>
      </c>
      <c r="L103" s="40" t="str">
        <f>IF($J103="","",IFERROR(VLOOKUP($J103,Grinders!$A:$N,3,FALSE),""))</f>
        <v/>
      </c>
      <c r="M103" s="40" t="str">
        <f>IF($J103="","",IFERROR(VLOOKUP($J103,Grinders!$A:$N,4,FALSE),""))</f>
        <v/>
      </c>
      <c r="N103" s="40" t="str">
        <f>IF($J103="","",IFERROR(VLOOKUP($J103,Grinders!$A:$N,5,FALSE),""))</f>
        <v/>
      </c>
      <c r="O103" s="40" t="str">
        <f t="shared" si="2"/>
        <v/>
      </c>
      <c r="P103" s="40" t="str">
        <f>IF($J103="","",IFERROR(VLOOKUP($J103,Grinders!$A:$N,6,FALSE),""))</f>
        <v/>
      </c>
      <c r="Q103" s="40" t="str">
        <f>IF($J103="","",IFERROR(VLOOKUP($J103,Grinders!$A:$N,8,FALSE),""))</f>
        <v/>
      </c>
      <c r="R103" s="40" t="str">
        <f>IFERROR(IF($J103="","",IF($L103="Elite",MAX(50,MIN(100,Config!$B$27*MAX(0,MIN(100,(1-IF($O103="",0,$O103))*100)) + Config!$B$28*MAX(0,MIN(100,(1-MIN(1,IF(Config!$B$30=0,1,$P103/Config!$B$30)))*100)) + Config!$B$29*MAX(0,MIN(100,MIN(1,IF($Q103="",0,$Q103)/Config!$B$23)*100)))),MIN(100,Config!$B$27*MAX(0,MIN(100,(1-IF($O103="",0,$O103))*100)) + Config!$B$28*MAX(0,MIN(100,(1-MIN(1,IF(Config!$B$30=0,1,$P103/Config!$B$30)))*100)) + Config!$B$29*MAX(0,MIN(100,MIN(1,IF($Q103="",0,$Q103)/Config!$B$23)*100))))),"")
</f>
        <v/>
      </c>
      <c r="S103" s="40" t="str">
        <f>IF(Bids!$AC103="","",Bids!$AC103)</f>
        <v/>
      </c>
      <c r="T103" s="40" t="str">
        <f>IF(Bids!$F103="","",Bids!$F103)</f>
        <v/>
      </c>
      <c r="U103" s="40" t="str">
        <f t="shared" si="3"/>
        <v/>
      </c>
      <c r="V103" s="40" t="str">
        <f>IF($U103="","",IF(Config!$B$17=Config!$B$16,IF($U103&gt;=Config!$B$17,100,0),MAX(0,MIN(100,($U103-Config!$B$16)/(Config!$B$17-Config!$B$16)*100))))</f>
        <v/>
      </c>
      <c r="W103" s="40">
        <f>IF($L103="Elite",Config!$B$21,0)</f>
        <v>0</v>
      </c>
      <c r="X103" s="40" t="str">
        <f>IFERROR(IF(OR($T103="",$G103=""),"",IF($T103&gt;$G103,
  MAX(0, 60-(($T103-$G103)*24/Config!$B$19)*60),
  MEDIAN(60, 100, 60+(($G103-$T103)*24/Config!$B$20)*40)
)),"")
</f>
        <v/>
      </c>
      <c r="Y103" s="40" t="str">
        <f>IF($J103="","",IFERROR(VLOOKUP($J103,Grinders!$A:$N,10,FALSE),""))</f>
        <v/>
      </c>
      <c r="Z103" s="40" t="str">
        <f>IF($J103="","",IFERROR(VLOOKUP($J103,Grinders!$A:$N,11,FALSE),""))</f>
        <v/>
      </c>
      <c r="AA103" s="40" t="str">
        <f>IF($J103="","",IFERROR(VLOOKUP($J103,Grinders!$A:$N,12,FALSE),""))</f>
        <v/>
      </c>
      <c r="AB103" s="40" t="str">
        <f>IF(OR(AL103=1,AM103=1),0,=IFERROR(IF(OR($C103="",$J103=""),0,IF($D103&lt;&gt;"Open",0,IF(COUNTIFS(GrinderServices!$A:$A,$J103,GrinderServices!$B:$B,$E103,GrinderServices!$D:$D,"Y")=0,0,IF($U103&lt;Config!$B$16,0,IF(Config!$B$18=1,IF($N103&gt;=$M103,0,1),1))))),""))</f>
        <v>#ERROR!</v>
      </c>
      <c r="AC103" s="40" t="str">
        <f>IFERROR((IF(OR(AL103=1,AM103=1),"",=IFERROR((IFERROR(IF($AB103=0,"",((Config!$B$6*$V103 + Config!$B$7*$R103 + Config!$B$8*$W103 + Config!$B$9*$X103 + Config!$B$10*$Y103 + Config!$B$11*$Z103 - Config!$B$12*$AA103)/Config!$B$13)+$AH103+$AI103),""))*(1-IFERROR(VLOOKUP(J103,Grinders!$A:$AB, 28, FALSE),0)),"")))*(1+AO103),"")</f>
        <v>#ERROR!</v>
      </c>
      <c r="AD103" s="40" t="str">
        <f t="shared" si="4"/>
        <v/>
      </c>
      <c r="AE103" s="40" t="str">
        <f>IFERROR(__xludf.DUMMYFUNCTION("IF($AC103="""","""",IF($AC103=IFERROR(MAX(FILTER($AC$6:$AC$1000,$C$6:$C$1000=$C103,$AB$6:$AB$1000=1)),),""WINNER"",""""))"),"#ERROR!")</f>
        <v>#ERROR!</v>
      </c>
      <c r="AF103" s="40" t="str">
        <f t="shared" si="5"/>
        <v/>
      </c>
      <c r="AG103" s="40" t="str">
        <f>IF($J103="","",COUNTIF(Assignments!$B:$B,$J103))</f>
        <v/>
      </c>
      <c r="AH103" s="40" t="str">
        <f>IF($J103="","",IF(AND($AG103=0,$N103&lt;$M103),Config!$B$43,0))</f>
        <v/>
      </c>
      <c r="AI103" s="40" t="str">
        <f>IF($J103="","",IF(AND($L103="Elite",$F103&gt;=Config!$B$41,$N103&lt;$M103),Config!$B$42,0))</f>
        <v/>
      </c>
      <c r="AJ103" s="22"/>
      <c r="AK103" s="39">
        <f>IFERROR(VLOOKUP(J103,Grinders!$A:$Q,28,FALSE),0)</f>
        <v>0</v>
      </c>
      <c r="AL103" s="39">
        <f>IF(Config!$B$1003&lt;&gt;"Y",0,IF(IFERROR(VLOOKUP(J103,Grinders!$A:$P,27,FALSE),0)&gt;=3,IF(OR(F103&gt;=Config!$B$1001,ISNUMBER(SEARCH(E103,Config!$B$1002))),1,0),0))</f>
        <v>0</v>
      </c>
      <c r="AM103" s="39">
        <f t="array" ref="AM103">IFERROR(IF(INDEX(Bids!$AE:$AE,MATCH(B103,Bids!$A:$A,0))="Pending",1,0),0)</f>
        <v>0</v>
      </c>
      <c r="AN103" s="39" t="str">
        <f t="array" ref="AN103">IF(C103="","",IFERROR(XLOOKUP(C103,Assignments!$C:$C,Assignments!$AU:$AU,0),0))</f>
        <v/>
      </c>
      <c r="AO103" s="39">
        <f>IF(AND(Config!$B$1006="Y",AN103=1),Config!$B$1007,0)</f>
        <v>0</v>
      </c>
    </row>
    <row r="104" ht="15.75" customHeight="1">
      <c r="A104" s="46" t="str">
        <f t="shared" si="1"/>
        <v/>
      </c>
      <c r="B104" s="40" t="str">
        <f>IF(Bids!$A104="","",Bids!$A104)</f>
        <v/>
      </c>
      <c r="C104" s="40" t="str">
        <f>IF(Bids!$B104="","",Bids!$B104)</f>
        <v/>
      </c>
      <c r="D104" s="40" t="str">
        <f>IF($C104="","",IFERROR(VLOOKUP($C104,Orders!$A:$J,9,FALSE),""))</f>
        <v/>
      </c>
      <c r="E104" s="40" t="str">
        <f>IF($C104="","",IFERROR(VLOOKUP($C104,Orders!$A:$J,3,FALSE),""))</f>
        <v/>
      </c>
      <c r="F104" s="40" t="str">
        <f>IF($C104="","",IFERROR(VLOOKUP($C104,Orders!$A:$J,4,FALSE),""))</f>
        <v/>
      </c>
      <c r="G104" s="40" t="str">
        <f>IF($C104="","",IFERROR(VLOOKUP($C104,Orders!$A:$J,5,FALSE),""))</f>
        <v/>
      </c>
      <c r="H104" s="40" t="str">
        <f>IF($C104="","",IFERROR(VLOOKUP($C104,Orders!$A:$J,6,FALSE),""))</f>
        <v/>
      </c>
      <c r="I104" s="40" t="str">
        <f>IF($C104="","",IFERROR(VLOOKUP($C104,Orders!$A:$J,7,FALSE),""))</f>
        <v/>
      </c>
      <c r="J104" s="40" t="str">
        <f>IF(Bids!$C104="","",Bids!$C104)</f>
        <v/>
      </c>
      <c r="K104" s="40" t="str">
        <f>IF($J104="","",IFERROR(VLOOKUP($J104,Grinders!$A:$N,2,FALSE),""))</f>
        <v/>
      </c>
      <c r="L104" s="40" t="str">
        <f>IF($J104="","",IFERROR(VLOOKUP($J104,Grinders!$A:$N,3,FALSE),""))</f>
        <v/>
      </c>
      <c r="M104" s="40" t="str">
        <f>IF($J104="","",IFERROR(VLOOKUP($J104,Grinders!$A:$N,4,FALSE),""))</f>
        <v/>
      </c>
      <c r="N104" s="40" t="str">
        <f>IF($J104="","",IFERROR(VLOOKUP($J104,Grinders!$A:$N,5,FALSE),""))</f>
        <v/>
      </c>
      <c r="O104" s="40" t="str">
        <f t="shared" si="2"/>
        <v/>
      </c>
      <c r="P104" s="40" t="str">
        <f>IF($J104="","",IFERROR(VLOOKUP($J104,Grinders!$A:$N,6,FALSE),""))</f>
        <v/>
      </c>
      <c r="Q104" s="40" t="str">
        <f>IF($J104="","",IFERROR(VLOOKUP($J104,Grinders!$A:$N,8,FALSE),""))</f>
        <v/>
      </c>
      <c r="R104" s="40" t="str">
        <f>IFERROR(IF($J104="","",IF($L104="Elite",MAX(50,MIN(100,Config!$B$27*MAX(0,MIN(100,(1-IF($O104="",0,$O104))*100)) + Config!$B$28*MAX(0,MIN(100,(1-MIN(1,IF(Config!$B$30=0,1,$P104/Config!$B$30)))*100)) + Config!$B$29*MAX(0,MIN(100,MIN(1,IF($Q104="",0,$Q104)/Config!$B$23)*100)))),MIN(100,Config!$B$27*MAX(0,MIN(100,(1-IF($O104="",0,$O104))*100)) + Config!$B$28*MAX(0,MIN(100,(1-MIN(1,IF(Config!$B$30=0,1,$P104/Config!$B$30)))*100)) + Config!$B$29*MAX(0,MIN(100,MIN(1,IF($Q104="",0,$Q104)/Config!$B$23)*100))))),"")
</f>
        <v/>
      </c>
      <c r="S104" s="40" t="str">
        <f>IF(Bids!$AC104="","",Bids!$AC104)</f>
        <v/>
      </c>
      <c r="T104" s="40" t="str">
        <f>IF(Bids!$F104="","",Bids!$F104)</f>
        <v/>
      </c>
      <c r="U104" s="40" t="str">
        <f t="shared" si="3"/>
        <v/>
      </c>
      <c r="V104" s="40" t="str">
        <f>IF($U104="","",IF(Config!$B$17=Config!$B$16,IF($U104&gt;=Config!$B$17,100,0),MAX(0,MIN(100,($U104-Config!$B$16)/(Config!$B$17-Config!$B$16)*100))))</f>
        <v/>
      </c>
      <c r="W104" s="40">
        <f>IF($L104="Elite",Config!$B$21,0)</f>
        <v>0</v>
      </c>
      <c r="X104" s="40" t="str">
        <f>IFERROR(IF(OR($T104="",$G104=""),"",IF($T104&gt;$G104,
  MAX(0, 60-(($T104-$G104)*24/Config!$B$19)*60),
  MEDIAN(60, 100, 60+(($G104-$T104)*24/Config!$B$20)*40)
)),"")
</f>
        <v/>
      </c>
      <c r="Y104" s="40" t="str">
        <f>IF($J104="","",IFERROR(VLOOKUP($J104,Grinders!$A:$N,10,FALSE),""))</f>
        <v/>
      </c>
      <c r="Z104" s="40" t="str">
        <f>IF($J104="","",IFERROR(VLOOKUP($J104,Grinders!$A:$N,11,FALSE),""))</f>
        <v/>
      </c>
      <c r="AA104" s="40" t="str">
        <f>IF($J104="","",IFERROR(VLOOKUP($J104,Grinders!$A:$N,12,FALSE),""))</f>
        <v/>
      </c>
      <c r="AB104" s="40" t="str">
        <f>IF(OR(AL104=1,AM104=1),0,=IFERROR(IF(OR($C104="",$J104=""),0,IF($D104&lt;&gt;"Open",0,IF(COUNTIFS(GrinderServices!$A:$A,$J104,GrinderServices!$B:$B,$E104,GrinderServices!$D:$D,"Y")=0,0,IF($U104&lt;Config!$B$16,0,IF(Config!$B$18=1,IF($N104&gt;=$M104,0,1),1))))),""))</f>
        <v>#ERROR!</v>
      </c>
      <c r="AC104" s="40" t="str">
        <f>IFERROR((IF(OR(AL104=1,AM104=1),"",=IFERROR((IFERROR(IF($AB104=0,"",((Config!$B$6*$V104 + Config!$B$7*$R104 + Config!$B$8*$W104 + Config!$B$9*$X104 + Config!$B$10*$Y104 + Config!$B$11*$Z104 - Config!$B$12*$AA104)/Config!$B$13)+$AH104+$AI104),""))*(1-IFERROR(VLOOKUP(J104,Grinders!$A:$AB, 28, FALSE),0)),"")))*(1+AO104),"")</f>
        <v>#ERROR!</v>
      </c>
      <c r="AD104" s="40" t="str">
        <f t="shared" si="4"/>
        <v/>
      </c>
      <c r="AE104" s="40" t="str">
        <f>IFERROR(__xludf.DUMMYFUNCTION("IF($AC104="""","""",IF($AC104=IFERROR(MAX(FILTER($AC$6:$AC$1000,$C$6:$C$1000=$C104,$AB$6:$AB$1000=1)),),""WINNER"",""""))"),"#ERROR!")</f>
        <v>#ERROR!</v>
      </c>
      <c r="AF104" s="40" t="str">
        <f t="shared" si="5"/>
        <v/>
      </c>
      <c r="AG104" s="40" t="str">
        <f>IF($J104="","",COUNTIF(Assignments!$B:$B,$J104))</f>
        <v/>
      </c>
      <c r="AH104" s="40" t="str">
        <f>IF($J104="","",IF(AND($AG104=0,$N104&lt;$M104),Config!$B$43,0))</f>
        <v/>
      </c>
      <c r="AI104" s="40" t="str">
        <f>IF($J104="","",IF(AND($L104="Elite",$F104&gt;=Config!$B$41,$N104&lt;$M104),Config!$B$42,0))</f>
        <v/>
      </c>
      <c r="AJ104" s="22"/>
      <c r="AK104" s="39">
        <f>IFERROR(VLOOKUP(J104,Grinders!$A:$Q,28,FALSE),0)</f>
        <v>0</v>
      </c>
      <c r="AL104" s="39">
        <f>IF(Config!$B$1003&lt;&gt;"Y",0,IF(IFERROR(VLOOKUP(J104,Grinders!$A:$P,27,FALSE),0)&gt;=3,IF(OR(F104&gt;=Config!$B$1001,ISNUMBER(SEARCH(E104,Config!$B$1002))),1,0),0))</f>
        <v>0</v>
      </c>
      <c r="AM104" s="39">
        <f t="array" ref="AM104">IFERROR(IF(INDEX(Bids!$AE:$AE,MATCH(B104,Bids!$A:$A,0))="Pending",1,0),0)</f>
        <v>0</v>
      </c>
      <c r="AN104" s="39" t="str">
        <f t="array" ref="AN104">IF(C104="","",IFERROR(XLOOKUP(C104,Assignments!$C:$C,Assignments!$AU:$AU,0),0))</f>
        <v/>
      </c>
      <c r="AO104" s="39">
        <f>IF(AND(Config!$B$1006="Y",AN104=1),Config!$B$1007,0)</f>
        <v>0</v>
      </c>
    </row>
    <row r="105" ht="15.75" customHeight="1">
      <c r="A105" s="46" t="str">
        <f t="shared" si="1"/>
        <v/>
      </c>
      <c r="B105" s="40" t="str">
        <f>IF(Bids!$A105="","",Bids!$A105)</f>
        <v/>
      </c>
      <c r="C105" s="40" t="str">
        <f>IF(Bids!$B105="","",Bids!$B105)</f>
        <v/>
      </c>
      <c r="D105" s="40" t="str">
        <f>IF($C105="","",IFERROR(VLOOKUP($C105,Orders!$A:$J,9,FALSE),""))</f>
        <v/>
      </c>
      <c r="E105" s="40" t="str">
        <f>IF($C105="","",IFERROR(VLOOKUP($C105,Orders!$A:$J,3,FALSE),""))</f>
        <v/>
      </c>
      <c r="F105" s="40" t="str">
        <f>IF($C105="","",IFERROR(VLOOKUP($C105,Orders!$A:$J,4,FALSE),""))</f>
        <v/>
      </c>
      <c r="G105" s="40" t="str">
        <f>IF($C105="","",IFERROR(VLOOKUP($C105,Orders!$A:$J,5,FALSE),""))</f>
        <v/>
      </c>
      <c r="H105" s="40" t="str">
        <f>IF($C105="","",IFERROR(VLOOKUP($C105,Orders!$A:$J,6,FALSE),""))</f>
        <v/>
      </c>
      <c r="I105" s="40" t="str">
        <f>IF($C105="","",IFERROR(VLOOKUP($C105,Orders!$A:$J,7,FALSE),""))</f>
        <v/>
      </c>
      <c r="J105" s="40" t="str">
        <f>IF(Bids!$C105="","",Bids!$C105)</f>
        <v/>
      </c>
      <c r="K105" s="40" t="str">
        <f>IF($J105="","",IFERROR(VLOOKUP($J105,Grinders!$A:$N,2,FALSE),""))</f>
        <v/>
      </c>
      <c r="L105" s="40" t="str">
        <f>IF($J105="","",IFERROR(VLOOKUP($J105,Grinders!$A:$N,3,FALSE),""))</f>
        <v/>
      </c>
      <c r="M105" s="40" t="str">
        <f>IF($J105="","",IFERROR(VLOOKUP($J105,Grinders!$A:$N,4,FALSE),""))</f>
        <v/>
      </c>
      <c r="N105" s="40" t="str">
        <f>IF($J105="","",IFERROR(VLOOKUP($J105,Grinders!$A:$N,5,FALSE),""))</f>
        <v/>
      </c>
      <c r="O105" s="40" t="str">
        <f t="shared" si="2"/>
        <v/>
      </c>
      <c r="P105" s="40" t="str">
        <f>IF($J105="","",IFERROR(VLOOKUP($J105,Grinders!$A:$N,6,FALSE),""))</f>
        <v/>
      </c>
      <c r="Q105" s="40" t="str">
        <f>IF($J105="","",IFERROR(VLOOKUP($J105,Grinders!$A:$N,8,FALSE),""))</f>
        <v/>
      </c>
      <c r="R105" s="40" t="str">
        <f>IFERROR(IF($J105="","",IF($L105="Elite",MAX(50,MIN(100,Config!$B$27*MAX(0,MIN(100,(1-IF($O105="",0,$O105))*100)) + Config!$B$28*MAX(0,MIN(100,(1-MIN(1,IF(Config!$B$30=0,1,$P105/Config!$B$30)))*100)) + Config!$B$29*MAX(0,MIN(100,MIN(1,IF($Q105="",0,$Q105)/Config!$B$23)*100)))),MIN(100,Config!$B$27*MAX(0,MIN(100,(1-IF($O105="",0,$O105))*100)) + Config!$B$28*MAX(0,MIN(100,(1-MIN(1,IF(Config!$B$30=0,1,$P105/Config!$B$30)))*100)) + Config!$B$29*MAX(0,MIN(100,MIN(1,IF($Q105="",0,$Q105)/Config!$B$23)*100))))),"")
</f>
        <v/>
      </c>
      <c r="S105" s="40" t="str">
        <f>IF(Bids!$AC105="","",Bids!$AC105)</f>
        <v/>
      </c>
      <c r="T105" s="40" t="str">
        <f>IF(Bids!$F105="","",Bids!$F105)</f>
        <v/>
      </c>
      <c r="U105" s="40" t="str">
        <f t="shared" si="3"/>
        <v/>
      </c>
      <c r="V105" s="40" t="str">
        <f>IF($U105="","",IF(Config!$B$17=Config!$B$16,IF($U105&gt;=Config!$B$17,100,0),MAX(0,MIN(100,($U105-Config!$B$16)/(Config!$B$17-Config!$B$16)*100))))</f>
        <v/>
      </c>
      <c r="W105" s="40">
        <f>IF($L105="Elite",Config!$B$21,0)</f>
        <v>0</v>
      </c>
      <c r="X105" s="40" t="str">
        <f>IFERROR(IF(OR($T105="",$G105=""),"",IF($T105&gt;$G105,
  MAX(0, 60-(($T105-$G105)*24/Config!$B$19)*60),
  MEDIAN(60, 100, 60+(($G105-$T105)*24/Config!$B$20)*40)
)),"")
</f>
        <v/>
      </c>
      <c r="Y105" s="40" t="str">
        <f>IF($J105="","",IFERROR(VLOOKUP($J105,Grinders!$A:$N,10,FALSE),""))</f>
        <v/>
      </c>
      <c r="Z105" s="40" t="str">
        <f>IF($J105="","",IFERROR(VLOOKUP($J105,Grinders!$A:$N,11,FALSE),""))</f>
        <v/>
      </c>
      <c r="AA105" s="40" t="str">
        <f>IF($J105="","",IFERROR(VLOOKUP($J105,Grinders!$A:$N,12,FALSE),""))</f>
        <v/>
      </c>
      <c r="AB105" s="40" t="str">
        <f>IF(OR(AL105=1,AM105=1),0,=IFERROR(IF(OR($C105="",$J105=""),0,IF($D105&lt;&gt;"Open",0,IF(COUNTIFS(GrinderServices!$A:$A,$J105,GrinderServices!$B:$B,$E105,GrinderServices!$D:$D,"Y")=0,0,IF($U105&lt;Config!$B$16,0,IF(Config!$B$18=1,IF($N105&gt;=$M105,0,1),1))))),""))</f>
        <v>#ERROR!</v>
      </c>
      <c r="AC105" s="40" t="str">
        <f>IFERROR((IF(OR(AL105=1,AM105=1),"",=IFERROR((IFERROR(IF($AB105=0,"",((Config!$B$6*$V105 + Config!$B$7*$R105 + Config!$B$8*$W105 + Config!$B$9*$X105 + Config!$B$10*$Y105 + Config!$B$11*$Z105 - Config!$B$12*$AA105)/Config!$B$13)+$AH105+$AI105),""))*(1-IFERROR(VLOOKUP(J105,Grinders!$A:$AB, 28, FALSE),0)),"")))*(1+AO105),"")</f>
        <v>#ERROR!</v>
      </c>
      <c r="AD105" s="40" t="str">
        <f t="shared" si="4"/>
        <v/>
      </c>
      <c r="AE105" s="40" t="str">
        <f>IFERROR(__xludf.DUMMYFUNCTION("IF($AC105="""","""",IF($AC105=IFERROR(MAX(FILTER($AC$6:$AC$1000,$C$6:$C$1000=$C105,$AB$6:$AB$1000=1)),),""WINNER"",""""))"),"#ERROR!")</f>
        <v>#ERROR!</v>
      </c>
      <c r="AF105" s="40" t="str">
        <f t="shared" si="5"/>
        <v/>
      </c>
      <c r="AG105" s="40" t="str">
        <f>IF($J105="","",COUNTIF(Assignments!$B:$B,$J105))</f>
        <v/>
      </c>
      <c r="AH105" s="40" t="str">
        <f>IF($J105="","",IF(AND($AG105=0,$N105&lt;$M105),Config!$B$43,0))</f>
        <v/>
      </c>
      <c r="AI105" s="40" t="str">
        <f>IF($J105="","",IF(AND($L105="Elite",$F105&gt;=Config!$B$41,$N105&lt;$M105),Config!$B$42,0))</f>
        <v/>
      </c>
      <c r="AJ105" s="22"/>
      <c r="AK105" s="39">
        <f>IFERROR(VLOOKUP(J105,Grinders!$A:$Q,28,FALSE),0)</f>
        <v>0</v>
      </c>
      <c r="AL105" s="39">
        <f>IF(Config!$B$1003&lt;&gt;"Y",0,IF(IFERROR(VLOOKUP(J105,Grinders!$A:$P,27,FALSE),0)&gt;=3,IF(OR(F105&gt;=Config!$B$1001,ISNUMBER(SEARCH(E105,Config!$B$1002))),1,0),0))</f>
        <v>0</v>
      </c>
      <c r="AM105" s="39">
        <f t="array" ref="AM105">IFERROR(IF(INDEX(Bids!$AE:$AE,MATCH(B105,Bids!$A:$A,0))="Pending",1,0),0)</f>
        <v>0</v>
      </c>
      <c r="AN105" s="39" t="str">
        <f t="array" ref="AN105">IF(C105="","",IFERROR(XLOOKUP(C105,Assignments!$C:$C,Assignments!$AU:$AU,0),0))</f>
        <v/>
      </c>
      <c r="AO105" s="39">
        <f>IF(AND(Config!$B$1006="Y",AN105=1),Config!$B$1007,0)</f>
        <v>0</v>
      </c>
    </row>
    <row r="106" ht="15.75" customHeight="1">
      <c r="A106" s="46" t="str">
        <f t="shared" si="1"/>
        <v/>
      </c>
      <c r="B106" s="40" t="str">
        <f>IF(Bids!$A106="","",Bids!$A106)</f>
        <v/>
      </c>
      <c r="C106" s="40" t="str">
        <f>IF(Bids!$B106="","",Bids!$B106)</f>
        <v/>
      </c>
      <c r="D106" s="40" t="str">
        <f>IF($C106="","",IFERROR(VLOOKUP($C106,Orders!$A:$J,9,FALSE),""))</f>
        <v/>
      </c>
      <c r="E106" s="40" t="str">
        <f>IF($C106="","",IFERROR(VLOOKUP($C106,Orders!$A:$J,3,FALSE),""))</f>
        <v/>
      </c>
      <c r="F106" s="40" t="str">
        <f>IF($C106="","",IFERROR(VLOOKUP($C106,Orders!$A:$J,4,FALSE),""))</f>
        <v/>
      </c>
      <c r="G106" s="40" t="str">
        <f>IF($C106="","",IFERROR(VLOOKUP($C106,Orders!$A:$J,5,FALSE),""))</f>
        <v/>
      </c>
      <c r="H106" s="40" t="str">
        <f>IF($C106="","",IFERROR(VLOOKUP($C106,Orders!$A:$J,6,FALSE),""))</f>
        <v/>
      </c>
      <c r="I106" s="40" t="str">
        <f>IF($C106="","",IFERROR(VLOOKUP($C106,Orders!$A:$J,7,FALSE),""))</f>
        <v/>
      </c>
      <c r="J106" s="40" t="str">
        <f>IF(Bids!$C106="","",Bids!$C106)</f>
        <v/>
      </c>
      <c r="K106" s="40" t="str">
        <f>IF($J106="","",IFERROR(VLOOKUP($J106,Grinders!$A:$N,2,FALSE),""))</f>
        <v/>
      </c>
      <c r="L106" s="40" t="str">
        <f>IF($J106="","",IFERROR(VLOOKUP($J106,Grinders!$A:$N,3,FALSE),""))</f>
        <v/>
      </c>
      <c r="M106" s="40" t="str">
        <f>IF($J106="","",IFERROR(VLOOKUP($J106,Grinders!$A:$N,4,FALSE),""))</f>
        <v/>
      </c>
      <c r="N106" s="40" t="str">
        <f>IF($J106="","",IFERROR(VLOOKUP($J106,Grinders!$A:$N,5,FALSE),""))</f>
        <v/>
      </c>
      <c r="O106" s="40" t="str">
        <f t="shared" si="2"/>
        <v/>
      </c>
      <c r="P106" s="40" t="str">
        <f>IF($J106="","",IFERROR(VLOOKUP($J106,Grinders!$A:$N,6,FALSE),""))</f>
        <v/>
      </c>
      <c r="Q106" s="40" t="str">
        <f>IF($J106="","",IFERROR(VLOOKUP($J106,Grinders!$A:$N,8,FALSE),""))</f>
        <v/>
      </c>
      <c r="R106" s="40" t="str">
        <f>IFERROR(IF($J106="","",IF($L106="Elite",MAX(50,MIN(100,Config!$B$27*MAX(0,MIN(100,(1-IF($O106="",0,$O106))*100)) + Config!$B$28*MAX(0,MIN(100,(1-MIN(1,IF(Config!$B$30=0,1,$P106/Config!$B$30)))*100)) + Config!$B$29*MAX(0,MIN(100,MIN(1,IF($Q106="",0,$Q106)/Config!$B$23)*100)))),MIN(100,Config!$B$27*MAX(0,MIN(100,(1-IF($O106="",0,$O106))*100)) + Config!$B$28*MAX(0,MIN(100,(1-MIN(1,IF(Config!$B$30=0,1,$P106/Config!$B$30)))*100)) + Config!$B$29*MAX(0,MIN(100,MIN(1,IF($Q106="",0,$Q106)/Config!$B$23)*100))))),"")
</f>
        <v/>
      </c>
      <c r="S106" s="40" t="str">
        <f>IF(Bids!$AC106="","",Bids!$AC106)</f>
        <v/>
      </c>
      <c r="T106" s="40" t="str">
        <f>IF(Bids!$F106="","",Bids!$F106)</f>
        <v/>
      </c>
      <c r="U106" s="40" t="str">
        <f t="shared" si="3"/>
        <v/>
      </c>
      <c r="V106" s="40" t="str">
        <f>IF($U106="","",IF(Config!$B$17=Config!$B$16,IF($U106&gt;=Config!$B$17,100,0),MAX(0,MIN(100,($U106-Config!$B$16)/(Config!$B$17-Config!$B$16)*100))))</f>
        <v/>
      </c>
      <c r="W106" s="40">
        <f>IF($L106="Elite",Config!$B$21,0)</f>
        <v>0</v>
      </c>
      <c r="X106" s="40" t="str">
        <f>IFERROR(IF(OR($T106="",$G106=""),"",IF($T106&gt;$G106,
  MAX(0, 60-(($T106-$G106)*24/Config!$B$19)*60),
  MEDIAN(60, 100, 60+(($G106-$T106)*24/Config!$B$20)*40)
)),"")
</f>
        <v/>
      </c>
      <c r="Y106" s="40" t="str">
        <f>IF($J106="","",IFERROR(VLOOKUP($J106,Grinders!$A:$N,10,FALSE),""))</f>
        <v/>
      </c>
      <c r="Z106" s="40" t="str">
        <f>IF($J106="","",IFERROR(VLOOKUP($J106,Grinders!$A:$N,11,FALSE),""))</f>
        <v/>
      </c>
      <c r="AA106" s="40" t="str">
        <f>IF($J106="","",IFERROR(VLOOKUP($J106,Grinders!$A:$N,12,FALSE),""))</f>
        <v/>
      </c>
      <c r="AB106" s="40" t="str">
        <f>IF(OR(AL106=1,AM106=1),0,=IFERROR(IF(OR($C106="",$J106=""),0,IF($D106&lt;&gt;"Open",0,IF(COUNTIFS(GrinderServices!$A:$A,$J106,GrinderServices!$B:$B,$E106,GrinderServices!$D:$D,"Y")=0,0,IF($U106&lt;Config!$B$16,0,IF(Config!$B$18=1,IF($N106&gt;=$M106,0,1),1))))),""))</f>
        <v>#ERROR!</v>
      </c>
      <c r="AC106" s="40" t="str">
        <f>IFERROR((IF(OR(AL106=1,AM106=1),"",=IFERROR((IFERROR(IF($AB106=0,"",((Config!$B$6*$V106 + Config!$B$7*$R106 + Config!$B$8*$W106 + Config!$B$9*$X106 + Config!$B$10*$Y106 + Config!$B$11*$Z106 - Config!$B$12*$AA106)/Config!$B$13)+$AH106+$AI106),""))*(1-IFERROR(VLOOKUP(J106,Grinders!$A:$AB, 28, FALSE),0)),"")))*(1+AO106),"")</f>
        <v>#ERROR!</v>
      </c>
      <c r="AD106" s="40" t="str">
        <f t="shared" si="4"/>
        <v/>
      </c>
      <c r="AE106" s="40" t="str">
        <f>IFERROR(__xludf.DUMMYFUNCTION("IF($AC106="""","""",IF($AC106=IFERROR(MAX(FILTER($AC$6:$AC$1000,$C$6:$C$1000=$C106,$AB$6:$AB$1000=1)),),""WINNER"",""""))"),"#ERROR!")</f>
        <v>#ERROR!</v>
      </c>
      <c r="AF106" s="40" t="str">
        <f t="shared" si="5"/>
        <v/>
      </c>
      <c r="AG106" s="40" t="str">
        <f>IF($J106="","",COUNTIF(Assignments!$B:$B,$J106))</f>
        <v/>
      </c>
      <c r="AH106" s="40" t="str">
        <f>IF($J106="","",IF(AND($AG106=0,$N106&lt;$M106),Config!$B$43,0))</f>
        <v/>
      </c>
      <c r="AI106" s="40" t="str">
        <f>IF($J106="","",IF(AND($L106="Elite",$F106&gt;=Config!$B$41,$N106&lt;$M106),Config!$B$42,0))</f>
        <v/>
      </c>
      <c r="AJ106" s="22"/>
      <c r="AK106" s="39">
        <f>IFERROR(VLOOKUP(J106,Grinders!$A:$Q,28,FALSE),0)</f>
        <v>0</v>
      </c>
      <c r="AL106" s="39">
        <f>IF(Config!$B$1003&lt;&gt;"Y",0,IF(IFERROR(VLOOKUP(J106,Grinders!$A:$P,27,FALSE),0)&gt;=3,IF(OR(F106&gt;=Config!$B$1001,ISNUMBER(SEARCH(E106,Config!$B$1002))),1,0),0))</f>
        <v>0</v>
      </c>
      <c r="AM106" s="39">
        <f t="array" ref="AM106">IFERROR(IF(INDEX(Bids!$AE:$AE,MATCH(B106,Bids!$A:$A,0))="Pending",1,0),0)</f>
        <v>0</v>
      </c>
      <c r="AN106" s="39" t="str">
        <f t="array" ref="AN106">IF(C106="","",IFERROR(XLOOKUP(C106,Assignments!$C:$C,Assignments!$AU:$AU,0),0))</f>
        <v/>
      </c>
      <c r="AO106" s="39">
        <f>IF(AND(Config!$B$1006="Y",AN106=1),Config!$B$1007,0)</f>
        <v>0</v>
      </c>
    </row>
    <row r="107" ht="15.75" customHeight="1">
      <c r="A107" s="46" t="str">
        <f t="shared" si="1"/>
        <v/>
      </c>
      <c r="B107" s="40" t="str">
        <f>IF(Bids!$A107="","",Bids!$A107)</f>
        <v/>
      </c>
      <c r="C107" s="40" t="str">
        <f>IF(Bids!$B107="","",Bids!$B107)</f>
        <v/>
      </c>
      <c r="D107" s="40" t="str">
        <f>IF($C107="","",IFERROR(VLOOKUP($C107,Orders!$A:$J,9,FALSE),""))</f>
        <v/>
      </c>
      <c r="E107" s="40" t="str">
        <f>IF($C107="","",IFERROR(VLOOKUP($C107,Orders!$A:$J,3,FALSE),""))</f>
        <v/>
      </c>
      <c r="F107" s="40" t="str">
        <f>IF($C107="","",IFERROR(VLOOKUP($C107,Orders!$A:$J,4,FALSE),""))</f>
        <v/>
      </c>
      <c r="G107" s="40" t="str">
        <f>IF($C107="","",IFERROR(VLOOKUP($C107,Orders!$A:$J,5,FALSE),""))</f>
        <v/>
      </c>
      <c r="H107" s="40" t="str">
        <f>IF($C107="","",IFERROR(VLOOKUP($C107,Orders!$A:$J,6,FALSE),""))</f>
        <v/>
      </c>
      <c r="I107" s="40" t="str">
        <f>IF($C107="","",IFERROR(VLOOKUP($C107,Orders!$A:$J,7,FALSE),""))</f>
        <v/>
      </c>
      <c r="J107" s="40" t="str">
        <f>IF(Bids!$C107="","",Bids!$C107)</f>
        <v/>
      </c>
      <c r="K107" s="40" t="str">
        <f>IF($J107="","",IFERROR(VLOOKUP($J107,Grinders!$A:$N,2,FALSE),""))</f>
        <v/>
      </c>
      <c r="L107" s="40" t="str">
        <f>IF($J107="","",IFERROR(VLOOKUP($J107,Grinders!$A:$N,3,FALSE),""))</f>
        <v/>
      </c>
      <c r="M107" s="40" t="str">
        <f>IF($J107="","",IFERROR(VLOOKUP($J107,Grinders!$A:$N,4,FALSE),""))</f>
        <v/>
      </c>
      <c r="N107" s="40" t="str">
        <f>IF($J107="","",IFERROR(VLOOKUP($J107,Grinders!$A:$N,5,FALSE),""))</f>
        <v/>
      </c>
      <c r="O107" s="40" t="str">
        <f t="shared" si="2"/>
        <v/>
      </c>
      <c r="P107" s="40" t="str">
        <f>IF($J107="","",IFERROR(VLOOKUP($J107,Grinders!$A:$N,6,FALSE),""))</f>
        <v/>
      </c>
      <c r="Q107" s="40" t="str">
        <f>IF($J107="","",IFERROR(VLOOKUP($J107,Grinders!$A:$N,8,FALSE),""))</f>
        <v/>
      </c>
      <c r="R107" s="40" t="str">
        <f>IFERROR(IF($J107="","",IF($L107="Elite",MAX(50,MIN(100,Config!$B$27*MAX(0,MIN(100,(1-IF($O107="",0,$O107))*100)) + Config!$B$28*MAX(0,MIN(100,(1-MIN(1,IF(Config!$B$30=0,1,$P107/Config!$B$30)))*100)) + Config!$B$29*MAX(0,MIN(100,MIN(1,IF($Q107="",0,$Q107)/Config!$B$23)*100)))),MIN(100,Config!$B$27*MAX(0,MIN(100,(1-IF($O107="",0,$O107))*100)) + Config!$B$28*MAX(0,MIN(100,(1-MIN(1,IF(Config!$B$30=0,1,$P107/Config!$B$30)))*100)) + Config!$B$29*MAX(0,MIN(100,MIN(1,IF($Q107="",0,$Q107)/Config!$B$23)*100))))),"")
</f>
        <v/>
      </c>
      <c r="S107" s="40" t="str">
        <f>IF(Bids!$AC107="","",Bids!$AC107)</f>
        <v/>
      </c>
      <c r="T107" s="40" t="str">
        <f>IF(Bids!$F107="","",Bids!$F107)</f>
        <v/>
      </c>
      <c r="U107" s="40" t="str">
        <f t="shared" si="3"/>
        <v/>
      </c>
      <c r="V107" s="40" t="str">
        <f>IF($U107="","",IF(Config!$B$17=Config!$B$16,IF($U107&gt;=Config!$B$17,100,0),MAX(0,MIN(100,($U107-Config!$B$16)/(Config!$B$17-Config!$B$16)*100))))</f>
        <v/>
      </c>
      <c r="W107" s="40">
        <f>IF($L107="Elite",Config!$B$21,0)</f>
        <v>0</v>
      </c>
      <c r="X107" s="40" t="str">
        <f>IFERROR(IF(OR($T107="",$G107=""),"",IF($T107&gt;$G107,
  MAX(0, 60-(($T107-$G107)*24/Config!$B$19)*60),
  MEDIAN(60, 100, 60+(($G107-$T107)*24/Config!$B$20)*40)
)),"")
</f>
        <v/>
      </c>
      <c r="Y107" s="40" t="str">
        <f>IF($J107="","",IFERROR(VLOOKUP($J107,Grinders!$A:$N,10,FALSE),""))</f>
        <v/>
      </c>
      <c r="Z107" s="40" t="str">
        <f>IF($J107="","",IFERROR(VLOOKUP($J107,Grinders!$A:$N,11,FALSE),""))</f>
        <v/>
      </c>
      <c r="AA107" s="40" t="str">
        <f>IF($J107="","",IFERROR(VLOOKUP($J107,Grinders!$A:$N,12,FALSE),""))</f>
        <v/>
      </c>
      <c r="AB107" s="40" t="str">
        <f>IF(OR(AL107=1,AM107=1),0,=IFERROR(IF(OR($C107="",$J107=""),0,IF($D107&lt;&gt;"Open",0,IF(COUNTIFS(GrinderServices!$A:$A,$J107,GrinderServices!$B:$B,$E107,GrinderServices!$D:$D,"Y")=0,0,IF($U107&lt;Config!$B$16,0,IF(Config!$B$18=1,IF($N107&gt;=$M107,0,1),1))))),""))</f>
        <v>#ERROR!</v>
      </c>
      <c r="AC107" s="40" t="str">
        <f>IFERROR((IF(OR(AL107=1,AM107=1),"",=IFERROR((IFERROR(IF($AB107=0,"",((Config!$B$6*$V107 + Config!$B$7*$R107 + Config!$B$8*$W107 + Config!$B$9*$X107 + Config!$B$10*$Y107 + Config!$B$11*$Z107 - Config!$B$12*$AA107)/Config!$B$13)+$AH107+$AI107),""))*(1-IFERROR(VLOOKUP(J107,Grinders!$A:$AB, 28, FALSE),0)),"")))*(1+AO107),"")</f>
        <v>#ERROR!</v>
      </c>
      <c r="AD107" s="40" t="str">
        <f t="shared" si="4"/>
        <v/>
      </c>
      <c r="AE107" s="40" t="str">
        <f>IFERROR(__xludf.DUMMYFUNCTION("IF($AC107="""","""",IF($AC107=IFERROR(MAX(FILTER($AC$6:$AC$1000,$C$6:$C$1000=$C107,$AB$6:$AB$1000=1)),),""WINNER"",""""))"),"#ERROR!")</f>
        <v>#ERROR!</v>
      </c>
      <c r="AF107" s="40" t="str">
        <f t="shared" si="5"/>
        <v/>
      </c>
      <c r="AG107" s="40" t="str">
        <f>IF($J107="","",COUNTIF(Assignments!$B:$B,$J107))</f>
        <v/>
      </c>
      <c r="AH107" s="40" t="str">
        <f>IF($J107="","",IF(AND($AG107=0,$N107&lt;$M107),Config!$B$43,0))</f>
        <v/>
      </c>
      <c r="AI107" s="40" t="str">
        <f>IF($J107="","",IF(AND($L107="Elite",$F107&gt;=Config!$B$41,$N107&lt;$M107),Config!$B$42,0))</f>
        <v/>
      </c>
      <c r="AJ107" s="22"/>
      <c r="AK107" s="39">
        <f>IFERROR(VLOOKUP(J107,Grinders!$A:$Q,28,FALSE),0)</f>
        <v>0</v>
      </c>
      <c r="AL107" s="39">
        <f>IF(Config!$B$1003&lt;&gt;"Y",0,IF(IFERROR(VLOOKUP(J107,Grinders!$A:$P,27,FALSE),0)&gt;=3,IF(OR(F107&gt;=Config!$B$1001,ISNUMBER(SEARCH(E107,Config!$B$1002))),1,0),0))</f>
        <v>0</v>
      </c>
      <c r="AM107" s="39">
        <f t="array" ref="AM107">IFERROR(IF(INDEX(Bids!$AE:$AE,MATCH(B107,Bids!$A:$A,0))="Pending",1,0),0)</f>
        <v>0</v>
      </c>
      <c r="AN107" s="39" t="str">
        <f t="array" ref="AN107">IF(C107="","",IFERROR(XLOOKUP(C107,Assignments!$C:$C,Assignments!$AU:$AU,0),0))</f>
        <v/>
      </c>
      <c r="AO107" s="39">
        <f>IF(AND(Config!$B$1006="Y",AN107=1),Config!$B$1007,0)</f>
        <v>0</v>
      </c>
    </row>
    <row r="108" ht="15.75" customHeight="1">
      <c r="A108" s="46" t="str">
        <f t="shared" si="1"/>
        <v/>
      </c>
      <c r="B108" s="40" t="str">
        <f>IF(Bids!$A108="","",Bids!$A108)</f>
        <v/>
      </c>
      <c r="C108" s="40" t="str">
        <f>IF(Bids!$B108="","",Bids!$B108)</f>
        <v/>
      </c>
      <c r="D108" s="40" t="str">
        <f>IF($C108="","",IFERROR(VLOOKUP($C108,Orders!$A:$J,9,FALSE),""))</f>
        <v/>
      </c>
      <c r="E108" s="40" t="str">
        <f>IF($C108="","",IFERROR(VLOOKUP($C108,Orders!$A:$J,3,FALSE),""))</f>
        <v/>
      </c>
      <c r="F108" s="40" t="str">
        <f>IF($C108="","",IFERROR(VLOOKUP($C108,Orders!$A:$J,4,FALSE),""))</f>
        <v/>
      </c>
      <c r="G108" s="40" t="str">
        <f>IF($C108="","",IFERROR(VLOOKUP($C108,Orders!$A:$J,5,FALSE),""))</f>
        <v/>
      </c>
      <c r="H108" s="40" t="str">
        <f>IF($C108="","",IFERROR(VLOOKUP($C108,Orders!$A:$J,6,FALSE),""))</f>
        <v/>
      </c>
      <c r="I108" s="40" t="str">
        <f>IF($C108="","",IFERROR(VLOOKUP($C108,Orders!$A:$J,7,FALSE),""))</f>
        <v/>
      </c>
      <c r="J108" s="40" t="str">
        <f>IF(Bids!$C108="","",Bids!$C108)</f>
        <v/>
      </c>
      <c r="K108" s="40" t="str">
        <f>IF($J108="","",IFERROR(VLOOKUP($J108,Grinders!$A:$N,2,FALSE),""))</f>
        <v/>
      </c>
      <c r="L108" s="40" t="str">
        <f>IF($J108="","",IFERROR(VLOOKUP($J108,Grinders!$A:$N,3,FALSE),""))</f>
        <v/>
      </c>
      <c r="M108" s="40" t="str">
        <f>IF($J108="","",IFERROR(VLOOKUP($J108,Grinders!$A:$N,4,FALSE),""))</f>
        <v/>
      </c>
      <c r="N108" s="40" t="str">
        <f>IF($J108="","",IFERROR(VLOOKUP($J108,Grinders!$A:$N,5,FALSE),""))</f>
        <v/>
      </c>
      <c r="O108" s="40" t="str">
        <f t="shared" si="2"/>
        <v/>
      </c>
      <c r="P108" s="40" t="str">
        <f>IF($J108="","",IFERROR(VLOOKUP($J108,Grinders!$A:$N,6,FALSE),""))</f>
        <v/>
      </c>
      <c r="Q108" s="40" t="str">
        <f>IF($J108="","",IFERROR(VLOOKUP($J108,Grinders!$A:$N,8,FALSE),""))</f>
        <v/>
      </c>
      <c r="R108" s="40" t="str">
        <f>IFERROR(IF($J108="","",IF($L108="Elite",MAX(50,MIN(100,Config!$B$27*MAX(0,MIN(100,(1-IF($O108="",0,$O108))*100)) + Config!$B$28*MAX(0,MIN(100,(1-MIN(1,IF(Config!$B$30=0,1,$P108/Config!$B$30)))*100)) + Config!$B$29*MAX(0,MIN(100,MIN(1,IF($Q108="",0,$Q108)/Config!$B$23)*100)))),MIN(100,Config!$B$27*MAX(0,MIN(100,(1-IF($O108="",0,$O108))*100)) + Config!$B$28*MAX(0,MIN(100,(1-MIN(1,IF(Config!$B$30=0,1,$P108/Config!$B$30)))*100)) + Config!$B$29*MAX(0,MIN(100,MIN(1,IF($Q108="",0,$Q108)/Config!$B$23)*100))))),"")
</f>
        <v/>
      </c>
      <c r="S108" s="40" t="str">
        <f>IF(Bids!$AC108="","",Bids!$AC108)</f>
        <v/>
      </c>
      <c r="T108" s="40" t="str">
        <f>IF(Bids!$F108="","",Bids!$F108)</f>
        <v/>
      </c>
      <c r="U108" s="40" t="str">
        <f t="shared" si="3"/>
        <v/>
      </c>
      <c r="V108" s="40" t="str">
        <f>IF($U108="","",IF(Config!$B$17=Config!$B$16,IF($U108&gt;=Config!$B$17,100,0),MAX(0,MIN(100,($U108-Config!$B$16)/(Config!$B$17-Config!$B$16)*100))))</f>
        <v/>
      </c>
      <c r="W108" s="40">
        <f>IF($L108="Elite",Config!$B$21,0)</f>
        <v>0</v>
      </c>
      <c r="X108" s="40" t="str">
        <f>IFERROR(IF(OR($T108="",$G108=""),"",IF($T108&gt;$G108,
  MAX(0, 60-(($T108-$G108)*24/Config!$B$19)*60),
  MEDIAN(60, 100, 60+(($G108-$T108)*24/Config!$B$20)*40)
)),"")
</f>
        <v/>
      </c>
      <c r="Y108" s="40" t="str">
        <f>IF($J108="","",IFERROR(VLOOKUP($J108,Grinders!$A:$N,10,FALSE),""))</f>
        <v/>
      </c>
      <c r="Z108" s="40" t="str">
        <f>IF($J108="","",IFERROR(VLOOKUP($J108,Grinders!$A:$N,11,FALSE),""))</f>
        <v/>
      </c>
      <c r="AA108" s="40" t="str">
        <f>IF($J108="","",IFERROR(VLOOKUP($J108,Grinders!$A:$N,12,FALSE),""))</f>
        <v/>
      </c>
      <c r="AB108" s="40" t="str">
        <f>IF(OR(AL108=1,AM108=1),0,=IFERROR(IF(OR($C108="",$J108=""),0,IF($D108&lt;&gt;"Open",0,IF(COUNTIFS(GrinderServices!$A:$A,$J108,GrinderServices!$B:$B,$E108,GrinderServices!$D:$D,"Y")=0,0,IF($U108&lt;Config!$B$16,0,IF(Config!$B$18=1,IF($N108&gt;=$M108,0,1),1))))),""))</f>
        <v>#ERROR!</v>
      </c>
      <c r="AC108" s="40" t="str">
        <f>IFERROR((IF(OR(AL108=1,AM108=1),"",=IFERROR((IFERROR(IF($AB108=0,"",((Config!$B$6*$V108 + Config!$B$7*$R108 + Config!$B$8*$W108 + Config!$B$9*$X108 + Config!$B$10*$Y108 + Config!$B$11*$Z108 - Config!$B$12*$AA108)/Config!$B$13)+$AH108+$AI108),""))*(1-IFERROR(VLOOKUP(J108,Grinders!$A:$AB, 28, FALSE),0)),"")))*(1+AO108),"")</f>
        <v>#ERROR!</v>
      </c>
      <c r="AD108" s="40" t="str">
        <f t="shared" si="4"/>
        <v/>
      </c>
      <c r="AE108" s="40" t="str">
        <f>IFERROR(__xludf.DUMMYFUNCTION("IF($AC108="""","""",IF($AC108=IFERROR(MAX(FILTER($AC$6:$AC$1000,$C$6:$C$1000=$C108,$AB$6:$AB$1000=1)),),""WINNER"",""""))"),"#ERROR!")</f>
        <v>#ERROR!</v>
      </c>
      <c r="AF108" s="40" t="str">
        <f t="shared" si="5"/>
        <v/>
      </c>
      <c r="AG108" s="40" t="str">
        <f>IF($J108="","",COUNTIF(Assignments!$B:$B,$J108))</f>
        <v/>
      </c>
      <c r="AH108" s="40" t="str">
        <f>IF($J108="","",IF(AND($AG108=0,$N108&lt;$M108),Config!$B$43,0))</f>
        <v/>
      </c>
      <c r="AI108" s="40" t="str">
        <f>IF($J108="","",IF(AND($L108="Elite",$F108&gt;=Config!$B$41,$N108&lt;$M108),Config!$B$42,0))</f>
        <v/>
      </c>
      <c r="AJ108" s="22"/>
      <c r="AK108" s="39">
        <f>IFERROR(VLOOKUP(J108,Grinders!$A:$Q,28,FALSE),0)</f>
        <v>0</v>
      </c>
      <c r="AL108" s="39">
        <f>IF(Config!$B$1003&lt;&gt;"Y",0,IF(IFERROR(VLOOKUP(J108,Grinders!$A:$P,27,FALSE),0)&gt;=3,IF(OR(F108&gt;=Config!$B$1001,ISNUMBER(SEARCH(E108,Config!$B$1002))),1,0),0))</f>
        <v>0</v>
      </c>
      <c r="AM108" s="39">
        <f t="array" ref="AM108">IFERROR(IF(INDEX(Bids!$AE:$AE,MATCH(B108,Bids!$A:$A,0))="Pending",1,0),0)</f>
        <v>0</v>
      </c>
      <c r="AN108" s="39" t="str">
        <f t="array" ref="AN108">IF(C108="","",IFERROR(XLOOKUP(C108,Assignments!$C:$C,Assignments!$AU:$AU,0),0))</f>
        <v/>
      </c>
      <c r="AO108" s="39">
        <f>IF(AND(Config!$B$1006="Y",AN108=1),Config!$B$1007,0)</f>
        <v>0</v>
      </c>
    </row>
    <row r="109" ht="15.75" customHeight="1">
      <c r="A109" s="46" t="str">
        <f t="shared" si="1"/>
        <v/>
      </c>
      <c r="B109" s="40" t="str">
        <f>IF(Bids!$A109="","",Bids!$A109)</f>
        <v/>
      </c>
      <c r="C109" s="40" t="str">
        <f>IF(Bids!$B109="","",Bids!$B109)</f>
        <v/>
      </c>
      <c r="D109" s="40" t="str">
        <f>IF($C109="","",IFERROR(VLOOKUP($C109,Orders!$A:$J,9,FALSE),""))</f>
        <v/>
      </c>
      <c r="E109" s="40" t="str">
        <f>IF($C109="","",IFERROR(VLOOKUP($C109,Orders!$A:$J,3,FALSE),""))</f>
        <v/>
      </c>
      <c r="F109" s="40" t="str">
        <f>IF($C109="","",IFERROR(VLOOKUP($C109,Orders!$A:$J,4,FALSE),""))</f>
        <v/>
      </c>
      <c r="G109" s="40" t="str">
        <f>IF($C109="","",IFERROR(VLOOKUP($C109,Orders!$A:$J,5,FALSE),""))</f>
        <v/>
      </c>
      <c r="H109" s="40" t="str">
        <f>IF($C109="","",IFERROR(VLOOKUP($C109,Orders!$A:$J,6,FALSE),""))</f>
        <v/>
      </c>
      <c r="I109" s="40" t="str">
        <f>IF($C109="","",IFERROR(VLOOKUP($C109,Orders!$A:$J,7,FALSE),""))</f>
        <v/>
      </c>
      <c r="J109" s="40" t="str">
        <f>IF(Bids!$C109="","",Bids!$C109)</f>
        <v/>
      </c>
      <c r="K109" s="40" t="str">
        <f>IF($J109="","",IFERROR(VLOOKUP($J109,Grinders!$A:$N,2,FALSE),""))</f>
        <v/>
      </c>
      <c r="L109" s="40" t="str">
        <f>IF($J109="","",IFERROR(VLOOKUP($J109,Grinders!$A:$N,3,FALSE),""))</f>
        <v/>
      </c>
      <c r="M109" s="40" t="str">
        <f>IF($J109="","",IFERROR(VLOOKUP($J109,Grinders!$A:$N,4,FALSE),""))</f>
        <v/>
      </c>
      <c r="N109" s="40" t="str">
        <f>IF($J109="","",IFERROR(VLOOKUP($J109,Grinders!$A:$N,5,FALSE),""))</f>
        <v/>
      </c>
      <c r="O109" s="40" t="str">
        <f t="shared" si="2"/>
        <v/>
      </c>
      <c r="P109" s="40" t="str">
        <f>IF($J109="","",IFERROR(VLOOKUP($J109,Grinders!$A:$N,6,FALSE),""))</f>
        <v/>
      </c>
      <c r="Q109" s="40" t="str">
        <f>IF($J109="","",IFERROR(VLOOKUP($J109,Grinders!$A:$N,8,FALSE),""))</f>
        <v/>
      </c>
      <c r="R109" s="40" t="str">
        <f>IFERROR(IF($J109="","",IF($L109="Elite",MAX(50,MIN(100,Config!$B$27*MAX(0,MIN(100,(1-IF($O109="",0,$O109))*100)) + Config!$B$28*MAX(0,MIN(100,(1-MIN(1,IF(Config!$B$30=0,1,$P109/Config!$B$30)))*100)) + Config!$B$29*MAX(0,MIN(100,MIN(1,IF($Q109="",0,$Q109)/Config!$B$23)*100)))),MIN(100,Config!$B$27*MAX(0,MIN(100,(1-IF($O109="",0,$O109))*100)) + Config!$B$28*MAX(0,MIN(100,(1-MIN(1,IF(Config!$B$30=0,1,$P109/Config!$B$30)))*100)) + Config!$B$29*MAX(0,MIN(100,MIN(1,IF($Q109="",0,$Q109)/Config!$B$23)*100))))),"")
</f>
        <v/>
      </c>
      <c r="S109" s="40" t="str">
        <f>IF(Bids!$AC109="","",Bids!$AC109)</f>
        <v/>
      </c>
      <c r="T109" s="40" t="str">
        <f>IF(Bids!$F109="","",Bids!$F109)</f>
        <v/>
      </c>
      <c r="U109" s="40" t="str">
        <f t="shared" si="3"/>
        <v/>
      </c>
      <c r="V109" s="40" t="str">
        <f>IF($U109="","",IF(Config!$B$17=Config!$B$16,IF($U109&gt;=Config!$B$17,100,0),MAX(0,MIN(100,($U109-Config!$B$16)/(Config!$B$17-Config!$B$16)*100))))</f>
        <v/>
      </c>
      <c r="W109" s="40">
        <f>IF($L109="Elite",Config!$B$21,0)</f>
        <v>0</v>
      </c>
      <c r="X109" s="40" t="str">
        <f>IFERROR(IF(OR($T109="",$G109=""),"",IF($T109&gt;$G109,
  MAX(0, 60-(($T109-$G109)*24/Config!$B$19)*60),
  MEDIAN(60, 100, 60+(($G109-$T109)*24/Config!$B$20)*40)
)),"")
</f>
        <v/>
      </c>
      <c r="Y109" s="40" t="str">
        <f>IF($J109="","",IFERROR(VLOOKUP($J109,Grinders!$A:$N,10,FALSE),""))</f>
        <v/>
      </c>
      <c r="Z109" s="40" t="str">
        <f>IF($J109="","",IFERROR(VLOOKUP($J109,Grinders!$A:$N,11,FALSE),""))</f>
        <v/>
      </c>
      <c r="AA109" s="40" t="str">
        <f>IF($J109="","",IFERROR(VLOOKUP($J109,Grinders!$A:$N,12,FALSE),""))</f>
        <v/>
      </c>
      <c r="AB109" s="40" t="str">
        <f>IF(OR(AL109=1,AM109=1),0,=IFERROR(IF(OR($C109="",$J109=""),0,IF($D109&lt;&gt;"Open",0,IF(COUNTIFS(GrinderServices!$A:$A,$J109,GrinderServices!$B:$B,$E109,GrinderServices!$D:$D,"Y")=0,0,IF($U109&lt;Config!$B$16,0,IF(Config!$B$18=1,IF($N109&gt;=$M109,0,1),1))))),""))</f>
        <v>#ERROR!</v>
      </c>
      <c r="AC109" s="40" t="str">
        <f>IFERROR((IF(OR(AL109=1,AM109=1),"",=IFERROR((IFERROR(IF($AB109=0,"",((Config!$B$6*$V109 + Config!$B$7*$R109 + Config!$B$8*$W109 + Config!$B$9*$X109 + Config!$B$10*$Y109 + Config!$B$11*$Z109 - Config!$B$12*$AA109)/Config!$B$13)+$AH109+$AI109),""))*(1-IFERROR(VLOOKUP(J109,Grinders!$A:$AB, 28, FALSE),0)),"")))*(1+AO109),"")</f>
        <v>#ERROR!</v>
      </c>
      <c r="AD109" s="40" t="str">
        <f t="shared" si="4"/>
        <v/>
      </c>
      <c r="AE109" s="40" t="str">
        <f>IFERROR(__xludf.DUMMYFUNCTION("IF($AC109="""","""",IF($AC109=IFERROR(MAX(FILTER($AC$6:$AC$1000,$C$6:$C$1000=$C109,$AB$6:$AB$1000=1)),),""WINNER"",""""))"),"#ERROR!")</f>
        <v>#ERROR!</v>
      </c>
      <c r="AF109" s="40" t="str">
        <f t="shared" si="5"/>
        <v/>
      </c>
      <c r="AG109" s="40" t="str">
        <f>IF($J109="","",COUNTIF(Assignments!$B:$B,$J109))</f>
        <v/>
      </c>
      <c r="AH109" s="40" t="str">
        <f>IF($J109="","",IF(AND($AG109=0,$N109&lt;$M109),Config!$B$43,0))</f>
        <v/>
      </c>
      <c r="AI109" s="40" t="str">
        <f>IF($J109="","",IF(AND($L109="Elite",$F109&gt;=Config!$B$41,$N109&lt;$M109),Config!$B$42,0))</f>
        <v/>
      </c>
      <c r="AJ109" s="22"/>
      <c r="AK109" s="39">
        <f>IFERROR(VLOOKUP(J109,Grinders!$A:$Q,28,FALSE),0)</f>
        <v>0</v>
      </c>
      <c r="AL109" s="39">
        <f>IF(Config!$B$1003&lt;&gt;"Y",0,IF(IFERROR(VLOOKUP(J109,Grinders!$A:$P,27,FALSE),0)&gt;=3,IF(OR(F109&gt;=Config!$B$1001,ISNUMBER(SEARCH(E109,Config!$B$1002))),1,0),0))</f>
        <v>0</v>
      </c>
      <c r="AM109" s="39">
        <f t="array" ref="AM109">IFERROR(IF(INDEX(Bids!$AE:$AE,MATCH(B109,Bids!$A:$A,0))="Pending",1,0),0)</f>
        <v>0</v>
      </c>
      <c r="AN109" s="39" t="str">
        <f t="array" ref="AN109">IF(C109="","",IFERROR(XLOOKUP(C109,Assignments!$C:$C,Assignments!$AU:$AU,0),0))</f>
        <v/>
      </c>
      <c r="AO109" s="39">
        <f>IF(AND(Config!$B$1006="Y",AN109=1),Config!$B$1007,0)</f>
        <v>0</v>
      </c>
    </row>
    <row r="110" ht="15.75" customHeight="1">
      <c r="A110" s="46" t="str">
        <f t="shared" si="1"/>
        <v/>
      </c>
      <c r="B110" s="40" t="str">
        <f>IF(Bids!$A110="","",Bids!$A110)</f>
        <v/>
      </c>
      <c r="C110" s="40" t="str">
        <f>IF(Bids!$B110="","",Bids!$B110)</f>
        <v/>
      </c>
      <c r="D110" s="40" t="str">
        <f>IF($C110="","",IFERROR(VLOOKUP($C110,Orders!$A:$J,9,FALSE),""))</f>
        <v/>
      </c>
      <c r="E110" s="40" t="str">
        <f>IF($C110="","",IFERROR(VLOOKUP($C110,Orders!$A:$J,3,FALSE),""))</f>
        <v/>
      </c>
      <c r="F110" s="40" t="str">
        <f>IF($C110="","",IFERROR(VLOOKUP($C110,Orders!$A:$J,4,FALSE),""))</f>
        <v/>
      </c>
      <c r="G110" s="40" t="str">
        <f>IF($C110="","",IFERROR(VLOOKUP($C110,Orders!$A:$J,5,FALSE),""))</f>
        <v/>
      </c>
      <c r="H110" s="40" t="str">
        <f>IF($C110="","",IFERROR(VLOOKUP($C110,Orders!$A:$J,6,FALSE),""))</f>
        <v/>
      </c>
      <c r="I110" s="40" t="str">
        <f>IF($C110="","",IFERROR(VLOOKUP($C110,Orders!$A:$J,7,FALSE),""))</f>
        <v/>
      </c>
      <c r="J110" s="40" t="str">
        <f>IF(Bids!$C110="","",Bids!$C110)</f>
        <v/>
      </c>
      <c r="K110" s="40" t="str">
        <f>IF($J110="","",IFERROR(VLOOKUP($J110,Grinders!$A:$N,2,FALSE),""))</f>
        <v/>
      </c>
      <c r="L110" s="40" t="str">
        <f>IF($J110="","",IFERROR(VLOOKUP($J110,Grinders!$A:$N,3,FALSE),""))</f>
        <v/>
      </c>
      <c r="M110" s="40" t="str">
        <f>IF($J110="","",IFERROR(VLOOKUP($J110,Grinders!$A:$N,4,FALSE),""))</f>
        <v/>
      </c>
      <c r="N110" s="40" t="str">
        <f>IF($J110="","",IFERROR(VLOOKUP($J110,Grinders!$A:$N,5,FALSE),""))</f>
        <v/>
      </c>
      <c r="O110" s="40" t="str">
        <f t="shared" si="2"/>
        <v/>
      </c>
      <c r="P110" s="40" t="str">
        <f>IF($J110="","",IFERROR(VLOOKUP($J110,Grinders!$A:$N,6,FALSE),""))</f>
        <v/>
      </c>
      <c r="Q110" s="40" t="str">
        <f>IF($J110="","",IFERROR(VLOOKUP($J110,Grinders!$A:$N,8,FALSE),""))</f>
        <v/>
      </c>
      <c r="R110" s="40" t="str">
        <f>IFERROR(IF($J110="","",IF($L110="Elite",MAX(50,MIN(100,Config!$B$27*MAX(0,MIN(100,(1-IF($O110="",0,$O110))*100)) + Config!$B$28*MAX(0,MIN(100,(1-MIN(1,IF(Config!$B$30=0,1,$P110/Config!$B$30)))*100)) + Config!$B$29*MAX(0,MIN(100,MIN(1,IF($Q110="",0,$Q110)/Config!$B$23)*100)))),MIN(100,Config!$B$27*MAX(0,MIN(100,(1-IF($O110="",0,$O110))*100)) + Config!$B$28*MAX(0,MIN(100,(1-MIN(1,IF(Config!$B$30=0,1,$P110/Config!$B$30)))*100)) + Config!$B$29*MAX(0,MIN(100,MIN(1,IF($Q110="",0,$Q110)/Config!$B$23)*100))))),"")
</f>
        <v/>
      </c>
      <c r="S110" s="40" t="str">
        <f>IF(Bids!$AC110="","",Bids!$AC110)</f>
        <v/>
      </c>
      <c r="T110" s="40" t="str">
        <f>IF(Bids!$F110="","",Bids!$F110)</f>
        <v/>
      </c>
      <c r="U110" s="40" t="str">
        <f t="shared" si="3"/>
        <v/>
      </c>
      <c r="V110" s="40" t="str">
        <f>IF($U110="","",IF(Config!$B$17=Config!$B$16,IF($U110&gt;=Config!$B$17,100,0),MAX(0,MIN(100,($U110-Config!$B$16)/(Config!$B$17-Config!$B$16)*100))))</f>
        <v/>
      </c>
      <c r="W110" s="40">
        <f>IF($L110="Elite",Config!$B$21,0)</f>
        <v>0</v>
      </c>
      <c r="X110" s="40" t="str">
        <f>IFERROR(IF(OR($T110="",$G110=""),"",IF($T110&gt;$G110,
  MAX(0, 60-(($T110-$G110)*24/Config!$B$19)*60),
  MEDIAN(60, 100, 60+(($G110-$T110)*24/Config!$B$20)*40)
)),"")
</f>
        <v/>
      </c>
      <c r="Y110" s="40" t="str">
        <f>IF($J110="","",IFERROR(VLOOKUP($J110,Grinders!$A:$N,10,FALSE),""))</f>
        <v/>
      </c>
      <c r="Z110" s="40" t="str">
        <f>IF($J110="","",IFERROR(VLOOKUP($J110,Grinders!$A:$N,11,FALSE),""))</f>
        <v/>
      </c>
      <c r="AA110" s="40" t="str">
        <f>IF($J110="","",IFERROR(VLOOKUP($J110,Grinders!$A:$N,12,FALSE),""))</f>
        <v/>
      </c>
      <c r="AB110" s="40" t="str">
        <f>IF(OR(AL110=1,AM110=1),0,=IFERROR(IF(OR($C110="",$J110=""),0,IF($D110&lt;&gt;"Open",0,IF(COUNTIFS(GrinderServices!$A:$A,$J110,GrinderServices!$B:$B,$E110,GrinderServices!$D:$D,"Y")=0,0,IF($U110&lt;Config!$B$16,0,IF(Config!$B$18=1,IF($N110&gt;=$M110,0,1),1))))),""))</f>
        <v>#ERROR!</v>
      </c>
      <c r="AC110" s="40" t="str">
        <f>IFERROR((IF(OR(AL110=1,AM110=1),"",=IFERROR((IFERROR(IF($AB110=0,"",((Config!$B$6*$V110 + Config!$B$7*$R110 + Config!$B$8*$W110 + Config!$B$9*$X110 + Config!$B$10*$Y110 + Config!$B$11*$Z110 - Config!$B$12*$AA110)/Config!$B$13)+$AH110+$AI110),""))*(1-IFERROR(VLOOKUP(J110,Grinders!$A:$AB, 28, FALSE),0)),"")))*(1+AO110),"")</f>
        <v>#ERROR!</v>
      </c>
      <c r="AD110" s="40" t="str">
        <f t="shared" si="4"/>
        <v/>
      </c>
      <c r="AE110" s="40" t="str">
        <f>IFERROR(__xludf.DUMMYFUNCTION("IF($AC110="""","""",IF($AC110=IFERROR(MAX(FILTER($AC$6:$AC$1000,$C$6:$C$1000=$C110,$AB$6:$AB$1000=1)),),""WINNER"",""""))"),"#ERROR!")</f>
        <v>#ERROR!</v>
      </c>
      <c r="AF110" s="40" t="str">
        <f t="shared" si="5"/>
        <v/>
      </c>
      <c r="AG110" s="40" t="str">
        <f>IF($J110="","",COUNTIF(Assignments!$B:$B,$J110))</f>
        <v/>
      </c>
      <c r="AH110" s="40" t="str">
        <f>IF($J110="","",IF(AND($AG110=0,$N110&lt;$M110),Config!$B$43,0))</f>
        <v/>
      </c>
      <c r="AI110" s="40" t="str">
        <f>IF($J110="","",IF(AND($L110="Elite",$F110&gt;=Config!$B$41,$N110&lt;$M110),Config!$B$42,0))</f>
        <v/>
      </c>
      <c r="AJ110" s="22"/>
      <c r="AK110" s="39">
        <f>IFERROR(VLOOKUP(J110,Grinders!$A:$Q,28,FALSE),0)</f>
        <v>0</v>
      </c>
      <c r="AL110" s="39">
        <f>IF(Config!$B$1003&lt;&gt;"Y",0,IF(IFERROR(VLOOKUP(J110,Grinders!$A:$P,27,FALSE),0)&gt;=3,IF(OR(F110&gt;=Config!$B$1001,ISNUMBER(SEARCH(E110,Config!$B$1002))),1,0),0))</f>
        <v>0</v>
      </c>
      <c r="AM110" s="39">
        <f t="array" ref="AM110">IFERROR(IF(INDEX(Bids!$AE:$AE,MATCH(B110,Bids!$A:$A,0))="Pending",1,0),0)</f>
        <v>0</v>
      </c>
      <c r="AN110" s="39" t="str">
        <f t="array" ref="AN110">IF(C110="","",IFERROR(XLOOKUP(C110,Assignments!$C:$C,Assignments!$AU:$AU,0),0))</f>
        <v/>
      </c>
      <c r="AO110" s="39">
        <f>IF(AND(Config!$B$1006="Y",AN110=1),Config!$B$1007,0)</f>
        <v>0</v>
      </c>
    </row>
    <row r="111" ht="15.75" customHeight="1">
      <c r="A111" s="46" t="str">
        <f t="shared" si="1"/>
        <v/>
      </c>
      <c r="B111" s="40" t="str">
        <f>IF(Bids!$A111="","",Bids!$A111)</f>
        <v/>
      </c>
      <c r="C111" s="40" t="str">
        <f>IF(Bids!$B111="","",Bids!$B111)</f>
        <v/>
      </c>
      <c r="D111" s="40" t="str">
        <f>IF($C111="","",IFERROR(VLOOKUP($C111,Orders!$A:$J,9,FALSE),""))</f>
        <v/>
      </c>
      <c r="E111" s="40" t="str">
        <f>IF($C111="","",IFERROR(VLOOKUP($C111,Orders!$A:$J,3,FALSE),""))</f>
        <v/>
      </c>
      <c r="F111" s="40" t="str">
        <f>IF($C111="","",IFERROR(VLOOKUP($C111,Orders!$A:$J,4,FALSE),""))</f>
        <v/>
      </c>
      <c r="G111" s="40" t="str">
        <f>IF($C111="","",IFERROR(VLOOKUP($C111,Orders!$A:$J,5,FALSE),""))</f>
        <v/>
      </c>
      <c r="H111" s="40" t="str">
        <f>IF($C111="","",IFERROR(VLOOKUP($C111,Orders!$A:$J,6,FALSE),""))</f>
        <v/>
      </c>
      <c r="I111" s="40" t="str">
        <f>IF($C111="","",IFERROR(VLOOKUP($C111,Orders!$A:$J,7,FALSE),""))</f>
        <v/>
      </c>
      <c r="J111" s="40" t="str">
        <f>IF(Bids!$C111="","",Bids!$C111)</f>
        <v/>
      </c>
      <c r="K111" s="40" t="str">
        <f>IF($J111="","",IFERROR(VLOOKUP($J111,Grinders!$A:$N,2,FALSE),""))</f>
        <v/>
      </c>
      <c r="L111" s="40" t="str">
        <f>IF($J111="","",IFERROR(VLOOKUP($J111,Grinders!$A:$N,3,FALSE),""))</f>
        <v/>
      </c>
      <c r="M111" s="40" t="str">
        <f>IF($J111="","",IFERROR(VLOOKUP($J111,Grinders!$A:$N,4,FALSE),""))</f>
        <v/>
      </c>
      <c r="N111" s="40" t="str">
        <f>IF($J111="","",IFERROR(VLOOKUP($J111,Grinders!$A:$N,5,FALSE),""))</f>
        <v/>
      </c>
      <c r="O111" s="40" t="str">
        <f t="shared" si="2"/>
        <v/>
      </c>
      <c r="P111" s="40" t="str">
        <f>IF($J111="","",IFERROR(VLOOKUP($J111,Grinders!$A:$N,6,FALSE),""))</f>
        <v/>
      </c>
      <c r="Q111" s="40" t="str">
        <f>IF($J111="","",IFERROR(VLOOKUP($J111,Grinders!$A:$N,8,FALSE),""))</f>
        <v/>
      </c>
      <c r="R111" s="40" t="str">
        <f>IFERROR(IF($J111="","",IF($L111="Elite",MAX(50,MIN(100,Config!$B$27*MAX(0,MIN(100,(1-IF($O111="",0,$O111))*100)) + Config!$B$28*MAX(0,MIN(100,(1-MIN(1,IF(Config!$B$30=0,1,$P111/Config!$B$30)))*100)) + Config!$B$29*MAX(0,MIN(100,MIN(1,IF($Q111="",0,$Q111)/Config!$B$23)*100)))),MIN(100,Config!$B$27*MAX(0,MIN(100,(1-IF($O111="",0,$O111))*100)) + Config!$B$28*MAX(0,MIN(100,(1-MIN(1,IF(Config!$B$30=0,1,$P111/Config!$B$30)))*100)) + Config!$B$29*MAX(0,MIN(100,MIN(1,IF($Q111="",0,$Q111)/Config!$B$23)*100))))),"")
</f>
        <v/>
      </c>
      <c r="S111" s="40" t="str">
        <f>IF(Bids!$AC111="","",Bids!$AC111)</f>
        <v/>
      </c>
      <c r="T111" s="40" t="str">
        <f>IF(Bids!$F111="","",Bids!$F111)</f>
        <v/>
      </c>
      <c r="U111" s="40" t="str">
        <f t="shared" si="3"/>
        <v/>
      </c>
      <c r="V111" s="40" t="str">
        <f>IF($U111="","",IF(Config!$B$17=Config!$B$16,IF($U111&gt;=Config!$B$17,100,0),MAX(0,MIN(100,($U111-Config!$B$16)/(Config!$B$17-Config!$B$16)*100))))</f>
        <v/>
      </c>
      <c r="W111" s="40">
        <f>IF($L111="Elite",Config!$B$21,0)</f>
        <v>0</v>
      </c>
      <c r="X111" s="40" t="str">
        <f>IFERROR(IF(OR($T111="",$G111=""),"",IF($T111&gt;$G111,
  MAX(0, 60-(($T111-$G111)*24/Config!$B$19)*60),
  MEDIAN(60, 100, 60+(($G111-$T111)*24/Config!$B$20)*40)
)),"")
</f>
        <v/>
      </c>
      <c r="Y111" s="40" t="str">
        <f>IF($J111="","",IFERROR(VLOOKUP($J111,Grinders!$A:$N,10,FALSE),""))</f>
        <v/>
      </c>
      <c r="Z111" s="40" t="str">
        <f>IF($J111="","",IFERROR(VLOOKUP($J111,Grinders!$A:$N,11,FALSE),""))</f>
        <v/>
      </c>
      <c r="AA111" s="40" t="str">
        <f>IF($J111="","",IFERROR(VLOOKUP($J111,Grinders!$A:$N,12,FALSE),""))</f>
        <v/>
      </c>
      <c r="AB111" s="40" t="str">
        <f>IF(OR(AL111=1,AM111=1),0,=IFERROR(IF(OR($C111="",$J111=""),0,IF($D111&lt;&gt;"Open",0,IF(COUNTIFS(GrinderServices!$A:$A,$J111,GrinderServices!$B:$B,$E111,GrinderServices!$D:$D,"Y")=0,0,IF($U111&lt;Config!$B$16,0,IF(Config!$B$18=1,IF($N111&gt;=$M111,0,1),1))))),""))</f>
        <v>#ERROR!</v>
      </c>
      <c r="AC111" s="40" t="str">
        <f>IFERROR((IF(OR(AL111=1,AM111=1),"",=IFERROR((IFERROR(IF($AB111=0,"",((Config!$B$6*$V111 + Config!$B$7*$R111 + Config!$B$8*$W111 + Config!$B$9*$X111 + Config!$B$10*$Y111 + Config!$B$11*$Z111 - Config!$B$12*$AA111)/Config!$B$13)+$AH111+$AI111),""))*(1-IFERROR(VLOOKUP(J111,Grinders!$A:$AB, 28, FALSE),0)),"")))*(1+AO111),"")</f>
        <v>#ERROR!</v>
      </c>
      <c r="AD111" s="40" t="str">
        <f t="shared" si="4"/>
        <v/>
      </c>
      <c r="AE111" s="40" t="str">
        <f>IFERROR(__xludf.DUMMYFUNCTION("IF($AC111="""","""",IF($AC111=IFERROR(MAX(FILTER($AC$6:$AC$1000,$C$6:$C$1000=$C111,$AB$6:$AB$1000=1)),),""WINNER"",""""))"),"#ERROR!")</f>
        <v>#ERROR!</v>
      </c>
      <c r="AF111" s="40" t="str">
        <f t="shared" si="5"/>
        <v/>
      </c>
      <c r="AG111" s="40" t="str">
        <f>IF($J111="","",COUNTIF(Assignments!$B:$B,$J111))</f>
        <v/>
      </c>
      <c r="AH111" s="40" t="str">
        <f>IF($J111="","",IF(AND($AG111=0,$N111&lt;$M111),Config!$B$43,0))</f>
        <v/>
      </c>
      <c r="AI111" s="40" t="str">
        <f>IF($J111="","",IF(AND($L111="Elite",$F111&gt;=Config!$B$41,$N111&lt;$M111),Config!$B$42,0))</f>
        <v/>
      </c>
      <c r="AJ111" s="22"/>
      <c r="AK111" s="39">
        <f>IFERROR(VLOOKUP(J111,Grinders!$A:$Q,28,FALSE),0)</f>
        <v>0</v>
      </c>
      <c r="AL111" s="39">
        <f>IF(Config!$B$1003&lt;&gt;"Y",0,IF(IFERROR(VLOOKUP(J111,Grinders!$A:$P,27,FALSE),0)&gt;=3,IF(OR(F111&gt;=Config!$B$1001,ISNUMBER(SEARCH(E111,Config!$B$1002))),1,0),0))</f>
        <v>0</v>
      </c>
      <c r="AM111" s="39">
        <f t="array" ref="AM111">IFERROR(IF(INDEX(Bids!$AE:$AE,MATCH(B111,Bids!$A:$A,0))="Pending",1,0),0)</f>
        <v>0</v>
      </c>
      <c r="AN111" s="39" t="str">
        <f t="array" ref="AN111">IF(C111="","",IFERROR(XLOOKUP(C111,Assignments!$C:$C,Assignments!$AU:$AU,0),0))</f>
        <v/>
      </c>
      <c r="AO111" s="39">
        <f>IF(AND(Config!$B$1006="Y",AN111=1),Config!$B$1007,0)</f>
        <v>0</v>
      </c>
    </row>
    <row r="112" ht="15.75" customHeight="1">
      <c r="A112" s="46" t="str">
        <f t="shared" si="1"/>
        <v/>
      </c>
      <c r="B112" s="40" t="str">
        <f>IF(Bids!$A112="","",Bids!$A112)</f>
        <v/>
      </c>
      <c r="C112" s="40" t="str">
        <f>IF(Bids!$B112="","",Bids!$B112)</f>
        <v/>
      </c>
      <c r="D112" s="40" t="str">
        <f>IF($C112="","",IFERROR(VLOOKUP($C112,Orders!$A:$J,9,FALSE),""))</f>
        <v/>
      </c>
      <c r="E112" s="40" t="str">
        <f>IF($C112="","",IFERROR(VLOOKUP($C112,Orders!$A:$J,3,FALSE),""))</f>
        <v/>
      </c>
      <c r="F112" s="40" t="str">
        <f>IF($C112="","",IFERROR(VLOOKUP($C112,Orders!$A:$J,4,FALSE),""))</f>
        <v/>
      </c>
      <c r="G112" s="40" t="str">
        <f>IF($C112="","",IFERROR(VLOOKUP($C112,Orders!$A:$J,5,FALSE),""))</f>
        <v/>
      </c>
      <c r="H112" s="40" t="str">
        <f>IF($C112="","",IFERROR(VLOOKUP($C112,Orders!$A:$J,6,FALSE),""))</f>
        <v/>
      </c>
      <c r="I112" s="40" t="str">
        <f>IF($C112="","",IFERROR(VLOOKUP($C112,Orders!$A:$J,7,FALSE),""))</f>
        <v/>
      </c>
      <c r="J112" s="40" t="str">
        <f>IF(Bids!$C112="","",Bids!$C112)</f>
        <v/>
      </c>
      <c r="K112" s="40" t="str">
        <f>IF($J112="","",IFERROR(VLOOKUP($J112,Grinders!$A:$N,2,FALSE),""))</f>
        <v/>
      </c>
      <c r="L112" s="40" t="str">
        <f>IF($J112="","",IFERROR(VLOOKUP($J112,Grinders!$A:$N,3,FALSE),""))</f>
        <v/>
      </c>
      <c r="M112" s="40" t="str">
        <f>IF($J112="","",IFERROR(VLOOKUP($J112,Grinders!$A:$N,4,FALSE),""))</f>
        <v/>
      </c>
      <c r="N112" s="40" t="str">
        <f>IF($J112="","",IFERROR(VLOOKUP($J112,Grinders!$A:$N,5,FALSE),""))</f>
        <v/>
      </c>
      <c r="O112" s="40" t="str">
        <f t="shared" si="2"/>
        <v/>
      </c>
      <c r="P112" s="40" t="str">
        <f>IF($J112="","",IFERROR(VLOOKUP($J112,Grinders!$A:$N,6,FALSE),""))</f>
        <v/>
      </c>
      <c r="Q112" s="40" t="str">
        <f>IF($J112="","",IFERROR(VLOOKUP($J112,Grinders!$A:$N,8,FALSE),""))</f>
        <v/>
      </c>
      <c r="R112" s="40" t="str">
        <f>IFERROR(IF($J112="","",IF($L112="Elite",MAX(50,MIN(100,Config!$B$27*MAX(0,MIN(100,(1-IF($O112="",0,$O112))*100)) + Config!$B$28*MAX(0,MIN(100,(1-MIN(1,IF(Config!$B$30=0,1,$P112/Config!$B$30)))*100)) + Config!$B$29*MAX(0,MIN(100,MIN(1,IF($Q112="",0,$Q112)/Config!$B$23)*100)))),MIN(100,Config!$B$27*MAX(0,MIN(100,(1-IF($O112="",0,$O112))*100)) + Config!$B$28*MAX(0,MIN(100,(1-MIN(1,IF(Config!$B$30=0,1,$P112/Config!$B$30)))*100)) + Config!$B$29*MAX(0,MIN(100,MIN(1,IF($Q112="",0,$Q112)/Config!$B$23)*100))))),"")
</f>
        <v/>
      </c>
      <c r="S112" s="40" t="str">
        <f>IF(Bids!$AC112="","",Bids!$AC112)</f>
        <v/>
      </c>
      <c r="T112" s="40" t="str">
        <f>IF(Bids!$F112="","",Bids!$F112)</f>
        <v/>
      </c>
      <c r="U112" s="40" t="str">
        <f t="shared" si="3"/>
        <v/>
      </c>
      <c r="V112" s="40" t="str">
        <f>IF($U112="","",IF(Config!$B$17=Config!$B$16,IF($U112&gt;=Config!$B$17,100,0),MAX(0,MIN(100,($U112-Config!$B$16)/(Config!$B$17-Config!$B$16)*100))))</f>
        <v/>
      </c>
      <c r="W112" s="40">
        <f>IF($L112="Elite",Config!$B$21,0)</f>
        <v>0</v>
      </c>
      <c r="X112" s="40" t="str">
        <f>IFERROR(IF(OR($T112="",$G112=""),"",IF($T112&gt;$G112,
  MAX(0, 60-(($T112-$G112)*24/Config!$B$19)*60),
  MEDIAN(60, 100, 60+(($G112-$T112)*24/Config!$B$20)*40)
)),"")
</f>
        <v/>
      </c>
      <c r="Y112" s="40" t="str">
        <f>IF($J112="","",IFERROR(VLOOKUP($J112,Grinders!$A:$N,10,FALSE),""))</f>
        <v/>
      </c>
      <c r="Z112" s="40" t="str">
        <f>IF($J112="","",IFERROR(VLOOKUP($J112,Grinders!$A:$N,11,FALSE),""))</f>
        <v/>
      </c>
      <c r="AA112" s="40" t="str">
        <f>IF($J112="","",IFERROR(VLOOKUP($J112,Grinders!$A:$N,12,FALSE),""))</f>
        <v/>
      </c>
      <c r="AB112" s="40" t="str">
        <f>IF(OR(AL112=1,AM112=1),0,=IFERROR(IF(OR($C112="",$J112=""),0,IF($D112&lt;&gt;"Open",0,IF(COUNTIFS(GrinderServices!$A:$A,$J112,GrinderServices!$B:$B,$E112,GrinderServices!$D:$D,"Y")=0,0,IF($U112&lt;Config!$B$16,0,IF(Config!$B$18=1,IF($N112&gt;=$M112,0,1),1))))),""))</f>
        <v>#ERROR!</v>
      </c>
      <c r="AC112" s="40" t="str">
        <f>IFERROR((IF(OR(AL112=1,AM112=1),"",=IFERROR((IFERROR(IF($AB112=0,"",((Config!$B$6*$V112 + Config!$B$7*$R112 + Config!$B$8*$W112 + Config!$B$9*$X112 + Config!$B$10*$Y112 + Config!$B$11*$Z112 - Config!$B$12*$AA112)/Config!$B$13)+$AH112+$AI112),""))*(1-IFERROR(VLOOKUP(J112,Grinders!$A:$AB, 28, FALSE),0)),"")))*(1+AO112),"")</f>
        <v>#ERROR!</v>
      </c>
      <c r="AD112" s="40" t="str">
        <f t="shared" si="4"/>
        <v/>
      </c>
      <c r="AE112" s="40" t="str">
        <f>IFERROR(__xludf.DUMMYFUNCTION("IF($AC112="""","""",IF($AC112=IFERROR(MAX(FILTER($AC$6:$AC$1000,$C$6:$C$1000=$C112,$AB$6:$AB$1000=1)),),""WINNER"",""""))"),"#ERROR!")</f>
        <v>#ERROR!</v>
      </c>
      <c r="AF112" s="40" t="str">
        <f t="shared" si="5"/>
        <v/>
      </c>
      <c r="AG112" s="40" t="str">
        <f>IF($J112="","",COUNTIF(Assignments!$B:$B,$J112))</f>
        <v/>
      </c>
      <c r="AH112" s="40" t="str">
        <f>IF($J112="","",IF(AND($AG112=0,$N112&lt;$M112),Config!$B$43,0))</f>
        <v/>
      </c>
      <c r="AI112" s="40" t="str">
        <f>IF($J112="","",IF(AND($L112="Elite",$F112&gt;=Config!$B$41,$N112&lt;$M112),Config!$B$42,0))</f>
        <v/>
      </c>
      <c r="AJ112" s="22"/>
      <c r="AK112" s="39">
        <f>IFERROR(VLOOKUP(J112,Grinders!$A:$Q,28,FALSE),0)</f>
        <v>0</v>
      </c>
      <c r="AL112" s="39">
        <f>IF(Config!$B$1003&lt;&gt;"Y",0,IF(IFERROR(VLOOKUP(J112,Grinders!$A:$P,27,FALSE),0)&gt;=3,IF(OR(F112&gt;=Config!$B$1001,ISNUMBER(SEARCH(E112,Config!$B$1002))),1,0),0))</f>
        <v>0</v>
      </c>
      <c r="AM112" s="39">
        <f t="array" ref="AM112">IFERROR(IF(INDEX(Bids!$AE:$AE,MATCH(B112,Bids!$A:$A,0))="Pending",1,0),0)</f>
        <v>0</v>
      </c>
      <c r="AN112" s="39" t="str">
        <f t="array" ref="AN112">IF(C112="","",IFERROR(XLOOKUP(C112,Assignments!$C:$C,Assignments!$AU:$AU,0),0))</f>
        <v/>
      </c>
      <c r="AO112" s="39">
        <f>IF(AND(Config!$B$1006="Y",AN112=1),Config!$B$1007,0)</f>
        <v>0</v>
      </c>
    </row>
    <row r="113" ht="15.75" customHeight="1">
      <c r="A113" s="46" t="str">
        <f t="shared" si="1"/>
        <v/>
      </c>
      <c r="B113" s="40" t="str">
        <f>IF(Bids!$A113="","",Bids!$A113)</f>
        <v/>
      </c>
      <c r="C113" s="40" t="str">
        <f>IF(Bids!$B113="","",Bids!$B113)</f>
        <v/>
      </c>
      <c r="D113" s="40" t="str">
        <f>IF($C113="","",IFERROR(VLOOKUP($C113,Orders!$A:$J,9,FALSE),""))</f>
        <v/>
      </c>
      <c r="E113" s="40" t="str">
        <f>IF($C113="","",IFERROR(VLOOKUP($C113,Orders!$A:$J,3,FALSE),""))</f>
        <v/>
      </c>
      <c r="F113" s="40" t="str">
        <f>IF($C113="","",IFERROR(VLOOKUP($C113,Orders!$A:$J,4,FALSE),""))</f>
        <v/>
      </c>
      <c r="G113" s="40" t="str">
        <f>IF($C113="","",IFERROR(VLOOKUP($C113,Orders!$A:$J,5,FALSE),""))</f>
        <v/>
      </c>
      <c r="H113" s="40" t="str">
        <f>IF($C113="","",IFERROR(VLOOKUP($C113,Orders!$A:$J,6,FALSE),""))</f>
        <v/>
      </c>
      <c r="I113" s="40" t="str">
        <f>IF($C113="","",IFERROR(VLOOKUP($C113,Orders!$A:$J,7,FALSE),""))</f>
        <v/>
      </c>
      <c r="J113" s="40" t="str">
        <f>IF(Bids!$C113="","",Bids!$C113)</f>
        <v/>
      </c>
      <c r="K113" s="40" t="str">
        <f>IF($J113="","",IFERROR(VLOOKUP($J113,Grinders!$A:$N,2,FALSE),""))</f>
        <v/>
      </c>
      <c r="L113" s="40" t="str">
        <f>IF($J113="","",IFERROR(VLOOKUP($J113,Grinders!$A:$N,3,FALSE),""))</f>
        <v/>
      </c>
      <c r="M113" s="40" t="str">
        <f>IF($J113="","",IFERROR(VLOOKUP($J113,Grinders!$A:$N,4,FALSE),""))</f>
        <v/>
      </c>
      <c r="N113" s="40" t="str">
        <f>IF($J113="","",IFERROR(VLOOKUP($J113,Grinders!$A:$N,5,FALSE),""))</f>
        <v/>
      </c>
      <c r="O113" s="40" t="str">
        <f t="shared" si="2"/>
        <v/>
      </c>
      <c r="P113" s="40" t="str">
        <f>IF($J113="","",IFERROR(VLOOKUP($J113,Grinders!$A:$N,6,FALSE),""))</f>
        <v/>
      </c>
      <c r="Q113" s="40" t="str">
        <f>IF($J113="","",IFERROR(VLOOKUP($J113,Grinders!$A:$N,8,FALSE),""))</f>
        <v/>
      </c>
      <c r="R113" s="40" t="str">
        <f>IFERROR(IF($J113="","",IF($L113="Elite",MAX(50,MIN(100,Config!$B$27*MAX(0,MIN(100,(1-IF($O113="",0,$O113))*100)) + Config!$B$28*MAX(0,MIN(100,(1-MIN(1,IF(Config!$B$30=0,1,$P113/Config!$B$30)))*100)) + Config!$B$29*MAX(0,MIN(100,MIN(1,IF($Q113="",0,$Q113)/Config!$B$23)*100)))),MIN(100,Config!$B$27*MAX(0,MIN(100,(1-IF($O113="",0,$O113))*100)) + Config!$B$28*MAX(0,MIN(100,(1-MIN(1,IF(Config!$B$30=0,1,$P113/Config!$B$30)))*100)) + Config!$B$29*MAX(0,MIN(100,MIN(1,IF($Q113="",0,$Q113)/Config!$B$23)*100))))),"")
</f>
        <v/>
      </c>
      <c r="S113" s="40" t="str">
        <f>IF(Bids!$AC113="","",Bids!$AC113)</f>
        <v/>
      </c>
      <c r="T113" s="40" t="str">
        <f>IF(Bids!$F113="","",Bids!$F113)</f>
        <v/>
      </c>
      <c r="U113" s="40" t="str">
        <f t="shared" si="3"/>
        <v/>
      </c>
      <c r="V113" s="40" t="str">
        <f>IF($U113="","",IF(Config!$B$17=Config!$B$16,IF($U113&gt;=Config!$B$17,100,0),MAX(0,MIN(100,($U113-Config!$B$16)/(Config!$B$17-Config!$B$16)*100))))</f>
        <v/>
      </c>
      <c r="W113" s="40">
        <f>IF($L113="Elite",Config!$B$21,0)</f>
        <v>0</v>
      </c>
      <c r="X113" s="40" t="str">
        <f>IFERROR(IF(OR($T113="",$G113=""),"",IF($T113&gt;$G113,
  MAX(0, 60-(($T113-$G113)*24/Config!$B$19)*60),
  MEDIAN(60, 100, 60+(($G113-$T113)*24/Config!$B$20)*40)
)),"")
</f>
        <v/>
      </c>
      <c r="Y113" s="40" t="str">
        <f>IF($J113="","",IFERROR(VLOOKUP($J113,Grinders!$A:$N,10,FALSE),""))</f>
        <v/>
      </c>
      <c r="Z113" s="40" t="str">
        <f>IF($J113="","",IFERROR(VLOOKUP($J113,Grinders!$A:$N,11,FALSE),""))</f>
        <v/>
      </c>
      <c r="AA113" s="40" t="str">
        <f>IF($J113="","",IFERROR(VLOOKUP($J113,Grinders!$A:$N,12,FALSE),""))</f>
        <v/>
      </c>
      <c r="AB113" s="40" t="str">
        <f>IF(OR(AL113=1,AM113=1),0,=IFERROR(IF(OR($C113="",$J113=""),0,IF($D113&lt;&gt;"Open",0,IF(COUNTIFS(GrinderServices!$A:$A,$J113,GrinderServices!$B:$B,$E113,GrinderServices!$D:$D,"Y")=0,0,IF($U113&lt;Config!$B$16,0,IF(Config!$B$18=1,IF($N113&gt;=$M113,0,1),1))))),""))</f>
        <v>#ERROR!</v>
      </c>
      <c r="AC113" s="40" t="str">
        <f>IFERROR((IF(OR(AL113=1,AM113=1),"",=IFERROR((IFERROR(IF($AB113=0,"",((Config!$B$6*$V113 + Config!$B$7*$R113 + Config!$B$8*$W113 + Config!$B$9*$X113 + Config!$B$10*$Y113 + Config!$B$11*$Z113 - Config!$B$12*$AA113)/Config!$B$13)+$AH113+$AI113),""))*(1-IFERROR(VLOOKUP(J113,Grinders!$A:$AB, 28, FALSE),0)),"")))*(1+AO113),"")</f>
        <v>#ERROR!</v>
      </c>
      <c r="AD113" s="40" t="str">
        <f t="shared" si="4"/>
        <v/>
      </c>
      <c r="AE113" s="40" t="str">
        <f>IFERROR(__xludf.DUMMYFUNCTION("IF($AC113="""","""",IF($AC113=IFERROR(MAX(FILTER($AC$6:$AC$1000,$C$6:$C$1000=$C113,$AB$6:$AB$1000=1)),),""WINNER"",""""))"),"#ERROR!")</f>
        <v>#ERROR!</v>
      </c>
      <c r="AF113" s="40" t="str">
        <f t="shared" si="5"/>
        <v/>
      </c>
      <c r="AG113" s="40" t="str">
        <f>IF($J113="","",COUNTIF(Assignments!$B:$B,$J113))</f>
        <v/>
      </c>
      <c r="AH113" s="40" t="str">
        <f>IF($J113="","",IF(AND($AG113=0,$N113&lt;$M113),Config!$B$43,0))</f>
        <v/>
      </c>
      <c r="AI113" s="40" t="str">
        <f>IF($J113="","",IF(AND($L113="Elite",$F113&gt;=Config!$B$41,$N113&lt;$M113),Config!$B$42,0))</f>
        <v/>
      </c>
      <c r="AJ113" s="22"/>
      <c r="AK113" s="39">
        <f>IFERROR(VLOOKUP(J113,Grinders!$A:$Q,28,FALSE),0)</f>
        <v>0</v>
      </c>
      <c r="AL113" s="39">
        <f>IF(Config!$B$1003&lt;&gt;"Y",0,IF(IFERROR(VLOOKUP(J113,Grinders!$A:$P,27,FALSE),0)&gt;=3,IF(OR(F113&gt;=Config!$B$1001,ISNUMBER(SEARCH(E113,Config!$B$1002))),1,0),0))</f>
        <v>0</v>
      </c>
      <c r="AM113" s="39">
        <f t="array" ref="AM113">IFERROR(IF(INDEX(Bids!$AE:$AE,MATCH(B113,Bids!$A:$A,0))="Pending",1,0),0)</f>
        <v>0</v>
      </c>
      <c r="AN113" s="39" t="str">
        <f t="array" ref="AN113">IF(C113="","",IFERROR(XLOOKUP(C113,Assignments!$C:$C,Assignments!$AU:$AU,0),0))</f>
        <v/>
      </c>
      <c r="AO113" s="39">
        <f>IF(AND(Config!$B$1006="Y",AN113=1),Config!$B$1007,0)</f>
        <v>0</v>
      </c>
    </row>
    <row r="114" ht="15.75" customHeight="1">
      <c r="A114" s="46" t="str">
        <f t="shared" si="1"/>
        <v/>
      </c>
      <c r="B114" s="40" t="str">
        <f>IF(Bids!$A114="","",Bids!$A114)</f>
        <v/>
      </c>
      <c r="C114" s="40" t="str">
        <f>IF(Bids!$B114="","",Bids!$B114)</f>
        <v/>
      </c>
      <c r="D114" s="40" t="str">
        <f>IF($C114="","",IFERROR(VLOOKUP($C114,Orders!$A:$J,9,FALSE),""))</f>
        <v/>
      </c>
      <c r="E114" s="40" t="str">
        <f>IF($C114="","",IFERROR(VLOOKUP($C114,Orders!$A:$J,3,FALSE),""))</f>
        <v/>
      </c>
      <c r="F114" s="40" t="str">
        <f>IF($C114="","",IFERROR(VLOOKUP($C114,Orders!$A:$J,4,FALSE),""))</f>
        <v/>
      </c>
      <c r="G114" s="40" t="str">
        <f>IF($C114="","",IFERROR(VLOOKUP($C114,Orders!$A:$J,5,FALSE),""))</f>
        <v/>
      </c>
      <c r="H114" s="40" t="str">
        <f>IF($C114="","",IFERROR(VLOOKUP($C114,Orders!$A:$J,6,FALSE),""))</f>
        <v/>
      </c>
      <c r="I114" s="40" t="str">
        <f>IF($C114="","",IFERROR(VLOOKUP($C114,Orders!$A:$J,7,FALSE),""))</f>
        <v/>
      </c>
      <c r="J114" s="40" t="str">
        <f>IF(Bids!$C114="","",Bids!$C114)</f>
        <v/>
      </c>
      <c r="K114" s="40" t="str">
        <f>IF($J114="","",IFERROR(VLOOKUP($J114,Grinders!$A:$N,2,FALSE),""))</f>
        <v/>
      </c>
      <c r="L114" s="40" t="str">
        <f>IF($J114="","",IFERROR(VLOOKUP($J114,Grinders!$A:$N,3,FALSE),""))</f>
        <v/>
      </c>
      <c r="M114" s="40" t="str">
        <f>IF($J114="","",IFERROR(VLOOKUP($J114,Grinders!$A:$N,4,FALSE),""))</f>
        <v/>
      </c>
      <c r="N114" s="40" t="str">
        <f>IF($J114="","",IFERROR(VLOOKUP($J114,Grinders!$A:$N,5,FALSE),""))</f>
        <v/>
      </c>
      <c r="O114" s="40" t="str">
        <f t="shared" si="2"/>
        <v/>
      </c>
      <c r="P114" s="40" t="str">
        <f>IF($J114="","",IFERROR(VLOOKUP($J114,Grinders!$A:$N,6,FALSE),""))</f>
        <v/>
      </c>
      <c r="Q114" s="40" t="str">
        <f>IF($J114="","",IFERROR(VLOOKUP($J114,Grinders!$A:$N,8,FALSE),""))</f>
        <v/>
      </c>
      <c r="R114" s="40" t="str">
        <f>IFERROR(IF($J114="","",IF($L114="Elite",MAX(50,MIN(100,Config!$B$27*MAX(0,MIN(100,(1-IF($O114="",0,$O114))*100)) + Config!$B$28*MAX(0,MIN(100,(1-MIN(1,IF(Config!$B$30=0,1,$P114/Config!$B$30)))*100)) + Config!$B$29*MAX(0,MIN(100,MIN(1,IF($Q114="",0,$Q114)/Config!$B$23)*100)))),MIN(100,Config!$B$27*MAX(0,MIN(100,(1-IF($O114="",0,$O114))*100)) + Config!$B$28*MAX(0,MIN(100,(1-MIN(1,IF(Config!$B$30=0,1,$P114/Config!$B$30)))*100)) + Config!$B$29*MAX(0,MIN(100,MIN(1,IF($Q114="",0,$Q114)/Config!$B$23)*100))))),"")
</f>
        <v/>
      </c>
      <c r="S114" s="40" t="str">
        <f>IF(Bids!$AC114="","",Bids!$AC114)</f>
        <v/>
      </c>
      <c r="T114" s="40" t="str">
        <f>IF(Bids!$F114="","",Bids!$F114)</f>
        <v/>
      </c>
      <c r="U114" s="40" t="str">
        <f t="shared" si="3"/>
        <v/>
      </c>
      <c r="V114" s="40" t="str">
        <f>IF($U114="","",IF(Config!$B$17=Config!$B$16,IF($U114&gt;=Config!$B$17,100,0),MAX(0,MIN(100,($U114-Config!$B$16)/(Config!$B$17-Config!$B$16)*100))))</f>
        <v/>
      </c>
      <c r="W114" s="40">
        <f>IF($L114="Elite",Config!$B$21,0)</f>
        <v>0</v>
      </c>
      <c r="X114" s="40" t="str">
        <f>IFERROR(IF(OR($T114="",$G114=""),"",IF($T114&gt;$G114,
  MAX(0, 60-(($T114-$G114)*24/Config!$B$19)*60),
  MEDIAN(60, 100, 60+(($G114-$T114)*24/Config!$B$20)*40)
)),"")
</f>
        <v/>
      </c>
      <c r="Y114" s="40" t="str">
        <f>IF($J114="","",IFERROR(VLOOKUP($J114,Grinders!$A:$N,10,FALSE),""))</f>
        <v/>
      </c>
      <c r="Z114" s="40" t="str">
        <f>IF($J114="","",IFERROR(VLOOKUP($J114,Grinders!$A:$N,11,FALSE),""))</f>
        <v/>
      </c>
      <c r="AA114" s="40" t="str">
        <f>IF($J114="","",IFERROR(VLOOKUP($J114,Grinders!$A:$N,12,FALSE),""))</f>
        <v/>
      </c>
      <c r="AB114" s="40" t="str">
        <f>IF(OR(AL114=1,AM114=1),0,=IFERROR(IF(OR($C114="",$J114=""),0,IF($D114&lt;&gt;"Open",0,IF(COUNTIFS(GrinderServices!$A:$A,$J114,GrinderServices!$B:$B,$E114,GrinderServices!$D:$D,"Y")=0,0,IF($U114&lt;Config!$B$16,0,IF(Config!$B$18=1,IF($N114&gt;=$M114,0,1),1))))),""))</f>
        <v>#ERROR!</v>
      </c>
      <c r="AC114" s="40" t="str">
        <f>IFERROR((IF(OR(AL114=1,AM114=1),"",=IFERROR((IFERROR(IF($AB114=0,"",((Config!$B$6*$V114 + Config!$B$7*$R114 + Config!$B$8*$W114 + Config!$B$9*$X114 + Config!$B$10*$Y114 + Config!$B$11*$Z114 - Config!$B$12*$AA114)/Config!$B$13)+$AH114+$AI114),""))*(1-IFERROR(VLOOKUP(J114,Grinders!$A:$AB, 28, FALSE),0)),"")))*(1+AO114),"")</f>
        <v>#ERROR!</v>
      </c>
      <c r="AD114" s="40" t="str">
        <f t="shared" si="4"/>
        <v/>
      </c>
      <c r="AE114" s="40" t="str">
        <f>IFERROR(__xludf.DUMMYFUNCTION("IF($AC114="""","""",IF($AC114=IFERROR(MAX(FILTER($AC$6:$AC$1000,$C$6:$C$1000=$C114,$AB$6:$AB$1000=1)),),""WINNER"",""""))"),"#ERROR!")</f>
        <v>#ERROR!</v>
      </c>
      <c r="AF114" s="40" t="str">
        <f t="shared" si="5"/>
        <v/>
      </c>
      <c r="AG114" s="40" t="str">
        <f>IF($J114="","",COUNTIF(Assignments!$B:$B,$J114))</f>
        <v/>
      </c>
      <c r="AH114" s="40" t="str">
        <f>IF($J114="","",IF(AND($AG114=0,$N114&lt;$M114),Config!$B$43,0))</f>
        <v/>
      </c>
      <c r="AI114" s="40" t="str">
        <f>IF($J114="","",IF(AND($L114="Elite",$F114&gt;=Config!$B$41,$N114&lt;$M114),Config!$B$42,0))</f>
        <v/>
      </c>
      <c r="AJ114" s="22"/>
      <c r="AK114" s="39">
        <f>IFERROR(VLOOKUP(J114,Grinders!$A:$Q,28,FALSE),0)</f>
        <v>0</v>
      </c>
      <c r="AL114" s="39">
        <f>IF(Config!$B$1003&lt;&gt;"Y",0,IF(IFERROR(VLOOKUP(J114,Grinders!$A:$P,27,FALSE),0)&gt;=3,IF(OR(F114&gt;=Config!$B$1001,ISNUMBER(SEARCH(E114,Config!$B$1002))),1,0),0))</f>
        <v>0</v>
      </c>
      <c r="AM114" s="39">
        <f t="array" ref="AM114">IFERROR(IF(INDEX(Bids!$AE:$AE,MATCH(B114,Bids!$A:$A,0))="Pending",1,0),0)</f>
        <v>0</v>
      </c>
      <c r="AN114" s="39" t="str">
        <f t="array" ref="AN114">IF(C114="","",IFERROR(XLOOKUP(C114,Assignments!$C:$C,Assignments!$AU:$AU,0),0))</f>
        <v/>
      </c>
      <c r="AO114" s="39">
        <f>IF(AND(Config!$B$1006="Y",AN114=1),Config!$B$1007,0)</f>
        <v>0</v>
      </c>
    </row>
    <row r="115" ht="15.75" customHeight="1">
      <c r="A115" s="46" t="str">
        <f t="shared" si="1"/>
        <v/>
      </c>
      <c r="B115" s="40" t="str">
        <f>IF(Bids!$A115="","",Bids!$A115)</f>
        <v/>
      </c>
      <c r="C115" s="40" t="str">
        <f>IF(Bids!$B115="","",Bids!$B115)</f>
        <v/>
      </c>
      <c r="D115" s="40" t="str">
        <f>IF($C115="","",IFERROR(VLOOKUP($C115,Orders!$A:$J,9,FALSE),""))</f>
        <v/>
      </c>
      <c r="E115" s="40" t="str">
        <f>IF($C115="","",IFERROR(VLOOKUP($C115,Orders!$A:$J,3,FALSE),""))</f>
        <v/>
      </c>
      <c r="F115" s="40" t="str">
        <f>IF($C115="","",IFERROR(VLOOKUP($C115,Orders!$A:$J,4,FALSE),""))</f>
        <v/>
      </c>
      <c r="G115" s="40" t="str">
        <f>IF($C115="","",IFERROR(VLOOKUP($C115,Orders!$A:$J,5,FALSE),""))</f>
        <v/>
      </c>
      <c r="H115" s="40" t="str">
        <f>IF($C115="","",IFERROR(VLOOKUP($C115,Orders!$A:$J,6,FALSE),""))</f>
        <v/>
      </c>
      <c r="I115" s="40" t="str">
        <f>IF($C115="","",IFERROR(VLOOKUP($C115,Orders!$A:$J,7,FALSE),""))</f>
        <v/>
      </c>
      <c r="J115" s="40" t="str">
        <f>IF(Bids!$C115="","",Bids!$C115)</f>
        <v/>
      </c>
      <c r="K115" s="40" t="str">
        <f>IF($J115="","",IFERROR(VLOOKUP($J115,Grinders!$A:$N,2,FALSE),""))</f>
        <v/>
      </c>
      <c r="L115" s="40" t="str">
        <f>IF($J115="","",IFERROR(VLOOKUP($J115,Grinders!$A:$N,3,FALSE),""))</f>
        <v/>
      </c>
      <c r="M115" s="40" t="str">
        <f>IF($J115="","",IFERROR(VLOOKUP($J115,Grinders!$A:$N,4,FALSE),""))</f>
        <v/>
      </c>
      <c r="N115" s="40" t="str">
        <f>IF($J115="","",IFERROR(VLOOKUP($J115,Grinders!$A:$N,5,FALSE),""))</f>
        <v/>
      </c>
      <c r="O115" s="40" t="str">
        <f t="shared" si="2"/>
        <v/>
      </c>
      <c r="P115" s="40" t="str">
        <f>IF($J115="","",IFERROR(VLOOKUP($J115,Grinders!$A:$N,6,FALSE),""))</f>
        <v/>
      </c>
      <c r="Q115" s="40" t="str">
        <f>IF($J115="","",IFERROR(VLOOKUP($J115,Grinders!$A:$N,8,FALSE),""))</f>
        <v/>
      </c>
      <c r="R115" s="40" t="str">
        <f>IFERROR(IF($J115="","",IF($L115="Elite",MAX(50,MIN(100,Config!$B$27*MAX(0,MIN(100,(1-IF($O115="",0,$O115))*100)) + Config!$B$28*MAX(0,MIN(100,(1-MIN(1,IF(Config!$B$30=0,1,$P115/Config!$B$30)))*100)) + Config!$B$29*MAX(0,MIN(100,MIN(1,IF($Q115="",0,$Q115)/Config!$B$23)*100)))),MIN(100,Config!$B$27*MAX(0,MIN(100,(1-IF($O115="",0,$O115))*100)) + Config!$B$28*MAX(0,MIN(100,(1-MIN(1,IF(Config!$B$30=0,1,$P115/Config!$B$30)))*100)) + Config!$B$29*MAX(0,MIN(100,MIN(1,IF($Q115="",0,$Q115)/Config!$B$23)*100))))),"")
</f>
        <v/>
      </c>
      <c r="S115" s="40" t="str">
        <f>IF(Bids!$AC115="","",Bids!$AC115)</f>
        <v/>
      </c>
      <c r="T115" s="40" t="str">
        <f>IF(Bids!$F115="","",Bids!$F115)</f>
        <v/>
      </c>
      <c r="U115" s="40" t="str">
        <f t="shared" si="3"/>
        <v/>
      </c>
      <c r="V115" s="40" t="str">
        <f>IF($U115="","",IF(Config!$B$17=Config!$B$16,IF($U115&gt;=Config!$B$17,100,0),MAX(0,MIN(100,($U115-Config!$B$16)/(Config!$B$17-Config!$B$16)*100))))</f>
        <v/>
      </c>
      <c r="W115" s="40">
        <f>IF($L115="Elite",Config!$B$21,0)</f>
        <v>0</v>
      </c>
      <c r="X115" s="40" t="str">
        <f>IFERROR(IF(OR($T115="",$G115=""),"",IF($T115&gt;$G115,
  MAX(0, 60-(($T115-$G115)*24/Config!$B$19)*60),
  MEDIAN(60, 100, 60+(($G115-$T115)*24/Config!$B$20)*40)
)),"")
</f>
        <v/>
      </c>
      <c r="Y115" s="40" t="str">
        <f>IF($J115="","",IFERROR(VLOOKUP($J115,Grinders!$A:$N,10,FALSE),""))</f>
        <v/>
      </c>
      <c r="Z115" s="40" t="str">
        <f>IF($J115="","",IFERROR(VLOOKUP($J115,Grinders!$A:$N,11,FALSE),""))</f>
        <v/>
      </c>
      <c r="AA115" s="40" t="str">
        <f>IF($J115="","",IFERROR(VLOOKUP($J115,Grinders!$A:$N,12,FALSE),""))</f>
        <v/>
      </c>
      <c r="AB115" s="40" t="str">
        <f>IF(OR(AL115=1,AM115=1),0,=IFERROR(IF(OR($C115="",$J115=""),0,IF($D115&lt;&gt;"Open",0,IF(COUNTIFS(GrinderServices!$A:$A,$J115,GrinderServices!$B:$B,$E115,GrinderServices!$D:$D,"Y")=0,0,IF($U115&lt;Config!$B$16,0,IF(Config!$B$18=1,IF($N115&gt;=$M115,0,1),1))))),""))</f>
        <v>#ERROR!</v>
      </c>
      <c r="AC115" s="40" t="str">
        <f>IFERROR((IF(OR(AL115=1,AM115=1),"",=IFERROR((IFERROR(IF($AB115=0,"",((Config!$B$6*$V115 + Config!$B$7*$R115 + Config!$B$8*$W115 + Config!$B$9*$X115 + Config!$B$10*$Y115 + Config!$B$11*$Z115 - Config!$B$12*$AA115)/Config!$B$13)+$AH115+$AI115),""))*(1-IFERROR(VLOOKUP(J115,Grinders!$A:$AB, 28, FALSE),0)),"")))*(1+AO115),"")</f>
        <v>#ERROR!</v>
      </c>
      <c r="AD115" s="40" t="str">
        <f t="shared" si="4"/>
        <v/>
      </c>
      <c r="AE115" s="40" t="str">
        <f>IFERROR(__xludf.DUMMYFUNCTION("IF($AC115="""","""",IF($AC115=IFERROR(MAX(FILTER($AC$6:$AC$1000,$C$6:$C$1000=$C115,$AB$6:$AB$1000=1)),),""WINNER"",""""))"),"#ERROR!")</f>
        <v>#ERROR!</v>
      </c>
      <c r="AF115" s="40" t="str">
        <f t="shared" si="5"/>
        <v/>
      </c>
      <c r="AG115" s="40" t="str">
        <f>IF($J115="","",COUNTIF(Assignments!$B:$B,$J115))</f>
        <v/>
      </c>
      <c r="AH115" s="40" t="str">
        <f>IF($J115="","",IF(AND($AG115=0,$N115&lt;$M115),Config!$B$43,0))</f>
        <v/>
      </c>
      <c r="AI115" s="40" t="str">
        <f>IF($J115="","",IF(AND($L115="Elite",$F115&gt;=Config!$B$41,$N115&lt;$M115),Config!$B$42,0))</f>
        <v/>
      </c>
      <c r="AJ115" s="22"/>
      <c r="AK115" s="39">
        <f>IFERROR(VLOOKUP(J115,Grinders!$A:$Q,28,FALSE),0)</f>
        <v>0</v>
      </c>
      <c r="AL115" s="39">
        <f>IF(Config!$B$1003&lt;&gt;"Y",0,IF(IFERROR(VLOOKUP(J115,Grinders!$A:$P,27,FALSE),0)&gt;=3,IF(OR(F115&gt;=Config!$B$1001,ISNUMBER(SEARCH(E115,Config!$B$1002))),1,0),0))</f>
        <v>0</v>
      </c>
      <c r="AM115" s="39">
        <f t="array" ref="AM115">IFERROR(IF(INDEX(Bids!$AE:$AE,MATCH(B115,Bids!$A:$A,0))="Pending",1,0),0)</f>
        <v>0</v>
      </c>
      <c r="AN115" s="39" t="str">
        <f t="array" ref="AN115">IF(C115="","",IFERROR(XLOOKUP(C115,Assignments!$C:$C,Assignments!$AU:$AU,0),0))</f>
        <v/>
      </c>
      <c r="AO115" s="39">
        <f>IF(AND(Config!$B$1006="Y",AN115=1),Config!$B$1007,0)</f>
        <v>0</v>
      </c>
    </row>
    <row r="116" ht="15.75" customHeight="1">
      <c r="A116" s="46" t="str">
        <f t="shared" si="1"/>
        <v/>
      </c>
      <c r="B116" s="40" t="str">
        <f>IF(Bids!$A116="","",Bids!$A116)</f>
        <v/>
      </c>
      <c r="C116" s="40" t="str">
        <f>IF(Bids!$B116="","",Bids!$B116)</f>
        <v/>
      </c>
      <c r="D116" s="40" t="str">
        <f>IF($C116="","",IFERROR(VLOOKUP($C116,Orders!$A:$J,9,FALSE),""))</f>
        <v/>
      </c>
      <c r="E116" s="40" t="str">
        <f>IF($C116="","",IFERROR(VLOOKUP($C116,Orders!$A:$J,3,FALSE),""))</f>
        <v/>
      </c>
      <c r="F116" s="40" t="str">
        <f>IF($C116="","",IFERROR(VLOOKUP($C116,Orders!$A:$J,4,FALSE),""))</f>
        <v/>
      </c>
      <c r="G116" s="40" t="str">
        <f>IF($C116="","",IFERROR(VLOOKUP($C116,Orders!$A:$J,5,FALSE),""))</f>
        <v/>
      </c>
      <c r="H116" s="40" t="str">
        <f>IF($C116="","",IFERROR(VLOOKUP($C116,Orders!$A:$J,6,FALSE),""))</f>
        <v/>
      </c>
      <c r="I116" s="40" t="str">
        <f>IF($C116="","",IFERROR(VLOOKUP($C116,Orders!$A:$J,7,FALSE),""))</f>
        <v/>
      </c>
      <c r="J116" s="40" t="str">
        <f>IF(Bids!$C116="","",Bids!$C116)</f>
        <v/>
      </c>
      <c r="K116" s="40" t="str">
        <f>IF($J116="","",IFERROR(VLOOKUP($J116,Grinders!$A:$N,2,FALSE),""))</f>
        <v/>
      </c>
      <c r="L116" s="40" t="str">
        <f>IF($J116="","",IFERROR(VLOOKUP($J116,Grinders!$A:$N,3,FALSE),""))</f>
        <v/>
      </c>
      <c r="M116" s="40" t="str">
        <f>IF($J116="","",IFERROR(VLOOKUP($J116,Grinders!$A:$N,4,FALSE),""))</f>
        <v/>
      </c>
      <c r="N116" s="40" t="str">
        <f>IF($J116="","",IFERROR(VLOOKUP($J116,Grinders!$A:$N,5,FALSE),""))</f>
        <v/>
      </c>
      <c r="O116" s="40" t="str">
        <f t="shared" si="2"/>
        <v/>
      </c>
      <c r="P116" s="40" t="str">
        <f>IF($J116="","",IFERROR(VLOOKUP($J116,Grinders!$A:$N,6,FALSE),""))</f>
        <v/>
      </c>
      <c r="Q116" s="40" t="str">
        <f>IF($J116="","",IFERROR(VLOOKUP($J116,Grinders!$A:$N,8,FALSE),""))</f>
        <v/>
      </c>
      <c r="R116" s="40" t="str">
        <f>IFERROR(IF($J116="","",IF($L116="Elite",MAX(50,MIN(100,Config!$B$27*MAX(0,MIN(100,(1-IF($O116="",0,$O116))*100)) + Config!$B$28*MAX(0,MIN(100,(1-MIN(1,IF(Config!$B$30=0,1,$P116/Config!$B$30)))*100)) + Config!$B$29*MAX(0,MIN(100,MIN(1,IF($Q116="",0,$Q116)/Config!$B$23)*100)))),MIN(100,Config!$B$27*MAX(0,MIN(100,(1-IF($O116="",0,$O116))*100)) + Config!$B$28*MAX(0,MIN(100,(1-MIN(1,IF(Config!$B$30=0,1,$P116/Config!$B$30)))*100)) + Config!$B$29*MAX(0,MIN(100,MIN(1,IF($Q116="",0,$Q116)/Config!$B$23)*100))))),"")
</f>
        <v/>
      </c>
      <c r="S116" s="40" t="str">
        <f>IF(Bids!$AC116="","",Bids!$AC116)</f>
        <v/>
      </c>
      <c r="T116" s="40" t="str">
        <f>IF(Bids!$F116="","",Bids!$F116)</f>
        <v/>
      </c>
      <c r="U116" s="40" t="str">
        <f t="shared" si="3"/>
        <v/>
      </c>
      <c r="V116" s="40" t="str">
        <f>IF($U116="","",IF(Config!$B$17=Config!$B$16,IF($U116&gt;=Config!$B$17,100,0),MAX(0,MIN(100,($U116-Config!$B$16)/(Config!$B$17-Config!$B$16)*100))))</f>
        <v/>
      </c>
      <c r="W116" s="40">
        <f>IF($L116="Elite",Config!$B$21,0)</f>
        <v>0</v>
      </c>
      <c r="X116" s="40" t="str">
        <f>IFERROR(IF(OR($T116="",$G116=""),"",IF($T116&gt;$G116,
  MAX(0, 60-(($T116-$G116)*24/Config!$B$19)*60),
  MEDIAN(60, 100, 60+(($G116-$T116)*24/Config!$B$20)*40)
)),"")
</f>
        <v/>
      </c>
      <c r="Y116" s="40" t="str">
        <f>IF($J116="","",IFERROR(VLOOKUP($J116,Grinders!$A:$N,10,FALSE),""))</f>
        <v/>
      </c>
      <c r="Z116" s="40" t="str">
        <f>IF($J116="","",IFERROR(VLOOKUP($J116,Grinders!$A:$N,11,FALSE),""))</f>
        <v/>
      </c>
      <c r="AA116" s="40" t="str">
        <f>IF($J116="","",IFERROR(VLOOKUP($J116,Grinders!$A:$N,12,FALSE),""))</f>
        <v/>
      </c>
      <c r="AB116" s="40" t="str">
        <f>IF(OR(AL116=1,AM116=1),0,=IFERROR(IF(OR($C116="",$J116=""),0,IF($D116&lt;&gt;"Open",0,IF(COUNTIFS(GrinderServices!$A:$A,$J116,GrinderServices!$B:$B,$E116,GrinderServices!$D:$D,"Y")=0,0,IF($U116&lt;Config!$B$16,0,IF(Config!$B$18=1,IF($N116&gt;=$M116,0,1),1))))),""))</f>
        <v>#ERROR!</v>
      </c>
      <c r="AC116" s="40" t="str">
        <f>IFERROR((IF(OR(AL116=1,AM116=1),"",=IFERROR((IFERROR(IF($AB116=0,"",((Config!$B$6*$V116 + Config!$B$7*$R116 + Config!$B$8*$W116 + Config!$B$9*$X116 + Config!$B$10*$Y116 + Config!$B$11*$Z116 - Config!$B$12*$AA116)/Config!$B$13)+$AH116+$AI116),""))*(1-IFERROR(VLOOKUP(J116,Grinders!$A:$AB, 28, FALSE),0)),"")))*(1+AO116),"")</f>
        <v>#ERROR!</v>
      </c>
      <c r="AD116" s="40" t="str">
        <f t="shared" si="4"/>
        <v/>
      </c>
      <c r="AE116" s="40" t="str">
        <f>IFERROR(__xludf.DUMMYFUNCTION("IF($AC116="""","""",IF($AC116=IFERROR(MAX(FILTER($AC$6:$AC$1000,$C$6:$C$1000=$C116,$AB$6:$AB$1000=1)),),""WINNER"",""""))"),"#ERROR!")</f>
        <v>#ERROR!</v>
      </c>
      <c r="AF116" s="40" t="str">
        <f t="shared" si="5"/>
        <v/>
      </c>
      <c r="AG116" s="40" t="str">
        <f>IF($J116="","",COUNTIF(Assignments!$B:$B,$J116))</f>
        <v/>
      </c>
      <c r="AH116" s="40" t="str">
        <f>IF($J116="","",IF(AND($AG116=0,$N116&lt;$M116),Config!$B$43,0))</f>
        <v/>
      </c>
      <c r="AI116" s="40" t="str">
        <f>IF($J116="","",IF(AND($L116="Elite",$F116&gt;=Config!$B$41,$N116&lt;$M116),Config!$B$42,0))</f>
        <v/>
      </c>
      <c r="AJ116" s="22"/>
      <c r="AK116" s="39">
        <f>IFERROR(VLOOKUP(J116,Grinders!$A:$Q,28,FALSE),0)</f>
        <v>0</v>
      </c>
      <c r="AL116" s="39">
        <f>IF(Config!$B$1003&lt;&gt;"Y",0,IF(IFERROR(VLOOKUP(J116,Grinders!$A:$P,27,FALSE),0)&gt;=3,IF(OR(F116&gt;=Config!$B$1001,ISNUMBER(SEARCH(E116,Config!$B$1002))),1,0),0))</f>
        <v>0</v>
      </c>
      <c r="AM116" s="39">
        <f t="array" ref="AM116">IFERROR(IF(INDEX(Bids!$AE:$AE,MATCH(B116,Bids!$A:$A,0))="Pending",1,0),0)</f>
        <v>0</v>
      </c>
      <c r="AN116" s="39" t="str">
        <f t="array" ref="AN116">IF(C116="","",IFERROR(XLOOKUP(C116,Assignments!$C:$C,Assignments!$AU:$AU,0),0))</f>
        <v/>
      </c>
      <c r="AO116" s="39">
        <f>IF(AND(Config!$B$1006="Y",AN116=1),Config!$B$1007,0)</f>
        <v>0</v>
      </c>
    </row>
    <row r="117" ht="15.75" customHeight="1">
      <c r="A117" s="46" t="str">
        <f t="shared" si="1"/>
        <v/>
      </c>
      <c r="B117" s="40" t="str">
        <f>IF(Bids!$A117="","",Bids!$A117)</f>
        <v/>
      </c>
      <c r="C117" s="40" t="str">
        <f>IF(Bids!$B117="","",Bids!$B117)</f>
        <v/>
      </c>
      <c r="D117" s="40" t="str">
        <f>IF($C117="","",IFERROR(VLOOKUP($C117,Orders!$A:$J,9,FALSE),""))</f>
        <v/>
      </c>
      <c r="E117" s="40" t="str">
        <f>IF($C117="","",IFERROR(VLOOKUP($C117,Orders!$A:$J,3,FALSE),""))</f>
        <v/>
      </c>
      <c r="F117" s="40" t="str">
        <f>IF($C117="","",IFERROR(VLOOKUP($C117,Orders!$A:$J,4,FALSE),""))</f>
        <v/>
      </c>
      <c r="G117" s="40" t="str">
        <f>IF($C117="","",IFERROR(VLOOKUP($C117,Orders!$A:$J,5,FALSE),""))</f>
        <v/>
      </c>
      <c r="H117" s="40" t="str">
        <f>IF($C117="","",IFERROR(VLOOKUP($C117,Orders!$A:$J,6,FALSE),""))</f>
        <v/>
      </c>
      <c r="I117" s="40" t="str">
        <f>IF($C117="","",IFERROR(VLOOKUP($C117,Orders!$A:$J,7,FALSE),""))</f>
        <v/>
      </c>
      <c r="J117" s="40" t="str">
        <f>IF(Bids!$C117="","",Bids!$C117)</f>
        <v/>
      </c>
      <c r="K117" s="40" t="str">
        <f>IF($J117="","",IFERROR(VLOOKUP($J117,Grinders!$A:$N,2,FALSE),""))</f>
        <v/>
      </c>
      <c r="L117" s="40" t="str">
        <f>IF($J117="","",IFERROR(VLOOKUP($J117,Grinders!$A:$N,3,FALSE),""))</f>
        <v/>
      </c>
      <c r="M117" s="40" t="str">
        <f>IF($J117="","",IFERROR(VLOOKUP($J117,Grinders!$A:$N,4,FALSE),""))</f>
        <v/>
      </c>
      <c r="N117" s="40" t="str">
        <f>IF($J117="","",IFERROR(VLOOKUP($J117,Grinders!$A:$N,5,FALSE),""))</f>
        <v/>
      </c>
      <c r="O117" s="40" t="str">
        <f t="shared" si="2"/>
        <v/>
      </c>
      <c r="P117" s="40" t="str">
        <f>IF($J117="","",IFERROR(VLOOKUP($J117,Grinders!$A:$N,6,FALSE),""))</f>
        <v/>
      </c>
      <c r="Q117" s="40" t="str">
        <f>IF($J117="","",IFERROR(VLOOKUP($J117,Grinders!$A:$N,8,FALSE),""))</f>
        <v/>
      </c>
      <c r="R117" s="40" t="str">
        <f>IFERROR(IF($J117="","",IF($L117="Elite",MAX(50,MIN(100,Config!$B$27*MAX(0,MIN(100,(1-IF($O117="",0,$O117))*100)) + Config!$B$28*MAX(0,MIN(100,(1-MIN(1,IF(Config!$B$30=0,1,$P117/Config!$B$30)))*100)) + Config!$B$29*MAX(0,MIN(100,MIN(1,IF($Q117="",0,$Q117)/Config!$B$23)*100)))),MIN(100,Config!$B$27*MAX(0,MIN(100,(1-IF($O117="",0,$O117))*100)) + Config!$B$28*MAX(0,MIN(100,(1-MIN(1,IF(Config!$B$30=0,1,$P117/Config!$B$30)))*100)) + Config!$B$29*MAX(0,MIN(100,MIN(1,IF($Q117="",0,$Q117)/Config!$B$23)*100))))),"")
</f>
        <v/>
      </c>
      <c r="S117" s="40" t="str">
        <f>IF(Bids!$AC117="","",Bids!$AC117)</f>
        <v/>
      </c>
      <c r="T117" s="40" t="str">
        <f>IF(Bids!$F117="","",Bids!$F117)</f>
        <v/>
      </c>
      <c r="U117" s="40" t="str">
        <f t="shared" si="3"/>
        <v/>
      </c>
      <c r="V117" s="40" t="str">
        <f>IF($U117="","",IF(Config!$B$17=Config!$B$16,IF($U117&gt;=Config!$B$17,100,0),MAX(0,MIN(100,($U117-Config!$B$16)/(Config!$B$17-Config!$B$16)*100))))</f>
        <v/>
      </c>
      <c r="W117" s="40">
        <f>IF($L117="Elite",Config!$B$21,0)</f>
        <v>0</v>
      </c>
      <c r="X117" s="40" t="str">
        <f>IFERROR(IF(OR($T117="",$G117=""),"",IF($T117&gt;$G117,
  MAX(0, 60-(($T117-$G117)*24/Config!$B$19)*60),
  MEDIAN(60, 100, 60+(($G117-$T117)*24/Config!$B$20)*40)
)),"")
</f>
        <v/>
      </c>
      <c r="Y117" s="40" t="str">
        <f>IF($J117="","",IFERROR(VLOOKUP($J117,Grinders!$A:$N,10,FALSE),""))</f>
        <v/>
      </c>
      <c r="Z117" s="40" t="str">
        <f>IF($J117="","",IFERROR(VLOOKUP($J117,Grinders!$A:$N,11,FALSE),""))</f>
        <v/>
      </c>
      <c r="AA117" s="40" t="str">
        <f>IF($J117="","",IFERROR(VLOOKUP($J117,Grinders!$A:$N,12,FALSE),""))</f>
        <v/>
      </c>
      <c r="AB117" s="40" t="str">
        <f>IF(OR(AL117=1,AM117=1),0,=IFERROR(IF(OR($C117="",$J117=""),0,IF($D117&lt;&gt;"Open",0,IF(COUNTIFS(GrinderServices!$A:$A,$J117,GrinderServices!$B:$B,$E117,GrinderServices!$D:$D,"Y")=0,0,IF($U117&lt;Config!$B$16,0,IF(Config!$B$18=1,IF($N117&gt;=$M117,0,1),1))))),""))</f>
        <v>#ERROR!</v>
      </c>
      <c r="AC117" s="40" t="str">
        <f>IFERROR((IF(OR(AL117=1,AM117=1),"",=IFERROR((IFERROR(IF($AB117=0,"",((Config!$B$6*$V117 + Config!$B$7*$R117 + Config!$B$8*$W117 + Config!$B$9*$X117 + Config!$B$10*$Y117 + Config!$B$11*$Z117 - Config!$B$12*$AA117)/Config!$B$13)+$AH117+$AI117),""))*(1-IFERROR(VLOOKUP(J117,Grinders!$A:$AB, 28, FALSE),0)),"")))*(1+AO117),"")</f>
        <v>#ERROR!</v>
      </c>
      <c r="AD117" s="40" t="str">
        <f t="shared" si="4"/>
        <v/>
      </c>
      <c r="AE117" s="40" t="str">
        <f>IFERROR(__xludf.DUMMYFUNCTION("IF($AC117="""","""",IF($AC117=IFERROR(MAX(FILTER($AC$6:$AC$1000,$C$6:$C$1000=$C117,$AB$6:$AB$1000=1)),),""WINNER"",""""))"),"#ERROR!")</f>
        <v>#ERROR!</v>
      </c>
      <c r="AF117" s="40" t="str">
        <f t="shared" si="5"/>
        <v/>
      </c>
      <c r="AG117" s="40" t="str">
        <f>IF($J117="","",COUNTIF(Assignments!$B:$B,$J117))</f>
        <v/>
      </c>
      <c r="AH117" s="40" t="str">
        <f>IF($J117="","",IF(AND($AG117=0,$N117&lt;$M117),Config!$B$43,0))</f>
        <v/>
      </c>
      <c r="AI117" s="40" t="str">
        <f>IF($J117="","",IF(AND($L117="Elite",$F117&gt;=Config!$B$41,$N117&lt;$M117),Config!$B$42,0))</f>
        <v/>
      </c>
      <c r="AJ117" s="22"/>
      <c r="AK117" s="39">
        <f>IFERROR(VLOOKUP(J117,Grinders!$A:$Q,28,FALSE),0)</f>
        <v>0</v>
      </c>
      <c r="AL117" s="39">
        <f>IF(Config!$B$1003&lt;&gt;"Y",0,IF(IFERROR(VLOOKUP(J117,Grinders!$A:$P,27,FALSE),0)&gt;=3,IF(OR(F117&gt;=Config!$B$1001,ISNUMBER(SEARCH(E117,Config!$B$1002))),1,0),0))</f>
        <v>0</v>
      </c>
      <c r="AM117" s="39">
        <f t="array" ref="AM117">IFERROR(IF(INDEX(Bids!$AE:$AE,MATCH(B117,Bids!$A:$A,0))="Pending",1,0),0)</f>
        <v>0</v>
      </c>
      <c r="AN117" s="39" t="str">
        <f t="array" ref="AN117">IF(C117="","",IFERROR(XLOOKUP(C117,Assignments!$C:$C,Assignments!$AU:$AU,0),0))</f>
        <v/>
      </c>
      <c r="AO117" s="39">
        <f>IF(AND(Config!$B$1006="Y",AN117=1),Config!$B$1007,0)</f>
        <v>0</v>
      </c>
    </row>
    <row r="118" ht="15.75" customHeight="1">
      <c r="A118" s="46" t="str">
        <f t="shared" si="1"/>
        <v/>
      </c>
      <c r="B118" s="40" t="str">
        <f>IF(Bids!$A118="","",Bids!$A118)</f>
        <v/>
      </c>
      <c r="C118" s="40" t="str">
        <f>IF(Bids!$B118="","",Bids!$B118)</f>
        <v/>
      </c>
      <c r="D118" s="40" t="str">
        <f>IF($C118="","",IFERROR(VLOOKUP($C118,Orders!$A:$J,9,FALSE),""))</f>
        <v/>
      </c>
      <c r="E118" s="40" t="str">
        <f>IF($C118="","",IFERROR(VLOOKUP($C118,Orders!$A:$J,3,FALSE),""))</f>
        <v/>
      </c>
      <c r="F118" s="40" t="str">
        <f>IF($C118="","",IFERROR(VLOOKUP($C118,Orders!$A:$J,4,FALSE),""))</f>
        <v/>
      </c>
      <c r="G118" s="40" t="str">
        <f>IF($C118="","",IFERROR(VLOOKUP($C118,Orders!$A:$J,5,FALSE),""))</f>
        <v/>
      </c>
      <c r="H118" s="40" t="str">
        <f>IF($C118="","",IFERROR(VLOOKUP($C118,Orders!$A:$J,6,FALSE),""))</f>
        <v/>
      </c>
      <c r="I118" s="40" t="str">
        <f>IF($C118="","",IFERROR(VLOOKUP($C118,Orders!$A:$J,7,FALSE),""))</f>
        <v/>
      </c>
      <c r="J118" s="40" t="str">
        <f>IF(Bids!$C118="","",Bids!$C118)</f>
        <v/>
      </c>
      <c r="K118" s="40" t="str">
        <f>IF($J118="","",IFERROR(VLOOKUP($J118,Grinders!$A:$N,2,FALSE),""))</f>
        <v/>
      </c>
      <c r="L118" s="40" t="str">
        <f>IF($J118="","",IFERROR(VLOOKUP($J118,Grinders!$A:$N,3,FALSE),""))</f>
        <v/>
      </c>
      <c r="M118" s="40" t="str">
        <f>IF($J118="","",IFERROR(VLOOKUP($J118,Grinders!$A:$N,4,FALSE),""))</f>
        <v/>
      </c>
      <c r="N118" s="40" t="str">
        <f>IF($J118="","",IFERROR(VLOOKUP($J118,Grinders!$A:$N,5,FALSE),""))</f>
        <v/>
      </c>
      <c r="O118" s="40" t="str">
        <f t="shared" si="2"/>
        <v/>
      </c>
      <c r="P118" s="40" t="str">
        <f>IF($J118="","",IFERROR(VLOOKUP($J118,Grinders!$A:$N,6,FALSE),""))</f>
        <v/>
      </c>
      <c r="Q118" s="40" t="str">
        <f>IF($J118="","",IFERROR(VLOOKUP($J118,Grinders!$A:$N,8,FALSE),""))</f>
        <v/>
      </c>
      <c r="R118" s="40" t="str">
        <f>IFERROR(IF($J118="","",IF($L118="Elite",MAX(50,MIN(100,Config!$B$27*MAX(0,MIN(100,(1-IF($O118="",0,$O118))*100)) + Config!$B$28*MAX(0,MIN(100,(1-MIN(1,IF(Config!$B$30=0,1,$P118/Config!$B$30)))*100)) + Config!$B$29*MAX(0,MIN(100,MIN(1,IF($Q118="",0,$Q118)/Config!$B$23)*100)))),MIN(100,Config!$B$27*MAX(0,MIN(100,(1-IF($O118="",0,$O118))*100)) + Config!$B$28*MAX(0,MIN(100,(1-MIN(1,IF(Config!$B$30=0,1,$P118/Config!$B$30)))*100)) + Config!$B$29*MAX(0,MIN(100,MIN(1,IF($Q118="",0,$Q118)/Config!$B$23)*100))))),"")
</f>
        <v/>
      </c>
      <c r="S118" s="40" t="str">
        <f>IF(Bids!$AC118="","",Bids!$AC118)</f>
        <v/>
      </c>
      <c r="T118" s="40" t="str">
        <f>IF(Bids!$F118="","",Bids!$F118)</f>
        <v/>
      </c>
      <c r="U118" s="40" t="str">
        <f t="shared" si="3"/>
        <v/>
      </c>
      <c r="V118" s="40" t="str">
        <f>IF($U118="","",IF(Config!$B$17=Config!$B$16,IF($U118&gt;=Config!$B$17,100,0),MAX(0,MIN(100,($U118-Config!$B$16)/(Config!$B$17-Config!$B$16)*100))))</f>
        <v/>
      </c>
      <c r="W118" s="40">
        <f>IF($L118="Elite",Config!$B$21,0)</f>
        <v>0</v>
      </c>
      <c r="X118" s="40" t="str">
        <f>IFERROR(IF(OR($T118="",$G118=""),"",IF($T118&gt;$G118,
  MAX(0, 60-(($T118-$G118)*24/Config!$B$19)*60),
  MEDIAN(60, 100, 60+(($G118-$T118)*24/Config!$B$20)*40)
)),"")
</f>
        <v/>
      </c>
      <c r="Y118" s="40" t="str">
        <f>IF($J118="","",IFERROR(VLOOKUP($J118,Grinders!$A:$N,10,FALSE),""))</f>
        <v/>
      </c>
      <c r="Z118" s="40" t="str">
        <f>IF($J118="","",IFERROR(VLOOKUP($J118,Grinders!$A:$N,11,FALSE),""))</f>
        <v/>
      </c>
      <c r="AA118" s="40" t="str">
        <f>IF($J118="","",IFERROR(VLOOKUP($J118,Grinders!$A:$N,12,FALSE),""))</f>
        <v/>
      </c>
      <c r="AB118" s="40" t="str">
        <f>IF(OR(AL118=1,AM118=1),0,=IFERROR(IF(OR($C118="",$J118=""),0,IF($D118&lt;&gt;"Open",0,IF(COUNTIFS(GrinderServices!$A:$A,$J118,GrinderServices!$B:$B,$E118,GrinderServices!$D:$D,"Y")=0,0,IF($U118&lt;Config!$B$16,0,IF(Config!$B$18=1,IF($N118&gt;=$M118,0,1),1))))),""))</f>
        <v>#ERROR!</v>
      </c>
      <c r="AC118" s="40" t="str">
        <f>IFERROR((IF(OR(AL118=1,AM118=1),"",=IFERROR((IFERROR(IF($AB118=0,"",((Config!$B$6*$V118 + Config!$B$7*$R118 + Config!$B$8*$W118 + Config!$B$9*$X118 + Config!$B$10*$Y118 + Config!$B$11*$Z118 - Config!$B$12*$AA118)/Config!$B$13)+$AH118+$AI118),""))*(1-IFERROR(VLOOKUP(J118,Grinders!$A:$AB, 28, FALSE),0)),"")))*(1+AO118),"")</f>
        <v>#ERROR!</v>
      </c>
      <c r="AD118" s="40" t="str">
        <f t="shared" si="4"/>
        <v/>
      </c>
      <c r="AE118" s="40" t="str">
        <f>IFERROR(__xludf.DUMMYFUNCTION("IF($AC118="""","""",IF($AC118=IFERROR(MAX(FILTER($AC$6:$AC$1000,$C$6:$C$1000=$C118,$AB$6:$AB$1000=1)),),""WINNER"",""""))"),"#ERROR!")</f>
        <v>#ERROR!</v>
      </c>
      <c r="AF118" s="40" t="str">
        <f t="shared" si="5"/>
        <v/>
      </c>
      <c r="AG118" s="40" t="str">
        <f>IF($J118="","",COUNTIF(Assignments!$B:$B,$J118))</f>
        <v/>
      </c>
      <c r="AH118" s="40" t="str">
        <f>IF($J118="","",IF(AND($AG118=0,$N118&lt;$M118),Config!$B$43,0))</f>
        <v/>
      </c>
      <c r="AI118" s="40" t="str">
        <f>IF($J118="","",IF(AND($L118="Elite",$F118&gt;=Config!$B$41,$N118&lt;$M118),Config!$B$42,0))</f>
        <v/>
      </c>
      <c r="AJ118" s="22"/>
      <c r="AK118" s="39">
        <f>IFERROR(VLOOKUP(J118,Grinders!$A:$Q,28,FALSE),0)</f>
        <v>0</v>
      </c>
      <c r="AL118" s="39">
        <f>IF(Config!$B$1003&lt;&gt;"Y",0,IF(IFERROR(VLOOKUP(J118,Grinders!$A:$P,27,FALSE),0)&gt;=3,IF(OR(F118&gt;=Config!$B$1001,ISNUMBER(SEARCH(E118,Config!$B$1002))),1,0),0))</f>
        <v>0</v>
      </c>
      <c r="AM118" s="39">
        <f t="array" ref="AM118">IFERROR(IF(INDEX(Bids!$AE:$AE,MATCH(B118,Bids!$A:$A,0))="Pending",1,0),0)</f>
        <v>0</v>
      </c>
      <c r="AN118" s="39" t="str">
        <f t="array" ref="AN118">IF(C118="","",IFERROR(XLOOKUP(C118,Assignments!$C:$C,Assignments!$AU:$AU,0),0))</f>
        <v/>
      </c>
      <c r="AO118" s="39">
        <f>IF(AND(Config!$B$1006="Y",AN118=1),Config!$B$1007,0)</f>
        <v>0</v>
      </c>
    </row>
    <row r="119" ht="15.75" customHeight="1">
      <c r="A119" s="46" t="str">
        <f t="shared" si="1"/>
        <v/>
      </c>
      <c r="B119" s="40" t="str">
        <f>IF(Bids!$A119="","",Bids!$A119)</f>
        <v/>
      </c>
      <c r="C119" s="40" t="str">
        <f>IF(Bids!$B119="","",Bids!$B119)</f>
        <v/>
      </c>
      <c r="D119" s="40" t="str">
        <f>IF($C119="","",IFERROR(VLOOKUP($C119,Orders!$A:$J,9,FALSE),""))</f>
        <v/>
      </c>
      <c r="E119" s="40" t="str">
        <f>IF($C119="","",IFERROR(VLOOKUP($C119,Orders!$A:$J,3,FALSE),""))</f>
        <v/>
      </c>
      <c r="F119" s="40" t="str">
        <f>IF($C119="","",IFERROR(VLOOKUP($C119,Orders!$A:$J,4,FALSE),""))</f>
        <v/>
      </c>
      <c r="G119" s="40" t="str">
        <f>IF($C119="","",IFERROR(VLOOKUP($C119,Orders!$A:$J,5,FALSE),""))</f>
        <v/>
      </c>
      <c r="H119" s="40" t="str">
        <f>IF($C119="","",IFERROR(VLOOKUP($C119,Orders!$A:$J,6,FALSE),""))</f>
        <v/>
      </c>
      <c r="I119" s="40" t="str">
        <f>IF($C119="","",IFERROR(VLOOKUP($C119,Orders!$A:$J,7,FALSE),""))</f>
        <v/>
      </c>
      <c r="J119" s="40" t="str">
        <f>IF(Bids!$C119="","",Bids!$C119)</f>
        <v/>
      </c>
      <c r="K119" s="40" t="str">
        <f>IF($J119="","",IFERROR(VLOOKUP($J119,Grinders!$A:$N,2,FALSE),""))</f>
        <v/>
      </c>
      <c r="L119" s="40" t="str">
        <f>IF($J119="","",IFERROR(VLOOKUP($J119,Grinders!$A:$N,3,FALSE),""))</f>
        <v/>
      </c>
      <c r="M119" s="40" t="str">
        <f>IF($J119="","",IFERROR(VLOOKUP($J119,Grinders!$A:$N,4,FALSE),""))</f>
        <v/>
      </c>
      <c r="N119" s="40" t="str">
        <f>IF($J119="","",IFERROR(VLOOKUP($J119,Grinders!$A:$N,5,FALSE),""))</f>
        <v/>
      </c>
      <c r="O119" s="40" t="str">
        <f t="shared" si="2"/>
        <v/>
      </c>
      <c r="P119" s="40" t="str">
        <f>IF($J119="","",IFERROR(VLOOKUP($J119,Grinders!$A:$N,6,FALSE),""))</f>
        <v/>
      </c>
      <c r="Q119" s="40" t="str">
        <f>IF($J119="","",IFERROR(VLOOKUP($J119,Grinders!$A:$N,8,FALSE),""))</f>
        <v/>
      </c>
      <c r="R119" s="40" t="str">
        <f>IFERROR(IF($J119="","",IF($L119="Elite",MAX(50,MIN(100,Config!$B$27*MAX(0,MIN(100,(1-IF($O119="",0,$O119))*100)) + Config!$B$28*MAX(0,MIN(100,(1-MIN(1,IF(Config!$B$30=0,1,$P119/Config!$B$30)))*100)) + Config!$B$29*MAX(0,MIN(100,MIN(1,IF($Q119="",0,$Q119)/Config!$B$23)*100)))),MIN(100,Config!$B$27*MAX(0,MIN(100,(1-IF($O119="",0,$O119))*100)) + Config!$B$28*MAX(0,MIN(100,(1-MIN(1,IF(Config!$B$30=0,1,$P119/Config!$B$30)))*100)) + Config!$B$29*MAX(0,MIN(100,MIN(1,IF($Q119="",0,$Q119)/Config!$B$23)*100))))),"")
</f>
        <v/>
      </c>
      <c r="S119" s="40" t="str">
        <f>IF(Bids!$AC119="","",Bids!$AC119)</f>
        <v/>
      </c>
      <c r="T119" s="40" t="str">
        <f>IF(Bids!$F119="","",Bids!$F119)</f>
        <v/>
      </c>
      <c r="U119" s="40" t="str">
        <f t="shared" si="3"/>
        <v/>
      </c>
      <c r="V119" s="40" t="str">
        <f>IF($U119="","",IF(Config!$B$17=Config!$B$16,IF($U119&gt;=Config!$B$17,100,0),MAX(0,MIN(100,($U119-Config!$B$16)/(Config!$B$17-Config!$B$16)*100))))</f>
        <v/>
      </c>
      <c r="W119" s="40">
        <f>IF($L119="Elite",Config!$B$21,0)</f>
        <v>0</v>
      </c>
      <c r="X119" s="40" t="str">
        <f>IFERROR(IF(OR($T119="",$G119=""),"",IF($T119&gt;$G119,
  MAX(0, 60-(($T119-$G119)*24/Config!$B$19)*60),
  MEDIAN(60, 100, 60+(($G119-$T119)*24/Config!$B$20)*40)
)),"")
</f>
        <v/>
      </c>
      <c r="Y119" s="40" t="str">
        <f>IF($J119="","",IFERROR(VLOOKUP($J119,Grinders!$A:$N,10,FALSE),""))</f>
        <v/>
      </c>
      <c r="Z119" s="40" t="str">
        <f>IF($J119="","",IFERROR(VLOOKUP($J119,Grinders!$A:$N,11,FALSE),""))</f>
        <v/>
      </c>
      <c r="AA119" s="40" t="str">
        <f>IF($J119="","",IFERROR(VLOOKUP($J119,Grinders!$A:$N,12,FALSE),""))</f>
        <v/>
      </c>
      <c r="AB119" s="40" t="str">
        <f>IF(OR(AL119=1,AM119=1),0,=IFERROR(IF(OR($C119="",$J119=""),0,IF($D119&lt;&gt;"Open",0,IF(COUNTIFS(GrinderServices!$A:$A,$J119,GrinderServices!$B:$B,$E119,GrinderServices!$D:$D,"Y")=0,0,IF($U119&lt;Config!$B$16,0,IF(Config!$B$18=1,IF($N119&gt;=$M119,0,1),1))))),""))</f>
        <v>#ERROR!</v>
      </c>
      <c r="AC119" s="40" t="str">
        <f>IFERROR((IF(OR(AL119=1,AM119=1),"",=IFERROR((IFERROR(IF($AB119=0,"",((Config!$B$6*$V119 + Config!$B$7*$R119 + Config!$B$8*$W119 + Config!$B$9*$X119 + Config!$B$10*$Y119 + Config!$B$11*$Z119 - Config!$B$12*$AA119)/Config!$B$13)+$AH119+$AI119),""))*(1-IFERROR(VLOOKUP(J119,Grinders!$A:$AB, 28, FALSE),0)),"")))*(1+AO119),"")</f>
        <v>#ERROR!</v>
      </c>
      <c r="AD119" s="40" t="str">
        <f t="shared" si="4"/>
        <v/>
      </c>
      <c r="AE119" s="40" t="str">
        <f>IFERROR(__xludf.DUMMYFUNCTION("IF($AC119="""","""",IF($AC119=IFERROR(MAX(FILTER($AC$6:$AC$1000,$C$6:$C$1000=$C119,$AB$6:$AB$1000=1)),),""WINNER"",""""))"),"#ERROR!")</f>
        <v>#ERROR!</v>
      </c>
      <c r="AF119" s="40" t="str">
        <f t="shared" si="5"/>
        <v/>
      </c>
      <c r="AG119" s="40" t="str">
        <f>IF($J119="","",COUNTIF(Assignments!$B:$B,$J119))</f>
        <v/>
      </c>
      <c r="AH119" s="40" t="str">
        <f>IF($J119="","",IF(AND($AG119=0,$N119&lt;$M119),Config!$B$43,0))</f>
        <v/>
      </c>
      <c r="AI119" s="40" t="str">
        <f>IF($J119="","",IF(AND($L119="Elite",$F119&gt;=Config!$B$41,$N119&lt;$M119),Config!$B$42,0))</f>
        <v/>
      </c>
      <c r="AJ119" s="22"/>
      <c r="AK119" s="39">
        <f>IFERROR(VLOOKUP(J119,Grinders!$A:$Q,28,FALSE),0)</f>
        <v>0</v>
      </c>
      <c r="AL119" s="39">
        <f>IF(Config!$B$1003&lt;&gt;"Y",0,IF(IFERROR(VLOOKUP(J119,Grinders!$A:$P,27,FALSE),0)&gt;=3,IF(OR(F119&gt;=Config!$B$1001,ISNUMBER(SEARCH(E119,Config!$B$1002))),1,0),0))</f>
        <v>0</v>
      </c>
      <c r="AM119" s="39">
        <f t="array" ref="AM119">IFERROR(IF(INDEX(Bids!$AE:$AE,MATCH(B119,Bids!$A:$A,0))="Pending",1,0),0)</f>
        <v>0</v>
      </c>
      <c r="AN119" s="39" t="str">
        <f t="array" ref="AN119">IF(C119="","",IFERROR(XLOOKUP(C119,Assignments!$C:$C,Assignments!$AU:$AU,0),0))</f>
        <v/>
      </c>
      <c r="AO119" s="39">
        <f>IF(AND(Config!$B$1006="Y",AN119=1),Config!$B$1007,0)</f>
        <v>0</v>
      </c>
    </row>
    <row r="120" ht="15.75" customHeight="1">
      <c r="A120" s="46" t="str">
        <f t="shared" si="1"/>
        <v/>
      </c>
      <c r="B120" s="40" t="str">
        <f>IF(Bids!$A120="","",Bids!$A120)</f>
        <v/>
      </c>
      <c r="C120" s="40" t="str">
        <f>IF(Bids!$B120="","",Bids!$B120)</f>
        <v/>
      </c>
      <c r="D120" s="40" t="str">
        <f>IF($C120="","",IFERROR(VLOOKUP($C120,Orders!$A:$J,9,FALSE),""))</f>
        <v/>
      </c>
      <c r="E120" s="40" t="str">
        <f>IF($C120="","",IFERROR(VLOOKUP($C120,Orders!$A:$J,3,FALSE),""))</f>
        <v/>
      </c>
      <c r="F120" s="40" t="str">
        <f>IF($C120="","",IFERROR(VLOOKUP($C120,Orders!$A:$J,4,FALSE),""))</f>
        <v/>
      </c>
      <c r="G120" s="40" t="str">
        <f>IF($C120="","",IFERROR(VLOOKUP($C120,Orders!$A:$J,5,FALSE),""))</f>
        <v/>
      </c>
      <c r="H120" s="40" t="str">
        <f>IF($C120="","",IFERROR(VLOOKUP($C120,Orders!$A:$J,6,FALSE),""))</f>
        <v/>
      </c>
      <c r="I120" s="40" t="str">
        <f>IF($C120="","",IFERROR(VLOOKUP($C120,Orders!$A:$J,7,FALSE),""))</f>
        <v/>
      </c>
      <c r="J120" s="40" t="str">
        <f>IF(Bids!$C120="","",Bids!$C120)</f>
        <v/>
      </c>
      <c r="K120" s="40" t="str">
        <f>IF($J120="","",IFERROR(VLOOKUP($J120,Grinders!$A:$N,2,FALSE),""))</f>
        <v/>
      </c>
      <c r="L120" s="40" t="str">
        <f>IF($J120="","",IFERROR(VLOOKUP($J120,Grinders!$A:$N,3,FALSE),""))</f>
        <v/>
      </c>
      <c r="M120" s="40" t="str">
        <f>IF($J120="","",IFERROR(VLOOKUP($J120,Grinders!$A:$N,4,FALSE),""))</f>
        <v/>
      </c>
      <c r="N120" s="40" t="str">
        <f>IF($J120="","",IFERROR(VLOOKUP($J120,Grinders!$A:$N,5,FALSE),""))</f>
        <v/>
      </c>
      <c r="O120" s="40" t="str">
        <f t="shared" si="2"/>
        <v/>
      </c>
      <c r="P120" s="40" t="str">
        <f>IF($J120="","",IFERROR(VLOOKUP($J120,Grinders!$A:$N,6,FALSE),""))</f>
        <v/>
      </c>
      <c r="Q120" s="40" t="str">
        <f>IF($J120="","",IFERROR(VLOOKUP($J120,Grinders!$A:$N,8,FALSE),""))</f>
        <v/>
      </c>
      <c r="R120" s="40" t="str">
        <f>IFERROR(IF($J120="","",IF($L120="Elite",MAX(50,MIN(100,Config!$B$27*MAX(0,MIN(100,(1-IF($O120="",0,$O120))*100)) + Config!$B$28*MAX(0,MIN(100,(1-MIN(1,IF(Config!$B$30=0,1,$P120/Config!$B$30)))*100)) + Config!$B$29*MAX(0,MIN(100,MIN(1,IF($Q120="",0,$Q120)/Config!$B$23)*100)))),MIN(100,Config!$B$27*MAX(0,MIN(100,(1-IF($O120="",0,$O120))*100)) + Config!$B$28*MAX(0,MIN(100,(1-MIN(1,IF(Config!$B$30=0,1,$P120/Config!$B$30)))*100)) + Config!$B$29*MAX(0,MIN(100,MIN(1,IF($Q120="",0,$Q120)/Config!$B$23)*100))))),"")
</f>
        <v/>
      </c>
      <c r="S120" s="40" t="str">
        <f>IF(Bids!$AC120="","",Bids!$AC120)</f>
        <v/>
      </c>
      <c r="T120" s="40" t="str">
        <f>IF(Bids!$F120="","",Bids!$F120)</f>
        <v/>
      </c>
      <c r="U120" s="40" t="str">
        <f t="shared" si="3"/>
        <v/>
      </c>
      <c r="V120" s="40" t="str">
        <f>IF($U120="","",IF(Config!$B$17=Config!$B$16,IF($U120&gt;=Config!$B$17,100,0),MAX(0,MIN(100,($U120-Config!$B$16)/(Config!$B$17-Config!$B$16)*100))))</f>
        <v/>
      </c>
      <c r="W120" s="40">
        <f>IF($L120="Elite",Config!$B$21,0)</f>
        <v>0</v>
      </c>
      <c r="X120" s="40" t="str">
        <f>IFERROR(IF(OR($T120="",$G120=""),"",IF($T120&gt;$G120,
  MAX(0, 60-(($T120-$G120)*24/Config!$B$19)*60),
  MEDIAN(60, 100, 60+(($G120-$T120)*24/Config!$B$20)*40)
)),"")
</f>
        <v/>
      </c>
      <c r="Y120" s="40" t="str">
        <f>IF($J120="","",IFERROR(VLOOKUP($J120,Grinders!$A:$N,10,FALSE),""))</f>
        <v/>
      </c>
      <c r="Z120" s="40" t="str">
        <f>IF($J120="","",IFERROR(VLOOKUP($J120,Grinders!$A:$N,11,FALSE),""))</f>
        <v/>
      </c>
      <c r="AA120" s="40" t="str">
        <f>IF($J120="","",IFERROR(VLOOKUP($J120,Grinders!$A:$N,12,FALSE),""))</f>
        <v/>
      </c>
      <c r="AB120" s="40" t="str">
        <f>IF(OR(AL120=1,AM120=1),0,=IFERROR(IF(OR($C120="",$J120=""),0,IF($D120&lt;&gt;"Open",0,IF(COUNTIFS(GrinderServices!$A:$A,$J120,GrinderServices!$B:$B,$E120,GrinderServices!$D:$D,"Y")=0,0,IF($U120&lt;Config!$B$16,0,IF(Config!$B$18=1,IF($N120&gt;=$M120,0,1),1))))),""))</f>
        <v>#ERROR!</v>
      </c>
      <c r="AC120" s="40" t="str">
        <f>IFERROR((IF(OR(AL120=1,AM120=1),"",=IFERROR((IFERROR(IF($AB120=0,"",((Config!$B$6*$V120 + Config!$B$7*$R120 + Config!$B$8*$W120 + Config!$B$9*$X120 + Config!$B$10*$Y120 + Config!$B$11*$Z120 - Config!$B$12*$AA120)/Config!$B$13)+$AH120+$AI120),""))*(1-IFERROR(VLOOKUP(J120,Grinders!$A:$AB, 28, FALSE),0)),"")))*(1+AO120),"")</f>
        <v>#ERROR!</v>
      </c>
      <c r="AD120" s="40" t="str">
        <f t="shared" si="4"/>
        <v/>
      </c>
      <c r="AE120" s="40" t="str">
        <f>IFERROR(__xludf.DUMMYFUNCTION("IF($AC120="""","""",IF($AC120=IFERROR(MAX(FILTER($AC$6:$AC$1000,$C$6:$C$1000=$C120,$AB$6:$AB$1000=1)),),""WINNER"",""""))"),"#ERROR!")</f>
        <v>#ERROR!</v>
      </c>
      <c r="AF120" s="40" t="str">
        <f t="shared" si="5"/>
        <v/>
      </c>
      <c r="AG120" s="40" t="str">
        <f>IF($J120="","",COUNTIF(Assignments!$B:$B,$J120))</f>
        <v/>
      </c>
      <c r="AH120" s="40" t="str">
        <f>IF($J120="","",IF(AND($AG120=0,$N120&lt;$M120),Config!$B$43,0))</f>
        <v/>
      </c>
      <c r="AI120" s="40" t="str">
        <f>IF($J120="","",IF(AND($L120="Elite",$F120&gt;=Config!$B$41,$N120&lt;$M120),Config!$B$42,0))</f>
        <v/>
      </c>
      <c r="AJ120" s="22"/>
      <c r="AK120" s="39">
        <f>IFERROR(VLOOKUP(J120,Grinders!$A:$Q,28,FALSE),0)</f>
        <v>0</v>
      </c>
      <c r="AL120" s="39">
        <f>IF(Config!$B$1003&lt;&gt;"Y",0,IF(IFERROR(VLOOKUP(J120,Grinders!$A:$P,27,FALSE),0)&gt;=3,IF(OR(F120&gt;=Config!$B$1001,ISNUMBER(SEARCH(E120,Config!$B$1002))),1,0),0))</f>
        <v>0</v>
      </c>
      <c r="AM120" s="39">
        <f t="array" ref="AM120">IFERROR(IF(INDEX(Bids!$AE:$AE,MATCH(B120,Bids!$A:$A,0))="Pending",1,0),0)</f>
        <v>0</v>
      </c>
      <c r="AN120" s="39" t="str">
        <f t="array" ref="AN120">IF(C120="","",IFERROR(XLOOKUP(C120,Assignments!$C:$C,Assignments!$AU:$AU,0),0))</f>
        <v/>
      </c>
      <c r="AO120" s="39">
        <f>IF(AND(Config!$B$1006="Y",AN120=1),Config!$B$1007,0)</f>
        <v>0</v>
      </c>
    </row>
    <row r="121" ht="15.75" customHeight="1">
      <c r="A121" s="46" t="str">
        <f t="shared" si="1"/>
        <v/>
      </c>
      <c r="B121" s="40" t="str">
        <f>IF(Bids!$A121="","",Bids!$A121)</f>
        <v/>
      </c>
      <c r="C121" s="40" t="str">
        <f>IF(Bids!$B121="","",Bids!$B121)</f>
        <v/>
      </c>
      <c r="D121" s="40" t="str">
        <f>IF($C121="","",IFERROR(VLOOKUP($C121,Orders!$A:$J,9,FALSE),""))</f>
        <v/>
      </c>
      <c r="E121" s="40" t="str">
        <f>IF($C121="","",IFERROR(VLOOKUP($C121,Orders!$A:$J,3,FALSE),""))</f>
        <v/>
      </c>
      <c r="F121" s="40" t="str">
        <f>IF($C121="","",IFERROR(VLOOKUP($C121,Orders!$A:$J,4,FALSE),""))</f>
        <v/>
      </c>
      <c r="G121" s="40" t="str">
        <f>IF($C121="","",IFERROR(VLOOKUP($C121,Orders!$A:$J,5,FALSE),""))</f>
        <v/>
      </c>
      <c r="H121" s="40" t="str">
        <f>IF($C121="","",IFERROR(VLOOKUP($C121,Orders!$A:$J,6,FALSE),""))</f>
        <v/>
      </c>
      <c r="I121" s="40" t="str">
        <f>IF($C121="","",IFERROR(VLOOKUP($C121,Orders!$A:$J,7,FALSE),""))</f>
        <v/>
      </c>
      <c r="J121" s="40" t="str">
        <f>IF(Bids!$C121="","",Bids!$C121)</f>
        <v/>
      </c>
      <c r="K121" s="40" t="str">
        <f>IF($J121="","",IFERROR(VLOOKUP($J121,Grinders!$A:$N,2,FALSE),""))</f>
        <v/>
      </c>
      <c r="L121" s="40" t="str">
        <f>IF($J121="","",IFERROR(VLOOKUP($J121,Grinders!$A:$N,3,FALSE),""))</f>
        <v/>
      </c>
      <c r="M121" s="40" t="str">
        <f>IF($J121="","",IFERROR(VLOOKUP($J121,Grinders!$A:$N,4,FALSE),""))</f>
        <v/>
      </c>
      <c r="N121" s="40" t="str">
        <f>IF($J121="","",IFERROR(VLOOKUP($J121,Grinders!$A:$N,5,FALSE),""))</f>
        <v/>
      </c>
      <c r="O121" s="40" t="str">
        <f t="shared" si="2"/>
        <v/>
      </c>
      <c r="P121" s="40" t="str">
        <f>IF($J121="","",IFERROR(VLOOKUP($J121,Grinders!$A:$N,6,FALSE),""))</f>
        <v/>
      </c>
      <c r="Q121" s="40" t="str">
        <f>IF($J121="","",IFERROR(VLOOKUP($J121,Grinders!$A:$N,8,FALSE),""))</f>
        <v/>
      </c>
      <c r="R121" s="40" t="str">
        <f>IFERROR(IF($J121="","",IF($L121="Elite",MAX(50,MIN(100,Config!$B$27*MAX(0,MIN(100,(1-IF($O121="",0,$O121))*100)) + Config!$B$28*MAX(0,MIN(100,(1-MIN(1,IF(Config!$B$30=0,1,$P121/Config!$B$30)))*100)) + Config!$B$29*MAX(0,MIN(100,MIN(1,IF($Q121="",0,$Q121)/Config!$B$23)*100)))),MIN(100,Config!$B$27*MAX(0,MIN(100,(1-IF($O121="",0,$O121))*100)) + Config!$B$28*MAX(0,MIN(100,(1-MIN(1,IF(Config!$B$30=0,1,$P121/Config!$B$30)))*100)) + Config!$B$29*MAX(0,MIN(100,MIN(1,IF($Q121="",0,$Q121)/Config!$B$23)*100))))),"")
</f>
        <v/>
      </c>
      <c r="S121" s="40" t="str">
        <f>IF(Bids!$AC121="","",Bids!$AC121)</f>
        <v/>
      </c>
      <c r="T121" s="40" t="str">
        <f>IF(Bids!$F121="","",Bids!$F121)</f>
        <v/>
      </c>
      <c r="U121" s="40" t="str">
        <f t="shared" si="3"/>
        <v/>
      </c>
      <c r="V121" s="40" t="str">
        <f>IF($U121="","",IF(Config!$B$17=Config!$B$16,IF($U121&gt;=Config!$B$17,100,0),MAX(0,MIN(100,($U121-Config!$B$16)/(Config!$B$17-Config!$B$16)*100))))</f>
        <v/>
      </c>
      <c r="W121" s="40">
        <f>IF($L121="Elite",Config!$B$21,0)</f>
        <v>0</v>
      </c>
      <c r="X121" s="40" t="str">
        <f>IFERROR(IF(OR($T121="",$G121=""),"",IF($T121&gt;$G121,
  MAX(0, 60-(($T121-$G121)*24/Config!$B$19)*60),
  MEDIAN(60, 100, 60+(($G121-$T121)*24/Config!$B$20)*40)
)),"")
</f>
        <v/>
      </c>
      <c r="Y121" s="40" t="str">
        <f>IF($J121="","",IFERROR(VLOOKUP($J121,Grinders!$A:$N,10,FALSE),""))</f>
        <v/>
      </c>
      <c r="Z121" s="40" t="str">
        <f>IF($J121="","",IFERROR(VLOOKUP($J121,Grinders!$A:$N,11,FALSE),""))</f>
        <v/>
      </c>
      <c r="AA121" s="40" t="str">
        <f>IF($J121="","",IFERROR(VLOOKUP($J121,Grinders!$A:$N,12,FALSE),""))</f>
        <v/>
      </c>
      <c r="AB121" s="40" t="str">
        <f>IF(OR(AL121=1,AM121=1),0,=IFERROR(IF(OR($C121="",$J121=""),0,IF($D121&lt;&gt;"Open",0,IF(COUNTIFS(GrinderServices!$A:$A,$J121,GrinderServices!$B:$B,$E121,GrinderServices!$D:$D,"Y")=0,0,IF($U121&lt;Config!$B$16,0,IF(Config!$B$18=1,IF($N121&gt;=$M121,0,1),1))))),""))</f>
        <v>#ERROR!</v>
      </c>
      <c r="AC121" s="40" t="str">
        <f>IFERROR((IF(OR(AL121=1,AM121=1),"",=IFERROR((IFERROR(IF($AB121=0,"",((Config!$B$6*$V121 + Config!$B$7*$R121 + Config!$B$8*$W121 + Config!$B$9*$X121 + Config!$B$10*$Y121 + Config!$B$11*$Z121 - Config!$B$12*$AA121)/Config!$B$13)+$AH121+$AI121),""))*(1-IFERROR(VLOOKUP(J121,Grinders!$A:$AB, 28, FALSE),0)),"")))*(1+AO121),"")</f>
        <v>#ERROR!</v>
      </c>
      <c r="AD121" s="40" t="str">
        <f t="shared" si="4"/>
        <v/>
      </c>
      <c r="AE121" s="40" t="str">
        <f>IFERROR(__xludf.DUMMYFUNCTION("IF($AC121="""","""",IF($AC121=IFERROR(MAX(FILTER($AC$6:$AC$1000,$C$6:$C$1000=$C121,$AB$6:$AB$1000=1)),),""WINNER"",""""))"),"#ERROR!")</f>
        <v>#ERROR!</v>
      </c>
      <c r="AF121" s="40" t="str">
        <f t="shared" si="5"/>
        <v/>
      </c>
      <c r="AG121" s="40" t="str">
        <f>IF($J121="","",COUNTIF(Assignments!$B:$B,$J121))</f>
        <v/>
      </c>
      <c r="AH121" s="40" t="str">
        <f>IF($J121="","",IF(AND($AG121=0,$N121&lt;$M121),Config!$B$43,0))</f>
        <v/>
      </c>
      <c r="AI121" s="40" t="str">
        <f>IF($J121="","",IF(AND($L121="Elite",$F121&gt;=Config!$B$41,$N121&lt;$M121),Config!$B$42,0))</f>
        <v/>
      </c>
      <c r="AJ121" s="22"/>
      <c r="AK121" s="39">
        <f>IFERROR(VLOOKUP(J121,Grinders!$A:$Q,28,FALSE),0)</f>
        <v>0</v>
      </c>
      <c r="AL121" s="39">
        <f>IF(Config!$B$1003&lt;&gt;"Y",0,IF(IFERROR(VLOOKUP(J121,Grinders!$A:$P,27,FALSE),0)&gt;=3,IF(OR(F121&gt;=Config!$B$1001,ISNUMBER(SEARCH(E121,Config!$B$1002))),1,0),0))</f>
        <v>0</v>
      </c>
      <c r="AM121" s="39">
        <f t="array" ref="AM121">IFERROR(IF(INDEX(Bids!$AE:$AE,MATCH(B121,Bids!$A:$A,0))="Pending",1,0),0)</f>
        <v>0</v>
      </c>
      <c r="AN121" s="39" t="str">
        <f t="array" ref="AN121">IF(C121="","",IFERROR(XLOOKUP(C121,Assignments!$C:$C,Assignments!$AU:$AU,0),0))</f>
        <v/>
      </c>
      <c r="AO121" s="39">
        <f>IF(AND(Config!$B$1006="Y",AN121=1),Config!$B$1007,0)</f>
        <v>0</v>
      </c>
    </row>
    <row r="122" ht="15.75" customHeight="1">
      <c r="A122" s="46" t="str">
        <f t="shared" si="1"/>
        <v/>
      </c>
      <c r="B122" s="40" t="str">
        <f>IF(Bids!$A122="","",Bids!$A122)</f>
        <v/>
      </c>
      <c r="C122" s="40" t="str">
        <f>IF(Bids!$B122="","",Bids!$B122)</f>
        <v/>
      </c>
      <c r="D122" s="40" t="str">
        <f>IF($C122="","",IFERROR(VLOOKUP($C122,Orders!$A:$J,9,FALSE),""))</f>
        <v/>
      </c>
      <c r="E122" s="40" t="str">
        <f>IF($C122="","",IFERROR(VLOOKUP($C122,Orders!$A:$J,3,FALSE),""))</f>
        <v/>
      </c>
      <c r="F122" s="40" t="str">
        <f>IF($C122="","",IFERROR(VLOOKUP($C122,Orders!$A:$J,4,FALSE),""))</f>
        <v/>
      </c>
      <c r="G122" s="40" t="str">
        <f>IF($C122="","",IFERROR(VLOOKUP($C122,Orders!$A:$J,5,FALSE),""))</f>
        <v/>
      </c>
      <c r="H122" s="40" t="str">
        <f>IF($C122="","",IFERROR(VLOOKUP($C122,Orders!$A:$J,6,FALSE),""))</f>
        <v/>
      </c>
      <c r="I122" s="40" t="str">
        <f>IF($C122="","",IFERROR(VLOOKUP($C122,Orders!$A:$J,7,FALSE),""))</f>
        <v/>
      </c>
      <c r="J122" s="40" t="str">
        <f>IF(Bids!$C122="","",Bids!$C122)</f>
        <v/>
      </c>
      <c r="K122" s="40" t="str">
        <f>IF($J122="","",IFERROR(VLOOKUP($J122,Grinders!$A:$N,2,FALSE),""))</f>
        <v/>
      </c>
      <c r="L122" s="40" t="str">
        <f>IF($J122="","",IFERROR(VLOOKUP($J122,Grinders!$A:$N,3,FALSE),""))</f>
        <v/>
      </c>
      <c r="M122" s="40" t="str">
        <f>IF($J122="","",IFERROR(VLOOKUP($J122,Grinders!$A:$N,4,FALSE),""))</f>
        <v/>
      </c>
      <c r="N122" s="40" t="str">
        <f>IF($J122="","",IFERROR(VLOOKUP($J122,Grinders!$A:$N,5,FALSE),""))</f>
        <v/>
      </c>
      <c r="O122" s="40" t="str">
        <f t="shared" si="2"/>
        <v/>
      </c>
      <c r="P122" s="40" t="str">
        <f>IF($J122="","",IFERROR(VLOOKUP($J122,Grinders!$A:$N,6,FALSE),""))</f>
        <v/>
      </c>
      <c r="Q122" s="40" t="str">
        <f>IF($J122="","",IFERROR(VLOOKUP($J122,Grinders!$A:$N,8,FALSE),""))</f>
        <v/>
      </c>
      <c r="R122" s="40" t="str">
        <f>IFERROR(IF($J122="","",IF($L122="Elite",MAX(50,MIN(100,Config!$B$27*MAX(0,MIN(100,(1-IF($O122="",0,$O122))*100)) + Config!$B$28*MAX(0,MIN(100,(1-MIN(1,IF(Config!$B$30=0,1,$P122/Config!$B$30)))*100)) + Config!$B$29*MAX(0,MIN(100,MIN(1,IF($Q122="",0,$Q122)/Config!$B$23)*100)))),MIN(100,Config!$B$27*MAX(0,MIN(100,(1-IF($O122="",0,$O122))*100)) + Config!$B$28*MAX(0,MIN(100,(1-MIN(1,IF(Config!$B$30=0,1,$P122/Config!$B$30)))*100)) + Config!$B$29*MAX(0,MIN(100,MIN(1,IF($Q122="",0,$Q122)/Config!$B$23)*100))))),"")
</f>
        <v/>
      </c>
      <c r="S122" s="40" t="str">
        <f>IF(Bids!$AC122="","",Bids!$AC122)</f>
        <v/>
      </c>
      <c r="T122" s="40" t="str">
        <f>IF(Bids!$F122="","",Bids!$F122)</f>
        <v/>
      </c>
      <c r="U122" s="40" t="str">
        <f t="shared" si="3"/>
        <v/>
      </c>
      <c r="V122" s="40" t="str">
        <f>IF($U122="","",IF(Config!$B$17=Config!$B$16,IF($U122&gt;=Config!$B$17,100,0),MAX(0,MIN(100,($U122-Config!$B$16)/(Config!$B$17-Config!$B$16)*100))))</f>
        <v/>
      </c>
      <c r="W122" s="40">
        <f>IF($L122="Elite",Config!$B$21,0)</f>
        <v>0</v>
      </c>
      <c r="X122" s="40" t="str">
        <f>IFERROR(IF(OR($T122="",$G122=""),"",IF($T122&gt;$G122,
  MAX(0, 60-(($T122-$G122)*24/Config!$B$19)*60),
  MEDIAN(60, 100, 60+(($G122-$T122)*24/Config!$B$20)*40)
)),"")
</f>
        <v/>
      </c>
      <c r="Y122" s="40" t="str">
        <f>IF($J122="","",IFERROR(VLOOKUP($J122,Grinders!$A:$N,10,FALSE),""))</f>
        <v/>
      </c>
      <c r="Z122" s="40" t="str">
        <f>IF($J122="","",IFERROR(VLOOKUP($J122,Grinders!$A:$N,11,FALSE),""))</f>
        <v/>
      </c>
      <c r="AA122" s="40" t="str">
        <f>IF($J122="","",IFERROR(VLOOKUP($J122,Grinders!$A:$N,12,FALSE),""))</f>
        <v/>
      </c>
      <c r="AB122" s="40" t="str">
        <f>IF(OR(AL122=1,AM122=1),0,=IFERROR(IF(OR($C122="",$J122=""),0,IF($D122&lt;&gt;"Open",0,IF(COUNTIFS(GrinderServices!$A:$A,$J122,GrinderServices!$B:$B,$E122,GrinderServices!$D:$D,"Y")=0,0,IF($U122&lt;Config!$B$16,0,IF(Config!$B$18=1,IF($N122&gt;=$M122,0,1),1))))),""))</f>
        <v>#ERROR!</v>
      </c>
      <c r="AC122" s="40" t="str">
        <f>IFERROR((IF(OR(AL122=1,AM122=1),"",=IFERROR((IFERROR(IF($AB122=0,"",((Config!$B$6*$V122 + Config!$B$7*$R122 + Config!$B$8*$W122 + Config!$B$9*$X122 + Config!$B$10*$Y122 + Config!$B$11*$Z122 - Config!$B$12*$AA122)/Config!$B$13)+$AH122+$AI122),""))*(1-IFERROR(VLOOKUP(J122,Grinders!$A:$AB, 28, FALSE),0)),"")))*(1+AO122),"")</f>
        <v>#ERROR!</v>
      </c>
      <c r="AD122" s="40" t="str">
        <f t="shared" si="4"/>
        <v/>
      </c>
      <c r="AE122" s="40" t="str">
        <f>IFERROR(__xludf.DUMMYFUNCTION("IF($AC122="""","""",IF($AC122=IFERROR(MAX(FILTER($AC$6:$AC$1000,$C$6:$C$1000=$C122,$AB$6:$AB$1000=1)),),""WINNER"",""""))"),"#ERROR!")</f>
        <v>#ERROR!</v>
      </c>
      <c r="AF122" s="40" t="str">
        <f t="shared" si="5"/>
        <v/>
      </c>
      <c r="AG122" s="40" t="str">
        <f>IF($J122="","",COUNTIF(Assignments!$B:$B,$J122))</f>
        <v/>
      </c>
      <c r="AH122" s="40" t="str">
        <f>IF($J122="","",IF(AND($AG122=0,$N122&lt;$M122),Config!$B$43,0))</f>
        <v/>
      </c>
      <c r="AI122" s="40" t="str">
        <f>IF($J122="","",IF(AND($L122="Elite",$F122&gt;=Config!$B$41,$N122&lt;$M122),Config!$B$42,0))</f>
        <v/>
      </c>
      <c r="AJ122" s="22"/>
      <c r="AK122" s="39">
        <f>IFERROR(VLOOKUP(J122,Grinders!$A:$Q,28,FALSE),0)</f>
        <v>0</v>
      </c>
      <c r="AL122" s="39">
        <f>IF(Config!$B$1003&lt;&gt;"Y",0,IF(IFERROR(VLOOKUP(J122,Grinders!$A:$P,27,FALSE),0)&gt;=3,IF(OR(F122&gt;=Config!$B$1001,ISNUMBER(SEARCH(E122,Config!$B$1002))),1,0),0))</f>
        <v>0</v>
      </c>
      <c r="AM122" s="39">
        <f t="array" ref="AM122">IFERROR(IF(INDEX(Bids!$AE:$AE,MATCH(B122,Bids!$A:$A,0))="Pending",1,0),0)</f>
        <v>0</v>
      </c>
      <c r="AN122" s="39" t="str">
        <f t="array" ref="AN122">IF(C122="","",IFERROR(XLOOKUP(C122,Assignments!$C:$C,Assignments!$AU:$AU,0),0))</f>
        <v/>
      </c>
      <c r="AO122" s="39">
        <f>IF(AND(Config!$B$1006="Y",AN122=1),Config!$B$1007,0)</f>
        <v>0</v>
      </c>
    </row>
    <row r="123" ht="15.75" customHeight="1">
      <c r="A123" s="46" t="str">
        <f t="shared" si="1"/>
        <v/>
      </c>
      <c r="B123" s="40" t="str">
        <f>IF(Bids!$A123="","",Bids!$A123)</f>
        <v/>
      </c>
      <c r="C123" s="40" t="str">
        <f>IF(Bids!$B123="","",Bids!$B123)</f>
        <v/>
      </c>
      <c r="D123" s="40" t="str">
        <f>IF($C123="","",IFERROR(VLOOKUP($C123,Orders!$A:$J,9,FALSE),""))</f>
        <v/>
      </c>
      <c r="E123" s="40" t="str">
        <f>IF($C123="","",IFERROR(VLOOKUP($C123,Orders!$A:$J,3,FALSE),""))</f>
        <v/>
      </c>
      <c r="F123" s="40" t="str">
        <f>IF($C123="","",IFERROR(VLOOKUP($C123,Orders!$A:$J,4,FALSE),""))</f>
        <v/>
      </c>
      <c r="G123" s="40" t="str">
        <f>IF($C123="","",IFERROR(VLOOKUP($C123,Orders!$A:$J,5,FALSE),""))</f>
        <v/>
      </c>
      <c r="H123" s="40" t="str">
        <f>IF($C123="","",IFERROR(VLOOKUP($C123,Orders!$A:$J,6,FALSE),""))</f>
        <v/>
      </c>
      <c r="I123" s="40" t="str">
        <f>IF($C123="","",IFERROR(VLOOKUP($C123,Orders!$A:$J,7,FALSE),""))</f>
        <v/>
      </c>
      <c r="J123" s="40" t="str">
        <f>IF(Bids!$C123="","",Bids!$C123)</f>
        <v/>
      </c>
      <c r="K123" s="40" t="str">
        <f>IF($J123="","",IFERROR(VLOOKUP($J123,Grinders!$A:$N,2,FALSE),""))</f>
        <v/>
      </c>
      <c r="L123" s="40" t="str">
        <f>IF($J123="","",IFERROR(VLOOKUP($J123,Grinders!$A:$N,3,FALSE),""))</f>
        <v/>
      </c>
      <c r="M123" s="40" t="str">
        <f>IF($J123="","",IFERROR(VLOOKUP($J123,Grinders!$A:$N,4,FALSE),""))</f>
        <v/>
      </c>
      <c r="N123" s="40" t="str">
        <f>IF($J123="","",IFERROR(VLOOKUP($J123,Grinders!$A:$N,5,FALSE),""))</f>
        <v/>
      </c>
      <c r="O123" s="40" t="str">
        <f t="shared" si="2"/>
        <v/>
      </c>
      <c r="P123" s="40" t="str">
        <f>IF($J123="","",IFERROR(VLOOKUP($J123,Grinders!$A:$N,6,FALSE),""))</f>
        <v/>
      </c>
      <c r="Q123" s="40" t="str">
        <f>IF($J123="","",IFERROR(VLOOKUP($J123,Grinders!$A:$N,8,FALSE),""))</f>
        <v/>
      </c>
      <c r="R123" s="40" t="str">
        <f>IFERROR(IF($J123="","",IF($L123="Elite",MAX(50,MIN(100,Config!$B$27*MAX(0,MIN(100,(1-IF($O123="",0,$O123))*100)) + Config!$B$28*MAX(0,MIN(100,(1-MIN(1,IF(Config!$B$30=0,1,$P123/Config!$B$30)))*100)) + Config!$B$29*MAX(0,MIN(100,MIN(1,IF($Q123="",0,$Q123)/Config!$B$23)*100)))),MIN(100,Config!$B$27*MAX(0,MIN(100,(1-IF($O123="",0,$O123))*100)) + Config!$B$28*MAX(0,MIN(100,(1-MIN(1,IF(Config!$B$30=0,1,$P123/Config!$B$30)))*100)) + Config!$B$29*MAX(0,MIN(100,MIN(1,IF($Q123="",0,$Q123)/Config!$B$23)*100))))),"")
</f>
        <v/>
      </c>
      <c r="S123" s="40" t="str">
        <f>IF(Bids!$AC123="","",Bids!$AC123)</f>
        <v/>
      </c>
      <c r="T123" s="40" t="str">
        <f>IF(Bids!$F123="","",Bids!$F123)</f>
        <v/>
      </c>
      <c r="U123" s="40" t="str">
        <f t="shared" si="3"/>
        <v/>
      </c>
      <c r="V123" s="40" t="str">
        <f>IF($U123="","",IF(Config!$B$17=Config!$B$16,IF($U123&gt;=Config!$B$17,100,0),MAX(0,MIN(100,($U123-Config!$B$16)/(Config!$B$17-Config!$B$16)*100))))</f>
        <v/>
      </c>
      <c r="W123" s="40">
        <f>IF($L123="Elite",Config!$B$21,0)</f>
        <v>0</v>
      </c>
      <c r="X123" s="40" t="str">
        <f>IFERROR(IF(OR($T123="",$G123=""),"",IF($T123&gt;$G123,
  MAX(0, 60-(($T123-$G123)*24/Config!$B$19)*60),
  MEDIAN(60, 100, 60+(($G123-$T123)*24/Config!$B$20)*40)
)),"")
</f>
        <v/>
      </c>
      <c r="Y123" s="40" t="str">
        <f>IF($J123="","",IFERROR(VLOOKUP($J123,Grinders!$A:$N,10,FALSE),""))</f>
        <v/>
      </c>
      <c r="Z123" s="40" t="str">
        <f>IF($J123="","",IFERROR(VLOOKUP($J123,Grinders!$A:$N,11,FALSE),""))</f>
        <v/>
      </c>
      <c r="AA123" s="40" t="str">
        <f>IF($J123="","",IFERROR(VLOOKUP($J123,Grinders!$A:$N,12,FALSE),""))</f>
        <v/>
      </c>
      <c r="AB123" s="40" t="str">
        <f>IF(OR(AL123=1,AM123=1),0,=IFERROR(IF(OR($C123="",$J123=""),0,IF($D123&lt;&gt;"Open",0,IF(COUNTIFS(GrinderServices!$A:$A,$J123,GrinderServices!$B:$B,$E123,GrinderServices!$D:$D,"Y")=0,0,IF($U123&lt;Config!$B$16,0,IF(Config!$B$18=1,IF($N123&gt;=$M123,0,1),1))))),""))</f>
        <v>#ERROR!</v>
      </c>
      <c r="AC123" s="40" t="str">
        <f>IFERROR((IF(OR(AL123=1,AM123=1),"",=IFERROR((IFERROR(IF($AB123=0,"",((Config!$B$6*$V123 + Config!$B$7*$R123 + Config!$B$8*$W123 + Config!$B$9*$X123 + Config!$B$10*$Y123 + Config!$B$11*$Z123 - Config!$B$12*$AA123)/Config!$B$13)+$AH123+$AI123),""))*(1-IFERROR(VLOOKUP(J123,Grinders!$A:$AB, 28, FALSE),0)),"")))*(1+AO123),"")</f>
        <v>#ERROR!</v>
      </c>
      <c r="AD123" s="40" t="str">
        <f t="shared" si="4"/>
        <v/>
      </c>
      <c r="AE123" s="40" t="str">
        <f>IFERROR(__xludf.DUMMYFUNCTION("IF($AC123="""","""",IF($AC123=IFERROR(MAX(FILTER($AC$6:$AC$1000,$C$6:$C$1000=$C123,$AB$6:$AB$1000=1)),),""WINNER"",""""))"),"#ERROR!")</f>
        <v>#ERROR!</v>
      </c>
      <c r="AF123" s="40" t="str">
        <f t="shared" si="5"/>
        <v/>
      </c>
      <c r="AG123" s="40" t="str">
        <f>IF($J123="","",COUNTIF(Assignments!$B:$B,$J123))</f>
        <v/>
      </c>
      <c r="AH123" s="40" t="str">
        <f>IF($J123="","",IF(AND($AG123=0,$N123&lt;$M123),Config!$B$43,0))</f>
        <v/>
      </c>
      <c r="AI123" s="40" t="str">
        <f>IF($J123="","",IF(AND($L123="Elite",$F123&gt;=Config!$B$41,$N123&lt;$M123),Config!$B$42,0))</f>
        <v/>
      </c>
      <c r="AJ123" s="22"/>
      <c r="AK123" s="39">
        <f>IFERROR(VLOOKUP(J123,Grinders!$A:$Q,28,FALSE),0)</f>
        <v>0</v>
      </c>
      <c r="AL123" s="39">
        <f>IF(Config!$B$1003&lt;&gt;"Y",0,IF(IFERROR(VLOOKUP(J123,Grinders!$A:$P,27,FALSE),0)&gt;=3,IF(OR(F123&gt;=Config!$B$1001,ISNUMBER(SEARCH(E123,Config!$B$1002))),1,0),0))</f>
        <v>0</v>
      </c>
      <c r="AM123" s="39">
        <f t="array" ref="AM123">IFERROR(IF(INDEX(Bids!$AE:$AE,MATCH(B123,Bids!$A:$A,0))="Pending",1,0),0)</f>
        <v>0</v>
      </c>
      <c r="AN123" s="39" t="str">
        <f t="array" ref="AN123">IF(C123="","",IFERROR(XLOOKUP(C123,Assignments!$C:$C,Assignments!$AU:$AU,0),0))</f>
        <v/>
      </c>
      <c r="AO123" s="39">
        <f>IF(AND(Config!$B$1006="Y",AN123=1),Config!$B$1007,0)</f>
        <v>0</v>
      </c>
    </row>
    <row r="124" ht="15.75" customHeight="1">
      <c r="A124" s="46" t="str">
        <f t="shared" si="1"/>
        <v/>
      </c>
      <c r="B124" s="40" t="str">
        <f>IF(Bids!$A124="","",Bids!$A124)</f>
        <v/>
      </c>
      <c r="C124" s="40" t="str">
        <f>IF(Bids!$B124="","",Bids!$B124)</f>
        <v/>
      </c>
      <c r="D124" s="40" t="str">
        <f>IF($C124="","",IFERROR(VLOOKUP($C124,Orders!$A:$J,9,FALSE),""))</f>
        <v/>
      </c>
      <c r="E124" s="40" t="str">
        <f>IF($C124="","",IFERROR(VLOOKUP($C124,Orders!$A:$J,3,FALSE),""))</f>
        <v/>
      </c>
      <c r="F124" s="40" t="str">
        <f>IF($C124="","",IFERROR(VLOOKUP($C124,Orders!$A:$J,4,FALSE),""))</f>
        <v/>
      </c>
      <c r="G124" s="40" t="str">
        <f>IF($C124="","",IFERROR(VLOOKUP($C124,Orders!$A:$J,5,FALSE),""))</f>
        <v/>
      </c>
      <c r="H124" s="40" t="str">
        <f>IF($C124="","",IFERROR(VLOOKUP($C124,Orders!$A:$J,6,FALSE),""))</f>
        <v/>
      </c>
      <c r="I124" s="40" t="str">
        <f>IF($C124="","",IFERROR(VLOOKUP($C124,Orders!$A:$J,7,FALSE),""))</f>
        <v/>
      </c>
      <c r="J124" s="40" t="str">
        <f>IF(Bids!$C124="","",Bids!$C124)</f>
        <v/>
      </c>
      <c r="K124" s="40" t="str">
        <f>IF($J124="","",IFERROR(VLOOKUP($J124,Grinders!$A:$N,2,FALSE),""))</f>
        <v/>
      </c>
      <c r="L124" s="40" t="str">
        <f>IF($J124="","",IFERROR(VLOOKUP($J124,Grinders!$A:$N,3,FALSE),""))</f>
        <v/>
      </c>
      <c r="M124" s="40" t="str">
        <f>IF($J124="","",IFERROR(VLOOKUP($J124,Grinders!$A:$N,4,FALSE),""))</f>
        <v/>
      </c>
      <c r="N124" s="40" t="str">
        <f>IF($J124="","",IFERROR(VLOOKUP($J124,Grinders!$A:$N,5,FALSE),""))</f>
        <v/>
      </c>
      <c r="O124" s="40" t="str">
        <f t="shared" si="2"/>
        <v/>
      </c>
      <c r="P124" s="40" t="str">
        <f>IF($J124="","",IFERROR(VLOOKUP($J124,Grinders!$A:$N,6,FALSE),""))</f>
        <v/>
      </c>
      <c r="Q124" s="40" t="str">
        <f>IF($J124="","",IFERROR(VLOOKUP($J124,Grinders!$A:$N,8,FALSE),""))</f>
        <v/>
      </c>
      <c r="R124" s="40" t="str">
        <f>IFERROR(IF($J124="","",IF($L124="Elite",MAX(50,MIN(100,Config!$B$27*MAX(0,MIN(100,(1-IF($O124="",0,$O124))*100)) + Config!$B$28*MAX(0,MIN(100,(1-MIN(1,IF(Config!$B$30=0,1,$P124/Config!$B$30)))*100)) + Config!$B$29*MAX(0,MIN(100,MIN(1,IF($Q124="",0,$Q124)/Config!$B$23)*100)))),MIN(100,Config!$B$27*MAX(0,MIN(100,(1-IF($O124="",0,$O124))*100)) + Config!$B$28*MAX(0,MIN(100,(1-MIN(1,IF(Config!$B$30=0,1,$P124/Config!$B$30)))*100)) + Config!$B$29*MAX(0,MIN(100,MIN(1,IF($Q124="",0,$Q124)/Config!$B$23)*100))))),"")
</f>
        <v/>
      </c>
      <c r="S124" s="40" t="str">
        <f>IF(Bids!$AC124="","",Bids!$AC124)</f>
        <v/>
      </c>
      <c r="T124" s="40" t="str">
        <f>IF(Bids!$F124="","",Bids!$F124)</f>
        <v/>
      </c>
      <c r="U124" s="40" t="str">
        <f t="shared" si="3"/>
        <v/>
      </c>
      <c r="V124" s="40" t="str">
        <f>IF($U124="","",IF(Config!$B$17=Config!$B$16,IF($U124&gt;=Config!$B$17,100,0),MAX(0,MIN(100,($U124-Config!$B$16)/(Config!$B$17-Config!$B$16)*100))))</f>
        <v/>
      </c>
      <c r="W124" s="40">
        <f>IF($L124="Elite",Config!$B$21,0)</f>
        <v>0</v>
      </c>
      <c r="X124" s="40" t="str">
        <f>IFERROR(IF(OR($T124="",$G124=""),"",IF($T124&gt;$G124,
  MAX(0, 60-(($T124-$G124)*24/Config!$B$19)*60),
  MEDIAN(60, 100, 60+(($G124-$T124)*24/Config!$B$20)*40)
)),"")
</f>
        <v/>
      </c>
      <c r="Y124" s="40" t="str">
        <f>IF($J124="","",IFERROR(VLOOKUP($J124,Grinders!$A:$N,10,FALSE),""))</f>
        <v/>
      </c>
      <c r="Z124" s="40" t="str">
        <f>IF($J124="","",IFERROR(VLOOKUP($J124,Grinders!$A:$N,11,FALSE),""))</f>
        <v/>
      </c>
      <c r="AA124" s="40" t="str">
        <f>IF($J124="","",IFERROR(VLOOKUP($J124,Grinders!$A:$N,12,FALSE),""))</f>
        <v/>
      </c>
      <c r="AB124" s="40" t="str">
        <f>IF(OR(AL124=1,AM124=1),0,=IFERROR(IF(OR($C124="",$J124=""),0,IF($D124&lt;&gt;"Open",0,IF(COUNTIFS(GrinderServices!$A:$A,$J124,GrinderServices!$B:$B,$E124,GrinderServices!$D:$D,"Y")=0,0,IF($U124&lt;Config!$B$16,0,IF(Config!$B$18=1,IF($N124&gt;=$M124,0,1),1))))),""))</f>
        <v>#ERROR!</v>
      </c>
      <c r="AC124" s="40" t="str">
        <f>IFERROR((IF(OR(AL124=1,AM124=1),"",=IFERROR((IFERROR(IF($AB124=0,"",((Config!$B$6*$V124 + Config!$B$7*$R124 + Config!$B$8*$W124 + Config!$B$9*$X124 + Config!$B$10*$Y124 + Config!$B$11*$Z124 - Config!$B$12*$AA124)/Config!$B$13)+$AH124+$AI124),""))*(1-IFERROR(VLOOKUP(J124,Grinders!$A:$AB, 28, FALSE),0)),"")))*(1+AO124),"")</f>
        <v>#ERROR!</v>
      </c>
      <c r="AD124" s="40" t="str">
        <f t="shared" si="4"/>
        <v/>
      </c>
      <c r="AE124" s="40" t="str">
        <f>IFERROR(__xludf.DUMMYFUNCTION("IF($AC124="""","""",IF($AC124=IFERROR(MAX(FILTER($AC$6:$AC$1000,$C$6:$C$1000=$C124,$AB$6:$AB$1000=1)),),""WINNER"",""""))"),"#ERROR!")</f>
        <v>#ERROR!</v>
      </c>
      <c r="AF124" s="40" t="str">
        <f t="shared" si="5"/>
        <v/>
      </c>
      <c r="AG124" s="40" t="str">
        <f>IF($J124="","",COUNTIF(Assignments!$B:$B,$J124))</f>
        <v/>
      </c>
      <c r="AH124" s="40" t="str">
        <f>IF($J124="","",IF(AND($AG124=0,$N124&lt;$M124),Config!$B$43,0))</f>
        <v/>
      </c>
      <c r="AI124" s="40" t="str">
        <f>IF($J124="","",IF(AND($L124="Elite",$F124&gt;=Config!$B$41,$N124&lt;$M124),Config!$B$42,0))</f>
        <v/>
      </c>
      <c r="AJ124" s="22"/>
      <c r="AK124" s="39">
        <f>IFERROR(VLOOKUP(J124,Grinders!$A:$Q,28,FALSE),0)</f>
        <v>0</v>
      </c>
      <c r="AL124" s="39">
        <f>IF(Config!$B$1003&lt;&gt;"Y",0,IF(IFERROR(VLOOKUP(J124,Grinders!$A:$P,27,FALSE),0)&gt;=3,IF(OR(F124&gt;=Config!$B$1001,ISNUMBER(SEARCH(E124,Config!$B$1002))),1,0),0))</f>
        <v>0</v>
      </c>
      <c r="AM124" s="39">
        <f t="array" ref="AM124">IFERROR(IF(INDEX(Bids!$AE:$AE,MATCH(B124,Bids!$A:$A,0))="Pending",1,0),0)</f>
        <v>0</v>
      </c>
      <c r="AN124" s="39" t="str">
        <f t="array" ref="AN124">IF(C124="","",IFERROR(XLOOKUP(C124,Assignments!$C:$C,Assignments!$AU:$AU,0),0))</f>
        <v/>
      </c>
      <c r="AO124" s="39">
        <f>IF(AND(Config!$B$1006="Y",AN124=1),Config!$B$1007,0)</f>
        <v>0</v>
      </c>
    </row>
    <row r="125" ht="15.75" customHeight="1">
      <c r="A125" s="46" t="str">
        <f t="shared" si="1"/>
        <v/>
      </c>
      <c r="B125" s="40" t="str">
        <f>IF(Bids!$A125="","",Bids!$A125)</f>
        <v/>
      </c>
      <c r="C125" s="40" t="str">
        <f>IF(Bids!$B125="","",Bids!$B125)</f>
        <v/>
      </c>
      <c r="D125" s="40" t="str">
        <f>IF($C125="","",IFERROR(VLOOKUP($C125,Orders!$A:$J,9,FALSE),""))</f>
        <v/>
      </c>
      <c r="E125" s="40" t="str">
        <f>IF($C125="","",IFERROR(VLOOKUP($C125,Orders!$A:$J,3,FALSE),""))</f>
        <v/>
      </c>
      <c r="F125" s="40" t="str">
        <f>IF($C125="","",IFERROR(VLOOKUP($C125,Orders!$A:$J,4,FALSE),""))</f>
        <v/>
      </c>
      <c r="G125" s="40" t="str">
        <f>IF($C125="","",IFERROR(VLOOKUP($C125,Orders!$A:$J,5,FALSE),""))</f>
        <v/>
      </c>
      <c r="H125" s="40" t="str">
        <f>IF($C125="","",IFERROR(VLOOKUP($C125,Orders!$A:$J,6,FALSE),""))</f>
        <v/>
      </c>
      <c r="I125" s="40" t="str">
        <f>IF($C125="","",IFERROR(VLOOKUP($C125,Orders!$A:$J,7,FALSE),""))</f>
        <v/>
      </c>
      <c r="J125" s="40" t="str">
        <f>IF(Bids!$C125="","",Bids!$C125)</f>
        <v/>
      </c>
      <c r="K125" s="40" t="str">
        <f>IF($J125="","",IFERROR(VLOOKUP($J125,Grinders!$A:$N,2,FALSE),""))</f>
        <v/>
      </c>
      <c r="L125" s="40" t="str">
        <f>IF($J125="","",IFERROR(VLOOKUP($J125,Grinders!$A:$N,3,FALSE),""))</f>
        <v/>
      </c>
      <c r="M125" s="40" t="str">
        <f>IF($J125="","",IFERROR(VLOOKUP($J125,Grinders!$A:$N,4,FALSE),""))</f>
        <v/>
      </c>
      <c r="N125" s="40" t="str">
        <f>IF($J125="","",IFERROR(VLOOKUP($J125,Grinders!$A:$N,5,FALSE),""))</f>
        <v/>
      </c>
      <c r="O125" s="40" t="str">
        <f t="shared" si="2"/>
        <v/>
      </c>
      <c r="P125" s="40" t="str">
        <f>IF($J125="","",IFERROR(VLOOKUP($J125,Grinders!$A:$N,6,FALSE),""))</f>
        <v/>
      </c>
      <c r="Q125" s="40" t="str">
        <f>IF($J125="","",IFERROR(VLOOKUP($J125,Grinders!$A:$N,8,FALSE),""))</f>
        <v/>
      </c>
      <c r="R125" s="40" t="str">
        <f>IFERROR(IF($J125="","",IF($L125="Elite",MAX(50,MIN(100,Config!$B$27*MAX(0,MIN(100,(1-IF($O125="",0,$O125))*100)) + Config!$B$28*MAX(0,MIN(100,(1-MIN(1,IF(Config!$B$30=0,1,$P125/Config!$B$30)))*100)) + Config!$B$29*MAX(0,MIN(100,MIN(1,IF($Q125="",0,$Q125)/Config!$B$23)*100)))),MIN(100,Config!$B$27*MAX(0,MIN(100,(1-IF($O125="",0,$O125))*100)) + Config!$B$28*MAX(0,MIN(100,(1-MIN(1,IF(Config!$B$30=0,1,$P125/Config!$B$30)))*100)) + Config!$B$29*MAX(0,MIN(100,MIN(1,IF($Q125="",0,$Q125)/Config!$B$23)*100))))),"")
</f>
        <v/>
      </c>
      <c r="S125" s="40" t="str">
        <f>IF(Bids!$AC125="","",Bids!$AC125)</f>
        <v/>
      </c>
      <c r="T125" s="40" t="str">
        <f>IF(Bids!$F125="","",Bids!$F125)</f>
        <v/>
      </c>
      <c r="U125" s="40" t="str">
        <f t="shared" si="3"/>
        <v/>
      </c>
      <c r="V125" s="40" t="str">
        <f>IF($U125="","",IF(Config!$B$17=Config!$B$16,IF($U125&gt;=Config!$B$17,100,0),MAX(0,MIN(100,($U125-Config!$B$16)/(Config!$B$17-Config!$B$16)*100))))</f>
        <v/>
      </c>
      <c r="W125" s="40">
        <f>IF($L125="Elite",Config!$B$21,0)</f>
        <v>0</v>
      </c>
      <c r="X125" s="40" t="str">
        <f>IFERROR(IF(OR($T125="",$G125=""),"",IF($T125&gt;$G125,
  MAX(0, 60-(($T125-$G125)*24/Config!$B$19)*60),
  MEDIAN(60, 100, 60+(($G125-$T125)*24/Config!$B$20)*40)
)),"")
</f>
        <v/>
      </c>
      <c r="Y125" s="40" t="str">
        <f>IF($J125="","",IFERROR(VLOOKUP($J125,Grinders!$A:$N,10,FALSE),""))</f>
        <v/>
      </c>
      <c r="Z125" s="40" t="str">
        <f>IF($J125="","",IFERROR(VLOOKUP($J125,Grinders!$A:$N,11,FALSE),""))</f>
        <v/>
      </c>
      <c r="AA125" s="40" t="str">
        <f>IF($J125="","",IFERROR(VLOOKUP($J125,Grinders!$A:$N,12,FALSE),""))</f>
        <v/>
      </c>
      <c r="AB125" s="40" t="str">
        <f>IF(OR(AL125=1,AM125=1),0,=IFERROR(IF(OR($C125="",$J125=""),0,IF($D125&lt;&gt;"Open",0,IF(COUNTIFS(GrinderServices!$A:$A,$J125,GrinderServices!$B:$B,$E125,GrinderServices!$D:$D,"Y")=0,0,IF($U125&lt;Config!$B$16,0,IF(Config!$B$18=1,IF($N125&gt;=$M125,0,1),1))))),""))</f>
        <v>#ERROR!</v>
      </c>
      <c r="AC125" s="40" t="str">
        <f>IFERROR((IF(OR(AL125=1,AM125=1),"",=IFERROR((IFERROR(IF($AB125=0,"",((Config!$B$6*$V125 + Config!$B$7*$R125 + Config!$B$8*$W125 + Config!$B$9*$X125 + Config!$B$10*$Y125 + Config!$B$11*$Z125 - Config!$B$12*$AA125)/Config!$B$13)+$AH125+$AI125),""))*(1-IFERROR(VLOOKUP(J125,Grinders!$A:$AB, 28, FALSE),0)),"")))*(1+AO125),"")</f>
        <v>#ERROR!</v>
      </c>
      <c r="AD125" s="40" t="str">
        <f t="shared" si="4"/>
        <v/>
      </c>
      <c r="AE125" s="40" t="str">
        <f>IFERROR(__xludf.DUMMYFUNCTION("IF($AC125="""","""",IF($AC125=IFERROR(MAX(FILTER($AC$6:$AC$1000,$C$6:$C$1000=$C125,$AB$6:$AB$1000=1)),),""WINNER"",""""))"),"#ERROR!")</f>
        <v>#ERROR!</v>
      </c>
      <c r="AF125" s="40" t="str">
        <f t="shared" si="5"/>
        <v/>
      </c>
      <c r="AG125" s="40" t="str">
        <f>IF($J125="","",COUNTIF(Assignments!$B:$B,$J125))</f>
        <v/>
      </c>
      <c r="AH125" s="40" t="str">
        <f>IF($J125="","",IF(AND($AG125=0,$N125&lt;$M125),Config!$B$43,0))</f>
        <v/>
      </c>
      <c r="AI125" s="40" t="str">
        <f>IF($J125="","",IF(AND($L125="Elite",$F125&gt;=Config!$B$41,$N125&lt;$M125),Config!$B$42,0))</f>
        <v/>
      </c>
      <c r="AJ125" s="22"/>
      <c r="AK125" s="39">
        <f>IFERROR(VLOOKUP(J125,Grinders!$A:$Q,28,FALSE),0)</f>
        <v>0</v>
      </c>
      <c r="AL125" s="39">
        <f>IF(Config!$B$1003&lt;&gt;"Y",0,IF(IFERROR(VLOOKUP(J125,Grinders!$A:$P,27,FALSE),0)&gt;=3,IF(OR(F125&gt;=Config!$B$1001,ISNUMBER(SEARCH(E125,Config!$B$1002))),1,0),0))</f>
        <v>0</v>
      </c>
      <c r="AM125" s="39">
        <f t="array" ref="AM125">IFERROR(IF(INDEX(Bids!$AE:$AE,MATCH(B125,Bids!$A:$A,0))="Pending",1,0),0)</f>
        <v>0</v>
      </c>
      <c r="AN125" s="39" t="str">
        <f t="array" ref="AN125">IF(C125="","",IFERROR(XLOOKUP(C125,Assignments!$C:$C,Assignments!$AU:$AU,0),0))</f>
        <v/>
      </c>
      <c r="AO125" s="39">
        <f>IF(AND(Config!$B$1006="Y",AN125=1),Config!$B$1007,0)</f>
        <v>0</v>
      </c>
    </row>
    <row r="126" ht="15.75" customHeight="1">
      <c r="A126" s="46" t="str">
        <f t="shared" si="1"/>
        <v/>
      </c>
      <c r="B126" s="40" t="str">
        <f>IF(Bids!$A126="","",Bids!$A126)</f>
        <v/>
      </c>
      <c r="C126" s="40" t="str">
        <f>IF(Bids!$B126="","",Bids!$B126)</f>
        <v/>
      </c>
      <c r="D126" s="40" t="str">
        <f>IF($C126="","",IFERROR(VLOOKUP($C126,Orders!$A:$J,9,FALSE),""))</f>
        <v/>
      </c>
      <c r="E126" s="40" t="str">
        <f>IF($C126="","",IFERROR(VLOOKUP($C126,Orders!$A:$J,3,FALSE),""))</f>
        <v/>
      </c>
      <c r="F126" s="40" t="str">
        <f>IF($C126="","",IFERROR(VLOOKUP($C126,Orders!$A:$J,4,FALSE),""))</f>
        <v/>
      </c>
      <c r="G126" s="40" t="str">
        <f>IF($C126="","",IFERROR(VLOOKUP($C126,Orders!$A:$J,5,FALSE),""))</f>
        <v/>
      </c>
      <c r="H126" s="40" t="str">
        <f>IF($C126="","",IFERROR(VLOOKUP($C126,Orders!$A:$J,6,FALSE),""))</f>
        <v/>
      </c>
      <c r="I126" s="40" t="str">
        <f>IF($C126="","",IFERROR(VLOOKUP($C126,Orders!$A:$J,7,FALSE),""))</f>
        <v/>
      </c>
      <c r="J126" s="40" t="str">
        <f>IF(Bids!$C126="","",Bids!$C126)</f>
        <v/>
      </c>
      <c r="K126" s="40" t="str">
        <f>IF($J126="","",IFERROR(VLOOKUP($J126,Grinders!$A:$N,2,FALSE),""))</f>
        <v/>
      </c>
      <c r="L126" s="40" t="str">
        <f>IF($J126="","",IFERROR(VLOOKUP($J126,Grinders!$A:$N,3,FALSE),""))</f>
        <v/>
      </c>
      <c r="M126" s="40" t="str">
        <f>IF($J126="","",IFERROR(VLOOKUP($J126,Grinders!$A:$N,4,FALSE),""))</f>
        <v/>
      </c>
      <c r="N126" s="40" t="str">
        <f>IF($J126="","",IFERROR(VLOOKUP($J126,Grinders!$A:$N,5,FALSE),""))</f>
        <v/>
      </c>
      <c r="O126" s="40" t="str">
        <f t="shared" si="2"/>
        <v/>
      </c>
      <c r="P126" s="40" t="str">
        <f>IF($J126="","",IFERROR(VLOOKUP($J126,Grinders!$A:$N,6,FALSE),""))</f>
        <v/>
      </c>
      <c r="Q126" s="40" t="str">
        <f>IF($J126="","",IFERROR(VLOOKUP($J126,Grinders!$A:$N,8,FALSE),""))</f>
        <v/>
      </c>
      <c r="R126" s="40" t="str">
        <f>IFERROR(IF($J126="","",IF($L126="Elite",MAX(50,MIN(100,Config!$B$27*MAX(0,MIN(100,(1-IF($O126="",0,$O126))*100)) + Config!$B$28*MAX(0,MIN(100,(1-MIN(1,IF(Config!$B$30=0,1,$P126/Config!$B$30)))*100)) + Config!$B$29*MAX(0,MIN(100,MIN(1,IF($Q126="",0,$Q126)/Config!$B$23)*100)))),MIN(100,Config!$B$27*MAX(0,MIN(100,(1-IF($O126="",0,$O126))*100)) + Config!$B$28*MAX(0,MIN(100,(1-MIN(1,IF(Config!$B$30=0,1,$P126/Config!$B$30)))*100)) + Config!$B$29*MAX(0,MIN(100,MIN(1,IF($Q126="",0,$Q126)/Config!$B$23)*100))))),"")
</f>
        <v/>
      </c>
      <c r="S126" s="40" t="str">
        <f>IF(Bids!$AC126="","",Bids!$AC126)</f>
        <v/>
      </c>
      <c r="T126" s="40" t="str">
        <f>IF(Bids!$F126="","",Bids!$F126)</f>
        <v/>
      </c>
      <c r="U126" s="40" t="str">
        <f t="shared" si="3"/>
        <v/>
      </c>
      <c r="V126" s="40" t="str">
        <f>IF($U126="","",IF(Config!$B$17=Config!$B$16,IF($U126&gt;=Config!$B$17,100,0),MAX(0,MIN(100,($U126-Config!$B$16)/(Config!$B$17-Config!$B$16)*100))))</f>
        <v/>
      </c>
      <c r="W126" s="40">
        <f>IF($L126="Elite",Config!$B$21,0)</f>
        <v>0</v>
      </c>
      <c r="X126" s="40" t="str">
        <f>IFERROR(IF(OR($T126="",$G126=""),"",IF($T126&gt;$G126,
  MAX(0, 60-(($T126-$G126)*24/Config!$B$19)*60),
  MEDIAN(60, 100, 60+(($G126-$T126)*24/Config!$B$20)*40)
)),"")
</f>
        <v/>
      </c>
      <c r="Y126" s="40" t="str">
        <f>IF($J126="","",IFERROR(VLOOKUP($J126,Grinders!$A:$N,10,FALSE),""))</f>
        <v/>
      </c>
      <c r="Z126" s="40" t="str">
        <f>IF($J126="","",IFERROR(VLOOKUP($J126,Grinders!$A:$N,11,FALSE),""))</f>
        <v/>
      </c>
      <c r="AA126" s="40" t="str">
        <f>IF($J126="","",IFERROR(VLOOKUP($J126,Grinders!$A:$N,12,FALSE),""))</f>
        <v/>
      </c>
      <c r="AB126" s="40" t="str">
        <f>IF(OR(AL126=1,AM126=1),0,=IFERROR(IF(OR($C126="",$J126=""),0,IF($D126&lt;&gt;"Open",0,IF(COUNTIFS(GrinderServices!$A:$A,$J126,GrinderServices!$B:$B,$E126,GrinderServices!$D:$D,"Y")=0,0,IF($U126&lt;Config!$B$16,0,IF(Config!$B$18=1,IF($N126&gt;=$M126,0,1),1))))),""))</f>
        <v>#ERROR!</v>
      </c>
      <c r="AC126" s="40" t="str">
        <f>IFERROR((IF(OR(AL126=1,AM126=1),"",=IFERROR((IFERROR(IF($AB126=0,"",((Config!$B$6*$V126 + Config!$B$7*$R126 + Config!$B$8*$W126 + Config!$B$9*$X126 + Config!$B$10*$Y126 + Config!$B$11*$Z126 - Config!$B$12*$AA126)/Config!$B$13)+$AH126+$AI126),""))*(1-IFERROR(VLOOKUP(J126,Grinders!$A:$AB, 28, FALSE),0)),"")))*(1+AO126),"")</f>
        <v>#ERROR!</v>
      </c>
      <c r="AD126" s="40" t="str">
        <f t="shared" si="4"/>
        <v/>
      </c>
      <c r="AE126" s="40" t="str">
        <f>IFERROR(__xludf.DUMMYFUNCTION("IF($AC126="""","""",IF($AC126=IFERROR(MAX(FILTER($AC$6:$AC$1000,$C$6:$C$1000=$C126,$AB$6:$AB$1000=1)),),""WINNER"",""""))"),"#ERROR!")</f>
        <v>#ERROR!</v>
      </c>
      <c r="AF126" s="40" t="str">
        <f t="shared" si="5"/>
        <v/>
      </c>
      <c r="AG126" s="40" t="str">
        <f>IF($J126="","",COUNTIF(Assignments!$B:$B,$J126))</f>
        <v/>
      </c>
      <c r="AH126" s="40" t="str">
        <f>IF($J126="","",IF(AND($AG126=0,$N126&lt;$M126),Config!$B$43,0))</f>
        <v/>
      </c>
      <c r="AI126" s="40" t="str">
        <f>IF($J126="","",IF(AND($L126="Elite",$F126&gt;=Config!$B$41,$N126&lt;$M126),Config!$B$42,0))</f>
        <v/>
      </c>
      <c r="AJ126" s="22"/>
      <c r="AK126" s="39">
        <f>IFERROR(VLOOKUP(J126,Grinders!$A:$Q,28,FALSE),0)</f>
        <v>0</v>
      </c>
      <c r="AL126" s="39">
        <f>IF(Config!$B$1003&lt;&gt;"Y",0,IF(IFERROR(VLOOKUP(J126,Grinders!$A:$P,27,FALSE),0)&gt;=3,IF(OR(F126&gt;=Config!$B$1001,ISNUMBER(SEARCH(E126,Config!$B$1002))),1,0),0))</f>
        <v>0</v>
      </c>
      <c r="AM126" s="39">
        <f t="array" ref="AM126">IFERROR(IF(INDEX(Bids!$AE:$AE,MATCH(B126,Bids!$A:$A,0))="Pending",1,0),0)</f>
        <v>0</v>
      </c>
      <c r="AN126" s="39" t="str">
        <f t="array" ref="AN126">IF(C126="","",IFERROR(XLOOKUP(C126,Assignments!$C:$C,Assignments!$AU:$AU,0),0))</f>
        <v/>
      </c>
      <c r="AO126" s="39">
        <f>IF(AND(Config!$B$1006="Y",AN126=1),Config!$B$1007,0)</f>
        <v>0</v>
      </c>
    </row>
    <row r="127" ht="15.75" customHeight="1">
      <c r="A127" s="46" t="str">
        <f t="shared" si="1"/>
        <v/>
      </c>
      <c r="B127" s="40" t="str">
        <f>IF(Bids!$A127="","",Bids!$A127)</f>
        <v/>
      </c>
      <c r="C127" s="40" t="str">
        <f>IF(Bids!$B127="","",Bids!$B127)</f>
        <v/>
      </c>
      <c r="D127" s="40" t="str">
        <f>IF($C127="","",IFERROR(VLOOKUP($C127,Orders!$A:$J,9,FALSE),""))</f>
        <v/>
      </c>
      <c r="E127" s="40" t="str">
        <f>IF($C127="","",IFERROR(VLOOKUP($C127,Orders!$A:$J,3,FALSE),""))</f>
        <v/>
      </c>
      <c r="F127" s="40" t="str">
        <f>IF($C127="","",IFERROR(VLOOKUP($C127,Orders!$A:$J,4,FALSE),""))</f>
        <v/>
      </c>
      <c r="G127" s="40" t="str">
        <f>IF($C127="","",IFERROR(VLOOKUP($C127,Orders!$A:$J,5,FALSE),""))</f>
        <v/>
      </c>
      <c r="H127" s="40" t="str">
        <f>IF($C127="","",IFERROR(VLOOKUP($C127,Orders!$A:$J,6,FALSE),""))</f>
        <v/>
      </c>
      <c r="I127" s="40" t="str">
        <f>IF($C127="","",IFERROR(VLOOKUP($C127,Orders!$A:$J,7,FALSE),""))</f>
        <v/>
      </c>
      <c r="J127" s="40" t="str">
        <f>IF(Bids!$C127="","",Bids!$C127)</f>
        <v/>
      </c>
      <c r="K127" s="40" t="str">
        <f>IF($J127="","",IFERROR(VLOOKUP($J127,Grinders!$A:$N,2,FALSE),""))</f>
        <v/>
      </c>
      <c r="L127" s="40" t="str">
        <f>IF($J127="","",IFERROR(VLOOKUP($J127,Grinders!$A:$N,3,FALSE),""))</f>
        <v/>
      </c>
      <c r="M127" s="40" t="str">
        <f>IF($J127="","",IFERROR(VLOOKUP($J127,Grinders!$A:$N,4,FALSE),""))</f>
        <v/>
      </c>
      <c r="N127" s="40" t="str">
        <f>IF($J127="","",IFERROR(VLOOKUP($J127,Grinders!$A:$N,5,FALSE),""))</f>
        <v/>
      </c>
      <c r="O127" s="40" t="str">
        <f t="shared" si="2"/>
        <v/>
      </c>
      <c r="P127" s="40" t="str">
        <f>IF($J127="","",IFERROR(VLOOKUP($J127,Grinders!$A:$N,6,FALSE),""))</f>
        <v/>
      </c>
      <c r="Q127" s="40" t="str">
        <f>IF($J127="","",IFERROR(VLOOKUP($J127,Grinders!$A:$N,8,FALSE),""))</f>
        <v/>
      </c>
      <c r="R127" s="40" t="str">
        <f>IFERROR(IF($J127="","",IF($L127="Elite",MAX(50,MIN(100,Config!$B$27*MAX(0,MIN(100,(1-IF($O127="",0,$O127))*100)) + Config!$B$28*MAX(0,MIN(100,(1-MIN(1,IF(Config!$B$30=0,1,$P127/Config!$B$30)))*100)) + Config!$B$29*MAX(0,MIN(100,MIN(1,IF($Q127="",0,$Q127)/Config!$B$23)*100)))),MIN(100,Config!$B$27*MAX(0,MIN(100,(1-IF($O127="",0,$O127))*100)) + Config!$B$28*MAX(0,MIN(100,(1-MIN(1,IF(Config!$B$30=0,1,$P127/Config!$B$30)))*100)) + Config!$B$29*MAX(0,MIN(100,MIN(1,IF($Q127="",0,$Q127)/Config!$B$23)*100))))),"")
</f>
        <v/>
      </c>
      <c r="S127" s="40" t="str">
        <f>IF(Bids!$AC127="","",Bids!$AC127)</f>
        <v/>
      </c>
      <c r="T127" s="40" t="str">
        <f>IF(Bids!$F127="","",Bids!$F127)</f>
        <v/>
      </c>
      <c r="U127" s="40" t="str">
        <f t="shared" si="3"/>
        <v/>
      </c>
      <c r="V127" s="40" t="str">
        <f>IF($U127="","",IF(Config!$B$17=Config!$B$16,IF($U127&gt;=Config!$B$17,100,0),MAX(0,MIN(100,($U127-Config!$B$16)/(Config!$B$17-Config!$B$16)*100))))</f>
        <v/>
      </c>
      <c r="W127" s="40">
        <f>IF($L127="Elite",Config!$B$21,0)</f>
        <v>0</v>
      </c>
      <c r="X127" s="40" t="str">
        <f>IFERROR(IF(OR($T127="",$G127=""),"",IF($T127&gt;$G127,
  MAX(0, 60-(($T127-$G127)*24/Config!$B$19)*60),
  MEDIAN(60, 100, 60+(($G127-$T127)*24/Config!$B$20)*40)
)),"")
</f>
        <v/>
      </c>
      <c r="Y127" s="40" t="str">
        <f>IF($J127="","",IFERROR(VLOOKUP($J127,Grinders!$A:$N,10,FALSE),""))</f>
        <v/>
      </c>
      <c r="Z127" s="40" t="str">
        <f>IF($J127="","",IFERROR(VLOOKUP($J127,Grinders!$A:$N,11,FALSE),""))</f>
        <v/>
      </c>
      <c r="AA127" s="40" t="str">
        <f>IF($J127="","",IFERROR(VLOOKUP($J127,Grinders!$A:$N,12,FALSE),""))</f>
        <v/>
      </c>
      <c r="AB127" s="40" t="str">
        <f>IF(OR(AL127=1,AM127=1),0,=IFERROR(IF(OR($C127="",$J127=""),0,IF($D127&lt;&gt;"Open",0,IF(COUNTIFS(GrinderServices!$A:$A,$J127,GrinderServices!$B:$B,$E127,GrinderServices!$D:$D,"Y")=0,0,IF($U127&lt;Config!$B$16,0,IF(Config!$B$18=1,IF($N127&gt;=$M127,0,1),1))))),""))</f>
        <v>#ERROR!</v>
      </c>
      <c r="AC127" s="40" t="str">
        <f>IFERROR((IF(OR(AL127=1,AM127=1),"",=IFERROR((IFERROR(IF($AB127=0,"",((Config!$B$6*$V127 + Config!$B$7*$R127 + Config!$B$8*$W127 + Config!$B$9*$X127 + Config!$B$10*$Y127 + Config!$B$11*$Z127 - Config!$B$12*$AA127)/Config!$B$13)+$AH127+$AI127),""))*(1-IFERROR(VLOOKUP(J127,Grinders!$A:$AB, 28, FALSE),0)),"")))*(1+AO127),"")</f>
        <v>#ERROR!</v>
      </c>
      <c r="AD127" s="40" t="str">
        <f t="shared" si="4"/>
        <v/>
      </c>
      <c r="AE127" s="40" t="str">
        <f>IFERROR(__xludf.DUMMYFUNCTION("IF($AC127="""","""",IF($AC127=IFERROR(MAX(FILTER($AC$6:$AC$1000,$C$6:$C$1000=$C127,$AB$6:$AB$1000=1)),),""WINNER"",""""))"),"#ERROR!")</f>
        <v>#ERROR!</v>
      </c>
      <c r="AF127" s="40" t="str">
        <f t="shared" si="5"/>
        <v/>
      </c>
      <c r="AG127" s="40" t="str">
        <f>IF($J127="","",COUNTIF(Assignments!$B:$B,$J127))</f>
        <v/>
      </c>
      <c r="AH127" s="40" t="str">
        <f>IF($J127="","",IF(AND($AG127=0,$N127&lt;$M127),Config!$B$43,0))</f>
        <v/>
      </c>
      <c r="AI127" s="40" t="str">
        <f>IF($J127="","",IF(AND($L127="Elite",$F127&gt;=Config!$B$41,$N127&lt;$M127),Config!$B$42,0))</f>
        <v/>
      </c>
      <c r="AJ127" s="22"/>
      <c r="AK127" s="39">
        <f>IFERROR(VLOOKUP(J127,Grinders!$A:$Q,28,FALSE),0)</f>
        <v>0</v>
      </c>
      <c r="AL127" s="39">
        <f>IF(Config!$B$1003&lt;&gt;"Y",0,IF(IFERROR(VLOOKUP(J127,Grinders!$A:$P,27,FALSE),0)&gt;=3,IF(OR(F127&gt;=Config!$B$1001,ISNUMBER(SEARCH(E127,Config!$B$1002))),1,0),0))</f>
        <v>0</v>
      </c>
      <c r="AM127" s="39">
        <f t="array" ref="AM127">IFERROR(IF(INDEX(Bids!$AE:$AE,MATCH(B127,Bids!$A:$A,0))="Pending",1,0),0)</f>
        <v>0</v>
      </c>
      <c r="AN127" s="39" t="str">
        <f t="array" ref="AN127">IF(C127="","",IFERROR(XLOOKUP(C127,Assignments!$C:$C,Assignments!$AU:$AU,0),0))</f>
        <v/>
      </c>
      <c r="AO127" s="39">
        <f>IF(AND(Config!$B$1006="Y",AN127=1),Config!$B$1007,0)</f>
        <v>0</v>
      </c>
    </row>
    <row r="128" ht="15.75" customHeight="1">
      <c r="A128" s="46" t="str">
        <f t="shared" si="1"/>
        <v/>
      </c>
      <c r="B128" s="40" t="str">
        <f>IF(Bids!$A128="","",Bids!$A128)</f>
        <v/>
      </c>
      <c r="C128" s="40" t="str">
        <f>IF(Bids!$B128="","",Bids!$B128)</f>
        <v/>
      </c>
      <c r="D128" s="40" t="str">
        <f>IF($C128="","",IFERROR(VLOOKUP($C128,Orders!$A:$J,9,FALSE),""))</f>
        <v/>
      </c>
      <c r="E128" s="40" t="str">
        <f>IF($C128="","",IFERROR(VLOOKUP($C128,Orders!$A:$J,3,FALSE),""))</f>
        <v/>
      </c>
      <c r="F128" s="40" t="str">
        <f>IF($C128="","",IFERROR(VLOOKUP($C128,Orders!$A:$J,4,FALSE),""))</f>
        <v/>
      </c>
      <c r="G128" s="40" t="str">
        <f>IF($C128="","",IFERROR(VLOOKUP($C128,Orders!$A:$J,5,FALSE),""))</f>
        <v/>
      </c>
      <c r="H128" s="40" t="str">
        <f>IF($C128="","",IFERROR(VLOOKUP($C128,Orders!$A:$J,6,FALSE),""))</f>
        <v/>
      </c>
      <c r="I128" s="40" t="str">
        <f>IF($C128="","",IFERROR(VLOOKUP($C128,Orders!$A:$J,7,FALSE),""))</f>
        <v/>
      </c>
      <c r="J128" s="40" t="str">
        <f>IF(Bids!$C128="","",Bids!$C128)</f>
        <v/>
      </c>
      <c r="K128" s="40" t="str">
        <f>IF($J128="","",IFERROR(VLOOKUP($J128,Grinders!$A:$N,2,FALSE),""))</f>
        <v/>
      </c>
      <c r="L128" s="40" t="str">
        <f>IF($J128="","",IFERROR(VLOOKUP($J128,Grinders!$A:$N,3,FALSE),""))</f>
        <v/>
      </c>
      <c r="M128" s="40" t="str">
        <f>IF($J128="","",IFERROR(VLOOKUP($J128,Grinders!$A:$N,4,FALSE),""))</f>
        <v/>
      </c>
      <c r="N128" s="40" t="str">
        <f>IF($J128="","",IFERROR(VLOOKUP($J128,Grinders!$A:$N,5,FALSE),""))</f>
        <v/>
      </c>
      <c r="O128" s="40" t="str">
        <f t="shared" si="2"/>
        <v/>
      </c>
      <c r="P128" s="40" t="str">
        <f>IF($J128="","",IFERROR(VLOOKUP($J128,Grinders!$A:$N,6,FALSE),""))</f>
        <v/>
      </c>
      <c r="Q128" s="40" t="str">
        <f>IF($J128="","",IFERROR(VLOOKUP($J128,Grinders!$A:$N,8,FALSE),""))</f>
        <v/>
      </c>
      <c r="R128" s="40" t="str">
        <f>IFERROR(IF($J128="","",IF($L128="Elite",MAX(50,MIN(100,Config!$B$27*MAX(0,MIN(100,(1-IF($O128="",0,$O128))*100)) + Config!$B$28*MAX(0,MIN(100,(1-MIN(1,IF(Config!$B$30=0,1,$P128/Config!$B$30)))*100)) + Config!$B$29*MAX(0,MIN(100,MIN(1,IF($Q128="",0,$Q128)/Config!$B$23)*100)))),MIN(100,Config!$B$27*MAX(0,MIN(100,(1-IF($O128="",0,$O128))*100)) + Config!$B$28*MAX(0,MIN(100,(1-MIN(1,IF(Config!$B$30=0,1,$P128/Config!$B$30)))*100)) + Config!$B$29*MAX(0,MIN(100,MIN(1,IF($Q128="",0,$Q128)/Config!$B$23)*100))))),"")
</f>
        <v/>
      </c>
      <c r="S128" s="40" t="str">
        <f>IF(Bids!$AC128="","",Bids!$AC128)</f>
        <v/>
      </c>
      <c r="T128" s="40" t="str">
        <f>IF(Bids!$F128="","",Bids!$F128)</f>
        <v/>
      </c>
      <c r="U128" s="40" t="str">
        <f t="shared" si="3"/>
        <v/>
      </c>
      <c r="V128" s="40" t="str">
        <f>IF($U128="","",IF(Config!$B$17=Config!$B$16,IF($U128&gt;=Config!$B$17,100,0),MAX(0,MIN(100,($U128-Config!$B$16)/(Config!$B$17-Config!$B$16)*100))))</f>
        <v/>
      </c>
      <c r="W128" s="40">
        <f>IF($L128="Elite",Config!$B$21,0)</f>
        <v>0</v>
      </c>
      <c r="X128" s="40" t="str">
        <f>IFERROR(IF(OR($T128="",$G128=""),"",IF($T128&gt;$G128,
  MAX(0, 60-(($T128-$G128)*24/Config!$B$19)*60),
  MEDIAN(60, 100, 60+(($G128-$T128)*24/Config!$B$20)*40)
)),"")
</f>
        <v/>
      </c>
      <c r="Y128" s="40" t="str">
        <f>IF($J128="","",IFERROR(VLOOKUP($J128,Grinders!$A:$N,10,FALSE),""))</f>
        <v/>
      </c>
      <c r="Z128" s="40" t="str">
        <f>IF($J128="","",IFERROR(VLOOKUP($J128,Grinders!$A:$N,11,FALSE),""))</f>
        <v/>
      </c>
      <c r="AA128" s="40" t="str">
        <f>IF($J128="","",IFERROR(VLOOKUP($J128,Grinders!$A:$N,12,FALSE),""))</f>
        <v/>
      </c>
      <c r="AB128" s="40" t="str">
        <f>IF(OR(AL128=1,AM128=1),0,=IFERROR(IF(OR($C128="",$J128=""),0,IF($D128&lt;&gt;"Open",0,IF(COUNTIFS(GrinderServices!$A:$A,$J128,GrinderServices!$B:$B,$E128,GrinderServices!$D:$D,"Y")=0,0,IF($U128&lt;Config!$B$16,0,IF(Config!$B$18=1,IF($N128&gt;=$M128,0,1),1))))),""))</f>
        <v>#ERROR!</v>
      </c>
      <c r="AC128" s="40" t="str">
        <f>IFERROR((IF(OR(AL128=1,AM128=1),"",=IFERROR((IFERROR(IF($AB128=0,"",((Config!$B$6*$V128 + Config!$B$7*$R128 + Config!$B$8*$W128 + Config!$B$9*$X128 + Config!$B$10*$Y128 + Config!$B$11*$Z128 - Config!$B$12*$AA128)/Config!$B$13)+$AH128+$AI128),""))*(1-IFERROR(VLOOKUP(J128,Grinders!$A:$AB, 28, FALSE),0)),"")))*(1+AO128),"")</f>
        <v>#ERROR!</v>
      </c>
      <c r="AD128" s="40" t="str">
        <f t="shared" si="4"/>
        <v/>
      </c>
      <c r="AE128" s="40" t="str">
        <f>IFERROR(__xludf.DUMMYFUNCTION("IF($AC128="""","""",IF($AC128=IFERROR(MAX(FILTER($AC$6:$AC$1000,$C$6:$C$1000=$C128,$AB$6:$AB$1000=1)),),""WINNER"",""""))"),"#ERROR!")</f>
        <v>#ERROR!</v>
      </c>
      <c r="AF128" s="40" t="str">
        <f t="shared" si="5"/>
        <v/>
      </c>
      <c r="AG128" s="40" t="str">
        <f>IF($J128="","",COUNTIF(Assignments!$B:$B,$J128))</f>
        <v/>
      </c>
      <c r="AH128" s="40" t="str">
        <f>IF($J128="","",IF(AND($AG128=0,$N128&lt;$M128),Config!$B$43,0))</f>
        <v/>
      </c>
      <c r="AI128" s="40" t="str">
        <f>IF($J128="","",IF(AND($L128="Elite",$F128&gt;=Config!$B$41,$N128&lt;$M128),Config!$B$42,0))</f>
        <v/>
      </c>
      <c r="AJ128" s="22"/>
      <c r="AK128" s="39">
        <f>IFERROR(VLOOKUP(J128,Grinders!$A:$Q,28,FALSE),0)</f>
        <v>0</v>
      </c>
      <c r="AL128" s="39">
        <f>IF(Config!$B$1003&lt;&gt;"Y",0,IF(IFERROR(VLOOKUP(J128,Grinders!$A:$P,27,FALSE),0)&gt;=3,IF(OR(F128&gt;=Config!$B$1001,ISNUMBER(SEARCH(E128,Config!$B$1002))),1,0),0))</f>
        <v>0</v>
      </c>
      <c r="AM128" s="39">
        <f t="array" ref="AM128">IFERROR(IF(INDEX(Bids!$AE:$AE,MATCH(B128,Bids!$A:$A,0))="Pending",1,0),0)</f>
        <v>0</v>
      </c>
      <c r="AN128" s="39" t="str">
        <f t="array" ref="AN128">IF(C128="","",IFERROR(XLOOKUP(C128,Assignments!$C:$C,Assignments!$AU:$AU,0),0))</f>
        <v/>
      </c>
      <c r="AO128" s="39">
        <f>IF(AND(Config!$B$1006="Y",AN128=1),Config!$B$1007,0)</f>
        <v>0</v>
      </c>
    </row>
    <row r="129" ht="15.75" customHeight="1">
      <c r="A129" s="46" t="str">
        <f t="shared" si="1"/>
        <v/>
      </c>
      <c r="B129" s="40" t="str">
        <f>IF(Bids!$A129="","",Bids!$A129)</f>
        <v/>
      </c>
      <c r="C129" s="40" t="str">
        <f>IF(Bids!$B129="","",Bids!$B129)</f>
        <v/>
      </c>
      <c r="D129" s="40" t="str">
        <f>IF($C129="","",IFERROR(VLOOKUP($C129,Orders!$A:$J,9,FALSE),""))</f>
        <v/>
      </c>
      <c r="E129" s="40" t="str">
        <f>IF($C129="","",IFERROR(VLOOKUP($C129,Orders!$A:$J,3,FALSE),""))</f>
        <v/>
      </c>
      <c r="F129" s="40" t="str">
        <f>IF($C129="","",IFERROR(VLOOKUP($C129,Orders!$A:$J,4,FALSE),""))</f>
        <v/>
      </c>
      <c r="G129" s="40" t="str">
        <f>IF($C129="","",IFERROR(VLOOKUP($C129,Orders!$A:$J,5,FALSE),""))</f>
        <v/>
      </c>
      <c r="H129" s="40" t="str">
        <f>IF($C129="","",IFERROR(VLOOKUP($C129,Orders!$A:$J,6,FALSE),""))</f>
        <v/>
      </c>
      <c r="I129" s="40" t="str">
        <f>IF($C129="","",IFERROR(VLOOKUP($C129,Orders!$A:$J,7,FALSE),""))</f>
        <v/>
      </c>
      <c r="J129" s="40" t="str">
        <f>IF(Bids!$C129="","",Bids!$C129)</f>
        <v/>
      </c>
      <c r="K129" s="40" t="str">
        <f>IF($J129="","",IFERROR(VLOOKUP($J129,Grinders!$A:$N,2,FALSE),""))</f>
        <v/>
      </c>
      <c r="L129" s="40" t="str">
        <f>IF($J129="","",IFERROR(VLOOKUP($J129,Grinders!$A:$N,3,FALSE),""))</f>
        <v/>
      </c>
      <c r="M129" s="40" t="str">
        <f>IF($J129="","",IFERROR(VLOOKUP($J129,Grinders!$A:$N,4,FALSE),""))</f>
        <v/>
      </c>
      <c r="N129" s="40" t="str">
        <f>IF($J129="","",IFERROR(VLOOKUP($J129,Grinders!$A:$N,5,FALSE),""))</f>
        <v/>
      </c>
      <c r="O129" s="40" t="str">
        <f t="shared" si="2"/>
        <v/>
      </c>
      <c r="P129" s="40" t="str">
        <f>IF($J129="","",IFERROR(VLOOKUP($J129,Grinders!$A:$N,6,FALSE),""))</f>
        <v/>
      </c>
      <c r="Q129" s="40" t="str">
        <f>IF($J129="","",IFERROR(VLOOKUP($J129,Grinders!$A:$N,8,FALSE),""))</f>
        <v/>
      </c>
      <c r="R129" s="40" t="str">
        <f>IFERROR(IF($J129="","",IF($L129="Elite",MAX(50,MIN(100,Config!$B$27*MAX(0,MIN(100,(1-IF($O129="",0,$O129))*100)) + Config!$B$28*MAX(0,MIN(100,(1-MIN(1,IF(Config!$B$30=0,1,$P129/Config!$B$30)))*100)) + Config!$B$29*MAX(0,MIN(100,MIN(1,IF($Q129="",0,$Q129)/Config!$B$23)*100)))),MIN(100,Config!$B$27*MAX(0,MIN(100,(1-IF($O129="",0,$O129))*100)) + Config!$B$28*MAX(0,MIN(100,(1-MIN(1,IF(Config!$B$30=0,1,$P129/Config!$B$30)))*100)) + Config!$B$29*MAX(0,MIN(100,MIN(1,IF($Q129="",0,$Q129)/Config!$B$23)*100))))),"")
</f>
        <v/>
      </c>
      <c r="S129" s="40" t="str">
        <f>IF(Bids!$AC129="","",Bids!$AC129)</f>
        <v/>
      </c>
      <c r="T129" s="40" t="str">
        <f>IF(Bids!$F129="","",Bids!$F129)</f>
        <v/>
      </c>
      <c r="U129" s="40" t="str">
        <f t="shared" si="3"/>
        <v/>
      </c>
      <c r="V129" s="40" t="str">
        <f>IF($U129="","",IF(Config!$B$17=Config!$B$16,IF($U129&gt;=Config!$B$17,100,0),MAX(0,MIN(100,($U129-Config!$B$16)/(Config!$B$17-Config!$B$16)*100))))</f>
        <v/>
      </c>
      <c r="W129" s="40">
        <f>IF($L129="Elite",Config!$B$21,0)</f>
        <v>0</v>
      </c>
      <c r="X129" s="40" t="str">
        <f>IFERROR(IF(OR($T129="",$G129=""),"",IF($T129&gt;$G129,
  MAX(0, 60-(($T129-$G129)*24/Config!$B$19)*60),
  MEDIAN(60, 100, 60+(($G129-$T129)*24/Config!$B$20)*40)
)),"")
</f>
        <v/>
      </c>
      <c r="Y129" s="40" t="str">
        <f>IF($J129="","",IFERROR(VLOOKUP($J129,Grinders!$A:$N,10,FALSE),""))</f>
        <v/>
      </c>
      <c r="Z129" s="40" t="str">
        <f>IF($J129="","",IFERROR(VLOOKUP($J129,Grinders!$A:$N,11,FALSE),""))</f>
        <v/>
      </c>
      <c r="AA129" s="40" t="str">
        <f>IF($J129="","",IFERROR(VLOOKUP($J129,Grinders!$A:$N,12,FALSE),""))</f>
        <v/>
      </c>
      <c r="AB129" s="40" t="str">
        <f>IF(OR(AL129=1,AM129=1),0,=IFERROR(IF(OR($C129="",$J129=""),0,IF($D129&lt;&gt;"Open",0,IF(COUNTIFS(GrinderServices!$A:$A,$J129,GrinderServices!$B:$B,$E129,GrinderServices!$D:$D,"Y")=0,0,IF($U129&lt;Config!$B$16,0,IF(Config!$B$18=1,IF($N129&gt;=$M129,0,1),1))))),""))</f>
        <v>#ERROR!</v>
      </c>
      <c r="AC129" s="40" t="str">
        <f>IFERROR((IF(OR(AL129=1,AM129=1),"",=IFERROR((IFERROR(IF($AB129=0,"",((Config!$B$6*$V129 + Config!$B$7*$R129 + Config!$B$8*$W129 + Config!$B$9*$X129 + Config!$B$10*$Y129 + Config!$B$11*$Z129 - Config!$B$12*$AA129)/Config!$B$13)+$AH129+$AI129),""))*(1-IFERROR(VLOOKUP(J129,Grinders!$A:$AB, 28, FALSE),0)),"")))*(1+AO129),"")</f>
        <v>#ERROR!</v>
      </c>
      <c r="AD129" s="40" t="str">
        <f t="shared" si="4"/>
        <v/>
      </c>
      <c r="AE129" s="40" t="str">
        <f>IFERROR(__xludf.DUMMYFUNCTION("IF($AC129="""","""",IF($AC129=IFERROR(MAX(FILTER($AC$6:$AC$1000,$C$6:$C$1000=$C129,$AB$6:$AB$1000=1)),),""WINNER"",""""))"),"#ERROR!")</f>
        <v>#ERROR!</v>
      </c>
      <c r="AF129" s="40" t="str">
        <f t="shared" si="5"/>
        <v/>
      </c>
      <c r="AG129" s="40" t="str">
        <f>IF($J129="","",COUNTIF(Assignments!$B:$B,$J129))</f>
        <v/>
      </c>
      <c r="AH129" s="40" t="str">
        <f>IF($J129="","",IF(AND($AG129=0,$N129&lt;$M129),Config!$B$43,0))</f>
        <v/>
      </c>
      <c r="AI129" s="40" t="str">
        <f>IF($J129="","",IF(AND($L129="Elite",$F129&gt;=Config!$B$41,$N129&lt;$M129),Config!$B$42,0))</f>
        <v/>
      </c>
      <c r="AJ129" s="22"/>
      <c r="AK129" s="39">
        <f>IFERROR(VLOOKUP(J129,Grinders!$A:$Q,28,FALSE),0)</f>
        <v>0</v>
      </c>
      <c r="AL129" s="39">
        <f>IF(Config!$B$1003&lt;&gt;"Y",0,IF(IFERROR(VLOOKUP(J129,Grinders!$A:$P,27,FALSE),0)&gt;=3,IF(OR(F129&gt;=Config!$B$1001,ISNUMBER(SEARCH(E129,Config!$B$1002))),1,0),0))</f>
        <v>0</v>
      </c>
      <c r="AM129" s="39">
        <f t="array" ref="AM129">IFERROR(IF(INDEX(Bids!$AE:$AE,MATCH(B129,Bids!$A:$A,0))="Pending",1,0),0)</f>
        <v>0</v>
      </c>
      <c r="AN129" s="39" t="str">
        <f t="array" ref="AN129">IF(C129="","",IFERROR(XLOOKUP(C129,Assignments!$C:$C,Assignments!$AU:$AU,0),0))</f>
        <v/>
      </c>
      <c r="AO129" s="39">
        <f>IF(AND(Config!$B$1006="Y",AN129=1),Config!$B$1007,0)</f>
        <v>0</v>
      </c>
    </row>
    <row r="130" ht="15.75" customHeight="1">
      <c r="A130" s="46" t="str">
        <f t="shared" si="1"/>
        <v/>
      </c>
      <c r="B130" s="40" t="str">
        <f>IF(Bids!$A130="","",Bids!$A130)</f>
        <v/>
      </c>
      <c r="C130" s="40" t="str">
        <f>IF(Bids!$B130="","",Bids!$B130)</f>
        <v/>
      </c>
      <c r="D130" s="40" t="str">
        <f>IF($C130="","",IFERROR(VLOOKUP($C130,Orders!$A:$J,9,FALSE),""))</f>
        <v/>
      </c>
      <c r="E130" s="40" t="str">
        <f>IF($C130="","",IFERROR(VLOOKUP($C130,Orders!$A:$J,3,FALSE),""))</f>
        <v/>
      </c>
      <c r="F130" s="40" t="str">
        <f>IF($C130="","",IFERROR(VLOOKUP($C130,Orders!$A:$J,4,FALSE),""))</f>
        <v/>
      </c>
      <c r="G130" s="40" t="str">
        <f>IF($C130="","",IFERROR(VLOOKUP($C130,Orders!$A:$J,5,FALSE),""))</f>
        <v/>
      </c>
      <c r="H130" s="40" t="str">
        <f>IF($C130="","",IFERROR(VLOOKUP($C130,Orders!$A:$J,6,FALSE),""))</f>
        <v/>
      </c>
      <c r="I130" s="40" t="str">
        <f>IF($C130="","",IFERROR(VLOOKUP($C130,Orders!$A:$J,7,FALSE),""))</f>
        <v/>
      </c>
      <c r="J130" s="40" t="str">
        <f>IF(Bids!$C130="","",Bids!$C130)</f>
        <v/>
      </c>
      <c r="K130" s="40" t="str">
        <f>IF($J130="","",IFERROR(VLOOKUP($J130,Grinders!$A:$N,2,FALSE),""))</f>
        <v/>
      </c>
      <c r="L130" s="40" t="str">
        <f>IF($J130="","",IFERROR(VLOOKUP($J130,Grinders!$A:$N,3,FALSE),""))</f>
        <v/>
      </c>
      <c r="M130" s="40" t="str">
        <f>IF($J130="","",IFERROR(VLOOKUP($J130,Grinders!$A:$N,4,FALSE),""))</f>
        <v/>
      </c>
      <c r="N130" s="40" t="str">
        <f>IF($J130="","",IFERROR(VLOOKUP($J130,Grinders!$A:$N,5,FALSE),""))</f>
        <v/>
      </c>
      <c r="O130" s="40" t="str">
        <f t="shared" si="2"/>
        <v/>
      </c>
      <c r="P130" s="40" t="str">
        <f>IF($J130="","",IFERROR(VLOOKUP($J130,Grinders!$A:$N,6,FALSE),""))</f>
        <v/>
      </c>
      <c r="Q130" s="40" t="str">
        <f>IF($J130="","",IFERROR(VLOOKUP($J130,Grinders!$A:$N,8,FALSE),""))</f>
        <v/>
      </c>
      <c r="R130" s="40" t="str">
        <f>IFERROR(IF($J130="","",IF($L130="Elite",MAX(50,MIN(100,Config!$B$27*MAX(0,MIN(100,(1-IF($O130="",0,$O130))*100)) + Config!$B$28*MAX(0,MIN(100,(1-MIN(1,IF(Config!$B$30=0,1,$P130/Config!$B$30)))*100)) + Config!$B$29*MAX(0,MIN(100,MIN(1,IF($Q130="",0,$Q130)/Config!$B$23)*100)))),MIN(100,Config!$B$27*MAX(0,MIN(100,(1-IF($O130="",0,$O130))*100)) + Config!$B$28*MAX(0,MIN(100,(1-MIN(1,IF(Config!$B$30=0,1,$P130/Config!$B$30)))*100)) + Config!$B$29*MAX(0,MIN(100,MIN(1,IF($Q130="",0,$Q130)/Config!$B$23)*100))))),"")
</f>
        <v/>
      </c>
      <c r="S130" s="40" t="str">
        <f>IF(Bids!$AC130="","",Bids!$AC130)</f>
        <v/>
      </c>
      <c r="T130" s="40" t="str">
        <f>IF(Bids!$F130="","",Bids!$F130)</f>
        <v/>
      </c>
      <c r="U130" s="40" t="str">
        <f t="shared" si="3"/>
        <v/>
      </c>
      <c r="V130" s="40" t="str">
        <f>IF($U130="","",IF(Config!$B$17=Config!$B$16,IF($U130&gt;=Config!$B$17,100,0),MAX(0,MIN(100,($U130-Config!$B$16)/(Config!$B$17-Config!$B$16)*100))))</f>
        <v/>
      </c>
      <c r="W130" s="40">
        <f>IF($L130="Elite",Config!$B$21,0)</f>
        <v>0</v>
      </c>
      <c r="X130" s="40" t="str">
        <f>IFERROR(IF(OR($T130="",$G130=""),"",IF($T130&gt;$G130,
  MAX(0, 60-(($T130-$G130)*24/Config!$B$19)*60),
  MEDIAN(60, 100, 60+(($G130-$T130)*24/Config!$B$20)*40)
)),"")
</f>
        <v/>
      </c>
      <c r="Y130" s="40" t="str">
        <f>IF($J130="","",IFERROR(VLOOKUP($J130,Grinders!$A:$N,10,FALSE),""))</f>
        <v/>
      </c>
      <c r="Z130" s="40" t="str">
        <f>IF($J130="","",IFERROR(VLOOKUP($J130,Grinders!$A:$N,11,FALSE),""))</f>
        <v/>
      </c>
      <c r="AA130" s="40" t="str">
        <f>IF($J130="","",IFERROR(VLOOKUP($J130,Grinders!$A:$N,12,FALSE),""))</f>
        <v/>
      </c>
      <c r="AB130" s="40" t="str">
        <f>IF(OR(AL130=1,AM130=1),0,=IFERROR(IF(OR($C130="",$J130=""),0,IF($D130&lt;&gt;"Open",0,IF(COUNTIFS(GrinderServices!$A:$A,$J130,GrinderServices!$B:$B,$E130,GrinderServices!$D:$D,"Y")=0,0,IF($U130&lt;Config!$B$16,0,IF(Config!$B$18=1,IF($N130&gt;=$M130,0,1),1))))),""))</f>
        <v>#ERROR!</v>
      </c>
      <c r="AC130" s="40" t="str">
        <f>IFERROR((IF(OR(AL130=1,AM130=1),"",=IFERROR((IFERROR(IF($AB130=0,"",((Config!$B$6*$V130 + Config!$B$7*$R130 + Config!$B$8*$W130 + Config!$B$9*$X130 + Config!$B$10*$Y130 + Config!$B$11*$Z130 - Config!$B$12*$AA130)/Config!$B$13)+$AH130+$AI130),""))*(1-IFERROR(VLOOKUP(J130,Grinders!$A:$AB, 28, FALSE),0)),"")))*(1+AO130),"")</f>
        <v>#ERROR!</v>
      </c>
      <c r="AD130" s="40" t="str">
        <f t="shared" si="4"/>
        <v/>
      </c>
      <c r="AE130" s="40" t="str">
        <f>IFERROR(__xludf.DUMMYFUNCTION("IF($AC130="""","""",IF($AC130=IFERROR(MAX(FILTER($AC$6:$AC$1000,$C$6:$C$1000=$C130,$AB$6:$AB$1000=1)),),""WINNER"",""""))"),"#ERROR!")</f>
        <v>#ERROR!</v>
      </c>
      <c r="AF130" s="40" t="str">
        <f t="shared" si="5"/>
        <v/>
      </c>
      <c r="AG130" s="40" t="str">
        <f>IF($J130="","",COUNTIF(Assignments!$B:$B,$J130))</f>
        <v/>
      </c>
      <c r="AH130" s="40" t="str">
        <f>IF($J130="","",IF(AND($AG130=0,$N130&lt;$M130),Config!$B$43,0))</f>
        <v/>
      </c>
      <c r="AI130" s="40" t="str">
        <f>IF($J130="","",IF(AND($L130="Elite",$F130&gt;=Config!$B$41,$N130&lt;$M130),Config!$B$42,0))</f>
        <v/>
      </c>
      <c r="AJ130" s="22"/>
      <c r="AK130" s="39">
        <f>IFERROR(VLOOKUP(J130,Grinders!$A:$Q,28,FALSE),0)</f>
        <v>0</v>
      </c>
      <c r="AL130" s="39">
        <f>IF(Config!$B$1003&lt;&gt;"Y",0,IF(IFERROR(VLOOKUP(J130,Grinders!$A:$P,27,FALSE),0)&gt;=3,IF(OR(F130&gt;=Config!$B$1001,ISNUMBER(SEARCH(E130,Config!$B$1002))),1,0),0))</f>
        <v>0</v>
      </c>
      <c r="AM130" s="39">
        <f t="array" ref="AM130">IFERROR(IF(INDEX(Bids!$AE:$AE,MATCH(B130,Bids!$A:$A,0))="Pending",1,0),0)</f>
        <v>0</v>
      </c>
      <c r="AN130" s="39" t="str">
        <f t="array" ref="AN130">IF(C130="","",IFERROR(XLOOKUP(C130,Assignments!$C:$C,Assignments!$AU:$AU,0),0))</f>
        <v/>
      </c>
      <c r="AO130" s="39">
        <f>IF(AND(Config!$B$1006="Y",AN130=1),Config!$B$1007,0)</f>
        <v>0</v>
      </c>
    </row>
    <row r="131" ht="15.75" customHeight="1">
      <c r="A131" s="46" t="str">
        <f t="shared" si="1"/>
        <v/>
      </c>
      <c r="B131" s="40" t="str">
        <f>IF(Bids!$A131="","",Bids!$A131)</f>
        <v/>
      </c>
      <c r="C131" s="40" t="str">
        <f>IF(Bids!$B131="","",Bids!$B131)</f>
        <v/>
      </c>
      <c r="D131" s="40" t="str">
        <f>IF($C131="","",IFERROR(VLOOKUP($C131,Orders!$A:$J,9,FALSE),""))</f>
        <v/>
      </c>
      <c r="E131" s="40" t="str">
        <f>IF($C131="","",IFERROR(VLOOKUP($C131,Orders!$A:$J,3,FALSE),""))</f>
        <v/>
      </c>
      <c r="F131" s="40" t="str">
        <f>IF($C131="","",IFERROR(VLOOKUP($C131,Orders!$A:$J,4,FALSE),""))</f>
        <v/>
      </c>
      <c r="G131" s="40" t="str">
        <f>IF($C131="","",IFERROR(VLOOKUP($C131,Orders!$A:$J,5,FALSE),""))</f>
        <v/>
      </c>
      <c r="H131" s="40" t="str">
        <f>IF($C131="","",IFERROR(VLOOKUP($C131,Orders!$A:$J,6,FALSE),""))</f>
        <v/>
      </c>
      <c r="I131" s="40" t="str">
        <f>IF($C131="","",IFERROR(VLOOKUP($C131,Orders!$A:$J,7,FALSE),""))</f>
        <v/>
      </c>
      <c r="J131" s="40" t="str">
        <f>IF(Bids!$C131="","",Bids!$C131)</f>
        <v/>
      </c>
      <c r="K131" s="40" t="str">
        <f>IF($J131="","",IFERROR(VLOOKUP($J131,Grinders!$A:$N,2,FALSE),""))</f>
        <v/>
      </c>
      <c r="L131" s="40" t="str">
        <f>IF($J131="","",IFERROR(VLOOKUP($J131,Grinders!$A:$N,3,FALSE),""))</f>
        <v/>
      </c>
      <c r="M131" s="40" t="str">
        <f>IF($J131="","",IFERROR(VLOOKUP($J131,Grinders!$A:$N,4,FALSE),""))</f>
        <v/>
      </c>
      <c r="N131" s="40" t="str">
        <f>IF($J131="","",IFERROR(VLOOKUP($J131,Grinders!$A:$N,5,FALSE),""))</f>
        <v/>
      </c>
      <c r="O131" s="40" t="str">
        <f t="shared" si="2"/>
        <v/>
      </c>
      <c r="P131" s="40" t="str">
        <f>IF($J131="","",IFERROR(VLOOKUP($J131,Grinders!$A:$N,6,FALSE),""))</f>
        <v/>
      </c>
      <c r="Q131" s="40" t="str">
        <f>IF($J131="","",IFERROR(VLOOKUP($J131,Grinders!$A:$N,8,FALSE),""))</f>
        <v/>
      </c>
      <c r="R131" s="40" t="str">
        <f>IFERROR(IF($J131="","",IF($L131="Elite",MAX(50,MIN(100,Config!$B$27*MAX(0,MIN(100,(1-IF($O131="",0,$O131))*100)) + Config!$B$28*MAX(0,MIN(100,(1-MIN(1,IF(Config!$B$30=0,1,$P131/Config!$B$30)))*100)) + Config!$B$29*MAX(0,MIN(100,MIN(1,IF($Q131="",0,$Q131)/Config!$B$23)*100)))),MIN(100,Config!$B$27*MAX(0,MIN(100,(1-IF($O131="",0,$O131))*100)) + Config!$B$28*MAX(0,MIN(100,(1-MIN(1,IF(Config!$B$30=0,1,$P131/Config!$B$30)))*100)) + Config!$B$29*MAX(0,MIN(100,MIN(1,IF($Q131="",0,$Q131)/Config!$B$23)*100))))),"")
</f>
        <v/>
      </c>
      <c r="S131" s="40" t="str">
        <f>IF(Bids!$AC131="","",Bids!$AC131)</f>
        <v/>
      </c>
      <c r="T131" s="40" t="str">
        <f>IF(Bids!$F131="","",Bids!$F131)</f>
        <v/>
      </c>
      <c r="U131" s="40" t="str">
        <f t="shared" si="3"/>
        <v/>
      </c>
      <c r="V131" s="40" t="str">
        <f>IF($U131="","",IF(Config!$B$17=Config!$B$16,IF($U131&gt;=Config!$B$17,100,0),MAX(0,MIN(100,($U131-Config!$B$16)/(Config!$B$17-Config!$B$16)*100))))</f>
        <v/>
      </c>
      <c r="W131" s="40">
        <f>IF($L131="Elite",Config!$B$21,0)</f>
        <v>0</v>
      </c>
      <c r="X131" s="40" t="str">
        <f>IFERROR(IF(OR($T131="",$G131=""),"",IF($T131&gt;$G131,
  MAX(0, 60-(($T131-$G131)*24/Config!$B$19)*60),
  MEDIAN(60, 100, 60+(($G131-$T131)*24/Config!$B$20)*40)
)),"")
</f>
        <v/>
      </c>
      <c r="Y131" s="40" t="str">
        <f>IF($J131="","",IFERROR(VLOOKUP($J131,Grinders!$A:$N,10,FALSE),""))</f>
        <v/>
      </c>
      <c r="Z131" s="40" t="str">
        <f>IF($J131="","",IFERROR(VLOOKUP($J131,Grinders!$A:$N,11,FALSE),""))</f>
        <v/>
      </c>
      <c r="AA131" s="40" t="str">
        <f>IF($J131="","",IFERROR(VLOOKUP($J131,Grinders!$A:$N,12,FALSE),""))</f>
        <v/>
      </c>
      <c r="AB131" s="40" t="str">
        <f>IF(OR(AL131=1,AM131=1),0,=IFERROR(IF(OR($C131="",$J131=""),0,IF($D131&lt;&gt;"Open",0,IF(COUNTIFS(GrinderServices!$A:$A,$J131,GrinderServices!$B:$B,$E131,GrinderServices!$D:$D,"Y")=0,0,IF($U131&lt;Config!$B$16,0,IF(Config!$B$18=1,IF($N131&gt;=$M131,0,1),1))))),""))</f>
        <v>#ERROR!</v>
      </c>
      <c r="AC131" s="40" t="str">
        <f>IFERROR((IF(OR(AL131=1,AM131=1),"",=IFERROR((IFERROR(IF($AB131=0,"",((Config!$B$6*$V131 + Config!$B$7*$R131 + Config!$B$8*$W131 + Config!$B$9*$X131 + Config!$B$10*$Y131 + Config!$B$11*$Z131 - Config!$B$12*$AA131)/Config!$B$13)+$AH131+$AI131),""))*(1-IFERROR(VLOOKUP(J131,Grinders!$A:$AB, 28, FALSE),0)),"")))*(1+AO131),"")</f>
        <v>#ERROR!</v>
      </c>
      <c r="AD131" s="40" t="str">
        <f t="shared" si="4"/>
        <v/>
      </c>
      <c r="AE131" s="40" t="str">
        <f>IFERROR(__xludf.DUMMYFUNCTION("IF($AC131="""","""",IF($AC131=IFERROR(MAX(FILTER($AC$6:$AC$1000,$C$6:$C$1000=$C131,$AB$6:$AB$1000=1)),),""WINNER"",""""))"),"#ERROR!")</f>
        <v>#ERROR!</v>
      </c>
      <c r="AF131" s="40" t="str">
        <f t="shared" si="5"/>
        <v/>
      </c>
      <c r="AG131" s="40" t="str">
        <f>IF($J131="","",COUNTIF(Assignments!$B:$B,$J131))</f>
        <v/>
      </c>
      <c r="AH131" s="40" t="str">
        <f>IF($J131="","",IF(AND($AG131=0,$N131&lt;$M131),Config!$B$43,0))</f>
        <v/>
      </c>
      <c r="AI131" s="40" t="str">
        <f>IF($J131="","",IF(AND($L131="Elite",$F131&gt;=Config!$B$41,$N131&lt;$M131),Config!$B$42,0))</f>
        <v/>
      </c>
      <c r="AJ131" s="22"/>
      <c r="AK131" s="39">
        <f>IFERROR(VLOOKUP(J131,Grinders!$A:$Q,28,FALSE),0)</f>
        <v>0</v>
      </c>
      <c r="AL131" s="39">
        <f>IF(Config!$B$1003&lt;&gt;"Y",0,IF(IFERROR(VLOOKUP(J131,Grinders!$A:$P,27,FALSE),0)&gt;=3,IF(OR(F131&gt;=Config!$B$1001,ISNUMBER(SEARCH(E131,Config!$B$1002))),1,0),0))</f>
        <v>0</v>
      </c>
      <c r="AM131" s="39">
        <f t="array" ref="AM131">IFERROR(IF(INDEX(Bids!$AE:$AE,MATCH(B131,Bids!$A:$A,0))="Pending",1,0),0)</f>
        <v>0</v>
      </c>
      <c r="AN131" s="39" t="str">
        <f t="array" ref="AN131">IF(C131="","",IFERROR(XLOOKUP(C131,Assignments!$C:$C,Assignments!$AU:$AU,0),0))</f>
        <v/>
      </c>
      <c r="AO131" s="39">
        <f>IF(AND(Config!$B$1006="Y",AN131=1),Config!$B$1007,0)</f>
        <v>0</v>
      </c>
    </row>
    <row r="132" ht="15.75" customHeight="1">
      <c r="A132" s="46" t="str">
        <f t="shared" si="1"/>
        <v/>
      </c>
      <c r="B132" s="40" t="str">
        <f>IF(Bids!$A132="","",Bids!$A132)</f>
        <v/>
      </c>
      <c r="C132" s="40" t="str">
        <f>IF(Bids!$B132="","",Bids!$B132)</f>
        <v/>
      </c>
      <c r="D132" s="40" t="str">
        <f>IF($C132="","",IFERROR(VLOOKUP($C132,Orders!$A:$J,9,FALSE),""))</f>
        <v/>
      </c>
      <c r="E132" s="40" t="str">
        <f>IF($C132="","",IFERROR(VLOOKUP($C132,Orders!$A:$J,3,FALSE),""))</f>
        <v/>
      </c>
      <c r="F132" s="40" t="str">
        <f>IF($C132="","",IFERROR(VLOOKUP($C132,Orders!$A:$J,4,FALSE),""))</f>
        <v/>
      </c>
      <c r="G132" s="40" t="str">
        <f>IF($C132="","",IFERROR(VLOOKUP($C132,Orders!$A:$J,5,FALSE),""))</f>
        <v/>
      </c>
      <c r="H132" s="40" t="str">
        <f>IF($C132="","",IFERROR(VLOOKUP($C132,Orders!$A:$J,6,FALSE),""))</f>
        <v/>
      </c>
      <c r="I132" s="40" t="str">
        <f>IF($C132="","",IFERROR(VLOOKUP($C132,Orders!$A:$J,7,FALSE),""))</f>
        <v/>
      </c>
      <c r="J132" s="40" t="str">
        <f>IF(Bids!$C132="","",Bids!$C132)</f>
        <v/>
      </c>
      <c r="K132" s="40" t="str">
        <f>IF($J132="","",IFERROR(VLOOKUP($J132,Grinders!$A:$N,2,FALSE),""))</f>
        <v/>
      </c>
      <c r="L132" s="40" t="str">
        <f>IF($J132="","",IFERROR(VLOOKUP($J132,Grinders!$A:$N,3,FALSE),""))</f>
        <v/>
      </c>
      <c r="M132" s="40" t="str">
        <f>IF($J132="","",IFERROR(VLOOKUP($J132,Grinders!$A:$N,4,FALSE),""))</f>
        <v/>
      </c>
      <c r="N132" s="40" t="str">
        <f>IF($J132="","",IFERROR(VLOOKUP($J132,Grinders!$A:$N,5,FALSE),""))</f>
        <v/>
      </c>
      <c r="O132" s="40" t="str">
        <f t="shared" si="2"/>
        <v/>
      </c>
      <c r="P132" s="40" t="str">
        <f>IF($J132="","",IFERROR(VLOOKUP($J132,Grinders!$A:$N,6,FALSE),""))</f>
        <v/>
      </c>
      <c r="Q132" s="40" t="str">
        <f>IF($J132="","",IFERROR(VLOOKUP($J132,Grinders!$A:$N,8,FALSE),""))</f>
        <v/>
      </c>
      <c r="R132" s="40" t="str">
        <f>IFERROR(IF($J132="","",IF($L132="Elite",MAX(50,MIN(100,Config!$B$27*MAX(0,MIN(100,(1-IF($O132="",0,$O132))*100)) + Config!$B$28*MAX(0,MIN(100,(1-MIN(1,IF(Config!$B$30=0,1,$P132/Config!$B$30)))*100)) + Config!$B$29*MAX(0,MIN(100,MIN(1,IF($Q132="",0,$Q132)/Config!$B$23)*100)))),MIN(100,Config!$B$27*MAX(0,MIN(100,(1-IF($O132="",0,$O132))*100)) + Config!$B$28*MAX(0,MIN(100,(1-MIN(1,IF(Config!$B$30=0,1,$P132/Config!$B$30)))*100)) + Config!$B$29*MAX(0,MIN(100,MIN(1,IF($Q132="",0,$Q132)/Config!$B$23)*100))))),"")
</f>
        <v/>
      </c>
      <c r="S132" s="40" t="str">
        <f>IF(Bids!$AC132="","",Bids!$AC132)</f>
        <v/>
      </c>
      <c r="T132" s="40" t="str">
        <f>IF(Bids!$F132="","",Bids!$F132)</f>
        <v/>
      </c>
      <c r="U132" s="40" t="str">
        <f t="shared" si="3"/>
        <v/>
      </c>
      <c r="V132" s="40" t="str">
        <f>IF($U132="","",IF(Config!$B$17=Config!$B$16,IF($U132&gt;=Config!$B$17,100,0),MAX(0,MIN(100,($U132-Config!$B$16)/(Config!$B$17-Config!$B$16)*100))))</f>
        <v/>
      </c>
      <c r="W132" s="40">
        <f>IF($L132="Elite",Config!$B$21,0)</f>
        <v>0</v>
      </c>
      <c r="X132" s="40" t="str">
        <f>IFERROR(IF(OR($T132="",$G132=""),"",IF($T132&gt;$G132,
  MAX(0, 60-(($T132-$G132)*24/Config!$B$19)*60),
  MEDIAN(60, 100, 60+(($G132-$T132)*24/Config!$B$20)*40)
)),"")
</f>
        <v/>
      </c>
      <c r="Y132" s="40" t="str">
        <f>IF($J132="","",IFERROR(VLOOKUP($J132,Grinders!$A:$N,10,FALSE),""))</f>
        <v/>
      </c>
      <c r="Z132" s="40" t="str">
        <f>IF($J132="","",IFERROR(VLOOKUP($J132,Grinders!$A:$N,11,FALSE),""))</f>
        <v/>
      </c>
      <c r="AA132" s="40" t="str">
        <f>IF($J132="","",IFERROR(VLOOKUP($J132,Grinders!$A:$N,12,FALSE),""))</f>
        <v/>
      </c>
      <c r="AB132" s="40" t="str">
        <f>IF(OR(AL132=1,AM132=1),0,=IFERROR(IF(OR($C132="",$J132=""),0,IF($D132&lt;&gt;"Open",0,IF(COUNTIFS(GrinderServices!$A:$A,$J132,GrinderServices!$B:$B,$E132,GrinderServices!$D:$D,"Y")=0,0,IF($U132&lt;Config!$B$16,0,IF(Config!$B$18=1,IF($N132&gt;=$M132,0,1),1))))),""))</f>
        <v>#ERROR!</v>
      </c>
      <c r="AC132" s="40" t="str">
        <f>IFERROR((IF(OR(AL132=1,AM132=1),"",=IFERROR((IFERROR(IF($AB132=0,"",((Config!$B$6*$V132 + Config!$B$7*$R132 + Config!$B$8*$W132 + Config!$B$9*$X132 + Config!$B$10*$Y132 + Config!$B$11*$Z132 - Config!$B$12*$AA132)/Config!$B$13)+$AH132+$AI132),""))*(1-IFERROR(VLOOKUP(J132,Grinders!$A:$AB, 28, FALSE),0)),"")))*(1+AO132),"")</f>
        <v>#ERROR!</v>
      </c>
      <c r="AD132" s="40" t="str">
        <f t="shared" si="4"/>
        <v/>
      </c>
      <c r="AE132" s="40" t="str">
        <f>IFERROR(__xludf.DUMMYFUNCTION("IF($AC132="""","""",IF($AC132=IFERROR(MAX(FILTER($AC$6:$AC$1000,$C$6:$C$1000=$C132,$AB$6:$AB$1000=1)),),""WINNER"",""""))"),"#ERROR!")</f>
        <v>#ERROR!</v>
      </c>
      <c r="AF132" s="40" t="str">
        <f t="shared" si="5"/>
        <v/>
      </c>
      <c r="AG132" s="40" t="str">
        <f>IF($J132="","",COUNTIF(Assignments!$B:$B,$J132))</f>
        <v/>
      </c>
      <c r="AH132" s="40" t="str">
        <f>IF($J132="","",IF(AND($AG132=0,$N132&lt;$M132),Config!$B$43,0))</f>
        <v/>
      </c>
      <c r="AI132" s="40" t="str">
        <f>IF($J132="","",IF(AND($L132="Elite",$F132&gt;=Config!$B$41,$N132&lt;$M132),Config!$B$42,0))</f>
        <v/>
      </c>
      <c r="AJ132" s="22"/>
      <c r="AK132" s="39">
        <f>IFERROR(VLOOKUP(J132,Grinders!$A:$Q,28,FALSE),0)</f>
        <v>0</v>
      </c>
      <c r="AL132" s="39">
        <f>IF(Config!$B$1003&lt;&gt;"Y",0,IF(IFERROR(VLOOKUP(J132,Grinders!$A:$P,27,FALSE),0)&gt;=3,IF(OR(F132&gt;=Config!$B$1001,ISNUMBER(SEARCH(E132,Config!$B$1002))),1,0),0))</f>
        <v>0</v>
      </c>
      <c r="AM132" s="39">
        <f t="array" ref="AM132">IFERROR(IF(INDEX(Bids!$AE:$AE,MATCH(B132,Bids!$A:$A,0))="Pending",1,0),0)</f>
        <v>0</v>
      </c>
      <c r="AN132" s="39" t="str">
        <f t="array" ref="AN132">IF(C132="","",IFERROR(XLOOKUP(C132,Assignments!$C:$C,Assignments!$AU:$AU,0),0))</f>
        <v/>
      </c>
      <c r="AO132" s="39">
        <f>IF(AND(Config!$B$1006="Y",AN132=1),Config!$B$1007,0)</f>
        <v>0</v>
      </c>
    </row>
    <row r="133" ht="15.75" customHeight="1">
      <c r="A133" s="46" t="str">
        <f t="shared" si="1"/>
        <v/>
      </c>
      <c r="B133" s="40" t="str">
        <f>IF(Bids!$A133="","",Bids!$A133)</f>
        <v/>
      </c>
      <c r="C133" s="40" t="str">
        <f>IF(Bids!$B133="","",Bids!$B133)</f>
        <v/>
      </c>
      <c r="D133" s="40" t="str">
        <f>IF($C133="","",IFERROR(VLOOKUP($C133,Orders!$A:$J,9,FALSE),""))</f>
        <v/>
      </c>
      <c r="E133" s="40" t="str">
        <f>IF($C133="","",IFERROR(VLOOKUP($C133,Orders!$A:$J,3,FALSE),""))</f>
        <v/>
      </c>
      <c r="F133" s="40" t="str">
        <f>IF($C133="","",IFERROR(VLOOKUP($C133,Orders!$A:$J,4,FALSE),""))</f>
        <v/>
      </c>
      <c r="G133" s="40" t="str">
        <f>IF($C133="","",IFERROR(VLOOKUP($C133,Orders!$A:$J,5,FALSE),""))</f>
        <v/>
      </c>
      <c r="H133" s="40" t="str">
        <f>IF($C133="","",IFERROR(VLOOKUP($C133,Orders!$A:$J,6,FALSE),""))</f>
        <v/>
      </c>
      <c r="I133" s="40" t="str">
        <f>IF($C133="","",IFERROR(VLOOKUP($C133,Orders!$A:$J,7,FALSE),""))</f>
        <v/>
      </c>
      <c r="J133" s="40" t="str">
        <f>IF(Bids!$C133="","",Bids!$C133)</f>
        <v/>
      </c>
      <c r="K133" s="40" t="str">
        <f>IF($J133="","",IFERROR(VLOOKUP($J133,Grinders!$A:$N,2,FALSE),""))</f>
        <v/>
      </c>
      <c r="L133" s="40" t="str">
        <f>IF($J133="","",IFERROR(VLOOKUP($J133,Grinders!$A:$N,3,FALSE),""))</f>
        <v/>
      </c>
      <c r="M133" s="40" t="str">
        <f>IF($J133="","",IFERROR(VLOOKUP($J133,Grinders!$A:$N,4,FALSE),""))</f>
        <v/>
      </c>
      <c r="N133" s="40" t="str">
        <f>IF($J133="","",IFERROR(VLOOKUP($J133,Grinders!$A:$N,5,FALSE),""))</f>
        <v/>
      </c>
      <c r="O133" s="40" t="str">
        <f t="shared" si="2"/>
        <v/>
      </c>
      <c r="P133" s="40" t="str">
        <f>IF($J133="","",IFERROR(VLOOKUP($J133,Grinders!$A:$N,6,FALSE),""))</f>
        <v/>
      </c>
      <c r="Q133" s="40" t="str">
        <f>IF($J133="","",IFERROR(VLOOKUP($J133,Grinders!$A:$N,8,FALSE),""))</f>
        <v/>
      </c>
      <c r="R133" s="40" t="str">
        <f>IFERROR(IF($J133="","",IF($L133="Elite",MAX(50,MIN(100,Config!$B$27*MAX(0,MIN(100,(1-IF($O133="",0,$O133))*100)) + Config!$B$28*MAX(0,MIN(100,(1-MIN(1,IF(Config!$B$30=0,1,$P133/Config!$B$30)))*100)) + Config!$B$29*MAX(0,MIN(100,MIN(1,IF($Q133="",0,$Q133)/Config!$B$23)*100)))),MIN(100,Config!$B$27*MAX(0,MIN(100,(1-IF($O133="",0,$O133))*100)) + Config!$B$28*MAX(0,MIN(100,(1-MIN(1,IF(Config!$B$30=0,1,$P133/Config!$B$30)))*100)) + Config!$B$29*MAX(0,MIN(100,MIN(1,IF($Q133="",0,$Q133)/Config!$B$23)*100))))),"")
</f>
        <v/>
      </c>
      <c r="S133" s="40" t="str">
        <f>IF(Bids!$AC133="","",Bids!$AC133)</f>
        <v/>
      </c>
      <c r="T133" s="40" t="str">
        <f>IF(Bids!$F133="","",Bids!$F133)</f>
        <v/>
      </c>
      <c r="U133" s="40" t="str">
        <f t="shared" si="3"/>
        <v/>
      </c>
      <c r="V133" s="40" t="str">
        <f>IF($U133="","",IF(Config!$B$17=Config!$B$16,IF($U133&gt;=Config!$B$17,100,0),MAX(0,MIN(100,($U133-Config!$B$16)/(Config!$B$17-Config!$B$16)*100))))</f>
        <v/>
      </c>
      <c r="W133" s="40">
        <f>IF($L133="Elite",Config!$B$21,0)</f>
        <v>0</v>
      </c>
      <c r="X133" s="40" t="str">
        <f>IFERROR(IF(OR($T133="",$G133=""),"",IF($T133&gt;$G133,
  MAX(0, 60-(($T133-$G133)*24/Config!$B$19)*60),
  MEDIAN(60, 100, 60+(($G133-$T133)*24/Config!$B$20)*40)
)),"")
</f>
        <v/>
      </c>
      <c r="Y133" s="40" t="str">
        <f>IF($J133="","",IFERROR(VLOOKUP($J133,Grinders!$A:$N,10,FALSE),""))</f>
        <v/>
      </c>
      <c r="Z133" s="40" t="str">
        <f>IF($J133="","",IFERROR(VLOOKUP($J133,Grinders!$A:$N,11,FALSE),""))</f>
        <v/>
      </c>
      <c r="AA133" s="40" t="str">
        <f>IF($J133="","",IFERROR(VLOOKUP($J133,Grinders!$A:$N,12,FALSE),""))</f>
        <v/>
      </c>
      <c r="AB133" s="40" t="str">
        <f>IF(OR(AL133=1,AM133=1),0,=IFERROR(IF(OR($C133="",$J133=""),0,IF($D133&lt;&gt;"Open",0,IF(COUNTIFS(GrinderServices!$A:$A,$J133,GrinderServices!$B:$B,$E133,GrinderServices!$D:$D,"Y")=0,0,IF($U133&lt;Config!$B$16,0,IF(Config!$B$18=1,IF($N133&gt;=$M133,0,1),1))))),""))</f>
        <v>#ERROR!</v>
      </c>
      <c r="AC133" s="40" t="str">
        <f>IFERROR((IF(OR(AL133=1,AM133=1),"",=IFERROR((IFERROR(IF($AB133=0,"",((Config!$B$6*$V133 + Config!$B$7*$R133 + Config!$B$8*$W133 + Config!$B$9*$X133 + Config!$B$10*$Y133 + Config!$B$11*$Z133 - Config!$B$12*$AA133)/Config!$B$13)+$AH133+$AI133),""))*(1-IFERROR(VLOOKUP(J133,Grinders!$A:$AB, 28, FALSE),0)),"")))*(1+AO133),"")</f>
        <v>#ERROR!</v>
      </c>
      <c r="AD133" s="40" t="str">
        <f t="shared" si="4"/>
        <v/>
      </c>
      <c r="AE133" s="40" t="str">
        <f>IFERROR(__xludf.DUMMYFUNCTION("IF($AC133="""","""",IF($AC133=IFERROR(MAX(FILTER($AC$6:$AC$1000,$C$6:$C$1000=$C133,$AB$6:$AB$1000=1)),),""WINNER"",""""))"),"#ERROR!")</f>
        <v>#ERROR!</v>
      </c>
      <c r="AF133" s="40" t="str">
        <f t="shared" si="5"/>
        <v/>
      </c>
      <c r="AG133" s="40" t="str">
        <f>IF($J133="","",COUNTIF(Assignments!$B:$B,$J133))</f>
        <v/>
      </c>
      <c r="AH133" s="40" t="str">
        <f>IF($J133="","",IF(AND($AG133=0,$N133&lt;$M133),Config!$B$43,0))</f>
        <v/>
      </c>
      <c r="AI133" s="40" t="str">
        <f>IF($J133="","",IF(AND($L133="Elite",$F133&gt;=Config!$B$41,$N133&lt;$M133),Config!$B$42,0))</f>
        <v/>
      </c>
      <c r="AJ133" s="22"/>
      <c r="AK133" s="39">
        <f>IFERROR(VLOOKUP(J133,Grinders!$A:$Q,28,FALSE),0)</f>
        <v>0</v>
      </c>
      <c r="AL133" s="39">
        <f>IF(Config!$B$1003&lt;&gt;"Y",0,IF(IFERROR(VLOOKUP(J133,Grinders!$A:$P,27,FALSE),0)&gt;=3,IF(OR(F133&gt;=Config!$B$1001,ISNUMBER(SEARCH(E133,Config!$B$1002))),1,0),0))</f>
        <v>0</v>
      </c>
      <c r="AM133" s="39">
        <f t="array" ref="AM133">IFERROR(IF(INDEX(Bids!$AE:$AE,MATCH(B133,Bids!$A:$A,0))="Pending",1,0),0)</f>
        <v>0</v>
      </c>
      <c r="AN133" s="39" t="str">
        <f t="array" ref="AN133">IF(C133="","",IFERROR(XLOOKUP(C133,Assignments!$C:$C,Assignments!$AU:$AU,0),0))</f>
        <v/>
      </c>
      <c r="AO133" s="39">
        <f>IF(AND(Config!$B$1006="Y",AN133=1),Config!$B$1007,0)</f>
        <v>0</v>
      </c>
    </row>
    <row r="134" ht="15.75" customHeight="1">
      <c r="A134" s="46" t="str">
        <f t="shared" si="1"/>
        <v/>
      </c>
      <c r="B134" s="40" t="str">
        <f>IF(Bids!$A134="","",Bids!$A134)</f>
        <v/>
      </c>
      <c r="C134" s="40" t="str">
        <f>IF(Bids!$B134="","",Bids!$B134)</f>
        <v/>
      </c>
      <c r="D134" s="40" t="str">
        <f>IF($C134="","",IFERROR(VLOOKUP($C134,Orders!$A:$J,9,FALSE),""))</f>
        <v/>
      </c>
      <c r="E134" s="40" t="str">
        <f>IF($C134="","",IFERROR(VLOOKUP($C134,Orders!$A:$J,3,FALSE),""))</f>
        <v/>
      </c>
      <c r="F134" s="40" t="str">
        <f>IF($C134="","",IFERROR(VLOOKUP($C134,Orders!$A:$J,4,FALSE),""))</f>
        <v/>
      </c>
      <c r="G134" s="40" t="str">
        <f>IF($C134="","",IFERROR(VLOOKUP($C134,Orders!$A:$J,5,FALSE),""))</f>
        <v/>
      </c>
      <c r="H134" s="40" t="str">
        <f>IF($C134="","",IFERROR(VLOOKUP($C134,Orders!$A:$J,6,FALSE),""))</f>
        <v/>
      </c>
      <c r="I134" s="40" t="str">
        <f>IF($C134="","",IFERROR(VLOOKUP($C134,Orders!$A:$J,7,FALSE),""))</f>
        <v/>
      </c>
      <c r="J134" s="40" t="str">
        <f>IF(Bids!$C134="","",Bids!$C134)</f>
        <v/>
      </c>
      <c r="K134" s="40" t="str">
        <f>IF($J134="","",IFERROR(VLOOKUP($J134,Grinders!$A:$N,2,FALSE),""))</f>
        <v/>
      </c>
      <c r="L134" s="40" t="str">
        <f>IF($J134="","",IFERROR(VLOOKUP($J134,Grinders!$A:$N,3,FALSE),""))</f>
        <v/>
      </c>
      <c r="M134" s="40" t="str">
        <f>IF($J134="","",IFERROR(VLOOKUP($J134,Grinders!$A:$N,4,FALSE),""))</f>
        <v/>
      </c>
      <c r="N134" s="40" t="str">
        <f>IF($J134="","",IFERROR(VLOOKUP($J134,Grinders!$A:$N,5,FALSE),""))</f>
        <v/>
      </c>
      <c r="O134" s="40" t="str">
        <f t="shared" si="2"/>
        <v/>
      </c>
      <c r="P134" s="40" t="str">
        <f>IF($J134="","",IFERROR(VLOOKUP($J134,Grinders!$A:$N,6,FALSE),""))</f>
        <v/>
      </c>
      <c r="Q134" s="40" t="str">
        <f>IF($J134="","",IFERROR(VLOOKUP($J134,Grinders!$A:$N,8,FALSE),""))</f>
        <v/>
      </c>
      <c r="R134" s="40" t="str">
        <f>IFERROR(IF($J134="","",IF($L134="Elite",MAX(50,MIN(100,Config!$B$27*MAX(0,MIN(100,(1-IF($O134="",0,$O134))*100)) + Config!$B$28*MAX(0,MIN(100,(1-MIN(1,IF(Config!$B$30=0,1,$P134/Config!$B$30)))*100)) + Config!$B$29*MAX(0,MIN(100,MIN(1,IF($Q134="",0,$Q134)/Config!$B$23)*100)))),MIN(100,Config!$B$27*MAX(0,MIN(100,(1-IF($O134="",0,$O134))*100)) + Config!$B$28*MAX(0,MIN(100,(1-MIN(1,IF(Config!$B$30=0,1,$P134/Config!$B$30)))*100)) + Config!$B$29*MAX(0,MIN(100,MIN(1,IF($Q134="",0,$Q134)/Config!$B$23)*100))))),"")
</f>
        <v/>
      </c>
      <c r="S134" s="40" t="str">
        <f>IF(Bids!$AC134="","",Bids!$AC134)</f>
        <v/>
      </c>
      <c r="T134" s="40" t="str">
        <f>IF(Bids!$F134="","",Bids!$F134)</f>
        <v/>
      </c>
      <c r="U134" s="40" t="str">
        <f t="shared" si="3"/>
        <v/>
      </c>
      <c r="V134" s="40" t="str">
        <f>IF($U134="","",IF(Config!$B$17=Config!$B$16,IF($U134&gt;=Config!$B$17,100,0),MAX(0,MIN(100,($U134-Config!$B$16)/(Config!$B$17-Config!$B$16)*100))))</f>
        <v/>
      </c>
      <c r="W134" s="40">
        <f>IF($L134="Elite",Config!$B$21,0)</f>
        <v>0</v>
      </c>
      <c r="X134" s="40" t="str">
        <f>IFERROR(IF(OR($T134="",$G134=""),"",IF($T134&gt;$G134,
  MAX(0, 60-(($T134-$G134)*24/Config!$B$19)*60),
  MEDIAN(60, 100, 60+(($G134-$T134)*24/Config!$B$20)*40)
)),"")
</f>
        <v/>
      </c>
      <c r="Y134" s="40" t="str">
        <f>IF($J134="","",IFERROR(VLOOKUP($J134,Grinders!$A:$N,10,FALSE),""))</f>
        <v/>
      </c>
      <c r="Z134" s="40" t="str">
        <f>IF($J134="","",IFERROR(VLOOKUP($J134,Grinders!$A:$N,11,FALSE),""))</f>
        <v/>
      </c>
      <c r="AA134" s="40" t="str">
        <f>IF($J134="","",IFERROR(VLOOKUP($J134,Grinders!$A:$N,12,FALSE),""))</f>
        <v/>
      </c>
      <c r="AB134" s="40" t="str">
        <f>IF(OR(AL134=1,AM134=1),0,=IFERROR(IF(OR($C134="",$J134=""),0,IF($D134&lt;&gt;"Open",0,IF(COUNTIFS(GrinderServices!$A:$A,$J134,GrinderServices!$B:$B,$E134,GrinderServices!$D:$D,"Y")=0,0,IF($U134&lt;Config!$B$16,0,IF(Config!$B$18=1,IF($N134&gt;=$M134,0,1),1))))),""))</f>
        <v>#ERROR!</v>
      </c>
      <c r="AC134" s="40" t="str">
        <f>IFERROR((IF(OR(AL134=1,AM134=1),"",=IFERROR((IFERROR(IF($AB134=0,"",((Config!$B$6*$V134 + Config!$B$7*$R134 + Config!$B$8*$W134 + Config!$B$9*$X134 + Config!$B$10*$Y134 + Config!$B$11*$Z134 - Config!$B$12*$AA134)/Config!$B$13)+$AH134+$AI134),""))*(1-IFERROR(VLOOKUP(J134,Grinders!$A:$AB, 28, FALSE),0)),"")))*(1+AO134),"")</f>
        <v>#ERROR!</v>
      </c>
      <c r="AD134" s="40" t="str">
        <f t="shared" si="4"/>
        <v/>
      </c>
      <c r="AE134" s="40" t="str">
        <f>IFERROR(__xludf.DUMMYFUNCTION("IF($AC134="""","""",IF($AC134=IFERROR(MAX(FILTER($AC$6:$AC$1000,$C$6:$C$1000=$C134,$AB$6:$AB$1000=1)),),""WINNER"",""""))"),"#ERROR!")</f>
        <v>#ERROR!</v>
      </c>
      <c r="AF134" s="40" t="str">
        <f t="shared" si="5"/>
        <v/>
      </c>
      <c r="AG134" s="40" t="str">
        <f>IF($J134="","",COUNTIF(Assignments!$B:$B,$J134))</f>
        <v/>
      </c>
      <c r="AH134" s="40" t="str">
        <f>IF($J134="","",IF(AND($AG134=0,$N134&lt;$M134),Config!$B$43,0))</f>
        <v/>
      </c>
      <c r="AI134" s="40" t="str">
        <f>IF($J134="","",IF(AND($L134="Elite",$F134&gt;=Config!$B$41,$N134&lt;$M134),Config!$B$42,0))</f>
        <v/>
      </c>
      <c r="AJ134" s="22"/>
      <c r="AK134" s="39">
        <f>IFERROR(VLOOKUP(J134,Grinders!$A:$Q,28,FALSE),0)</f>
        <v>0</v>
      </c>
      <c r="AL134" s="39">
        <f>IF(Config!$B$1003&lt;&gt;"Y",0,IF(IFERROR(VLOOKUP(J134,Grinders!$A:$P,27,FALSE),0)&gt;=3,IF(OR(F134&gt;=Config!$B$1001,ISNUMBER(SEARCH(E134,Config!$B$1002))),1,0),0))</f>
        <v>0</v>
      </c>
      <c r="AM134" s="39">
        <f t="array" ref="AM134">IFERROR(IF(INDEX(Bids!$AE:$AE,MATCH(B134,Bids!$A:$A,0))="Pending",1,0),0)</f>
        <v>0</v>
      </c>
      <c r="AN134" s="39" t="str">
        <f t="array" ref="AN134">IF(C134="","",IFERROR(XLOOKUP(C134,Assignments!$C:$C,Assignments!$AU:$AU,0),0))</f>
        <v/>
      </c>
      <c r="AO134" s="39">
        <f>IF(AND(Config!$B$1006="Y",AN134=1),Config!$B$1007,0)</f>
        <v>0</v>
      </c>
    </row>
    <row r="135" ht="15.75" customHeight="1">
      <c r="A135" s="46" t="str">
        <f t="shared" si="1"/>
        <v/>
      </c>
      <c r="B135" s="40" t="str">
        <f>IF(Bids!$A135="","",Bids!$A135)</f>
        <v/>
      </c>
      <c r="C135" s="40" t="str">
        <f>IF(Bids!$B135="","",Bids!$B135)</f>
        <v/>
      </c>
      <c r="D135" s="40" t="str">
        <f>IF($C135="","",IFERROR(VLOOKUP($C135,Orders!$A:$J,9,FALSE),""))</f>
        <v/>
      </c>
      <c r="E135" s="40" t="str">
        <f>IF($C135="","",IFERROR(VLOOKUP($C135,Orders!$A:$J,3,FALSE),""))</f>
        <v/>
      </c>
      <c r="F135" s="40" t="str">
        <f>IF($C135="","",IFERROR(VLOOKUP($C135,Orders!$A:$J,4,FALSE),""))</f>
        <v/>
      </c>
      <c r="G135" s="40" t="str">
        <f>IF($C135="","",IFERROR(VLOOKUP($C135,Orders!$A:$J,5,FALSE),""))</f>
        <v/>
      </c>
      <c r="H135" s="40" t="str">
        <f>IF($C135="","",IFERROR(VLOOKUP($C135,Orders!$A:$J,6,FALSE),""))</f>
        <v/>
      </c>
      <c r="I135" s="40" t="str">
        <f>IF($C135="","",IFERROR(VLOOKUP($C135,Orders!$A:$J,7,FALSE),""))</f>
        <v/>
      </c>
      <c r="J135" s="40" t="str">
        <f>IF(Bids!$C135="","",Bids!$C135)</f>
        <v/>
      </c>
      <c r="K135" s="40" t="str">
        <f>IF($J135="","",IFERROR(VLOOKUP($J135,Grinders!$A:$N,2,FALSE),""))</f>
        <v/>
      </c>
      <c r="L135" s="40" t="str">
        <f>IF($J135="","",IFERROR(VLOOKUP($J135,Grinders!$A:$N,3,FALSE),""))</f>
        <v/>
      </c>
      <c r="M135" s="40" t="str">
        <f>IF($J135="","",IFERROR(VLOOKUP($J135,Grinders!$A:$N,4,FALSE),""))</f>
        <v/>
      </c>
      <c r="N135" s="40" t="str">
        <f>IF($J135="","",IFERROR(VLOOKUP($J135,Grinders!$A:$N,5,FALSE),""))</f>
        <v/>
      </c>
      <c r="O135" s="40" t="str">
        <f t="shared" si="2"/>
        <v/>
      </c>
      <c r="P135" s="40" t="str">
        <f>IF($J135="","",IFERROR(VLOOKUP($J135,Grinders!$A:$N,6,FALSE),""))</f>
        <v/>
      </c>
      <c r="Q135" s="40" t="str">
        <f>IF($J135="","",IFERROR(VLOOKUP($J135,Grinders!$A:$N,8,FALSE),""))</f>
        <v/>
      </c>
      <c r="R135" s="40" t="str">
        <f>IFERROR(IF($J135="","",IF($L135="Elite",MAX(50,MIN(100,Config!$B$27*MAX(0,MIN(100,(1-IF($O135="",0,$O135))*100)) + Config!$B$28*MAX(0,MIN(100,(1-MIN(1,IF(Config!$B$30=0,1,$P135/Config!$B$30)))*100)) + Config!$B$29*MAX(0,MIN(100,MIN(1,IF($Q135="",0,$Q135)/Config!$B$23)*100)))),MIN(100,Config!$B$27*MAX(0,MIN(100,(1-IF($O135="",0,$O135))*100)) + Config!$B$28*MAX(0,MIN(100,(1-MIN(1,IF(Config!$B$30=0,1,$P135/Config!$B$30)))*100)) + Config!$B$29*MAX(0,MIN(100,MIN(1,IF($Q135="",0,$Q135)/Config!$B$23)*100))))),"")
</f>
        <v/>
      </c>
      <c r="S135" s="40" t="str">
        <f>IF(Bids!$AC135="","",Bids!$AC135)</f>
        <v/>
      </c>
      <c r="T135" s="40" t="str">
        <f>IF(Bids!$F135="","",Bids!$F135)</f>
        <v/>
      </c>
      <c r="U135" s="40" t="str">
        <f t="shared" si="3"/>
        <v/>
      </c>
      <c r="V135" s="40" t="str">
        <f>IF($U135="","",IF(Config!$B$17=Config!$B$16,IF($U135&gt;=Config!$B$17,100,0),MAX(0,MIN(100,($U135-Config!$B$16)/(Config!$B$17-Config!$B$16)*100))))</f>
        <v/>
      </c>
      <c r="W135" s="40">
        <f>IF($L135="Elite",Config!$B$21,0)</f>
        <v>0</v>
      </c>
      <c r="X135" s="40" t="str">
        <f>IFERROR(IF(OR($T135="",$G135=""),"",IF($T135&gt;$G135,
  MAX(0, 60-(($T135-$G135)*24/Config!$B$19)*60),
  MEDIAN(60, 100, 60+(($G135-$T135)*24/Config!$B$20)*40)
)),"")
</f>
        <v/>
      </c>
      <c r="Y135" s="40" t="str">
        <f>IF($J135="","",IFERROR(VLOOKUP($J135,Grinders!$A:$N,10,FALSE),""))</f>
        <v/>
      </c>
      <c r="Z135" s="40" t="str">
        <f>IF($J135="","",IFERROR(VLOOKUP($J135,Grinders!$A:$N,11,FALSE),""))</f>
        <v/>
      </c>
      <c r="AA135" s="40" t="str">
        <f>IF($J135="","",IFERROR(VLOOKUP($J135,Grinders!$A:$N,12,FALSE),""))</f>
        <v/>
      </c>
      <c r="AB135" s="40" t="str">
        <f>IF(OR(AL135=1,AM135=1),0,=IFERROR(IF(OR($C135="",$J135=""),0,IF($D135&lt;&gt;"Open",0,IF(COUNTIFS(GrinderServices!$A:$A,$J135,GrinderServices!$B:$B,$E135,GrinderServices!$D:$D,"Y")=0,0,IF($U135&lt;Config!$B$16,0,IF(Config!$B$18=1,IF($N135&gt;=$M135,0,1),1))))),""))</f>
        <v>#ERROR!</v>
      </c>
      <c r="AC135" s="40" t="str">
        <f>IFERROR((IF(OR(AL135=1,AM135=1),"",=IFERROR((IFERROR(IF($AB135=0,"",((Config!$B$6*$V135 + Config!$B$7*$R135 + Config!$B$8*$W135 + Config!$B$9*$X135 + Config!$B$10*$Y135 + Config!$B$11*$Z135 - Config!$B$12*$AA135)/Config!$B$13)+$AH135+$AI135),""))*(1-IFERROR(VLOOKUP(J135,Grinders!$A:$AB, 28, FALSE),0)),"")))*(1+AO135),"")</f>
        <v>#ERROR!</v>
      </c>
      <c r="AD135" s="40" t="str">
        <f t="shared" si="4"/>
        <v/>
      </c>
      <c r="AE135" s="40" t="str">
        <f>IFERROR(__xludf.DUMMYFUNCTION("IF($AC135="""","""",IF($AC135=IFERROR(MAX(FILTER($AC$6:$AC$1000,$C$6:$C$1000=$C135,$AB$6:$AB$1000=1)),),""WINNER"",""""))"),"#ERROR!")</f>
        <v>#ERROR!</v>
      </c>
      <c r="AF135" s="40" t="str">
        <f t="shared" si="5"/>
        <v/>
      </c>
      <c r="AG135" s="40" t="str">
        <f>IF($J135="","",COUNTIF(Assignments!$B:$B,$J135))</f>
        <v/>
      </c>
      <c r="AH135" s="40" t="str">
        <f>IF($J135="","",IF(AND($AG135=0,$N135&lt;$M135),Config!$B$43,0))</f>
        <v/>
      </c>
      <c r="AI135" s="40" t="str">
        <f>IF($J135="","",IF(AND($L135="Elite",$F135&gt;=Config!$B$41,$N135&lt;$M135),Config!$B$42,0))</f>
        <v/>
      </c>
      <c r="AJ135" s="22"/>
      <c r="AK135" s="39">
        <f>IFERROR(VLOOKUP(J135,Grinders!$A:$Q,28,FALSE),0)</f>
        <v>0</v>
      </c>
      <c r="AL135" s="39">
        <f>IF(Config!$B$1003&lt;&gt;"Y",0,IF(IFERROR(VLOOKUP(J135,Grinders!$A:$P,27,FALSE),0)&gt;=3,IF(OR(F135&gt;=Config!$B$1001,ISNUMBER(SEARCH(E135,Config!$B$1002))),1,0),0))</f>
        <v>0</v>
      </c>
      <c r="AM135" s="39">
        <f t="array" ref="AM135">IFERROR(IF(INDEX(Bids!$AE:$AE,MATCH(B135,Bids!$A:$A,0))="Pending",1,0),0)</f>
        <v>0</v>
      </c>
      <c r="AN135" s="39" t="str">
        <f t="array" ref="AN135">IF(C135="","",IFERROR(XLOOKUP(C135,Assignments!$C:$C,Assignments!$AU:$AU,0),0))</f>
        <v/>
      </c>
      <c r="AO135" s="39">
        <f>IF(AND(Config!$B$1006="Y",AN135=1),Config!$B$1007,0)</f>
        <v>0</v>
      </c>
    </row>
    <row r="136" ht="15.75" customHeight="1">
      <c r="A136" s="46" t="str">
        <f t="shared" si="1"/>
        <v/>
      </c>
      <c r="B136" s="40" t="str">
        <f>IF(Bids!$A136="","",Bids!$A136)</f>
        <v/>
      </c>
      <c r="C136" s="40" t="str">
        <f>IF(Bids!$B136="","",Bids!$B136)</f>
        <v/>
      </c>
      <c r="D136" s="40" t="str">
        <f>IF($C136="","",IFERROR(VLOOKUP($C136,Orders!$A:$J,9,FALSE),""))</f>
        <v/>
      </c>
      <c r="E136" s="40" t="str">
        <f>IF($C136="","",IFERROR(VLOOKUP($C136,Orders!$A:$J,3,FALSE),""))</f>
        <v/>
      </c>
      <c r="F136" s="40" t="str">
        <f>IF($C136="","",IFERROR(VLOOKUP($C136,Orders!$A:$J,4,FALSE),""))</f>
        <v/>
      </c>
      <c r="G136" s="40" t="str">
        <f>IF($C136="","",IFERROR(VLOOKUP($C136,Orders!$A:$J,5,FALSE),""))</f>
        <v/>
      </c>
      <c r="H136" s="40" t="str">
        <f>IF($C136="","",IFERROR(VLOOKUP($C136,Orders!$A:$J,6,FALSE),""))</f>
        <v/>
      </c>
      <c r="I136" s="40" t="str">
        <f>IF($C136="","",IFERROR(VLOOKUP($C136,Orders!$A:$J,7,FALSE),""))</f>
        <v/>
      </c>
      <c r="J136" s="40" t="str">
        <f>IF(Bids!$C136="","",Bids!$C136)</f>
        <v/>
      </c>
      <c r="K136" s="40" t="str">
        <f>IF($J136="","",IFERROR(VLOOKUP($J136,Grinders!$A:$N,2,FALSE),""))</f>
        <v/>
      </c>
      <c r="L136" s="40" t="str">
        <f>IF($J136="","",IFERROR(VLOOKUP($J136,Grinders!$A:$N,3,FALSE),""))</f>
        <v/>
      </c>
      <c r="M136" s="40" t="str">
        <f>IF($J136="","",IFERROR(VLOOKUP($J136,Grinders!$A:$N,4,FALSE),""))</f>
        <v/>
      </c>
      <c r="N136" s="40" t="str">
        <f>IF($J136="","",IFERROR(VLOOKUP($J136,Grinders!$A:$N,5,FALSE),""))</f>
        <v/>
      </c>
      <c r="O136" s="40" t="str">
        <f t="shared" si="2"/>
        <v/>
      </c>
      <c r="P136" s="40" t="str">
        <f>IF($J136="","",IFERROR(VLOOKUP($J136,Grinders!$A:$N,6,FALSE),""))</f>
        <v/>
      </c>
      <c r="Q136" s="40" t="str">
        <f>IF($J136="","",IFERROR(VLOOKUP($J136,Grinders!$A:$N,8,FALSE),""))</f>
        <v/>
      </c>
      <c r="R136" s="40" t="str">
        <f>IFERROR(IF($J136="","",IF($L136="Elite",MAX(50,MIN(100,Config!$B$27*MAX(0,MIN(100,(1-IF($O136="",0,$O136))*100)) + Config!$B$28*MAX(0,MIN(100,(1-MIN(1,IF(Config!$B$30=0,1,$P136/Config!$B$30)))*100)) + Config!$B$29*MAX(0,MIN(100,MIN(1,IF($Q136="",0,$Q136)/Config!$B$23)*100)))),MIN(100,Config!$B$27*MAX(0,MIN(100,(1-IF($O136="",0,$O136))*100)) + Config!$B$28*MAX(0,MIN(100,(1-MIN(1,IF(Config!$B$30=0,1,$P136/Config!$B$30)))*100)) + Config!$B$29*MAX(0,MIN(100,MIN(1,IF($Q136="",0,$Q136)/Config!$B$23)*100))))),"")
</f>
        <v/>
      </c>
      <c r="S136" s="40" t="str">
        <f>IF(Bids!$AC136="","",Bids!$AC136)</f>
        <v/>
      </c>
      <c r="T136" s="40" t="str">
        <f>IF(Bids!$F136="","",Bids!$F136)</f>
        <v/>
      </c>
      <c r="U136" s="40" t="str">
        <f t="shared" si="3"/>
        <v/>
      </c>
      <c r="V136" s="40" t="str">
        <f>IF($U136="","",IF(Config!$B$17=Config!$B$16,IF($U136&gt;=Config!$B$17,100,0),MAX(0,MIN(100,($U136-Config!$B$16)/(Config!$B$17-Config!$B$16)*100))))</f>
        <v/>
      </c>
      <c r="W136" s="40">
        <f>IF($L136="Elite",Config!$B$21,0)</f>
        <v>0</v>
      </c>
      <c r="X136" s="40" t="str">
        <f>IFERROR(IF(OR($T136="",$G136=""),"",IF($T136&gt;$G136,
  MAX(0, 60-(($T136-$G136)*24/Config!$B$19)*60),
  MEDIAN(60, 100, 60+(($G136-$T136)*24/Config!$B$20)*40)
)),"")
</f>
        <v/>
      </c>
      <c r="Y136" s="40" t="str">
        <f>IF($J136="","",IFERROR(VLOOKUP($J136,Grinders!$A:$N,10,FALSE),""))</f>
        <v/>
      </c>
      <c r="Z136" s="40" t="str">
        <f>IF($J136="","",IFERROR(VLOOKUP($J136,Grinders!$A:$N,11,FALSE),""))</f>
        <v/>
      </c>
      <c r="AA136" s="40" t="str">
        <f>IF($J136="","",IFERROR(VLOOKUP($J136,Grinders!$A:$N,12,FALSE),""))</f>
        <v/>
      </c>
      <c r="AB136" s="40" t="str">
        <f>IF(OR(AL136=1,AM136=1),0,=IFERROR(IF(OR($C136="",$J136=""),0,IF($D136&lt;&gt;"Open",0,IF(COUNTIFS(GrinderServices!$A:$A,$J136,GrinderServices!$B:$B,$E136,GrinderServices!$D:$D,"Y")=0,0,IF($U136&lt;Config!$B$16,0,IF(Config!$B$18=1,IF($N136&gt;=$M136,0,1),1))))),""))</f>
        <v>#ERROR!</v>
      </c>
      <c r="AC136" s="40" t="str">
        <f>IFERROR((IF(OR(AL136=1,AM136=1),"",=IFERROR((IFERROR(IF($AB136=0,"",((Config!$B$6*$V136 + Config!$B$7*$R136 + Config!$B$8*$W136 + Config!$B$9*$X136 + Config!$B$10*$Y136 + Config!$B$11*$Z136 - Config!$B$12*$AA136)/Config!$B$13)+$AH136+$AI136),""))*(1-IFERROR(VLOOKUP(J136,Grinders!$A:$AB, 28, FALSE),0)),"")))*(1+AO136),"")</f>
        <v>#ERROR!</v>
      </c>
      <c r="AD136" s="40" t="str">
        <f t="shared" si="4"/>
        <v/>
      </c>
      <c r="AE136" s="40" t="str">
        <f>IFERROR(__xludf.DUMMYFUNCTION("IF($AC136="""","""",IF($AC136=IFERROR(MAX(FILTER($AC$6:$AC$1000,$C$6:$C$1000=$C136,$AB$6:$AB$1000=1)),),""WINNER"",""""))"),"#ERROR!")</f>
        <v>#ERROR!</v>
      </c>
      <c r="AF136" s="40" t="str">
        <f t="shared" si="5"/>
        <v/>
      </c>
      <c r="AG136" s="40" t="str">
        <f>IF($J136="","",COUNTIF(Assignments!$B:$B,$J136))</f>
        <v/>
      </c>
      <c r="AH136" s="40" t="str">
        <f>IF($J136="","",IF(AND($AG136=0,$N136&lt;$M136),Config!$B$43,0))</f>
        <v/>
      </c>
      <c r="AI136" s="40" t="str">
        <f>IF($J136="","",IF(AND($L136="Elite",$F136&gt;=Config!$B$41,$N136&lt;$M136),Config!$B$42,0))</f>
        <v/>
      </c>
      <c r="AJ136" s="22"/>
      <c r="AK136" s="39">
        <f>IFERROR(VLOOKUP(J136,Grinders!$A:$Q,28,FALSE),0)</f>
        <v>0</v>
      </c>
      <c r="AL136" s="39">
        <f>IF(Config!$B$1003&lt;&gt;"Y",0,IF(IFERROR(VLOOKUP(J136,Grinders!$A:$P,27,FALSE),0)&gt;=3,IF(OR(F136&gt;=Config!$B$1001,ISNUMBER(SEARCH(E136,Config!$B$1002))),1,0),0))</f>
        <v>0</v>
      </c>
      <c r="AM136" s="39">
        <f t="array" ref="AM136">IFERROR(IF(INDEX(Bids!$AE:$AE,MATCH(B136,Bids!$A:$A,0))="Pending",1,0),0)</f>
        <v>0</v>
      </c>
      <c r="AN136" s="39" t="str">
        <f t="array" ref="AN136">IF(C136="","",IFERROR(XLOOKUP(C136,Assignments!$C:$C,Assignments!$AU:$AU,0),0))</f>
        <v/>
      </c>
      <c r="AO136" s="39">
        <f>IF(AND(Config!$B$1006="Y",AN136=1),Config!$B$1007,0)</f>
        <v>0</v>
      </c>
    </row>
    <row r="137" ht="15.75" customHeight="1">
      <c r="A137" s="46" t="str">
        <f t="shared" si="1"/>
        <v/>
      </c>
      <c r="B137" s="40" t="str">
        <f>IF(Bids!$A137="","",Bids!$A137)</f>
        <v/>
      </c>
      <c r="C137" s="40" t="str">
        <f>IF(Bids!$B137="","",Bids!$B137)</f>
        <v/>
      </c>
      <c r="D137" s="40" t="str">
        <f>IF($C137="","",IFERROR(VLOOKUP($C137,Orders!$A:$J,9,FALSE),""))</f>
        <v/>
      </c>
      <c r="E137" s="40" t="str">
        <f>IF($C137="","",IFERROR(VLOOKUP($C137,Orders!$A:$J,3,FALSE),""))</f>
        <v/>
      </c>
      <c r="F137" s="40" t="str">
        <f>IF($C137="","",IFERROR(VLOOKUP($C137,Orders!$A:$J,4,FALSE),""))</f>
        <v/>
      </c>
      <c r="G137" s="40" t="str">
        <f>IF($C137="","",IFERROR(VLOOKUP($C137,Orders!$A:$J,5,FALSE),""))</f>
        <v/>
      </c>
      <c r="H137" s="40" t="str">
        <f>IF($C137="","",IFERROR(VLOOKUP($C137,Orders!$A:$J,6,FALSE),""))</f>
        <v/>
      </c>
      <c r="I137" s="40" t="str">
        <f>IF($C137="","",IFERROR(VLOOKUP($C137,Orders!$A:$J,7,FALSE),""))</f>
        <v/>
      </c>
      <c r="J137" s="40" t="str">
        <f>IF(Bids!$C137="","",Bids!$C137)</f>
        <v/>
      </c>
      <c r="K137" s="40" t="str">
        <f>IF($J137="","",IFERROR(VLOOKUP($J137,Grinders!$A:$N,2,FALSE),""))</f>
        <v/>
      </c>
      <c r="L137" s="40" t="str">
        <f>IF($J137="","",IFERROR(VLOOKUP($J137,Grinders!$A:$N,3,FALSE),""))</f>
        <v/>
      </c>
      <c r="M137" s="40" t="str">
        <f>IF($J137="","",IFERROR(VLOOKUP($J137,Grinders!$A:$N,4,FALSE),""))</f>
        <v/>
      </c>
      <c r="N137" s="40" t="str">
        <f>IF($J137="","",IFERROR(VLOOKUP($J137,Grinders!$A:$N,5,FALSE),""))</f>
        <v/>
      </c>
      <c r="O137" s="40" t="str">
        <f t="shared" si="2"/>
        <v/>
      </c>
      <c r="P137" s="40" t="str">
        <f>IF($J137="","",IFERROR(VLOOKUP($J137,Grinders!$A:$N,6,FALSE),""))</f>
        <v/>
      </c>
      <c r="Q137" s="40" t="str">
        <f>IF($J137="","",IFERROR(VLOOKUP($J137,Grinders!$A:$N,8,FALSE),""))</f>
        <v/>
      </c>
      <c r="R137" s="40" t="str">
        <f>IFERROR(IF($J137="","",IF($L137="Elite",MAX(50,MIN(100,Config!$B$27*MAX(0,MIN(100,(1-IF($O137="",0,$O137))*100)) + Config!$B$28*MAX(0,MIN(100,(1-MIN(1,IF(Config!$B$30=0,1,$P137/Config!$B$30)))*100)) + Config!$B$29*MAX(0,MIN(100,MIN(1,IF($Q137="",0,$Q137)/Config!$B$23)*100)))),MIN(100,Config!$B$27*MAX(0,MIN(100,(1-IF($O137="",0,$O137))*100)) + Config!$B$28*MAX(0,MIN(100,(1-MIN(1,IF(Config!$B$30=0,1,$P137/Config!$B$30)))*100)) + Config!$B$29*MAX(0,MIN(100,MIN(1,IF($Q137="",0,$Q137)/Config!$B$23)*100))))),"")
</f>
        <v/>
      </c>
      <c r="S137" s="40" t="str">
        <f>IF(Bids!$AC137="","",Bids!$AC137)</f>
        <v/>
      </c>
      <c r="T137" s="40" t="str">
        <f>IF(Bids!$F137="","",Bids!$F137)</f>
        <v/>
      </c>
      <c r="U137" s="40" t="str">
        <f t="shared" si="3"/>
        <v/>
      </c>
      <c r="V137" s="40" t="str">
        <f>IF($U137="","",IF(Config!$B$17=Config!$B$16,IF($U137&gt;=Config!$B$17,100,0),MAX(0,MIN(100,($U137-Config!$B$16)/(Config!$B$17-Config!$B$16)*100))))</f>
        <v/>
      </c>
      <c r="W137" s="40">
        <f>IF($L137="Elite",Config!$B$21,0)</f>
        <v>0</v>
      </c>
      <c r="X137" s="40" t="str">
        <f>IFERROR(IF(OR($T137="",$G137=""),"",IF($T137&gt;$G137,
  MAX(0, 60-(($T137-$G137)*24/Config!$B$19)*60),
  MEDIAN(60, 100, 60+(($G137-$T137)*24/Config!$B$20)*40)
)),"")
</f>
        <v/>
      </c>
      <c r="Y137" s="40" t="str">
        <f>IF($J137="","",IFERROR(VLOOKUP($J137,Grinders!$A:$N,10,FALSE),""))</f>
        <v/>
      </c>
      <c r="Z137" s="40" t="str">
        <f>IF($J137="","",IFERROR(VLOOKUP($J137,Grinders!$A:$N,11,FALSE),""))</f>
        <v/>
      </c>
      <c r="AA137" s="40" t="str">
        <f>IF($J137="","",IFERROR(VLOOKUP($J137,Grinders!$A:$N,12,FALSE),""))</f>
        <v/>
      </c>
      <c r="AB137" s="40" t="str">
        <f>IF(OR(AL137=1,AM137=1),0,=IFERROR(IF(OR($C137="",$J137=""),0,IF($D137&lt;&gt;"Open",0,IF(COUNTIFS(GrinderServices!$A:$A,$J137,GrinderServices!$B:$B,$E137,GrinderServices!$D:$D,"Y")=0,0,IF($U137&lt;Config!$B$16,0,IF(Config!$B$18=1,IF($N137&gt;=$M137,0,1),1))))),""))</f>
        <v>#ERROR!</v>
      </c>
      <c r="AC137" s="40" t="str">
        <f>IFERROR((IF(OR(AL137=1,AM137=1),"",=IFERROR((IFERROR(IF($AB137=0,"",((Config!$B$6*$V137 + Config!$B$7*$R137 + Config!$B$8*$W137 + Config!$B$9*$X137 + Config!$B$10*$Y137 + Config!$B$11*$Z137 - Config!$B$12*$AA137)/Config!$B$13)+$AH137+$AI137),""))*(1-IFERROR(VLOOKUP(J137,Grinders!$A:$AB, 28, FALSE),0)),"")))*(1+AO137),"")</f>
        <v>#ERROR!</v>
      </c>
      <c r="AD137" s="40" t="str">
        <f t="shared" si="4"/>
        <v/>
      </c>
      <c r="AE137" s="40" t="str">
        <f>IFERROR(__xludf.DUMMYFUNCTION("IF($AC137="""","""",IF($AC137=IFERROR(MAX(FILTER($AC$6:$AC$1000,$C$6:$C$1000=$C137,$AB$6:$AB$1000=1)),),""WINNER"",""""))"),"#ERROR!")</f>
        <v>#ERROR!</v>
      </c>
      <c r="AF137" s="40" t="str">
        <f t="shared" si="5"/>
        <v/>
      </c>
      <c r="AG137" s="40" t="str">
        <f>IF($J137="","",COUNTIF(Assignments!$B:$B,$J137))</f>
        <v/>
      </c>
      <c r="AH137" s="40" t="str">
        <f>IF($J137="","",IF(AND($AG137=0,$N137&lt;$M137),Config!$B$43,0))</f>
        <v/>
      </c>
      <c r="AI137" s="40" t="str">
        <f>IF($J137="","",IF(AND($L137="Elite",$F137&gt;=Config!$B$41,$N137&lt;$M137),Config!$B$42,0))</f>
        <v/>
      </c>
      <c r="AJ137" s="22"/>
      <c r="AK137" s="39">
        <f>IFERROR(VLOOKUP(J137,Grinders!$A:$Q,28,FALSE),0)</f>
        <v>0</v>
      </c>
      <c r="AL137" s="39">
        <f>IF(Config!$B$1003&lt;&gt;"Y",0,IF(IFERROR(VLOOKUP(J137,Grinders!$A:$P,27,FALSE),0)&gt;=3,IF(OR(F137&gt;=Config!$B$1001,ISNUMBER(SEARCH(E137,Config!$B$1002))),1,0),0))</f>
        <v>0</v>
      </c>
      <c r="AM137" s="39">
        <f t="array" ref="AM137">IFERROR(IF(INDEX(Bids!$AE:$AE,MATCH(B137,Bids!$A:$A,0))="Pending",1,0),0)</f>
        <v>0</v>
      </c>
      <c r="AN137" s="39" t="str">
        <f t="array" ref="AN137">IF(C137="","",IFERROR(XLOOKUP(C137,Assignments!$C:$C,Assignments!$AU:$AU,0),0))</f>
        <v/>
      </c>
      <c r="AO137" s="39">
        <f>IF(AND(Config!$B$1006="Y",AN137=1),Config!$B$1007,0)</f>
        <v>0</v>
      </c>
    </row>
    <row r="138" ht="15.75" customHeight="1">
      <c r="A138" s="46" t="str">
        <f t="shared" si="1"/>
        <v/>
      </c>
      <c r="B138" s="40" t="str">
        <f>IF(Bids!$A138="","",Bids!$A138)</f>
        <v/>
      </c>
      <c r="C138" s="40" t="str">
        <f>IF(Bids!$B138="","",Bids!$B138)</f>
        <v/>
      </c>
      <c r="D138" s="40" t="str">
        <f>IF($C138="","",IFERROR(VLOOKUP($C138,Orders!$A:$J,9,FALSE),""))</f>
        <v/>
      </c>
      <c r="E138" s="40" t="str">
        <f>IF($C138="","",IFERROR(VLOOKUP($C138,Orders!$A:$J,3,FALSE),""))</f>
        <v/>
      </c>
      <c r="F138" s="40" t="str">
        <f>IF($C138="","",IFERROR(VLOOKUP($C138,Orders!$A:$J,4,FALSE),""))</f>
        <v/>
      </c>
      <c r="G138" s="40" t="str">
        <f>IF($C138="","",IFERROR(VLOOKUP($C138,Orders!$A:$J,5,FALSE),""))</f>
        <v/>
      </c>
      <c r="H138" s="40" t="str">
        <f>IF($C138="","",IFERROR(VLOOKUP($C138,Orders!$A:$J,6,FALSE),""))</f>
        <v/>
      </c>
      <c r="I138" s="40" t="str">
        <f>IF($C138="","",IFERROR(VLOOKUP($C138,Orders!$A:$J,7,FALSE),""))</f>
        <v/>
      </c>
      <c r="J138" s="40" t="str">
        <f>IF(Bids!$C138="","",Bids!$C138)</f>
        <v/>
      </c>
      <c r="K138" s="40" t="str">
        <f>IF($J138="","",IFERROR(VLOOKUP($J138,Grinders!$A:$N,2,FALSE),""))</f>
        <v/>
      </c>
      <c r="L138" s="40" t="str">
        <f>IF($J138="","",IFERROR(VLOOKUP($J138,Grinders!$A:$N,3,FALSE),""))</f>
        <v/>
      </c>
      <c r="M138" s="40" t="str">
        <f>IF($J138="","",IFERROR(VLOOKUP($J138,Grinders!$A:$N,4,FALSE),""))</f>
        <v/>
      </c>
      <c r="N138" s="40" t="str">
        <f>IF($J138="","",IFERROR(VLOOKUP($J138,Grinders!$A:$N,5,FALSE),""))</f>
        <v/>
      </c>
      <c r="O138" s="40" t="str">
        <f t="shared" si="2"/>
        <v/>
      </c>
      <c r="P138" s="40" t="str">
        <f>IF($J138="","",IFERROR(VLOOKUP($J138,Grinders!$A:$N,6,FALSE),""))</f>
        <v/>
      </c>
      <c r="Q138" s="40" t="str">
        <f>IF($J138="","",IFERROR(VLOOKUP($J138,Grinders!$A:$N,8,FALSE),""))</f>
        <v/>
      </c>
      <c r="R138" s="40" t="str">
        <f>IFERROR(IF($J138="","",IF($L138="Elite",MAX(50,MIN(100,Config!$B$27*MAX(0,MIN(100,(1-IF($O138="",0,$O138))*100)) + Config!$B$28*MAX(0,MIN(100,(1-MIN(1,IF(Config!$B$30=0,1,$P138/Config!$B$30)))*100)) + Config!$B$29*MAX(0,MIN(100,MIN(1,IF($Q138="",0,$Q138)/Config!$B$23)*100)))),MIN(100,Config!$B$27*MAX(0,MIN(100,(1-IF($O138="",0,$O138))*100)) + Config!$B$28*MAX(0,MIN(100,(1-MIN(1,IF(Config!$B$30=0,1,$P138/Config!$B$30)))*100)) + Config!$B$29*MAX(0,MIN(100,MIN(1,IF($Q138="",0,$Q138)/Config!$B$23)*100))))),"")
</f>
        <v/>
      </c>
      <c r="S138" s="40" t="str">
        <f>IF(Bids!$AC138="","",Bids!$AC138)</f>
        <v/>
      </c>
      <c r="T138" s="40" t="str">
        <f>IF(Bids!$F138="","",Bids!$F138)</f>
        <v/>
      </c>
      <c r="U138" s="40" t="str">
        <f t="shared" si="3"/>
        <v/>
      </c>
      <c r="V138" s="40" t="str">
        <f>IF($U138="","",IF(Config!$B$17=Config!$B$16,IF($U138&gt;=Config!$B$17,100,0),MAX(0,MIN(100,($U138-Config!$B$16)/(Config!$B$17-Config!$B$16)*100))))</f>
        <v/>
      </c>
      <c r="W138" s="40">
        <f>IF($L138="Elite",Config!$B$21,0)</f>
        <v>0</v>
      </c>
      <c r="X138" s="40" t="str">
        <f>IFERROR(IF(OR($T138="",$G138=""),"",IF($T138&gt;$G138,
  MAX(0, 60-(($T138-$G138)*24/Config!$B$19)*60),
  MEDIAN(60, 100, 60+(($G138-$T138)*24/Config!$B$20)*40)
)),"")
</f>
        <v/>
      </c>
      <c r="Y138" s="40" t="str">
        <f>IF($J138="","",IFERROR(VLOOKUP($J138,Grinders!$A:$N,10,FALSE),""))</f>
        <v/>
      </c>
      <c r="Z138" s="40" t="str">
        <f>IF($J138="","",IFERROR(VLOOKUP($J138,Grinders!$A:$N,11,FALSE),""))</f>
        <v/>
      </c>
      <c r="AA138" s="40" t="str">
        <f>IF($J138="","",IFERROR(VLOOKUP($J138,Grinders!$A:$N,12,FALSE),""))</f>
        <v/>
      </c>
      <c r="AB138" s="40" t="str">
        <f>IF(OR(AL138=1,AM138=1),0,=IFERROR(IF(OR($C138="",$J138=""),0,IF($D138&lt;&gt;"Open",0,IF(COUNTIFS(GrinderServices!$A:$A,$J138,GrinderServices!$B:$B,$E138,GrinderServices!$D:$D,"Y")=0,0,IF($U138&lt;Config!$B$16,0,IF(Config!$B$18=1,IF($N138&gt;=$M138,0,1),1))))),""))</f>
        <v>#ERROR!</v>
      </c>
      <c r="AC138" s="40" t="str">
        <f>IFERROR((IF(OR(AL138=1,AM138=1),"",=IFERROR((IFERROR(IF($AB138=0,"",((Config!$B$6*$V138 + Config!$B$7*$R138 + Config!$B$8*$W138 + Config!$B$9*$X138 + Config!$B$10*$Y138 + Config!$B$11*$Z138 - Config!$B$12*$AA138)/Config!$B$13)+$AH138+$AI138),""))*(1-IFERROR(VLOOKUP(J138,Grinders!$A:$AB, 28, FALSE),0)),"")))*(1+AO138),"")</f>
        <v>#ERROR!</v>
      </c>
      <c r="AD138" s="40" t="str">
        <f t="shared" si="4"/>
        <v/>
      </c>
      <c r="AE138" s="40" t="str">
        <f>IFERROR(__xludf.DUMMYFUNCTION("IF($AC138="""","""",IF($AC138=IFERROR(MAX(FILTER($AC$6:$AC$1000,$C$6:$C$1000=$C138,$AB$6:$AB$1000=1)),),""WINNER"",""""))"),"#ERROR!")</f>
        <v>#ERROR!</v>
      </c>
      <c r="AF138" s="40" t="str">
        <f t="shared" si="5"/>
        <v/>
      </c>
      <c r="AG138" s="40" t="str">
        <f>IF($J138="","",COUNTIF(Assignments!$B:$B,$J138))</f>
        <v/>
      </c>
      <c r="AH138" s="40" t="str">
        <f>IF($J138="","",IF(AND($AG138=0,$N138&lt;$M138),Config!$B$43,0))</f>
        <v/>
      </c>
      <c r="AI138" s="40" t="str">
        <f>IF($J138="","",IF(AND($L138="Elite",$F138&gt;=Config!$B$41,$N138&lt;$M138),Config!$B$42,0))</f>
        <v/>
      </c>
      <c r="AJ138" s="22"/>
      <c r="AK138" s="39">
        <f>IFERROR(VLOOKUP(J138,Grinders!$A:$Q,28,FALSE),0)</f>
        <v>0</v>
      </c>
      <c r="AL138" s="39">
        <f>IF(Config!$B$1003&lt;&gt;"Y",0,IF(IFERROR(VLOOKUP(J138,Grinders!$A:$P,27,FALSE),0)&gt;=3,IF(OR(F138&gt;=Config!$B$1001,ISNUMBER(SEARCH(E138,Config!$B$1002))),1,0),0))</f>
        <v>0</v>
      </c>
      <c r="AM138" s="39">
        <f t="array" ref="AM138">IFERROR(IF(INDEX(Bids!$AE:$AE,MATCH(B138,Bids!$A:$A,0))="Pending",1,0),0)</f>
        <v>0</v>
      </c>
      <c r="AN138" s="39" t="str">
        <f t="array" ref="AN138">IF(C138="","",IFERROR(XLOOKUP(C138,Assignments!$C:$C,Assignments!$AU:$AU,0),0))</f>
        <v/>
      </c>
      <c r="AO138" s="39">
        <f>IF(AND(Config!$B$1006="Y",AN138=1),Config!$B$1007,0)</f>
        <v>0</v>
      </c>
    </row>
    <row r="139" ht="15.75" customHeight="1">
      <c r="A139" s="46" t="str">
        <f t="shared" si="1"/>
        <v/>
      </c>
      <c r="B139" s="40" t="str">
        <f>IF(Bids!$A139="","",Bids!$A139)</f>
        <v/>
      </c>
      <c r="C139" s="40" t="str">
        <f>IF(Bids!$B139="","",Bids!$B139)</f>
        <v/>
      </c>
      <c r="D139" s="40" t="str">
        <f>IF($C139="","",IFERROR(VLOOKUP($C139,Orders!$A:$J,9,FALSE),""))</f>
        <v/>
      </c>
      <c r="E139" s="40" t="str">
        <f>IF($C139="","",IFERROR(VLOOKUP($C139,Orders!$A:$J,3,FALSE),""))</f>
        <v/>
      </c>
      <c r="F139" s="40" t="str">
        <f>IF($C139="","",IFERROR(VLOOKUP($C139,Orders!$A:$J,4,FALSE),""))</f>
        <v/>
      </c>
      <c r="G139" s="40" t="str">
        <f>IF($C139="","",IFERROR(VLOOKUP($C139,Orders!$A:$J,5,FALSE),""))</f>
        <v/>
      </c>
      <c r="H139" s="40" t="str">
        <f>IF($C139="","",IFERROR(VLOOKUP($C139,Orders!$A:$J,6,FALSE),""))</f>
        <v/>
      </c>
      <c r="I139" s="40" t="str">
        <f>IF($C139="","",IFERROR(VLOOKUP($C139,Orders!$A:$J,7,FALSE),""))</f>
        <v/>
      </c>
      <c r="J139" s="40" t="str">
        <f>IF(Bids!$C139="","",Bids!$C139)</f>
        <v/>
      </c>
      <c r="K139" s="40" t="str">
        <f>IF($J139="","",IFERROR(VLOOKUP($J139,Grinders!$A:$N,2,FALSE),""))</f>
        <v/>
      </c>
      <c r="L139" s="40" t="str">
        <f>IF($J139="","",IFERROR(VLOOKUP($J139,Grinders!$A:$N,3,FALSE),""))</f>
        <v/>
      </c>
      <c r="M139" s="40" t="str">
        <f>IF($J139="","",IFERROR(VLOOKUP($J139,Grinders!$A:$N,4,FALSE),""))</f>
        <v/>
      </c>
      <c r="N139" s="40" t="str">
        <f>IF($J139="","",IFERROR(VLOOKUP($J139,Grinders!$A:$N,5,FALSE),""))</f>
        <v/>
      </c>
      <c r="O139" s="40" t="str">
        <f t="shared" si="2"/>
        <v/>
      </c>
      <c r="P139" s="40" t="str">
        <f>IF($J139="","",IFERROR(VLOOKUP($J139,Grinders!$A:$N,6,FALSE),""))</f>
        <v/>
      </c>
      <c r="Q139" s="40" t="str">
        <f>IF($J139="","",IFERROR(VLOOKUP($J139,Grinders!$A:$N,8,FALSE),""))</f>
        <v/>
      </c>
      <c r="R139" s="40" t="str">
        <f>IFERROR(IF($J139="","",IF($L139="Elite",MAX(50,MIN(100,Config!$B$27*MAX(0,MIN(100,(1-IF($O139="",0,$O139))*100)) + Config!$B$28*MAX(0,MIN(100,(1-MIN(1,IF(Config!$B$30=0,1,$P139/Config!$B$30)))*100)) + Config!$B$29*MAX(0,MIN(100,MIN(1,IF($Q139="",0,$Q139)/Config!$B$23)*100)))),MIN(100,Config!$B$27*MAX(0,MIN(100,(1-IF($O139="",0,$O139))*100)) + Config!$B$28*MAX(0,MIN(100,(1-MIN(1,IF(Config!$B$30=0,1,$P139/Config!$B$30)))*100)) + Config!$B$29*MAX(0,MIN(100,MIN(1,IF($Q139="",0,$Q139)/Config!$B$23)*100))))),"")
</f>
        <v/>
      </c>
      <c r="S139" s="40" t="str">
        <f>IF(Bids!$AC139="","",Bids!$AC139)</f>
        <v/>
      </c>
      <c r="T139" s="40" t="str">
        <f>IF(Bids!$F139="","",Bids!$F139)</f>
        <v/>
      </c>
      <c r="U139" s="40" t="str">
        <f t="shared" si="3"/>
        <v/>
      </c>
      <c r="V139" s="40" t="str">
        <f>IF($U139="","",IF(Config!$B$17=Config!$B$16,IF($U139&gt;=Config!$B$17,100,0),MAX(0,MIN(100,($U139-Config!$B$16)/(Config!$B$17-Config!$B$16)*100))))</f>
        <v/>
      </c>
      <c r="W139" s="40">
        <f>IF($L139="Elite",Config!$B$21,0)</f>
        <v>0</v>
      </c>
      <c r="X139" s="40" t="str">
        <f>IFERROR(IF(OR($T139="",$G139=""),"",IF($T139&gt;$G139,
  MAX(0, 60-(($T139-$G139)*24/Config!$B$19)*60),
  MEDIAN(60, 100, 60+(($G139-$T139)*24/Config!$B$20)*40)
)),"")
</f>
        <v/>
      </c>
      <c r="Y139" s="40" t="str">
        <f>IF($J139="","",IFERROR(VLOOKUP($J139,Grinders!$A:$N,10,FALSE),""))</f>
        <v/>
      </c>
      <c r="Z139" s="40" t="str">
        <f>IF($J139="","",IFERROR(VLOOKUP($J139,Grinders!$A:$N,11,FALSE),""))</f>
        <v/>
      </c>
      <c r="AA139" s="40" t="str">
        <f>IF($J139="","",IFERROR(VLOOKUP($J139,Grinders!$A:$N,12,FALSE),""))</f>
        <v/>
      </c>
      <c r="AB139" s="40" t="str">
        <f>IF(OR(AL139=1,AM139=1),0,=IFERROR(IF(OR($C139="",$J139=""),0,IF($D139&lt;&gt;"Open",0,IF(COUNTIFS(GrinderServices!$A:$A,$J139,GrinderServices!$B:$B,$E139,GrinderServices!$D:$D,"Y")=0,0,IF($U139&lt;Config!$B$16,0,IF(Config!$B$18=1,IF($N139&gt;=$M139,0,1),1))))),""))</f>
        <v>#ERROR!</v>
      </c>
      <c r="AC139" s="40" t="str">
        <f>IFERROR((IF(OR(AL139=1,AM139=1),"",=IFERROR((IFERROR(IF($AB139=0,"",((Config!$B$6*$V139 + Config!$B$7*$R139 + Config!$B$8*$W139 + Config!$B$9*$X139 + Config!$B$10*$Y139 + Config!$B$11*$Z139 - Config!$B$12*$AA139)/Config!$B$13)+$AH139+$AI139),""))*(1-IFERROR(VLOOKUP(J139,Grinders!$A:$AB, 28, FALSE),0)),"")))*(1+AO139),"")</f>
        <v>#ERROR!</v>
      </c>
      <c r="AD139" s="40" t="str">
        <f t="shared" si="4"/>
        <v/>
      </c>
      <c r="AE139" s="40" t="str">
        <f>IFERROR(__xludf.DUMMYFUNCTION("IF($AC139="""","""",IF($AC139=IFERROR(MAX(FILTER($AC$6:$AC$1000,$C$6:$C$1000=$C139,$AB$6:$AB$1000=1)),),""WINNER"",""""))"),"#ERROR!")</f>
        <v>#ERROR!</v>
      </c>
      <c r="AF139" s="40" t="str">
        <f t="shared" si="5"/>
        <v/>
      </c>
      <c r="AG139" s="40" t="str">
        <f>IF($J139="","",COUNTIF(Assignments!$B:$B,$J139))</f>
        <v/>
      </c>
      <c r="AH139" s="40" t="str">
        <f>IF($J139="","",IF(AND($AG139=0,$N139&lt;$M139),Config!$B$43,0))</f>
        <v/>
      </c>
      <c r="AI139" s="40" t="str">
        <f>IF($J139="","",IF(AND($L139="Elite",$F139&gt;=Config!$B$41,$N139&lt;$M139),Config!$B$42,0))</f>
        <v/>
      </c>
      <c r="AJ139" s="22"/>
      <c r="AK139" s="39">
        <f>IFERROR(VLOOKUP(J139,Grinders!$A:$Q,28,FALSE),0)</f>
        <v>0</v>
      </c>
      <c r="AL139" s="39">
        <f>IF(Config!$B$1003&lt;&gt;"Y",0,IF(IFERROR(VLOOKUP(J139,Grinders!$A:$P,27,FALSE),0)&gt;=3,IF(OR(F139&gt;=Config!$B$1001,ISNUMBER(SEARCH(E139,Config!$B$1002))),1,0),0))</f>
        <v>0</v>
      </c>
      <c r="AM139" s="39">
        <f t="array" ref="AM139">IFERROR(IF(INDEX(Bids!$AE:$AE,MATCH(B139,Bids!$A:$A,0))="Pending",1,0),0)</f>
        <v>0</v>
      </c>
      <c r="AN139" s="39" t="str">
        <f t="array" ref="AN139">IF(C139="","",IFERROR(XLOOKUP(C139,Assignments!$C:$C,Assignments!$AU:$AU,0),0))</f>
        <v/>
      </c>
      <c r="AO139" s="39">
        <f>IF(AND(Config!$B$1006="Y",AN139=1),Config!$B$1007,0)</f>
        <v>0</v>
      </c>
    </row>
    <row r="140" ht="15.75" customHeight="1">
      <c r="A140" s="46" t="str">
        <f t="shared" si="1"/>
        <v/>
      </c>
      <c r="B140" s="40" t="str">
        <f>IF(Bids!$A140="","",Bids!$A140)</f>
        <v/>
      </c>
      <c r="C140" s="40" t="str">
        <f>IF(Bids!$B140="","",Bids!$B140)</f>
        <v/>
      </c>
      <c r="D140" s="40" t="str">
        <f>IF($C140="","",IFERROR(VLOOKUP($C140,Orders!$A:$J,9,FALSE),""))</f>
        <v/>
      </c>
      <c r="E140" s="40" t="str">
        <f>IF($C140="","",IFERROR(VLOOKUP($C140,Orders!$A:$J,3,FALSE),""))</f>
        <v/>
      </c>
      <c r="F140" s="40" t="str">
        <f>IF($C140="","",IFERROR(VLOOKUP($C140,Orders!$A:$J,4,FALSE),""))</f>
        <v/>
      </c>
      <c r="G140" s="40" t="str">
        <f>IF($C140="","",IFERROR(VLOOKUP($C140,Orders!$A:$J,5,FALSE),""))</f>
        <v/>
      </c>
      <c r="H140" s="40" t="str">
        <f>IF($C140="","",IFERROR(VLOOKUP($C140,Orders!$A:$J,6,FALSE),""))</f>
        <v/>
      </c>
      <c r="I140" s="40" t="str">
        <f>IF($C140="","",IFERROR(VLOOKUP($C140,Orders!$A:$J,7,FALSE),""))</f>
        <v/>
      </c>
      <c r="J140" s="40" t="str">
        <f>IF(Bids!$C140="","",Bids!$C140)</f>
        <v/>
      </c>
      <c r="K140" s="40" t="str">
        <f>IF($J140="","",IFERROR(VLOOKUP($J140,Grinders!$A:$N,2,FALSE),""))</f>
        <v/>
      </c>
      <c r="L140" s="40" t="str">
        <f>IF($J140="","",IFERROR(VLOOKUP($J140,Grinders!$A:$N,3,FALSE),""))</f>
        <v/>
      </c>
      <c r="M140" s="40" t="str">
        <f>IF($J140="","",IFERROR(VLOOKUP($J140,Grinders!$A:$N,4,FALSE),""))</f>
        <v/>
      </c>
      <c r="N140" s="40" t="str">
        <f>IF($J140="","",IFERROR(VLOOKUP($J140,Grinders!$A:$N,5,FALSE),""))</f>
        <v/>
      </c>
      <c r="O140" s="40" t="str">
        <f t="shared" si="2"/>
        <v/>
      </c>
      <c r="P140" s="40" t="str">
        <f>IF($J140="","",IFERROR(VLOOKUP($J140,Grinders!$A:$N,6,FALSE),""))</f>
        <v/>
      </c>
      <c r="Q140" s="40" t="str">
        <f>IF($J140="","",IFERROR(VLOOKUP($J140,Grinders!$A:$N,8,FALSE),""))</f>
        <v/>
      </c>
      <c r="R140" s="40" t="str">
        <f>IFERROR(IF($J140="","",IF($L140="Elite",MAX(50,MIN(100,Config!$B$27*MAX(0,MIN(100,(1-IF($O140="",0,$O140))*100)) + Config!$B$28*MAX(0,MIN(100,(1-MIN(1,IF(Config!$B$30=0,1,$P140/Config!$B$30)))*100)) + Config!$B$29*MAX(0,MIN(100,MIN(1,IF($Q140="",0,$Q140)/Config!$B$23)*100)))),MIN(100,Config!$B$27*MAX(0,MIN(100,(1-IF($O140="",0,$O140))*100)) + Config!$B$28*MAX(0,MIN(100,(1-MIN(1,IF(Config!$B$30=0,1,$P140/Config!$B$30)))*100)) + Config!$B$29*MAX(0,MIN(100,MIN(1,IF($Q140="",0,$Q140)/Config!$B$23)*100))))),"")
</f>
        <v/>
      </c>
      <c r="S140" s="40" t="str">
        <f>IF(Bids!$AC140="","",Bids!$AC140)</f>
        <v/>
      </c>
      <c r="T140" s="40" t="str">
        <f>IF(Bids!$F140="","",Bids!$F140)</f>
        <v/>
      </c>
      <c r="U140" s="40" t="str">
        <f t="shared" si="3"/>
        <v/>
      </c>
      <c r="V140" s="40" t="str">
        <f>IF($U140="","",IF(Config!$B$17=Config!$B$16,IF($U140&gt;=Config!$B$17,100,0),MAX(0,MIN(100,($U140-Config!$B$16)/(Config!$B$17-Config!$B$16)*100))))</f>
        <v/>
      </c>
      <c r="W140" s="40">
        <f>IF($L140="Elite",Config!$B$21,0)</f>
        <v>0</v>
      </c>
      <c r="X140" s="40" t="str">
        <f>IFERROR(IF(OR($T140="",$G140=""),"",IF($T140&gt;$G140,
  MAX(0, 60-(($T140-$G140)*24/Config!$B$19)*60),
  MEDIAN(60, 100, 60+(($G140-$T140)*24/Config!$B$20)*40)
)),"")
</f>
        <v/>
      </c>
      <c r="Y140" s="40" t="str">
        <f>IF($J140="","",IFERROR(VLOOKUP($J140,Grinders!$A:$N,10,FALSE),""))</f>
        <v/>
      </c>
      <c r="Z140" s="40" t="str">
        <f>IF($J140="","",IFERROR(VLOOKUP($J140,Grinders!$A:$N,11,FALSE),""))</f>
        <v/>
      </c>
      <c r="AA140" s="40" t="str">
        <f>IF($J140="","",IFERROR(VLOOKUP($J140,Grinders!$A:$N,12,FALSE),""))</f>
        <v/>
      </c>
      <c r="AB140" s="40" t="str">
        <f>IF(OR(AL140=1,AM140=1),0,=IFERROR(IF(OR($C140="",$J140=""),0,IF($D140&lt;&gt;"Open",0,IF(COUNTIFS(GrinderServices!$A:$A,$J140,GrinderServices!$B:$B,$E140,GrinderServices!$D:$D,"Y")=0,0,IF($U140&lt;Config!$B$16,0,IF(Config!$B$18=1,IF($N140&gt;=$M140,0,1),1))))),""))</f>
        <v>#ERROR!</v>
      </c>
      <c r="AC140" s="40" t="str">
        <f>IFERROR((IF(OR(AL140=1,AM140=1),"",=IFERROR((IFERROR(IF($AB140=0,"",((Config!$B$6*$V140 + Config!$B$7*$R140 + Config!$B$8*$W140 + Config!$B$9*$X140 + Config!$B$10*$Y140 + Config!$B$11*$Z140 - Config!$B$12*$AA140)/Config!$B$13)+$AH140+$AI140),""))*(1-IFERROR(VLOOKUP(J140,Grinders!$A:$AB, 28, FALSE),0)),"")))*(1+AO140),"")</f>
        <v>#ERROR!</v>
      </c>
      <c r="AD140" s="40" t="str">
        <f t="shared" si="4"/>
        <v/>
      </c>
      <c r="AE140" s="40" t="str">
        <f>IFERROR(__xludf.DUMMYFUNCTION("IF($AC140="""","""",IF($AC140=IFERROR(MAX(FILTER($AC$6:$AC$1000,$C$6:$C$1000=$C140,$AB$6:$AB$1000=1)),),""WINNER"",""""))"),"#ERROR!")</f>
        <v>#ERROR!</v>
      </c>
      <c r="AF140" s="40" t="str">
        <f t="shared" si="5"/>
        <v/>
      </c>
      <c r="AG140" s="40" t="str">
        <f>IF($J140="","",COUNTIF(Assignments!$B:$B,$J140))</f>
        <v/>
      </c>
      <c r="AH140" s="40" t="str">
        <f>IF($J140="","",IF(AND($AG140=0,$N140&lt;$M140),Config!$B$43,0))</f>
        <v/>
      </c>
      <c r="AI140" s="40" t="str">
        <f>IF($J140="","",IF(AND($L140="Elite",$F140&gt;=Config!$B$41,$N140&lt;$M140),Config!$B$42,0))</f>
        <v/>
      </c>
      <c r="AJ140" s="22"/>
      <c r="AK140" s="39">
        <f>IFERROR(VLOOKUP(J140,Grinders!$A:$Q,28,FALSE),0)</f>
        <v>0</v>
      </c>
      <c r="AL140" s="39">
        <f>IF(Config!$B$1003&lt;&gt;"Y",0,IF(IFERROR(VLOOKUP(J140,Grinders!$A:$P,27,FALSE),0)&gt;=3,IF(OR(F140&gt;=Config!$B$1001,ISNUMBER(SEARCH(E140,Config!$B$1002))),1,0),0))</f>
        <v>0</v>
      </c>
      <c r="AM140" s="39">
        <f t="array" ref="AM140">IFERROR(IF(INDEX(Bids!$AE:$AE,MATCH(B140,Bids!$A:$A,0))="Pending",1,0),0)</f>
        <v>0</v>
      </c>
      <c r="AN140" s="39" t="str">
        <f t="array" ref="AN140">IF(C140="","",IFERROR(XLOOKUP(C140,Assignments!$C:$C,Assignments!$AU:$AU,0),0))</f>
        <v/>
      </c>
      <c r="AO140" s="39">
        <f>IF(AND(Config!$B$1006="Y",AN140=1),Config!$B$1007,0)</f>
        <v>0</v>
      </c>
    </row>
    <row r="141" ht="15.75" customHeight="1">
      <c r="A141" s="46" t="str">
        <f t="shared" si="1"/>
        <v/>
      </c>
      <c r="B141" s="40" t="str">
        <f>IF(Bids!$A141="","",Bids!$A141)</f>
        <v/>
      </c>
      <c r="C141" s="40" t="str">
        <f>IF(Bids!$B141="","",Bids!$B141)</f>
        <v/>
      </c>
      <c r="D141" s="40" t="str">
        <f>IF($C141="","",IFERROR(VLOOKUP($C141,Orders!$A:$J,9,FALSE),""))</f>
        <v/>
      </c>
      <c r="E141" s="40" t="str">
        <f>IF($C141="","",IFERROR(VLOOKUP($C141,Orders!$A:$J,3,FALSE),""))</f>
        <v/>
      </c>
      <c r="F141" s="40" t="str">
        <f>IF($C141="","",IFERROR(VLOOKUP($C141,Orders!$A:$J,4,FALSE),""))</f>
        <v/>
      </c>
      <c r="G141" s="40" t="str">
        <f>IF($C141="","",IFERROR(VLOOKUP($C141,Orders!$A:$J,5,FALSE),""))</f>
        <v/>
      </c>
      <c r="H141" s="40" t="str">
        <f>IF($C141="","",IFERROR(VLOOKUP($C141,Orders!$A:$J,6,FALSE),""))</f>
        <v/>
      </c>
      <c r="I141" s="40" t="str">
        <f>IF($C141="","",IFERROR(VLOOKUP($C141,Orders!$A:$J,7,FALSE),""))</f>
        <v/>
      </c>
      <c r="J141" s="40" t="str">
        <f>IF(Bids!$C141="","",Bids!$C141)</f>
        <v/>
      </c>
      <c r="K141" s="40" t="str">
        <f>IF($J141="","",IFERROR(VLOOKUP($J141,Grinders!$A:$N,2,FALSE),""))</f>
        <v/>
      </c>
      <c r="L141" s="40" t="str">
        <f>IF($J141="","",IFERROR(VLOOKUP($J141,Grinders!$A:$N,3,FALSE),""))</f>
        <v/>
      </c>
      <c r="M141" s="40" t="str">
        <f>IF($J141="","",IFERROR(VLOOKUP($J141,Grinders!$A:$N,4,FALSE),""))</f>
        <v/>
      </c>
      <c r="N141" s="40" t="str">
        <f>IF($J141="","",IFERROR(VLOOKUP($J141,Grinders!$A:$N,5,FALSE),""))</f>
        <v/>
      </c>
      <c r="O141" s="40" t="str">
        <f t="shared" si="2"/>
        <v/>
      </c>
      <c r="P141" s="40" t="str">
        <f>IF($J141="","",IFERROR(VLOOKUP($J141,Grinders!$A:$N,6,FALSE),""))</f>
        <v/>
      </c>
      <c r="Q141" s="40" t="str">
        <f>IF($J141="","",IFERROR(VLOOKUP($J141,Grinders!$A:$N,8,FALSE),""))</f>
        <v/>
      </c>
      <c r="R141" s="40" t="str">
        <f>IFERROR(IF($J141="","",IF($L141="Elite",MAX(50,MIN(100,Config!$B$27*MAX(0,MIN(100,(1-IF($O141="",0,$O141))*100)) + Config!$B$28*MAX(0,MIN(100,(1-MIN(1,IF(Config!$B$30=0,1,$P141/Config!$B$30)))*100)) + Config!$B$29*MAX(0,MIN(100,MIN(1,IF($Q141="",0,$Q141)/Config!$B$23)*100)))),MIN(100,Config!$B$27*MAX(0,MIN(100,(1-IF($O141="",0,$O141))*100)) + Config!$B$28*MAX(0,MIN(100,(1-MIN(1,IF(Config!$B$30=0,1,$P141/Config!$B$30)))*100)) + Config!$B$29*MAX(0,MIN(100,MIN(1,IF($Q141="",0,$Q141)/Config!$B$23)*100))))),"")
</f>
        <v/>
      </c>
      <c r="S141" s="40" t="str">
        <f>IF(Bids!$AC141="","",Bids!$AC141)</f>
        <v/>
      </c>
      <c r="T141" s="40" t="str">
        <f>IF(Bids!$F141="","",Bids!$F141)</f>
        <v/>
      </c>
      <c r="U141" s="40" t="str">
        <f t="shared" si="3"/>
        <v/>
      </c>
      <c r="V141" s="40" t="str">
        <f>IF($U141="","",IF(Config!$B$17=Config!$B$16,IF($U141&gt;=Config!$B$17,100,0),MAX(0,MIN(100,($U141-Config!$B$16)/(Config!$B$17-Config!$B$16)*100))))</f>
        <v/>
      </c>
      <c r="W141" s="40">
        <f>IF($L141="Elite",Config!$B$21,0)</f>
        <v>0</v>
      </c>
      <c r="X141" s="40" t="str">
        <f>IFERROR(IF(OR($T141="",$G141=""),"",IF($T141&gt;$G141,
  MAX(0, 60-(($T141-$G141)*24/Config!$B$19)*60),
  MEDIAN(60, 100, 60+(($G141-$T141)*24/Config!$B$20)*40)
)),"")
</f>
        <v/>
      </c>
      <c r="Y141" s="40" t="str">
        <f>IF($J141="","",IFERROR(VLOOKUP($J141,Grinders!$A:$N,10,FALSE),""))</f>
        <v/>
      </c>
      <c r="Z141" s="40" t="str">
        <f>IF($J141="","",IFERROR(VLOOKUP($J141,Grinders!$A:$N,11,FALSE),""))</f>
        <v/>
      </c>
      <c r="AA141" s="40" t="str">
        <f>IF($J141="","",IFERROR(VLOOKUP($J141,Grinders!$A:$N,12,FALSE),""))</f>
        <v/>
      </c>
      <c r="AB141" s="40" t="str">
        <f>IF(OR(AL141=1,AM141=1),0,=IFERROR(IF(OR($C141="",$J141=""),0,IF($D141&lt;&gt;"Open",0,IF(COUNTIFS(GrinderServices!$A:$A,$J141,GrinderServices!$B:$B,$E141,GrinderServices!$D:$D,"Y")=0,0,IF($U141&lt;Config!$B$16,0,IF(Config!$B$18=1,IF($N141&gt;=$M141,0,1),1))))),""))</f>
        <v>#ERROR!</v>
      </c>
      <c r="AC141" s="40" t="str">
        <f>IFERROR((IF(OR(AL141=1,AM141=1),"",=IFERROR((IFERROR(IF($AB141=0,"",((Config!$B$6*$V141 + Config!$B$7*$R141 + Config!$B$8*$W141 + Config!$B$9*$X141 + Config!$B$10*$Y141 + Config!$B$11*$Z141 - Config!$B$12*$AA141)/Config!$B$13)+$AH141+$AI141),""))*(1-IFERROR(VLOOKUP(J141,Grinders!$A:$AB, 28, FALSE),0)),"")))*(1+AO141),"")</f>
        <v>#ERROR!</v>
      </c>
      <c r="AD141" s="40" t="str">
        <f t="shared" si="4"/>
        <v/>
      </c>
      <c r="AE141" s="40" t="str">
        <f>IFERROR(__xludf.DUMMYFUNCTION("IF($AC141="""","""",IF($AC141=IFERROR(MAX(FILTER($AC$6:$AC$1000,$C$6:$C$1000=$C141,$AB$6:$AB$1000=1)),),""WINNER"",""""))"),"#ERROR!")</f>
        <v>#ERROR!</v>
      </c>
      <c r="AF141" s="40" t="str">
        <f t="shared" si="5"/>
        <v/>
      </c>
      <c r="AG141" s="40" t="str">
        <f>IF($J141="","",COUNTIF(Assignments!$B:$B,$J141))</f>
        <v/>
      </c>
      <c r="AH141" s="40" t="str">
        <f>IF($J141="","",IF(AND($AG141=0,$N141&lt;$M141),Config!$B$43,0))</f>
        <v/>
      </c>
      <c r="AI141" s="40" t="str">
        <f>IF($J141="","",IF(AND($L141="Elite",$F141&gt;=Config!$B$41,$N141&lt;$M141),Config!$B$42,0))</f>
        <v/>
      </c>
      <c r="AJ141" s="22"/>
      <c r="AK141" s="39">
        <f>IFERROR(VLOOKUP(J141,Grinders!$A:$Q,28,FALSE),0)</f>
        <v>0</v>
      </c>
      <c r="AL141" s="39">
        <f>IF(Config!$B$1003&lt;&gt;"Y",0,IF(IFERROR(VLOOKUP(J141,Grinders!$A:$P,27,FALSE),0)&gt;=3,IF(OR(F141&gt;=Config!$B$1001,ISNUMBER(SEARCH(E141,Config!$B$1002))),1,0),0))</f>
        <v>0</v>
      </c>
      <c r="AM141" s="39">
        <f t="array" ref="AM141">IFERROR(IF(INDEX(Bids!$AE:$AE,MATCH(B141,Bids!$A:$A,0))="Pending",1,0),0)</f>
        <v>0</v>
      </c>
      <c r="AN141" s="39" t="str">
        <f t="array" ref="AN141">IF(C141="","",IFERROR(XLOOKUP(C141,Assignments!$C:$C,Assignments!$AU:$AU,0),0))</f>
        <v/>
      </c>
      <c r="AO141" s="39">
        <f>IF(AND(Config!$B$1006="Y",AN141=1),Config!$B$1007,0)</f>
        <v>0</v>
      </c>
    </row>
    <row r="142" ht="15.75" customHeight="1">
      <c r="A142" s="46" t="str">
        <f t="shared" si="1"/>
        <v/>
      </c>
      <c r="B142" s="40" t="str">
        <f>IF(Bids!$A142="","",Bids!$A142)</f>
        <v/>
      </c>
      <c r="C142" s="40" t="str">
        <f>IF(Bids!$B142="","",Bids!$B142)</f>
        <v/>
      </c>
      <c r="D142" s="40" t="str">
        <f>IF($C142="","",IFERROR(VLOOKUP($C142,Orders!$A:$J,9,FALSE),""))</f>
        <v/>
      </c>
      <c r="E142" s="40" t="str">
        <f>IF($C142="","",IFERROR(VLOOKUP($C142,Orders!$A:$J,3,FALSE),""))</f>
        <v/>
      </c>
      <c r="F142" s="40" t="str">
        <f>IF($C142="","",IFERROR(VLOOKUP($C142,Orders!$A:$J,4,FALSE),""))</f>
        <v/>
      </c>
      <c r="G142" s="40" t="str">
        <f>IF($C142="","",IFERROR(VLOOKUP($C142,Orders!$A:$J,5,FALSE),""))</f>
        <v/>
      </c>
      <c r="H142" s="40" t="str">
        <f>IF($C142="","",IFERROR(VLOOKUP($C142,Orders!$A:$J,6,FALSE),""))</f>
        <v/>
      </c>
      <c r="I142" s="40" t="str">
        <f>IF($C142="","",IFERROR(VLOOKUP($C142,Orders!$A:$J,7,FALSE),""))</f>
        <v/>
      </c>
      <c r="J142" s="40" t="str">
        <f>IF(Bids!$C142="","",Bids!$C142)</f>
        <v/>
      </c>
      <c r="K142" s="40" t="str">
        <f>IF($J142="","",IFERROR(VLOOKUP($J142,Grinders!$A:$N,2,FALSE),""))</f>
        <v/>
      </c>
      <c r="L142" s="40" t="str">
        <f>IF($J142="","",IFERROR(VLOOKUP($J142,Grinders!$A:$N,3,FALSE),""))</f>
        <v/>
      </c>
      <c r="M142" s="40" t="str">
        <f>IF($J142="","",IFERROR(VLOOKUP($J142,Grinders!$A:$N,4,FALSE),""))</f>
        <v/>
      </c>
      <c r="N142" s="40" t="str">
        <f>IF($J142="","",IFERROR(VLOOKUP($J142,Grinders!$A:$N,5,FALSE),""))</f>
        <v/>
      </c>
      <c r="O142" s="40" t="str">
        <f t="shared" si="2"/>
        <v/>
      </c>
      <c r="P142" s="40" t="str">
        <f>IF($J142="","",IFERROR(VLOOKUP($J142,Grinders!$A:$N,6,FALSE),""))</f>
        <v/>
      </c>
      <c r="Q142" s="40" t="str">
        <f>IF($J142="","",IFERROR(VLOOKUP($J142,Grinders!$A:$N,8,FALSE),""))</f>
        <v/>
      </c>
      <c r="R142" s="40" t="str">
        <f>IFERROR(IF($J142="","",IF($L142="Elite",MAX(50,MIN(100,Config!$B$27*MAX(0,MIN(100,(1-IF($O142="",0,$O142))*100)) + Config!$B$28*MAX(0,MIN(100,(1-MIN(1,IF(Config!$B$30=0,1,$P142/Config!$B$30)))*100)) + Config!$B$29*MAX(0,MIN(100,MIN(1,IF($Q142="",0,$Q142)/Config!$B$23)*100)))),MIN(100,Config!$B$27*MAX(0,MIN(100,(1-IF($O142="",0,$O142))*100)) + Config!$B$28*MAX(0,MIN(100,(1-MIN(1,IF(Config!$B$30=0,1,$P142/Config!$B$30)))*100)) + Config!$B$29*MAX(0,MIN(100,MIN(1,IF($Q142="",0,$Q142)/Config!$B$23)*100))))),"")
</f>
        <v/>
      </c>
      <c r="S142" s="40" t="str">
        <f>IF(Bids!$AC142="","",Bids!$AC142)</f>
        <v/>
      </c>
      <c r="T142" s="40" t="str">
        <f>IF(Bids!$F142="","",Bids!$F142)</f>
        <v/>
      </c>
      <c r="U142" s="40" t="str">
        <f t="shared" si="3"/>
        <v/>
      </c>
      <c r="V142" s="40" t="str">
        <f>IF($U142="","",IF(Config!$B$17=Config!$B$16,IF($U142&gt;=Config!$B$17,100,0),MAX(0,MIN(100,($U142-Config!$B$16)/(Config!$B$17-Config!$B$16)*100))))</f>
        <v/>
      </c>
      <c r="W142" s="40">
        <f>IF($L142="Elite",Config!$B$21,0)</f>
        <v>0</v>
      </c>
      <c r="X142" s="40" t="str">
        <f>IFERROR(IF(OR($T142="",$G142=""),"",IF($T142&gt;$G142,
  MAX(0, 60-(($T142-$G142)*24/Config!$B$19)*60),
  MEDIAN(60, 100, 60+(($G142-$T142)*24/Config!$B$20)*40)
)),"")
</f>
        <v/>
      </c>
      <c r="Y142" s="40" t="str">
        <f>IF($J142="","",IFERROR(VLOOKUP($J142,Grinders!$A:$N,10,FALSE),""))</f>
        <v/>
      </c>
      <c r="Z142" s="40" t="str">
        <f>IF($J142="","",IFERROR(VLOOKUP($J142,Grinders!$A:$N,11,FALSE),""))</f>
        <v/>
      </c>
      <c r="AA142" s="40" t="str">
        <f>IF($J142="","",IFERROR(VLOOKUP($J142,Grinders!$A:$N,12,FALSE),""))</f>
        <v/>
      </c>
      <c r="AB142" s="40" t="str">
        <f>IF(OR(AL142=1,AM142=1),0,=IFERROR(IF(OR($C142="",$J142=""),0,IF($D142&lt;&gt;"Open",0,IF(COUNTIFS(GrinderServices!$A:$A,$J142,GrinderServices!$B:$B,$E142,GrinderServices!$D:$D,"Y")=0,0,IF($U142&lt;Config!$B$16,0,IF(Config!$B$18=1,IF($N142&gt;=$M142,0,1),1))))),""))</f>
        <v>#ERROR!</v>
      </c>
      <c r="AC142" s="40" t="str">
        <f>IFERROR((IF(OR(AL142=1,AM142=1),"",=IFERROR((IFERROR(IF($AB142=0,"",((Config!$B$6*$V142 + Config!$B$7*$R142 + Config!$B$8*$W142 + Config!$B$9*$X142 + Config!$B$10*$Y142 + Config!$B$11*$Z142 - Config!$B$12*$AA142)/Config!$B$13)+$AH142+$AI142),""))*(1-IFERROR(VLOOKUP(J142,Grinders!$A:$AB, 28, FALSE),0)),"")))*(1+AO142),"")</f>
        <v>#ERROR!</v>
      </c>
      <c r="AD142" s="40" t="str">
        <f t="shared" si="4"/>
        <v/>
      </c>
      <c r="AE142" s="40" t="str">
        <f>IFERROR(__xludf.DUMMYFUNCTION("IF($AC142="""","""",IF($AC142=IFERROR(MAX(FILTER($AC$6:$AC$1000,$C$6:$C$1000=$C142,$AB$6:$AB$1000=1)),),""WINNER"",""""))"),"#ERROR!")</f>
        <v>#ERROR!</v>
      </c>
      <c r="AF142" s="40" t="str">
        <f t="shared" si="5"/>
        <v/>
      </c>
      <c r="AG142" s="40" t="str">
        <f>IF($J142="","",COUNTIF(Assignments!$B:$B,$J142))</f>
        <v/>
      </c>
      <c r="AH142" s="40" t="str">
        <f>IF($J142="","",IF(AND($AG142=0,$N142&lt;$M142),Config!$B$43,0))</f>
        <v/>
      </c>
      <c r="AI142" s="40" t="str">
        <f>IF($J142="","",IF(AND($L142="Elite",$F142&gt;=Config!$B$41,$N142&lt;$M142),Config!$B$42,0))</f>
        <v/>
      </c>
      <c r="AJ142" s="22"/>
      <c r="AK142" s="39">
        <f>IFERROR(VLOOKUP(J142,Grinders!$A:$Q,28,FALSE),0)</f>
        <v>0</v>
      </c>
      <c r="AL142" s="39">
        <f>IF(Config!$B$1003&lt;&gt;"Y",0,IF(IFERROR(VLOOKUP(J142,Grinders!$A:$P,27,FALSE),0)&gt;=3,IF(OR(F142&gt;=Config!$B$1001,ISNUMBER(SEARCH(E142,Config!$B$1002))),1,0),0))</f>
        <v>0</v>
      </c>
      <c r="AM142" s="39">
        <f t="array" ref="AM142">IFERROR(IF(INDEX(Bids!$AE:$AE,MATCH(B142,Bids!$A:$A,0))="Pending",1,0),0)</f>
        <v>0</v>
      </c>
      <c r="AN142" s="39" t="str">
        <f t="array" ref="AN142">IF(C142="","",IFERROR(XLOOKUP(C142,Assignments!$C:$C,Assignments!$AU:$AU,0),0))</f>
        <v/>
      </c>
      <c r="AO142" s="39">
        <f>IF(AND(Config!$B$1006="Y",AN142=1),Config!$B$1007,0)</f>
        <v>0</v>
      </c>
    </row>
    <row r="143" ht="15.75" customHeight="1">
      <c r="A143" s="46" t="str">
        <f t="shared" si="1"/>
        <v/>
      </c>
      <c r="B143" s="40" t="str">
        <f>IF(Bids!$A143="","",Bids!$A143)</f>
        <v/>
      </c>
      <c r="C143" s="40" t="str">
        <f>IF(Bids!$B143="","",Bids!$B143)</f>
        <v/>
      </c>
      <c r="D143" s="40" t="str">
        <f>IF($C143="","",IFERROR(VLOOKUP($C143,Orders!$A:$J,9,FALSE),""))</f>
        <v/>
      </c>
      <c r="E143" s="40" t="str">
        <f>IF($C143="","",IFERROR(VLOOKUP($C143,Orders!$A:$J,3,FALSE),""))</f>
        <v/>
      </c>
      <c r="F143" s="40" t="str">
        <f>IF($C143="","",IFERROR(VLOOKUP($C143,Orders!$A:$J,4,FALSE),""))</f>
        <v/>
      </c>
      <c r="G143" s="40" t="str">
        <f>IF($C143="","",IFERROR(VLOOKUP($C143,Orders!$A:$J,5,FALSE),""))</f>
        <v/>
      </c>
      <c r="H143" s="40" t="str">
        <f>IF($C143="","",IFERROR(VLOOKUP($C143,Orders!$A:$J,6,FALSE),""))</f>
        <v/>
      </c>
      <c r="I143" s="40" t="str">
        <f>IF($C143="","",IFERROR(VLOOKUP($C143,Orders!$A:$J,7,FALSE),""))</f>
        <v/>
      </c>
      <c r="J143" s="40" t="str">
        <f>IF(Bids!$C143="","",Bids!$C143)</f>
        <v/>
      </c>
      <c r="K143" s="40" t="str">
        <f>IF($J143="","",IFERROR(VLOOKUP($J143,Grinders!$A:$N,2,FALSE),""))</f>
        <v/>
      </c>
      <c r="L143" s="40" t="str">
        <f>IF($J143="","",IFERROR(VLOOKUP($J143,Grinders!$A:$N,3,FALSE),""))</f>
        <v/>
      </c>
      <c r="M143" s="40" t="str">
        <f>IF($J143="","",IFERROR(VLOOKUP($J143,Grinders!$A:$N,4,FALSE),""))</f>
        <v/>
      </c>
      <c r="N143" s="40" t="str">
        <f>IF($J143="","",IFERROR(VLOOKUP($J143,Grinders!$A:$N,5,FALSE),""))</f>
        <v/>
      </c>
      <c r="O143" s="40" t="str">
        <f t="shared" si="2"/>
        <v/>
      </c>
      <c r="P143" s="40" t="str">
        <f>IF($J143="","",IFERROR(VLOOKUP($J143,Grinders!$A:$N,6,FALSE),""))</f>
        <v/>
      </c>
      <c r="Q143" s="40" t="str">
        <f>IF($J143="","",IFERROR(VLOOKUP($J143,Grinders!$A:$N,8,FALSE),""))</f>
        <v/>
      </c>
      <c r="R143" s="40" t="str">
        <f>IFERROR(IF($J143="","",IF($L143="Elite",MAX(50,MIN(100,Config!$B$27*MAX(0,MIN(100,(1-IF($O143="",0,$O143))*100)) + Config!$B$28*MAX(0,MIN(100,(1-MIN(1,IF(Config!$B$30=0,1,$P143/Config!$B$30)))*100)) + Config!$B$29*MAX(0,MIN(100,MIN(1,IF($Q143="",0,$Q143)/Config!$B$23)*100)))),MIN(100,Config!$B$27*MAX(0,MIN(100,(1-IF($O143="",0,$O143))*100)) + Config!$B$28*MAX(0,MIN(100,(1-MIN(1,IF(Config!$B$30=0,1,$P143/Config!$B$30)))*100)) + Config!$B$29*MAX(0,MIN(100,MIN(1,IF($Q143="",0,$Q143)/Config!$B$23)*100))))),"")
</f>
        <v/>
      </c>
      <c r="S143" s="40" t="str">
        <f>IF(Bids!$AC143="","",Bids!$AC143)</f>
        <v/>
      </c>
      <c r="T143" s="40" t="str">
        <f>IF(Bids!$F143="","",Bids!$F143)</f>
        <v/>
      </c>
      <c r="U143" s="40" t="str">
        <f t="shared" si="3"/>
        <v/>
      </c>
      <c r="V143" s="40" t="str">
        <f>IF($U143="","",IF(Config!$B$17=Config!$B$16,IF($U143&gt;=Config!$B$17,100,0),MAX(0,MIN(100,($U143-Config!$B$16)/(Config!$B$17-Config!$B$16)*100))))</f>
        <v/>
      </c>
      <c r="W143" s="40">
        <f>IF($L143="Elite",Config!$B$21,0)</f>
        <v>0</v>
      </c>
      <c r="X143" s="40" t="str">
        <f>IFERROR(IF(OR($T143="",$G143=""),"",IF($T143&gt;$G143,
  MAX(0, 60-(($T143-$G143)*24/Config!$B$19)*60),
  MEDIAN(60, 100, 60+(($G143-$T143)*24/Config!$B$20)*40)
)),"")
</f>
        <v/>
      </c>
      <c r="Y143" s="40" t="str">
        <f>IF($J143="","",IFERROR(VLOOKUP($J143,Grinders!$A:$N,10,FALSE),""))</f>
        <v/>
      </c>
      <c r="Z143" s="40" t="str">
        <f>IF($J143="","",IFERROR(VLOOKUP($J143,Grinders!$A:$N,11,FALSE),""))</f>
        <v/>
      </c>
      <c r="AA143" s="40" t="str">
        <f>IF($J143="","",IFERROR(VLOOKUP($J143,Grinders!$A:$N,12,FALSE),""))</f>
        <v/>
      </c>
      <c r="AB143" s="40" t="str">
        <f>IF(OR(AL143=1,AM143=1),0,=IFERROR(IF(OR($C143="",$J143=""),0,IF($D143&lt;&gt;"Open",0,IF(COUNTIFS(GrinderServices!$A:$A,$J143,GrinderServices!$B:$B,$E143,GrinderServices!$D:$D,"Y")=0,0,IF($U143&lt;Config!$B$16,0,IF(Config!$B$18=1,IF($N143&gt;=$M143,0,1),1))))),""))</f>
        <v>#ERROR!</v>
      </c>
      <c r="AC143" s="40" t="str">
        <f>IFERROR((IF(OR(AL143=1,AM143=1),"",=IFERROR((IFERROR(IF($AB143=0,"",((Config!$B$6*$V143 + Config!$B$7*$R143 + Config!$B$8*$W143 + Config!$B$9*$X143 + Config!$B$10*$Y143 + Config!$B$11*$Z143 - Config!$B$12*$AA143)/Config!$B$13)+$AH143+$AI143),""))*(1-IFERROR(VLOOKUP(J143,Grinders!$A:$AB, 28, FALSE),0)),"")))*(1+AO143),"")</f>
        <v>#ERROR!</v>
      </c>
      <c r="AD143" s="40" t="str">
        <f t="shared" si="4"/>
        <v/>
      </c>
      <c r="AE143" s="40" t="str">
        <f>IFERROR(__xludf.DUMMYFUNCTION("IF($AC143="""","""",IF($AC143=IFERROR(MAX(FILTER($AC$6:$AC$1000,$C$6:$C$1000=$C143,$AB$6:$AB$1000=1)),),""WINNER"",""""))"),"#ERROR!")</f>
        <v>#ERROR!</v>
      </c>
      <c r="AF143" s="40" t="str">
        <f t="shared" si="5"/>
        <v/>
      </c>
      <c r="AG143" s="40" t="str">
        <f>IF($J143="","",COUNTIF(Assignments!$B:$B,$J143))</f>
        <v/>
      </c>
      <c r="AH143" s="40" t="str">
        <f>IF($J143="","",IF(AND($AG143=0,$N143&lt;$M143),Config!$B$43,0))</f>
        <v/>
      </c>
      <c r="AI143" s="40" t="str">
        <f>IF($J143="","",IF(AND($L143="Elite",$F143&gt;=Config!$B$41,$N143&lt;$M143),Config!$B$42,0))</f>
        <v/>
      </c>
      <c r="AJ143" s="22"/>
      <c r="AK143" s="39">
        <f>IFERROR(VLOOKUP(J143,Grinders!$A:$Q,28,FALSE),0)</f>
        <v>0</v>
      </c>
      <c r="AL143" s="39">
        <f>IF(Config!$B$1003&lt;&gt;"Y",0,IF(IFERROR(VLOOKUP(J143,Grinders!$A:$P,27,FALSE),0)&gt;=3,IF(OR(F143&gt;=Config!$B$1001,ISNUMBER(SEARCH(E143,Config!$B$1002))),1,0),0))</f>
        <v>0</v>
      </c>
      <c r="AM143" s="39">
        <f t="array" ref="AM143">IFERROR(IF(INDEX(Bids!$AE:$AE,MATCH(B143,Bids!$A:$A,0))="Pending",1,0),0)</f>
        <v>0</v>
      </c>
      <c r="AN143" s="39" t="str">
        <f t="array" ref="AN143">IF(C143="","",IFERROR(XLOOKUP(C143,Assignments!$C:$C,Assignments!$AU:$AU,0),0))</f>
        <v/>
      </c>
      <c r="AO143" s="39">
        <f>IF(AND(Config!$B$1006="Y",AN143=1),Config!$B$1007,0)</f>
        <v>0</v>
      </c>
    </row>
    <row r="144" ht="15.75" customHeight="1">
      <c r="A144" s="46" t="str">
        <f t="shared" si="1"/>
        <v/>
      </c>
      <c r="B144" s="40" t="str">
        <f>IF(Bids!$A144="","",Bids!$A144)</f>
        <v/>
      </c>
      <c r="C144" s="40" t="str">
        <f>IF(Bids!$B144="","",Bids!$B144)</f>
        <v/>
      </c>
      <c r="D144" s="40" t="str">
        <f>IF($C144="","",IFERROR(VLOOKUP($C144,Orders!$A:$J,9,FALSE),""))</f>
        <v/>
      </c>
      <c r="E144" s="40" t="str">
        <f>IF($C144="","",IFERROR(VLOOKUP($C144,Orders!$A:$J,3,FALSE),""))</f>
        <v/>
      </c>
      <c r="F144" s="40" t="str">
        <f>IF($C144="","",IFERROR(VLOOKUP($C144,Orders!$A:$J,4,FALSE),""))</f>
        <v/>
      </c>
      <c r="G144" s="40" t="str">
        <f>IF($C144="","",IFERROR(VLOOKUP($C144,Orders!$A:$J,5,FALSE),""))</f>
        <v/>
      </c>
      <c r="H144" s="40" t="str">
        <f>IF($C144="","",IFERROR(VLOOKUP($C144,Orders!$A:$J,6,FALSE),""))</f>
        <v/>
      </c>
      <c r="I144" s="40" t="str">
        <f>IF($C144="","",IFERROR(VLOOKUP($C144,Orders!$A:$J,7,FALSE),""))</f>
        <v/>
      </c>
      <c r="J144" s="40" t="str">
        <f>IF(Bids!$C144="","",Bids!$C144)</f>
        <v/>
      </c>
      <c r="K144" s="40" t="str">
        <f>IF($J144="","",IFERROR(VLOOKUP($J144,Grinders!$A:$N,2,FALSE),""))</f>
        <v/>
      </c>
      <c r="L144" s="40" t="str">
        <f>IF($J144="","",IFERROR(VLOOKUP($J144,Grinders!$A:$N,3,FALSE),""))</f>
        <v/>
      </c>
      <c r="M144" s="40" t="str">
        <f>IF($J144="","",IFERROR(VLOOKUP($J144,Grinders!$A:$N,4,FALSE),""))</f>
        <v/>
      </c>
      <c r="N144" s="40" t="str">
        <f>IF($J144="","",IFERROR(VLOOKUP($J144,Grinders!$A:$N,5,FALSE),""))</f>
        <v/>
      </c>
      <c r="O144" s="40" t="str">
        <f t="shared" si="2"/>
        <v/>
      </c>
      <c r="P144" s="40" t="str">
        <f>IF($J144="","",IFERROR(VLOOKUP($J144,Grinders!$A:$N,6,FALSE),""))</f>
        <v/>
      </c>
      <c r="Q144" s="40" t="str">
        <f>IF($J144="","",IFERROR(VLOOKUP($J144,Grinders!$A:$N,8,FALSE),""))</f>
        <v/>
      </c>
      <c r="R144" s="40" t="str">
        <f>IFERROR(IF($J144="","",IF($L144="Elite",MAX(50,MIN(100,Config!$B$27*MAX(0,MIN(100,(1-IF($O144="",0,$O144))*100)) + Config!$B$28*MAX(0,MIN(100,(1-MIN(1,IF(Config!$B$30=0,1,$P144/Config!$B$30)))*100)) + Config!$B$29*MAX(0,MIN(100,MIN(1,IF($Q144="",0,$Q144)/Config!$B$23)*100)))),MIN(100,Config!$B$27*MAX(0,MIN(100,(1-IF($O144="",0,$O144))*100)) + Config!$B$28*MAX(0,MIN(100,(1-MIN(1,IF(Config!$B$30=0,1,$P144/Config!$B$30)))*100)) + Config!$B$29*MAX(0,MIN(100,MIN(1,IF($Q144="",0,$Q144)/Config!$B$23)*100))))),"")
</f>
        <v/>
      </c>
      <c r="S144" s="40" t="str">
        <f>IF(Bids!$AC144="","",Bids!$AC144)</f>
        <v/>
      </c>
      <c r="T144" s="40" t="str">
        <f>IF(Bids!$F144="","",Bids!$F144)</f>
        <v/>
      </c>
      <c r="U144" s="40" t="str">
        <f t="shared" si="3"/>
        <v/>
      </c>
      <c r="V144" s="40" t="str">
        <f>IF($U144="","",IF(Config!$B$17=Config!$B$16,IF($U144&gt;=Config!$B$17,100,0),MAX(0,MIN(100,($U144-Config!$B$16)/(Config!$B$17-Config!$B$16)*100))))</f>
        <v/>
      </c>
      <c r="W144" s="40">
        <f>IF($L144="Elite",Config!$B$21,0)</f>
        <v>0</v>
      </c>
      <c r="X144" s="40" t="str">
        <f>IFERROR(IF(OR($T144="",$G144=""),"",IF($T144&gt;$G144,
  MAX(0, 60-(($T144-$G144)*24/Config!$B$19)*60),
  MEDIAN(60, 100, 60+(($G144-$T144)*24/Config!$B$20)*40)
)),"")
</f>
        <v/>
      </c>
      <c r="Y144" s="40" t="str">
        <f>IF($J144="","",IFERROR(VLOOKUP($J144,Grinders!$A:$N,10,FALSE),""))</f>
        <v/>
      </c>
      <c r="Z144" s="40" t="str">
        <f>IF($J144="","",IFERROR(VLOOKUP($J144,Grinders!$A:$N,11,FALSE),""))</f>
        <v/>
      </c>
      <c r="AA144" s="40" t="str">
        <f>IF($J144="","",IFERROR(VLOOKUP($J144,Grinders!$A:$N,12,FALSE),""))</f>
        <v/>
      </c>
      <c r="AB144" s="40" t="str">
        <f>IF(OR(AL144=1,AM144=1),0,=IFERROR(IF(OR($C144="",$J144=""),0,IF($D144&lt;&gt;"Open",0,IF(COUNTIFS(GrinderServices!$A:$A,$J144,GrinderServices!$B:$B,$E144,GrinderServices!$D:$D,"Y")=0,0,IF($U144&lt;Config!$B$16,0,IF(Config!$B$18=1,IF($N144&gt;=$M144,0,1),1))))),""))</f>
        <v>#ERROR!</v>
      </c>
      <c r="AC144" s="40" t="str">
        <f>IFERROR((IF(OR(AL144=1,AM144=1),"",=IFERROR((IFERROR(IF($AB144=0,"",((Config!$B$6*$V144 + Config!$B$7*$R144 + Config!$B$8*$W144 + Config!$B$9*$X144 + Config!$B$10*$Y144 + Config!$B$11*$Z144 - Config!$B$12*$AA144)/Config!$B$13)+$AH144+$AI144),""))*(1-IFERROR(VLOOKUP(J144,Grinders!$A:$AB, 28, FALSE),0)),"")))*(1+AO144),"")</f>
        <v>#ERROR!</v>
      </c>
      <c r="AD144" s="40" t="str">
        <f t="shared" si="4"/>
        <v/>
      </c>
      <c r="AE144" s="40" t="str">
        <f>IFERROR(__xludf.DUMMYFUNCTION("IF($AC144="""","""",IF($AC144=IFERROR(MAX(FILTER($AC$6:$AC$1000,$C$6:$C$1000=$C144,$AB$6:$AB$1000=1)),),""WINNER"",""""))"),"#ERROR!")</f>
        <v>#ERROR!</v>
      </c>
      <c r="AF144" s="40" t="str">
        <f t="shared" si="5"/>
        <v/>
      </c>
      <c r="AG144" s="40" t="str">
        <f>IF($J144="","",COUNTIF(Assignments!$B:$B,$J144))</f>
        <v/>
      </c>
      <c r="AH144" s="40" t="str">
        <f>IF($J144="","",IF(AND($AG144=0,$N144&lt;$M144),Config!$B$43,0))</f>
        <v/>
      </c>
      <c r="AI144" s="40" t="str">
        <f>IF($J144="","",IF(AND($L144="Elite",$F144&gt;=Config!$B$41,$N144&lt;$M144),Config!$B$42,0))</f>
        <v/>
      </c>
      <c r="AJ144" s="22"/>
      <c r="AK144" s="39">
        <f>IFERROR(VLOOKUP(J144,Grinders!$A:$Q,28,FALSE),0)</f>
        <v>0</v>
      </c>
      <c r="AL144" s="39">
        <f>IF(Config!$B$1003&lt;&gt;"Y",0,IF(IFERROR(VLOOKUP(J144,Grinders!$A:$P,27,FALSE),0)&gt;=3,IF(OR(F144&gt;=Config!$B$1001,ISNUMBER(SEARCH(E144,Config!$B$1002))),1,0),0))</f>
        <v>0</v>
      </c>
      <c r="AM144" s="39">
        <f t="array" ref="AM144">IFERROR(IF(INDEX(Bids!$AE:$AE,MATCH(B144,Bids!$A:$A,0))="Pending",1,0),0)</f>
        <v>0</v>
      </c>
      <c r="AN144" s="39" t="str">
        <f t="array" ref="AN144">IF(C144="","",IFERROR(XLOOKUP(C144,Assignments!$C:$C,Assignments!$AU:$AU,0),0))</f>
        <v/>
      </c>
      <c r="AO144" s="39">
        <f>IF(AND(Config!$B$1006="Y",AN144=1),Config!$B$1007,0)</f>
        <v>0</v>
      </c>
    </row>
    <row r="145" ht="15.75" customHeight="1">
      <c r="A145" s="46" t="str">
        <f t="shared" si="1"/>
        <v/>
      </c>
      <c r="B145" s="40" t="str">
        <f>IF(Bids!$A145="","",Bids!$A145)</f>
        <v/>
      </c>
      <c r="C145" s="40" t="str">
        <f>IF(Bids!$B145="","",Bids!$B145)</f>
        <v/>
      </c>
      <c r="D145" s="40" t="str">
        <f>IF($C145="","",IFERROR(VLOOKUP($C145,Orders!$A:$J,9,FALSE),""))</f>
        <v/>
      </c>
      <c r="E145" s="40" t="str">
        <f>IF($C145="","",IFERROR(VLOOKUP($C145,Orders!$A:$J,3,FALSE),""))</f>
        <v/>
      </c>
      <c r="F145" s="40" t="str">
        <f>IF($C145="","",IFERROR(VLOOKUP($C145,Orders!$A:$J,4,FALSE),""))</f>
        <v/>
      </c>
      <c r="G145" s="40" t="str">
        <f>IF($C145="","",IFERROR(VLOOKUP($C145,Orders!$A:$J,5,FALSE),""))</f>
        <v/>
      </c>
      <c r="H145" s="40" t="str">
        <f>IF($C145="","",IFERROR(VLOOKUP($C145,Orders!$A:$J,6,FALSE),""))</f>
        <v/>
      </c>
      <c r="I145" s="40" t="str">
        <f>IF($C145="","",IFERROR(VLOOKUP($C145,Orders!$A:$J,7,FALSE),""))</f>
        <v/>
      </c>
      <c r="J145" s="40" t="str">
        <f>IF(Bids!$C145="","",Bids!$C145)</f>
        <v/>
      </c>
      <c r="K145" s="40" t="str">
        <f>IF($J145="","",IFERROR(VLOOKUP($J145,Grinders!$A:$N,2,FALSE),""))</f>
        <v/>
      </c>
      <c r="L145" s="40" t="str">
        <f>IF($J145="","",IFERROR(VLOOKUP($J145,Grinders!$A:$N,3,FALSE),""))</f>
        <v/>
      </c>
      <c r="M145" s="40" t="str">
        <f>IF($J145="","",IFERROR(VLOOKUP($J145,Grinders!$A:$N,4,FALSE),""))</f>
        <v/>
      </c>
      <c r="N145" s="40" t="str">
        <f>IF($J145="","",IFERROR(VLOOKUP($J145,Grinders!$A:$N,5,FALSE),""))</f>
        <v/>
      </c>
      <c r="O145" s="40" t="str">
        <f t="shared" si="2"/>
        <v/>
      </c>
      <c r="P145" s="40" t="str">
        <f>IF($J145="","",IFERROR(VLOOKUP($J145,Grinders!$A:$N,6,FALSE),""))</f>
        <v/>
      </c>
      <c r="Q145" s="40" t="str">
        <f>IF($J145="","",IFERROR(VLOOKUP($J145,Grinders!$A:$N,8,FALSE),""))</f>
        <v/>
      </c>
      <c r="R145" s="40" t="str">
        <f>IFERROR(IF($J145="","",IF($L145="Elite",MAX(50,MIN(100,Config!$B$27*MAX(0,MIN(100,(1-IF($O145="",0,$O145))*100)) + Config!$B$28*MAX(0,MIN(100,(1-MIN(1,IF(Config!$B$30=0,1,$P145/Config!$B$30)))*100)) + Config!$B$29*MAX(0,MIN(100,MIN(1,IF($Q145="",0,$Q145)/Config!$B$23)*100)))),MIN(100,Config!$B$27*MAX(0,MIN(100,(1-IF($O145="",0,$O145))*100)) + Config!$B$28*MAX(0,MIN(100,(1-MIN(1,IF(Config!$B$30=0,1,$P145/Config!$B$30)))*100)) + Config!$B$29*MAX(0,MIN(100,MIN(1,IF($Q145="",0,$Q145)/Config!$B$23)*100))))),"")
</f>
        <v/>
      </c>
      <c r="S145" s="40" t="str">
        <f>IF(Bids!$AC145="","",Bids!$AC145)</f>
        <v/>
      </c>
      <c r="T145" s="40" t="str">
        <f>IF(Bids!$F145="","",Bids!$F145)</f>
        <v/>
      </c>
      <c r="U145" s="40" t="str">
        <f t="shared" si="3"/>
        <v/>
      </c>
      <c r="V145" s="40" t="str">
        <f>IF($U145="","",IF(Config!$B$17=Config!$B$16,IF($U145&gt;=Config!$B$17,100,0),MAX(0,MIN(100,($U145-Config!$B$16)/(Config!$B$17-Config!$B$16)*100))))</f>
        <v/>
      </c>
      <c r="W145" s="40">
        <f>IF($L145="Elite",Config!$B$21,0)</f>
        <v>0</v>
      </c>
      <c r="X145" s="40" t="str">
        <f>IFERROR(IF(OR($T145="",$G145=""),"",IF($T145&gt;$G145,
  MAX(0, 60-(($T145-$G145)*24/Config!$B$19)*60),
  MEDIAN(60, 100, 60+(($G145-$T145)*24/Config!$B$20)*40)
)),"")
</f>
        <v/>
      </c>
      <c r="Y145" s="40" t="str">
        <f>IF($J145="","",IFERROR(VLOOKUP($J145,Grinders!$A:$N,10,FALSE),""))</f>
        <v/>
      </c>
      <c r="Z145" s="40" t="str">
        <f>IF($J145="","",IFERROR(VLOOKUP($J145,Grinders!$A:$N,11,FALSE),""))</f>
        <v/>
      </c>
      <c r="AA145" s="40" t="str">
        <f>IF($J145="","",IFERROR(VLOOKUP($J145,Grinders!$A:$N,12,FALSE),""))</f>
        <v/>
      </c>
      <c r="AB145" s="40" t="str">
        <f>IF(OR(AL145=1,AM145=1),0,=IFERROR(IF(OR($C145="",$J145=""),0,IF($D145&lt;&gt;"Open",0,IF(COUNTIFS(GrinderServices!$A:$A,$J145,GrinderServices!$B:$B,$E145,GrinderServices!$D:$D,"Y")=0,0,IF($U145&lt;Config!$B$16,0,IF(Config!$B$18=1,IF($N145&gt;=$M145,0,1),1))))),""))</f>
        <v>#ERROR!</v>
      </c>
      <c r="AC145" s="40" t="str">
        <f>IFERROR((IF(OR(AL145=1,AM145=1),"",=IFERROR((IFERROR(IF($AB145=0,"",((Config!$B$6*$V145 + Config!$B$7*$R145 + Config!$B$8*$W145 + Config!$B$9*$X145 + Config!$B$10*$Y145 + Config!$B$11*$Z145 - Config!$B$12*$AA145)/Config!$B$13)+$AH145+$AI145),""))*(1-IFERROR(VLOOKUP(J145,Grinders!$A:$AB, 28, FALSE),0)),"")))*(1+AO145),"")</f>
        <v>#ERROR!</v>
      </c>
      <c r="AD145" s="40" t="str">
        <f t="shared" si="4"/>
        <v/>
      </c>
      <c r="AE145" s="40" t="str">
        <f>IFERROR(__xludf.DUMMYFUNCTION("IF($AC145="""","""",IF($AC145=IFERROR(MAX(FILTER($AC$6:$AC$1000,$C$6:$C$1000=$C145,$AB$6:$AB$1000=1)),),""WINNER"",""""))"),"#ERROR!")</f>
        <v>#ERROR!</v>
      </c>
      <c r="AF145" s="40" t="str">
        <f t="shared" si="5"/>
        <v/>
      </c>
      <c r="AG145" s="40" t="str">
        <f>IF($J145="","",COUNTIF(Assignments!$B:$B,$J145))</f>
        <v/>
      </c>
      <c r="AH145" s="40" t="str">
        <f>IF($J145="","",IF(AND($AG145=0,$N145&lt;$M145),Config!$B$43,0))</f>
        <v/>
      </c>
      <c r="AI145" s="40" t="str">
        <f>IF($J145="","",IF(AND($L145="Elite",$F145&gt;=Config!$B$41,$N145&lt;$M145),Config!$B$42,0))</f>
        <v/>
      </c>
      <c r="AJ145" s="22"/>
      <c r="AK145" s="39">
        <f>IFERROR(VLOOKUP(J145,Grinders!$A:$Q,28,FALSE),0)</f>
        <v>0</v>
      </c>
      <c r="AL145" s="39">
        <f>IF(Config!$B$1003&lt;&gt;"Y",0,IF(IFERROR(VLOOKUP(J145,Grinders!$A:$P,27,FALSE),0)&gt;=3,IF(OR(F145&gt;=Config!$B$1001,ISNUMBER(SEARCH(E145,Config!$B$1002))),1,0),0))</f>
        <v>0</v>
      </c>
      <c r="AM145" s="39">
        <f t="array" ref="AM145">IFERROR(IF(INDEX(Bids!$AE:$AE,MATCH(B145,Bids!$A:$A,0))="Pending",1,0),0)</f>
        <v>0</v>
      </c>
      <c r="AN145" s="39" t="str">
        <f t="array" ref="AN145">IF(C145="","",IFERROR(XLOOKUP(C145,Assignments!$C:$C,Assignments!$AU:$AU,0),0))</f>
        <v/>
      </c>
      <c r="AO145" s="39">
        <f>IF(AND(Config!$B$1006="Y",AN145=1),Config!$B$1007,0)</f>
        <v>0</v>
      </c>
    </row>
    <row r="146" ht="15.75" customHeight="1">
      <c r="A146" s="46" t="str">
        <f t="shared" si="1"/>
        <v/>
      </c>
      <c r="B146" s="40" t="str">
        <f>IF(Bids!$A146="","",Bids!$A146)</f>
        <v/>
      </c>
      <c r="C146" s="40" t="str">
        <f>IF(Bids!$B146="","",Bids!$B146)</f>
        <v/>
      </c>
      <c r="D146" s="40" t="str">
        <f>IF($C146="","",IFERROR(VLOOKUP($C146,Orders!$A:$J,9,FALSE),""))</f>
        <v/>
      </c>
      <c r="E146" s="40" t="str">
        <f>IF($C146="","",IFERROR(VLOOKUP($C146,Orders!$A:$J,3,FALSE),""))</f>
        <v/>
      </c>
      <c r="F146" s="40" t="str">
        <f>IF($C146="","",IFERROR(VLOOKUP($C146,Orders!$A:$J,4,FALSE),""))</f>
        <v/>
      </c>
      <c r="G146" s="40" t="str">
        <f>IF($C146="","",IFERROR(VLOOKUP($C146,Orders!$A:$J,5,FALSE),""))</f>
        <v/>
      </c>
      <c r="H146" s="40" t="str">
        <f>IF($C146="","",IFERROR(VLOOKUP($C146,Orders!$A:$J,6,FALSE),""))</f>
        <v/>
      </c>
      <c r="I146" s="40" t="str">
        <f>IF($C146="","",IFERROR(VLOOKUP($C146,Orders!$A:$J,7,FALSE),""))</f>
        <v/>
      </c>
      <c r="J146" s="40" t="str">
        <f>IF(Bids!$C146="","",Bids!$C146)</f>
        <v/>
      </c>
      <c r="K146" s="40" t="str">
        <f>IF($J146="","",IFERROR(VLOOKUP($J146,Grinders!$A:$N,2,FALSE),""))</f>
        <v/>
      </c>
      <c r="L146" s="40" t="str">
        <f>IF($J146="","",IFERROR(VLOOKUP($J146,Grinders!$A:$N,3,FALSE),""))</f>
        <v/>
      </c>
      <c r="M146" s="40" t="str">
        <f>IF($J146="","",IFERROR(VLOOKUP($J146,Grinders!$A:$N,4,FALSE),""))</f>
        <v/>
      </c>
      <c r="N146" s="40" t="str">
        <f>IF($J146="","",IFERROR(VLOOKUP($J146,Grinders!$A:$N,5,FALSE),""))</f>
        <v/>
      </c>
      <c r="O146" s="40" t="str">
        <f t="shared" si="2"/>
        <v/>
      </c>
      <c r="P146" s="40" t="str">
        <f>IF($J146="","",IFERROR(VLOOKUP($J146,Grinders!$A:$N,6,FALSE),""))</f>
        <v/>
      </c>
      <c r="Q146" s="40" t="str">
        <f>IF($J146="","",IFERROR(VLOOKUP($J146,Grinders!$A:$N,8,FALSE),""))</f>
        <v/>
      </c>
      <c r="R146" s="40" t="str">
        <f>IFERROR(IF($J146="","",IF($L146="Elite",MAX(50,MIN(100,Config!$B$27*MAX(0,MIN(100,(1-IF($O146="",0,$O146))*100)) + Config!$B$28*MAX(0,MIN(100,(1-MIN(1,IF(Config!$B$30=0,1,$P146/Config!$B$30)))*100)) + Config!$B$29*MAX(0,MIN(100,MIN(1,IF($Q146="",0,$Q146)/Config!$B$23)*100)))),MIN(100,Config!$B$27*MAX(0,MIN(100,(1-IF($O146="",0,$O146))*100)) + Config!$B$28*MAX(0,MIN(100,(1-MIN(1,IF(Config!$B$30=0,1,$P146/Config!$B$30)))*100)) + Config!$B$29*MAX(0,MIN(100,MIN(1,IF($Q146="",0,$Q146)/Config!$B$23)*100))))),"")
</f>
        <v/>
      </c>
      <c r="S146" s="40" t="str">
        <f>IF(Bids!$AC146="","",Bids!$AC146)</f>
        <v/>
      </c>
      <c r="T146" s="40" t="str">
        <f>IF(Bids!$F146="","",Bids!$F146)</f>
        <v/>
      </c>
      <c r="U146" s="40" t="str">
        <f t="shared" si="3"/>
        <v/>
      </c>
      <c r="V146" s="40" t="str">
        <f>IF($U146="","",IF(Config!$B$17=Config!$B$16,IF($U146&gt;=Config!$B$17,100,0),MAX(0,MIN(100,($U146-Config!$B$16)/(Config!$B$17-Config!$B$16)*100))))</f>
        <v/>
      </c>
      <c r="W146" s="40">
        <f>IF($L146="Elite",Config!$B$21,0)</f>
        <v>0</v>
      </c>
      <c r="X146" s="40" t="str">
        <f>IFERROR(IF(OR($T146="",$G146=""),"",IF($T146&gt;$G146,
  MAX(0, 60-(($T146-$G146)*24/Config!$B$19)*60),
  MEDIAN(60, 100, 60+(($G146-$T146)*24/Config!$B$20)*40)
)),"")
</f>
        <v/>
      </c>
      <c r="Y146" s="40" t="str">
        <f>IF($J146="","",IFERROR(VLOOKUP($J146,Grinders!$A:$N,10,FALSE),""))</f>
        <v/>
      </c>
      <c r="Z146" s="40" t="str">
        <f>IF($J146="","",IFERROR(VLOOKUP($J146,Grinders!$A:$N,11,FALSE),""))</f>
        <v/>
      </c>
      <c r="AA146" s="40" t="str">
        <f>IF($J146="","",IFERROR(VLOOKUP($J146,Grinders!$A:$N,12,FALSE),""))</f>
        <v/>
      </c>
      <c r="AB146" s="40" t="str">
        <f>IF(OR(AL146=1,AM146=1),0,=IFERROR(IF(OR($C146="",$J146=""),0,IF($D146&lt;&gt;"Open",0,IF(COUNTIFS(GrinderServices!$A:$A,$J146,GrinderServices!$B:$B,$E146,GrinderServices!$D:$D,"Y")=0,0,IF($U146&lt;Config!$B$16,0,IF(Config!$B$18=1,IF($N146&gt;=$M146,0,1),1))))),""))</f>
        <v>#ERROR!</v>
      </c>
      <c r="AC146" s="40" t="str">
        <f>IFERROR((IF(OR(AL146=1,AM146=1),"",=IFERROR((IFERROR(IF($AB146=0,"",((Config!$B$6*$V146 + Config!$B$7*$R146 + Config!$B$8*$W146 + Config!$B$9*$X146 + Config!$B$10*$Y146 + Config!$B$11*$Z146 - Config!$B$12*$AA146)/Config!$B$13)+$AH146+$AI146),""))*(1-IFERROR(VLOOKUP(J146,Grinders!$A:$AB, 28, FALSE),0)),"")))*(1+AO146),"")</f>
        <v>#ERROR!</v>
      </c>
      <c r="AD146" s="40" t="str">
        <f t="shared" si="4"/>
        <v/>
      </c>
      <c r="AE146" s="40" t="str">
        <f>IFERROR(__xludf.DUMMYFUNCTION("IF($AC146="""","""",IF($AC146=IFERROR(MAX(FILTER($AC$6:$AC$1000,$C$6:$C$1000=$C146,$AB$6:$AB$1000=1)),),""WINNER"",""""))"),"#ERROR!")</f>
        <v>#ERROR!</v>
      </c>
      <c r="AF146" s="40" t="str">
        <f t="shared" si="5"/>
        <v/>
      </c>
      <c r="AG146" s="40" t="str">
        <f>IF($J146="","",COUNTIF(Assignments!$B:$B,$J146))</f>
        <v/>
      </c>
      <c r="AH146" s="40" t="str">
        <f>IF($J146="","",IF(AND($AG146=0,$N146&lt;$M146),Config!$B$43,0))</f>
        <v/>
      </c>
      <c r="AI146" s="40" t="str">
        <f>IF($J146="","",IF(AND($L146="Elite",$F146&gt;=Config!$B$41,$N146&lt;$M146),Config!$B$42,0))</f>
        <v/>
      </c>
      <c r="AJ146" s="22"/>
      <c r="AK146" s="39">
        <f>IFERROR(VLOOKUP(J146,Grinders!$A:$Q,28,FALSE),0)</f>
        <v>0</v>
      </c>
      <c r="AL146" s="39">
        <f>IF(Config!$B$1003&lt;&gt;"Y",0,IF(IFERROR(VLOOKUP(J146,Grinders!$A:$P,27,FALSE),0)&gt;=3,IF(OR(F146&gt;=Config!$B$1001,ISNUMBER(SEARCH(E146,Config!$B$1002))),1,0),0))</f>
        <v>0</v>
      </c>
      <c r="AM146" s="39">
        <f t="array" ref="AM146">IFERROR(IF(INDEX(Bids!$AE:$AE,MATCH(B146,Bids!$A:$A,0))="Pending",1,0),0)</f>
        <v>0</v>
      </c>
      <c r="AN146" s="39" t="str">
        <f t="array" ref="AN146">IF(C146="","",IFERROR(XLOOKUP(C146,Assignments!$C:$C,Assignments!$AU:$AU,0),0))</f>
        <v/>
      </c>
      <c r="AO146" s="39">
        <f>IF(AND(Config!$B$1006="Y",AN146=1),Config!$B$1007,0)</f>
        <v>0</v>
      </c>
    </row>
    <row r="147" ht="15.75" customHeight="1">
      <c r="A147" s="46" t="str">
        <f t="shared" si="1"/>
        <v/>
      </c>
      <c r="B147" s="40" t="str">
        <f>IF(Bids!$A147="","",Bids!$A147)</f>
        <v/>
      </c>
      <c r="C147" s="40" t="str">
        <f>IF(Bids!$B147="","",Bids!$B147)</f>
        <v/>
      </c>
      <c r="D147" s="40" t="str">
        <f>IF($C147="","",IFERROR(VLOOKUP($C147,Orders!$A:$J,9,FALSE),""))</f>
        <v/>
      </c>
      <c r="E147" s="40" t="str">
        <f>IF($C147="","",IFERROR(VLOOKUP($C147,Orders!$A:$J,3,FALSE),""))</f>
        <v/>
      </c>
      <c r="F147" s="40" t="str">
        <f>IF($C147="","",IFERROR(VLOOKUP($C147,Orders!$A:$J,4,FALSE),""))</f>
        <v/>
      </c>
      <c r="G147" s="40" t="str">
        <f>IF($C147="","",IFERROR(VLOOKUP($C147,Orders!$A:$J,5,FALSE),""))</f>
        <v/>
      </c>
      <c r="H147" s="40" t="str">
        <f>IF($C147="","",IFERROR(VLOOKUP($C147,Orders!$A:$J,6,FALSE),""))</f>
        <v/>
      </c>
      <c r="I147" s="40" t="str">
        <f>IF($C147="","",IFERROR(VLOOKUP($C147,Orders!$A:$J,7,FALSE),""))</f>
        <v/>
      </c>
      <c r="J147" s="40" t="str">
        <f>IF(Bids!$C147="","",Bids!$C147)</f>
        <v/>
      </c>
      <c r="K147" s="40" t="str">
        <f>IF($J147="","",IFERROR(VLOOKUP($J147,Grinders!$A:$N,2,FALSE),""))</f>
        <v/>
      </c>
      <c r="L147" s="40" t="str">
        <f>IF($J147="","",IFERROR(VLOOKUP($J147,Grinders!$A:$N,3,FALSE),""))</f>
        <v/>
      </c>
      <c r="M147" s="40" t="str">
        <f>IF($J147="","",IFERROR(VLOOKUP($J147,Grinders!$A:$N,4,FALSE),""))</f>
        <v/>
      </c>
      <c r="N147" s="40" t="str">
        <f>IF($J147="","",IFERROR(VLOOKUP($J147,Grinders!$A:$N,5,FALSE),""))</f>
        <v/>
      </c>
      <c r="O147" s="40" t="str">
        <f t="shared" si="2"/>
        <v/>
      </c>
      <c r="P147" s="40" t="str">
        <f>IF($J147="","",IFERROR(VLOOKUP($J147,Grinders!$A:$N,6,FALSE),""))</f>
        <v/>
      </c>
      <c r="Q147" s="40" t="str">
        <f>IF($J147="","",IFERROR(VLOOKUP($J147,Grinders!$A:$N,8,FALSE),""))</f>
        <v/>
      </c>
      <c r="R147" s="40" t="str">
        <f>IFERROR(IF($J147="","",IF($L147="Elite",MAX(50,MIN(100,Config!$B$27*MAX(0,MIN(100,(1-IF($O147="",0,$O147))*100)) + Config!$B$28*MAX(0,MIN(100,(1-MIN(1,IF(Config!$B$30=0,1,$P147/Config!$B$30)))*100)) + Config!$B$29*MAX(0,MIN(100,MIN(1,IF($Q147="",0,$Q147)/Config!$B$23)*100)))),MIN(100,Config!$B$27*MAX(0,MIN(100,(1-IF($O147="",0,$O147))*100)) + Config!$B$28*MAX(0,MIN(100,(1-MIN(1,IF(Config!$B$30=0,1,$P147/Config!$B$30)))*100)) + Config!$B$29*MAX(0,MIN(100,MIN(1,IF($Q147="",0,$Q147)/Config!$B$23)*100))))),"")
</f>
        <v/>
      </c>
      <c r="S147" s="40" t="str">
        <f>IF(Bids!$AC147="","",Bids!$AC147)</f>
        <v/>
      </c>
      <c r="T147" s="40" t="str">
        <f>IF(Bids!$F147="","",Bids!$F147)</f>
        <v/>
      </c>
      <c r="U147" s="40" t="str">
        <f t="shared" si="3"/>
        <v/>
      </c>
      <c r="V147" s="40" t="str">
        <f>IF($U147="","",IF(Config!$B$17=Config!$B$16,IF($U147&gt;=Config!$B$17,100,0),MAX(0,MIN(100,($U147-Config!$B$16)/(Config!$B$17-Config!$B$16)*100))))</f>
        <v/>
      </c>
      <c r="W147" s="40">
        <f>IF($L147="Elite",Config!$B$21,0)</f>
        <v>0</v>
      </c>
      <c r="X147" s="40" t="str">
        <f>IFERROR(IF(OR($T147="",$G147=""),"",IF($T147&gt;$G147,
  MAX(0, 60-(($T147-$G147)*24/Config!$B$19)*60),
  MEDIAN(60, 100, 60+(($G147-$T147)*24/Config!$B$20)*40)
)),"")
</f>
        <v/>
      </c>
      <c r="Y147" s="40" t="str">
        <f>IF($J147="","",IFERROR(VLOOKUP($J147,Grinders!$A:$N,10,FALSE),""))</f>
        <v/>
      </c>
      <c r="Z147" s="40" t="str">
        <f>IF($J147="","",IFERROR(VLOOKUP($J147,Grinders!$A:$N,11,FALSE),""))</f>
        <v/>
      </c>
      <c r="AA147" s="40" t="str">
        <f>IF($J147="","",IFERROR(VLOOKUP($J147,Grinders!$A:$N,12,FALSE),""))</f>
        <v/>
      </c>
      <c r="AB147" s="40" t="str">
        <f>IF(OR(AL147=1,AM147=1),0,=IFERROR(IF(OR($C147="",$J147=""),0,IF($D147&lt;&gt;"Open",0,IF(COUNTIFS(GrinderServices!$A:$A,$J147,GrinderServices!$B:$B,$E147,GrinderServices!$D:$D,"Y")=0,0,IF($U147&lt;Config!$B$16,0,IF(Config!$B$18=1,IF($N147&gt;=$M147,0,1),1))))),""))</f>
        <v>#ERROR!</v>
      </c>
      <c r="AC147" s="40" t="str">
        <f>IFERROR((IF(OR(AL147=1,AM147=1),"",=IFERROR((IFERROR(IF($AB147=0,"",((Config!$B$6*$V147 + Config!$B$7*$R147 + Config!$B$8*$W147 + Config!$B$9*$X147 + Config!$B$10*$Y147 + Config!$B$11*$Z147 - Config!$B$12*$AA147)/Config!$B$13)+$AH147+$AI147),""))*(1-IFERROR(VLOOKUP(J147,Grinders!$A:$AB, 28, FALSE),0)),"")))*(1+AO147),"")</f>
        <v>#ERROR!</v>
      </c>
      <c r="AD147" s="40" t="str">
        <f t="shared" si="4"/>
        <v/>
      </c>
      <c r="AE147" s="40" t="str">
        <f>IFERROR(__xludf.DUMMYFUNCTION("IF($AC147="""","""",IF($AC147=IFERROR(MAX(FILTER($AC$6:$AC$1000,$C$6:$C$1000=$C147,$AB$6:$AB$1000=1)),),""WINNER"",""""))"),"#ERROR!")</f>
        <v>#ERROR!</v>
      </c>
      <c r="AF147" s="40" t="str">
        <f t="shared" si="5"/>
        <v/>
      </c>
      <c r="AG147" s="40" t="str">
        <f>IF($J147="","",COUNTIF(Assignments!$B:$B,$J147))</f>
        <v/>
      </c>
      <c r="AH147" s="40" t="str">
        <f>IF($J147="","",IF(AND($AG147=0,$N147&lt;$M147),Config!$B$43,0))</f>
        <v/>
      </c>
      <c r="AI147" s="40" t="str">
        <f>IF($J147="","",IF(AND($L147="Elite",$F147&gt;=Config!$B$41,$N147&lt;$M147),Config!$B$42,0))</f>
        <v/>
      </c>
      <c r="AJ147" s="22"/>
      <c r="AK147" s="39">
        <f>IFERROR(VLOOKUP(J147,Grinders!$A:$Q,28,FALSE),0)</f>
        <v>0</v>
      </c>
      <c r="AL147" s="39">
        <f>IF(Config!$B$1003&lt;&gt;"Y",0,IF(IFERROR(VLOOKUP(J147,Grinders!$A:$P,27,FALSE),0)&gt;=3,IF(OR(F147&gt;=Config!$B$1001,ISNUMBER(SEARCH(E147,Config!$B$1002))),1,0),0))</f>
        <v>0</v>
      </c>
      <c r="AM147" s="39">
        <f t="array" ref="AM147">IFERROR(IF(INDEX(Bids!$AE:$AE,MATCH(B147,Bids!$A:$A,0))="Pending",1,0),0)</f>
        <v>0</v>
      </c>
      <c r="AN147" s="39" t="str">
        <f t="array" ref="AN147">IF(C147="","",IFERROR(XLOOKUP(C147,Assignments!$C:$C,Assignments!$AU:$AU,0),0))</f>
        <v/>
      </c>
      <c r="AO147" s="39">
        <f>IF(AND(Config!$B$1006="Y",AN147=1),Config!$B$1007,0)</f>
        <v>0</v>
      </c>
    </row>
    <row r="148" ht="15.75" customHeight="1">
      <c r="A148" s="46" t="str">
        <f t="shared" si="1"/>
        <v/>
      </c>
      <c r="B148" s="40" t="str">
        <f>IF(Bids!$A148="","",Bids!$A148)</f>
        <v/>
      </c>
      <c r="C148" s="40" t="str">
        <f>IF(Bids!$B148="","",Bids!$B148)</f>
        <v/>
      </c>
      <c r="D148" s="40" t="str">
        <f>IF($C148="","",IFERROR(VLOOKUP($C148,Orders!$A:$J,9,FALSE),""))</f>
        <v/>
      </c>
      <c r="E148" s="40" t="str">
        <f>IF($C148="","",IFERROR(VLOOKUP($C148,Orders!$A:$J,3,FALSE),""))</f>
        <v/>
      </c>
      <c r="F148" s="40" t="str">
        <f>IF($C148="","",IFERROR(VLOOKUP($C148,Orders!$A:$J,4,FALSE),""))</f>
        <v/>
      </c>
      <c r="G148" s="40" t="str">
        <f>IF($C148="","",IFERROR(VLOOKUP($C148,Orders!$A:$J,5,FALSE),""))</f>
        <v/>
      </c>
      <c r="H148" s="40" t="str">
        <f>IF($C148="","",IFERROR(VLOOKUP($C148,Orders!$A:$J,6,FALSE),""))</f>
        <v/>
      </c>
      <c r="I148" s="40" t="str">
        <f>IF($C148="","",IFERROR(VLOOKUP($C148,Orders!$A:$J,7,FALSE),""))</f>
        <v/>
      </c>
      <c r="J148" s="40" t="str">
        <f>IF(Bids!$C148="","",Bids!$C148)</f>
        <v/>
      </c>
      <c r="K148" s="40" t="str">
        <f>IF($J148="","",IFERROR(VLOOKUP($J148,Grinders!$A:$N,2,FALSE),""))</f>
        <v/>
      </c>
      <c r="L148" s="40" t="str">
        <f>IF($J148="","",IFERROR(VLOOKUP($J148,Grinders!$A:$N,3,FALSE),""))</f>
        <v/>
      </c>
      <c r="M148" s="40" t="str">
        <f>IF($J148="","",IFERROR(VLOOKUP($J148,Grinders!$A:$N,4,FALSE),""))</f>
        <v/>
      </c>
      <c r="N148" s="40" t="str">
        <f>IF($J148="","",IFERROR(VLOOKUP($J148,Grinders!$A:$N,5,FALSE),""))</f>
        <v/>
      </c>
      <c r="O148" s="40" t="str">
        <f t="shared" si="2"/>
        <v/>
      </c>
      <c r="P148" s="40" t="str">
        <f>IF($J148="","",IFERROR(VLOOKUP($J148,Grinders!$A:$N,6,FALSE),""))</f>
        <v/>
      </c>
      <c r="Q148" s="40" t="str">
        <f>IF($J148="","",IFERROR(VLOOKUP($J148,Grinders!$A:$N,8,FALSE),""))</f>
        <v/>
      </c>
      <c r="R148" s="40" t="str">
        <f>IFERROR(IF($J148="","",IF($L148="Elite",MAX(50,MIN(100,Config!$B$27*MAX(0,MIN(100,(1-IF($O148="",0,$O148))*100)) + Config!$B$28*MAX(0,MIN(100,(1-MIN(1,IF(Config!$B$30=0,1,$P148/Config!$B$30)))*100)) + Config!$B$29*MAX(0,MIN(100,MIN(1,IF($Q148="",0,$Q148)/Config!$B$23)*100)))),MIN(100,Config!$B$27*MAX(0,MIN(100,(1-IF($O148="",0,$O148))*100)) + Config!$B$28*MAX(0,MIN(100,(1-MIN(1,IF(Config!$B$30=0,1,$P148/Config!$B$30)))*100)) + Config!$B$29*MAX(0,MIN(100,MIN(1,IF($Q148="",0,$Q148)/Config!$B$23)*100))))),"")
</f>
        <v/>
      </c>
      <c r="S148" s="40" t="str">
        <f>IF(Bids!$AC148="","",Bids!$AC148)</f>
        <v/>
      </c>
      <c r="T148" s="40" t="str">
        <f>IF(Bids!$F148="","",Bids!$F148)</f>
        <v/>
      </c>
      <c r="U148" s="40" t="str">
        <f t="shared" si="3"/>
        <v/>
      </c>
      <c r="V148" s="40" t="str">
        <f>IF($U148="","",IF(Config!$B$17=Config!$B$16,IF($U148&gt;=Config!$B$17,100,0),MAX(0,MIN(100,($U148-Config!$B$16)/(Config!$B$17-Config!$B$16)*100))))</f>
        <v/>
      </c>
      <c r="W148" s="40">
        <f>IF($L148="Elite",Config!$B$21,0)</f>
        <v>0</v>
      </c>
      <c r="X148" s="40" t="str">
        <f>IFERROR(IF(OR($T148="",$G148=""),"",IF($T148&gt;$G148,
  MAX(0, 60-(($T148-$G148)*24/Config!$B$19)*60),
  MEDIAN(60, 100, 60+(($G148-$T148)*24/Config!$B$20)*40)
)),"")
</f>
        <v/>
      </c>
      <c r="Y148" s="40" t="str">
        <f>IF($J148="","",IFERROR(VLOOKUP($J148,Grinders!$A:$N,10,FALSE),""))</f>
        <v/>
      </c>
      <c r="Z148" s="40" t="str">
        <f>IF($J148="","",IFERROR(VLOOKUP($J148,Grinders!$A:$N,11,FALSE),""))</f>
        <v/>
      </c>
      <c r="AA148" s="40" t="str">
        <f>IF($J148="","",IFERROR(VLOOKUP($J148,Grinders!$A:$N,12,FALSE),""))</f>
        <v/>
      </c>
      <c r="AB148" s="40" t="str">
        <f>IF(OR(AL148=1,AM148=1),0,=IFERROR(IF(OR($C148="",$J148=""),0,IF($D148&lt;&gt;"Open",0,IF(COUNTIFS(GrinderServices!$A:$A,$J148,GrinderServices!$B:$B,$E148,GrinderServices!$D:$D,"Y")=0,0,IF($U148&lt;Config!$B$16,0,IF(Config!$B$18=1,IF($N148&gt;=$M148,0,1),1))))),""))</f>
        <v>#ERROR!</v>
      </c>
      <c r="AC148" s="40" t="str">
        <f>IFERROR((IF(OR(AL148=1,AM148=1),"",=IFERROR((IFERROR(IF($AB148=0,"",((Config!$B$6*$V148 + Config!$B$7*$R148 + Config!$B$8*$W148 + Config!$B$9*$X148 + Config!$B$10*$Y148 + Config!$B$11*$Z148 - Config!$B$12*$AA148)/Config!$B$13)+$AH148+$AI148),""))*(1-IFERROR(VLOOKUP(J148,Grinders!$A:$AB, 28, FALSE),0)),"")))*(1+AO148),"")</f>
        <v>#ERROR!</v>
      </c>
      <c r="AD148" s="40" t="str">
        <f t="shared" si="4"/>
        <v/>
      </c>
      <c r="AE148" s="40" t="str">
        <f>IFERROR(__xludf.DUMMYFUNCTION("IF($AC148="""","""",IF($AC148=IFERROR(MAX(FILTER($AC$6:$AC$1000,$C$6:$C$1000=$C148,$AB$6:$AB$1000=1)),),""WINNER"",""""))"),"#ERROR!")</f>
        <v>#ERROR!</v>
      </c>
      <c r="AF148" s="40" t="str">
        <f t="shared" si="5"/>
        <v/>
      </c>
      <c r="AG148" s="40" t="str">
        <f>IF($J148="","",COUNTIF(Assignments!$B:$B,$J148))</f>
        <v/>
      </c>
      <c r="AH148" s="40" t="str">
        <f>IF($J148="","",IF(AND($AG148=0,$N148&lt;$M148),Config!$B$43,0))</f>
        <v/>
      </c>
      <c r="AI148" s="40" t="str">
        <f>IF($J148="","",IF(AND($L148="Elite",$F148&gt;=Config!$B$41,$N148&lt;$M148),Config!$B$42,0))</f>
        <v/>
      </c>
      <c r="AJ148" s="22"/>
      <c r="AK148" s="39">
        <f>IFERROR(VLOOKUP(J148,Grinders!$A:$Q,28,FALSE),0)</f>
        <v>0</v>
      </c>
      <c r="AL148" s="39">
        <f>IF(Config!$B$1003&lt;&gt;"Y",0,IF(IFERROR(VLOOKUP(J148,Grinders!$A:$P,27,FALSE),0)&gt;=3,IF(OR(F148&gt;=Config!$B$1001,ISNUMBER(SEARCH(E148,Config!$B$1002))),1,0),0))</f>
        <v>0</v>
      </c>
      <c r="AM148" s="39">
        <f t="array" ref="AM148">IFERROR(IF(INDEX(Bids!$AE:$AE,MATCH(B148,Bids!$A:$A,0))="Pending",1,0),0)</f>
        <v>0</v>
      </c>
      <c r="AN148" s="39" t="str">
        <f t="array" ref="AN148">IF(C148="","",IFERROR(XLOOKUP(C148,Assignments!$C:$C,Assignments!$AU:$AU,0),0))</f>
        <v/>
      </c>
      <c r="AO148" s="39">
        <f>IF(AND(Config!$B$1006="Y",AN148=1),Config!$B$1007,0)</f>
        <v>0</v>
      </c>
    </row>
    <row r="149" ht="15.75" customHeight="1">
      <c r="A149" s="46" t="str">
        <f t="shared" si="1"/>
        <v/>
      </c>
      <c r="B149" s="40" t="str">
        <f>IF(Bids!$A149="","",Bids!$A149)</f>
        <v/>
      </c>
      <c r="C149" s="40" t="str">
        <f>IF(Bids!$B149="","",Bids!$B149)</f>
        <v/>
      </c>
      <c r="D149" s="40" t="str">
        <f>IF($C149="","",IFERROR(VLOOKUP($C149,Orders!$A:$J,9,FALSE),""))</f>
        <v/>
      </c>
      <c r="E149" s="40" t="str">
        <f>IF($C149="","",IFERROR(VLOOKUP($C149,Orders!$A:$J,3,FALSE),""))</f>
        <v/>
      </c>
      <c r="F149" s="40" t="str">
        <f>IF($C149="","",IFERROR(VLOOKUP($C149,Orders!$A:$J,4,FALSE),""))</f>
        <v/>
      </c>
      <c r="G149" s="40" t="str">
        <f>IF($C149="","",IFERROR(VLOOKUP($C149,Orders!$A:$J,5,FALSE),""))</f>
        <v/>
      </c>
      <c r="H149" s="40" t="str">
        <f>IF($C149="","",IFERROR(VLOOKUP($C149,Orders!$A:$J,6,FALSE),""))</f>
        <v/>
      </c>
      <c r="I149" s="40" t="str">
        <f>IF($C149="","",IFERROR(VLOOKUP($C149,Orders!$A:$J,7,FALSE),""))</f>
        <v/>
      </c>
      <c r="J149" s="40" t="str">
        <f>IF(Bids!$C149="","",Bids!$C149)</f>
        <v/>
      </c>
      <c r="K149" s="40" t="str">
        <f>IF($J149="","",IFERROR(VLOOKUP($J149,Grinders!$A:$N,2,FALSE),""))</f>
        <v/>
      </c>
      <c r="L149" s="40" t="str">
        <f>IF($J149="","",IFERROR(VLOOKUP($J149,Grinders!$A:$N,3,FALSE),""))</f>
        <v/>
      </c>
      <c r="M149" s="40" t="str">
        <f>IF($J149="","",IFERROR(VLOOKUP($J149,Grinders!$A:$N,4,FALSE),""))</f>
        <v/>
      </c>
      <c r="N149" s="40" t="str">
        <f>IF($J149="","",IFERROR(VLOOKUP($J149,Grinders!$A:$N,5,FALSE),""))</f>
        <v/>
      </c>
      <c r="O149" s="40" t="str">
        <f t="shared" si="2"/>
        <v/>
      </c>
      <c r="P149" s="40" t="str">
        <f>IF($J149="","",IFERROR(VLOOKUP($J149,Grinders!$A:$N,6,FALSE),""))</f>
        <v/>
      </c>
      <c r="Q149" s="40" t="str">
        <f>IF($J149="","",IFERROR(VLOOKUP($J149,Grinders!$A:$N,8,FALSE),""))</f>
        <v/>
      </c>
      <c r="R149" s="40" t="str">
        <f>IFERROR(IF($J149="","",IF($L149="Elite",MAX(50,MIN(100,Config!$B$27*MAX(0,MIN(100,(1-IF($O149="",0,$O149))*100)) + Config!$B$28*MAX(0,MIN(100,(1-MIN(1,IF(Config!$B$30=0,1,$P149/Config!$B$30)))*100)) + Config!$B$29*MAX(0,MIN(100,MIN(1,IF($Q149="",0,$Q149)/Config!$B$23)*100)))),MIN(100,Config!$B$27*MAX(0,MIN(100,(1-IF($O149="",0,$O149))*100)) + Config!$B$28*MAX(0,MIN(100,(1-MIN(1,IF(Config!$B$30=0,1,$P149/Config!$B$30)))*100)) + Config!$B$29*MAX(0,MIN(100,MIN(1,IF($Q149="",0,$Q149)/Config!$B$23)*100))))),"")
</f>
        <v/>
      </c>
      <c r="S149" s="40" t="str">
        <f>IF(Bids!$AC149="","",Bids!$AC149)</f>
        <v/>
      </c>
      <c r="T149" s="40" t="str">
        <f>IF(Bids!$F149="","",Bids!$F149)</f>
        <v/>
      </c>
      <c r="U149" s="40" t="str">
        <f t="shared" si="3"/>
        <v/>
      </c>
      <c r="V149" s="40" t="str">
        <f>IF($U149="","",IF(Config!$B$17=Config!$B$16,IF($U149&gt;=Config!$B$17,100,0),MAX(0,MIN(100,($U149-Config!$B$16)/(Config!$B$17-Config!$B$16)*100))))</f>
        <v/>
      </c>
      <c r="W149" s="40">
        <f>IF($L149="Elite",Config!$B$21,0)</f>
        <v>0</v>
      </c>
      <c r="X149" s="40" t="str">
        <f>IFERROR(IF(OR($T149="",$G149=""),"",IF($T149&gt;$G149,
  MAX(0, 60-(($T149-$G149)*24/Config!$B$19)*60),
  MEDIAN(60, 100, 60+(($G149-$T149)*24/Config!$B$20)*40)
)),"")
</f>
        <v/>
      </c>
      <c r="Y149" s="40" t="str">
        <f>IF($J149="","",IFERROR(VLOOKUP($J149,Grinders!$A:$N,10,FALSE),""))</f>
        <v/>
      </c>
      <c r="Z149" s="40" t="str">
        <f>IF($J149="","",IFERROR(VLOOKUP($J149,Grinders!$A:$N,11,FALSE),""))</f>
        <v/>
      </c>
      <c r="AA149" s="40" t="str">
        <f>IF($J149="","",IFERROR(VLOOKUP($J149,Grinders!$A:$N,12,FALSE),""))</f>
        <v/>
      </c>
      <c r="AB149" s="40" t="str">
        <f>IF(OR(AL149=1,AM149=1),0,=IFERROR(IF(OR($C149="",$J149=""),0,IF($D149&lt;&gt;"Open",0,IF(COUNTIFS(GrinderServices!$A:$A,$J149,GrinderServices!$B:$B,$E149,GrinderServices!$D:$D,"Y")=0,0,IF($U149&lt;Config!$B$16,0,IF(Config!$B$18=1,IF($N149&gt;=$M149,0,1),1))))),""))</f>
        <v>#ERROR!</v>
      </c>
      <c r="AC149" s="40" t="str">
        <f>IFERROR((IF(OR(AL149=1,AM149=1),"",=IFERROR((IFERROR(IF($AB149=0,"",((Config!$B$6*$V149 + Config!$B$7*$R149 + Config!$B$8*$W149 + Config!$B$9*$X149 + Config!$B$10*$Y149 + Config!$B$11*$Z149 - Config!$B$12*$AA149)/Config!$B$13)+$AH149+$AI149),""))*(1-IFERROR(VLOOKUP(J149,Grinders!$A:$AB, 28, FALSE),0)),"")))*(1+AO149),"")</f>
        <v>#ERROR!</v>
      </c>
      <c r="AD149" s="40" t="str">
        <f t="shared" si="4"/>
        <v/>
      </c>
      <c r="AE149" s="40" t="str">
        <f>IFERROR(__xludf.DUMMYFUNCTION("IF($AC149="""","""",IF($AC149=IFERROR(MAX(FILTER($AC$6:$AC$1000,$C$6:$C$1000=$C149,$AB$6:$AB$1000=1)),),""WINNER"",""""))"),"#ERROR!")</f>
        <v>#ERROR!</v>
      </c>
      <c r="AF149" s="40" t="str">
        <f t="shared" si="5"/>
        <v/>
      </c>
      <c r="AG149" s="40" t="str">
        <f>IF($J149="","",COUNTIF(Assignments!$B:$B,$J149))</f>
        <v/>
      </c>
      <c r="AH149" s="40" t="str">
        <f>IF($J149="","",IF(AND($AG149=0,$N149&lt;$M149),Config!$B$43,0))</f>
        <v/>
      </c>
      <c r="AI149" s="40" t="str">
        <f>IF($J149="","",IF(AND($L149="Elite",$F149&gt;=Config!$B$41,$N149&lt;$M149),Config!$B$42,0))</f>
        <v/>
      </c>
      <c r="AJ149" s="22"/>
      <c r="AK149" s="39">
        <f>IFERROR(VLOOKUP(J149,Grinders!$A:$Q,28,FALSE),0)</f>
        <v>0</v>
      </c>
      <c r="AL149" s="39">
        <f>IF(Config!$B$1003&lt;&gt;"Y",0,IF(IFERROR(VLOOKUP(J149,Grinders!$A:$P,27,FALSE),0)&gt;=3,IF(OR(F149&gt;=Config!$B$1001,ISNUMBER(SEARCH(E149,Config!$B$1002))),1,0),0))</f>
        <v>0</v>
      </c>
      <c r="AM149" s="39">
        <f t="array" ref="AM149">IFERROR(IF(INDEX(Bids!$AE:$AE,MATCH(B149,Bids!$A:$A,0))="Pending",1,0),0)</f>
        <v>0</v>
      </c>
      <c r="AN149" s="39" t="str">
        <f t="array" ref="AN149">IF(C149="","",IFERROR(XLOOKUP(C149,Assignments!$C:$C,Assignments!$AU:$AU,0),0))</f>
        <v/>
      </c>
      <c r="AO149" s="39">
        <f>IF(AND(Config!$B$1006="Y",AN149=1),Config!$B$1007,0)</f>
        <v>0</v>
      </c>
    </row>
    <row r="150" ht="15.75" customHeight="1">
      <c r="A150" s="46" t="str">
        <f t="shared" si="1"/>
        <v/>
      </c>
      <c r="B150" s="40" t="str">
        <f>IF(Bids!$A150="","",Bids!$A150)</f>
        <v/>
      </c>
      <c r="C150" s="40" t="str">
        <f>IF(Bids!$B150="","",Bids!$B150)</f>
        <v/>
      </c>
      <c r="D150" s="40" t="str">
        <f>IF($C150="","",IFERROR(VLOOKUP($C150,Orders!$A:$J,9,FALSE),""))</f>
        <v/>
      </c>
      <c r="E150" s="40" t="str">
        <f>IF($C150="","",IFERROR(VLOOKUP($C150,Orders!$A:$J,3,FALSE),""))</f>
        <v/>
      </c>
      <c r="F150" s="40" t="str">
        <f>IF($C150="","",IFERROR(VLOOKUP($C150,Orders!$A:$J,4,FALSE),""))</f>
        <v/>
      </c>
      <c r="G150" s="40" t="str">
        <f>IF($C150="","",IFERROR(VLOOKUP($C150,Orders!$A:$J,5,FALSE),""))</f>
        <v/>
      </c>
      <c r="H150" s="40" t="str">
        <f>IF($C150="","",IFERROR(VLOOKUP($C150,Orders!$A:$J,6,FALSE),""))</f>
        <v/>
      </c>
      <c r="I150" s="40" t="str">
        <f>IF($C150="","",IFERROR(VLOOKUP($C150,Orders!$A:$J,7,FALSE),""))</f>
        <v/>
      </c>
      <c r="J150" s="40" t="str">
        <f>IF(Bids!$C150="","",Bids!$C150)</f>
        <v/>
      </c>
      <c r="K150" s="40" t="str">
        <f>IF($J150="","",IFERROR(VLOOKUP($J150,Grinders!$A:$N,2,FALSE),""))</f>
        <v/>
      </c>
      <c r="L150" s="40" t="str">
        <f>IF($J150="","",IFERROR(VLOOKUP($J150,Grinders!$A:$N,3,FALSE),""))</f>
        <v/>
      </c>
      <c r="M150" s="40" t="str">
        <f>IF($J150="","",IFERROR(VLOOKUP($J150,Grinders!$A:$N,4,FALSE),""))</f>
        <v/>
      </c>
      <c r="N150" s="40" t="str">
        <f>IF($J150="","",IFERROR(VLOOKUP($J150,Grinders!$A:$N,5,FALSE),""))</f>
        <v/>
      </c>
      <c r="O150" s="40" t="str">
        <f t="shared" si="2"/>
        <v/>
      </c>
      <c r="P150" s="40" t="str">
        <f>IF($J150="","",IFERROR(VLOOKUP($J150,Grinders!$A:$N,6,FALSE),""))</f>
        <v/>
      </c>
      <c r="Q150" s="40" t="str">
        <f>IF($J150="","",IFERROR(VLOOKUP($J150,Grinders!$A:$N,8,FALSE),""))</f>
        <v/>
      </c>
      <c r="R150" s="40" t="str">
        <f>IFERROR(IF($J150="","",IF($L150="Elite",MAX(50,MIN(100,Config!$B$27*MAX(0,MIN(100,(1-IF($O150="",0,$O150))*100)) + Config!$B$28*MAX(0,MIN(100,(1-MIN(1,IF(Config!$B$30=0,1,$P150/Config!$B$30)))*100)) + Config!$B$29*MAX(0,MIN(100,MIN(1,IF($Q150="",0,$Q150)/Config!$B$23)*100)))),MIN(100,Config!$B$27*MAX(0,MIN(100,(1-IF($O150="",0,$O150))*100)) + Config!$B$28*MAX(0,MIN(100,(1-MIN(1,IF(Config!$B$30=0,1,$P150/Config!$B$30)))*100)) + Config!$B$29*MAX(0,MIN(100,MIN(1,IF($Q150="",0,$Q150)/Config!$B$23)*100))))),"")
</f>
        <v/>
      </c>
      <c r="S150" s="40" t="str">
        <f>IF(Bids!$AC150="","",Bids!$AC150)</f>
        <v/>
      </c>
      <c r="T150" s="40" t="str">
        <f>IF(Bids!$F150="","",Bids!$F150)</f>
        <v/>
      </c>
      <c r="U150" s="40" t="str">
        <f t="shared" si="3"/>
        <v/>
      </c>
      <c r="V150" s="40" t="str">
        <f>IF($U150="","",IF(Config!$B$17=Config!$B$16,IF($U150&gt;=Config!$B$17,100,0),MAX(0,MIN(100,($U150-Config!$B$16)/(Config!$B$17-Config!$B$16)*100))))</f>
        <v/>
      </c>
      <c r="W150" s="40">
        <f>IF($L150="Elite",Config!$B$21,0)</f>
        <v>0</v>
      </c>
      <c r="X150" s="40" t="str">
        <f>IFERROR(IF(OR($T150="",$G150=""),"",IF($T150&gt;$G150,
  MAX(0, 60-(($T150-$G150)*24/Config!$B$19)*60),
  MEDIAN(60, 100, 60+(($G150-$T150)*24/Config!$B$20)*40)
)),"")
</f>
        <v/>
      </c>
      <c r="Y150" s="40" t="str">
        <f>IF($J150="","",IFERROR(VLOOKUP($J150,Grinders!$A:$N,10,FALSE),""))</f>
        <v/>
      </c>
      <c r="Z150" s="40" t="str">
        <f>IF($J150="","",IFERROR(VLOOKUP($J150,Grinders!$A:$N,11,FALSE),""))</f>
        <v/>
      </c>
      <c r="AA150" s="40" t="str">
        <f>IF($J150="","",IFERROR(VLOOKUP($J150,Grinders!$A:$N,12,FALSE),""))</f>
        <v/>
      </c>
      <c r="AB150" s="40" t="str">
        <f>IF(OR(AL150=1,AM150=1),0,=IFERROR(IF(OR($C150="",$J150=""),0,IF($D150&lt;&gt;"Open",0,IF(COUNTIFS(GrinderServices!$A:$A,$J150,GrinderServices!$B:$B,$E150,GrinderServices!$D:$D,"Y")=0,0,IF($U150&lt;Config!$B$16,0,IF(Config!$B$18=1,IF($N150&gt;=$M150,0,1),1))))),""))</f>
        <v>#ERROR!</v>
      </c>
      <c r="AC150" s="40" t="str">
        <f>IFERROR((IF(OR(AL150=1,AM150=1),"",=IFERROR((IFERROR(IF($AB150=0,"",((Config!$B$6*$V150 + Config!$B$7*$R150 + Config!$B$8*$W150 + Config!$B$9*$X150 + Config!$B$10*$Y150 + Config!$B$11*$Z150 - Config!$B$12*$AA150)/Config!$B$13)+$AH150+$AI150),""))*(1-IFERROR(VLOOKUP(J150,Grinders!$A:$AB, 28, FALSE),0)),"")))*(1+AO150),"")</f>
        <v>#ERROR!</v>
      </c>
      <c r="AD150" s="40" t="str">
        <f t="shared" si="4"/>
        <v/>
      </c>
      <c r="AE150" s="40" t="str">
        <f>IFERROR(__xludf.DUMMYFUNCTION("IF($AC150="""","""",IF($AC150=IFERROR(MAX(FILTER($AC$6:$AC$1000,$C$6:$C$1000=$C150,$AB$6:$AB$1000=1)),),""WINNER"",""""))"),"#ERROR!")</f>
        <v>#ERROR!</v>
      </c>
      <c r="AF150" s="40" t="str">
        <f t="shared" si="5"/>
        <v/>
      </c>
      <c r="AG150" s="40" t="str">
        <f>IF($J150="","",COUNTIF(Assignments!$B:$B,$J150))</f>
        <v/>
      </c>
      <c r="AH150" s="40" t="str">
        <f>IF($J150="","",IF(AND($AG150=0,$N150&lt;$M150),Config!$B$43,0))</f>
        <v/>
      </c>
      <c r="AI150" s="40" t="str">
        <f>IF($J150="","",IF(AND($L150="Elite",$F150&gt;=Config!$B$41,$N150&lt;$M150),Config!$B$42,0))</f>
        <v/>
      </c>
      <c r="AJ150" s="22"/>
      <c r="AK150" s="39">
        <f>IFERROR(VLOOKUP(J150,Grinders!$A:$Q,28,FALSE),0)</f>
        <v>0</v>
      </c>
      <c r="AL150" s="39">
        <f>IF(Config!$B$1003&lt;&gt;"Y",0,IF(IFERROR(VLOOKUP(J150,Grinders!$A:$P,27,FALSE),0)&gt;=3,IF(OR(F150&gt;=Config!$B$1001,ISNUMBER(SEARCH(E150,Config!$B$1002))),1,0),0))</f>
        <v>0</v>
      </c>
      <c r="AM150" s="39">
        <f t="array" ref="AM150">IFERROR(IF(INDEX(Bids!$AE:$AE,MATCH(B150,Bids!$A:$A,0))="Pending",1,0),0)</f>
        <v>0</v>
      </c>
      <c r="AN150" s="39" t="str">
        <f t="array" ref="AN150">IF(C150="","",IFERROR(XLOOKUP(C150,Assignments!$C:$C,Assignments!$AU:$AU,0),0))</f>
        <v/>
      </c>
      <c r="AO150" s="39">
        <f>IF(AND(Config!$B$1006="Y",AN150=1),Config!$B$1007,0)</f>
        <v>0</v>
      </c>
    </row>
    <row r="151" ht="15.75" customHeight="1">
      <c r="A151" s="46" t="str">
        <f t="shared" si="1"/>
        <v/>
      </c>
      <c r="B151" s="40" t="str">
        <f>IF(Bids!$A151="","",Bids!$A151)</f>
        <v/>
      </c>
      <c r="C151" s="40" t="str">
        <f>IF(Bids!$B151="","",Bids!$B151)</f>
        <v/>
      </c>
      <c r="D151" s="40" t="str">
        <f>IF($C151="","",IFERROR(VLOOKUP($C151,Orders!$A:$J,9,FALSE),""))</f>
        <v/>
      </c>
      <c r="E151" s="40" t="str">
        <f>IF($C151="","",IFERROR(VLOOKUP($C151,Orders!$A:$J,3,FALSE),""))</f>
        <v/>
      </c>
      <c r="F151" s="40" t="str">
        <f>IF($C151="","",IFERROR(VLOOKUP($C151,Orders!$A:$J,4,FALSE),""))</f>
        <v/>
      </c>
      <c r="G151" s="40" t="str">
        <f>IF($C151="","",IFERROR(VLOOKUP($C151,Orders!$A:$J,5,FALSE),""))</f>
        <v/>
      </c>
      <c r="H151" s="40" t="str">
        <f>IF($C151="","",IFERROR(VLOOKUP($C151,Orders!$A:$J,6,FALSE),""))</f>
        <v/>
      </c>
      <c r="I151" s="40" t="str">
        <f>IF($C151="","",IFERROR(VLOOKUP($C151,Orders!$A:$J,7,FALSE),""))</f>
        <v/>
      </c>
      <c r="J151" s="40" t="str">
        <f>IF(Bids!$C151="","",Bids!$C151)</f>
        <v/>
      </c>
      <c r="K151" s="40" t="str">
        <f>IF($J151="","",IFERROR(VLOOKUP($J151,Grinders!$A:$N,2,FALSE),""))</f>
        <v/>
      </c>
      <c r="L151" s="40" t="str">
        <f>IF($J151="","",IFERROR(VLOOKUP($J151,Grinders!$A:$N,3,FALSE),""))</f>
        <v/>
      </c>
      <c r="M151" s="40" t="str">
        <f>IF($J151="","",IFERROR(VLOOKUP($J151,Grinders!$A:$N,4,FALSE),""))</f>
        <v/>
      </c>
      <c r="N151" s="40" t="str">
        <f>IF($J151="","",IFERROR(VLOOKUP($J151,Grinders!$A:$N,5,FALSE),""))</f>
        <v/>
      </c>
      <c r="O151" s="40" t="str">
        <f t="shared" si="2"/>
        <v/>
      </c>
      <c r="P151" s="40" t="str">
        <f>IF($J151="","",IFERROR(VLOOKUP($J151,Grinders!$A:$N,6,FALSE),""))</f>
        <v/>
      </c>
      <c r="Q151" s="40" t="str">
        <f>IF($J151="","",IFERROR(VLOOKUP($J151,Grinders!$A:$N,8,FALSE),""))</f>
        <v/>
      </c>
      <c r="R151" s="40" t="str">
        <f>IFERROR(IF($J151="","",IF($L151="Elite",MAX(50,MIN(100,Config!$B$27*MAX(0,MIN(100,(1-IF($O151="",0,$O151))*100)) + Config!$B$28*MAX(0,MIN(100,(1-MIN(1,IF(Config!$B$30=0,1,$P151/Config!$B$30)))*100)) + Config!$B$29*MAX(0,MIN(100,MIN(1,IF($Q151="",0,$Q151)/Config!$B$23)*100)))),MIN(100,Config!$B$27*MAX(0,MIN(100,(1-IF($O151="",0,$O151))*100)) + Config!$B$28*MAX(0,MIN(100,(1-MIN(1,IF(Config!$B$30=0,1,$P151/Config!$B$30)))*100)) + Config!$B$29*MAX(0,MIN(100,MIN(1,IF($Q151="",0,$Q151)/Config!$B$23)*100))))),"")
</f>
        <v/>
      </c>
      <c r="S151" s="40" t="str">
        <f>IF(Bids!$AC151="","",Bids!$AC151)</f>
        <v/>
      </c>
      <c r="T151" s="40" t="str">
        <f>IF(Bids!$F151="","",Bids!$F151)</f>
        <v/>
      </c>
      <c r="U151" s="40" t="str">
        <f t="shared" si="3"/>
        <v/>
      </c>
      <c r="V151" s="40" t="str">
        <f>IF($U151="","",IF(Config!$B$17=Config!$B$16,IF($U151&gt;=Config!$B$17,100,0),MAX(0,MIN(100,($U151-Config!$B$16)/(Config!$B$17-Config!$B$16)*100))))</f>
        <v/>
      </c>
      <c r="W151" s="40">
        <f>IF($L151="Elite",Config!$B$21,0)</f>
        <v>0</v>
      </c>
      <c r="X151" s="40" t="str">
        <f>IFERROR(IF(OR($T151="",$G151=""),"",IF($T151&gt;$G151,
  MAX(0, 60-(($T151-$G151)*24/Config!$B$19)*60),
  MEDIAN(60, 100, 60+(($G151-$T151)*24/Config!$B$20)*40)
)),"")
</f>
        <v/>
      </c>
      <c r="Y151" s="40" t="str">
        <f>IF($J151="","",IFERROR(VLOOKUP($J151,Grinders!$A:$N,10,FALSE),""))</f>
        <v/>
      </c>
      <c r="Z151" s="40" t="str">
        <f>IF($J151="","",IFERROR(VLOOKUP($J151,Grinders!$A:$N,11,FALSE),""))</f>
        <v/>
      </c>
      <c r="AA151" s="40" t="str">
        <f>IF($J151="","",IFERROR(VLOOKUP($J151,Grinders!$A:$N,12,FALSE),""))</f>
        <v/>
      </c>
      <c r="AB151" s="40" t="str">
        <f>IF(OR(AL151=1,AM151=1),0,=IFERROR(IF(OR($C151="",$J151=""),0,IF($D151&lt;&gt;"Open",0,IF(COUNTIFS(GrinderServices!$A:$A,$J151,GrinderServices!$B:$B,$E151,GrinderServices!$D:$D,"Y")=0,0,IF($U151&lt;Config!$B$16,0,IF(Config!$B$18=1,IF($N151&gt;=$M151,0,1),1))))),""))</f>
        <v>#ERROR!</v>
      </c>
      <c r="AC151" s="40" t="str">
        <f>IFERROR((IF(OR(AL151=1,AM151=1),"",=IFERROR((IFERROR(IF($AB151=0,"",((Config!$B$6*$V151 + Config!$B$7*$R151 + Config!$B$8*$W151 + Config!$B$9*$X151 + Config!$B$10*$Y151 + Config!$B$11*$Z151 - Config!$B$12*$AA151)/Config!$B$13)+$AH151+$AI151),""))*(1-IFERROR(VLOOKUP(J151,Grinders!$A:$AB, 28, FALSE),0)),"")))*(1+AO151),"")</f>
        <v>#ERROR!</v>
      </c>
      <c r="AD151" s="40" t="str">
        <f t="shared" si="4"/>
        <v/>
      </c>
      <c r="AE151" s="40" t="str">
        <f>IFERROR(__xludf.DUMMYFUNCTION("IF($AC151="""","""",IF($AC151=IFERROR(MAX(FILTER($AC$6:$AC$1000,$C$6:$C$1000=$C151,$AB$6:$AB$1000=1)),),""WINNER"",""""))"),"#ERROR!")</f>
        <v>#ERROR!</v>
      </c>
      <c r="AF151" s="40" t="str">
        <f t="shared" si="5"/>
        <v/>
      </c>
      <c r="AG151" s="40" t="str">
        <f>IF($J151="","",COUNTIF(Assignments!$B:$B,$J151))</f>
        <v/>
      </c>
      <c r="AH151" s="40" t="str">
        <f>IF($J151="","",IF(AND($AG151=0,$N151&lt;$M151),Config!$B$43,0))</f>
        <v/>
      </c>
      <c r="AI151" s="40" t="str">
        <f>IF($J151="","",IF(AND($L151="Elite",$F151&gt;=Config!$B$41,$N151&lt;$M151),Config!$B$42,0))</f>
        <v/>
      </c>
      <c r="AJ151" s="22"/>
      <c r="AK151" s="39">
        <f>IFERROR(VLOOKUP(J151,Grinders!$A:$Q,28,FALSE),0)</f>
        <v>0</v>
      </c>
      <c r="AL151" s="39">
        <f>IF(Config!$B$1003&lt;&gt;"Y",0,IF(IFERROR(VLOOKUP(J151,Grinders!$A:$P,27,FALSE),0)&gt;=3,IF(OR(F151&gt;=Config!$B$1001,ISNUMBER(SEARCH(E151,Config!$B$1002))),1,0),0))</f>
        <v>0</v>
      </c>
      <c r="AM151" s="39">
        <f t="array" ref="AM151">IFERROR(IF(INDEX(Bids!$AE:$AE,MATCH(B151,Bids!$A:$A,0))="Pending",1,0),0)</f>
        <v>0</v>
      </c>
      <c r="AN151" s="39" t="str">
        <f t="array" ref="AN151">IF(C151="","",IFERROR(XLOOKUP(C151,Assignments!$C:$C,Assignments!$AU:$AU,0),0))</f>
        <v/>
      </c>
      <c r="AO151" s="39">
        <f>IF(AND(Config!$B$1006="Y",AN151=1),Config!$B$1007,0)</f>
        <v>0</v>
      </c>
    </row>
    <row r="152" ht="15.75" customHeight="1">
      <c r="A152" s="46" t="str">
        <f t="shared" si="1"/>
        <v/>
      </c>
      <c r="B152" s="40" t="str">
        <f>IF(Bids!$A152="","",Bids!$A152)</f>
        <v/>
      </c>
      <c r="C152" s="40" t="str">
        <f>IF(Bids!$B152="","",Bids!$B152)</f>
        <v/>
      </c>
      <c r="D152" s="40" t="str">
        <f>IF($C152="","",IFERROR(VLOOKUP($C152,Orders!$A:$J,9,FALSE),""))</f>
        <v/>
      </c>
      <c r="E152" s="40" t="str">
        <f>IF($C152="","",IFERROR(VLOOKUP($C152,Orders!$A:$J,3,FALSE),""))</f>
        <v/>
      </c>
      <c r="F152" s="40" t="str">
        <f>IF($C152="","",IFERROR(VLOOKUP($C152,Orders!$A:$J,4,FALSE),""))</f>
        <v/>
      </c>
      <c r="G152" s="40" t="str">
        <f>IF($C152="","",IFERROR(VLOOKUP($C152,Orders!$A:$J,5,FALSE),""))</f>
        <v/>
      </c>
      <c r="H152" s="40" t="str">
        <f>IF($C152="","",IFERROR(VLOOKUP($C152,Orders!$A:$J,6,FALSE),""))</f>
        <v/>
      </c>
      <c r="I152" s="40" t="str">
        <f>IF($C152="","",IFERROR(VLOOKUP($C152,Orders!$A:$J,7,FALSE),""))</f>
        <v/>
      </c>
      <c r="J152" s="40" t="str">
        <f>IF(Bids!$C152="","",Bids!$C152)</f>
        <v/>
      </c>
      <c r="K152" s="40" t="str">
        <f>IF($J152="","",IFERROR(VLOOKUP($J152,Grinders!$A:$N,2,FALSE),""))</f>
        <v/>
      </c>
      <c r="L152" s="40" t="str">
        <f>IF($J152="","",IFERROR(VLOOKUP($J152,Grinders!$A:$N,3,FALSE),""))</f>
        <v/>
      </c>
      <c r="M152" s="40" t="str">
        <f>IF($J152="","",IFERROR(VLOOKUP($J152,Grinders!$A:$N,4,FALSE),""))</f>
        <v/>
      </c>
      <c r="N152" s="40" t="str">
        <f>IF($J152="","",IFERROR(VLOOKUP($J152,Grinders!$A:$N,5,FALSE),""))</f>
        <v/>
      </c>
      <c r="O152" s="40" t="str">
        <f t="shared" si="2"/>
        <v/>
      </c>
      <c r="P152" s="40" t="str">
        <f>IF($J152="","",IFERROR(VLOOKUP($J152,Grinders!$A:$N,6,FALSE),""))</f>
        <v/>
      </c>
      <c r="Q152" s="40" t="str">
        <f>IF($J152="","",IFERROR(VLOOKUP($J152,Grinders!$A:$N,8,FALSE),""))</f>
        <v/>
      </c>
      <c r="R152" s="40" t="str">
        <f>IFERROR(IF($J152="","",IF($L152="Elite",MAX(50,MIN(100,Config!$B$27*MAX(0,MIN(100,(1-IF($O152="",0,$O152))*100)) + Config!$B$28*MAX(0,MIN(100,(1-MIN(1,IF(Config!$B$30=0,1,$P152/Config!$B$30)))*100)) + Config!$B$29*MAX(0,MIN(100,MIN(1,IF($Q152="",0,$Q152)/Config!$B$23)*100)))),MIN(100,Config!$B$27*MAX(0,MIN(100,(1-IF($O152="",0,$O152))*100)) + Config!$B$28*MAX(0,MIN(100,(1-MIN(1,IF(Config!$B$30=0,1,$P152/Config!$B$30)))*100)) + Config!$B$29*MAX(0,MIN(100,MIN(1,IF($Q152="",0,$Q152)/Config!$B$23)*100))))),"")
</f>
        <v/>
      </c>
      <c r="S152" s="40" t="str">
        <f>IF(Bids!$AC152="","",Bids!$AC152)</f>
        <v/>
      </c>
      <c r="T152" s="40" t="str">
        <f>IF(Bids!$F152="","",Bids!$F152)</f>
        <v/>
      </c>
      <c r="U152" s="40" t="str">
        <f t="shared" si="3"/>
        <v/>
      </c>
      <c r="V152" s="40" t="str">
        <f>IF($U152="","",IF(Config!$B$17=Config!$B$16,IF($U152&gt;=Config!$B$17,100,0),MAX(0,MIN(100,($U152-Config!$B$16)/(Config!$B$17-Config!$B$16)*100))))</f>
        <v/>
      </c>
      <c r="W152" s="40">
        <f>IF($L152="Elite",Config!$B$21,0)</f>
        <v>0</v>
      </c>
      <c r="X152" s="40" t="str">
        <f>IFERROR(IF(OR($T152="",$G152=""),"",IF($T152&gt;$G152,
  MAX(0, 60-(($T152-$G152)*24/Config!$B$19)*60),
  MEDIAN(60, 100, 60+(($G152-$T152)*24/Config!$B$20)*40)
)),"")
</f>
        <v/>
      </c>
      <c r="Y152" s="40" t="str">
        <f>IF($J152="","",IFERROR(VLOOKUP($J152,Grinders!$A:$N,10,FALSE),""))</f>
        <v/>
      </c>
      <c r="Z152" s="40" t="str">
        <f>IF($J152="","",IFERROR(VLOOKUP($J152,Grinders!$A:$N,11,FALSE),""))</f>
        <v/>
      </c>
      <c r="AA152" s="40" t="str">
        <f>IF($J152="","",IFERROR(VLOOKUP($J152,Grinders!$A:$N,12,FALSE),""))</f>
        <v/>
      </c>
      <c r="AB152" s="40" t="str">
        <f>IF(OR(AL152=1,AM152=1),0,=IFERROR(IF(OR($C152="",$J152=""),0,IF($D152&lt;&gt;"Open",0,IF(COUNTIFS(GrinderServices!$A:$A,$J152,GrinderServices!$B:$B,$E152,GrinderServices!$D:$D,"Y")=0,0,IF($U152&lt;Config!$B$16,0,IF(Config!$B$18=1,IF($N152&gt;=$M152,0,1),1))))),""))</f>
        <v>#ERROR!</v>
      </c>
      <c r="AC152" s="40" t="str">
        <f>IFERROR((IF(OR(AL152=1,AM152=1),"",=IFERROR((IFERROR(IF($AB152=0,"",((Config!$B$6*$V152 + Config!$B$7*$R152 + Config!$B$8*$W152 + Config!$B$9*$X152 + Config!$B$10*$Y152 + Config!$B$11*$Z152 - Config!$B$12*$AA152)/Config!$B$13)+$AH152+$AI152),""))*(1-IFERROR(VLOOKUP(J152,Grinders!$A:$AB, 28, FALSE),0)),"")))*(1+AO152),"")</f>
        <v>#ERROR!</v>
      </c>
      <c r="AD152" s="40" t="str">
        <f t="shared" si="4"/>
        <v/>
      </c>
      <c r="AE152" s="40" t="str">
        <f>IFERROR(__xludf.DUMMYFUNCTION("IF($AC152="""","""",IF($AC152=IFERROR(MAX(FILTER($AC$6:$AC$1000,$C$6:$C$1000=$C152,$AB$6:$AB$1000=1)),),""WINNER"",""""))"),"#ERROR!")</f>
        <v>#ERROR!</v>
      </c>
      <c r="AF152" s="40" t="str">
        <f t="shared" si="5"/>
        <v/>
      </c>
      <c r="AG152" s="40" t="str">
        <f>IF($J152="","",COUNTIF(Assignments!$B:$B,$J152))</f>
        <v/>
      </c>
      <c r="AH152" s="40" t="str">
        <f>IF($J152="","",IF(AND($AG152=0,$N152&lt;$M152),Config!$B$43,0))</f>
        <v/>
      </c>
      <c r="AI152" s="40" t="str">
        <f>IF($J152="","",IF(AND($L152="Elite",$F152&gt;=Config!$B$41,$N152&lt;$M152),Config!$B$42,0))</f>
        <v/>
      </c>
      <c r="AJ152" s="22"/>
      <c r="AK152" s="39">
        <f>IFERROR(VLOOKUP(J152,Grinders!$A:$Q,28,FALSE),0)</f>
        <v>0</v>
      </c>
      <c r="AL152" s="39">
        <f>IF(Config!$B$1003&lt;&gt;"Y",0,IF(IFERROR(VLOOKUP(J152,Grinders!$A:$P,27,FALSE),0)&gt;=3,IF(OR(F152&gt;=Config!$B$1001,ISNUMBER(SEARCH(E152,Config!$B$1002))),1,0),0))</f>
        <v>0</v>
      </c>
      <c r="AM152" s="39">
        <f t="array" ref="AM152">IFERROR(IF(INDEX(Bids!$AE:$AE,MATCH(B152,Bids!$A:$A,0))="Pending",1,0),0)</f>
        <v>0</v>
      </c>
      <c r="AN152" s="39" t="str">
        <f t="array" ref="AN152">IF(C152="","",IFERROR(XLOOKUP(C152,Assignments!$C:$C,Assignments!$AU:$AU,0),0))</f>
        <v/>
      </c>
      <c r="AO152" s="39">
        <f>IF(AND(Config!$B$1006="Y",AN152=1),Config!$B$1007,0)</f>
        <v>0</v>
      </c>
    </row>
    <row r="153" ht="15.75" customHeight="1">
      <c r="A153" s="46" t="str">
        <f t="shared" si="1"/>
        <v/>
      </c>
      <c r="B153" s="40" t="str">
        <f>IF(Bids!$A153="","",Bids!$A153)</f>
        <v/>
      </c>
      <c r="C153" s="40" t="str">
        <f>IF(Bids!$B153="","",Bids!$B153)</f>
        <v/>
      </c>
      <c r="D153" s="40" t="str">
        <f>IF($C153="","",IFERROR(VLOOKUP($C153,Orders!$A:$J,9,FALSE),""))</f>
        <v/>
      </c>
      <c r="E153" s="40" t="str">
        <f>IF($C153="","",IFERROR(VLOOKUP($C153,Orders!$A:$J,3,FALSE),""))</f>
        <v/>
      </c>
      <c r="F153" s="40" t="str">
        <f>IF($C153="","",IFERROR(VLOOKUP($C153,Orders!$A:$J,4,FALSE),""))</f>
        <v/>
      </c>
      <c r="G153" s="40" t="str">
        <f>IF($C153="","",IFERROR(VLOOKUP($C153,Orders!$A:$J,5,FALSE),""))</f>
        <v/>
      </c>
      <c r="H153" s="40" t="str">
        <f>IF($C153="","",IFERROR(VLOOKUP($C153,Orders!$A:$J,6,FALSE),""))</f>
        <v/>
      </c>
      <c r="I153" s="40" t="str">
        <f>IF($C153="","",IFERROR(VLOOKUP($C153,Orders!$A:$J,7,FALSE),""))</f>
        <v/>
      </c>
      <c r="J153" s="40" t="str">
        <f>IF(Bids!$C153="","",Bids!$C153)</f>
        <v/>
      </c>
      <c r="K153" s="40" t="str">
        <f>IF($J153="","",IFERROR(VLOOKUP($J153,Grinders!$A:$N,2,FALSE),""))</f>
        <v/>
      </c>
      <c r="L153" s="40" t="str">
        <f>IF($J153="","",IFERROR(VLOOKUP($J153,Grinders!$A:$N,3,FALSE),""))</f>
        <v/>
      </c>
      <c r="M153" s="40" t="str">
        <f>IF($J153="","",IFERROR(VLOOKUP($J153,Grinders!$A:$N,4,FALSE),""))</f>
        <v/>
      </c>
      <c r="N153" s="40" t="str">
        <f>IF($J153="","",IFERROR(VLOOKUP($J153,Grinders!$A:$N,5,FALSE),""))</f>
        <v/>
      </c>
      <c r="O153" s="40" t="str">
        <f t="shared" si="2"/>
        <v/>
      </c>
      <c r="P153" s="40" t="str">
        <f>IF($J153="","",IFERROR(VLOOKUP($J153,Grinders!$A:$N,6,FALSE),""))</f>
        <v/>
      </c>
      <c r="Q153" s="40" t="str">
        <f>IF($J153="","",IFERROR(VLOOKUP($J153,Grinders!$A:$N,8,FALSE),""))</f>
        <v/>
      </c>
      <c r="R153" s="40" t="str">
        <f>IFERROR(IF($J153="","",IF($L153="Elite",MAX(50,MIN(100,Config!$B$27*MAX(0,MIN(100,(1-IF($O153="",0,$O153))*100)) + Config!$B$28*MAX(0,MIN(100,(1-MIN(1,IF(Config!$B$30=0,1,$P153/Config!$B$30)))*100)) + Config!$B$29*MAX(0,MIN(100,MIN(1,IF($Q153="",0,$Q153)/Config!$B$23)*100)))),MIN(100,Config!$B$27*MAX(0,MIN(100,(1-IF($O153="",0,$O153))*100)) + Config!$B$28*MAX(0,MIN(100,(1-MIN(1,IF(Config!$B$30=0,1,$P153/Config!$B$30)))*100)) + Config!$B$29*MAX(0,MIN(100,MIN(1,IF($Q153="",0,$Q153)/Config!$B$23)*100))))),"")
</f>
        <v/>
      </c>
      <c r="S153" s="40" t="str">
        <f>IF(Bids!$AC153="","",Bids!$AC153)</f>
        <v/>
      </c>
      <c r="T153" s="40" t="str">
        <f>IF(Bids!$F153="","",Bids!$F153)</f>
        <v/>
      </c>
      <c r="U153" s="40" t="str">
        <f t="shared" si="3"/>
        <v/>
      </c>
      <c r="V153" s="40" t="str">
        <f>IF($U153="","",IF(Config!$B$17=Config!$B$16,IF($U153&gt;=Config!$B$17,100,0),MAX(0,MIN(100,($U153-Config!$B$16)/(Config!$B$17-Config!$B$16)*100))))</f>
        <v/>
      </c>
      <c r="W153" s="40">
        <f>IF($L153="Elite",Config!$B$21,0)</f>
        <v>0</v>
      </c>
      <c r="X153" s="40" t="str">
        <f>IFERROR(IF(OR($T153="",$G153=""),"",IF($T153&gt;$G153,
  MAX(0, 60-(($T153-$G153)*24/Config!$B$19)*60),
  MEDIAN(60, 100, 60+(($G153-$T153)*24/Config!$B$20)*40)
)),"")
</f>
        <v/>
      </c>
      <c r="Y153" s="40" t="str">
        <f>IF($J153="","",IFERROR(VLOOKUP($J153,Grinders!$A:$N,10,FALSE),""))</f>
        <v/>
      </c>
      <c r="Z153" s="40" t="str">
        <f>IF($J153="","",IFERROR(VLOOKUP($J153,Grinders!$A:$N,11,FALSE),""))</f>
        <v/>
      </c>
      <c r="AA153" s="40" t="str">
        <f>IF($J153="","",IFERROR(VLOOKUP($J153,Grinders!$A:$N,12,FALSE),""))</f>
        <v/>
      </c>
      <c r="AB153" s="40" t="str">
        <f>IF(OR(AL153=1,AM153=1),0,=IFERROR(IF(OR($C153="",$J153=""),0,IF($D153&lt;&gt;"Open",0,IF(COUNTIFS(GrinderServices!$A:$A,$J153,GrinderServices!$B:$B,$E153,GrinderServices!$D:$D,"Y")=0,0,IF($U153&lt;Config!$B$16,0,IF(Config!$B$18=1,IF($N153&gt;=$M153,0,1),1))))),""))</f>
        <v>#ERROR!</v>
      </c>
      <c r="AC153" s="40" t="str">
        <f>IFERROR((IF(OR(AL153=1,AM153=1),"",=IFERROR((IFERROR(IF($AB153=0,"",((Config!$B$6*$V153 + Config!$B$7*$R153 + Config!$B$8*$W153 + Config!$B$9*$X153 + Config!$B$10*$Y153 + Config!$B$11*$Z153 - Config!$B$12*$AA153)/Config!$B$13)+$AH153+$AI153),""))*(1-IFERROR(VLOOKUP(J153,Grinders!$A:$AB, 28, FALSE),0)),"")))*(1+AO153),"")</f>
        <v>#ERROR!</v>
      </c>
      <c r="AD153" s="40" t="str">
        <f t="shared" si="4"/>
        <v/>
      </c>
      <c r="AE153" s="40" t="str">
        <f>IFERROR(__xludf.DUMMYFUNCTION("IF($AC153="""","""",IF($AC153=IFERROR(MAX(FILTER($AC$6:$AC$1000,$C$6:$C$1000=$C153,$AB$6:$AB$1000=1)),),""WINNER"",""""))"),"#ERROR!")</f>
        <v>#ERROR!</v>
      </c>
      <c r="AF153" s="40" t="str">
        <f t="shared" si="5"/>
        <v/>
      </c>
      <c r="AG153" s="40" t="str">
        <f>IF($J153="","",COUNTIF(Assignments!$B:$B,$J153))</f>
        <v/>
      </c>
      <c r="AH153" s="40" t="str">
        <f>IF($J153="","",IF(AND($AG153=0,$N153&lt;$M153),Config!$B$43,0))</f>
        <v/>
      </c>
      <c r="AI153" s="40" t="str">
        <f>IF($J153="","",IF(AND($L153="Elite",$F153&gt;=Config!$B$41,$N153&lt;$M153),Config!$B$42,0))</f>
        <v/>
      </c>
      <c r="AJ153" s="22"/>
      <c r="AK153" s="39">
        <f>IFERROR(VLOOKUP(J153,Grinders!$A:$Q,28,FALSE),0)</f>
        <v>0</v>
      </c>
      <c r="AL153" s="39">
        <f>IF(Config!$B$1003&lt;&gt;"Y",0,IF(IFERROR(VLOOKUP(J153,Grinders!$A:$P,27,FALSE),0)&gt;=3,IF(OR(F153&gt;=Config!$B$1001,ISNUMBER(SEARCH(E153,Config!$B$1002))),1,0),0))</f>
        <v>0</v>
      </c>
      <c r="AM153" s="39">
        <f t="array" ref="AM153">IFERROR(IF(INDEX(Bids!$AE:$AE,MATCH(B153,Bids!$A:$A,0))="Pending",1,0),0)</f>
        <v>0</v>
      </c>
      <c r="AN153" s="39" t="str">
        <f t="array" ref="AN153">IF(C153="","",IFERROR(XLOOKUP(C153,Assignments!$C:$C,Assignments!$AU:$AU,0),0))</f>
        <v/>
      </c>
      <c r="AO153" s="39">
        <f>IF(AND(Config!$B$1006="Y",AN153=1),Config!$B$1007,0)</f>
        <v>0</v>
      </c>
    </row>
    <row r="154" ht="15.75" customHeight="1">
      <c r="A154" s="46" t="str">
        <f t="shared" si="1"/>
        <v/>
      </c>
      <c r="B154" s="40" t="str">
        <f>IF(Bids!$A154="","",Bids!$A154)</f>
        <v/>
      </c>
      <c r="C154" s="40" t="str">
        <f>IF(Bids!$B154="","",Bids!$B154)</f>
        <v/>
      </c>
      <c r="D154" s="40" t="str">
        <f>IF($C154="","",IFERROR(VLOOKUP($C154,Orders!$A:$J,9,FALSE),""))</f>
        <v/>
      </c>
      <c r="E154" s="40" t="str">
        <f>IF($C154="","",IFERROR(VLOOKUP($C154,Orders!$A:$J,3,FALSE),""))</f>
        <v/>
      </c>
      <c r="F154" s="40" t="str">
        <f>IF($C154="","",IFERROR(VLOOKUP($C154,Orders!$A:$J,4,FALSE),""))</f>
        <v/>
      </c>
      <c r="G154" s="40" t="str">
        <f>IF($C154="","",IFERROR(VLOOKUP($C154,Orders!$A:$J,5,FALSE),""))</f>
        <v/>
      </c>
      <c r="H154" s="40" t="str">
        <f>IF($C154="","",IFERROR(VLOOKUP($C154,Orders!$A:$J,6,FALSE),""))</f>
        <v/>
      </c>
      <c r="I154" s="40" t="str">
        <f>IF($C154="","",IFERROR(VLOOKUP($C154,Orders!$A:$J,7,FALSE),""))</f>
        <v/>
      </c>
      <c r="J154" s="40" t="str">
        <f>IF(Bids!$C154="","",Bids!$C154)</f>
        <v/>
      </c>
      <c r="K154" s="40" t="str">
        <f>IF($J154="","",IFERROR(VLOOKUP($J154,Grinders!$A:$N,2,FALSE),""))</f>
        <v/>
      </c>
      <c r="L154" s="40" t="str">
        <f>IF($J154="","",IFERROR(VLOOKUP($J154,Grinders!$A:$N,3,FALSE),""))</f>
        <v/>
      </c>
      <c r="M154" s="40" t="str">
        <f>IF($J154="","",IFERROR(VLOOKUP($J154,Grinders!$A:$N,4,FALSE),""))</f>
        <v/>
      </c>
      <c r="N154" s="40" t="str">
        <f>IF($J154="","",IFERROR(VLOOKUP($J154,Grinders!$A:$N,5,FALSE),""))</f>
        <v/>
      </c>
      <c r="O154" s="40" t="str">
        <f t="shared" si="2"/>
        <v/>
      </c>
      <c r="P154" s="40" t="str">
        <f>IF($J154="","",IFERROR(VLOOKUP($J154,Grinders!$A:$N,6,FALSE),""))</f>
        <v/>
      </c>
      <c r="Q154" s="40" t="str">
        <f>IF($J154="","",IFERROR(VLOOKUP($J154,Grinders!$A:$N,8,FALSE),""))</f>
        <v/>
      </c>
      <c r="R154" s="40" t="str">
        <f>IFERROR(IF($J154="","",IF($L154="Elite",MAX(50,MIN(100,Config!$B$27*MAX(0,MIN(100,(1-IF($O154="",0,$O154))*100)) + Config!$B$28*MAX(0,MIN(100,(1-MIN(1,IF(Config!$B$30=0,1,$P154/Config!$B$30)))*100)) + Config!$B$29*MAX(0,MIN(100,MIN(1,IF($Q154="",0,$Q154)/Config!$B$23)*100)))),MIN(100,Config!$B$27*MAX(0,MIN(100,(1-IF($O154="",0,$O154))*100)) + Config!$B$28*MAX(0,MIN(100,(1-MIN(1,IF(Config!$B$30=0,1,$P154/Config!$B$30)))*100)) + Config!$B$29*MAX(0,MIN(100,MIN(1,IF($Q154="",0,$Q154)/Config!$B$23)*100))))),"")
</f>
        <v/>
      </c>
      <c r="S154" s="40" t="str">
        <f>IF(Bids!$AC154="","",Bids!$AC154)</f>
        <v/>
      </c>
      <c r="T154" s="40" t="str">
        <f>IF(Bids!$F154="","",Bids!$F154)</f>
        <v/>
      </c>
      <c r="U154" s="40" t="str">
        <f t="shared" si="3"/>
        <v/>
      </c>
      <c r="V154" s="40" t="str">
        <f>IF($U154="","",IF(Config!$B$17=Config!$B$16,IF($U154&gt;=Config!$B$17,100,0),MAX(0,MIN(100,($U154-Config!$B$16)/(Config!$B$17-Config!$B$16)*100))))</f>
        <v/>
      </c>
      <c r="W154" s="40">
        <f>IF($L154="Elite",Config!$B$21,0)</f>
        <v>0</v>
      </c>
      <c r="X154" s="40" t="str">
        <f>IFERROR(IF(OR($T154="",$G154=""),"",IF($T154&gt;$G154,
  MAX(0, 60-(($T154-$G154)*24/Config!$B$19)*60),
  MEDIAN(60, 100, 60+(($G154-$T154)*24/Config!$B$20)*40)
)),"")
</f>
        <v/>
      </c>
      <c r="Y154" s="40" t="str">
        <f>IF($J154="","",IFERROR(VLOOKUP($J154,Grinders!$A:$N,10,FALSE),""))</f>
        <v/>
      </c>
      <c r="Z154" s="40" t="str">
        <f>IF($J154="","",IFERROR(VLOOKUP($J154,Grinders!$A:$N,11,FALSE),""))</f>
        <v/>
      </c>
      <c r="AA154" s="40" t="str">
        <f>IF($J154="","",IFERROR(VLOOKUP($J154,Grinders!$A:$N,12,FALSE),""))</f>
        <v/>
      </c>
      <c r="AB154" s="40" t="str">
        <f>IF(OR(AL154=1,AM154=1),0,=IFERROR(IF(OR($C154="",$J154=""),0,IF($D154&lt;&gt;"Open",0,IF(COUNTIFS(GrinderServices!$A:$A,$J154,GrinderServices!$B:$B,$E154,GrinderServices!$D:$D,"Y")=0,0,IF($U154&lt;Config!$B$16,0,IF(Config!$B$18=1,IF($N154&gt;=$M154,0,1),1))))),""))</f>
        <v>#ERROR!</v>
      </c>
      <c r="AC154" s="40" t="str">
        <f>IFERROR((IF(OR(AL154=1,AM154=1),"",=IFERROR((IFERROR(IF($AB154=0,"",((Config!$B$6*$V154 + Config!$B$7*$R154 + Config!$B$8*$W154 + Config!$B$9*$X154 + Config!$B$10*$Y154 + Config!$B$11*$Z154 - Config!$B$12*$AA154)/Config!$B$13)+$AH154+$AI154),""))*(1-IFERROR(VLOOKUP(J154,Grinders!$A:$AB, 28, FALSE),0)),"")))*(1+AO154),"")</f>
        <v>#ERROR!</v>
      </c>
      <c r="AD154" s="40" t="str">
        <f t="shared" si="4"/>
        <v/>
      </c>
      <c r="AE154" s="40" t="str">
        <f>IFERROR(__xludf.DUMMYFUNCTION("IF($AC154="""","""",IF($AC154=IFERROR(MAX(FILTER($AC$6:$AC$1000,$C$6:$C$1000=$C154,$AB$6:$AB$1000=1)),),""WINNER"",""""))"),"#ERROR!")</f>
        <v>#ERROR!</v>
      </c>
      <c r="AF154" s="40" t="str">
        <f t="shared" si="5"/>
        <v/>
      </c>
      <c r="AG154" s="40" t="str">
        <f>IF($J154="","",COUNTIF(Assignments!$B:$B,$J154))</f>
        <v/>
      </c>
      <c r="AH154" s="40" t="str">
        <f>IF($J154="","",IF(AND($AG154=0,$N154&lt;$M154),Config!$B$43,0))</f>
        <v/>
      </c>
      <c r="AI154" s="40" t="str">
        <f>IF($J154="","",IF(AND($L154="Elite",$F154&gt;=Config!$B$41,$N154&lt;$M154),Config!$B$42,0))</f>
        <v/>
      </c>
      <c r="AJ154" s="22"/>
      <c r="AK154" s="39">
        <f>IFERROR(VLOOKUP(J154,Grinders!$A:$Q,28,FALSE),0)</f>
        <v>0</v>
      </c>
      <c r="AL154" s="39">
        <f>IF(Config!$B$1003&lt;&gt;"Y",0,IF(IFERROR(VLOOKUP(J154,Grinders!$A:$P,27,FALSE),0)&gt;=3,IF(OR(F154&gt;=Config!$B$1001,ISNUMBER(SEARCH(E154,Config!$B$1002))),1,0),0))</f>
        <v>0</v>
      </c>
      <c r="AM154" s="39">
        <f t="array" ref="AM154">IFERROR(IF(INDEX(Bids!$AE:$AE,MATCH(B154,Bids!$A:$A,0))="Pending",1,0),0)</f>
        <v>0</v>
      </c>
      <c r="AN154" s="39" t="str">
        <f t="array" ref="AN154">IF(C154="","",IFERROR(XLOOKUP(C154,Assignments!$C:$C,Assignments!$AU:$AU,0),0))</f>
        <v/>
      </c>
      <c r="AO154" s="39">
        <f>IF(AND(Config!$B$1006="Y",AN154=1),Config!$B$1007,0)</f>
        <v>0</v>
      </c>
    </row>
    <row r="155" ht="15.75" customHeight="1">
      <c r="A155" s="46" t="str">
        <f t="shared" si="1"/>
        <v/>
      </c>
      <c r="B155" s="40" t="str">
        <f>IF(Bids!$A155="","",Bids!$A155)</f>
        <v/>
      </c>
      <c r="C155" s="40" t="str">
        <f>IF(Bids!$B155="","",Bids!$B155)</f>
        <v/>
      </c>
      <c r="D155" s="40" t="str">
        <f>IF($C155="","",IFERROR(VLOOKUP($C155,Orders!$A:$J,9,FALSE),""))</f>
        <v/>
      </c>
      <c r="E155" s="40" t="str">
        <f>IF($C155="","",IFERROR(VLOOKUP($C155,Orders!$A:$J,3,FALSE),""))</f>
        <v/>
      </c>
      <c r="F155" s="40" t="str">
        <f>IF($C155="","",IFERROR(VLOOKUP($C155,Orders!$A:$J,4,FALSE),""))</f>
        <v/>
      </c>
      <c r="G155" s="40" t="str">
        <f>IF($C155="","",IFERROR(VLOOKUP($C155,Orders!$A:$J,5,FALSE),""))</f>
        <v/>
      </c>
      <c r="H155" s="40" t="str">
        <f>IF($C155="","",IFERROR(VLOOKUP($C155,Orders!$A:$J,6,FALSE),""))</f>
        <v/>
      </c>
      <c r="I155" s="40" t="str">
        <f>IF($C155="","",IFERROR(VLOOKUP($C155,Orders!$A:$J,7,FALSE),""))</f>
        <v/>
      </c>
      <c r="J155" s="40" t="str">
        <f>IF(Bids!$C155="","",Bids!$C155)</f>
        <v/>
      </c>
      <c r="K155" s="40" t="str">
        <f>IF($J155="","",IFERROR(VLOOKUP($J155,Grinders!$A:$N,2,FALSE),""))</f>
        <v/>
      </c>
      <c r="L155" s="40" t="str">
        <f>IF($J155="","",IFERROR(VLOOKUP($J155,Grinders!$A:$N,3,FALSE),""))</f>
        <v/>
      </c>
      <c r="M155" s="40" t="str">
        <f>IF($J155="","",IFERROR(VLOOKUP($J155,Grinders!$A:$N,4,FALSE),""))</f>
        <v/>
      </c>
      <c r="N155" s="40" t="str">
        <f>IF($J155="","",IFERROR(VLOOKUP($J155,Grinders!$A:$N,5,FALSE),""))</f>
        <v/>
      </c>
      <c r="O155" s="40" t="str">
        <f t="shared" si="2"/>
        <v/>
      </c>
      <c r="P155" s="40" t="str">
        <f>IF($J155="","",IFERROR(VLOOKUP($J155,Grinders!$A:$N,6,FALSE),""))</f>
        <v/>
      </c>
      <c r="Q155" s="40" t="str">
        <f>IF($J155="","",IFERROR(VLOOKUP($J155,Grinders!$A:$N,8,FALSE),""))</f>
        <v/>
      </c>
      <c r="R155" s="40" t="str">
        <f>IFERROR(IF($J155="","",IF($L155="Elite",MAX(50,MIN(100,Config!$B$27*MAX(0,MIN(100,(1-IF($O155="",0,$O155))*100)) + Config!$B$28*MAX(0,MIN(100,(1-MIN(1,IF(Config!$B$30=0,1,$P155/Config!$B$30)))*100)) + Config!$B$29*MAX(0,MIN(100,MIN(1,IF($Q155="",0,$Q155)/Config!$B$23)*100)))),MIN(100,Config!$B$27*MAX(0,MIN(100,(1-IF($O155="",0,$O155))*100)) + Config!$B$28*MAX(0,MIN(100,(1-MIN(1,IF(Config!$B$30=0,1,$P155/Config!$B$30)))*100)) + Config!$B$29*MAX(0,MIN(100,MIN(1,IF($Q155="",0,$Q155)/Config!$B$23)*100))))),"")
</f>
        <v/>
      </c>
      <c r="S155" s="40" t="str">
        <f>IF(Bids!$AC155="","",Bids!$AC155)</f>
        <v/>
      </c>
      <c r="T155" s="40" t="str">
        <f>IF(Bids!$F155="","",Bids!$F155)</f>
        <v/>
      </c>
      <c r="U155" s="40" t="str">
        <f t="shared" si="3"/>
        <v/>
      </c>
      <c r="V155" s="40" t="str">
        <f>IF($U155="","",IF(Config!$B$17=Config!$B$16,IF($U155&gt;=Config!$B$17,100,0),MAX(0,MIN(100,($U155-Config!$B$16)/(Config!$B$17-Config!$B$16)*100))))</f>
        <v/>
      </c>
      <c r="W155" s="40">
        <f>IF($L155="Elite",Config!$B$21,0)</f>
        <v>0</v>
      </c>
      <c r="X155" s="40" t="str">
        <f>IFERROR(IF(OR($T155="",$G155=""),"",IF($T155&gt;$G155,
  MAX(0, 60-(($T155-$G155)*24/Config!$B$19)*60),
  MEDIAN(60, 100, 60+(($G155-$T155)*24/Config!$B$20)*40)
)),"")
</f>
        <v/>
      </c>
      <c r="Y155" s="40" t="str">
        <f>IF($J155="","",IFERROR(VLOOKUP($J155,Grinders!$A:$N,10,FALSE),""))</f>
        <v/>
      </c>
      <c r="Z155" s="40" t="str">
        <f>IF($J155="","",IFERROR(VLOOKUP($J155,Grinders!$A:$N,11,FALSE),""))</f>
        <v/>
      </c>
      <c r="AA155" s="40" t="str">
        <f>IF($J155="","",IFERROR(VLOOKUP($J155,Grinders!$A:$N,12,FALSE),""))</f>
        <v/>
      </c>
      <c r="AB155" s="40" t="str">
        <f>IF(OR(AL155=1,AM155=1),0,=IFERROR(IF(OR($C155="",$J155=""),0,IF($D155&lt;&gt;"Open",0,IF(COUNTIFS(GrinderServices!$A:$A,$J155,GrinderServices!$B:$B,$E155,GrinderServices!$D:$D,"Y")=0,0,IF($U155&lt;Config!$B$16,0,IF(Config!$B$18=1,IF($N155&gt;=$M155,0,1),1))))),""))</f>
        <v>#ERROR!</v>
      </c>
      <c r="AC155" s="40" t="str">
        <f>IFERROR((IF(OR(AL155=1,AM155=1),"",=IFERROR((IFERROR(IF($AB155=0,"",((Config!$B$6*$V155 + Config!$B$7*$R155 + Config!$B$8*$W155 + Config!$B$9*$X155 + Config!$B$10*$Y155 + Config!$B$11*$Z155 - Config!$B$12*$AA155)/Config!$B$13)+$AH155+$AI155),""))*(1-IFERROR(VLOOKUP(J155,Grinders!$A:$AB, 28, FALSE),0)),"")))*(1+AO155),"")</f>
        <v>#ERROR!</v>
      </c>
      <c r="AD155" s="40" t="str">
        <f t="shared" si="4"/>
        <v/>
      </c>
      <c r="AE155" s="40" t="str">
        <f>IFERROR(__xludf.DUMMYFUNCTION("IF($AC155="""","""",IF($AC155=IFERROR(MAX(FILTER($AC$6:$AC$1000,$C$6:$C$1000=$C155,$AB$6:$AB$1000=1)),),""WINNER"",""""))"),"#ERROR!")</f>
        <v>#ERROR!</v>
      </c>
      <c r="AF155" s="40" t="str">
        <f t="shared" si="5"/>
        <v/>
      </c>
      <c r="AG155" s="40" t="str">
        <f>IF($J155="","",COUNTIF(Assignments!$B:$B,$J155))</f>
        <v/>
      </c>
      <c r="AH155" s="40" t="str">
        <f>IF($J155="","",IF(AND($AG155=0,$N155&lt;$M155),Config!$B$43,0))</f>
        <v/>
      </c>
      <c r="AI155" s="40" t="str">
        <f>IF($J155="","",IF(AND($L155="Elite",$F155&gt;=Config!$B$41,$N155&lt;$M155),Config!$B$42,0))</f>
        <v/>
      </c>
      <c r="AJ155" s="22"/>
      <c r="AK155" s="39">
        <f>IFERROR(VLOOKUP(J155,Grinders!$A:$Q,28,FALSE),0)</f>
        <v>0</v>
      </c>
      <c r="AL155" s="39">
        <f>IF(Config!$B$1003&lt;&gt;"Y",0,IF(IFERROR(VLOOKUP(J155,Grinders!$A:$P,27,FALSE),0)&gt;=3,IF(OR(F155&gt;=Config!$B$1001,ISNUMBER(SEARCH(E155,Config!$B$1002))),1,0),0))</f>
        <v>0</v>
      </c>
      <c r="AM155" s="39">
        <f t="array" ref="AM155">IFERROR(IF(INDEX(Bids!$AE:$AE,MATCH(B155,Bids!$A:$A,0))="Pending",1,0),0)</f>
        <v>0</v>
      </c>
      <c r="AN155" s="39" t="str">
        <f t="array" ref="AN155">IF(C155="","",IFERROR(XLOOKUP(C155,Assignments!$C:$C,Assignments!$AU:$AU,0),0))</f>
        <v/>
      </c>
      <c r="AO155" s="39">
        <f>IF(AND(Config!$B$1006="Y",AN155=1),Config!$B$1007,0)</f>
        <v>0</v>
      </c>
    </row>
    <row r="156" ht="15.75" customHeight="1">
      <c r="A156" s="46" t="str">
        <f t="shared" si="1"/>
        <v/>
      </c>
      <c r="B156" s="40" t="str">
        <f>IF(Bids!$A156="","",Bids!$A156)</f>
        <v/>
      </c>
      <c r="C156" s="40" t="str">
        <f>IF(Bids!$B156="","",Bids!$B156)</f>
        <v/>
      </c>
      <c r="D156" s="40" t="str">
        <f>IF($C156="","",IFERROR(VLOOKUP($C156,Orders!$A:$J,9,FALSE),""))</f>
        <v/>
      </c>
      <c r="E156" s="40" t="str">
        <f>IF($C156="","",IFERROR(VLOOKUP($C156,Orders!$A:$J,3,FALSE),""))</f>
        <v/>
      </c>
      <c r="F156" s="40" t="str">
        <f>IF($C156="","",IFERROR(VLOOKUP($C156,Orders!$A:$J,4,FALSE),""))</f>
        <v/>
      </c>
      <c r="G156" s="40" t="str">
        <f>IF($C156="","",IFERROR(VLOOKUP($C156,Orders!$A:$J,5,FALSE),""))</f>
        <v/>
      </c>
      <c r="H156" s="40" t="str">
        <f>IF($C156="","",IFERROR(VLOOKUP($C156,Orders!$A:$J,6,FALSE),""))</f>
        <v/>
      </c>
      <c r="I156" s="40" t="str">
        <f>IF($C156="","",IFERROR(VLOOKUP($C156,Orders!$A:$J,7,FALSE),""))</f>
        <v/>
      </c>
      <c r="J156" s="40" t="str">
        <f>IF(Bids!$C156="","",Bids!$C156)</f>
        <v/>
      </c>
      <c r="K156" s="40" t="str">
        <f>IF($J156="","",IFERROR(VLOOKUP($J156,Grinders!$A:$N,2,FALSE),""))</f>
        <v/>
      </c>
      <c r="L156" s="40" t="str">
        <f>IF($J156="","",IFERROR(VLOOKUP($J156,Grinders!$A:$N,3,FALSE),""))</f>
        <v/>
      </c>
      <c r="M156" s="40" t="str">
        <f>IF($J156="","",IFERROR(VLOOKUP($J156,Grinders!$A:$N,4,FALSE),""))</f>
        <v/>
      </c>
      <c r="N156" s="40" t="str">
        <f>IF($J156="","",IFERROR(VLOOKUP($J156,Grinders!$A:$N,5,FALSE),""))</f>
        <v/>
      </c>
      <c r="O156" s="40" t="str">
        <f t="shared" si="2"/>
        <v/>
      </c>
      <c r="P156" s="40" t="str">
        <f>IF($J156="","",IFERROR(VLOOKUP($J156,Grinders!$A:$N,6,FALSE),""))</f>
        <v/>
      </c>
      <c r="Q156" s="40" t="str">
        <f>IF($J156="","",IFERROR(VLOOKUP($J156,Grinders!$A:$N,8,FALSE),""))</f>
        <v/>
      </c>
      <c r="R156" s="40" t="str">
        <f>IFERROR(IF($J156="","",IF($L156="Elite",MAX(50,MIN(100,Config!$B$27*MAX(0,MIN(100,(1-IF($O156="",0,$O156))*100)) + Config!$B$28*MAX(0,MIN(100,(1-MIN(1,IF(Config!$B$30=0,1,$P156/Config!$B$30)))*100)) + Config!$B$29*MAX(0,MIN(100,MIN(1,IF($Q156="",0,$Q156)/Config!$B$23)*100)))),MIN(100,Config!$B$27*MAX(0,MIN(100,(1-IF($O156="",0,$O156))*100)) + Config!$B$28*MAX(0,MIN(100,(1-MIN(1,IF(Config!$B$30=0,1,$P156/Config!$B$30)))*100)) + Config!$B$29*MAX(0,MIN(100,MIN(1,IF($Q156="",0,$Q156)/Config!$B$23)*100))))),"")
</f>
        <v/>
      </c>
      <c r="S156" s="40" t="str">
        <f>IF(Bids!$AC156="","",Bids!$AC156)</f>
        <v/>
      </c>
      <c r="T156" s="40" t="str">
        <f>IF(Bids!$F156="","",Bids!$F156)</f>
        <v/>
      </c>
      <c r="U156" s="40" t="str">
        <f t="shared" si="3"/>
        <v/>
      </c>
      <c r="V156" s="40" t="str">
        <f>IF($U156="","",IF(Config!$B$17=Config!$B$16,IF($U156&gt;=Config!$B$17,100,0),MAX(0,MIN(100,($U156-Config!$B$16)/(Config!$B$17-Config!$B$16)*100))))</f>
        <v/>
      </c>
      <c r="W156" s="40">
        <f>IF($L156="Elite",Config!$B$21,0)</f>
        <v>0</v>
      </c>
      <c r="X156" s="40" t="str">
        <f>IFERROR(IF(OR($T156="",$G156=""),"",IF($T156&gt;$G156,
  MAX(0, 60-(($T156-$G156)*24/Config!$B$19)*60),
  MEDIAN(60, 100, 60+(($G156-$T156)*24/Config!$B$20)*40)
)),"")
</f>
        <v/>
      </c>
      <c r="Y156" s="40" t="str">
        <f>IF($J156="","",IFERROR(VLOOKUP($J156,Grinders!$A:$N,10,FALSE),""))</f>
        <v/>
      </c>
      <c r="Z156" s="40" t="str">
        <f>IF($J156="","",IFERROR(VLOOKUP($J156,Grinders!$A:$N,11,FALSE),""))</f>
        <v/>
      </c>
      <c r="AA156" s="40" t="str">
        <f>IF($J156="","",IFERROR(VLOOKUP($J156,Grinders!$A:$N,12,FALSE),""))</f>
        <v/>
      </c>
      <c r="AB156" s="40" t="str">
        <f>IF(OR(AL156=1,AM156=1),0,=IFERROR(IF(OR($C156="",$J156=""),0,IF($D156&lt;&gt;"Open",0,IF(COUNTIFS(GrinderServices!$A:$A,$J156,GrinderServices!$B:$B,$E156,GrinderServices!$D:$D,"Y")=0,0,IF($U156&lt;Config!$B$16,0,IF(Config!$B$18=1,IF($N156&gt;=$M156,0,1),1))))),""))</f>
        <v>#ERROR!</v>
      </c>
      <c r="AC156" s="40" t="str">
        <f>IFERROR((IF(OR(AL156=1,AM156=1),"",=IFERROR((IFERROR(IF($AB156=0,"",((Config!$B$6*$V156 + Config!$B$7*$R156 + Config!$B$8*$W156 + Config!$B$9*$X156 + Config!$B$10*$Y156 + Config!$B$11*$Z156 - Config!$B$12*$AA156)/Config!$B$13)+$AH156+$AI156),""))*(1-IFERROR(VLOOKUP(J156,Grinders!$A:$AB, 28, FALSE),0)),"")))*(1+AO156),"")</f>
        <v>#ERROR!</v>
      </c>
      <c r="AD156" s="40" t="str">
        <f t="shared" si="4"/>
        <v/>
      </c>
      <c r="AE156" s="40" t="str">
        <f>IFERROR(__xludf.DUMMYFUNCTION("IF($AC156="""","""",IF($AC156=IFERROR(MAX(FILTER($AC$6:$AC$1000,$C$6:$C$1000=$C156,$AB$6:$AB$1000=1)),),""WINNER"",""""))"),"#ERROR!")</f>
        <v>#ERROR!</v>
      </c>
      <c r="AF156" s="40" t="str">
        <f t="shared" si="5"/>
        <v/>
      </c>
      <c r="AG156" s="40" t="str">
        <f>IF($J156="","",COUNTIF(Assignments!$B:$B,$J156))</f>
        <v/>
      </c>
      <c r="AH156" s="40" t="str">
        <f>IF($J156="","",IF(AND($AG156=0,$N156&lt;$M156),Config!$B$43,0))</f>
        <v/>
      </c>
      <c r="AI156" s="40" t="str">
        <f>IF($J156="","",IF(AND($L156="Elite",$F156&gt;=Config!$B$41,$N156&lt;$M156),Config!$B$42,0))</f>
        <v/>
      </c>
      <c r="AJ156" s="22"/>
      <c r="AK156" s="39">
        <f>IFERROR(VLOOKUP(J156,Grinders!$A:$Q,28,FALSE),0)</f>
        <v>0</v>
      </c>
      <c r="AL156" s="39">
        <f>IF(Config!$B$1003&lt;&gt;"Y",0,IF(IFERROR(VLOOKUP(J156,Grinders!$A:$P,27,FALSE),0)&gt;=3,IF(OR(F156&gt;=Config!$B$1001,ISNUMBER(SEARCH(E156,Config!$B$1002))),1,0),0))</f>
        <v>0</v>
      </c>
      <c r="AM156" s="39">
        <f t="array" ref="AM156">IFERROR(IF(INDEX(Bids!$AE:$AE,MATCH(B156,Bids!$A:$A,0))="Pending",1,0),0)</f>
        <v>0</v>
      </c>
      <c r="AN156" s="39" t="str">
        <f t="array" ref="AN156">IF(C156="","",IFERROR(XLOOKUP(C156,Assignments!$C:$C,Assignments!$AU:$AU,0),0))</f>
        <v/>
      </c>
      <c r="AO156" s="39">
        <f>IF(AND(Config!$B$1006="Y",AN156=1),Config!$B$1007,0)</f>
        <v>0</v>
      </c>
    </row>
    <row r="157" ht="15.75" customHeight="1">
      <c r="A157" s="46" t="str">
        <f t="shared" si="1"/>
        <v/>
      </c>
      <c r="B157" s="40" t="str">
        <f>IF(Bids!$A157="","",Bids!$A157)</f>
        <v/>
      </c>
      <c r="C157" s="40" t="str">
        <f>IF(Bids!$B157="","",Bids!$B157)</f>
        <v/>
      </c>
      <c r="D157" s="40" t="str">
        <f>IF($C157="","",IFERROR(VLOOKUP($C157,Orders!$A:$J,9,FALSE),""))</f>
        <v/>
      </c>
      <c r="E157" s="40" t="str">
        <f>IF($C157="","",IFERROR(VLOOKUP($C157,Orders!$A:$J,3,FALSE),""))</f>
        <v/>
      </c>
      <c r="F157" s="40" t="str">
        <f>IF($C157="","",IFERROR(VLOOKUP($C157,Orders!$A:$J,4,FALSE),""))</f>
        <v/>
      </c>
      <c r="G157" s="40" t="str">
        <f>IF($C157="","",IFERROR(VLOOKUP($C157,Orders!$A:$J,5,FALSE),""))</f>
        <v/>
      </c>
      <c r="H157" s="40" t="str">
        <f>IF($C157="","",IFERROR(VLOOKUP($C157,Orders!$A:$J,6,FALSE),""))</f>
        <v/>
      </c>
      <c r="I157" s="40" t="str">
        <f>IF($C157="","",IFERROR(VLOOKUP($C157,Orders!$A:$J,7,FALSE),""))</f>
        <v/>
      </c>
      <c r="J157" s="40" t="str">
        <f>IF(Bids!$C157="","",Bids!$C157)</f>
        <v/>
      </c>
      <c r="K157" s="40" t="str">
        <f>IF($J157="","",IFERROR(VLOOKUP($J157,Grinders!$A:$N,2,FALSE),""))</f>
        <v/>
      </c>
      <c r="L157" s="40" t="str">
        <f>IF($J157="","",IFERROR(VLOOKUP($J157,Grinders!$A:$N,3,FALSE),""))</f>
        <v/>
      </c>
      <c r="M157" s="40" t="str">
        <f>IF($J157="","",IFERROR(VLOOKUP($J157,Grinders!$A:$N,4,FALSE),""))</f>
        <v/>
      </c>
      <c r="N157" s="40" t="str">
        <f>IF($J157="","",IFERROR(VLOOKUP($J157,Grinders!$A:$N,5,FALSE),""))</f>
        <v/>
      </c>
      <c r="O157" s="40" t="str">
        <f t="shared" si="2"/>
        <v/>
      </c>
      <c r="P157" s="40" t="str">
        <f>IF($J157="","",IFERROR(VLOOKUP($J157,Grinders!$A:$N,6,FALSE),""))</f>
        <v/>
      </c>
      <c r="Q157" s="40" t="str">
        <f>IF($J157="","",IFERROR(VLOOKUP($J157,Grinders!$A:$N,8,FALSE),""))</f>
        <v/>
      </c>
      <c r="R157" s="40" t="str">
        <f>IFERROR(IF($J157="","",IF($L157="Elite",MAX(50,MIN(100,Config!$B$27*MAX(0,MIN(100,(1-IF($O157="",0,$O157))*100)) + Config!$B$28*MAX(0,MIN(100,(1-MIN(1,IF(Config!$B$30=0,1,$P157/Config!$B$30)))*100)) + Config!$B$29*MAX(0,MIN(100,MIN(1,IF($Q157="",0,$Q157)/Config!$B$23)*100)))),MIN(100,Config!$B$27*MAX(0,MIN(100,(1-IF($O157="",0,$O157))*100)) + Config!$B$28*MAX(0,MIN(100,(1-MIN(1,IF(Config!$B$30=0,1,$P157/Config!$B$30)))*100)) + Config!$B$29*MAX(0,MIN(100,MIN(1,IF($Q157="",0,$Q157)/Config!$B$23)*100))))),"")
</f>
        <v/>
      </c>
      <c r="S157" s="40" t="str">
        <f>IF(Bids!$AC157="","",Bids!$AC157)</f>
        <v/>
      </c>
      <c r="T157" s="40" t="str">
        <f>IF(Bids!$F157="","",Bids!$F157)</f>
        <v/>
      </c>
      <c r="U157" s="40" t="str">
        <f t="shared" si="3"/>
        <v/>
      </c>
      <c r="V157" s="40" t="str">
        <f>IF($U157="","",IF(Config!$B$17=Config!$B$16,IF($U157&gt;=Config!$B$17,100,0),MAX(0,MIN(100,($U157-Config!$B$16)/(Config!$B$17-Config!$B$16)*100))))</f>
        <v/>
      </c>
      <c r="W157" s="40">
        <f>IF($L157="Elite",Config!$B$21,0)</f>
        <v>0</v>
      </c>
      <c r="X157" s="40" t="str">
        <f>IFERROR(IF(OR($T157="",$G157=""),"",IF($T157&gt;$G157,
  MAX(0, 60-(($T157-$G157)*24/Config!$B$19)*60),
  MEDIAN(60, 100, 60+(($G157-$T157)*24/Config!$B$20)*40)
)),"")
</f>
        <v/>
      </c>
      <c r="Y157" s="40" t="str">
        <f>IF($J157="","",IFERROR(VLOOKUP($J157,Grinders!$A:$N,10,FALSE),""))</f>
        <v/>
      </c>
      <c r="Z157" s="40" t="str">
        <f>IF($J157="","",IFERROR(VLOOKUP($J157,Grinders!$A:$N,11,FALSE),""))</f>
        <v/>
      </c>
      <c r="AA157" s="40" t="str">
        <f>IF($J157="","",IFERROR(VLOOKUP($J157,Grinders!$A:$N,12,FALSE),""))</f>
        <v/>
      </c>
      <c r="AB157" s="40" t="str">
        <f>IF(OR(AL157=1,AM157=1),0,=IFERROR(IF(OR($C157="",$J157=""),0,IF($D157&lt;&gt;"Open",0,IF(COUNTIFS(GrinderServices!$A:$A,$J157,GrinderServices!$B:$B,$E157,GrinderServices!$D:$D,"Y")=0,0,IF($U157&lt;Config!$B$16,0,IF(Config!$B$18=1,IF($N157&gt;=$M157,0,1),1))))),""))</f>
        <v>#ERROR!</v>
      </c>
      <c r="AC157" s="40" t="str">
        <f>IFERROR((IF(OR(AL157=1,AM157=1),"",=IFERROR((IFERROR(IF($AB157=0,"",((Config!$B$6*$V157 + Config!$B$7*$R157 + Config!$B$8*$W157 + Config!$B$9*$X157 + Config!$B$10*$Y157 + Config!$B$11*$Z157 - Config!$B$12*$AA157)/Config!$B$13)+$AH157+$AI157),""))*(1-IFERROR(VLOOKUP(J157,Grinders!$A:$AB, 28, FALSE),0)),"")))*(1+AO157),"")</f>
        <v>#ERROR!</v>
      </c>
      <c r="AD157" s="40" t="str">
        <f t="shared" si="4"/>
        <v/>
      </c>
      <c r="AE157" s="40" t="str">
        <f>IFERROR(__xludf.DUMMYFUNCTION("IF($AC157="""","""",IF($AC157=IFERROR(MAX(FILTER($AC$6:$AC$1000,$C$6:$C$1000=$C157,$AB$6:$AB$1000=1)),),""WINNER"",""""))"),"#ERROR!")</f>
        <v>#ERROR!</v>
      </c>
      <c r="AF157" s="40" t="str">
        <f t="shared" si="5"/>
        <v/>
      </c>
      <c r="AG157" s="40" t="str">
        <f>IF($J157="","",COUNTIF(Assignments!$B:$B,$J157))</f>
        <v/>
      </c>
      <c r="AH157" s="40" t="str">
        <f>IF($J157="","",IF(AND($AG157=0,$N157&lt;$M157),Config!$B$43,0))</f>
        <v/>
      </c>
      <c r="AI157" s="40" t="str">
        <f>IF($J157="","",IF(AND($L157="Elite",$F157&gt;=Config!$B$41,$N157&lt;$M157),Config!$B$42,0))</f>
        <v/>
      </c>
      <c r="AJ157" s="22"/>
      <c r="AK157" s="39">
        <f>IFERROR(VLOOKUP(J157,Grinders!$A:$Q,28,FALSE),0)</f>
        <v>0</v>
      </c>
      <c r="AL157" s="39">
        <f>IF(Config!$B$1003&lt;&gt;"Y",0,IF(IFERROR(VLOOKUP(J157,Grinders!$A:$P,27,FALSE),0)&gt;=3,IF(OR(F157&gt;=Config!$B$1001,ISNUMBER(SEARCH(E157,Config!$B$1002))),1,0),0))</f>
        <v>0</v>
      </c>
      <c r="AM157" s="39">
        <f t="array" ref="AM157">IFERROR(IF(INDEX(Bids!$AE:$AE,MATCH(B157,Bids!$A:$A,0))="Pending",1,0),0)</f>
        <v>0</v>
      </c>
      <c r="AN157" s="39" t="str">
        <f t="array" ref="AN157">IF(C157="","",IFERROR(XLOOKUP(C157,Assignments!$C:$C,Assignments!$AU:$AU,0),0))</f>
        <v/>
      </c>
      <c r="AO157" s="39">
        <f>IF(AND(Config!$B$1006="Y",AN157=1),Config!$B$1007,0)</f>
        <v>0</v>
      </c>
    </row>
    <row r="158" ht="15.75" customHeight="1">
      <c r="A158" s="46" t="str">
        <f t="shared" si="1"/>
        <v/>
      </c>
      <c r="B158" s="40" t="str">
        <f>IF(Bids!$A158="","",Bids!$A158)</f>
        <v/>
      </c>
      <c r="C158" s="40" t="str">
        <f>IF(Bids!$B158="","",Bids!$B158)</f>
        <v/>
      </c>
      <c r="D158" s="40" t="str">
        <f>IF($C158="","",IFERROR(VLOOKUP($C158,Orders!$A:$J,9,FALSE),""))</f>
        <v/>
      </c>
      <c r="E158" s="40" t="str">
        <f>IF($C158="","",IFERROR(VLOOKUP($C158,Orders!$A:$J,3,FALSE),""))</f>
        <v/>
      </c>
      <c r="F158" s="40" t="str">
        <f>IF($C158="","",IFERROR(VLOOKUP($C158,Orders!$A:$J,4,FALSE),""))</f>
        <v/>
      </c>
      <c r="G158" s="40" t="str">
        <f>IF($C158="","",IFERROR(VLOOKUP($C158,Orders!$A:$J,5,FALSE),""))</f>
        <v/>
      </c>
      <c r="H158" s="40" t="str">
        <f>IF($C158="","",IFERROR(VLOOKUP($C158,Orders!$A:$J,6,FALSE),""))</f>
        <v/>
      </c>
      <c r="I158" s="40" t="str">
        <f>IF($C158="","",IFERROR(VLOOKUP($C158,Orders!$A:$J,7,FALSE),""))</f>
        <v/>
      </c>
      <c r="J158" s="40" t="str">
        <f>IF(Bids!$C158="","",Bids!$C158)</f>
        <v/>
      </c>
      <c r="K158" s="40" t="str">
        <f>IF($J158="","",IFERROR(VLOOKUP($J158,Grinders!$A:$N,2,FALSE),""))</f>
        <v/>
      </c>
      <c r="L158" s="40" t="str">
        <f>IF($J158="","",IFERROR(VLOOKUP($J158,Grinders!$A:$N,3,FALSE),""))</f>
        <v/>
      </c>
      <c r="M158" s="40" t="str">
        <f>IF($J158="","",IFERROR(VLOOKUP($J158,Grinders!$A:$N,4,FALSE),""))</f>
        <v/>
      </c>
      <c r="N158" s="40" t="str">
        <f>IF($J158="","",IFERROR(VLOOKUP($J158,Grinders!$A:$N,5,FALSE),""))</f>
        <v/>
      </c>
      <c r="O158" s="40" t="str">
        <f t="shared" si="2"/>
        <v/>
      </c>
      <c r="P158" s="40" t="str">
        <f>IF($J158="","",IFERROR(VLOOKUP($J158,Grinders!$A:$N,6,FALSE),""))</f>
        <v/>
      </c>
      <c r="Q158" s="40" t="str">
        <f>IF($J158="","",IFERROR(VLOOKUP($J158,Grinders!$A:$N,8,FALSE),""))</f>
        <v/>
      </c>
      <c r="R158" s="40" t="str">
        <f>IFERROR(IF($J158="","",IF($L158="Elite",MAX(50,MIN(100,Config!$B$27*MAX(0,MIN(100,(1-IF($O158="",0,$O158))*100)) + Config!$B$28*MAX(0,MIN(100,(1-MIN(1,IF(Config!$B$30=0,1,$P158/Config!$B$30)))*100)) + Config!$B$29*MAX(0,MIN(100,MIN(1,IF($Q158="",0,$Q158)/Config!$B$23)*100)))),MIN(100,Config!$B$27*MAX(0,MIN(100,(1-IF($O158="",0,$O158))*100)) + Config!$B$28*MAX(0,MIN(100,(1-MIN(1,IF(Config!$B$30=0,1,$P158/Config!$B$30)))*100)) + Config!$B$29*MAX(0,MIN(100,MIN(1,IF($Q158="",0,$Q158)/Config!$B$23)*100))))),"")
</f>
        <v/>
      </c>
      <c r="S158" s="40" t="str">
        <f>IF(Bids!$AC158="","",Bids!$AC158)</f>
        <v/>
      </c>
      <c r="T158" s="40" t="str">
        <f>IF(Bids!$F158="","",Bids!$F158)</f>
        <v/>
      </c>
      <c r="U158" s="40" t="str">
        <f t="shared" si="3"/>
        <v/>
      </c>
      <c r="V158" s="40" t="str">
        <f>IF($U158="","",IF(Config!$B$17=Config!$B$16,IF($U158&gt;=Config!$B$17,100,0),MAX(0,MIN(100,($U158-Config!$B$16)/(Config!$B$17-Config!$B$16)*100))))</f>
        <v/>
      </c>
      <c r="W158" s="40">
        <f>IF($L158="Elite",Config!$B$21,0)</f>
        <v>0</v>
      </c>
      <c r="X158" s="40" t="str">
        <f>IFERROR(IF(OR($T158="",$G158=""),"",IF($T158&gt;$G158,
  MAX(0, 60-(($T158-$G158)*24/Config!$B$19)*60),
  MEDIAN(60, 100, 60+(($G158-$T158)*24/Config!$B$20)*40)
)),"")
</f>
        <v/>
      </c>
      <c r="Y158" s="40" t="str">
        <f>IF($J158="","",IFERROR(VLOOKUP($J158,Grinders!$A:$N,10,FALSE),""))</f>
        <v/>
      </c>
      <c r="Z158" s="40" t="str">
        <f>IF($J158="","",IFERROR(VLOOKUP($J158,Grinders!$A:$N,11,FALSE),""))</f>
        <v/>
      </c>
      <c r="AA158" s="40" t="str">
        <f>IF($J158="","",IFERROR(VLOOKUP($J158,Grinders!$A:$N,12,FALSE),""))</f>
        <v/>
      </c>
      <c r="AB158" s="40" t="str">
        <f>IF(OR(AL158=1,AM158=1),0,=IFERROR(IF(OR($C158="",$J158=""),0,IF($D158&lt;&gt;"Open",0,IF(COUNTIFS(GrinderServices!$A:$A,$J158,GrinderServices!$B:$B,$E158,GrinderServices!$D:$D,"Y")=0,0,IF($U158&lt;Config!$B$16,0,IF(Config!$B$18=1,IF($N158&gt;=$M158,0,1),1))))),""))</f>
        <v>#ERROR!</v>
      </c>
      <c r="AC158" s="40" t="str">
        <f>IFERROR((IF(OR(AL158=1,AM158=1),"",=IFERROR((IFERROR(IF($AB158=0,"",((Config!$B$6*$V158 + Config!$B$7*$R158 + Config!$B$8*$W158 + Config!$B$9*$X158 + Config!$B$10*$Y158 + Config!$B$11*$Z158 - Config!$B$12*$AA158)/Config!$B$13)+$AH158+$AI158),""))*(1-IFERROR(VLOOKUP(J158,Grinders!$A:$AB, 28, FALSE),0)),"")))*(1+AO158),"")</f>
        <v>#ERROR!</v>
      </c>
      <c r="AD158" s="40" t="str">
        <f t="shared" si="4"/>
        <v/>
      </c>
      <c r="AE158" s="40" t="str">
        <f>IFERROR(__xludf.DUMMYFUNCTION("IF($AC158="""","""",IF($AC158=IFERROR(MAX(FILTER($AC$6:$AC$1000,$C$6:$C$1000=$C158,$AB$6:$AB$1000=1)),),""WINNER"",""""))"),"#ERROR!")</f>
        <v>#ERROR!</v>
      </c>
      <c r="AF158" s="40" t="str">
        <f t="shared" si="5"/>
        <v/>
      </c>
      <c r="AG158" s="40" t="str">
        <f>IF($J158="","",COUNTIF(Assignments!$B:$B,$J158))</f>
        <v/>
      </c>
      <c r="AH158" s="40" t="str">
        <f>IF($J158="","",IF(AND($AG158=0,$N158&lt;$M158),Config!$B$43,0))</f>
        <v/>
      </c>
      <c r="AI158" s="40" t="str">
        <f>IF($J158="","",IF(AND($L158="Elite",$F158&gt;=Config!$B$41,$N158&lt;$M158),Config!$B$42,0))</f>
        <v/>
      </c>
      <c r="AJ158" s="22"/>
      <c r="AK158" s="39">
        <f>IFERROR(VLOOKUP(J158,Grinders!$A:$Q,28,FALSE),0)</f>
        <v>0</v>
      </c>
      <c r="AL158" s="39">
        <f>IF(Config!$B$1003&lt;&gt;"Y",0,IF(IFERROR(VLOOKUP(J158,Grinders!$A:$P,27,FALSE),0)&gt;=3,IF(OR(F158&gt;=Config!$B$1001,ISNUMBER(SEARCH(E158,Config!$B$1002))),1,0),0))</f>
        <v>0</v>
      </c>
      <c r="AM158" s="39">
        <f t="array" ref="AM158">IFERROR(IF(INDEX(Bids!$AE:$AE,MATCH(B158,Bids!$A:$A,0))="Pending",1,0),0)</f>
        <v>0</v>
      </c>
      <c r="AN158" s="39" t="str">
        <f t="array" ref="AN158">IF(C158="","",IFERROR(XLOOKUP(C158,Assignments!$C:$C,Assignments!$AU:$AU,0),0))</f>
        <v/>
      </c>
      <c r="AO158" s="39">
        <f>IF(AND(Config!$B$1006="Y",AN158=1),Config!$B$1007,0)</f>
        <v>0</v>
      </c>
    </row>
    <row r="159" ht="15.75" customHeight="1">
      <c r="A159" s="46" t="str">
        <f t="shared" si="1"/>
        <v/>
      </c>
      <c r="B159" s="40" t="str">
        <f>IF(Bids!$A159="","",Bids!$A159)</f>
        <v/>
      </c>
      <c r="C159" s="40" t="str">
        <f>IF(Bids!$B159="","",Bids!$B159)</f>
        <v/>
      </c>
      <c r="D159" s="40" t="str">
        <f>IF($C159="","",IFERROR(VLOOKUP($C159,Orders!$A:$J,9,FALSE),""))</f>
        <v/>
      </c>
      <c r="E159" s="40" t="str">
        <f>IF($C159="","",IFERROR(VLOOKUP($C159,Orders!$A:$J,3,FALSE),""))</f>
        <v/>
      </c>
      <c r="F159" s="40" t="str">
        <f>IF($C159="","",IFERROR(VLOOKUP($C159,Orders!$A:$J,4,FALSE),""))</f>
        <v/>
      </c>
      <c r="G159" s="40" t="str">
        <f>IF($C159="","",IFERROR(VLOOKUP($C159,Orders!$A:$J,5,FALSE),""))</f>
        <v/>
      </c>
      <c r="H159" s="40" t="str">
        <f>IF($C159="","",IFERROR(VLOOKUP($C159,Orders!$A:$J,6,FALSE),""))</f>
        <v/>
      </c>
      <c r="I159" s="40" t="str">
        <f>IF($C159="","",IFERROR(VLOOKUP($C159,Orders!$A:$J,7,FALSE),""))</f>
        <v/>
      </c>
      <c r="J159" s="40" t="str">
        <f>IF(Bids!$C159="","",Bids!$C159)</f>
        <v/>
      </c>
      <c r="K159" s="40" t="str">
        <f>IF($J159="","",IFERROR(VLOOKUP($J159,Grinders!$A:$N,2,FALSE),""))</f>
        <v/>
      </c>
      <c r="L159" s="40" t="str">
        <f>IF($J159="","",IFERROR(VLOOKUP($J159,Grinders!$A:$N,3,FALSE),""))</f>
        <v/>
      </c>
      <c r="M159" s="40" t="str">
        <f>IF($J159="","",IFERROR(VLOOKUP($J159,Grinders!$A:$N,4,FALSE),""))</f>
        <v/>
      </c>
      <c r="N159" s="40" t="str">
        <f>IF($J159="","",IFERROR(VLOOKUP($J159,Grinders!$A:$N,5,FALSE),""))</f>
        <v/>
      </c>
      <c r="O159" s="40" t="str">
        <f t="shared" si="2"/>
        <v/>
      </c>
      <c r="P159" s="40" t="str">
        <f>IF($J159="","",IFERROR(VLOOKUP($J159,Grinders!$A:$N,6,FALSE),""))</f>
        <v/>
      </c>
      <c r="Q159" s="40" t="str">
        <f>IF($J159="","",IFERROR(VLOOKUP($J159,Grinders!$A:$N,8,FALSE),""))</f>
        <v/>
      </c>
      <c r="R159" s="40" t="str">
        <f>IFERROR(IF($J159="","",IF($L159="Elite",MAX(50,MIN(100,Config!$B$27*MAX(0,MIN(100,(1-IF($O159="",0,$O159))*100)) + Config!$B$28*MAX(0,MIN(100,(1-MIN(1,IF(Config!$B$30=0,1,$P159/Config!$B$30)))*100)) + Config!$B$29*MAX(0,MIN(100,MIN(1,IF($Q159="",0,$Q159)/Config!$B$23)*100)))),MIN(100,Config!$B$27*MAX(0,MIN(100,(1-IF($O159="",0,$O159))*100)) + Config!$B$28*MAX(0,MIN(100,(1-MIN(1,IF(Config!$B$30=0,1,$P159/Config!$B$30)))*100)) + Config!$B$29*MAX(0,MIN(100,MIN(1,IF($Q159="",0,$Q159)/Config!$B$23)*100))))),"")
</f>
        <v/>
      </c>
      <c r="S159" s="40" t="str">
        <f>IF(Bids!$AC159="","",Bids!$AC159)</f>
        <v/>
      </c>
      <c r="T159" s="40" t="str">
        <f>IF(Bids!$F159="","",Bids!$F159)</f>
        <v/>
      </c>
      <c r="U159" s="40" t="str">
        <f t="shared" si="3"/>
        <v/>
      </c>
      <c r="V159" s="40" t="str">
        <f>IF($U159="","",IF(Config!$B$17=Config!$B$16,IF($U159&gt;=Config!$B$17,100,0),MAX(0,MIN(100,($U159-Config!$B$16)/(Config!$B$17-Config!$B$16)*100))))</f>
        <v/>
      </c>
      <c r="W159" s="40">
        <f>IF($L159="Elite",Config!$B$21,0)</f>
        <v>0</v>
      </c>
      <c r="X159" s="40" t="str">
        <f>IFERROR(IF(OR($T159="",$G159=""),"",IF($T159&gt;$G159,
  MAX(0, 60-(($T159-$G159)*24/Config!$B$19)*60),
  MEDIAN(60, 100, 60+(($G159-$T159)*24/Config!$B$20)*40)
)),"")
</f>
        <v/>
      </c>
      <c r="Y159" s="40" t="str">
        <f>IF($J159="","",IFERROR(VLOOKUP($J159,Grinders!$A:$N,10,FALSE),""))</f>
        <v/>
      </c>
      <c r="Z159" s="40" t="str">
        <f>IF($J159="","",IFERROR(VLOOKUP($J159,Grinders!$A:$N,11,FALSE),""))</f>
        <v/>
      </c>
      <c r="AA159" s="40" t="str">
        <f>IF($J159="","",IFERROR(VLOOKUP($J159,Grinders!$A:$N,12,FALSE),""))</f>
        <v/>
      </c>
      <c r="AB159" s="40" t="str">
        <f>IF(OR(AL159=1,AM159=1),0,=IFERROR(IF(OR($C159="",$J159=""),0,IF($D159&lt;&gt;"Open",0,IF(COUNTIFS(GrinderServices!$A:$A,$J159,GrinderServices!$B:$B,$E159,GrinderServices!$D:$D,"Y")=0,0,IF($U159&lt;Config!$B$16,0,IF(Config!$B$18=1,IF($N159&gt;=$M159,0,1),1))))),""))</f>
        <v>#ERROR!</v>
      </c>
      <c r="AC159" s="40" t="str">
        <f>IFERROR((IF(OR(AL159=1,AM159=1),"",=IFERROR((IFERROR(IF($AB159=0,"",((Config!$B$6*$V159 + Config!$B$7*$R159 + Config!$B$8*$W159 + Config!$B$9*$X159 + Config!$B$10*$Y159 + Config!$B$11*$Z159 - Config!$B$12*$AA159)/Config!$B$13)+$AH159+$AI159),""))*(1-IFERROR(VLOOKUP(J159,Grinders!$A:$AB, 28, FALSE),0)),"")))*(1+AO159),"")</f>
        <v>#ERROR!</v>
      </c>
      <c r="AD159" s="40" t="str">
        <f t="shared" si="4"/>
        <v/>
      </c>
      <c r="AE159" s="40" t="str">
        <f>IFERROR(__xludf.DUMMYFUNCTION("IF($AC159="""","""",IF($AC159=IFERROR(MAX(FILTER($AC$6:$AC$1000,$C$6:$C$1000=$C159,$AB$6:$AB$1000=1)),),""WINNER"",""""))"),"#ERROR!")</f>
        <v>#ERROR!</v>
      </c>
      <c r="AF159" s="40" t="str">
        <f t="shared" si="5"/>
        <v/>
      </c>
      <c r="AG159" s="40" t="str">
        <f>IF($J159="","",COUNTIF(Assignments!$B:$B,$J159))</f>
        <v/>
      </c>
      <c r="AH159" s="40" t="str">
        <f>IF($J159="","",IF(AND($AG159=0,$N159&lt;$M159),Config!$B$43,0))</f>
        <v/>
      </c>
      <c r="AI159" s="40" t="str">
        <f>IF($J159="","",IF(AND($L159="Elite",$F159&gt;=Config!$B$41,$N159&lt;$M159),Config!$B$42,0))</f>
        <v/>
      </c>
      <c r="AJ159" s="22"/>
      <c r="AK159" s="39">
        <f>IFERROR(VLOOKUP(J159,Grinders!$A:$Q,28,FALSE),0)</f>
        <v>0</v>
      </c>
      <c r="AL159" s="39">
        <f>IF(Config!$B$1003&lt;&gt;"Y",0,IF(IFERROR(VLOOKUP(J159,Grinders!$A:$P,27,FALSE),0)&gt;=3,IF(OR(F159&gt;=Config!$B$1001,ISNUMBER(SEARCH(E159,Config!$B$1002))),1,0),0))</f>
        <v>0</v>
      </c>
      <c r="AM159" s="39">
        <f t="array" ref="AM159">IFERROR(IF(INDEX(Bids!$AE:$AE,MATCH(B159,Bids!$A:$A,0))="Pending",1,0),0)</f>
        <v>0</v>
      </c>
      <c r="AN159" s="39" t="str">
        <f t="array" ref="AN159">IF(C159="","",IFERROR(XLOOKUP(C159,Assignments!$C:$C,Assignments!$AU:$AU,0),0))</f>
        <v/>
      </c>
      <c r="AO159" s="39">
        <f>IF(AND(Config!$B$1006="Y",AN159=1),Config!$B$1007,0)</f>
        <v>0</v>
      </c>
    </row>
    <row r="160" ht="15.75" customHeight="1">
      <c r="A160" s="46" t="str">
        <f t="shared" si="1"/>
        <v/>
      </c>
      <c r="B160" s="40" t="str">
        <f>IF(Bids!$A160="","",Bids!$A160)</f>
        <v/>
      </c>
      <c r="C160" s="40" t="str">
        <f>IF(Bids!$B160="","",Bids!$B160)</f>
        <v/>
      </c>
      <c r="D160" s="40" t="str">
        <f>IF($C160="","",IFERROR(VLOOKUP($C160,Orders!$A:$J,9,FALSE),""))</f>
        <v/>
      </c>
      <c r="E160" s="40" t="str">
        <f>IF($C160="","",IFERROR(VLOOKUP($C160,Orders!$A:$J,3,FALSE),""))</f>
        <v/>
      </c>
      <c r="F160" s="40" t="str">
        <f>IF($C160="","",IFERROR(VLOOKUP($C160,Orders!$A:$J,4,FALSE),""))</f>
        <v/>
      </c>
      <c r="G160" s="40" t="str">
        <f>IF($C160="","",IFERROR(VLOOKUP($C160,Orders!$A:$J,5,FALSE),""))</f>
        <v/>
      </c>
      <c r="H160" s="40" t="str">
        <f>IF($C160="","",IFERROR(VLOOKUP($C160,Orders!$A:$J,6,FALSE),""))</f>
        <v/>
      </c>
      <c r="I160" s="40" t="str">
        <f>IF($C160="","",IFERROR(VLOOKUP($C160,Orders!$A:$J,7,FALSE),""))</f>
        <v/>
      </c>
      <c r="J160" s="40" t="str">
        <f>IF(Bids!$C160="","",Bids!$C160)</f>
        <v/>
      </c>
      <c r="K160" s="40" t="str">
        <f>IF($J160="","",IFERROR(VLOOKUP($J160,Grinders!$A:$N,2,FALSE),""))</f>
        <v/>
      </c>
      <c r="L160" s="40" t="str">
        <f>IF($J160="","",IFERROR(VLOOKUP($J160,Grinders!$A:$N,3,FALSE),""))</f>
        <v/>
      </c>
      <c r="M160" s="40" t="str">
        <f>IF($J160="","",IFERROR(VLOOKUP($J160,Grinders!$A:$N,4,FALSE),""))</f>
        <v/>
      </c>
      <c r="N160" s="40" t="str">
        <f>IF($J160="","",IFERROR(VLOOKUP($J160,Grinders!$A:$N,5,FALSE),""))</f>
        <v/>
      </c>
      <c r="O160" s="40" t="str">
        <f t="shared" si="2"/>
        <v/>
      </c>
      <c r="P160" s="40" t="str">
        <f>IF($J160="","",IFERROR(VLOOKUP($J160,Grinders!$A:$N,6,FALSE),""))</f>
        <v/>
      </c>
      <c r="Q160" s="40" t="str">
        <f>IF($J160="","",IFERROR(VLOOKUP($J160,Grinders!$A:$N,8,FALSE),""))</f>
        <v/>
      </c>
      <c r="R160" s="40" t="str">
        <f>IFERROR(IF($J160="","",IF($L160="Elite",MAX(50,MIN(100,Config!$B$27*MAX(0,MIN(100,(1-IF($O160="",0,$O160))*100)) + Config!$B$28*MAX(0,MIN(100,(1-MIN(1,IF(Config!$B$30=0,1,$P160/Config!$B$30)))*100)) + Config!$B$29*MAX(0,MIN(100,MIN(1,IF($Q160="",0,$Q160)/Config!$B$23)*100)))),MIN(100,Config!$B$27*MAX(0,MIN(100,(1-IF($O160="",0,$O160))*100)) + Config!$B$28*MAX(0,MIN(100,(1-MIN(1,IF(Config!$B$30=0,1,$P160/Config!$B$30)))*100)) + Config!$B$29*MAX(0,MIN(100,MIN(1,IF($Q160="",0,$Q160)/Config!$B$23)*100))))),"")
</f>
        <v/>
      </c>
      <c r="S160" s="40" t="str">
        <f>IF(Bids!$AC160="","",Bids!$AC160)</f>
        <v/>
      </c>
      <c r="T160" s="40" t="str">
        <f>IF(Bids!$F160="","",Bids!$F160)</f>
        <v/>
      </c>
      <c r="U160" s="40" t="str">
        <f t="shared" si="3"/>
        <v/>
      </c>
      <c r="V160" s="40" t="str">
        <f>IF($U160="","",IF(Config!$B$17=Config!$B$16,IF($U160&gt;=Config!$B$17,100,0),MAX(0,MIN(100,($U160-Config!$B$16)/(Config!$B$17-Config!$B$16)*100))))</f>
        <v/>
      </c>
      <c r="W160" s="40">
        <f>IF($L160="Elite",Config!$B$21,0)</f>
        <v>0</v>
      </c>
      <c r="X160" s="40" t="str">
        <f>IFERROR(IF(OR($T160="",$G160=""),"",IF($T160&gt;$G160,
  MAX(0, 60-(($T160-$G160)*24/Config!$B$19)*60),
  MEDIAN(60, 100, 60+(($G160-$T160)*24/Config!$B$20)*40)
)),"")
</f>
        <v/>
      </c>
      <c r="Y160" s="40" t="str">
        <f>IF($J160="","",IFERROR(VLOOKUP($J160,Grinders!$A:$N,10,FALSE),""))</f>
        <v/>
      </c>
      <c r="Z160" s="40" t="str">
        <f>IF($J160="","",IFERROR(VLOOKUP($J160,Grinders!$A:$N,11,FALSE),""))</f>
        <v/>
      </c>
      <c r="AA160" s="40" t="str">
        <f>IF($J160="","",IFERROR(VLOOKUP($J160,Grinders!$A:$N,12,FALSE),""))</f>
        <v/>
      </c>
      <c r="AB160" s="40" t="str">
        <f>IF(OR(AL160=1,AM160=1),0,=IFERROR(IF(OR($C160="",$J160=""),0,IF($D160&lt;&gt;"Open",0,IF(COUNTIFS(GrinderServices!$A:$A,$J160,GrinderServices!$B:$B,$E160,GrinderServices!$D:$D,"Y")=0,0,IF($U160&lt;Config!$B$16,0,IF(Config!$B$18=1,IF($N160&gt;=$M160,0,1),1))))),""))</f>
        <v>#ERROR!</v>
      </c>
      <c r="AC160" s="40" t="str">
        <f>IFERROR((IF(OR(AL160=1,AM160=1),"",=IFERROR((IFERROR(IF($AB160=0,"",((Config!$B$6*$V160 + Config!$B$7*$R160 + Config!$B$8*$W160 + Config!$B$9*$X160 + Config!$B$10*$Y160 + Config!$B$11*$Z160 - Config!$B$12*$AA160)/Config!$B$13)+$AH160+$AI160),""))*(1-IFERROR(VLOOKUP(J160,Grinders!$A:$AB, 28, FALSE),0)),"")))*(1+AO160),"")</f>
        <v>#ERROR!</v>
      </c>
      <c r="AD160" s="40" t="str">
        <f t="shared" si="4"/>
        <v/>
      </c>
      <c r="AE160" s="40" t="str">
        <f>IFERROR(__xludf.DUMMYFUNCTION("IF($AC160="""","""",IF($AC160=IFERROR(MAX(FILTER($AC$6:$AC$1000,$C$6:$C$1000=$C160,$AB$6:$AB$1000=1)),),""WINNER"",""""))"),"#ERROR!")</f>
        <v>#ERROR!</v>
      </c>
      <c r="AF160" s="40" t="str">
        <f t="shared" si="5"/>
        <v/>
      </c>
      <c r="AG160" s="40" t="str">
        <f>IF($J160="","",COUNTIF(Assignments!$B:$B,$J160))</f>
        <v/>
      </c>
      <c r="AH160" s="40" t="str">
        <f>IF($J160="","",IF(AND($AG160=0,$N160&lt;$M160),Config!$B$43,0))</f>
        <v/>
      </c>
      <c r="AI160" s="40" t="str">
        <f>IF($J160="","",IF(AND($L160="Elite",$F160&gt;=Config!$B$41,$N160&lt;$M160),Config!$B$42,0))</f>
        <v/>
      </c>
      <c r="AJ160" s="22"/>
      <c r="AK160" s="39">
        <f>IFERROR(VLOOKUP(J160,Grinders!$A:$Q,28,FALSE),0)</f>
        <v>0</v>
      </c>
      <c r="AL160" s="39">
        <f>IF(Config!$B$1003&lt;&gt;"Y",0,IF(IFERROR(VLOOKUP(J160,Grinders!$A:$P,27,FALSE),0)&gt;=3,IF(OR(F160&gt;=Config!$B$1001,ISNUMBER(SEARCH(E160,Config!$B$1002))),1,0),0))</f>
        <v>0</v>
      </c>
      <c r="AM160" s="39">
        <f t="array" ref="AM160">IFERROR(IF(INDEX(Bids!$AE:$AE,MATCH(B160,Bids!$A:$A,0))="Pending",1,0),0)</f>
        <v>0</v>
      </c>
      <c r="AN160" s="39" t="str">
        <f t="array" ref="AN160">IF(C160="","",IFERROR(XLOOKUP(C160,Assignments!$C:$C,Assignments!$AU:$AU,0),0))</f>
        <v/>
      </c>
      <c r="AO160" s="39">
        <f>IF(AND(Config!$B$1006="Y",AN160=1),Config!$B$1007,0)</f>
        <v>0</v>
      </c>
    </row>
    <row r="161" ht="15.75" customHeight="1">
      <c r="A161" s="46" t="str">
        <f t="shared" si="1"/>
        <v/>
      </c>
      <c r="B161" s="40" t="str">
        <f>IF(Bids!$A161="","",Bids!$A161)</f>
        <v/>
      </c>
      <c r="C161" s="40" t="str">
        <f>IF(Bids!$B161="","",Bids!$B161)</f>
        <v/>
      </c>
      <c r="D161" s="40" t="str">
        <f>IF($C161="","",IFERROR(VLOOKUP($C161,Orders!$A:$J,9,FALSE),""))</f>
        <v/>
      </c>
      <c r="E161" s="40" t="str">
        <f>IF($C161="","",IFERROR(VLOOKUP($C161,Orders!$A:$J,3,FALSE),""))</f>
        <v/>
      </c>
      <c r="F161" s="40" t="str">
        <f>IF($C161="","",IFERROR(VLOOKUP($C161,Orders!$A:$J,4,FALSE),""))</f>
        <v/>
      </c>
      <c r="G161" s="40" t="str">
        <f>IF($C161="","",IFERROR(VLOOKUP($C161,Orders!$A:$J,5,FALSE),""))</f>
        <v/>
      </c>
      <c r="H161" s="40" t="str">
        <f>IF($C161="","",IFERROR(VLOOKUP($C161,Orders!$A:$J,6,FALSE),""))</f>
        <v/>
      </c>
      <c r="I161" s="40" t="str">
        <f>IF($C161="","",IFERROR(VLOOKUP($C161,Orders!$A:$J,7,FALSE),""))</f>
        <v/>
      </c>
      <c r="J161" s="40" t="str">
        <f>IF(Bids!$C161="","",Bids!$C161)</f>
        <v/>
      </c>
      <c r="K161" s="40" t="str">
        <f>IF($J161="","",IFERROR(VLOOKUP($J161,Grinders!$A:$N,2,FALSE),""))</f>
        <v/>
      </c>
      <c r="L161" s="40" t="str">
        <f>IF($J161="","",IFERROR(VLOOKUP($J161,Grinders!$A:$N,3,FALSE),""))</f>
        <v/>
      </c>
      <c r="M161" s="40" t="str">
        <f>IF($J161="","",IFERROR(VLOOKUP($J161,Grinders!$A:$N,4,FALSE),""))</f>
        <v/>
      </c>
      <c r="N161" s="40" t="str">
        <f>IF($J161="","",IFERROR(VLOOKUP($J161,Grinders!$A:$N,5,FALSE),""))</f>
        <v/>
      </c>
      <c r="O161" s="40" t="str">
        <f t="shared" si="2"/>
        <v/>
      </c>
      <c r="P161" s="40" t="str">
        <f>IF($J161="","",IFERROR(VLOOKUP($J161,Grinders!$A:$N,6,FALSE),""))</f>
        <v/>
      </c>
      <c r="Q161" s="40" t="str">
        <f>IF($J161="","",IFERROR(VLOOKUP($J161,Grinders!$A:$N,8,FALSE),""))</f>
        <v/>
      </c>
      <c r="R161" s="40" t="str">
        <f>IFERROR(IF($J161="","",IF($L161="Elite",MAX(50,MIN(100,Config!$B$27*MAX(0,MIN(100,(1-IF($O161="",0,$O161))*100)) + Config!$B$28*MAX(0,MIN(100,(1-MIN(1,IF(Config!$B$30=0,1,$P161/Config!$B$30)))*100)) + Config!$B$29*MAX(0,MIN(100,MIN(1,IF($Q161="",0,$Q161)/Config!$B$23)*100)))),MIN(100,Config!$B$27*MAX(0,MIN(100,(1-IF($O161="",0,$O161))*100)) + Config!$B$28*MAX(0,MIN(100,(1-MIN(1,IF(Config!$B$30=0,1,$P161/Config!$B$30)))*100)) + Config!$B$29*MAX(0,MIN(100,MIN(1,IF($Q161="",0,$Q161)/Config!$B$23)*100))))),"")
</f>
        <v/>
      </c>
      <c r="S161" s="40" t="str">
        <f>IF(Bids!$AC161="","",Bids!$AC161)</f>
        <v/>
      </c>
      <c r="T161" s="40" t="str">
        <f>IF(Bids!$F161="","",Bids!$F161)</f>
        <v/>
      </c>
      <c r="U161" s="40" t="str">
        <f t="shared" si="3"/>
        <v/>
      </c>
      <c r="V161" s="40" t="str">
        <f>IF($U161="","",IF(Config!$B$17=Config!$B$16,IF($U161&gt;=Config!$B$17,100,0),MAX(0,MIN(100,($U161-Config!$B$16)/(Config!$B$17-Config!$B$16)*100))))</f>
        <v/>
      </c>
      <c r="W161" s="40">
        <f>IF($L161="Elite",Config!$B$21,0)</f>
        <v>0</v>
      </c>
      <c r="X161" s="40" t="str">
        <f>IFERROR(IF(OR($T161="",$G161=""),"",IF($T161&gt;$G161,
  MAX(0, 60-(($T161-$G161)*24/Config!$B$19)*60),
  MEDIAN(60, 100, 60+(($G161-$T161)*24/Config!$B$20)*40)
)),"")
</f>
        <v/>
      </c>
      <c r="Y161" s="40" t="str">
        <f>IF($J161="","",IFERROR(VLOOKUP($J161,Grinders!$A:$N,10,FALSE),""))</f>
        <v/>
      </c>
      <c r="Z161" s="40" t="str">
        <f>IF($J161="","",IFERROR(VLOOKUP($J161,Grinders!$A:$N,11,FALSE),""))</f>
        <v/>
      </c>
      <c r="AA161" s="40" t="str">
        <f>IF($J161="","",IFERROR(VLOOKUP($J161,Grinders!$A:$N,12,FALSE),""))</f>
        <v/>
      </c>
      <c r="AB161" s="40" t="str">
        <f>IF(OR(AL161=1,AM161=1),0,=IFERROR(IF(OR($C161="",$J161=""),0,IF($D161&lt;&gt;"Open",0,IF(COUNTIFS(GrinderServices!$A:$A,$J161,GrinderServices!$B:$B,$E161,GrinderServices!$D:$D,"Y")=0,0,IF($U161&lt;Config!$B$16,0,IF(Config!$B$18=1,IF($N161&gt;=$M161,0,1),1))))),""))</f>
        <v>#ERROR!</v>
      </c>
      <c r="AC161" s="40" t="str">
        <f>IFERROR((IF(OR(AL161=1,AM161=1),"",=IFERROR((IFERROR(IF($AB161=0,"",((Config!$B$6*$V161 + Config!$B$7*$R161 + Config!$B$8*$W161 + Config!$B$9*$X161 + Config!$B$10*$Y161 + Config!$B$11*$Z161 - Config!$B$12*$AA161)/Config!$B$13)+$AH161+$AI161),""))*(1-IFERROR(VLOOKUP(J161,Grinders!$A:$AB, 28, FALSE),0)),"")))*(1+AO161),"")</f>
        <v>#ERROR!</v>
      </c>
      <c r="AD161" s="40" t="str">
        <f t="shared" si="4"/>
        <v/>
      </c>
      <c r="AE161" s="40" t="str">
        <f>IFERROR(__xludf.DUMMYFUNCTION("IF($AC161="""","""",IF($AC161=IFERROR(MAX(FILTER($AC$6:$AC$1000,$C$6:$C$1000=$C161,$AB$6:$AB$1000=1)),),""WINNER"",""""))"),"#ERROR!")</f>
        <v>#ERROR!</v>
      </c>
      <c r="AF161" s="40" t="str">
        <f t="shared" si="5"/>
        <v/>
      </c>
      <c r="AG161" s="40" t="str">
        <f>IF($J161="","",COUNTIF(Assignments!$B:$B,$J161))</f>
        <v/>
      </c>
      <c r="AH161" s="40" t="str">
        <f>IF($J161="","",IF(AND($AG161=0,$N161&lt;$M161),Config!$B$43,0))</f>
        <v/>
      </c>
      <c r="AI161" s="40" t="str">
        <f>IF($J161="","",IF(AND($L161="Elite",$F161&gt;=Config!$B$41,$N161&lt;$M161),Config!$B$42,0))</f>
        <v/>
      </c>
      <c r="AJ161" s="22"/>
      <c r="AK161" s="39">
        <f>IFERROR(VLOOKUP(J161,Grinders!$A:$Q,28,FALSE),0)</f>
        <v>0</v>
      </c>
      <c r="AL161" s="39">
        <f>IF(Config!$B$1003&lt;&gt;"Y",0,IF(IFERROR(VLOOKUP(J161,Grinders!$A:$P,27,FALSE),0)&gt;=3,IF(OR(F161&gt;=Config!$B$1001,ISNUMBER(SEARCH(E161,Config!$B$1002))),1,0),0))</f>
        <v>0</v>
      </c>
      <c r="AM161" s="39">
        <f t="array" ref="AM161">IFERROR(IF(INDEX(Bids!$AE:$AE,MATCH(B161,Bids!$A:$A,0))="Pending",1,0),0)</f>
        <v>0</v>
      </c>
      <c r="AN161" s="39" t="str">
        <f t="array" ref="AN161">IF(C161="","",IFERROR(XLOOKUP(C161,Assignments!$C:$C,Assignments!$AU:$AU,0),0))</f>
        <v/>
      </c>
      <c r="AO161" s="39">
        <f>IF(AND(Config!$B$1006="Y",AN161=1),Config!$B$1007,0)</f>
        <v>0</v>
      </c>
    </row>
    <row r="162" ht="15.75" customHeight="1">
      <c r="A162" s="46" t="str">
        <f t="shared" si="1"/>
        <v/>
      </c>
      <c r="B162" s="40" t="str">
        <f>IF(Bids!$A162="","",Bids!$A162)</f>
        <v/>
      </c>
      <c r="C162" s="40" t="str">
        <f>IF(Bids!$B162="","",Bids!$B162)</f>
        <v/>
      </c>
      <c r="D162" s="40" t="str">
        <f>IF($C162="","",IFERROR(VLOOKUP($C162,Orders!$A:$J,9,FALSE),""))</f>
        <v/>
      </c>
      <c r="E162" s="40" t="str">
        <f>IF($C162="","",IFERROR(VLOOKUP($C162,Orders!$A:$J,3,FALSE),""))</f>
        <v/>
      </c>
      <c r="F162" s="40" t="str">
        <f>IF($C162="","",IFERROR(VLOOKUP($C162,Orders!$A:$J,4,FALSE),""))</f>
        <v/>
      </c>
      <c r="G162" s="40" t="str">
        <f>IF($C162="","",IFERROR(VLOOKUP($C162,Orders!$A:$J,5,FALSE),""))</f>
        <v/>
      </c>
      <c r="H162" s="40" t="str">
        <f>IF($C162="","",IFERROR(VLOOKUP($C162,Orders!$A:$J,6,FALSE),""))</f>
        <v/>
      </c>
      <c r="I162" s="40" t="str">
        <f>IF($C162="","",IFERROR(VLOOKUP($C162,Orders!$A:$J,7,FALSE),""))</f>
        <v/>
      </c>
      <c r="J162" s="40" t="str">
        <f>IF(Bids!$C162="","",Bids!$C162)</f>
        <v/>
      </c>
      <c r="K162" s="40" t="str">
        <f>IF($J162="","",IFERROR(VLOOKUP($J162,Grinders!$A:$N,2,FALSE),""))</f>
        <v/>
      </c>
      <c r="L162" s="40" t="str">
        <f>IF($J162="","",IFERROR(VLOOKUP($J162,Grinders!$A:$N,3,FALSE),""))</f>
        <v/>
      </c>
      <c r="M162" s="40" t="str">
        <f>IF($J162="","",IFERROR(VLOOKUP($J162,Grinders!$A:$N,4,FALSE),""))</f>
        <v/>
      </c>
      <c r="N162" s="40" t="str">
        <f>IF($J162="","",IFERROR(VLOOKUP($J162,Grinders!$A:$N,5,FALSE),""))</f>
        <v/>
      </c>
      <c r="O162" s="40" t="str">
        <f t="shared" si="2"/>
        <v/>
      </c>
      <c r="P162" s="40" t="str">
        <f>IF($J162="","",IFERROR(VLOOKUP($J162,Grinders!$A:$N,6,FALSE),""))</f>
        <v/>
      </c>
      <c r="Q162" s="40" t="str">
        <f>IF($J162="","",IFERROR(VLOOKUP($J162,Grinders!$A:$N,8,FALSE),""))</f>
        <v/>
      </c>
      <c r="R162" s="40" t="str">
        <f>IFERROR(IF($J162="","",IF($L162="Elite",MAX(50,MIN(100,Config!$B$27*MAX(0,MIN(100,(1-IF($O162="",0,$O162))*100)) + Config!$B$28*MAX(0,MIN(100,(1-MIN(1,IF(Config!$B$30=0,1,$P162/Config!$B$30)))*100)) + Config!$B$29*MAX(0,MIN(100,MIN(1,IF($Q162="",0,$Q162)/Config!$B$23)*100)))),MIN(100,Config!$B$27*MAX(0,MIN(100,(1-IF($O162="",0,$O162))*100)) + Config!$B$28*MAX(0,MIN(100,(1-MIN(1,IF(Config!$B$30=0,1,$P162/Config!$B$30)))*100)) + Config!$B$29*MAX(0,MIN(100,MIN(1,IF($Q162="",0,$Q162)/Config!$B$23)*100))))),"")
</f>
        <v/>
      </c>
      <c r="S162" s="40" t="str">
        <f>IF(Bids!$AC162="","",Bids!$AC162)</f>
        <v/>
      </c>
      <c r="T162" s="40" t="str">
        <f>IF(Bids!$F162="","",Bids!$F162)</f>
        <v/>
      </c>
      <c r="U162" s="40" t="str">
        <f t="shared" si="3"/>
        <v/>
      </c>
      <c r="V162" s="40" t="str">
        <f>IF($U162="","",IF(Config!$B$17=Config!$B$16,IF($U162&gt;=Config!$B$17,100,0),MAX(0,MIN(100,($U162-Config!$B$16)/(Config!$B$17-Config!$B$16)*100))))</f>
        <v/>
      </c>
      <c r="W162" s="40">
        <f>IF($L162="Elite",Config!$B$21,0)</f>
        <v>0</v>
      </c>
      <c r="X162" s="40" t="str">
        <f>IFERROR(IF(OR($T162="",$G162=""),"",IF($T162&gt;$G162,
  MAX(0, 60-(($T162-$G162)*24/Config!$B$19)*60),
  MEDIAN(60, 100, 60+(($G162-$T162)*24/Config!$B$20)*40)
)),"")
</f>
        <v/>
      </c>
      <c r="Y162" s="40" t="str">
        <f>IF($J162="","",IFERROR(VLOOKUP($J162,Grinders!$A:$N,10,FALSE),""))</f>
        <v/>
      </c>
      <c r="Z162" s="40" t="str">
        <f>IF($J162="","",IFERROR(VLOOKUP($J162,Grinders!$A:$N,11,FALSE),""))</f>
        <v/>
      </c>
      <c r="AA162" s="40" t="str">
        <f>IF($J162="","",IFERROR(VLOOKUP($J162,Grinders!$A:$N,12,FALSE),""))</f>
        <v/>
      </c>
      <c r="AB162" s="40" t="str">
        <f>IF(OR(AL162=1,AM162=1),0,=IFERROR(IF(OR($C162="",$J162=""),0,IF($D162&lt;&gt;"Open",0,IF(COUNTIFS(GrinderServices!$A:$A,$J162,GrinderServices!$B:$B,$E162,GrinderServices!$D:$D,"Y")=0,0,IF($U162&lt;Config!$B$16,0,IF(Config!$B$18=1,IF($N162&gt;=$M162,0,1),1))))),""))</f>
        <v>#ERROR!</v>
      </c>
      <c r="AC162" s="40" t="str">
        <f>IFERROR((IF(OR(AL162=1,AM162=1),"",=IFERROR((IFERROR(IF($AB162=0,"",((Config!$B$6*$V162 + Config!$B$7*$R162 + Config!$B$8*$W162 + Config!$B$9*$X162 + Config!$B$10*$Y162 + Config!$B$11*$Z162 - Config!$B$12*$AA162)/Config!$B$13)+$AH162+$AI162),""))*(1-IFERROR(VLOOKUP(J162,Grinders!$A:$AB, 28, FALSE),0)),"")))*(1+AO162),"")</f>
        <v>#ERROR!</v>
      </c>
      <c r="AD162" s="40" t="str">
        <f t="shared" si="4"/>
        <v/>
      </c>
      <c r="AE162" s="40" t="str">
        <f>IFERROR(__xludf.DUMMYFUNCTION("IF($AC162="""","""",IF($AC162=IFERROR(MAX(FILTER($AC$6:$AC$1000,$C$6:$C$1000=$C162,$AB$6:$AB$1000=1)),),""WINNER"",""""))"),"#ERROR!")</f>
        <v>#ERROR!</v>
      </c>
      <c r="AF162" s="40" t="str">
        <f t="shared" si="5"/>
        <v/>
      </c>
      <c r="AG162" s="40" t="str">
        <f>IF($J162="","",COUNTIF(Assignments!$B:$B,$J162))</f>
        <v/>
      </c>
      <c r="AH162" s="40" t="str">
        <f>IF($J162="","",IF(AND($AG162=0,$N162&lt;$M162),Config!$B$43,0))</f>
        <v/>
      </c>
      <c r="AI162" s="40" t="str">
        <f>IF($J162="","",IF(AND($L162="Elite",$F162&gt;=Config!$B$41,$N162&lt;$M162),Config!$B$42,0))</f>
        <v/>
      </c>
      <c r="AJ162" s="22"/>
      <c r="AK162" s="39">
        <f>IFERROR(VLOOKUP(J162,Grinders!$A:$Q,28,FALSE),0)</f>
        <v>0</v>
      </c>
      <c r="AL162" s="39">
        <f>IF(Config!$B$1003&lt;&gt;"Y",0,IF(IFERROR(VLOOKUP(J162,Grinders!$A:$P,27,FALSE),0)&gt;=3,IF(OR(F162&gt;=Config!$B$1001,ISNUMBER(SEARCH(E162,Config!$B$1002))),1,0),0))</f>
        <v>0</v>
      </c>
      <c r="AM162" s="39">
        <f t="array" ref="AM162">IFERROR(IF(INDEX(Bids!$AE:$AE,MATCH(B162,Bids!$A:$A,0))="Pending",1,0),0)</f>
        <v>0</v>
      </c>
      <c r="AN162" s="39" t="str">
        <f t="array" ref="AN162">IF(C162="","",IFERROR(XLOOKUP(C162,Assignments!$C:$C,Assignments!$AU:$AU,0),0))</f>
        <v/>
      </c>
      <c r="AO162" s="39">
        <f>IF(AND(Config!$B$1006="Y",AN162=1),Config!$B$1007,0)</f>
        <v>0</v>
      </c>
    </row>
    <row r="163" ht="15.75" customHeight="1">
      <c r="A163" s="46" t="str">
        <f t="shared" si="1"/>
        <v/>
      </c>
      <c r="B163" s="40" t="str">
        <f>IF(Bids!$A163="","",Bids!$A163)</f>
        <v/>
      </c>
      <c r="C163" s="40" t="str">
        <f>IF(Bids!$B163="","",Bids!$B163)</f>
        <v/>
      </c>
      <c r="D163" s="40" t="str">
        <f>IF($C163="","",IFERROR(VLOOKUP($C163,Orders!$A:$J,9,FALSE),""))</f>
        <v/>
      </c>
      <c r="E163" s="40" t="str">
        <f>IF($C163="","",IFERROR(VLOOKUP($C163,Orders!$A:$J,3,FALSE),""))</f>
        <v/>
      </c>
      <c r="F163" s="40" t="str">
        <f>IF($C163="","",IFERROR(VLOOKUP($C163,Orders!$A:$J,4,FALSE),""))</f>
        <v/>
      </c>
      <c r="G163" s="40" t="str">
        <f>IF($C163="","",IFERROR(VLOOKUP($C163,Orders!$A:$J,5,FALSE),""))</f>
        <v/>
      </c>
      <c r="H163" s="40" t="str">
        <f>IF($C163="","",IFERROR(VLOOKUP($C163,Orders!$A:$J,6,FALSE),""))</f>
        <v/>
      </c>
      <c r="I163" s="40" t="str">
        <f>IF($C163="","",IFERROR(VLOOKUP($C163,Orders!$A:$J,7,FALSE),""))</f>
        <v/>
      </c>
      <c r="J163" s="40" t="str">
        <f>IF(Bids!$C163="","",Bids!$C163)</f>
        <v/>
      </c>
      <c r="K163" s="40" t="str">
        <f>IF($J163="","",IFERROR(VLOOKUP($J163,Grinders!$A:$N,2,FALSE),""))</f>
        <v/>
      </c>
      <c r="L163" s="40" t="str">
        <f>IF($J163="","",IFERROR(VLOOKUP($J163,Grinders!$A:$N,3,FALSE),""))</f>
        <v/>
      </c>
      <c r="M163" s="40" t="str">
        <f>IF($J163="","",IFERROR(VLOOKUP($J163,Grinders!$A:$N,4,FALSE),""))</f>
        <v/>
      </c>
      <c r="N163" s="40" t="str">
        <f>IF($J163="","",IFERROR(VLOOKUP($J163,Grinders!$A:$N,5,FALSE),""))</f>
        <v/>
      </c>
      <c r="O163" s="40" t="str">
        <f t="shared" si="2"/>
        <v/>
      </c>
      <c r="P163" s="40" t="str">
        <f>IF($J163="","",IFERROR(VLOOKUP($J163,Grinders!$A:$N,6,FALSE),""))</f>
        <v/>
      </c>
      <c r="Q163" s="40" t="str">
        <f>IF($J163="","",IFERROR(VLOOKUP($J163,Grinders!$A:$N,8,FALSE),""))</f>
        <v/>
      </c>
      <c r="R163" s="40" t="str">
        <f>IFERROR(IF($J163="","",IF($L163="Elite",MAX(50,MIN(100,Config!$B$27*MAX(0,MIN(100,(1-IF($O163="",0,$O163))*100)) + Config!$B$28*MAX(0,MIN(100,(1-MIN(1,IF(Config!$B$30=0,1,$P163/Config!$B$30)))*100)) + Config!$B$29*MAX(0,MIN(100,MIN(1,IF($Q163="",0,$Q163)/Config!$B$23)*100)))),MIN(100,Config!$B$27*MAX(0,MIN(100,(1-IF($O163="",0,$O163))*100)) + Config!$B$28*MAX(0,MIN(100,(1-MIN(1,IF(Config!$B$30=0,1,$P163/Config!$B$30)))*100)) + Config!$B$29*MAX(0,MIN(100,MIN(1,IF($Q163="",0,$Q163)/Config!$B$23)*100))))),"")
</f>
        <v/>
      </c>
      <c r="S163" s="40" t="str">
        <f>IF(Bids!$AC163="","",Bids!$AC163)</f>
        <v/>
      </c>
      <c r="T163" s="40" t="str">
        <f>IF(Bids!$F163="","",Bids!$F163)</f>
        <v/>
      </c>
      <c r="U163" s="40" t="str">
        <f t="shared" si="3"/>
        <v/>
      </c>
      <c r="V163" s="40" t="str">
        <f>IF($U163="","",IF(Config!$B$17=Config!$B$16,IF($U163&gt;=Config!$B$17,100,0),MAX(0,MIN(100,($U163-Config!$B$16)/(Config!$B$17-Config!$B$16)*100))))</f>
        <v/>
      </c>
      <c r="W163" s="40">
        <f>IF($L163="Elite",Config!$B$21,0)</f>
        <v>0</v>
      </c>
      <c r="X163" s="40" t="str">
        <f>IFERROR(IF(OR($T163="",$G163=""),"",IF($T163&gt;$G163,
  MAX(0, 60-(($T163-$G163)*24/Config!$B$19)*60),
  MEDIAN(60, 100, 60+(($G163-$T163)*24/Config!$B$20)*40)
)),"")
</f>
        <v/>
      </c>
      <c r="Y163" s="40" t="str">
        <f>IF($J163="","",IFERROR(VLOOKUP($J163,Grinders!$A:$N,10,FALSE),""))</f>
        <v/>
      </c>
      <c r="Z163" s="40" t="str">
        <f>IF($J163="","",IFERROR(VLOOKUP($J163,Grinders!$A:$N,11,FALSE),""))</f>
        <v/>
      </c>
      <c r="AA163" s="40" t="str">
        <f>IF($J163="","",IFERROR(VLOOKUP($J163,Grinders!$A:$N,12,FALSE),""))</f>
        <v/>
      </c>
      <c r="AB163" s="40" t="str">
        <f>IF(OR(AL163=1,AM163=1),0,=IFERROR(IF(OR($C163="",$J163=""),0,IF($D163&lt;&gt;"Open",0,IF(COUNTIFS(GrinderServices!$A:$A,$J163,GrinderServices!$B:$B,$E163,GrinderServices!$D:$D,"Y")=0,0,IF($U163&lt;Config!$B$16,0,IF(Config!$B$18=1,IF($N163&gt;=$M163,0,1),1))))),""))</f>
        <v>#ERROR!</v>
      </c>
      <c r="AC163" s="40" t="str">
        <f>IFERROR((IF(OR(AL163=1,AM163=1),"",=IFERROR((IFERROR(IF($AB163=0,"",((Config!$B$6*$V163 + Config!$B$7*$R163 + Config!$B$8*$W163 + Config!$B$9*$X163 + Config!$B$10*$Y163 + Config!$B$11*$Z163 - Config!$B$12*$AA163)/Config!$B$13)+$AH163+$AI163),""))*(1-IFERROR(VLOOKUP(J163,Grinders!$A:$AB, 28, FALSE),0)),"")))*(1+AO163),"")</f>
        <v>#ERROR!</v>
      </c>
      <c r="AD163" s="40" t="str">
        <f t="shared" si="4"/>
        <v/>
      </c>
      <c r="AE163" s="40" t="str">
        <f>IFERROR(__xludf.DUMMYFUNCTION("IF($AC163="""","""",IF($AC163=IFERROR(MAX(FILTER($AC$6:$AC$1000,$C$6:$C$1000=$C163,$AB$6:$AB$1000=1)),),""WINNER"",""""))"),"#ERROR!")</f>
        <v>#ERROR!</v>
      </c>
      <c r="AF163" s="40" t="str">
        <f t="shared" si="5"/>
        <v/>
      </c>
      <c r="AG163" s="40" t="str">
        <f>IF($J163="","",COUNTIF(Assignments!$B:$B,$J163))</f>
        <v/>
      </c>
      <c r="AH163" s="40" t="str">
        <f>IF($J163="","",IF(AND($AG163=0,$N163&lt;$M163),Config!$B$43,0))</f>
        <v/>
      </c>
      <c r="AI163" s="40" t="str">
        <f>IF($J163="","",IF(AND($L163="Elite",$F163&gt;=Config!$B$41,$N163&lt;$M163),Config!$B$42,0))</f>
        <v/>
      </c>
      <c r="AJ163" s="22"/>
      <c r="AK163" s="39">
        <f>IFERROR(VLOOKUP(J163,Grinders!$A:$Q,28,FALSE),0)</f>
        <v>0</v>
      </c>
      <c r="AL163" s="39">
        <f>IF(Config!$B$1003&lt;&gt;"Y",0,IF(IFERROR(VLOOKUP(J163,Grinders!$A:$P,27,FALSE),0)&gt;=3,IF(OR(F163&gt;=Config!$B$1001,ISNUMBER(SEARCH(E163,Config!$B$1002))),1,0),0))</f>
        <v>0</v>
      </c>
      <c r="AM163" s="39">
        <f t="array" ref="AM163">IFERROR(IF(INDEX(Bids!$AE:$AE,MATCH(B163,Bids!$A:$A,0))="Pending",1,0),0)</f>
        <v>0</v>
      </c>
      <c r="AN163" s="39" t="str">
        <f t="array" ref="AN163">IF(C163="","",IFERROR(XLOOKUP(C163,Assignments!$C:$C,Assignments!$AU:$AU,0),0))</f>
        <v/>
      </c>
      <c r="AO163" s="39">
        <f>IF(AND(Config!$B$1006="Y",AN163=1),Config!$B$1007,0)</f>
        <v>0</v>
      </c>
    </row>
    <row r="164" ht="15.75" customHeight="1">
      <c r="A164" s="46" t="str">
        <f t="shared" si="1"/>
        <v/>
      </c>
      <c r="B164" s="40" t="str">
        <f>IF(Bids!$A164="","",Bids!$A164)</f>
        <v/>
      </c>
      <c r="C164" s="40" t="str">
        <f>IF(Bids!$B164="","",Bids!$B164)</f>
        <v/>
      </c>
      <c r="D164" s="40" t="str">
        <f>IF($C164="","",IFERROR(VLOOKUP($C164,Orders!$A:$J,9,FALSE),""))</f>
        <v/>
      </c>
      <c r="E164" s="40" t="str">
        <f>IF($C164="","",IFERROR(VLOOKUP($C164,Orders!$A:$J,3,FALSE),""))</f>
        <v/>
      </c>
      <c r="F164" s="40" t="str">
        <f>IF($C164="","",IFERROR(VLOOKUP($C164,Orders!$A:$J,4,FALSE),""))</f>
        <v/>
      </c>
      <c r="G164" s="40" t="str">
        <f>IF($C164="","",IFERROR(VLOOKUP($C164,Orders!$A:$J,5,FALSE),""))</f>
        <v/>
      </c>
      <c r="H164" s="40" t="str">
        <f>IF($C164="","",IFERROR(VLOOKUP($C164,Orders!$A:$J,6,FALSE),""))</f>
        <v/>
      </c>
      <c r="I164" s="40" t="str">
        <f>IF($C164="","",IFERROR(VLOOKUP($C164,Orders!$A:$J,7,FALSE),""))</f>
        <v/>
      </c>
      <c r="J164" s="40" t="str">
        <f>IF(Bids!$C164="","",Bids!$C164)</f>
        <v/>
      </c>
      <c r="K164" s="40" t="str">
        <f>IF($J164="","",IFERROR(VLOOKUP($J164,Grinders!$A:$N,2,FALSE),""))</f>
        <v/>
      </c>
      <c r="L164" s="40" t="str">
        <f>IF($J164="","",IFERROR(VLOOKUP($J164,Grinders!$A:$N,3,FALSE),""))</f>
        <v/>
      </c>
      <c r="M164" s="40" t="str">
        <f>IF($J164="","",IFERROR(VLOOKUP($J164,Grinders!$A:$N,4,FALSE),""))</f>
        <v/>
      </c>
      <c r="N164" s="40" t="str">
        <f>IF($J164="","",IFERROR(VLOOKUP($J164,Grinders!$A:$N,5,FALSE),""))</f>
        <v/>
      </c>
      <c r="O164" s="40" t="str">
        <f t="shared" si="2"/>
        <v/>
      </c>
      <c r="P164" s="40" t="str">
        <f>IF($J164="","",IFERROR(VLOOKUP($J164,Grinders!$A:$N,6,FALSE),""))</f>
        <v/>
      </c>
      <c r="Q164" s="40" t="str">
        <f>IF($J164="","",IFERROR(VLOOKUP($J164,Grinders!$A:$N,8,FALSE),""))</f>
        <v/>
      </c>
      <c r="R164" s="40" t="str">
        <f>IFERROR(IF($J164="","",IF($L164="Elite",MAX(50,MIN(100,Config!$B$27*MAX(0,MIN(100,(1-IF($O164="",0,$O164))*100)) + Config!$B$28*MAX(0,MIN(100,(1-MIN(1,IF(Config!$B$30=0,1,$P164/Config!$B$30)))*100)) + Config!$B$29*MAX(0,MIN(100,MIN(1,IF($Q164="",0,$Q164)/Config!$B$23)*100)))),MIN(100,Config!$B$27*MAX(0,MIN(100,(1-IF($O164="",0,$O164))*100)) + Config!$B$28*MAX(0,MIN(100,(1-MIN(1,IF(Config!$B$30=0,1,$P164/Config!$B$30)))*100)) + Config!$B$29*MAX(0,MIN(100,MIN(1,IF($Q164="",0,$Q164)/Config!$B$23)*100))))),"")
</f>
        <v/>
      </c>
      <c r="S164" s="40" t="str">
        <f>IF(Bids!$AC164="","",Bids!$AC164)</f>
        <v/>
      </c>
      <c r="T164" s="40" t="str">
        <f>IF(Bids!$F164="","",Bids!$F164)</f>
        <v/>
      </c>
      <c r="U164" s="40" t="str">
        <f t="shared" si="3"/>
        <v/>
      </c>
      <c r="V164" s="40" t="str">
        <f>IF($U164="","",IF(Config!$B$17=Config!$B$16,IF($U164&gt;=Config!$B$17,100,0),MAX(0,MIN(100,($U164-Config!$B$16)/(Config!$B$17-Config!$B$16)*100))))</f>
        <v/>
      </c>
      <c r="W164" s="40">
        <f>IF($L164="Elite",Config!$B$21,0)</f>
        <v>0</v>
      </c>
      <c r="X164" s="40" t="str">
        <f>IFERROR(IF(OR($T164="",$G164=""),"",IF($T164&gt;$G164,
  MAX(0, 60-(($T164-$G164)*24/Config!$B$19)*60),
  MEDIAN(60, 100, 60+(($G164-$T164)*24/Config!$B$20)*40)
)),"")
</f>
        <v/>
      </c>
      <c r="Y164" s="40" t="str">
        <f>IF($J164="","",IFERROR(VLOOKUP($J164,Grinders!$A:$N,10,FALSE),""))</f>
        <v/>
      </c>
      <c r="Z164" s="40" t="str">
        <f>IF($J164="","",IFERROR(VLOOKUP($J164,Grinders!$A:$N,11,FALSE),""))</f>
        <v/>
      </c>
      <c r="AA164" s="40" t="str">
        <f>IF($J164="","",IFERROR(VLOOKUP($J164,Grinders!$A:$N,12,FALSE),""))</f>
        <v/>
      </c>
      <c r="AB164" s="40" t="str">
        <f>IF(OR(AL164=1,AM164=1),0,=IFERROR(IF(OR($C164="",$J164=""),0,IF($D164&lt;&gt;"Open",0,IF(COUNTIFS(GrinderServices!$A:$A,$J164,GrinderServices!$B:$B,$E164,GrinderServices!$D:$D,"Y")=0,0,IF($U164&lt;Config!$B$16,0,IF(Config!$B$18=1,IF($N164&gt;=$M164,0,1),1))))),""))</f>
        <v>#ERROR!</v>
      </c>
      <c r="AC164" s="40" t="str">
        <f>IFERROR((IF(OR(AL164=1,AM164=1),"",=IFERROR((IFERROR(IF($AB164=0,"",((Config!$B$6*$V164 + Config!$B$7*$R164 + Config!$B$8*$W164 + Config!$B$9*$X164 + Config!$B$10*$Y164 + Config!$B$11*$Z164 - Config!$B$12*$AA164)/Config!$B$13)+$AH164+$AI164),""))*(1-IFERROR(VLOOKUP(J164,Grinders!$A:$AB, 28, FALSE),0)),"")))*(1+AO164),"")</f>
        <v>#ERROR!</v>
      </c>
      <c r="AD164" s="40" t="str">
        <f t="shared" si="4"/>
        <v/>
      </c>
      <c r="AE164" s="40" t="str">
        <f>IFERROR(__xludf.DUMMYFUNCTION("IF($AC164="""","""",IF($AC164=IFERROR(MAX(FILTER($AC$6:$AC$1000,$C$6:$C$1000=$C164,$AB$6:$AB$1000=1)),),""WINNER"",""""))"),"#ERROR!")</f>
        <v>#ERROR!</v>
      </c>
      <c r="AF164" s="40" t="str">
        <f t="shared" si="5"/>
        <v/>
      </c>
      <c r="AG164" s="40" t="str">
        <f>IF($J164="","",COUNTIF(Assignments!$B:$B,$J164))</f>
        <v/>
      </c>
      <c r="AH164" s="40" t="str">
        <f>IF($J164="","",IF(AND($AG164=0,$N164&lt;$M164),Config!$B$43,0))</f>
        <v/>
      </c>
      <c r="AI164" s="40" t="str">
        <f>IF($J164="","",IF(AND($L164="Elite",$F164&gt;=Config!$B$41,$N164&lt;$M164),Config!$B$42,0))</f>
        <v/>
      </c>
      <c r="AJ164" s="22"/>
      <c r="AK164" s="39">
        <f>IFERROR(VLOOKUP(J164,Grinders!$A:$Q,28,FALSE),0)</f>
        <v>0</v>
      </c>
      <c r="AL164" s="39">
        <f>IF(Config!$B$1003&lt;&gt;"Y",0,IF(IFERROR(VLOOKUP(J164,Grinders!$A:$P,27,FALSE),0)&gt;=3,IF(OR(F164&gt;=Config!$B$1001,ISNUMBER(SEARCH(E164,Config!$B$1002))),1,0),0))</f>
        <v>0</v>
      </c>
      <c r="AM164" s="39">
        <f t="array" ref="AM164">IFERROR(IF(INDEX(Bids!$AE:$AE,MATCH(B164,Bids!$A:$A,0))="Pending",1,0),0)</f>
        <v>0</v>
      </c>
      <c r="AN164" s="39" t="str">
        <f t="array" ref="AN164">IF(C164="","",IFERROR(XLOOKUP(C164,Assignments!$C:$C,Assignments!$AU:$AU,0),0))</f>
        <v/>
      </c>
      <c r="AO164" s="39">
        <f>IF(AND(Config!$B$1006="Y",AN164=1),Config!$B$1007,0)</f>
        <v>0</v>
      </c>
    </row>
    <row r="165" ht="15.75" customHeight="1">
      <c r="A165" s="46" t="str">
        <f t="shared" si="1"/>
        <v/>
      </c>
      <c r="B165" s="40" t="str">
        <f>IF(Bids!$A165="","",Bids!$A165)</f>
        <v/>
      </c>
      <c r="C165" s="40" t="str">
        <f>IF(Bids!$B165="","",Bids!$B165)</f>
        <v/>
      </c>
      <c r="D165" s="40" t="str">
        <f>IF($C165="","",IFERROR(VLOOKUP($C165,Orders!$A:$J,9,FALSE),""))</f>
        <v/>
      </c>
      <c r="E165" s="40" t="str">
        <f>IF($C165="","",IFERROR(VLOOKUP($C165,Orders!$A:$J,3,FALSE),""))</f>
        <v/>
      </c>
      <c r="F165" s="40" t="str">
        <f>IF($C165="","",IFERROR(VLOOKUP($C165,Orders!$A:$J,4,FALSE),""))</f>
        <v/>
      </c>
      <c r="G165" s="40" t="str">
        <f>IF($C165="","",IFERROR(VLOOKUP($C165,Orders!$A:$J,5,FALSE),""))</f>
        <v/>
      </c>
      <c r="H165" s="40" t="str">
        <f>IF($C165="","",IFERROR(VLOOKUP($C165,Orders!$A:$J,6,FALSE),""))</f>
        <v/>
      </c>
      <c r="I165" s="40" t="str">
        <f>IF($C165="","",IFERROR(VLOOKUP($C165,Orders!$A:$J,7,FALSE),""))</f>
        <v/>
      </c>
      <c r="J165" s="40" t="str">
        <f>IF(Bids!$C165="","",Bids!$C165)</f>
        <v/>
      </c>
      <c r="K165" s="40" t="str">
        <f>IF($J165="","",IFERROR(VLOOKUP($J165,Grinders!$A:$N,2,FALSE),""))</f>
        <v/>
      </c>
      <c r="L165" s="40" t="str">
        <f>IF($J165="","",IFERROR(VLOOKUP($J165,Grinders!$A:$N,3,FALSE),""))</f>
        <v/>
      </c>
      <c r="M165" s="40" t="str">
        <f>IF($J165="","",IFERROR(VLOOKUP($J165,Grinders!$A:$N,4,FALSE),""))</f>
        <v/>
      </c>
      <c r="N165" s="40" t="str">
        <f>IF($J165="","",IFERROR(VLOOKUP($J165,Grinders!$A:$N,5,FALSE),""))</f>
        <v/>
      </c>
      <c r="O165" s="40" t="str">
        <f t="shared" si="2"/>
        <v/>
      </c>
      <c r="P165" s="40" t="str">
        <f>IF($J165="","",IFERROR(VLOOKUP($J165,Grinders!$A:$N,6,FALSE),""))</f>
        <v/>
      </c>
      <c r="Q165" s="40" t="str">
        <f>IF($J165="","",IFERROR(VLOOKUP($J165,Grinders!$A:$N,8,FALSE),""))</f>
        <v/>
      </c>
      <c r="R165" s="40" t="str">
        <f>IFERROR(IF($J165="","",IF($L165="Elite",MAX(50,MIN(100,Config!$B$27*MAX(0,MIN(100,(1-IF($O165="",0,$O165))*100)) + Config!$B$28*MAX(0,MIN(100,(1-MIN(1,IF(Config!$B$30=0,1,$P165/Config!$B$30)))*100)) + Config!$B$29*MAX(0,MIN(100,MIN(1,IF($Q165="",0,$Q165)/Config!$B$23)*100)))),MIN(100,Config!$B$27*MAX(0,MIN(100,(1-IF($O165="",0,$O165))*100)) + Config!$B$28*MAX(0,MIN(100,(1-MIN(1,IF(Config!$B$30=0,1,$P165/Config!$B$30)))*100)) + Config!$B$29*MAX(0,MIN(100,MIN(1,IF($Q165="",0,$Q165)/Config!$B$23)*100))))),"")
</f>
        <v/>
      </c>
      <c r="S165" s="40" t="str">
        <f>IF(Bids!$AC165="","",Bids!$AC165)</f>
        <v/>
      </c>
      <c r="T165" s="40" t="str">
        <f>IF(Bids!$F165="","",Bids!$F165)</f>
        <v/>
      </c>
      <c r="U165" s="40" t="str">
        <f t="shared" si="3"/>
        <v/>
      </c>
      <c r="V165" s="40" t="str">
        <f>IF($U165="","",IF(Config!$B$17=Config!$B$16,IF($U165&gt;=Config!$B$17,100,0),MAX(0,MIN(100,($U165-Config!$B$16)/(Config!$B$17-Config!$B$16)*100))))</f>
        <v/>
      </c>
      <c r="W165" s="40">
        <f>IF($L165="Elite",Config!$B$21,0)</f>
        <v>0</v>
      </c>
      <c r="X165" s="40" t="str">
        <f>IFERROR(IF(OR($T165="",$G165=""),"",IF($T165&gt;$G165,
  MAX(0, 60-(($T165-$G165)*24/Config!$B$19)*60),
  MEDIAN(60, 100, 60+(($G165-$T165)*24/Config!$B$20)*40)
)),"")
</f>
        <v/>
      </c>
      <c r="Y165" s="40" t="str">
        <f>IF($J165="","",IFERROR(VLOOKUP($J165,Grinders!$A:$N,10,FALSE),""))</f>
        <v/>
      </c>
      <c r="Z165" s="40" t="str">
        <f>IF($J165="","",IFERROR(VLOOKUP($J165,Grinders!$A:$N,11,FALSE),""))</f>
        <v/>
      </c>
      <c r="AA165" s="40" t="str">
        <f>IF($J165="","",IFERROR(VLOOKUP($J165,Grinders!$A:$N,12,FALSE),""))</f>
        <v/>
      </c>
      <c r="AB165" s="40" t="str">
        <f>IF(OR(AL165=1,AM165=1),0,=IFERROR(IF(OR($C165="",$J165=""),0,IF($D165&lt;&gt;"Open",0,IF(COUNTIFS(GrinderServices!$A:$A,$J165,GrinderServices!$B:$B,$E165,GrinderServices!$D:$D,"Y")=0,0,IF($U165&lt;Config!$B$16,0,IF(Config!$B$18=1,IF($N165&gt;=$M165,0,1),1))))),""))</f>
        <v>#ERROR!</v>
      </c>
      <c r="AC165" s="40" t="str">
        <f>IFERROR((IF(OR(AL165=1,AM165=1),"",=IFERROR((IFERROR(IF($AB165=0,"",((Config!$B$6*$V165 + Config!$B$7*$R165 + Config!$B$8*$W165 + Config!$B$9*$X165 + Config!$B$10*$Y165 + Config!$B$11*$Z165 - Config!$B$12*$AA165)/Config!$B$13)+$AH165+$AI165),""))*(1-IFERROR(VLOOKUP(J165,Grinders!$A:$AB, 28, FALSE),0)),"")))*(1+AO165),"")</f>
        <v>#ERROR!</v>
      </c>
      <c r="AD165" s="40" t="str">
        <f t="shared" si="4"/>
        <v/>
      </c>
      <c r="AE165" s="40" t="str">
        <f>IFERROR(__xludf.DUMMYFUNCTION("IF($AC165="""","""",IF($AC165=IFERROR(MAX(FILTER($AC$6:$AC$1000,$C$6:$C$1000=$C165,$AB$6:$AB$1000=1)),),""WINNER"",""""))"),"#ERROR!")</f>
        <v>#ERROR!</v>
      </c>
      <c r="AF165" s="40" t="str">
        <f t="shared" si="5"/>
        <v/>
      </c>
      <c r="AG165" s="40" t="str">
        <f>IF($J165="","",COUNTIF(Assignments!$B:$B,$J165))</f>
        <v/>
      </c>
      <c r="AH165" s="40" t="str">
        <f>IF($J165="","",IF(AND($AG165=0,$N165&lt;$M165),Config!$B$43,0))</f>
        <v/>
      </c>
      <c r="AI165" s="40" t="str">
        <f>IF($J165="","",IF(AND($L165="Elite",$F165&gt;=Config!$B$41,$N165&lt;$M165),Config!$B$42,0))</f>
        <v/>
      </c>
      <c r="AJ165" s="22"/>
      <c r="AK165" s="39">
        <f>IFERROR(VLOOKUP(J165,Grinders!$A:$Q,28,FALSE),0)</f>
        <v>0</v>
      </c>
      <c r="AL165" s="39">
        <f>IF(Config!$B$1003&lt;&gt;"Y",0,IF(IFERROR(VLOOKUP(J165,Grinders!$A:$P,27,FALSE),0)&gt;=3,IF(OR(F165&gt;=Config!$B$1001,ISNUMBER(SEARCH(E165,Config!$B$1002))),1,0),0))</f>
        <v>0</v>
      </c>
      <c r="AM165" s="39">
        <f t="array" ref="AM165">IFERROR(IF(INDEX(Bids!$AE:$AE,MATCH(B165,Bids!$A:$A,0))="Pending",1,0),0)</f>
        <v>0</v>
      </c>
      <c r="AN165" s="39" t="str">
        <f t="array" ref="AN165">IF(C165="","",IFERROR(XLOOKUP(C165,Assignments!$C:$C,Assignments!$AU:$AU,0),0))</f>
        <v/>
      </c>
      <c r="AO165" s="39">
        <f>IF(AND(Config!$B$1006="Y",AN165=1),Config!$B$1007,0)</f>
        <v>0</v>
      </c>
    </row>
    <row r="166" ht="15.75" customHeight="1">
      <c r="A166" s="46" t="str">
        <f t="shared" si="1"/>
        <v/>
      </c>
      <c r="B166" s="40" t="str">
        <f>IF(Bids!$A166="","",Bids!$A166)</f>
        <v/>
      </c>
      <c r="C166" s="40" t="str">
        <f>IF(Bids!$B166="","",Bids!$B166)</f>
        <v/>
      </c>
      <c r="D166" s="40" t="str">
        <f>IF($C166="","",IFERROR(VLOOKUP($C166,Orders!$A:$J,9,FALSE),""))</f>
        <v/>
      </c>
      <c r="E166" s="40" t="str">
        <f>IF($C166="","",IFERROR(VLOOKUP($C166,Orders!$A:$J,3,FALSE),""))</f>
        <v/>
      </c>
      <c r="F166" s="40" t="str">
        <f>IF($C166="","",IFERROR(VLOOKUP($C166,Orders!$A:$J,4,FALSE),""))</f>
        <v/>
      </c>
      <c r="G166" s="40" t="str">
        <f>IF($C166="","",IFERROR(VLOOKUP($C166,Orders!$A:$J,5,FALSE),""))</f>
        <v/>
      </c>
      <c r="H166" s="40" t="str">
        <f>IF($C166="","",IFERROR(VLOOKUP($C166,Orders!$A:$J,6,FALSE),""))</f>
        <v/>
      </c>
      <c r="I166" s="40" t="str">
        <f>IF($C166="","",IFERROR(VLOOKUP($C166,Orders!$A:$J,7,FALSE),""))</f>
        <v/>
      </c>
      <c r="J166" s="40" t="str">
        <f>IF(Bids!$C166="","",Bids!$C166)</f>
        <v/>
      </c>
      <c r="K166" s="40" t="str">
        <f>IF($J166="","",IFERROR(VLOOKUP($J166,Grinders!$A:$N,2,FALSE),""))</f>
        <v/>
      </c>
      <c r="L166" s="40" t="str">
        <f>IF($J166="","",IFERROR(VLOOKUP($J166,Grinders!$A:$N,3,FALSE),""))</f>
        <v/>
      </c>
      <c r="M166" s="40" t="str">
        <f>IF($J166="","",IFERROR(VLOOKUP($J166,Grinders!$A:$N,4,FALSE),""))</f>
        <v/>
      </c>
      <c r="N166" s="40" t="str">
        <f>IF($J166="","",IFERROR(VLOOKUP($J166,Grinders!$A:$N,5,FALSE),""))</f>
        <v/>
      </c>
      <c r="O166" s="40" t="str">
        <f t="shared" si="2"/>
        <v/>
      </c>
      <c r="P166" s="40" t="str">
        <f>IF($J166="","",IFERROR(VLOOKUP($J166,Grinders!$A:$N,6,FALSE),""))</f>
        <v/>
      </c>
      <c r="Q166" s="40" t="str">
        <f>IF($J166="","",IFERROR(VLOOKUP($J166,Grinders!$A:$N,8,FALSE),""))</f>
        <v/>
      </c>
      <c r="R166" s="40" t="str">
        <f>IFERROR(IF($J166="","",IF($L166="Elite",MAX(50,MIN(100,Config!$B$27*MAX(0,MIN(100,(1-IF($O166="",0,$O166))*100)) + Config!$B$28*MAX(0,MIN(100,(1-MIN(1,IF(Config!$B$30=0,1,$P166/Config!$B$30)))*100)) + Config!$B$29*MAX(0,MIN(100,MIN(1,IF($Q166="",0,$Q166)/Config!$B$23)*100)))),MIN(100,Config!$B$27*MAX(0,MIN(100,(1-IF($O166="",0,$O166))*100)) + Config!$B$28*MAX(0,MIN(100,(1-MIN(1,IF(Config!$B$30=0,1,$P166/Config!$B$30)))*100)) + Config!$B$29*MAX(0,MIN(100,MIN(1,IF($Q166="",0,$Q166)/Config!$B$23)*100))))),"")
</f>
        <v/>
      </c>
      <c r="S166" s="40" t="str">
        <f>IF(Bids!$AC166="","",Bids!$AC166)</f>
        <v/>
      </c>
      <c r="T166" s="40" t="str">
        <f>IF(Bids!$F166="","",Bids!$F166)</f>
        <v/>
      </c>
      <c r="U166" s="40" t="str">
        <f t="shared" si="3"/>
        <v/>
      </c>
      <c r="V166" s="40" t="str">
        <f>IF($U166="","",IF(Config!$B$17=Config!$B$16,IF($U166&gt;=Config!$B$17,100,0),MAX(0,MIN(100,($U166-Config!$B$16)/(Config!$B$17-Config!$B$16)*100))))</f>
        <v/>
      </c>
      <c r="W166" s="40">
        <f>IF($L166="Elite",Config!$B$21,0)</f>
        <v>0</v>
      </c>
      <c r="X166" s="40" t="str">
        <f>IFERROR(IF(OR($T166="",$G166=""),"",IF($T166&gt;$G166,
  MAX(0, 60-(($T166-$G166)*24/Config!$B$19)*60),
  MEDIAN(60, 100, 60+(($G166-$T166)*24/Config!$B$20)*40)
)),"")
</f>
        <v/>
      </c>
      <c r="Y166" s="40" t="str">
        <f>IF($J166="","",IFERROR(VLOOKUP($J166,Grinders!$A:$N,10,FALSE),""))</f>
        <v/>
      </c>
      <c r="Z166" s="40" t="str">
        <f>IF($J166="","",IFERROR(VLOOKUP($J166,Grinders!$A:$N,11,FALSE),""))</f>
        <v/>
      </c>
      <c r="AA166" s="40" t="str">
        <f>IF($J166="","",IFERROR(VLOOKUP($J166,Grinders!$A:$N,12,FALSE),""))</f>
        <v/>
      </c>
      <c r="AB166" s="40" t="str">
        <f>IF(OR(AL166=1,AM166=1),0,=IFERROR(IF(OR($C166="",$J166=""),0,IF($D166&lt;&gt;"Open",0,IF(COUNTIFS(GrinderServices!$A:$A,$J166,GrinderServices!$B:$B,$E166,GrinderServices!$D:$D,"Y")=0,0,IF($U166&lt;Config!$B$16,0,IF(Config!$B$18=1,IF($N166&gt;=$M166,0,1),1))))),""))</f>
        <v>#ERROR!</v>
      </c>
      <c r="AC166" s="40" t="str">
        <f>IFERROR((IF(OR(AL166=1,AM166=1),"",=IFERROR((IFERROR(IF($AB166=0,"",((Config!$B$6*$V166 + Config!$B$7*$R166 + Config!$B$8*$W166 + Config!$B$9*$X166 + Config!$B$10*$Y166 + Config!$B$11*$Z166 - Config!$B$12*$AA166)/Config!$B$13)+$AH166+$AI166),""))*(1-IFERROR(VLOOKUP(J166,Grinders!$A:$AB, 28, FALSE),0)),"")))*(1+AO166),"")</f>
        <v>#ERROR!</v>
      </c>
      <c r="AD166" s="40" t="str">
        <f t="shared" si="4"/>
        <v/>
      </c>
      <c r="AE166" s="40" t="str">
        <f>IFERROR(__xludf.DUMMYFUNCTION("IF($AC166="""","""",IF($AC166=IFERROR(MAX(FILTER($AC$6:$AC$1000,$C$6:$C$1000=$C166,$AB$6:$AB$1000=1)),),""WINNER"",""""))"),"#ERROR!")</f>
        <v>#ERROR!</v>
      </c>
      <c r="AF166" s="40" t="str">
        <f t="shared" si="5"/>
        <v/>
      </c>
      <c r="AG166" s="40" t="str">
        <f>IF($J166="","",COUNTIF(Assignments!$B:$B,$J166))</f>
        <v/>
      </c>
      <c r="AH166" s="40" t="str">
        <f>IF($J166="","",IF(AND($AG166=0,$N166&lt;$M166),Config!$B$43,0))</f>
        <v/>
      </c>
      <c r="AI166" s="40" t="str">
        <f>IF($J166="","",IF(AND($L166="Elite",$F166&gt;=Config!$B$41,$N166&lt;$M166),Config!$B$42,0))</f>
        <v/>
      </c>
      <c r="AJ166" s="22"/>
      <c r="AK166" s="39">
        <f>IFERROR(VLOOKUP(J166,Grinders!$A:$Q,28,FALSE),0)</f>
        <v>0</v>
      </c>
      <c r="AL166" s="39">
        <f>IF(Config!$B$1003&lt;&gt;"Y",0,IF(IFERROR(VLOOKUP(J166,Grinders!$A:$P,27,FALSE),0)&gt;=3,IF(OR(F166&gt;=Config!$B$1001,ISNUMBER(SEARCH(E166,Config!$B$1002))),1,0),0))</f>
        <v>0</v>
      </c>
      <c r="AM166" s="39">
        <f t="array" ref="AM166">IFERROR(IF(INDEX(Bids!$AE:$AE,MATCH(B166,Bids!$A:$A,0))="Pending",1,0),0)</f>
        <v>0</v>
      </c>
      <c r="AN166" s="39" t="str">
        <f t="array" ref="AN166">IF(C166="","",IFERROR(XLOOKUP(C166,Assignments!$C:$C,Assignments!$AU:$AU,0),0))</f>
        <v/>
      </c>
      <c r="AO166" s="39">
        <f>IF(AND(Config!$B$1006="Y",AN166=1),Config!$B$1007,0)</f>
        <v>0</v>
      </c>
    </row>
    <row r="167" ht="15.75" customHeight="1">
      <c r="A167" s="46" t="str">
        <f t="shared" si="1"/>
        <v/>
      </c>
      <c r="B167" s="40" t="str">
        <f>IF(Bids!$A167="","",Bids!$A167)</f>
        <v/>
      </c>
      <c r="C167" s="40" t="str">
        <f>IF(Bids!$B167="","",Bids!$B167)</f>
        <v/>
      </c>
      <c r="D167" s="40" t="str">
        <f>IF($C167="","",IFERROR(VLOOKUP($C167,Orders!$A:$J,9,FALSE),""))</f>
        <v/>
      </c>
      <c r="E167" s="40" t="str">
        <f>IF($C167="","",IFERROR(VLOOKUP($C167,Orders!$A:$J,3,FALSE),""))</f>
        <v/>
      </c>
      <c r="F167" s="40" t="str">
        <f>IF($C167="","",IFERROR(VLOOKUP($C167,Orders!$A:$J,4,FALSE),""))</f>
        <v/>
      </c>
      <c r="G167" s="40" t="str">
        <f>IF($C167="","",IFERROR(VLOOKUP($C167,Orders!$A:$J,5,FALSE),""))</f>
        <v/>
      </c>
      <c r="H167" s="40" t="str">
        <f>IF($C167="","",IFERROR(VLOOKUP($C167,Orders!$A:$J,6,FALSE),""))</f>
        <v/>
      </c>
      <c r="I167" s="40" t="str">
        <f>IF($C167="","",IFERROR(VLOOKUP($C167,Orders!$A:$J,7,FALSE),""))</f>
        <v/>
      </c>
      <c r="J167" s="40" t="str">
        <f>IF(Bids!$C167="","",Bids!$C167)</f>
        <v/>
      </c>
      <c r="K167" s="40" t="str">
        <f>IF($J167="","",IFERROR(VLOOKUP($J167,Grinders!$A:$N,2,FALSE),""))</f>
        <v/>
      </c>
      <c r="L167" s="40" t="str">
        <f>IF($J167="","",IFERROR(VLOOKUP($J167,Grinders!$A:$N,3,FALSE),""))</f>
        <v/>
      </c>
      <c r="M167" s="40" t="str">
        <f>IF($J167="","",IFERROR(VLOOKUP($J167,Grinders!$A:$N,4,FALSE),""))</f>
        <v/>
      </c>
      <c r="N167" s="40" t="str">
        <f>IF($J167="","",IFERROR(VLOOKUP($J167,Grinders!$A:$N,5,FALSE),""))</f>
        <v/>
      </c>
      <c r="O167" s="40" t="str">
        <f t="shared" si="2"/>
        <v/>
      </c>
      <c r="P167" s="40" t="str">
        <f>IF($J167="","",IFERROR(VLOOKUP($J167,Grinders!$A:$N,6,FALSE),""))</f>
        <v/>
      </c>
      <c r="Q167" s="40" t="str">
        <f>IF($J167="","",IFERROR(VLOOKUP($J167,Grinders!$A:$N,8,FALSE),""))</f>
        <v/>
      </c>
      <c r="R167" s="40" t="str">
        <f>IFERROR(IF($J167="","",IF($L167="Elite",MAX(50,MIN(100,Config!$B$27*MAX(0,MIN(100,(1-IF($O167="",0,$O167))*100)) + Config!$B$28*MAX(0,MIN(100,(1-MIN(1,IF(Config!$B$30=0,1,$P167/Config!$B$30)))*100)) + Config!$B$29*MAX(0,MIN(100,MIN(1,IF($Q167="",0,$Q167)/Config!$B$23)*100)))),MIN(100,Config!$B$27*MAX(0,MIN(100,(1-IF($O167="",0,$O167))*100)) + Config!$B$28*MAX(0,MIN(100,(1-MIN(1,IF(Config!$B$30=0,1,$P167/Config!$B$30)))*100)) + Config!$B$29*MAX(0,MIN(100,MIN(1,IF($Q167="",0,$Q167)/Config!$B$23)*100))))),"")
</f>
        <v/>
      </c>
      <c r="S167" s="40" t="str">
        <f>IF(Bids!$AC167="","",Bids!$AC167)</f>
        <v/>
      </c>
      <c r="T167" s="40" t="str">
        <f>IF(Bids!$F167="","",Bids!$F167)</f>
        <v/>
      </c>
      <c r="U167" s="40" t="str">
        <f t="shared" si="3"/>
        <v/>
      </c>
      <c r="V167" s="40" t="str">
        <f>IF($U167="","",IF(Config!$B$17=Config!$B$16,IF($U167&gt;=Config!$B$17,100,0),MAX(0,MIN(100,($U167-Config!$B$16)/(Config!$B$17-Config!$B$16)*100))))</f>
        <v/>
      </c>
      <c r="W167" s="40">
        <f>IF($L167="Elite",Config!$B$21,0)</f>
        <v>0</v>
      </c>
      <c r="X167" s="40" t="str">
        <f>IFERROR(IF(OR($T167="",$G167=""),"",IF($T167&gt;$G167,
  MAX(0, 60-(($T167-$G167)*24/Config!$B$19)*60),
  MEDIAN(60, 100, 60+(($G167-$T167)*24/Config!$B$20)*40)
)),"")
</f>
        <v/>
      </c>
      <c r="Y167" s="40" t="str">
        <f>IF($J167="","",IFERROR(VLOOKUP($J167,Grinders!$A:$N,10,FALSE),""))</f>
        <v/>
      </c>
      <c r="Z167" s="40" t="str">
        <f>IF($J167="","",IFERROR(VLOOKUP($J167,Grinders!$A:$N,11,FALSE),""))</f>
        <v/>
      </c>
      <c r="AA167" s="40" t="str">
        <f>IF($J167="","",IFERROR(VLOOKUP($J167,Grinders!$A:$N,12,FALSE),""))</f>
        <v/>
      </c>
      <c r="AB167" s="40" t="str">
        <f>IF(OR(AL167=1,AM167=1),0,=IFERROR(IF(OR($C167="",$J167=""),0,IF($D167&lt;&gt;"Open",0,IF(COUNTIFS(GrinderServices!$A:$A,$J167,GrinderServices!$B:$B,$E167,GrinderServices!$D:$D,"Y")=0,0,IF($U167&lt;Config!$B$16,0,IF(Config!$B$18=1,IF($N167&gt;=$M167,0,1),1))))),""))</f>
        <v>#ERROR!</v>
      </c>
      <c r="AC167" s="40" t="str">
        <f>IFERROR((IF(OR(AL167=1,AM167=1),"",=IFERROR((IFERROR(IF($AB167=0,"",((Config!$B$6*$V167 + Config!$B$7*$R167 + Config!$B$8*$W167 + Config!$B$9*$X167 + Config!$B$10*$Y167 + Config!$B$11*$Z167 - Config!$B$12*$AA167)/Config!$B$13)+$AH167+$AI167),""))*(1-IFERROR(VLOOKUP(J167,Grinders!$A:$AB, 28, FALSE),0)),"")))*(1+AO167),"")</f>
        <v>#ERROR!</v>
      </c>
      <c r="AD167" s="40" t="str">
        <f t="shared" si="4"/>
        <v/>
      </c>
      <c r="AE167" s="40" t="str">
        <f>IFERROR(__xludf.DUMMYFUNCTION("IF($AC167="""","""",IF($AC167=IFERROR(MAX(FILTER($AC$6:$AC$1000,$C$6:$C$1000=$C167,$AB$6:$AB$1000=1)),),""WINNER"",""""))"),"#ERROR!")</f>
        <v>#ERROR!</v>
      </c>
      <c r="AF167" s="40" t="str">
        <f t="shared" si="5"/>
        <v/>
      </c>
      <c r="AG167" s="40" t="str">
        <f>IF($J167="","",COUNTIF(Assignments!$B:$B,$J167))</f>
        <v/>
      </c>
      <c r="AH167" s="40" t="str">
        <f>IF($J167="","",IF(AND($AG167=0,$N167&lt;$M167),Config!$B$43,0))</f>
        <v/>
      </c>
      <c r="AI167" s="40" t="str">
        <f>IF($J167="","",IF(AND($L167="Elite",$F167&gt;=Config!$B$41,$N167&lt;$M167),Config!$B$42,0))</f>
        <v/>
      </c>
      <c r="AJ167" s="22"/>
      <c r="AK167" s="39">
        <f>IFERROR(VLOOKUP(J167,Grinders!$A:$Q,28,FALSE),0)</f>
        <v>0</v>
      </c>
      <c r="AL167" s="39">
        <f>IF(Config!$B$1003&lt;&gt;"Y",0,IF(IFERROR(VLOOKUP(J167,Grinders!$A:$P,27,FALSE),0)&gt;=3,IF(OR(F167&gt;=Config!$B$1001,ISNUMBER(SEARCH(E167,Config!$B$1002))),1,0),0))</f>
        <v>0</v>
      </c>
      <c r="AM167" s="39">
        <f t="array" ref="AM167">IFERROR(IF(INDEX(Bids!$AE:$AE,MATCH(B167,Bids!$A:$A,0))="Pending",1,0),0)</f>
        <v>0</v>
      </c>
      <c r="AN167" s="39" t="str">
        <f t="array" ref="AN167">IF(C167="","",IFERROR(XLOOKUP(C167,Assignments!$C:$C,Assignments!$AU:$AU,0),0))</f>
        <v/>
      </c>
      <c r="AO167" s="39">
        <f>IF(AND(Config!$B$1006="Y",AN167=1),Config!$B$1007,0)</f>
        <v>0</v>
      </c>
    </row>
    <row r="168" ht="15.75" customHeight="1">
      <c r="A168" s="46" t="str">
        <f t="shared" si="1"/>
        <v/>
      </c>
      <c r="B168" s="40" t="str">
        <f>IF(Bids!$A168="","",Bids!$A168)</f>
        <v/>
      </c>
      <c r="C168" s="40" t="str">
        <f>IF(Bids!$B168="","",Bids!$B168)</f>
        <v/>
      </c>
      <c r="D168" s="40" t="str">
        <f>IF($C168="","",IFERROR(VLOOKUP($C168,Orders!$A:$J,9,FALSE),""))</f>
        <v/>
      </c>
      <c r="E168" s="40" t="str">
        <f>IF($C168="","",IFERROR(VLOOKUP($C168,Orders!$A:$J,3,FALSE),""))</f>
        <v/>
      </c>
      <c r="F168" s="40" t="str">
        <f>IF($C168="","",IFERROR(VLOOKUP($C168,Orders!$A:$J,4,FALSE),""))</f>
        <v/>
      </c>
      <c r="G168" s="40" t="str">
        <f>IF($C168="","",IFERROR(VLOOKUP($C168,Orders!$A:$J,5,FALSE),""))</f>
        <v/>
      </c>
      <c r="H168" s="40" t="str">
        <f>IF($C168="","",IFERROR(VLOOKUP($C168,Orders!$A:$J,6,FALSE),""))</f>
        <v/>
      </c>
      <c r="I168" s="40" t="str">
        <f>IF($C168="","",IFERROR(VLOOKUP($C168,Orders!$A:$J,7,FALSE),""))</f>
        <v/>
      </c>
      <c r="J168" s="40" t="str">
        <f>IF(Bids!$C168="","",Bids!$C168)</f>
        <v/>
      </c>
      <c r="K168" s="40" t="str">
        <f>IF($J168="","",IFERROR(VLOOKUP($J168,Grinders!$A:$N,2,FALSE),""))</f>
        <v/>
      </c>
      <c r="L168" s="40" t="str">
        <f>IF($J168="","",IFERROR(VLOOKUP($J168,Grinders!$A:$N,3,FALSE),""))</f>
        <v/>
      </c>
      <c r="M168" s="40" t="str">
        <f>IF($J168="","",IFERROR(VLOOKUP($J168,Grinders!$A:$N,4,FALSE),""))</f>
        <v/>
      </c>
      <c r="N168" s="40" t="str">
        <f>IF($J168="","",IFERROR(VLOOKUP($J168,Grinders!$A:$N,5,FALSE),""))</f>
        <v/>
      </c>
      <c r="O168" s="40" t="str">
        <f t="shared" si="2"/>
        <v/>
      </c>
      <c r="P168" s="40" t="str">
        <f>IF($J168="","",IFERROR(VLOOKUP($J168,Grinders!$A:$N,6,FALSE),""))</f>
        <v/>
      </c>
      <c r="Q168" s="40" t="str">
        <f>IF($J168="","",IFERROR(VLOOKUP($J168,Grinders!$A:$N,8,FALSE),""))</f>
        <v/>
      </c>
      <c r="R168" s="40" t="str">
        <f>IFERROR(IF($J168="","",IF($L168="Elite",MAX(50,MIN(100,Config!$B$27*MAX(0,MIN(100,(1-IF($O168="",0,$O168))*100)) + Config!$B$28*MAX(0,MIN(100,(1-MIN(1,IF(Config!$B$30=0,1,$P168/Config!$B$30)))*100)) + Config!$B$29*MAX(0,MIN(100,MIN(1,IF($Q168="",0,$Q168)/Config!$B$23)*100)))),MIN(100,Config!$B$27*MAX(0,MIN(100,(1-IF($O168="",0,$O168))*100)) + Config!$B$28*MAX(0,MIN(100,(1-MIN(1,IF(Config!$B$30=0,1,$P168/Config!$B$30)))*100)) + Config!$B$29*MAX(0,MIN(100,MIN(1,IF($Q168="",0,$Q168)/Config!$B$23)*100))))),"")
</f>
        <v/>
      </c>
      <c r="S168" s="40" t="str">
        <f>IF(Bids!$AC168="","",Bids!$AC168)</f>
        <v/>
      </c>
      <c r="T168" s="40" t="str">
        <f>IF(Bids!$F168="","",Bids!$F168)</f>
        <v/>
      </c>
      <c r="U168" s="40" t="str">
        <f t="shared" si="3"/>
        <v/>
      </c>
      <c r="V168" s="40" t="str">
        <f>IF($U168="","",IF(Config!$B$17=Config!$B$16,IF($U168&gt;=Config!$B$17,100,0),MAX(0,MIN(100,($U168-Config!$B$16)/(Config!$B$17-Config!$B$16)*100))))</f>
        <v/>
      </c>
      <c r="W168" s="40">
        <f>IF($L168="Elite",Config!$B$21,0)</f>
        <v>0</v>
      </c>
      <c r="X168" s="40" t="str">
        <f>IFERROR(IF(OR($T168="",$G168=""),"",IF($T168&gt;$G168,
  MAX(0, 60-(($T168-$G168)*24/Config!$B$19)*60),
  MEDIAN(60, 100, 60+(($G168-$T168)*24/Config!$B$20)*40)
)),"")
</f>
        <v/>
      </c>
      <c r="Y168" s="40" t="str">
        <f>IF($J168="","",IFERROR(VLOOKUP($J168,Grinders!$A:$N,10,FALSE),""))</f>
        <v/>
      </c>
      <c r="Z168" s="40" t="str">
        <f>IF($J168="","",IFERROR(VLOOKUP($J168,Grinders!$A:$N,11,FALSE),""))</f>
        <v/>
      </c>
      <c r="AA168" s="40" t="str">
        <f>IF($J168="","",IFERROR(VLOOKUP($J168,Grinders!$A:$N,12,FALSE),""))</f>
        <v/>
      </c>
      <c r="AB168" s="40" t="str">
        <f>IF(OR(AL168=1,AM168=1),0,=IFERROR(IF(OR($C168="",$J168=""),0,IF($D168&lt;&gt;"Open",0,IF(COUNTIFS(GrinderServices!$A:$A,$J168,GrinderServices!$B:$B,$E168,GrinderServices!$D:$D,"Y")=0,0,IF($U168&lt;Config!$B$16,0,IF(Config!$B$18=1,IF($N168&gt;=$M168,0,1),1))))),""))</f>
        <v>#ERROR!</v>
      </c>
      <c r="AC168" s="40" t="str">
        <f>IFERROR((IF(OR(AL168=1,AM168=1),"",=IFERROR((IFERROR(IF($AB168=0,"",((Config!$B$6*$V168 + Config!$B$7*$R168 + Config!$B$8*$W168 + Config!$B$9*$X168 + Config!$B$10*$Y168 + Config!$B$11*$Z168 - Config!$B$12*$AA168)/Config!$B$13)+$AH168+$AI168),""))*(1-IFERROR(VLOOKUP(J168,Grinders!$A:$AB, 28, FALSE),0)),"")))*(1+AO168),"")</f>
        <v>#ERROR!</v>
      </c>
      <c r="AD168" s="40" t="str">
        <f t="shared" si="4"/>
        <v/>
      </c>
      <c r="AE168" s="40" t="str">
        <f>IFERROR(__xludf.DUMMYFUNCTION("IF($AC168="""","""",IF($AC168=IFERROR(MAX(FILTER($AC$6:$AC$1000,$C$6:$C$1000=$C168,$AB$6:$AB$1000=1)),),""WINNER"",""""))"),"#ERROR!")</f>
        <v>#ERROR!</v>
      </c>
      <c r="AF168" s="40" t="str">
        <f t="shared" si="5"/>
        <v/>
      </c>
      <c r="AG168" s="40" t="str">
        <f>IF($J168="","",COUNTIF(Assignments!$B:$B,$J168))</f>
        <v/>
      </c>
      <c r="AH168" s="40" t="str">
        <f>IF($J168="","",IF(AND($AG168=0,$N168&lt;$M168),Config!$B$43,0))</f>
        <v/>
      </c>
      <c r="AI168" s="40" t="str">
        <f>IF($J168="","",IF(AND($L168="Elite",$F168&gt;=Config!$B$41,$N168&lt;$M168),Config!$B$42,0))</f>
        <v/>
      </c>
      <c r="AJ168" s="22"/>
      <c r="AK168" s="39">
        <f>IFERROR(VLOOKUP(J168,Grinders!$A:$Q,28,FALSE),0)</f>
        <v>0</v>
      </c>
      <c r="AL168" s="39">
        <f>IF(Config!$B$1003&lt;&gt;"Y",0,IF(IFERROR(VLOOKUP(J168,Grinders!$A:$P,27,FALSE),0)&gt;=3,IF(OR(F168&gt;=Config!$B$1001,ISNUMBER(SEARCH(E168,Config!$B$1002))),1,0),0))</f>
        <v>0</v>
      </c>
      <c r="AM168" s="39">
        <f t="array" ref="AM168">IFERROR(IF(INDEX(Bids!$AE:$AE,MATCH(B168,Bids!$A:$A,0))="Pending",1,0),0)</f>
        <v>0</v>
      </c>
      <c r="AN168" s="39" t="str">
        <f t="array" ref="AN168">IF(C168="","",IFERROR(XLOOKUP(C168,Assignments!$C:$C,Assignments!$AU:$AU,0),0))</f>
        <v/>
      </c>
      <c r="AO168" s="39">
        <f>IF(AND(Config!$B$1006="Y",AN168=1),Config!$B$1007,0)</f>
        <v>0</v>
      </c>
    </row>
    <row r="169" ht="15.75" customHeight="1">
      <c r="A169" s="46" t="str">
        <f t="shared" si="1"/>
        <v/>
      </c>
      <c r="B169" s="40" t="str">
        <f>IF(Bids!$A169="","",Bids!$A169)</f>
        <v/>
      </c>
      <c r="C169" s="40" t="str">
        <f>IF(Bids!$B169="","",Bids!$B169)</f>
        <v/>
      </c>
      <c r="D169" s="40" t="str">
        <f>IF($C169="","",IFERROR(VLOOKUP($C169,Orders!$A:$J,9,FALSE),""))</f>
        <v/>
      </c>
      <c r="E169" s="40" t="str">
        <f>IF($C169="","",IFERROR(VLOOKUP($C169,Orders!$A:$J,3,FALSE),""))</f>
        <v/>
      </c>
      <c r="F169" s="40" t="str">
        <f>IF($C169="","",IFERROR(VLOOKUP($C169,Orders!$A:$J,4,FALSE),""))</f>
        <v/>
      </c>
      <c r="G169" s="40" t="str">
        <f>IF($C169="","",IFERROR(VLOOKUP($C169,Orders!$A:$J,5,FALSE),""))</f>
        <v/>
      </c>
      <c r="H169" s="40" t="str">
        <f>IF($C169="","",IFERROR(VLOOKUP($C169,Orders!$A:$J,6,FALSE),""))</f>
        <v/>
      </c>
      <c r="I169" s="40" t="str">
        <f>IF($C169="","",IFERROR(VLOOKUP($C169,Orders!$A:$J,7,FALSE),""))</f>
        <v/>
      </c>
      <c r="J169" s="40" t="str">
        <f>IF(Bids!$C169="","",Bids!$C169)</f>
        <v/>
      </c>
      <c r="K169" s="40" t="str">
        <f>IF($J169="","",IFERROR(VLOOKUP($J169,Grinders!$A:$N,2,FALSE),""))</f>
        <v/>
      </c>
      <c r="L169" s="40" t="str">
        <f>IF($J169="","",IFERROR(VLOOKUP($J169,Grinders!$A:$N,3,FALSE),""))</f>
        <v/>
      </c>
      <c r="M169" s="40" t="str">
        <f>IF($J169="","",IFERROR(VLOOKUP($J169,Grinders!$A:$N,4,FALSE),""))</f>
        <v/>
      </c>
      <c r="N169" s="40" t="str">
        <f>IF($J169="","",IFERROR(VLOOKUP($J169,Grinders!$A:$N,5,FALSE),""))</f>
        <v/>
      </c>
      <c r="O169" s="40" t="str">
        <f t="shared" si="2"/>
        <v/>
      </c>
      <c r="P169" s="40" t="str">
        <f>IF($J169="","",IFERROR(VLOOKUP($J169,Grinders!$A:$N,6,FALSE),""))</f>
        <v/>
      </c>
      <c r="Q169" s="40" t="str">
        <f>IF($J169="","",IFERROR(VLOOKUP($J169,Grinders!$A:$N,8,FALSE),""))</f>
        <v/>
      </c>
      <c r="R169" s="40" t="str">
        <f>IFERROR(IF($J169="","",IF($L169="Elite",MAX(50,MIN(100,Config!$B$27*MAX(0,MIN(100,(1-IF($O169="",0,$O169))*100)) + Config!$B$28*MAX(0,MIN(100,(1-MIN(1,IF(Config!$B$30=0,1,$P169/Config!$B$30)))*100)) + Config!$B$29*MAX(0,MIN(100,MIN(1,IF($Q169="",0,$Q169)/Config!$B$23)*100)))),MIN(100,Config!$B$27*MAX(0,MIN(100,(1-IF($O169="",0,$O169))*100)) + Config!$B$28*MAX(0,MIN(100,(1-MIN(1,IF(Config!$B$30=0,1,$P169/Config!$B$30)))*100)) + Config!$B$29*MAX(0,MIN(100,MIN(1,IF($Q169="",0,$Q169)/Config!$B$23)*100))))),"")
</f>
        <v/>
      </c>
      <c r="S169" s="40" t="str">
        <f>IF(Bids!$AC169="","",Bids!$AC169)</f>
        <v/>
      </c>
      <c r="T169" s="40" t="str">
        <f>IF(Bids!$F169="","",Bids!$F169)</f>
        <v/>
      </c>
      <c r="U169" s="40" t="str">
        <f t="shared" si="3"/>
        <v/>
      </c>
      <c r="V169" s="40" t="str">
        <f>IF($U169="","",IF(Config!$B$17=Config!$B$16,IF($U169&gt;=Config!$B$17,100,0),MAX(0,MIN(100,($U169-Config!$B$16)/(Config!$B$17-Config!$B$16)*100))))</f>
        <v/>
      </c>
      <c r="W169" s="40">
        <f>IF($L169="Elite",Config!$B$21,0)</f>
        <v>0</v>
      </c>
      <c r="X169" s="40" t="str">
        <f>IFERROR(IF(OR($T169="",$G169=""),"",IF($T169&gt;$G169,
  MAX(0, 60-(($T169-$G169)*24/Config!$B$19)*60),
  MEDIAN(60, 100, 60+(($G169-$T169)*24/Config!$B$20)*40)
)),"")
</f>
        <v/>
      </c>
      <c r="Y169" s="40" t="str">
        <f>IF($J169="","",IFERROR(VLOOKUP($J169,Grinders!$A:$N,10,FALSE),""))</f>
        <v/>
      </c>
      <c r="Z169" s="40" t="str">
        <f>IF($J169="","",IFERROR(VLOOKUP($J169,Grinders!$A:$N,11,FALSE),""))</f>
        <v/>
      </c>
      <c r="AA169" s="40" t="str">
        <f>IF($J169="","",IFERROR(VLOOKUP($J169,Grinders!$A:$N,12,FALSE),""))</f>
        <v/>
      </c>
      <c r="AB169" s="40" t="str">
        <f>IF(OR(AL169=1,AM169=1),0,=IFERROR(IF(OR($C169="",$J169=""),0,IF($D169&lt;&gt;"Open",0,IF(COUNTIFS(GrinderServices!$A:$A,$J169,GrinderServices!$B:$B,$E169,GrinderServices!$D:$D,"Y")=0,0,IF($U169&lt;Config!$B$16,0,IF(Config!$B$18=1,IF($N169&gt;=$M169,0,1),1))))),""))</f>
        <v>#ERROR!</v>
      </c>
      <c r="AC169" s="40" t="str">
        <f>IFERROR((IF(OR(AL169=1,AM169=1),"",=IFERROR((IFERROR(IF($AB169=0,"",((Config!$B$6*$V169 + Config!$B$7*$R169 + Config!$B$8*$W169 + Config!$B$9*$X169 + Config!$B$10*$Y169 + Config!$B$11*$Z169 - Config!$B$12*$AA169)/Config!$B$13)+$AH169+$AI169),""))*(1-IFERROR(VLOOKUP(J169,Grinders!$A:$AB, 28, FALSE),0)),"")))*(1+AO169),"")</f>
        <v>#ERROR!</v>
      </c>
      <c r="AD169" s="40" t="str">
        <f t="shared" si="4"/>
        <v/>
      </c>
      <c r="AE169" s="40" t="str">
        <f>IFERROR(__xludf.DUMMYFUNCTION("IF($AC169="""","""",IF($AC169=IFERROR(MAX(FILTER($AC$6:$AC$1000,$C$6:$C$1000=$C169,$AB$6:$AB$1000=1)),),""WINNER"",""""))"),"#ERROR!")</f>
        <v>#ERROR!</v>
      </c>
      <c r="AF169" s="40" t="str">
        <f t="shared" si="5"/>
        <v/>
      </c>
      <c r="AG169" s="40" t="str">
        <f>IF($J169="","",COUNTIF(Assignments!$B:$B,$J169))</f>
        <v/>
      </c>
      <c r="AH169" s="40" t="str">
        <f>IF($J169="","",IF(AND($AG169=0,$N169&lt;$M169),Config!$B$43,0))</f>
        <v/>
      </c>
      <c r="AI169" s="40" t="str">
        <f>IF($J169="","",IF(AND($L169="Elite",$F169&gt;=Config!$B$41,$N169&lt;$M169),Config!$B$42,0))</f>
        <v/>
      </c>
      <c r="AJ169" s="22"/>
      <c r="AK169" s="39">
        <f>IFERROR(VLOOKUP(J169,Grinders!$A:$Q,28,FALSE),0)</f>
        <v>0</v>
      </c>
      <c r="AL169" s="39">
        <f>IF(Config!$B$1003&lt;&gt;"Y",0,IF(IFERROR(VLOOKUP(J169,Grinders!$A:$P,27,FALSE),0)&gt;=3,IF(OR(F169&gt;=Config!$B$1001,ISNUMBER(SEARCH(E169,Config!$B$1002))),1,0),0))</f>
        <v>0</v>
      </c>
      <c r="AM169" s="39">
        <f t="array" ref="AM169">IFERROR(IF(INDEX(Bids!$AE:$AE,MATCH(B169,Bids!$A:$A,0))="Pending",1,0),0)</f>
        <v>0</v>
      </c>
      <c r="AN169" s="39" t="str">
        <f t="array" ref="AN169">IF(C169="","",IFERROR(XLOOKUP(C169,Assignments!$C:$C,Assignments!$AU:$AU,0),0))</f>
        <v/>
      </c>
      <c r="AO169" s="39">
        <f>IF(AND(Config!$B$1006="Y",AN169=1),Config!$B$1007,0)</f>
        <v>0</v>
      </c>
    </row>
    <row r="170" ht="15.75" customHeight="1">
      <c r="A170" s="46" t="str">
        <f t="shared" si="1"/>
        <v/>
      </c>
      <c r="B170" s="40" t="str">
        <f>IF(Bids!$A170="","",Bids!$A170)</f>
        <v/>
      </c>
      <c r="C170" s="40" t="str">
        <f>IF(Bids!$B170="","",Bids!$B170)</f>
        <v/>
      </c>
      <c r="D170" s="40" t="str">
        <f>IF($C170="","",IFERROR(VLOOKUP($C170,Orders!$A:$J,9,FALSE),""))</f>
        <v/>
      </c>
      <c r="E170" s="40" t="str">
        <f>IF($C170="","",IFERROR(VLOOKUP($C170,Orders!$A:$J,3,FALSE),""))</f>
        <v/>
      </c>
      <c r="F170" s="40" t="str">
        <f>IF($C170="","",IFERROR(VLOOKUP($C170,Orders!$A:$J,4,FALSE),""))</f>
        <v/>
      </c>
      <c r="G170" s="40" t="str">
        <f>IF($C170="","",IFERROR(VLOOKUP($C170,Orders!$A:$J,5,FALSE),""))</f>
        <v/>
      </c>
      <c r="H170" s="40" t="str">
        <f>IF($C170="","",IFERROR(VLOOKUP($C170,Orders!$A:$J,6,FALSE),""))</f>
        <v/>
      </c>
      <c r="I170" s="40" t="str">
        <f>IF($C170="","",IFERROR(VLOOKUP($C170,Orders!$A:$J,7,FALSE),""))</f>
        <v/>
      </c>
      <c r="J170" s="40" t="str">
        <f>IF(Bids!$C170="","",Bids!$C170)</f>
        <v/>
      </c>
      <c r="K170" s="40" t="str">
        <f>IF($J170="","",IFERROR(VLOOKUP($J170,Grinders!$A:$N,2,FALSE),""))</f>
        <v/>
      </c>
      <c r="L170" s="40" t="str">
        <f>IF($J170="","",IFERROR(VLOOKUP($J170,Grinders!$A:$N,3,FALSE),""))</f>
        <v/>
      </c>
      <c r="M170" s="40" t="str">
        <f>IF($J170="","",IFERROR(VLOOKUP($J170,Grinders!$A:$N,4,FALSE),""))</f>
        <v/>
      </c>
      <c r="N170" s="40" t="str">
        <f>IF($J170="","",IFERROR(VLOOKUP($J170,Grinders!$A:$N,5,FALSE),""))</f>
        <v/>
      </c>
      <c r="O170" s="40" t="str">
        <f t="shared" si="2"/>
        <v/>
      </c>
      <c r="P170" s="40" t="str">
        <f>IF($J170="","",IFERROR(VLOOKUP($J170,Grinders!$A:$N,6,FALSE),""))</f>
        <v/>
      </c>
      <c r="Q170" s="40" t="str">
        <f>IF($J170="","",IFERROR(VLOOKUP($J170,Grinders!$A:$N,8,FALSE),""))</f>
        <v/>
      </c>
      <c r="R170" s="40" t="str">
        <f>IFERROR(IF($J170="","",IF($L170="Elite",MAX(50,MIN(100,Config!$B$27*MAX(0,MIN(100,(1-IF($O170="",0,$O170))*100)) + Config!$B$28*MAX(0,MIN(100,(1-MIN(1,IF(Config!$B$30=0,1,$P170/Config!$B$30)))*100)) + Config!$B$29*MAX(0,MIN(100,MIN(1,IF($Q170="",0,$Q170)/Config!$B$23)*100)))),MIN(100,Config!$B$27*MAX(0,MIN(100,(1-IF($O170="",0,$O170))*100)) + Config!$B$28*MAX(0,MIN(100,(1-MIN(1,IF(Config!$B$30=0,1,$P170/Config!$B$30)))*100)) + Config!$B$29*MAX(0,MIN(100,MIN(1,IF($Q170="",0,$Q170)/Config!$B$23)*100))))),"")
</f>
        <v/>
      </c>
      <c r="S170" s="40" t="str">
        <f>IF(Bids!$AC170="","",Bids!$AC170)</f>
        <v/>
      </c>
      <c r="T170" s="40" t="str">
        <f>IF(Bids!$F170="","",Bids!$F170)</f>
        <v/>
      </c>
      <c r="U170" s="40" t="str">
        <f t="shared" si="3"/>
        <v/>
      </c>
      <c r="V170" s="40" t="str">
        <f>IF($U170="","",IF(Config!$B$17=Config!$B$16,IF($U170&gt;=Config!$B$17,100,0),MAX(0,MIN(100,($U170-Config!$B$16)/(Config!$B$17-Config!$B$16)*100))))</f>
        <v/>
      </c>
      <c r="W170" s="40">
        <f>IF($L170="Elite",Config!$B$21,0)</f>
        <v>0</v>
      </c>
      <c r="X170" s="40" t="str">
        <f>IFERROR(IF(OR($T170="",$G170=""),"",IF($T170&gt;$G170,
  MAX(0, 60-(($T170-$G170)*24/Config!$B$19)*60),
  MEDIAN(60, 100, 60+(($G170-$T170)*24/Config!$B$20)*40)
)),"")
</f>
        <v/>
      </c>
      <c r="Y170" s="40" t="str">
        <f>IF($J170="","",IFERROR(VLOOKUP($J170,Grinders!$A:$N,10,FALSE),""))</f>
        <v/>
      </c>
      <c r="Z170" s="40" t="str">
        <f>IF($J170="","",IFERROR(VLOOKUP($J170,Grinders!$A:$N,11,FALSE),""))</f>
        <v/>
      </c>
      <c r="AA170" s="40" t="str">
        <f>IF($J170="","",IFERROR(VLOOKUP($J170,Grinders!$A:$N,12,FALSE),""))</f>
        <v/>
      </c>
      <c r="AB170" s="40" t="str">
        <f>IF(OR(AL170=1,AM170=1),0,=IFERROR(IF(OR($C170="",$J170=""),0,IF($D170&lt;&gt;"Open",0,IF(COUNTIFS(GrinderServices!$A:$A,$J170,GrinderServices!$B:$B,$E170,GrinderServices!$D:$D,"Y")=0,0,IF($U170&lt;Config!$B$16,0,IF(Config!$B$18=1,IF($N170&gt;=$M170,0,1),1))))),""))</f>
        <v>#ERROR!</v>
      </c>
      <c r="AC170" s="40" t="str">
        <f>IFERROR((IF(OR(AL170=1,AM170=1),"",=IFERROR((IFERROR(IF($AB170=0,"",((Config!$B$6*$V170 + Config!$B$7*$R170 + Config!$B$8*$W170 + Config!$B$9*$X170 + Config!$B$10*$Y170 + Config!$B$11*$Z170 - Config!$B$12*$AA170)/Config!$B$13)+$AH170+$AI170),""))*(1-IFERROR(VLOOKUP(J170,Grinders!$A:$AB, 28, FALSE),0)),"")))*(1+AO170),"")</f>
        <v>#ERROR!</v>
      </c>
      <c r="AD170" s="40" t="str">
        <f t="shared" si="4"/>
        <v/>
      </c>
      <c r="AE170" s="40" t="str">
        <f>IFERROR(__xludf.DUMMYFUNCTION("IF($AC170="""","""",IF($AC170=IFERROR(MAX(FILTER($AC$6:$AC$1000,$C$6:$C$1000=$C170,$AB$6:$AB$1000=1)),),""WINNER"",""""))"),"#ERROR!")</f>
        <v>#ERROR!</v>
      </c>
      <c r="AF170" s="40" t="str">
        <f t="shared" si="5"/>
        <v/>
      </c>
      <c r="AG170" s="40" t="str">
        <f>IF($J170="","",COUNTIF(Assignments!$B:$B,$J170))</f>
        <v/>
      </c>
      <c r="AH170" s="40" t="str">
        <f>IF($J170="","",IF(AND($AG170=0,$N170&lt;$M170),Config!$B$43,0))</f>
        <v/>
      </c>
      <c r="AI170" s="40" t="str">
        <f>IF($J170="","",IF(AND($L170="Elite",$F170&gt;=Config!$B$41,$N170&lt;$M170),Config!$B$42,0))</f>
        <v/>
      </c>
      <c r="AJ170" s="22"/>
      <c r="AK170" s="39">
        <f>IFERROR(VLOOKUP(J170,Grinders!$A:$Q,28,FALSE),0)</f>
        <v>0</v>
      </c>
      <c r="AL170" s="39">
        <f>IF(Config!$B$1003&lt;&gt;"Y",0,IF(IFERROR(VLOOKUP(J170,Grinders!$A:$P,27,FALSE),0)&gt;=3,IF(OR(F170&gt;=Config!$B$1001,ISNUMBER(SEARCH(E170,Config!$B$1002))),1,0),0))</f>
        <v>0</v>
      </c>
      <c r="AM170" s="39">
        <f t="array" ref="AM170">IFERROR(IF(INDEX(Bids!$AE:$AE,MATCH(B170,Bids!$A:$A,0))="Pending",1,0),0)</f>
        <v>0</v>
      </c>
      <c r="AN170" s="39" t="str">
        <f t="array" ref="AN170">IF(C170="","",IFERROR(XLOOKUP(C170,Assignments!$C:$C,Assignments!$AU:$AU,0),0))</f>
        <v/>
      </c>
      <c r="AO170" s="39">
        <f>IF(AND(Config!$B$1006="Y",AN170=1),Config!$B$1007,0)</f>
        <v>0</v>
      </c>
    </row>
    <row r="171" ht="15.75" customHeight="1">
      <c r="A171" s="46" t="str">
        <f t="shared" si="1"/>
        <v/>
      </c>
      <c r="B171" s="40" t="str">
        <f>IF(Bids!$A171="","",Bids!$A171)</f>
        <v/>
      </c>
      <c r="C171" s="40" t="str">
        <f>IF(Bids!$B171="","",Bids!$B171)</f>
        <v/>
      </c>
      <c r="D171" s="40" t="str">
        <f>IF($C171="","",IFERROR(VLOOKUP($C171,Orders!$A:$J,9,FALSE),""))</f>
        <v/>
      </c>
      <c r="E171" s="40" t="str">
        <f>IF($C171="","",IFERROR(VLOOKUP($C171,Orders!$A:$J,3,FALSE),""))</f>
        <v/>
      </c>
      <c r="F171" s="40" t="str">
        <f>IF($C171="","",IFERROR(VLOOKUP($C171,Orders!$A:$J,4,FALSE),""))</f>
        <v/>
      </c>
      <c r="G171" s="40" t="str">
        <f>IF($C171="","",IFERROR(VLOOKUP($C171,Orders!$A:$J,5,FALSE),""))</f>
        <v/>
      </c>
      <c r="H171" s="40" t="str">
        <f>IF($C171="","",IFERROR(VLOOKUP($C171,Orders!$A:$J,6,FALSE),""))</f>
        <v/>
      </c>
      <c r="I171" s="40" t="str">
        <f>IF($C171="","",IFERROR(VLOOKUP($C171,Orders!$A:$J,7,FALSE),""))</f>
        <v/>
      </c>
      <c r="J171" s="40" t="str">
        <f>IF(Bids!$C171="","",Bids!$C171)</f>
        <v/>
      </c>
      <c r="K171" s="40" t="str">
        <f>IF($J171="","",IFERROR(VLOOKUP($J171,Grinders!$A:$N,2,FALSE),""))</f>
        <v/>
      </c>
      <c r="L171" s="40" t="str">
        <f>IF($J171="","",IFERROR(VLOOKUP($J171,Grinders!$A:$N,3,FALSE),""))</f>
        <v/>
      </c>
      <c r="M171" s="40" t="str">
        <f>IF($J171="","",IFERROR(VLOOKUP($J171,Grinders!$A:$N,4,FALSE),""))</f>
        <v/>
      </c>
      <c r="N171" s="40" t="str">
        <f>IF($J171="","",IFERROR(VLOOKUP($J171,Grinders!$A:$N,5,FALSE),""))</f>
        <v/>
      </c>
      <c r="O171" s="40" t="str">
        <f t="shared" si="2"/>
        <v/>
      </c>
      <c r="P171" s="40" t="str">
        <f>IF($J171="","",IFERROR(VLOOKUP($J171,Grinders!$A:$N,6,FALSE),""))</f>
        <v/>
      </c>
      <c r="Q171" s="40" t="str">
        <f>IF($J171="","",IFERROR(VLOOKUP($J171,Grinders!$A:$N,8,FALSE),""))</f>
        <v/>
      </c>
      <c r="R171" s="40" t="str">
        <f>IFERROR(IF($J171="","",IF($L171="Elite",MAX(50,MIN(100,Config!$B$27*MAX(0,MIN(100,(1-IF($O171="",0,$O171))*100)) + Config!$B$28*MAX(0,MIN(100,(1-MIN(1,IF(Config!$B$30=0,1,$P171/Config!$B$30)))*100)) + Config!$B$29*MAX(0,MIN(100,MIN(1,IF($Q171="",0,$Q171)/Config!$B$23)*100)))),MIN(100,Config!$B$27*MAX(0,MIN(100,(1-IF($O171="",0,$O171))*100)) + Config!$B$28*MAX(0,MIN(100,(1-MIN(1,IF(Config!$B$30=0,1,$P171/Config!$B$30)))*100)) + Config!$B$29*MAX(0,MIN(100,MIN(1,IF($Q171="",0,$Q171)/Config!$B$23)*100))))),"")
</f>
        <v/>
      </c>
      <c r="S171" s="40" t="str">
        <f>IF(Bids!$AC171="","",Bids!$AC171)</f>
        <v/>
      </c>
      <c r="T171" s="40" t="str">
        <f>IF(Bids!$F171="","",Bids!$F171)</f>
        <v/>
      </c>
      <c r="U171" s="40" t="str">
        <f t="shared" si="3"/>
        <v/>
      </c>
      <c r="V171" s="40" t="str">
        <f>IF($U171="","",IF(Config!$B$17=Config!$B$16,IF($U171&gt;=Config!$B$17,100,0),MAX(0,MIN(100,($U171-Config!$B$16)/(Config!$B$17-Config!$B$16)*100))))</f>
        <v/>
      </c>
      <c r="W171" s="40">
        <f>IF($L171="Elite",Config!$B$21,0)</f>
        <v>0</v>
      </c>
      <c r="X171" s="40" t="str">
        <f>IFERROR(IF(OR($T171="",$G171=""),"",IF($T171&gt;$G171,
  MAX(0, 60-(($T171-$G171)*24/Config!$B$19)*60),
  MEDIAN(60, 100, 60+(($G171-$T171)*24/Config!$B$20)*40)
)),"")
</f>
        <v/>
      </c>
      <c r="Y171" s="40" t="str">
        <f>IF($J171="","",IFERROR(VLOOKUP($J171,Grinders!$A:$N,10,FALSE),""))</f>
        <v/>
      </c>
      <c r="Z171" s="40" t="str">
        <f>IF($J171="","",IFERROR(VLOOKUP($J171,Grinders!$A:$N,11,FALSE),""))</f>
        <v/>
      </c>
      <c r="AA171" s="40" t="str">
        <f>IF($J171="","",IFERROR(VLOOKUP($J171,Grinders!$A:$N,12,FALSE),""))</f>
        <v/>
      </c>
      <c r="AB171" s="40" t="str">
        <f>IF(OR(AL171=1,AM171=1),0,=IFERROR(IF(OR($C171="",$J171=""),0,IF($D171&lt;&gt;"Open",0,IF(COUNTIFS(GrinderServices!$A:$A,$J171,GrinderServices!$B:$B,$E171,GrinderServices!$D:$D,"Y")=0,0,IF($U171&lt;Config!$B$16,0,IF(Config!$B$18=1,IF($N171&gt;=$M171,0,1),1))))),""))</f>
        <v>#ERROR!</v>
      </c>
      <c r="AC171" s="40" t="str">
        <f>IFERROR((IF(OR(AL171=1,AM171=1),"",=IFERROR((IFERROR(IF($AB171=0,"",((Config!$B$6*$V171 + Config!$B$7*$R171 + Config!$B$8*$W171 + Config!$B$9*$X171 + Config!$B$10*$Y171 + Config!$B$11*$Z171 - Config!$B$12*$AA171)/Config!$B$13)+$AH171+$AI171),""))*(1-IFERROR(VLOOKUP(J171,Grinders!$A:$AB, 28, FALSE),0)),"")))*(1+AO171),"")</f>
        <v>#ERROR!</v>
      </c>
      <c r="AD171" s="40" t="str">
        <f t="shared" si="4"/>
        <v/>
      </c>
      <c r="AE171" s="40" t="str">
        <f>IFERROR(__xludf.DUMMYFUNCTION("IF($AC171="""","""",IF($AC171=IFERROR(MAX(FILTER($AC$6:$AC$1000,$C$6:$C$1000=$C171,$AB$6:$AB$1000=1)),),""WINNER"",""""))"),"#ERROR!")</f>
        <v>#ERROR!</v>
      </c>
      <c r="AF171" s="40" t="str">
        <f t="shared" si="5"/>
        <v/>
      </c>
      <c r="AG171" s="40" t="str">
        <f>IF($J171="","",COUNTIF(Assignments!$B:$B,$J171))</f>
        <v/>
      </c>
      <c r="AH171" s="40" t="str">
        <f>IF($J171="","",IF(AND($AG171=0,$N171&lt;$M171),Config!$B$43,0))</f>
        <v/>
      </c>
      <c r="AI171" s="40" t="str">
        <f>IF($J171="","",IF(AND($L171="Elite",$F171&gt;=Config!$B$41,$N171&lt;$M171),Config!$B$42,0))</f>
        <v/>
      </c>
      <c r="AJ171" s="22"/>
      <c r="AK171" s="39">
        <f>IFERROR(VLOOKUP(J171,Grinders!$A:$Q,28,FALSE),0)</f>
        <v>0</v>
      </c>
      <c r="AL171" s="39">
        <f>IF(Config!$B$1003&lt;&gt;"Y",0,IF(IFERROR(VLOOKUP(J171,Grinders!$A:$P,27,FALSE),0)&gt;=3,IF(OR(F171&gt;=Config!$B$1001,ISNUMBER(SEARCH(E171,Config!$B$1002))),1,0),0))</f>
        <v>0</v>
      </c>
      <c r="AM171" s="39">
        <f t="array" ref="AM171">IFERROR(IF(INDEX(Bids!$AE:$AE,MATCH(B171,Bids!$A:$A,0))="Pending",1,0),0)</f>
        <v>0</v>
      </c>
      <c r="AN171" s="39" t="str">
        <f t="array" ref="AN171">IF(C171="","",IFERROR(XLOOKUP(C171,Assignments!$C:$C,Assignments!$AU:$AU,0),0))</f>
        <v/>
      </c>
      <c r="AO171" s="39">
        <f>IF(AND(Config!$B$1006="Y",AN171=1),Config!$B$1007,0)</f>
        <v>0</v>
      </c>
    </row>
    <row r="172" ht="15.75" customHeight="1">
      <c r="A172" s="46" t="str">
        <f t="shared" si="1"/>
        <v/>
      </c>
      <c r="B172" s="40" t="str">
        <f>IF(Bids!$A172="","",Bids!$A172)</f>
        <v/>
      </c>
      <c r="C172" s="40" t="str">
        <f>IF(Bids!$B172="","",Bids!$B172)</f>
        <v/>
      </c>
      <c r="D172" s="40" t="str">
        <f>IF($C172="","",IFERROR(VLOOKUP($C172,Orders!$A:$J,9,FALSE),""))</f>
        <v/>
      </c>
      <c r="E172" s="40" t="str">
        <f>IF($C172="","",IFERROR(VLOOKUP($C172,Orders!$A:$J,3,FALSE),""))</f>
        <v/>
      </c>
      <c r="F172" s="40" t="str">
        <f>IF($C172="","",IFERROR(VLOOKUP($C172,Orders!$A:$J,4,FALSE),""))</f>
        <v/>
      </c>
      <c r="G172" s="40" t="str">
        <f>IF($C172="","",IFERROR(VLOOKUP($C172,Orders!$A:$J,5,FALSE),""))</f>
        <v/>
      </c>
      <c r="H172" s="40" t="str">
        <f>IF($C172="","",IFERROR(VLOOKUP($C172,Orders!$A:$J,6,FALSE),""))</f>
        <v/>
      </c>
      <c r="I172" s="40" t="str">
        <f>IF($C172="","",IFERROR(VLOOKUP($C172,Orders!$A:$J,7,FALSE),""))</f>
        <v/>
      </c>
      <c r="J172" s="40" t="str">
        <f>IF(Bids!$C172="","",Bids!$C172)</f>
        <v/>
      </c>
      <c r="K172" s="40" t="str">
        <f>IF($J172="","",IFERROR(VLOOKUP($J172,Grinders!$A:$N,2,FALSE),""))</f>
        <v/>
      </c>
      <c r="L172" s="40" t="str">
        <f>IF($J172="","",IFERROR(VLOOKUP($J172,Grinders!$A:$N,3,FALSE),""))</f>
        <v/>
      </c>
      <c r="M172" s="40" t="str">
        <f>IF($J172="","",IFERROR(VLOOKUP($J172,Grinders!$A:$N,4,FALSE),""))</f>
        <v/>
      </c>
      <c r="N172" s="40" t="str">
        <f>IF($J172="","",IFERROR(VLOOKUP($J172,Grinders!$A:$N,5,FALSE),""))</f>
        <v/>
      </c>
      <c r="O172" s="40" t="str">
        <f t="shared" si="2"/>
        <v/>
      </c>
      <c r="P172" s="40" t="str">
        <f>IF($J172="","",IFERROR(VLOOKUP($J172,Grinders!$A:$N,6,FALSE),""))</f>
        <v/>
      </c>
      <c r="Q172" s="40" t="str">
        <f>IF($J172="","",IFERROR(VLOOKUP($J172,Grinders!$A:$N,8,FALSE),""))</f>
        <v/>
      </c>
      <c r="R172" s="40" t="str">
        <f>IFERROR(IF($J172="","",IF($L172="Elite",MAX(50,MIN(100,Config!$B$27*MAX(0,MIN(100,(1-IF($O172="",0,$O172))*100)) + Config!$B$28*MAX(0,MIN(100,(1-MIN(1,IF(Config!$B$30=0,1,$P172/Config!$B$30)))*100)) + Config!$B$29*MAX(0,MIN(100,MIN(1,IF($Q172="",0,$Q172)/Config!$B$23)*100)))),MIN(100,Config!$B$27*MAX(0,MIN(100,(1-IF($O172="",0,$O172))*100)) + Config!$B$28*MAX(0,MIN(100,(1-MIN(1,IF(Config!$B$30=0,1,$P172/Config!$B$30)))*100)) + Config!$B$29*MAX(0,MIN(100,MIN(1,IF($Q172="",0,$Q172)/Config!$B$23)*100))))),"")
</f>
        <v/>
      </c>
      <c r="S172" s="40" t="str">
        <f>IF(Bids!$AC172="","",Bids!$AC172)</f>
        <v/>
      </c>
      <c r="T172" s="40" t="str">
        <f>IF(Bids!$F172="","",Bids!$F172)</f>
        <v/>
      </c>
      <c r="U172" s="40" t="str">
        <f t="shared" si="3"/>
        <v/>
      </c>
      <c r="V172" s="40" t="str">
        <f>IF($U172="","",IF(Config!$B$17=Config!$B$16,IF($U172&gt;=Config!$B$17,100,0),MAX(0,MIN(100,($U172-Config!$B$16)/(Config!$B$17-Config!$B$16)*100))))</f>
        <v/>
      </c>
      <c r="W172" s="40">
        <f>IF($L172="Elite",Config!$B$21,0)</f>
        <v>0</v>
      </c>
      <c r="X172" s="40" t="str">
        <f>IFERROR(IF(OR($T172="",$G172=""),"",IF($T172&gt;$G172,
  MAX(0, 60-(($T172-$G172)*24/Config!$B$19)*60),
  MEDIAN(60, 100, 60+(($G172-$T172)*24/Config!$B$20)*40)
)),"")
</f>
        <v/>
      </c>
      <c r="Y172" s="40" t="str">
        <f>IF($J172="","",IFERROR(VLOOKUP($J172,Grinders!$A:$N,10,FALSE),""))</f>
        <v/>
      </c>
      <c r="Z172" s="40" t="str">
        <f>IF($J172="","",IFERROR(VLOOKUP($J172,Grinders!$A:$N,11,FALSE),""))</f>
        <v/>
      </c>
      <c r="AA172" s="40" t="str">
        <f>IF($J172="","",IFERROR(VLOOKUP($J172,Grinders!$A:$N,12,FALSE),""))</f>
        <v/>
      </c>
      <c r="AB172" s="40" t="str">
        <f>IF(OR(AL172=1,AM172=1),0,=IFERROR(IF(OR($C172="",$J172=""),0,IF($D172&lt;&gt;"Open",0,IF(COUNTIFS(GrinderServices!$A:$A,$J172,GrinderServices!$B:$B,$E172,GrinderServices!$D:$D,"Y")=0,0,IF($U172&lt;Config!$B$16,0,IF(Config!$B$18=1,IF($N172&gt;=$M172,0,1),1))))),""))</f>
        <v>#ERROR!</v>
      </c>
      <c r="AC172" s="40" t="str">
        <f>IFERROR((IF(OR(AL172=1,AM172=1),"",=IFERROR((IFERROR(IF($AB172=0,"",((Config!$B$6*$V172 + Config!$B$7*$R172 + Config!$B$8*$W172 + Config!$B$9*$X172 + Config!$B$10*$Y172 + Config!$B$11*$Z172 - Config!$B$12*$AA172)/Config!$B$13)+$AH172+$AI172),""))*(1-IFERROR(VLOOKUP(J172,Grinders!$A:$AB, 28, FALSE),0)),"")))*(1+AO172),"")</f>
        <v>#ERROR!</v>
      </c>
      <c r="AD172" s="40" t="str">
        <f t="shared" si="4"/>
        <v/>
      </c>
      <c r="AE172" s="40" t="str">
        <f>IFERROR(__xludf.DUMMYFUNCTION("IF($AC172="""","""",IF($AC172=IFERROR(MAX(FILTER($AC$6:$AC$1000,$C$6:$C$1000=$C172,$AB$6:$AB$1000=1)),),""WINNER"",""""))"),"#ERROR!")</f>
        <v>#ERROR!</v>
      </c>
      <c r="AF172" s="40" t="str">
        <f t="shared" si="5"/>
        <v/>
      </c>
      <c r="AG172" s="40" t="str">
        <f>IF($J172="","",COUNTIF(Assignments!$B:$B,$J172))</f>
        <v/>
      </c>
      <c r="AH172" s="40" t="str">
        <f>IF($J172="","",IF(AND($AG172=0,$N172&lt;$M172),Config!$B$43,0))</f>
        <v/>
      </c>
      <c r="AI172" s="40" t="str">
        <f>IF($J172="","",IF(AND($L172="Elite",$F172&gt;=Config!$B$41,$N172&lt;$M172),Config!$B$42,0))</f>
        <v/>
      </c>
      <c r="AJ172" s="22"/>
      <c r="AK172" s="39">
        <f>IFERROR(VLOOKUP(J172,Grinders!$A:$Q,28,FALSE),0)</f>
        <v>0</v>
      </c>
      <c r="AL172" s="39">
        <f>IF(Config!$B$1003&lt;&gt;"Y",0,IF(IFERROR(VLOOKUP(J172,Grinders!$A:$P,27,FALSE),0)&gt;=3,IF(OR(F172&gt;=Config!$B$1001,ISNUMBER(SEARCH(E172,Config!$B$1002))),1,0),0))</f>
        <v>0</v>
      </c>
      <c r="AM172" s="39">
        <f t="array" ref="AM172">IFERROR(IF(INDEX(Bids!$AE:$AE,MATCH(B172,Bids!$A:$A,0))="Pending",1,0),0)</f>
        <v>0</v>
      </c>
      <c r="AN172" s="39" t="str">
        <f t="array" ref="AN172">IF(C172="","",IFERROR(XLOOKUP(C172,Assignments!$C:$C,Assignments!$AU:$AU,0),0))</f>
        <v/>
      </c>
      <c r="AO172" s="39">
        <f>IF(AND(Config!$B$1006="Y",AN172=1),Config!$B$1007,0)</f>
        <v>0</v>
      </c>
    </row>
    <row r="173" ht="15.75" customHeight="1">
      <c r="A173" s="46" t="str">
        <f t="shared" si="1"/>
        <v/>
      </c>
      <c r="B173" s="40" t="str">
        <f>IF(Bids!$A173="","",Bids!$A173)</f>
        <v/>
      </c>
      <c r="C173" s="40" t="str">
        <f>IF(Bids!$B173="","",Bids!$B173)</f>
        <v/>
      </c>
      <c r="D173" s="40" t="str">
        <f>IF($C173="","",IFERROR(VLOOKUP($C173,Orders!$A:$J,9,FALSE),""))</f>
        <v/>
      </c>
      <c r="E173" s="40" t="str">
        <f>IF($C173="","",IFERROR(VLOOKUP($C173,Orders!$A:$J,3,FALSE),""))</f>
        <v/>
      </c>
      <c r="F173" s="40" t="str">
        <f>IF($C173="","",IFERROR(VLOOKUP($C173,Orders!$A:$J,4,FALSE),""))</f>
        <v/>
      </c>
      <c r="G173" s="40" t="str">
        <f>IF($C173="","",IFERROR(VLOOKUP($C173,Orders!$A:$J,5,FALSE),""))</f>
        <v/>
      </c>
      <c r="H173" s="40" t="str">
        <f>IF($C173="","",IFERROR(VLOOKUP($C173,Orders!$A:$J,6,FALSE),""))</f>
        <v/>
      </c>
      <c r="I173" s="40" t="str">
        <f>IF($C173="","",IFERROR(VLOOKUP($C173,Orders!$A:$J,7,FALSE),""))</f>
        <v/>
      </c>
      <c r="J173" s="40" t="str">
        <f>IF(Bids!$C173="","",Bids!$C173)</f>
        <v/>
      </c>
      <c r="K173" s="40" t="str">
        <f>IF($J173="","",IFERROR(VLOOKUP($J173,Grinders!$A:$N,2,FALSE),""))</f>
        <v/>
      </c>
      <c r="L173" s="40" t="str">
        <f>IF($J173="","",IFERROR(VLOOKUP($J173,Grinders!$A:$N,3,FALSE),""))</f>
        <v/>
      </c>
      <c r="M173" s="40" t="str">
        <f>IF($J173="","",IFERROR(VLOOKUP($J173,Grinders!$A:$N,4,FALSE),""))</f>
        <v/>
      </c>
      <c r="N173" s="40" t="str">
        <f>IF($J173="","",IFERROR(VLOOKUP($J173,Grinders!$A:$N,5,FALSE),""))</f>
        <v/>
      </c>
      <c r="O173" s="40" t="str">
        <f t="shared" si="2"/>
        <v/>
      </c>
      <c r="P173" s="40" t="str">
        <f>IF($J173="","",IFERROR(VLOOKUP($J173,Grinders!$A:$N,6,FALSE),""))</f>
        <v/>
      </c>
      <c r="Q173" s="40" t="str">
        <f>IF($J173="","",IFERROR(VLOOKUP($J173,Grinders!$A:$N,8,FALSE),""))</f>
        <v/>
      </c>
      <c r="R173" s="40" t="str">
        <f>IFERROR(IF($J173="","",IF($L173="Elite",MAX(50,MIN(100,Config!$B$27*MAX(0,MIN(100,(1-IF($O173="",0,$O173))*100)) + Config!$B$28*MAX(0,MIN(100,(1-MIN(1,IF(Config!$B$30=0,1,$P173/Config!$B$30)))*100)) + Config!$B$29*MAX(0,MIN(100,MIN(1,IF($Q173="",0,$Q173)/Config!$B$23)*100)))),MIN(100,Config!$B$27*MAX(0,MIN(100,(1-IF($O173="",0,$O173))*100)) + Config!$B$28*MAX(0,MIN(100,(1-MIN(1,IF(Config!$B$30=0,1,$P173/Config!$B$30)))*100)) + Config!$B$29*MAX(0,MIN(100,MIN(1,IF($Q173="",0,$Q173)/Config!$B$23)*100))))),"")
</f>
        <v/>
      </c>
      <c r="S173" s="40" t="str">
        <f>IF(Bids!$AC173="","",Bids!$AC173)</f>
        <v/>
      </c>
      <c r="T173" s="40" t="str">
        <f>IF(Bids!$F173="","",Bids!$F173)</f>
        <v/>
      </c>
      <c r="U173" s="40" t="str">
        <f t="shared" si="3"/>
        <v/>
      </c>
      <c r="V173" s="40" t="str">
        <f>IF($U173="","",IF(Config!$B$17=Config!$B$16,IF($U173&gt;=Config!$B$17,100,0),MAX(0,MIN(100,($U173-Config!$B$16)/(Config!$B$17-Config!$B$16)*100))))</f>
        <v/>
      </c>
      <c r="W173" s="40">
        <f>IF($L173="Elite",Config!$B$21,0)</f>
        <v>0</v>
      </c>
      <c r="X173" s="40" t="str">
        <f>IFERROR(IF(OR($T173="",$G173=""),"",IF($T173&gt;$G173,
  MAX(0, 60-(($T173-$G173)*24/Config!$B$19)*60),
  MEDIAN(60, 100, 60+(($G173-$T173)*24/Config!$B$20)*40)
)),"")
</f>
        <v/>
      </c>
      <c r="Y173" s="40" t="str">
        <f>IF($J173="","",IFERROR(VLOOKUP($J173,Grinders!$A:$N,10,FALSE),""))</f>
        <v/>
      </c>
      <c r="Z173" s="40" t="str">
        <f>IF($J173="","",IFERROR(VLOOKUP($J173,Grinders!$A:$N,11,FALSE),""))</f>
        <v/>
      </c>
      <c r="AA173" s="40" t="str">
        <f>IF($J173="","",IFERROR(VLOOKUP($J173,Grinders!$A:$N,12,FALSE),""))</f>
        <v/>
      </c>
      <c r="AB173" s="40" t="str">
        <f>IF(OR(AL173=1,AM173=1),0,=IFERROR(IF(OR($C173="",$J173=""),0,IF($D173&lt;&gt;"Open",0,IF(COUNTIFS(GrinderServices!$A:$A,$J173,GrinderServices!$B:$B,$E173,GrinderServices!$D:$D,"Y")=0,0,IF($U173&lt;Config!$B$16,0,IF(Config!$B$18=1,IF($N173&gt;=$M173,0,1),1))))),""))</f>
        <v>#ERROR!</v>
      </c>
      <c r="AC173" s="40" t="str">
        <f>IFERROR((IF(OR(AL173=1,AM173=1),"",=IFERROR((IFERROR(IF($AB173=0,"",((Config!$B$6*$V173 + Config!$B$7*$R173 + Config!$B$8*$W173 + Config!$B$9*$X173 + Config!$B$10*$Y173 + Config!$B$11*$Z173 - Config!$B$12*$AA173)/Config!$B$13)+$AH173+$AI173),""))*(1-IFERROR(VLOOKUP(J173,Grinders!$A:$AB, 28, FALSE),0)),"")))*(1+AO173),"")</f>
        <v>#ERROR!</v>
      </c>
      <c r="AD173" s="40" t="str">
        <f t="shared" si="4"/>
        <v/>
      </c>
      <c r="AE173" s="40" t="str">
        <f>IFERROR(__xludf.DUMMYFUNCTION("IF($AC173="""","""",IF($AC173=IFERROR(MAX(FILTER($AC$6:$AC$1000,$C$6:$C$1000=$C173,$AB$6:$AB$1000=1)),),""WINNER"",""""))"),"#ERROR!")</f>
        <v>#ERROR!</v>
      </c>
      <c r="AF173" s="40" t="str">
        <f t="shared" si="5"/>
        <v/>
      </c>
      <c r="AG173" s="40" t="str">
        <f>IF($J173="","",COUNTIF(Assignments!$B:$B,$J173))</f>
        <v/>
      </c>
      <c r="AH173" s="40" t="str">
        <f>IF($J173="","",IF(AND($AG173=0,$N173&lt;$M173),Config!$B$43,0))</f>
        <v/>
      </c>
      <c r="AI173" s="40" t="str">
        <f>IF($J173="","",IF(AND($L173="Elite",$F173&gt;=Config!$B$41,$N173&lt;$M173),Config!$B$42,0))</f>
        <v/>
      </c>
      <c r="AJ173" s="22"/>
      <c r="AK173" s="39">
        <f>IFERROR(VLOOKUP(J173,Grinders!$A:$Q,28,FALSE),0)</f>
        <v>0</v>
      </c>
      <c r="AL173" s="39">
        <f>IF(Config!$B$1003&lt;&gt;"Y",0,IF(IFERROR(VLOOKUP(J173,Grinders!$A:$P,27,FALSE),0)&gt;=3,IF(OR(F173&gt;=Config!$B$1001,ISNUMBER(SEARCH(E173,Config!$B$1002))),1,0),0))</f>
        <v>0</v>
      </c>
      <c r="AM173" s="39">
        <f t="array" ref="AM173">IFERROR(IF(INDEX(Bids!$AE:$AE,MATCH(B173,Bids!$A:$A,0))="Pending",1,0),0)</f>
        <v>0</v>
      </c>
      <c r="AN173" s="39" t="str">
        <f t="array" ref="AN173">IF(C173="","",IFERROR(XLOOKUP(C173,Assignments!$C:$C,Assignments!$AU:$AU,0),0))</f>
        <v/>
      </c>
      <c r="AO173" s="39">
        <f>IF(AND(Config!$B$1006="Y",AN173=1),Config!$B$1007,0)</f>
        <v>0</v>
      </c>
    </row>
    <row r="174" ht="15.75" customHeight="1">
      <c r="A174" s="46" t="str">
        <f t="shared" si="1"/>
        <v/>
      </c>
      <c r="B174" s="40" t="str">
        <f>IF(Bids!$A174="","",Bids!$A174)</f>
        <v/>
      </c>
      <c r="C174" s="40" t="str">
        <f>IF(Bids!$B174="","",Bids!$B174)</f>
        <v/>
      </c>
      <c r="D174" s="40" t="str">
        <f>IF($C174="","",IFERROR(VLOOKUP($C174,Orders!$A:$J,9,FALSE),""))</f>
        <v/>
      </c>
      <c r="E174" s="40" t="str">
        <f>IF($C174="","",IFERROR(VLOOKUP($C174,Orders!$A:$J,3,FALSE),""))</f>
        <v/>
      </c>
      <c r="F174" s="40" t="str">
        <f>IF($C174="","",IFERROR(VLOOKUP($C174,Orders!$A:$J,4,FALSE),""))</f>
        <v/>
      </c>
      <c r="G174" s="40" t="str">
        <f>IF($C174="","",IFERROR(VLOOKUP($C174,Orders!$A:$J,5,FALSE),""))</f>
        <v/>
      </c>
      <c r="H174" s="40" t="str">
        <f>IF($C174="","",IFERROR(VLOOKUP($C174,Orders!$A:$J,6,FALSE),""))</f>
        <v/>
      </c>
      <c r="I174" s="40" t="str">
        <f>IF($C174="","",IFERROR(VLOOKUP($C174,Orders!$A:$J,7,FALSE),""))</f>
        <v/>
      </c>
      <c r="J174" s="40" t="str">
        <f>IF(Bids!$C174="","",Bids!$C174)</f>
        <v/>
      </c>
      <c r="K174" s="40" t="str">
        <f>IF($J174="","",IFERROR(VLOOKUP($J174,Grinders!$A:$N,2,FALSE),""))</f>
        <v/>
      </c>
      <c r="L174" s="40" t="str">
        <f>IF($J174="","",IFERROR(VLOOKUP($J174,Grinders!$A:$N,3,FALSE),""))</f>
        <v/>
      </c>
      <c r="M174" s="40" t="str">
        <f>IF($J174="","",IFERROR(VLOOKUP($J174,Grinders!$A:$N,4,FALSE),""))</f>
        <v/>
      </c>
      <c r="N174" s="40" t="str">
        <f>IF($J174="","",IFERROR(VLOOKUP($J174,Grinders!$A:$N,5,FALSE),""))</f>
        <v/>
      </c>
      <c r="O174" s="40" t="str">
        <f t="shared" si="2"/>
        <v/>
      </c>
      <c r="P174" s="40" t="str">
        <f>IF($J174="","",IFERROR(VLOOKUP($J174,Grinders!$A:$N,6,FALSE),""))</f>
        <v/>
      </c>
      <c r="Q174" s="40" t="str">
        <f>IF($J174="","",IFERROR(VLOOKUP($J174,Grinders!$A:$N,8,FALSE),""))</f>
        <v/>
      </c>
      <c r="R174" s="40" t="str">
        <f>IFERROR(IF($J174="","",IF($L174="Elite",MAX(50,MIN(100,Config!$B$27*MAX(0,MIN(100,(1-IF($O174="",0,$O174))*100)) + Config!$B$28*MAX(0,MIN(100,(1-MIN(1,IF(Config!$B$30=0,1,$P174/Config!$B$30)))*100)) + Config!$B$29*MAX(0,MIN(100,MIN(1,IF($Q174="",0,$Q174)/Config!$B$23)*100)))),MIN(100,Config!$B$27*MAX(0,MIN(100,(1-IF($O174="",0,$O174))*100)) + Config!$B$28*MAX(0,MIN(100,(1-MIN(1,IF(Config!$B$30=0,1,$P174/Config!$B$30)))*100)) + Config!$B$29*MAX(0,MIN(100,MIN(1,IF($Q174="",0,$Q174)/Config!$B$23)*100))))),"")
</f>
        <v/>
      </c>
      <c r="S174" s="40" t="str">
        <f>IF(Bids!$AC174="","",Bids!$AC174)</f>
        <v/>
      </c>
      <c r="T174" s="40" t="str">
        <f>IF(Bids!$F174="","",Bids!$F174)</f>
        <v/>
      </c>
      <c r="U174" s="40" t="str">
        <f t="shared" si="3"/>
        <v/>
      </c>
      <c r="V174" s="40" t="str">
        <f>IF($U174="","",IF(Config!$B$17=Config!$B$16,IF($U174&gt;=Config!$B$17,100,0),MAX(0,MIN(100,($U174-Config!$B$16)/(Config!$B$17-Config!$B$16)*100))))</f>
        <v/>
      </c>
      <c r="W174" s="40">
        <f>IF($L174="Elite",Config!$B$21,0)</f>
        <v>0</v>
      </c>
      <c r="X174" s="40" t="str">
        <f>IFERROR(IF(OR($T174="",$G174=""),"",IF($T174&gt;$G174,
  MAX(0, 60-(($T174-$G174)*24/Config!$B$19)*60),
  MEDIAN(60, 100, 60+(($G174-$T174)*24/Config!$B$20)*40)
)),"")
</f>
        <v/>
      </c>
      <c r="Y174" s="40" t="str">
        <f>IF($J174="","",IFERROR(VLOOKUP($J174,Grinders!$A:$N,10,FALSE),""))</f>
        <v/>
      </c>
      <c r="Z174" s="40" t="str">
        <f>IF($J174="","",IFERROR(VLOOKUP($J174,Grinders!$A:$N,11,FALSE),""))</f>
        <v/>
      </c>
      <c r="AA174" s="40" t="str">
        <f>IF($J174="","",IFERROR(VLOOKUP($J174,Grinders!$A:$N,12,FALSE),""))</f>
        <v/>
      </c>
      <c r="AB174" s="40" t="str">
        <f>IF(OR(AL174=1,AM174=1),0,=IFERROR(IF(OR($C174="",$J174=""),0,IF($D174&lt;&gt;"Open",0,IF(COUNTIFS(GrinderServices!$A:$A,$J174,GrinderServices!$B:$B,$E174,GrinderServices!$D:$D,"Y")=0,0,IF($U174&lt;Config!$B$16,0,IF(Config!$B$18=1,IF($N174&gt;=$M174,0,1),1))))),""))</f>
        <v>#ERROR!</v>
      </c>
      <c r="AC174" s="40" t="str">
        <f>IFERROR((IF(OR(AL174=1,AM174=1),"",=IFERROR((IFERROR(IF($AB174=0,"",((Config!$B$6*$V174 + Config!$B$7*$R174 + Config!$B$8*$W174 + Config!$B$9*$X174 + Config!$B$10*$Y174 + Config!$B$11*$Z174 - Config!$B$12*$AA174)/Config!$B$13)+$AH174+$AI174),""))*(1-IFERROR(VLOOKUP(J174,Grinders!$A:$AB, 28, FALSE),0)),"")))*(1+AO174),"")</f>
        <v>#ERROR!</v>
      </c>
      <c r="AD174" s="40" t="str">
        <f t="shared" si="4"/>
        <v/>
      </c>
      <c r="AE174" s="40" t="str">
        <f>IFERROR(__xludf.DUMMYFUNCTION("IF($AC174="""","""",IF($AC174=IFERROR(MAX(FILTER($AC$6:$AC$1000,$C$6:$C$1000=$C174,$AB$6:$AB$1000=1)),),""WINNER"",""""))"),"#ERROR!")</f>
        <v>#ERROR!</v>
      </c>
      <c r="AF174" s="40" t="str">
        <f t="shared" si="5"/>
        <v/>
      </c>
      <c r="AG174" s="40" t="str">
        <f>IF($J174="","",COUNTIF(Assignments!$B:$B,$J174))</f>
        <v/>
      </c>
      <c r="AH174" s="40" t="str">
        <f>IF($J174="","",IF(AND($AG174=0,$N174&lt;$M174),Config!$B$43,0))</f>
        <v/>
      </c>
      <c r="AI174" s="40" t="str">
        <f>IF($J174="","",IF(AND($L174="Elite",$F174&gt;=Config!$B$41,$N174&lt;$M174),Config!$B$42,0))</f>
        <v/>
      </c>
      <c r="AJ174" s="22"/>
      <c r="AK174" s="39">
        <f>IFERROR(VLOOKUP(J174,Grinders!$A:$Q,28,FALSE),0)</f>
        <v>0</v>
      </c>
      <c r="AL174" s="39">
        <f>IF(Config!$B$1003&lt;&gt;"Y",0,IF(IFERROR(VLOOKUP(J174,Grinders!$A:$P,27,FALSE),0)&gt;=3,IF(OR(F174&gt;=Config!$B$1001,ISNUMBER(SEARCH(E174,Config!$B$1002))),1,0),0))</f>
        <v>0</v>
      </c>
      <c r="AM174" s="39">
        <f t="array" ref="AM174">IFERROR(IF(INDEX(Bids!$AE:$AE,MATCH(B174,Bids!$A:$A,0))="Pending",1,0),0)</f>
        <v>0</v>
      </c>
      <c r="AN174" s="39" t="str">
        <f t="array" ref="AN174">IF(C174="","",IFERROR(XLOOKUP(C174,Assignments!$C:$C,Assignments!$AU:$AU,0),0))</f>
        <v/>
      </c>
      <c r="AO174" s="39">
        <f>IF(AND(Config!$B$1006="Y",AN174=1),Config!$B$1007,0)</f>
        <v>0</v>
      </c>
    </row>
    <row r="175" ht="15.75" customHeight="1">
      <c r="A175" s="46" t="str">
        <f t="shared" si="1"/>
        <v/>
      </c>
      <c r="B175" s="40" t="str">
        <f>IF(Bids!$A175="","",Bids!$A175)</f>
        <v/>
      </c>
      <c r="C175" s="40" t="str">
        <f>IF(Bids!$B175="","",Bids!$B175)</f>
        <v/>
      </c>
      <c r="D175" s="40" t="str">
        <f>IF($C175="","",IFERROR(VLOOKUP($C175,Orders!$A:$J,9,FALSE),""))</f>
        <v/>
      </c>
      <c r="E175" s="40" t="str">
        <f>IF($C175="","",IFERROR(VLOOKUP($C175,Orders!$A:$J,3,FALSE),""))</f>
        <v/>
      </c>
      <c r="F175" s="40" t="str">
        <f>IF($C175="","",IFERROR(VLOOKUP($C175,Orders!$A:$J,4,FALSE),""))</f>
        <v/>
      </c>
      <c r="G175" s="40" t="str">
        <f>IF($C175="","",IFERROR(VLOOKUP($C175,Orders!$A:$J,5,FALSE),""))</f>
        <v/>
      </c>
      <c r="H175" s="40" t="str">
        <f>IF($C175="","",IFERROR(VLOOKUP($C175,Orders!$A:$J,6,FALSE),""))</f>
        <v/>
      </c>
      <c r="I175" s="40" t="str">
        <f>IF($C175="","",IFERROR(VLOOKUP($C175,Orders!$A:$J,7,FALSE),""))</f>
        <v/>
      </c>
      <c r="J175" s="40" t="str">
        <f>IF(Bids!$C175="","",Bids!$C175)</f>
        <v/>
      </c>
      <c r="K175" s="40" t="str">
        <f>IF($J175="","",IFERROR(VLOOKUP($J175,Grinders!$A:$N,2,FALSE),""))</f>
        <v/>
      </c>
      <c r="L175" s="40" t="str">
        <f>IF($J175="","",IFERROR(VLOOKUP($J175,Grinders!$A:$N,3,FALSE),""))</f>
        <v/>
      </c>
      <c r="M175" s="40" t="str">
        <f>IF($J175="","",IFERROR(VLOOKUP($J175,Grinders!$A:$N,4,FALSE),""))</f>
        <v/>
      </c>
      <c r="N175" s="40" t="str">
        <f>IF($J175="","",IFERROR(VLOOKUP($J175,Grinders!$A:$N,5,FALSE),""))</f>
        <v/>
      </c>
      <c r="O175" s="40" t="str">
        <f t="shared" si="2"/>
        <v/>
      </c>
      <c r="P175" s="40" t="str">
        <f>IF($J175="","",IFERROR(VLOOKUP($J175,Grinders!$A:$N,6,FALSE),""))</f>
        <v/>
      </c>
      <c r="Q175" s="40" t="str">
        <f>IF($J175="","",IFERROR(VLOOKUP($J175,Grinders!$A:$N,8,FALSE),""))</f>
        <v/>
      </c>
      <c r="R175" s="40" t="str">
        <f>IFERROR(IF($J175="","",IF($L175="Elite",MAX(50,MIN(100,Config!$B$27*MAX(0,MIN(100,(1-IF($O175="",0,$O175))*100)) + Config!$B$28*MAX(0,MIN(100,(1-MIN(1,IF(Config!$B$30=0,1,$P175/Config!$B$30)))*100)) + Config!$B$29*MAX(0,MIN(100,MIN(1,IF($Q175="",0,$Q175)/Config!$B$23)*100)))),MIN(100,Config!$B$27*MAX(0,MIN(100,(1-IF($O175="",0,$O175))*100)) + Config!$B$28*MAX(0,MIN(100,(1-MIN(1,IF(Config!$B$30=0,1,$P175/Config!$B$30)))*100)) + Config!$B$29*MAX(0,MIN(100,MIN(1,IF($Q175="",0,$Q175)/Config!$B$23)*100))))),"")
</f>
        <v/>
      </c>
      <c r="S175" s="40" t="str">
        <f>IF(Bids!$AC175="","",Bids!$AC175)</f>
        <v/>
      </c>
      <c r="T175" s="40" t="str">
        <f>IF(Bids!$F175="","",Bids!$F175)</f>
        <v/>
      </c>
      <c r="U175" s="40" t="str">
        <f t="shared" si="3"/>
        <v/>
      </c>
      <c r="V175" s="40" t="str">
        <f>IF($U175="","",IF(Config!$B$17=Config!$B$16,IF($U175&gt;=Config!$B$17,100,0),MAX(0,MIN(100,($U175-Config!$B$16)/(Config!$B$17-Config!$B$16)*100))))</f>
        <v/>
      </c>
      <c r="W175" s="40">
        <f>IF($L175="Elite",Config!$B$21,0)</f>
        <v>0</v>
      </c>
      <c r="X175" s="40" t="str">
        <f>IFERROR(IF(OR($T175="",$G175=""),"",IF($T175&gt;$G175,
  MAX(0, 60-(($T175-$G175)*24/Config!$B$19)*60),
  MEDIAN(60, 100, 60+(($G175-$T175)*24/Config!$B$20)*40)
)),"")
</f>
        <v/>
      </c>
      <c r="Y175" s="40" t="str">
        <f>IF($J175="","",IFERROR(VLOOKUP($J175,Grinders!$A:$N,10,FALSE),""))</f>
        <v/>
      </c>
      <c r="Z175" s="40" t="str">
        <f>IF($J175="","",IFERROR(VLOOKUP($J175,Grinders!$A:$N,11,FALSE),""))</f>
        <v/>
      </c>
      <c r="AA175" s="40" t="str">
        <f>IF($J175="","",IFERROR(VLOOKUP($J175,Grinders!$A:$N,12,FALSE),""))</f>
        <v/>
      </c>
      <c r="AB175" s="40" t="str">
        <f>IF(OR(AL175=1,AM175=1),0,=IFERROR(IF(OR($C175="",$J175=""),0,IF($D175&lt;&gt;"Open",0,IF(COUNTIFS(GrinderServices!$A:$A,$J175,GrinderServices!$B:$B,$E175,GrinderServices!$D:$D,"Y")=0,0,IF($U175&lt;Config!$B$16,0,IF(Config!$B$18=1,IF($N175&gt;=$M175,0,1),1))))),""))</f>
        <v>#ERROR!</v>
      </c>
      <c r="AC175" s="40" t="str">
        <f>IFERROR((IF(OR(AL175=1,AM175=1),"",=IFERROR((IFERROR(IF($AB175=0,"",((Config!$B$6*$V175 + Config!$B$7*$R175 + Config!$B$8*$W175 + Config!$B$9*$X175 + Config!$B$10*$Y175 + Config!$B$11*$Z175 - Config!$B$12*$AA175)/Config!$B$13)+$AH175+$AI175),""))*(1-IFERROR(VLOOKUP(J175,Grinders!$A:$AB, 28, FALSE),0)),"")))*(1+AO175),"")</f>
        <v>#ERROR!</v>
      </c>
      <c r="AD175" s="40" t="str">
        <f t="shared" si="4"/>
        <v/>
      </c>
      <c r="AE175" s="40" t="str">
        <f>IFERROR(__xludf.DUMMYFUNCTION("IF($AC175="""","""",IF($AC175=IFERROR(MAX(FILTER($AC$6:$AC$1000,$C$6:$C$1000=$C175,$AB$6:$AB$1000=1)),),""WINNER"",""""))"),"#ERROR!")</f>
        <v>#ERROR!</v>
      </c>
      <c r="AF175" s="40" t="str">
        <f t="shared" si="5"/>
        <v/>
      </c>
      <c r="AG175" s="40" t="str">
        <f>IF($J175="","",COUNTIF(Assignments!$B:$B,$J175))</f>
        <v/>
      </c>
      <c r="AH175" s="40" t="str">
        <f>IF($J175="","",IF(AND($AG175=0,$N175&lt;$M175),Config!$B$43,0))</f>
        <v/>
      </c>
      <c r="AI175" s="40" t="str">
        <f>IF($J175="","",IF(AND($L175="Elite",$F175&gt;=Config!$B$41,$N175&lt;$M175),Config!$B$42,0))</f>
        <v/>
      </c>
      <c r="AJ175" s="22"/>
      <c r="AK175" s="39">
        <f>IFERROR(VLOOKUP(J175,Grinders!$A:$Q,28,FALSE),0)</f>
        <v>0</v>
      </c>
      <c r="AL175" s="39">
        <f>IF(Config!$B$1003&lt;&gt;"Y",0,IF(IFERROR(VLOOKUP(J175,Grinders!$A:$P,27,FALSE),0)&gt;=3,IF(OR(F175&gt;=Config!$B$1001,ISNUMBER(SEARCH(E175,Config!$B$1002))),1,0),0))</f>
        <v>0</v>
      </c>
      <c r="AM175" s="39">
        <f t="array" ref="AM175">IFERROR(IF(INDEX(Bids!$AE:$AE,MATCH(B175,Bids!$A:$A,0))="Pending",1,0),0)</f>
        <v>0</v>
      </c>
      <c r="AN175" s="39" t="str">
        <f t="array" ref="AN175">IF(C175="","",IFERROR(XLOOKUP(C175,Assignments!$C:$C,Assignments!$AU:$AU,0),0))</f>
        <v/>
      </c>
      <c r="AO175" s="39">
        <f>IF(AND(Config!$B$1006="Y",AN175=1),Config!$B$1007,0)</f>
        <v>0</v>
      </c>
    </row>
    <row r="176" ht="15.75" customHeight="1">
      <c r="A176" s="46" t="str">
        <f t="shared" si="1"/>
        <v/>
      </c>
      <c r="B176" s="40" t="str">
        <f>IF(Bids!$A176="","",Bids!$A176)</f>
        <v/>
      </c>
      <c r="C176" s="40" t="str">
        <f>IF(Bids!$B176="","",Bids!$B176)</f>
        <v/>
      </c>
      <c r="D176" s="40" t="str">
        <f>IF($C176="","",IFERROR(VLOOKUP($C176,Orders!$A:$J,9,FALSE),""))</f>
        <v/>
      </c>
      <c r="E176" s="40" t="str">
        <f>IF($C176="","",IFERROR(VLOOKUP($C176,Orders!$A:$J,3,FALSE),""))</f>
        <v/>
      </c>
      <c r="F176" s="40" t="str">
        <f>IF($C176="","",IFERROR(VLOOKUP($C176,Orders!$A:$J,4,FALSE),""))</f>
        <v/>
      </c>
      <c r="G176" s="40" t="str">
        <f>IF($C176="","",IFERROR(VLOOKUP($C176,Orders!$A:$J,5,FALSE),""))</f>
        <v/>
      </c>
      <c r="H176" s="40" t="str">
        <f>IF($C176="","",IFERROR(VLOOKUP($C176,Orders!$A:$J,6,FALSE),""))</f>
        <v/>
      </c>
      <c r="I176" s="40" t="str">
        <f>IF($C176="","",IFERROR(VLOOKUP($C176,Orders!$A:$J,7,FALSE),""))</f>
        <v/>
      </c>
      <c r="J176" s="40" t="str">
        <f>IF(Bids!$C176="","",Bids!$C176)</f>
        <v/>
      </c>
      <c r="K176" s="40" t="str">
        <f>IF($J176="","",IFERROR(VLOOKUP($J176,Grinders!$A:$N,2,FALSE),""))</f>
        <v/>
      </c>
      <c r="L176" s="40" t="str">
        <f>IF($J176="","",IFERROR(VLOOKUP($J176,Grinders!$A:$N,3,FALSE),""))</f>
        <v/>
      </c>
      <c r="M176" s="40" t="str">
        <f>IF($J176="","",IFERROR(VLOOKUP($J176,Grinders!$A:$N,4,FALSE),""))</f>
        <v/>
      </c>
      <c r="N176" s="40" t="str">
        <f>IF($J176="","",IFERROR(VLOOKUP($J176,Grinders!$A:$N,5,FALSE),""))</f>
        <v/>
      </c>
      <c r="O176" s="40" t="str">
        <f t="shared" si="2"/>
        <v/>
      </c>
      <c r="P176" s="40" t="str">
        <f>IF($J176="","",IFERROR(VLOOKUP($J176,Grinders!$A:$N,6,FALSE),""))</f>
        <v/>
      </c>
      <c r="Q176" s="40" t="str">
        <f>IF($J176="","",IFERROR(VLOOKUP($J176,Grinders!$A:$N,8,FALSE),""))</f>
        <v/>
      </c>
      <c r="R176" s="40" t="str">
        <f>IFERROR(IF($J176="","",IF($L176="Elite",MAX(50,MIN(100,Config!$B$27*MAX(0,MIN(100,(1-IF($O176="",0,$O176))*100)) + Config!$B$28*MAX(0,MIN(100,(1-MIN(1,IF(Config!$B$30=0,1,$P176/Config!$B$30)))*100)) + Config!$B$29*MAX(0,MIN(100,MIN(1,IF($Q176="",0,$Q176)/Config!$B$23)*100)))),MIN(100,Config!$B$27*MAX(0,MIN(100,(1-IF($O176="",0,$O176))*100)) + Config!$B$28*MAX(0,MIN(100,(1-MIN(1,IF(Config!$B$30=0,1,$P176/Config!$B$30)))*100)) + Config!$B$29*MAX(0,MIN(100,MIN(1,IF($Q176="",0,$Q176)/Config!$B$23)*100))))),"")
</f>
        <v/>
      </c>
      <c r="S176" s="40" t="str">
        <f>IF(Bids!$AC176="","",Bids!$AC176)</f>
        <v/>
      </c>
      <c r="T176" s="40" t="str">
        <f>IF(Bids!$F176="","",Bids!$F176)</f>
        <v/>
      </c>
      <c r="U176" s="40" t="str">
        <f t="shared" si="3"/>
        <v/>
      </c>
      <c r="V176" s="40" t="str">
        <f>IF($U176="","",IF(Config!$B$17=Config!$B$16,IF($U176&gt;=Config!$B$17,100,0),MAX(0,MIN(100,($U176-Config!$B$16)/(Config!$B$17-Config!$B$16)*100))))</f>
        <v/>
      </c>
      <c r="W176" s="40">
        <f>IF($L176="Elite",Config!$B$21,0)</f>
        <v>0</v>
      </c>
      <c r="X176" s="40" t="str">
        <f>IFERROR(IF(OR($T176="",$G176=""),"",IF($T176&gt;$G176,
  MAX(0, 60-(($T176-$G176)*24/Config!$B$19)*60),
  MEDIAN(60, 100, 60+(($G176-$T176)*24/Config!$B$20)*40)
)),"")
</f>
        <v/>
      </c>
      <c r="Y176" s="40" t="str">
        <f>IF($J176="","",IFERROR(VLOOKUP($J176,Grinders!$A:$N,10,FALSE),""))</f>
        <v/>
      </c>
      <c r="Z176" s="40" t="str">
        <f>IF($J176="","",IFERROR(VLOOKUP($J176,Grinders!$A:$N,11,FALSE),""))</f>
        <v/>
      </c>
      <c r="AA176" s="40" t="str">
        <f>IF($J176="","",IFERROR(VLOOKUP($J176,Grinders!$A:$N,12,FALSE),""))</f>
        <v/>
      </c>
      <c r="AB176" s="40" t="str">
        <f>IF(OR(AL176=1,AM176=1),0,=IFERROR(IF(OR($C176="",$J176=""),0,IF($D176&lt;&gt;"Open",0,IF(COUNTIFS(GrinderServices!$A:$A,$J176,GrinderServices!$B:$B,$E176,GrinderServices!$D:$D,"Y")=0,0,IF($U176&lt;Config!$B$16,0,IF(Config!$B$18=1,IF($N176&gt;=$M176,0,1),1))))),""))</f>
        <v>#ERROR!</v>
      </c>
      <c r="AC176" s="40" t="str">
        <f>IFERROR((IF(OR(AL176=1,AM176=1),"",=IFERROR((IFERROR(IF($AB176=0,"",((Config!$B$6*$V176 + Config!$B$7*$R176 + Config!$B$8*$W176 + Config!$B$9*$X176 + Config!$B$10*$Y176 + Config!$B$11*$Z176 - Config!$B$12*$AA176)/Config!$B$13)+$AH176+$AI176),""))*(1-IFERROR(VLOOKUP(J176,Grinders!$A:$AB, 28, FALSE),0)),"")))*(1+AO176),"")</f>
        <v>#ERROR!</v>
      </c>
      <c r="AD176" s="40" t="str">
        <f t="shared" si="4"/>
        <v/>
      </c>
      <c r="AE176" s="40" t="str">
        <f>IFERROR(__xludf.DUMMYFUNCTION("IF($AC176="""","""",IF($AC176=IFERROR(MAX(FILTER($AC$6:$AC$1000,$C$6:$C$1000=$C176,$AB$6:$AB$1000=1)),),""WINNER"",""""))"),"#ERROR!")</f>
        <v>#ERROR!</v>
      </c>
      <c r="AF176" s="40" t="str">
        <f t="shared" si="5"/>
        <v/>
      </c>
      <c r="AG176" s="40" t="str">
        <f>IF($J176="","",COUNTIF(Assignments!$B:$B,$J176))</f>
        <v/>
      </c>
      <c r="AH176" s="40" t="str">
        <f>IF($J176="","",IF(AND($AG176=0,$N176&lt;$M176),Config!$B$43,0))</f>
        <v/>
      </c>
      <c r="AI176" s="40" t="str">
        <f>IF($J176="","",IF(AND($L176="Elite",$F176&gt;=Config!$B$41,$N176&lt;$M176),Config!$B$42,0))</f>
        <v/>
      </c>
      <c r="AJ176" s="22"/>
      <c r="AK176" s="39">
        <f>IFERROR(VLOOKUP(J176,Grinders!$A:$Q,28,FALSE),0)</f>
        <v>0</v>
      </c>
      <c r="AL176" s="39">
        <f>IF(Config!$B$1003&lt;&gt;"Y",0,IF(IFERROR(VLOOKUP(J176,Grinders!$A:$P,27,FALSE),0)&gt;=3,IF(OR(F176&gt;=Config!$B$1001,ISNUMBER(SEARCH(E176,Config!$B$1002))),1,0),0))</f>
        <v>0</v>
      </c>
      <c r="AM176" s="39">
        <f t="array" ref="AM176">IFERROR(IF(INDEX(Bids!$AE:$AE,MATCH(B176,Bids!$A:$A,0))="Pending",1,0),0)</f>
        <v>0</v>
      </c>
      <c r="AN176" s="39" t="str">
        <f t="array" ref="AN176">IF(C176="","",IFERROR(XLOOKUP(C176,Assignments!$C:$C,Assignments!$AU:$AU,0),0))</f>
        <v/>
      </c>
      <c r="AO176" s="39">
        <f>IF(AND(Config!$B$1006="Y",AN176=1),Config!$B$1007,0)</f>
        <v>0</v>
      </c>
    </row>
    <row r="177" ht="15.75" customHeight="1">
      <c r="A177" s="46" t="str">
        <f t="shared" si="1"/>
        <v/>
      </c>
      <c r="B177" s="40" t="str">
        <f>IF(Bids!$A177="","",Bids!$A177)</f>
        <v/>
      </c>
      <c r="C177" s="40" t="str">
        <f>IF(Bids!$B177="","",Bids!$B177)</f>
        <v/>
      </c>
      <c r="D177" s="40" t="str">
        <f>IF($C177="","",IFERROR(VLOOKUP($C177,Orders!$A:$J,9,FALSE),""))</f>
        <v/>
      </c>
      <c r="E177" s="40" t="str">
        <f>IF($C177="","",IFERROR(VLOOKUP($C177,Orders!$A:$J,3,FALSE),""))</f>
        <v/>
      </c>
      <c r="F177" s="40" t="str">
        <f>IF($C177="","",IFERROR(VLOOKUP($C177,Orders!$A:$J,4,FALSE),""))</f>
        <v/>
      </c>
      <c r="G177" s="40" t="str">
        <f>IF($C177="","",IFERROR(VLOOKUP($C177,Orders!$A:$J,5,FALSE),""))</f>
        <v/>
      </c>
      <c r="H177" s="40" t="str">
        <f>IF($C177="","",IFERROR(VLOOKUP($C177,Orders!$A:$J,6,FALSE),""))</f>
        <v/>
      </c>
      <c r="I177" s="40" t="str">
        <f>IF($C177="","",IFERROR(VLOOKUP($C177,Orders!$A:$J,7,FALSE),""))</f>
        <v/>
      </c>
      <c r="J177" s="40" t="str">
        <f>IF(Bids!$C177="","",Bids!$C177)</f>
        <v/>
      </c>
      <c r="K177" s="40" t="str">
        <f>IF($J177="","",IFERROR(VLOOKUP($J177,Grinders!$A:$N,2,FALSE),""))</f>
        <v/>
      </c>
      <c r="L177" s="40" t="str">
        <f>IF($J177="","",IFERROR(VLOOKUP($J177,Grinders!$A:$N,3,FALSE),""))</f>
        <v/>
      </c>
      <c r="M177" s="40" t="str">
        <f>IF($J177="","",IFERROR(VLOOKUP($J177,Grinders!$A:$N,4,FALSE),""))</f>
        <v/>
      </c>
      <c r="N177" s="40" t="str">
        <f>IF($J177="","",IFERROR(VLOOKUP($J177,Grinders!$A:$N,5,FALSE),""))</f>
        <v/>
      </c>
      <c r="O177" s="40" t="str">
        <f t="shared" si="2"/>
        <v/>
      </c>
      <c r="P177" s="40" t="str">
        <f>IF($J177="","",IFERROR(VLOOKUP($J177,Grinders!$A:$N,6,FALSE),""))</f>
        <v/>
      </c>
      <c r="Q177" s="40" t="str">
        <f>IF($J177="","",IFERROR(VLOOKUP($J177,Grinders!$A:$N,8,FALSE),""))</f>
        <v/>
      </c>
      <c r="R177" s="40" t="str">
        <f>IFERROR(IF($J177="","",IF($L177="Elite",MAX(50,MIN(100,Config!$B$27*MAX(0,MIN(100,(1-IF($O177="",0,$O177))*100)) + Config!$B$28*MAX(0,MIN(100,(1-MIN(1,IF(Config!$B$30=0,1,$P177/Config!$B$30)))*100)) + Config!$B$29*MAX(0,MIN(100,MIN(1,IF($Q177="",0,$Q177)/Config!$B$23)*100)))),MIN(100,Config!$B$27*MAX(0,MIN(100,(1-IF($O177="",0,$O177))*100)) + Config!$B$28*MAX(0,MIN(100,(1-MIN(1,IF(Config!$B$30=0,1,$P177/Config!$B$30)))*100)) + Config!$B$29*MAX(0,MIN(100,MIN(1,IF($Q177="",0,$Q177)/Config!$B$23)*100))))),"")
</f>
        <v/>
      </c>
      <c r="S177" s="40" t="str">
        <f>IF(Bids!$AC177="","",Bids!$AC177)</f>
        <v/>
      </c>
      <c r="T177" s="40" t="str">
        <f>IF(Bids!$F177="","",Bids!$F177)</f>
        <v/>
      </c>
      <c r="U177" s="40" t="str">
        <f t="shared" si="3"/>
        <v/>
      </c>
      <c r="V177" s="40" t="str">
        <f>IF($U177="","",IF(Config!$B$17=Config!$B$16,IF($U177&gt;=Config!$B$17,100,0),MAX(0,MIN(100,($U177-Config!$B$16)/(Config!$B$17-Config!$B$16)*100))))</f>
        <v/>
      </c>
      <c r="W177" s="40">
        <f>IF($L177="Elite",Config!$B$21,0)</f>
        <v>0</v>
      </c>
      <c r="X177" s="40" t="str">
        <f>IFERROR(IF(OR($T177="",$G177=""),"",IF($T177&gt;$G177,
  MAX(0, 60-(($T177-$G177)*24/Config!$B$19)*60),
  MEDIAN(60, 100, 60+(($G177-$T177)*24/Config!$B$20)*40)
)),"")
</f>
        <v/>
      </c>
      <c r="Y177" s="40" t="str">
        <f>IF($J177="","",IFERROR(VLOOKUP($J177,Grinders!$A:$N,10,FALSE),""))</f>
        <v/>
      </c>
      <c r="Z177" s="40" t="str">
        <f>IF($J177="","",IFERROR(VLOOKUP($J177,Grinders!$A:$N,11,FALSE),""))</f>
        <v/>
      </c>
      <c r="AA177" s="40" t="str">
        <f>IF($J177="","",IFERROR(VLOOKUP($J177,Grinders!$A:$N,12,FALSE),""))</f>
        <v/>
      </c>
      <c r="AB177" s="40" t="str">
        <f>IF(OR(AL177=1,AM177=1),0,=IFERROR(IF(OR($C177="",$J177=""),0,IF($D177&lt;&gt;"Open",0,IF(COUNTIFS(GrinderServices!$A:$A,$J177,GrinderServices!$B:$B,$E177,GrinderServices!$D:$D,"Y")=0,0,IF($U177&lt;Config!$B$16,0,IF(Config!$B$18=1,IF($N177&gt;=$M177,0,1),1))))),""))</f>
        <v>#ERROR!</v>
      </c>
      <c r="AC177" s="40" t="str">
        <f>IFERROR((IF(OR(AL177=1,AM177=1),"",=IFERROR((IFERROR(IF($AB177=0,"",((Config!$B$6*$V177 + Config!$B$7*$R177 + Config!$B$8*$W177 + Config!$B$9*$X177 + Config!$B$10*$Y177 + Config!$B$11*$Z177 - Config!$B$12*$AA177)/Config!$B$13)+$AH177+$AI177),""))*(1-IFERROR(VLOOKUP(J177,Grinders!$A:$AB, 28, FALSE),0)),"")))*(1+AO177),"")</f>
        <v>#ERROR!</v>
      </c>
      <c r="AD177" s="40" t="str">
        <f t="shared" si="4"/>
        <v/>
      </c>
      <c r="AE177" s="40" t="str">
        <f>IFERROR(__xludf.DUMMYFUNCTION("IF($AC177="""","""",IF($AC177=IFERROR(MAX(FILTER($AC$6:$AC$1000,$C$6:$C$1000=$C177,$AB$6:$AB$1000=1)),),""WINNER"",""""))"),"#ERROR!")</f>
        <v>#ERROR!</v>
      </c>
      <c r="AF177" s="40" t="str">
        <f t="shared" si="5"/>
        <v/>
      </c>
      <c r="AG177" s="40" t="str">
        <f>IF($J177="","",COUNTIF(Assignments!$B:$B,$J177))</f>
        <v/>
      </c>
      <c r="AH177" s="40" t="str">
        <f>IF($J177="","",IF(AND($AG177=0,$N177&lt;$M177),Config!$B$43,0))</f>
        <v/>
      </c>
      <c r="AI177" s="40" t="str">
        <f>IF($J177="","",IF(AND($L177="Elite",$F177&gt;=Config!$B$41,$N177&lt;$M177),Config!$B$42,0))</f>
        <v/>
      </c>
      <c r="AJ177" s="22"/>
      <c r="AK177" s="39">
        <f>IFERROR(VLOOKUP(J177,Grinders!$A:$Q,28,FALSE),0)</f>
        <v>0</v>
      </c>
      <c r="AL177" s="39">
        <f>IF(Config!$B$1003&lt;&gt;"Y",0,IF(IFERROR(VLOOKUP(J177,Grinders!$A:$P,27,FALSE),0)&gt;=3,IF(OR(F177&gt;=Config!$B$1001,ISNUMBER(SEARCH(E177,Config!$B$1002))),1,0),0))</f>
        <v>0</v>
      </c>
      <c r="AM177" s="39">
        <f t="array" ref="AM177">IFERROR(IF(INDEX(Bids!$AE:$AE,MATCH(B177,Bids!$A:$A,0))="Pending",1,0),0)</f>
        <v>0</v>
      </c>
      <c r="AN177" s="39" t="str">
        <f t="array" ref="AN177">IF(C177="","",IFERROR(XLOOKUP(C177,Assignments!$C:$C,Assignments!$AU:$AU,0),0))</f>
        <v/>
      </c>
      <c r="AO177" s="39">
        <f>IF(AND(Config!$B$1006="Y",AN177=1),Config!$B$1007,0)</f>
        <v>0</v>
      </c>
    </row>
    <row r="178" ht="15.75" customHeight="1">
      <c r="A178" s="46" t="str">
        <f t="shared" si="1"/>
        <v/>
      </c>
      <c r="B178" s="40" t="str">
        <f>IF(Bids!$A178="","",Bids!$A178)</f>
        <v/>
      </c>
      <c r="C178" s="40" t="str">
        <f>IF(Bids!$B178="","",Bids!$B178)</f>
        <v/>
      </c>
      <c r="D178" s="40" t="str">
        <f>IF($C178="","",IFERROR(VLOOKUP($C178,Orders!$A:$J,9,FALSE),""))</f>
        <v/>
      </c>
      <c r="E178" s="40" t="str">
        <f>IF($C178="","",IFERROR(VLOOKUP($C178,Orders!$A:$J,3,FALSE),""))</f>
        <v/>
      </c>
      <c r="F178" s="40" t="str">
        <f>IF($C178="","",IFERROR(VLOOKUP($C178,Orders!$A:$J,4,FALSE),""))</f>
        <v/>
      </c>
      <c r="G178" s="40" t="str">
        <f>IF($C178="","",IFERROR(VLOOKUP($C178,Orders!$A:$J,5,FALSE),""))</f>
        <v/>
      </c>
      <c r="H178" s="40" t="str">
        <f>IF($C178="","",IFERROR(VLOOKUP($C178,Orders!$A:$J,6,FALSE),""))</f>
        <v/>
      </c>
      <c r="I178" s="40" t="str">
        <f>IF($C178="","",IFERROR(VLOOKUP($C178,Orders!$A:$J,7,FALSE),""))</f>
        <v/>
      </c>
      <c r="J178" s="40" t="str">
        <f>IF(Bids!$C178="","",Bids!$C178)</f>
        <v/>
      </c>
      <c r="K178" s="40" t="str">
        <f>IF($J178="","",IFERROR(VLOOKUP($J178,Grinders!$A:$N,2,FALSE),""))</f>
        <v/>
      </c>
      <c r="L178" s="40" t="str">
        <f>IF($J178="","",IFERROR(VLOOKUP($J178,Grinders!$A:$N,3,FALSE),""))</f>
        <v/>
      </c>
      <c r="M178" s="40" t="str">
        <f>IF($J178="","",IFERROR(VLOOKUP($J178,Grinders!$A:$N,4,FALSE),""))</f>
        <v/>
      </c>
      <c r="N178" s="40" t="str">
        <f>IF($J178="","",IFERROR(VLOOKUP($J178,Grinders!$A:$N,5,FALSE),""))</f>
        <v/>
      </c>
      <c r="O178" s="40" t="str">
        <f t="shared" si="2"/>
        <v/>
      </c>
      <c r="P178" s="40" t="str">
        <f>IF($J178="","",IFERROR(VLOOKUP($J178,Grinders!$A:$N,6,FALSE),""))</f>
        <v/>
      </c>
      <c r="Q178" s="40" t="str">
        <f>IF($J178="","",IFERROR(VLOOKUP($J178,Grinders!$A:$N,8,FALSE),""))</f>
        <v/>
      </c>
      <c r="R178" s="40" t="str">
        <f>IFERROR(IF($J178="","",IF($L178="Elite",MAX(50,MIN(100,Config!$B$27*MAX(0,MIN(100,(1-IF($O178="",0,$O178))*100)) + Config!$B$28*MAX(0,MIN(100,(1-MIN(1,IF(Config!$B$30=0,1,$P178/Config!$B$30)))*100)) + Config!$B$29*MAX(0,MIN(100,MIN(1,IF($Q178="",0,$Q178)/Config!$B$23)*100)))),MIN(100,Config!$B$27*MAX(0,MIN(100,(1-IF($O178="",0,$O178))*100)) + Config!$B$28*MAX(0,MIN(100,(1-MIN(1,IF(Config!$B$30=0,1,$P178/Config!$B$30)))*100)) + Config!$B$29*MAX(0,MIN(100,MIN(1,IF($Q178="",0,$Q178)/Config!$B$23)*100))))),"")
</f>
        <v/>
      </c>
      <c r="S178" s="40" t="str">
        <f>IF(Bids!$AC178="","",Bids!$AC178)</f>
        <v/>
      </c>
      <c r="T178" s="40" t="str">
        <f>IF(Bids!$F178="","",Bids!$F178)</f>
        <v/>
      </c>
      <c r="U178" s="40" t="str">
        <f t="shared" si="3"/>
        <v/>
      </c>
      <c r="V178" s="40" t="str">
        <f>IF($U178="","",IF(Config!$B$17=Config!$B$16,IF($U178&gt;=Config!$B$17,100,0),MAX(0,MIN(100,($U178-Config!$B$16)/(Config!$B$17-Config!$B$16)*100))))</f>
        <v/>
      </c>
      <c r="W178" s="40">
        <f>IF($L178="Elite",Config!$B$21,0)</f>
        <v>0</v>
      </c>
      <c r="X178" s="40" t="str">
        <f>IFERROR(IF(OR($T178="",$G178=""),"",IF($T178&gt;$G178,
  MAX(0, 60-(($T178-$G178)*24/Config!$B$19)*60),
  MEDIAN(60, 100, 60+(($G178-$T178)*24/Config!$B$20)*40)
)),"")
</f>
        <v/>
      </c>
      <c r="Y178" s="40" t="str">
        <f>IF($J178="","",IFERROR(VLOOKUP($J178,Grinders!$A:$N,10,FALSE),""))</f>
        <v/>
      </c>
      <c r="Z178" s="40" t="str">
        <f>IF($J178="","",IFERROR(VLOOKUP($J178,Grinders!$A:$N,11,FALSE),""))</f>
        <v/>
      </c>
      <c r="AA178" s="40" t="str">
        <f>IF($J178="","",IFERROR(VLOOKUP($J178,Grinders!$A:$N,12,FALSE),""))</f>
        <v/>
      </c>
      <c r="AB178" s="40" t="str">
        <f>IF(OR(AL178=1,AM178=1),0,=IFERROR(IF(OR($C178="",$J178=""),0,IF($D178&lt;&gt;"Open",0,IF(COUNTIFS(GrinderServices!$A:$A,$J178,GrinderServices!$B:$B,$E178,GrinderServices!$D:$D,"Y")=0,0,IF($U178&lt;Config!$B$16,0,IF(Config!$B$18=1,IF($N178&gt;=$M178,0,1),1))))),""))</f>
        <v>#ERROR!</v>
      </c>
      <c r="AC178" s="40" t="str">
        <f>IFERROR((IF(OR(AL178=1,AM178=1),"",=IFERROR((IFERROR(IF($AB178=0,"",((Config!$B$6*$V178 + Config!$B$7*$R178 + Config!$B$8*$W178 + Config!$B$9*$X178 + Config!$B$10*$Y178 + Config!$B$11*$Z178 - Config!$B$12*$AA178)/Config!$B$13)+$AH178+$AI178),""))*(1-IFERROR(VLOOKUP(J178,Grinders!$A:$AB, 28, FALSE),0)),"")))*(1+AO178),"")</f>
        <v>#ERROR!</v>
      </c>
      <c r="AD178" s="40" t="str">
        <f t="shared" si="4"/>
        <v/>
      </c>
      <c r="AE178" s="40" t="str">
        <f>IFERROR(__xludf.DUMMYFUNCTION("IF($AC178="""","""",IF($AC178=IFERROR(MAX(FILTER($AC$6:$AC$1000,$C$6:$C$1000=$C178,$AB$6:$AB$1000=1)),),""WINNER"",""""))"),"#ERROR!")</f>
        <v>#ERROR!</v>
      </c>
      <c r="AF178" s="40" t="str">
        <f t="shared" si="5"/>
        <v/>
      </c>
      <c r="AG178" s="40" t="str">
        <f>IF($J178="","",COUNTIF(Assignments!$B:$B,$J178))</f>
        <v/>
      </c>
      <c r="AH178" s="40" t="str">
        <f>IF($J178="","",IF(AND($AG178=0,$N178&lt;$M178),Config!$B$43,0))</f>
        <v/>
      </c>
      <c r="AI178" s="40" t="str">
        <f>IF($J178="","",IF(AND($L178="Elite",$F178&gt;=Config!$B$41,$N178&lt;$M178),Config!$B$42,0))</f>
        <v/>
      </c>
      <c r="AJ178" s="22"/>
      <c r="AK178" s="39">
        <f>IFERROR(VLOOKUP(J178,Grinders!$A:$Q,28,FALSE),0)</f>
        <v>0</v>
      </c>
      <c r="AL178" s="39">
        <f>IF(Config!$B$1003&lt;&gt;"Y",0,IF(IFERROR(VLOOKUP(J178,Grinders!$A:$P,27,FALSE),0)&gt;=3,IF(OR(F178&gt;=Config!$B$1001,ISNUMBER(SEARCH(E178,Config!$B$1002))),1,0),0))</f>
        <v>0</v>
      </c>
      <c r="AM178" s="39">
        <f t="array" ref="AM178">IFERROR(IF(INDEX(Bids!$AE:$AE,MATCH(B178,Bids!$A:$A,0))="Pending",1,0),0)</f>
        <v>0</v>
      </c>
      <c r="AN178" s="39" t="str">
        <f t="array" ref="AN178">IF(C178="","",IFERROR(XLOOKUP(C178,Assignments!$C:$C,Assignments!$AU:$AU,0),0))</f>
        <v/>
      </c>
      <c r="AO178" s="39">
        <f>IF(AND(Config!$B$1006="Y",AN178=1),Config!$B$1007,0)</f>
        <v>0</v>
      </c>
    </row>
    <row r="179" ht="15.75" customHeight="1">
      <c r="A179" s="46" t="str">
        <f t="shared" si="1"/>
        <v/>
      </c>
      <c r="B179" s="40" t="str">
        <f>IF(Bids!$A179="","",Bids!$A179)</f>
        <v/>
      </c>
      <c r="C179" s="40" t="str">
        <f>IF(Bids!$B179="","",Bids!$B179)</f>
        <v/>
      </c>
      <c r="D179" s="40" t="str">
        <f>IF($C179="","",IFERROR(VLOOKUP($C179,Orders!$A:$J,9,FALSE),""))</f>
        <v/>
      </c>
      <c r="E179" s="40" t="str">
        <f>IF($C179="","",IFERROR(VLOOKUP($C179,Orders!$A:$J,3,FALSE),""))</f>
        <v/>
      </c>
      <c r="F179" s="40" t="str">
        <f>IF($C179="","",IFERROR(VLOOKUP($C179,Orders!$A:$J,4,FALSE),""))</f>
        <v/>
      </c>
      <c r="G179" s="40" t="str">
        <f>IF($C179="","",IFERROR(VLOOKUP($C179,Orders!$A:$J,5,FALSE),""))</f>
        <v/>
      </c>
      <c r="H179" s="40" t="str">
        <f>IF($C179="","",IFERROR(VLOOKUP($C179,Orders!$A:$J,6,FALSE),""))</f>
        <v/>
      </c>
      <c r="I179" s="40" t="str">
        <f>IF($C179="","",IFERROR(VLOOKUP($C179,Orders!$A:$J,7,FALSE),""))</f>
        <v/>
      </c>
      <c r="J179" s="40" t="str">
        <f>IF(Bids!$C179="","",Bids!$C179)</f>
        <v/>
      </c>
      <c r="K179" s="40" t="str">
        <f>IF($J179="","",IFERROR(VLOOKUP($J179,Grinders!$A:$N,2,FALSE),""))</f>
        <v/>
      </c>
      <c r="L179" s="40" t="str">
        <f>IF($J179="","",IFERROR(VLOOKUP($J179,Grinders!$A:$N,3,FALSE),""))</f>
        <v/>
      </c>
      <c r="M179" s="40" t="str">
        <f>IF($J179="","",IFERROR(VLOOKUP($J179,Grinders!$A:$N,4,FALSE),""))</f>
        <v/>
      </c>
      <c r="N179" s="40" t="str">
        <f>IF($J179="","",IFERROR(VLOOKUP($J179,Grinders!$A:$N,5,FALSE),""))</f>
        <v/>
      </c>
      <c r="O179" s="40" t="str">
        <f t="shared" si="2"/>
        <v/>
      </c>
      <c r="P179" s="40" t="str">
        <f>IF($J179="","",IFERROR(VLOOKUP($J179,Grinders!$A:$N,6,FALSE),""))</f>
        <v/>
      </c>
      <c r="Q179" s="40" t="str">
        <f>IF($J179="","",IFERROR(VLOOKUP($J179,Grinders!$A:$N,8,FALSE),""))</f>
        <v/>
      </c>
      <c r="R179" s="40" t="str">
        <f>IFERROR(IF($J179="","",IF($L179="Elite",MAX(50,MIN(100,Config!$B$27*MAX(0,MIN(100,(1-IF($O179="",0,$O179))*100)) + Config!$B$28*MAX(0,MIN(100,(1-MIN(1,IF(Config!$B$30=0,1,$P179/Config!$B$30)))*100)) + Config!$B$29*MAX(0,MIN(100,MIN(1,IF($Q179="",0,$Q179)/Config!$B$23)*100)))),MIN(100,Config!$B$27*MAX(0,MIN(100,(1-IF($O179="",0,$O179))*100)) + Config!$B$28*MAX(0,MIN(100,(1-MIN(1,IF(Config!$B$30=0,1,$P179/Config!$B$30)))*100)) + Config!$B$29*MAX(0,MIN(100,MIN(1,IF($Q179="",0,$Q179)/Config!$B$23)*100))))),"")
</f>
        <v/>
      </c>
      <c r="S179" s="40" t="str">
        <f>IF(Bids!$AC179="","",Bids!$AC179)</f>
        <v/>
      </c>
      <c r="T179" s="40" t="str">
        <f>IF(Bids!$F179="","",Bids!$F179)</f>
        <v/>
      </c>
      <c r="U179" s="40" t="str">
        <f t="shared" si="3"/>
        <v/>
      </c>
      <c r="V179" s="40" t="str">
        <f>IF($U179="","",IF(Config!$B$17=Config!$B$16,IF($U179&gt;=Config!$B$17,100,0),MAX(0,MIN(100,($U179-Config!$B$16)/(Config!$B$17-Config!$B$16)*100))))</f>
        <v/>
      </c>
      <c r="W179" s="40">
        <f>IF($L179="Elite",Config!$B$21,0)</f>
        <v>0</v>
      </c>
      <c r="X179" s="40" t="str">
        <f>IFERROR(IF(OR($T179="",$G179=""),"",IF($T179&gt;$G179,
  MAX(0, 60-(($T179-$G179)*24/Config!$B$19)*60),
  MEDIAN(60, 100, 60+(($G179-$T179)*24/Config!$B$20)*40)
)),"")
</f>
        <v/>
      </c>
      <c r="Y179" s="40" t="str">
        <f>IF($J179="","",IFERROR(VLOOKUP($J179,Grinders!$A:$N,10,FALSE),""))</f>
        <v/>
      </c>
      <c r="Z179" s="40" t="str">
        <f>IF($J179="","",IFERROR(VLOOKUP($J179,Grinders!$A:$N,11,FALSE),""))</f>
        <v/>
      </c>
      <c r="AA179" s="40" t="str">
        <f>IF($J179="","",IFERROR(VLOOKUP($J179,Grinders!$A:$N,12,FALSE),""))</f>
        <v/>
      </c>
      <c r="AB179" s="40" t="str">
        <f>IF(OR(AL179=1,AM179=1),0,=IFERROR(IF(OR($C179="",$J179=""),0,IF($D179&lt;&gt;"Open",0,IF(COUNTIFS(GrinderServices!$A:$A,$J179,GrinderServices!$B:$B,$E179,GrinderServices!$D:$D,"Y")=0,0,IF($U179&lt;Config!$B$16,0,IF(Config!$B$18=1,IF($N179&gt;=$M179,0,1),1))))),""))</f>
        <v>#ERROR!</v>
      </c>
      <c r="AC179" s="40" t="str">
        <f>IFERROR((IF(OR(AL179=1,AM179=1),"",=IFERROR((IFERROR(IF($AB179=0,"",((Config!$B$6*$V179 + Config!$B$7*$R179 + Config!$B$8*$W179 + Config!$B$9*$X179 + Config!$B$10*$Y179 + Config!$B$11*$Z179 - Config!$B$12*$AA179)/Config!$B$13)+$AH179+$AI179),""))*(1-IFERROR(VLOOKUP(J179,Grinders!$A:$AB, 28, FALSE),0)),"")))*(1+AO179),"")</f>
        <v>#ERROR!</v>
      </c>
      <c r="AD179" s="40" t="str">
        <f t="shared" si="4"/>
        <v/>
      </c>
      <c r="AE179" s="40" t="str">
        <f>IFERROR(__xludf.DUMMYFUNCTION("IF($AC179="""","""",IF($AC179=IFERROR(MAX(FILTER($AC$6:$AC$1000,$C$6:$C$1000=$C179,$AB$6:$AB$1000=1)),),""WINNER"",""""))"),"#ERROR!")</f>
        <v>#ERROR!</v>
      </c>
      <c r="AF179" s="40" t="str">
        <f t="shared" si="5"/>
        <v/>
      </c>
      <c r="AG179" s="40" t="str">
        <f>IF($J179="","",COUNTIF(Assignments!$B:$B,$J179))</f>
        <v/>
      </c>
      <c r="AH179" s="40" t="str">
        <f>IF($J179="","",IF(AND($AG179=0,$N179&lt;$M179),Config!$B$43,0))</f>
        <v/>
      </c>
      <c r="AI179" s="40" t="str">
        <f>IF($J179="","",IF(AND($L179="Elite",$F179&gt;=Config!$B$41,$N179&lt;$M179),Config!$B$42,0))</f>
        <v/>
      </c>
      <c r="AJ179" s="22"/>
      <c r="AK179" s="39">
        <f>IFERROR(VLOOKUP(J179,Grinders!$A:$Q,28,FALSE),0)</f>
        <v>0</v>
      </c>
      <c r="AL179" s="39">
        <f>IF(Config!$B$1003&lt;&gt;"Y",0,IF(IFERROR(VLOOKUP(J179,Grinders!$A:$P,27,FALSE),0)&gt;=3,IF(OR(F179&gt;=Config!$B$1001,ISNUMBER(SEARCH(E179,Config!$B$1002))),1,0),0))</f>
        <v>0</v>
      </c>
      <c r="AM179" s="39">
        <f t="array" ref="AM179">IFERROR(IF(INDEX(Bids!$AE:$AE,MATCH(B179,Bids!$A:$A,0))="Pending",1,0),0)</f>
        <v>0</v>
      </c>
      <c r="AN179" s="39" t="str">
        <f t="array" ref="AN179">IF(C179="","",IFERROR(XLOOKUP(C179,Assignments!$C:$C,Assignments!$AU:$AU,0),0))</f>
        <v/>
      </c>
      <c r="AO179" s="39">
        <f>IF(AND(Config!$B$1006="Y",AN179=1),Config!$B$1007,0)</f>
        <v>0</v>
      </c>
    </row>
    <row r="180" ht="15.75" customHeight="1">
      <c r="A180" s="46" t="str">
        <f t="shared" si="1"/>
        <v/>
      </c>
      <c r="B180" s="40" t="str">
        <f>IF(Bids!$A180="","",Bids!$A180)</f>
        <v/>
      </c>
      <c r="C180" s="40" t="str">
        <f>IF(Bids!$B180="","",Bids!$B180)</f>
        <v/>
      </c>
      <c r="D180" s="40" t="str">
        <f>IF($C180="","",IFERROR(VLOOKUP($C180,Orders!$A:$J,9,FALSE),""))</f>
        <v/>
      </c>
      <c r="E180" s="40" t="str">
        <f>IF($C180="","",IFERROR(VLOOKUP($C180,Orders!$A:$J,3,FALSE),""))</f>
        <v/>
      </c>
      <c r="F180" s="40" t="str">
        <f>IF($C180="","",IFERROR(VLOOKUP($C180,Orders!$A:$J,4,FALSE),""))</f>
        <v/>
      </c>
      <c r="G180" s="40" t="str">
        <f>IF($C180="","",IFERROR(VLOOKUP($C180,Orders!$A:$J,5,FALSE),""))</f>
        <v/>
      </c>
      <c r="H180" s="40" t="str">
        <f>IF($C180="","",IFERROR(VLOOKUP($C180,Orders!$A:$J,6,FALSE),""))</f>
        <v/>
      </c>
      <c r="I180" s="40" t="str">
        <f>IF($C180="","",IFERROR(VLOOKUP($C180,Orders!$A:$J,7,FALSE),""))</f>
        <v/>
      </c>
      <c r="J180" s="40" t="str">
        <f>IF(Bids!$C180="","",Bids!$C180)</f>
        <v/>
      </c>
      <c r="K180" s="40" t="str">
        <f>IF($J180="","",IFERROR(VLOOKUP($J180,Grinders!$A:$N,2,FALSE),""))</f>
        <v/>
      </c>
      <c r="L180" s="40" t="str">
        <f>IF($J180="","",IFERROR(VLOOKUP($J180,Grinders!$A:$N,3,FALSE),""))</f>
        <v/>
      </c>
      <c r="M180" s="40" t="str">
        <f>IF($J180="","",IFERROR(VLOOKUP($J180,Grinders!$A:$N,4,FALSE),""))</f>
        <v/>
      </c>
      <c r="N180" s="40" t="str">
        <f>IF($J180="","",IFERROR(VLOOKUP($J180,Grinders!$A:$N,5,FALSE),""))</f>
        <v/>
      </c>
      <c r="O180" s="40" t="str">
        <f t="shared" si="2"/>
        <v/>
      </c>
      <c r="P180" s="40" t="str">
        <f>IF($J180="","",IFERROR(VLOOKUP($J180,Grinders!$A:$N,6,FALSE),""))</f>
        <v/>
      </c>
      <c r="Q180" s="40" t="str">
        <f>IF($J180="","",IFERROR(VLOOKUP($J180,Grinders!$A:$N,8,FALSE),""))</f>
        <v/>
      </c>
      <c r="R180" s="40" t="str">
        <f>IFERROR(IF($J180="","",IF($L180="Elite",MAX(50,MIN(100,Config!$B$27*MAX(0,MIN(100,(1-IF($O180="",0,$O180))*100)) + Config!$B$28*MAX(0,MIN(100,(1-MIN(1,IF(Config!$B$30=0,1,$P180/Config!$B$30)))*100)) + Config!$B$29*MAX(0,MIN(100,MIN(1,IF($Q180="",0,$Q180)/Config!$B$23)*100)))),MIN(100,Config!$B$27*MAX(0,MIN(100,(1-IF($O180="",0,$O180))*100)) + Config!$B$28*MAX(0,MIN(100,(1-MIN(1,IF(Config!$B$30=0,1,$P180/Config!$B$30)))*100)) + Config!$B$29*MAX(0,MIN(100,MIN(1,IF($Q180="",0,$Q180)/Config!$B$23)*100))))),"")
</f>
        <v/>
      </c>
      <c r="S180" s="40" t="str">
        <f>IF(Bids!$AC180="","",Bids!$AC180)</f>
        <v/>
      </c>
      <c r="T180" s="40" t="str">
        <f>IF(Bids!$F180="","",Bids!$F180)</f>
        <v/>
      </c>
      <c r="U180" s="40" t="str">
        <f t="shared" si="3"/>
        <v/>
      </c>
      <c r="V180" s="40" t="str">
        <f>IF($U180="","",IF(Config!$B$17=Config!$B$16,IF($U180&gt;=Config!$B$17,100,0),MAX(0,MIN(100,($U180-Config!$B$16)/(Config!$B$17-Config!$B$16)*100))))</f>
        <v/>
      </c>
      <c r="W180" s="40">
        <f>IF($L180="Elite",Config!$B$21,0)</f>
        <v>0</v>
      </c>
      <c r="X180" s="40" t="str">
        <f>IFERROR(IF(OR($T180="",$G180=""),"",IF($T180&gt;$G180,
  MAX(0, 60-(($T180-$G180)*24/Config!$B$19)*60),
  MEDIAN(60, 100, 60+(($G180-$T180)*24/Config!$B$20)*40)
)),"")
</f>
        <v/>
      </c>
      <c r="Y180" s="40" t="str">
        <f>IF($J180="","",IFERROR(VLOOKUP($J180,Grinders!$A:$N,10,FALSE),""))</f>
        <v/>
      </c>
      <c r="Z180" s="40" t="str">
        <f>IF($J180="","",IFERROR(VLOOKUP($J180,Grinders!$A:$N,11,FALSE),""))</f>
        <v/>
      </c>
      <c r="AA180" s="40" t="str">
        <f>IF($J180="","",IFERROR(VLOOKUP($J180,Grinders!$A:$N,12,FALSE),""))</f>
        <v/>
      </c>
      <c r="AB180" s="40" t="str">
        <f>IF(OR(AL180=1,AM180=1),0,=IFERROR(IF(OR($C180="",$J180=""),0,IF($D180&lt;&gt;"Open",0,IF(COUNTIFS(GrinderServices!$A:$A,$J180,GrinderServices!$B:$B,$E180,GrinderServices!$D:$D,"Y")=0,0,IF($U180&lt;Config!$B$16,0,IF(Config!$B$18=1,IF($N180&gt;=$M180,0,1),1))))),""))</f>
        <v>#ERROR!</v>
      </c>
      <c r="AC180" s="40" t="str">
        <f>IFERROR((IF(OR(AL180=1,AM180=1),"",=IFERROR((IFERROR(IF($AB180=0,"",((Config!$B$6*$V180 + Config!$B$7*$R180 + Config!$B$8*$W180 + Config!$B$9*$X180 + Config!$B$10*$Y180 + Config!$B$11*$Z180 - Config!$B$12*$AA180)/Config!$B$13)+$AH180+$AI180),""))*(1-IFERROR(VLOOKUP(J180,Grinders!$A:$AB, 28, FALSE),0)),"")))*(1+AO180),"")</f>
        <v>#ERROR!</v>
      </c>
      <c r="AD180" s="40" t="str">
        <f t="shared" si="4"/>
        <v/>
      </c>
      <c r="AE180" s="40" t="str">
        <f>IFERROR(__xludf.DUMMYFUNCTION("IF($AC180="""","""",IF($AC180=IFERROR(MAX(FILTER($AC$6:$AC$1000,$C$6:$C$1000=$C180,$AB$6:$AB$1000=1)),),""WINNER"",""""))"),"#ERROR!")</f>
        <v>#ERROR!</v>
      </c>
      <c r="AF180" s="40" t="str">
        <f t="shared" si="5"/>
        <v/>
      </c>
      <c r="AG180" s="40" t="str">
        <f>IF($J180="","",COUNTIF(Assignments!$B:$B,$J180))</f>
        <v/>
      </c>
      <c r="AH180" s="40" t="str">
        <f>IF($J180="","",IF(AND($AG180=0,$N180&lt;$M180),Config!$B$43,0))</f>
        <v/>
      </c>
      <c r="AI180" s="40" t="str">
        <f>IF($J180="","",IF(AND($L180="Elite",$F180&gt;=Config!$B$41,$N180&lt;$M180),Config!$B$42,0))</f>
        <v/>
      </c>
      <c r="AJ180" s="22"/>
      <c r="AK180" s="39">
        <f>IFERROR(VLOOKUP(J180,Grinders!$A:$Q,28,FALSE),0)</f>
        <v>0</v>
      </c>
      <c r="AL180" s="39">
        <f>IF(Config!$B$1003&lt;&gt;"Y",0,IF(IFERROR(VLOOKUP(J180,Grinders!$A:$P,27,FALSE),0)&gt;=3,IF(OR(F180&gt;=Config!$B$1001,ISNUMBER(SEARCH(E180,Config!$B$1002))),1,0),0))</f>
        <v>0</v>
      </c>
      <c r="AM180" s="39">
        <f t="array" ref="AM180">IFERROR(IF(INDEX(Bids!$AE:$AE,MATCH(B180,Bids!$A:$A,0))="Pending",1,0),0)</f>
        <v>0</v>
      </c>
      <c r="AN180" s="39" t="str">
        <f t="array" ref="AN180">IF(C180="","",IFERROR(XLOOKUP(C180,Assignments!$C:$C,Assignments!$AU:$AU,0),0))</f>
        <v/>
      </c>
      <c r="AO180" s="39">
        <f>IF(AND(Config!$B$1006="Y",AN180=1),Config!$B$1007,0)</f>
        <v>0</v>
      </c>
    </row>
    <row r="181" ht="15.75" customHeight="1">
      <c r="A181" s="46" t="str">
        <f t="shared" si="1"/>
        <v/>
      </c>
      <c r="B181" s="40" t="str">
        <f>IF(Bids!$A181="","",Bids!$A181)</f>
        <v/>
      </c>
      <c r="C181" s="40" t="str">
        <f>IF(Bids!$B181="","",Bids!$B181)</f>
        <v/>
      </c>
      <c r="D181" s="40" t="str">
        <f>IF($C181="","",IFERROR(VLOOKUP($C181,Orders!$A:$J,9,FALSE),""))</f>
        <v/>
      </c>
      <c r="E181" s="40" t="str">
        <f>IF($C181="","",IFERROR(VLOOKUP($C181,Orders!$A:$J,3,FALSE),""))</f>
        <v/>
      </c>
      <c r="F181" s="40" t="str">
        <f>IF($C181="","",IFERROR(VLOOKUP($C181,Orders!$A:$J,4,FALSE),""))</f>
        <v/>
      </c>
      <c r="G181" s="40" t="str">
        <f>IF($C181="","",IFERROR(VLOOKUP($C181,Orders!$A:$J,5,FALSE),""))</f>
        <v/>
      </c>
      <c r="H181" s="40" t="str">
        <f>IF($C181="","",IFERROR(VLOOKUP($C181,Orders!$A:$J,6,FALSE),""))</f>
        <v/>
      </c>
      <c r="I181" s="40" t="str">
        <f>IF($C181="","",IFERROR(VLOOKUP($C181,Orders!$A:$J,7,FALSE),""))</f>
        <v/>
      </c>
      <c r="J181" s="40" t="str">
        <f>IF(Bids!$C181="","",Bids!$C181)</f>
        <v/>
      </c>
      <c r="K181" s="40" t="str">
        <f>IF($J181="","",IFERROR(VLOOKUP($J181,Grinders!$A:$N,2,FALSE),""))</f>
        <v/>
      </c>
      <c r="L181" s="40" t="str">
        <f>IF($J181="","",IFERROR(VLOOKUP($J181,Grinders!$A:$N,3,FALSE),""))</f>
        <v/>
      </c>
      <c r="M181" s="40" t="str">
        <f>IF($J181="","",IFERROR(VLOOKUP($J181,Grinders!$A:$N,4,FALSE),""))</f>
        <v/>
      </c>
      <c r="N181" s="40" t="str">
        <f>IF($J181="","",IFERROR(VLOOKUP($J181,Grinders!$A:$N,5,FALSE),""))</f>
        <v/>
      </c>
      <c r="O181" s="40" t="str">
        <f t="shared" si="2"/>
        <v/>
      </c>
      <c r="P181" s="40" t="str">
        <f>IF($J181="","",IFERROR(VLOOKUP($J181,Grinders!$A:$N,6,FALSE),""))</f>
        <v/>
      </c>
      <c r="Q181" s="40" t="str">
        <f>IF($J181="","",IFERROR(VLOOKUP($J181,Grinders!$A:$N,8,FALSE),""))</f>
        <v/>
      </c>
      <c r="R181" s="40" t="str">
        <f>IFERROR(IF($J181="","",IF($L181="Elite",MAX(50,MIN(100,Config!$B$27*MAX(0,MIN(100,(1-IF($O181="",0,$O181))*100)) + Config!$B$28*MAX(0,MIN(100,(1-MIN(1,IF(Config!$B$30=0,1,$P181/Config!$B$30)))*100)) + Config!$B$29*MAX(0,MIN(100,MIN(1,IF($Q181="",0,$Q181)/Config!$B$23)*100)))),MIN(100,Config!$B$27*MAX(0,MIN(100,(1-IF($O181="",0,$O181))*100)) + Config!$B$28*MAX(0,MIN(100,(1-MIN(1,IF(Config!$B$30=0,1,$P181/Config!$B$30)))*100)) + Config!$B$29*MAX(0,MIN(100,MIN(1,IF($Q181="",0,$Q181)/Config!$B$23)*100))))),"")
</f>
        <v/>
      </c>
      <c r="S181" s="40" t="str">
        <f>IF(Bids!$AC181="","",Bids!$AC181)</f>
        <v/>
      </c>
      <c r="T181" s="40" t="str">
        <f>IF(Bids!$F181="","",Bids!$F181)</f>
        <v/>
      </c>
      <c r="U181" s="40" t="str">
        <f t="shared" si="3"/>
        <v/>
      </c>
      <c r="V181" s="40" t="str">
        <f>IF($U181="","",IF(Config!$B$17=Config!$B$16,IF($U181&gt;=Config!$B$17,100,0),MAX(0,MIN(100,($U181-Config!$B$16)/(Config!$B$17-Config!$B$16)*100))))</f>
        <v/>
      </c>
      <c r="W181" s="40">
        <f>IF($L181="Elite",Config!$B$21,0)</f>
        <v>0</v>
      </c>
      <c r="X181" s="40" t="str">
        <f>IFERROR(IF(OR($T181="",$G181=""),"",IF($T181&gt;$G181,
  MAX(0, 60-(($T181-$G181)*24/Config!$B$19)*60),
  MEDIAN(60, 100, 60+(($G181-$T181)*24/Config!$B$20)*40)
)),"")
</f>
        <v/>
      </c>
      <c r="Y181" s="40" t="str">
        <f>IF($J181="","",IFERROR(VLOOKUP($J181,Grinders!$A:$N,10,FALSE),""))</f>
        <v/>
      </c>
      <c r="Z181" s="40" t="str">
        <f>IF($J181="","",IFERROR(VLOOKUP($J181,Grinders!$A:$N,11,FALSE),""))</f>
        <v/>
      </c>
      <c r="AA181" s="40" t="str">
        <f>IF($J181="","",IFERROR(VLOOKUP($J181,Grinders!$A:$N,12,FALSE),""))</f>
        <v/>
      </c>
      <c r="AB181" s="40" t="str">
        <f>IF(OR(AL181=1,AM181=1),0,=IFERROR(IF(OR($C181="",$J181=""),0,IF($D181&lt;&gt;"Open",0,IF(COUNTIFS(GrinderServices!$A:$A,$J181,GrinderServices!$B:$B,$E181,GrinderServices!$D:$D,"Y")=0,0,IF($U181&lt;Config!$B$16,0,IF(Config!$B$18=1,IF($N181&gt;=$M181,0,1),1))))),""))</f>
        <v>#ERROR!</v>
      </c>
      <c r="AC181" s="40" t="str">
        <f>IFERROR((IF(OR(AL181=1,AM181=1),"",=IFERROR((IFERROR(IF($AB181=0,"",((Config!$B$6*$V181 + Config!$B$7*$R181 + Config!$B$8*$W181 + Config!$B$9*$X181 + Config!$B$10*$Y181 + Config!$B$11*$Z181 - Config!$B$12*$AA181)/Config!$B$13)+$AH181+$AI181),""))*(1-IFERROR(VLOOKUP(J181,Grinders!$A:$AB, 28, FALSE),0)),"")))*(1+AO181),"")</f>
        <v>#ERROR!</v>
      </c>
      <c r="AD181" s="40" t="str">
        <f t="shared" si="4"/>
        <v/>
      </c>
      <c r="AE181" s="40" t="str">
        <f>IFERROR(__xludf.DUMMYFUNCTION("IF($AC181="""","""",IF($AC181=IFERROR(MAX(FILTER($AC$6:$AC$1000,$C$6:$C$1000=$C181,$AB$6:$AB$1000=1)),),""WINNER"",""""))"),"#ERROR!")</f>
        <v>#ERROR!</v>
      </c>
      <c r="AF181" s="40" t="str">
        <f t="shared" si="5"/>
        <v/>
      </c>
      <c r="AG181" s="40" t="str">
        <f>IF($J181="","",COUNTIF(Assignments!$B:$B,$J181))</f>
        <v/>
      </c>
      <c r="AH181" s="40" t="str">
        <f>IF($J181="","",IF(AND($AG181=0,$N181&lt;$M181),Config!$B$43,0))</f>
        <v/>
      </c>
      <c r="AI181" s="40" t="str">
        <f>IF($J181="","",IF(AND($L181="Elite",$F181&gt;=Config!$B$41,$N181&lt;$M181),Config!$B$42,0))</f>
        <v/>
      </c>
      <c r="AJ181" s="22"/>
      <c r="AK181" s="39">
        <f>IFERROR(VLOOKUP(J181,Grinders!$A:$Q,28,FALSE),0)</f>
        <v>0</v>
      </c>
      <c r="AL181" s="39">
        <f>IF(Config!$B$1003&lt;&gt;"Y",0,IF(IFERROR(VLOOKUP(J181,Grinders!$A:$P,27,FALSE),0)&gt;=3,IF(OR(F181&gt;=Config!$B$1001,ISNUMBER(SEARCH(E181,Config!$B$1002))),1,0),0))</f>
        <v>0</v>
      </c>
      <c r="AM181" s="39">
        <f t="array" ref="AM181">IFERROR(IF(INDEX(Bids!$AE:$AE,MATCH(B181,Bids!$A:$A,0))="Pending",1,0),0)</f>
        <v>0</v>
      </c>
      <c r="AN181" s="39" t="str">
        <f t="array" ref="AN181">IF(C181="","",IFERROR(XLOOKUP(C181,Assignments!$C:$C,Assignments!$AU:$AU,0),0))</f>
        <v/>
      </c>
      <c r="AO181" s="39">
        <f>IF(AND(Config!$B$1006="Y",AN181=1),Config!$B$1007,0)</f>
        <v>0</v>
      </c>
    </row>
    <row r="182" ht="15.75" customHeight="1">
      <c r="A182" s="46" t="str">
        <f t="shared" si="1"/>
        <v/>
      </c>
      <c r="B182" s="40" t="str">
        <f>IF(Bids!$A182="","",Bids!$A182)</f>
        <v/>
      </c>
      <c r="C182" s="40" t="str">
        <f>IF(Bids!$B182="","",Bids!$B182)</f>
        <v/>
      </c>
      <c r="D182" s="40" t="str">
        <f>IF($C182="","",IFERROR(VLOOKUP($C182,Orders!$A:$J,9,FALSE),""))</f>
        <v/>
      </c>
      <c r="E182" s="40" t="str">
        <f>IF($C182="","",IFERROR(VLOOKUP($C182,Orders!$A:$J,3,FALSE),""))</f>
        <v/>
      </c>
      <c r="F182" s="40" t="str">
        <f>IF($C182="","",IFERROR(VLOOKUP($C182,Orders!$A:$J,4,FALSE),""))</f>
        <v/>
      </c>
      <c r="G182" s="40" t="str">
        <f>IF($C182="","",IFERROR(VLOOKUP($C182,Orders!$A:$J,5,FALSE),""))</f>
        <v/>
      </c>
      <c r="H182" s="40" t="str">
        <f>IF($C182="","",IFERROR(VLOOKUP($C182,Orders!$A:$J,6,FALSE),""))</f>
        <v/>
      </c>
      <c r="I182" s="40" t="str">
        <f>IF($C182="","",IFERROR(VLOOKUP($C182,Orders!$A:$J,7,FALSE),""))</f>
        <v/>
      </c>
      <c r="J182" s="40" t="str">
        <f>IF(Bids!$C182="","",Bids!$C182)</f>
        <v/>
      </c>
      <c r="K182" s="40" t="str">
        <f>IF($J182="","",IFERROR(VLOOKUP($J182,Grinders!$A:$N,2,FALSE),""))</f>
        <v/>
      </c>
      <c r="L182" s="40" t="str">
        <f>IF($J182="","",IFERROR(VLOOKUP($J182,Grinders!$A:$N,3,FALSE),""))</f>
        <v/>
      </c>
      <c r="M182" s="40" t="str">
        <f>IF($J182="","",IFERROR(VLOOKUP($J182,Grinders!$A:$N,4,FALSE),""))</f>
        <v/>
      </c>
      <c r="N182" s="40" t="str">
        <f>IF($J182="","",IFERROR(VLOOKUP($J182,Grinders!$A:$N,5,FALSE),""))</f>
        <v/>
      </c>
      <c r="O182" s="40" t="str">
        <f t="shared" si="2"/>
        <v/>
      </c>
      <c r="P182" s="40" t="str">
        <f>IF($J182="","",IFERROR(VLOOKUP($J182,Grinders!$A:$N,6,FALSE),""))</f>
        <v/>
      </c>
      <c r="Q182" s="40" t="str">
        <f>IF($J182="","",IFERROR(VLOOKUP($J182,Grinders!$A:$N,8,FALSE),""))</f>
        <v/>
      </c>
      <c r="R182" s="40" t="str">
        <f>IFERROR(IF($J182="","",IF($L182="Elite",MAX(50,MIN(100,Config!$B$27*MAX(0,MIN(100,(1-IF($O182="",0,$O182))*100)) + Config!$B$28*MAX(0,MIN(100,(1-MIN(1,IF(Config!$B$30=0,1,$P182/Config!$B$30)))*100)) + Config!$B$29*MAX(0,MIN(100,MIN(1,IF($Q182="",0,$Q182)/Config!$B$23)*100)))),MIN(100,Config!$B$27*MAX(0,MIN(100,(1-IF($O182="",0,$O182))*100)) + Config!$B$28*MAX(0,MIN(100,(1-MIN(1,IF(Config!$B$30=0,1,$P182/Config!$B$30)))*100)) + Config!$B$29*MAX(0,MIN(100,MIN(1,IF($Q182="",0,$Q182)/Config!$B$23)*100))))),"")
</f>
        <v/>
      </c>
      <c r="S182" s="40" t="str">
        <f>IF(Bids!$AC182="","",Bids!$AC182)</f>
        <v/>
      </c>
      <c r="T182" s="40" t="str">
        <f>IF(Bids!$F182="","",Bids!$F182)</f>
        <v/>
      </c>
      <c r="U182" s="40" t="str">
        <f t="shared" si="3"/>
        <v/>
      </c>
      <c r="V182" s="40" t="str">
        <f>IF($U182="","",IF(Config!$B$17=Config!$B$16,IF($U182&gt;=Config!$B$17,100,0),MAX(0,MIN(100,($U182-Config!$B$16)/(Config!$B$17-Config!$B$16)*100))))</f>
        <v/>
      </c>
      <c r="W182" s="40">
        <f>IF($L182="Elite",Config!$B$21,0)</f>
        <v>0</v>
      </c>
      <c r="X182" s="40" t="str">
        <f>IFERROR(IF(OR($T182="",$G182=""),"",IF($T182&gt;$G182,
  MAX(0, 60-(($T182-$G182)*24/Config!$B$19)*60),
  MEDIAN(60, 100, 60+(($G182-$T182)*24/Config!$B$20)*40)
)),"")
</f>
        <v/>
      </c>
      <c r="Y182" s="40" t="str">
        <f>IF($J182="","",IFERROR(VLOOKUP($J182,Grinders!$A:$N,10,FALSE),""))</f>
        <v/>
      </c>
      <c r="Z182" s="40" t="str">
        <f>IF($J182="","",IFERROR(VLOOKUP($J182,Grinders!$A:$N,11,FALSE),""))</f>
        <v/>
      </c>
      <c r="AA182" s="40" t="str">
        <f>IF($J182="","",IFERROR(VLOOKUP($J182,Grinders!$A:$N,12,FALSE),""))</f>
        <v/>
      </c>
      <c r="AB182" s="40" t="str">
        <f>IF(OR(AL182=1,AM182=1),0,=IFERROR(IF(OR($C182="",$J182=""),0,IF($D182&lt;&gt;"Open",0,IF(COUNTIFS(GrinderServices!$A:$A,$J182,GrinderServices!$B:$B,$E182,GrinderServices!$D:$D,"Y")=0,0,IF($U182&lt;Config!$B$16,0,IF(Config!$B$18=1,IF($N182&gt;=$M182,0,1),1))))),""))</f>
        <v>#ERROR!</v>
      </c>
      <c r="AC182" s="40" t="str">
        <f>IFERROR((IF(OR(AL182=1,AM182=1),"",=IFERROR((IFERROR(IF($AB182=0,"",((Config!$B$6*$V182 + Config!$B$7*$R182 + Config!$B$8*$W182 + Config!$B$9*$X182 + Config!$B$10*$Y182 + Config!$B$11*$Z182 - Config!$B$12*$AA182)/Config!$B$13)+$AH182+$AI182),""))*(1-IFERROR(VLOOKUP(J182,Grinders!$A:$AB, 28, FALSE),0)),"")))*(1+AO182),"")</f>
        <v>#ERROR!</v>
      </c>
      <c r="AD182" s="40" t="str">
        <f t="shared" si="4"/>
        <v/>
      </c>
      <c r="AE182" s="40" t="str">
        <f>IFERROR(__xludf.DUMMYFUNCTION("IF($AC182="""","""",IF($AC182=IFERROR(MAX(FILTER($AC$6:$AC$1000,$C$6:$C$1000=$C182,$AB$6:$AB$1000=1)),),""WINNER"",""""))"),"#ERROR!")</f>
        <v>#ERROR!</v>
      </c>
      <c r="AF182" s="40" t="str">
        <f t="shared" si="5"/>
        <v/>
      </c>
      <c r="AG182" s="40" t="str">
        <f>IF($J182="","",COUNTIF(Assignments!$B:$B,$J182))</f>
        <v/>
      </c>
      <c r="AH182" s="40" t="str">
        <f>IF($J182="","",IF(AND($AG182=0,$N182&lt;$M182),Config!$B$43,0))</f>
        <v/>
      </c>
      <c r="AI182" s="40" t="str">
        <f>IF($J182="","",IF(AND($L182="Elite",$F182&gt;=Config!$B$41,$N182&lt;$M182),Config!$B$42,0))</f>
        <v/>
      </c>
      <c r="AJ182" s="22"/>
      <c r="AK182" s="39">
        <f>IFERROR(VLOOKUP(J182,Grinders!$A:$Q,28,FALSE),0)</f>
        <v>0</v>
      </c>
      <c r="AL182" s="39">
        <f>IF(Config!$B$1003&lt;&gt;"Y",0,IF(IFERROR(VLOOKUP(J182,Grinders!$A:$P,27,FALSE),0)&gt;=3,IF(OR(F182&gt;=Config!$B$1001,ISNUMBER(SEARCH(E182,Config!$B$1002))),1,0),0))</f>
        <v>0</v>
      </c>
      <c r="AM182" s="39">
        <f t="array" ref="AM182">IFERROR(IF(INDEX(Bids!$AE:$AE,MATCH(B182,Bids!$A:$A,0))="Pending",1,0),0)</f>
        <v>0</v>
      </c>
      <c r="AN182" s="39" t="str">
        <f t="array" ref="AN182">IF(C182="","",IFERROR(XLOOKUP(C182,Assignments!$C:$C,Assignments!$AU:$AU,0),0))</f>
        <v/>
      </c>
      <c r="AO182" s="39">
        <f>IF(AND(Config!$B$1006="Y",AN182=1),Config!$B$1007,0)</f>
        <v>0</v>
      </c>
    </row>
    <row r="183" ht="15.75" customHeight="1">
      <c r="A183" s="46" t="str">
        <f t="shared" si="1"/>
        <v/>
      </c>
      <c r="B183" s="40" t="str">
        <f>IF(Bids!$A183="","",Bids!$A183)</f>
        <v/>
      </c>
      <c r="C183" s="40" t="str">
        <f>IF(Bids!$B183="","",Bids!$B183)</f>
        <v/>
      </c>
      <c r="D183" s="40" t="str">
        <f>IF($C183="","",IFERROR(VLOOKUP($C183,Orders!$A:$J,9,FALSE),""))</f>
        <v/>
      </c>
      <c r="E183" s="40" t="str">
        <f>IF($C183="","",IFERROR(VLOOKUP($C183,Orders!$A:$J,3,FALSE),""))</f>
        <v/>
      </c>
      <c r="F183" s="40" t="str">
        <f>IF($C183="","",IFERROR(VLOOKUP($C183,Orders!$A:$J,4,FALSE),""))</f>
        <v/>
      </c>
      <c r="G183" s="40" t="str">
        <f>IF($C183="","",IFERROR(VLOOKUP($C183,Orders!$A:$J,5,FALSE),""))</f>
        <v/>
      </c>
      <c r="H183" s="40" t="str">
        <f>IF($C183="","",IFERROR(VLOOKUP($C183,Orders!$A:$J,6,FALSE),""))</f>
        <v/>
      </c>
      <c r="I183" s="40" t="str">
        <f>IF($C183="","",IFERROR(VLOOKUP($C183,Orders!$A:$J,7,FALSE),""))</f>
        <v/>
      </c>
      <c r="J183" s="40" t="str">
        <f>IF(Bids!$C183="","",Bids!$C183)</f>
        <v/>
      </c>
      <c r="K183" s="40" t="str">
        <f>IF($J183="","",IFERROR(VLOOKUP($J183,Grinders!$A:$N,2,FALSE),""))</f>
        <v/>
      </c>
      <c r="L183" s="40" t="str">
        <f>IF($J183="","",IFERROR(VLOOKUP($J183,Grinders!$A:$N,3,FALSE),""))</f>
        <v/>
      </c>
      <c r="M183" s="40" t="str">
        <f>IF($J183="","",IFERROR(VLOOKUP($J183,Grinders!$A:$N,4,FALSE),""))</f>
        <v/>
      </c>
      <c r="N183" s="40" t="str">
        <f>IF($J183="","",IFERROR(VLOOKUP($J183,Grinders!$A:$N,5,FALSE),""))</f>
        <v/>
      </c>
      <c r="O183" s="40" t="str">
        <f t="shared" si="2"/>
        <v/>
      </c>
      <c r="P183" s="40" t="str">
        <f>IF($J183="","",IFERROR(VLOOKUP($J183,Grinders!$A:$N,6,FALSE),""))</f>
        <v/>
      </c>
      <c r="Q183" s="40" t="str">
        <f>IF($J183="","",IFERROR(VLOOKUP($J183,Grinders!$A:$N,8,FALSE),""))</f>
        <v/>
      </c>
      <c r="R183" s="40" t="str">
        <f>IFERROR(IF($J183="","",IF($L183="Elite",MAX(50,MIN(100,Config!$B$27*MAX(0,MIN(100,(1-IF($O183="",0,$O183))*100)) + Config!$B$28*MAX(0,MIN(100,(1-MIN(1,IF(Config!$B$30=0,1,$P183/Config!$B$30)))*100)) + Config!$B$29*MAX(0,MIN(100,MIN(1,IF($Q183="",0,$Q183)/Config!$B$23)*100)))),MIN(100,Config!$B$27*MAX(0,MIN(100,(1-IF($O183="",0,$O183))*100)) + Config!$B$28*MAX(0,MIN(100,(1-MIN(1,IF(Config!$B$30=0,1,$P183/Config!$B$30)))*100)) + Config!$B$29*MAX(0,MIN(100,MIN(1,IF($Q183="",0,$Q183)/Config!$B$23)*100))))),"")
</f>
        <v/>
      </c>
      <c r="S183" s="40" t="str">
        <f>IF(Bids!$AC183="","",Bids!$AC183)</f>
        <v/>
      </c>
      <c r="T183" s="40" t="str">
        <f>IF(Bids!$F183="","",Bids!$F183)</f>
        <v/>
      </c>
      <c r="U183" s="40" t="str">
        <f t="shared" si="3"/>
        <v/>
      </c>
      <c r="V183" s="40" t="str">
        <f>IF($U183="","",IF(Config!$B$17=Config!$B$16,IF($U183&gt;=Config!$B$17,100,0),MAX(0,MIN(100,($U183-Config!$B$16)/(Config!$B$17-Config!$B$16)*100))))</f>
        <v/>
      </c>
      <c r="W183" s="40">
        <f>IF($L183="Elite",Config!$B$21,0)</f>
        <v>0</v>
      </c>
      <c r="X183" s="40" t="str">
        <f>IFERROR(IF(OR($T183="",$G183=""),"",IF($T183&gt;$G183,
  MAX(0, 60-(($T183-$G183)*24/Config!$B$19)*60),
  MEDIAN(60, 100, 60+(($G183-$T183)*24/Config!$B$20)*40)
)),"")
</f>
        <v/>
      </c>
      <c r="Y183" s="40" t="str">
        <f>IF($J183="","",IFERROR(VLOOKUP($J183,Grinders!$A:$N,10,FALSE),""))</f>
        <v/>
      </c>
      <c r="Z183" s="40" t="str">
        <f>IF($J183="","",IFERROR(VLOOKUP($J183,Grinders!$A:$N,11,FALSE),""))</f>
        <v/>
      </c>
      <c r="AA183" s="40" t="str">
        <f>IF($J183="","",IFERROR(VLOOKUP($J183,Grinders!$A:$N,12,FALSE),""))</f>
        <v/>
      </c>
      <c r="AB183" s="40" t="str">
        <f>IF(OR(AL183=1,AM183=1),0,=IFERROR(IF(OR($C183="",$J183=""),0,IF($D183&lt;&gt;"Open",0,IF(COUNTIFS(GrinderServices!$A:$A,$J183,GrinderServices!$B:$B,$E183,GrinderServices!$D:$D,"Y")=0,0,IF($U183&lt;Config!$B$16,0,IF(Config!$B$18=1,IF($N183&gt;=$M183,0,1),1))))),""))</f>
        <v>#ERROR!</v>
      </c>
      <c r="AC183" s="40" t="str">
        <f>IFERROR((IF(OR(AL183=1,AM183=1),"",=IFERROR((IFERROR(IF($AB183=0,"",((Config!$B$6*$V183 + Config!$B$7*$R183 + Config!$B$8*$W183 + Config!$B$9*$X183 + Config!$B$10*$Y183 + Config!$B$11*$Z183 - Config!$B$12*$AA183)/Config!$B$13)+$AH183+$AI183),""))*(1-IFERROR(VLOOKUP(J183,Grinders!$A:$AB, 28, FALSE),0)),"")))*(1+AO183),"")</f>
        <v>#ERROR!</v>
      </c>
      <c r="AD183" s="40" t="str">
        <f t="shared" si="4"/>
        <v/>
      </c>
      <c r="AE183" s="40" t="str">
        <f>IFERROR(__xludf.DUMMYFUNCTION("IF($AC183="""","""",IF($AC183=IFERROR(MAX(FILTER($AC$6:$AC$1000,$C$6:$C$1000=$C183,$AB$6:$AB$1000=1)),),""WINNER"",""""))"),"#ERROR!")</f>
        <v>#ERROR!</v>
      </c>
      <c r="AF183" s="40" t="str">
        <f t="shared" si="5"/>
        <v/>
      </c>
      <c r="AG183" s="40" t="str">
        <f>IF($J183="","",COUNTIF(Assignments!$B:$B,$J183))</f>
        <v/>
      </c>
      <c r="AH183" s="40" t="str">
        <f>IF($J183="","",IF(AND($AG183=0,$N183&lt;$M183),Config!$B$43,0))</f>
        <v/>
      </c>
      <c r="AI183" s="40" t="str">
        <f>IF($J183="","",IF(AND($L183="Elite",$F183&gt;=Config!$B$41,$N183&lt;$M183),Config!$B$42,0))</f>
        <v/>
      </c>
      <c r="AJ183" s="22"/>
      <c r="AK183" s="39">
        <f>IFERROR(VLOOKUP(J183,Grinders!$A:$Q,28,FALSE),0)</f>
        <v>0</v>
      </c>
      <c r="AL183" s="39">
        <f>IF(Config!$B$1003&lt;&gt;"Y",0,IF(IFERROR(VLOOKUP(J183,Grinders!$A:$P,27,FALSE),0)&gt;=3,IF(OR(F183&gt;=Config!$B$1001,ISNUMBER(SEARCH(E183,Config!$B$1002))),1,0),0))</f>
        <v>0</v>
      </c>
      <c r="AM183" s="39">
        <f t="array" ref="AM183">IFERROR(IF(INDEX(Bids!$AE:$AE,MATCH(B183,Bids!$A:$A,0))="Pending",1,0),0)</f>
        <v>0</v>
      </c>
      <c r="AN183" s="39" t="str">
        <f t="array" ref="AN183">IF(C183="","",IFERROR(XLOOKUP(C183,Assignments!$C:$C,Assignments!$AU:$AU,0),0))</f>
        <v/>
      </c>
      <c r="AO183" s="39">
        <f>IF(AND(Config!$B$1006="Y",AN183=1),Config!$B$1007,0)</f>
        <v>0</v>
      </c>
    </row>
    <row r="184" ht="15.75" customHeight="1">
      <c r="A184" s="46" t="str">
        <f t="shared" si="1"/>
        <v/>
      </c>
      <c r="B184" s="40" t="str">
        <f>IF(Bids!$A184="","",Bids!$A184)</f>
        <v/>
      </c>
      <c r="C184" s="40" t="str">
        <f>IF(Bids!$B184="","",Bids!$B184)</f>
        <v/>
      </c>
      <c r="D184" s="40" t="str">
        <f>IF($C184="","",IFERROR(VLOOKUP($C184,Orders!$A:$J,9,FALSE),""))</f>
        <v/>
      </c>
      <c r="E184" s="40" t="str">
        <f>IF($C184="","",IFERROR(VLOOKUP($C184,Orders!$A:$J,3,FALSE),""))</f>
        <v/>
      </c>
      <c r="F184" s="40" t="str">
        <f>IF($C184="","",IFERROR(VLOOKUP($C184,Orders!$A:$J,4,FALSE),""))</f>
        <v/>
      </c>
      <c r="G184" s="40" t="str">
        <f>IF($C184="","",IFERROR(VLOOKUP($C184,Orders!$A:$J,5,FALSE),""))</f>
        <v/>
      </c>
      <c r="H184" s="40" t="str">
        <f>IF($C184="","",IFERROR(VLOOKUP($C184,Orders!$A:$J,6,FALSE),""))</f>
        <v/>
      </c>
      <c r="I184" s="40" t="str">
        <f>IF($C184="","",IFERROR(VLOOKUP($C184,Orders!$A:$J,7,FALSE),""))</f>
        <v/>
      </c>
      <c r="J184" s="40" t="str">
        <f>IF(Bids!$C184="","",Bids!$C184)</f>
        <v/>
      </c>
      <c r="K184" s="40" t="str">
        <f>IF($J184="","",IFERROR(VLOOKUP($J184,Grinders!$A:$N,2,FALSE),""))</f>
        <v/>
      </c>
      <c r="L184" s="40" t="str">
        <f>IF($J184="","",IFERROR(VLOOKUP($J184,Grinders!$A:$N,3,FALSE),""))</f>
        <v/>
      </c>
      <c r="M184" s="40" t="str">
        <f>IF($J184="","",IFERROR(VLOOKUP($J184,Grinders!$A:$N,4,FALSE),""))</f>
        <v/>
      </c>
      <c r="N184" s="40" t="str">
        <f>IF($J184="","",IFERROR(VLOOKUP($J184,Grinders!$A:$N,5,FALSE),""))</f>
        <v/>
      </c>
      <c r="O184" s="40" t="str">
        <f t="shared" si="2"/>
        <v/>
      </c>
      <c r="P184" s="40" t="str">
        <f>IF($J184="","",IFERROR(VLOOKUP($J184,Grinders!$A:$N,6,FALSE),""))</f>
        <v/>
      </c>
      <c r="Q184" s="40" t="str">
        <f>IF($J184="","",IFERROR(VLOOKUP($J184,Grinders!$A:$N,8,FALSE),""))</f>
        <v/>
      </c>
      <c r="R184" s="40" t="str">
        <f>IFERROR(IF($J184="","",IF($L184="Elite",MAX(50,MIN(100,Config!$B$27*MAX(0,MIN(100,(1-IF($O184="",0,$O184))*100)) + Config!$B$28*MAX(0,MIN(100,(1-MIN(1,IF(Config!$B$30=0,1,$P184/Config!$B$30)))*100)) + Config!$B$29*MAX(0,MIN(100,MIN(1,IF($Q184="",0,$Q184)/Config!$B$23)*100)))),MIN(100,Config!$B$27*MAX(0,MIN(100,(1-IF($O184="",0,$O184))*100)) + Config!$B$28*MAX(0,MIN(100,(1-MIN(1,IF(Config!$B$30=0,1,$P184/Config!$B$30)))*100)) + Config!$B$29*MAX(0,MIN(100,MIN(1,IF($Q184="",0,$Q184)/Config!$B$23)*100))))),"")
</f>
        <v/>
      </c>
      <c r="S184" s="40" t="str">
        <f>IF(Bids!$AC184="","",Bids!$AC184)</f>
        <v/>
      </c>
      <c r="T184" s="40" t="str">
        <f>IF(Bids!$F184="","",Bids!$F184)</f>
        <v/>
      </c>
      <c r="U184" s="40" t="str">
        <f t="shared" si="3"/>
        <v/>
      </c>
      <c r="V184" s="40" t="str">
        <f>IF($U184="","",IF(Config!$B$17=Config!$B$16,IF($U184&gt;=Config!$B$17,100,0),MAX(0,MIN(100,($U184-Config!$B$16)/(Config!$B$17-Config!$B$16)*100))))</f>
        <v/>
      </c>
      <c r="W184" s="40">
        <f>IF($L184="Elite",Config!$B$21,0)</f>
        <v>0</v>
      </c>
      <c r="X184" s="40" t="str">
        <f>IFERROR(IF(OR($T184="",$G184=""),"",IF($T184&gt;$G184,
  MAX(0, 60-(($T184-$G184)*24/Config!$B$19)*60),
  MEDIAN(60, 100, 60+(($G184-$T184)*24/Config!$B$20)*40)
)),"")
</f>
        <v/>
      </c>
      <c r="Y184" s="40" t="str">
        <f>IF($J184="","",IFERROR(VLOOKUP($J184,Grinders!$A:$N,10,FALSE),""))</f>
        <v/>
      </c>
      <c r="Z184" s="40" t="str">
        <f>IF($J184="","",IFERROR(VLOOKUP($J184,Grinders!$A:$N,11,FALSE),""))</f>
        <v/>
      </c>
      <c r="AA184" s="40" t="str">
        <f>IF($J184="","",IFERROR(VLOOKUP($J184,Grinders!$A:$N,12,FALSE),""))</f>
        <v/>
      </c>
      <c r="AB184" s="40" t="str">
        <f>IF(OR(AL184=1,AM184=1),0,=IFERROR(IF(OR($C184="",$J184=""),0,IF($D184&lt;&gt;"Open",0,IF(COUNTIFS(GrinderServices!$A:$A,$J184,GrinderServices!$B:$B,$E184,GrinderServices!$D:$D,"Y")=0,0,IF($U184&lt;Config!$B$16,0,IF(Config!$B$18=1,IF($N184&gt;=$M184,0,1),1))))),""))</f>
        <v>#ERROR!</v>
      </c>
      <c r="AC184" s="40" t="str">
        <f>IFERROR((IF(OR(AL184=1,AM184=1),"",=IFERROR((IFERROR(IF($AB184=0,"",((Config!$B$6*$V184 + Config!$B$7*$R184 + Config!$B$8*$W184 + Config!$B$9*$X184 + Config!$B$10*$Y184 + Config!$B$11*$Z184 - Config!$B$12*$AA184)/Config!$B$13)+$AH184+$AI184),""))*(1-IFERROR(VLOOKUP(J184,Grinders!$A:$AB, 28, FALSE),0)),"")))*(1+AO184),"")</f>
        <v>#ERROR!</v>
      </c>
      <c r="AD184" s="40" t="str">
        <f t="shared" si="4"/>
        <v/>
      </c>
      <c r="AE184" s="40" t="str">
        <f>IFERROR(__xludf.DUMMYFUNCTION("IF($AC184="""","""",IF($AC184=IFERROR(MAX(FILTER($AC$6:$AC$1000,$C$6:$C$1000=$C184,$AB$6:$AB$1000=1)),),""WINNER"",""""))"),"#ERROR!")</f>
        <v>#ERROR!</v>
      </c>
      <c r="AF184" s="40" t="str">
        <f t="shared" si="5"/>
        <v/>
      </c>
      <c r="AG184" s="40" t="str">
        <f>IF($J184="","",COUNTIF(Assignments!$B:$B,$J184))</f>
        <v/>
      </c>
      <c r="AH184" s="40" t="str">
        <f>IF($J184="","",IF(AND($AG184=0,$N184&lt;$M184),Config!$B$43,0))</f>
        <v/>
      </c>
      <c r="AI184" s="40" t="str">
        <f>IF($J184="","",IF(AND($L184="Elite",$F184&gt;=Config!$B$41,$N184&lt;$M184),Config!$B$42,0))</f>
        <v/>
      </c>
      <c r="AJ184" s="22"/>
      <c r="AK184" s="39">
        <f>IFERROR(VLOOKUP(J184,Grinders!$A:$Q,28,FALSE),0)</f>
        <v>0</v>
      </c>
      <c r="AL184" s="39">
        <f>IF(Config!$B$1003&lt;&gt;"Y",0,IF(IFERROR(VLOOKUP(J184,Grinders!$A:$P,27,FALSE),0)&gt;=3,IF(OR(F184&gt;=Config!$B$1001,ISNUMBER(SEARCH(E184,Config!$B$1002))),1,0),0))</f>
        <v>0</v>
      </c>
      <c r="AM184" s="39">
        <f t="array" ref="AM184">IFERROR(IF(INDEX(Bids!$AE:$AE,MATCH(B184,Bids!$A:$A,0))="Pending",1,0),0)</f>
        <v>0</v>
      </c>
      <c r="AN184" s="39" t="str">
        <f t="array" ref="AN184">IF(C184="","",IFERROR(XLOOKUP(C184,Assignments!$C:$C,Assignments!$AU:$AU,0),0))</f>
        <v/>
      </c>
      <c r="AO184" s="39">
        <f>IF(AND(Config!$B$1006="Y",AN184=1),Config!$B$1007,0)</f>
        <v>0</v>
      </c>
    </row>
    <row r="185" ht="15.75" customHeight="1">
      <c r="A185" s="46" t="str">
        <f t="shared" si="1"/>
        <v/>
      </c>
      <c r="B185" s="40" t="str">
        <f>IF(Bids!$A185="","",Bids!$A185)</f>
        <v/>
      </c>
      <c r="C185" s="40" t="str">
        <f>IF(Bids!$B185="","",Bids!$B185)</f>
        <v/>
      </c>
      <c r="D185" s="40" t="str">
        <f>IF($C185="","",IFERROR(VLOOKUP($C185,Orders!$A:$J,9,FALSE),""))</f>
        <v/>
      </c>
      <c r="E185" s="40" t="str">
        <f>IF($C185="","",IFERROR(VLOOKUP($C185,Orders!$A:$J,3,FALSE),""))</f>
        <v/>
      </c>
      <c r="F185" s="40" t="str">
        <f>IF($C185="","",IFERROR(VLOOKUP($C185,Orders!$A:$J,4,FALSE),""))</f>
        <v/>
      </c>
      <c r="G185" s="40" t="str">
        <f>IF($C185="","",IFERROR(VLOOKUP($C185,Orders!$A:$J,5,FALSE),""))</f>
        <v/>
      </c>
      <c r="H185" s="40" t="str">
        <f>IF($C185="","",IFERROR(VLOOKUP($C185,Orders!$A:$J,6,FALSE),""))</f>
        <v/>
      </c>
      <c r="I185" s="40" t="str">
        <f>IF($C185="","",IFERROR(VLOOKUP($C185,Orders!$A:$J,7,FALSE),""))</f>
        <v/>
      </c>
      <c r="J185" s="40" t="str">
        <f>IF(Bids!$C185="","",Bids!$C185)</f>
        <v/>
      </c>
      <c r="K185" s="40" t="str">
        <f>IF($J185="","",IFERROR(VLOOKUP($J185,Grinders!$A:$N,2,FALSE),""))</f>
        <v/>
      </c>
      <c r="L185" s="40" t="str">
        <f>IF($J185="","",IFERROR(VLOOKUP($J185,Grinders!$A:$N,3,FALSE),""))</f>
        <v/>
      </c>
      <c r="M185" s="40" t="str">
        <f>IF($J185="","",IFERROR(VLOOKUP($J185,Grinders!$A:$N,4,FALSE),""))</f>
        <v/>
      </c>
      <c r="N185" s="40" t="str">
        <f>IF($J185="","",IFERROR(VLOOKUP($J185,Grinders!$A:$N,5,FALSE),""))</f>
        <v/>
      </c>
      <c r="O185" s="40" t="str">
        <f t="shared" si="2"/>
        <v/>
      </c>
      <c r="P185" s="40" t="str">
        <f>IF($J185="","",IFERROR(VLOOKUP($J185,Grinders!$A:$N,6,FALSE),""))</f>
        <v/>
      </c>
      <c r="Q185" s="40" t="str">
        <f>IF($J185="","",IFERROR(VLOOKUP($J185,Grinders!$A:$N,8,FALSE),""))</f>
        <v/>
      </c>
      <c r="R185" s="40" t="str">
        <f>IFERROR(IF($J185="","",IF($L185="Elite",MAX(50,MIN(100,Config!$B$27*MAX(0,MIN(100,(1-IF($O185="",0,$O185))*100)) + Config!$B$28*MAX(0,MIN(100,(1-MIN(1,IF(Config!$B$30=0,1,$P185/Config!$B$30)))*100)) + Config!$B$29*MAX(0,MIN(100,MIN(1,IF($Q185="",0,$Q185)/Config!$B$23)*100)))),MIN(100,Config!$B$27*MAX(0,MIN(100,(1-IF($O185="",0,$O185))*100)) + Config!$B$28*MAX(0,MIN(100,(1-MIN(1,IF(Config!$B$30=0,1,$P185/Config!$B$30)))*100)) + Config!$B$29*MAX(0,MIN(100,MIN(1,IF($Q185="",0,$Q185)/Config!$B$23)*100))))),"")
</f>
        <v/>
      </c>
      <c r="S185" s="40" t="str">
        <f>IF(Bids!$AC185="","",Bids!$AC185)</f>
        <v/>
      </c>
      <c r="T185" s="40" t="str">
        <f>IF(Bids!$F185="","",Bids!$F185)</f>
        <v/>
      </c>
      <c r="U185" s="40" t="str">
        <f t="shared" si="3"/>
        <v/>
      </c>
      <c r="V185" s="40" t="str">
        <f>IF($U185="","",IF(Config!$B$17=Config!$B$16,IF($U185&gt;=Config!$B$17,100,0),MAX(0,MIN(100,($U185-Config!$B$16)/(Config!$B$17-Config!$B$16)*100))))</f>
        <v/>
      </c>
      <c r="W185" s="40">
        <f>IF($L185="Elite",Config!$B$21,0)</f>
        <v>0</v>
      </c>
      <c r="X185" s="40" t="str">
        <f>IFERROR(IF(OR($T185="",$G185=""),"",IF($T185&gt;$G185,
  MAX(0, 60-(($T185-$G185)*24/Config!$B$19)*60),
  MEDIAN(60, 100, 60+(($G185-$T185)*24/Config!$B$20)*40)
)),"")
</f>
        <v/>
      </c>
      <c r="Y185" s="40" t="str">
        <f>IF($J185="","",IFERROR(VLOOKUP($J185,Grinders!$A:$N,10,FALSE),""))</f>
        <v/>
      </c>
      <c r="Z185" s="40" t="str">
        <f>IF($J185="","",IFERROR(VLOOKUP($J185,Grinders!$A:$N,11,FALSE),""))</f>
        <v/>
      </c>
      <c r="AA185" s="40" t="str">
        <f>IF($J185="","",IFERROR(VLOOKUP($J185,Grinders!$A:$N,12,FALSE),""))</f>
        <v/>
      </c>
      <c r="AB185" s="40" t="str">
        <f>IF(OR(AL185=1,AM185=1),0,=IFERROR(IF(OR($C185="",$J185=""),0,IF($D185&lt;&gt;"Open",0,IF(COUNTIFS(GrinderServices!$A:$A,$J185,GrinderServices!$B:$B,$E185,GrinderServices!$D:$D,"Y")=0,0,IF($U185&lt;Config!$B$16,0,IF(Config!$B$18=1,IF($N185&gt;=$M185,0,1),1))))),""))</f>
        <v>#ERROR!</v>
      </c>
      <c r="AC185" s="40" t="str">
        <f>IFERROR((IF(OR(AL185=1,AM185=1),"",=IFERROR((IFERROR(IF($AB185=0,"",((Config!$B$6*$V185 + Config!$B$7*$R185 + Config!$B$8*$W185 + Config!$B$9*$X185 + Config!$B$10*$Y185 + Config!$B$11*$Z185 - Config!$B$12*$AA185)/Config!$B$13)+$AH185+$AI185),""))*(1-IFERROR(VLOOKUP(J185,Grinders!$A:$AB, 28, FALSE),0)),"")))*(1+AO185),"")</f>
        <v>#ERROR!</v>
      </c>
      <c r="AD185" s="40" t="str">
        <f t="shared" si="4"/>
        <v/>
      </c>
      <c r="AE185" s="40" t="str">
        <f>IFERROR(__xludf.DUMMYFUNCTION("IF($AC185="""","""",IF($AC185=IFERROR(MAX(FILTER($AC$6:$AC$1000,$C$6:$C$1000=$C185,$AB$6:$AB$1000=1)),),""WINNER"",""""))"),"#ERROR!")</f>
        <v>#ERROR!</v>
      </c>
      <c r="AF185" s="40" t="str">
        <f t="shared" si="5"/>
        <v/>
      </c>
      <c r="AG185" s="40" t="str">
        <f>IF($J185="","",COUNTIF(Assignments!$B:$B,$J185))</f>
        <v/>
      </c>
      <c r="AH185" s="40" t="str">
        <f>IF($J185="","",IF(AND($AG185=0,$N185&lt;$M185),Config!$B$43,0))</f>
        <v/>
      </c>
      <c r="AI185" s="40" t="str">
        <f>IF($J185="","",IF(AND($L185="Elite",$F185&gt;=Config!$B$41,$N185&lt;$M185),Config!$B$42,0))</f>
        <v/>
      </c>
      <c r="AJ185" s="22"/>
      <c r="AK185" s="39">
        <f>IFERROR(VLOOKUP(J185,Grinders!$A:$Q,28,FALSE),0)</f>
        <v>0</v>
      </c>
      <c r="AL185" s="39">
        <f>IF(Config!$B$1003&lt;&gt;"Y",0,IF(IFERROR(VLOOKUP(J185,Grinders!$A:$P,27,FALSE),0)&gt;=3,IF(OR(F185&gt;=Config!$B$1001,ISNUMBER(SEARCH(E185,Config!$B$1002))),1,0),0))</f>
        <v>0</v>
      </c>
      <c r="AM185" s="39">
        <f t="array" ref="AM185">IFERROR(IF(INDEX(Bids!$AE:$AE,MATCH(B185,Bids!$A:$A,0))="Pending",1,0),0)</f>
        <v>0</v>
      </c>
      <c r="AN185" s="39" t="str">
        <f t="array" ref="AN185">IF(C185="","",IFERROR(XLOOKUP(C185,Assignments!$C:$C,Assignments!$AU:$AU,0),0))</f>
        <v/>
      </c>
      <c r="AO185" s="39">
        <f>IF(AND(Config!$B$1006="Y",AN185=1),Config!$B$1007,0)</f>
        <v>0</v>
      </c>
    </row>
    <row r="186" ht="15.75" customHeight="1">
      <c r="A186" s="46" t="str">
        <f t="shared" si="1"/>
        <v/>
      </c>
      <c r="B186" s="40" t="str">
        <f>IF(Bids!$A186="","",Bids!$A186)</f>
        <v/>
      </c>
      <c r="C186" s="40" t="str">
        <f>IF(Bids!$B186="","",Bids!$B186)</f>
        <v/>
      </c>
      <c r="D186" s="40" t="str">
        <f>IF($C186="","",IFERROR(VLOOKUP($C186,Orders!$A:$J,9,FALSE),""))</f>
        <v/>
      </c>
      <c r="E186" s="40" t="str">
        <f>IF($C186="","",IFERROR(VLOOKUP($C186,Orders!$A:$J,3,FALSE),""))</f>
        <v/>
      </c>
      <c r="F186" s="40" t="str">
        <f>IF($C186="","",IFERROR(VLOOKUP($C186,Orders!$A:$J,4,FALSE),""))</f>
        <v/>
      </c>
      <c r="G186" s="40" t="str">
        <f>IF($C186="","",IFERROR(VLOOKUP($C186,Orders!$A:$J,5,FALSE),""))</f>
        <v/>
      </c>
      <c r="H186" s="40" t="str">
        <f>IF($C186="","",IFERROR(VLOOKUP($C186,Orders!$A:$J,6,FALSE),""))</f>
        <v/>
      </c>
      <c r="I186" s="40" t="str">
        <f>IF($C186="","",IFERROR(VLOOKUP($C186,Orders!$A:$J,7,FALSE),""))</f>
        <v/>
      </c>
      <c r="J186" s="40" t="str">
        <f>IF(Bids!$C186="","",Bids!$C186)</f>
        <v/>
      </c>
      <c r="K186" s="40" t="str">
        <f>IF($J186="","",IFERROR(VLOOKUP($J186,Grinders!$A:$N,2,FALSE),""))</f>
        <v/>
      </c>
      <c r="L186" s="40" t="str">
        <f>IF($J186="","",IFERROR(VLOOKUP($J186,Grinders!$A:$N,3,FALSE),""))</f>
        <v/>
      </c>
      <c r="M186" s="40" t="str">
        <f>IF($J186="","",IFERROR(VLOOKUP($J186,Grinders!$A:$N,4,FALSE),""))</f>
        <v/>
      </c>
      <c r="N186" s="40" t="str">
        <f>IF($J186="","",IFERROR(VLOOKUP($J186,Grinders!$A:$N,5,FALSE),""))</f>
        <v/>
      </c>
      <c r="O186" s="40" t="str">
        <f t="shared" si="2"/>
        <v/>
      </c>
      <c r="P186" s="40" t="str">
        <f>IF($J186="","",IFERROR(VLOOKUP($J186,Grinders!$A:$N,6,FALSE),""))</f>
        <v/>
      </c>
      <c r="Q186" s="40" t="str">
        <f>IF($J186="","",IFERROR(VLOOKUP($J186,Grinders!$A:$N,8,FALSE),""))</f>
        <v/>
      </c>
      <c r="R186" s="40" t="str">
        <f>IFERROR(IF($J186="","",IF($L186="Elite",MAX(50,MIN(100,Config!$B$27*MAX(0,MIN(100,(1-IF($O186="",0,$O186))*100)) + Config!$B$28*MAX(0,MIN(100,(1-MIN(1,IF(Config!$B$30=0,1,$P186/Config!$B$30)))*100)) + Config!$B$29*MAX(0,MIN(100,MIN(1,IF($Q186="",0,$Q186)/Config!$B$23)*100)))),MIN(100,Config!$B$27*MAX(0,MIN(100,(1-IF($O186="",0,$O186))*100)) + Config!$B$28*MAX(0,MIN(100,(1-MIN(1,IF(Config!$B$30=0,1,$P186/Config!$B$30)))*100)) + Config!$B$29*MAX(0,MIN(100,MIN(1,IF($Q186="",0,$Q186)/Config!$B$23)*100))))),"")
</f>
        <v/>
      </c>
      <c r="S186" s="40" t="str">
        <f>IF(Bids!$AC186="","",Bids!$AC186)</f>
        <v/>
      </c>
      <c r="T186" s="40" t="str">
        <f>IF(Bids!$F186="","",Bids!$F186)</f>
        <v/>
      </c>
      <c r="U186" s="40" t="str">
        <f t="shared" si="3"/>
        <v/>
      </c>
      <c r="V186" s="40" t="str">
        <f>IF($U186="","",IF(Config!$B$17=Config!$B$16,IF($U186&gt;=Config!$B$17,100,0),MAX(0,MIN(100,($U186-Config!$B$16)/(Config!$B$17-Config!$B$16)*100))))</f>
        <v/>
      </c>
      <c r="W186" s="40">
        <f>IF($L186="Elite",Config!$B$21,0)</f>
        <v>0</v>
      </c>
      <c r="X186" s="40" t="str">
        <f>IFERROR(IF(OR($T186="",$G186=""),"",IF($T186&gt;$G186,
  MAX(0, 60-(($T186-$G186)*24/Config!$B$19)*60),
  MEDIAN(60, 100, 60+(($G186-$T186)*24/Config!$B$20)*40)
)),"")
</f>
        <v/>
      </c>
      <c r="Y186" s="40" t="str">
        <f>IF($J186="","",IFERROR(VLOOKUP($J186,Grinders!$A:$N,10,FALSE),""))</f>
        <v/>
      </c>
      <c r="Z186" s="40" t="str">
        <f>IF($J186="","",IFERROR(VLOOKUP($J186,Grinders!$A:$N,11,FALSE),""))</f>
        <v/>
      </c>
      <c r="AA186" s="40" t="str">
        <f>IF($J186="","",IFERROR(VLOOKUP($J186,Grinders!$A:$N,12,FALSE),""))</f>
        <v/>
      </c>
      <c r="AB186" s="40" t="str">
        <f>IF(OR(AL186=1,AM186=1),0,=IFERROR(IF(OR($C186="",$J186=""),0,IF($D186&lt;&gt;"Open",0,IF(COUNTIFS(GrinderServices!$A:$A,$J186,GrinderServices!$B:$B,$E186,GrinderServices!$D:$D,"Y")=0,0,IF($U186&lt;Config!$B$16,0,IF(Config!$B$18=1,IF($N186&gt;=$M186,0,1),1))))),""))</f>
        <v>#ERROR!</v>
      </c>
      <c r="AC186" s="40" t="str">
        <f>IFERROR((IF(OR(AL186=1,AM186=1),"",=IFERROR((IFERROR(IF($AB186=0,"",((Config!$B$6*$V186 + Config!$B$7*$R186 + Config!$B$8*$W186 + Config!$B$9*$X186 + Config!$B$10*$Y186 + Config!$B$11*$Z186 - Config!$B$12*$AA186)/Config!$B$13)+$AH186+$AI186),""))*(1-IFERROR(VLOOKUP(J186,Grinders!$A:$AB, 28, FALSE),0)),"")))*(1+AO186),"")</f>
        <v>#ERROR!</v>
      </c>
      <c r="AD186" s="40" t="str">
        <f t="shared" si="4"/>
        <v/>
      </c>
      <c r="AE186" s="40" t="str">
        <f>IFERROR(__xludf.DUMMYFUNCTION("IF($AC186="""","""",IF($AC186=IFERROR(MAX(FILTER($AC$6:$AC$1000,$C$6:$C$1000=$C186,$AB$6:$AB$1000=1)),),""WINNER"",""""))"),"#ERROR!")</f>
        <v>#ERROR!</v>
      </c>
      <c r="AF186" s="40" t="str">
        <f t="shared" si="5"/>
        <v/>
      </c>
      <c r="AG186" s="40" t="str">
        <f>IF($J186="","",COUNTIF(Assignments!$B:$B,$J186))</f>
        <v/>
      </c>
      <c r="AH186" s="40" t="str">
        <f>IF($J186="","",IF(AND($AG186=0,$N186&lt;$M186),Config!$B$43,0))</f>
        <v/>
      </c>
      <c r="AI186" s="40" t="str">
        <f>IF($J186="","",IF(AND($L186="Elite",$F186&gt;=Config!$B$41,$N186&lt;$M186),Config!$B$42,0))</f>
        <v/>
      </c>
      <c r="AJ186" s="22"/>
      <c r="AK186" s="39">
        <f>IFERROR(VLOOKUP(J186,Grinders!$A:$Q,28,FALSE),0)</f>
        <v>0</v>
      </c>
      <c r="AL186" s="39">
        <f>IF(Config!$B$1003&lt;&gt;"Y",0,IF(IFERROR(VLOOKUP(J186,Grinders!$A:$P,27,FALSE),0)&gt;=3,IF(OR(F186&gt;=Config!$B$1001,ISNUMBER(SEARCH(E186,Config!$B$1002))),1,0),0))</f>
        <v>0</v>
      </c>
      <c r="AM186" s="39">
        <f t="array" ref="AM186">IFERROR(IF(INDEX(Bids!$AE:$AE,MATCH(B186,Bids!$A:$A,0))="Pending",1,0),0)</f>
        <v>0</v>
      </c>
      <c r="AN186" s="39" t="str">
        <f t="array" ref="AN186">IF(C186="","",IFERROR(XLOOKUP(C186,Assignments!$C:$C,Assignments!$AU:$AU,0),0))</f>
        <v/>
      </c>
      <c r="AO186" s="39">
        <f>IF(AND(Config!$B$1006="Y",AN186=1),Config!$B$1007,0)</f>
        <v>0</v>
      </c>
    </row>
    <row r="187" ht="15.75" customHeight="1">
      <c r="A187" s="46" t="str">
        <f t="shared" si="1"/>
        <v/>
      </c>
      <c r="B187" s="40" t="str">
        <f>IF(Bids!$A187="","",Bids!$A187)</f>
        <v/>
      </c>
      <c r="C187" s="40" t="str">
        <f>IF(Bids!$B187="","",Bids!$B187)</f>
        <v/>
      </c>
      <c r="D187" s="40" t="str">
        <f>IF($C187="","",IFERROR(VLOOKUP($C187,Orders!$A:$J,9,FALSE),""))</f>
        <v/>
      </c>
      <c r="E187" s="40" t="str">
        <f>IF($C187="","",IFERROR(VLOOKUP($C187,Orders!$A:$J,3,FALSE),""))</f>
        <v/>
      </c>
      <c r="F187" s="40" t="str">
        <f>IF($C187="","",IFERROR(VLOOKUP($C187,Orders!$A:$J,4,FALSE),""))</f>
        <v/>
      </c>
      <c r="G187" s="40" t="str">
        <f>IF($C187="","",IFERROR(VLOOKUP($C187,Orders!$A:$J,5,FALSE),""))</f>
        <v/>
      </c>
      <c r="H187" s="40" t="str">
        <f>IF($C187="","",IFERROR(VLOOKUP($C187,Orders!$A:$J,6,FALSE),""))</f>
        <v/>
      </c>
      <c r="I187" s="40" t="str">
        <f>IF($C187="","",IFERROR(VLOOKUP($C187,Orders!$A:$J,7,FALSE),""))</f>
        <v/>
      </c>
      <c r="J187" s="40" t="str">
        <f>IF(Bids!$C187="","",Bids!$C187)</f>
        <v/>
      </c>
      <c r="K187" s="40" t="str">
        <f>IF($J187="","",IFERROR(VLOOKUP($J187,Grinders!$A:$N,2,FALSE),""))</f>
        <v/>
      </c>
      <c r="L187" s="40" t="str">
        <f>IF($J187="","",IFERROR(VLOOKUP($J187,Grinders!$A:$N,3,FALSE),""))</f>
        <v/>
      </c>
      <c r="M187" s="40" t="str">
        <f>IF($J187="","",IFERROR(VLOOKUP($J187,Grinders!$A:$N,4,FALSE),""))</f>
        <v/>
      </c>
      <c r="N187" s="40" t="str">
        <f>IF($J187="","",IFERROR(VLOOKUP($J187,Grinders!$A:$N,5,FALSE),""))</f>
        <v/>
      </c>
      <c r="O187" s="40" t="str">
        <f t="shared" si="2"/>
        <v/>
      </c>
      <c r="P187" s="40" t="str">
        <f>IF($J187="","",IFERROR(VLOOKUP($J187,Grinders!$A:$N,6,FALSE),""))</f>
        <v/>
      </c>
      <c r="Q187" s="40" t="str">
        <f>IF($J187="","",IFERROR(VLOOKUP($J187,Grinders!$A:$N,8,FALSE),""))</f>
        <v/>
      </c>
      <c r="R187" s="40" t="str">
        <f>IFERROR(IF($J187="","",IF($L187="Elite",MAX(50,MIN(100,Config!$B$27*MAX(0,MIN(100,(1-IF($O187="",0,$O187))*100)) + Config!$B$28*MAX(0,MIN(100,(1-MIN(1,IF(Config!$B$30=0,1,$P187/Config!$B$30)))*100)) + Config!$B$29*MAX(0,MIN(100,MIN(1,IF($Q187="",0,$Q187)/Config!$B$23)*100)))),MIN(100,Config!$B$27*MAX(0,MIN(100,(1-IF($O187="",0,$O187))*100)) + Config!$B$28*MAX(0,MIN(100,(1-MIN(1,IF(Config!$B$30=0,1,$P187/Config!$B$30)))*100)) + Config!$B$29*MAX(0,MIN(100,MIN(1,IF($Q187="",0,$Q187)/Config!$B$23)*100))))),"")
</f>
        <v/>
      </c>
      <c r="S187" s="40" t="str">
        <f>IF(Bids!$AC187="","",Bids!$AC187)</f>
        <v/>
      </c>
      <c r="T187" s="40" t="str">
        <f>IF(Bids!$F187="","",Bids!$F187)</f>
        <v/>
      </c>
      <c r="U187" s="40" t="str">
        <f t="shared" si="3"/>
        <v/>
      </c>
      <c r="V187" s="40" t="str">
        <f>IF($U187="","",IF(Config!$B$17=Config!$B$16,IF($U187&gt;=Config!$B$17,100,0),MAX(0,MIN(100,($U187-Config!$B$16)/(Config!$B$17-Config!$B$16)*100))))</f>
        <v/>
      </c>
      <c r="W187" s="40">
        <f>IF($L187="Elite",Config!$B$21,0)</f>
        <v>0</v>
      </c>
      <c r="X187" s="40" t="str">
        <f>IFERROR(IF(OR($T187="",$G187=""),"",IF($T187&gt;$G187,
  MAX(0, 60-(($T187-$G187)*24/Config!$B$19)*60),
  MEDIAN(60, 100, 60+(($G187-$T187)*24/Config!$B$20)*40)
)),"")
</f>
        <v/>
      </c>
      <c r="Y187" s="40" t="str">
        <f>IF($J187="","",IFERROR(VLOOKUP($J187,Grinders!$A:$N,10,FALSE),""))</f>
        <v/>
      </c>
      <c r="Z187" s="40" t="str">
        <f>IF($J187="","",IFERROR(VLOOKUP($J187,Grinders!$A:$N,11,FALSE),""))</f>
        <v/>
      </c>
      <c r="AA187" s="40" t="str">
        <f>IF($J187="","",IFERROR(VLOOKUP($J187,Grinders!$A:$N,12,FALSE),""))</f>
        <v/>
      </c>
      <c r="AB187" s="40" t="str">
        <f>IF(OR(AL187=1,AM187=1),0,=IFERROR(IF(OR($C187="",$J187=""),0,IF($D187&lt;&gt;"Open",0,IF(COUNTIFS(GrinderServices!$A:$A,$J187,GrinderServices!$B:$B,$E187,GrinderServices!$D:$D,"Y")=0,0,IF($U187&lt;Config!$B$16,0,IF(Config!$B$18=1,IF($N187&gt;=$M187,0,1),1))))),""))</f>
        <v>#ERROR!</v>
      </c>
      <c r="AC187" s="40" t="str">
        <f>IFERROR((IF(OR(AL187=1,AM187=1),"",=IFERROR((IFERROR(IF($AB187=0,"",((Config!$B$6*$V187 + Config!$B$7*$R187 + Config!$B$8*$W187 + Config!$B$9*$X187 + Config!$B$10*$Y187 + Config!$B$11*$Z187 - Config!$B$12*$AA187)/Config!$B$13)+$AH187+$AI187),""))*(1-IFERROR(VLOOKUP(J187,Grinders!$A:$AB, 28, FALSE),0)),"")))*(1+AO187),"")</f>
        <v>#ERROR!</v>
      </c>
      <c r="AD187" s="40" t="str">
        <f t="shared" si="4"/>
        <v/>
      </c>
      <c r="AE187" s="40" t="str">
        <f>IFERROR(__xludf.DUMMYFUNCTION("IF($AC187="""","""",IF($AC187=IFERROR(MAX(FILTER($AC$6:$AC$1000,$C$6:$C$1000=$C187,$AB$6:$AB$1000=1)),),""WINNER"",""""))"),"#ERROR!")</f>
        <v>#ERROR!</v>
      </c>
      <c r="AF187" s="40" t="str">
        <f t="shared" si="5"/>
        <v/>
      </c>
      <c r="AG187" s="40" t="str">
        <f>IF($J187="","",COUNTIF(Assignments!$B:$B,$J187))</f>
        <v/>
      </c>
      <c r="AH187" s="40" t="str">
        <f>IF($J187="","",IF(AND($AG187=0,$N187&lt;$M187),Config!$B$43,0))</f>
        <v/>
      </c>
      <c r="AI187" s="40" t="str">
        <f>IF($J187="","",IF(AND($L187="Elite",$F187&gt;=Config!$B$41,$N187&lt;$M187),Config!$B$42,0))</f>
        <v/>
      </c>
      <c r="AJ187" s="22"/>
      <c r="AK187" s="39">
        <f>IFERROR(VLOOKUP(J187,Grinders!$A:$Q,28,FALSE),0)</f>
        <v>0</v>
      </c>
      <c r="AL187" s="39">
        <f>IF(Config!$B$1003&lt;&gt;"Y",0,IF(IFERROR(VLOOKUP(J187,Grinders!$A:$P,27,FALSE),0)&gt;=3,IF(OR(F187&gt;=Config!$B$1001,ISNUMBER(SEARCH(E187,Config!$B$1002))),1,0),0))</f>
        <v>0</v>
      </c>
      <c r="AM187" s="39">
        <f t="array" ref="AM187">IFERROR(IF(INDEX(Bids!$AE:$AE,MATCH(B187,Bids!$A:$A,0))="Pending",1,0),0)</f>
        <v>0</v>
      </c>
      <c r="AN187" s="39" t="str">
        <f t="array" ref="AN187">IF(C187="","",IFERROR(XLOOKUP(C187,Assignments!$C:$C,Assignments!$AU:$AU,0),0))</f>
        <v/>
      </c>
      <c r="AO187" s="39">
        <f>IF(AND(Config!$B$1006="Y",AN187=1),Config!$B$1007,0)</f>
        <v>0</v>
      </c>
    </row>
    <row r="188" ht="15.75" customHeight="1">
      <c r="A188" s="46" t="str">
        <f t="shared" si="1"/>
        <v/>
      </c>
      <c r="B188" s="40" t="str">
        <f>IF(Bids!$A188="","",Bids!$A188)</f>
        <v/>
      </c>
      <c r="C188" s="40" t="str">
        <f>IF(Bids!$B188="","",Bids!$B188)</f>
        <v/>
      </c>
      <c r="D188" s="40" t="str">
        <f>IF($C188="","",IFERROR(VLOOKUP($C188,Orders!$A:$J,9,FALSE),""))</f>
        <v/>
      </c>
      <c r="E188" s="40" t="str">
        <f>IF($C188="","",IFERROR(VLOOKUP($C188,Orders!$A:$J,3,FALSE),""))</f>
        <v/>
      </c>
      <c r="F188" s="40" t="str">
        <f>IF($C188="","",IFERROR(VLOOKUP($C188,Orders!$A:$J,4,FALSE),""))</f>
        <v/>
      </c>
      <c r="G188" s="40" t="str">
        <f>IF($C188="","",IFERROR(VLOOKUP($C188,Orders!$A:$J,5,FALSE),""))</f>
        <v/>
      </c>
      <c r="H188" s="40" t="str">
        <f>IF($C188="","",IFERROR(VLOOKUP($C188,Orders!$A:$J,6,FALSE),""))</f>
        <v/>
      </c>
      <c r="I188" s="40" t="str">
        <f>IF($C188="","",IFERROR(VLOOKUP($C188,Orders!$A:$J,7,FALSE),""))</f>
        <v/>
      </c>
      <c r="J188" s="40" t="str">
        <f>IF(Bids!$C188="","",Bids!$C188)</f>
        <v/>
      </c>
      <c r="K188" s="40" t="str">
        <f>IF($J188="","",IFERROR(VLOOKUP($J188,Grinders!$A:$N,2,FALSE),""))</f>
        <v/>
      </c>
      <c r="L188" s="40" t="str">
        <f>IF($J188="","",IFERROR(VLOOKUP($J188,Grinders!$A:$N,3,FALSE),""))</f>
        <v/>
      </c>
      <c r="M188" s="40" t="str">
        <f>IF($J188="","",IFERROR(VLOOKUP($J188,Grinders!$A:$N,4,FALSE),""))</f>
        <v/>
      </c>
      <c r="N188" s="40" t="str">
        <f>IF($J188="","",IFERROR(VLOOKUP($J188,Grinders!$A:$N,5,FALSE),""))</f>
        <v/>
      </c>
      <c r="O188" s="40" t="str">
        <f t="shared" si="2"/>
        <v/>
      </c>
      <c r="P188" s="40" t="str">
        <f>IF($J188="","",IFERROR(VLOOKUP($J188,Grinders!$A:$N,6,FALSE),""))</f>
        <v/>
      </c>
      <c r="Q188" s="40" t="str">
        <f>IF($J188="","",IFERROR(VLOOKUP($J188,Grinders!$A:$N,8,FALSE),""))</f>
        <v/>
      </c>
      <c r="R188" s="40" t="str">
        <f>IFERROR(IF($J188="","",IF($L188="Elite",MAX(50,MIN(100,Config!$B$27*MAX(0,MIN(100,(1-IF($O188="",0,$O188))*100)) + Config!$B$28*MAX(0,MIN(100,(1-MIN(1,IF(Config!$B$30=0,1,$P188/Config!$B$30)))*100)) + Config!$B$29*MAX(0,MIN(100,MIN(1,IF($Q188="",0,$Q188)/Config!$B$23)*100)))),MIN(100,Config!$B$27*MAX(0,MIN(100,(1-IF($O188="",0,$O188))*100)) + Config!$B$28*MAX(0,MIN(100,(1-MIN(1,IF(Config!$B$30=0,1,$P188/Config!$B$30)))*100)) + Config!$B$29*MAX(0,MIN(100,MIN(1,IF($Q188="",0,$Q188)/Config!$B$23)*100))))),"")
</f>
        <v/>
      </c>
      <c r="S188" s="40" t="str">
        <f>IF(Bids!$AC188="","",Bids!$AC188)</f>
        <v/>
      </c>
      <c r="T188" s="40" t="str">
        <f>IF(Bids!$F188="","",Bids!$F188)</f>
        <v/>
      </c>
      <c r="U188" s="40" t="str">
        <f t="shared" si="3"/>
        <v/>
      </c>
      <c r="V188" s="40" t="str">
        <f>IF($U188="","",IF(Config!$B$17=Config!$B$16,IF($U188&gt;=Config!$B$17,100,0),MAX(0,MIN(100,($U188-Config!$B$16)/(Config!$B$17-Config!$B$16)*100))))</f>
        <v/>
      </c>
      <c r="W188" s="40">
        <f>IF($L188="Elite",Config!$B$21,0)</f>
        <v>0</v>
      </c>
      <c r="X188" s="40" t="str">
        <f>IFERROR(IF(OR($T188="",$G188=""),"",IF($T188&gt;$G188,
  MAX(0, 60-(($T188-$G188)*24/Config!$B$19)*60),
  MEDIAN(60, 100, 60+(($G188-$T188)*24/Config!$B$20)*40)
)),"")
</f>
        <v/>
      </c>
      <c r="Y188" s="40" t="str">
        <f>IF($J188="","",IFERROR(VLOOKUP($J188,Grinders!$A:$N,10,FALSE),""))</f>
        <v/>
      </c>
      <c r="Z188" s="40" t="str">
        <f>IF($J188="","",IFERROR(VLOOKUP($J188,Grinders!$A:$N,11,FALSE),""))</f>
        <v/>
      </c>
      <c r="AA188" s="40" t="str">
        <f>IF($J188="","",IFERROR(VLOOKUP($J188,Grinders!$A:$N,12,FALSE),""))</f>
        <v/>
      </c>
      <c r="AB188" s="40" t="str">
        <f>IF(OR(AL188=1,AM188=1),0,=IFERROR(IF(OR($C188="",$J188=""),0,IF($D188&lt;&gt;"Open",0,IF(COUNTIFS(GrinderServices!$A:$A,$J188,GrinderServices!$B:$B,$E188,GrinderServices!$D:$D,"Y")=0,0,IF($U188&lt;Config!$B$16,0,IF(Config!$B$18=1,IF($N188&gt;=$M188,0,1),1))))),""))</f>
        <v>#ERROR!</v>
      </c>
      <c r="AC188" s="40" t="str">
        <f>IFERROR((IF(OR(AL188=1,AM188=1),"",=IFERROR((IFERROR(IF($AB188=0,"",((Config!$B$6*$V188 + Config!$B$7*$R188 + Config!$B$8*$W188 + Config!$B$9*$X188 + Config!$B$10*$Y188 + Config!$B$11*$Z188 - Config!$B$12*$AA188)/Config!$B$13)+$AH188+$AI188),""))*(1-IFERROR(VLOOKUP(J188,Grinders!$A:$AB, 28, FALSE),0)),"")))*(1+AO188),"")</f>
        <v>#ERROR!</v>
      </c>
      <c r="AD188" s="40" t="str">
        <f t="shared" si="4"/>
        <v/>
      </c>
      <c r="AE188" s="40" t="str">
        <f>IFERROR(__xludf.DUMMYFUNCTION("IF($AC188="""","""",IF($AC188=IFERROR(MAX(FILTER($AC$6:$AC$1000,$C$6:$C$1000=$C188,$AB$6:$AB$1000=1)),),""WINNER"",""""))"),"#ERROR!")</f>
        <v>#ERROR!</v>
      </c>
      <c r="AF188" s="40" t="str">
        <f t="shared" si="5"/>
        <v/>
      </c>
      <c r="AG188" s="40" t="str">
        <f>IF($J188="","",COUNTIF(Assignments!$B:$B,$J188))</f>
        <v/>
      </c>
      <c r="AH188" s="40" t="str">
        <f>IF($J188="","",IF(AND($AG188=0,$N188&lt;$M188),Config!$B$43,0))</f>
        <v/>
      </c>
      <c r="AI188" s="40" t="str">
        <f>IF($J188="","",IF(AND($L188="Elite",$F188&gt;=Config!$B$41,$N188&lt;$M188),Config!$B$42,0))</f>
        <v/>
      </c>
      <c r="AJ188" s="22"/>
      <c r="AK188" s="39">
        <f>IFERROR(VLOOKUP(J188,Grinders!$A:$Q,28,FALSE),0)</f>
        <v>0</v>
      </c>
      <c r="AL188" s="39">
        <f>IF(Config!$B$1003&lt;&gt;"Y",0,IF(IFERROR(VLOOKUP(J188,Grinders!$A:$P,27,FALSE),0)&gt;=3,IF(OR(F188&gt;=Config!$B$1001,ISNUMBER(SEARCH(E188,Config!$B$1002))),1,0),0))</f>
        <v>0</v>
      </c>
      <c r="AM188" s="39">
        <f t="array" ref="AM188">IFERROR(IF(INDEX(Bids!$AE:$AE,MATCH(B188,Bids!$A:$A,0))="Pending",1,0),0)</f>
        <v>0</v>
      </c>
      <c r="AN188" s="39" t="str">
        <f t="array" ref="AN188">IF(C188="","",IFERROR(XLOOKUP(C188,Assignments!$C:$C,Assignments!$AU:$AU,0),0))</f>
        <v/>
      </c>
      <c r="AO188" s="39">
        <f>IF(AND(Config!$B$1006="Y",AN188=1),Config!$B$1007,0)</f>
        <v>0</v>
      </c>
    </row>
    <row r="189" ht="15.75" customHeight="1">
      <c r="A189" s="46" t="str">
        <f t="shared" si="1"/>
        <v/>
      </c>
      <c r="B189" s="40" t="str">
        <f>IF(Bids!$A189="","",Bids!$A189)</f>
        <v/>
      </c>
      <c r="C189" s="40" t="str">
        <f>IF(Bids!$B189="","",Bids!$B189)</f>
        <v/>
      </c>
      <c r="D189" s="40" t="str">
        <f>IF($C189="","",IFERROR(VLOOKUP($C189,Orders!$A:$J,9,FALSE),""))</f>
        <v/>
      </c>
      <c r="E189" s="40" t="str">
        <f>IF($C189="","",IFERROR(VLOOKUP($C189,Orders!$A:$J,3,FALSE),""))</f>
        <v/>
      </c>
      <c r="F189" s="40" t="str">
        <f>IF($C189="","",IFERROR(VLOOKUP($C189,Orders!$A:$J,4,FALSE),""))</f>
        <v/>
      </c>
      <c r="G189" s="40" t="str">
        <f>IF($C189="","",IFERROR(VLOOKUP($C189,Orders!$A:$J,5,FALSE),""))</f>
        <v/>
      </c>
      <c r="H189" s="40" t="str">
        <f>IF($C189="","",IFERROR(VLOOKUP($C189,Orders!$A:$J,6,FALSE),""))</f>
        <v/>
      </c>
      <c r="I189" s="40" t="str">
        <f>IF($C189="","",IFERROR(VLOOKUP($C189,Orders!$A:$J,7,FALSE),""))</f>
        <v/>
      </c>
      <c r="J189" s="40" t="str">
        <f>IF(Bids!$C189="","",Bids!$C189)</f>
        <v/>
      </c>
      <c r="K189" s="40" t="str">
        <f>IF($J189="","",IFERROR(VLOOKUP($J189,Grinders!$A:$N,2,FALSE),""))</f>
        <v/>
      </c>
      <c r="L189" s="40" t="str">
        <f>IF($J189="","",IFERROR(VLOOKUP($J189,Grinders!$A:$N,3,FALSE),""))</f>
        <v/>
      </c>
      <c r="M189" s="40" t="str">
        <f>IF($J189="","",IFERROR(VLOOKUP($J189,Grinders!$A:$N,4,FALSE),""))</f>
        <v/>
      </c>
      <c r="N189" s="40" t="str">
        <f>IF($J189="","",IFERROR(VLOOKUP($J189,Grinders!$A:$N,5,FALSE),""))</f>
        <v/>
      </c>
      <c r="O189" s="40" t="str">
        <f t="shared" si="2"/>
        <v/>
      </c>
      <c r="P189" s="40" t="str">
        <f>IF($J189="","",IFERROR(VLOOKUP($J189,Grinders!$A:$N,6,FALSE),""))</f>
        <v/>
      </c>
      <c r="Q189" s="40" t="str">
        <f>IF($J189="","",IFERROR(VLOOKUP($J189,Grinders!$A:$N,8,FALSE),""))</f>
        <v/>
      </c>
      <c r="R189" s="40" t="str">
        <f>IFERROR(IF($J189="","",IF($L189="Elite",MAX(50,MIN(100,Config!$B$27*MAX(0,MIN(100,(1-IF($O189="",0,$O189))*100)) + Config!$B$28*MAX(0,MIN(100,(1-MIN(1,IF(Config!$B$30=0,1,$P189/Config!$B$30)))*100)) + Config!$B$29*MAX(0,MIN(100,MIN(1,IF($Q189="",0,$Q189)/Config!$B$23)*100)))),MIN(100,Config!$B$27*MAX(0,MIN(100,(1-IF($O189="",0,$O189))*100)) + Config!$B$28*MAX(0,MIN(100,(1-MIN(1,IF(Config!$B$30=0,1,$P189/Config!$B$30)))*100)) + Config!$B$29*MAX(0,MIN(100,MIN(1,IF($Q189="",0,$Q189)/Config!$B$23)*100))))),"")
</f>
        <v/>
      </c>
      <c r="S189" s="40" t="str">
        <f>IF(Bids!$AC189="","",Bids!$AC189)</f>
        <v/>
      </c>
      <c r="T189" s="40" t="str">
        <f>IF(Bids!$F189="","",Bids!$F189)</f>
        <v/>
      </c>
      <c r="U189" s="40" t="str">
        <f t="shared" si="3"/>
        <v/>
      </c>
      <c r="V189" s="40" t="str">
        <f>IF($U189="","",IF(Config!$B$17=Config!$B$16,IF($U189&gt;=Config!$B$17,100,0),MAX(0,MIN(100,($U189-Config!$B$16)/(Config!$B$17-Config!$B$16)*100))))</f>
        <v/>
      </c>
      <c r="W189" s="40">
        <f>IF($L189="Elite",Config!$B$21,0)</f>
        <v>0</v>
      </c>
      <c r="X189" s="40" t="str">
        <f>IFERROR(IF(OR($T189="",$G189=""),"",IF($T189&gt;$G189,
  MAX(0, 60-(($T189-$G189)*24/Config!$B$19)*60),
  MEDIAN(60, 100, 60+(($G189-$T189)*24/Config!$B$20)*40)
)),"")
</f>
        <v/>
      </c>
      <c r="Y189" s="40" t="str">
        <f>IF($J189="","",IFERROR(VLOOKUP($J189,Grinders!$A:$N,10,FALSE),""))</f>
        <v/>
      </c>
      <c r="Z189" s="40" t="str">
        <f>IF($J189="","",IFERROR(VLOOKUP($J189,Grinders!$A:$N,11,FALSE),""))</f>
        <v/>
      </c>
      <c r="AA189" s="40" t="str">
        <f>IF($J189="","",IFERROR(VLOOKUP($J189,Grinders!$A:$N,12,FALSE),""))</f>
        <v/>
      </c>
      <c r="AB189" s="40" t="str">
        <f>IF(OR(AL189=1,AM189=1),0,=IFERROR(IF(OR($C189="",$J189=""),0,IF($D189&lt;&gt;"Open",0,IF(COUNTIFS(GrinderServices!$A:$A,$J189,GrinderServices!$B:$B,$E189,GrinderServices!$D:$D,"Y")=0,0,IF($U189&lt;Config!$B$16,0,IF(Config!$B$18=1,IF($N189&gt;=$M189,0,1),1))))),""))</f>
        <v>#ERROR!</v>
      </c>
      <c r="AC189" s="40" t="str">
        <f>IFERROR((IF(OR(AL189=1,AM189=1),"",=IFERROR((IFERROR(IF($AB189=0,"",((Config!$B$6*$V189 + Config!$B$7*$R189 + Config!$B$8*$W189 + Config!$B$9*$X189 + Config!$B$10*$Y189 + Config!$B$11*$Z189 - Config!$B$12*$AA189)/Config!$B$13)+$AH189+$AI189),""))*(1-IFERROR(VLOOKUP(J189,Grinders!$A:$AB, 28, FALSE),0)),"")))*(1+AO189),"")</f>
        <v>#ERROR!</v>
      </c>
      <c r="AD189" s="40" t="str">
        <f t="shared" si="4"/>
        <v/>
      </c>
      <c r="AE189" s="40" t="str">
        <f>IFERROR(__xludf.DUMMYFUNCTION("IF($AC189="""","""",IF($AC189=IFERROR(MAX(FILTER($AC$6:$AC$1000,$C$6:$C$1000=$C189,$AB$6:$AB$1000=1)),),""WINNER"",""""))"),"#ERROR!")</f>
        <v>#ERROR!</v>
      </c>
      <c r="AF189" s="40" t="str">
        <f t="shared" si="5"/>
        <v/>
      </c>
      <c r="AG189" s="40" t="str">
        <f>IF($J189="","",COUNTIF(Assignments!$B:$B,$J189))</f>
        <v/>
      </c>
      <c r="AH189" s="40" t="str">
        <f>IF($J189="","",IF(AND($AG189=0,$N189&lt;$M189),Config!$B$43,0))</f>
        <v/>
      </c>
      <c r="AI189" s="40" t="str">
        <f>IF($J189="","",IF(AND($L189="Elite",$F189&gt;=Config!$B$41,$N189&lt;$M189),Config!$B$42,0))</f>
        <v/>
      </c>
      <c r="AJ189" s="22"/>
      <c r="AK189" s="39">
        <f>IFERROR(VLOOKUP(J189,Grinders!$A:$Q,28,FALSE),0)</f>
        <v>0</v>
      </c>
      <c r="AL189" s="39">
        <f>IF(Config!$B$1003&lt;&gt;"Y",0,IF(IFERROR(VLOOKUP(J189,Grinders!$A:$P,27,FALSE),0)&gt;=3,IF(OR(F189&gt;=Config!$B$1001,ISNUMBER(SEARCH(E189,Config!$B$1002))),1,0),0))</f>
        <v>0</v>
      </c>
      <c r="AM189" s="39">
        <f t="array" ref="AM189">IFERROR(IF(INDEX(Bids!$AE:$AE,MATCH(B189,Bids!$A:$A,0))="Pending",1,0),0)</f>
        <v>0</v>
      </c>
      <c r="AN189" s="39" t="str">
        <f t="array" ref="AN189">IF(C189="","",IFERROR(XLOOKUP(C189,Assignments!$C:$C,Assignments!$AU:$AU,0),0))</f>
        <v/>
      </c>
      <c r="AO189" s="39">
        <f>IF(AND(Config!$B$1006="Y",AN189=1),Config!$B$1007,0)</f>
        <v>0</v>
      </c>
    </row>
    <row r="190" ht="15.75" customHeight="1">
      <c r="A190" s="46" t="str">
        <f t="shared" si="1"/>
        <v/>
      </c>
      <c r="B190" s="40" t="str">
        <f>IF(Bids!$A190="","",Bids!$A190)</f>
        <v/>
      </c>
      <c r="C190" s="40" t="str">
        <f>IF(Bids!$B190="","",Bids!$B190)</f>
        <v/>
      </c>
      <c r="D190" s="40" t="str">
        <f>IF($C190="","",IFERROR(VLOOKUP($C190,Orders!$A:$J,9,FALSE),""))</f>
        <v/>
      </c>
      <c r="E190" s="40" t="str">
        <f>IF($C190="","",IFERROR(VLOOKUP($C190,Orders!$A:$J,3,FALSE),""))</f>
        <v/>
      </c>
      <c r="F190" s="40" t="str">
        <f>IF($C190="","",IFERROR(VLOOKUP($C190,Orders!$A:$J,4,FALSE),""))</f>
        <v/>
      </c>
      <c r="G190" s="40" t="str">
        <f>IF($C190="","",IFERROR(VLOOKUP($C190,Orders!$A:$J,5,FALSE),""))</f>
        <v/>
      </c>
      <c r="H190" s="40" t="str">
        <f>IF($C190="","",IFERROR(VLOOKUP($C190,Orders!$A:$J,6,FALSE),""))</f>
        <v/>
      </c>
      <c r="I190" s="40" t="str">
        <f>IF($C190="","",IFERROR(VLOOKUP($C190,Orders!$A:$J,7,FALSE),""))</f>
        <v/>
      </c>
      <c r="J190" s="40" t="str">
        <f>IF(Bids!$C190="","",Bids!$C190)</f>
        <v/>
      </c>
      <c r="K190" s="40" t="str">
        <f>IF($J190="","",IFERROR(VLOOKUP($J190,Grinders!$A:$N,2,FALSE),""))</f>
        <v/>
      </c>
      <c r="L190" s="40" t="str">
        <f>IF($J190="","",IFERROR(VLOOKUP($J190,Grinders!$A:$N,3,FALSE),""))</f>
        <v/>
      </c>
      <c r="M190" s="40" t="str">
        <f>IF($J190="","",IFERROR(VLOOKUP($J190,Grinders!$A:$N,4,FALSE),""))</f>
        <v/>
      </c>
      <c r="N190" s="40" t="str">
        <f>IF($J190="","",IFERROR(VLOOKUP($J190,Grinders!$A:$N,5,FALSE),""))</f>
        <v/>
      </c>
      <c r="O190" s="40" t="str">
        <f t="shared" si="2"/>
        <v/>
      </c>
      <c r="P190" s="40" t="str">
        <f>IF($J190="","",IFERROR(VLOOKUP($J190,Grinders!$A:$N,6,FALSE),""))</f>
        <v/>
      </c>
      <c r="Q190" s="40" t="str">
        <f>IF($J190="","",IFERROR(VLOOKUP($J190,Grinders!$A:$N,8,FALSE),""))</f>
        <v/>
      </c>
      <c r="R190" s="40" t="str">
        <f>IFERROR(IF($J190="","",IF($L190="Elite",MAX(50,MIN(100,Config!$B$27*MAX(0,MIN(100,(1-IF($O190="",0,$O190))*100)) + Config!$B$28*MAX(0,MIN(100,(1-MIN(1,IF(Config!$B$30=0,1,$P190/Config!$B$30)))*100)) + Config!$B$29*MAX(0,MIN(100,MIN(1,IF($Q190="",0,$Q190)/Config!$B$23)*100)))),MIN(100,Config!$B$27*MAX(0,MIN(100,(1-IF($O190="",0,$O190))*100)) + Config!$B$28*MAX(0,MIN(100,(1-MIN(1,IF(Config!$B$30=0,1,$P190/Config!$B$30)))*100)) + Config!$B$29*MAX(0,MIN(100,MIN(1,IF($Q190="",0,$Q190)/Config!$B$23)*100))))),"")
</f>
        <v/>
      </c>
      <c r="S190" s="40" t="str">
        <f>IF(Bids!$AC190="","",Bids!$AC190)</f>
        <v/>
      </c>
      <c r="T190" s="40" t="str">
        <f>IF(Bids!$F190="","",Bids!$F190)</f>
        <v/>
      </c>
      <c r="U190" s="40" t="str">
        <f t="shared" si="3"/>
        <v/>
      </c>
      <c r="V190" s="40" t="str">
        <f>IF($U190="","",IF(Config!$B$17=Config!$B$16,IF($U190&gt;=Config!$B$17,100,0),MAX(0,MIN(100,($U190-Config!$B$16)/(Config!$B$17-Config!$B$16)*100))))</f>
        <v/>
      </c>
      <c r="W190" s="40">
        <f>IF($L190="Elite",Config!$B$21,0)</f>
        <v>0</v>
      </c>
      <c r="X190" s="40" t="str">
        <f>IFERROR(IF(OR($T190="",$G190=""),"",IF($T190&gt;$G190,
  MAX(0, 60-(($T190-$G190)*24/Config!$B$19)*60),
  MEDIAN(60, 100, 60+(($G190-$T190)*24/Config!$B$20)*40)
)),"")
</f>
        <v/>
      </c>
      <c r="Y190" s="40" t="str">
        <f>IF($J190="","",IFERROR(VLOOKUP($J190,Grinders!$A:$N,10,FALSE),""))</f>
        <v/>
      </c>
      <c r="Z190" s="40" t="str">
        <f>IF($J190="","",IFERROR(VLOOKUP($J190,Grinders!$A:$N,11,FALSE),""))</f>
        <v/>
      </c>
      <c r="AA190" s="40" t="str">
        <f>IF($J190="","",IFERROR(VLOOKUP($J190,Grinders!$A:$N,12,FALSE),""))</f>
        <v/>
      </c>
      <c r="AB190" s="40" t="str">
        <f>IF(OR(AL190=1,AM190=1),0,=IFERROR(IF(OR($C190="",$J190=""),0,IF($D190&lt;&gt;"Open",0,IF(COUNTIFS(GrinderServices!$A:$A,$J190,GrinderServices!$B:$B,$E190,GrinderServices!$D:$D,"Y")=0,0,IF($U190&lt;Config!$B$16,0,IF(Config!$B$18=1,IF($N190&gt;=$M190,0,1),1))))),""))</f>
        <v>#ERROR!</v>
      </c>
      <c r="AC190" s="40" t="str">
        <f>IFERROR((IF(OR(AL190=1,AM190=1),"",=IFERROR((IFERROR(IF($AB190=0,"",((Config!$B$6*$V190 + Config!$B$7*$R190 + Config!$B$8*$W190 + Config!$B$9*$X190 + Config!$B$10*$Y190 + Config!$B$11*$Z190 - Config!$B$12*$AA190)/Config!$B$13)+$AH190+$AI190),""))*(1-IFERROR(VLOOKUP(J190,Grinders!$A:$AB, 28, FALSE),0)),"")))*(1+AO190),"")</f>
        <v>#ERROR!</v>
      </c>
      <c r="AD190" s="40" t="str">
        <f t="shared" si="4"/>
        <v/>
      </c>
      <c r="AE190" s="40" t="str">
        <f>IFERROR(__xludf.DUMMYFUNCTION("IF($AC190="""","""",IF($AC190=IFERROR(MAX(FILTER($AC$6:$AC$1000,$C$6:$C$1000=$C190,$AB$6:$AB$1000=1)),),""WINNER"",""""))"),"#ERROR!")</f>
        <v>#ERROR!</v>
      </c>
      <c r="AF190" s="40" t="str">
        <f t="shared" si="5"/>
        <v/>
      </c>
      <c r="AG190" s="40" t="str">
        <f>IF($J190="","",COUNTIF(Assignments!$B:$B,$J190))</f>
        <v/>
      </c>
      <c r="AH190" s="40" t="str">
        <f>IF($J190="","",IF(AND($AG190=0,$N190&lt;$M190),Config!$B$43,0))</f>
        <v/>
      </c>
      <c r="AI190" s="40" t="str">
        <f>IF($J190="","",IF(AND($L190="Elite",$F190&gt;=Config!$B$41,$N190&lt;$M190),Config!$B$42,0))</f>
        <v/>
      </c>
      <c r="AJ190" s="22"/>
      <c r="AK190" s="39">
        <f>IFERROR(VLOOKUP(J190,Grinders!$A:$Q,28,FALSE),0)</f>
        <v>0</v>
      </c>
      <c r="AL190" s="39">
        <f>IF(Config!$B$1003&lt;&gt;"Y",0,IF(IFERROR(VLOOKUP(J190,Grinders!$A:$P,27,FALSE),0)&gt;=3,IF(OR(F190&gt;=Config!$B$1001,ISNUMBER(SEARCH(E190,Config!$B$1002))),1,0),0))</f>
        <v>0</v>
      </c>
      <c r="AM190" s="39">
        <f t="array" ref="AM190">IFERROR(IF(INDEX(Bids!$AE:$AE,MATCH(B190,Bids!$A:$A,0))="Pending",1,0),0)</f>
        <v>0</v>
      </c>
      <c r="AN190" s="39" t="str">
        <f t="array" ref="AN190">IF(C190="","",IFERROR(XLOOKUP(C190,Assignments!$C:$C,Assignments!$AU:$AU,0),0))</f>
        <v/>
      </c>
      <c r="AO190" s="39">
        <f>IF(AND(Config!$B$1006="Y",AN190=1),Config!$B$1007,0)</f>
        <v>0</v>
      </c>
    </row>
    <row r="191" ht="15.75" customHeight="1">
      <c r="A191" s="46" t="str">
        <f t="shared" si="1"/>
        <v/>
      </c>
      <c r="B191" s="40" t="str">
        <f>IF(Bids!$A191="","",Bids!$A191)</f>
        <v/>
      </c>
      <c r="C191" s="40" t="str">
        <f>IF(Bids!$B191="","",Bids!$B191)</f>
        <v/>
      </c>
      <c r="D191" s="40" t="str">
        <f>IF($C191="","",IFERROR(VLOOKUP($C191,Orders!$A:$J,9,FALSE),""))</f>
        <v/>
      </c>
      <c r="E191" s="40" t="str">
        <f>IF($C191="","",IFERROR(VLOOKUP($C191,Orders!$A:$J,3,FALSE),""))</f>
        <v/>
      </c>
      <c r="F191" s="40" t="str">
        <f>IF($C191="","",IFERROR(VLOOKUP($C191,Orders!$A:$J,4,FALSE),""))</f>
        <v/>
      </c>
      <c r="G191" s="40" t="str">
        <f>IF($C191="","",IFERROR(VLOOKUP($C191,Orders!$A:$J,5,FALSE),""))</f>
        <v/>
      </c>
      <c r="H191" s="40" t="str">
        <f>IF($C191="","",IFERROR(VLOOKUP($C191,Orders!$A:$J,6,FALSE),""))</f>
        <v/>
      </c>
      <c r="I191" s="40" t="str">
        <f>IF($C191="","",IFERROR(VLOOKUP($C191,Orders!$A:$J,7,FALSE),""))</f>
        <v/>
      </c>
      <c r="J191" s="40" t="str">
        <f>IF(Bids!$C191="","",Bids!$C191)</f>
        <v/>
      </c>
      <c r="K191" s="40" t="str">
        <f>IF($J191="","",IFERROR(VLOOKUP($J191,Grinders!$A:$N,2,FALSE),""))</f>
        <v/>
      </c>
      <c r="L191" s="40" t="str">
        <f>IF($J191="","",IFERROR(VLOOKUP($J191,Grinders!$A:$N,3,FALSE),""))</f>
        <v/>
      </c>
      <c r="M191" s="40" t="str">
        <f>IF($J191="","",IFERROR(VLOOKUP($J191,Grinders!$A:$N,4,FALSE),""))</f>
        <v/>
      </c>
      <c r="N191" s="40" t="str">
        <f>IF($J191="","",IFERROR(VLOOKUP($J191,Grinders!$A:$N,5,FALSE),""))</f>
        <v/>
      </c>
      <c r="O191" s="40" t="str">
        <f t="shared" si="2"/>
        <v/>
      </c>
      <c r="P191" s="40" t="str">
        <f>IF($J191="","",IFERROR(VLOOKUP($J191,Grinders!$A:$N,6,FALSE),""))</f>
        <v/>
      </c>
      <c r="Q191" s="40" t="str">
        <f>IF($J191="","",IFERROR(VLOOKUP($J191,Grinders!$A:$N,8,FALSE),""))</f>
        <v/>
      </c>
      <c r="R191" s="40" t="str">
        <f>IFERROR(IF($J191="","",IF($L191="Elite",MAX(50,MIN(100,Config!$B$27*MAX(0,MIN(100,(1-IF($O191="",0,$O191))*100)) + Config!$B$28*MAX(0,MIN(100,(1-MIN(1,IF(Config!$B$30=0,1,$P191/Config!$B$30)))*100)) + Config!$B$29*MAX(0,MIN(100,MIN(1,IF($Q191="",0,$Q191)/Config!$B$23)*100)))),MIN(100,Config!$B$27*MAX(0,MIN(100,(1-IF($O191="",0,$O191))*100)) + Config!$B$28*MAX(0,MIN(100,(1-MIN(1,IF(Config!$B$30=0,1,$P191/Config!$B$30)))*100)) + Config!$B$29*MAX(0,MIN(100,MIN(1,IF($Q191="",0,$Q191)/Config!$B$23)*100))))),"")
</f>
        <v/>
      </c>
      <c r="S191" s="40" t="str">
        <f>IF(Bids!$AC191="","",Bids!$AC191)</f>
        <v/>
      </c>
      <c r="T191" s="40" t="str">
        <f>IF(Bids!$F191="","",Bids!$F191)</f>
        <v/>
      </c>
      <c r="U191" s="40" t="str">
        <f t="shared" si="3"/>
        <v/>
      </c>
      <c r="V191" s="40" t="str">
        <f>IF($U191="","",IF(Config!$B$17=Config!$B$16,IF($U191&gt;=Config!$B$17,100,0),MAX(0,MIN(100,($U191-Config!$B$16)/(Config!$B$17-Config!$B$16)*100))))</f>
        <v/>
      </c>
      <c r="W191" s="40">
        <f>IF($L191="Elite",Config!$B$21,0)</f>
        <v>0</v>
      </c>
      <c r="X191" s="40" t="str">
        <f>IFERROR(IF(OR($T191="",$G191=""),"",IF($T191&gt;$G191,
  MAX(0, 60-(($T191-$G191)*24/Config!$B$19)*60),
  MEDIAN(60, 100, 60+(($G191-$T191)*24/Config!$B$20)*40)
)),"")
</f>
        <v/>
      </c>
      <c r="Y191" s="40" t="str">
        <f>IF($J191="","",IFERROR(VLOOKUP($J191,Grinders!$A:$N,10,FALSE),""))</f>
        <v/>
      </c>
      <c r="Z191" s="40" t="str">
        <f>IF($J191="","",IFERROR(VLOOKUP($J191,Grinders!$A:$N,11,FALSE),""))</f>
        <v/>
      </c>
      <c r="AA191" s="40" t="str">
        <f>IF($J191="","",IFERROR(VLOOKUP($J191,Grinders!$A:$N,12,FALSE),""))</f>
        <v/>
      </c>
      <c r="AB191" s="40" t="str">
        <f>IF(OR(AL191=1,AM191=1),0,=IFERROR(IF(OR($C191="",$J191=""),0,IF($D191&lt;&gt;"Open",0,IF(COUNTIFS(GrinderServices!$A:$A,$J191,GrinderServices!$B:$B,$E191,GrinderServices!$D:$D,"Y")=0,0,IF($U191&lt;Config!$B$16,0,IF(Config!$B$18=1,IF($N191&gt;=$M191,0,1),1))))),""))</f>
        <v>#ERROR!</v>
      </c>
      <c r="AC191" s="40" t="str">
        <f>IFERROR((IF(OR(AL191=1,AM191=1),"",=IFERROR((IFERROR(IF($AB191=0,"",((Config!$B$6*$V191 + Config!$B$7*$R191 + Config!$B$8*$W191 + Config!$B$9*$X191 + Config!$B$10*$Y191 + Config!$B$11*$Z191 - Config!$B$12*$AA191)/Config!$B$13)+$AH191+$AI191),""))*(1-IFERROR(VLOOKUP(J191,Grinders!$A:$AB, 28, FALSE),0)),"")))*(1+AO191),"")</f>
        <v>#ERROR!</v>
      </c>
      <c r="AD191" s="40" t="str">
        <f t="shared" si="4"/>
        <v/>
      </c>
      <c r="AE191" s="40" t="str">
        <f>IFERROR(__xludf.DUMMYFUNCTION("IF($AC191="""","""",IF($AC191=IFERROR(MAX(FILTER($AC$6:$AC$1000,$C$6:$C$1000=$C191,$AB$6:$AB$1000=1)),),""WINNER"",""""))"),"#ERROR!")</f>
        <v>#ERROR!</v>
      </c>
      <c r="AF191" s="40" t="str">
        <f t="shared" si="5"/>
        <v/>
      </c>
      <c r="AG191" s="40" t="str">
        <f>IF($J191="","",COUNTIF(Assignments!$B:$B,$J191))</f>
        <v/>
      </c>
      <c r="AH191" s="40" t="str">
        <f>IF($J191="","",IF(AND($AG191=0,$N191&lt;$M191),Config!$B$43,0))</f>
        <v/>
      </c>
      <c r="AI191" s="40" t="str">
        <f>IF($J191="","",IF(AND($L191="Elite",$F191&gt;=Config!$B$41,$N191&lt;$M191),Config!$B$42,0))</f>
        <v/>
      </c>
      <c r="AJ191" s="22"/>
      <c r="AK191" s="39">
        <f>IFERROR(VLOOKUP(J191,Grinders!$A:$Q,28,FALSE),0)</f>
        <v>0</v>
      </c>
      <c r="AL191" s="39">
        <f>IF(Config!$B$1003&lt;&gt;"Y",0,IF(IFERROR(VLOOKUP(J191,Grinders!$A:$P,27,FALSE),0)&gt;=3,IF(OR(F191&gt;=Config!$B$1001,ISNUMBER(SEARCH(E191,Config!$B$1002))),1,0),0))</f>
        <v>0</v>
      </c>
      <c r="AM191" s="39">
        <f t="array" ref="AM191">IFERROR(IF(INDEX(Bids!$AE:$AE,MATCH(B191,Bids!$A:$A,0))="Pending",1,0),0)</f>
        <v>0</v>
      </c>
      <c r="AN191" s="39" t="str">
        <f t="array" ref="AN191">IF(C191="","",IFERROR(XLOOKUP(C191,Assignments!$C:$C,Assignments!$AU:$AU,0),0))</f>
        <v/>
      </c>
      <c r="AO191" s="39">
        <f>IF(AND(Config!$B$1006="Y",AN191=1),Config!$B$1007,0)</f>
        <v>0</v>
      </c>
    </row>
    <row r="192" ht="15.75" customHeight="1">
      <c r="A192" s="46" t="str">
        <f t="shared" si="1"/>
        <v/>
      </c>
      <c r="B192" s="40" t="str">
        <f>IF(Bids!$A192="","",Bids!$A192)</f>
        <v/>
      </c>
      <c r="C192" s="40" t="str">
        <f>IF(Bids!$B192="","",Bids!$B192)</f>
        <v/>
      </c>
      <c r="D192" s="40" t="str">
        <f>IF($C192="","",IFERROR(VLOOKUP($C192,Orders!$A:$J,9,FALSE),""))</f>
        <v/>
      </c>
      <c r="E192" s="40" t="str">
        <f>IF($C192="","",IFERROR(VLOOKUP($C192,Orders!$A:$J,3,FALSE),""))</f>
        <v/>
      </c>
      <c r="F192" s="40" t="str">
        <f>IF($C192="","",IFERROR(VLOOKUP($C192,Orders!$A:$J,4,FALSE),""))</f>
        <v/>
      </c>
      <c r="G192" s="40" t="str">
        <f>IF($C192="","",IFERROR(VLOOKUP($C192,Orders!$A:$J,5,FALSE),""))</f>
        <v/>
      </c>
      <c r="H192" s="40" t="str">
        <f>IF($C192="","",IFERROR(VLOOKUP($C192,Orders!$A:$J,6,FALSE),""))</f>
        <v/>
      </c>
      <c r="I192" s="40" t="str">
        <f>IF($C192="","",IFERROR(VLOOKUP($C192,Orders!$A:$J,7,FALSE),""))</f>
        <v/>
      </c>
      <c r="J192" s="40" t="str">
        <f>IF(Bids!$C192="","",Bids!$C192)</f>
        <v/>
      </c>
      <c r="K192" s="40" t="str">
        <f>IF($J192="","",IFERROR(VLOOKUP($J192,Grinders!$A:$N,2,FALSE),""))</f>
        <v/>
      </c>
      <c r="L192" s="40" t="str">
        <f>IF($J192="","",IFERROR(VLOOKUP($J192,Grinders!$A:$N,3,FALSE),""))</f>
        <v/>
      </c>
      <c r="M192" s="40" t="str">
        <f>IF($J192="","",IFERROR(VLOOKUP($J192,Grinders!$A:$N,4,FALSE),""))</f>
        <v/>
      </c>
      <c r="N192" s="40" t="str">
        <f>IF($J192="","",IFERROR(VLOOKUP($J192,Grinders!$A:$N,5,FALSE),""))</f>
        <v/>
      </c>
      <c r="O192" s="40" t="str">
        <f t="shared" si="2"/>
        <v/>
      </c>
      <c r="P192" s="40" t="str">
        <f>IF($J192="","",IFERROR(VLOOKUP($J192,Grinders!$A:$N,6,FALSE),""))</f>
        <v/>
      </c>
      <c r="Q192" s="40" t="str">
        <f>IF($J192="","",IFERROR(VLOOKUP($J192,Grinders!$A:$N,8,FALSE),""))</f>
        <v/>
      </c>
      <c r="R192" s="40" t="str">
        <f>IFERROR(IF($J192="","",IF($L192="Elite",MAX(50,MIN(100,Config!$B$27*MAX(0,MIN(100,(1-IF($O192="",0,$O192))*100)) + Config!$B$28*MAX(0,MIN(100,(1-MIN(1,IF(Config!$B$30=0,1,$P192/Config!$B$30)))*100)) + Config!$B$29*MAX(0,MIN(100,MIN(1,IF($Q192="",0,$Q192)/Config!$B$23)*100)))),MIN(100,Config!$B$27*MAX(0,MIN(100,(1-IF($O192="",0,$O192))*100)) + Config!$B$28*MAX(0,MIN(100,(1-MIN(1,IF(Config!$B$30=0,1,$P192/Config!$B$30)))*100)) + Config!$B$29*MAX(0,MIN(100,MIN(1,IF($Q192="",0,$Q192)/Config!$B$23)*100))))),"")
</f>
        <v/>
      </c>
      <c r="S192" s="40" t="str">
        <f>IF(Bids!$AC192="","",Bids!$AC192)</f>
        <v/>
      </c>
      <c r="T192" s="40" t="str">
        <f>IF(Bids!$F192="","",Bids!$F192)</f>
        <v/>
      </c>
      <c r="U192" s="40" t="str">
        <f t="shared" si="3"/>
        <v/>
      </c>
      <c r="V192" s="40" t="str">
        <f>IF($U192="","",IF(Config!$B$17=Config!$B$16,IF($U192&gt;=Config!$B$17,100,0),MAX(0,MIN(100,($U192-Config!$B$16)/(Config!$B$17-Config!$B$16)*100))))</f>
        <v/>
      </c>
      <c r="W192" s="40">
        <f>IF($L192="Elite",Config!$B$21,0)</f>
        <v>0</v>
      </c>
      <c r="X192" s="40" t="str">
        <f>IFERROR(IF(OR($T192="",$G192=""),"",IF($T192&gt;$G192,
  MAX(0, 60-(($T192-$G192)*24/Config!$B$19)*60),
  MEDIAN(60, 100, 60+(($G192-$T192)*24/Config!$B$20)*40)
)),"")
</f>
        <v/>
      </c>
      <c r="Y192" s="40" t="str">
        <f>IF($J192="","",IFERROR(VLOOKUP($J192,Grinders!$A:$N,10,FALSE),""))</f>
        <v/>
      </c>
      <c r="Z192" s="40" t="str">
        <f>IF($J192="","",IFERROR(VLOOKUP($J192,Grinders!$A:$N,11,FALSE),""))</f>
        <v/>
      </c>
      <c r="AA192" s="40" t="str">
        <f>IF($J192="","",IFERROR(VLOOKUP($J192,Grinders!$A:$N,12,FALSE),""))</f>
        <v/>
      </c>
      <c r="AB192" s="40" t="str">
        <f>IF(OR(AL192=1,AM192=1),0,=IFERROR(IF(OR($C192="",$J192=""),0,IF($D192&lt;&gt;"Open",0,IF(COUNTIFS(GrinderServices!$A:$A,$J192,GrinderServices!$B:$B,$E192,GrinderServices!$D:$D,"Y")=0,0,IF($U192&lt;Config!$B$16,0,IF(Config!$B$18=1,IF($N192&gt;=$M192,0,1),1))))),""))</f>
        <v>#ERROR!</v>
      </c>
      <c r="AC192" s="40" t="str">
        <f>IFERROR((IF(OR(AL192=1,AM192=1),"",=IFERROR((IFERROR(IF($AB192=0,"",((Config!$B$6*$V192 + Config!$B$7*$R192 + Config!$B$8*$W192 + Config!$B$9*$X192 + Config!$B$10*$Y192 + Config!$B$11*$Z192 - Config!$B$12*$AA192)/Config!$B$13)+$AH192+$AI192),""))*(1-IFERROR(VLOOKUP(J192,Grinders!$A:$AB, 28, FALSE),0)),"")))*(1+AO192),"")</f>
        <v>#ERROR!</v>
      </c>
      <c r="AD192" s="40" t="str">
        <f t="shared" si="4"/>
        <v/>
      </c>
      <c r="AE192" s="40" t="str">
        <f>IFERROR(__xludf.DUMMYFUNCTION("IF($AC192="""","""",IF($AC192=IFERROR(MAX(FILTER($AC$6:$AC$1000,$C$6:$C$1000=$C192,$AB$6:$AB$1000=1)),),""WINNER"",""""))"),"#ERROR!")</f>
        <v>#ERROR!</v>
      </c>
      <c r="AF192" s="40" t="str">
        <f t="shared" si="5"/>
        <v/>
      </c>
      <c r="AG192" s="40" t="str">
        <f>IF($J192="","",COUNTIF(Assignments!$B:$B,$J192))</f>
        <v/>
      </c>
      <c r="AH192" s="40" t="str">
        <f>IF($J192="","",IF(AND($AG192=0,$N192&lt;$M192),Config!$B$43,0))</f>
        <v/>
      </c>
      <c r="AI192" s="40" t="str">
        <f>IF($J192="","",IF(AND($L192="Elite",$F192&gt;=Config!$B$41,$N192&lt;$M192),Config!$B$42,0))</f>
        <v/>
      </c>
      <c r="AJ192" s="22"/>
      <c r="AK192" s="39">
        <f>IFERROR(VLOOKUP(J192,Grinders!$A:$Q,28,FALSE),0)</f>
        <v>0</v>
      </c>
      <c r="AL192" s="39">
        <f>IF(Config!$B$1003&lt;&gt;"Y",0,IF(IFERROR(VLOOKUP(J192,Grinders!$A:$P,27,FALSE),0)&gt;=3,IF(OR(F192&gt;=Config!$B$1001,ISNUMBER(SEARCH(E192,Config!$B$1002))),1,0),0))</f>
        <v>0</v>
      </c>
      <c r="AM192" s="39">
        <f t="array" ref="AM192">IFERROR(IF(INDEX(Bids!$AE:$AE,MATCH(B192,Bids!$A:$A,0))="Pending",1,0),0)</f>
        <v>0</v>
      </c>
      <c r="AN192" s="39" t="str">
        <f t="array" ref="AN192">IF(C192="","",IFERROR(XLOOKUP(C192,Assignments!$C:$C,Assignments!$AU:$AU,0),0))</f>
        <v/>
      </c>
      <c r="AO192" s="39">
        <f>IF(AND(Config!$B$1006="Y",AN192=1),Config!$B$1007,0)</f>
        <v>0</v>
      </c>
    </row>
    <row r="193" ht="15.75" customHeight="1">
      <c r="A193" s="46" t="str">
        <f t="shared" si="1"/>
        <v/>
      </c>
      <c r="B193" s="40" t="str">
        <f>IF(Bids!$A193="","",Bids!$A193)</f>
        <v/>
      </c>
      <c r="C193" s="40" t="str">
        <f>IF(Bids!$B193="","",Bids!$B193)</f>
        <v/>
      </c>
      <c r="D193" s="40" t="str">
        <f>IF($C193="","",IFERROR(VLOOKUP($C193,Orders!$A:$J,9,FALSE),""))</f>
        <v/>
      </c>
      <c r="E193" s="40" t="str">
        <f>IF($C193="","",IFERROR(VLOOKUP($C193,Orders!$A:$J,3,FALSE),""))</f>
        <v/>
      </c>
      <c r="F193" s="40" t="str">
        <f>IF($C193="","",IFERROR(VLOOKUP($C193,Orders!$A:$J,4,FALSE),""))</f>
        <v/>
      </c>
      <c r="G193" s="40" t="str">
        <f>IF($C193="","",IFERROR(VLOOKUP($C193,Orders!$A:$J,5,FALSE),""))</f>
        <v/>
      </c>
      <c r="H193" s="40" t="str">
        <f>IF($C193="","",IFERROR(VLOOKUP($C193,Orders!$A:$J,6,FALSE),""))</f>
        <v/>
      </c>
      <c r="I193" s="40" t="str">
        <f>IF($C193="","",IFERROR(VLOOKUP($C193,Orders!$A:$J,7,FALSE),""))</f>
        <v/>
      </c>
      <c r="J193" s="40" t="str">
        <f>IF(Bids!$C193="","",Bids!$C193)</f>
        <v/>
      </c>
      <c r="K193" s="40" t="str">
        <f>IF($J193="","",IFERROR(VLOOKUP($J193,Grinders!$A:$N,2,FALSE),""))</f>
        <v/>
      </c>
      <c r="L193" s="40" t="str">
        <f>IF($J193="","",IFERROR(VLOOKUP($J193,Grinders!$A:$N,3,FALSE),""))</f>
        <v/>
      </c>
      <c r="M193" s="40" t="str">
        <f>IF($J193="","",IFERROR(VLOOKUP($J193,Grinders!$A:$N,4,FALSE),""))</f>
        <v/>
      </c>
      <c r="N193" s="40" t="str">
        <f>IF($J193="","",IFERROR(VLOOKUP($J193,Grinders!$A:$N,5,FALSE),""))</f>
        <v/>
      </c>
      <c r="O193" s="40" t="str">
        <f t="shared" si="2"/>
        <v/>
      </c>
      <c r="P193" s="40" t="str">
        <f>IF($J193="","",IFERROR(VLOOKUP($J193,Grinders!$A:$N,6,FALSE),""))</f>
        <v/>
      </c>
      <c r="Q193" s="40" t="str">
        <f>IF($J193="","",IFERROR(VLOOKUP($J193,Grinders!$A:$N,8,FALSE),""))</f>
        <v/>
      </c>
      <c r="R193" s="40" t="str">
        <f>IFERROR(IF($J193="","",IF($L193="Elite",MAX(50,MIN(100,Config!$B$27*MAX(0,MIN(100,(1-IF($O193="",0,$O193))*100)) + Config!$B$28*MAX(0,MIN(100,(1-MIN(1,IF(Config!$B$30=0,1,$P193/Config!$B$30)))*100)) + Config!$B$29*MAX(0,MIN(100,MIN(1,IF($Q193="",0,$Q193)/Config!$B$23)*100)))),MIN(100,Config!$B$27*MAX(0,MIN(100,(1-IF($O193="",0,$O193))*100)) + Config!$B$28*MAX(0,MIN(100,(1-MIN(1,IF(Config!$B$30=0,1,$P193/Config!$B$30)))*100)) + Config!$B$29*MAX(0,MIN(100,MIN(1,IF($Q193="",0,$Q193)/Config!$B$23)*100))))),"")
</f>
        <v/>
      </c>
      <c r="S193" s="40" t="str">
        <f>IF(Bids!$AC193="","",Bids!$AC193)</f>
        <v/>
      </c>
      <c r="T193" s="40" t="str">
        <f>IF(Bids!$F193="","",Bids!$F193)</f>
        <v/>
      </c>
      <c r="U193" s="40" t="str">
        <f t="shared" si="3"/>
        <v/>
      </c>
      <c r="V193" s="40" t="str">
        <f>IF($U193="","",IF(Config!$B$17=Config!$B$16,IF($U193&gt;=Config!$B$17,100,0),MAX(0,MIN(100,($U193-Config!$B$16)/(Config!$B$17-Config!$B$16)*100))))</f>
        <v/>
      </c>
      <c r="W193" s="40">
        <f>IF($L193="Elite",Config!$B$21,0)</f>
        <v>0</v>
      </c>
      <c r="X193" s="40" t="str">
        <f>IFERROR(IF(OR($T193="",$G193=""),"",IF($T193&gt;$G193,
  MAX(0, 60-(($T193-$G193)*24/Config!$B$19)*60),
  MEDIAN(60, 100, 60+(($G193-$T193)*24/Config!$B$20)*40)
)),"")
</f>
        <v/>
      </c>
      <c r="Y193" s="40" t="str">
        <f>IF($J193="","",IFERROR(VLOOKUP($J193,Grinders!$A:$N,10,FALSE),""))</f>
        <v/>
      </c>
      <c r="Z193" s="40" t="str">
        <f>IF($J193="","",IFERROR(VLOOKUP($J193,Grinders!$A:$N,11,FALSE),""))</f>
        <v/>
      </c>
      <c r="AA193" s="40" t="str">
        <f>IF($J193="","",IFERROR(VLOOKUP($J193,Grinders!$A:$N,12,FALSE),""))</f>
        <v/>
      </c>
      <c r="AB193" s="40" t="str">
        <f>IF(OR(AL193=1,AM193=1),0,=IFERROR(IF(OR($C193="",$J193=""),0,IF($D193&lt;&gt;"Open",0,IF(COUNTIFS(GrinderServices!$A:$A,$J193,GrinderServices!$B:$B,$E193,GrinderServices!$D:$D,"Y")=0,0,IF($U193&lt;Config!$B$16,0,IF(Config!$B$18=1,IF($N193&gt;=$M193,0,1),1))))),""))</f>
        <v>#ERROR!</v>
      </c>
      <c r="AC193" s="40" t="str">
        <f>IFERROR((IF(OR(AL193=1,AM193=1),"",=IFERROR((IFERROR(IF($AB193=0,"",((Config!$B$6*$V193 + Config!$B$7*$R193 + Config!$B$8*$W193 + Config!$B$9*$X193 + Config!$B$10*$Y193 + Config!$B$11*$Z193 - Config!$B$12*$AA193)/Config!$B$13)+$AH193+$AI193),""))*(1-IFERROR(VLOOKUP(J193,Grinders!$A:$AB, 28, FALSE),0)),"")))*(1+AO193),"")</f>
        <v>#ERROR!</v>
      </c>
      <c r="AD193" s="40" t="str">
        <f t="shared" si="4"/>
        <v/>
      </c>
      <c r="AE193" s="40" t="str">
        <f>IFERROR(__xludf.DUMMYFUNCTION("IF($AC193="""","""",IF($AC193=IFERROR(MAX(FILTER($AC$6:$AC$1000,$C$6:$C$1000=$C193,$AB$6:$AB$1000=1)),),""WINNER"",""""))"),"#ERROR!")</f>
        <v>#ERROR!</v>
      </c>
      <c r="AF193" s="40" t="str">
        <f t="shared" si="5"/>
        <v/>
      </c>
      <c r="AG193" s="40" t="str">
        <f>IF($J193="","",COUNTIF(Assignments!$B:$B,$J193))</f>
        <v/>
      </c>
      <c r="AH193" s="40" t="str">
        <f>IF($J193="","",IF(AND($AG193=0,$N193&lt;$M193),Config!$B$43,0))</f>
        <v/>
      </c>
      <c r="AI193" s="40" t="str">
        <f>IF($J193="","",IF(AND($L193="Elite",$F193&gt;=Config!$B$41,$N193&lt;$M193),Config!$B$42,0))</f>
        <v/>
      </c>
      <c r="AJ193" s="22"/>
      <c r="AK193" s="39">
        <f>IFERROR(VLOOKUP(J193,Grinders!$A:$Q,28,FALSE),0)</f>
        <v>0</v>
      </c>
      <c r="AL193" s="39">
        <f>IF(Config!$B$1003&lt;&gt;"Y",0,IF(IFERROR(VLOOKUP(J193,Grinders!$A:$P,27,FALSE),0)&gt;=3,IF(OR(F193&gt;=Config!$B$1001,ISNUMBER(SEARCH(E193,Config!$B$1002))),1,0),0))</f>
        <v>0</v>
      </c>
      <c r="AM193" s="39">
        <f t="array" ref="AM193">IFERROR(IF(INDEX(Bids!$AE:$AE,MATCH(B193,Bids!$A:$A,0))="Pending",1,0),0)</f>
        <v>0</v>
      </c>
      <c r="AN193" s="39" t="str">
        <f t="array" ref="AN193">IF(C193="","",IFERROR(XLOOKUP(C193,Assignments!$C:$C,Assignments!$AU:$AU,0),0))</f>
        <v/>
      </c>
      <c r="AO193" s="39">
        <f>IF(AND(Config!$B$1006="Y",AN193=1),Config!$B$1007,0)</f>
        <v>0</v>
      </c>
    </row>
    <row r="194" ht="15.75" customHeight="1">
      <c r="A194" s="46" t="str">
        <f t="shared" si="1"/>
        <v/>
      </c>
      <c r="B194" s="40" t="str">
        <f>IF(Bids!$A194="","",Bids!$A194)</f>
        <v/>
      </c>
      <c r="C194" s="40" t="str">
        <f>IF(Bids!$B194="","",Bids!$B194)</f>
        <v/>
      </c>
      <c r="D194" s="40" t="str">
        <f>IF($C194="","",IFERROR(VLOOKUP($C194,Orders!$A:$J,9,FALSE),""))</f>
        <v/>
      </c>
      <c r="E194" s="40" t="str">
        <f>IF($C194="","",IFERROR(VLOOKUP($C194,Orders!$A:$J,3,FALSE),""))</f>
        <v/>
      </c>
      <c r="F194" s="40" t="str">
        <f>IF($C194="","",IFERROR(VLOOKUP($C194,Orders!$A:$J,4,FALSE),""))</f>
        <v/>
      </c>
      <c r="G194" s="40" t="str">
        <f>IF($C194="","",IFERROR(VLOOKUP($C194,Orders!$A:$J,5,FALSE),""))</f>
        <v/>
      </c>
      <c r="H194" s="40" t="str">
        <f>IF($C194="","",IFERROR(VLOOKUP($C194,Orders!$A:$J,6,FALSE),""))</f>
        <v/>
      </c>
      <c r="I194" s="40" t="str">
        <f>IF($C194="","",IFERROR(VLOOKUP($C194,Orders!$A:$J,7,FALSE),""))</f>
        <v/>
      </c>
      <c r="J194" s="40" t="str">
        <f>IF(Bids!$C194="","",Bids!$C194)</f>
        <v/>
      </c>
      <c r="K194" s="40" t="str">
        <f>IF($J194="","",IFERROR(VLOOKUP($J194,Grinders!$A:$N,2,FALSE),""))</f>
        <v/>
      </c>
      <c r="L194" s="40" t="str">
        <f>IF($J194="","",IFERROR(VLOOKUP($J194,Grinders!$A:$N,3,FALSE),""))</f>
        <v/>
      </c>
      <c r="M194" s="40" t="str">
        <f>IF($J194="","",IFERROR(VLOOKUP($J194,Grinders!$A:$N,4,FALSE),""))</f>
        <v/>
      </c>
      <c r="N194" s="40" t="str">
        <f>IF($J194="","",IFERROR(VLOOKUP($J194,Grinders!$A:$N,5,FALSE),""))</f>
        <v/>
      </c>
      <c r="O194" s="40" t="str">
        <f t="shared" si="2"/>
        <v/>
      </c>
      <c r="P194" s="40" t="str">
        <f>IF($J194="","",IFERROR(VLOOKUP($J194,Grinders!$A:$N,6,FALSE),""))</f>
        <v/>
      </c>
      <c r="Q194" s="40" t="str">
        <f>IF($J194="","",IFERROR(VLOOKUP($J194,Grinders!$A:$N,8,FALSE),""))</f>
        <v/>
      </c>
      <c r="R194" s="40" t="str">
        <f>IFERROR(IF($J194="","",IF($L194="Elite",MAX(50,MIN(100,Config!$B$27*MAX(0,MIN(100,(1-IF($O194="",0,$O194))*100)) + Config!$B$28*MAX(0,MIN(100,(1-MIN(1,IF(Config!$B$30=0,1,$P194/Config!$B$30)))*100)) + Config!$B$29*MAX(0,MIN(100,MIN(1,IF($Q194="",0,$Q194)/Config!$B$23)*100)))),MIN(100,Config!$B$27*MAX(0,MIN(100,(1-IF($O194="",0,$O194))*100)) + Config!$B$28*MAX(0,MIN(100,(1-MIN(1,IF(Config!$B$30=0,1,$P194/Config!$B$30)))*100)) + Config!$B$29*MAX(0,MIN(100,MIN(1,IF($Q194="",0,$Q194)/Config!$B$23)*100))))),"")
</f>
        <v/>
      </c>
      <c r="S194" s="40" t="str">
        <f>IF(Bids!$AC194="","",Bids!$AC194)</f>
        <v/>
      </c>
      <c r="T194" s="40" t="str">
        <f>IF(Bids!$F194="","",Bids!$F194)</f>
        <v/>
      </c>
      <c r="U194" s="40" t="str">
        <f t="shared" si="3"/>
        <v/>
      </c>
      <c r="V194" s="40" t="str">
        <f>IF($U194="","",IF(Config!$B$17=Config!$B$16,IF($U194&gt;=Config!$B$17,100,0),MAX(0,MIN(100,($U194-Config!$B$16)/(Config!$B$17-Config!$B$16)*100))))</f>
        <v/>
      </c>
      <c r="W194" s="40">
        <f>IF($L194="Elite",Config!$B$21,0)</f>
        <v>0</v>
      </c>
      <c r="X194" s="40" t="str">
        <f>IFERROR(IF(OR($T194="",$G194=""),"",IF($T194&gt;$G194,
  MAX(0, 60-(($T194-$G194)*24/Config!$B$19)*60),
  MEDIAN(60, 100, 60+(($G194-$T194)*24/Config!$B$20)*40)
)),"")
</f>
        <v/>
      </c>
      <c r="Y194" s="40" t="str">
        <f>IF($J194="","",IFERROR(VLOOKUP($J194,Grinders!$A:$N,10,FALSE),""))</f>
        <v/>
      </c>
      <c r="Z194" s="40" t="str">
        <f>IF($J194="","",IFERROR(VLOOKUP($J194,Grinders!$A:$N,11,FALSE),""))</f>
        <v/>
      </c>
      <c r="AA194" s="40" t="str">
        <f>IF($J194="","",IFERROR(VLOOKUP($J194,Grinders!$A:$N,12,FALSE),""))</f>
        <v/>
      </c>
      <c r="AB194" s="40" t="str">
        <f>IF(OR(AL194=1,AM194=1),0,=IFERROR(IF(OR($C194="",$J194=""),0,IF($D194&lt;&gt;"Open",0,IF(COUNTIFS(GrinderServices!$A:$A,$J194,GrinderServices!$B:$B,$E194,GrinderServices!$D:$D,"Y")=0,0,IF($U194&lt;Config!$B$16,0,IF(Config!$B$18=1,IF($N194&gt;=$M194,0,1),1))))),""))</f>
        <v>#ERROR!</v>
      </c>
      <c r="AC194" s="40" t="str">
        <f>IFERROR((IF(OR(AL194=1,AM194=1),"",=IFERROR((IFERROR(IF($AB194=0,"",((Config!$B$6*$V194 + Config!$B$7*$R194 + Config!$B$8*$W194 + Config!$B$9*$X194 + Config!$B$10*$Y194 + Config!$B$11*$Z194 - Config!$B$12*$AA194)/Config!$B$13)+$AH194+$AI194),""))*(1-IFERROR(VLOOKUP(J194,Grinders!$A:$AB, 28, FALSE),0)),"")))*(1+AO194),"")</f>
        <v>#ERROR!</v>
      </c>
      <c r="AD194" s="40" t="str">
        <f t="shared" si="4"/>
        <v/>
      </c>
      <c r="AE194" s="40" t="str">
        <f>IFERROR(__xludf.DUMMYFUNCTION("IF($AC194="""","""",IF($AC194=IFERROR(MAX(FILTER($AC$6:$AC$1000,$C$6:$C$1000=$C194,$AB$6:$AB$1000=1)),),""WINNER"",""""))"),"#ERROR!")</f>
        <v>#ERROR!</v>
      </c>
      <c r="AF194" s="40" t="str">
        <f t="shared" si="5"/>
        <v/>
      </c>
      <c r="AG194" s="40" t="str">
        <f>IF($J194="","",COUNTIF(Assignments!$B:$B,$J194))</f>
        <v/>
      </c>
      <c r="AH194" s="40" t="str">
        <f>IF($J194="","",IF(AND($AG194=0,$N194&lt;$M194),Config!$B$43,0))</f>
        <v/>
      </c>
      <c r="AI194" s="40" t="str">
        <f>IF($J194="","",IF(AND($L194="Elite",$F194&gt;=Config!$B$41,$N194&lt;$M194),Config!$B$42,0))</f>
        <v/>
      </c>
      <c r="AJ194" s="22"/>
      <c r="AK194" s="39">
        <f>IFERROR(VLOOKUP(J194,Grinders!$A:$Q,28,FALSE),0)</f>
        <v>0</v>
      </c>
      <c r="AL194" s="39">
        <f>IF(Config!$B$1003&lt;&gt;"Y",0,IF(IFERROR(VLOOKUP(J194,Grinders!$A:$P,27,FALSE),0)&gt;=3,IF(OR(F194&gt;=Config!$B$1001,ISNUMBER(SEARCH(E194,Config!$B$1002))),1,0),0))</f>
        <v>0</v>
      </c>
      <c r="AM194" s="39">
        <f t="array" ref="AM194">IFERROR(IF(INDEX(Bids!$AE:$AE,MATCH(B194,Bids!$A:$A,0))="Pending",1,0),0)</f>
        <v>0</v>
      </c>
      <c r="AN194" s="39" t="str">
        <f t="array" ref="AN194">IF(C194="","",IFERROR(XLOOKUP(C194,Assignments!$C:$C,Assignments!$AU:$AU,0),0))</f>
        <v/>
      </c>
      <c r="AO194" s="39">
        <f>IF(AND(Config!$B$1006="Y",AN194=1),Config!$B$1007,0)</f>
        <v>0</v>
      </c>
    </row>
    <row r="195" ht="15.75" customHeight="1">
      <c r="A195" s="46" t="str">
        <f t="shared" si="1"/>
        <v/>
      </c>
      <c r="B195" s="40" t="str">
        <f>IF(Bids!$A195="","",Bids!$A195)</f>
        <v/>
      </c>
      <c r="C195" s="40" t="str">
        <f>IF(Bids!$B195="","",Bids!$B195)</f>
        <v/>
      </c>
      <c r="D195" s="40" t="str">
        <f>IF($C195="","",IFERROR(VLOOKUP($C195,Orders!$A:$J,9,FALSE),""))</f>
        <v/>
      </c>
      <c r="E195" s="40" t="str">
        <f>IF($C195="","",IFERROR(VLOOKUP($C195,Orders!$A:$J,3,FALSE),""))</f>
        <v/>
      </c>
      <c r="F195" s="40" t="str">
        <f>IF($C195="","",IFERROR(VLOOKUP($C195,Orders!$A:$J,4,FALSE),""))</f>
        <v/>
      </c>
      <c r="G195" s="40" t="str">
        <f>IF($C195="","",IFERROR(VLOOKUP($C195,Orders!$A:$J,5,FALSE),""))</f>
        <v/>
      </c>
      <c r="H195" s="40" t="str">
        <f>IF($C195="","",IFERROR(VLOOKUP($C195,Orders!$A:$J,6,FALSE),""))</f>
        <v/>
      </c>
      <c r="I195" s="40" t="str">
        <f>IF($C195="","",IFERROR(VLOOKUP($C195,Orders!$A:$J,7,FALSE),""))</f>
        <v/>
      </c>
      <c r="J195" s="40" t="str">
        <f>IF(Bids!$C195="","",Bids!$C195)</f>
        <v/>
      </c>
      <c r="K195" s="40" t="str">
        <f>IF($J195="","",IFERROR(VLOOKUP($J195,Grinders!$A:$N,2,FALSE),""))</f>
        <v/>
      </c>
      <c r="L195" s="40" t="str">
        <f>IF($J195="","",IFERROR(VLOOKUP($J195,Grinders!$A:$N,3,FALSE),""))</f>
        <v/>
      </c>
      <c r="M195" s="40" t="str">
        <f>IF($J195="","",IFERROR(VLOOKUP($J195,Grinders!$A:$N,4,FALSE),""))</f>
        <v/>
      </c>
      <c r="N195" s="40" t="str">
        <f>IF($J195="","",IFERROR(VLOOKUP($J195,Grinders!$A:$N,5,FALSE),""))</f>
        <v/>
      </c>
      <c r="O195" s="40" t="str">
        <f t="shared" si="2"/>
        <v/>
      </c>
      <c r="P195" s="40" t="str">
        <f>IF($J195="","",IFERROR(VLOOKUP($J195,Grinders!$A:$N,6,FALSE),""))</f>
        <v/>
      </c>
      <c r="Q195" s="40" t="str">
        <f>IF($J195="","",IFERROR(VLOOKUP($J195,Grinders!$A:$N,8,FALSE),""))</f>
        <v/>
      </c>
      <c r="R195" s="40" t="str">
        <f>IFERROR(IF($J195="","",IF($L195="Elite",MAX(50,MIN(100,Config!$B$27*MAX(0,MIN(100,(1-IF($O195="",0,$O195))*100)) + Config!$B$28*MAX(0,MIN(100,(1-MIN(1,IF(Config!$B$30=0,1,$P195/Config!$B$30)))*100)) + Config!$B$29*MAX(0,MIN(100,MIN(1,IF($Q195="",0,$Q195)/Config!$B$23)*100)))),MIN(100,Config!$B$27*MAX(0,MIN(100,(1-IF($O195="",0,$O195))*100)) + Config!$B$28*MAX(0,MIN(100,(1-MIN(1,IF(Config!$B$30=0,1,$P195/Config!$B$30)))*100)) + Config!$B$29*MAX(0,MIN(100,MIN(1,IF($Q195="",0,$Q195)/Config!$B$23)*100))))),"")
</f>
        <v/>
      </c>
      <c r="S195" s="40" t="str">
        <f>IF(Bids!$AC195="","",Bids!$AC195)</f>
        <v/>
      </c>
      <c r="T195" s="40" t="str">
        <f>IF(Bids!$F195="","",Bids!$F195)</f>
        <v/>
      </c>
      <c r="U195" s="40" t="str">
        <f t="shared" si="3"/>
        <v/>
      </c>
      <c r="V195" s="40" t="str">
        <f>IF($U195="","",IF(Config!$B$17=Config!$B$16,IF($U195&gt;=Config!$B$17,100,0),MAX(0,MIN(100,($U195-Config!$B$16)/(Config!$B$17-Config!$B$16)*100))))</f>
        <v/>
      </c>
      <c r="W195" s="40">
        <f>IF($L195="Elite",Config!$B$21,0)</f>
        <v>0</v>
      </c>
      <c r="X195" s="40" t="str">
        <f>IFERROR(IF(OR($T195="",$G195=""),"",IF($T195&gt;$G195,
  MAX(0, 60-(($T195-$G195)*24/Config!$B$19)*60),
  MEDIAN(60, 100, 60+(($G195-$T195)*24/Config!$B$20)*40)
)),"")
</f>
        <v/>
      </c>
      <c r="Y195" s="40" t="str">
        <f>IF($J195="","",IFERROR(VLOOKUP($J195,Grinders!$A:$N,10,FALSE),""))</f>
        <v/>
      </c>
      <c r="Z195" s="40" t="str">
        <f>IF($J195="","",IFERROR(VLOOKUP($J195,Grinders!$A:$N,11,FALSE),""))</f>
        <v/>
      </c>
      <c r="AA195" s="40" t="str">
        <f>IF($J195="","",IFERROR(VLOOKUP($J195,Grinders!$A:$N,12,FALSE),""))</f>
        <v/>
      </c>
      <c r="AB195" s="40" t="str">
        <f>IF(OR(AL195=1,AM195=1),0,=IFERROR(IF(OR($C195="",$J195=""),0,IF($D195&lt;&gt;"Open",0,IF(COUNTIFS(GrinderServices!$A:$A,$J195,GrinderServices!$B:$B,$E195,GrinderServices!$D:$D,"Y")=0,0,IF($U195&lt;Config!$B$16,0,IF(Config!$B$18=1,IF($N195&gt;=$M195,0,1),1))))),""))</f>
        <v>#ERROR!</v>
      </c>
      <c r="AC195" s="40" t="str">
        <f>IFERROR((IF(OR(AL195=1,AM195=1),"",=IFERROR((IFERROR(IF($AB195=0,"",((Config!$B$6*$V195 + Config!$B$7*$R195 + Config!$B$8*$W195 + Config!$B$9*$X195 + Config!$B$10*$Y195 + Config!$B$11*$Z195 - Config!$B$12*$AA195)/Config!$B$13)+$AH195+$AI195),""))*(1-IFERROR(VLOOKUP(J195,Grinders!$A:$AB, 28, FALSE),0)),"")))*(1+AO195),"")</f>
        <v>#ERROR!</v>
      </c>
      <c r="AD195" s="40" t="str">
        <f t="shared" si="4"/>
        <v/>
      </c>
      <c r="AE195" s="40" t="str">
        <f>IFERROR(__xludf.DUMMYFUNCTION("IF($AC195="""","""",IF($AC195=IFERROR(MAX(FILTER($AC$6:$AC$1000,$C$6:$C$1000=$C195,$AB$6:$AB$1000=1)),),""WINNER"",""""))"),"#ERROR!")</f>
        <v>#ERROR!</v>
      </c>
      <c r="AF195" s="40" t="str">
        <f t="shared" si="5"/>
        <v/>
      </c>
      <c r="AG195" s="40" t="str">
        <f>IF($J195="","",COUNTIF(Assignments!$B:$B,$J195))</f>
        <v/>
      </c>
      <c r="AH195" s="40" t="str">
        <f>IF($J195="","",IF(AND($AG195=0,$N195&lt;$M195),Config!$B$43,0))</f>
        <v/>
      </c>
      <c r="AI195" s="40" t="str">
        <f>IF($J195="","",IF(AND($L195="Elite",$F195&gt;=Config!$B$41,$N195&lt;$M195),Config!$B$42,0))</f>
        <v/>
      </c>
      <c r="AJ195" s="22"/>
      <c r="AK195" s="39">
        <f>IFERROR(VLOOKUP(J195,Grinders!$A:$Q,28,FALSE),0)</f>
        <v>0</v>
      </c>
      <c r="AL195" s="39">
        <f>IF(Config!$B$1003&lt;&gt;"Y",0,IF(IFERROR(VLOOKUP(J195,Grinders!$A:$P,27,FALSE),0)&gt;=3,IF(OR(F195&gt;=Config!$B$1001,ISNUMBER(SEARCH(E195,Config!$B$1002))),1,0),0))</f>
        <v>0</v>
      </c>
      <c r="AM195" s="39">
        <f t="array" ref="AM195">IFERROR(IF(INDEX(Bids!$AE:$AE,MATCH(B195,Bids!$A:$A,0))="Pending",1,0),0)</f>
        <v>0</v>
      </c>
      <c r="AN195" s="39" t="str">
        <f t="array" ref="AN195">IF(C195="","",IFERROR(XLOOKUP(C195,Assignments!$C:$C,Assignments!$AU:$AU,0),0))</f>
        <v/>
      </c>
      <c r="AO195" s="39">
        <f>IF(AND(Config!$B$1006="Y",AN195=1),Config!$B$1007,0)</f>
        <v>0</v>
      </c>
    </row>
    <row r="196" ht="15.75" customHeight="1">
      <c r="A196" s="46" t="str">
        <f t="shared" si="1"/>
        <v/>
      </c>
      <c r="B196" s="40" t="str">
        <f>IF(Bids!$A196="","",Bids!$A196)</f>
        <v/>
      </c>
      <c r="C196" s="40" t="str">
        <f>IF(Bids!$B196="","",Bids!$B196)</f>
        <v/>
      </c>
      <c r="D196" s="40" t="str">
        <f>IF($C196="","",IFERROR(VLOOKUP($C196,Orders!$A:$J,9,FALSE),""))</f>
        <v/>
      </c>
      <c r="E196" s="40" t="str">
        <f>IF($C196="","",IFERROR(VLOOKUP($C196,Orders!$A:$J,3,FALSE),""))</f>
        <v/>
      </c>
      <c r="F196" s="40" t="str">
        <f>IF($C196="","",IFERROR(VLOOKUP($C196,Orders!$A:$J,4,FALSE),""))</f>
        <v/>
      </c>
      <c r="G196" s="40" t="str">
        <f>IF($C196="","",IFERROR(VLOOKUP($C196,Orders!$A:$J,5,FALSE),""))</f>
        <v/>
      </c>
      <c r="H196" s="40" t="str">
        <f>IF($C196="","",IFERROR(VLOOKUP($C196,Orders!$A:$J,6,FALSE),""))</f>
        <v/>
      </c>
      <c r="I196" s="40" t="str">
        <f>IF($C196="","",IFERROR(VLOOKUP($C196,Orders!$A:$J,7,FALSE),""))</f>
        <v/>
      </c>
      <c r="J196" s="40" t="str">
        <f>IF(Bids!$C196="","",Bids!$C196)</f>
        <v/>
      </c>
      <c r="K196" s="40" t="str">
        <f>IF($J196="","",IFERROR(VLOOKUP($J196,Grinders!$A:$N,2,FALSE),""))</f>
        <v/>
      </c>
      <c r="L196" s="40" t="str">
        <f>IF($J196="","",IFERROR(VLOOKUP($J196,Grinders!$A:$N,3,FALSE),""))</f>
        <v/>
      </c>
      <c r="M196" s="40" t="str">
        <f>IF($J196="","",IFERROR(VLOOKUP($J196,Grinders!$A:$N,4,FALSE),""))</f>
        <v/>
      </c>
      <c r="N196" s="40" t="str">
        <f>IF($J196="","",IFERROR(VLOOKUP($J196,Grinders!$A:$N,5,FALSE),""))</f>
        <v/>
      </c>
      <c r="O196" s="40" t="str">
        <f t="shared" si="2"/>
        <v/>
      </c>
      <c r="P196" s="40" t="str">
        <f>IF($J196="","",IFERROR(VLOOKUP($J196,Grinders!$A:$N,6,FALSE),""))</f>
        <v/>
      </c>
      <c r="Q196" s="40" t="str">
        <f>IF($J196="","",IFERROR(VLOOKUP($J196,Grinders!$A:$N,8,FALSE),""))</f>
        <v/>
      </c>
      <c r="R196" s="40" t="str">
        <f>IFERROR(IF($J196="","",IF($L196="Elite",MAX(50,MIN(100,Config!$B$27*MAX(0,MIN(100,(1-IF($O196="",0,$O196))*100)) + Config!$B$28*MAX(0,MIN(100,(1-MIN(1,IF(Config!$B$30=0,1,$P196/Config!$B$30)))*100)) + Config!$B$29*MAX(0,MIN(100,MIN(1,IF($Q196="",0,$Q196)/Config!$B$23)*100)))),MIN(100,Config!$B$27*MAX(0,MIN(100,(1-IF($O196="",0,$O196))*100)) + Config!$B$28*MAX(0,MIN(100,(1-MIN(1,IF(Config!$B$30=0,1,$P196/Config!$B$30)))*100)) + Config!$B$29*MAX(0,MIN(100,MIN(1,IF($Q196="",0,$Q196)/Config!$B$23)*100))))),"")
</f>
        <v/>
      </c>
      <c r="S196" s="40" t="str">
        <f>IF(Bids!$AC196="","",Bids!$AC196)</f>
        <v/>
      </c>
      <c r="T196" s="40" t="str">
        <f>IF(Bids!$F196="","",Bids!$F196)</f>
        <v/>
      </c>
      <c r="U196" s="40" t="str">
        <f t="shared" si="3"/>
        <v/>
      </c>
      <c r="V196" s="40" t="str">
        <f>IF($U196="","",IF(Config!$B$17=Config!$B$16,IF($U196&gt;=Config!$B$17,100,0),MAX(0,MIN(100,($U196-Config!$B$16)/(Config!$B$17-Config!$B$16)*100))))</f>
        <v/>
      </c>
      <c r="W196" s="40">
        <f>IF($L196="Elite",Config!$B$21,0)</f>
        <v>0</v>
      </c>
      <c r="X196" s="40" t="str">
        <f>IFERROR(IF(OR($T196="",$G196=""),"",IF($T196&gt;$G196,
  MAX(0, 60-(($T196-$G196)*24/Config!$B$19)*60),
  MEDIAN(60, 100, 60+(($G196-$T196)*24/Config!$B$20)*40)
)),"")
</f>
        <v/>
      </c>
      <c r="Y196" s="40" t="str">
        <f>IF($J196="","",IFERROR(VLOOKUP($J196,Grinders!$A:$N,10,FALSE),""))</f>
        <v/>
      </c>
      <c r="Z196" s="40" t="str">
        <f>IF($J196="","",IFERROR(VLOOKUP($J196,Grinders!$A:$N,11,FALSE),""))</f>
        <v/>
      </c>
      <c r="AA196" s="40" t="str">
        <f>IF($J196="","",IFERROR(VLOOKUP($J196,Grinders!$A:$N,12,FALSE),""))</f>
        <v/>
      </c>
      <c r="AB196" s="40" t="str">
        <f>IF(OR(AL196=1,AM196=1),0,=IFERROR(IF(OR($C196="",$J196=""),0,IF($D196&lt;&gt;"Open",0,IF(COUNTIFS(GrinderServices!$A:$A,$J196,GrinderServices!$B:$B,$E196,GrinderServices!$D:$D,"Y")=0,0,IF($U196&lt;Config!$B$16,0,IF(Config!$B$18=1,IF($N196&gt;=$M196,0,1),1))))),""))</f>
        <v>#ERROR!</v>
      </c>
      <c r="AC196" s="40" t="str">
        <f>IFERROR((IF(OR(AL196=1,AM196=1),"",=IFERROR((IFERROR(IF($AB196=0,"",((Config!$B$6*$V196 + Config!$B$7*$R196 + Config!$B$8*$W196 + Config!$B$9*$X196 + Config!$B$10*$Y196 + Config!$B$11*$Z196 - Config!$B$12*$AA196)/Config!$B$13)+$AH196+$AI196),""))*(1-IFERROR(VLOOKUP(J196,Grinders!$A:$AB, 28, FALSE),0)),"")))*(1+AO196),"")</f>
        <v>#ERROR!</v>
      </c>
      <c r="AD196" s="40" t="str">
        <f t="shared" si="4"/>
        <v/>
      </c>
      <c r="AE196" s="40" t="str">
        <f>IFERROR(__xludf.DUMMYFUNCTION("IF($AC196="""","""",IF($AC196=IFERROR(MAX(FILTER($AC$6:$AC$1000,$C$6:$C$1000=$C196,$AB$6:$AB$1000=1)),),""WINNER"",""""))"),"#ERROR!")</f>
        <v>#ERROR!</v>
      </c>
      <c r="AF196" s="40" t="str">
        <f t="shared" si="5"/>
        <v/>
      </c>
      <c r="AG196" s="40" t="str">
        <f>IF($J196="","",COUNTIF(Assignments!$B:$B,$J196))</f>
        <v/>
      </c>
      <c r="AH196" s="40" t="str">
        <f>IF($J196="","",IF(AND($AG196=0,$N196&lt;$M196),Config!$B$43,0))</f>
        <v/>
      </c>
      <c r="AI196" s="40" t="str">
        <f>IF($J196="","",IF(AND($L196="Elite",$F196&gt;=Config!$B$41,$N196&lt;$M196),Config!$B$42,0))</f>
        <v/>
      </c>
      <c r="AJ196" s="22"/>
      <c r="AK196" s="39">
        <f>IFERROR(VLOOKUP(J196,Grinders!$A:$Q,28,FALSE),0)</f>
        <v>0</v>
      </c>
      <c r="AL196" s="39">
        <f>IF(Config!$B$1003&lt;&gt;"Y",0,IF(IFERROR(VLOOKUP(J196,Grinders!$A:$P,27,FALSE),0)&gt;=3,IF(OR(F196&gt;=Config!$B$1001,ISNUMBER(SEARCH(E196,Config!$B$1002))),1,0),0))</f>
        <v>0</v>
      </c>
      <c r="AM196" s="39">
        <f t="array" ref="AM196">IFERROR(IF(INDEX(Bids!$AE:$AE,MATCH(B196,Bids!$A:$A,0))="Pending",1,0),0)</f>
        <v>0</v>
      </c>
      <c r="AN196" s="39" t="str">
        <f t="array" ref="AN196">IF(C196="","",IFERROR(XLOOKUP(C196,Assignments!$C:$C,Assignments!$AU:$AU,0),0))</f>
        <v/>
      </c>
      <c r="AO196" s="39">
        <f>IF(AND(Config!$B$1006="Y",AN196=1),Config!$B$1007,0)</f>
        <v>0</v>
      </c>
    </row>
    <row r="197" ht="15.75" customHeight="1">
      <c r="A197" s="46" t="str">
        <f t="shared" si="1"/>
        <v/>
      </c>
      <c r="B197" s="40" t="str">
        <f>IF(Bids!$A197="","",Bids!$A197)</f>
        <v/>
      </c>
      <c r="C197" s="40" t="str">
        <f>IF(Bids!$B197="","",Bids!$B197)</f>
        <v/>
      </c>
      <c r="D197" s="40" t="str">
        <f>IF($C197="","",IFERROR(VLOOKUP($C197,Orders!$A:$J,9,FALSE),""))</f>
        <v/>
      </c>
      <c r="E197" s="40" t="str">
        <f>IF($C197="","",IFERROR(VLOOKUP($C197,Orders!$A:$J,3,FALSE),""))</f>
        <v/>
      </c>
      <c r="F197" s="40" t="str">
        <f>IF($C197="","",IFERROR(VLOOKUP($C197,Orders!$A:$J,4,FALSE),""))</f>
        <v/>
      </c>
      <c r="G197" s="40" t="str">
        <f>IF($C197="","",IFERROR(VLOOKUP($C197,Orders!$A:$J,5,FALSE),""))</f>
        <v/>
      </c>
      <c r="H197" s="40" t="str">
        <f>IF($C197="","",IFERROR(VLOOKUP($C197,Orders!$A:$J,6,FALSE),""))</f>
        <v/>
      </c>
      <c r="I197" s="40" t="str">
        <f>IF($C197="","",IFERROR(VLOOKUP($C197,Orders!$A:$J,7,FALSE),""))</f>
        <v/>
      </c>
      <c r="J197" s="40" t="str">
        <f>IF(Bids!$C197="","",Bids!$C197)</f>
        <v/>
      </c>
      <c r="K197" s="40" t="str">
        <f>IF($J197="","",IFERROR(VLOOKUP($J197,Grinders!$A:$N,2,FALSE),""))</f>
        <v/>
      </c>
      <c r="L197" s="40" t="str">
        <f>IF($J197="","",IFERROR(VLOOKUP($J197,Grinders!$A:$N,3,FALSE),""))</f>
        <v/>
      </c>
      <c r="M197" s="40" t="str">
        <f>IF($J197="","",IFERROR(VLOOKUP($J197,Grinders!$A:$N,4,FALSE),""))</f>
        <v/>
      </c>
      <c r="N197" s="40" t="str">
        <f>IF($J197="","",IFERROR(VLOOKUP($J197,Grinders!$A:$N,5,FALSE),""))</f>
        <v/>
      </c>
      <c r="O197" s="40" t="str">
        <f t="shared" si="2"/>
        <v/>
      </c>
      <c r="P197" s="40" t="str">
        <f>IF($J197="","",IFERROR(VLOOKUP($J197,Grinders!$A:$N,6,FALSE),""))</f>
        <v/>
      </c>
      <c r="Q197" s="40" t="str">
        <f>IF($J197="","",IFERROR(VLOOKUP($J197,Grinders!$A:$N,8,FALSE),""))</f>
        <v/>
      </c>
      <c r="R197" s="40" t="str">
        <f>IFERROR(IF($J197="","",IF($L197="Elite",MAX(50,MIN(100,Config!$B$27*MAX(0,MIN(100,(1-IF($O197="",0,$O197))*100)) + Config!$B$28*MAX(0,MIN(100,(1-MIN(1,IF(Config!$B$30=0,1,$P197/Config!$B$30)))*100)) + Config!$B$29*MAX(0,MIN(100,MIN(1,IF($Q197="",0,$Q197)/Config!$B$23)*100)))),MIN(100,Config!$B$27*MAX(0,MIN(100,(1-IF($O197="",0,$O197))*100)) + Config!$B$28*MAX(0,MIN(100,(1-MIN(1,IF(Config!$B$30=0,1,$P197/Config!$B$30)))*100)) + Config!$B$29*MAX(0,MIN(100,MIN(1,IF($Q197="",0,$Q197)/Config!$B$23)*100))))),"")
</f>
        <v/>
      </c>
      <c r="S197" s="40" t="str">
        <f>IF(Bids!$AC197="","",Bids!$AC197)</f>
        <v/>
      </c>
      <c r="T197" s="40" t="str">
        <f>IF(Bids!$F197="","",Bids!$F197)</f>
        <v/>
      </c>
      <c r="U197" s="40" t="str">
        <f t="shared" si="3"/>
        <v/>
      </c>
      <c r="V197" s="40" t="str">
        <f>IF($U197="","",IF(Config!$B$17=Config!$B$16,IF($U197&gt;=Config!$B$17,100,0),MAX(0,MIN(100,($U197-Config!$B$16)/(Config!$B$17-Config!$B$16)*100))))</f>
        <v/>
      </c>
      <c r="W197" s="40">
        <f>IF($L197="Elite",Config!$B$21,0)</f>
        <v>0</v>
      </c>
      <c r="X197" s="40" t="str">
        <f>IFERROR(IF(OR($T197="",$G197=""),"",IF($T197&gt;$G197,
  MAX(0, 60-(($T197-$G197)*24/Config!$B$19)*60),
  MEDIAN(60, 100, 60+(($G197-$T197)*24/Config!$B$20)*40)
)),"")
</f>
        <v/>
      </c>
      <c r="Y197" s="40" t="str">
        <f>IF($J197="","",IFERROR(VLOOKUP($J197,Grinders!$A:$N,10,FALSE),""))</f>
        <v/>
      </c>
      <c r="Z197" s="40" t="str">
        <f>IF($J197="","",IFERROR(VLOOKUP($J197,Grinders!$A:$N,11,FALSE),""))</f>
        <v/>
      </c>
      <c r="AA197" s="40" t="str">
        <f>IF($J197="","",IFERROR(VLOOKUP($J197,Grinders!$A:$N,12,FALSE),""))</f>
        <v/>
      </c>
      <c r="AB197" s="40" t="str">
        <f>IF(OR(AL197=1,AM197=1),0,=IFERROR(IF(OR($C197="",$J197=""),0,IF($D197&lt;&gt;"Open",0,IF(COUNTIFS(GrinderServices!$A:$A,$J197,GrinderServices!$B:$B,$E197,GrinderServices!$D:$D,"Y")=0,0,IF($U197&lt;Config!$B$16,0,IF(Config!$B$18=1,IF($N197&gt;=$M197,0,1),1))))),""))</f>
        <v>#ERROR!</v>
      </c>
      <c r="AC197" s="40" t="str">
        <f>IFERROR((IF(OR(AL197=1,AM197=1),"",=IFERROR((IFERROR(IF($AB197=0,"",((Config!$B$6*$V197 + Config!$B$7*$R197 + Config!$B$8*$W197 + Config!$B$9*$X197 + Config!$B$10*$Y197 + Config!$B$11*$Z197 - Config!$B$12*$AA197)/Config!$B$13)+$AH197+$AI197),""))*(1-IFERROR(VLOOKUP(J197,Grinders!$A:$AB, 28, FALSE),0)),"")))*(1+AO197),"")</f>
        <v>#ERROR!</v>
      </c>
      <c r="AD197" s="40" t="str">
        <f t="shared" si="4"/>
        <v/>
      </c>
      <c r="AE197" s="40" t="str">
        <f>IFERROR(__xludf.DUMMYFUNCTION("IF($AC197="""","""",IF($AC197=IFERROR(MAX(FILTER($AC$6:$AC$1000,$C$6:$C$1000=$C197,$AB$6:$AB$1000=1)),),""WINNER"",""""))"),"#ERROR!")</f>
        <v>#ERROR!</v>
      </c>
      <c r="AF197" s="40" t="str">
        <f t="shared" si="5"/>
        <v/>
      </c>
      <c r="AG197" s="40" t="str">
        <f>IF($J197="","",COUNTIF(Assignments!$B:$B,$J197))</f>
        <v/>
      </c>
      <c r="AH197" s="40" t="str">
        <f>IF($J197="","",IF(AND($AG197=0,$N197&lt;$M197),Config!$B$43,0))</f>
        <v/>
      </c>
      <c r="AI197" s="40" t="str">
        <f>IF($J197="","",IF(AND($L197="Elite",$F197&gt;=Config!$B$41,$N197&lt;$M197),Config!$B$42,0))</f>
        <v/>
      </c>
      <c r="AJ197" s="22"/>
      <c r="AK197" s="39">
        <f>IFERROR(VLOOKUP(J197,Grinders!$A:$Q,28,FALSE),0)</f>
        <v>0</v>
      </c>
      <c r="AL197" s="39">
        <f>IF(Config!$B$1003&lt;&gt;"Y",0,IF(IFERROR(VLOOKUP(J197,Grinders!$A:$P,27,FALSE),0)&gt;=3,IF(OR(F197&gt;=Config!$B$1001,ISNUMBER(SEARCH(E197,Config!$B$1002))),1,0),0))</f>
        <v>0</v>
      </c>
      <c r="AM197" s="39">
        <f t="array" ref="AM197">IFERROR(IF(INDEX(Bids!$AE:$AE,MATCH(B197,Bids!$A:$A,0))="Pending",1,0),0)</f>
        <v>0</v>
      </c>
      <c r="AN197" s="39" t="str">
        <f t="array" ref="AN197">IF(C197="","",IFERROR(XLOOKUP(C197,Assignments!$C:$C,Assignments!$AU:$AU,0),0))</f>
        <v/>
      </c>
      <c r="AO197" s="39">
        <f>IF(AND(Config!$B$1006="Y",AN197=1),Config!$B$1007,0)</f>
        <v>0</v>
      </c>
    </row>
    <row r="198" ht="15.75" customHeight="1">
      <c r="A198" s="46" t="str">
        <f t="shared" si="1"/>
        <v/>
      </c>
      <c r="B198" s="40" t="str">
        <f>IF(Bids!$A198="","",Bids!$A198)</f>
        <v/>
      </c>
      <c r="C198" s="40" t="str">
        <f>IF(Bids!$B198="","",Bids!$B198)</f>
        <v/>
      </c>
      <c r="D198" s="40" t="str">
        <f>IF($C198="","",IFERROR(VLOOKUP($C198,Orders!$A:$J,9,FALSE),""))</f>
        <v/>
      </c>
      <c r="E198" s="40" t="str">
        <f>IF($C198="","",IFERROR(VLOOKUP($C198,Orders!$A:$J,3,FALSE),""))</f>
        <v/>
      </c>
      <c r="F198" s="40" t="str">
        <f>IF($C198="","",IFERROR(VLOOKUP($C198,Orders!$A:$J,4,FALSE),""))</f>
        <v/>
      </c>
      <c r="G198" s="40" t="str">
        <f>IF($C198="","",IFERROR(VLOOKUP($C198,Orders!$A:$J,5,FALSE),""))</f>
        <v/>
      </c>
      <c r="H198" s="40" t="str">
        <f>IF($C198="","",IFERROR(VLOOKUP($C198,Orders!$A:$J,6,FALSE),""))</f>
        <v/>
      </c>
      <c r="I198" s="40" t="str">
        <f>IF($C198="","",IFERROR(VLOOKUP($C198,Orders!$A:$J,7,FALSE),""))</f>
        <v/>
      </c>
      <c r="J198" s="40" t="str">
        <f>IF(Bids!$C198="","",Bids!$C198)</f>
        <v/>
      </c>
      <c r="K198" s="40" t="str">
        <f>IF($J198="","",IFERROR(VLOOKUP($J198,Grinders!$A:$N,2,FALSE),""))</f>
        <v/>
      </c>
      <c r="L198" s="40" t="str">
        <f>IF($J198="","",IFERROR(VLOOKUP($J198,Grinders!$A:$N,3,FALSE),""))</f>
        <v/>
      </c>
      <c r="M198" s="40" t="str">
        <f>IF($J198="","",IFERROR(VLOOKUP($J198,Grinders!$A:$N,4,FALSE),""))</f>
        <v/>
      </c>
      <c r="N198" s="40" t="str">
        <f>IF($J198="","",IFERROR(VLOOKUP($J198,Grinders!$A:$N,5,FALSE),""))</f>
        <v/>
      </c>
      <c r="O198" s="40" t="str">
        <f t="shared" si="2"/>
        <v/>
      </c>
      <c r="P198" s="40" t="str">
        <f>IF($J198="","",IFERROR(VLOOKUP($J198,Grinders!$A:$N,6,FALSE),""))</f>
        <v/>
      </c>
      <c r="Q198" s="40" t="str">
        <f>IF($J198="","",IFERROR(VLOOKUP($J198,Grinders!$A:$N,8,FALSE),""))</f>
        <v/>
      </c>
      <c r="R198" s="40" t="str">
        <f>IFERROR(IF($J198="","",IF($L198="Elite",MAX(50,MIN(100,Config!$B$27*MAX(0,MIN(100,(1-IF($O198="",0,$O198))*100)) + Config!$B$28*MAX(0,MIN(100,(1-MIN(1,IF(Config!$B$30=0,1,$P198/Config!$B$30)))*100)) + Config!$B$29*MAX(0,MIN(100,MIN(1,IF($Q198="",0,$Q198)/Config!$B$23)*100)))),MIN(100,Config!$B$27*MAX(0,MIN(100,(1-IF($O198="",0,$O198))*100)) + Config!$B$28*MAX(0,MIN(100,(1-MIN(1,IF(Config!$B$30=0,1,$P198/Config!$B$30)))*100)) + Config!$B$29*MAX(0,MIN(100,MIN(1,IF($Q198="",0,$Q198)/Config!$B$23)*100))))),"")
</f>
        <v/>
      </c>
      <c r="S198" s="40" t="str">
        <f>IF(Bids!$AC198="","",Bids!$AC198)</f>
        <v/>
      </c>
      <c r="T198" s="40" t="str">
        <f>IF(Bids!$F198="","",Bids!$F198)</f>
        <v/>
      </c>
      <c r="U198" s="40" t="str">
        <f t="shared" si="3"/>
        <v/>
      </c>
      <c r="V198" s="40" t="str">
        <f>IF($U198="","",IF(Config!$B$17=Config!$B$16,IF($U198&gt;=Config!$B$17,100,0),MAX(0,MIN(100,($U198-Config!$B$16)/(Config!$B$17-Config!$B$16)*100))))</f>
        <v/>
      </c>
      <c r="W198" s="40">
        <f>IF($L198="Elite",Config!$B$21,0)</f>
        <v>0</v>
      </c>
      <c r="X198" s="40" t="str">
        <f>IFERROR(IF(OR($T198="",$G198=""),"",IF($T198&gt;$G198,
  MAX(0, 60-(($T198-$G198)*24/Config!$B$19)*60),
  MEDIAN(60, 100, 60+(($G198-$T198)*24/Config!$B$20)*40)
)),"")
</f>
        <v/>
      </c>
      <c r="Y198" s="40" t="str">
        <f>IF($J198="","",IFERROR(VLOOKUP($J198,Grinders!$A:$N,10,FALSE),""))</f>
        <v/>
      </c>
      <c r="Z198" s="40" t="str">
        <f>IF($J198="","",IFERROR(VLOOKUP($J198,Grinders!$A:$N,11,FALSE),""))</f>
        <v/>
      </c>
      <c r="AA198" s="40" t="str">
        <f>IF($J198="","",IFERROR(VLOOKUP($J198,Grinders!$A:$N,12,FALSE),""))</f>
        <v/>
      </c>
      <c r="AB198" s="40" t="str">
        <f>IF(OR(AL198=1,AM198=1),0,=IFERROR(IF(OR($C198="",$J198=""),0,IF($D198&lt;&gt;"Open",0,IF(COUNTIFS(GrinderServices!$A:$A,$J198,GrinderServices!$B:$B,$E198,GrinderServices!$D:$D,"Y")=0,0,IF($U198&lt;Config!$B$16,0,IF(Config!$B$18=1,IF($N198&gt;=$M198,0,1),1))))),""))</f>
        <v>#ERROR!</v>
      </c>
      <c r="AC198" s="40" t="str">
        <f>IFERROR((IF(OR(AL198=1,AM198=1),"",=IFERROR((IFERROR(IF($AB198=0,"",((Config!$B$6*$V198 + Config!$B$7*$R198 + Config!$B$8*$W198 + Config!$B$9*$X198 + Config!$B$10*$Y198 + Config!$B$11*$Z198 - Config!$B$12*$AA198)/Config!$B$13)+$AH198+$AI198),""))*(1-IFERROR(VLOOKUP(J198,Grinders!$A:$AB, 28, FALSE),0)),"")))*(1+AO198),"")</f>
        <v>#ERROR!</v>
      </c>
      <c r="AD198" s="40" t="str">
        <f t="shared" si="4"/>
        <v/>
      </c>
      <c r="AE198" s="40" t="str">
        <f>IFERROR(__xludf.DUMMYFUNCTION("IF($AC198="""","""",IF($AC198=IFERROR(MAX(FILTER($AC$6:$AC$1000,$C$6:$C$1000=$C198,$AB$6:$AB$1000=1)),),""WINNER"",""""))"),"#ERROR!")</f>
        <v>#ERROR!</v>
      </c>
      <c r="AF198" s="40" t="str">
        <f t="shared" si="5"/>
        <v/>
      </c>
      <c r="AG198" s="40" t="str">
        <f>IF($J198="","",COUNTIF(Assignments!$B:$B,$J198))</f>
        <v/>
      </c>
      <c r="AH198" s="40" t="str">
        <f>IF($J198="","",IF(AND($AG198=0,$N198&lt;$M198),Config!$B$43,0))</f>
        <v/>
      </c>
      <c r="AI198" s="40" t="str">
        <f>IF($J198="","",IF(AND($L198="Elite",$F198&gt;=Config!$B$41,$N198&lt;$M198),Config!$B$42,0))</f>
        <v/>
      </c>
      <c r="AJ198" s="22"/>
      <c r="AK198" s="39">
        <f>IFERROR(VLOOKUP(J198,Grinders!$A:$Q,28,FALSE),0)</f>
        <v>0</v>
      </c>
      <c r="AL198" s="39">
        <f>IF(Config!$B$1003&lt;&gt;"Y",0,IF(IFERROR(VLOOKUP(J198,Grinders!$A:$P,27,FALSE),0)&gt;=3,IF(OR(F198&gt;=Config!$B$1001,ISNUMBER(SEARCH(E198,Config!$B$1002))),1,0),0))</f>
        <v>0</v>
      </c>
      <c r="AM198" s="39">
        <f t="array" ref="AM198">IFERROR(IF(INDEX(Bids!$AE:$AE,MATCH(B198,Bids!$A:$A,0))="Pending",1,0),0)</f>
        <v>0</v>
      </c>
      <c r="AN198" s="39" t="str">
        <f t="array" ref="AN198">IF(C198="","",IFERROR(XLOOKUP(C198,Assignments!$C:$C,Assignments!$AU:$AU,0),0))</f>
        <v/>
      </c>
      <c r="AO198" s="39">
        <f>IF(AND(Config!$B$1006="Y",AN198=1),Config!$B$1007,0)</f>
        <v>0</v>
      </c>
    </row>
    <row r="199" ht="15.75" customHeight="1">
      <c r="A199" s="46" t="str">
        <f t="shared" si="1"/>
        <v/>
      </c>
      <c r="B199" s="40" t="str">
        <f>IF(Bids!$A199="","",Bids!$A199)</f>
        <v/>
      </c>
      <c r="C199" s="40" t="str">
        <f>IF(Bids!$B199="","",Bids!$B199)</f>
        <v/>
      </c>
      <c r="D199" s="40" t="str">
        <f>IF($C199="","",IFERROR(VLOOKUP($C199,Orders!$A:$J,9,FALSE),""))</f>
        <v/>
      </c>
      <c r="E199" s="40" t="str">
        <f>IF($C199="","",IFERROR(VLOOKUP($C199,Orders!$A:$J,3,FALSE),""))</f>
        <v/>
      </c>
      <c r="F199" s="40" t="str">
        <f>IF($C199="","",IFERROR(VLOOKUP($C199,Orders!$A:$J,4,FALSE),""))</f>
        <v/>
      </c>
      <c r="G199" s="40" t="str">
        <f>IF($C199="","",IFERROR(VLOOKUP($C199,Orders!$A:$J,5,FALSE),""))</f>
        <v/>
      </c>
      <c r="H199" s="40" t="str">
        <f>IF($C199="","",IFERROR(VLOOKUP($C199,Orders!$A:$J,6,FALSE),""))</f>
        <v/>
      </c>
      <c r="I199" s="40" t="str">
        <f>IF($C199="","",IFERROR(VLOOKUP($C199,Orders!$A:$J,7,FALSE),""))</f>
        <v/>
      </c>
      <c r="J199" s="40" t="str">
        <f>IF(Bids!$C199="","",Bids!$C199)</f>
        <v/>
      </c>
      <c r="K199" s="40" t="str">
        <f>IF($J199="","",IFERROR(VLOOKUP($J199,Grinders!$A:$N,2,FALSE),""))</f>
        <v/>
      </c>
      <c r="L199" s="40" t="str">
        <f>IF($J199="","",IFERROR(VLOOKUP($J199,Grinders!$A:$N,3,FALSE),""))</f>
        <v/>
      </c>
      <c r="M199" s="40" t="str">
        <f>IF($J199="","",IFERROR(VLOOKUP($J199,Grinders!$A:$N,4,FALSE),""))</f>
        <v/>
      </c>
      <c r="N199" s="40" t="str">
        <f>IF($J199="","",IFERROR(VLOOKUP($J199,Grinders!$A:$N,5,FALSE),""))</f>
        <v/>
      </c>
      <c r="O199" s="40" t="str">
        <f t="shared" si="2"/>
        <v/>
      </c>
      <c r="P199" s="40" t="str">
        <f>IF($J199="","",IFERROR(VLOOKUP($J199,Grinders!$A:$N,6,FALSE),""))</f>
        <v/>
      </c>
      <c r="Q199" s="40" t="str">
        <f>IF($J199="","",IFERROR(VLOOKUP($J199,Grinders!$A:$N,8,FALSE),""))</f>
        <v/>
      </c>
      <c r="R199" s="40" t="str">
        <f>IFERROR(IF($J199="","",IF($L199="Elite",MAX(50,MIN(100,Config!$B$27*MAX(0,MIN(100,(1-IF($O199="",0,$O199))*100)) + Config!$B$28*MAX(0,MIN(100,(1-MIN(1,IF(Config!$B$30=0,1,$P199/Config!$B$30)))*100)) + Config!$B$29*MAX(0,MIN(100,MIN(1,IF($Q199="",0,$Q199)/Config!$B$23)*100)))),MIN(100,Config!$B$27*MAX(0,MIN(100,(1-IF($O199="",0,$O199))*100)) + Config!$B$28*MAX(0,MIN(100,(1-MIN(1,IF(Config!$B$30=0,1,$P199/Config!$B$30)))*100)) + Config!$B$29*MAX(0,MIN(100,MIN(1,IF($Q199="",0,$Q199)/Config!$B$23)*100))))),"")
</f>
        <v/>
      </c>
      <c r="S199" s="40" t="str">
        <f>IF(Bids!$AC199="","",Bids!$AC199)</f>
        <v/>
      </c>
      <c r="T199" s="40" t="str">
        <f>IF(Bids!$F199="","",Bids!$F199)</f>
        <v/>
      </c>
      <c r="U199" s="40" t="str">
        <f t="shared" si="3"/>
        <v/>
      </c>
      <c r="V199" s="40" t="str">
        <f>IF($U199="","",IF(Config!$B$17=Config!$B$16,IF($U199&gt;=Config!$B$17,100,0),MAX(0,MIN(100,($U199-Config!$B$16)/(Config!$B$17-Config!$B$16)*100))))</f>
        <v/>
      </c>
      <c r="W199" s="40">
        <f>IF($L199="Elite",Config!$B$21,0)</f>
        <v>0</v>
      </c>
      <c r="X199" s="40" t="str">
        <f>IFERROR(IF(OR($T199="",$G199=""),"",IF($T199&gt;$G199,
  MAX(0, 60-(($T199-$G199)*24/Config!$B$19)*60),
  MEDIAN(60, 100, 60+(($G199-$T199)*24/Config!$B$20)*40)
)),"")
</f>
        <v/>
      </c>
      <c r="Y199" s="40" t="str">
        <f>IF($J199="","",IFERROR(VLOOKUP($J199,Grinders!$A:$N,10,FALSE),""))</f>
        <v/>
      </c>
      <c r="Z199" s="40" t="str">
        <f>IF($J199="","",IFERROR(VLOOKUP($J199,Grinders!$A:$N,11,FALSE),""))</f>
        <v/>
      </c>
      <c r="AA199" s="40" t="str">
        <f>IF($J199="","",IFERROR(VLOOKUP($J199,Grinders!$A:$N,12,FALSE),""))</f>
        <v/>
      </c>
      <c r="AB199" s="40" t="str">
        <f>IF(OR(AL199=1,AM199=1),0,=IFERROR(IF(OR($C199="",$J199=""),0,IF($D199&lt;&gt;"Open",0,IF(COUNTIFS(GrinderServices!$A:$A,$J199,GrinderServices!$B:$B,$E199,GrinderServices!$D:$D,"Y")=0,0,IF($U199&lt;Config!$B$16,0,IF(Config!$B$18=1,IF($N199&gt;=$M199,0,1),1))))),""))</f>
        <v>#ERROR!</v>
      </c>
      <c r="AC199" s="40" t="str">
        <f>IFERROR((IF(OR(AL199=1,AM199=1),"",=IFERROR((IFERROR(IF($AB199=0,"",((Config!$B$6*$V199 + Config!$B$7*$R199 + Config!$B$8*$W199 + Config!$B$9*$X199 + Config!$B$10*$Y199 + Config!$B$11*$Z199 - Config!$B$12*$AA199)/Config!$B$13)+$AH199+$AI199),""))*(1-IFERROR(VLOOKUP(J199,Grinders!$A:$AB, 28, FALSE),0)),"")))*(1+AO199),"")</f>
        <v>#ERROR!</v>
      </c>
      <c r="AD199" s="40" t="str">
        <f t="shared" si="4"/>
        <v/>
      </c>
      <c r="AE199" s="40" t="str">
        <f>IFERROR(__xludf.DUMMYFUNCTION("IF($AC199="""","""",IF($AC199=IFERROR(MAX(FILTER($AC$6:$AC$1000,$C$6:$C$1000=$C199,$AB$6:$AB$1000=1)),),""WINNER"",""""))"),"#ERROR!")</f>
        <v>#ERROR!</v>
      </c>
      <c r="AF199" s="40" t="str">
        <f t="shared" si="5"/>
        <v/>
      </c>
      <c r="AG199" s="40" t="str">
        <f>IF($J199="","",COUNTIF(Assignments!$B:$B,$J199))</f>
        <v/>
      </c>
      <c r="AH199" s="40" t="str">
        <f>IF($J199="","",IF(AND($AG199=0,$N199&lt;$M199),Config!$B$43,0))</f>
        <v/>
      </c>
      <c r="AI199" s="40" t="str">
        <f>IF($J199="","",IF(AND($L199="Elite",$F199&gt;=Config!$B$41,$N199&lt;$M199),Config!$B$42,0))</f>
        <v/>
      </c>
      <c r="AJ199" s="22"/>
      <c r="AK199" s="39">
        <f>IFERROR(VLOOKUP(J199,Grinders!$A:$Q,28,FALSE),0)</f>
        <v>0</v>
      </c>
      <c r="AL199" s="39">
        <f>IF(Config!$B$1003&lt;&gt;"Y",0,IF(IFERROR(VLOOKUP(J199,Grinders!$A:$P,27,FALSE),0)&gt;=3,IF(OR(F199&gt;=Config!$B$1001,ISNUMBER(SEARCH(E199,Config!$B$1002))),1,0),0))</f>
        <v>0</v>
      </c>
      <c r="AM199" s="39">
        <f t="array" ref="AM199">IFERROR(IF(INDEX(Bids!$AE:$AE,MATCH(B199,Bids!$A:$A,0))="Pending",1,0),0)</f>
        <v>0</v>
      </c>
      <c r="AN199" s="39" t="str">
        <f t="array" ref="AN199">IF(C199="","",IFERROR(XLOOKUP(C199,Assignments!$C:$C,Assignments!$AU:$AU,0),0))</f>
        <v/>
      </c>
      <c r="AO199" s="39">
        <f>IF(AND(Config!$B$1006="Y",AN199=1),Config!$B$1007,0)</f>
        <v>0</v>
      </c>
    </row>
    <row r="200" ht="15.75" customHeight="1">
      <c r="A200" s="46" t="str">
        <f t="shared" si="1"/>
        <v/>
      </c>
      <c r="B200" s="40" t="str">
        <f>IF(Bids!$A200="","",Bids!$A200)</f>
        <v/>
      </c>
      <c r="C200" s="40" t="str">
        <f>IF(Bids!$B200="","",Bids!$B200)</f>
        <v/>
      </c>
      <c r="D200" s="40" t="str">
        <f>IF($C200="","",IFERROR(VLOOKUP($C200,Orders!$A:$J,9,FALSE),""))</f>
        <v/>
      </c>
      <c r="E200" s="40" t="str">
        <f>IF($C200="","",IFERROR(VLOOKUP($C200,Orders!$A:$J,3,FALSE),""))</f>
        <v/>
      </c>
      <c r="F200" s="40" t="str">
        <f>IF($C200="","",IFERROR(VLOOKUP($C200,Orders!$A:$J,4,FALSE),""))</f>
        <v/>
      </c>
      <c r="G200" s="40" t="str">
        <f>IF($C200="","",IFERROR(VLOOKUP($C200,Orders!$A:$J,5,FALSE),""))</f>
        <v/>
      </c>
      <c r="H200" s="40" t="str">
        <f>IF($C200="","",IFERROR(VLOOKUP($C200,Orders!$A:$J,6,FALSE),""))</f>
        <v/>
      </c>
      <c r="I200" s="40" t="str">
        <f>IF($C200="","",IFERROR(VLOOKUP($C200,Orders!$A:$J,7,FALSE),""))</f>
        <v/>
      </c>
      <c r="J200" s="40" t="str">
        <f>IF(Bids!$C200="","",Bids!$C200)</f>
        <v/>
      </c>
      <c r="K200" s="40" t="str">
        <f>IF($J200="","",IFERROR(VLOOKUP($J200,Grinders!$A:$N,2,FALSE),""))</f>
        <v/>
      </c>
      <c r="L200" s="40" t="str">
        <f>IF($J200="","",IFERROR(VLOOKUP($J200,Grinders!$A:$N,3,FALSE),""))</f>
        <v/>
      </c>
      <c r="M200" s="40" t="str">
        <f>IF($J200="","",IFERROR(VLOOKUP($J200,Grinders!$A:$N,4,FALSE),""))</f>
        <v/>
      </c>
      <c r="N200" s="40" t="str">
        <f>IF($J200="","",IFERROR(VLOOKUP($J200,Grinders!$A:$N,5,FALSE),""))</f>
        <v/>
      </c>
      <c r="O200" s="40" t="str">
        <f t="shared" si="2"/>
        <v/>
      </c>
      <c r="P200" s="40" t="str">
        <f>IF($J200="","",IFERROR(VLOOKUP($J200,Grinders!$A:$N,6,FALSE),""))</f>
        <v/>
      </c>
      <c r="Q200" s="40" t="str">
        <f>IF($J200="","",IFERROR(VLOOKUP($J200,Grinders!$A:$N,8,FALSE),""))</f>
        <v/>
      </c>
      <c r="R200" s="40" t="str">
        <f>IFERROR(IF($J200="","",IF($L200="Elite",MAX(50,MIN(100,Config!$B$27*MAX(0,MIN(100,(1-IF($O200="",0,$O200))*100)) + Config!$B$28*MAX(0,MIN(100,(1-MIN(1,IF(Config!$B$30=0,1,$P200/Config!$B$30)))*100)) + Config!$B$29*MAX(0,MIN(100,MIN(1,IF($Q200="",0,$Q200)/Config!$B$23)*100)))),MIN(100,Config!$B$27*MAX(0,MIN(100,(1-IF($O200="",0,$O200))*100)) + Config!$B$28*MAX(0,MIN(100,(1-MIN(1,IF(Config!$B$30=0,1,$P200/Config!$B$30)))*100)) + Config!$B$29*MAX(0,MIN(100,MIN(1,IF($Q200="",0,$Q200)/Config!$B$23)*100))))),"")
</f>
        <v/>
      </c>
      <c r="S200" s="40" t="str">
        <f>IF(Bids!$AC200="","",Bids!$AC200)</f>
        <v/>
      </c>
      <c r="T200" s="40" t="str">
        <f>IF(Bids!$F200="","",Bids!$F200)</f>
        <v/>
      </c>
      <c r="U200" s="40" t="str">
        <f t="shared" si="3"/>
        <v/>
      </c>
      <c r="V200" s="40" t="str">
        <f>IF($U200="","",IF(Config!$B$17=Config!$B$16,IF($U200&gt;=Config!$B$17,100,0),MAX(0,MIN(100,($U200-Config!$B$16)/(Config!$B$17-Config!$B$16)*100))))</f>
        <v/>
      </c>
      <c r="W200" s="40">
        <f>IF($L200="Elite",Config!$B$21,0)</f>
        <v>0</v>
      </c>
      <c r="X200" s="40" t="str">
        <f>IFERROR(IF(OR($T200="",$G200=""),"",IF($T200&gt;$G200,
  MAX(0, 60-(($T200-$G200)*24/Config!$B$19)*60),
  MEDIAN(60, 100, 60+(($G200-$T200)*24/Config!$B$20)*40)
)),"")
</f>
        <v/>
      </c>
      <c r="Y200" s="40" t="str">
        <f>IF($J200="","",IFERROR(VLOOKUP($J200,Grinders!$A:$N,10,FALSE),""))</f>
        <v/>
      </c>
      <c r="Z200" s="40" t="str">
        <f>IF($J200="","",IFERROR(VLOOKUP($J200,Grinders!$A:$N,11,FALSE),""))</f>
        <v/>
      </c>
      <c r="AA200" s="40" t="str">
        <f>IF($J200="","",IFERROR(VLOOKUP($J200,Grinders!$A:$N,12,FALSE),""))</f>
        <v/>
      </c>
      <c r="AB200" s="40" t="str">
        <f>IF(OR(AL200=1,AM200=1),0,=IFERROR(IF(OR($C200="",$J200=""),0,IF($D200&lt;&gt;"Open",0,IF(COUNTIFS(GrinderServices!$A:$A,$J200,GrinderServices!$B:$B,$E200,GrinderServices!$D:$D,"Y")=0,0,IF($U200&lt;Config!$B$16,0,IF(Config!$B$18=1,IF($N200&gt;=$M200,0,1),1))))),""))</f>
        <v>#ERROR!</v>
      </c>
      <c r="AC200" s="40" t="str">
        <f>IFERROR((IF(OR(AL200=1,AM200=1),"",=IFERROR((IFERROR(IF($AB200=0,"",((Config!$B$6*$V200 + Config!$B$7*$R200 + Config!$B$8*$W200 + Config!$B$9*$X200 + Config!$B$10*$Y200 + Config!$B$11*$Z200 - Config!$B$12*$AA200)/Config!$B$13)+$AH200+$AI200),""))*(1-IFERROR(VLOOKUP(J200,Grinders!$A:$AB, 28, FALSE),0)),"")))*(1+AO200),"")</f>
        <v>#ERROR!</v>
      </c>
      <c r="AD200" s="40" t="str">
        <f t="shared" si="4"/>
        <v/>
      </c>
      <c r="AE200" s="40" t="str">
        <f>IFERROR(__xludf.DUMMYFUNCTION("IF($AC200="""","""",IF($AC200=IFERROR(MAX(FILTER($AC$6:$AC$1000,$C$6:$C$1000=$C200,$AB$6:$AB$1000=1)),),""WINNER"",""""))"),"#ERROR!")</f>
        <v>#ERROR!</v>
      </c>
      <c r="AF200" s="40" t="str">
        <f t="shared" si="5"/>
        <v/>
      </c>
      <c r="AG200" s="40" t="str">
        <f>IF($J200="","",COUNTIF(Assignments!$B:$B,$J200))</f>
        <v/>
      </c>
      <c r="AH200" s="40" t="str">
        <f>IF($J200="","",IF(AND($AG200=0,$N200&lt;$M200),Config!$B$43,0))</f>
        <v/>
      </c>
      <c r="AI200" s="40" t="str">
        <f>IF($J200="","",IF(AND($L200="Elite",$F200&gt;=Config!$B$41,$N200&lt;$M200),Config!$B$42,0))</f>
        <v/>
      </c>
      <c r="AJ200" s="22"/>
      <c r="AK200" s="39">
        <f>IFERROR(VLOOKUP(J200,Grinders!$A:$Q,28,FALSE),0)</f>
        <v>0</v>
      </c>
      <c r="AL200" s="39">
        <f>IF(Config!$B$1003&lt;&gt;"Y",0,IF(IFERROR(VLOOKUP(J200,Grinders!$A:$P,27,FALSE),0)&gt;=3,IF(OR(F200&gt;=Config!$B$1001,ISNUMBER(SEARCH(E200,Config!$B$1002))),1,0),0))</f>
        <v>0</v>
      </c>
      <c r="AM200" s="39">
        <f t="array" ref="AM200">IFERROR(IF(INDEX(Bids!$AE:$AE,MATCH(B200,Bids!$A:$A,0))="Pending",1,0),0)</f>
        <v>0</v>
      </c>
      <c r="AN200" s="39" t="str">
        <f t="array" ref="AN200">IF(C200="","",IFERROR(XLOOKUP(C200,Assignments!$C:$C,Assignments!$AU:$AU,0),0))</f>
        <v/>
      </c>
      <c r="AO200" s="39">
        <f>IF(AND(Config!$B$1006="Y",AN200=1),Config!$B$1007,0)</f>
        <v>0</v>
      </c>
    </row>
    <row r="201" ht="15.75" customHeight="1">
      <c r="A201" s="46" t="str">
        <f t="shared" si="1"/>
        <v/>
      </c>
      <c r="B201" s="40" t="str">
        <f>IF(Bids!$A201="","",Bids!$A201)</f>
        <v/>
      </c>
      <c r="C201" s="40" t="str">
        <f>IF(Bids!$B201="","",Bids!$B201)</f>
        <v/>
      </c>
      <c r="D201" s="40" t="str">
        <f>IF($C201="","",IFERROR(VLOOKUP($C201,Orders!$A:$J,9,FALSE),""))</f>
        <v/>
      </c>
      <c r="E201" s="40" t="str">
        <f>IF($C201="","",IFERROR(VLOOKUP($C201,Orders!$A:$J,3,FALSE),""))</f>
        <v/>
      </c>
      <c r="F201" s="40" t="str">
        <f>IF($C201="","",IFERROR(VLOOKUP($C201,Orders!$A:$J,4,FALSE),""))</f>
        <v/>
      </c>
      <c r="G201" s="40" t="str">
        <f>IF($C201="","",IFERROR(VLOOKUP($C201,Orders!$A:$J,5,FALSE),""))</f>
        <v/>
      </c>
      <c r="H201" s="40" t="str">
        <f>IF($C201="","",IFERROR(VLOOKUP($C201,Orders!$A:$J,6,FALSE),""))</f>
        <v/>
      </c>
      <c r="I201" s="40" t="str">
        <f>IF($C201="","",IFERROR(VLOOKUP($C201,Orders!$A:$J,7,FALSE),""))</f>
        <v/>
      </c>
      <c r="J201" s="40" t="str">
        <f>IF(Bids!$C201="","",Bids!$C201)</f>
        <v/>
      </c>
      <c r="K201" s="40" t="str">
        <f>IF($J201="","",IFERROR(VLOOKUP($J201,Grinders!$A:$N,2,FALSE),""))</f>
        <v/>
      </c>
      <c r="L201" s="40" t="str">
        <f>IF($J201="","",IFERROR(VLOOKUP($J201,Grinders!$A:$N,3,FALSE),""))</f>
        <v/>
      </c>
      <c r="M201" s="40" t="str">
        <f>IF($J201="","",IFERROR(VLOOKUP($J201,Grinders!$A:$N,4,FALSE),""))</f>
        <v/>
      </c>
      <c r="N201" s="40" t="str">
        <f>IF($J201="","",IFERROR(VLOOKUP($J201,Grinders!$A:$N,5,FALSE),""))</f>
        <v/>
      </c>
      <c r="O201" s="40" t="str">
        <f t="shared" si="2"/>
        <v/>
      </c>
      <c r="P201" s="40" t="str">
        <f>IF($J201="","",IFERROR(VLOOKUP($J201,Grinders!$A:$N,6,FALSE),""))</f>
        <v/>
      </c>
      <c r="Q201" s="40" t="str">
        <f>IF($J201="","",IFERROR(VLOOKUP($J201,Grinders!$A:$N,8,FALSE),""))</f>
        <v/>
      </c>
      <c r="R201" s="40" t="str">
        <f>IFERROR(IF($J201="","",IF($L201="Elite",MAX(50,MIN(100,Config!$B$27*MAX(0,MIN(100,(1-IF($O201="",0,$O201))*100)) + Config!$B$28*MAX(0,MIN(100,(1-MIN(1,IF(Config!$B$30=0,1,$P201/Config!$B$30)))*100)) + Config!$B$29*MAX(0,MIN(100,MIN(1,IF($Q201="",0,$Q201)/Config!$B$23)*100)))),MIN(100,Config!$B$27*MAX(0,MIN(100,(1-IF($O201="",0,$O201))*100)) + Config!$B$28*MAX(0,MIN(100,(1-MIN(1,IF(Config!$B$30=0,1,$P201/Config!$B$30)))*100)) + Config!$B$29*MAX(0,MIN(100,MIN(1,IF($Q201="",0,$Q201)/Config!$B$23)*100))))),"")
</f>
        <v/>
      </c>
      <c r="S201" s="40" t="str">
        <f>IF(Bids!$AC201="","",Bids!$AC201)</f>
        <v/>
      </c>
      <c r="T201" s="40" t="str">
        <f>IF(Bids!$F201="","",Bids!$F201)</f>
        <v/>
      </c>
      <c r="U201" s="40" t="str">
        <f t="shared" si="3"/>
        <v/>
      </c>
      <c r="V201" s="40" t="str">
        <f>IF($U201="","",IF(Config!$B$17=Config!$B$16,IF($U201&gt;=Config!$B$17,100,0),MAX(0,MIN(100,($U201-Config!$B$16)/(Config!$B$17-Config!$B$16)*100))))</f>
        <v/>
      </c>
      <c r="W201" s="40">
        <f>IF($L201="Elite",Config!$B$21,0)</f>
        <v>0</v>
      </c>
      <c r="X201" s="40" t="str">
        <f>IFERROR(IF(OR($T201="",$G201=""),"",IF($T201&gt;$G201,
  MAX(0, 60-(($T201-$G201)*24/Config!$B$19)*60),
  MEDIAN(60, 100, 60+(($G201-$T201)*24/Config!$B$20)*40)
)),"")
</f>
        <v/>
      </c>
      <c r="Y201" s="40" t="str">
        <f>IF($J201="","",IFERROR(VLOOKUP($J201,Grinders!$A:$N,10,FALSE),""))</f>
        <v/>
      </c>
      <c r="Z201" s="40" t="str">
        <f>IF($J201="","",IFERROR(VLOOKUP($J201,Grinders!$A:$N,11,FALSE),""))</f>
        <v/>
      </c>
      <c r="AA201" s="40" t="str">
        <f>IF($J201="","",IFERROR(VLOOKUP($J201,Grinders!$A:$N,12,FALSE),""))</f>
        <v/>
      </c>
      <c r="AB201" s="40" t="str">
        <f>IF(OR(AL201=1,AM201=1),0,=IFERROR(IF(OR($C201="",$J201=""),0,IF($D201&lt;&gt;"Open",0,IF(COUNTIFS(GrinderServices!$A:$A,$J201,GrinderServices!$B:$B,$E201,GrinderServices!$D:$D,"Y")=0,0,IF($U201&lt;Config!$B$16,0,IF(Config!$B$18=1,IF($N201&gt;=$M201,0,1),1))))),""))</f>
        <v>#ERROR!</v>
      </c>
      <c r="AC201" s="40" t="str">
        <f>IFERROR((IF(OR(AL201=1,AM201=1),"",=IFERROR((IFERROR(IF($AB201=0,"",((Config!$B$6*$V201 + Config!$B$7*$R201 + Config!$B$8*$W201 + Config!$B$9*$X201 + Config!$B$10*$Y201 + Config!$B$11*$Z201 - Config!$B$12*$AA201)/Config!$B$13)+$AH201+$AI201),""))*(1-IFERROR(VLOOKUP(J201,Grinders!$A:$AB, 28, FALSE),0)),"")))*(1+AO201),"")</f>
        <v>#ERROR!</v>
      </c>
      <c r="AD201" s="40" t="str">
        <f t="shared" si="4"/>
        <v/>
      </c>
      <c r="AE201" s="40" t="str">
        <f>IFERROR(__xludf.DUMMYFUNCTION("IF($AC201="""","""",IF($AC201=IFERROR(MAX(FILTER($AC$6:$AC$1000,$C$6:$C$1000=$C201,$AB$6:$AB$1000=1)),),""WINNER"",""""))"),"#ERROR!")</f>
        <v>#ERROR!</v>
      </c>
      <c r="AF201" s="40" t="str">
        <f t="shared" si="5"/>
        <v/>
      </c>
      <c r="AG201" s="40" t="str">
        <f>IF($J201="","",COUNTIF(Assignments!$B:$B,$J201))</f>
        <v/>
      </c>
      <c r="AH201" s="40" t="str">
        <f>IF($J201="","",IF(AND($AG201=0,$N201&lt;$M201),Config!$B$43,0))</f>
        <v/>
      </c>
      <c r="AI201" s="40" t="str">
        <f>IF($J201="","",IF(AND($L201="Elite",$F201&gt;=Config!$B$41,$N201&lt;$M201),Config!$B$42,0))</f>
        <v/>
      </c>
      <c r="AJ201" s="22"/>
      <c r="AK201" s="39">
        <f>IFERROR(VLOOKUP(J201,Grinders!$A:$Q,28,FALSE),0)</f>
        <v>0</v>
      </c>
      <c r="AL201" s="39">
        <f>IF(Config!$B$1003&lt;&gt;"Y",0,IF(IFERROR(VLOOKUP(J201,Grinders!$A:$P,27,FALSE),0)&gt;=3,IF(OR(F201&gt;=Config!$B$1001,ISNUMBER(SEARCH(E201,Config!$B$1002))),1,0),0))</f>
        <v>0</v>
      </c>
      <c r="AM201" s="39">
        <f t="array" ref="AM201">IFERROR(IF(INDEX(Bids!$AE:$AE,MATCH(B201,Bids!$A:$A,0))="Pending",1,0),0)</f>
        <v>0</v>
      </c>
      <c r="AN201" s="39" t="str">
        <f t="array" ref="AN201">IF(C201="","",IFERROR(XLOOKUP(C201,Assignments!$C:$C,Assignments!$AU:$AU,0),0))</f>
        <v/>
      </c>
      <c r="AO201" s="39">
        <f>IF(AND(Config!$B$1006="Y",AN201=1),Config!$B$1007,0)</f>
        <v>0</v>
      </c>
    </row>
    <row r="202" ht="15.75" customHeight="1">
      <c r="A202" s="46" t="str">
        <f t="shared" si="1"/>
        <v/>
      </c>
      <c r="B202" s="40" t="str">
        <f>IF(Bids!$A202="","",Bids!$A202)</f>
        <v/>
      </c>
      <c r="C202" s="40" t="str">
        <f>IF(Bids!$B202="","",Bids!$B202)</f>
        <v/>
      </c>
      <c r="D202" s="40" t="str">
        <f>IF($C202="","",IFERROR(VLOOKUP($C202,Orders!$A:$J,9,FALSE),""))</f>
        <v/>
      </c>
      <c r="E202" s="40" t="str">
        <f>IF($C202="","",IFERROR(VLOOKUP($C202,Orders!$A:$J,3,FALSE),""))</f>
        <v/>
      </c>
      <c r="F202" s="40" t="str">
        <f>IF($C202="","",IFERROR(VLOOKUP($C202,Orders!$A:$J,4,FALSE),""))</f>
        <v/>
      </c>
      <c r="G202" s="40" t="str">
        <f>IF($C202="","",IFERROR(VLOOKUP($C202,Orders!$A:$J,5,FALSE),""))</f>
        <v/>
      </c>
      <c r="H202" s="40" t="str">
        <f>IF($C202="","",IFERROR(VLOOKUP($C202,Orders!$A:$J,6,FALSE),""))</f>
        <v/>
      </c>
      <c r="I202" s="40" t="str">
        <f>IF($C202="","",IFERROR(VLOOKUP($C202,Orders!$A:$J,7,FALSE),""))</f>
        <v/>
      </c>
      <c r="J202" s="40" t="str">
        <f>IF(Bids!$C202="","",Bids!$C202)</f>
        <v/>
      </c>
      <c r="K202" s="40" t="str">
        <f>IF($J202="","",IFERROR(VLOOKUP($J202,Grinders!$A:$N,2,FALSE),""))</f>
        <v/>
      </c>
      <c r="L202" s="40" t="str">
        <f>IF($J202="","",IFERROR(VLOOKUP($J202,Grinders!$A:$N,3,FALSE),""))</f>
        <v/>
      </c>
      <c r="M202" s="40" t="str">
        <f>IF($J202="","",IFERROR(VLOOKUP($J202,Grinders!$A:$N,4,FALSE),""))</f>
        <v/>
      </c>
      <c r="N202" s="40" t="str">
        <f>IF($J202="","",IFERROR(VLOOKUP($J202,Grinders!$A:$N,5,FALSE),""))</f>
        <v/>
      </c>
      <c r="O202" s="40" t="str">
        <f t="shared" si="2"/>
        <v/>
      </c>
      <c r="P202" s="40" t="str">
        <f>IF($J202="","",IFERROR(VLOOKUP($J202,Grinders!$A:$N,6,FALSE),""))</f>
        <v/>
      </c>
      <c r="Q202" s="40" t="str">
        <f>IF($J202="","",IFERROR(VLOOKUP($J202,Grinders!$A:$N,8,FALSE),""))</f>
        <v/>
      </c>
      <c r="R202" s="40" t="str">
        <f>IFERROR(IF($J202="","",IF($L202="Elite",MAX(50,MIN(100,Config!$B$27*MAX(0,MIN(100,(1-IF($O202="",0,$O202))*100)) + Config!$B$28*MAX(0,MIN(100,(1-MIN(1,IF(Config!$B$30=0,1,$P202/Config!$B$30)))*100)) + Config!$B$29*MAX(0,MIN(100,MIN(1,IF($Q202="",0,$Q202)/Config!$B$23)*100)))),MIN(100,Config!$B$27*MAX(0,MIN(100,(1-IF($O202="",0,$O202))*100)) + Config!$B$28*MAX(0,MIN(100,(1-MIN(1,IF(Config!$B$30=0,1,$P202/Config!$B$30)))*100)) + Config!$B$29*MAX(0,MIN(100,MIN(1,IF($Q202="",0,$Q202)/Config!$B$23)*100))))),"")
</f>
        <v/>
      </c>
      <c r="S202" s="40" t="str">
        <f>IF(Bids!$AC202="","",Bids!$AC202)</f>
        <v/>
      </c>
      <c r="T202" s="40" t="str">
        <f>IF(Bids!$F202="","",Bids!$F202)</f>
        <v/>
      </c>
      <c r="U202" s="40" t="str">
        <f t="shared" si="3"/>
        <v/>
      </c>
      <c r="V202" s="40" t="str">
        <f>IF($U202="","",IF(Config!$B$17=Config!$B$16,IF($U202&gt;=Config!$B$17,100,0),MAX(0,MIN(100,($U202-Config!$B$16)/(Config!$B$17-Config!$B$16)*100))))</f>
        <v/>
      </c>
      <c r="W202" s="40">
        <f>IF($L202="Elite",Config!$B$21,0)</f>
        <v>0</v>
      </c>
      <c r="X202" s="40" t="str">
        <f>IFERROR(IF(OR($T202="",$G202=""),"",IF($T202&gt;$G202,
  MAX(0, 60-(($T202-$G202)*24/Config!$B$19)*60),
  MEDIAN(60, 100, 60+(($G202-$T202)*24/Config!$B$20)*40)
)),"")
</f>
        <v/>
      </c>
      <c r="Y202" s="40" t="str">
        <f>IF($J202="","",IFERROR(VLOOKUP($J202,Grinders!$A:$N,10,FALSE),""))</f>
        <v/>
      </c>
      <c r="Z202" s="40" t="str">
        <f>IF($J202="","",IFERROR(VLOOKUP($J202,Grinders!$A:$N,11,FALSE),""))</f>
        <v/>
      </c>
      <c r="AA202" s="40" t="str">
        <f>IF($J202="","",IFERROR(VLOOKUP($J202,Grinders!$A:$N,12,FALSE),""))</f>
        <v/>
      </c>
      <c r="AB202" s="40" t="str">
        <f>IF(OR(AL202=1,AM202=1),0,=IFERROR(IF(OR($C202="",$J202=""),0,IF($D202&lt;&gt;"Open",0,IF(COUNTIFS(GrinderServices!$A:$A,$J202,GrinderServices!$B:$B,$E202,GrinderServices!$D:$D,"Y")=0,0,IF($U202&lt;Config!$B$16,0,IF(Config!$B$18=1,IF($N202&gt;=$M202,0,1),1))))),""))</f>
        <v>#ERROR!</v>
      </c>
      <c r="AC202" s="40" t="str">
        <f>IFERROR((IF(OR(AL202=1,AM202=1),"",=IFERROR((IFERROR(IF($AB202=0,"",((Config!$B$6*$V202 + Config!$B$7*$R202 + Config!$B$8*$W202 + Config!$B$9*$X202 + Config!$B$10*$Y202 + Config!$B$11*$Z202 - Config!$B$12*$AA202)/Config!$B$13)+$AH202+$AI202),""))*(1-IFERROR(VLOOKUP(J202,Grinders!$A:$AB, 28, FALSE),0)),"")))*(1+AO202),"")</f>
        <v>#ERROR!</v>
      </c>
      <c r="AD202" s="40" t="str">
        <f t="shared" si="4"/>
        <v/>
      </c>
      <c r="AE202" s="40" t="str">
        <f>IFERROR(__xludf.DUMMYFUNCTION("IF($AC202="""","""",IF($AC202=IFERROR(MAX(FILTER($AC$6:$AC$1000,$C$6:$C$1000=$C202,$AB$6:$AB$1000=1)),),""WINNER"",""""))"),"#ERROR!")</f>
        <v>#ERROR!</v>
      </c>
      <c r="AF202" s="40" t="str">
        <f t="shared" si="5"/>
        <v/>
      </c>
      <c r="AG202" s="40" t="str">
        <f>IF($J202="","",COUNTIF(Assignments!$B:$B,$J202))</f>
        <v/>
      </c>
      <c r="AH202" s="40" t="str">
        <f>IF($J202="","",IF(AND($AG202=0,$N202&lt;$M202),Config!$B$43,0))</f>
        <v/>
      </c>
      <c r="AI202" s="40" t="str">
        <f>IF($J202="","",IF(AND($L202="Elite",$F202&gt;=Config!$B$41,$N202&lt;$M202),Config!$B$42,0))</f>
        <v/>
      </c>
      <c r="AJ202" s="22"/>
      <c r="AK202" s="39">
        <f>IFERROR(VLOOKUP(J202,Grinders!$A:$Q,28,FALSE),0)</f>
        <v>0</v>
      </c>
      <c r="AL202" s="39">
        <f>IF(Config!$B$1003&lt;&gt;"Y",0,IF(IFERROR(VLOOKUP(J202,Grinders!$A:$P,27,FALSE),0)&gt;=3,IF(OR(F202&gt;=Config!$B$1001,ISNUMBER(SEARCH(E202,Config!$B$1002))),1,0),0))</f>
        <v>0</v>
      </c>
      <c r="AM202" s="39">
        <f t="array" ref="AM202">IFERROR(IF(INDEX(Bids!$AE:$AE,MATCH(B202,Bids!$A:$A,0))="Pending",1,0),0)</f>
        <v>0</v>
      </c>
      <c r="AN202" s="39" t="str">
        <f t="array" ref="AN202">IF(C202="","",IFERROR(XLOOKUP(C202,Assignments!$C:$C,Assignments!$AU:$AU,0),0))</f>
        <v/>
      </c>
      <c r="AO202" s="39">
        <f>IF(AND(Config!$B$1006="Y",AN202=1),Config!$B$1007,0)</f>
        <v>0</v>
      </c>
    </row>
    <row r="203" ht="15.75" customHeight="1">
      <c r="A203" s="46" t="str">
        <f t="shared" si="1"/>
        <v/>
      </c>
      <c r="B203" s="40" t="str">
        <f>IF(Bids!$A203="","",Bids!$A203)</f>
        <v/>
      </c>
      <c r="C203" s="40" t="str">
        <f>IF(Bids!$B203="","",Bids!$B203)</f>
        <v/>
      </c>
      <c r="D203" s="40" t="str">
        <f>IF($C203="","",IFERROR(VLOOKUP($C203,Orders!$A:$J,9,FALSE),""))</f>
        <v/>
      </c>
      <c r="E203" s="40" t="str">
        <f>IF($C203="","",IFERROR(VLOOKUP($C203,Orders!$A:$J,3,FALSE),""))</f>
        <v/>
      </c>
      <c r="F203" s="40" t="str">
        <f>IF($C203="","",IFERROR(VLOOKUP($C203,Orders!$A:$J,4,FALSE),""))</f>
        <v/>
      </c>
      <c r="G203" s="40" t="str">
        <f>IF($C203="","",IFERROR(VLOOKUP($C203,Orders!$A:$J,5,FALSE),""))</f>
        <v/>
      </c>
      <c r="H203" s="40" t="str">
        <f>IF($C203="","",IFERROR(VLOOKUP($C203,Orders!$A:$J,6,FALSE),""))</f>
        <v/>
      </c>
      <c r="I203" s="40" t="str">
        <f>IF($C203="","",IFERROR(VLOOKUP($C203,Orders!$A:$J,7,FALSE),""))</f>
        <v/>
      </c>
      <c r="J203" s="40" t="str">
        <f>IF(Bids!$C203="","",Bids!$C203)</f>
        <v/>
      </c>
      <c r="K203" s="40" t="str">
        <f>IF($J203="","",IFERROR(VLOOKUP($J203,Grinders!$A:$N,2,FALSE),""))</f>
        <v/>
      </c>
      <c r="L203" s="40" t="str">
        <f>IF($J203="","",IFERROR(VLOOKUP($J203,Grinders!$A:$N,3,FALSE),""))</f>
        <v/>
      </c>
      <c r="M203" s="40" t="str">
        <f>IF($J203="","",IFERROR(VLOOKUP($J203,Grinders!$A:$N,4,FALSE),""))</f>
        <v/>
      </c>
      <c r="N203" s="40" t="str">
        <f>IF($J203="","",IFERROR(VLOOKUP($J203,Grinders!$A:$N,5,FALSE),""))</f>
        <v/>
      </c>
      <c r="O203" s="40" t="str">
        <f t="shared" si="2"/>
        <v/>
      </c>
      <c r="P203" s="40" t="str">
        <f>IF($J203="","",IFERROR(VLOOKUP($J203,Grinders!$A:$N,6,FALSE),""))</f>
        <v/>
      </c>
      <c r="Q203" s="40" t="str">
        <f>IF($J203="","",IFERROR(VLOOKUP($J203,Grinders!$A:$N,8,FALSE),""))</f>
        <v/>
      </c>
      <c r="R203" s="40" t="str">
        <f>IFERROR(IF($J203="","",IF($L203="Elite",MAX(50,MIN(100,Config!$B$27*MAX(0,MIN(100,(1-IF($O203="",0,$O203))*100)) + Config!$B$28*MAX(0,MIN(100,(1-MIN(1,IF(Config!$B$30=0,1,$P203/Config!$B$30)))*100)) + Config!$B$29*MAX(0,MIN(100,MIN(1,IF($Q203="",0,$Q203)/Config!$B$23)*100)))),MIN(100,Config!$B$27*MAX(0,MIN(100,(1-IF($O203="",0,$O203))*100)) + Config!$B$28*MAX(0,MIN(100,(1-MIN(1,IF(Config!$B$30=0,1,$P203/Config!$B$30)))*100)) + Config!$B$29*MAX(0,MIN(100,MIN(1,IF($Q203="",0,$Q203)/Config!$B$23)*100))))),"")
</f>
        <v/>
      </c>
      <c r="S203" s="40" t="str">
        <f>IF(Bids!$AC203="","",Bids!$AC203)</f>
        <v/>
      </c>
      <c r="T203" s="40" t="str">
        <f>IF(Bids!$F203="","",Bids!$F203)</f>
        <v/>
      </c>
      <c r="U203" s="40" t="str">
        <f t="shared" si="3"/>
        <v/>
      </c>
      <c r="V203" s="40" t="str">
        <f>IF($U203="","",IF(Config!$B$17=Config!$B$16,IF($U203&gt;=Config!$B$17,100,0),MAX(0,MIN(100,($U203-Config!$B$16)/(Config!$B$17-Config!$B$16)*100))))</f>
        <v/>
      </c>
      <c r="W203" s="40">
        <f>IF($L203="Elite",Config!$B$21,0)</f>
        <v>0</v>
      </c>
      <c r="X203" s="40" t="str">
        <f>IFERROR(IF(OR($T203="",$G203=""),"",IF($T203&gt;$G203,
  MAX(0, 60-(($T203-$G203)*24/Config!$B$19)*60),
  MEDIAN(60, 100, 60+(($G203-$T203)*24/Config!$B$20)*40)
)),"")
</f>
        <v/>
      </c>
      <c r="Y203" s="40" t="str">
        <f>IF($J203="","",IFERROR(VLOOKUP($J203,Grinders!$A:$N,10,FALSE),""))</f>
        <v/>
      </c>
      <c r="Z203" s="40" t="str">
        <f>IF($J203="","",IFERROR(VLOOKUP($J203,Grinders!$A:$N,11,FALSE),""))</f>
        <v/>
      </c>
      <c r="AA203" s="40" t="str">
        <f>IF($J203="","",IFERROR(VLOOKUP($J203,Grinders!$A:$N,12,FALSE),""))</f>
        <v/>
      </c>
      <c r="AB203" s="40" t="str">
        <f>IF(OR(AL203=1,AM203=1),0,=IFERROR(IF(OR($C203="",$J203=""),0,IF($D203&lt;&gt;"Open",0,IF(COUNTIFS(GrinderServices!$A:$A,$J203,GrinderServices!$B:$B,$E203,GrinderServices!$D:$D,"Y")=0,0,IF($U203&lt;Config!$B$16,0,IF(Config!$B$18=1,IF($N203&gt;=$M203,0,1),1))))),""))</f>
        <v>#ERROR!</v>
      </c>
      <c r="AC203" s="40" t="str">
        <f>IFERROR((IF(OR(AL203=1,AM203=1),"",=IFERROR((IFERROR(IF($AB203=0,"",((Config!$B$6*$V203 + Config!$B$7*$R203 + Config!$B$8*$W203 + Config!$B$9*$X203 + Config!$B$10*$Y203 + Config!$B$11*$Z203 - Config!$B$12*$AA203)/Config!$B$13)+$AH203+$AI203),""))*(1-IFERROR(VLOOKUP(J203,Grinders!$A:$AB, 28, FALSE),0)),"")))*(1+AO203),"")</f>
        <v>#ERROR!</v>
      </c>
      <c r="AD203" s="40" t="str">
        <f t="shared" si="4"/>
        <v/>
      </c>
      <c r="AE203" s="40" t="str">
        <f>IFERROR(__xludf.DUMMYFUNCTION("IF($AC203="""","""",IF($AC203=IFERROR(MAX(FILTER($AC$6:$AC$1000,$C$6:$C$1000=$C203,$AB$6:$AB$1000=1)),),""WINNER"",""""))"),"#ERROR!")</f>
        <v>#ERROR!</v>
      </c>
      <c r="AF203" s="40" t="str">
        <f t="shared" si="5"/>
        <v/>
      </c>
      <c r="AG203" s="40" t="str">
        <f>IF($J203="","",COUNTIF(Assignments!$B:$B,$J203))</f>
        <v/>
      </c>
      <c r="AH203" s="40" t="str">
        <f>IF($J203="","",IF(AND($AG203=0,$N203&lt;$M203),Config!$B$43,0))</f>
        <v/>
      </c>
      <c r="AI203" s="40" t="str">
        <f>IF($J203="","",IF(AND($L203="Elite",$F203&gt;=Config!$B$41,$N203&lt;$M203),Config!$B$42,0))</f>
        <v/>
      </c>
      <c r="AJ203" s="22"/>
      <c r="AK203" s="39">
        <f>IFERROR(VLOOKUP(J203,Grinders!$A:$Q,28,FALSE),0)</f>
        <v>0</v>
      </c>
      <c r="AL203" s="39">
        <f>IF(Config!$B$1003&lt;&gt;"Y",0,IF(IFERROR(VLOOKUP(J203,Grinders!$A:$P,27,FALSE),0)&gt;=3,IF(OR(F203&gt;=Config!$B$1001,ISNUMBER(SEARCH(E203,Config!$B$1002))),1,0),0))</f>
        <v>0</v>
      </c>
      <c r="AM203" s="39">
        <f t="array" ref="AM203">IFERROR(IF(INDEX(Bids!$AE:$AE,MATCH(B203,Bids!$A:$A,0))="Pending",1,0),0)</f>
        <v>0</v>
      </c>
      <c r="AN203" s="39" t="str">
        <f t="array" ref="AN203">IF(C203="","",IFERROR(XLOOKUP(C203,Assignments!$C:$C,Assignments!$AU:$AU,0),0))</f>
        <v/>
      </c>
      <c r="AO203" s="39">
        <f>IF(AND(Config!$B$1006="Y",AN203=1),Config!$B$1007,0)</f>
        <v>0</v>
      </c>
    </row>
    <row r="204" ht="15.75" customHeight="1">
      <c r="A204" s="46" t="str">
        <f t="shared" si="1"/>
        <v/>
      </c>
      <c r="B204" s="40" t="str">
        <f>IF(Bids!$A204="","",Bids!$A204)</f>
        <v/>
      </c>
      <c r="C204" s="40" t="str">
        <f>IF(Bids!$B204="","",Bids!$B204)</f>
        <v/>
      </c>
      <c r="D204" s="40" t="str">
        <f>IF($C204="","",IFERROR(VLOOKUP($C204,Orders!$A:$J,9,FALSE),""))</f>
        <v/>
      </c>
      <c r="E204" s="40" t="str">
        <f>IF($C204="","",IFERROR(VLOOKUP($C204,Orders!$A:$J,3,FALSE),""))</f>
        <v/>
      </c>
      <c r="F204" s="40" t="str">
        <f>IF($C204="","",IFERROR(VLOOKUP($C204,Orders!$A:$J,4,FALSE),""))</f>
        <v/>
      </c>
      <c r="G204" s="40" t="str">
        <f>IF($C204="","",IFERROR(VLOOKUP($C204,Orders!$A:$J,5,FALSE),""))</f>
        <v/>
      </c>
      <c r="H204" s="40" t="str">
        <f>IF($C204="","",IFERROR(VLOOKUP($C204,Orders!$A:$J,6,FALSE),""))</f>
        <v/>
      </c>
      <c r="I204" s="40" t="str">
        <f>IF($C204="","",IFERROR(VLOOKUP($C204,Orders!$A:$J,7,FALSE),""))</f>
        <v/>
      </c>
      <c r="J204" s="40" t="str">
        <f>IF(Bids!$C204="","",Bids!$C204)</f>
        <v/>
      </c>
      <c r="K204" s="40" t="str">
        <f>IF($J204="","",IFERROR(VLOOKUP($J204,Grinders!$A:$N,2,FALSE),""))</f>
        <v/>
      </c>
      <c r="L204" s="40" t="str">
        <f>IF($J204="","",IFERROR(VLOOKUP($J204,Grinders!$A:$N,3,FALSE),""))</f>
        <v/>
      </c>
      <c r="M204" s="40" t="str">
        <f>IF($J204="","",IFERROR(VLOOKUP($J204,Grinders!$A:$N,4,FALSE),""))</f>
        <v/>
      </c>
      <c r="N204" s="40" t="str">
        <f>IF($J204="","",IFERROR(VLOOKUP($J204,Grinders!$A:$N,5,FALSE),""))</f>
        <v/>
      </c>
      <c r="O204" s="40" t="str">
        <f t="shared" si="2"/>
        <v/>
      </c>
      <c r="P204" s="40" t="str">
        <f>IF($J204="","",IFERROR(VLOOKUP($J204,Grinders!$A:$N,6,FALSE),""))</f>
        <v/>
      </c>
      <c r="Q204" s="40" t="str">
        <f>IF($J204="","",IFERROR(VLOOKUP($J204,Grinders!$A:$N,8,FALSE),""))</f>
        <v/>
      </c>
      <c r="R204" s="40" t="str">
        <f>IFERROR(IF($J204="","",IF($L204="Elite",MAX(50,MIN(100,Config!$B$27*MAX(0,MIN(100,(1-IF($O204="",0,$O204))*100)) + Config!$B$28*MAX(0,MIN(100,(1-MIN(1,IF(Config!$B$30=0,1,$P204/Config!$B$30)))*100)) + Config!$B$29*MAX(0,MIN(100,MIN(1,IF($Q204="",0,$Q204)/Config!$B$23)*100)))),MIN(100,Config!$B$27*MAX(0,MIN(100,(1-IF($O204="",0,$O204))*100)) + Config!$B$28*MAX(0,MIN(100,(1-MIN(1,IF(Config!$B$30=0,1,$P204/Config!$B$30)))*100)) + Config!$B$29*MAX(0,MIN(100,MIN(1,IF($Q204="",0,$Q204)/Config!$B$23)*100))))),"")
</f>
        <v/>
      </c>
      <c r="S204" s="40" t="str">
        <f>IF(Bids!$AC204="","",Bids!$AC204)</f>
        <v/>
      </c>
      <c r="T204" s="40" t="str">
        <f>IF(Bids!$F204="","",Bids!$F204)</f>
        <v/>
      </c>
      <c r="U204" s="40" t="str">
        <f t="shared" si="3"/>
        <v/>
      </c>
      <c r="V204" s="40" t="str">
        <f>IF($U204="","",IF(Config!$B$17=Config!$B$16,IF($U204&gt;=Config!$B$17,100,0),MAX(0,MIN(100,($U204-Config!$B$16)/(Config!$B$17-Config!$B$16)*100))))</f>
        <v/>
      </c>
      <c r="W204" s="40">
        <f>IF($L204="Elite",Config!$B$21,0)</f>
        <v>0</v>
      </c>
      <c r="X204" s="40" t="str">
        <f>IFERROR(IF(OR($T204="",$G204=""),"",IF($T204&gt;$G204,
  MAX(0, 60-(($T204-$G204)*24/Config!$B$19)*60),
  MEDIAN(60, 100, 60+(($G204-$T204)*24/Config!$B$20)*40)
)),"")
</f>
        <v/>
      </c>
      <c r="Y204" s="40" t="str">
        <f>IF($J204="","",IFERROR(VLOOKUP($J204,Grinders!$A:$N,10,FALSE),""))</f>
        <v/>
      </c>
      <c r="Z204" s="40" t="str">
        <f>IF($J204="","",IFERROR(VLOOKUP($J204,Grinders!$A:$N,11,FALSE),""))</f>
        <v/>
      </c>
      <c r="AA204" s="40" t="str">
        <f>IF($J204="","",IFERROR(VLOOKUP($J204,Grinders!$A:$N,12,FALSE),""))</f>
        <v/>
      </c>
      <c r="AB204" s="40" t="str">
        <f>IF(OR(AL204=1,AM204=1),0,=IFERROR(IF(OR($C204="",$J204=""),0,IF($D204&lt;&gt;"Open",0,IF(COUNTIFS(GrinderServices!$A:$A,$J204,GrinderServices!$B:$B,$E204,GrinderServices!$D:$D,"Y")=0,0,IF($U204&lt;Config!$B$16,0,IF(Config!$B$18=1,IF($N204&gt;=$M204,0,1),1))))),""))</f>
        <v>#ERROR!</v>
      </c>
      <c r="AC204" s="40" t="str">
        <f>IFERROR((IF(OR(AL204=1,AM204=1),"",=IFERROR((IFERROR(IF($AB204=0,"",((Config!$B$6*$V204 + Config!$B$7*$R204 + Config!$B$8*$W204 + Config!$B$9*$X204 + Config!$B$10*$Y204 + Config!$B$11*$Z204 - Config!$B$12*$AA204)/Config!$B$13)+$AH204+$AI204),""))*(1-IFERROR(VLOOKUP(J204,Grinders!$A:$AB, 28, FALSE),0)),"")))*(1+AO204),"")</f>
        <v>#ERROR!</v>
      </c>
      <c r="AD204" s="40" t="str">
        <f t="shared" si="4"/>
        <v/>
      </c>
      <c r="AE204" s="40" t="str">
        <f>IFERROR(__xludf.DUMMYFUNCTION("IF($AC204="""","""",IF($AC204=IFERROR(MAX(FILTER($AC$6:$AC$1000,$C$6:$C$1000=$C204,$AB$6:$AB$1000=1)),),""WINNER"",""""))"),"#ERROR!")</f>
        <v>#ERROR!</v>
      </c>
      <c r="AF204" s="40" t="str">
        <f t="shared" si="5"/>
        <v/>
      </c>
      <c r="AG204" s="40" t="str">
        <f>IF($J204="","",COUNTIF(Assignments!$B:$B,$J204))</f>
        <v/>
      </c>
      <c r="AH204" s="40" t="str">
        <f>IF($J204="","",IF(AND($AG204=0,$N204&lt;$M204),Config!$B$43,0))</f>
        <v/>
      </c>
      <c r="AI204" s="40" t="str">
        <f>IF($J204="","",IF(AND($L204="Elite",$F204&gt;=Config!$B$41,$N204&lt;$M204),Config!$B$42,0))</f>
        <v/>
      </c>
      <c r="AJ204" s="22"/>
      <c r="AK204" s="39">
        <f>IFERROR(VLOOKUP(J204,Grinders!$A:$Q,28,FALSE),0)</f>
        <v>0</v>
      </c>
      <c r="AL204" s="39">
        <f>IF(Config!$B$1003&lt;&gt;"Y",0,IF(IFERROR(VLOOKUP(J204,Grinders!$A:$P,27,FALSE),0)&gt;=3,IF(OR(F204&gt;=Config!$B$1001,ISNUMBER(SEARCH(E204,Config!$B$1002))),1,0),0))</f>
        <v>0</v>
      </c>
      <c r="AM204" s="39">
        <f t="array" ref="AM204">IFERROR(IF(INDEX(Bids!$AE:$AE,MATCH(B204,Bids!$A:$A,0))="Pending",1,0),0)</f>
        <v>0</v>
      </c>
      <c r="AN204" s="39" t="str">
        <f t="array" ref="AN204">IF(C204="","",IFERROR(XLOOKUP(C204,Assignments!$C:$C,Assignments!$AU:$AU,0),0))</f>
        <v/>
      </c>
      <c r="AO204" s="39">
        <f>IF(AND(Config!$B$1006="Y",AN204=1),Config!$B$1007,0)</f>
        <v>0</v>
      </c>
    </row>
    <row r="205" ht="15.75" customHeight="1">
      <c r="A205" s="46" t="str">
        <f t="shared" si="1"/>
        <v/>
      </c>
      <c r="B205" s="40" t="str">
        <f>IF(Bids!$A205="","",Bids!$A205)</f>
        <v/>
      </c>
      <c r="C205" s="40" t="str">
        <f>IF(Bids!$B205="","",Bids!$B205)</f>
        <v/>
      </c>
      <c r="D205" s="40" t="str">
        <f>IF($C205="","",IFERROR(VLOOKUP($C205,Orders!$A:$J,9,FALSE),""))</f>
        <v/>
      </c>
      <c r="E205" s="40" t="str">
        <f>IF($C205="","",IFERROR(VLOOKUP($C205,Orders!$A:$J,3,FALSE),""))</f>
        <v/>
      </c>
      <c r="F205" s="40" t="str">
        <f>IF($C205="","",IFERROR(VLOOKUP($C205,Orders!$A:$J,4,FALSE),""))</f>
        <v/>
      </c>
      <c r="G205" s="40" t="str">
        <f>IF($C205="","",IFERROR(VLOOKUP($C205,Orders!$A:$J,5,FALSE),""))</f>
        <v/>
      </c>
      <c r="H205" s="40" t="str">
        <f>IF($C205="","",IFERROR(VLOOKUP($C205,Orders!$A:$J,6,FALSE),""))</f>
        <v/>
      </c>
      <c r="I205" s="40" t="str">
        <f>IF($C205="","",IFERROR(VLOOKUP($C205,Orders!$A:$J,7,FALSE),""))</f>
        <v/>
      </c>
      <c r="J205" s="40" t="str">
        <f>IF(Bids!$C205="","",Bids!$C205)</f>
        <v/>
      </c>
      <c r="K205" s="40" t="str">
        <f>IF($J205="","",IFERROR(VLOOKUP($J205,Grinders!$A:$N,2,FALSE),""))</f>
        <v/>
      </c>
      <c r="L205" s="40" t="str">
        <f>IF($J205="","",IFERROR(VLOOKUP($J205,Grinders!$A:$N,3,FALSE),""))</f>
        <v/>
      </c>
      <c r="M205" s="40" t="str">
        <f>IF($J205="","",IFERROR(VLOOKUP($J205,Grinders!$A:$N,4,FALSE),""))</f>
        <v/>
      </c>
      <c r="N205" s="40" t="str">
        <f>IF($J205="","",IFERROR(VLOOKUP($J205,Grinders!$A:$N,5,FALSE),""))</f>
        <v/>
      </c>
      <c r="O205" s="40" t="str">
        <f t="shared" si="2"/>
        <v/>
      </c>
      <c r="P205" s="40" t="str">
        <f>IF($J205="","",IFERROR(VLOOKUP($J205,Grinders!$A:$N,6,FALSE),""))</f>
        <v/>
      </c>
      <c r="Q205" s="40" t="str">
        <f>IF($J205="","",IFERROR(VLOOKUP($J205,Grinders!$A:$N,8,FALSE),""))</f>
        <v/>
      </c>
      <c r="R205" s="40" t="str">
        <f>IFERROR(IF($J205="","",IF($L205="Elite",MAX(50,MIN(100,Config!$B$27*MAX(0,MIN(100,(1-IF($O205="",0,$O205))*100)) + Config!$B$28*MAX(0,MIN(100,(1-MIN(1,IF(Config!$B$30=0,1,$P205/Config!$B$30)))*100)) + Config!$B$29*MAX(0,MIN(100,MIN(1,IF($Q205="",0,$Q205)/Config!$B$23)*100)))),MIN(100,Config!$B$27*MAX(0,MIN(100,(1-IF($O205="",0,$O205))*100)) + Config!$B$28*MAX(0,MIN(100,(1-MIN(1,IF(Config!$B$30=0,1,$P205/Config!$B$30)))*100)) + Config!$B$29*MAX(0,MIN(100,MIN(1,IF($Q205="",0,$Q205)/Config!$B$23)*100))))),"")
</f>
        <v/>
      </c>
      <c r="S205" s="40" t="str">
        <f>IF(Bids!$AC205="","",Bids!$AC205)</f>
        <v/>
      </c>
      <c r="T205" s="40" t="str">
        <f>IF(Bids!$F205="","",Bids!$F205)</f>
        <v/>
      </c>
      <c r="U205" s="40" t="str">
        <f t="shared" si="3"/>
        <v/>
      </c>
      <c r="V205" s="40" t="str">
        <f>IF($U205="","",IF(Config!$B$17=Config!$B$16,IF($U205&gt;=Config!$B$17,100,0),MAX(0,MIN(100,($U205-Config!$B$16)/(Config!$B$17-Config!$B$16)*100))))</f>
        <v/>
      </c>
      <c r="W205" s="40">
        <f>IF($L205="Elite",Config!$B$21,0)</f>
        <v>0</v>
      </c>
      <c r="X205" s="40" t="str">
        <f>IFERROR(IF(OR($T205="",$G205=""),"",IF($T205&gt;$G205,
  MAX(0, 60-(($T205-$G205)*24/Config!$B$19)*60),
  MEDIAN(60, 100, 60+(($G205-$T205)*24/Config!$B$20)*40)
)),"")
</f>
        <v/>
      </c>
      <c r="Y205" s="40" t="str">
        <f>IF($J205="","",IFERROR(VLOOKUP($J205,Grinders!$A:$N,10,FALSE),""))</f>
        <v/>
      </c>
      <c r="Z205" s="40" t="str">
        <f>IF($J205="","",IFERROR(VLOOKUP($J205,Grinders!$A:$N,11,FALSE),""))</f>
        <v/>
      </c>
      <c r="AA205" s="40" t="str">
        <f>IF($J205="","",IFERROR(VLOOKUP($J205,Grinders!$A:$N,12,FALSE),""))</f>
        <v/>
      </c>
      <c r="AB205" s="40" t="str">
        <f>IF(OR(AL205=1,AM205=1),0,=IFERROR(IF(OR($C205="",$J205=""),0,IF($D205&lt;&gt;"Open",0,IF(COUNTIFS(GrinderServices!$A:$A,$J205,GrinderServices!$B:$B,$E205,GrinderServices!$D:$D,"Y")=0,0,IF($U205&lt;Config!$B$16,0,IF(Config!$B$18=1,IF($N205&gt;=$M205,0,1),1))))),""))</f>
        <v>#ERROR!</v>
      </c>
      <c r="AC205" s="40" t="str">
        <f>IFERROR((IF(OR(AL205=1,AM205=1),"",=IFERROR((IFERROR(IF($AB205=0,"",((Config!$B$6*$V205 + Config!$B$7*$R205 + Config!$B$8*$W205 + Config!$B$9*$X205 + Config!$B$10*$Y205 + Config!$B$11*$Z205 - Config!$B$12*$AA205)/Config!$B$13)+$AH205+$AI205),""))*(1-IFERROR(VLOOKUP(J205,Grinders!$A:$AB, 28, FALSE),0)),"")))*(1+AO205),"")</f>
        <v>#ERROR!</v>
      </c>
      <c r="AD205" s="40" t="str">
        <f t="shared" si="4"/>
        <v/>
      </c>
      <c r="AE205" s="40" t="str">
        <f>IFERROR(__xludf.DUMMYFUNCTION("IF($AC205="""","""",IF($AC205=IFERROR(MAX(FILTER($AC$6:$AC$1000,$C$6:$C$1000=$C205,$AB$6:$AB$1000=1)),),""WINNER"",""""))"),"#ERROR!")</f>
        <v>#ERROR!</v>
      </c>
      <c r="AF205" s="40" t="str">
        <f t="shared" si="5"/>
        <v/>
      </c>
      <c r="AG205" s="40" t="str">
        <f>IF($J205="","",COUNTIF(Assignments!$B:$B,$J205))</f>
        <v/>
      </c>
      <c r="AH205" s="40" t="str">
        <f>IF($J205="","",IF(AND($AG205=0,$N205&lt;$M205),Config!$B$43,0))</f>
        <v/>
      </c>
      <c r="AI205" s="40" t="str">
        <f>IF($J205="","",IF(AND($L205="Elite",$F205&gt;=Config!$B$41,$N205&lt;$M205),Config!$B$42,0))</f>
        <v/>
      </c>
      <c r="AJ205" s="22"/>
      <c r="AK205" s="39">
        <f>IFERROR(VLOOKUP(J205,Grinders!$A:$Q,28,FALSE),0)</f>
        <v>0</v>
      </c>
      <c r="AL205" s="39">
        <f>IF(Config!$B$1003&lt;&gt;"Y",0,IF(IFERROR(VLOOKUP(J205,Grinders!$A:$P,27,FALSE),0)&gt;=3,IF(OR(F205&gt;=Config!$B$1001,ISNUMBER(SEARCH(E205,Config!$B$1002))),1,0),0))</f>
        <v>0</v>
      </c>
      <c r="AM205" s="39">
        <f t="array" ref="AM205">IFERROR(IF(INDEX(Bids!$AE:$AE,MATCH(B205,Bids!$A:$A,0))="Pending",1,0),0)</f>
        <v>0</v>
      </c>
      <c r="AN205" s="39" t="str">
        <f t="array" ref="AN205">IF(C205="","",IFERROR(XLOOKUP(C205,Assignments!$C:$C,Assignments!$AU:$AU,0),0))</f>
        <v/>
      </c>
      <c r="AO205" s="39">
        <f>IF(AND(Config!$B$1006="Y",AN205=1),Config!$B$1007,0)</f>
        <v>0</v>
      </c>
    </row>
    <row r="206" ht="15.75" customHeight="1">
      <c r="A206" s="46" t="str">
        <f t="shared" si="1"/>
        <v/>
      </c>
      <c r="B206" s="40" t="str">
        <f>IF(Bids!$A206="","",Bids!$A206)</f>
        <v/>
      </c>
      <c r="C206" s="40" t="str">
        <f>IF(Bids!$B206="","",Bids!$B206)</f>
        <v/>
      </c>
      <c r="D206" s="40" t="str">
        <f>IF($C206="","",IFERROR(VLOOKUP($C206,Orders!$A:$J,9,FALSE),""))</f>
        <v/>
      </c>
      <c r="E206" s="40" t="str">
        <f>IF($C206="","",IFERROR(VLOOKUP($C206,Orders!$A:$J,3,FALSE),""))</f>
        <v/>
      </c>
      <c r="F206" s="40" t="str">
        <f>IF($C206="","",IFERROR(VLOOKUP($C206,Orders!$A:$J,4,FALSE),""))</f>
        <v/>
      </c>
      <c r="G206" s="40" t="str">
        <f>IF($C206="","",IFERROR(VLOOKUP($C206,Orders!$A:$J,5,FALSE),""))</f>
        <v/>
      </c>
      <c r="H206" s="40" t="str">
        <f>IF($C206="","",IFERROR(VLOOKUP($C206,Orders!$A:$J,6,FALSE),""))</f>
        <v/>
      </c>
      <c r="I206" s="40" t="str">
        <f>IF($C206="","",IFERROR(VLOOKUP($C206,Orders!$A:$J,7,FALSE),""))</f>
        <v/>
      </c>
      <c r="J206" s="40" t="str">
        <f>IF(Bids!$C206="","",Bids!$C206)</f>
        <v/>
      </c>
      <c r="K206" s="40" t="str">
        <f>IF($J206="","",IFERROR(VLOOKUP($J206,Grinders!$A:$N,2,FALSE),""))</f>
        <v/>
      </c>
      <c r="L206" s="40" t="str">
        <f>IF($J206="","",IFERROR(VLOOKUP($J206,Grinders!$A:$N,3,FALSE),""))</f>
        <v/>
      </c>
      <c r="M206" s="40" t="str">
        <f>IF($J206="","",IFERROR(VLOOKUP($J206,Grinders!$A:$N,4,FALSE),""))</f>
        <v/>
      </c>
      <c r="N206" s="40" t="str">
        <f>IF($J206="","",IFERROR(VLOOKUP($J206,Grinders!$A:$N,5,FALSE),""))</f>
        <v/>
      </c>
      <c r="O206" s="40" t="str">
        <f t="shared" si="2"/>
        <v/>
      </c>
      <c r="P206" s="40" t="str">
        <f>IF($J206="","",IFERROR(VLOOKUP($J206,Grinders!$A:$N,6,FALSE),""))</f>
        <v/>
      </c>
      <c r="Q206" s="40" t="str">
        <f>IF($J206="","",IFERROR(VLOOKUP($J206,Grinders!$A:$N,8,FALSE),""))</f>
        <v/>
      </c>
      <c r="R206" s="40" t="str">
        <f>IFERROR(IF($J206="","",IF($L206="Elite",MAX(50,MIN(100,Config!$B$27*MAX(0,MIN(100,(1-IF($O206="",0,$O206))*100)) + Config!$B$28*MAX(0,MIN(100,(1-MIN(1,IF(Config!$B$30=0,1,$P206/Config!$B$30)))*100)) + Config!$B$29*MAX(0,MIN(100,MIN(1,IF($Q206="",0,$Q206)/Config!$B$23)*100)))),MIN(100,Config!$B$27*MAX(0,MIN(100,(1-IF($O206="",0,$O206))*100)) + Config!$B$28*MAX(0,MIN(100,(1-MIN(1,IF(Config!$B$30=0,1,$P206/Config!$B$30)))*100)) + Config!$B$29*MAX(0,MIN(100,MIN(1,IF($Q206="",0,$Q206)/Config!$B$23)*100))))),"")
</f>
        <v/>
      </c>
      <c r="S206" s="40" t="str">
        <f>IF(Bids!$AC206="","",Bids!$AC206)</f>
        <v/>
      </c>
      <c r="T206" s="40" t="str">
        <f>IF(Bids!$F206="","",Bids!$F206)</f>
        <v/>
      </c>
      <c r="U206" s="40" t="str">
        <f t="shared" si="3"/>
        <v/>
      </c>
      <c r="V206" s="40" t="str">
        <f>IF($U206="","",IF(Config!$B$17=Config!$B$16,IF($U206&gt;=Config!$B$17,100,0),MAX(0,MIN(100,($U206-Config!$B$16)/(Config!$B$17-Config!$B$16)*100))))</f>
        <v/>
      </c>
      <c r="W206" s="40">
        <f>IF($L206="Elite",Config!$B$21,0)</f>
        <v>0</v>
      </c>
      <c r="X206" s="40" t="str">
        <f>IFERROR(IF(OR($T206="",$G206=""),"",IF($T206&gt;$G206,
  MAX(0, 60-(($T206-$G206)*24/Config!$B$19)*60),
  MEDIAN(60, 100, 60+(($G206-$T206)*24/Config!$B$20)*40)
)),"")
</f>
        <v/>
      </c>
      <c r="Y206" s="40" t="str">
        <f>IF($J206="","",IFERROR(VLOOKUP($J206,Grinders!$A:$N,10,FALSE),""))</f>
        <v/>
      </c>
      <c r="Z206" s="40" t="str">
        <f>IF($J206="","",IFERROR(VLOOKUP($J206,Grinders!$A:$N,11,FALSE),""))</f>
        <v/>
      </c>
      <c r="AA206" s="40" t="str">
        <f>IF($J206="","",IFERROR(VLOOKUP($J206,Grinders!$A:$N,12,FALSE),""))</f>
        <v/>
      </c>
      <c r="AB206" s="40" t="str">
        <f>IF(OR(AL206=1,AM206=1),0,=IFERROR(IF(OR($C206="",$J206=""),0,IF($D206&lt;&gt;"Open",0,IF(COUNTIFS(GrinderServices!$A:$A,$J206,GrinderServices!$B:$B,$E206,GrinderServices!$D:$D,"Y")=0,0,IF($U206&lt;Config!$B$16,0,IF(Config!$B$18=1,IF($N206&gt;=$M206,0,1),1))))),""))</f>
        <v>#ERROR!</v>
      </c>
      <c r="AC206" s="40" t="str">
        <f>IFERROR((IF(OR(AL206=1,AM206=1),"",=IFERROR((IFERROR(IF($AB206=0,"",((Config!$B$6*$V206 + Config!$B$7*$R206 + Config!$B$8*$W206 + Config!$B$9*$X206 + Config!$B$10*$Y206 + Config!$B$11*$Z206 - Config!$B$12*$AA206)/Config!$B$13)+$AH206+$AI206),""))*(1-IFERROR(VLOOKUP(J206,Grinders!$A:$AB, 28, FALSE),0)),"")))*(1+AO206),"")</f>
        <v>#ERROR!</v>
      </c>
      <c r="AD206" s="40" t="str">
        <f t="shared" si="4"/>
        <v/>
      </c>
      <c r="AE206" s="40" t="str">
        <f>IFERROR(__xludf.DUMMYFUNCTION("IF($AC206="""","""",IF($AC206=IFERROR(MAX(FILTER($AC$6:$AC$1000,$C$6:$C$1000=$C206,$AB$6:$AB$1000=1)),),""WINNER"",""""))"),"#ERROR!")</f>
        <v>#ERROR!</v>
      </c>
      <c r="AF206" s="40" t="str">
        <f t="shared" si="5"/>
        <v/>
      </c>
      <c r="AG206" s="40" t="str">
        <f>IF($J206="","",COUNTIF(Assignments!$B:$B,$J206))</f>
        <v/>
      </c>
      <c r="AH206" s="40" t="str">
        <f>IF($J206="","",IF(AND($AG206=0,$N206&lt;$M206),Config!$B$43,0))</f>
        <v/>
      </c>
      <c r="AI206" s="40" t="str">
        <f>IF($J206="","",IF(AND($L206="Elite",$F206&gt;=Config!$B$41,$N206&lt;$M206),Config!$B$42,0))</f>
        <v/>
      </c>
      <c r="AJ206" s="22"/>
      <c r="AK206" s="39">
        <f>IFERROR(VLOOKUP(J206,Grinders!$A:$Q,28,FALSE),0)</f>
        <v>0</v>
      </c>
      <c r="AL206" s="39">
        <f>IF(Config!$B$1003&lt;&gt;"Y",0,IF(IFERROR(VLOOKUP(J206,Grinders!$A:$P,27,FALSE),0)&gt;=3,IF(OR(F206&gt;=Config!$B$1001,ISNUMBER(SEARCH(E206,Config!$B$1002))),1,0),0))</f>
        <v>0</v>
      </c>
      <c r="AM206" s="39">
        <f t="array" ref="AM206">IFERROR(IF(INDEX(Bids!$AE:$AE,MATCH(B206,Bids!$A:$A,0))="Pending",1,0),0)</f>
        <v>0</v>
      </c>
      <c r="AN206" s="39" t="str">
        <f t="array" ref="AN206">IF(C206="","",IFERROR(XLOOKUP(C206,Assignments!$C:$C,Assignments!$AU:$AU,0),0))</f>
        <v/>
      </c>
      <c r="AO206" s="39">
        <f>IF(AND(Config!$B$1006="Y",AN206=1),Config!$B$1007,0)</f>
        <v>0</v>
      </c>
    </row>
    <row r="207" ht="15.75" customHeight="1">
      <c r="A207" s="46" t="str">
        <f t="shared" si="1"/>
        <v/>
      </c>
      <c r="B207" s="40" t="str">
        <f>IF(Bids!$A207="","",Bids!$A207)</f>
        <v/>
      </c>
      <c r="C207" s="40" t="str">
        <f>IF(Bids!$B207="","",Bids!$B207)</f>
        <v/>
      </c>
      <c r="D207" s="40" t="str">
        <f>IF($C207="","",IFERROR(VLOOKUP($C207,Orders!$A:$J,9,FALSE),""))</f>
        <v/>
      </c>
      <c r="E207" s="40" t="str">
        <f>IF($C207="","",IFERROR(VLOOKUP($C207,Orders!$A:$J,3,FALSE),""))</f>
        <v/>
      </c>
      <c r="F207" s="40" t="str">
        <f>IF($C207="","",IFERROR(VLOOKUP($C207,Orders!$A:$J,4,FALSE),""))</f>
        <v/>
      </c>
      <c r="G207" s="40" t="str">
        <f>IF($C207="","",IFERROR(VLOOKUP($C207,Orders!$A:$J,5,FALSE),""))</f>
        <v/>
      </c>
      <c r="H207" s="40" t="str">
        <f>IF($C207="","",IFERROR(VLOOKUP($C207,Orders!$A:$J,6,FALSE),""))</f>
        <v/>
      </c>
      <c r="I207" s="40" t="str">
        <f>IF($C207="","",IFERROR(VLOOKUP($C207,Orders!$A:$J,7,FALSE),""))</f>
        <v/>
      </c>
      <c r="J207" s="40" t="str">
        <f>IF(Bids!$C207="","",Bids!$C207)</f>
        <v/>
      </c>
      <c r="K207" s="40" t="str">
        <f>IF($J207="","",IFERROR(VLOOKUP($J207,Grinders!$A:$N,2,FALSE),""))</f>
        <v/>
      </c>
      <c r="L207" s="40" t="str">
        <f>IF($J207="","",IFERROR(VLOOKUP($J207,Grinders!$A:$N,3,FALSE),""))</f>
        <v/>
      </c>
      <c r="M207" s="40" t="str">
        <f>IF($J207="","",IFERROR(VLOOKUP($J207,Grinders!$A:$N,4,FALSE),""))</f>
        <v/>
      </c>
      <c r="N207" s="40" t="str">
        <f>IF($J207="","",IFERROR(VLOOKUP($J207,Grinders!$A:$N,5,FALSE),""))</f>
        <v/>
      </c>
      <c r="O207" s="40" t="str">
        <f t="shared" si="2"/>
        <v/>
      </c>
      <c r="P207" s="40" t="str">
        <f>IF($J207="","",IFERROR(VLOOKUP($J207,Grinders!$A:$N,6,FALSE),""))</f>
        <v/>
      </c>
      <c r="Q207" s="40" t="str">
        <f>IF($J207="","",IFERROR(VLOOKUP($J207,Grinders!$A:$N,8,FALSE),""))</f>
        <v/>
      </c>
      <c r="R207" s="40" t="str">
        <f>IFERROR(IF($J207="","",IF($L207="Elite",MAX(50,MIN(100,Config!$B$27*MAX(0,MIN(100,(1-IF($O207="",0,$O207))*100)) + Config!$B$28*MAX(0,MIN(100,(1-MIN(1,IF(Config!$B$30=0,1,$P207/Config!$B$30)))*100)) + Config!$B$29*MAX(0,MIN(100,MIN(1,IF($Q207="",0,$Q207)/Config!$B$23)*100)))),MIN(100,Config!$B$27*MAX(0,MIN(100,(1-IF($O207="",0,$O207))*100)) + Config!$B$28*MAX(0,MIN(100,(1-MIN(1,IF(Config!$B$30=0,1,$P207/Config!$B$30)))*100)) + Config!$B$29*MAX(0,MIN(100,MIN(1,IF($Q207="",0,$Q207)/Config!$B$23)*100))))),"")
</f>
        <v/>
      </c>
      <c r="S207" s="40" t="str">
        <f>IF(Bids!$AC207="","",Bids!$AC207)</f>
        <v/>
      </c>
      <c r="T207" s="40" t="str">
        <f>IF(Bids!$F207="","",Bids!$F207)</f>
        <v/>
      </c>
      <c r="U207" s="40" t="str">
        <f t="shared" si="3"/>
        <v/>
      </c>
      <c r="V207" s="40" t="str">
        <f>IF($U207="","",IF(Config!$B$17=Config!$B$16,IF($U207&gt;=Config!$B$17,100,0),MAX(0,MIN(100,($U207-Config!$B$16)/(Config!$B$17-Config!$B$16)*100))))</f>
        <v/>
      </c>
      <c r="W207" s="40">
        <f>IF($L207="Elite",Config!$B$21,0)</f>
        <v>0</v>
      </c>
      <c r="X207" s="40" t="str">
        <f>IFERROR(IF(OR($T207="",$G207=""),"",IF($T207&gt;$G207,
  MAX(0, 60-(($T207-$G207)*24/Config!$B$19)*60),
  MEDIAN(60, 100, 60+(($G207-$T207)*24/Config!$B$20)*40)
)),"")
</f>
        <v/>
      </c>
      <c r="Y207" s="40" t="str">
        <f>IF($J207="","",IFERROR(VLOOKUP($J207,Grinders!$A:$N,10,FALSE),""))</f>
        <v/>
      </c>
      <c r="Z207" s="40" t="str">
        <f>IF($J207="","",IFERROR(VLOOKUP($J207,Grinders!$A:$N,11,FALSE),""))</f>
        <v/>
      </c>
      <c r="AA207" s="40" t="str">
        <f>IF($J207="","",IFERROR(VLOOKUP($J207,Grinders!$A:$N,12,FALSE),""))</f>
        <v/>
      </c>
      <c r="AB207" s="40" t="str">
        <f>IF(OR(AL207=1,AM207=1),0,=IFERROR(IF(OR($C207="",$J207=""),0,IF($D207&lt;&gt;"Open",0,IF(COUNTIFS(GrinderServices!$A:$A,$J207,GrinderServices!$B:$B,$E207,GrinderServices!$D:$D,"Y")=0,0,IF($U207&lt;Config!$B$16,0,IF(Config!$B$18=1,IF($N207&gt;=$M207,0,1),1))))),""))</f>
        <v>#ERROR!</v>
      </c>
      <c r="AC207" s="40" t="str">
        <f>IFERROR((IF(OR(AL207=1,AM207=1),"",=IFERROR((IFERROR(IF($AB207=0,"",((Config!$B$6*$V207 + Config!$B$7*$R207 + Config!$B$8*$W207 + Config!$B$9*$X207 + Config!$B$10*$Y207 + Config!$B$11*$Z207 - Config!$B$12*$AA207)/Config!$B$13)+$AH207+$AI207),""))*(1-IFERROR(VLOOKUP(J207,Grinders!$A:$AB, 28, FALSE),0)),"")))*(1+AO207),"")</f>
        <v>#ERROR!</v>
      </c>
      <c r="AD207" s="40" t="str">
        <f t="shared" si="4"/>
        <v/>
      </c>
      <c r="AE207" s="40" t="str">
        <f>IFERROR(__xludf.DUMMYFUNCTION("IF($AC207="""","""",IF($AC207=IFERROR(MAX(FILTER($AC$6:$AC$1000,$C$6:$C$1000=$C207,$AB$6:$AB$1000=1)),),""WINNER"",""""))"),"#ERROR!")</f>
        <v>#ERROR!</v>
      </c>
      <c r="AF207" s="40" t="str">
        <f t="shared" si="5"/>
        <v/>
      </c>
      <c r="AG207" s="40" t="str">
        <f>IF($J207="","",COUNTIF(Assignments!$B:$B,$J207))</f>
        <v/>
      </c>
      <c r="AH207" s="40" t="str">
        <f>IF($J207="","",IF(AND($AG207=0,$N207&lt;$M207),Config!$B$43,0))</f>
        <v/>
      </c>
      <c r="AI207" s="40" t="str">
        <f>IF($J207="","",IF(AND($L207="Elite",$F207&gt;=Config!$B$41,$N207&lt;$M207),Config!$B$42,0))</f>
        <v/>
      </c>
      <c r="AJ207" s="22"/>
      <c r="AK207" s="39">
        <f>IFERROR(VLOOKUP(J207,Grinders!$A:$Q,28,FALSE),0)</f>
        <v>0</v>
      </c>
      <c r="AL207" s="39">
        <f>IF(Config!$B$1003&lt;&gt;"Y",0,IF(IFERROR(VLOOKUP(J207,Grinders!$A:$P,27,FALSE),0)&gt;=3,IF(OR(F207&gt;=Config!$B$1001,ISNUMBER(SEARCH(E207,Config!$B$1002))),1,0),0))</f>
        <v>0</v>
      </c>
      <c r="AM207" s="39">
        <f t="array" ref="AM207">IFERROR(IF(INDEX(Bids!$AE:$AE,MATCH(B207,Bids!$A:$A,0))="Pending",1,0),0)</f>
        <v>0</v>
      </c>
      <c r="AN207" s="39" t="str">
        <f t="array" ref="AN207">IF(C207="","",IFERROR(XLOOKUP(C207,Assignments!$C:$C,Assignments!$AU:$AU,0),0))</f>
        <v/>
      </c>
      <c r="AO207" s="39">
        <f>IF(AND(Config!$B$1006="Y",AN207=1),Config!$B$1007,0)</f>
        <v>0</v>
      </c>
    </row>
    <row r="208" ht="15.75" customHeight="1">
      <c r="A208" s="46" t="str">
        <f t="shared" si="1"/>
        <v/>
      </c>
      <c r="B208" s="40" t="str">
        <f>IF(Bids!$A208="","",Bids!$A208)</f>
        <v/>
      </c>
      <c r="C208" s="40" t="str">
        <f>IF(Bids!$B208="","",Bids!$B208)</f>
        <v/>
      </c>
      <c r="D208" s="40" t="str">
        <f>IF($C208="","",IFERROR(VLOOKUP($C208,Orders!$A:$J,9,FALSE),""))</f>
        <v/>
      </c>
      <c r="E208" s="40" t="str">
        <f>IF($C208="","",IFERROR(VLOOKUP($C208,Orders!$A:$J,3,FALSE),""))</f>
        <v/>
      </c>
      <c r="F208" s="40" t="str">
        <f>IF($C208="","",IFERROR(VLOOKUP($C208,Orders!$A:$J,4,FALSE),""))</f>
        <v/>
      </c>
      <c r="G208" s="40" t="str">
        <f>IF($C208="","",IFERROR(VLOOKUP($C208,Orders!$A:$J,5,FALSE),""))</f>
        <v/>
      </c>
      <c r="H208" s="40" t="str">
        <f>IF($C208="","",IFERROR(VLOOKUP($C208,Orders!$A:$J,6,FALSE),""))</f>
        <v/>
      </c>
      <c r="I208" s="40" t="str">
        <f>IF($C208="","",IFERROR(VLOOKUP($C208,Orders!$A:$J,7,FALSE),""))</f>
        <v/>
      </c>
      <c r="J208" s="40" t="str">
        <f>IF(Bids!$C208="","",Bids!$C208)</f>
        <v/>
      </c>
      <c r="K208" s="40" t="str">
        <f>IF($J208="","",IFERROR(VLOOKUP($J208,Grinders!$A:$N,2,FALSE),""))</f>
        <v/>
      </c>
      <c r="L208" s="40" t="str">
        <f>IF($J208="","",IFERROR(VLOOKUP($J208,Grinders!$A:$N,3,FALSE),""))</f>
        <v/>
      </c>
      <c r="M208" s="40" t="str">
        <f>IF($J208="","",IFERROR(VLOOKUP($J208,Grinders!$A:$N,4,FALSE),""))</f>
        <v/>
      </c>
      <c r="N208" s="40" t="str">
        <f>IF($J208="","",IFERROR(VLOOKUP($J208,Grinders!$A:$N,5,FALSE),""))</f>
        <v/>
      </c>
      <c r="O208" s="40" t="str">
        <f t="shared" si="2"/>
        <v/>
      </c>
      <c r="P208" s="40" t="str">
        <f>IF($J208="","",IFERROR(VLOOKUP($J208,Grinders!$A:$N,6,FALSE),""))</f>
        <v/>
      </c>
      <c r="Q208" s="40" t="str">
        <f>IF($J208="","",IFERROR(VLOOKUP($J208,Grinders!$A:$N,8,FALSE),""))</f>
        <v/>
      </c>
      <c r="R208" s="40" t="str">
        <f>IFERROR(IF($J208="","",IF($L208="Elite",MAX(50,MIN(100,Config!$B$27*MAX(0,MIN(100,(1-IF($O208="",0,$O208))*100)) + Config!$B$28*MAX(0,MIN(100,(1-MIN(1,IF(Config!$B$30=0,1,$P208/Config!$B$30)))*100)) + Config!$B$29*MAX(0,MIN(100,MIN(1,IF($Q208="",0,$Q208)/Config!$B$23)*100)))),MIN(100,Config!$B$27*MAX(0,MIN(100,(1-IF($O208="",0,$O208))*100)) + Config!$B$28*MAX(0,MIN(100,(1-MIN(1,IF(Config!$B$30=0,1,$P208/Config!$B$30)))*100)) + Config!$B$29*MAX(0,MIN(100,MIN(1,IF($Q208="",0,$Q208)/Config!$B$23)*100))))),"")
</f>
        <v/>
      </c>
      <c r="S208" s="40" t="str">
        <f>IF(Bids!$AC208="","",Bids!$AC208)</f>
        <v/>
      </c>
      <c r="T208" s="40" t="str">
        <f>IF(Bids!$F208="","",Bids!$F208)</f>
        <v/>
      </c>
      <c r="U208" s="40" t="str">
        <f t="shared" si="3"/>
        <v/>
      </c>
      <c r="V208" s="40" t="str">
        <f>IF($U208="","",IF(Config!$B$17=Config!$B$16,IF($U208&gt;=Config!$B$17,100,0),MAX(0,MIN(100,($U208-Config!$B$16)/(Config!$B$17-Config!$B$16)*100))))</f>
        <v/>
      </c>
      <c r="W208" s="40">
        <f>IF($L208="Elite",Config!$B$21,0)</f>
        <v>0</v>
      </c>
      <c r="X208" s="40" t="str">
        <f>IFERROR(IF(OR($T208="",$G208=""),"",IF($T208&gt;$G208,
  MAX(0, 60-(($T208-$G208)*24/Config!$B$19)*60),
  MEDIAN(60, 100, 60+(($G208-$T208)*24/Config!$B$20)*40)
)),"")
</f>
        <v/>
      </c>
      <c r="Y208" s="40" t="str">
        <f>IF($J208="","",IFERROR(VLOOKUP($J208,Grinders!$A:$N,10,FALSE),""))</f>
        <v/>
      </c>
      <c r="Z208" s="40" t="str">
        <f>IF($J208="","",IFERROR(VLOOKUP($J208,Grinders!$A:$N,11,FALSE),""))</f>
        <v/>
      </c>
      <c r="AA208" s="40" t="str">
        <f>IF($J208="","",IFERROR(VLOOKUP($J208,Grinders!$A:$N,12,FALSE),""))</f>
        <v/>
      </c>
      <c r="AB208" s="40" t="str">
        <f>IF(OR(AL208=1,AM208=1),0,=IFERROR(IF(OR($C208="",$J208=""),0,IF($D208&lt;&gt;"Open",0,IF(COUNTIFS(GrinderServices!$A:$A,$J208,GrinderServices!$B:$B,$E208,GrinderServices!$D:$D,"Y")=0,0,IF($U208&lt;Config!$B$16,0,IF(Config!$B$18=1,IF($N208&gt;=$M208,0,1),1))))),""))</f>
        <v>#ERROR!</v>
      </c>
      <c r="AC208" s="40" t="str">
        <f>IFERROR((IF(OR(AL208=1,AM208=1),"",=IFERROR((IFERROR(IF($AB208=0,"",((Config!$B$6*$V208 + Config!$B$7*$R208 + Config!$B$8*$W208 + Config!$B$9*$X208 + Config!$B$10*$Y208 + Config!$B$11*$Z208 - Config!$B$12*$AA208)/Config!$B$13)+$AH208+$AI208),""))*(1-IFERROR(VLOOKUP(J208,Grinders!$A:$AB, 28, FALSE),0)),"")))*(1+AO208),"")</f>
        <v>#ERROR!</v>
      </c>
      <c r="AD208" s="40" t="str">
        <f t="shared" si="4"/>
        <v/>
      </c>
      <c r="AE208" s="40" t="str">
        <f>IFERROR(__xludf.DUMMYFUNCTION("IF($AC208="""","""",IF($AC208=IFERROR(MAX(FILTER($AC$6:$AC$1000,$C$6:$C$1000=$C208,$AB$6:$AB$1000=1)),),""WINNER"",""""))"),"#ERROR!")</f>
        <v>#ERROR!</v>
      </c>
      <c r="AF208" s="40" t="str">
        <f t="shared" si="5"/>
        <v/>
      </c>
      <c r="AG208" s="40" t="str">
        <f>IF($J208="","",COUNTIF(Assignments!$B:$B,$J208))</f>
        <v/>
      </c>
      <c r="AH208" s="40" t="str">
        <f>IF($J208="","",IF(AND($AG208=0,$N208&lt;$M208),Config!$B$43,0))</f>
        <v/>
      </c>
      <c r="AI208" s="40" t="str">
        <f>IF($J208="","",IF(AND($L208="Elite",$F208&gt;=Config!$B$41,$N208&lt;$M208),Config!$B$42,0))</f>
        <v/>
      </c>
      <c r="AJ208" s="22"/>
      <c r="AK208" s="39">
        <f>IFERROR(VLOOKUP(J208,Grinders!$A:$Q,28,FALSE),0)</f>
        <v>0</v>
      </c>
      <c r="AL208" s="39">
        <f>IF(Config!$B$1003&lt;&gt;"Y",0,IF(IFERROR(VLOOKUP(J208,Grinders!$A:$P,27,FALSE),0)&gt;=3,IF(OR(F208&gt;=Config!$B$1001,ISNUMBER(SEARCH(E208,Config!$B$1002))),1,0),0))</f>
        <v>0</v>
      </c>
      <c r="AM208" s="39">
        <f t="array" ref="AM208">IFERROR(IF(INDEX(Bids!$AE:$AE,MATCH(B208,Bids!$A:$A,0))="Pending",1,0),0)</f>
        <v>0</v>
      </c>
      <c r="AN208" s="39" t="str">
        <f t="array" ref="AN208">IF(C208="","",IFERROR(XLOOKUP(C208,Assignments!$C:$C,Assignments!$AU:$AU,0),0))</f>
        <v/>
      </c>
      <c r="AO208" s="39">
        <f>IF(AND(Config!$B$1006="Y",AN208=1),Config!$B$1007,0)</f>
        <v>0</v>
      </c>
    </row>
    <row r="209" ht="15.75" customHeight="1">
      <c r="A209" s="46" t="str">
        <f t="shared" si="1"/>
        <v/>
      </c>
      <c r="B209" s="40" t="str">
        <f>IF(Bids!$A209="","",Bids!$A209)</f>
        <v/>
      </c>
      <c r="C209" s="40" t="str">
        <f>IF(Bids!$B209="","",Bids!$B209)</f>
        <v/>
      </c>
      <c r="D209" s="40" t="str">
        <f>IF($C209="","",IFERROR(VLOOKUP($C209,Orders!$A:$J,9,FALSE),""))</f>
        <v/>
      </c>
      <c r="E209" s="40" t="str">
        <f>IF($C209="","",IFERROR(VLOOKUP($C209,Orders!$A:$J,3,FALSE),""))</f>
        <v/>
      </c>
      <c r="F209" s="40" t="str">
        <f>IF($C209="","",IFERROR(VLOOKUP($C209,Orders!$A:$J,4,FALSE),""))</f>
        <v/>
      </c>
      <c r="G209" s="40" t="str">
        <f>IF($C209="","",IFERROR(VLOOKUP($C209,Orders!$A:$J,5,FALSE),""))</f>
        <v/>
      </c>
      <c r="H209" s="40" t="str">
        <f>IF($C209="","",IFERROR(VLOOKUP($C209,Orders!$A:$J,6,FALSE),""))</f>
        <v/>
      </c>
      <c r="I209" s="40" t="str">
        <f>IF($C209="","",IFERROR(VLOOKUP($C209,Orders!$A:$J,7,FALSE),""))</f>
        <v/>
      </c>
      <c r="J209" s="40" t="str">
        <f>IF(Bids!$C209="","",Bids!$C209)</f>
        <v/>
      </c>
      <c r="K209" s="40" t="str">
        <f>IF($J209="","",IFERROR(VLOOKUP($J209,Grinders!$A:$N,2,FALSE),""))</f>
        <v/>
      </c>
      <c r="L209" s="40" t="str">
        <f>IF($J209="","",IFERROR(VLOOKUP($J209,Grinders!$A:$N,3,FALSE),""))</f>
        <v/>
      </c>
      <c r="M209" s="40" t="str">
        <f>IF($J209="","",IFERROR(VLOOKUP($J209,Grinders!$A:$N,4,FALSE),""))</f>
        <v/>
      </c>
      <c r="N209" s="40" t="str">
        <f>IF($J209="","",IFERROR(VLOOKUP($J209,Grinders!$A:$N,5,FALSE),""))</f>
        <v/>
      </c>
      <c r="O209" s="40" t="str">
        <f t="shared" si="2"/>
        <v/>
      </c>
      <c r="P209" s="40" t="str">
        <f>IF($J209="","",IFERROR(VLOOKUP($J209,Grinders!$A:$N,6,FALSE),""))</f>
        <v/>
      </c>
      <c r="Q209" s="40" t="str">
        <f>IF($J209="","",IFERROR(VLOOKUP($J209,Grinders!$A:$N,8,FALSE),""))</f>
        <v/>
      </c>
      <c r="R209" s="40" t="str">
        <f>IFERROR(IF($J209="","",IF($L209="Elite",MAX(50,MIN(100,Config!$B$27*MAX(0,MIN(100,(1-IF($O209="",0,$O209))*100)) + Config!$B$28*MAX(0,MIN(100,(1-MIN(1,IF(Config!$B$30=0,1,$P209/Config!$B$30)))*100)) + Config!$B$29*MAX(0,MIN(100,MIN(1,IF($Q209="",0,$Q209)/Config!$B$23)*100)))),MIN(100,Config!$B$27*MAX(0,MIN(100,(1-IF($O209="",0,$O209))*100)) + Config!$B$28*MAX(0,MIN(100,(1-MIN(1,IF(Config!$B$30=0,1,$P209/Config!$B$30)))*100)) + Config!$B$29*MAX(0,MIN(100,MIN(1,IF($Q209="",0,$Q209)/Config!$B$23)*100))))),"")
</f>
        <v/>
      </c>
      <c r="S209" s="40" t="str">
        <f>IF(Bids!$AC209="","",Bids!$AC209)</f>
        <v/>
      </c>
      <c r="T209" s="40" t="str">
        <f>IF(Bids!$F209="","",Bids!$F209)</f>
        <v/>
      </c>
      <c r="U209" s="40" t="str">
        <f t="shared" si="3"/>
        <v/>
      </c>
      <c r="V209" s="40" t="str">
        <f>IF($U209="","",IF(Config!$B$17=Config!$B$16,IF($U209&gt;=Config!$B$17,100,0),MAX(0,MIN(100,($U209-Config!$B$16)/(Config!$B$17-Config!$B$16)*100))))</f>
        <v/>
      </c>
      <c r="W209" s="40">
        <f>IF($L209="Elite",Config!$B$21,0)</f>
        <v>0</v>
      </c>
      <c r="X209" s="40" t="str">
        <f>IFERROR(IF(OR($T209="",$G209=""),"",IF($T209&gt;$G209,
  MAX(0, 60-(($T209-$G209)*24/Config!$B$19)*60),
  MEDIAN(60, 100, 60+(($G209-$T209)*24/Config!$B$20)*40)
)),"")
</f>
        <v/>
      </c>
      <c r="Y209" s="40" t="str">
        <f>IF($J209="","",IFERROR(VLOOKUP($J209,Grinders!$A:$N,10,FALSE),""))</f>
        <v/>
      </c>
      <c r="Z209" s="40" t="str">
        <f>IF($J209="","",IFERROR(VLOOKUP($J209,Grinders!$A:$N,11,FALSE),""))</f>
        <v/>
      </c>
      <c r="AA209" s="40" t="str">
        <f>IF($J209="","",IFERROR(VLOOKUP($J209,Grinders!$A:$N,12,FALSE),""))</f>
        <v/>
      </c>
      <c r="AB209" s="40" t="str">
        <f>IF(OR(AL209=1,AM209=1),0,=IFERROR(IF(OR($C209="",$J209=""),0,IF($D209&lt;&gt;"Open",0,IF(COUNTIFS(GrinderServices!$A:$A,$J209,GrinderServices!$B:$B,$E209,GrinderServices!$D:$D,"Y")=0,0,IF($U209&lt;Config!$B$16,0,IF(Config!$B$18=1,IF($N209&gt;=$M209,0,1),1))))),""))</f>
        <v>#ERROR!</v>
      </c>
      <c r="AC209" s="40" t="str">
        <f>IFERROR((IF(OR(AL209=1,AM209=1),"",=IFERROR((IFERROR(IF($AB209=0,"",((Config!$B$6*$V209 + Config!$B$7*$R209 + Config!$B$8*$W209 + Config!$B$9*$X209 + Config!$B$10*$Y209 + Config!$B$11*$Z209 - Config!$B$12*$AA209)/Config!$B$13)+$AH209+$AI209),""))*(1-IFERROR(VLOOKUP(J209,Grinders!$A:$AB, 28, FALSE),0)),"")))*(1+AO209),"")</f>
        <v>#ERROR!</v>
      </c>
      <c r="AD209" s="40" t="str">
        <f t="shared" si="4"/>
        <v/>
      </c>
      <c r="AE209" s="40" t="str">
        <f>IFERROR(__xludf.DUMMYFUNCTION("IF($AC209="""","""",IF($AC209=IFERROR(MAX(FILTER($AC$6:$AC$1000,$C$6:$C$1000=$C209,$AB$6:$AB$1000=1)),),""WINNER"",""""))"),"#ERROR!")</f>
        <v>#ERROR!</v>
      </c>
      <c r="AF209" s="40" t="str">
        <f t="shared" si="5"/>
        <v/>
      </c>
      <c r="AG209" s="40" t="str">
        <f>IF($J209="","",COUNTIF(Assignments!$B:$B,$J209))</f>
        <v/>
      </c>
      <c r="AH209" s="40" t="str">
        <f>IF($J209="","",IF(AND($AG209=0,$N209&lt;$M209),Config!$B$43,0))</f>
        <v/>
      </c>
      <c r="AI209" s="40" t="str">
        <f>IF($J209="","",IF(AND($L209="Elite",$F209&gt;=Config!$B$41,$N209&lt;$M209),Config!$B$42,0))</f>
        <v/>
      </c>
      <c r="AJ209" s="22"/>
      <c r="AK209" s="39">
        <f>IFERROR(VLOOKUP(J209,Grinders!$A:$Q,28,FALSE),0)</f>
        <v>0</v>
      </c>
      <c r="AL209" s="39">
        <f>IF(Config!$B$1003&lt;&gt;"Y",0,IF(IFERROR(VLOOKUP(J209,Grinders!$A:$P,27,FALSE),0)&gt;=3,IF(OR(F209&gt;=Config!$B$1001,ISNUMBER(SEARCH(E209,Config!$B$1002))),1,0),0))</f>
        <v>0</v>
      </c>
      <c r="AM209" s="39">
        <f t="array" ref="AM209">IFERROR(IF(INDEX(Bids!$AE:$AE,MATCH(B209,Bids!$A:$A,0))="Pending",1,0),0)</f>
        <v>0</v>
      </c>
      <c r="AN209" s="39" t="str">
        <f t="array" ref="AN209">IF(C209="","",IFERROR(XLOOKUP(C209,Assignments!$C:$C,Assignments!$AU:$AU,0),0))</f>
        <v/>
      </c>
      <c r="AO209" s="39">
        <f>IF(AND(Config!$B$1006="Y",AN209=1),Config!$B$1007,0)</f>
        <v>0</v>
      </c>
    </row>
    <row r="210" ht="15.75" customHeight="1">
      <c r="A210" s="46" t="str">
        <f t="shared" si="1"/>
        <v/>
      </c>
      <c r="B210" s="40" t="str">
        <f>IF(Bids!$A210="","",Bids!$A210)</f>
        <v/>
      </c>
      <c r="C210" s="40" t="str">
        <f>IF(Bids!$B210="","",Bids!$B210)</f>
        <v/>
      </c>
      <c r="D210" s="40" t="str">
        <f>IF($C210="","",IFERROR(VLOOKUP($C210,Orders!$A:$J,9,FALSE),""))</f>
        <v/>
      </c>
      <c r="E210" s="40" t="str">
        <f>IF($C210="","",IFERROR(VLOOKUP($C210,Orders!$A:$J,3,FALSE),""))</f>
        <v/>
      </c>
      <c r="F210" s="40" t="str">
        <f>IF($C210="","",IFERROR(VLOOKUP($C210,Orders!$A:$J,4,FALSE),""))</f>
        <v/>
      </c>
      <c r="G210" s="40" t="str">
        <f>IF($C210="","",IFERROR(VLOOKUP($C210,Orders!$A:$J,5,FALSE),""))</f>
        <v/>
      </c>
      <c r="H210" s="40" t="str">
        <f>IF($C210="","",IFERROR(VLOOKUP($C210,Orders!$A:$J,6,FALSE),""))</f>
        <v/>
      </c>
      <c r="I210" s="40" t="str">
        <f>IF($C210="","",IFERROR(VLOOKUP($C210,Orders!$A:$J,7,FALSE),""))</f>
        <v/>
      </c>
      <c r="J210" s="40" t="str">
        <f>IF(Bids!$C210="","",Bids!$C210)</f>
        <v/>
      </c>
      <c r="K210" s="40" t="str">
        <f>IF($J210="","",IFERROR(VLOOKUP($J210,Grinders!$A:$N,2,FALSE),""))</f>
        <v/>
      </c>
      <c r="L210" s="40" t="str">
        <f>IF($J210="","",IFERROR(VLOOKUP($J210,Grinders!$A:$N,3,FALSE),""))</f>
        <v/>
      </c>
      <c r="M210" s="40" t="str">
        <f>IF($J210="","",IFERROR(VLOOKUP($J210,Grinders!$A:$N,4,FALSE),""))</f>
        <v/>
      </c>
      <c r="N210" s="40" t="str">
        <f>IF($J210="","",IFERROR(VLOOKUP($J210,Grinders!$A:$N,5,FALSE),""))</f>
        <v/>
      </c>
      <c r="O210" s="40" t="str">
        <f t="shared" si="2"/>
        <v/>
      </c>
      <c r="P210" s="40" t="str">
        <f>IF($J210="","",IFERROR(VLOOKUP($J210,Grinders!$A:$N,6,FALSE),""))</f>
        <v/>
      </c>
      <c r="Q210" s="40" t="str">
        <f>IF($J210="","",IFERROR(VLOOKUP($J210,Grinders!$A:$N,8,FALSE),""))</f>
        <v/>
      </c>
      <c r="R210" s="40" t="str">
        <f>IFERROR(IF($J210="","",IF($L210="Elite",MAX(50,MIN(100,Config!$B$27*MAX(0,MIN(100,(1-IF($O210="",0,$O210))*100)) + Config!$B$28*MAX(0,MIN(100,(1-MIN(1,IF(Config!$B$30=0,1,$P210/Config!$B$30)))*100)) + Config!$B$29*MAX(0,MIN(100,MIN(1,IF($Q210="",0,$Q210)/Config!$B$23)*100)))),MIN(100,Config!$B$27*MAX(0,MIN(100,(1-IF($O210="",0,$O210))*100)) + Config!$B$28*MAX(0,MIN(100,(1-MIN(1,IF(Config!$B$30=0,1,$P210/Config!$B$30)))*100)) + Config!$B$29*MAX(0,MIN(100,MIN(1,IF($Q210="",0,$Q210)/Config!$B$23)*100))))),"")
</f>
        <v/>
      </c>
      <c r="S210" s="40" t="str">
        <f>IF(Bids!$AC210="","",Bids!$AC210)</f>
        <v/>
      </c>
      <c r="T210" s="40" t="str">
        <f>IF(Bids!$F210="","",Bids!$F210)</f>
        <v/>
      </c>
      <c r="U210" s="40" t="str">
        <f t="shared" si="3"/>
        <v/>
      </c>
      <c r="V210" s="40" t="str">
        <f>IF($U210="","",IF(Config!$B$17=Config!$B$16,IF($U210&gt;=Config!$B$17,100,0),MAX(0,MIN(100,($U210-Config!$B$16)/(Config!$B$17-Config!$B$16)*100))))</f>
        <v/>
      </c>
      <c r="W210" s="40">
        <f>IF($L210="Elite",Config!$B$21,0)</f>
        <v>0</v>
      </c>
      <c r="X210" s="40" t="str">
        <f>IFERROR(IF(OR($T210="",$G210=""),"",IF($T210&gt;$G210,
  MAX(0, 60-(($T210-$G210)*24/Config!$B$19)*60),
  MEDIAN(60, 100, 60+(($G210-$T210)*24/Config!$B$20)*40)
)),"")
</f>
        <v/>
      </c>
      <c r="Y210" s="40" t="str">
        <f>IF($J210="","",IFERROR(VLOOKUP($J210,Grinders!$A:$N,10,FALSE),""))</f>
        <v/>
      </c>
      <c r="Z210" s="40" t="str">
        <f>IF($J210="","",IFERROR(VLOOKUP($J210,Grinders!$A:$N,11,FALSE),""))</f>
        <v/>
      </c>
      <c r="AA210" s="40" t="str">
        <f>IF($J210="","",IFERROR(VLOOKUP($J210,Grinders!$A:$N,12,FALSE),""))</f>
        <v/>
      </c>
      <c r="AB210" s="40" t="str">
        <f>IF(OR(AL210=1,AM210=1),0,=IFERROR(IF(OR($C210="",$J210=""),0,IF($D210&lt;&gt;"Open",0,IF(COUNTIFS(GrinderServices!$A:$A,$J210,GrinderServices!$B:$B,$E210,GrinderServices!$D:$D,"Y")=0,0,IF($U210&lt;Config!$B$16,0,IF(Config!$B$18=1,IF($N210&gt;=$M210,0,1),1))))),""))</f>
        <v>#ERROR!</v>
      </c>
      <c r="AC210" s="40" t="str">
        <f>IFERROR((IF(OR(AL210=1,AM210=1),"",=IFERROR((IFERROR(IF($AB210=0,"",((Config!$B$6*$V210 + Config!$B$7*$R210 + Config!$B$8*$W210 + Config!$B$9*$X210 + Config!$B$10*$Y210 + Config!$B$11*$Z210 - Config!$B$12*$AA210)/Config!$B$13)+$AH210+$AI210),""))*(1-IFERROR(VLOOKUP(J210,Grinders!$A:$AB, 28, FALSE),0)),"")))*(1+AO210),"")</f>
        <v>#ERROR!</v>
      </c>
      <c r="AD210" s="40" t="str">
        <f t="shared" si="4"/>
        <v/>
      </c>
      <c r="AE210" s="40" t="str">
        <f>IFERROR(__xludf.DUMMYFUNCTION("IF($AC210="""","""",IF($AC210=IFERROR(MAX(FILTER($AC$6:$AC$1000,$C$6:$C$1000=$C210,$AB$6:$AB$1000=1)),),""WINNER"",""""))"),"#ERROR!")</f>
        <v>#ERROR!</v>
      </c>
      <c r="AF210" s="40" t="str">
        <f t="shared" si="5"/>
        <v/>
      </c>
      <c r="AG210" s="40" t="str">
        <f>IF($J210="","",COUNTIF(Assignments!$B:$B,$J210))</f>
        <v/>
      </c>
      <c r="AH210" s="40" t="str">
        <f>IF($J210="","",IF(AND($AG210=0,$N210&lt;$M210),Config!$B$43,0))</f>
        <v/>
      </c>
      <c r="AI210" s="40" t="str">
        <f>IF($J210="","",IF(AND($L210="Elite",$F210&gt;=Config!$B$41,$N210&lt;$M210),Config!$B$42,0))</f>
        <v/>
      </c>
      <c r="AJ210" s="22"/>
      <c r="AK210" s="39">
        <f>IFERROR(VLOOKUP(J210,Grinders!$A:$Q,28,FALSE),0)</f>
        <v>0</v>
      </c>
      <c r="AL210" s="39">
        <f>IF(Config!$B$1003&lt;&gt;"Y",0,IF(IFERROR(VLOOKUP(J210,Grinders!$A:$P,27,FALSE),0)&gt;=3,IF(OR(F210&gt;=Config!$B$1001,ISNUMBER(SEARCH(E210,Config!$B$1002))),1,0),0))</f>
        <v>0</v>
      </c>
      <c r="AM210" s="39">
        <f t="array" ref="AM210">IFERROR(IF(INDEX(Bids!$AE:$AE,MATCH(B210,Bids!$A:$A,0))="Pending",1,0),0)</f>
        <v>0</v>
      </c>
      <c r="AN210" s="39" t="str">
        <f t="array" ref="AN210">IF(C210="","",IFERROR(XLOOKUP(C210,Assignments!$C:$C,Assignments!$AU:$AU,0),0))</f>
        <v/>
      </c>
      <c r="AO210" s="39">
        <f>IF(AND(Config!$B$1006="Y",AN210=1),Config!$B$1007,0)</f>
        <v>0</v>
      </c>
    </row>
    <row r="211" ht="15.75" customHeight="1">
      <c r="A211" s="46" t="str">
        <f t="shared" si="1"/>
        <v/>
      </c>
      <c r="B211" s="40" t="str">
        <f>IF(Bids!$A211="","",Bids!$A211)</f>
        <v/>
      </c>
      <c r="C211" s="40" t="str">
        <f>IF(Bids!$B211="","",Bids!$B211)</f>
        <v/>
      </c>
      <c r="D211" s="40" t="str">
        <f>IF($C211="","",IFERROR(VLOOKUP($C211,Orders!$A:$J,9,FALSE),""))</f>
        <v/>
      </c>
      <c r="E211" s="40" t="str">
        <f>IF($C211="","",IFERROR(VLOOKUP($C211,Orders!$A:$J,3,FALSE),""))</f>
        <v/>
      </c>
      <c r="F211" s="40" t="str">
        <f>IF($C211="","",IFERROR(VLOOKUP($C211,Orders!$A:$J,4,FALSE),""))</f>
        <v/>
      </c>
      <c r="G211" s="40" t="str">
        <f>IF($C211="","",IFERROR(VLOOKUP($C211,Orders!$A:$J,5,FALSE),""))</f>
        <v/>
      </c>
      <c r="H211" s="40" t="str">
        <f>IF($C211="","",IFERROR(VLOOKUP($C211,Orders!$A:$J,6,FALSE),""))</f>
        <v/>
      </c>
      <c r="I211" s="40" t="str">
        <f>IF($C211="","",IFERROR(VLOOKUP($C211,Orders!$A:$J,7,FALSE),""))</f>
        <v/>
      </c>
      <c r="J211" s="40" t="str">
        <f>IF(Bids!$C211="","",Bids!$C211)</f>
        <v/>
      </c>
      <c r="K211" s="40" t="str">
        <f>IF($J211="","",IFERROR(VLOOKUP($J211,Grinders!$A:$N,2,FALSE),""))</f>
        <v/>
      </c>
      <c r="L211" s="40" t="str">
        <f>IF($J211="","",IFERROR(VLOOKUP($J211,Grinders!$A:$N,3,FALSE),""))</f>
        <v/>
      </c>
      <c r="M211" s="40" t="str">
        <f>IF($J211="","",IFERROR(VLOOKUP($J211,Grinders!$A:$N,4,FALSE),""))</f>
        <v/>
      </c>
      <c r="N211" s="40" t="str">
        <f>IF($J211="","",IFERROR(VLOOKUP($J211,Grinders!$A:$N,5,FALSE),""))</f>
        <v/>
      </c>
      <c r="O211" s="40" t="str">
        <f t="shared" si="2"/>
        <v/>
      </c>
      <c r="P211" s="40" t="str">
        <f>IF($J211="","",IFERROR(VLOOKUP($J211,Grinders!$A:$N,6,FALSE),""))</f>
        <v/>
      </c>
      <c r="Q211" s="40" t="str">
        <f>IF($J211="","",IFERROR(VLOOKUP($J211,Grinders!$A:$N,8,FALSE),""))</f>
        <v/>
      </c>
      <c r="R211" s="40" t="str">
        <f>IFERROR(IF($J211="","",IF($L211="Elite",MAX(50,MIN(100,Config!$B$27*MAX(0,MIN(100,(1-IF($O211="",0,$O211))*100)) + Config!$B$28*MAX(0,MIN(100,(1-MIN(1,IF(Config!$B$30=0,1,$P211/Config!$B$30)))*100)) + Config!$B$29*MAX(0,MIN(100,MIN(1,IF($Q211="",0,$Q211)/Config!$B$23)*100)))),MIN(100,Config!$B$27*MAX(0,MIN(100,(1-IF($O211="",0,$O211))*100)) + Config!$B$28*MAX(0,MIN(100,(1-MIN(1,IF(Config!$B$30=0,1,$P211/Config!$B$30)))*100)) + Config!$B$29*MAX(0,MIN(100,MIN(1,IF($Q211="",0,$Q211)/Config!$B$23)*100))))),"")
</f>
        <v/>
      </c>
      <c r="S211" s="40" t="str">
        <f>IF(Bids!$AC211="","",Bids!$AC211)</f>
        <v/>
      </c>
      <c r="T211" s="40" t="str">
        <f>IF(Bids!$F211="","",Bids!$F211)</f>
        <v/>
      </c>
      <c r="U211" s="40" t="str">
        <f t="shared" si="3"/>
        <v/>
      </c>
      <c r="V211" s="40" t="str">
        <f>IF($U211="","",IF(Config!$B$17=Config!$B$16,IF($U211&gt;=Config!$B$17,100,0),MAX(0,MIN(100,($U211-Config!$B$16)/(Config!$B$17-Config!$B$16)*100))))</f>
        <v/>
      </c>
      <c r="W211" s="40">
        <f>IF($L211="Elite",Config!$B$21,0)</f>
        <v>0</v>
      </c>
      <c r="X211" s="40" t="str">
        <f>IFERROR(IF(OR($T211="",$G211=""),"",IF($T211&gt;$G211,
  MAX(0, 60-(($T211-$G211)*24/Config!$B$19)*60),
  MEDIAN(60, 100, 60+(($G211-$T211)*24/Config!$B$20)*40)
)),"")
</f>
        <v/>
      </c>
      <c r="Y211" s="40" t="str">
        <f>IF($J211="","",IFERROR(VLOOKUP($J211,Grinders!$A:$N,10,FALSE),""))</f>
        <v/>
      </c>
      <c r="Z211" s="40" t="str">
        <f>IF($J211="","",IFERROR(VLOOKUP($J211,Grinders!$A:$N,11,FALSE),""))</f>
        <v/>
      </c>
      <c r="AA211" s="40" t="str">
        <f>IF($J211="","",IFERROR(VLOOKUP($J211,Grinders!$A:$N,12,FALSE),""))</f>
        <v/>
      </c>
      <c r="AB211" s="40" t="str">
        <f>IF(OR(AL211=1,AM211=1),0,=IFERROR(IF(OR($C211="",$J211=""),0,IF($D211&lt;&gt;"Open",0,IF(COUNTIFS(GrinderServices!$A:$A,$J211,GrinderServices!$B:$B,$E211,GrinderServices!$D:$D,"Y")=0,0,IF($U211&lt;Config!$B$16,0,IF(Config!$B$18=1,IF($N211&gt;=$M211,0,1),1))))),""))</f>
        <v>#ERROR!</v>
      </c>
      <c r="AC211" s="40" t="str">
        <f>IFERROR((IF(OR(AL211=1,AM211=1),"",=IFERROR((IFERROR(IF($AB211=0,"",((Config!$B$6*$V211 + Config!$B$7*$R211 + Config!$B$8*$W211 + Config!$B$9*$X211 + Config!$B$10*$Y211 + Config!$B$11*$Z211 - Config!$B$12*$AA211)/Config!$B$13)+$AH211+$AI211),""))*(1-IFERROR(VLOOKUP(J211,Grinders!$A:$AB, 28, FALSE),0)),"")))*(1+AO211),"")</f>
        <v>#ERROR!</v>
      </c>
      <c r="AD211" s="40" t="str">
        <f t="shared" si="4"/>
        <v/>
      </c>
      <c r="AE211" s="40" t="str">
        <f>IFERROR(__xludf.DUMMYFUNCTION("IF($AC211="""","""",IF($AC211=IFERROR(MAX(FILTER($AC$6:$AC$1000,$C$6:$C$1000=$C211,$AB$6:$AB$1000=1)),),""WINNER"",""""))"),"#ERROR!")</f>
        <v>#ERROR!</v>
      </c>
      <c r="AF211" s="40" t="str">
        <f t="shared" si="5"/>
        <v/>
      </c>
      <c r="AG211" s="40" t="str">
        <f>IF($J211="","",COUNTIF(Assignments!$B:$B,$J211))</f>
        <v/>
      </c>
      <c r="AH211" s="40" t="str">
        <f>IF($J211="","",IF(AND($AG211=0,$N211&lt;$M211),Config!$B$43,0))</f>
        <v/>
      </c>
      <c r="AI211" s="40" t="str">
        <f>IF($J211="","",IF(AND($L211="Elite",$F211&gt;=Config!$B$41,$N211&lt;$M211),Config!$B$42,0))</f>
        <v/>
      </c>
      <c r="AJ211" s="22"/>
      <c r="AK211" s="39">
        <f>IFERROR(VLOOKUP(J211,Grinders!$A:$Q,28,FALSE),0)</f>
        <v>0</v>
      </c>
      <c r="AL211" s="39">
        <f>IF(Config!$B$1003&lt;&gt;"Y",0,IF(IFERROR(VLOOKUP(J211,Grinders!$A:$P,27,FALSE),0)&gt;=3,IF(OR(F211&gt;=Config!$B$1001,ISNUMBER(SEARCH(E211,Config!$B$1002))),1,0),0))</f>
        <v>0</v>
      </c>
      <c r="AM211" s="39">
        <f t="array" ref="AM211">IFERROR(IF(INDEX(Bids!$AE:$AE,MATCH(B211,Bids!$A:$A,0))="Pending",1,0),0)</f>
        <v>0</v>
      </c>
      <c r="AN211" s="39" t="str">
        <f t="array" ref="AN211">IF(C211="","",IFERROR(XLOOKUP(C211,Assignments!$C:$C,Assignments!$AU:$AU,0),0))</f>
        <v/>
      </c>
      <c r="AO211" s="39">
        <f>IF(AND(Config!$B$1006="Y",AN211=1),Config!$B$1007,0)</f>
        <v>0</v>
      </c>
    </row>
    <row r="212" ht="15.75" customHeight="1">
      <c r="A212" s="46" t="str">
        <f t="shared" si="1"/>
        <v/>
      </c>
      <c r="B212" s="40" t="str">
        <f>IF(Bids!$A212="","",Bids!$A212)</f>
        <v/>
      </c>
      <c r="C212" s="40" t="str">
        <f>IF(Bids!$B212="","",Bids!$B212)</f>
        <v/>
      </c>
      <c r="D212" s="40" t="str">
        <f>IF($C212="","",IFERROR(VLOOKUP($C212,Orders!$A:$J,9,FALSE),""))</f>
        <v/>
      </c>
      <c r="E212" s="40" t="str">
        <f>IF($C212="","",IFERROR(VLOOKUP($C212,Orders!$A:$J,3,FALSE),""))</f>
        <v/>
      </c>
      <c r="F212" s="40" t="str">
        <f>IF($C212="","",IFERROR(VLOOKUP($C212,Orders!$A:$J,4,FALSE),""))</f>
        <v/>
      </c>
      <c r="G212" s="40" t="str">
        <f>IF($C212="","",IFERROR(VLOOKUP($C212,Orders!$A:$J,5,FALSE),""))</f>
        <v/>
      </c>
      <c r="H212" s="40" t="str">
        <f>IF($C212="","",IFERROR(VLOOKUP($C212,Orders!$A:$J,6,FALSE),""))</f>
        <v/>
      </c>
      <c r="I212" s="40" t="str">
        <f>IF($C212="","",IFERROR(VLOOKUP($C212,Orders!$A:$J,7,FALSE),""))</f>
        <v/>
      </c>
      <c r="J212" s="40" t="str">
        <f>IF(Bids!$C212="","",Bids!$C212)</f>
        <v/>
      </c>
      <c r="K212" s="40" t="str">
        <f>IF($J212="","",IFERROR(VLOOKUP($J212,Grinders!$A:$N,2,FALSE),""))</f>
        <v/>
      </c>
      <c r="L212" s="40" t="str">
        <f>IF($J212="","",IFERROR(VLOOKUP($J212,Grinders!$A:$N,3,FALSE),""))</f>
        <v/>
      </c>
      <c r="M212" s="40" t="str">
        <f>IF($J212="","",IFERROR(VLOOKUP($J212,Grinders!$A:$N,4,FALSE),""))</f>
        <v/>
      </c>
      <c r="N212" s="40" t="str">
        <f>IF($J212="","",IFERROR(VLOOKUP($J212,Grinders!$A:$N,5,FALSE),""))</f>
        <v/>
      </c>
      <c r="O212" s="40" t="str">
        <f t="shared" si="2"/>
        <v/>
      </c>
      <c r="P212" s="40" t="str">
        <f>IF($J212="","",IFERROR(VLOOKUP($J212,Grinders!$A:$N,6,FALSE),""))</f>
        <v/>
      </c>
      <c r="Q212" s="40" t="str">
        <f>IF($J212="","",IFERROR(VLOOKUP($J212,Grinders!$A:$N,8,FALSE),""))</f>
        <v/>
      </c>
      <c r="R212" s="40" t="str">
        <f>IFERROR(IF($J212="","",IF($L212="Elite",MAX(50,MIN(100,Config!$B$27*MAX(0,MIN(100,(1-IF($O212="",0,$O212))*100)) + Config!$B$28*MAX(0,MIN(100,(1-MIN(1,IF(Config!$B$30=0,1,$P212/Config!$B$30)))*100)) + Config!$B$29*MAX(0,MIN(100,MIN(1,IF($Q212="",0,$Q212)/Config!$B$23)*100)))),MIN(100,Config!$B$27*MAX(0,MIN(100,(1-IF($O212="",0,$O212))*100)) + Config!$B$28*MAX(0,MIN(100,(1-MIN(1,IF(Config!$B$30=0,1,$P212/Config!$B$30)))*100)) + Config!$B$29*MAX(0,MIN(100,MIN(1,IF($Q212="",0,$Q212)/Config!$B$23)*100))))),"")
</f>
        <v/>
      </c>
      <c r="S212" s="40" t="str">
        <f>IF(Bids!$AC212="","",Bids!$AC212)</f>
        <v/>
      </c>
      <c r="T212" s="40" t="str">
        <f>IF(Bids!$F212="","",Bids!$F212)</f>
        <v/>
      </c>
      <c r="U212" s="40" t="str">
        <f t="shared" si="3"/>
        <v/>
      </c>
      <c r="V212" s="40" t="str">
        <f>IF($U212="","",IF(Config!$B$17=Config!$B$16,IF($U212&gt;=Config!$B$17,100,0),MAX(0,MIN(100,($U212-Config!$B$16)/(Config!$B$17-Config!$B$16)*100))))</f>
        <v/>
      </c>
      <c r="W212" s="40">
        <f>IF($L212="Elite",Config!$B$21,0)</f>
        <v>0</v>
      </c>
      <c r="X212" s="40" t="str">
        <f>IFERROR(IF(OR($T212="",$G212=""),"",IF($T212&gt;$G212,
  MAX(0, 60-(($T212-$G212)*24/Config!$B$19)*60),
  MEDIAN(60, 100, 60+(($G212-$T212)*24/Config!$B$20)*40)
)),"")
</f>
        <v/>
      </c>
      <c r="Y212" s="40" t="str">
        <f>IF($J212="","",IFERROR(VLOOKUP($J212,Grinders!$A:$N,10,FALSE),""))</f>
        <v/>
      </c>
      <c r="Z212" s="40" t="str">
        <f>IF($J212="","",IFERROR(VLOOKUP($J212,Grinders!$A:$N,11,FALSE),""))</f>
        <v/>
      </c>
      <c r="AA212" s="40" t="str">
        <f>IF($J212="","",IFERROR(VLOOKUP($J212,Grinders!$A:$N,12,FALSE),""))</f>
        <v/>
      </c>
      <c r="AB212" s="40" t="str">
        <f>IF(OR(AL212=1,AM212=1),0,=IFERROR(IF(OR($C212="",$J212=""),0,IF($D212&lt;&gt;"Open",0,IF(COUNTIFS(GrinderServices!$A:$A,$J212,GrinderServices!$B:$B,$E212,GrinderServices!$D:$D,"Y")=0,0,IF($U212&lt;Config!$B$16,0,IF(Config!$B$18=1,IF($N212&gt;=$M212,0,1),1))))),""))</f>
        <v>#ERROR!</v>
      </c>
      <c r="AC212" s="40" t="str">
        <f>IFERROR((IF(OR(AL212=1,AM212=1),"",=IFERROR((IFERROR(IF($AB212=0,"",((Config!$B$6*$V212 + Config!$B$7*$R212 + Config!$B$8*$W212 + Config!$B$9*$X212 + Config!$B$10*$Y212 + Config!$B$11*$Z212 - Config!$B$12*$AA212)/Config!$B$13)+$AH212+$AI212),""))*(1-IFERROR(VLOOKUP(J212,Grinders!$A:$AB, 28, FALSE),0)),"")))*(1+AO212),"")</f>
        <v>#ERROR!</v>
      </c>
      <c r="AD212" s="40" t="str">
        <f t="shared" si="4"/>
        <v/>
      </c>
      <c r="AE212" s="40" t="str">
        <f>IFERROR(__xludf.DUMMYFUNCTION("IF($AC212="""","""",IF($AC212=IFERROR(MAX(FILTER($AC$6:$AC$1000,$C$6:$C$1000=$C212,$AB$6:$AB$1000=1)),),""WINNER"",""""))"),"#ERROR!")</f>
        <v>#ERROR!</v>
      </c>
      <c r="AF212" s="40" t="str">
        <f t="shared" si="5"/>
        <v/>
      </c>
      <c r="AG212" s="40" t="str">
        <f>IF($J212="","",COUNTIF(Assignments!$B:$B,$J212))</f>
        <v/>
      </c>
      <c r="AH212" s="40" t="str">
        <f>IF($J212="","",IF(AND($AG212=0,$N212&lt;$M212),Config!$B$43,0))</f>
        <v/>
      </c>
      <c r="AI212" s="40" t="str">
        <f>IF($J212="","",IF(AND($L212="Elite",$F212&gt;=Config!$B$41,$N212&lt;$M212),Config!$B$42,0))</f>
        <v/>
      </c>
      <c r="AJ212" s="22"/>
      <c r="AK212" s="39">
        <f>IFERROR(VLOOKUP(J212,Grinders!$A:$Q,28,FALSE),0)</f>
        <v>0</v>
      </c>
      <c r="AL212" s="39">
        <f>IF(Config!$B$1003&lt;&gt;"Y",0,IF(IFERROR(VLOOKUP(J212,Grinders!$A:$P,27,FALSE),0)&gt;=3,IF(OR(F212&gt;=Config!$B$1001,ISNUMBER(SEARCH(E212,Config!$B$1002))),1,0),0))</f>
        <v>0</v>
      </c>
      <c r="AM212" s="39">
        <f t="array" ref="AM212">IFERROR(IF(INDEX(Bids!$AE:$AE,MATCH(B212,Bids!$A:$A,0))="Pending",1,0),0)</f>
        <v>0</v>
      </c>
      <c r="AN212" s="39" t="str">
        <f t="array" ref="AN212">IF(C212="","",IFERROR(XLOOKUP(C212,Assignments!$C:$C,Assignments!$AU:$AU,0),0))</f>
        <v/>
      </c>
      <c r="AO212" s="39">
        <f>IF(AND(Config!$B$1006="Y",AN212=1),Config!$B$1007,0)</f>
        <v>0</v>
      </c>
    </row>
    <row r="213" ht="15.75" customHeight="1">
      <c r="A213" s="46" t="str">
        <f t="shared" si="1"/>
        <v/>
      </c>
      <c r="B213" s="40" t="str">
        <f>IF(Bids!$A213="","",Bids!$A213)</f>
        <v/>
      </c>
      <c r="C213" s="40" t="str">
        <f>IF(Bids!$B213="","",Bids!$B213)</f>
        <v/>
      </c>
      <c r="D213" s="40" t="str">
        <f>IF($C213="","",IFERROR(VLOOKUP($C213,Orders!$A:$J,9,FALSE),""))</f>
        <v/>
      </c>
      <c r="E213" s="40" t="str">
        <f>IF($C213="","",IFERROR(VLOOKUP($C213,Orders!$A:$J,3,FALSE),""))</f>
        <v/>
      </c>
      <c r="F213" s="40" t="str">
        <f>IF($C213="","",IFERROR(VLOOKUP($C213,Orders!$A:$J,4,FALSE),""))</f>
        <v/>
      </c>
      <c r="G213" s="40" t="str">
        <f>IF($C213="","",IFERROR(VLOOKUP($C213,Orders!$A:$J,5,FALSE),""))</f>
        <v/>
      </c>
      <c r="H213" s="40" t="str">
        <f>IF($C213="","",IFERROR(VLOOKUP($C213,Orders!$A:$J,6,FALSE),""))</f>
        <v/>
      </c>
      <c r="I213" s="40" t="str">
        <f>IF($C213="","",IFERROR(VLOOKUP($C213,Orders!$A:$J,7,FALSE),""))</f>
        <v/>
      </c>
      <c r="J213" s="40" t="str">
        <f>IF(Bids!$C213="","",Bids!$C213)</f>
        <v/>
      </c>
      <c r="K213" s="40" t="str">
        <f>IF($J213="","",IFERROR(VLOOKUP($J213,Grinders!$A:$N,2,FALSE),""))</f>
        <v/>
      </c>
      <c r="L213" s="40" t="str">
        <f>IF($J213="","",IFERROR(VLOOKUP($J213,Grinders!$A:$N,3,FALSE),""))</f>
        <v/>
      </c>
      <c r="M213" s="40" t="str">
        <f>IF($J213="","",IFERROR(VLOOKUP($J213,Grinders!$A:$N,4,FALSE),""))</f>
        <v/>
      </c>
      <c r="N213" s="40" t="str">
        <f>IF($J213="","",IFERROR(VLOOKUP($J213,Grinders!$A:$N,5,FALSE),""))</f>
        <v/>
      </c>
      <c r="O213" s="40" t="str">
        <f t="shared" si="2"/>
        <v/>
      </c>
      <c r="P213" s="40" t="str">
        <f>IF($J213="","",IFERROR(VLOOKUP($J213,Grinders!$A:$N,6,FALSE),""))</f>
        <v/>
      </c>
      <c r="Q213" s="40" t="str">
        <f>IF($J213="","",IFERROR(VLOOKUP($J213,Grinders!$A:$N,8,FALSE),""))</f>
        <v/>
      </c>
      <c r="R213" s="40" t="str">
        <f>IFERROR(IF($J213="","",IF($L213="Elite",MAX(50,MIN(100,Config!$B$27*MAX(0,MIN(100,(1-IF($O213="",0,$O213))*100)) + Config!$B$28*MAX(0,MIN(100,(1-MIN(1,IF(Config!$B$30=0,1,$P213/Config!$B$30)))*100)) + Config!$B$29*MAX(0,MIN(100,MIN(1,IF($Q213="",0,$Q213)/Config!$B$23)*100)))),MIN(100,Config!$B$27*MAX(0,MIN(100,(1-IF($O213="",0,$O213))*100)) + Config!$B$28*MAX(0,MIN(100,(1-MIN(1,IF(Config!$B$30=0,1,$P213/Config!$B$30)))*100)) + Config!$B$29*MAX(0,MIN(100,MIN(1,IF($Q213="",0,$Q213)/Config!$B$23)*100))))),"")
</f>
        <v/>
      </c>
      <c r="S213" s="40" t="str">
        <f>IF(Bids!$AC213="","",Bids!$AC213)</f>
        <v/>
      </c>
      <c r="T213" s="40" t="str">
        <f>IF(Bids!$F213="","",Bids!$F213)</f>
        <v/>
      </c>
      <c r="U213" s="40" t="str">
        <f t="shared" si="3"/>
        <v/>
      </c>
      <c r="V213" s="40" t="str">
        <f>IF($U213="","",IF(Config!$B$17=Config!$B$16,IF($U213&gt;=Config!$B$17,100,0),MAX(0,MIN(100,($U213-Config!$B$16)/(Config!$B$17-Config!$B$16)*100))))</f>
        <v/>
      </c>
      <c r="W213" s="40">
        <f>IF($L213="Elite",Config!$B$21,0)</f>
        <v>0</v>
      </c>
      <c r="X213" s="40" t="str">
        <f>IFERROR(IF(OR($T213="",$G213=""),"",IF($T213&gt;$G213,
  MAX(0, 60-(($T213-$G213)*24/Config!$B$19)*60),
  MEDIAN(60, 100, 60+(($G213-$T213)*24/Config!$B$20)*40)
)),"")
</f>
        <v/>
      </c>
      <c r="Y213" s="40" t="str">
        <f>IF($J213="","",IFERROR(VLOOKUP($J213,Grinders!$A:$N,10,FALSE),""))</f>
        <v/>
      </c>
      <c r="Z213" s="40" t="str">
        <f>IF($J213="","",IFERROR(VLOOKUP($J213,Grinders!$A:$N,11,FALSE),""))</f>
        <v/>
      </c>
      <c r="AA213" s="40" t="str">
        <f>IF($J213="","",IFERROR(VLOOKUP($J213,Grinders!$A:$N,12,FALSE),""))</f>
        <v/>
      </c>
      <c r="AB213" s="40" t="str">
        <f>IF(OR(AL213=1,AM213=1),0,=IFERROR(IF(OR($C213="",$J213=""),0,IF($D213&lt;&gt;"Open",0,IF(COUNTIFS(GrinderServices!$A:$A,$J213,GrinderServices!$B:$B,$E213,GrinderServices!$D:$D,"Y")=0,0,IF($U213&lt;Config!$B$16,0,IF(Config!$B$18=1,IF($N213&gt;=$M213,0,1),1))))),""))</f>
        <v>#ERROR!</v>
      </c>
      <c r="AC213" s="40" t="str">
        <f>IFERROR((IF(OR(AL213=1,AM213=1),"",=IFERROR((IFERROR(IF($AB213=0,"",((Config!$B$6*$V213 + Config!$B$7*$R213 + Config!$B$8*$W213 + Config!$B$9*$X213 + Config!$B$10*$Y213 + Config!$B$11*$Z213 - Config!$B$12*$AA213)/Config!$B$13)+$AH213+$AI213),""))*(1-IFERROR(VLOOKUP(J213,Grinders!$A:$AB, 28, FALSE),0)),"")))*(1+AO213),"")</f>
        <v>#ERROR!</v>
      </c>
      <c r="AD213" s="40" t="str">
        <f t="shared" si="4"/>
        <v/>
      </c>
      <c r="AE213" s="40" t="str">
        <f>IFERROR(__xludf.DUMMYFUNCTION("IF($AC213="""","""",IF($AC213=IFERROR(MAX(FILTER($AC$6:$AC$1000,$C$6:$C$1000=$C213,$AB$6:$AB$1000=1)),),""WINNER"",""""))"),"#ERROR!")</f>
        <v>#ERROR!</v>
      </c>
      <c r="AF213" s="40" t="str">
        <f t="shared" si="5"/>
        <v/>
      </c>
      <c r="AG213" s="40" t="str">
        <f>IF($J213="","",COUNTIF(Assignments!$B:$B,$J213))</f>
        <v/>
      </c>
      <c r="AH213" s="40" t="str">
        <f>IF($J213="","",IF(AND($AG213=0,$N213&lt;$M213),Config!$B$43,0))</f>
        <v/>
      </c>
      <c r="AI213" s="40" t="str">
        <f>IF($J213="","",IF(AND($L213="Elite",$F213&gt;=Config!$B$41,$N213&lt;$M213),Config!$B$42,0))</f>
        <v/>
      </c>
      <c r="AJ213" s="22"/>
      <c r="AK213" s="39">
        <f>IFERROR(VLOOKUP(J213,Grinders!$A:$Q,28,FALSE),0)</f>
        <v>0</v>
      </c>
      <c r="AL213" s="39">
        <f>IF(Config!$B$1003&lt;&gt;"Y",0,IF(IFERROR(VLOOKUP(J213,Grinders!$A:$P,27,FALSE),0)&gt;=3,IF(OR(F213&gt;=Config!$B$1001,ISNUMBER(SEARCH(E213,Config!$B$1002))),1,0),0))</f>
        <v>0</v>
      </c>
      <c r="AM213" s="39">
        <f t="array" ref="AM213">IFERROR(IF(INDEX(Bids!$AE:$AE,MATCH(B213,Bids!$A:$A,0))="Pending",1,0),0)</f>
        <v>0</v>
      </c>
      <c r="AN213" s="39" t="str">
        <f t="array" ref="AN213">IF(C213="","",IFERROR(XLOOKUP(C213,Assignments!$C:$C,Assignments!$AU:$AU,0),0))</f>
        <v/>
      </c>
      <c r="AO213" s="39">
        <f>IF(AND(Config!$B$1006="Y",AN213=1),Config!$B$1007,0)</f>
        <v>0</v>
      </c>
    </row>
    <row r="214" ht="15.75" customHeight="1">
      <c r="A214" s="46" t="str">
        <f t="shared" si="1"/>
        <v/>
      </c>
      <c r="B214" s="40" t="str">
        <f>IF(Bids!$A214="","",Bids!$A214)</f>
        <v/>
      </c>
      <c r="C214" s="40" t="str">
        <f>IF(Bids!$B214="","",Bids!$B214)</f>
        <v/>
      </c>
      <c r="D214" s="40" t="str">
        <f>IF($C214="","",IFERROR(VLOOKUP($C214,Orders!$A:$J,9,FALSE),""))</f>
        <v/>
      </c>
      <c r="E214" s="40" t="str">
        <f>IF($C214="","",IFERROR(VLOOKUP($C214,Orders!$A:$J,3,FALSE),""))</f>
        <v/>
      </c>
      <c r="F214" s="40" t="str">
        <f>IF($C214="","",IFERROR(VLOOKUP($C214,Orders!$A:$J,4,FALSE),""))</f>
        <v/>
      </c>
      <c r="G214" s="40" t="str">
        <f>IF($C214="","",IFERROR(VLOOKUP($C214,Orders!$A:$J,5,FALSE),""))</f>
        <v/>
      </c>
      <c r="H214" s="40" t="str">
        <f>IF($C214="","",IFERROR(VLOOKUP($C214,Orders!$A:$J,6,FALSE),""))</f>
        <v/>
      </c>
      <c r="I214" s="40" t="str">
        <f>IF($C214="","",IFERROR(VLOOKUP($C214,Orders!$A:$J,7,FALSE),""))</f>
        <v/>
      </c>
      <c r="J214" s="40" t="str">
        <f>IF(Bids!$C214="","",Bids!$C214)</f>
        <v/>
      </c>
      <c r="K214" s="40" t="str">
        <f>IF($J214="","",IFERROR(VLOOKUP($J214,Grinders!$A:$N,2,FALSE),""))</f>
        <v/>
      </c>
      <c r="L214" s="40" t="str">
        <f>IF($J214="","",IFERROR(VLOOKUP($J214,Grinders!$A:$N,3,FALSE),""))</f>
        <v/>
      </c>
      <c r="M214" s="40" t="str">
        <f>IF($J214="","",IFERROR(VLOOKUP($J214,Grinders!$A:$N,4,FALSE),""))</f>
        <v/>
      </c>
      <c r="N214" s="40" t="str">
        <f>IF($J214="","",IFERROR(VLOOKUP($J214,Grinders!$A:$N,5,FALSE),""))</f>
        <v/>
      </c>
      <c r="O214" s="40" t="str">
        <f t="shared" si="2"/>
        <v/>
      </c>
      <c r="P214" s="40" t="str">
        <f>IF($J214="","",IFERROR(VLOOKUP($J214,Grinders!$A:$N,6,FALSE),""))</f>
        <v/>
      </c>
      <c r="Q214" s="40" t="str">
        <f>IF($J214="","",IFERROR(VLOOKUP($J214,Grinders!$A:$N,8,FALSE),""))</f>
        <v/>
      </c>
      <c r="R214" s="40" t="str">
        <f>IFERROR(IF($J214="","",IF($L214="Elite",MAX(50,MIN(100,Config!$B$27*MAX(0,MIN(100,(1-IF($O214="",0,$O214))*100)) + Config!$B$28*MAX(0,MIN(100,(1-MIN(1,IF(Config!$B$30=0,1,$P214/Config!$B$30)))*100)) + Config!$B$29*MAX(0,MIN(100,MIN(1,IF($Q214="",0,$Q214)/Config!$B$23)*100)))),MIN(100,Config!$B$27*MAX(0,MIN(100,(1-IF($O214="",0,$O214))*100)) + Config!$B$28*MAX(0,MIN(100,(1-MIN(1,IF(Config!$B$30=0,1,$P214/Config!$B$30)))*100)) + Config!$B$29*MAX(0,MIN(100,MIN(1,IF($Q214="",0,$Q214)/Config!$B$23)*100))))),"")
</f>
        <v/>
      </c>
      <c r="S214" s="40" t="str">
        <f>IF(Bids!$AC214="","",Bids!$AC214)</f>
        <v/>
      </c>
      <c r="T214" s="40" t="str">
        <f>IF(Bids!$F214="","",Bids!$F214)</f>
        <v/>
      </c>
      <c r="U214" s="40" t="str">
        <f t="shared" si="3"/>
        <v/>
      </c>
      <c r="V214" s="40" t="str">
        <f>IF($U214="","",IF(Config!$B$17=Config!$B$16,IF($U214&gt;=Config!$B$17,100,0),MAX(0,MIN(100,($U214-Config!$B$16)/(Config!$B$17-Config!$B$16)*100))))</f>
        <v/>
      </c>
      <c r="W214" s="40">
        <f>IF($L214="Elite",Config!$B$21,0)</f>
        <v>0</v>
      </c>
      <c r="X214" s="40" t="str">
        <f>IFERROR(IF(OR($T214="",$G214=""),"",IF($T214&gt;$G214,
  MAX(0, 60-(($T214-$G214)*24/Config!$B$19)*60),
  MEDIAN(60, 100, 60+(($G214-$T214)*24/Config!$B$20)*40)
)),"")
</f>
        <v/>
      </c>
      <c r="Y214" s="40" t="str">
        <f>IF($J214="","",IFERROR(VLOOKUP($J214,Grinders!$A:$N,10,FALSE),""))</f>
        <v/>
      </c>
      <c r="Z214" s="40" t="str">
        <f>IF($J214="","",IFERROR(VLOOKUP($J214,Grinders!$A:$N,11,FALSE),""))</f>
        <v/>
      </c>
      <c r="AA214" s="40" t="str">
        <f>IF($J214="","",IFERROR(VLOOKUP($J214,Grinders!$A:$N,12,FALSE),""))</f>
        <v/>
      </c>
      <c r="AB214" s="40" t="str">
        <f>IF(OR(AL214=1,AM214=1),0,=IFERROR(IF(OR($C214="",$J214=""),0,IF($D214&lt;&gt;"Open",0,IF(COUNTIFS(GrinderServices!$A:$A,$J214,GrinderServices!$B:$B,$E214,GrinderServices!$D:$D,"Y")=0,0,IF($U214&lt;Config!$B$16,0,IF(Config!$B$18=1,IF($N214&gt;=$M214,0,1),1))))),""))</f>
        <v>#ERROR!</v>
      </c>
      <c r="AC214" s="40" t="str">
        <f>IFERROR((IF(OR(AL214=1,AM214=1),"",=IFERROR((IFERROR(IF($AB214=0,"",((Config!$B$6*$V214 + Config!$B$7*$R214 + Config!$B$8*$W214 + Config!$B$9*$X214 + Config!$B$10*$Y214 + Config!$B$11*$Z214 - Config!$B$12*$AA214)/Config!$B$13)+$AH214+$AI214),""))*(1-IFERROR(VLOOKUP(J214,Grinders!$A:$AB, 28, FALSE),0)),"")))*(1+AO214),"")</f>
        <v>#ERROR!</v>
      </c>
      <c r="AD214" s="40" t="str">
        <f t="shared" si="4"/>
        <v/>
      </c>
      <c r="AE214" s="40" t="str">
        <f>IFERROR(__xludf.DUMMYFUNCTION("IF($AC214="""","""",IF($AC214=IFERROR(MAX(FILTER($AC$6:$AC$1000,$C$6:$C$1000=$C214,$AB$6:$AB$1000=1)),),""WINNER"",""""))"),"#ERROR!")</f>
        <v>#ERROR!</v>
      </c>
      <c r="AF214" s="40" t="str">
        <f t="shared" si="5"/>
        <v/>
      </c>
      <c r="AG214" s="40" t="str">
        <f>IF($J214="","",COUNTIF(Assignments!$B:$B,$J214))</f>
        <v/>
      </c>
      <c r="AH214" s="40" t="str">
        <f>IF($J214="","",IF(AND($AG214=0,$N214&lt;$M214),Config!$B$43,0))</f>
        <v/>
      </c>
      <c r="AI214" s="40" t="str">
        <f>IF($J214="","",IF(AND($L214="Elite",$F214&gt;=Config!$B$41,$N214&lt;$M214),Config!$B$42,0))</f>
        <v/>
      </c>
      <c r="AJ214" s="22"/>
      <c r="AK214" s="39">
        <f>IFERROR(VLOOKUP(J214,Grinders!$A:$Q,28,FALSE),0)</f>
        <v>0</v>
      </c>
      <c r="AL214" s="39">
        <f>IF(Config!$B$1003&lt;&gt;"Y",0,IF(IFERROR(VLOOKUP(J214,Grinders!$A:$P,27,FALSE),0)&gt;=3,IF(OR(F214&gt;=Config!$B$1001,ISNUMBER(SEARCH(E214,Config!$B$1002))),1,0),0))</f>
        <v>0</v>
      </c>
      <c r="AM214" s="39">
        <f t="array" ref="AM214">IFERROR(IF(INDEX(Bids!$AE:$AE,MATCH(B214,Bids!$A:$A,0))="Pending",1,0),0)</f>
        <v>0</v>
      </c>
      <c r="AN214" s="39" t="str">
        <f t="array" ref="AN214">IF(C214="","",IFERROR(XLOOKUP(C214,Assignments!$C:$C,Assignments!$AU:$AU,0),0))</f>
        <v/>
      </c>
      <c r="AO214" s="39">
        <f>IF(AND(Config!$B$1006="Y",AN214=1),Config!$B$1007,0)</f>
        <v>0</v>
      </c>
    </row>
    <row r="215" ht="15.75" customHeight="1">
      <c r="A215" s="46" t="str">
        <f t="shared" si="1"/>
        <v/>
      </c>
      <c r="B215" s="40" t="str">
        <f>IF(Bids!$A215="","",Bids!$A215)</f>
        <v/>
      </c>
      <c r="C215" s="40" t="str">
        <f>IF(Bids!$B215="","",Bids!$B215)</f>
        <v/>
      </c>
      <c r="D215" s="40" t="str">
        <f>IF($C215="","",IFERROR(VLOOKUP($C215,Orders!$A:$J,9,FALSE),""))</f>
        <v/>
      </c>
      <c r="E215" s="40" t="str">
        <f>IF($C215="","",IFERROR(VLOOKUP($C215,Orders!$A:$J,3,FALSE),""))</f>
        <v/>
      </c>
      <c r="F215" s="40" t="str">
        <f>IF($C215="","",IFERROR(VLOOKUP($C215,Orders!$A:$J,4,FALSE),""))</f>
        <v/>
      </c>
      <c r="G215" s="40" t="str">
        <f>IF($C215="","",IFERROR(VLOOKUP($C215,Orders!$A:$J,5,FALSE),""))</f>
        <v/>
      </c>
      <c r="H215" s="40" t="str">
        <f>IF($C215="","",IFERROR(VLOOKUP($C215,Orders!$A:$J,6,FALSE),""))</f>
        <v/>
      </c>
      <c r="I215" s="40" t="str">
        <f>IF($C215="","",IFERROR(VLOOKUP($C215,Orders!$A:$J,7,FALSE),""))</f>
        <v/>
      </c>
      <c r="J215" s="40" t="str">
        <f>IF(Bids!$C215="","",Bids!$C215)</f>
        <v/>
      </c>
      <c r="K215" s="40" t="str">
        <f>IF($J215="","",IFERROR(VLOOKUP($J215,Grinders!$A:$N,2,FALSE),""))</f>
        <v/>
      </c>
      <c r="L215" s="40" t="str">
        <f>IF($J215="","",IFERROR(VLOOKUP($J215,Grinders!$A:$N,3,FALSE),""))</f>
        <v/>
      </c>
      <c r="M215" s="40" t="str">
        <f>IF($J215="","",IFERROR(VLOOKUP($J215,Grinders!$A:$N,4,FALSE),""))</f>
        <v/>
      </c>
      <c r="N215" s="40" t="str">
        <f>IF($J215="","",IFERROR(VLOOKUP($J215,Grinders!$A:$N,5,FALSE),""))</f>
        <v/>
      </c>
      <c r="O215" s="40" t="str">
        <f t="shared" si="2"/>
        <v/>
      </c>
      <c r="P215" s="40" t="str">
        <f>IF($J215="","",IFERROR(VLOOKUP($J215,Grinders!$A:$N,6,FALSE),""))</f>
        <v/>
      </c>
      <c r="Q215" s="40" t="str">
        <f>IF($J215="","",IFERROR(VLOOKUP($J215,Grinders!$A:$N,8,FALSE),""))</f>
        <v/>
      </c>
      <c r="R215" s="40" t="str">
        <f>IFERROR(IF($J215="","",IF($L215="Elite",MAX(50,MIN(100,Config!$B$27*MAX(0,MIN(100,(1-IF($O215="",0,$O215))*100)) + Config!$B$28*MAX(0,MIN(100,(1-MIN(1,IF(Config!$B$30=0,1,$P215/Config!$B$30)))*100)) + Config!$B$29*MAX(0,MIN(100,MIN(1,IF($Q215="",0,$Q215)/Config!$B$23)*100)))),MIN(100,Config!$B$27*MAX(0,MIN(100,(1-IF($O215="",0,$O215))*100)) + Config!$B$28*MAX(0,MIN(100,(1-MIN(1,IF(Config!$B$30=0,1,$P215/Config!$B$30)))*100)) + Config!$B$29*MAX(0,MIN(100,MIN(1,IF($Q215="",0,$Q215)/Config!$B$23)*100))))),"")
</f>
        <v/>
      </c>
      <c r="S215" s="40" t="str">
        <f>IF(Bids!$AC215="","",Bids!$AC215)</f>
        <v/>
      </c>
      <c r="T215" s="40" t="str">
        <f>IF(Bids!$F215="","",Bids!$F215)</f>
        <v/>
      </c>
      <c r="U215" s="40" t="str">
        <f t="shared" si="3"/>
        <v/>
      </c>
      <c r="V215" s="40" t="str">
        <f>IF($U215="","",IF(Config!$B$17=Config!$B$16,IF($U215&gt;=Config!$B$17,100,0),MAX(0,MIN(100,($U215-Config!$B$16)/(Config!$B$17-Config!$B$16)*100))))</f>
        <v/>
      </c>
      <c r="W215" s="40">
        <f>IF($L215="Elite",Config!$B$21,0)</f>
        <v>0</v>
      </c>
      <c r="X215" s="40" t="str">
        <f>IFERROR(IF(OR($T215="",$G215=""),"",IF($T215&gt;$G215,
  MAX(0, 60-(($T215-$G215)*24/Config!$B$19)*60),
  MEDIAN(60, 100, 60+(($G215-$T215)*24/Config!$B$20)*40)
)),"")
</f>
        <v/>
      </c>
      <c r="Y215" s="40" t="str">
        <f>IF($J215="","",IFERROR(VLOOKUP($J215,Grinders!$A:$N,10,FALSE),""))</f>
        <v/>
      </c>
      <c r="Z215" s="40" t="str">
        <f>IF($J215="","",IFERROR(VLOOKUP($J215,Grinders!$A:$N,11,FALSE),""))</f>
        <v/>
      </c>
      <c r="AA215" s="40" t="str">
        <f>IF($J215="","",IFERROR(VLOOKUP($J215,Grinders!$A:$N,12,FALSE),""))</f>
        <v/>
      </c>
      <c r="AB215" s="40" t="str">
        <f>IF(OR(AL215=1,AM215=1),0,=IFERROR(IF(OR($C215="",$J215=""),0,IF($D215&lt;&gt;"Open",0,IF(COUNTIFS(GrinderServices!$A:$A,$J215,GrinderServices!$B:$B,$E215,GrinderServices!$D:$D,"Y")=0,0,IF($U215&lt;Config!$B$16,0,IF(Config!$B$18=1,IF($N215&gt;=$M215,0,1),1))))),""))</f>
        <v>#ERROR!</v>
      </c>
      <c r="AC215" s="40" t="str">
        <f>IFERROR((IF(OR(AL215=1,AM215=1),"",=IFERROR((IFERROR(IF($AB215=0,"",((Config!$B$6*$V215 + Config!$B$7*$R215 + Config!$B$8*$W215 + Config!$B$9*$X215 + Config!$B$10*$Y215 + Config!$B$11*$Z215 - Config!$B$12*$AA215)/Config!$B$13)+$AH215+$AI215),""))*(1-IFERROR(VLOOKUP(J215,Grinders!$A:$AB, 28, FALSE),0)),"")))*(1+AO215),"")</f>
        <v>#ERROR!</v>
      </c>
      <c r="AD215" s="40" t="str">
        <f t="shared" si="4"/>
        <v/>
      </c>
      <c r="AE215" s="40" t="str">
        <f>IFERROR(__xludf.DUMMYFUNCTION("IF($AC215="""","""",IF($AC215=IFERROR(MAX(FILTER($AC$6:$AC$1000,$C$6:$C$1000=$C215,$AB$6:$AB$1000=1)),),""WINNER"",""""))"),"#ERROR!")</f>
        <v>#ERROR!</v>
      </c>
      <c r="AF215" s="40" t="str">
        <f t="shared" si="5"/>
        <v/>
      </c>
      <c r="AG215" s="40" t="str">
        <f>IF($J215="","",COUNTIF(Assignments!$B:$B,$J215))</f>
        <v/>
      </c>
      <c r="AH215" s="40" t="str">
        <f>IF($J215="","",IF(AND($AG215=0,$N215&lt;$M215),Config!$B$43,0))</f>
        <v/>
      </c>
      <c r="AI215" s="40" t="str">
        <f>IF($J215="","",IF(AND($L215="Elite",$F215&gt;=Config!$B$41,$N215&lt;$M215),Config!$B$42,0))</f>
        <v/>
      </c>
      <c r="AJ215" s="22"/>
      <c r="AK215" s="39">
        <f>IFERROR(VLOOKUP(J215,Grinders!$A:$Q,28,FALSE),0)</f>
        <v>0</v>
      </c>
      <c r="AL215" s="39">
        <f>IF(Config!$B$1003&lt;&gt;"Y",0,IF(IFERROR(VLOOKUP(J215,Grinders!$A:$P,27,FALSE),0)&gt;=3,IF(OR(F215&gt;=Config!$B$1001,ISNUMBER(SEARCH(E215,Config!$B$1002))),1,0),0))</f>
        <v>0</v>
      </c>
      <c r="AM215" s="39">
        <f t="array" ref="AM215">IFERROR(IF(INDEX(Bids!$AE:$AE,MATCH(B215,Bids!$A:$A,0))="Pending",1,0),0)</f>
        <v>0</v>
      </c>
      <c r="AN215" s="39" t="str">
        <f t="array" ref="AN215">IF(C215="","",IFERROR(XLOOKUP(C215,Assignments!$C:$C,Assignments!$AU:$AU,0),0))</f>
        <v/>
      </c>
      <c r="AO215" s="39">
        <f>IF(AND(Config!$B$1006="Y",AN215=1),Config!$B$1007,0)</f>
        <v>0</v>
      </c>
    </row>
    <row r="216" ht="15.75" customHeight="1">
      <c r="A216" s="46" t="str">
        <f t="shared" si="1"/>
        <v/>
      </c>
      <c r="B216" s="40" t="str">
        <f>IF(Bids!$A216="","",Bids!$A216)</f>
        <v/>
      </c>
      <c r="C216" s="40" t="str">
        <f>IF(Bids!$B216="","",Bids!$B216)</f>
        <v/>
      </c>
      <c r="D216" s="40" t="str">
        <f>IF($C216="","",IFERROR(VLOOKUP($C216,Orders!$A:$J,9,FALSE),""))</f>
        <v/>
      </c>
      <c r="E216" s="40" t="str">
        <f>IF($C216="","",IFERROR(VLOOKUP($C216,Orders!$A:$J,3,FALSE),""))</f>
        <v/>
      </c>
      <c r="F216" s="40" t="str">
        <f>IF($C216="","",IFERROR(VLOOKUP($C216,Orders!$A:$J,4,FALSE),""))</f>
        <v/>
      </c>
      <c r="G216" s="40" t="str">
        <f>IF($C216="","",IFERROR(VLOOKUP($C216,Orders!$A:$J,5,FALSE),""))</f>
        <v/>
      </c>
      <c r="H216" s="40" t="str">
        <f>IF($C216="","",IFERROR(VLOOKUP($C216,Orders!$A:$J,6,FALSE),""))</f>
        <v/>
      </c>
      <c r="I216" s="40" t="str">
        <f>IF($C216="","",IFERROR(VLOOKUP($C216,Orders!$A:$J,7,FALSE),""))</f>
        <v/>
      </c>
      <c r="J216" s="40" t="str">
        <f>IF(Bids!$C216="","",Bids!$C216)</f>
        <v/>
      </c>
      <c r="K216" s="40" t="str">
        <f>IF($J216="","",IFERROR(VLOOKUP($J216,Grinders!$A:$N,2,FALSE),""))</f>
        <v/>
      </c>
      <c r="L216" s="40" t="str">
        <f>IF($J216="","",IFERROR(VLOOKUP($J216,Grinders!$A:$N,3,FALSE),""))</f>
        <v/>
      </c>
      <c r="M216" s="40" t="str">
        <f>IF($J216="","",IFERROR(VLOOKUP($J216,Grinders!$A:$N,4,FALSE),""))</f>
        <v/>
      </c>
      <c r="N216" s="40" t="str">
        <f>IF($J216="","",IFERROR(VLOOKUP($J216,Grinders!$A:$N,5,FALSE),""))</f>
        <v/>
      </c>
      <c r="O216" s="40" t="str">
        <f t="shared" si="2"/>
        <v/>
      </c>
      <c r="P216" s="40" t="str">
        <f>IF($J216="","",IFERROR(VLOOKUP($J216,Grinders!$A:$N,6,FALSE),""))</f>
        <v/>
      </c>
      <c r="Q216" s="40" t="str">
        <f>IF($J216="","",IFERROR(VLOOKUP($J216,Grinders!$A:$N,8,FALSE),""))</f>
        <v/>
      </c>
      <c r="R216" s="40" t="str">
        <f>IFERROR(IF($J216="","",IF($L216="Elite",MAX(50,MIN(100,Config!$B$27*MAX(0,MIN(100,(1-IF($O216="",0,$O216))*100)) + Config!$B$28*MAX(0,MIN(100,(1-MIN(1,IF(Config!$B$30=0,1,$P216/Config!$B$30)))*100)) + Config!$B$29*MAX(0,MIN(100,MIN(1,IF($Q216="",0,$Q216)/Config!$B$23)*100)))),MIN(100,Config!$B$27*MAX(0,MIN(100,(1-IF($O216="",0,$O216))*100)) + Config!$B$28*MAX(0,MIN(100,(1-MIN(1,IF(Config!$B$30=0,1,$P216/Config!$B$30)))*100)) + Config!$B$29*MAX(0,MIN(100,MIN(1,IF($Q216="",0,$Q216)/Config!$B$23)*100))))),"")
</f>
        <v/>
      </c>
      <c r="S216" s="40" t="str">
        <f>IF(Bids!$AC216="","",Bids!$AC216)</f>
        <v/>
      </c>
      <c r="T216" s="40" t="str">
        <f>IF(Bids!$F216="","",Bids!$F216)</f>
        <v/>
      </c>
      <c r="U216" s="40" t="str">
        <f t="shared" si="3"/>
        <v/>
      </c>
      <c r="V216" s="40" t="str">
        <f>IF($U216="","",IF(Config!$B$17=Config!$B$16,IF($U216&gt;=Config!$B$17,100,0),MAX(0,MIN(100,($U216-Config!$B$16)/(Config!$B$17-Config!$B$16)*100))))</f>
        <v/>
      </c>
      <c r="W216" s="40">
        <f>IF($L216="Elite",Config!$B$21,0)</f>
        <v>0</v>
      </c>
      <c r="X216" s="40" t="str">
        <f>IFERROR(IF(OR($T216="",$G216=""),"",IF($T216&gt;$G216,
  MAX(0, 60-(($T216-$G216)*24/Config!$B$19)*60),
  MEDIAN(60, 100, 60+(($G216-$T216)*24/Config!$B$20)*40)
)),"")
</f>
        <v/>
      </c>
      <c r="Y216" s="40" t="str">
        <f>IF($J216="","",IFERROR(VLOOKUP($J216,Grinders!$A:$N,10,FALSE),""))</f>
        <v/>
      </c>
      <c r="Z216" s="40" t="str">
        <f>IF($J216="","",IFERROR(VLOOKUP($J216,Grinders!$A:$N,11,FALSE),""))</f>
        <v/>
      </c>
      <c r="AA216" s="40" t="str">
        <f>IF($J216="","",IFERROR(VLOOKUP($J216,Grinders!$A:$N,12,FALSE),""))</f>
        <v/>
      </c>
      <c r="AB216" s="40" t="str">
        <f>IF(OR(AL216=1,AM216=1),0,=IFERROR(IF(OR($C216="",$J216=""),0,IF($D216&lt;&gt;"Open",0,IF(COUNTIFS(GrinderServices!$A:$A,$J216,GrinderServices!$B:$B,$E216,GrinderServices!$D:$D,"Y")=0,0,IF($U216&lt;Config!$B$16,0,IF(Config!$B$18=1,IF($N216&gt;=$M216,0,1),1))))),""))</f>
        <v>#ERROR!</v>
      </c>
      <c r="AC216" s="40" t="str">
        <f>IFERROR((IF(OR(AL216=1,AM216=1),"",=IFERROR((IFERROR(IF($AB216=0,"",((Config!$B$6*$V216 + Config!$B$7*$R216 + Config!$B$8*$W216 + Config!$B$9*$X216 + Config!$B$10*$Y216 + Config!$B$11*$Z216 - Config!$B$12*$AA216)/Config!$B$13)+$AH216+$AI216),""))*(1-IFERROR(VLOOKUP(J216,Grinders!$A:$AB, 28, FALSE),0)),"")))*(1+AO216),"")</f>
        <v>#ERROR!</v>
      </c>
      <c r="AD216" s="40" t="str">
        <f t="shared" si="4"/>
        <v/>
      </c>
      <c r="AE216" s="40" t="str">
        <f>IFERROR(__xludf.DUMMYFUNCTION("IF($AC216="""","""",IF($AC216=IFERROR(MAX(FILTER($AC$6:$AC$1000,$C$6:$C$1000=$C216,$AB$6:$AB$1000=1)),),""WINNER"",""""))"),"#ERROR!")</f>
        <v>#ERROR!</v>
      </c>
      <c r="AF216" s="40" t="str">
        <f t="shared" si="5"/>
        <v/>
      </c>
      <c r="AG216" s="40" t="str">
        <f>IF($J216="","",COUNTIF(Assignments!$B:$B,$J216))</f>
        <v/>
      </c>
      <c r="AH216" s="40" t="str">
        <f>IF($J216="","",IF(AND($AG216=0,$N216&lt;$M216),Config!$B$43,0))</f>
        <v/>
      </c>
      <c r="AI216" s="40" t="str">
        <f>IF($J216="","",IF(AND($L216="Elite",$F216&gt;=Config!$B$41,$N216&lt;$M216),Config!$B$42,0))</f>
        <v/>
      </c>
      <c r="AJ216" s="22"/>
      <c r="AK216" s="39">
        <f>IFERROR(VLOOKUP(J216,Grinders!$A:$Q,28,FALSE),0)</f>
        <v>0</v>
      </c>
      <c r="AL216" s="39">
        <f>IF(Config!$B$1003&lt;&gt;"Y",0,IF(IFERROR(VLOOKUP(J216,Grinders!$A:$P,27,FALSE),0)&gt;=3,IF(OR(F216&gt;=Config!$B$1001,ISNUMBER(SEARCH(E216,Config!$B$1002))),1,0),0))</f>
        <v>0</v>
      </c>
      <c r="AM216" s="39">
        <f t="array" ref="AM216">IFERROR(IF(INDEX(Bids!$AE:$AE,MATCH(B216,Bids!$A:$A,0))="Pending",1,0),0)</f>
        <v>0</v>
      </c>
      <c r="AN216" s="39" t="str">
        <f t="array" ref="AN216">IF(C216="","",IFERROR(XLOOKUP(C216,Assignments!$C:$C,Assignments!$AU:$AU,0),0))</f>
        <v/>
      </c>
      <c r="AO216" s="39">
        <f>IF(AND(Config!$B$1006="Y",AN216=1),Config!$B$1007,0)</f>
        <v>0</v>
      </c>
    </row>
    <row r="217" ht="15.75" customHeight="1">
      <c r="A217" s="46" t="str">
        <f t="shared" si="1"/>
        <v/>
      </c>
      <c r="B217" s="40" t="str">
        <f>IF(Bids!$A217="","",Bids!$A217)</f>
        <v/>
      </c>
      <c r="C217" s="40" t="str">
        <f>IF(Bids!$B217="","",Bids!$B217)</f>
        <v/>
      </c>
      <c r="D217" s="40" t="str">
        <f>IF($C217="","",IFERROR(VLOOKUP($C217,Orders!$A:$J,9,FALSE),""))</f>
        <v/>
      </c>
      <c r="E217" s="40" t="str">
        <f>IF($C217="","",IFERROR(VLOOKUP($C217,Orders!$A:$J,3,FALSE),""))</f>
        <v/>
      </c>
      <c r="F217" s="40" t="str">
        <f>IF($C217="","",IFERROR(VLOOKUP($C217,Orders!$A:$J,4,FALSE),""))</f>
        <v/>
      </c>
      <c r="G217" s="40" t="str">
        <f>IF($C217="","",IFERROR(VLOOKUP($C217,Orders!$A:$J,5,FALSE),""))</f>
        <v/>
      </c>
      <c r="H217" s="40" t="str">
        <f>IF($C217="","",IFERROR(VLOOKUP($C217,Orders!$A:$J,6,FALSE),""))</f>
        <v/>
      </c>
      <c r="I217" s="40" t="str">
        <f>IF($C217="","",IFERROR(VLOOKUP($C217,Orders!$A:$J,7,FALSE),""))</f>
        <v/>
      </c>
      <c r="J217" s="40" t="str">
        <f>IF(Bids!$C217="","",Bids!$C217)</f>
        <v/>
      </c>
      <c r="K217" s="40" t="str">
        <f>IF($J217="","",IFERROR(VLOOKUP($J217,Grinders!$A:$N,2,FALSE),""))</f>
        <v/>
      </c>
      <c r="L217" s="40" t="str">
        <f>IF($J217="","",IFERROR(VLOOKUP($J217,Grinders!$A:$N,3,FALSE),""))</f>
        <v/>
      </c>
      <c r="M217" s="40" t="str">
        <f>IF($J217="","",IFERROR(VLOOKUP($J217,Grinders!$A:$N,4,FALSE),""))</f>
        <v/>
      </c>
      <c r="N217" s="40" t="str">
        <f>IF($J217="","",IFERROR(VLOOKUP($J217,Grinders!$A:$N,5,FALSE),""))</f>
        <v/>
      </c>
      <c r="O217" s="40" t="str">
        <f t="shared" si="2"/>
        <v/>
      </c>
      <c r="P217" s="40" t="str">
        <f>IF($J217="","",IFERROR(VLOOKUP($J217,Grinders!$A:$N,6,FALSE),""))</f>
        <v/>
      </c>
      <c r="Q217" s="40" t="str">
        <f>IF($J217="","",IFERROR(VLOOKUP($J217,Grinders!$A:$N,8,FALSE),""))</f>
        <v/>
      </c>
      <c r="R217" s="40" t="str">
        <f>IFERROR(IF($J217="","",IF($L217="Elite",MAX(50,MIN(100,Config!$B$27*MAX(0,MIN(100,(1-IF($O217="",0,$O217))*100)) + Config!$B$28*MAX(0,MIN(100,(1-MIN(1,IF(Config!$B$30=0,1,$P217/Config!$B$30)))*100)) + Config!$B$29*MAX(0,MIN(100,MIN(1,IF($Q217="",0,$Q217)/Config!$B$23)*100)))),MIN(100,Config!$B$27*MAX(0,MIN(100,(1-IF($O217="",0,$O217))*100)) + Config!$B$28*MAX(0,MIN(100,(1-MIN(1,IF(Config!$B$30=0,1,$P217/Config!$B$30)))*100)) + Config!$B$29*MAX(0,MIN(100,MIN(1,IF($Q217="",0,$Q217)/Config!$B$23)*100))))),"")
</f>
        <v/>
      </c>
      <c r="S217" s="40" t="str">
        <f>IF(Bids!$AC217="","",Bids!$AC217)</f>
        <v/>
      </c>
      <c r="T217" s="40" t="str">
        <f>IF(Bids!$F217="","",Bids!$F217)</f>
        <v/>
      </c>
      <c r="U217" s="40" t="str">
        <f t="shared" si="3"/>
        <v/>
      </c>
      <c r="V217" s="40" t="str">
        <f>IF($U217="","",IF(Config!$B$17=Config!$B$16,IF($U217&gt;=Config!$B$17,100,0),MAX(0,MIN(100,($U217-Config!$B$16)/(Config!$B$17-Config!$B$16)*100))))</f>
        <v/>
      </c>
      <c r="W217" s="40">
        <f>IF($L217="Elite",Config!$B$21,0)</f>
        <v>0</v>
      </c>
      <c r="X217" s="40" t="str">
        <f>IFERROR(IF(OR($T217="",$G217=""),"",IF($T217&gt;$G217,
  MAX(0, 60-(($T217-$G217)*24/Config!$B$19)*60),
  MEDIAN(60, 100, 60+(($G217-$T217)*24/Config!$B$20)*40)
)),"")
</f>
        <v/>
      </c>
      <c r="Y217" s="40" t="str">
        <f>IF($J217="","",IFERROR(VLOOKUP($J217,Grinders!$A:$N,10,FALSE),""))</f>
        <v/>
      </c>
      <c r="Z217" s="40" t="str">
        <f>IF($J217="","",IFERROR(VLOOKUP($J217,Grinders!$A:$N,11,FALSE),""))</f>
        <v/>
      </c>
      <c r="AA217" s="40" t="str">
        <f>IF($J217="","",IFERROR(VLOOKUP($J217,Grinders!$A:$N,12,FALSE),""))</f>
        <v/>
      </c>
      <c r="AB217" s="40" t="str">
        <f>IF(OR(AL217=1,AM217=1),0,=IFERROR(IF(OR($C217="",$J217=""),0,IF($D217&lt;&gt;"Open",0,IF(COUNTIFS(GrinderServices!$A:$A,$J217,GrinderServices!$B:$B,$E217,GrinderServices!$D:$D,"Y")=0,0,IF($U217&lt;Config!$B$16,0,IF(Config!$B$18=1,IF($N217&gt;=$M217,0,1),1))))),""))</f>
        <v>#ERROR!</v>
      </c>
      <c r="AC217" s="40" t="str">
        <f>IFERROR((IF(OR(AL217=1,AM217=1),"",=IFERROR((IFERROR(IF($AB217=0,"",((Config!$B$6*$V217 + Config!$B$7*$R217 + Config!$B$8*$W217 + Config!$B$9*$X217 + Config!$B$10*$Y217 + Config!$B$11*$Z217 - Config!$B$12*$AA217)/Config!$B$13)+$AH217+$AI217),""))*(1-IFERROR(VLOOKUP(J217,Grinders!$A:$AB, 28, FALSE),0)),"")))*(1+AO217),"")</f>
        <v>#ERROR!</v>
      </c>
      <c r="AD217" s="40" t="str">
        <f t="shared" si="4"/>
        <v/>
      </c>
      <c r="AE217" s="40" t="str">
        <f>IFERROR(__xludf.DUMMYFUNCTION("IF($AC217="""","""",IF($AC217=IFERROR(MAX(FILTER($AC$6:$AC$1000,$C$6:$C$1000=$C217,$AB$6:$AB$1000=1)),),""WINNER"",""""))"),"#ERROR!")</f>
        <v>#ERROR!</v>
      </c>
      <c r="AF217" s="40" t="str">
        <f t="shared" si="5"/>
        <v/>
      </c>
      <c r="AG217" s="40" t="str">
        <f>IF($J217="","",COUNTIF(Assignments!$B:$B,$J217))</f>
        <v/>
      </c>
      <c r="AH217" s="40" t="str">
        <f>IF($J217="","",IF(AND($AG217=0,$N217&lt;$M217),Config!$B$43,0))</f>
        <v/>
      </c>
      <c r="AI217" s="40" t="str">
        <f>IF($J217="","",IF(AND($L217="Elite",$F217&gt;=Config!$B$41,$N217&lt;$M217),Config!$B$42,0))</f>
        <v/>
      </c>
      <c r="AJ217" s="22"/>
      <c r="AK217" s="39">
        <f>IFERROR(VLOOKUP(J217,Grinders!$A:$Q,28,FALSE),0)</f>
        <v>0</v>
      </c>
      <c r="AL217" s="39">
        <f>IF(Config!$B$1003&lt;&gt;"Y",0,IF(IFERROR(VLOOKUP(J217,Grinders!$A:$P,27,FALSE),0)&gt;=3,IF(OR(F217&gt;=Config!$B$1001,ISNUMBER(SEARCH(E217,Config!$B$1002))),1,0),0))</f>
        <v>0</v>
      </c>
      <c r="AM217" s="39">
        <f t="array" ref="AM217">IFERROR(IF(INDEX(Bids!$AE:$AE,MATCH(B217,Bids!$A:$A,0))="Pending",1,0),0)</f>
        <v>0</v>
      </c>
      <c r="AN217" s="39" t="str">
        <f t="array" ref="AN217">IF(C217="","",IFERROR(XLOOKUP(C217,Assignments!$C:$C,Assignments!$AU:$AU,0),0))</f>
        <v/>
      </c>
      <c r="AO217" s="39">
        <f>IF(AND(Config!$B$1006="Y",AN217=1),Config!$B$1007,0)</f>
        <v>0</v>
      </c>
    </row>
    <row r="218" ht="15.75" customHeight="1">
      <c r="A218" s="46" t="str">
        <f t="shared" si="1"/>
        <v/>
      </c>
      <c r="B218" s="40" t="str">
        <f>IF(Bids!$A218="","",Bids!$A218)</f>
        <v/>
      </c>
      <c r="C218" s="40" t="str">
        <f>IF(Bids!$B218="","",Bids!$B218)</f>
        <v/>
      </c>
      <c r="D218" s="40" t="str">
        <f>IF($C218="","",IFERROR(VLOOKUP($C218,Orders!$A:$J,9,FALSE),""))</f>
        <v/>
      </c>
      <c r="E218" s="40" t="str">
        <f>IF($C218="","",IFERROR(VLOOKUP($C218,Orders!$A:$J,3,FALSE),""))</f>
        <v/>
      </c>
      <c r="F218" s="40" t="str">
        <f>IF($C218="","",IFERROR(VLOOKUP($C218,Orders!$A:$J,4,FALSE),""))</f>
        <v/>
      </c>
      <c r="G218" s="40" t="str">
        <f>IF($C218="","",IFERROR(VLOOKUP($C218,Orders!$A:$J,5,FALSE),""))</f>
        <v/>
      </c>
      <c r="H218" s="40" t="str">
        <f>IF($C218="","",IFERROR(VLOOKUP($C218,Orders!$A:$J,6,FALSE),""))</f>
        <v/>
      </c>
      <c r="I218" s="40" t="str">
        <f>IF($C218="","",IFERROR(VLOOKUP($C218,Orders!$A:$J,7,FALSE),""))</f>
        <v/>
      </c>
      <c r="J218" s="40" t="str">
        <f>IF(Bids!$C218="","",Bids!$C218)</f>
        <v/>
      </c>
      <c r="K218" s="40" t="str">
        <f>IF($J218="","",IFERROR(VLOOKUP($J218,Grinders!$A:$N,2,FALSE),""))</f>
        <v/>
      </c>
      <c r="L218" s="40" t="str">
        <f>IF($J218="","",IFERROR(VLOOKUP($J218,Grinders!$A:$N,3,FALSE),""))</f>
        <v/>
      </c>
      <c r="M218" s="40" t="str">
        <f>IF($J218="","",IFERROR(VLOOKUP($J218,Grinders!$A:$N,4,FALSE),""))</f>
        <v/>
      </c>
      <c r="N218" s="40" t="str">
        <f>IF($J218="","",IFERROR(VLOOKUP($J218,Grinders!$A:$N,5,FALSE),""))</f>
        <v/>
      </c>
      <c r="O218" s="40" t="str">
        <f t="shared" si="2"/>
        <v/>
      </c>
      <c r="P218" s="40" t="str">
        <f>IF($J218="","",IFERROR(VLOOKUP($J218,Grinders!$A:$N,6,FALSE),""))</f>
        <v/>
      </c>
      <c r="Q218" s="40" t="str">
        <f>IF($J218="","",IFERROR(VLOOKUP($J218,Grinders!$A:$N,8,FALSE),""))</f>
        <v/>
      </c>
      <c r="R218" s="40" t="str">
        <f>IFERROR(IF($J218="","",IF($L218="Elite",MAX(50,MIN(100,Config!$B$27*MAX(0,MIN(100,(1-IF($O218="",0,$O218))*100)) + Config!$B$28*MAX(0,MIN(100,(1-MIN(1,IF(Config!$B$30=0,1,$P218/Config!$B$30)))*100)) + Config!$B$29*MAX(0,MIN(100,MIN(1,IF($Q218="",0,$Q218)/Config!$B$23)*100)))),MIN(100,Config!$B$27*MAX(0,MIN(100,(1-IF($O218="",0,$O218))*100)) + Config!$B$28*MAX(0,MIN(100,(1-MIN(1,IF(Config!$B$30=0,1,$P218/Config!$B$30)))*100)) + Config!$B$29*MAX(0,MIN(100,MIN(1,IF($Q218="",0,$Q218)/Config!$B$23)*100))))),"")
</f>
        <v/>
      </c>
      <c r="S218" s="40" t="str">
        <f>IF(Bids!$AC218="","",Bids!$AC218)</f>
        <v/>
      </c>
      <c r="T218" s="40" t="str">
        <f>IF(Bids!$F218="","",Bids!$F218)</f>
        <v/>
      </c>
      <c r="U218" s="40" t="str">
        <f t="shared" si="3"/>
        <v/>
      </c>
      <c r="V218" s="40" t="str">
        <f>IF($U218="","",IF(Config!$B$17=Config!$B$16,IF($U218&gt;=Config!$B$17,100,0),MAX(0,MIN(100,($U218-Config!$B$16)/(Config!$B$17-Config!$B$16)*100))))</f>
        <v/>
      </c>
      <c r="W218" s="40">
        <f>IF($L218="Elite",Config!$B$21,0)</f>
        <v>0</v>
      </c>
      <c r="X218" s="40" t="str">
        <f>IFERROR(IF(OR($T218="",$G218=""),"",IF($T218&gt;$G218,
  MAX(0, 60-(($T218-$G218)*24/Config!$B$19)*60),
  MEDIAN(60, 100, 60+(($G218-$T218)*24/Config!$B$20)*40)
)),"")
</f>
        <v/>
      </c>
      <c r="Y218" s="40" t="str">
        <f>IF($J218="","",IFERROR(VLOOKUP($J218,Grinders!$A:$N,10,FALSE),""))</f>
        <v/>
      </c>
      <c r="Z218" s="40" t="str">
        <f>IF($J218="","",IFERROR(VLOOKUP($J218,Grinders!$A:$N,11,FALSE),""))</f>
        <v/>
      </c>
      <c r="AA218" s="40" t="str">
        <f>IF($J218="","",IFERROR(VLOOKUP($J218,Grinders!$A:$N,12,FALSE),""))</f>
        <v/>
      </c>
      <c r="AB218" s="40" t="str">
        <f>IF(OR(AL218=1,AM218=1),0,=IFERROR(IF(OR($C218="",$J218=""),0,IF($D218&lt;&gt;"Open",0,IF(COUNTIFS(GrinderServices!$A:$A,$J218,GrinderServices!$B:$B,$E218,GrinderServices!$D:$D,"Y")=0,0,IF($U218&lt;Config!$B$16,0,IF(Config!$B$18=1,IF($N218&gt;=$M218,0,1),1))))),""))</f>
        <v>#ERROR!</v>
      </c>
      <c r="AC218" s="40" t="str">
        <f>IFERROR((IF(OR(AL218=1,AM218=1),"",=IFERROR((IFERROR(IF($AB218=0,"",((Config!$B$6*$V218 + Config!$B$7*$R218 + Config!$B$8*$W218 + Config!$B$9*$X218 + Config!$B$10*$Y218 + Config!$B$11*$Z218 - Config!$B$12*$AA218)/Config!$B$13)+$AH218+$AI218),""))*(1-IFERROR(VLOOKUP(J218,Grinders!$A:$AB, 28, FALSE),0)),"")))*(1+AO218),"")</f>
        <v>#ERROR!</v>
      </c>
      <c r="AD218" s="40" t="str">
        <f t="shared" si="4"/>
        <v/>
      </c>
      <c r="AE218" s="40" t="str">
        <f>IFERROR(__xludf.DUMMYFUNCTION("IF($AC218="""","""",IF($AC218=IFERROR(MAX(FILTER($AC$6:$AC$1000,$C$6:$C$1000=$C218,$AB$6:$AB$1000=1)),),""WINNER"",""""))"),"#ERROR!")</f>
        <v>#ERROR!</v>
      </c>
      <c r="AF218" s="40" t="str">
        <f t="shared" si="5"/>
        <v/>
      </c>
      <c r="AG218" s="40" t="str">
        <f>IF($J218="","",COUNTIF(Assignments!$B:$B,$J218))</f>
        <v/>
      </c>
      <c r="AH218" s="40" t="str">
        <f>IF($J218="","",IF(AND($AG218=0,$N218&lt;$M218),Config!$B$43,0))</f>
        <v/>
      </c>
      <c r="AI218" s="40" t="str">
        <f>IF($J218="","",IF(AND($L218="Elite",$F218&gt;=Config!$B$41,$N218&lt;$M218),Config!$B$42,0))</f>
        <v/>
      </c>
      <c r="AJ218" s="22"/>
      <c r="AK218" s="39">
        <f>IFERROR(VLOOKUP(J218,Grinders!$A:$Q,28,FALSE),0)</f>
        <v>0</v>
      </c>
      <c r="AL218" s="39">
        <f>IF(Config!$B$1003&lt;&gt;"Y",0,IF(IFERROR(VLOOKUP(J218,Grinders!$A:$P,27,FALSE),0)&gt;=3,IF(OR(F218&gt;=Config!$B$1001,ISNUMBER(SEARCH(E218,Config!$B$1002))),1,0),0))</f>
        <v>0</v>
      </c>
      <c r="AM218" s="39">
        <f t="array" ref="AM218">IFERROR(IF(INDEX(Bids!$AE:$AE,MATCH(B218,Bids!$A:$A,0))="Pending",1,0),0)</f>
        <v>0</v>
      </c>
      <c r="AN218" s="39" t="str">
        <f t="array" ref="AN218">IF(C218="","",IFERROR(XLOOKUP(C218,Assignments!$C:$C,Assignments!$AU:$AU,0),0))</f>
        <v/>
      </c>
      <c r="AO218" s="39">
        <f>IF(AND(Config!$B$1006="Y",AN218=1),Config!$B$1007,0)</f>
        <v>0</v>
      </c>
    </row>
    <row r="219" ht="15.75" customHeight="1">
      <c r="A219" s="46" t="str">
        <f t="shared" si="1"/>
        <v/>
      </c>
      <c r="B219" s="40" t="str">
        <f>IF(Bids!$A219="","",Bids!$A219)</f>
        <v/>
      </c>
      <c r="C219" s="40" t="str">
        <f>IF(Bids!$B219="","",Bids!$B219)</f>
        <v/>
      </c>
      <c r="D219" s="40" t="str">
        <f>IF($C219="","",IFERROR(VLOOKUP($C219,Orders!$A:$J,9,FALSE),""))</f>
        <v/>
      </c>
      <c r="E219" s="40" t="str">
        <f>IF($C219="","",IFERROR(VLOOKUP($C219,Orders!$A:$J,3,FALSE),""))</f>
        <v/>
      </c>
      <c r="F219" s="40" t="str">
        <f>IF($C219="","",IFERROR(VLOOKUP($C219,Orders!$A:$J,4,FALSE),""))</f>
        <v/>
      </c>
      <c r="G219" s="40" t="str">
        <f>IF($C219="","",IFERROR(VLOOKUP($C219,Orders!$A:$J,5,FALSE),""))</f>
        <v/>
      </c>
      <c r="H219" s="40" t="str">
        <f>IF($C219="","",IFERROR(VLOOKUP($C219,Orders!$A:$J,6,FALSE),""))</f>
        <v/>
      </c>
      <c r="I219" s="40" t="str">
        <f>IF($C219="","",IFERROR(VLOOKUP($C219,Orders!$A:$J,7,FALSE),""))</f>
        <v/>
      </c>
      <c r="J219" s="40" t="str">
        <f>IF(Bids!$C219="","",Bids!$C219)</f>
        <v/>
      </c>
      <c r="K219" s="40" t="str">
        <f>IF($J219="","",IFERROR(VLOOKUP($J219,Grinders!$A:$N,2,FALSE),""))</f>
        <v/>
      </c>
      <c r="L219" s="40" t="str">
        <f>IF($J219="","",IFERROR(VLOOKUP($J219,Grinders!$A:$N,3,FALSE),""))</f>
        <v/>
      </c>
      <c r="M219" s="40" t="str">
        <f>IF($J219="","",IFERROR(VLOOKUP($J219,Grinders!$A:$N,4,FALSE),""))</f>
        <v/>
      </c>
      <c r="N219" s="40" t="str">
        <f>IF($J219="","",IFERROR(VLOOKUP($J219,Grinders!$A:$N,5,FALSE),""))</f>
        <v/>
      </c>
      <c r="O219" s="40" t="str">
        <f t="shared" si="2"/>
        <v/>
      </c>
      <c r="P219" s="40" t="str">
        <f>IF($J219="","",IFERROR(VLOOKUP($J219,Grinders!$A:$N,6,FALSE),""))</f>
        <v/>
      </c>
      <c r="Q219" s="40" t="str">
        <f>IF($J219="","",IFERROR(VLOOKUP($J219,Grinders!$A:$N,8,FALSE),""))</f>
        <v/>
      </c>
      <c r="R219" s="40" t="str">
        <f>IFERROR(IF($J219="","",IF($L219="Elite",MAX(50,MIN(100,Config!$B$27*MAX(0,MIN(100,(1-IF($O219="",0,$O219))*100)) + Config!$B$28*MAX(0,MIN(100,(1-MIN(1,IF(Config!$B$30=0,1,$P219/Config!$B$30)))*100)) + Config!$B$29*MAX(0,MIN(100,MIN(1,IF($Q219="",0,$Q219)/Config!$B$23)*100)))),MIN(100,Config!$B$27*MAX(0,MIN(100,(1-IF($O219="",0,$O219))*100)) + Config!$B$28*MAX(0,MIN(100,(1-MIN(1,IF(Config!$B$30=0,1,$P219/Config!$B$30)))*100)) + Config!$B$29*MAX(0,MIN(100,MIN(1,IF($Q219="",0,$Q219)/Config!$B$23)*100))))),"")
</f>
        <v/>
      </c>
      <c r="S219" s="40" t="str">
        <f>IF(Bids!$AC219="","",Bids!$AC219)</f>
        <v/>
      </c>
      <c r="T219" s="40" t="str">
        <f>IF(Bids!$F219="","",Bids!$F219)</f>
        <v/>
      </c>
      <c r="U219" s="40" t="str">
        <f t="shared" si="3"/>
        <v/>
      </c>
      <c r="V219" s="40" t="str">
        <f>IF($U219="","",IF(Config!$B$17=Config!$B$16,IF($U219&gt;=Config!$B$17,100,0),MAX(0,MIN(100,($U219-Config!$B$16)/(Config!$B$17-Config!$B$16)*100))))</f>
        <v/>
      </c>
      <c r="W219" s="40">
        <f>IF($L219="Elite",Config!$B$21,0)</f>
        <v>0</v>
      </c>
      <c r="X219" s="40" t="str">
        <f>IFERROR(IF(OR($T219="",$G219=""),"",IF($T219&gt;$G219,
  MAX(0, 60-(($T219-$G219)*24/Config!$B$19)*60),
  MEDIAN(60, 100, 60+(($G219-$T219)*24/Config!$B$20)*40)
)),"")
</f>
        <v/>
      </c>
      <c r="Y219" s="40" t="str">
        <f>IF($J219="","",IFERROR(VLOOKUP($J219,Grinders!$A:$N,10,FALSE),""))</f>
        <v/>
      </c>
      <c r="Z219" s="40" t="str">
        <f>IF($J219="","",IFERROR(VLOOKUP($J219,Grinders!$A:$N,11,FALSE),""))</f>
        <v/>
      </c>
      <c r="AA219" s="40" t="str">
        <f>IF($J219="","",IFERROR(VLOOKUP($J219,Grinders!$A:$N,12,FALSE),""))</f>
        <v/>
      </c>
      <c r="AB219" s="40" t="str">
        <f>IF(OR(AL219=1,AM219=1),0,=IFERROR(IF(OR($C219="",$J219=""),0,IF($D219&lt;&gt;"Open",0,IF(COUNTIFS(GrinderServices!$A:$A,$J219,GrinderServices!$B:$B,$E219,GrinderServices!$D:$D,"Y")=0,0,IF($U219&lt;Config!$B$16,0,IF(Config!$B$18=1,IF($N219&gt;=$M219,0,1),1))))),""))</f>
        <v>#ERROR!</v>
      </c>
      <c r="AC219" s="40" t="str">
        <f>IFERROR((IF(OR(AL219=1,AM219=1),"",=IFERROR((IFERROR(IF($AB219=0,"",((Config!$B$6*$V219 + Config!$B$7*$R219 + Config!$B$8*$W219 + Config!$B$9*$X219 + Config!$B$10*$Y219 + Config!$B$11*$Z219 - Config!$B$12*$AA219)/Config!$B$13)+$AH219+$AI219),""))*(1-IFERROR(VLOOKUP(J219,Grinders!$A:$AB, 28, FALSE),0)),"")))*(1+AO219),"")</f>
        <v>#ERROR!</v>
      </c>
      <c r="AD219" s="40" t="str">
        <f t="shared" si="4"/>
        <v/>
      </c>
      <c r="AE219" s="40" t="str">
        <f>IFERROR(__xludf.DUMMYFUNCTION("IF($AC219="""","""",IF($AC219=IFERROR(MAX(FILTER($AC$6:$AC$1000,$C$6:$C$1000=$C219,$AB$6:$AB$1000=1)),),""WINNER"",""""))"),"#ERROR!")</f>
        <v>#ERROR!</v>
      </c>
      <c r="AF219" s="40" t="str">
        <f t="shared" si="5"/>
        <v/>
      </c>
      <c r="AG219" s="40" t="str">
        <f>IF($J219="","",COUNTIF(Assignments!$B:$B,$J219))</f>
        <v/>
      </c>
      <c r="AH219" s="40" t="str">
        <f>IF($J219="","",IF(AND($AG219=0,$N219&lt;$M219),Config!$B$43,0))</f>
        <v/>
      </c>
      <c r="AI219" s="40" t="str">
        <f>IF($J219="","",IF(AND($L219="Elite",$F219&gt;=Config!$B$41,$N219&lt;$M219),Config!$B$42,0))</f>
        <v/>
      </c>
      <c r="AJ219" s="22"/>
      <c r="AK219" s="39">
        <f>IFERROR(VLOOKUP(J219,Grinders!$A:$Q,28,FALSE),0)</f>
        <v>0</v>
      </c>
      <c r="AL219" s="39">
        <f>IF(Config!$B$1003&lt;&gt;"Y",0,IF(IFERROR(VLOOKUP(J219,Grinders!$A:$P,27,FALSE),0)&gt;=3,IF(OR(F219&gt;=Config!$B$1001,ISNUMBER(SEARCH(E219,Config!$B$1002))),1,0),0))</f>
        <v>0</v>
      </c>
      <c r="AM219" s="39">
        <f t="array" ref="AM219">IFERROR(IF(INDEX(Bids!$AE:$AE,MATCH(B219,Bids!$A:$A,0))="Pending",1,0),0)</f>
        <v>0</v>
      </c>
      <c r="AN219" s="39" t="str">
        <f t="array" ref="AN219">IF(C219="","",IFERROR(XLOOKUP(C219,Assignments!$C:$C,Assignments!$AU:$AU,0),0))</f>
        <v/>
      </c>
      <c r="AO219" s="39">
        <f>IF(AND(Config!$B$1006="Y",AN219=1),Config!$B$1007,0)</f>
        <v>0</v>
      </c>
    </row>
    <row r="220" ht="15.75" customHeight="1">
      <c r="A220" s="46" t="str">
        <f t="shared" si="1"/>
        <v/>
      </c>
      <c r="B220" s="40" t="str">
        <f>IF(Bids!$A220="","",Bids!$A220)</f>
        <v/>
      </c>
      <c r="C220" s="40" t="str">
        <f>IF(Bids!$B220="","",Bids!$B220)</f>
        <v/>
      </c>
      <c r="D220" s="40" t="str">
        <f>IF($C220="","",IFERROR(VLOOKUP($C220,Orders!$A:$J,9,FALSE),""))</f>
        <v/>
      </c>
      <c r="E220" s="40" t="str">
        <f>IF($C220="","",IFERROR(VLOOKUP($C220,Orders!$A:$J,3,FALSE),""))</f>
        <v/>
      </c>
      <c r="F220" s="40" t="str">
        <f>IF($C220="","",IFERROR(VLOOKUP($C220,Orders!$A:$J,4,FALSE),""))</f>
        <v/>
      </c>
      <c r="G220" s="40" t="str">
        <f>IF($C220="","",IFERROR(VLOOKUP($C220,Orders!$A:$J,5,FALSE),""))</f>
        <v/>
      </c>
      <c r="H220" s="40" t="str">
        <f>IF($C220="","",IFERROR(VLOOKUP($C220,Orders!$A:$J,6,FALSE),""))</f>
        <v/>
      </c>
      <c r="I220" s="40" t="str">
        <f>IF($C220="","",IFERROR(VLOOKUP($C220,Orders!$A:$J,7,FALSE),""))</f>
        <v/>
      </c>
      <c r="J220" s="40" t="str">
        <f>IF(Bids!$C220="","",Bids!$C220)</f>
        <v/>
      </c>
      <c r="K220" s="40" t="str">
        <f>IF($J220="","",IFERROR(VLOOKUP($J220,Grinders!$A:$N,2,FALSE),""))</f>
        <v/>
      </c>
      <c r="L220" s="40" t="str">
        <f>IF($J220="","",IFERROR(VLOOKUP($J220,Grinders!$A:$N,3,FALSE),""))</f>
        <v/>
      </c>
      <c r="M220" s="40" t="str">
        <f>IF($J220="","",IFERROR(VLOOKUP($J220,Grinders!$A:$N,4,FALSE),""))</f>
        <v/>
      </c>
      <c r="N220" s="40" t="str">
        <f>IF($J220="","",IFERROR(VLOOKUP($J220,Grinders!$A:$N,5,FALSE),""))</f>
        <v/>
      </c>
      <c r="O220" s="40" t="str">
        <f t="shared" si="2"/>
        <v/>
      </c>
      <c r="P220" s="40" t="str">
        <f>IF($J220="","",IFERROR(VLOOKUP($J220,Grinders!$A:$N,6,FALSE),""))</f>
        <v/>
      </c>
      <c r="Q220" s="40" t="str">
        <f>IF($J220="","",IFERROR(VLOOKUP($J220,Grinders!$A:$N,8,FALSE),""))</f>
        <v/>
      </c>
      <c r="R220" s="40" t="str">
        <f>IFERROR(IF($J220="","",IF($L220="Elite",MAX(50,MIN(100,Config!$B$27*MAX(0,MIN(100,(1-IF($O220="",0,$O220))*100)) + Config!$B$28*MAX(0,MIN(100,(1-MIN(1,IF(Config!$B$30=0,1,$P220/Config!$B$30)))*100)) + Config!$B$29*MAX(0,MIN(100,MIN(1,IF($Q220="",0,$Q220)/Config!$B$23)*100)))),MIN(100,Config!$B$27*MAX(0,MIN(100,(1-IF($O220="",0,$O220))*100)) + Config!$B$28*MAX(0,MIN(100,(1-MIN(1,IF(Config!$B$30=0,1,$P220/Config!$B$30)))*100)) + Config!$B$29*MAX(0,MIN(100,MIN(1,IF($Q220="",0,$Q220)/Config!$B$23)*100))))),"")
</f>
        <v/>
      </c>
      <c r="S220" s="40" t="str">
        <f>IF(Bids!$AC220="","",Bids!$AC220)</f>
        <v/>
      </c>
      <c r="T220" s="40" t="str">
        <f>IF(Bids!$F220="","",Bids!$F220)</f>
        <v/>
      </c>
      <c r="U220" s="40" t="str">
        <f t="shared" si="3"/>
        <v/>
      </c>
      <c r="V220" s="40" t="str">
        <f>IF($U220="","",IF(Config!$B$17=Config!$B$16,IF($U220&gt;=Config!$B$17,100,0),MAX(0,MIN(100,($U220-Config!$B$16)/(Config!$B$17-Config!$B$16)*100))))</f>
        <v/>
      </c>
      <c r="W220" s="40">
        <f>IF($L220="Elite",Config!$B$21,0)</f>
        <v>0</v>
      </c>
      <c r="X220" s="40" t="str">
        <f>IFERROR(IF(OR($T220="",$G220=""),"",IF($T220&gt;$G220,
  MAX(0, 60-(($T220-$G220)*24/Config!$B$19)*60),
  MEDIAN(60, 100, 60+(($G220-$T220)*24/Config!$B$20)*40)
)),"")
</f>
        <v/>
      </c>
      <c r="Y220" s="40" t="str">
        <f>IF($J220="","",IFERROR(VLOOKUP($J220,Grinders!$A:$N,10,FALSE),""))</f>
        <v/>
      </c>
      <c r="Z220" s="40" t="str">
        <f>IF($J220="","",IFERROR(VLOOKUP($J220,Grinders!$A:$N,11,FALSE),""))</f>
        <v/>
      </c>
      <c r="AA220" s="40" t="str">
        <f>IF($J220="","",IFERROR(VLOOKUP($J220,Grinders!$A:$N,12,FALSE),""))</f>
        <v/>
      </c>
      <c r="AB220" s="40" t="str">
        <f>IF(OR(AL220=1,AM220=1),0,=IFERROR(IF(OR($C220="",$J220=""),0,IF($D220&lt;&gt;"Open",0,IF(COUNTIFS(GrinderServices!$A:$A,$J220,GrinderServices!$B:$B,$E220,GrinderServices!$D:$D,"Y")=0,0,IF($U220&lt;Config!$B$16,0,IF(Config!$B$18=1,IF($N220&gt;=$M220,0,1),1))))),""))</f>
        <v>#ERROR!</v>
      </c>
      <c r="AC220" s="40" t="str">
        <f>IFERROR((IF(OR(AL220=1,AM220=1),"",=IFERROR((IFERROR(IF($AB220=0,"",((Config!$B$6*$V220 + Config!$B$7*$R220 + Config!$B$8*$W220 + Config!$B$9*$X220 + Config!$B$10*$Y220 + Config!$B$11*$Z220 - Config!$B$12*$AA220)/Config!$B$13)+$AH220+$AI220),""))*(1-IFERROR(VLOOKUP(J220,Grinders!$A:$AB, 28, FALSE),0)),"")))*(1+AO220),"")</f>
        <v>#ERROR!</v>
      </c>
      <c r="AD220" s="40" t="str">
        <f t="shared" si="4"/>
        <v/>
      </c>
      <c r="AE220" s="40" t="str">
        <f>IFERROR(__xludf.DUMMYFUNCTION("IF($AC220="""","""",IF($AC220=IFERROR(MAX(FILTER($AC$6:$AC$1000,$C$6:$C$1000=$C220,$AB$6:$AB$1000=1)),),""WINNER"",""""))"),"#ERROR!")</f>
        <v>#ERROR!</v>
      </c>
      <c r="AF220" s="40" t="str">
        <f t="shared" si="5"/>
        <v/>
      </c>
      <c r="AG220" s="40" t="str">
        <f>IF($J220="","",COUNTIF(Assignments!$B:$B,$J220))</f>
        <v/>
      </c>
      <c r="AH220" s="40" t="str">
        <f>IF($J220="","",IF(AND($AG220=0,$N220&lt;$M220),Config!$B$43,0))</f>
        <v/>
      </c>
      <c r="AI220" s="40" t="str">
        <f>IF($J220="","",IF(AND($L220="Elite",$F220&gt;=Config!$B$41,$N220&lt;$M220),Config!$B$42,0))</f>
        <v/>
      </c>
      <c r="AJ220" s="22"/>
      <c r="AK220" s="39">
        <f>IFERROR(VLOOKUP(J220,Grinders!$A:$Q,28,FALSE),0)</f>
        <v>0</v>
      </c>
      <c r="AL220" s="39">
        <f>IF(Config!$B$1003&lt;&gt;"Y",0,IF(IFERROR(VLOOKUP(J220,Grinders!$A:$P,27,FALSE),0)&gt;=3,IF(OR(F220&gt;=Config!$B$1001,ISNUMBER(SEARCH(E220,Config!$B$1002))),1,0),0))</f>
        <v>0</v>
      </c>
      <c r="AM220" s="39">
        <f t="array" ref="AM220">IFERROR(IF(INDEX(Bids!$AE:$AE,MATCH(B220,Bids!$A:$A,0))="Pending",1,0),0)</f>
        <v>0</v>
      </c>
      <c r="AN220" s="39" t="str">
        <f t="array" ref="AN220">IF(C220="","",IFERROR(XLOOKUP(C220,Assignments!$C:$C,Assignments!$AU:$AU,0),0))</f>
        <v/>
      </c>
      <c r="AO220" s="39">
        <f>IF(AND(Config!$B$1006="Y",AN220=1),Config!$B$1007,0)</f>
        <v>0</v>
      </c>
    </row>
    <row r="221" ht="15.75" customHeight="1">
      <c r="A221" s="46" t="str">
        <f t="shared" si="1"/>
        <v/>
      </c>
      <c r="B221" s="40" t="str">
        <f>IF(Bids!$A221="","",Bids!$A221)</f>
        <v/>
      </c>
      <c r="C221" s="40" t="str">
        <f>IF(Bids!$B221="","",Bids!$B221)</f>
        <v/>
      </c>
      <c r="D221" s="40" t="str">
        <f>IF($C221="","",IFERROR(VLOOKUP($C221,Orders!$A:$J,9,FALSE),""))</f>
        <v/>
      </c>
      <c r="E221" s="40" t="str">
        <f>IF($C221="","",IFERROR(VLOOKUP($C221,Orders!$A:$J,3,FALSE),""))</f>
        <v/>
      </c>
      <c r="F221" s="40" t="str">
        <f>IF($C221="","",IFERROR(VLOOKUP($C221,Orders!$A:$J,4,FALSE),""))</f>
        <v/>
      </c>
      <c r="G221" s="40" t="str">
        <f>IF($C221="","",IFERROR(VLOOKUP($C221,Orders!$A:$J,5,FALSE),""))</f>
        <v/>
      </c>
      <c r="H221" s="40" t="str">
        <f>IF($C221="","",IFERROR(VLOOKUP($C221,Orders!$A:$J,6,FALSE),""))</f>
        <v/>
      </c>
      <c r="I221" s="40" t="str">
        <f>IF($C221="","",IFERROR(VLOOKUP($C221,Orders!$A:$J,7,FALSE),""))</f>
        <v/>
      </c>
      <c r="J221" s="40" t="str">
        <f>IF(Bids!$C221="","",Bids!$C221)</f>
        <v/>
      </c>
      <c r="K221" s="40" t="str">
        <f>IF($J221="","",IFERROR(VLOOKUP($J221,Grinders!$A:$N,2,FALSE),""))</f>
        <v/>
      </c>
      <c r="L221" s="40" t="str">
        <f>IF($J221="","",IFERROR(VLOOKUP($J221,Grinders!$A:$N,3,FALSE),""))</f>
        <v/>
      </c>
      <c r="M221" s="40" t="str">
        <f>IF($J221="","",IFERROR(VLOOKUP($J221,Grinders!$A:$N,4,FALSE),""))</f>
        <v/>
      </c>
      <c r="N221" s="40" t="str">
        <f>IF($J221="","",IFERROR(VLOOKUP($J221,Grinders!$A:$N,5,FALSE),""))</f>
        <v/>
      </c>
      <c r="O221" s="40" t="str">
        <f t="shared" si="2"/>
        <v/>
      </c>
      <c r="P221" s="40" t="str">
        <f>IF($J221="","",IFERROR(VLOOKUP($J221,Grinders!$A:$N,6,FALSE),""))</f>
        <v/>
      </c>
      <c r="Q221" s="40" t="str">
        <f>IF($J221="","",IFERROR(VLOOKUP($J221,Grinders!$A:$N,8,FALSE),""))</f>
        <v/>
      </c>
      <c r="R221" s="40" t="str">
        <f>IFERROR(IF($J221="","",IF($L221="Elite",MAX(50,MIN(100,Config!$B$27*MAX(0,MIN(100,(1-IF($O221="",0,$O221))*100)) + Config!$B$28*MAX(0,MIN(100,(1-MIN(1,IF(Config!$B$30=0,1,$P221/Config!$B$30)))*100)) + Config!$B$29*MAX(0,MIN(100,MIN(1,IF($Q221="",0,$Q221)/Config!$B$23)*100)))),MIN(100,Config!$B$27*MAX(0,MIN(100,(1-IF($O221="",0,$O221))*100)) + Config!$B$28*MAX(0,MIN(100,(1-MIN(1,IF(Config!$B$30=0,1,$P221/Config!$B$30)))*100)) + Config!$B$29*MAX(0,MIN(100,MIN(1,IF($Q221="",0,$Q221)/Config!$B$23)*100))))),"")
</f>
        <v/>
      </c>
      <c r="S221" s="40" t="str">
        <f>IF(Bids!$AC221="","",Bids!$AC221)</f>
        <v/>
      </c>
      <c r="T221" s="40" t="str">
        <f>IF(Bids!$F221="","",Bids!$F221)</f>
        <v/>
      </c>
      <c r="U221" s="40" t="str">
        <f t="shared" si="3"/>
        <v/>
      </c>
      <c r="V221" s="40" t="str">
        <f>IF($U221="","",IF(Config!$B$17=Config!$B$16,IF($U221&gt;=Config!$B$17,100,0),MAX(0,MIN(100,($U221-Config!$B$16)/(Config!$B$17-Config!$B$16)*100))))</f>
        <v/>
      </c>
      <c r="W221" s="40">
        <f>IF($L221="Elite",Config!$B$21,0)</f>
        <v>0</v>
      </c>
      <c r="X221" s="40" t="str">
        <f>IFERROR(IF(OR($T221="",$G221=""),"",IF($T221&gt;$G221,
  MAX(0, 60-(($T221-$G221)*24/Config!$B$19)*60),
  MEDIAN(60, 100, 60+(($G221-$T221)*24/Config!$B$20)*40)
)),"")
</f>
        <v/>
      </c>
      <c r="Y221" s="40" t="str">
        <f>IF($J221="","",IFERROR(VLOOKUP($J221,Grinders!$A:$N,10,FALSE),""))</f>
        <v/>
      </c>
      <c r="Z221" s="40" t="str">
        <f>IF($J221="","",IFERROR(VLOOKUP($J221,Grinders!$A:$N,11,FALSE),""))</f>
        <v/>
      </c>
      <c r="AA221" s="40" t="str">
        <f>IF($J221="","",IFERROR(VLOOKUP($J221,Grinders!$A:$N,12,FALSE),""))</f>
        <v/>
      </c>
      <c r="AB221" s="40" t="str">
        <f>IF(OR(AL221=1,AM221=1),0,=IFERROR(IF(OR($C221="",$J221=""),0,IF($D221&lt;&gt;"Open",0,IF(COUNTIFS(GrinderServices!$A:$A,$J221,GrinderServices!$B:$B,$E221,GrinderServices!$D:$D,"Y")=0,0,IF($U221&lt;Config!$B$16,0,IF(Config!$B$18=1,IF($N221&gt;=$M221,0,1),1))))),""))</f>
        <v>#ERROR!</v>
      </c>
      <c r="AC221" s="40" t="str">
        <f>IFERROR((IF(OR(AL221=1,AM221=1),"",=IFERROR((IFERROR(IF($AB221=0,"",((Config!$B$6*$V221 + Config!$B$7*$R221 + Config!$B$8*$W221 + Config!$B$9*$X221 + Config!$B$10*$Y221 + Config!$B$11*$Z221 - Config!$B$12*$AA221)/Config!$B$13)+$AH221+$AI221),""))*(1-IFERROR(VLOOKUP(J221,Grinders!$A:$AB, 28, FALSE),0)),"")))*(1+AO221),"")</f>
        <v>#ERROR!</v>
      </c>
      <c r="AD221" s="40" t="str">
        <f t="shared" si="4"/>
        <v/>
      </c>
      <c r="AE221" s="40" t="str">
        <f>IFERROR(__xludf.DUMMYFUNCTION("IF($AC221="""","""",IF($AC221=IFERROR(MAX(FILTER($AC$6:$AC$1000,$C$6:$C$1000=$C221,$AB$6:$AB$1000=1)),),""WINNER"",""""))"),"#ERROR!")</f>
        <v>#ERROR!</v>
      </c>
      <c r="AF221" s="40" t="str">
        <f t="shared" si="5"/>
        <v/>
      </c>
      <c r="AG221" s="40" t="str">
        <f>IF($J221="","",COUNTIF(Assignments!$B:$B,$J221))</f>
        <v/>
      </c>
      <c r="AH221" s="40" t="str">
        <f>IF($J221="","",IF(AND($AG221=0,$N221&lt;$M221),Config!$B$43,0))</f>
        <v/>
      </c>
      <c r="AI221" s="40" t="str">
        <f>IF($J221="","",IF(AND($L221="Elite",$F221&gt;=Config!$B$41,$N221&lt;$M221),Config!$B$42,0))</f>
        <v/>
      </c>
      <c r="AJ221" s="22"/>
      <c r="AK221" s="39">
        <f>IFERROR(VLOOKUP(J221,Grinders!$A:$Q,28,FALSE),0)</f>
        <v>0</v>
      </c>
      <c r="AL221" s="39">
        <f>IF(Config!$B$1003&lt;&gt;"Y",0,IF(IFERROR(VLOOKUP(J221,Grinders!$A:$P,27,FALSE),0)&gt;=3,IF(OR(F221&gt;=Config!$B$1001,ISNUMBER(SEARCH(E221,Config!$B$1002))),1,0),0))</f>
        <v>0</v>
      </c>
      <c r="AM221" s="39">
        <f t="array" ref="AM221">IFERROR(IF(INDEX(Bids!$AE:$AE,MATCH(B221,Bids!$A:$A,0))="Pending",1,0),0)</f>
        <v>0</v>
      </c>
      <c r="AN221" s="39" t="str">
        <f t="array" ref="AN221">IF(C221="","",IFERROR(XLOOKUP(C221,Assignments!$C:$C,Assignments!$AU:$AU,0),0))</f>
        <v/>
      </c>
      <c r="AO221" s="39">
        <f>IF(AND(Config!$B$1006="Y",AN221=1),Config!$B$1007,0)</f>
        <v>0</v>
      </c>
    </row>
    <row r="222" ht="15.75" customHeight="1">
      <c r="A222" s="46" t="str">
        <f t="shared" si="1"/>
        <v/>
      </c>
      <c r="B222" s="40" t="str">
        <f>IF(Bids!$A222="","",Bids!$A222)</f>
        <v/>
      </c>
      <c r="C222" s="40" t="str">
        <f>IF(Bids!$B222="","",Bids!$B222)</f>
        <v/>
      </c>
      <c r="D222" s="40" t="str">
        <f>IF($C222="","",IFERROR(VLOOKUP($C222,Orders!$A:$J,9,FALSE),""))</f>
        <v/>
      </c>
      <c r="E222" s="40" t="str">
        <f>IF($C222="","",IFERROR(VLOOKUP($C222,Orders!$A:$J,3,FALSE),""))</f>
        <v/>
      </c>
      <c r="F222" s="40" t="str">
        <f>IF($C222="","",IFERROR(VLOOKUP($C222,Orders!$A:$J,4,FALSE),""))</f>
        <v/>
      </c>
      <c r="G222" s="40" t="str">
        <f>IF($C222="","",IFERROR(VLOOKUP($C222,Orders!$A:$J,5,FALSE),""))</f>
        <v/>
      </c>
      <c r="H222" s="40" t="str">
        <f>IF($C222="","",IFERROR(VLOOKUP($C222,Orders!$A:$J,6,FALSE),""))</f>
        <v/>
      </c>
      <c r="I222" s="40" t="str">
        <f>IF($C222="","",IFERROR(VLOOKUP($C222,Orders!$A:$J,7,FALSE),""))</f>
        <v/>
      </c>
      <c r="J222" s="40" t="str">
        <f>IF(Bids!$C222="","",Bids!$C222)</f>
        <v/>
      </c>
      <c r="K222" s="40" t="str">
        <f>IF($J222="","",IFERROR(VLOOKUP($J222,Grinders!$A:$N,2,FALSE),""))</f>
        <v/>
      </c>
      <c r="L222" s="40" t="str">
        <f>IF($J222="","",IFERROR(VLOOKUP($J222,Grinders!$A:$N,3,FALSE),""))</f>
        <v/>
      </c>
      <c r="M222" s="40" t="str">
        <f>IF($J222="","",IFERROR(VLOOKUP($J222,Grinders!$A:$N,4,FALSE),""))</f>
        <v/>
      </c>
      <c r="N222" s="40" t="str">
        <f>IF($J222="","",IFERROR(VLOOKUP($J222,Grinders!$A:$N,5,FALSE),""))</f>
        <v/>
      </c>
      <c r="O222" s="40" t="str">
        <f t="shared" si="2"/>
        <v/>
      </c>
      <c r="P222" s="40" t="str">
        <f>IF($J222="","",IFERROR(VLOOKUP($J222,Grinders!$A:$N,6,FALSE),""))</f>
        <v/>
      </c>
      <c r="Q222" s="40" t="str">
        <f>IF($J222="","",IFERROR(VLOOKUP($J222,Grinders!$A:$N,8,FALSE),""))</f>
        <v/>
      </c>
      <c r="R222" s="40" t="str">
        <f>IFERROR(IF($J222="","",IF($L222="Elite",MAX(50,MIN(100,Config!$B$27*MAX(0,MIN(100,(1-IF($O222="",0,$O222))*100)) + Config!$B$28*MAX(0,MIN(100,(1-MIN(1,IF(Config!$B$30=0,1,$P222/Config!$B$30)))*100)) + Config!$B$29*MAX(0,MIN(100,MIN(1,IF($Q222="",0,$Q222)/Config!$B$23)*100)))),MIN(100,Config!$B$27*MAX(0,MIN(100,(1-IF($O222="",0,$O222))*100)) + Config!$B$28*MAX(0,MIN(100,(1-MIN(1,IF(Config!$B$30=0,1,$P222/Config!$B$30)))*100)) + Config!$B$29*MAX(0,MIN(100,MIN(1,IF($Q222="",0,$Q222)/Config!$B$23)*100))))),"")
</f>
        <v/>
      </c>
      <c r="S222" s="40" t="str">
        <f>IF(Bids!$AC222="","",Bids!$AC222)</f>
        <v/>
      </c>
      <c r="T222" s="40" t="str">
        <f>IF(Bids!$F222="","",Bids!$F222)</f>
        <v/>
      </c>
      <c r="U222" s="40" t="str">
        <f t="shared" si="3"/>
        <v/>
      </c>
      <c r="V222" s="40" t="str">
        <f>IF($U222="","",IF(Config!$B$17=Config!$B$16,IF($U222&gt;=Config!$B$17,100,0),MAX(0,MIN(100,($U222-Config!$B$16)/(Config!$B$17-Config!$B$16)*100))))</f>
        <v/>
      </c>
      <c r="W222" s="40">
        <f>IF($L222="Elite",Config!$B$21,0)</f>
        <v>0</v>
      </c>
      <c r="X222" s="40" t="str">
        <f>IFERROR(IF(OR($T222="",$G222=""),"",IF($T222&gt;$G222,
  MAX(0, 60-(($T222-$G222)*24/Config!$B$19)*60),
  MEDIAN(60, 100, 60+(($G222-$T222)*24/Config!$B$20)*40)
)),"")
</f>
        <v/>
      </c>
      <c r="Y222" s="40" t="str">
        <f>IF($J222="","",IFERROR(VLOOKUP($J222,Grinders!$A:$N,10,FALSE),""))</f>
        <v/>
      </c>
      <c r="Z222" s="40" t="str">
        <f>IF($J222="","",IFERROR(VLOOKUP($J222,Grinders!$A:$N,11,FALSE),""))</f>
        <v/>
      </c>
      <c r="AA222" s="40" t="str">
        <f>IF($J222="","",IFERROR(VLOOKUP($J222,Grinders!$A:$N,12,FALSE),""))</f>
        <v/>
      </c>
      <c r="AB222" s="40" t="str">
        <f>IF(OR(AL222=1,AM222=1),0,=IFERROR(IF(OR($C222="",$J222=""),0,IF($D222&lt;&gt;"Open",0,IF(COUNTIFS(GrinderServices!$A:$A,$J222,GrinderServices!$B:$B,$E222,GrinderServices!$D:$D,"Y")=0,0,IF($U222&lt;Config!$B$16,0,IF(Config!$B$18=1,IF($N222&gt;=$M222,0,1),1))))),""))</f>
        <v>#ERROR!</v>
      </c>
      <c r="AC222" s="40" t="str">
        <f>IFERROR((IF(OR(AL222=1,AM222=1),"",=IFERROR((IFERROR(IF($AB222=0,"",((Config!$B$6*$V222 + Config!$B$7*$R222 + Config!$B$8*$W222 + Config!$B$9*$X222 + Config!$B$10*$Y222 + Config!$B$11*$Z222 - Config!$B$12*$AA222)/Config!$B$13)+$AH222+$AI222),""))*(1-IFERROR(VLOOKUP(J222,Grinders!$A:$AB, 28, FALSE),0)),"")))*(1+AO222),"")</f>
        <v>#ERROR!</v>
      </c>
      <c r="AD222" s="40" t="str">
        <f t="shared" si="4"/>
        <v/>
      </c>
      <c r="AE222" s="40" t="str">
        <f>IFERROR(__xludf.DUMMYFUNCTION("IF($AC222="""","""",IF($AC222=IFERROR(MAX(FILTER($AC$6:$AC$1000,$C$6:$C$1000=$C222,$AB$6:$AB$1000=1)),),""WINNER"",""""))"),"#ERROR!")</f>
        <v>#ERROR!</v>
      </c>
      <c r="AF222" s="40" t="str">
        <f t="shared" si="5"/>
        <v/>
      </c>
      <c r="AG222" s="40" t="str">
        <f>IF($J222="","",COUNTIF(Assignments!$B:$B,$J222))</f>
        <v/>
      </c>
      <c r="AH222" s="40" t="str">
        <f>IF($J222="","",IF(AND($AG222=0,$N222&lt;$M222),Config!$B$43,0))</f>
        <v/>
      </c>
      <c r="AI222" s="40" t="str">
        <f>IF($J222="","",IF(AND($L222="Elite",$F222&gt;=Config!$B$41,$N222&lt;$M222),Config!$B$42,0))</f>
        <v/>
      </c>
      <c r="AJ222" s="22"/>
      <c r="AK222" s="39">
        <f>IFERROR(VLOOKUP(J222,Grinders!$A:$Q,28,FALSE),0)</f>
        <v>0</v>
      </c>
      <c r="AL222" s="39">
        <f>IF(Config!$B$1003&lt;&gt;"Y",0,IF(IFERROR(VLOOKUP(J222,Grinders!$A:$P,27,FALSE),0)&gt;=3,IF(OR(F222&gt;=Config!$B$1001,ISNUMBER(SEARCH(E222,Config!$B$1002))),1,0),0))</f>
        <v>0</v>
      </c>
      <c r="AM222" s="39">
        <f t="array" ref="AM222">IFERROR(IF(INDEX(Bids!$AE:$AE,MATCH(B222,Bids!$A:$A,0))="Pending",1,0),0)</f>
        <v>0</v>
      </c>
      <c r="AN222" s="39" t="str">
        <f t="array" ref="AN222">IF(C222="","",IFERROR(XLOOKUP(C222,Assignments!$C:$C,Assignments!$AU:$AU,0),0))</f>
        <v/>
      </c>
      <c r="AO222" s="39">
        <f>IF(AND(Config!$B$1006="Y",AN222=1),Config!$B$1007,0)</f>
        <v>0</v>
      </c>
    </row>
    <row r="223" ht="15.75" customHeight="1">
      <c r="A223" s="46" t="str">
        <f t="shared" si="1"/>
        <v/>
      </c>
      <c r="B223" s="40" t="str">
        <f>IF(Bids!$A223="","",Bids!$A223)</f>
        <v/>
      </c>
      <c r="C223" s="40" t="str">
        <f>IF(Bids!$B223="","",Bids!$B223)</f>
        <v/>
      </c>
      <c r="D223" s="40" t="str">
        <f>IF($C223="","",IFERROR(VLOOKUP($C223,Orders!$A:$J,9,FALSE),""))</f>
        <v/>
      </c>
      <c r="E223" s="40" t="str">
        <f>IF($C223="","",IFERROR(VLOOKUP($C223,Orders!$A:$J,3,FALSE),""))</f>
        <v/>
      </c>
      <c r="F223" s="40" t="str">
        <f>IF($C223="","",IFERROR(VLOOKUP($C223,Orders!$A:$J,4,FALSE),""))</f>
        <v/>
      </c>
      <c r="G223" s="40" t="str">
        <f>IF($C223="","",IFERROR(VLOOKUP($C223,Orders!$A:$J,5,FALSE),""))</f>
        <v/>
      </c>
      <c r="H223" s="40" t="str">
        <f>IF($C223="","",IFERROR(VLOOKUP($C223,Orders!$A:$J,6,FALSE),""))</f>
        <v/>
      </c>
      <c r="I223" s="40" t="str">
        <f>IF($C223="","",IFERROR(VLOOKUP($C223,Orders!$A:$J,7,FALSE),""))</f>
        <v/>
      </c>
      <c r="J223" s="40" t="str">
        <f>IF(Bids!$C223="","",Bids!$C223)</f>
        <v/>
      </c>
      <c r="K223" s="40" t="str">
        <f>IF($J223="","",IFERROR(VLOOKUP($J223,Grinders!$A:$N,2,FALSE),""))</f>
        <v/>
      </c>
      <c r="L223" s="40" t="str">
        <f>IF($J223="","",IFERROR(VLOOKUP($J223,Grinders!$A:$N,3,FALSE),""))</f>
        <v/>
      </c>
      <c r="M223" s="40" t="str">
        <f>IF($J223="","",IFERROR(VLOOKUP($J223,Grinders!$A:$N,4,FALSE),""))</f>
        <v/>
      </c>
      <c r="N223" s="40" t="str">
        <f>IF($J223="","",IFERROR(VLOOKUP($J223,Grinders!$A:$N,5,FALSE),""))</f>
        <v/>
      </c>
      <c r="O223" s="40" t="str">
        <f t="shared" si="2"/>
        <v/>
      </c>
      <c r="P223" s="40" t="str">
        <f>IF($J223="","",IFERROR(VLOOKUP($J223,Grinders!$A:$N,6,FALSE),""))</f>
        <v/>
      </c>
      <c r="Q223" s="40" t="str">
        <f>IF($J223="","",IFERROR(VLOOKUP($J223,Grinders!$A:$N,8,FALSE),""))</f>
        <v/>
      </c>
      <c r="R223" s="40" t="str">
        <f>IFERROR(IF($J223="","",IF($L223="Elite",MAX(50,MIN(100,Config!$B$27*MAX(0,MIN(100,(1-IF($O223="",0,$O223))*100)) + Config!$B$28*MAX(0,MIN(100,(1-MIN(1,IF(Config!$B$30=0,1,$P223/Config!$B$30)))*100)) + Config!$B$29*MAX(0,MIN(100,MIN(1,IF($Q223="",0,$Q223)/Config!$B$23)*100)))),MIN(100,Config!$B$27*MAX(0,MIN(100,(1-IF($O223="",0,$O223))*100)) + Config!$B$28*MAX(0,MIN(100,(1-MIN(1,IF(Config!$B$30=0,1,$P223/Config!$B$30)))*100)) + Config!$B$29*MAX(0,MIN(100,MIN(1,IF($Q223="",0,$Q223)/Config!$B$23)*100))))),"")
</f>
        <v/>
      </c>
      <c r="S223" s="40" t="str">
        <f>IF(Bids!$AC223="","",Bids!$AC223)</f>
        <v/>
      </c>
      <c r="T223" s="40" t="str">
        <f>IF(Bids!$F223="","",Bids!$F223)</f>
        <v/>
      </c>
      <c r="U223" s="40" t="str">
        <f t="shared" si="3"/>
        <v/>
      </c>
      <c r="V223" s="40" t="str">
        <f>IF($U223="","",IF(Config!$B$17=Config!$B$16,IF($U223&gt;=Config!$B$17,100,0),MAX(0,MIN(100,($U223-Config!$B$16)/(Config!$B$17-Config!$B$16)*100))))</f>
        <v/>
      </c>
      <c r="W223" s="40">
        <f>IF($L223="Elite",Config!$B$21,0)</f>
        <v>0</v>
      </c>
      <c r="X223" s="40" t="str">
        <f>IFERROR(IF(OR($T223="",$G223=""),"",IF($T223&gt;$G223,
  MAX(0, 60-(($T223-$G223)*24/Config!$B$19)*60),
  MEDIAN(60, 100, 60+(($G223-$T223)*24/Config!$B$20)*40)
)),"")
</f>
        <v/>
      </c>
      <c r="Y223" s="40" t="str">
        <f>IF($J223="","",IFERROR(VLOOKUP($J223,Grinders!$A:$N,10,FALSE),""))</f>
        <v/>
      </c>
      <c r="Z223" s="40" t="str">
        <f>IF($J223="","",IFERROR(VLOOKUP($J223,Grinders!$A:$N,11,FALSE),""))</f>
        <v/>
      </c>
      <c r="AA223" s="40" t="str">
        <f>IF($J223="","",IFERROR(VLOOKUP($J223,Grinders!$A:$N,12,FALSE),""))</f>
        <v/>
      </c>
      <c r="AB223" s="40" t="str">
        <f>IF(OR(AL223=1,AM223=1),0,=IFERROR(IF(OR($C223="",$J223=""),0,IF($D223&lt;&gt;"Open",0,IF(COUNTIFS(GrinderServices!$A:$A,$J223,GrinderServices!$B:$B,$E223,GrinderServices!$D:$D,"Y")=0,0,IF($U223&lt;Config!$B$16,0,IF(Config!$B$18=1,IF($N223&gt;=$M223,0,1),1))))),""))</f>
        <v>#ERROR!</v>
      </c>
      <c r="AC223" s="40" t="str">
        <f>IFERROR((IF(OR(AL223=1,AM223=1),"",=IFERROR((IFERROR(IF($AB223=0,"",((Config!$B$6*$V223 + Config!$B$7*$R223 + Config!$B$8*$W223 + Config!$B$9*$X223 + Config!$B$10*$Y223 + Config!$B$11*$Z223 - Config!$B$12*$AA223)/Config!$B$13)+$AH223+$AI223),""))*(1-IFERROR(VLOOKUP(J223,Grinders!$A:$AB, 28, FALSE),0)),"")))*(1+AO223),"")</f>
        <v>#ERROR!</v>
      </c>
      <c r="AD223" s="40" t="str">
        <f t="shared" si="4"/>
        <v/>
      </c>
      <c r="AE223" s="40" t="str">
        <f>IFERROR(__xludf.DUMMYFUNCTION("IF($AC223="""","""",IF($AC223=IFERROR(MAX(FILTER($AC$6:$AC$1000,$C$6:$C$1000=$C223,$AB$6:$AB$1000=1)),),""WINNER"",""""))"),"#ERROR!")</f>
        <v>#ERROR!</v>
      </c>
      <c r="AF223" s="40" t="str">
        <f t="shared" si="5"/>
        <v/>
      </c>
      <c r="AG223" s="40" t="str">
        <f>IF($J223="","",COUNTIF(Assignments!$B:$B,$J223))</f>
        <v/>
      </c>
      <c r="AH223" s="40" t="str">
        <f>IF($J223="","",IF(AND($AG223=0,$N223&lt;$M223),Config!$B$43,0))</f>
        <v/>
      </c>
      <c r="AI223" s="40" t="str">
        <f>IF($J223="","",IF(AND($L223="Elite",$F223&gt;=Config!$B$41,$N223&lt;$M223),Config!$B$42,0))</f>
        <v/>
      </c>
      <c r="AJ223" s="22"/>
      <c r="AK223" s="39">
        <f>IFERROR(VLOOKUP(J223,Grinders!$A:$Q,28,FALSE),0)</f>
        <v>0</v>
      </c>
      <c r="AL223" s="39">
        <f>IF(Config!$B$1003&lt;&gt;"Y",0,IF(IFERROR(VLOOKUP(J223,Grinders!$A:$P,27,FALSE),0)&gt;=3,IF(OR(F223&gt;=Config!$B$1001,ISNUMBER(SEARCH(E223,Config!$B$1002))),1,0),0))</f>
        <v>0</v>
      </c>
      <c r="AM223" s="39">
        <f t="array" ref="AM223">IFERROR(IF(INDEX(Bids!$AE:$AE,MATCH(B223,Bids!$A:$A,0))="Pending",1,0),0)</f>
        <v>0</v>
      </c>
      <c r="AN223" s="39" t="str">
        <f t="array" ref="AN223">IF(C223="","",IFERROR(XLOOKUP(C223,Assignments!$C:$C,Assignments!$AU:$AU,0),0))</f>
        <v/>
      </c>
      <c r="AO223" s="39">
        <f>IF(AND(Config!$B$1006="Y",AN223=1),Config!$B$1007,0)</f>
        <v>0</v>
      </c>
    </row>
    <row r="224" ht="15.75" customHeight="1">
      <c r="A224" s="46" t="str">
        <f t="shared" si="1"/>
        <v/>
      </c>
      <c r="B224" s="40" t="str">
        <f>IF(Bids!$A224="","",Bids!$A224)</f>
        <v/>
      </c>
      <c r="C224" s="40" t="str">
        <f>IF(Bids!$B224="","",Bids!$B224)</f>
        <v/>
      </c>
      <c r="D224" s="40" t="str">
        <f>IF($C224="","",IFERROR(VLOOKUP($C224,Orders!$A:$J,9,FALSE),""))</f>
        <v/>
      </c>
      <c r="E224" s="40" t="str">
        <f>IF($C224="","",IFERROR(VLOOKUP($C224,Orders!$A:$J,3,FALSE),""))</f>
        <v/>
      </c>
      <c r="F224" s="40" t="str">
        <f>IF($C224="","",IFERROR(VLOOKUP($C224,Orders!$A:$J,4,FALSE),""))</f>
        <v/>
      </c>
      <c r="G224" s="40" t="str">
        <f>IF($C224="","",IFERROR(VLOOKUP($C224,Orders!$A:$J,5,FALSE),""))</f>
        <v/>
      </c>
      <c r="H224" s="40" t="str">
        <f>IF($C224="","",IFERROR(VLOOKUP($C224,Orders!$A:$J,6,FALSE),""))</f>
        <v/>
      </c>
      <c r="I224" s="40" t="str">
        <f>IF($C224="","",IFERROR(VLOOKUP($C224,Orders!$A:$J,7,FALSE),""))</f>
        <v/>
      </c>
      <c r="J224" s="40" t="str">
        <f>IF(Bids!$C224="","",Bids!$C224)</f>
        <v/>
      </c>
      <c r="K224" s="40" t="str">
        <f>IF($J224="","",IFERROR(VLOOKUP($J224,Grinders!$A:$N,2,FALSE),""))</f>
        <v/>
      </c>
      <c r="L224" s="40" t="str">
        <f>IF($J224="","",IFERROR(VLOOKUP($J224,Grinders!$A:$N,3,FALSE),""))</f>
        <v/>
      </c>
      <c r="M224" s="40" t="str">
        <f>IF($J224="","",IFERROR(VLOOKUP($J224,Grinders!$A:$N,4,FALSE),""))</f>
        <v/>
      </c>
      <c r="N224" s="40" t="str">
        <f>IF($J224="","",IFERROR(VLOOKUP($J224,Grinders!$A:$N,5,FALSE),""))</f>
        <v/>
      </c>
      <c r="O224" s="40" t="str">
        <f t="shared" si="2"/>
        <v/>
      </c>
      <c r="P224" s="40" t="str">
        <f>IF($J224="","",IFERROR(VLOOKUP($J224,Grinders!$A:$N,6,FALSE),""))</f>
        <v/>
      </c>
      <c r="Q224" s="40" t="str">
        <f>IF($J224="","",IFERROR(VLOOKUP($J224,Grinders!$A:$N,8,FALSE),""))</f>
        <v/>
      </c>
      <c r="R224" s="40" t="str">
        <f>IFERROR(IF($J224="","",IF($L224="Elite",MAX(50,MIN(100,Config!$B$27*MAX(0,MIN(100,(1-IF($O224="",0,$O224))*100)) + Config!$B$28*MAX(0,MIN(100,(1-MIN(1,IF(Config!$B$30=0,1,$P224/Config!$B$30)))*100)) + Config!$B$29*MAX(0,MIN(100,MIN(1,IF($Q224="",0,$Q224)/Config!$B$23)*100)))),MIN(100,Config!$B$27*MAX(0,MIN(100,(1-IF($O224="",0,$O224))*100)) + Config!$B$28*MAX(0,MIN(100,(1-MIN(1,IF(Config!$B$30=0,1,$P224/Config!$B$30)))*100)) + Config!$B$29*MAX(0,MIN(100,MIN(1,IF($Q224="",0,$Q224)/Config!$B$23)*100))))),"")
</f>
        <v/>
      </c>
      <c r="S224" s="40" t="str">
        <f>IF(Bids!$AC224="","",Bids!$AC224)</f>
        <v/>
      </c>
      <c r="T224" s="40" t="str">
        <f>IF(Bids!$F224="","",Bids!$F224)</f>
        <v/>
      </c>
      <c r="U224" s="40" t="str">
        <f t="shared" si="3"/>
        <v/>
      </c>
      <c r="V224" s="40" t="str">
        <f>IF($U224="","",IF(Config!$B$17=Config!$B$16,IF($U224&gt;=Config!$B$17,100,0),MAX(0,MIN(100,($U224-Config!$B$16)/(Config!$B$17-Config!$B$16)*100))))</f>
        <v/>
      </c>
      <c r="W224" s="40">
        <f>IF($L224="Elite",Config!$B$21,0)</f>
        <v>0</v>
      </c>
      <c r="X224" s="40" t="str">
        <f>IFERROR(IF(OR($T224="",$G224=""),"",IF($T224&gt;$G224,
  MAX(0, 60-(($T224-$G224)*24/Config!$B$19)*60),
  MEDIAN(60, 100, 60+(($G224-$T224)*24/Config!$B$20)*40)
)),"")
</f>
        <v/>
      </c>
      <c r="Y224" s="40" t="str">
        <f>IF($J224="","",IFERROR(VLOOKUP($J224,Grinders!$A:$N,10,FALSE),""))</f>
        <v/>
      </c>
      <c r="Z224" s="40" t="str">
        <f>IF($J224="","",IFERROR(VLOOKUP($J224,Grinders!$A:$N,11,FALSE),""))</f>
        <v/>
      </c>
      <c r="AA224" s="40" t="str">
        <f>IF($J224="","",IFERROR(VLOOKUP($J224,Grinders!$A:$N,12,FALSE),""))</f>
        <v/>
      </c>
      <c r="AB224" s="40" t="str">
        <f>IF(OR(AL224=1,AM224=1),0,=IFERROR(IF(OR($C224="",$J224=""),0,IF($D224&lt;&gt;"Open",0,IF(COUNTIFS(GrinderServices!$A:$A,$J224,GrinderServices!$B:$B,$E224,GrinderServices!$D:$D,"Y")=0,0,IF($U224&lt;Config!$B$16,0,IF(Config!$B$18=1,IF($N224&gt;=$M224,0,1),1))))),""))</f>
        <v>#ERROR!</v>
      </c>
      <c r="AC224" s="40" t="str">
        <f>IFERROR((IF(OR(AL224=1,AM224=1),"",=IFERROR((IFERROR(IF($AB224=0,"",((Config!$B$6*$V224 + Config!$B$7*$R224 + Config!$B$8*$W224 + Config!$B$9*$X224 + Config!$B$10*$Y224 + Config!$B$11*$Z224 - Config!$B$12*$AA224)/Config!$B$13)+$AH224+$AI224),""))*(1-IFERROR(VLOOKUP(J224,Grinders!$A:$AB, 28, FALSE),0)),"")))*(1+AO224),"")</f>
        <v>#ERROR!</v>
      </c>
      <c r="AD224" s="40" t="str">
        <f t="shared" si="4"/>
        <v/>
      </c>
      <c r="AE224" s="40" t="str">
        <f>IFERROR(__xludf.DUMMYFUNCTION("IF($AC224="""","""",IF($AC224=IFERROR(MAX(FILTER($AC$6:$AC$1000,$C$6:$C$1000=$C224,$AB$6:$AB$1000=1)),),""WINNER"",""""))"),"#ERROR!")</f>
        <v>#ERROR!</v>
      </c>
      <c r="AF224" s="40" t="str">
        <f t="shared" si="5"/>
        <v/>
      </c>
      <c r="AG224" s="40" t="str">
        <f>IF($J224="","",COUNTIF(Assignments!$B:$B,$J224))</f>
        <v/>
      </c>
      <c r="AH224" s="40" t="str">
        <f>IF($J224="","",IF(AND($AG224=0,$N224&lt;$M224),Config!$B$43,0))</f>
        <v/>
      </c>
      <c r="AI224" s="40" t="str">
        <f>IF($J224="","",IF(AND($L224="Elite",$F224&gt;=Config!$B$41,$N224&lt;$M224),Config!$B$42,0))</f>
        <v/>
      </c>
      <c r="AJ224" s="22"/>
      <c r="AK224" s="39">
        <f>IFERROR(VLOOKUP(J224,Grinders!$A:$Q,28,FALSE),0)</f>
        <v>0</v>
      </c>
      <c r="AL224" s="39">
        <f>IF(Config!$B$1003&lt;&gt;"Y",0,IF(IFERROR(VLOOKUP(J224,Grinders!$A:$P,27,FALSE),0)&gt;=3,IF(OR(F224&gt;=Config!$B$1001,ISNUMBER(SEARCH(E224,Config!$B$1002))),1,0),0))</f>
        <v>0</v>
      </c>
      <c r="AM224" s="39">
        <f t="array" ref="AM224">IFERROR(IF(INDEX(Bids!$AE:$AE,MATCH(B224,Bids!$A:$A,0))="Pending",1,0),0)</f>
        <v>0</v>
      </c>
      <c r="AN224" s="39" t="str">
        <f t="array" ref="AN224">IF(C224="","",IFERROR(XLOOKUP(C224,Assignments!$C:$C,Assignments!$AU:$AU,0),0))</f>
        <v/>
      </c>
      <c r="AO224" s="39">
        <f>IF(AND(Config!$B$1006="Y",AN224=1),Config!$B$1007,0)</f>
        <v>0</v>
      </c>
    </row>
    <row r="225" ht="15.75" customHeight="1">
      <c r="A225" s="46" t="str">
        <f t="shared" si="1"/>
        <v/>
      </c>
      <c r="B225" s="40" t="str">
        <f>IF(Bids!$A225="","",Bids!$A225)</f>
        <v/>
      </c>
      <c r="C225" s="40" t="str">
        <f>IF(Bids!$B225="","",Bids!$B225)</f>
        <v/>
      </c>
      <c r="D225" s="40" t="str">
        <f>IF($C225="","",IFERROR(VLOOKUP($C225,Orders!$A:$J,9,FALSE),""))</f>
        <v/>
      </c>
      <c r="E225" s="40" t="str">
        <f>IF($C225="","",IFERROR(VLOOKUP($C225,Orders!$A:$J,3,FALSE),""))</f>
        <v/>
      </c>
      <c r="F225" s="40" t="str">
        <f>IF($C225="","",IFERROR(VLOOKUP($C225,Orders!$A:$J,4,FALSE),""))</f>
        <v/>
      </c>
      <c r="G225" s="40" t="str">
        <f>IF($C225="","",IFERROR(VLOOKUP($C225,Orders!$A:$J,5,FALSE),""))</f>
        <v/>
      </c>
      <c r="H225" s="40" t="str">
        <f>IF($C225="","",IFERROR(VLOOKUP($C225,Orders!$A:$J,6,FALSE),""))</f>
        <v/>
      </c>
      <c r="I225" s="40" t="str">
        <f>IF($C225="","",IFERROR(VLOOKUP($C225,Orders!$A:$J,7,FALSE),""))</f>
        <v/>
      </c>
      <c r="J225" s="40" t="str">
        <f>IF(Bids!$C225="","",Bids!$C225)</f>
        <v/>
      </c>
      <c r="K225" s="40" t="str">
        <f>IF($J225="","",IFERROR(VLOOKUP($J225,Grinders!$A:$N,2,FALSE),""))</f>
        <v/>
      </c>
      <c r="L225" s="40" t="str">
        <f>IF($J225="","",IFERROR(VLOOKUP($J225,Grinders!$A:$N,3,FALSE),""))</f>
        <v/>
      </c>
      <c r="M225" s="40" t="str">
        <f>IF($J225="","",IFERROR(VLOOKUP($J225,Grinders!$A:$N,4,FALSE),""))</f>
        <v/>
      </c>
      <c r="N225" s="40" t="str">
        <f>IF($J225="","",IFERROR(VLOOKUP($J225,Grinders!$A:$N,5,FALSE),""))</f>
        <v/>
      </c>
      <c r="O225" s="40" t="str">
        <f t="shared" si="2"/>
        <v/>
      </c>
      <c r="P225" s="40" t="str">
        <f>IF($J225="","",IFERROR(VLOOKUP($J225,Grinders!$A:$N,6,FALSE),""))</f>
        <v/>
      </c>
      <c r="Q225" s="40" t="str">
        <f>IF($J225="","",IFERROR(VLOOKUP($J225,Grinders!$A:$N,8,FALSE),""))</f>
        <v/>
      </c>
      <c r="R225" s="40" t="str">
        <f>IFERROR(IF($J225="","",IF($L225="Elite",MAX(50,MIN(100,Config!$B$27*MAX(0,MIN(100,(1-IF($O225="",0,$O225))*100)) + Config!$B$28*MAX(0,MIN(100,(1-MIN(1,IF(Config!$B$30=0,1,$P225/Config!$B$30)))*100)) + Config!$B$29*MAX(0,MIN(100,MIN(1,IF($Q225="",0,$Q225)/Config!$B$23)*100)))),MIN(100,Config!$B$27*MAX(0,MIN(100,(1-IF($O225="",0,$O225))*100)) + Config!$B$28*MAX(0,MIN(100,(1-MIN(1,IF(Config!$B$30=0,1,$P225/Config!$B$30)))*100)) + Config!$B$29*MAX(0,MIN(100,MIN(1,IF($Q225="",0,$Q225)/Config!$B$23)*100))))),"")
</f>
        <v/>
      </c>
      <c r="S225" s="40" t="str">
        <f>IF(Bids!$AC225="","",Bids!$AC225)</f>
        <v/>
      </c>
      <c r="T225" s="40" t="str">
        <f>IF(Bids!$F225="","",Bids!$F225)</f>
        <v/>
      </c>
      <c r="U225" s="40" t="str">
        <f t="shared" si="3"/>
        <v/>
      </c>
      <c r="V225" s="40" t="str">
        <f>IF($U225="","",IF(Config!$B$17=Config!$B$16,IF($U225&gt;=Config!$B$17,100,0),MAX(0,MIN(100,($U225-Config!$B$16)/(Config!$B$17-Config!$B$16)*100))))</f>
        <v/>
      </c>
      <c r="W225" s="40">
        <f>IF($L225="Elite",Config!$B$21,0)</f>
        <v>0</v>
      </c>
      <c r="X225" s="40" t="str">
        <f>IFERROR(IF(OR($T225="",$G225=""),"",IF($T225&gt;$G225,
  MAX(0, 60-(($T225-$G225)*24/Config!$B$19)*60),
  MEDIAN(60, 100, 60+(($G225-$T225)*24/Config!$B$20)*40)
)),"")
</f>
        <v/>
      </c>
      <c r="Y225" s="40" t="str">
        <f>IF($J225="","",IFERROR(VLOOKUP($J225,Grinders!$A:$N,10,FALSE),""))</f>
        <v/>
      </c>
      <c r="Z225" s="40" t="str">
        <f>IF($J225="","",IFERROR(VLOOKUP($J225,Grinders!$A:$N,11,FALSE),""))</f>
        <v/>
      </c>
      <c r="AA225" s="40" t="str">
        <f>IF($J225="","",IFERROR(VLOOKUP($J225,Grinders!$A:$N,12,FALSE),""))</f>
        <v/>
      </c>
      <c r="AB225" s="40" t="str">
        <f>IF(OR(AL225=1,AM225=1),0,=IFERROR(IF(OR($C225="",$J225=""),0,IF($D225&lt;&gt;"Open",0,IF(COUNTIFS(GrinderServices!$A:$A,$J225,GrinderServices!$B:$B,$E225,GrinderServices!$D:$D,"Y")=0,0,IF($U225&lt;Config!$B$16,0,IF(Config!$B$18=1,IF($N225&gt;=$M225,0,1),1))))),""))</f>
        <v>#ERROR!</v>
      </c>
      <c r="AC225" s="40" t="str">
        <f>IFERROR((IF(OR(AL225=1,AM225=1),"",=IFERROR((IFERROR(IF($AB225=0,"",((Config!$B$6*$V225 + Config!$B$7*$R225 + Config!$B$8*$W225 + Config!$B$9*$X225 + Config!$B$10*$Y225 + Config!$B$11*$Z225 - Config!$B$12*$AA225)/Config!$B$13)+$AH225+$AI225),""))*(1-IFERROR(VLOOKUP(J225,Grinders!$A:$AB, 28, FALSE),0)),"")))*(1+AO225),"")</f>
        <v>#ERROR!</v>
      </c>
      <c r="AD225" s="40" t="str">
        <f t="shared" si="4"/>
        <v/>
      </c>
      <c r="AE225" s="40" t="str">
        <f>IFERROR(__xludf.DUMMYFUNCTION("IF($AC225="""","""",IF($AC225=IFERROR(MAX(FILTER($AC$6:$AC$1000,$C$6:$C$1000=$C225,$AB$6:$AB$1000=1)),),""WINNER"",""""))"),"#ERROR!")</f>
        <v>#ERROR!</v>
      </c>
      <c r="AF225" s="40" t="str">
        <f t="shared" si="5"/>
        <v/>
      </c>
      <c r="AG225" s="40" t="str">
        <f>IF($J225="","",COUNTIF(Assignments!$B:$B,$J225))</f>
        <v/>
      </c>
      <c r="AH225" s="40" t="str">
        <f>IF($J225="","",IF(AND($AG225=0,$N225&lt;$M225),Config!$B$43,0))</f>
        <v/>
      </c>
      <c r="AI225" s="40" t="str">
        <f>IF($J225="","",IF(AND($L225="Elite",$F225&gt;=Config!$B$41,$N225&lt;$M225),Config!$B$42,0))</f>
        <v/>
      </c>
      <c r="AJ225" s="22"/>
      <c r="AK225" s="39">
        <f>IFERROR(VLOOKUP(J225,Grinders!$A:$Q,28,FALSE),0)</f>
        <v>0</v>
      </c>
      <c r="AL225" s="39">
        <f>IF(Config!$B$1003&lt;&gt;"Y",0,IF(IFERROR(VLOOKUP(J225,Grinders!$A:$P,27,FALSE),0)&gt;=3,IF(OR(F225&gt;=Config!$B$1001,ISNUMBER(SEARCH(E225,Config!$B$1002))),1,0),0))</f>
        <v>0</v>
      </c>
      <c r="AM225" s="39">
        <f t="array" ref="AM225">IFERROR(IF(INDEX(Bids!$AE:$AE,MATCH(B225,Bids!$A:$A,0))="Pending",1,0),0)</f>
        <v>0</v>
      </c>
      <c r="AN225" s="39" t="str">
        <f t="array" ref="AN225">IF(C225="","",IFERROR(XLOOKUP(C225,Assignments!$C:$C,Assignments!$AU:$AU,0),0))</f>
        <v/>
      </c>
      <c r="AO225" s="39">
        <f>IF(AND(Config!$B$1006="Y",AN225=1),Config!$B$1007,0)</f>
        <v>0</v>
      </c>
    </row>
    <row r="226" ht="15.75" customHeight="1">
      <c r="A226" s="46" t="str">
        <f t="shared" si="1"/>
        <v/>
      </c>
      <c r="B226" s="40" t="str">
        <f>IF(Bids!$A226="","",Bids!$A226)</f>
        <v/>
      </c>
      <c r="C226" s="40" t="str">
        <f>IF(Bids!$B226="","",Bids!$B226)</f>
        <v/>
      </c>
      <c r="D226" s="40" t="str">
        <f>IF($C226="","",IFERROR(VLOOKUP($C226,Orders!$A:$J,9,FALSE),""))</f>
        <v/>
      </c>
      <c r="E226" s="40" t="str">
        <f>IF($C226="","",IFERROR(VLOOKUP($C226,Orders!$A:$J,3,FALSE),""))</f>
        <v/>
      </c>
      <c r="F226" s="40" t="str">
        <f>IF($C226="","",IFERROR(VLOOKUP($C226,Orders!$A:$J,4,FALSE),""))</f>
        <v/>
      </c>
      <c r="G226" s="40" t="str">
        <f>IF($C226="","",IFERROR(VLOOKUP($C226,Orders!$A:$J,5,FALSE),""))</f>
        <v/>
      </c>
      <c r="H226" s="40" t="str">
        <f>IF($C226="","",IFERROR(VLOOKUP($C226,Orders!$A:$J,6,FALSE),""))</f>
        <v/>
      </c>
      <c r="I226" s="40" t="str">
        <f>IF($C226="","",IFERROR(VLOOKUP($C226,Orders!$A:$J,7,FALSE),""))</f>
        <v/>
      </c>
      <c r="J226" s="40" t="str">
        <f>IF(Bids!$C226="","",Bids!$C226)</f>
        <v/>
      </c>
      <c r="K226" s="40" t="str">
        <f>IF($J226="","",IFERROR(VLOOKUP($J226,Grinders!$A:$N,2,FALSE),""))</f>
        <v/>
      </c>
      <c r="L226" s="40" t="str">
        <f>IF($J226="","",IFERROR(VLOOKUP($J226,Grinders!$A:$N,3,FALSE),""))</f>
        <v/>
      </c>
      <c r="M226" s="40" t="str">
        <f>IF($J226="","",IFERROR(VLOOKUP($J226,Grinders!$A:$N,4,FALSE),""))</f>
        <v/>
      </c>
      <c r="N226" s="40" t="str">
        <f>IF($J226="","",IFERROR(VLOOKUP($J226,Grinders!$A:$N,5,FALSE),""))</f>
        <v/>
      </c>
      <c r="O226" s="40" t="str">
        <f t="shared" si="2"/>
        <v/>
      </c>
      <c r="P226" s="40" t="str">
        <f>IF($J226="","",IFERROR(VLOOKUP($J226,Grinders!$A:$N,6,FALSE),""))</f>
        <v/>
      </c>
      <c r="Q226" s="40" t="str">
        <f>IF($J226="","",IFERROR(VLOOKUP($J226,Grinders!$A:$N,8,FALSE),""))</f>
        <v/>
      </c>
      <c r="R226" s="40" t="str">
        <f>IFERROR(IF($J226="","",IF($L226="Elite",MAX(50,MIN(100,Config!$B$27*MAX(0,MIN(100,(1-IF($O226="",0,$O226))*100)) + Config!$B$28*MAX(0,MIN(100,(1-MIN(1,IF(Config!$B$30=0,1,$P226/Config!$B$30)))*100)) + Config!$B$29*MAX(0,MIN(100,MIN(1,IF($Q226="",0,$Q226)/Config!$B$23)*100)))),MIN(100,Config!$B$27*MAX(0,MIN(100,(1-IF($O226="",0,$O226))*100)) + Config!$B$28*MAX(0,MIN(100,(1-MIN(1,IF(Config!$B$30=0,1,$P226/Config!$B$30)))*100)) + Config!$B$29*MAX(0,MIN(100,MIN(1,IF($Q226="",0,$Q226)/Config!$B$23)*100))))),"")
</f>
        <v/>
      </c>
      <c r="S226" s="40" t="str">
        <f>IF(Bids!$AC226="","",Bids!$AC226)</f>
        <v/>
      </c>
      <c r="T226" s="40" t="str">
        <f>IF(Bids!$F226="","",Bids!$F226)</f>
        <v/>
      </c>
      <c r="U226" s="40" t="str">
        <f t="shared" si="3"/>
        <v/>
      </c>
      <c r="V226" s="40" t="str">
        <f>IF($U226="","",IF(Config!$B$17=Config!$B$16,IF($U226&gt;=Config!$B$17,100,0),MAX(0,MIN(100,($U226-Config!$B$16)/(Config!$B$17-Config!$B$16)*100))))</f>
        <v/>
      </c>
      <c r="W226" s="40">
        <f>IF($L226="Elite",Config!$B$21,0)</f>
        <v>0</v>
      </c>
      <c r="X226" s="40" t="str">
        <f>IFERROR(IF(OR($T226="",$G226=""),"",IF($T226&gt;$G226,
  MAX(0, 60-(($T226-$G226)*24/Config!$B$19)*60),
  MEDIAN(60, 100, 60+(($G226-$T226)*24/Config!$B$20)*40)
)),"")
</f>
        <v/>
      </c>
      <c r="Y226" s="40" t="str">
        <f>IF($J226="","",IFERROR(VLOOKUP($J226,Grinders!$A:$N,10,FALSE),""))</f>
        <v/>
      </c>
      <c r="Z226" s="40" t="str">
        <f>IF($J226="","",IFERROR(VLOOKUP($J226,Grinders!$A:$N,11,FALSE),""))</f>
        <v/>
      </c>
      <c r="AA226" s="40" t="str">
        <f>IF($J226="","",IFERROR(VLOOKUP($J226,Grinders!$A:$N,12,FALSE),""))</f>
        <v/>
      </c>
      <c r="AB226" s="40" t="str">
        <f>IF(OR(AL226=1,AM226=1),0,=IFERROR(IF(OR($C226="",$J226=""),0,IF($D226&lt;&gt;"Open",0,IF(COUNTIFS(GrinderServices!$A:$A,$J226,GrinderServices!$B:$B,$E226,GrinderServices!$D:$D,"Y")=0,0,IF($U226&lt;Config!$B$16,0,IF(Config!$B$18=1,IF($N226&gt;=$M226,0,1),1))))),""))</f>
        <v>#ERROR!</v>
      </c>
      <c r="AC226" s="40" t="str">
        <f>IFERROR((IF(OR(AL226=1,AM226=1),"",=IFERROR((IFERROR(IF($AB226=0,"",((Config!$B$6*$V226 + Config!$B$7*$R226 + Config!$B$8*$W226 + Config!$B$9*$X226 + Config!$B$10*$Y226 + Config!$B$11*$Z226 - Config!$B$12*$AA226)/Config!$B$13)+$AH226+$AI226),""))*(1-IFERROR(VLOOKUP(J226,Grinders!$A:$AB, 28, FALSE),0)),"")))*(1+AO226),"")</f>
        <v>#ERROR!</v>
      </c>
      <c r="AD226" s="40" t="str">
        <f t="shared" si="4"/>
        <v/>
      </c>
      <c r="AE226" s="40" t="str">
        <f>IFERROR(__xludf.DUMMYFUNCTION("IF($AC226="""","""",IF($AC226=IFERROR(MAX(FILTER($AC$6:$AC$1000,$C$6:$C$1000=$C226,$AB$6:$AB$1000=1)),),""WINNER"",""""))"),"#ERROR!")</f>
        <v>#ERROR!</v>
      </c>
      <c r="AF226" s="40" t="str">
        <f t="shared" si="5"/>
        <v/>
      </c>
      <c r="AG226" s="40" t="str">
        <f>IF($J226="","",COUNTIF(Assignments!$B:$B,$J226))</f>
        <v/>
      </c>
      <c r="AH226" s="40" t="str">
        <f>IF($J226="","",IF(AND($AG226=0,$N226&lt;$M226),Config!$B$43,0))</f>
        <v/>
      </c>
      <c r="AI226" s="40" t="str">
        <f>IF($J226="","",IF(AND($L226="Elite",$F226&gt;=Config!$B$41,$N226&lt;$M226),Config!$B$42,0))</f>
        <v/>
      </c>
      <c r="AJ226" s="22"/>
      <c r="AK226" s="39">
        <f>IFERROR(VLOOKUP(J226,Grinders!$A:$Q,28,FALSE),0)</f>
        <v>0</v>
      </c>
      <c r="AL226" s="39">
        <f>IF(Config!$B$1003&lt;&gt;"Y",0,IF(IFERROR(VLOOKUP(J226,Grinders!$A:$P,27,FALSE),0)&gt;=3,IF(OR(F226&gt;=Config!$B$1001,ISNUMBER(SEARCH(E226,Config!$B$1002))),1,0),0))</f>
        <v>0</v>
      </c>
      <c r="AM226" s="39">
        <f t="array" ref="AM226">IFERROR(IF(INDEX(Bids!$AE:$AE,MATCH(B226,Bids!$A:$A,0))="Pending",1,0),0)</f>
        <v>0</v>
      </c>
      <c r="AN226" s="39" t="str">
        <f t="array" ref="AN226">IF(C226="","",IFERROR(XLOOKUP(C226,Assignments!$C:$C,Assignments!$AU:$AU,0),0))</f>
        <v/>
      </c>
      <c r="AO226" s="39">
        <f>IF(AND(Config!$B$1006="Y",AN226=1),Config!$B$1007,0)</f>
        <v>0</v>
      </c>
    </row>
    <row r="227" ht="15.75" customHeight="1">
      <c r="A227" s="46" t="str">
        <f t="shared" si="1"/>
        <v/>
      </c>
      <c r="B227" s="40" t="str">
        <f>IF(Bids!$A227="","",Bids!$A227)</f>
        <v/>
      </c>
      <c r="C227" s="40" t="str">
        <f>IF(Bids!$B227="","",Bids!$B227)</f>
        <v/>
      </c>
      <c r="D227" s="40" t="str">
        <f>IF($C227="","",IFERROR(VLOOKUP($C227,Orders!$A:$J,9,FALSE),""))</f>
        <v/>
      </c>
      <c r="E227" s="40" t="str">
        <f>IF($C227="","",IFERROR(VLOOKUP($C227,Orders!$A:$J,3,FALSE),""))</f>
        <v/>
      </c>
      <c r="F227" s="40" t="str">
        <f>IF($C227="","",IFERROR(VLOOKUP($C227,Orders!$A:$J,4,FALSE),""))</f>
        <v/>
      </c>
      <c r="G227" s="40" t="str">
        <f>IF($C227="","",IFERROR(VLOOKUP($C227,Orders!$A:$J,5,FALSE),""))</f>
        <v/>
      </c>
      <c r="H227" s="40" t="str">
        <f>IF($C227="","",IFERROR(VLOOKUP($C227,Orders!$A:$J,6,FALSE),""))</f>
        <v/>
      </c>
      <c r="I227" s="40" t="str">
        <f>IF($C227="","",IFERROR(VLOOKUP($C227,Orders!$A:$J,7,FALSE),""))</f>
        <v/>
      </c>
      <c r="J227" s="40" t="str">
        <f>IF(Bids!$C227="","",Bids!$C227)</f>
        <v/>
      </c>
      <c r="K227" s="40" t="str">
        <f>IF($J227="","",IFERROR(VLOOKUP($J227,Grinders!$A:$N,2,FALSE),""))</f>
        <v/>
      </c>
      <c r="L227" s="40" t="str">
        <f>IF($J227="","",IFERROR(VLOOKUP($J227,Grinders!$A:$N,3,FALSE),""))</f>
        <v/>
      </c>
      <c r="M227" s="40" t="str">
        <f>IF($J227="","",IFERROR(VLOOKUP($J227,Grinders!$A:$N,4,FALSE),""))</f>
        <v/>
      </c>
      <c r="N227" s="40" t="str">
        <f>IF($J227="","",IFERROR(VLOOKUP($J227,Grinders!$A:$N,5,FALSE),""))</f>
        <v/>
      </c>
      <c r="O227" s="40" t="str">
        <f t="shared" si="2"/>
        <v/>
      </c>
      <c r="P227" s="40" t="str">
        <f>IF($J227="","",IFERROR(VLOOKUP($J227,Grinders!$A:$N,6,FALSE),""))</f>
        <v/>
      </c>
      <c r="Q227" s="40" t="str">
        <f>IF($J227="","",IFERROR(VLOOKUP($J227,Grinders!$A:$N,8,FALSE),""))</f>
        <v/>
      </c>
      <c r="R227" s="40" t="str">
        <f>IFERROR(IF($J227="","",IF($L227="Elite",MAX(50,MIN(100,Config!$B$27*MAX(0,MIN(100,(1-IF($O227="",0,$O227))*100)) + Config!$B$28*MAX(0,MIN(100,(1-MIN(1,IF(Config!$B$30=0,1,$P227/Config!$B$30)))*100)) + Config!$B$29*MAX(0,MIN(100,MIN(1,IF($Q227="",0,$Q227)/Config!$B$23)*100)))),MIN(100,Config!$B$27*MAX(0,MIN(100,(1-IF($O227="",0,$O227))*100)) + Config!$B$28*MAX(0,MIN(100,(1-MIN(1,IF(Config!$B$30=0,1,$P227/Config!$B$30)))*100)) + Config!$B$29*MAX(0,MIN(100,MIN(1,IF($Q227="",0,$Q227)/Config!$B$23)*100))))),"")
</f>
        <v/>
      </c>
      <c r="S227" s="40" t="str">
        <f>IF(Bids!$AC227="","",Bids!$AC227)</f>
        <v/>
      </c>
      <c r="T227" s="40" t="str">
        <f>IF(Bids!$F227="","",Bids!$F227)</f>
        <v/>
      </c>
      <c r="U227" s="40" t="str">
        <f t="shared" si="3"/>
        <v/>
      </c>
      <c r="V227" s="40" t="str">
        <f>IF($U227="","",IF(Config!$B$17=Config!$B$16,IF($U227&gt;=Config!$B$17,100,0),MAX(0,MIN(100,($U227-Config!$B$16)/(Config!$B$17-Config!$B$16)*100))))</f>
        <v/>
      </c>
      <c r="W227" s="40">
        <f>IF($L227="Elite",Config!$B$21,0)</f>
        <v>0</v>
      </c>
      <c r="X227" s="40" t="str">
        <f>IFERROR(IF(OR($T227="",$G227=""),"",IF($T227&gt;$G227,
  MAX(0, 60-(($T227-$G227)*24/Config!$B$19)*60),
  MEDIAN(60, 100, 60+(($G227-$T227)*24/Config!$B$20)*40)
)),"")
</f>
        <v/>
      </c>
      <c r="Y227" s="40" t="str">
        <f>IF($J227="","",IFERROR(VLOOKUP($J227,Grinders!$A:$N,10,FALSE),""))</f>
        <v/>
      </c>
      <c r="Z227" s="40" t="str">
        <f>IF($J227="","",IFERROR(VLOOKUP($J227,Grinders!$A:$N,11,FALSE),""))</f>
        <v/>
      </c>
      <c r="AA227" s="40" t="str">
        <f>IF($J227="","",IFERROR(VLOOKUP($J227,Grinders!$A:$N,12,FALSE),""))</f>
        <v/>
      </c>
      <c r="AB227" s="40" t="str">
        <f>IF(OR(AL227=1,AM227=1),0,=IFERROR(IF(OR($C227="",$J227=""),0,IF($D227&lt;&gt;"Open",0,IF(COUNTIFS(GrinderServices!$A:$A,$J227,GrinderServices!$B:$B,$E227,GrinderServices!$D:$D,"Y")=0,0,IF($U227&lt;Config!$B$16,0,IF(Config!$B$18=1,IF($N227&gt;=$M227,0,1),1))))),""))</f>
        <v>#ERROR!</v>
      </c>
      <c r="AC227" s="40" t="str">
        <f>IFERROR((IF(OR(AL227=1,AM227=1),"",=IFERROR((IFERROR(IF($AB227=0,"",((Config!$B$6*$V227 + Config!$B$7*$R227 + Config!$B$8*$W227 + Config!$B$9*$X227 + Config!$B$10*$Y227 + Config!$B$11*$Z227 - Config!$B$12*$AA227)/Config!$B$13)+$AH227+$AI227),""))*(1-IFERROR(VLOOKUP(J227,Grinders!$A:$AB, 28, FALSE),0)),"")))*(1+AO227),"")</f>
        <v>#ERROR!</v>
      </c>
      <c r="AD227" s="40" t="str">
        <f t="shared" si="4"/>
        <v/>
      </c>
      <c r="AE227" s="40" t="str">
        <f>IFERROR(__xludf.DUMMYFUNCTION("IF($AC227="""","""",IF($AC227=IFERROR(MAX(FILTER($AC$6:$AC$1000,$C$6:$C$1000=$C227,$AB$6:$AB$1000=1)),),""WINNER"",""""))"),"#ERROR!")</f>
        <v>#ERROR!</v>
      </c>
      <c r="AF227" s="40" t="str">
        <f t="shared" si="5"/>
        <v/>
      </c>
      <c r="AG227" s="40" t="str">
        <f>IF($J227="","",COUNTIF(Assignments!$B:$B,$J227))</f>
        <v/>
      </c>
      <c r="AH227" s="40" t="str">
        <f>IF($J227="","",IF(AND($AG227=0,$N227&lt;$M227),Config!$B$43,0))</f>
        <v/>
      </c>
      <c r="AI227" s="40" t="str">
        <f>IF($J227="","",IF(AND($L227="Elite",$F227&gt;=Config!$B$41,$N227&lt;$M227),Config!$B$42,0))</f>
        <v/>
      </c>
      <c r="AJ227" s="22"/>
      <c r="AK227" s="39">
        <f>IFERROR(VLOOKUP(J227,Grinders!$A:$Q,28,FALSE),0)</f>
        <v>0</v>
      </c>
      <c r="AL227" s="39">
        <f>IF(Config!$B$1003&lt;&gt;"Y",0,IF(IFERROR(VLOOKUP(J227,Grinders!$A:$P,27,FALSE),0)&gt;=3,IF(OR(F227&gt;=Config!$B$1001,ISNUMBER(SEARCH(E227,Config!$B$1002))),1,0),0))</f>
        <v>0</v>
      </c>
      <c r="AM227" s="39">
        <f t="array" ref="AM227">IFERROR(IF(INDEX(Bids!$AE:$AE,MATCH(B227,Bids!$A:$A,0))="Pending",1,0),0)</f>
        <v>0</v>
      </c>
      <c r="AN227" s="39" t="str">
        <f t="array" ref="AN227">IF(C227="","",IFERROR(XLOOKUP(C227,Assignments!$C:$C,Assignments!$AU:$AU,0),0))</f>
        <v/>
      </c>
      <c r="AO227" s="39">
        <f>IF(AND(Config!$B$1006="Y",AN227=1),Config!$B$1007,0)</f>
        <v>0</v>
      </c>
    </row>
    <row r="228" ht="15.75" customHeight="1">
      <c r="A228" s="46" t="str">
        <f t="shared" si="1"/>
        <v/>
      </c>
      <c r="B228" s="40" t="str">
        <f>IF(Bids!$A228="","",Bids!$A228)</f>
        <v/>
      </c>
      <c r="C228" s="40" t="str">
        <f>IF(Bids!$B228="","",Bids!$B228)</f>
        <v/>
      </c>
      <c r="D228" s="40" t="str">
        <f>IF($C228="","",IFERROR(VLOOKUP($C228,Orders!$A:$J,9,FALSE),""))</f>
        <v/>
      </c>
      <c r="E228" s="40" t="str">
        <f>IF($C228="","",IFERROR(VLOOKUP($C228,Orders!$A:$J,3,FALSE),""))</f>
        <v/>
      </c>
      <c r="F228" s="40" t="str">
        <f>IF($C228="","",IFERROR(VLOOKUP($C228,Orders!$A:$J,4,FALSE),""))</f>
        <v/>
      </c>
      <c r="G228" s="40" t="str">
        <f>IF($C228="","",IFERROR(VLOOKUP($C228,Orders!$A:$J,5,FALSE),""))</f>
        <v/>
      </c>
      <c r="H228" s="40" t="str">
        <f>IF($C228="","",IFERROR(VLOOKUP($C228,Orders!$A:$J,6,FALSE),""))</f>
        <v/>
      </c>
      <c r="I228" s="40" t="str">
        <f>IF($C228="","",IFERROR(VLOOKUP($C228,Orders!$A:$J,7,FALSE),""))</f>
        <v/>
      </c>
      <c r="J228" s="40" t="str">
        <f>IF(Bids!$C228="","",Bids!$C228)</f>
        <v/>
      </c>
      <c r="K228" s="40" t="str">
        <f>IF($J228="","",IFERROR(VLOOKUP($J228,Grinders!$A:$N,2,FALSE),""))</f>
        <v/>
      </c>
      <c r="L228" s="40" t="str">
        <f>IF($J228="","",IFERROR(VLOOKUP($J228,Grinders!$A:$N,3,FALSE),""))</f>
        <v/>
      </c>
      <c r="M228" s="40" t="str">
        <f>IF($J228="","",IFERROR(VLOOKUP($J228,Grinders!$A:$N,4,FALSE),""))</f>
        <v/>
      </c>
      <c r="N228" s="40" t="str">
        <f>IF($J228="","",IFERROR(VLOOKUP($J228,Grinders!$A:$N,5,FALSE),""))</f>
        <v/>
      </c>
      <c r="O228" s="40" t="str">
        <f t="shared" si="2"/>
        <v/>
      </c>
      <c r="P228" s="40" t="str">
        <f>IF($J228="","",IFERROR(VLOOKUP($J228,Grinders!$A:$N,6,FALSE),""))</f>
        <v/>
      </c>
      <c r="Q228" s="40" t="str">
        <f>IF($J228="","",IFERROR(VLOOKUP($J228,Grinders!$A:$N,8,FALSE),""))</f>
        <v/>
      </c>
      <c r="R228" s="40" t="str">
        <f>IFERROR(IF($J228="","",IF($L228="Elite",MAX(50,MIN(100,Config!$B$27*MAX(0,MIN(100,(1-IF($O228="",0,$O228))*100)) + Config!$B$28*MAX(0,MIN(100,(1-MIN(1,IF(Config!$B$30=0,1,$P228/Config!$B$30)))*100)) + Config!$B$29*MAX(0,MIN(100,MIN(1,IF($Q228="",0,$Q228)/Config!$B$23)*100)))),MIN(100,Config!$B$27*MAX(0,MIN(100,(1-IF($O228="",0,$O228))*100)) + Config!$B$28*MAX(0,MIN(100,(1-MIN(1,IF(Config!$B$30=0,1,$P228/Config!$B$30)))*100)) + Config!$B$29*MAX(0,MIN(100,MIN(1,IF($Q228="",0,$Q228)/Config!$B$23)*100))))),"")
</f>
        <v/>
      </c>
      <c r="S228" s="40" t="str">
        <f>IF(Bids!$AC228="","",Bids!$AC228)</f>
        <v/>
      </c>
      <c r="T228" s="40" t="str">
        <f>IF(Bids!$F228="","",Bids!$F228)</f>
        <v/>
      </c>
      <c r="U228" s="40" t="str">
        <f t="shared" si="3"/>
        <v/>
      </c>
      <c r="V228" s="40" t="str">
        <f>IF($U228="","",IF(Config!$B$17=Config!$B$16,IF($U228&gt;=Config!$B$17,100,0),MAX(0,MIN(100,($U228-Config!$B$16)/(Config!$B$17-Config!$B$16)*100))))</f>
        <v/>
      </c>
      <c r="W228" s="40">
        <f>IF($L228="Elite",Config!$B$21,0)</f>
        <v>0</v>
      </c>
      <c r="X228" s="40" t="str">
        <f>IFERROR(IF(OR($T228="",$G228=""),"",IF($T228&gt;$G228,
  MAX(0, 60-(($T228-$G228)*24/Config!$B$19)*60),
  MEDIAN(60, 100, 60+(($G228-$T228)*24/Config!$B$20)*40)
)),"")
</f>
        <v/>
      </c>
      <c r="Y228" s="40" t="str">
        <f>IF($J228="","",IFERROR(VLOOKUP($J228,Grinders!$A:$N,10,FALSE),""))</f>
        <v/>
      </c>
      <c r="Z228" s="40" t="str">
        <f>IF($J228="","",IFERROR(VLOOKUP($J228,Grinders!$A:$N,11,FALSE),""))</f>
        <v/>
      </c>
      <c r="AA228" s="40" t="str">
        <f>IF($J228="","",IFERROR(VLOOKUP($J228,Grinders!$A:$N,12,FALSE),""))</f>
        <v/>
      </c>
      <c r="AB228" s="40" t="str">
        <f>IF(OR(AL228=1,AM228=1),0,=IFERROR(IF(OR($C228="",$J228=""),0,IF($D228&lt;&gt;"Open",0,IF(COUNTIFS(GrinderServices!$A:$A,$J228,GrinderServices!$B:$B,$E228,GrinderServices!$D:$D,"Y")=0,0,IF($U228&lt;Config!$B$16,0,IF(Config!$B$18=1,IF($N228&gt;=$M228,0,1),1))))),""))</f>
        <v>#ERROR!</v>
      </c>
      <c r="AC228" s="40" t="str">
        <f>IFERROR((IF(OR(AL228=1,AM228=1),"",=IFERROR((IFERROR(IF($AB228=0,"",((Config!$B$6*$V228 + Config!$B$7*$R228 + Config!$B$8*$W228 + Config!$B$9*$X228 + Config!$B$10*$Y228 + Config!$B$11*$Z228 - Config!$B$12*$AA228)/Config!$B$13)+$AH228+$AI228),""))*(1-IFERROR(VLOOKUP(J228,Grinders!$A:$AB, 28, FALSE),0)),"")))*(1+AO228),"")</f>
        <v>#ERROR!</v>
      </c>
      <c r="AD228" s="40" t="str">
        <f t="shared" si="4"/>
        <v/>
      </c>
      <c r="AE228" s="40" t="str">
        <f>IFERROR(__xludf.DUMMYFUNCTION("IF($AC228="""","""",IF($AC228=IFERROR(MAX(FILTER($AC$6:$AC$1000,$C$6:$C$1000=$C228,$AB$6:$AB$1000=1)),),""WINNER"",""""))"),"#ERROR!")</f>
        <v>#ERROR!</v>
      </c>
      <c r="AF228" s="40" t="str">
        <f t="shared" si="5"/>
        <v/>
      </c>
      <c r="AG228" s="40" t="str">
        <f>IF($J228="","",COUNTIF(Assignments!$B:$B,$J228))</f>
        <v/>
      </c>
      <c r="AH228" s="40" t="str">
        <f>IF($J228="","",IF(AND($AG228=0,$N228&lt;$M228),Config!$B$43,0))</f>
        <v/>
      </c>
      <c r="AI228" s="40" t="str">
        <f>IF($J228="","",IF(AND($L228="Elite",$F228&gt;=Config!$B$41,$N228&lt;$M228),Config!$B$42,0))</f>
        <v/>
      </c>
      <c r="AJ228" s="22"/>
      <c r="AK228" s="39">
        <f>IFERROR(VLOOKUP(J228,Grinders!$A:$Q,28,FALSE),0)</f>
        <v>0</v>
      </c>
      <c r="AL228" s="39">
        <f>IF(Config!$B$1003&lt;&gt;"Y",0,IF(IFERROR(VLOOKUP(J228,Grinders!$A:$P,27,FALSE),0)&gt;=3,IF(OR(F228&gt;=Config!$B$1001,ISNUMBER(SEARCH(E228,Config!$B$1002))),1,0),0))</f>
        <v>0</v>
      </c>
      <c r="AM228" s="39">
        <f t="array" ref="AM228">IFERROR(IF(INDEX(Bids!$AE:$AE,MATCH(B228,Bids!$A:$A,0))="Pending",1,0),0)</f>
        <v>0</v>
      </c>
      <c r="AN228" s="39" t="str">
        <f t="array" ref="AN228">IF(C228="","",IFERROR(XLOOKUP(C228,Assignments!$C:$C,Assignments!$AU:$AU,0),0))</f>
        <v/>
      </c>
      <c r="AO228" s="39">
        <f>IF(AND(Config!$B$1006="Y",AN228=1),Config!$B$1007,0)</f>
        <v>0</v>
      </c>
    </row>
    <row r="229" ht="15.75" customHeight="1">
      <c r="A229" s="46" t="str">
        <f t="shared" si="1"/>
        <v/>
      </c>
      <c r="B229" s="40" t="str">
        <f>IF(Bids!$A229="","",Bids!$A229)</f>
        <v/>
      </c>
      <c r="C229" s="40" t="str">
        <f>IF(Bids!$B229="","",Bids!$B229)</f>
        <v/>
      </c>
      <c r="D229" s="40" t="str">
        <f>IF($C229="","",IFERROR(VLOOKUP($C229,Orders!$A:$J,9,FALSE),""))</f>
        <v/>
      </c>
      <c r="E229" s="40" t="str">
        <f>IF($C229="","",IFERROR(VLOOKUP($C229,Orders!$A:$J,3,FALSE),""))</f>
        <v/>
      </c>
      <c r="F229" s="40" t="str">
        <f>IF($C229="","",IFERROR(VLOOKUP($C229,Orders!$A:$J,4,FALSE),""))</f>
        <v/>
      </c>
      <c r="G229" s="40" t="str">
        <f>IF($C229="","",IFERROR(VLOOKUP($C229,Orders!$A:$J,5,FALSE),""))</f>
        <v/>
      </c>
      <c r="H229" s="40" t="str">
        <f>IF($C229="","",IFERROR(VLOOKUP($C229,Orders!$A:$J,6,FALSE),""))</f>
        <v/>
      </c>
      <c r="I229" s="40" t="str">
        <f>IF($C229="","",IFERROR(VLOOKUP($C229,Orders!$A:$J,7,FALSE),""))</f>
        <v/>
      </c>
      <c r="J229" s="40" t="str">
        <f>IF(Bids!$C229="","",Bids!$C229)</f>
        <v/>
      </c>
      <c r="K229" s="40" t="str">
        <f>IF($J229="","",IFERROR(VLOOKUP($J229,Grinders!$A:$N,2,FALSE),""))</f>
        <v/>
      </c>
      <c r="L229" s="40" t="str">
        <f>IF($J229="","",IFERROR(VLOOKUP($J229,Grinders!$A:$N,3,FALSE),""))</f>
        <v/>
      </c>
      <c r="M229" s="40" t="str">
        <f>IF($J229="","",IFERROR(VLOOKUP($J229,Grinders!$A:$N,4,FALSE),""))</f>
        <v/>
      </c>
      <c r="N229" s="40" t="str">
        <f>IF($J229="","",IFERROR(VLOOKUP($J229,Grinders!$A:$N,5,FALSE),""))</f>
        <v/>
      </c>
      <c r="O229" s="40" t="str">
        <f t="shared" si="2"/>
        <v/>
      </c>
      <c r="P229" s="40" t="str">
        <f>IF($J229="","",IFERROR(VLOOKUP($J229,Grinders!$A:$N,6,FALSE),""))</f>
        <v/>
      </c>
      <c r="Q229" s="40" t="str">
        <f>IF($J229="","",IFERROR(VLOOKUP($J229,Grinders!$A:$N,8,FALSE),""))</f>
        <v/>
      </c>
      <c r="R229" s="40" t="str">
        <f>IFERROR(IF($J229="","",IF($L229="Elite",MAX(50,MIN(100,Config!$B$27*MAX(0,MIN(100,(1-IF($O229="",0,$O229))*100)) + Config!$B$28*MAX(0,MIN(100,(1-MIN(1,IF(Config!$B$30=0,1,$P229/Config!$B$30)))*100)) + Config!$B$29*MAX(0,MIN(100,MIN(1,IF($Q229="",0,$Q229)/Config!$B$23)*100)))),MIN(100,Config!$B$27*MAX(0,MIN(100,(1-IF($O229="",0,$O229))*100)) + Config!$B$28*MAX(0,MIN(100,(1-MIN(1,IF(Config!$B$30=0,1,$P229/Config!$B$30)))*100)) + Config!$B$29*MAX(0,MIN(100,MIN(1,IF($Q229="",0,$Q229)/Config!$B$23)*100))))),"")
</f>
        <v/>
      </c>
      <c r="S229" s="40" t="str">
        <f>IF(Bids!$AC229="","",Bids!$AC229)</f>
        <v/>
      </c>
      <c r="T229" s="40" t="str">
        <f>IF(Bids!$F229="","",Bids!$F229)</f>
        <v/>
      </c>
      <c r="U229" s="40" t="str">
        <f t="shared" si="3"/>
        <v/>
      </c>
      <c r="V229" s="40" t="str">
        <f>IF($U229="","",IF(Config!$B$17=Config!$B$16,IF($U229&gt;=Config!$B$17,100,0),MAX(0,MIN(100,($U229-Config!$B$16)/(Config!$B$17-Config!$B$16)*100))))</f>
        <v/>
      </c>
      <c r="W229" s="40">
        <f>IF($L229="Elite",Config!$B$21,0)</f>
        <v>0</v>
      </c>
      <c r="X229" s="40" t="str">
        <f>IFERROR(IF(OR($T229="",$G229=""),"",IF($T229&gt;$G229,
  MAX(0, 60-(($T229-$G229)*24/Config!$B$19)*60),
  MEDIAN(60, 100, 60+(($G229-$T229)*24/Config!$B$20)*40)
)),"")
</f>
        <v/>
      </c>
      <c r="Y229" s="40" t="str">
        <f>IF($J229="","",IFERROR(VLOOKUP($J229,Grinders!$A:$N,10,FALSE),""))</f>
        <v/>
      </c>
      <c r="Z229" s="40" t="str">
        <f>IF($J229="","",IFERROR(VLOOKUP($J229,Grinders!$A:$N,11,FALSE),""))</f>
        <v/>
      </c>
      <c r="AA229" s="40" t="str">
        <f>IF($J229="","",IFERROR(VLOOKUP($J229,Grinders!$A:$N,12,FALSE),""))</f>
        <v/>
      </c>
      <c r="AB229" s="40" t="str">
        <f>IF(OR(AL229=1,AM229=1),0,=IFERROR(IF(OR($C229="",$J229=""),0,IF($D229&lt;&gt;"Open",0,IF(COUNTIFS(GrinderServices!$A:$A,$J229,GrinderServices!$B:$B,$E229,GrinderServices!$D:$D,"Y")=0,0,IF($U229&lt;Config!$B$16,0,IF(Config!$B$18=1,IF($N229&gt;=$M229,0,1),1))))),""))</f>
        <v>#ERROR!</v>
      </c>
      <c r="AC229" s="40" t="str">
        <f>IFERROR((IF(OR(AL229=1,AM229=1),"",=IFERROR((IFERROR(IF($AB229=0,"",((Config!$B$6*$V229 + Config!$B$7*$R229 + Config!$B$8*$W229 + Config!$B$9*$X229 + Config!$B$10*$Y229 + Config!$B$11*$Z229 - Config!$B$12*$AA229)/Config!$B$13)+$AH229+$AI229),""))*(1-IFERROR(VLOOKUP(J229,Grinders!$A:$AB, 28, FALSE),0)),"")))*(1+AO229),"")</f>
        <v>#ERROR!</v>
      </c>
      <c r="AD229" s="40" t="str">
        <f t="shared" si="4"/>
        <v/>
      </c>
      <c r="AE229" s="40" t="str">
        <f>IFERROR(__xludf.DUMMYFUNCTION("IF($AC229="""","""",IF($AC229=IFERROR(MAX(FILTER($AC$6:$AC$1000,$C$6:$C$1000=$C229,$AB$6:$AB$1000=1)),),""WINNER"",""""))"),"#ERROR!")</f>
        <v>#ERROR!</v>
      </c>
      <c r="AF229" s="40" t="str">
        <f t="shared" si="5"/>
        <v/>
      </c>
      <c r="AG229" s="40" t="str">
        <f>IF($J229="","",COUNTIF(Assignments!$B:$B,$J229))</f>
        <v/>
      </c>
      <c r="AH229" s="40" t="str">
        <f>IF($J229="","",IF(AND($AG229=0,$N229&lt;$M229),Config!$B$43,0))</f>
        <v/>
      </c>
      <c r="AI229" s="40" t="str">
        <f>IF($J229="","",IF(AND($L229="Elite",$F229&gt;=Config!$B$41,$N229&lt;$M229),Config!$B$42,0))</f>
        <v/>
      </c>
      <c r="AJ229" s="22"/>
      <c r="AK229" s="39">
        <f>IFERROR(VLOOKUP(J229,Grinders!$A:$Q,28,FALSE),0)</f>
        <v>0</v>
      </c>
      <c r="AL229" s="39">
        <f>IF(Config!$B$1003&lt;&gt;"Y",0,IF(IFERROR(VLOOKUP(J229,Grinders!$A:$P,27,FALSE),0)&gt;=3,IF(OR(F229&gt;=Config!$B$1001,ISNUMBER(SEARCH(E229,Config!$B$1002))),1,0),0))</f>
        <v>0</v>
      </c>
      <c r="AM229" s="39">
        <f t="array" ref="AM229">IFERROR(IF(INDEX(Bids!$AE:$AE,MATCH(B229,Bids!$A:$A,0))="Pending",1,0),0)</f>
        <v>0</v>
      </c>
      <c r="AN229" s="39" t="str">
        <f t="array" ref="AN229">IF(C229="","",IFERROR(XLOOKUP(C229,Assignments!$C:$C,Assignments!$AU:$AU,0),0))</f>
        <v/>
      </c>
      <c r="AO229" s="39">
        <f>IF(AND(Config!$B$1006="Y",AN229=1),Config!$B$1007,0)</f>
        <v>0</v>
      </c>
    </row>
    <row r="230" ht="15.75" customHeight="1">
      <c r="A230" s="46" t="str">
        <f t="shared" si="1"/>
        <v/>
      </c>
      <c r="B230" s="40" t="str">
        <f>IF(Bids!$A230="","",Bids!$A230)</f>
        <v/>
      </c>
      <c r="C230" s="40" t="str">
        <f>IF(Bids!$B230="","",Bids!$B230)</f>
        <v/>
      </c>
      <c r="D230" s="40" t="str">
        <f>IF($C230="","",IFERROR(VLOOKUP($C230,Orders!$A:$J,9,FALSE),""))</f>
        <v/>
      </c>
      <c r="E230" s="40" t="str">
        <f>IF($C230="","",IFERROR(VLOOKUP($C230,Orders!$A:$J,3,FALSE),""))</f>
        <v/>
      </c>
      <c r="F230" s="40" t="str">
        <f>IF($C230="","",IFERROR(VLOOKUP($C230,Orders!$A:$J,4,FALSE),""))</f>
        <v/>
      </c>
      <c r="G230" s="40" t="str">
        <f>IF($C230="","",IFERROR(VLOOKUP($C230,Orders!$A:$J,5,FALSE),""))</f>
        <v/>
      </c>
      <c r="H230" s="40" t="str">
        <f>IF($C230="","",IFERROR(VLOOKUP($C230,Orders!$A:$J,6,FALSE),""))</f>
        <v/>
      </c>
      <c r="I230" s="40" t="str">
        <f>IF($C230="","",IFERROR(VLOOKUP($C230,Orders!$A:$J,7,FALSE),""))</f>
        <v/>
      </c>
      <c r="J230" s="40" t="str">
        <f>IF(Bids!$C230="","",Bids!$C230)</f>
        <v/>
      </c>
      <c r="K230" s="40" t="str">
        <f>IF($J230="","",IFERROR(VLOOKUP($J230,Grinders!$A:$N,2,FALSE),""))</f>
        <v/>
      </c>
      <c r="L230" s="40" t="str">
        <f>IF($J230="","",IFERROR(VLOOKUP($J230,Grinders!$A:$N,3,FALSE),""))</f>
        <v/>
      </c>
      <c r="M230" s="40" t="str">
        <f>IF($J230="","",IFERROR(VLOOKUP($J230,Grinders!$A:$N,4,FALSE),""))</f>
        <v/>
      </c>
      <c r="N230" s="40" t="str">
        <f>IF($J230="","",IFERROR(VLOOKUP($J230,Grinders!$A:$N,5,FALSE),""))</f>
        <v/>
      </c>
      <c r="O230" s="40" t="str">
        <f t="shared" si="2"/>
        <v/>
      </c>
      <c r="P230" s="40" t="str">
        <f>IF($J230="","",IFERROR(VLOOKUP($J230,Grinders!$A:$N,6,FALSE),""))</f>
        <v/>
      </c>
      <c r="Q230" s="40" t="str">
        <f>IF($J230="","",IFERROR(VLOOKUP($J230,Grinders!$A:$N,8,FALSE),""))</f>
        <v/>
      </c>
      <c r="R230" s="40" t="str">
        <f>IFERROR(IF($J230="","",IF($L230="Elite",MAX(50,MIN(100,Config!$B$27*MAX(0,MIN(100,(1-IF($O230="",0,$O230))*100)) + Config!$B$28*MAX(0,MIN(100,(1-MIN(1,IF(Config!$B$30=0,1,$P230/Config!$B$30)))*100)) + Config!$B$29*MAX(0,MIN(100,MIN(1,IF($Q230="",0,$Q230)/Config!$B$23)*100)))),MIN(100,Config!$B$27*MAX(0,MIN(100,(1-IF($O230="",0,$O230))*100)) + Config!$B$28*MAX(0,MIN(100,(1-MIN(1,IF(Config!$B$30=0,1,$P230/Config!$B$30)))*100)) + Config!$B$29*MAX(0,MIN(100,MIN(1,IF($Q230="",0,$Q230)/Config!$B$23)*100))))),"")
</f>
        <v/>
      </c>
      <c r="S230" s="40" t="str">
        <f>IF(Bids!$AC230="","",Bids!$AC230)</f>
        <v/>
      </c>
      <c r="T230" s="40" t="str">
        <f>IF(Bids!$F230="","",Bids!$F230)</f>
        <v/>
      </c>
      <c r="U230" s="40" t="str">
        <f t="shared" si="3"/>
        <v/>
      </c>
      <c r="V230" s="40" t="str">
        <f>IF($U230="","",IF(Config!$B$17=Config!$B$16,IF($U230&gt;=Config!$B$17,100,0),MAX(0,MIN(100,($U230-Config!$B$16)/(Config!$B$17-Config!$B$16)*100))))</f>
        <v/>
      </c>
      <c r="W230" s="40">
        <f>IF($L230="Elite",Config!$B$21,0)</f>
        <v>0</v>
      </c>
      <c r="X230" s="40" t="str">
        <f>IFERROR(IF(OR($T230="",$G230=""),"",IF($T230&gt;$G230,
  MAX(0, 60-(($T230-$G230)*24/Config!$B$19)*60),
  MEDIAN(60, 100, 60+(($G230-$T230)*24/Config!$B$20)*40)
)),"")
</f>
        <v/>
      </c>
      <c r="Y230" s="40" t="str">
        <f>IF($J230="","",IFERROR(VLOOKUP($J230,Grinders!$A:$N,10,FALSE),""))</f>
        <v/>
      </c>
      <c r="Z230" s="40" t="str">
        <f>IF($J230="","",IFERROR(VLOOKUP($J230,Grinders!$A:$N,11,FALSE),""))</f>
        <v/>
      </c>
      <c r="AA230" s="40" t="str">
        <f>IF($J230="","",IFERROR(VLOOKUP($J230,Grinders!$A:$N,12,FALSE),""))</f>
        <v/>
      </c>
      <c r="AB230" s="40" t="str">
        <f>IF(OR(AL230=1,AM230=1),0,=IFERROR(IF(OR($C230="",$J230=""),0,IF($D230&lt;&gt;"Open",0,IF(COUNTIFS(GrinderServices!$A:$A,$J230,GrinderServices!$B:$B,$E230,GrinderServices!$D:$D,"Y")=0,0,IF($U230&lt;Config!$B$16,0,IF(Config!$B$18=1,IF($N230&gt;=$M230,0,1),1))))),""))</f>
        <v>#ERROR!</v>
      </c>
      <c r="AC230" s="40" t="str">
        <f>IFERROR((IF(OR(AL230=1,AM230=1),"",=IFERROR((IFERROR(IF($AB230=0,"",((Config!$B$6*$V230 + Config!$B$7*$R230 + Config!$B$8*$W230 + Config!$B$9*$X230 + Config!$B$10*$Y230 + Config!$B$11*$Z230 - Config!$B$12*$AA230)/Config!$B$13)+$AH230+$AI230),""))*(1-IFERROR(VLOOKUP(J230,Grinders!$A:$AB, 28, FALSE),0)),"")))*(1+AO230),"")</f>
        <v>#ERROR!</v>
      </c>
      <c r="AD230" s="40" t="str">
        <f t="shared" si="4"/>
        <v/>
      </c>
      <c r="AE230" s="40" t="str">
        <f>IFERROR(__xludf.DUMMYFUNCTION("IF($AC230="""","""",IF($AC230=IFERROR(MAX(FILTER($AC$6:$AC$1000,$C$6:$C$1000=$C230,$AB$6:$AB$1000=1)),),""WINNER"",""""))"),"#ERROR!")</f>
        <v>#ERROR!</v>
      </c>
      <c r="AF230" s="40" t="str">
        <f t="shared" si="5"/>
        <v/>
      </c>
      <c r="AG230" s="40" t="str">
        <f>IF($J230="","",COUNTIF(Assignments!$B:$B,$J230))</f>
        <v/>
      </c>
      <c r="AH230" s="40" t="str">
        <f>IF($J230="","",IF(AND($AG230=0,$N230&lt;$M230),Config!$B$43,0))</f>
        <v/>
      </c>
      <c r="AI230" s="40" t="str">
        <f>IF($J230="","",IF(AND($L230="Elite",$F230&gt;=Config!$B$41,$N230&lt;$M230),Config!$B$42,0))</f>
        <v/>
      </c>
      <c r="AJ230" s="22"/>
      <c r="AK230" s="39">
        <f>IFERROR(VLOOKUP(J230,Grinders!$A:$Q,28,FALSE),0)</f>
        <v>0</v>
      </c>
      <c r="AL230" s="39">
        <f>IF(Config!$B$1003&lt;&gt;"Y",0,IF(IFERROR(VLOOKUP(J230,Grinders!$A:$P,27,FALSE),0)&gt;=3,IF(OR(F230&gt;=Config!$B$1001,ISNUMBER(SEARCH(E230,Config!$B$1002))),1,0),0))</f>
        <v>0</v>
      </c>
      <c r="AM230" s="39">
        <f t="array" ref="AM230">IFERROR(IF(INDEX(Bids!$AE:$AE,MATCH(B230,Bids!$A:$A,0))="Pending",1,0),0)</f>
        <v>0</v>
      </c>
      <c r="AN230" s="39" t="str">
        <f t="array" ref="AN230">IF(C230="","",IFERROR(XLOOKUP(C230,Assignments!$C:$C,Assignments!$AU:$AU,0),0))</f>
        <v/>
      </c>
      <c r="AO230" s="39">
        <f>IF(AND(Config!$B$1006="Y",AN230=1),Config!$B$1007,0)</f>
        <v>0</v>
      </c>
    </row>
    <row r="231" ht="15.75" customHeight="1">
      <c r="A231" s="46" t="str">
        <f t="shared" si="1"/>
        <v/>
      </c>
      <c r="B231" s="40" t="str">
        <f>IF(Bids!$A231="","",Bids!$A231)</f>
        <v/>
      </c>
      <c r="C231" s="40" t="str">
        <f>IF(Bids!$B231="","",Bids!$B231)</f>
        <v/>
      </c>
      <c r="D231" s="40" t="str">
        <f>IF($C231="","",IFERROR(VLOOKUP($C231,Orders!$A:$J,9,FALSE),""))</f>
        <v/>
      </c>
      <c r="E231" s="40" t="str">
        <f>IF($C231="","",IFERROR(VLOOKUP($C231,Orders!$A:$J,3,FALSE),""))</f>
        <v/>
      </c>
      <c r="F231" s="40" t="str">
        <f>IF($C231="","",IFERROR(VLOOKUP($C231,Orders!$A:$J,4,FALSE),""))</f>
        <v/>
      </c>
      <c r="G231" s="40" t="str">
        <f>IF($C231="","",IFERROR(VLOOKUP($C231,Orders!$A:$J,5,FALSE),""))</f>
        <v/>
      </c>
      <c r="H231" s="40" t="str">
        <f>IF($C231="","",IFERROR(VLOOKUP($C231,Orders!$A:$J,6,FALSE),""))</f>
        <v/>
      </c>
      <c r="I231" s="40" t="str">
        <f>IF($C231="","",IFERROR(VLOOKUP($C231,Orders!$A:$J,7,FALSE),""))</f>
        <v/>
      </c>
      <c r="J231" s="40" t="str">
        <f>IF(Bids!$C231="","",Bids!$C231)</f>
        <v/>
      </c>
      <c r="K231" s="40" t="str">
        <f>IF($J231="","",IFERROR(VLOOKUP($J231,Grinders!$A:$N,2,FALSE),""))</f>
        <v/>
      </c>
      <c r="L231" s="40" t="str">
        <f>IF($J231="","",IFERROR(VLOOKUP($J231,Grinders!$A:$N,3,FALSE),""))</f>
        <v/>
      </c>
      <c r="M231" s="40" t="str">
        <f>IF($J231="","",IFERROR(VLOOKUP($J231,Grinders!$A:$N,4,FALSE),""))</f>
        <v/>
      </c>
      <c r="N231" s="40" t="str">
        <f>IF($J231="","",IFERROR(VLOOKUP($J231,Grinders!$A:$N,5,FALSE),""))</f>
        <v/>
      </c>
      <c r="O231" s="40" t="str">
        <f t="shared" si="2"/>
        <v/>
      </c>
      <c r="P231" s="40" t="str">
        <f>IF($J231="","",IFERROR(VLOOKUP($J231,Grinders!$A:$N,6,FALSE),""))</f>
        <v/>
      </c>
      <c r="Q231" s="40" t="str">
        <f>IF($J231="","",IFERROR(VLOOKUP($J231,Grinders!$A:$N,8,FALSE),""))</f>
        <v/>
      </c>
      <c r="R231" s="40" t="str">
        <f>IFERROR(IF($J231="","",IF($L231="Elite",MAX(50,MIN(100,Config!$B$27*MAX(0,MIN(100,(1-IF($O231="",0,$O231))*100)) + Config!$B$28*MAX(0,MIN(100,(1-MIN(1,IF(Config!$B$30=0,1,$P231/Config!$B$30)))*100)) + Config!$B$29*MAX(0,MIN(100,MIN(1,IF($Q231="",0,$Q231)/Config!$B$23)*100)))),MIN(100,Config!$B$27*MAX(0,MIN(100,(1-IF($O231="",0,$O231))*100)) + Config!$B$28*MAX(0,MIN(100,(1-MIN(1,IF(Config!$B$30=0,1,$P231/Config!$B$30)))*100)) + Config!$B$29*MAX(0,MIN(100,MIN(1,IF($Q231="",0,$Q231)/Config!$B$23)*100))))),"")
</f>
        <v/>
      </c>
      <c r="S231" s="40" t="str">
        <f>IF(Bids!$AC231="","",Bids!$AC231)</f>
        <v/>
      </c>
      <c r="T231" s="40" t="str">
        <f>IF(Bids!$F231="","",Bids!$F231)</f>
        <v/>
      </c>
      <c r="U231" s="40" t="str">
        <f t="shared" si="3"/>
        <v/>
      </c>
      <c r="V231" s="40" t="str">
        <f>IF($U231="","",IF(Config!$B$17=Config!$B$16,IF($U231&gt;=Config!$B$17,100,0),MAX(0,MIN(100,($U231-Config!$B$16)/(Config!$B$17-Config!$B$16)*100))))</f>
        <v/>
      </c>
      <c r="W231" s="40">
        <f>IF($L231="Elite",Config!$B$21,0)</f>
        <v>0</v>
      </c>
      <c r="X231" s="40" t="str">
        <f>IFERROR(IF(OR($T231="",$G231=""),"",IF($T231&gt;$G231,
  MAX(0, 60-(($T231-$G231)*24/Config!$B$19)*60),
  MEDIAN(60, 100, 60+(($G231-$T231)*24/Config!$B$20)*40)
)),"")
</f>
        <v/>
      </c>
      <c r="Y231" s="40" t="str">
        <f>IF($J231="","",IFERROR(VLOOKUP($J231,Grinders!$A:$N,10,FALSE),""))</f>
        <v/>
      </c>
      <c r="Z231" s="40" t="str">
        <f>IF($J231="","",IFERROR(VLOOKUP($J231,Grinders!$A:$N,11,FALSE),""))</f>
        <v/>
      </c>
      <c r="AA231" s="40" t="str">
        <f>IF($J231="","",IFERROR(VLOOKUP($J231,Grinders!$A:$N,12,FALSE),""))</f>
        <v/>
      </c>
      <c r="AB231" s="40" t="str">
        <f>IF(OR(AL231=1,AM231=1),0,=IFERROR(IF(OR($C231="",$J231=""),0,IF($D231&lt;&gt;"Open",0,IF(COUNTIFS(GrinderServices!$A:$A,$J231,GrinderServices!$B:$B,$E231,GrinderServices!$D:$D,"Y")=0,0,IF($U231&lt;Config!$B$16,0,IF(Config!$B$18=1,IF($N231&gt;=$M231,0,1),1))))),""))</f>
        <v>#ERROR!</v>
      </c>
      <c r="AC231" s="40" t="str">
        <f>IFERROR((IF(OR(AL231=1,AM231=1),"",=IFERROR((IFERROR(IF($AB231=0,"",((Config!$B$6*$V231 + Config!$B$7*$R231 + Config!$B$8*$W231 + Config!$B$9*$X231 + Config!$B$10*$Y231 + Config!$B$11*$Z231 - Config!$B$12*$AA231)/Config!$B$13)+$AH231+$AI231),""))*(1-IFERROR(VLOOKUP(J231,Grinders!$A:$AB, 28, FALSE),0)),"")))*(1+AO231),"")</f>
        <v>#ERROR!</v>
      </c>
      <c r="AD231" s="40" t="str">
        <f t="shared" si="4"/>
        <v/>
      </c>
      <c r="AE231" s="40" t="str">
        <f>IFERROR(__xludf.DUMMYFUNCTION("IF($AC231="""","""",IF($AC231=IFERROR(MAX(FILTER($AC$6:$AC$1000,$C$6:$C$1000=$C231,$AB$6:$AB$1000=1)),),""WINNER"",""""))"),"#ERROR!")</f>
        <v>#ERROR!</v>
      </c>
      <c r="AF231" s="40" t="str">
        <f t="shared" si="5"/>
        <v/>
      </c>
      <c r="AG231" s="40" t="str">
        <f>IF($J231="","",COUNTIF(Assignments!$B:$B,$J231))</f>
        <v/>
      </c>
      <c r="AH231" s="40" t="str">
        <f>IF($J231="","",IF(AND($AG231=0,$N231&lt;$M231),Config!$B$43,0))</f>
        <v/>
      </c>
      <c r="AI231" s="40" t="str">
        <f>IF($J231="","",IF(AND($L231="Elite",$F231&gt;=Config!$B$41,$N231&lt;$M231),Config!$B$42,0))</f>
        <v/>
      </c>
      <c r="AJ231" s="22"/>
      <c r="AK231" s="39">
        <f>IFERROR(VLOOKUP(J231,Grinders!$A:$Q,28,FALSE),0)</f>
        <v>0</v>
      </c>
      <c r="AL231" s="39">
        <f>IF(Config!$B$1003&lt;&gt;"Y",0,IF(IFERROR(VLOOKUP(J231,Grinders!$A:$P,27,FALSE),0)&gt;=3,IF(OR(F231&gt;=Config!$B$1001,ISNUMBER(SEARCH(E231,Config!$B$1002))),1,0),0))</f>
        <v>0</v>
      </c>
      <c r="AM231" s="39">
        <f t="array" ref="AM231">IFERROR(IF(INDEX(Bids!$AE:$AE,MATCH(B231,Bids!$A:$A,0))="Pending",1,0),0)</f>
        <v>0</v>
      </c>
      <c r="AN231" s="39" t="str">
        <f t="array" ref="AN231">IF(C231="","",IFERROR(XLOOKUP(C231,Assignments!$C:$C,Assignments!$AU:$AU,0),0))</f>
        <v/>
      </c>
      <c r="AO231" s="39">
        <f>IF(AND(Config!$B$1006="Y",AN231=1),Config!$B$1007,0)</f>
        <v>0</v>
      </c>
    </row>
    <row r="232" ht="15.75" customHeight="1">
      <c r="A232" s="46" t="str">
        <f t="shared" si="1"/>
        <v/>
      </c>
      <c r="B232" s="40" t="str">
        <f>IF(Bids!$A232="","",Bids!$A232)</f>
        <v/>
      </c>
      <c r="C232" s="40" t="str">
        <f>IF(Bids!$B232="","",Bids!$B232)</f>
        <v/>
      </c>
      <c r="D232" s="40" t="str">
        <f>IF($C232="","",IFERROR(VLOOKUP($C232,Orders!$A:$J,9,FALSE),""))</f>
        <v/>
      </c>
      <c r="E232" s="40" t="str">
        <f>IF($C232="","",IFERROR(VLOOKUP($C232,Orders!$A:$J,3,FALSE),""))</f>
        <v/>
      </c>
      <c r="F232" s="40" t="str">
        <f>IF($C232="","",IFERROR(VLOOKUP($C232,Orders!$A:$J,4,FALSE),""))</f>
        <v/>
      </c>
      <c r="G232" s="40" t="str">
        <f>IF($C232="","",IFERROR(VLOOKUP($C232,Orders!$A:$J,5,FALSE),""))</f>
        <v/>
      </c>
      <c r="H232" s="40" t="str">
        <f>IF($C232="","",IFERROR(VLOOKUP($C232,Orders!$A:$J,6,FALSE),""))</f>
        <v/>
      </c>
      <c r="I232" s="40" t="str">
        <f>IF($C232="","",IFERROR(VLOOKUP($C232,Orders!$A:$J,7,FALSE),""))</f>
        <v/>
      </c>
      <c r="J232" s="40" t="str">
        <f>IF(Bids!$C232="","",Bids!$C232)</f>
        <v/>
      </c>
      <c r="K232" s="40" t="str">
        <f>IF($J232="","",IFERROR(VLOOKUP($J232,Grinders!$A:$N,2,FALSE),""))</f>
        <v/>
      </c>
      <c r="L232" s="40" t="str">
        <f>IF($J232="","",IFERROR(VLOOKUP($J232,Grinders!$A:$N,3,FALSE),""))</f>
        <v/>
      </c>
      <c r="M232" s="40" t="str">
        <f>IF($J232="","",IFERROR(VLOOKUP($J232,Grinders!$A:$N,4,FALSE),""))</f>
        <v/>
      </c>
      <c r="N232" s="40" t="str">
        <f>IF($J232="","",IFERROR(VLOOKUP($J232,Grinders!$A:$N,5,FALSE),""))</f>
        <v/>
      </c>
      <c r="O232" s="40" t="str">
        <f t="shared" si="2"/>
        <v/>
      </c>
      <c r="P232" s="40" t="str">
        <f>IF($J232="","",IFERROR(VLOOKUP($J232,Grinders!$A:$N,6,FALSE),""))</f>
        <v/>
      </c>
      <c r="Q232" s="40" t="str">
        <f>IF($J232="","",IFERROR(VLOOKUP($J232,Grinders!$A:$N,8,FALSE),""))</f>
        <v/>
      </c>
      <c r="R232" s="40" t="str">
        <f>IFERROR(IF($J232="","",IF($L232="Elite",MAX(50,MIN(100,Config!$B$27*MAX(0,MIN(100,(1-IF($O232="",0,$O232))*100)) + Config!$B$28*MAX(0,MIN(100,(1-MIN(1,IF(Config!$B$30=0,1,$P232/Config!$B$30)))*100)) + Config!$B$29*MAX(0,MIN(100,MIN(1,IF($Q232="",0,$Q232)/Config!$B$23)*100)))),MIN(100,Config!$B$27*MAX(0,MIN(100,(1-IF($O232="",0,$O232))*100)) + Config!$B$28*MAX(0,MIN(100,(1-MIN(1,IF(Config!$B$30=0,1,$P232/Config!$B$30)))*100)) + Config!$B$29*MAX(0,MIN(100,MIN(1,IF($Q232="",0,$Q232)/Config!$B$23)*100))))),"")
</f>
        <v/>
      </c>
      <c r="S232" s="40" t="str">
        <f>IF(Bids!$AC232="","",Bids!$AC232)</f>
        <v/>
      </c>
      <c r="T232" s="40" t="str">
        <f>IF(Bids!$F232="","",Bids!$F232)</f>
        <v/>
      </c>
      <c r="U232" s="40" t="str">
        <f t="shared" si="3"/>
        <v/>
      </c>
      <c r="V232" s="40" t="str">
        <f>IF($U232="","",IF(Config!$B$17=Config!$B$16,IF($U232&gt;=Config!$B$17,100,0),MAX(0,MIN(100,($U232-Config!$B$16)/(Config!$B$17-Config!$B$16)*100))))</f>
        <v/>
      </c>
      <c r="W232" s="40">
        <f>IF($L232="Elite",Config!$B$21,0)</f>
        <v>0</v>
      </c>
      <c r="X232" s="40" t="str">
        <f>IFERROR(IF(OR($T232="",$G232=""),"",IF($T232&gt;$G232,
  MAX(0, 60-(($T232-$G232)*24/Config!$B$19)*60),
  MEDIAN(60, 100, 60+(($G232-$T232)*24/Config!$B$20)*40)
)),"")
</f>
        <v/>
      </c>
      <c r="Y232" s="40" t="str">
        <f>IF($J232="","",IFERROR(VLOOKUP($J232,Grinders!$A:$N,10,FALSE),""))</f>
        <v/>
      </c>
      <c r="Z232" s="40" t="str">
        <f>IF($J232="","",IFERROR(VLOOKUP($J232,Grinders!$A:$N,11,FALSE),""))</f>
        <v/>
      </c>
      <c r="AA232" s="40" t="str">
        <f>IF($J232="","",IFERROR(VLOOKUP($J232,Grinders!$A:$N,12,FALSE),""))</f>
        <v/>
      </c>
      <c r="AB232" s="40" t="str">
        <f>IF(OR(AL232=1,AM232=1),0,=IFERROR(IF(OR($C232="",$J232=""),0,IF($D232&lt;&gt;"Open",0,IF(COUNTIFS(GrinderServices!$A:$A,$J232,GrinderServices!$B:$B,$E232,GrinderServices!$D:$D,"Y")=0,0,IF($U232&lt;Config!$B$16,0,IF(Config!$B$18=1,IF($N232&gt;=$M232,0,1),1))))),""))</f>
        <v>#ERROR!</v>
      </c>
      <c r="AC232" s="40" t="str">
        <f>IFERROR((IF(OR(AL232=1,AM232=1),"",=IFERROR((IFERROR(IF($AB232=0,"",((Config!$B$6*$V232 + Config!$B$7*$R232 + Config!$B$8*$W232 + Config!$B$9*$X232 + Config!$B$10*$Y232 + Config!$B$11*$Z232 - Config!$B$12*$AA232)/Config!$B$13)+$AH232+$AI232),""))*(1-IFERROR(VLOOKUP(J232,Grinders!$A:$AB, 28, FALSE),0)),"")))*(1+AO232),"")</f>
        <v>#ERROR!</v>
      </c>
      <c r="AD232" s="40" t="str">
        <f t="shared" si="4"/>
        <v/>
      </c>
      <c r="AE232" s="40" t="str">
        <f>IFERROR(__xludf.DUMMYFUNCTION("IF($AC232="""","""",IF($AC232=IFERROR(MAX(FILTER($AC$6:$AC$1000,$C$6:$C$1000=$C232,$AB$6:$AB$1000=1)),),""WINNER"",""""))"),"#ERROR!")</f>
        <v>#ERROR!</v>
      </c>
      <c r="AF232" s="40" t="str">
        <f t="shared" si="5"/>
        <v/>
      </c>
      <c r="AG232" s="40" t="str">
        <f>IF($J232="","",COUNTIF(Assignments!$B:$B,$J232))</f>
        <v/>
      </c>
      <c r="AH232" s="40" t="str">
        <f>IF($J232="","",IF(AND($AG232=0,$N232&lt;$M232),Config!$B$43,0))</f>
        <v/>
      </c>
      <c r="AI232" s="40" t="str">
        <f>IF($J232="","",IF(AND($L232="Elite",$F232&gt;=Config!$B$41,$N232&lt;$M232),Config!$B$42,0))</f>
        <v/>
      </c>
      <c r="AJ232" s="22"/>
      <c r="AK232" s="39">
        <f>IFERROR(VLOOKUP(J232,Grinders!$A:$Q,28,FALSE),0)</f>
        <v>0</v>
      </c>
      <c r="AL232" s="39">
        <f>IF(Config!$B$1003&lt;&gt;"Y",0,IF(IFERROR(VLOOKUP(J232,Grinders!$A:$P,27,FALSE),0)&gt;=3,IF(OR(F232&gt;=Config!$B$1001,ISNUMBER(SEARCH(E232,Config!$B$1002))),1,0),0))</f>
        <v>0</v>
      </c>
      <c r="AM232" s="39">
        <f t="array" ref="AM232">IFERROR(IF(INDEX(Bids!$AE:$AE,MATCH(B232,Bids!$A:$A,0))="Pending",1,0),0)</f>
        <v>0</v>
      </c>
      <c r="AN232" s="39" t="str">
        <f t="array" ref="AN232">IF(C232="","",IFERROR(XLOOKUP(C232,Assignments!$C:$C,Assignments!$AU:$AU,0),0))</f>
        <v/>
      </c>
      <c r="AO232" s="39">
        <f>IF(AND(Config!$B$1006="Y",AN232=1),Config!$B$1007,0)</f>
        <v>0</v>
      </c>
    </row>
    <row r="233" ht="15.75" customHeight="1">
      <c r="A233" s="46" t="str">
        <f t="shared" si="1"/>
        <v/>
      </c>
      <c r="B233" s="40" t="str">
        <f>IF(Bids!$A233="","",Bids!$A233)</f>
        <v/>
      </c>
      <c r="C233" s="40" t="str">
        <f>IF(Bids!$B233="","",Bids!$B233)</f>
        <v/>
      </c>
      <c r="D233" s="40" t="str">
        <f>IF($C233="","",IFERROR(VLOOKUP($C233,Orders!$A:$J,9,FALSE),""))</f>
        <v/>
      </c>
      <c r="E233" s="40" t="str">
        <f>IF($C233="","",IFERROR(VLOOKUP($C233,Orders!$A:$J,3,FALSE),""))</f>
        <v/>
      </c>
      <c r="F233" s="40" t="str">
        <f>IF($C233="","",IFERROR(VLOOKUP($C233,Orders!$A:$J,4,FALSE),""))</f>
        <v/>
      </c>
      <c r="G233" s="40" t="str">
        <f>IF($C233="","",IFERROR(VLOOKUP($C233,Orders!$A:$J,5,FALSE),""))</f>
        <v/>
      </c>
      <c r="H233" s="40" t="str">
        <f>IF($C233="","",IFERROR(VLOOKUP($C233,Orders!$A:$J,6,FALSE),""))</f>
        <v/>
      </c>
      <c r="I233" s="40" t="str">
        <f>IF($C233="","",IFERROR(VLOOKUP($C233,Orders!$A:$J,7,FALSE),""))</f>
        <v/>
      </c>
      <c r="J233" s="40" t="str">
        <f>IF(Bids!$C233="","",Bids!$C233)</f>
        <v/>
      </c>
      <c r="K233" s="40" t="str">
        <f>IF($J233="","",IFERROR(VLOOKUP($J233,Grinders!$A:$N,2,FALSE),""))</f>
        <v/>
      </c>
      <c r="L233" s="40" t="str">
        <f>IF($J233="","",IFERROR(VLOOKUP($J233,Grinders!$A:$N,3,FALSE),""))</f>
        <v/>
      </c>
      <c r="M233" s="40" t="str">
        <f>IF($J233="","",IFERROR(VLOOKUP($J233,Grinders!$A:$N,4,FALSE),""))</f>
        <v/>
      </c>
      <c r="N233" s="40" t="str">
        <f>IF($J233="","",IFERROR(VLOOKUP($J233,Grinders!$A:$N,5,FALSE),""))</f>
        <v/>
      </c>
      <c r="O233" s="40" t="str">
        <f t="shared" si="2"/>
        <v/>
      </c>
      <c r="P233" s="40" t="str">
        <f>IF($J233="","",IFERROR(VLOOKUP($J233,Grinders!$A:$N,6,FALSE),""))</f>
        <v/>
      </c>
      <c r="Q233" s="40" t="str">
        <f>IF($J233="","",IFERROR(VLOOKUP($J233,Grinders!$A:$N,8,FALSE),""))</f>
        <v/>
      </c>
      <c r="R233" s="40" t="str">
        <f>IFERROR(IF($J233="","",IF($L233="Elite",MAX(50,MIN(100,Config!$B$27*MAX(0,MIN(100,(1-IF($O233="",0,$O233))*100)) + Config!$B$28*MAX(0,MIN(100,(1-MIN(1,IF(Config!$B$30=0,1,$P233/Config!$B$30)))*100)) + Config!$B$29*MAX(0,MIN(100,MIN(1,IF($Q233="",0,$Q233)/Config!$B$23)*100)))),MIN(100,Config!$B$27*MAX(0,MIN(100,(1-IF($O233="",0,$O233))*100)) + Config!$B$28*MAX(0,MIN(100,(1-MIN(1,IF(Config!$B$30=0,1,$P233/Config!$B$30)))*100)) + Config!$B$29*MAX(0,MIN(100,MIN(1,IF($Q233="",0,$Q233)/Config!$B$23)*100))))),"")
</f>
        <v/>
      </c>
      <c r="S233" s="40" t="str">
        <f>IF(Bids!$AC233="","",Bids!$AC233)</f>
        <v/>
      </c>
      <c r="T233" s="40" t="str">
        <f>IF(Bids!$F233="","",Bids!$F233)</f>
        <v/>
      </c>
      <c r="U233" s="40" t="str">
        <f t="shared" si="3"/>
        <v/>
      </c>
      <c r="V233" s="40" t="str">
        <f>IF($U233="","",IF(Config!$B$17=Config!$B$16,IF($U233&gt;=Config!$B$17,100,0),MAX(0,MIN(100,($U233-Config!$B$16)/(Config!$B$17-Config!$B$16)*100))))</f>
        <v/>
      </c>
      <c r="W233" s="40">
        <f>IF($L233="Elite",Config!$B$21,0)</f>
        <v>0</v>
      </c>
      <c r="X233" s="40" t="str">
        <f>IFERROR(IF(OR($T233="",$G233=""),"",IF($T233&gt;$G233,
  MAX(0, 60-(($T233-$G233)*24/Config!$B$19)*60),
  MEDIAN(60, 100, 60+(($G233-$T233)*24/Config!$B$20)*40)
)),"")
</f>
        <v/>
      </c>
      <c r="Y233" s="40" t="str">
        <f>IF($J233="","",IFERROR(VLOOKUP($J233,Grinders!$A:$N,10,FALSE),""))</f>
        <v/>
      </c>
      <c r="Z233" s="40" t="str">
        <f>IF($J233="","",IFERROR(VLOOKUP($J233,Grinders!$A:$N,11,FALSE),""))</f>
        <v/>
      </c>
      <c r="AA233" s="40" t="str">
        <f>IF($J233="","",IFERROR(VLOOKUP($J233,Grinders!$A:$N,12,FALSE),""))</f>
        <v/>
      </c>
      <c r="AB233" s="40" t="str">
        <f>IF(OR(AL233=1,AM233=1),0,=IFERROR(IF(OR($C233="",$J233=""),0,IF($D233&lt;&gt;"Open",0,IF(COUNTIFS(GrinderServices!$A:$A,$J233,GrinderServices!$B:$B,$E233,GrinderServices!$D:$D,"Y")=0,0,IF($U233&lt;Config!$B$16,0,IF(Config!$B$18=1,IF($N233&gt;=$M233,0,1),1))))),""))</f>
        <v>#ERROR!</v>
      </c>
      <c r="AC233" s="40" t="str">
        <f>IFERROR((IF(OR(AL233=1,AM233=1),"",=IFERROR((IFERROR(IF($AB233=0,"",((Config!$B$6*$V233 + Config!$B$7*$R233 + Config!$B$8*$W233 + Config!$B$9*$X233 + Config!$B$10*$Y233 + Config!$B$11*$Z233 - Config!$B$12*$AA233)/Config!$B$13)+$AH233+$AI233),""))*(1-IFERROR(VLOOKUP(J233,Grinders!$A:$AB, 28, FALSE),0)),"")))*(1+AO233),"")</f>
        <v>#ERROR!</v>
      </c>
      <c r="AD233" s="40" t="str">
        <f t="shared" si="4"/>
        <v/>
      </c>
      <c r="AE233" s="40" t="str">
        <f>IFERROR(__xludf.DUMMYFUNCTION("IF($AC233="""","""",IF($AC233=IFERROR(MAX(FILTER($AC$6:$AC$1000,$C$6:$C$1000=$C233,$AB$6:$AB$1000=1)),),""WINNER"",""""))"),"#ERROR!")</f>
        <v>#ERROR!</v>
      </c>
      <c r="AF233" s="40" t="str">
        <f t="shared" si="5"/>
        <v/>
      </c>
      <c r="AG233" s="40" t="str">
        <f>IF($J233="","",COUNTIF(Assignments!$B:$B,$J233))</f>
        <v/>
      </c>
      <c r="AH233" s="40" t="str">
        <f>IF($J233="","",IF(AND($AG233=0,$N233&lt;$M233),Config!$B$43,0))</f>
        <v/>
      </c>
      <c r="AI233" s="40" t="str">
        <f>IF($J233="","",IF(AND($L233="Elite",$F233&gt;=Config!$B$41,$N233&lt;$M233),Config!$B$42,0))</f>
        <v/>
      </c>
      <c r="AJ233" s="22"/>
      <c r="AK233" s="39">
        <f>IFERROR(VLOOKUP(J233,Grinders!$A:$Q,28,FALSE),0)</f>
        <v>0</v>
      </c>
      <c r="AL233" s="39">
        <f>IF(Config!$B$1003&lt;&gt;"Y",0,IF(IFERROR(VLOOKUP(J233,Grinders!$A:$P,27,FALSE),0)&gt;=3,IF(OR(F233&gt;=Config!$B$1001,ISNUMBER(SEARCH(E233,Config!$B$1002))),1,0),0))</f>
        <v>0</v>
      </c>
      <c r="AM233" s="39">
        <f t="array" ref="AM233">IFERROR(IF(INDEX(Bids!$AE:$AE,MATCH(B233,Bids!$A:$A,0))="Pending",1,0),0)</f>
        <v>0</v>
      </c>
      <c r="AN233" s="39" t="str">
        <f t="array" ref="AN233">IF(C233="","",IFERROR(XLOOKUP(C233,Assignments!$C:$C,Assignments!$AU:$AU,0),0))</f>
        <v/>
      </c>
      <c r="AO233" s="39">
        <f>IF(AND(Config!$B$1006="Y",AN233=1),Config!$B$1007,0)</f>
        <v>0</v>
      </c>
    </row>
    <row r="234" ht="15.75" customHeight="1">
      <c r="A234" s="46" t="str">
        <f t="shared" si="1"/>
        <v/>
      </c>
      <c r="B234" s="40" t="str">
        <f>IF(Bids!$A234="","",Bids!$A234)</f>
        <v/>
      </c>
      <c r="C234" s="40" t="str">
        <f>IF(Bids!$B234="","",Bids!$B234)</f>
        <v/>
      </c>
      <c r="D234" s="40" t="str">
        <f>IF($C234="","",IFERROR(VLOOKUP($C234,Orders!$A:$J,9,FALSE),""))</f>
        <v/>
      </c>
      <c r="E234" s="40" t="str">
        <f>IF($C234="","",IFERROR(VLOOKUP($C234,Orders!$A:$J,3,FALSE),""))</f>
        <v/>
      </c>
      <c r="F234" s="40" t="str">
        <f>IF($C234="","",IFERROR(VLOOKUP($C234,Orders!$A:$J,4,FALSE),""))</f>
        <v/>
      </c>
      <c r="G234" s="40" t="str">
        <f>IF($C234="","",IFERROR(VLOOKUP($C234,Orders!$A:$J,5,FALSE),""))</f>
        <v/>
      </c>
      <c r="H234" s="40" t="str">
        <f>IF($C234="","",IFERROR(VLOOKUP($C234,Orders!$A:$J,6,FALSE),""))</f>
        <v/>
      </c>
      <c r="I234" s="40" t="str">
        <f>IF($C234="","",IFERROR(VLOOKUP($C234,Orders!$A:$J,7,FALSE),""))</f>
        <v/>
      </c>
      <c r="J234" s="40" t="str">
        <f>IF(Bids!$C234="","",Bids!$C234)</f>
        <v/>
      </c>
      <c r="K234" s="40" t="str">
        <f>IF($J234="","",IFERROR(VLOOKUP($J234,Grinders!$A:$N,2,FALSE),""))</f>
        <v/>
      </c>
      <c r="L234" s="40" t="str">
        <f>IF($J234="","",IFERROR(VLOOKUP($J234,Grinders!$A:$N,3,FALSE),""))</f>
        <v/>
      </c>
      <c r="M234" s="40" t="str">
        <f>IF($J234="","",IFERROR(VLOOKUP($J234,Grinders!$A:$N,4,FALSE),""))</f>
        <v/>
      </c>
      <c r="N234" s="40" t="str">
        <f>IF($J234="","",IFERROR(VLOOKUP($J234,Grinders!$A:$N,5,FALSE),""))</f>
        <v/>
      </c>
      <c r="O234" s="40" t="str">
        <f t="shared" si="2"/>
        <v/>
      </c>
      <c r="P234" s="40" t="str">
        <f>IF($J234="","",IFERROR(VLOOKUP($J234,Grinders!$A:$N,6,FALSE),""))</f>
        <v/>
      </c>
      <c r="Q234" s="40" t="str">
        <f>IF($J234="","",IFERROR(VLOOKUP($J234,Grinders!$A:$N,8,FALSE),""))</f>
        <v/>
      </c>
      <c r="R234" s="40" t="str">
        <f>IFERROR(IF($J234="","",IF($L234="Elite",MAX(50,MIN(100,Config!$B$27*MAX(0,MIN(100,(1-IF($O234="",0,$O234))*100)) + Config!$B$28*MAX(0,MIN(100,(1-MIN(1,IF(Config!$B$30=0,1,$P234/Config!$B$30)))*100)) + Config!$B$29*MAX(0,MIN(100,MIN(1,IF($Q234="",0,$Q234)/Config!$B$23)*100)))),MIN(100,Config!$B$27*MAX(0,MIN(100,(1-IF($O234="",0,$O234))*100)) + Config!$B$28*MAX(0,MIN(100,(1-MIN(1,IF(Config!$B$30=0,1,$P234/Config!$B$30)))*100)) + Config!$B$29*MAX(0,MIN(100,MIN(1,IF($Q234="",0,$Q234)/Config!$B$23)*100))))),"")
</f>
        <v/>
      </c>
      <c r="S234" s="40" t="str">
        <f>IF(Bids!$AC234="","",Bids!$AC234)</f>
        <v/>
      </c>
      <c r="T234" s="40" t="str">
        <f>IF(Bids!$F234="","",Bids!$F234)</f>
        <v/>
      </c>
      <c r="U234" s="40" t="str">
        <f t="shared" si="3"/>
        <v/>
      </c>
      <c r="V234" s="40" t="str">
        <f>IF($U234="","",IF(Config!$B$17=Config!$B$16,IF($U234&gt;=Config!$B$17,100,0),MAX(0,MIN(100,($U234-Config!$B$16)/(Config!$B$17-Config!$B$16)*100))))</f>
        <v/>
      </c>
      <c r="W234" s="40">
        <f>IF($L234="Elite",Config!$B$21,0)</f>
        <v>0</v>
      </c>
      <c r="X234" s="40" t="str">
        <f>IFERROR(IF(OR($T234="",$G234=""),"",IF($T234&gt;$G234,
  MAX(0, 60-(($T234-$G234)*24/Config!$B$19)*60),
  MEDIAN(60, 100, 60+(($G234-$T234)*24/Config!$B$20)*40)
)),"")
</f>
        <v/>
      </c>
      <c r="Y234" s="40" t="str">
        <f>IF($J234="","",IFERROR(VLOOKUP($J234,Grinders!$A:$N,10,FALSE),""))</f>
        <v/>
      </c>
      <c r="Z234" s="40" t="str">
        <f>IF($J234="","",IFERROR(VLOOKUP($J234,Grinders!$A:$N,11,FALSE),""))</f>
        <v/>
      </c>
      <c r="AA234" s="40" t="str">
        <f>IF($J234="","",IFERROR(VLOOKUP($J234,Grinders!$A:$N,12,FALSE),""))</f>
        <v/>
      </c>
      <c r="AB234" s="40" t="str">
        <f>IF(OR(AL234=1,AM234=1),0,=IFERROR(IF(OR($C234="",$J234=""),0,IF($D234&lt;&gt;"Open",0,IF(COUNTIFS(GrinderServices!$A:$A,$J234,GrinderServices!$B:$B,$E234,GrinderServices!$D:$D,"Y")=0,0,IF($U234&lt;Config!$B$16,0,IF(Config!$B$18=1,IF($N234&gt;=$M234,0,1),1))))),""))</f>
        <v>#ERROR!</v>
      </c>
      <c r="AC234" s="40" t="str">
        <f>IFERROR((IF(OR(AL234=1,AM234=1),"",=IFERROR((IFERROR(IF($AB234=0,"",((Config!$B$6*$V234 + Config!$B$7*$R234 + Config!$B$8*$W234 + Config!$B$9*$X234 + Config!$B$10*$Y234 + Config!$B$11*$Z234 - Config!$B$12*$AA234)/Config!$B$13)+$AH234+$AI234),""))*(1-IFERROR(VLOOKUP(J234,Grinders!$A:$AB, 28, FALSE),0)),"")))*(1+AO234),"")</f>
        <v>#ERROR!</v>
      </c>
      <c r="AD234" s="40" t="str">
        <f t="shared" si="4"/>
        <v/>
      </c>
      <c r="AE234" s="40" t="str">
        <f>IFERROR(__xludf.DUMMYFUNCTION("IF($AC234="""","""",IF($AC234=IFERROR(MAX(FILTER($AC$6:$AC$1000,$C$6:$C$1000=$C234,$AB$6:$AB$1000=1)),),""WINNER"",""""))"),"#ERROR!")</f>
        <v>#ERROR!</v>
      </c>
      <c r="AF234" s="40" t="str">
        <f t="shared" si="5"/>
        <v/>
      </c>
      <c r="AG234" s="40" t="str">
        <f>IF($J234="","",COUNTIF(Assignments!$B:$B,$J234))</f>
        <v/>
      </c>
      <c r="AH234" s="40" t="str">
        <f>IF($J234="","",IF(AND($AG234=0,$N234&lt;$M234),Config!$B$43,0))</f>
        <v/>
      </c>
      <c r="AI234" s="40" t="str">
        <f>IF($J234="","",IF(AND($L234="Elite",$F234&gt;=Config!$B$41,$N234&lt;$M234),Config!$B$42,0))</f>
        <v/>
      </c>
      <c r="AJ234" s="22"/>
      <c r="AK234" s="39">
        <f>IFERROR(VLOOKUP(J234,Grinders!$A:$Q,28,FALSE),0)</f>
        <v>0</v>
      </c>
      <c r="AL234" s="39">
        <f>IF(Config!$B$1003&lt;&gt;"Y",0,IF(IFERROR(VLOOKUP(J234,Grinders!$A:$P,27,FALSE),0)&gt;=3,IF(OR(F234&gt;=Config!$B$1001,ISNUMBER(SEARCH(E234,Config!$B$1002))),1,0),0))</f>
        <v>0</v>
      </c>
      <c r="AM234" s="39">
        <f t="array" ref="AM234">IFERROR(IF(INDEX(Bids!$AE:$AE,MATCH(B234,Bids!$A:$A,0))="Pending",1,0),0)</f>
        <v>0</v>
      </c>
      <c r="AN234" s="39" t="str">
        <f t="array" ref="AN234">IF(C234="","",IFERROR(XLOOKUP(C234,Assignments!$C:$C,Assignments!$AU:$AU,0),0))</f>
        <v/>
      </c>
      <c r="AO234" s="39">
        <f>IF(AND(Config!$B$1006="Y",AN234=1),Config!$B$1007,0)</f>
        <v>0</v>
      </c>
    </row>
    <row r="235" ht="15.75" customHeight="1">
      <c r="A235" s="46" t="str">
        <f t="shared" si="1"/>
        <v/>
      </c>
      <c r="B235" s="40" t="str">
        <f>IF(Bids!$A235="","",Bids!$A235)</f>
        <v/>
      </c>
      <c r="C235" s="40" t="str">
        <f>IF(Bids!$B235="","",Bids!$B235)</f>
        <v/>
      </c>
      <c r="D235" s="40" t="str">
        <f>IF($C235="","",IFERROR(VLOOKUP($C235,Orders!$A:$J,9,FALSE),""))</f>
        <v/>
      </c>
      <c r="E235" s="40" t="str">
        <f>IF($C235="","",IFERROR(VLOOKUP($C235,Orders!$A:$J,3,FALSE),""))</f>
        <v/>
      </c>
      <c r="F235" s="40" t="str">
        <f>IF($C235="","",IFERROR(VLOOKUP($C235,Orders!$A:$J,4,FALSE),""))</f>
        <v/>
      </c>
      <c r="G235" s="40" t="str">
        <f>IF($C235="","",IFERROR(VLOOKUP($C235,Orders!$A:$J,5,FALSE),""))</f>
        <v/>
      </c>
      <c r="H235" s="40" t="str">
        <f>IF($C235="","",IFERROR(VLOOKUP($C235,Orders!$A:$J,6,FALSE),""))</f>
        <v/>
      </c>
      <c r="I235" s="40" t="str">
        <f>IF($C235="","",IFERROR(VLOOKUP($C235,Orders!$A:$J,7,FALSE),""))</f>
        <v/>
      </c>
      <c r="J235" s="40" t="str">
        <f>IF(Bids!$C235="","",Bids!$C235)</f>
        <v/>
      </c>
      <c r="K235" s="40" t="str">
        <f>IF($J235="","",IFERROR(VLOOKUP($J235,Grinders!$A:$N,2,FALSE),""))</f>
        <v/>
      </c>
      <c r="L235" s="40" t="str">
        <f>IF($J235="","",IFERROR(VLOOKUP($J235,Grinders!$A:$N,3,FALSE),""))</f>
        <v/>
      </c>
      <c r="M235" s="40" t="str">
        <f>IF($J235="","",IFERROR(VLOOKUP($J235,Grinders!$A:$N,4,FALSE),""))</f>
        <v/>
      </c>
      <c r="N235" s="40" t="str">
        <f>IF($J235="","",IFERROR(VLOOKUP($J235,Grinders!$A:$N,5,FALSE),""))</f>
        <v/>
      </c>
      <c r="O235" s="40" t="str">
        <f t="shared" si="2"/>
        <v/>
      </c>
      <c r="P235" s="40" t="str">
        <f>IF($J235="","",IFERROR(VLOOKUP($J235,Grinders!$A:$N,6,FALSE),""))</f>
        <v/>
      </c>
      <c r="Q235" s="40" t="str">
        <f>IF($J235="","",IFERROR(VLOOKUP($J235,Grinders!$A:$N,8,FALSE),""))</f>
        <v/>
      </c>
      <c r="R235" s="40" t="str">
        <f>IFERROR(IF($J235="","",IF($L235="Elite",MAX(50,MIN(100,Config!$B$27*MAX(0,MIN(100,(1-IF($O235="",0,$O235))*100)) + Config!$B$28*MAX(0,MIN(100,(1-MIN(1,IF(Config!$B$30=0,1,$P235/Config!$B$30)))*100)) + Config!$B$29*MAX(0,MIN(100,MIN(1,IF($Q235="",0,$Q235)/Config!$B$23)*100)))),MIN(100,Config!$B$27*MAX(0,MIN(100,(1-IF($O235="",0,$O235))*100)) + Config!$B$28*MAX(0,MIN(100,(1-MIN(1,IF(Config!$B$30=0,1,$P235/Config!$B$30)))*100)) + Config!$B$29*MAX(0,MIN(100,MIN(1,IF($Q235="",0,$Q235)/Config!$B$23)*100))))),"")
</f>
        <v/>
      </c>
      <c r="S235" s="40" t="str">
        <f>IF(Bids!$AC235="","",Bids!$AC235)</f>
        <v/>
      </c>
      <c r="T235" s="40" t="str">
        <f>IF(Bids!$F235="","",Bids!$F235)</f>
        <v/>
      </c>
      <c r="U235" s="40" t="str">
        <f t="shared" si="3"/>
        <v/>
      </c>
      <c r="V235" s="40" t="str">
        <f>IF($U235="","",IF(Config!$B$17=Config!$B$16,IF($U235&gt;=Config!$B$17,100,0),MAX(0,MIN(100,($U235-Config!$B$16)/(Config!$B$17-Config!$B$16)*100))))</f>
        <v/>
      </c>
      <c r="W235" s="40">
        <f>IF($L235="Elite",Config!$B$21,0)</f>
        <v>0</v>
      </c>
      <c r="X235" s="40" t="str">
        <f>IFERROR(IF(OR($T235="",$G235=""),"",IF($T235&gt;$G235,
  MAX(0, 60-(($T235-$G235)*24/Config!$B$19)*60),
  MEDIAN(60, 100, 60+(($G235-$T235)*24/Config!$B$20)*40)
)),"")
</f>
        <v/>
      </c>
      <c r="Y235" s="40" t="str">
        <f>IF($J235="","",IFERROR(VLOOKUP($J235,Grinders!$A:$N,10,FALSE),""))</f>
        <v/>
      </c>
      <c r="Z235" s="40" t="str">
        <f>IF($J235="","",IFERROR(VLOOKUP($J235,Grinders!$A:$N,11,FALSE),""))</f>
        <v/>
      </c>
      <c r="AA235" s="40" t="str">
        <f>IF($J235="","",IFERROR(VLOOKUP($J235,Grinders!$A:$N,12,FALSE),""))</f>
        <v/>
      </c>
      <c r="AB235" s="40" t="str">
        <f>IF(OR(AL235=1,AM235=1),0,=IFERROR(IF(OR($C235="",$J235=""),0,IF($D235&lt;&gt;"Open",0,IF(COUNTIFS(GrinderServices!$A:$A,$J235,GrinderServices!$B:$B,$E235,GrinderServices!$D:$D,"Y")=0,0,IF($U235&lt;Config!$B$16,0,IF(Config!$B$18=1,IF($N235&gt;=$M235,0,1),1))))),""))</f>
        <v>#ERROR!</v>
      </c>
      <c r="AC235" s="40" t="str">
        <f>IFERROR((IF(OR(AL235=1,AM235=1),"",=IFERROR((IFERROR(IF($AB235=0,"",((Config!$B$6*$V235 + Config!$B$7*$R235 + Config!$B$8*$W235 + Config!$B$9*$X235 + Config!$B$10*$Y235 + Config!$B$11*$Z235 - Config!$B$12*$AA235)/Config!$B$13)+$AH235+$AI235),""))*(1-IFERROR(VLOOKUP(J235,Grinders!$A:$AB, 28, FALSE),0)),"")))*(1+AO235),"")</f>
        <v>#ERROR!</v>
      </c>
      <c r="AD235" s="40" t="str">
        <f t="shared" si="4"/>
        <v/>
      </c>
      <c r="AE235" s="40" t="str">
        <f>IFERROR(__xludf.DUMMYFUNCTION("IF($AC235="""","""",IF($AC235=IFERROR(MAX(FILTER($AC$6:$AC$1000,$C$6:$C$1000=$C235,$AB$6:$AB$1000=1)),),""WINNER"",""""))"),"#ERROR!")</f>
        <v>#ERROR!</v>
      </c>
      <c r="AF235" s="40" t="str">
        <f t="shared" si="5"/>
        <v/>
      </c>
      <c r="AG235" s="40" t="str">
        <f>IF($J235="","",COUNTIF(Assignments!$B:$B,$J235))</f>
        <v/>
      </c>
      <c r="AH235" s="40" t="str">
        <f>IF($J235="","",IF(AND($AG235=0,$N235&lt;$M235),Config!$B$43,0))</f>
        <v/>
      </c>
      <c r="AI235" s="40" t="str">
        <f>IF($J235="","",IF(AND($L235="Elite",$F235&gt;=Config!$B$41,$N235&lt;$M235),Config!$B$42,0))</f>
        <v/>
      </c>
      <c r="AJ235" s="22"/>
      <c r="AK235" s="39">
        <f>IFERROR(VLOOKUP(J235,Grinders!$A:$Q,28,FALSE),0)</f>
        <v>0</v>
      </c>
      <c r="AL235" s="39">
        <f>IF(Config!$B$1003&lt;&gt;"Y",0,IF(IFERROR(VLOOKUP(J235,Grinders!$A:$P,27,FALSE),0)&gt;=3,IF(OR(F235&gt;=Config!$B$1001,ISNUMBER(SEARCH(E235,Config!$B$1002))),1,0),0))</f>
        <v>0</v>
      </c>
      <c r="AM235" s="39">
        <f t="array" ref="AM235">IFERROR(IF(INDEX(Bids!$AE:$AE,MATCH(B235,Bids!$A:$A,0))="Pending",1,0),0)</f>
        <v>0</v>
      </c>
      <c r="AN235" s="39" t="str">
        <f t="array" ref="AN235">IF(C235="","",IFERROR(XLOOKUP(C235,Assignments!$C:$C,Assignments!$AU:$AU,0),0))</f>
        <v/>
      </c>
      <c r="AO235" s="39">
        <f>IF(AND(Config!$B$1006="Y",AN235=1),Config!$B$1007,0)</f>
        <v>0</v>
      </c>
    </row>
    <row r="236" ht="15.75" customHeight="1">
      <c r="A236" s="46" t="str">
        <f t="shared" si="1"/>
        <v/>
      </c>
      <c r="B236" s="40" t="str">
        <f>IF(Bids!$A236="","",Bids!$A236)</f>
        <v/>
      </c>
      <c r="C236" s="40" t="str">
        <f>IF(Bids!$B236="","",Bids!$B236)</f>
        <v/>
      </c>
      <c r="D236" s="40" t="str">
        <f>IF($C236="","",IFERROR(VLOOKUP($C236,Orders!$A:$J,9,FALSE),""))</f>
        <v/>
      </c>
      <c r="E236" s="40" t="str">
        <f>IF($C236="","",IFERROR(VLOOKUP($C236,Orders!$A:$J,3,FALSE),""))</f>
        <v/>
      </c>
      <c r="F236" s="40" t="str">
        <f>IF($C236="","",IFERROR(VLOOKUP($C236,Orders!$A:$J,4,FALSE),""))</f>
        <v/>
      </c>
      <c r="G236" s="40" t="str">
        <f>IF($C236="","",IFERROR(VLOOKUP($C236,Orders!$A:$J,5,FALSE),""))</f>
        <v/>
      </c>
      <c r="H236" s="40" t="str">
        <f>IF($C236="","",IFERROR(VLOOKUP($C236,Orders!$A:$J,6,FALSE),""))</f>
        <v/>
      </c>
      <c r="I236" s="40" t="str">
        <f>IF($C236="","",IFERROR(VLOOKUP($C236,Orders!$A:$J,7,FALSE),""))</f>
        <v/>
      </c>
      <c r="J236" s="40" t="str">
        <f>IF(Bids!$C236="","",Bids!$C236)</f>
        <v/>
      </c>
      <c r="K236" s="40" t="str">
        <f>IF($J236="","",IFERROR(VLOOKUP($J236,Grinders!$A:$N,2,FALSE),""))</f>
        <v/>
      </c>
      <c r="L236" s="40" t="str">
        <f>IF($J236="","",IFERROR(VLOOKUP($J236,Grinders!$A:$N,3,FALSE),""))</f>
        <v/>
      </c>
      <c r="M236" s="40" t="str">
        <f>IF($J236="","",IFERROR(VLOOKUP($J236,Grinders!$A:$N,4,FALSE),""))</f>
        <v/>
      </c>
      <c r="N236" s="40" t="str">
        <f>IF($J236="","",IFERROR(VLOOKUP($J236,Grinders!$A:$N,5,FALSE),""))</f>
        <v/>
      </c>
      <c r="O236" s="40" t="str">
        <f t="shared" si="2"/>
        <v/>
      </c>
      <c r="P236" s="40" t="str">
        <f>IF($J236="","",IFERROR(VLOOKUP($J236,Grinders!$A:$N,6,FALSE),""))</f>
        <v/>
      </c>
      <c r="Q236" s="40" t="str">
        <f>IF($J236="","",IFERROR(VLOOKUP($J236,Grinders!$A:$N,8,FALSE),""))</f>
        <v/>
      </c>
      <c r="R236" s="40" t="str">
        <f>IFERROR(IF($J236="","",IF($L236="Elite",MAX(50,MIN(100,Config!$B$27*MAX(0,MIN(100,(1-IF($O236="",0,$O236))*100)) + Config!$B$28*MAX(0,MIN(100,(1-MIN(1,IF(Config!$B$30=0,1,$P236/Config!$B$30)))*100)) + Config!$B$29*MAX(0,MIN(100,MIN(1,IF($Q236="",0,$Q236)/Config!$B$23)*100)))),MIN(100,Config!$B$27*MAX(0,MIN(100,(1-IF($O236="",0,$O236))*100)) + Config!$B$28*MAX(0,MIN(100,(1-MIN(1,IF(Config!$B$30=0,1,$P236/Config!$B$30)))*100)) + Config!$B$29*MAX(0,MIN(100,MIN(1,IF($Q236="",0,$Q236)/Config!$B$23)*100))))),"")
</f>
        <v/>
      </c>
      <c r="S236" s="40" t="str">
        <f>IF(Bids!$AC236="","",Bids!$AC236)</f>
        <v/>
      </c>
      <c r="T236" s="40" t="str">
        <f>IF(Bids!$F236="","",Bids!$F236)</f>
        <v/>
      </c>
      <c r="U236" s="40" t="str">
        <f t="shared" si="3"/>
        <v/>
      </c>
      <c r="V236" s="40" t="str">
        <f>IF($U236="","",IF(Config!$B$17=Config!$B$16,IF($U236&gt;=Config!$B$17,100,0),MAX(0,MIN(100,($U236-Config!$B$16)/(Config!$B$17-Config!$B$16)*100))))</f>
        <v/>
      </c>
      <c r="W236" s="40">
        <f>IF($L236="Elite",Config!$B$21,0)</f>
        <v>0</v>
      </c>
      <c r="X236" s="40" t="str">
        <f>IFERROR(IF(OR($T236="",$G236=""),"",IF($T236&gt;$G236,
  MAX(0, 60-(($T236-$G236)*24/Config!$B$19)*60),
  MEDIAN(60, 100, 60+(($G236-$T236)*24/Config!$B$20)*40)
)),"")
</f>
        <v/>
      </c>
      <c r="Y236" s="40" t="str">
        <f>IF($J236="","",IFERROR(VLOOKUP($J236,Grinders!$A:$N,10,FALSE),""))</f>
        <v/>
      </c>
      <c r="Z236" s="40" t="str">
        <f>IF($J236="","",IFERROR(VLOOKUP($J236,Grinders!$A:$N,11,FALSE),""))</f>
        <v/>
      </c>
      <c r="AA236" s="40" t="str">
        <f>IF($J236="","",IFERROR(VLOOKUP($J236,Grinders!$A:$N,12,FALSE),""))</f>
        <v/>
      </c>
      <c r="AB236" s="40" t="str">
        <f>IF(OR(AL236=1,AM236=1),0,=IFERROR(IF(OR($C236="",$J236=""),0,IF($D236&lt;&gt;"Open",0,IF(COUNTIFS(GrinderServices!$A:$A,$J236,GrinderServices!$B:$B,$E236,GrinderServices!$D:$D,"Y")=0,0,IF($U236&lt;Config!$B$16,0,IF(Config!$B$18=1,IF($N236&gt;=$M236,0,1),1))))),""))</f>
        <v>#ERROR!</v>
      </c>
      <c r="AC236" s="40" t="str">
        <f>IFERROR((IF(OR(AL236=1,AM236=1),"",=IFERROR((IFERROR(IF($AB236=0,"",((Config!$B$6*$V236 + Config!$B$7*$R236 + Config!$B$8*$W236 + Config!$B$9*$X236 + Config!$B$10*$Y236 + Config!$B$11*$Z236 - Config!$B$12*$AA236)/Config!$B$13)+$AH236+$AI236),""))*(1-IFERROR(VLOOKUP(J236,Grinders!$A:$AB, 28, FALSE),0)),"")))*(1+AO236),"")</f>
        <v>#ERROR!</v>
      </c>
      <c r="AD236" s="40" t="str">
        <f t="shared" si="4"/>
        <v/>
      </c>
      <c r="AE236" s="40" t="str">
        <f>IFERROR(__xludf.DUMMYFUNCTION("IF($AC236="""","""",IF($AC236=IFERROR(MAX(FILTER($AC$6:$AC$1000,$C$6:$C$1000=$C236,$AB$6:$AB$1000=1)),),""WINNER"",""""))"),"#ERROR!")</f>
        <v>#ERROR!</v>
      </c>
      <c r="AF236" s="40" t="str">
        <f t="shared" si="5"/>
        <v/>
      </c>
      <c r="AG236" s="40" t="str">
        <f>IF($J236="","",COUNTIF(Assignments!$B:$B,$J236))</f>
        <v/>
      </c>
      <c r="AH236" s="40" t="str">
        <f>IF($J236="","",IF(AND($AG236=0,$N236&lt;$M236),Config!$B$43,0))</f>
        <v/>
      </c>
      <c r="AI236" s="40" t="str">
        <f>IF($J236="","",IF(AND($L236="Elite",$F236&gt;=Config!$B$41,$N236&lt;$M236),Config!$B$42,0))</f>
        <v/>
      </c>
      <c r="AJ236" s="22"/>
      <c r="AK236" s="39">
        <f>IFERROR(VLOOKUP(J236,Grinders!$A:$Q,28,FALSE),0)</f>
        <v>0</v>
      </c>
      <c r="AL236" s="39">
        <f>IF(Config!$B$1003&lt;&gt;"Y",0,IF(IFERROR(VLOOKUP(J236,Grinders!$A:$P,27,FALSE),0)&gt;=3,IF(OR(F236&gt;=Config!$B$1001,ISNUMBER(SEARCH(E236,Config!$B$1002))),1,0),0))</f>
        <v>0</v>
      </c>
      <c r="AM236" s="39">
        <f t="array" ref="AM236">IFERROR(IF(INDEX(Bids!$AE:$AE,MATCH(B236,Bids!$A:$A,0))="Pending",1,0),0)</f>
        <v>0</v>
      </c>
      <c r="AN236" s="39" t="str">
        <f t="array" ref="AN236">IF(C236="","",IFERROR(XLOOKUP(C236,Assignments!$C:$C,Assignments!$AU:$AU,0),0))</f>
        <v/>
      </c>
      <c r="AO236" s="39">
        <f>IF(AND(Config!$B$1006="Y",AN236=1),Config!$B$1007,0)</f>
        <v>0</v>
      </c>
    </row>
    <row r="237" ht="15.75" customHeight="1">
      <c r="A237" s="46" t="str">
        <f t="shared" si="1"/>
        <v/>
      </c>
      <c r="B237" s="40" t="str">
        <f>IF(Bids!$A237="","",Bids!$A237)</f>
        <v/>
      </c>
      <c r="C237" s="40" t="str">
        <f>IF(Bids!$B237="","",Bids!$B237)</f>
        <v/>
      </c>
      <c r="D237" s="40" t="str">
        <f>IF($C237="","",IFERROR(VLOOKUP($C237,Orders!$A:$J,9,FALSE),""))</f>
        <v/>
      </c>
      <c r="E237" s="40" t="str">
        <f>IF($C237="","",IFERROR(VLOOKUP($C237,Orders!$A:$J,3,FALSE),""))</f>
        <v/>
      </c>
      <c r="F237" s="40" t="str">
        <f>IF($C237="","",IFERROR(VLOOKUP($C237,Orders!$A:$J,4,FALSE),""))</f>
        <v/>
      </c>
      <c r="G237" s="40" t="str">
        <f>IF($C237="","",IFERROR(VLOOKUP($C237,Orders!$A:$J,5,FALSE),""))</f>
        <v/>
      </c>
      <c r="H237" s="40" t="str">
        <f>IF($C237="","",IFERROR(VLOOKUP($C237,Orders!$A:$J,6,FALSE),""))</f>
        <v/>
      </c>
      <c r="I237" s="40" t="str">
        <f>IF($C237="","",IFERROR(VLOOKUP($C237,Orders!$A:$J,7,FALSE),""))</f>
        <v/>
      </c>
      <c r="J237" s="40" t="str">
        <f>IF(Bids!$C237="","",Bids!$C237)</f>
        <v/>
      </c>
      <c r="K237" s="40" t="str">
        <f>IF($J237="","",IFERROR(VLOOKUP($J237,Grinders!$A:$N,2,FALSE),""))</f>
        <v/>
      </c>
      <c r="L237" s="40" t="str">
        <f>IF($J237="","",IFERROR(VLOOKUP($J237,Grinders!$A:$N,3,FALSE),""))</f>
        <v/>
      </c>
      <c r="M237" s="40" t="str">
        <f>IF($J237="","",IFERROR(VLOOKUP($J237,Grinders!$A:$N,4,FALSE),""))</f>
        <v/>
      </c>
      <c r="N237" s="40" t="str">
        <f>IF($J237="","",IFERROR(VLOOKUP($J237,Grinders!$A:$N,5,FALSE),""))</f>
        <v/>
      </c>
      <c r="O237" s="40" t="str">
        <f t="shared" si="2"/>
        <v/>
      </c>
      <c r="P237" s="40" t="str">
        <f>IF($J237="","",IFERROR(VLOOKUP($J237,Grinders!$A:$N,6,FALSE),""))</f>
        <v/>
      </c>
      <c r="Q237" s="40" t="str">
        <f>IF($J237="","",IFERROR(VLOOKUP($J237,Grinders!$A:$N,8,FALSE),""))</f>
        <v/>
      </c>
      <c r="R237" s="40" t="str">
        <f>IFERROR(IF($J237="","",IF($L237="Elite",MAX(50,MIN(100,Config!$B$27*MAX(0,MIN(100,(1-IF($O237="",0,$O237))*100)) + Config!$B$28*MAX(0,MIN(100,(1-MIN(1,IF(Config!$B$30=0,1,$P237/Config!$B$30)))*100)) + Config!$B$29*MAX(0,MIN(100,MIN(1,IF($Q237="",0,$Q237)/Config!$B$23)*100)))),MIN(100,Config!$B$27*MAX(0,MIN(100,(1-IF($O237="",0,$O237))*100)) + Config!$B$28*MAX(0,MIN(100,(1-MIN(1,IF(Config!$B$30=0,1,$P237/Config!$B$30)))*100)) + Config!$B$29*MAX(0,MIN(100,MIN(1,IF($Q237="",0,$Q237)/Config!$B$23)*100))))),"")
</f>
        <v/>
      </c>
      <c r="S237" s="40" t="str">
        <f>IF(Bids!$AC237="","",Bids!$AC237)</f>
        <v/>
      </c>
      <c r="T237" s="40" t="str">
        <f>IF(Bids!$F237="","",Bids!$F237)</f>
        <v/>
      </c>
      <c r="U237" s="40" t="str">
        <f t="shared" si="3"/>
        <v/>
      </c>
      <c r="V237" s="40" t="str">
        <f>IF($U237="","",IF(Config!$B$17=Config!$B$16,IF($U237&gt;=Config!$B$17,100,0),MAX(0,MIN(100,($U237-Config!$B$16)/(Config!$B$17-Config!$B$16)*100))))</f>
        <v/>
      </c>
      <c r="W237" s="40">
        <f>IF($L237="Elite",Config!$B$21,0)</f>
        <v>0</v>
      </c>
      <c r="X237" s="40" t="str">
        <f>IFERROR(IF(OR($T237="",$G237=""),"",IF($T237&gt;$G237,
  MAX(0, 60-(($T237-$G237)*24/Config!$B$19)*60),
  MEDIAN(60, 100, 60+(($G237-$T237)*24/Config!$B$20)*40)
)),"")
</f>
        <v/>
      </c>
      <c r="Y237" s="40" t="str">
        <f>IF($J237="","",IFERROR(VLOOKUP($J237,Grinders!$A:$N,10,FALSE),""))</f>
        <v/>
      </c>
      <c r="Z237" s="40" t="str">
        <f>IF($J237="","",IFERROR(VLOOKUP($J237,Grinders!$A:$N,11,FALSE),""))</f>
        <v/>
      </c>
      <c r="AA237" s="40" t="str">
        <f>IF($J237="","",IFERROR(VLOOKUP($J237,Grinders!$A:$N,12,FALSE),""))</f>
        <v/>
      </c>
      <c r="AB237" s="40" t="str">
        <f>IF(OR(AL237=1,AM237=1),0,=IFERROR(IF(OR($C237="",$J237=""),0,IF($D237&lt;&gt;"Open",0,IF(COUNTIFS(GrinderServices!$A:$A,$J237,GrinderServices!$B:$B,$E237,GrinderServices!$D:$D,"Y")=0,0,IF($U237&lt;Config!$B$16,0,IF(Config!$B$18=1,IF($N237&gt;=$M237,0,1),1))))),""))</f>
        <v>#ERROR!</v>
      </c>
      <c r="AC237" s="40" t="str">
        <f>IFERROR((IF(OR(AL237=1,AM237=1),"",=IFERROR((IFERROR(IF($AB237=0,"",((Config!$B$6*$V237 + Config!$B$7*$R237 + Config!$B$8*$W237 + Config!$B$9*$X237 + Config!$B$10*$Y237 + Config!$B$11*$Z237 - Config!$B$12*$AA237)/Config!$B$13)+$AH237+$AI237),""))*(1-IFERROR(VLOOKUP(J237,Grinders!$A:$AB, 28, FALSE),0)),"")))*(1+AO237),"")</f>
        <v>#ERROR!</v>
      </c>
      <c r="AD237" s="40" t="str">
        <f t="shared" si="4"/>
        <v/>
      </c>
      <c r="AE237" s="40" t="str">
        <f>IFERROR(__xludf.DUMMYFUNCTION("IF($AC237="""","""",IF($AC237=IFERROR(MAX(FILTER($AC$6:$AC$1000,$C$6:$C$1000=$C237,$AB$6:$AB$1000=1)),),""WINNER"",""""))"),"#ERROR!")</f>
        <v>#ERROR!</v>
      </c>
      <c r="AF237" s="40" t="str">
        <f t="shared" si="5"/>
        <v/>
      </c>
      <c r="AG237" s="40" t="str">
        <f>IF($J237="","",COUNTIF(Assignments!$B:$B,$J237))</f>
        <v/>
      </c>
      <c r="AH237" s="40" t="str">
        <f>IF($J237="","",IF(AND($AG237=0,$N237&lt;$M237),Config!$B$43,0))</f>
        <v/>
      </c>
      <c r="AI237" s="40" t="str">
        <f>IF($J237="","",IF(AND($L237="Elite",$F237&gt;=Config!$B$41,$N237&lt;$M237),Config!$B$42,0))</f>
        <v/>
      </c>
      <c r="AJ237" s="22"/>
      <c r="AK237" s="39">
        <f>IFERROR(VLOOKUP(J237,Grinders!$A:$Q,28,FALSE),0)</f>
        <v>0</v>
      </c>
      <c r="AL237" s="39">
        <f>IF(Config!$B$1003&lt;&gt;"Y",0,IF(IFERROR(VLOOKUP(J237,Grinders!$A:$P,27,FALSE),0)&gt;=3,IF(OR(F237&gt;=Config!$B$1001,ISNUMBER(SEARCH(E237,Config!$B$1002))),1,0),0))</f>
        <v>0</v>
      </c>
      <c r="AM237" s="39">
        <f t="array" ref="AM237">IFERROR(IF(INDEX(Bids!$AE:$AE,MATCH(B237,Bids!$A:$A,0))="Pending",1,0),0)</f>
        <v>0</v>
      </c>
      <c r="AN237" s="39" t="str">
        <f t="array" ref="AN237">IF(C237="","",IFERROR(XLOOKUP(C237,Assignments!$C:$C,Assignments!$AU:$AU,0),0))</f>
        <v/>
      </c>
      <c r="AO237" s="39">
        <f>IF(AND(Config!$B$1006="Y",AN237=1),Config!$B$1007,0)</f>
        <v>0</v>
      </c>
    </row>
    <row r="238" ht="15.75" customHeight="1">
      <c r="A238" s="46" t="str">
        <f t="shared" si="1"/>
        <v/>
      </c>
      <c r="B238" s="40" t="str">
        <f>IF(Bids!$A238="","",Bids!$A238)</f>
        <v/>
      </c>
      <c r="C238" s="40" t="str">
        <f>IF(Bids!$B238="","",Bids!$B238)</f>
        <v/>
      </c>
      <c r="D238" s="40" t="str">
        <f>IF($C238="","",IFERROR(VLOOKUP($C238,Orders!$A:$J,9,FALSE),""))</f>
        <v/>
      </c>
      <c r="E238" s="40" t="str">
        <f>IF($C238="","",IFERROR(VLOOKUP($C238,Orders!$A:$J,3,FALSE),""))</f>
        <v/>
      </c>
      <c r="F238" s="40" t="str">
        <f>IF($C238="","",IFERROR(VLOOKUP($C238,Orders!$A:$J,4,FALSE),""))</f>
        <v/>
      </c>
      <c r="G238" s="40" t="str">
        <f>IF($C238="","",IFERROR(VLOOKUP($C238,Orders!$A:$J,5,FALSE),""))</f>
        <v/>
      </c>
      <c r="H238" s="40" t="str">
        <f>IF($C238="","",IFERROR(VLOOKUP($C238,Orders!$A:$J,6,FALSE),""))</f>
        <v/>
      </c>
      <c r="I238" s="40" t="str">
        <f>IF($C238="","",IFERROR(VLOOKUP($C238,Orders!$A:$J,7,FALSE),""))</f>
        <v/>
      </c>
      <c r="J238" s="40" t="str">
        <f>IF(Bids!$C238="","",Bids!$C238)</f>
        <v/>
      </c>
      <c r="K238" s="40" t="str">
        <f>IF($J238="","",IFERROR(VLOOKUP($J238,Grinders!$A:$N,2,FALSE),""))</f>
        <v/>
      </c>
      <c r="L238" s="40" t="str">
        <f>IF($J238="","",IFERROR(VLOOKUP($J238,Grinders!$A:$N,3,FALSE),""))</f>
        <v/>
      </c>
      <c r="M238" s="40" t="str">
        <f>IF($J238="","",IFERROR(VLOOKUP($J238,Grinders!$A:$N,4,FALSE),""))</f>
        <v/>
      </c>
      <c r="N238" s="40" t="str">
        <f>IF($J238="","",IFERROR(VLOOKUP($J238,Grinders!$A:$N,5,FALSE),""))</f>
        <v/>
      </c>
      <c r="O238" s="40" t="str">
        <f t="shared" si="2"/>
        <v/>
      </c>
      <c r="P238" s="40" t="str">
        <f>IF($J238="","",IFERROR(VLOOKUP($J238,Grinders!$A:$N,6,FALSE),""))</f>
        <v/>
      </c>
      <c r="Q238" s="40" t="str">
        <f>IF($J238="","",IFERROR(VLOOKUP($J238,Grinders!$A:$N,8,FALSE),""))</f>
        <v/>
      </c>
      <c r="R238" s="40" t="str">
        <f>IFERROR(IF($J238="","",IF($L238="Elite",MAX(50,MIN(100,Config!$B$27*MAX(0,MIN(100,(1-IF($O238="",0,$O238))*100)) + Config!$B$28*MAX(0,MIN(100,(1-MIN(1,IF(Config!$B$30=0,1,$P238/Config!$B$30)))*100)) + Config!$B$29*MAX(0,MIN(100,MIN(1,IF($Q238="",0,$Q238)/Config!$B$23)*100)))),MIN(100,Config!$B$27*MAX(0,MIN(100,(1-IF($O238="",0,$O238))*100)) + Config!$B$28*MAX(0,MIN(100,(1-MIN(1,IF(Config!$B$30=0,1,$P238/Config!$B$30)))*100)) + Config!$B$29*MAX(0,MIN(100,MIN(1,IF($Q238="",0,$Q238)/Config!$B$23)*100))))),"")
</f>
        <v/>
      </c>
      <c r="S238" s="40" t="str">
        <f>IF(Bids!$AC238="","",Bids!$AC238)</f>
        <v/>
      </c>
      <c r="T238" s="40" t="str">
        <f>IF(Bids!$F238="","",Bids!$F238)</f>
        <v/>
      </c>
      <c r="U238" s="40" t="str">
        <f t="shared" si="3"/>
        <v/>
      </c>
      <c r="V238" s="40" t="str">
        <f>IF($U238="","",IF(Config!$B$17=Config!$B$16,IF($U238&gt;=Config!$B$17,100,0),MAX(0,MIN(100,($U238-Config!$B$16)/(Config!$B$17-Config!$B$16)*100))))</f>
        <v/>
      </c>
      <c r="W238" s="40">
        <f>IF($L238="Elite",Config!$B$21,0)</f>
        <v>0</v>
      </c>
      <c r="X238" s="40" t="str">
        <f>IFERROR(IF(OR($T238="",$G238=""),"",IF($T238&gt;$G238,
  MAX(0, 60-(($T238-$G238)*24/Config!$B$19)*60),
  MEDIAN(60, 100, 60+(($G238-$T238)*24/Config!$B$20)*40)
)),"")
</f>
        <v/>
      </c>
      <c r="Y238" s="40" t="str">
        <f>IF($J238="","",IFERROR(VLOOKUP($J238,Grinders!$A:$N,10,FALSE),""))</f>
        <v/>
      </c>
      <c r="Z238" s="40" t="str">
        <f>IF($J238="","",IFERROR(VLOOKUP($J238,Grinders!$A:$N,11,FALSE),""))</f>
        <v/>
      </c>
      <c r="AA238" s="40" t="str">
        <f>IF($J238="","",IFERROR(VLOOKUP($J238,Grinders!$A:$N,12,FALSE),""))</f>
        <v/>
      </c>
      <c r="AB238" s="40" t="str">
        <f>IF(OR(AL238=1,AM238=1),0,=IFERROR(IF(OR($C238="",$J238=""),0,IF($D238&lt;&gt;"Open",0,IF(COUNTIFS(GrinderServices!$A:$A,$J238,GrinderServices!$B:$B,$E238,GrinderServices!$D:$D,"Y")=0,0,IF($U238&lt;Config!$B$16,0,IF(Config!$B$18=1,IF($N238&gt;=$M238,0,1),1))))),""))</f>
        <v>#ERROR!</v>
      </c>
      <c r="AC238" s="40" t="str">
        <f>IFERROR((IF(OR(AL238=1,AM238=1),"",=IFERROR((IFERROR(IF($AB238=0,"",((Config!$B$6*$V238 + Config!$B$7*$R238 + Config!$B$8*$W238 + Config!$B$9*$X238 + Config!$B$10*$Y238 + Config!$B$11*$Z238 - Config!$B$12*$AA238)/Config!$B$13)+$AH238+$AI238),""))*(1-IFERROR(VLOOKUP(J238,Grinders!$A:$AB, 28, FALSE),0)),"")))*(1+AO238),"")</f>
        <v>#ERROR!</v>
      </c>
      <c r="AD238" s="40" t="str">
        <f t="shared" si="4"/>
        <v/>
      </c>
      <c r="AE238" s="40" t="str">
        <f>IFERROR(__xludf.DUMMYFUNCTION("IF($AC238="""","""",IF($AC238=IFERROR(MAX(FILTER($AC$6:$AC$1000,$C$6:$C$1000=$C238,$AB$6:$AB$1000=1)),),""WINNER"",""""))"),"#ERROR!")</f>
        <v>#ERROR!</v>
      </c>
      <c r="AF238" s="40" t="str">
        <f t="shared" si="5"/>
        <v/>
      </c>
      <c r="AG238" s="40" t="str">
        <f>IF($J238="","",COUNTIF(Assignments!$B:$B,$J238))</f>
        <v/>
      </c>
      <c r="AH238" s="40" t="str">
        <f>IF($J238="","",IF(AND($AG238=0,$N238&lt;$M238),Config!$B$43,0))</f>
        <v/>
      </c>
      <c r="AI238" s="40" t="str">
        <f>IF($J238="","",IF(AND($L238="Elite",$F238&gt;=Config!$B$41,$N238&lt;$M238),Config!$B$42,0))</f>
        <v/>
      </c>
      <c r="AJ238" s="22"/>
      <c r="AK238" s="39">
        <f>IFERROR(VLOOKUP(J238,Grinders!$A:$Q,28,FALSE),0)</f>
        <v>0</v>
      </c>
      <c r="AL238" s="39">
        <f>IF(Config!$B$1003&lt;&gt;"Y",0,IF(IFERROR(VLOOKUP(J238,Grinders!$A:$P,27,FALSE),0)&gt;=3,IF(OR(F238&gt;=Config!$B$1001,ISNUMBER(SEARCH(E238,Config!$B$1002))),1,0),0))</f>
        <v>0</v>
      </c>
      <c r="AM238" s="39">
        <f t="array" ref="AM238">IFERROR(IF(INDEX(Bids!$AE:$AE,MATCH(B238,Bids!$A:$A,0))="Pending",1,0),0)</f>
        <v>0</v>
      </c>
      <c r="AN238" s="39" t="str">
        <f t="array" ref="AN238">IF(C238="","",IFERROR(XLOOKUP(C238,Assignments!$C:$C,Assignments!$AU:$AU,0),0))</f>
        <v/>
      </c>
      <c r="AO238" s="39">
        <f>IF(AND(Config!$B$1006="Y",AN238=1),Config!$B$1007,0)</f>
        <v>0</v>
      </c>
    </row>
    <row r="239" ht="15.75" customHeight="1">
      <c r="A239" s="46" t="str">
        <f t="shared" si="1"/>
        <v/>
      </c>
      <c r="B239" s="40" t="str">
        <f>IF(Bids!$A239="","",Bids!$A239)</f>
        <v/>
      </c>
      <c r="C239" s="40" t="str">
        <f>IF(Bids!$B239="","",Bids!$B239)</f>
        <v/>
      </c>
      <c r="D239" s="40" t="str">
        <f>IF($C239="","",IFERROR(VLOOKUP($C239,Orders!$A:$J,9,FALSE),""))</f>
        <v/>
      </c>
      <c r="E239" s="40" t="str">
        <f>IF($C239="","",IFERROR(VLOOKUP($C239,Orders!$A:$J,3,FALSE),""))</f>
        <v/>
      </c>
      <c r="F239" s="40" t="str">
        <f>IF($C239="","",IFERROR(VLOOKUP($C239,Orders!$A:$J,4,FALSE),""))</f>
        <v/>
      </c>
      <c r="G239" s="40" t="str">
        <f>IF($C239="","",IFERROR(VLOOKUP($C239,Orders!$A:$J,5,FALSE),""))</f>
        <v/>
      </c>
      <c r="H239" s="40" t="str">
        <f>IF($C239="","",IFERROR(VLOOKUP($C239,Orders!$A:$J,6,FALSE),""))</f>
        <v/>
      </c>
      <c r="I239" s="40" t="str">
        <f>IF($C239="","",IFERROR(VLOOKUP($C239,Orders!$A:$J,7,FALSE),""))</f>
        <v/>
      </c>
      <c r="J239" s="40" t="str">
        <f>IF(Bids!$C239="","",Bids!$C239)</f>
        <v/>
      </c>
      <c r="K239" s="40" t="str">
        <f>IF($J239="","",IFERROR(VLOOKUP($J239,Grinders!$A:$N,2,FALSE),""))</f>
        <v/>
      </c>
      <c r="L239" s="40" t="str">
        <f>IF($J239="","",IFERROR(VLOOKUP($J239,Grinders!$A:$N,3,FALSE),""))</f>
        <v/>
      </c>
      <c r="M239" s="40" t="str">
        <f>IF($J239="","",IFERROR(VLOOKUP($J239,Grinders!$A:$N,4,FALSE),""))</f>
        <v/>
      </c>
      <c r="N239" s="40" t="str">
        <f>IF($J239="","",IFERROR(VLOOKUP($J239,Grinders!$A:$N,5,FALSE),""))</f>
        <v/>
      </c>
      <c r="O239" s="40" t="str">
        <f t="shared" si="2"/>
        <v/>
      </c>
      <c r="P239" s="40" t="str">
        <f>IF($J239="","",IFERROR(VLOOKUP($J239,Grinders!$A:$N,6,FALSE),""))</f>
        <v/>
      </c>
      <c r="Q239" s="40" t="str">
        <f>IF($J239="","",IFERROR(VLOOKUP($J239,Grinders!$A:$N,8,FALSE),""))</f>
        <v/>
      </c>
      <c r="R239" s="40" t="str">
        <f>IFERROR(IF($J239="","",IF($L239="Elite",MAX(50,MIN(100,Config!$B$27*MAX(0,MIN(100,(1-IF($O239="",0,$O239))*100)) + Config!$B$28*MAX(0,MIN(100,(1-MIN(1,IF(Config!$B$30=0,1,$P239/Config!$B$30)))*100)) + Config!$B$29*MAX(0,MIN(100,MIN(1,IF($Q239="",0,$Q239)/Config!$B$23)*100)))),MIN(100,Config!$B$27*MAX(0,MIN(100,(1-IF($O239="",0,$O239))*100)) + Config!$B$28*MAX(0,MIN(100,(1-MIN(1,IF(Config!$B$30=0,1,$P239/Config!$B$30)))*100)) + Config!$B$29*MAX(0,MIN(100,MIN(1,IF($Q239="",0,$Q239)/Config!$B$23)*100))))),"")
</f>
        <v/>
      </c>
      <c r="S239" s="40" t="str">
        <f>IF(Bids!$AC239="","",Bids!$AC239)</f>
        <v/>
      </c>
      <c r="T239" s="40" t="str">
        <f>IF(Bids!$F239="","",Bids!$F239)</f>
        <v/>
      </c>
      <c r="U239" s="40" t="str">
        <f t="shared" si="3"/>
        <v/>
      </c>
      <c r="V239" s="40" t="str">
        <f>IF($U239="","",IF(Config!$B$17=Config!$B$16,IF($U239&gt;=Config!$B$17,100,0),MAX(0,MIN(100,($U239-Config!$B$16)/(Config!$B$17-Config!$B$16)*100))))</f>
        <v/>
      </c>
      <c r="W239" s="40">
        <f>IF($L239="Elite",Config!$B$21,0)</f>
        <v>0</v>
      </c>
      <c r="X239" s="40" t="str">
        <f>IFERROR(IF(OR($T239="",$G239=""),"",IF($T239&gt;$G239,
  MAX(0, 60-(($T239-$G239)*24/Config!$B$19)*60),
  MEDIAN(60, 100, 60+(($G239-$T239)*24/Config!$B$20)*40)
)),"")
</f>
        <v/>
      </c>
      <c r="Y239" s="40" t="str">
        <f>IF($J239="","",IFERROR(VLOOKUP($J239,Grinders!$A:$N,10,FALSE),""))</f>
        <v/>
      </c>
      <c r="Z239" s="40" t="str">
        <f>IF($J239="","",IFERROR(VLOOKUP($J239,Grinders!$A:$N,11,FALSE),""))</f>
        <v/>
      </c>
      <c r="AA239" s="40" t="str">
        <f>IF($J239="","",IFERROR(VLOOKUP($J239,Grinders!$A:$N,12,FALSE),""))</f>
        <v/>
      </c>
      <c r="AB239" s="40" t="str">
        <f>IF(OR(AL239=1,AM239=1),0,=IFERROR(IF(OR($C239="",$J239=""),0,IF($D239&lt;&gt;"Open",0,IF(COUNTIFS(GrinderServices!$A:$A,$J239,GrinderServices!$B:$B,$E239,GrinderServices!$D:$D,"Y")=0,0,IF($U239&lt;Config!$B$16,0,IF(Config!$B$18=1,IF($N239&gt;=$M239,0,1),1))))),""))</f>
        <v>#ERROR!</v>
      </c>
      <c r="AC239" s="40" t="str">
        <f>IFERROR((IF(OR(AL239=1,AM239=1),"",=IFERROR((IFERROR(IF($AB239=0,"",((Config!$B$6*$V239 + Config!$B$7*$R239 + Config!$B$8*$W239 + Config!$B$9*$X239 + Config!$B$10*$Y239 + Config!$B$11*$Z239 - Config!$B$12*$AA239)/Config!$B$13)+$AH239+$AI239),""))*(1-IFERROR(VLOOKUP(J239,Grinders!$A:$AB, 28, FALSE),0)),"")))*(1+AO239),"")</f>
        <v>#ERROR!</v>
      </c>
      <c r="AD239" s="40" t="str">
        <f t="shared" si="4"/>
        <v/>
      </c>
      <c r="AE239" s="40" t="str">
        <f>IFERROR(__xludf.DUMMYFUNCTION("IF($AC239="""","""",IF($AC239=IFERROR(MAX(FILTER($AC$6:$AC$1000,$C$6:$C$1000=$C239,$AB$6:$AB$1000=1)),),""WINNER"",""""))"),"#ERROR!")</f>
        <v>#ERROR!</v>
      </c>
      <c r="AF239" s="40" t="str">
        <f t="shared" si="5"/>
        <v/>
      </c>
      <c r="AG239" s="40" t="str">
        <f>IF($J239="","",COUNTIF(Assignments!$B:$B,$J239))</f>
        <v/>
      </c>
      <c r="AH239" s="40" t="str">
        <f>IF($J239="","",IF(AND($AG239=0,$N239&lt;$M239),Config!$B$43,0))</f>
        <v/>
      </c>
      <c r="AI239" s="40" t="str">
        <f>IF($J239="","",IF(AND($L239="Elite",$F239&gt;=Config!$B$41,$N239&lt;$M239),Config!$B$42,0))</f>
        <v/>
      </c>
      <c r="AJ239" s="22"/>
      <c r="AK239" s="39">
        <f>IFERROR(VLOOKUP(J239,Grinders!$A:$Q,28,FALSE),0)</f>
        <v>0</v>
      </c>
      <c r="AL239" s="39">
        <f>IF(Config!$B$1003&lt;&gt;"Y",0,IF(IFERROR(VLOOKUP(J239,Grinders!$A:$P,27,FALSE),0)&gt;=3,IF(OR(F239&gt;=Config!$B$1001,ISNUMBER(SEARCH(E239,Config!$B$1002))),1,0),0))</f>
        <v>0</v>
      </c>
      <c r="AM239" s="39">
        <f t="array" ref="AM239">IFERROR(IF(INDEX(Bids!$AE:$AE,MATCH(B239,Bids!$A:$A,0))="Pending",1,0),0)</f>
        <v>0</v>
      </c>
      <c r="AN239" s="39" t="str">
        <f t="array" ref="AN239">IF(C239="","",IFERROR(XLOOKUP(C239,Assignments!$C:$C,Assignments!$AU:$AU,0),0))</f>
        <v/>
      </c>
      <c r="AO239" s="39">
        <f>IF(AND(Config!$B$1006="Y",AN239=1),Config!$B$1007,0)</f>
        <v>0</v>
      </c>
    </row>
    <row r="240" ht="15.75" customHeight="1">
      <c r="A240" s="46" t="str">
        <f t="shared" si="1"/>
        <v/>
      </c>
      <c r="B240" s="40" t="str">
        <f>IF(Bids!$A240="","",Bids!$A240)</f>
        <v/>
      </c>
      <c r="C240" s="40" t="str">
        <f>IF(Bids!$B240="","",Bids!$B240)</f>
        <v/>
      </c>
      <c r="D240" s="40" t="str">
        <f>IF($C240="","",IFERROR(VLOOKUP($C240,Orders!$A:$J,9,FALSE),""))</f>
        <v/>
      </c>
      <c r="E240" s="40" t="str">
        <f>IF($C240="","",IFERROR(VLOOKUP($C240,Orders!$A:$J,3,FALSE),""))</f>
        <v/>
      </c>
      <c r="F240" s="40" t="str">
        <f>IF($C240="","",IFERROR(VLOOKUP($C240,Orders!$A:$J,4,FALSE),""))</f>
        <v/>
      </c>
      <c r="G240" s="40" t="str">
        <f>IF($C240="","",IFERROR(VLOOKUP($C240,Orders!$A:$J,5,FALSE),""))</f>
        <v/>
      </c>
      <c r="H240" s="40" t="str">
        <f>IF($C240="","",IFERROR(VLOOKUP($C240,Orders!$A:$J,6,FALSE),""))</f>
        <v/>
      </c>
      <c r="I240" s="40" t="str">
        <f>IF($C240="","",IFERROR(VLOOKUP($C240,Orders!$A:$J,7,FALSE),""))</f>
        <v/>
      </c>
      <c r="J240" s="40" t="str">
        <f>IF(Bids!$C240="","",Bids!$C240)</f>
        <v/>
      </c>
      <c r="K240" s="40" t="str">
        <f>IF($J240="","",IFERROR(VLOOKUP($J240,Grinders!$A:$N,2,FALSE),""))</f>
        <v/>
      </c>
      <c r="L240" s="40" t="str">
        <f>IF($J240="","",IFERROR(VLOOKUP($J240,Grinders!$A:$N,3,FALSE),""))</f>
        <v/>
      </c>
      <c r="M240" s="40" t="str">
        <f>IF($J240="","",IFERROR(VLOOKUP($J240,Grinders!$A:$N,4,FALSE),""))</f>
        <v/>
      </c>
      <c r="N240" s="40" t="str">
        <f>IF($J240="","",IFERROR(VLOOKUP($J240,Grinders!$A:$N,5,FALSE),""))</f>
        <v/>
      </c>
      <c r="O240" s="40" t="str">
        <f t="shared" si="2"/>
        <v/>
      </c>
      <c r="P240" s="40" t="str">
        <f>IF($J240="","",IFERROR(VLOOKUP($J240,Grinders!$A:$N,6,FALSE),""))</f>
        <v/>
      </c>
      <c r="Q240" s="40" t="str">
        <f>IF($J240="","",IFERROR(VLOOKUP($J240,Grinders!$A:$N,8,FALSE),""))</f>
        <v/>
      </c>
      <c r="R240" s="40" t="str">
        <f>IFERROR(IF($J240="","",IF($L240="Elite",MAX(50,MIN(100,Config!$B$27*MAX(0,MIN(100,(1-IF($O240="",0,$O240))*100)) + Config!$B$28*MAX(0,MIN(100,(1-MIN(1,IF(Config!$B$30=0,1,$P240/Config!$B$30)))*100)) + Config!$B$29*MAX(0,MIN(100,MIN(1,IF($Q240="",0,$Q240)/Config!$B$23)*100)))),MIN(100,Config!$B$27*MAX(0,MIN(100,(1-IF($O240="",0,$O240))*100)) + Config!$B$28*MAX(0,MIN(100,(1-MIN(1,IF(Config!$B$30=0,1,$P240/Config!$B$30)))*100)) + Config!$B$29*MAX(0,MIN(100,MIN(1,IF($Q240="",0,$Q240)/Config!$B$23)*100))))),"")
</f>
        <v/>
      </c>
      <c r="S240" s="40" t="str">
        <f>IF(Bids!$AC240="","",Bids!$AC240)</f>
        <v/>
      </c>
      <c r="T240" s="40" t="str">
        <f>IF(Bids!$F240="","",Bids!$F240)</f>
        <v/>
      </c>
      <c r="U240" s="40" t="str">
        <f t="shared" si="3"/>
        <v/>
      </c>
      <c r="V240" s="40" t="str">
        <f>IF($U240="","",IF(Config!$B$17=Config!$B$16,IF($U240&gt;=Config!$B$17,100,0),MAX(0,MIN(100,($U240-Config!$B$16)/(Config!$B$17-Config!$B$16)*100))))</f>
        <v/>
      </c>
      <c r="W240" s="40">
        <f>IF($L240="Elite",Config!$B$21,0)</f>
        <v>0</v>
      </c>
      <c r="X240" s="40" t="str">
        <f>IFERROR(IF(OR($T240="",$G240=""),"",IF($T240&gt;$G240,
  MAX(0, 60-(($T240-$G240)*24/Config!$B$19)*60),
  MEDIAN(60, 100, 60+(($G240-$T240)*24/Config!$B$20)*40)
)),"")
</f>
        <v/>
      </c>
      <c r="Y240" s="40" t="str">
        <f>IF($J240="","",IFERROR(VLOOKUP($J240,Grinders!$A:$N,10,FALSE),""))</f>
        <v/>
      </c>
      <c r="Z240" s="40" t="str">
        <f>IF($J240="","",IFERROR(VLOOKUP($J240,Grinders!$A:$N,11,FALSE),""))</f>
        <v/>
      </c>
      <c r="AA240" s="40" t="str">
        <f>IF($J240="","",IFERROR(VLOOKUP($J240,Grinders!$A:$N,12,FALSE),""))</f>
        <v/>
      </c>
      <c r="AB240" s="40" t="str">
        <f>IF(OR(AL240=1,AM240=1),0,=IFERROR(IF(OR($C240="",$J240=""),0,IF($D240&lt;&gt;"Open",0,IF(COUNTIFS(GrinderServices!$A:$A,$J240,GrinderServices!$B:$B,$E240,GrinderServices!$D:$D,"Y")=0,0,IF($U240&lt;Config!$B$16,0,IF(Config!$B$18=1,IF($N240&gt;=$M240,0,1),1))))),""))</f>
        <v>#ERROR!</v>
      </c>
      <c r="AC240" s="40" t="str">
        <f>IFERROR((IF(OR(AL240=1,AM240=1),"",=IFERROR((IFERROR(IF($AB240=0,"",((Config!$B$6*$V240 + Config!$B$7*$R240 + Config!$B$8*$W240 + Config!$B$9*$X240 + Config!$B$10*$Y240 + Config!$B$11*$Z240 - Config!$B$12*$AA240)/Config!$B$13)+$AH240+$AI240),""))*(1-IFERROR(VLOOKUP(J240,Grinders!$A:$AB, 28, FALSE),0)),"")))*(1+AO240),"")</f>
        <v>#ERROR!</v>
      </c>
      <c r="AD240" s="40" t="str">
        <f t="shared" si="4"/>
        <v/>
      </c>
      <c r="AE240" s="40" t="str">
        <f>IFERROR(__xludf.DUMMYFUNCTION("IF($AC240="""","""",IF($AC240=IFERROR(MAX(FILTER($AC$6:$AC$1000,$C$6:$C$1000=$C240,$AB$6:$AB$1000=1)),),""WINNER"",""""))"),"#ERROR!")</f>
        <v>#ERROR!</v>
      </c>
      <c r="AF240" s="40" t="str">
        <f t="shared" si="5"/>
        <v/>
      </c>
      <c r="AG240" s="40" t="str">
        <f>IF($J240="","",COUNTIF(Assignments!$B:$B,$J240))</f>
        <v/>
      </c>
      <c r="AH240" s="40" t="str">
        <f>IF($J240="","",IF(AND($AG240=0,$N240&lt;$M240),Config!$B$43,0))</f>
        <v/>
      </c>
      <c r="AI240" s="40" t="str">
        <f>IF($J240="","",IF(AND($L240="Elite",$F240&gt;=Config!$B$41,$N240&lt;$M240),Config!$B$42,0))</f>
        <v/>
      </c>
      <c r="AJ240" s="22"/>
      <c r="AK240" s="39">
        <f>IFERROR(VLOOKUP(J240,Grinders!$A:$Q,28,FALSE),0)</f>
        <v>0</v>
      </c>
      <c r="AL240" s="39">
        <f>IF(Config!$B$1003&lt;&gt;"Y",0,IF(IFERROR(VLOOKUP(J240,Grinders!$A:$P,27,FALSE),0)&gt;=3,IF(OR(F240&gt;=Config!$B$1001,ISNUMBER(SEARCH(E240,Config!$B$1002))),1,0),0))</f>
        <v>0</v>
      </c>
      <c r="AM240" s="39">
        <f t="array" ref="AM240">IFERROR(IF(INDEX(Bids!$AE:$AE,MATCH(B240,Bids!$A:$A,0))="Pending",1,0),0)</f>
        <v>0</v>
      </c>
      <c r="AN240" s="39" t="str">
        <f t="array" ref="AN240">IF(C240="","",IFERROR(XLOOKUP(C240,Assignments!$C:$C,Assignments!$AU:$AU,0),0))</f>
        <v/>
      </c>
      <c r="AO240" s="39">
        <f>IF(AND(Config!$B$1006="Y",AN240=1),Config!$B$1007,0)</f>
        <v>0</v>
      </c>
    </row>
    <row r="241" ht="15.75" customHeight="1">
      <c r="A241" s="46" t="str">
        <f t="shared" si="1"/>
        <v/>
      </c>
      <c r="B241" s="40" t="str">
        <f>IF(Bids!$A241="","",Bids!$A241)</f>
        <v/>
      </c>
      <c r="C241" s="40" t="str">
        <f>IF(Bids!$B241="","",Bids!$B241)</f>
        <v/>
      </c>
      <c r="D241" s="40" t="str">
        <f>IF($C241="","",IFERROR(VLOOKUP($C241,Orders!$A:$J,9,FALSE),""))</f>
        <v/>
      </c>
      <c r="E241" s="40" t="str">
        <f>IF($C241="","",IFERROR(VLOOKUP($C241,Orders!$A:$J,3,FALSE),""))</f>
        <v/>
      </c>
      <c r="F241" s="40" t="str">
        <f>IF($C241="","",IFERROR(VLOOKUP($C241,Orders!$A:$J,4,FALSE),""))</f>
        <v/>
      </c>
      <c r="G241" s="40" t="str">
        <f>IF($C241="","",IFERROR(VLOOKUP($C241,Orders!$A:$J,5,FALSE),""))</f>
        <v/>
      </c>
      <c r="H241" s="40" t="str">
        <f>IF($C241="","",IFERROR(VLOOKUP($C241,Orders!$A:$J,6,FALSE),""))</f>
        <v/>
      </c>
      <c r="I241" s="40" t="str">
        <f>IF($C241="","",IFERROR(VLOOKUP($C241,Orders!$A:$J,7,FALSE),""))</f>
        <v/>
      </c>
      <c r="J241" s="40" t="str">
        <f>IF(Bids!$C241="","",Bids!$C241)</f>
        <v/>
      </c>
      <c r="K241" s="40" t="str">
        <f>IF($J241="","",IFERROR(VLOOKUP($J241,Grinders!$A:$N,2,FALSE),""))</f>
        <v/>
      </c>
      <c r="L241" s="40" t="str">
        <f>IF($J241="","",IFERROR(VLOOKUP($J241,Grinders!$A:$N,3,FALSE),""))</f>
        <v/>
      </c>
      <c r="M241" s="40" t="str">
        <f>IF($J241="","",IFERROR(VLOOKUP($J241,Grinders!$A:$N,4,FALSE),""))</f>
        <v/>
      </c>
      <c r="N241" s="40" t="str">
        <f>IF($J241="","",IFERROR(VLOOKUP($J241,Grinders!$A:$N,5,FALSE),""))</f>
        <v/>
      </c>
      <c r="O241" s="40" t="str">
        <f t="shared" si="2"/>
        <v/>
      </c>
      <c r="P241" s="40" t="str">
        <f>IF($J241="","",IFERROR(VLOOKUP($J241,Grinders!$A:$N,6,FALSE),""))</f>
        <v/>
      </c>
      <c r="Q241" s="40" t="str">
        <f>IF($J241="","",IFERROR(VLOOKUP($J241,Grinders!$A:$N,8,FALSE),""))</f>
        <v/>
      </c>
      <c r="R241" s="40" t="str">
        <f>IFERROR(IF($J241="","",IF($L241="Elite",MAX(50,MIN(100,Config!$B$27*MAX(0,MIN(100,(1-IF($O241="",0,$O241))*100)) + Config!$B$28*MAX(0,MIN(100,(1-MIN(1,IF(Config!$B$30=0,1,$P241/Config!$B$30)))*100)) + Config!$B$29*MAX(0,MIN(100,MIN(1,IF($Q241="",0,$Q241)/Config!$B$23)*100)))),MIN(100,Config!$B$27*MAX(0,MIN(100,(1-IF($O241="",0,$O241))*100)) + Config!$B$28*MAX(0,MIN(100,(1-MIN(1,IF(Config!$B$30=0,1,$P241/Config!$B$30)))*100)) + Config!$B$29*MAX(0,MIN(100,MIN(1,IF($Q241="",0,$Q241)/Config!$B$23)*100))))),"")
</f>
        <v/>
      </c>
      <c r="S241" s="40" t="str">
        <f>IF(Bids!$AC241="","",Bids!$AC241)</f>
        <v/>
      </c>
      <c r="T241" s="40" t="str">
        <f>IF(Bids!$F241="","",Bids!$F241)</f>
        <v/>
      </c>
      <c r="U241" s="40" t="str">
        <f t="shared" si="3"/>
        <v/>
      </c>
      <c r="V241" s="40" t="str">
        <f>IF($U241="","",IF(Config!$B$17=Config!$B$16,IF($U241&gt;=Config!$B$17,100,0),MAX(0,MIN(100,($U241-Config!$B$16)/(Config!$B$17-Config!$B$16)*100))))</f>
        <v/>
      </c>
      <c r="W241" s="40">
        <f>IF($L241="Elite",Config!$B$21,0)</f>
        <v>0</v>
      </c>
      <c r="X241" s="40" t="str">
        <f>IFERROR(IF(OR($T241="",$G241=""),"",IF($T241&gt;$G241,
  MAX(0, 60-(($T241-$G241)*24/Config!$B$19)*60),
  MEDIAN(60, 100, 60+(($G241-$T241)*24/Config!$B$20)*40)
)),"")
</f>
        <v/>
      </c>
      <c r="Y241" s="40" t="str">
        <f>IF($J241="","",IFERROR(VLOOKUP($J241,Grinders!$A:$N,10,FALSE),""))</f>
        <v/>
      </c>
      <c r="Z241" s="40" t="str">
        <f>IF($J241="","",IFERROR(VLOOKUP($J241,Grinders!$A:$N,11,FALSE),""))</f>
        <v/>
      </c>
      <c r="AA241" s="40" t="str">
        <f>IF($J241="","",IFERROR(VLOOKUP($J241,Grinders!$A:$N,12,FALSE),""))</f>
        <v/>
      </c>
      <c r="AB241" s="40" t="str">
        <f>IF(OR(AL241=1,AM241=1),0,=IFERROR(IF(OR($C241="",$J241=""),0,IF($D241&lt;&gt;"Open",0,IF(COUNTIFS(GrinderServices!$A:$A,$J241,GrinderServices!$B:$B,$E241,GrinderServices!$D:$D,"Y")=0,0,IF($U241&lt;Config!$B$16,0,IF(Config!$B$18=1,IF($N241&gt;=$M241,0,1),1))))),""))</f>
        <v>#ERROR!</v>
      </c>
      <c r="AC241" s="40" t="str">
        <f>IFERROR((IF(OR(AL241=1,AM241=1),"",=IFERROR((IFERROR(IF($AB241=0,"",((Config!$B$6*$V241 + Config!$B$7*$R241 + Config!$B$8*$W241 + Config!$B$9*$X241 + Config!$B$10*$Y241 + Config!$B$11*$Z241 - Config!$B$12*$AA241)/Config!$B$13)+$AH241+$AI241),""))*(1-IFERROR(VLOOKUP(J241,Grinders!$A:$AB, 28, FALSE),0)),"")))*(1+AO241),"")</f>
        <v>#ERROR!</v>
      </c>
      <c r="AD241" s="40" t="str">
        <f t="shared" si="4"/>
        <v/>
      </c>
      <c r="AE241" s="40" t="str">
        <f>IFERROR(__xludf.DUMMYFUNCTION("IF($AC241="""","""",IF($AC241=IFERROR(MAX(FILTER($AC$6:$AC$1000,$C$6:$C$1000=$C241,$AB$6:$AB$1000=1)),),""WINNER"",""""))"),"#ERROR!")</f>
        <v>#ERROR!</v>
      </c>
      <c r="AF241" s="40" t="str">
        <f t="shared" si="5"/>
        <v/>
      </c>
      <c r="AG241" s="40" t="str">
        <f>IF($J241="","",COUNTIF(Assignments!$B:$B,$J241))</f>
        <v/>
      </c>
      <c r="AH241" s="40" t="str">
        <f>IF($J241="","",IF(AND($AG241=0,$N241&lt;$M241),Config!$B$43,0))</f>
        <v/>
      </c>
      <c r="AI241" s="40" t="str">
        <f>IF($J241="","",IF(AND($L241="Elite",$F241&gt;=Config!$B$41,$N241&lt;$M241),Config!$B$42,0))</f>
        <v/>
      </c>
      <c r="AJ241" s="22"/>
      <c r="AK241" s="39">
        <f>IFERROR(VLOOKUP(J241,Grinders!$A:$Q,28,FALSE),0)</f>
        <v>0</v>
      </c>
      <c r="AL241" s="39">
        <f>IF(Config!$B$1003&lt;&gt;"Y",0,IF(IFERROR(VLOOKUP(J241,Grinders!$A:$P,27,FALSE),0)&gt;=3,IF(OR(F241&gt;=Config!$B$1001,ISNUMBER(SEARCH(E241,Config!$B$1002))),1,0),0))</f>
        <v>0</v>
      </c>
      <c r="AM241" s="39">
        <f t="array" ref="AM241">IFERROR(IF(INDEX(Bids!$AE:$AE,MATCH(B241,Bids!$A:$A,0))="Pending",1,0),0)</f>
        <v>0</v>
      </c>
      <c r="AN241" s="39" t="str">
        <f t="array" ref="AN241">IF(C241="","",IFERROR(XLOOKUP(C241,Assignments!$C:$C,Assignments!$AU:$AU,0),0))</f>
        <v/>
      </c>
      <c r="AO241" s="39">
        <f>IF(AND(Config!$B$1006="Y",AN241=1),Config!$B$1007,0)</f>
        <v>0</v>
      </c>
    </row>
    <row r="242" ht="15.75" customHeight="1">
      <c r="A242" s="46" t="str">
        <f t="shared" si="1"/>
        <v/>
      </c>
      <c r="B242" s="40" t="str">
        <f>IF(Bids!$A242="","",Bids!$A242)</f>
        <v/>
      </c>
      <c r="C242" s="40" t="str">
        <f>IF(Bids!$B242="","",Bids!$B242)</f>
        <v/>
      </c>
      <c r="D242" s="40" t="str">
        <f>IF($C242="","",IFERROR(VLOOKUP($C242,Orders!$A:$J,9,FALSE),""))</f>
        <v/>
      </c>
      <c r="E242" s="40" t="str">
        <f>IF($C242="","",IFERROR(VLOOKUP($C242,Orders!$A:$J,3,FALSE),""))</f>
        <v/>
      </c>
      <c r="F242" s="40" t="str">
        <f>IF($C242="","",IFERROR(VLOOKUP($C242,Orders!$A:$J,4,FALSE),""))</f>
        <v/>
      </c>
      <c r="G242" s="40" t="str">
        <f>IF($C242="","",IFERROR(VLOOKUP($C242,Orders!$A:$J,5,FALSE),""))</f>
        <v/>
      </c>
      <c r="H242" s="40" t="str">
        <f>IF($C242="","",IFERROR(VLOOKUP($C242,Orders!$A:$J,6,FALSE),""))</f>
        <v/>
      </c>
      <c r="I242" s="40" t="str">
        <f>IF($C242="","",IFERROR(VLOOKUP($C242,Orders!$A:$J,7,FALSE),""))</f>
        <v/>
      </c>
      <c r="J242" s="40" t="str">
        <f>IF(Bids!$C242="","",Bids!$C242)</f>
        <v/>
      </c>
      <c r="K242" s="40" t="str">
        <f>IF($J242="","",IFERROR(VLOOKUP($J242,Grinders!$A:$N,2,FALSE),""))</f>
        <v/>
      </c>
      <c r="L242" s="40" t="str">
        <f>IF($J242="","",IFERROR(VLOOKUP($J242,Grinders!$A:$N,3,FALSE),""))</f>
        <v/>
      </c>
      <c r="M242" s="40" t="str">
        <f>IF($J242="","",IFERROR(VLOOKUP($J242,Grinders!$A:$N,4,FALSE),""))</f>
        <v/>
      </c>
      <c r="N242" s="40" t="str">
        <f>IF($J242="","",IFERROR(VLOOKUP($J242,Grinders!$A:$N,5,FALSE),""))</f>
        <v/>
      </c>
      <c r="O242" s="40" t="str">
        <f t="shared" si="2"/>
        <v/>
      </c>
      <c r="P242" s="40" t="str">
        <f>IF($J242="","",IFERROR(VLOOKUP($J242,Grinders!$A:$N,6,FALSE),""))</f>
        <v/>
      </c>
      <c r="Q242" s="40" t="str">
        <f>IF($J242="","",IFERROR(VLOOKUP($J242,Grinders!$A:$N,8,FALSE),""))</f>
        <v/>
      </c>
      <c r="R242" s="40" t="str">
        <f>IFERROR(IF($J242="","",IF($L242="Elite",MAX(50,MIN(100,Config!$B$27*MAX(0,MIN(100,(1-IF($O242="",0,$O242))*100)) + Config!$B$28*MAX(0,MIN(100,(1-MIN(1,IF(Config!$B$30=0,1,$P242/Config!$B$30)))*100)) + Config!$B$29*MAX(0,MIN(100,MIN(1,IF($Q242="",0,$Q242)/Config!$B$23)*100)))),MIN(100,Config!$B$27*MAX(0,MIN(100,(1-IF($O242="",0,$O242))*100)) + Config!$B$28*MAX(0,MIN(100,(1-MIN(1,IF(Config!$B$30=0,1,$P242/Config!$B$30)))*100)) + Config!$B$29*MAX(0,MIN(100,MIN(1,IF($Q242="",0,$Q242)/Config!$B$23)*100))))),"")
</f>
        <v/>
      </c>
      <c r="S242" s="40" t="str">
        <f>IF(Bids!$AC242="","",Bids!$AC242)</f>
        <v/>
      </c>
      <c r="T242" s="40" t="str">
        <f>IF(Bids!$F242="","",Bids!$F242)</f>
        <v/>
      </c>
      <c r="U242" s="40" t="str">
        <f t="shared" si="3"/>
        <v/>
      </c>
      <c r="V242" s="40" t="str">
        <f>IF($U242="","",IF(Config!$B$17=Config!$B$16,IF($U242&gt;=Config!$B$17,100,0),MAX(0,MIN(100,($U242-Config!$B$16)/(Config!$B$17-Config!$B$16)*100))))</f>
        <v/>
      </c>
      <c r="W242" s="40">
        <f>IF($L242="Elite",Config!$B$21,0)</f>
        <v>0</v>
      </c>
      <c r="X242" s="40" t="str">
        <f>IFERROR(IF(OR($T242="",$G242=""),"",IF($T242&gt;$G242,
  MAX(0, 60-(($T242-$G242)*24/Config!$B$19)*60),
  MEDIAN(60, 100, 60+(($G242-$T242)*24/Config!$B$20)*40)
)),"")
</f>
        <v/>
      </c>
      <c r="Y242" s="40" t="str">
        <f>IF($J242="","",IFERROR(VLOOKUP($J242,Grinders!$A:$N,10,FALSE),""))</f>
        <v/>
      </c>
      <c r="Z242" s="40" t="str">
        <f>IF($J242="","",IFERROR(VLOOKUP($J242,Grinders!$A:$N,11,FALSE),""))</f>
        <v/>
      </c>
      <c r="AA242" s="40" t="str">
        <f>IF($J242="","",IFERROR(VLOOKUP($J242,Grinders!$A:$N,12,FALSE),""))</f>
        <v/>
      </c>
      <c r="AB242" s="40" t="str">
        <f>IF(OR(AL242=1,AM242=1),0,=IFERROR(IF(OR($C242="",$J242=""),0,IF($D242&lt;&gt;"Open",0,IF(COUNTIFS(GrinderServices!$A:$A,$J242,GrinderServices!$B:$B,$E242,GrinderServices!$D:$D,"Y")=0,0,IF($U242&lt;Config!$B$16,0,IF(Config!$B$18=1,IF($N242&gt;=$M242,0,1),1))))),""))</f>
        <v>#ERROR!</v>
      </c>
      <c r="AC242" s="40" t="str">
        <f>IFERROR((IF(OR(AL242=1,AM242=1),"",=IFERROR((IFERROR(IF($AB242=0,"",((Config!$B$6*$V242 + Config!$B$7*$R242 + Config!$B$8*$W242 + Config!$B$9*$X242 + Config!$B$10*$Y242 + Config!$B$11*$Z242 - Config!$B$12*$AA242)/Config!$B$13)+$AH242+$AI242),""))*(1-IFERROR(VLOOKUP(J242,Grinders!$A:$AB, 28, FALSE),0)),"")))*(1+AO242),"")</f>
        <v>#ERROR!</v>
      </c>
      <c r="AD242" s="40" t="str">
        <f t="shared" si="4"/>
        <v/>
      </c>
      <c r="AE242" s="40" t="str">
        <f>IFERROR(__xludf.DUMMYFUNCTION("IF($AC242="""","""",IF($AC242=IFERROR(MAX(FILTER($AC$6:$AC$1000,$C$6:$C$1000=$C242,$AB$6:$AB$1000=1)),),""WINNER"",""""))"),"#ERROR!")</f>
        <v>#ERROR!</v>
      </c>
      <c r="AF242" s="40" t="str">
        <f t="shared" si="5"/>
        <v/>
      </c>
      <c r="AG242" s="40" t="str">
        <f>IF($J242="","",COUNTIF(Assignments!$B:$B,$J242))</f>
        <v/>
      </c>
      <c r="AH242" s="40" t="str">
        <f>IF($J242="","",IF(AND($AG242=0,$N242&lt;$M242),Config!$B$43,0))</f>
        <v/>
      </c>
      <c r="AI242" s="40" t="str">
        <f>IF($J242="","",IF(AND($L242="Elite",$F242&gt;=Config!$B$41,$N242&lt;$M242),Config!$B$42,0))</f>
        <v/>
      </c>
      <c r="AJ242" s="22"/>
      <c r="AK242" s="39">
        <f>IFERROR(VLOOKUP(J242,Grinders!$A:$Q,28,FALSE),0)</f>
        <v>0</v>
      </c>
      <c r="AL242" s="39">
        <f>IF(Config!$B$1003&lt;&gt;"Y",0,IF(IFERROR(VLOOKUP(J242,Grinders!$A:$P,27,FALSE),0)&gt;=3,IF(OR(F242&gt;=Config!$B$1001,ISNUMBER(SEARCH(E242,Config!$B$1002))),1,0),0))</f>
        <v>0</v>
      </c>
      <c r="AM242" s="39">
        <f t="array" ref="AM242">IFERROR(IF(INDEX(Bids!$AE:$AE,MATCH(B242,Bids!$A:$A,0))="Pending",1,0),0)</f>
        <v>0</v>
      </c>
      <c r="AN242" s="39" t="str">
        <f t="array" ref="AN242">IF(C242="","",IFERROR(XLOOKUP(C242,Assignments!$C:$C,Assignments!$AU:$AU,0),0))</f>
        <v/>
      </c>
      <c r="AO242" s="39">
        <f>IF(AND(Config!$B$1006="Y",AN242=1),Config!$B$1007,0)</f>
        <v>0</v>
      </c>
    </row>
    <row r="243" ht="15.75" customHeight="1">
      <c r="A243" s="46" t="str">
        <f t="shared" si="1"/>
        <v/>
      </c>
      <c r="B243" s="40" t="str">
        <f>IF(Bids!$A243="","",Bids!$A243)</f>
        <v/>
      </c>
      <c r="C243" s="40" t="str">
        <f>IF(Bids!$B243="","",Bids!$B243)</f>
        <v/>
      </c>
      <c r="D243" s="40" t="str">
        <f>IF($C243="","",IFERROR(VLOOKUP($C243,Orders!$A:$J,9,FALSE),""))</f>
        <v/>
      </c>
      <c r="E243" s="40" t="str">
        <f>IF($C243="","",IFERROR(VLOOKUP($C243,Orders!$A:$J,3,FALSE),""))</f>
        <v/>
      </c>
      <c r="F243" s="40" t="str">
        <f>IF($C243="","",IFERROR(VLOOKUP($C243,Orders!$A:$J,4,FALSE),""))</f>
        <v/>
      </c>
      <c r="G243" s="40" t="str">
        <f>IF($C243="","",IFERROR(VLOOKUP($C243,Orders!$A:$J,5,FALSE),""))</f>
        <v/>
      </c>
      <c r="H243" s="40" t="str">
        <f>IF($C243="","",IFERROR(VLOOKUP($C243,Orders!$A:$J,6,FALSE),""))</f>
        <v/>
      </c>
      <c r="I243" s="40" t="str">
        <f>IF($C243="","",IFERROR(VLOOKUP($C243,Orders!$A:$J,7,FALSE),""))</f>
        <v/>
      </c>
      <c r="J243" s="40" t="str">
        <f>IF(Bids!$C243="","",Bids!$C243)</f>
        <v/>
      </c>
      <c r="K243" s="40" t="str">
        <f>IF($J243="","",IFERROR(VLOOKUP($J243,Grinders!$A:$N,2,FALSE),""))</f>
        <v/>
      </c>
      <c r="L243" s="40" t="str">
        <f>IF($J243="","",IFERROR(VLOOKUP($J243,Grinders!$A:$N,3,FALSE),""))</f>
        <v/>
      </c>
      <c r="M243" s="40" t="str">
        <f>IF($J243="","",IFERROR(VLOOKUP($J243,Grinders!$A:$N,4,FALSE),""))</f>
        <v/>
      </c>
      <c r="N243" s="40" t="str">
        <f>IF($J243="","",IFERROR(VLOOKUP($J243,Grinders!$A:$N,5,FALSE),""))</f>
        <v/>
      </c>
      <c r="O243" s="40" t="str">
        <f t="shared" si="2"/>
        <v/>
      </c>
      <c r="P243" s="40" t="str">
        <f>IF($J243="","",IFERROR(VLOOKUP($J243,Grinders!$A:$N,6,FALSE),""))</f>
        <v/>
      </c>
      <c r="Q243" s="40" t="str">
        <f>IF($J243="","",IFERROR(VLOOKUP($J243,Grinders!$A:$N,8,FALSE),""))</f>
        <v/>
      </c>
      <c r="R243" s="40" t="str">
        <f>IFERROR(IF($J243="","",IF($L243="Elite",MAX(50,MIN(100,Config!$B$27*MAX(0,MIN(100,(1-IF($O243="",0,$O243))*100)) + Config!$B$28*MAX(0,MIN(100,(1-MIN(1,IF(Config!$B$30=0,1,$P243/Config!$B$30)))*100)) + Config!$B$29*MAX(0,MIN(100,MIN(1,IF($Q243="",0,$Q243)/Config!$B$23)*100)))),MIN(100,Config!$B$27*MAX(0,MIN(100,(1-IF($O243="",0,$O243))*100)) + Config!$B$28*MAX(0,MIN(100,(1-MIN(1,IF(Config!$B$30=0,1,$P243/Config!$B$30)))*100)) + Config!$B$29*MAX(0,MIN(100,MIN(1,IF($Q243="",0,$Q243)/Config!$B$23)*100))))),"")
</f>
        <v/>
      </c>
      <c r="S243" s="40" t="str">
        <f>IF(Bids!$AC243="","",Bids!$AC243)</f>
        <v/>
      </c>
      <c r="T243" s="40" t="str">
        <f>IF(Bids!$F243="","",Bids!$F243)</f>
        <v/>
      </c>
      <c r="U243" s="40" t="str">
        <f t="shared" si="3"/>
        <v/>
      </c>
      <c r="V243" s="40" t="str">
        <f>IF($U243="","",IF(Config!$B$17=Config!$B$16,IF($U243&gt;=Config!$B$17,100,0),MAX(0,MIN(100,($U243-Config!$B$16)/(Config!$B$17-Config!$B$16)*100))))</f>
        <v/>
      </c>
      <c r="W243" s="40">
        <f>IF($L243="Elite",Config!$B$21,0)</f>
        <v>0</v>
      </c>
      <c r="X243" s="40" t="str">
        <f>IFERROR(IF(OR($T243="",$G243=""),"",IF($T243&gt;$G243,
  MAX(0, 60-(($T243-$G243)*24/Config!$B$19)*60),
  MEDIAN(60, 100, 60+(($G243-$T243)*24/Config!$B$20)*40)
)),"")
</f>
        <v/>
      </c>
      <c r="Y243" s="40" t="str">
        <f>IF($J243="","",IFERROR(VLOOKUP($J243,Grinders!$A:$N,10,FALSE),""))</f>
        <v/>
      </c>
      <c r="Z243" s="40" t="str">
        <f>IF($J243="","",IFERROR(VLOOKUP($J243,Grinders!$A:$N,11,FALSE),""))</f>
        <v/>
      </c>
      <c r="AA243" s="40" t="str">
        <f>IF($J243="","",IFERROR(VLOOKUP($J243,Grinders!$A:$N,12,FALSE),""))</f>
        <v/>
      </c>
      <c r="AB243" s="40" t="str">
        <f>IF(OR(AL243=1,AM243=1),0,=IFERROR(IF(OR($C243="",$J243=""),0,IF($D243&lt;&gt;"Open",0,IF(COUNTIFS(GrinderServices!$A:$A,$J243,GrinderServices!$B:$B,$E243,GrinderServices!$D:$D,"Y")=0,0,IF($U243&lt;Config!$B$16,0,IF(Config!$B$18=1,IF($N243&gt;=$M243,0,1),1))))),""))</f>
        <v>#ERROR!</v>
      </c>
      <c r="AC243" s="40" t="str">
        <f>IFERROR((IF(OR(AL243=1,AM243=1),"",=IFERROR((IFERROR(IF($AB243=0,"",((Config!$B$6*$V243 + Config!$B$7*$R243 + Config!$B$8*$W243 + Config!$B$9*$X243 + Config!$B$10*$Y243 + Config!$B$11*$Z243 - Config!$B$12*$AA243)/Config!$B$13)+$AH243+$AI243),""))*(1-IFERROR(VLOOKUP(J243,Grinders!$A:$AB, 28, FALSE),0)),"")))*(1+AO243),"")</f>
        <v>#ERROR!</v>
      </c>
      <c r="AD243" s="40" t="str">
        <f t="shared" si="4"/>
        <v/>
      </c>
      <c r="AE243" s="40" t="str">
        <f>IFERROR(__xludf.DUMMYFUNCTION("IF($AC243="""","""",IF($AC243=IFERROR(MAX(FILTER($AC$6:$AC$1000,$C$6:$C$1000=$C243,$AB$6:$AB$1000=1)),),""WINNER"",""""))"),"#ERROR!")</f>
        <v>#ERROR!</v>
      </c>
      <c r="AF243" s="40" t="str">
        <f t="shared" si="5"/>
        <v/>
      </c>
      <c r="AG243" s="40" t="str">
        <f>IF($J243="","",COUNTIF(Assignments!$B:$B,$J243))</f>
        <v/>
      </c>
      <c r="AH243" s="40" t="str">
        <f>IF($J243="","",IF(AND($AG243=0,$N243&lt;$M243),Config!$B$43,0))</f>
        <v/>
      </c>
      <c r="AI243" s="40" t="str">
        <f>IF($J243="","",IF(AND($L243="Elite",$F243&gt;=Config!$B$41,$N243&lt;$M243),Config!$B$42,0))</f>
        <v/>
      </c>
      <c r="AJ243" s="22"/>
      <c r="AK243" s="39">
        <f>IFERROR(VLOOKUP(J243,Grinders!$A:$Q,28,FALSE),0)</f>
        <v>0</v>
      </c>
      <c r="AL243" s="39">
        <f>IF(Config!$B$1003&lt;&gt;"Y",0,IF(IFERROR(VLOOKUP(J243,Grinders!$A:$P,27,FALSE),0)&gt;=3,IF(OR(F243&gt;=Config!$B$1001,ISNUMBER(SEARCH(E243,Config!$B$1002))),1,0),0))</f>
        <v>0</v>
      </c>
      <c r="AM243" s="39">
        <f t="array" ref="AM243">IFERROR(IF(INDEX(Bids!$AE:$AE,MATCH(B243,Bids!$A:$A,0))="Pending",1,0),0)</f>
        <v>0</v>
      </c>
      <c r="AN243" s="39" t="str">
        <f t="array" ref="AN243">IF(C243="","",IFERROR(XLOOKUP(C243,Assignments!$C:$C,Assignments!$AU:$AU,0),0))</f>
        <v/>
      </c>
      <c r="AO243" s="39">
        <f>IF(AND(Config!$B$1006="Y",AN243=1),Config!$B$1007,0)</f>
        <v>0</v>
      </c>
    </row>
    <row r="244" ht="15.75" customHeight="1">
      <c r="A244" s="46" t="str">
        <f t="shared" si="1"/>
        <v/>
      </c>
      <c r="B244" s="40" t="str">
        <f>IF(Bids!$A244="","",Bids!$A244)</f>
        <v/>
      </c>
      <c r="C244" s="40" t="str">
        <f>IF(Bids!$B244="","",Bids!$B244)</f>
        <v/>
      </c>
      <c r="D244" s="40" t="str">
        <f>IF($C244="","",IFERROR(VLOOKUP($C244,Orders!$A:$J,9,FALSE),""))</f>
        <v/>
      </c>
      <c r="E244" s="40" t="str">
        <f>IF($C244="","",IFERROR(VLOOKUP($C244,Orders!$A:$J,3,FALSE),""))</f>
        <v/>
      </c>
      <c r="F244" s="40" t="str">
        <f>IF($C244="","",IFERROR(VLOOKUP($C244,Orders!$A:$J,4,FALSE),""))</f>
        <v/>
      </c>
      <c r="G244" s="40" t="str">
        <f>IF($C244="","",IFERROR(VLOOKUP($C244,Orders!$A:$J,5,FALSE),""))</f>
        <v/>
      </c>
      <c r="H244" s="40" t="str">
        <f>IF($C244="","",IFERROR(VLOOKUP($C244,Orders!$A:$J,6,FALSE),""))</f>
        <v/>
      </c>
      <c r="I244" s="40" t="str">
        <f>IF($C244="","",IFERROR(VLOOKUP($C244,Orders!$A:$J,7,FALSE),""))</f>
        <v/>
      </c>
      <c r="J244" s="40" t="str">
        <f>IF(Bids!$C244="","",Bids!$C244)</f>
        <v/>
      </c>
      <c r="K244" s="40" t="str">
        <f>IF($J244="","",IFERROR(VLOOKUP($J244,Grinders!$A:$N,2,FALSE),""))</f>
        <v/>
      </c>
      <c r="L244" s="40" t="str">
        <f>IF($J244="","",IFERROR(VLOOKUP($J244,Grinders!$A:$N,3,FALSE),""))</f>
        <v/>
      </c>
      <c r="M244" s="40" t="str">
        <f>IF($J244="","",IFERROR(VLOOKUP($J244,Grinders!$A:$N,4,FALSE),""))</f>
        <v/>
      </c>
      <c r="N244" s="40" t="str">
        <f>IF($J244="","",IFERROR(VLOOKUP($J244,Grinders!$A:$N,5,FALSE),""))</f>
        <v/>
      </c>
      <c r="O244" s="40" t="str">
        <f t="shared" si="2"/>
        <v/>
      </c>
      <c r="P244" s="40" t="str">
        <f>IF($J244="","",IFERROR(VLOOKUP($J244,Grinders!$A:$N,6,FALSE),""))</f>
        <v/>
      </c>
      <c r="Q244" s="40" t="str">
        <f>IF($J244="","",IFERROR(VLOOKUP($J244,Grinders!$A:$N,8,FALSE),""))</f>
        <v/>
      </c>
      <c r="R244" s="40" t="str">
        <f>IFERROR(IF($J244="","",IF($L244="Elite",MAX(50,MIN(100,Config!$B$27*MAX(0,MIN(100,(1-IF($O244="",0,$O244))*100)) + Config!$B$28*MAX(0,MIN(100,(1-MIN(1,IF(Config!$B$30=0,1,$P244/Config!$B$30)))*100)) + Config!$B$29*MAX(0,MIN(100,MIN(1,IF($Q244="",0,$Q244)/Config!$B$23)*100)))),MIN(100,Config!$B$27*MAX(0,MIN(100,(1-IF($O244="",0,$O244))*100)) + Config!$B$28*MAX(0,MIN(100,(1-MIN(1,IF(Config!$B$30=0,1,$P244/Config!$B$30)))*100)) + Config!$B$29*MAX(0,MIN(100,MIN(1,IF($Q244="",0,$Q244)/Config!$B$23)*100))))),"")
</f>
        <v/>
      </c>
      <c r="S244" s="40" t="str">
        <f>IF(Bids!$AC244="","",Bids!$AC244)</f>
        <v/>
      </c>
      <c r="T244" s="40" t="str">
        <f>IF(Bids!$F244="","",Bids!$F244)</f>
        <v/>
      </c>
      <c r="U244" s="40" t="str">
        <f t="shared" si="3"/>
        <v/>
      </c>
      <c r="V244" s="40" t="str">
        <f>IF($U244="","",IF(Config!$B$17=Config!$B$16,IF($U244&gt;=Config!$B$17,100,0),MAX(0,MIN(100,($U244-Config!$B$16)/(Config!$B$17-Config!$B$16)*100))))</f>
        <v/>
      </c>
      <c r="W244" s="40">
        <f>IF($L244="Elite",Config!$B$21,0)</f>
        <v>0</v>
      </c>
      <c r="X244" s="40" t="str">
        <f>IFERROR(IF(OR($T244="",$G244=""),"",IF($T244&gt;$G244,
  MAX(0, 60-(($T244-$G244)*24/Config!$B$19)*60),
  MEDIAN(60, 100, 60+(($G244-$T244)*24/Config!$B$20)*40)
)),"")
</f>
        <v/>
      </c>
      <c r="Y244" s="40" t="str">
        <f>IF($J244="","",IFERROR(VLOOKUP($J244,Grinders!$A:$N,10,FALSE),""))</f>
        <v/>
      </c>
      <c r="Z244" s="40" t="str">
        <f>IF($J244="","",IFERROR(VLOOKUP($J244,Grinders!$A:$N,11,FALSE),""))</f>
        <v/>
      </c>
      <c r="AA244" s="40" t="str">
        <f>IF($J244="","",IFERROR(VLOOKUP($J244,Grinders!$A:$N,12,FALSE),""))</f>
        <v/>
      </c>
      <c r="AB244" s="40" t="str">
        <f>IF(OR(AL244=1,AM244=1),0,=IFERROR(IF(OR($C244="",$J244=""),0,IF($D244&lt;&gt;"Open",0,IF(COUNTIFS(GrinderServices!$A:$A,$J244,GrinderServices!$B:$B,$E244,GrinderServices!$D:$D,"Y")=0,0,IF($U244&lt;Config!$B$16,0,IF(Config!$B$18=1,IF($N244&gt;=$M244,0,1),1))))),""))</f>
        <v>#ERROR!</v>
      </c>
      <c r="AC244" s="40" t="str">
        <f>IFERROR((IF(OR(AL244=1,AM244=1),"",=IFERROR((IFERROR(IF($AB244=0,"",((Config!$B$6*$V244 + Config!$B$7*$R244 + Config!$B$8*$W244 + Config!$B$9*$X244 + Config!$B$10*$Y244 + Config!$B$11*$Z244 - Config!$B$12*$AA244)/Config!$B$13)+$AH244+$AI244),""))*(1-IFERROR(VLOOKUP(J244,Grinders!$A:$AB, 28, FALSE),0)),"")))*(1+AO244),"")</f>
        <v>#ERROR!</v>
      </c>
      <c r="AD244" s="40" t="str">
        <f t="shared" si="4"/>
        <v/>
      </c>
      <c r="AE244" s="40" t="str">
        <f>IFERROR(__xludf.DUMMYFUNCTION("IF($AC244="""","""",IF($AC244=IFERROR(MAX(FILTER($AC$6:$AC$1000,$C$6:$C$1000=$C244,$AB$6:$AB$1000=1)),),""WINNER"",""""))"),"#ERROR!")</f>
        <v>#ERROR!</v>
      </c>
      <c r="AF244" s="40" t="str">
        <f t="shared" si="5"/>
        <v/>
      </c>
      <c r="AG244" s="40" t="str">
        <f>IF($J244="","",COUNTIF(Assignments!$B:$B,$J244))</f>
        <v/>
      </c>
      <c r="AH244" s="40" t="str">
        <f>IF($J244="","",IF(AND($AG244=0,$N244&lt;$M244),Config!$B$43,0))</f>
        <v/>
      </c>
      <c r="AI244" s="40" t="str">
        <f>IF($J244="","",IF(AND($L244="Elite",$F244&gt;=Config!$B$41,$N244&lt;$M244),Config!$B$42,0))</f>
        <v/>
      </c>
      <c r="AJ244" s="22"/>
      <c r="AK244" s="39">
        <f>IFERROR(VLOOKUP(J244,Grinders!$A:$Q,28,FALSE),0)</f>
        <v>0</v>
      </c>
      <c r="AL244" s="39">
        <f>IF(Config!$B$1003&lt;&gt;"Y",0,IF(IFERROR(VLOOKUP(J244,Grinders!$A:$P,27,FALSE),0)&gt;=3,IF(OR(F244&gt;=Config!$B$1001,ISNUMBER(SEARCH(E244,Config!$B$1002))),1,0),0))</f>
        <v>0</v>
      </c>
      <c r="AM244" s="39">
        <f t="array" ref="AM244">IFERROR(IF(INDEX(Bids!$AE:$AE,MATCH(B244,Bids!$A:$A,0))="Pending",1,0),0)</f>
        <v>0</v>
      </c>
      <c r="AN244" s="39" t="str">
        <f t="array" ref="AN244">IF(C244="","",IFERROR(XLOOKUP(C244,Assignments!$C:$C,Assignments!$AU:$AU,0),0))</f>
        <v/>
      </c>
      <c r="AO244" s="39">
        <f>IF(AND(Config!$B$1006="Y",AN244=1),Config!$B$1007,0)</f>
        <v>0</v>
      </c>
    </row>
    <row r="245" ht="15.75" customHeight="1">
      <c r="A245" s="46" t="str">
        <f t="shared" si="1"/>
        <v/>
      </c>
      <c r="B245" s="40" t="str">
        <f>IF(Bids!$A245="","",Bids!$A245)</f>
        <v/>
      </c>
      <c r="C245" s="40" t="str">
        <f>IF(Bids!$B245="","",Bids!$B245)</f>
        <v/>
      </c>
      <c r="D245" s="40" t="str">
        <f>IF($C245="","",IFERROR(VLOOKUP($C245,Orders!$A:$J,9,FALSE),""))</f>
        <v/>
      </c>
      <c r="E245" s="40" t="str">
        <f>IF($C245="","",IFERROR(VLOOKUP($C245,Orders!$A:$J,3,FALSE),""))</f>
        <v/>
      </c>
      <c r="F245" s="40" t="str">
        <f>IF($C245="","",IFERROR(VLOOKUP($C245,Orders!$A:$J,4,FALSE),""))</f>
        <v/>
      </c>
      <c r="G245" s="40" t="str">
        <f>IF($C245="","",IFERROR(VLOOKUP($C245,Orders!$A:$J,5,FALSE),""))</f>
        <v/>
      </c>
      <c r="H245" s="40" t="str">
        <f>IF($C245="","",IFERROR(VLOOKUP($C245,Orders!$A:$J,6,FALSE),""))</f>
        <v/>
      </c>
      <c r="I245" s="40" t="str">
        <f>IF($C245="","",IFERROR(VLOOKUP($C245,Orders!$A:$J,7,FALSE),""))</f>
        <v/>
      </c>
      <c r="J245" s="40" t="str">
        <f>IF(Bids!$C245="","",Bids!$C245)</f>
        <v/>
      </c>
      <c r="K245" s="40" t="str">
        <f>IF($J245="","",IFERROR(VLOOKUP($J245,Grinders!$A:$N,2,FALSE),""))</f>
        <v/>
      </c>
      <c r="L245" s="40" t="str">
        <f>IF($J245="","",IFERROR(VLOOKUP($J245,Grinders!$A:$N,3,FALSE),""))</f>
        <v/>
      </c>
      <c r="M245" s="40" t="str">
        <f>IF($J245="","",IFERROR(VLOOKUP($J245,Grinders!$A:$N,4,FALSE),""))</f>
        <v/>
      </c>
      <c r="N245" s="40" t="str">
        <f>IF($J245="","",IFERROR(VLOOKUP($J245,Grinders!$A:$N,5,FALSE),""))</f>
        <v/>
      </c>
      <c r="O245" s="40" t="str">
        <f t="shared" si="2"/>
        <v/>
      </c>
      <c r="P245" s="40" t="str">
        <f>IF($J245="","",IFERROR(VLOOKUP($J245,Grinders!$A:$N,6,FALSE),""))</f>
        <v/>
      </c>
      <c r="Q245" s="40" t="str">
        <f>IF($J245="","",IFERROR(VLOOKUP($J245,Grinders!$A:$N,8,FALSE),""))</f>
        <v/>
      </c>
      <c r="R245" s="40" t="str">
        <f>IFERROR(IF($J245="","",IF($L245="Elite",MAX(50,MIN(100,Config!$B$27*MAX(0,MIN(100,(1-IF($O245="",0,$O245))*100)) + Config!$B$28*MAX(0,MIN(100,(1-MIN(1,IF(Config!$B$30=0,1,$P245/Config!$B$30)))*100)) + Config!$B$29*MAX(0,MIN(100,MIN(1,IF($Q245="",0,$Q245)/Config!$B$23)*100)))),MIN(100,Config!$B$27*MAX(0,MIN(100,(1-IF($O245="",0,$O245))*100)) + Config!$B$28*MAX(0,MIN(100,(1-MIN(1,IF(Config!$B$30=0,1,$P245/Config!$B$30)))*100)) + Config!$B$29*MAX(0,MIN(100,MIN(1,IF($Q245="",0,$Q245)/Config!$B$23)*100))))),"")
</f>
        <v/>
      </c>
      <c r="S245" s="40" t="str">
        <f>IF(Bids!$AC245="","",Bids!$AC245)</f>
        <v/>
      </c>
      <c r="T245" s="40" t="str">
        <f>IF(Bids!$F245="","",Bids!$F245)</f>
        <v/>
      </c>
      <c r="U245" s="40" t="str">
        <f t="shared" si="3"/>
        <v/>
      </c>
      <c r="V245" s="40" t="str">
        <f>IF($U245="","",IF(Config!$B$17=Config!$B$16,IF($U245&gt;=Config!$B$17,100,0),MAX(0,MIN(100,($U245-Config!$B$16)/(Config!$B$17-Config!$B$16)*100))))</f>
        <v/>
      </c>
      <c r="W245" s="40">
        <f>IF($L245="Elite",Config!$B$21,0)</f>
        <v>0</v>
      </c>
      <c r="X245" s="40" t="str">
        <f>IFERROR(IF(OR($T245="",$G245=""),"",IF($T245&gt;$G245,
  MAX(0, 60-(($T245-$G245)*24/Config!$B$19)*60),
  MEDIAN(60, 100, 60+(($G245-$T245)*24/Config!$B$20)*40)
)),"")
</f>
        <v/>
      </c>
      <c r="Y245" s="40" t="str">
        <f>IF($J245="","",IFERROR(VLOOKUP($J245,Grinders!$A:$N,10,FALSE),""))</f>
        <v/>
      </c>
      <c r="Z245" s="40" t="str">
        <f>IF($J245="","",IFERROR(VLOOKUP($J245,Grinders!$A:$N,11,FALSE),""))</f>
        <v/>
      </c>
      <c r="AA245" s="40" t="str">
        <f>IF($J245="","",IFERROR(VLOOKUP($J245,Grinders!$A:$N,12,FALSE),""))</f>
        <v/>
      </c>
      <c r="AB245" s="40" t="str">
        <f>IF(OR(AL245=1,AM245=1),0,=IFERROR(IF(OR($C245="",$J245=""),0,IF($D245&lt;&gt;"Open",0,IF(COUNTIFS(GrinderServices!$A:$A,$J245,GrinderServices!$B:$B,$E245,GrinderServices!$D:$D,"Y")=0,0,IF($U245&lt;Config!$B$16,0,IF(Config!$B$18=1,IF($N245&gt;=$M245,0,1),1))))),""))</f>
        <v>#ERROR!</v>
      </c>
      <c r="AC245" s="40" t="str">
        <f>IFERROR((IF(OR(AL245=1,AM245=1),"",=IFERROR((IFERROR(IF($AB245=0,"",((Config!$B$6*$V245 + Config!$B$7*$R245 + Config!$B$8*$W245 + Config!$B$9*$X245 + Config!$B$10*$Y245 + Config!$B$11*$Z245 - Config!$B$12*$AA245)/Config!$B$13)+$AH245+$AI245),""))*(1-IFERROR(VLOOKUP(J245,Grinders!$A:$AB, 28, FALSE),0)),"")))*(1+AO245),"")</f>
        <v>#ERROR!</v>
      </c>
      <c r="AD245" s="40" t="str">
        <f t="shared" si="4"/>
        <v/>
      </c>
      <c r="AE245" s="40" t="str">
        <f>IFERROR(__xludf.DUMMYFUNCTION("IF($AC245="""","""",IF($AC245=IFERROR(MAX(FILTER($AC$6:$AC$1000,$C$6:$C$1000=$C245,$AB$6:$AB$1000=1)),),""WINNER"",""""))"),"#ERROR!")</f>
        <v>#ERROR!</v>
      </c>
      <c r="AF245" s="40" t="str">
        <f t="shared" si="5"/>
        <v/>
      </c>
      <c r="AG245" s="40" t="str">
        <f>IF($J245="","",COUNTIF(Assignments!$B:$B,$J245))</f>
        <v/>
      </c>
      <c r="AH245" s="40" t="str">
        <f>IF($J245="","",IF(AND($AG245=0,$N245&lt;$M245),Config!$B$43,0))</f>
        <v/>
      </c>
      <c r="AI245" s="40" t="str">
        <f>IF($J245="","",IF(AND($L245="Elite",$F245&gt;=Config!$B$41,$N245&lt;$M245),Config!$B$42,0))</f>
        <v/>
      </c>
      <c r="AJ245" s="22"/>
      <c r="AK245" s="39">
        <f>IFERROR(VLOOKUP(J245,Grinders!$A:$Q,28,FALSE),0)</f>
        <v>0</v>
      </c>
      <c r="AL245" s="39">
        <f>IF(Config!$B$1003&lt;&gt;"Y",0,IF(IFERROR(VLOOKUP(J245,Grinders!$A:$P,27,FALSE),0)&gt;=3,IF(OR(F245&gt;=Config!$B$1001,ISNUMBER(SEARCH(E245,Config!$B$1002))),1,0),0))</f>
        <v>0</v>
      </c>
      <c r="AM245" s="39">
        <f t="array" ref="AM245">IFERROR(IF(INDEX(Bids!$AE:$AE,MATCH(B245,Bids!$A:$A,0))="Pending",1,0),0)</f>
        <v>0</v>
      </c>
      <c r="AN245" s="39" t="str">
        <f t="array" ref="AN245">IF(C245="","",IFERROR(XLOOKUP(C245,Assignments!$C:$C,Assignments!$AU:$AU,0),0))</f>
        <v/>
      </c>
      <c r="AO245" s="39">
        <f>IF(AND(Config!$B$1006="Y",AN245=1),Config!$B$1007,0)</f>
        <v>0</v>
      </c>
    </row>
    <row r="246" ht="15.75" customHeight="1">
      <c r="A246" s="46" t="str">
        <f t="shared" si="1"/>
        <v/>
      </c>
      <c r="B246" s="40" t="str">
        <f>IF(Bids!$A246="","",Bids!$A246)</f>
        <v/>
      </c>
      <c r="C246" s="40" t="str">
        <f>IF(Bids!$B246="","",Bids!$B246)</f>
        <v/>
      </c>
      <c r="D246" s="40" t="str">
        <f>IF($C246="","",IFERROR(VLOOKUP($C246,Orders!$A:$J,9,FALSE),""))</f>
        <v/>
      </c>
      <c r="E246" s="40" t="str">
        <f>IF($C246="","",IFERROR(VLOOKUP($C246,Orders!$A:$J,3,FALSE),""))</f>
        <v/>
      </c>
      <c r="F246" s="40" t="str">
        <f>IF($C246="","",IFERROR(VLOOKUP($C246,Orders!$A:$J,4,FALSE),""))</f>
        <v/>
      </c>
      <c r="G246" s="40" t="str">
        <f>IF($C246="","",IFERROR(VLOOKUP($C246,Orders!$A:$J,5,FALSE),""))</f>
        <v/>
      </c>
      <c r="H246" s="40" t="str">
        <f>IF($C246="","",IFERROR(VLOOKUP($C246,Orders!$A:$J,6,FALSE),""))</f>
        <v/>
      </c>
      <c r="I246" s="40" t="str">
        <f>IF($C246="","",IFERROR(VLOOKUP($C246,Orders!$A:$J,7,FALSE),""))</f>
        <v/>
      </c>
      <c r="J246" s="40" t="str">
        <f>IF(Bids!$C246="","",Bids!$C246)</f>
        <v/>
      </c>
      <c r="K246" s="40" t="str">
        <f>IF($J246="","",IFERROR(VLOOKUP($J246,Grinders!$A:$N,2,FALSE),""))</f>
        <v/>
      </c>
      <c r="L246" s="40" t="str">
        <f>IF($J246="","",IFERROR(VLOOKUP($J246,Grinders!$A:$N,3,FALSE),""))</f>
        <v/>
      </c>
      <c r="M246" s="40" t="str">
        <f>IF($J246="","",IFERROR(VLOOKUP($J246,Grinders!$A:$N,4,FALSE),""))</f>
        <v/>
      </c>
      <c r="N246" s="40" t="str">
        <f>IF($J246="","",IFERROR(VLOOKUP($J246,Grinders!$A:$N,5,FALSE),""))</f>
        <v/>
      </c>
      <c r="O246" s="40" t="str">
        <f t="shared" si="2"/>
        <v/>
      </c>
      <c r="P246" s="40" t="str">
        <f>IF($J246="","",IFERROR(VLOOKUP($J246,Grinders!$A:$N,6,FALSE),""))</f>
        <v/>
      </c>
      <c r="Q246" s="40" t="str">
        <f>IF($J246="","",IFERROR(VLOOKUP($J246,Grinders!$A:$N,8,FALSE),""))</f>
        <v/>
      </c>
      <c r="R246" s="40" t="str">
        <f>IFERROR(IF($J246="","",IF($L246="Elite",MAX(50,MIN(100,Config!$B$27*MAX(0,MIN(100,(1-IF($O246="",0,$O246))*100)) + Config!$B$28*MAX(0,MIN(100,(1-MIN(1,IF(Config!$B$30=0,1,$P246/Config!$B$30)))*100)) + Config!$B$29*MAX(0,MIN(100,MIN(1,IF($Q246="",0,$Q246)/Config!$B$23)*100)))),MIN(100,Config!$B$27*MAX(0,MIN(100,(1-IF($O246="",0,$O246))*100)) + Config!$B$28*MAX(0,MIN(100,(1-MIN(1,IF(Config!$B$30=0,1,$P246/Config!$B$30)))*100)) + Config!$B$29*MAX(0,MIN(100,MIN(1,IF($Q246="",0,$Q246)/Config!$B$23)*100))))),"")
</f>
        <v/>
      </c>
      <c r="S246" s="40" t="str">
        <f>IF(Bids!$AC246="","",Bids!$AC246)</f>
        <v/>
      </c>
      <c r="T246" s="40" t="str">
        <f>IF(Bids!$F246="","",Bids!$F246)</f>
        <v/>
      </c>
      <c r="U246" s="40" t="str">
        <f t="shared" si="3"/>
        <v/>
      </c>
      <c r="V246" s="40" t="str">
        <f>IF($U246="","",IF(Config!$B$17=Config!$B$16,IF($U246&gt;=Config!$B$17,100,0),MAX(0,MIN(100,($U246-Config!$B$16)/(Config!$B$17-Config!$B$16)*100))))</f>
        <v/>
      </c>
      <c r="W246" s="40">
        <f>IF($L246="Elite",Config!$B$21,0)</f>
        <v>0</v>
      </c>
      <c r="X246" s="40" t="str">
        <f>IFERROR(IF(OR($T246="",$G246=""),"",IF($T246&gt;$G246,
  MAX(0, 60-(($T246-$G246)*24/Config!$B$19)*60),
  MEDIAN(60, 100, 60+(($G246-$T246)*24/Config!$B$20)*40)
)),"")
</f>
        <v/>
      </c>
      <c r="Y246" s="40" t="str">
        <f>IF($J246="","",IFERROR(VLOOKUP($J246,Grinders!$A:$N,10,FALSE),""))</f>
        <v/>
      </c>
      <c r="Z246" s="40" t="str">
        <f>IF($J246="","",IFERROR(VLOOKUP($J246,Grinders!$A:$N,11,FALSE),""))</f>
        <v/>
      </c>
      <c r="AA246" s="40" t="str">
        <f>IF($J246="","",IFERROR(VLOOKUP($J246,Grinders!$A:$N,12,FALSE),""))</f>
        <v/>
      </c>
      <c r="AB246" s="40" t="str">
        <f>IF(OR(AL246=1,AM246=1),0,=IFERROR(IF(OR($C246="",$J246=""),0,IF($D246&lt;&gt;"Open",0,IF(COUNTIFS(GrinderServices!$A:$A,$J246,GrinderServices!$B:$B,$E246,GrinderServices!$D:$D,"Y")=0,0,IF($U246&lt;Config!$B$16,0,IF(Config!$B$18=1,IF($N246&gt;=$M246,0,1),1))))),""))</f>
        <v>#ERROR!</v>
      </c>
      <c r="AC246" s="40" t="str">
        <f>IFERROR((IF(OR(AL246=1,AM246=1),"",=IFERROR((IFERROR(IF($AB246=0,"",((Config!$B$6*$V246 + Config!$B$7*$R246 + Config!$B$8*$W246 + Config!$B$9*$X246 + Config!$B$10*$Y246 + Config!$B$11*$Z246 - Config!$B$12*$AA246)/Config!$B$13)+$AH246+$AI246),""))*(1-IFERROR(VLOOKUP(J246,Grinders!$A:$AB, 28, FALSE),0)),"")))*(1+AO246),"")</f>
        <v>#ERROR!</v>
      </c>
      <c r="AD246" s="40" t="str">
        <f t="shared" si="4"/>
        <v/>
      </c>
      <c r="AE246" s="40" t="str">
        <f>IFERROR(__xludf.DUMMYFUNCTION("IF($AC246="""","""",IF($AC246=IFERROR(MAX(FILTER($AC$6:$AC$1000,$C$6:$C$1000=$C246,$AB$6:$AB$1000=1)),),""WINNER"",""""))"),"#ERROR!")</f>
        <v>#ERROR!</v>
      </c>
      <c r="AF246" s="40" t="str">
        <f t="shared" si="5"/>
        <v/>
      </c>
      <c r="AG246" s="40" t="str">
        <f>IF($J246="","",COUNTIF(Assignments!$B:$B,$J246))</f>
        <v/>
      </c>
      <c r="AH246" s="40" t="str">
        <f>IF($J246="","",IF(AND($AG246=0,$N246&lt;$M246),Config!$B$43,0))</f>
        <v/>
      </c>
      <c r="AI246" s="40" t="str">
        <f>IF($J246="","",IF(AND($L246="Elite",$F246&gt;=Config!$B$41,$N246&lt;$M246),Config!$B$42,0))</f>
        <v/>
      </c>
      <c r="AJ246" s="22"/>
      <c r="AK246" s="39">
        <f>IFERROR(VLOOKUP(J246,Grinders!$A:$Q,28,FALSE),0)</f>
        <v>0</v>
      </c>
      <c r="AL246" s="39">
        <f>IF(Config!$B$1003&lt;&gt;"Y",0,IF(IFERROR(VLOOKUP(J246,Grinders!$A:$P,27,FALSE),0)&gt;=3,IF(OR(F246&gt;=Config!$B$1001,ISNUMBER(SEARCH(E246,Config!$B$1002))),1,0),0))</f>
        <v>0</v>
      </c>
      <c r="AM246" s="39">
        <f t="array" ref="AM246">IFERROR(IF(INDEX(Bids!$AE:$AE,MATCH(B246,Bids!$A:$A,0))="Pending",1,0),0)</f>
        <v>0</v>
      </c>
      <c r="AN246" s="39" t="str">
        <f t="array" ref="AN246">IF(C246="","",IFERROR(XLOOKUP(C246,Assignments!$C:$C,Assignments!$AU:$AU,0),0))</f>
        <v/>
      </c>
      <c r="AO246" s="39">
        <f>IF(AND(Config!$B$1006="Y",AN246=1),Config!$B$1007,0)</f>
        <v>0</v>
      </c>
    </row>
    <row r="247" ht="15.75" customHeight="1">
      <c r="A247" s="46" t="str">
        <f t="shared" si="1"/>
        <v/>
      </c>
      <c r="B247" s="40" t="str">
        <f>IF(Bids!$A247="","",Bids!$A247)</f>
        <v/>
      </c>
      <c r="C247" s="40" t="str">
        <f>IF(Bids!$B247="","",Bids!$B247)</f>
        <v/>
      </c>
      <c r="D247" s="40" t="str">
        <f>IF($C247="","",IFERROR(VLOOKUP($C247,Orders!$A:$J,9,FALSE),""))</f>
        <v/>
      </c>
      <c r="E247" s="40" t="str">
        <f>IF($C247="","",IFERROR(VLOOKUP($C247,Orders!$A:$J,3,FALSE),""))</f>
        <v/>
      </c>
      <c r="F247" s="40" t="str">
        <f>IF($C247="","",IFERROR(VLOOKUP($C247,Orders!$A:$J,4,FALSE),""))</f>
        <v/>
      </c>
      <c r="G247" s="40" t="str">
        <f>IF($C247="","",IFERROR(VLOOKUP($C247,Orders!$A:$J,5,FALSE),""))</f>
        <v/>
      </c>
      <c r="H247" s="40" t="str">
        <f>IF($C247="","",IFERROR(VLOOKUP($C247,Orders!$A:$J,6,FALSE),""))</f>
        <v/>
      </c>
      <c r="I247" s="40" t="str">
        <f>IF($C247="","",IFERROR(VLOOKUP($C247,Orders!$A:$J,7,FALSE),""))</f>
        <v/>
      </c>
      <c r="J247" s="40" t="str">
        <f>IF(Bids!$C247="","",Bids!$C247)</f>
        <v/>
      </c>
      <c r="K247" s="40" t="str">
        <f>IF($J247="","",IFERROR(VLOOKUP($J247,Grinders!$A:$N,2,FALSE),""))</f>
        <v/>
      </c>
      <c r="L247" s="40" t="str">
        <f>IF($J247="","",IFERROR(VLOOKUP($J247,Grinders!$A:$N,3,FALSE),""))</f>
        <v/>
      </c>
      <c r="M247" s="40" t="str">
        <f>IF($J247="","",IFERROR(VLOOKUP($J247,Grinders!$A:$N,4,FALSE),""))</f>
        <v/>
      </c>
      <c r="N247" s="40" t="str">
        <f>IF($J247="","",IFERROR(VLOOKUP($J247,Grinders!$A:$N,5,FALSE),""))</f>
        <v/>
      </c>
      <c r="O247" s="40" t="str">
        <f t="shared" si="2"/>
        <v/>
      </c>
      <c r="P247" s="40" t="str">
        <f>IF($J247="","",IFERROR(VLOOKUP($J247,Grinders!$A:$N,6,FALSE),""))</f>
        <v/>
      </c>
      <c r="Q247" s="40" t="str">
        <f>IF($J247="","",IFERROR(VLOOKUP($J247,Grinders!$A:$N,8,FALSE),""))</f>
        <v/>
      </c>
      <c r="R247" s="40" t="str">
        <f>IFERROR(IF($J247="","",IF($L247="Elite",MAX(50,MIN(100,Config!$B$27*MAX(0,MIN(100,(1-IF($O247="",0,$O247))*100)) + Config!$B$28*MAX(0,MIN(100,(1-MIN(1,IF(Config!$B$30=0,1,$P247/Config!$B$30)))*100)) + Config!$B$29*MAX(0,MIN(100,MIN(1,IF($Q247="",0,$Q247)/Config!$B$23)*100)))),MIN(100,Config!$B$27*MAX(0,MIN(100,(1-IF($O247="",0,$O247))*100)) + Config!$B$28*MAX(0,MIN(100,(1-MIN(1,IF(Config!$B$30=0,1,$P247/Config!$B$30)))*100)) + Config!$B$29*MAX(0,MIN(100,MIN(1,IF($Q247="",0,$Q247)/Config!$B$23)*100))))),"")
</f>
        <v/>
      </c>
      <c r="S247" s="40" t="str">
        <f>IF(Bids!$AC247="","",Bids!$AC247)</f>
        <v/>
      </c>
      <c r="T247" s="40" t="str">
        <f>IF(Bids!$F247="","",Bids!$F247)</f>
        <v/>
      </c>
      <c r="U247" s="40" t="str">
        <f t="shared" si="3"/>
        <v/>
      </c>
      <c r="V247" s="40" t="str">
        <f>IF($U247="","",IF(Config!$B$17=Config!$B$16,IF($U247&gt;=Config!$B$17,100,0),MAX(0,MIN(100,($U247-Config!$B$16)/(Config!$B$17-Config!$B$16)*100))))</f>
        <v/>
      </c>
      <c r="W247" s="40">
        <f>IF($L247="Elite",Config!$B$21,0)</f>
        <v>0</v>
      </c>
      <c r="X247" s="40" t="str">
        <f>IFERROR(IF(OR($T247="",$G247=""),"",IF($T247&gt;$G247,
  MAX(0, 60-(($T247-$G247)*24/Config!$B$19)*60),
  MEDIAN(60, 100, 60+(($G247-$T247)*24/Config!$B$20)*40)
)),"")
</f>
        <v/>
      </c>
      <c r="Y247" s="40" t="str">
        <f>IF($J247="","",IFERROR(VLOOKUP($J247,Grinders!$A:$N,10,FALSE),""))</f>
        <v/>
      </c>
      <c r="Z247" s="40" t="str">
        <f>IF($J247="","",IFERROR(VLOOKUP($J247,Grinders!$A:$N,11,FALSE),""))</f>
        <v/>
      </c>
      <c r="AA247" s="40" t="str">
        <f>IF($J247="","",IFERROR(VLOOKUP($J247,Grinders!$A:$N,12,FALSE),""))</f>
        <v/>
      </c>
      <c r="AB247" s="40" t="str">
        <f>IF(OR(AL247=1,AM247=1),0,=IFERROR(IF(OR($C247="",$J247=""),0,IF($D247&lt;&gt;"Open",0,IF(COUNTIFS(GrinderServices!$A:$A,$J247,GrinderServices!$B:$B,$E247,GrinderServices!$D:$D,"Y")=0,0,IF($U247&lt;Config!$B$16,0,IF(Config!$B$18=1,IF($N247&gt;=$M247,0,1),1))))),""))</f>
        <v>#ERROR!</v>
      </c>
      <c r="AC247" s="40" t="str">
        <f>IFERROR((IF(OR(AL247=1,AM247=1),"",=IFERROR((IFERROR(IF($AB247=0,"",((Config!$B$6*$V247 + Config!$B$7*$R247 + Config!$B$8*$W247 + Config!$B$9*$X247 + Config!$B$10*$Y247 + Config!$B$11*$Z247 - Config!$B$12*$AA247)/Config!$B$13)+$AH247+$AI247),""))*(1-IFERROR(VLOOKUP(J247,Grinders!$A:$AB, 28, FALSE),0)),"")))*(1+AO247),"")</f>
        <v>#ERROR!</v>
      </c>
      <c r="AD247" s="40" t="str">
        <f t="shared" si="4"/>
        <v/>
      </c>
      <c r="AE247" s="40" t="str">
        <f>IFERROR(__xludf.DUMMYFUNCTION("IF($AC247="""","""",IF($AC247=IFERROR(MAX(FILTER($AC$6:$AC$1000,$C$6:$C$1000=$C247,$AB$6:$AB$1000=1)),),""WINNER"",""""))"),"#ERROR!")</f>
        <v>#ERROR!</v>
      </c>
      <c r="AF247" s="40" t="str">
        <f t="shared" si="5"/>
        <v/>
      </c>
      <c r="AG247" s="40" t="str">
        <f>IF($J247="","",COUNTIF(Assignments!$B:$B,$J247))</f>
        <v/>
      </c>
      <c r="AH247" s="40" t="str">
        <f>IF($J247="","",IF(AND($AG247=0,$N247&lt;$M247),Config!$B$43,0))</f>
        <v/>
      </c>
      <c r="AI247" s="40" t="str">
        <f>IF($J247="","",IF(AND($L247="Elite",$F247&gt;=Config!$B$41,$N247&lt;$M247),Config!$B$42,0))</f>
        <v/>
      </c>
      <c r="AJ247" s="22"/>
      <c r="AK247" s="39">
        <f>IFERROR(VLOOKUP(J247,Grinders!$A:$Q,28,FALSE),0)</f>
        <v>0</v>
      </c>
      <c r="AL247" s="39">
        <f>IF(Config!$B$1003&lt;&gt;"Y",0,IF(IFERROR(VLOOKUP(J247,Grinders!$A:$P,27,FALSE),0)&gt;=3,IF(OR(F247&gt;=Config!$B$1001,ISNUMBER(SEARCH(E247,Config!$B$1002))),1,0),0))</f>
        <v>0</v>
      </c>
      <c r="AM247" s="39">
        <f t="array" ref="AM247">IFERROR(IF(INDEX(Bids!$AE:$AE,MATCH(B247,Bids!$A:$A,0))="Pending",1,0),0)</f>
        <v>0</v>
      </c>
      <c r="AN247" s="39" t="str">
        <f t="array" ref="AN247">IF(C247="","",IFERROR(XLOOKUP(C247,Assignments!$C:$C,Assignments!$AU:$AU,0),0))</f>
        <v/>
      </c>
      <c r="AO247" s="39">
        <f>IF(AND(Config!$B$1006="Y",AN247=1),Config!$B$1007,0)</f>
        <v>0</v>
      </c>
    </row>
    <row r="248" ht="15.75" customHeight="1">
      <c r="A248" s="46" t="str">
        <f t="shared" si="1"/>
        <v/>
      </c>
      <c r="B248" s="40" t="str">
        <f>IF(Bids!$A248="","",Bids!$A248)</f>
        <v/>
      </c>
      <c r="C248" s="40" t="str">
        <f>IF(Bids!$B248="","",Bids!$B248)</f>
        <v/>
      </c>
      <c r="D248" s="40" t="str">
        <f>IF($C248="","",IFERROR(VLOOKUP($C248,Orders!$A:$J,9,FALSE),""))</f>
        <v/>
      </c>
      <c r="E248" s="40" t="str">
        <f>IF($C248="","",IFERROR(VLOOKUP($C248,Orders!$A:$J,3,FALSE),""))</f>
        <v/>
      </c>
      <c r="F248" s="40" t="str">
        <f>IF($C248="","",IFERROR(VLOOKUP($C248,Orders!$A:$J,4,FALSE),""))</f>
        <v/>
      </c>
      <c r="G248" s="40" t="str">
        <f>IF($C248="","",IFERROR(VLOOKUP($C248,Orders!$A:$J,5,FALSE),""))</f>
        <v/>
      </c>
      <c r="H248" s="40" t="str">
        <f>IF($C248="","",IFERROR(VLOOKUP($C248,Orders!$A:$J,6,FALSE),""))</f>
        <v/>
      </c>
      <c r="I248" s="40" t="str">
        <f>IF($C248="","",IFERROR(VLOOKUP($C248,Orders!$A:$J,7,FALSE),""))</f>
        <v/>
      </c>
      <c r="J248" s="40" t="str">
        <f>IF(Bids!$C248="","",Bids!$C248)</f>
        <v/>
      </c>
      <c r="K248" s="40" t="str">
        <f>IF($J248="","",IFERROR(VLOOKUP($J248,Grinders!$A:$N,2,FALSE),""))</f>
        <v/>
      </c>
      <c r="L248" s="40" t="str">
        <f>IF($J248="","",IFERROR(VLOOKUP($J248,Grinders!$A:$N,3,FALSE),""))</f>
        <v/>
      </c>
      <c r="M248" s="40" t="str">
        <f>IF($J248="","",IFERROR(VLOOKUP($J248,Grinders!$A:$N,4,FALSE),""))</f>
        <v/>
      </c>
      <c r="N248" s="40" t="str">
        <f>IF($J248="","",IFERROR(VLOOKUP($J248,Grinders!$A:$N,5,FALSE),""))</f>
        <v/>
      </c>
      <c r="O248" s="40" t="str">
        <f t="shared" si="2"/>
        <v/>
      </c>
      <c r="P248" s="40" t="str">
        <f>IF($J248="","",IFERROR(VLOOKUP($J248,Grinders!$A:$N,6,FALSE),""))</f>
        <v/>
      </c>
      <c r="Q248" s="40" t="str">
        <f>IF($J248="","",IFERROR(VLOOKUP($J248,Grinders!$A:$N,8,FALSE),""))</f>
        <v/>
      </c>
      <c r="R248" s="40" t="str">
        <f>IFERROR(IF($J248="","",IF($L248="Elite",MAX(50,MIN(100,Config!$B$27*MAX(0,MIN(100,(1-IF($O248="",0,$O248))*100)) + Config!$B$28*MAX(0,MIN(100,(1-MIN(1,IF(Config!$B$30=0,1,$P248/Config!$B$30)))*100)) + Config!$B$29*MAX(0,MIN(100,MIN(1,IF($Q248="",0,$Q248)/Config!$B$23)*100)))),MIN(100,Config!$B$27*MAX(0,MIN(100,(1-IF($O248="",0,$O248))*100)) + Config!$B$28*MAX(0,MIN(100,(1-MIN(1,IF(Config!$B$30=0,1,$P248/Config!$B$30)))*100)) + Config!$B$29*MAX(0,MIN(100,MIN(1,IF($Q248="",0,$Q248)/Config!$B$23)*100))))),"")
</f>
        <v/>
      </c>
      <c r="S248" s="40" t="str">
        <f>IF(Bids!$AC248="","",Bids!$AC248)</f>
        <v/>
      </c>
      <c r="T248" s="40" t="str">
        <f>IF(Bids!$F248="","",Bids!$F248)</f>
        <v/>
      </c>
      <c r="U248" s="40" t="str">
        <f t="shared" si="3"/>
        <v/>
      </c>
      <c r="V248" s="40" t="str">
        <f>IF($U248="","",IF(Config!$B$17=Config!$B$16,IF($U248&gt;=Config!$B$17,100,0),MAX(0,MIN(100,($U248-Config!$B$16)/(Config!$B$17-Config!$B$16)*100))))</f>
        <v/>
      </c>
      <c r="W248" s="40">
        <f>IF($L248="Elite",Config!$B$21,0)</f>
        <v>0</v>
      </c>
      <c r="X248" s="40" t="str">
        <f>IFERROR(IF(OR($T248="",$G248=""),"",IF($T248&gt;$G248,
  MAX(0, 60-(($T248-$G248)*24/Config!$B$19)*60),
  MEDIAN(60, 100, 60+(($G248-$T248)*24/Config!$B$20)*40)
)),"")
</f>
        <v/>
      </c>
      <c r="Y248" s="40" t="str">
        <f>IF($J248="","",IFERROR(VLOOKUP($J248,Grinders!$A:$N,10,FALSE),""))</f>
        <v/>
      </c>
      <c r="Z248" s="40" t="str">
        <f>IF($J248="","",IFERROR(VLOOKUP($J248,Grinders!$A:$N,11,FALSE),""))</f>
        <v/>
      </c>
      <c r="AA248" s="40" t="str">
        <f>IF($J248="","",IFERROR(VLOOKUP($J248,Grinders!$A:$N,12,FALSE),""))</f>
        <v/>
      </c>
      <c r="AB248" s="40" t="str">
        <f>IF(OR(AL248=1,AM248=1),0,=IFERROR(IF(OR($C248="",$J248=""),0,IF($D248&lt;&gt;"Open",0,IF(COUNTIFS(GrinderServices!$A:$A,$J248,GrinderServices!$B:$B,$E248,GrinderServices!$D:$D,"Y")=0,0,IF($U248&lt;Config!$B$16,0,IF(Config!$B$18=1,IF($N248&gt;=$M248,0,1),1))))),""))</f>
        <v>#ERROR!</v>
      </c>
      <c r="AC248" s="40" t="str">
        <f>IFERROR((IF(OR(AL248=1,AM248=1),"",=IFERROR((IFERROR(IF($AB248=0,"",((Config!$B$6*$V248 + Config!$B$7*$R248 + Config!$B$8*$W248 + Config!$B$9*$X248 + Config!$B$10*$Y248 + Config!$B$11*$Z248 - Config!$B$12*$AA248)/Config!$B$13)+$AH248+$AI248),""))*(1-IFERROR(VLOOKUP(J248,Grinders!$A:$AB, 28, FALSE),0)),"")))*(1+AO248),"")</f>
        <v>#ERROR!</v>
      </c>
      <c r="AD248" s="40" t="str">
        <f t="shared" si="4"/>
        <v/>
      </c>
      <c r="AE248" s="40" t="str">
        <f>IFERROR(__xludf.DUMMYFUNCTION("IF($AC248="""","""",IF($AC248=IFERROR(MAX(FILTER($AC$6:$AC$1000,$C$6:$C$1000=$C248,$AB$6:$AB$1000=1)),),""WINNER"",""""))"),"#ERROR!")</f>
        <v>#ERROR!</v>
      </c>
      <c r="AF248" s="40" t="str">
        <f t="shared" si="5"/>
        <v/>
      </c>
      <c r="AG248" s="40" t="str">
        <f>IF($J248="","",COUNTIF(Assignments!$B:$B,$J248))</f>
        <v/>
      </c>
      <c r="AH248" s="40" t="str">
        <f>IF($J248="","",IF(AND($AG248=0,$N248&lt;$M248),Config!$B$43,0))</f>
        <v/>
      </c>
      <c r="AI248" s="40" t="str">
        <f>IF($J248="","",IF(AND($L248="Elite",$F248&gt;=Config!$B$41,$N248&lt;$M248),Config!$B$42,0))</f>
        <v/>
      </c>
      <c r="AJ248" s="22"/>
      <c r="AK248" s="39">
        <f>IFERROR(VLOOKUP(J248,Grinders!$A:$Q,28,FALSE),0)</f>
        <v>0</v>
      </c>
      <c r="AL248" s="39">
        <f>IF(Config!$B$1003&lt;&gt;"Y",0,IF(IFERROR(VLOOKUP(J248,Grinders!$A:$P,27,FALSE),0)&gt;=3,IF(OR(F248&gt;=Config!$B$1001,ISNUMBER(SEARCH(E248,Config!$B$1002))),1,0),0))</f>
        <v>0</v>
      </c>
      <c r="AM248" s="39">
        <f t="array" ref="AM248">IFERROR(IF(INDEX(Bids!$AE:$AE,MATCH(B248,Bids!$A:$A,0))="Pending",1,0),0)</f>
        <v>0</v>
      </c>
      <c r="AN248" s="39" t="str">
        <f t="array" ref="AN248">IF(C248="","",IFERROR(XLOOKUP(C248,Assignments!$C:$C,Assignments!$AU:$AU,0),0))</f>
        <v/>
      </c>
      <c r="AO248" s="39">
        <f>IF(AND(Config!$B$1006="Y",AN248=1),Config!$B$1007,0)</f>
        <v>0</v>
      </c>
    </row>
    <row r="249" ht="15.75" customHeight="1">
      <c r="A249" s="46" t="str">
        <f t="shared" si="1"/>
        <v/>
      </c>
      <c r="B249" s="40" t="str">
        <f>IF(Bids!$A249="","",Bids!$A249)</f>
        <v/>
      </c>
      <c r="C249" s="40" t="str">
        <f>IF(Bids!$B249="","",Bids!$B249)</f>
        <v/>
      </c>
      <c r="D249" s="40" t="str">
        <f>IF($C249="","",IFERROR(VLOOKUP($C249,Orders!$A:$J,9,FALSE),""))</f>
        <v/>
      </c>
      <c r="E249" s="40" t="str">
        <f>IF($C249="","",IFERROR(VLOOKUP($C249,Orders!$A:$J,3,FALSE),""))</f>
        <v/>
      </c>
      <c r="F249" s="40" t="str">
        <f>IF($C249="","",IFERROR(VLOOKUP($C249,Orders!$A:$J,4,FALSE),""))</f>
        <v/>
      </c>
      <c r="G249" s="40" t="str">
        <f>IF($C249="","",IFERROR(VLOOKUP($C249,Orders!$A:$J,5,FALSE),""))</f>
        <v/>
      </c>
      <c r="H249" s="40" t="str">
        <f>IF($C249="","",IFERROR(VLOOKUP($C249,Orders!$A:$J,6,FALSE),""))</f>
        <v/>
      </c>
      <c r="I249" s="40" t="str">
        <f>IF($C249="","",IFERROR(VLOOKUP($C249,Orders!$A:$J,7,FALSE),""))</f>
        <v/>
      </c>
      <c r="J249" s="40" t="str">
        <f>IF(Bids!$C249="","",Bids!$C249)</f>
        <v/>
      </c>
      <c r="K249" s="40" t="str">
        <f>IF($J249="","",IFERROR(VLOOKUP($J249,Grinders!$A:$N,2,FALSE),""))</f>
        <v/>
      </c>
      <c r="L249" s="40" t="str">
        <f>IF($J249="","",IFERROR(VLOOKUP($J249,Grinders!$A:$N,3,FALSE),""))</f>
        <v/>
      </c>
      <c r="M249" s="40" t="str">
        <f>IF($J249="","",IFERROR(VLOOKUP($J249,Grinders!$A:$N,4,FALSE),""))</f>
        <v/>
      </c>
      <c r="N249" s="40" t="str">
        <f>IF($J249="","",IFERROR(VLOOKUP($J249,Grinders!$A:$N,5,FALSE),""))</f>
        <v/>
      </c>
      <c r="O249" s="40" t="str">
        <f t="shared" si="2"/>
        <v/>
      </c>
      <c r="P249" s="40" t="str">
        <f>IF($J249="","",IFERROR(VLOOKUP($J249,Grinders!$A:$N,6,FALSE),""))</f>
        <v/>
      </c>
      <c r="Q249" s="40" t="str">
        <f>IF($J249="","",IFERROR(VLOOKUP($J249,Grinders!$A:$N,8,FALSE),""))</f>
        <v/>
      </c>
      <c r="R249" s="40" t="str">
        <f>IFERROR(IF($J249="","",IF($L249="Elite",MAX(50,MIN(100,Config!$B$27*MAX(0,MIN(100,(1-IF($O249="",0,$O249))*100)) + Config!$B$28*MAX(0,MIN(100,(1-MIN(1,IF(Config!$B$30=0,1,$P249/Config!$B$30)))*100)) + Config!$B$29*MAX(0,MIN(100,MIN(1,IF($Q249="",0,$Q249)/Config!$B$23)*100)))),MIN(100,Config!$B$27*MAX(0,MIN(100,(1-IF($O249="",0,$O249))*100)) + Config!$B$28*MAX(0,MIN(100,(1-MIN(1,IF(Config!$B$30=0,1,$P249/Config!$B$30)))*100)) + Config!$B$29*MAX(0,MIN(100,MIN(1,IF($Q249="",0,$Q249)/Config!$B$23)*100))))),"")
</f>
        <v/>
      </c>
      <c r="S249" s="40" t="str">
        <f>IF(Bids!$AC249="","",Bids!$AC249)</f>
        <v/>
      </c>
      <c r="T249" s="40" t="str">
        <f>IF(Bids!$F249="","",Bids!$F249)</f>
        <v/>
      </c>
      <c r="U249" s="40" t="str">
        <f t="shared" si="3"/>
        <v/>
      </c>
      <c r="V249" s="40" t="str">
        <f>IF($U249="","",IF(Config!$B$17=Config!$B$16,IF($U249&gt;=Config!$B$17,100,0),MAX(0,MIN(100,($U249-Config!$B$16)/(Config!$B$17-Config!$B$16)*100))))</f>
        <v/>
      </c>
      <c r="W249" s="40">
        <f>IF($L249="Elite",Config!$B$21,0)</f>
        <v>0</v>
      </c>
      <c r="X249" s="40" t="str">
        <f>IFERROR(IF(OR($T249="",$G249=""),"",IF($T249&gt;$G249,
  MAX(0, 60-(($T249-$G249)*24/Config!$B$19)*60),
  MEDIAN(60, 100, 60+(($G249-$T249)*24/Config!$B$20)*40)
)),"")
</f>
        <v/>
      </c>
      <c r="Y249" s="40" t="str">
        <f>IF($J249="","",IFERROR(VLOOKUP($J249,Grinders!$A:$N,10,FALSE),""))</f>
        <v/>
      </c>
      <c r="Z249" s="40" t="str">
        <f>IF($J249="","",IFERROR(VLOOKUP($J249,Grinders!$A:$N,11,FALSE),""))</f>
        <v/>
      </c>
      <c r="AA249" s="40" t="str">
        <f>IF($J249="","",IFERROR(VLOOKUP($J249,Grinders!$A:$N,12,FALSE),""))</f>
        <v/>
      </c>
      <c r="AB249" s="40" t="str">
        <f>IF(OR(AL249=1,AM249=1),0,=IFERROR(IF(OR($C249="",$J249=""),0,IF($D249&lt;&gt;"Open",0,IF(COUNTIFS(GrinderServices!$A:$A,$J249,GrinderServices!$B:$B,$E249,GrinderServices!$D:$D,"Y")=0,0,IF($U249&lt;Config!$B$16,0,IF(Config!$B$18=1,IF($N249&gt;=$M249,0,1),1))))),""))</f>
        <v>#ERROR!</v>
      </c>
      <c r="AC249" s="40" t="str">
        <f>IFERROR((IF(OR(AL249=1,AM249=1),"",=IFERROR((IFERROR(IF($AB249=0,"",((Config!$B$6*$V249 + Config!$B$7*$R249 + Config!$B$8*$W249 + Config!$B$9*$X249 + Config!$B$10*$Y249 + Config!$B$11*$Z249 - Config!$B$12*$AA249)/Config!$B$13)+$AH249+$AI249),""))*(1-IFERROR(VLOOKUP(J249,Grinders!$A:$AB, 28, FALSE),0)),"")))*(1+AO249),"")</f>
        <v>#ERROR!</v>
      </c>
      <c r="AD249" s="40" t="str">
        <f t="shared" si="4"/>
        <v/>
      </c>
      <c r="AE249" s="40" t="str">
        <f>IFERROR(__xludf.DUMMYFUNCTION("IF($AC249="""","""",IF($AC249=IFERROR(MAX(FILTER($AC$6:$AC$1000,$C$6:$C$1000=$C249,$AB$6:$AB$1000=1)),),""WINNER"",""""))"),"#ERROR!")</f>
        <v>#ERROR!</v>
      </c>
      <c r="AF249" s="40" t="str">
        <f t="shared" si="5"/>
        <v/>
      </c>
      <c r="AG249" s="40" t="str">
        <f>IF($J249="","",COUNTIF(Assignments!$B:$B,$J249))</f>
        <v/>
      </c>
      <c r="AH249" s="40" t="str">
        <f>IF($J249="","",IF(AND($AG249=0,$N249&lt;$M249),Config!$B$43,0))</f>
        <v/>
      </c>
      <c r="AI249" s="40" t="str">
        <f>IF($J249="","",IF(AND($L249="Elite",$F249&gt;=Config!$B$41,$N249&lt;$M249),Config!$B$42,0))</f>
        <v/>
      </c>
      <c r="AJ249" s="22"/>
      <c r="AK249" s="39">
        <f>IFERROR(VLOOKUP(J249,Grinders!$A:$Q,28,FALSE),0)</f>
        <v>0</v>
      </c>
      <c r="AL249" s="39">
        <f>IF(Config!$B$1003&lt;&gt;"Y",0,IF(IFERROR(VLOOKUP(J249,Grinders!$A:$P,27,FALSE),0)&gt;=3,IF(OR(F249&gt;=Config!$B$1001,ISNUMBER(SEARCH(E249,Config!$B$1002))),1,0),0))</f>
        <v>0</v>
      </c>
      <c r="AM249" s="39">
        <f t="array" ref="AM249">IFERROR(IF(INDEX(Bids!$AE:$AE,MATCH(B249,Bids!$A:$A,0))="Pending",1,0),0)</f>
        <v>0</v>
      </c>
      <c r="AN249" s="39" t="str">
        <f t="array" ref="AN249">IF(C249="","",IFERROR(XLOOKUP(C249,Assignments!$C:$C,Assignments!$AU:$AU,0),0))</f>
        <v/>
      </c>
      <c r="AO249" s="39">
        <f>IF(AND(Config!$B$1006="Y",AN249=1),Config!$B$1007,0)</f>
        <v>0</v>
      </c>
    </row>
    <row r="250" ht="15.75" customHeight="1">
      <c r="A250" s="46" t="str">
        <f t="shared" si="1"/>
        <v/>
      </c>
      <c r="B250" s="40" t="str">
        <f>IF(Bids!$A250="","",Bids!$A250)</f>
        <v/>
      </c>
      <c r="C250" s="40" t="str">
        <f>IF(Bids!$B250="","",Bids!$B250)</f>
        <v/>
      </c>
      <c r="D250" s="40" t="str">
        <f>IF($C250="","",IFERROR(VLOOKUP($C250,Orders!$A:$J,9,FALSE),""))</f>
        <v/>
      </c>
      <c r="E250" s="40" t="str">
        <f>IF($C250="","",IFERROR(VLOOKUP($C250,Orders!$A:$J,3,FALSE),""))</f>
        <v/>
      </c>
      <c r="F250" s="40" t="str">
        <f>IF($C250="","",IFERROR(VLOOKUP($C250,Orders!$A:$J,4,FALSE),""))</f>
        <v/>
      </c>
      <c r="G250" s="40" t="str">
        <f>IF($C250="","",IFERROR(VLOOKUP($C250,Orders!$A:$J,5,FALSE),""))</f>
        <v/>
      </c>
      <c r="H250" s="40" t="str">
        <f>IF($C250="","",IFERROR(VLOOKUP($C250,Orders!$A:$J,6,FALSE),""))</f>
        <v/>
      </c>
      <c r="I250" s="40" t="str">
        <f>IF($C250="","",IFERROR(VLOOKUP($C250,Orders!$A:$J,7,FALSE),""))</f>
        <v/>
      </c>
      <c r="J250" s="40" t="str">
        <f>IF(Bids!$C250="","",Bids!$C250)</f>
        <v/>
      </c>
      <c r="K250" s="40" t="str">
        <f>IF($J250="","",IFERROR(VLOOKUP($J250,Grinders!$A:$N,2,FALSE),""))</f>
        <v/>
      </c>
      <c r="L250" s="40" t="str">
        <f>IF($J250="","",IFERROR(VLOOKUP($J250,Grinders!$A:$N,3,FALSE),""))</f>
        <v/>
      </c>
      <c r="M250" s="40" t="str">
        <f>IF($J250="","",IFERROR(VLOOKUP($J250,Grinders!$A:$N,4,FALSE),""))</f>
        <v/>
      </c>
      <c r="N250" s="40" t="str">
        <f>IF($J250="","",IFERROR(VLOOKUP($J250,Grinders!$A:$N,5,FALSE),""))</f>
        <v/>
      </c>
      <c r="O250" s="40" t="str">
        <f t="shared" si="2"/>
        <v/>
      </c>
      <c r="P250" s="40" t="str">
        <f>IF($J250="","",IFERROR(VLOOKUP($J250,Grinders!$A:$N,6,FALSE),""))</f>
        <v/>
      </c>
      <c r="Q250" s="40" t="str">
        <f>IF($J250="","",IFERROR(VLOOKUP($J250,Grinders!$A:$N,8,FALSE),""))</f>
        <v/>
      </c>
      <c r="R250" s="40" t="str">
        <f>IFERROR(IF($J250="","",IF($L250="Elite",MAX(50,MIN(100,Config!$B$27*MAX(0,MIN(100,(1-IF($O250="",0,$O250))*100)) + Config!$B$28*MAX(0,MIN(100,(1-MIN(1,IF(Config!$B$30=0,1,$P250/Config!$B$30)))*100)) + Config!$B$29*MAX(0,MIN(100,MIN(1,IF($Q250="",0,$Q250)/Config!$B$23)*100)))),MIN(100,Config!$B$27*MAX(0,MIN(100,(1-IF($O250="",0,$O250))*100)) + Config!$B$28*MAX(0,MIN(100,(1-MIN(1,IF(Config!$B$30=0,1,$P250/Config!$B$30)))*100)) + Config!$B$29*MAX(0,MIN(100,MIN(1,IF($Q250="",0,$Q250)/Config!$B$23)*100))))),"")
</f>
        <v/>
      </c>
      <c r="S250" s="40" t="str">
        <f>IF(Bids!$AC250="","",Bids!$AC250)</f>
        <v/>
      </c>
      <c r="T250" s="40" t="str">
        <f>IF(Bids!$F250="","",Bids!$F250)</f>
        <v/>
      </c>
      <c r="U250" s="40" t="str">
        <f t="shared" si="3"/>
        <v/>
      </c>
      <c r="V250" s="40" t="str">
        <f>IF($U250="","",IF(Config!$B$17=Config!$B$16,IF($U250&gt;=Config!$B$17,100,0),MAX(0,MIN(100,($U250-Config!$B$16)/(Config!$B$17-Config!$B$16)*100))))</f>
        <v/>
      </c>
      <c r="W250" s="40">
        <f>IF($L250="Elite",Config!$B$21,0)</f>
        <v>0</v>
      </c>
      <c r="X250" s="40" t="str">
        <f>IFERROR(IF(OR($T250="",$G250=""),"",IF($T250&gt;$G250,
  MAX(0, 60-(($T250-$G250)*24/Config!$B$19)*60),
  MEDIAN(60, 100, 60+(($G250-$T250)*24/Config!$B$20)*40)
)),"")
</f>
        <v/>
      </c>
      <c r="Y250" s="40" t="str">
        <f>IF($J250="","",IFERROR(VLOOKUP($J250,Grinders!$A:$N,10,FALSE),""))</f>
        <v/>
      </c>
      <c r="Z250" s="40" t="str">
        <f>IF($J250="","",IFERROR(VLOOKUP($J250,Grinders!$A:$N,11,FALSE),""))</f>
        <v/>
      </c>
      <c r="AA250" s="40" t="str">
        <f>IF($J250="","",IFERROR(VLOOKUP($J250,Grinders!$A:$N,12,FALSE),""))</f>
        <v/>
      </c>
      <c r="AB250" s="40" t="str">
        <f>IF(OR(AL250=1,AM250=1),0,=IFERROR(IF(OR($C250="",$J250=""),0,IF($D250&lt;&gt;"Open",0,IF(COUNTIFS(GrinderServices!$A:$A,$J250,GrinderServices!$B:$B,$E250,GrinderServices!$D:$D,"Y")=0,0,IF($U250&lt;Config!$B$16,0,IF(Config!$B$18=1,IF($N250&gt;=$M250,0,1),1))))),""))</f>
        <v>#ERROR!</v>
      </c>
      <c r="AC250" s="40" t="str">
        <f>IFERROR((IF(OR(AL250=1,AM250=1),"",=IFERROR((IFERROR(IF($AB250=0,"",((Config!$B$6*$V250 + Config!$B$7*$R250 + Config!$B$8*$W250 + Config!$B$9*$X250 + Config!$B$10*$Y250 + Config!$B$11*$Z250 - Config!$B$12*$AA250)/Config!$B$13)+$AH250+$AI250),""))*(1-IFERROR(VLOOKUP(J250,Grinders!$A:$AB, 28, FALSE),0)),"")))*(1+AO250),"")</f>
        <v>#ERROR!</v>
      </c>
      <c r="AD250" s="40" t="str">
        <f t="shared" si="4"/>
        <v/>
      </c>
      <c r="AE250" s="40" t="str">
        <f>IFERROR(__xludf.DUMMYFUNCTION("IF($AC250="""","""",IF($AC250=IFERROR(MAX(FILTER($AC$6:$AC$1000,$C$6:$C$1000=$C250,$AB$6:$AB$1000=1)),),""WINNER"",""""))"),"#ERROR!")</f>
        <v>#ERROR!</v>
      </c>
      <c r="AF250" s="40" t="str">
        <f t="shared" si="5"/>
        <v/>
      </c>
      <c r="AG250" s="40" t="str">
        <f>IF($J250="","",COUNTIF(Assignments!$B:$B,$J250))</f>
        <v/>
      </c>
      <c r="AH250" s="40" t="str">
        <f>IF($J250="","",IF(AND($AG250=0,$N250&lt;$M250),Config!$B$43,0))</f>
        <v/>
      </c>
      <c r="AI250" s="40" t="str">
        <f>IF($J250="","",IF(AND($L250="Elite",$F250&gt;=Config!$B$41,$N250&lt;$M250),Config!$B$42,0))</f>
        <v/>
      </c>
      <c r="AJ250" s="22"/>
      <c r="AK250" s="39">
        <f>IFERROR(VLOOKUP(J250,Grinders!$A:$Q,28,FALSE),0)</f>
        <v>0</v>
      </c>
      <c r="AL250" s="39">
        <f>IF(Config!$B$1003&lt;&gt;"Y",0,IF(IFERROR(VLOOKUP(J250,Grinders!$A:$P,27,FALSE),0)&gt;=3,IF(OR(F250&gt;=Config!$B$1001,ISNUMBER(SEARCH(E250,Config!$B$1002))),1,0),0))</f>
        <v>0</v>
      </c>
      <c r="AM250" s="39">
        <f t="array" ref="AM250">IFERROR(IF(INDEX(Bids!$AE:$AE,MATCH(B250,Bids!$A:$A,0))="Pending",1,0),0)</f>
        <v>0</v>
      </c>
      <c r="AN250" s="39" t="str">
        <f t="array" ref="AN250">IF(C250="","",IFERROR(XLOOKUP(C250,Assignments!$C:$C,Assignments!$AU:$AU,0),0))</f>
        <v/>
      </c>
      <c r="AO250" s="39">
        <f>IF(AND(Config!$B$1006="Y",AN250=1),Config!$B$1007,0)</f>
        <v>0</v>
      </c>
    </row>
    <row r="251" ht="15.75" customHeight="1">
      <c r="A251" s="46" t="str">
        <f t="shared" si="1"/>
        <v/>
      </c>
      <c r="B251" s="40" t="str">
        <f>IF(Bids!$A251="","",Bids!$A251)</f>
        <v/>
      </c>
      <c r="C251" s="40" t="str">
        <f>IF(Bids!$B251="","",Bids!$B251)</f>
        <v/>
      </c>
      <c r="D251" s="40" t="str">
        <f>IF($C251="","",IFERROR(VLOOKUP($C251,Orders!$A:$J,9,FALSE),""))</f>
        <v/>
      </c>
      <c r="E251" s="40" t="str">
        <f>IF($C251="","",IFERROR(VLOOKUP($C251,Orders!$A:$J,3,FALSE),""))</f>
        <v/>
      </c>
      <c r="F251" s="40" t="str">
        <f>IF($C251="","",IFERROR(VLOOKUP($C251,Orders!$A:$J,4,FALSE),""))</f>
        <v/>
      </c>
      <c r="G251" s="40" t="str">
        <f>IF($C251="","",IFERROR(VLOOKUP($C251,Orders!$A:$J,5,FALSE),""))</f>
        <v/>
      </c>
      <c r="H251" s="40" t="str">
        <f>IF($C251="","",IFERROR(VLOOKUP($C251,Orders!$A:$J,6,FALSE),""))</f>
        <v/>
      </c>
      <c r="I251" s="40" t="str">
        <f>IF($C251="","",IFERROR(VLOOKUP($C251,Orders!$A:$J,7,FALSE),""))</f>
        <v/>
      </c>
      <c r="J251" s="40" t="str">
        <f>IF(Bids!$C251="","",Bids!$C251)</f>
        <v/>
      </c>
      <c r="K251" s="40" t="str">
        <f>IF($J251="","",IFERROR(VLOOKUP($J251,Grinders!$A:$N,2,FALSE),""))</f>
        <v/>
      </c>
      <c r="L251" s="40" t="str">
        <f>IF($J251="","",IFERROR(VLOOKUP($J251,Grinders!$A:$N,3,FALSE),""))</f>
        <v/>
      </c>
      <c r="M251" s="40" t="str">
        <f>IF($J251="","",IFERROR(VLOOKUP($J251,Grinders!$A:$N,4,FALSE),""))</f>
        <v/>
      </c>
      <c r="N251" s="40" t="str">
        <f>IF($J251="","",IFERROR(VLOOKUP($J251,Grinders!$A:$N,5,FALSE),""))</f>
        <v/>
      </c>
      <c r="O251" s="40" t="str">
        <f t="shared" si="2"/>
        <v/>
      </c>
      <c r="P251" s="40" t="str">
        <f>IF($J251="","",IFERROR(VLOOKUP($J251,Grinders!$A:$N,6,FALSE),""))</f>
        <v/>
      </c>
      <c r="Q251" s="40" t="str">
        <f>IF($J251="","",IFERROR(VLOOKUP($J251,Grinders!$A:$N,8,FALSE),""))</f>
        <v/>
      </c>
      <c r="R251" s="40" t="str">
        <f>IFERROR(IF($J251="","",IF($L251="Elite",MAX(50,MIN(100,Config!$B$27*MAX(0,MIN(100,(1-IF($O251="",0,$O251))*100)) + Config!$B$28*MAX(0,MIN(100,(1-MIN(1,IF(Config!$B$30=0,1,$P251/Config!$B$30)))*100)) + Config!$B$29*MAX(0,MIN(100,MIN(1,IF($Q251="",0,$Q251)/Config!$B$23)*100)))),MIN(100,Config!$B$27*MAX(0,MIN(100,(1-IF($O251="",0,$O251))*100)) + Config!$B$28*MAX(0,MIN(100,(1-MIN(1,IF(Config!$B$30=0,1,$P251/Config!$B$30)))*100)) + Config!$B$29*MAX(0,MIN(100,MIN(1,IF($Q251="",0,$Q251)/Config!$B$23)*100))))),"")
</f>
        <v/>
      </c>
      <c r="S251" s="40" t="str">
        <f>IF(Bids!$AC251="","",Bids!$AC251)</f>
        <v/>
      </c>
      <c r="T251" s="40" t="str">
        <f>IF(Bids!$F251="","",Bids!$F251)</f>
        <v/>
      </c>
      <c r="U251" s="40" t="str">
        <f t="shared" si="3"/>
        <v/>
      </c>
      <c r="V251" s="40" t="str">
        <f>IF($U251="","",IF(Config!$B$17=Config!$B$16,IF($U251&gt;=Config!$B$17,100,0),MAX(0,MIN(100,($U251-Config!$B$16)/(Config!$B$17-Config!$B$16)*100))))</f>
        <v/>
      </c>
      <c r="W251" s="40">
        <f>IF($L251="Elite",Config!$B$21,0)</f>
        <v>0</v>
      </c>
      <c r="X251" s="40" t="str">
        <f>IFERROR(IF(OR($T251="",$G251=""),"",IF($T251&gt;$G251,
  MAX(0, 60-(($T251-$G251)*24/Config!$B$19)*60),
  MEDIAN(60, 100, 60+(($G251-$T251)*24/Config!$B$20)*40)
)),"")
</f>
        <v/>
      </c>
      <c r="Y251" s="40" t="str">
        <f>IF($J251="","",IFERROR(VLOOKUP($J251,Grinders!$A:$N,10,FALSE),""))</f>
        <v/>
      </c>
      <c r="Z251" s="40" t="str">
        <f>IF($J251="","",IFERROR(VLOOKUP($J251,Grinders!$A:$N,11,FALSE),""))</f>
        <v/>
      </c>
      <c r="AA251" s="40" t="str">
        <f>IF($J251="","",IFERROR(VLOOKUP($J251,Grinders!$A:$N,12,FALSE),""))</f>
        <v/>
      </c>
      <c r="AB251" s="40" t="str">
        <f>IF(OR(AL251=1,AM251=1),0,=IFERROR(IF(OR($C251="",$J251=""),0,IF($D251&lt;&gt;"Open",0,IF(COUNTIFS(GrinderServices!$A:$A,$J251,GrinderServices!$B:$B,$E251,GrinderServices!$D:$D,"Y")=0,0,IF($U251&lt;Config!$B$16,0,IF(Config!$B$18=1,IF($N251&gt;=$M251,0,1),1))))),""))</f>
        <v>#ERROR!</v>
      </c>
      <c r="AC251" s="40" t="str">
        <f>IFERROR((IF(OR(AL251=1,AM251=1),"",=IFERROR((IFERROR(IF($AB251=0,"",((Config!$B$6*$V251 + Config!$B$7*$R251 + Config!$B$8*$W251 + Config!$B$9*$X251 + Config!$B$10*$Y251 + Config!$B$11*$Z251 - Config!$B$12*$AA251)/Config!$B$13)+$AH251+$AI251),""))*(1-IFERROR(VLOOKUP(J251,Grinders!$A:$AB, 28, FALSE),0)),"")))*(1+AO251),"")</f>
        <v>#ERROR!</v>
      </c>
      <c r="AD251" s="40" t="str">
        <f t="shared" si="4"/>
        <v/>
      </c>
      <c r="AE251" s="40" t="str">
        <f>IFERROR(__xludf.DUMMYFUNCTION("IF($AC251="""","""",IF($AC251=IFERROR(MAX(FILTER($AC$6:$AC$1000,$C$6:$C$1000=$C251,$AB$6:$AB$1000=1)),),""WINNER"",""""))"),"#ERROR!")</f>
        <v>#ERROR!</v>
      </c>
      <c r="AF251" s="40" t="str">
        <f t="shared" si="5"/>
        <v/>
      </c>
      <c r="AG251" s="40" t="str">
        <f>IF($J251="","",COUNTIF(Assignments!$B:$B,$J251))</f>
        <v/>
      </c>
      <c r="AH251" s="40" t="str">
        <f>IF($J251="","",IF(AND($AG251=0,$N251&lt;$M251),Config!$B$43,0))</f>
        <v/>
      </c>
      <c r="AI251" s="40" t="str">
        <f>IF($J251="","",IF(AND($L251="Elite",$F251&gt;=Config!$B$41,$N251&lt;$M251),Config!$B$42,0))</f>
        <v/>
      </c>
      <c r="AJ251" s="22"/>
      <c r="AK251" s="39">
        <f>IFERROR(VLOOKUP(J251,Grinders!$A:$Q,28,FALSE),0)</f>
        <v>0</v>
      </c>
      <c r="AL251" s="39">
        <f>IF(Config!$B$1003&lt;&gt;"Y",0,IF(IFERROR(VLOOKUP(J251,Grinders!$A:$P,27,FALSE),0)&gt;=3,IF(OR(F251&gt;=Config!$B$1001,ISNUMBER(SEARCH(E251,Config!$B$1002))),1,0),0))</f>
        <v>0</v>
      </c>
      <c r="AM251" s="39">
        <f t="array" ref="AM251">IFERROR(IF(INDEX(Bids!$AE:$AE,MATCH(B251,Bids!$A:$A,0))="Pending",1,0),0)</f>
        <v>0</v>
      </c>
      <c r="AN251" s="39" t="str">
        <f t="array" ref="AN251">IF(C251="","",IFERROR(XLOOKUP(C251,Assignments!$C:$C,Assignments!$AU:$AU,0),0))</f>
        <v/>
      </c>
      <c r="AO251" s="39">
        <f>IF(AND(Config!$B$1006="Y",AN251=1),Config!$B$1007,0)</f>
        <v>0</v>
      </c>
    </row>
    <row r="252" ht="15.75" customHeight="1">
      <c r="A252" s="46" t="str">
        <f t="shared" si="1"/>
        <v/>
      </c>
      <c r="B252" s="40" t="str">
        <f>IF(Bids!$A252="","",Bids!$A252)</f>
        <v/>
      </c>
      <c r="C252" s="40" t="str">
        <f>IF(Bids!$B252="","",Bids!$B252)</f>
        <v/>
      </c>
      <c r="D252" s="40" t="str">
        <f>IF($C252="","",IFERROR(VLOOKUP($C252,Orders!$A:$J,9,FALSE),""))</f>
        <v/>
      </c>
      <c r="E252" s="40" t="str">
        <f>IF($C252="","",IFERROR(VLOOKUP($C252,Orders!$A:$J,3,FALSE),""))</f>
        <v/>
      </c>
      <c r="F252" s="40" t="str">
        <f>IF($C252="","",IFERROR(VLOOKUP($C252,Orders!$A:$J,4,FALSE),""))</f>
        <v/>
      </c>
      <c r="G252" s="40" t="str">
        <f>IF($C252="","",IFERROR(VLOOKUP($C252,Orders!$A:$J,5,FALSE),""))</f>
        <v/>
      </c>
      <c r="H252" s="40" t="str">
        <f>IF($C252="","",IFERROR(VLOOKUP($C252,Orders!$A:$J,6,FALSE),""))</f>
        <v/>
      </c>
      <c r="I252" s="40" t="str">
        <f>IF($C252="","",IFERROR(VLOOKUP($C252,Orders!$A:$J,7,FALSE),""))</f>
        <v/>
      </c>
      <c r="J252" s="40" t="str">
        <f>IF(Bids!$C252="","",Bids!$C252)</f>
        <v/>
      </c>
      <c r="K252" s="40" t="str">
        <f>IF($J252="","",IFERROR(VLOOKUP($J252,Grinders!$A:$N,2,FALSE),""))</f>
        <v/>
      </c>
      <c r="L252" s="40" t="str">
        <f>IF($J252="","",IFERROR(VLOOKUP($J252,Grinders!$A:$N,3,FALSE),""))</f>
        <v/>
      </c>
      <c r="M252" s="40" t="str">
        <f>IF($J252="","",IFERROR(VLOOKUP($J252,Grinders!$A:$N,4,FALSE),""))</f>
        <v/>
      </c>
      <c r="N252" s="40" t="str">
        <f>IF($J252="","",IFERROR(VLOOKUP($J252,Grinders!$A:$N,5,FALSE),""))</f>
        <v/>
      </c>
      <c r="O252" s="40" t="str">
        <f t="shared" si="2"/>
        <v/>
      </c>
      <c r="P252" s="40" t="str">
        <f>IF($J252="","",IFERROR(VLOOKUP($J252,Grinders!$A:$N,6,FALSE),""))</f>
        <v/>
      </c>
      <c r="Q252" s="40" t="str">
        <f>IF($J252="","",IFERROR(VLOOKUP($J252,Grinders!$A:$N,8,FALSE),""))</f>
        <v/>
      </c>
      <c r="R252" s="40" t="str">
        <f>IFERROR(IF($J252="","",IF($L252="Elite",MAX(50,MIN(100,Config!$B$27*MAX(0,MIN(100,(1-IF($O252="",0,$O252))*100)) + Config!$B$28*MAX(0,MIN(100,(1-MIN(1,IF(Config!$B$30=0,1,$P252/Config!$B$30)))*100)) + Config!$B$29*MAX(0,MIN(100,MIN(1,IF($Q252="",0,$Q252)/Config!$B$23)*100)))),MIN(100,Config!$B$27*MAX(0,MIN(100,(1-IF($O252="",0,$O252))*100)) + Config!$B$28*MAX(0,MIN(100,(1-MIN(1,IF(Config!$B$30=0,1,$P252/Config!$B$30)))*100)) + Config!$B$29*MAX(0,MIN(100,MIN(1,IF($Q252="",0,$Q252)/Config!$B$23)*100))))),"")
</f>
        <v/>
      </c>
      <c r="S252" s="40" t="str">
        <f>IF(Bids!$AC252="","",Bids!$AC252)</f>
        <v/>
      </c>
      <c r="T252" s="40" t="str">
        <f>IF(Bids!$F252="","",Bids!$F252)</f>
        <v/>
      </c>
      <c r="U252" s="40" t="str">
        <f t="shared" si="3"/>
        <v/>
      </c>
      <c r="V252" s="40" t="str">
        <f>IF($U252="","",IF(Config!$B$17=Config!$B$16,IF($U252&gt;=Config!$B$17,100,0),MAX(0,MIN(100,($U252-Config!$B$16)/(Config!$B$17-Config!$B$16)*100))))</f>
        <v/>
      </c>
      <c r="W252" s="40">
        <f>IF($L252="Elite",Config!$B$21,0)</f>
        <v>0</v>
      </c>
      <c r="X252" s="40" t="str">
        <f>IFERROR(IF(OR($T252="",$G252=""),"",IF($T252&gt;$G252,
  MAX(0, 60-(($T252-$G252)*24/Config!$B$19)*60),
  MEDIAN(60, 100, 60+(($G252-$T252)*24/Config!$B$20)*40)
)),"")
</f>
        <v/>
      </c>
      <c r="Y252" s="40" t="str">
        <f>IF($J252="","",IFERROR(VLOOKUP($J252,Grinders!$A:$N,10,FALSE),""))</f>
        <v/>
      </c>
      <c r="Z252" s="40" t="str">
        <f>IF($J252="","",IFERROR(VLOOKUP($J252,Grinders!$A:$N,11,FALSE),""))</f>
        <v/>
      </c>
      <c r="AA252" s="40" t="str">
        <f>IF($J252="","",IFERROR(VLOOKUP($J252,Grinders!$A:$N,12,FALSE),""))</f>
        <v/>
      </c>
      <c r="AB252" s="40" t="str">
        <f>IF(OR(AL252=1,AM252=1),0,=IFERROR(IF(OR($C252="",$J252=""),0,IF($D252&lt;&gt;"Open",0,IF(COUNTIFS(GrinderServices!$A:$A,$J252,GrinderServices!$B:$B,$E252,GrinderServices!$D:$D,"Y")=0,0,IF($U252&lt;Config!$B$16,0,IF(Config!$B$18=1,IF($N252&gt;=$M252,0,1),1))))),""))</f>
        <v>#ERROR!</v>
      </c>
      <c r="AC252" s="40" t="str">
        <f>IFERROR((IF(OR(AL252=1,AM252=1),"",=IFERROR((IFERROR(IF($AB252=0,"",((Config!$B$6*$V252 + Config!$B$7*$R252 + Config!$B$8*$W252 + Config!$B$9*$X252 + Config!$B$10*$Y252 + Config!$B$11*$Z252 - Config!$B$12*$AA252)/Config!$B$13)+$AH252+$AI252),""))*(1-IFERROR(VLOOKUP(J252,Grinders!$A:$AB, 28, FALSE),0)),"")))*(1+AO252),"")</f>
        <v>#ERROR!</v>
      </c>
      <c r="AD252" s="40" t="str">
        <f t="shared" si="4"/>
        <v/>
      </c>
      <c r="AE252" s="40" t="str">
        <f>IFERROR(__xludf.DUMMYFUNCTION("IF($AC252="""","""",IF($AC252=IFERROR(MAX(FILTER($AC$6:$AC$1000,$C$6:$C$1000=$C252,$AB$6:$AB$1000=1)),),""WINNER"",""""))"),"#ERROR!")</f>
        <v>#ERROR!</v>
      </c>
      <c r="AF252" s="40" t="str">
        <f t="shared" si="5"/>
        <v/>
      </c>
      <c r="AG252" s="40" t="str">
        <f>IF($J252="","",COUNTIF(Assignments!$B:$B,$J252))</f>
        <v/>
      </c>
      <c r="AH252" s="40" t="str">
        <f>IF($J252="","",IF(AND($AG252=0,$N252&lt;$M252),Config!$B$43,0))</f>
        <v/>
      </c>
      <c r="AI252" s="40" t="str">
        <f>IF($J252="","",IF(AND($L252="Elite",$F252&gt;=Config!$B$41,$N252&lt;$M252),Config!$B$42,0))</f>
        <v/>
      </c>
      <c r="AJ252" s="22"/>
      <c r="AK252" s="39">
        <f>IFERROR(VLOOKUP(J252,Grinders!$A:$Q,28,FALSE),0)</f>
        <v>0</v>
      </c>
      <c r="AL252" s="39">
        <f>IF(Config!$B$1003&lt;&gt;"Y",0,IF(IFERROR(VLOOKUP(J252,Grinders!$A:$P,27,FALSE),0)&gt;=3,IF(OR(F252&gt;=Config!$B$1001,ISNUMBER(SEARCH(E252,Config!$B$1002))),1,0),0))</f>
        <v>0</v>
      </c>
      <c r="AM252" s="39">
        <f t="array" ref="AM252">IFERROR(IF(INDEX(Bids!$AE:$AE,MATCH(B252,Bids!$A:$A,0))="Pending",1,0),0)</f>
        <v>0</v>
      </c>
      <c r="AN252" s="39" t="str">
        <f t="array" ref="AN252">IF(C252="","",IFERROR(XLOOKUP(C252,Assignments!$C:$C,Assignments!$AU:$AU,0),0))</f>
        <v/>
      </c>
      <c r="AO252" s="39">
        <f>IF(AND(Config!$B$1006="Y",AN252=1),Config!$B$1007,0)</f>
        <v>0</v>
      </c>
    </row>
    <row r="253" ht="15.75" customHeight="1">
      <c r="A253" s="46" t="str">
        <f t="shared" si="1"/>
        <v/>
      </c>
      <c r="B253" s="40" t="str">
        <f>IF(Bids!$A253="","",Bids!$A253)</f>
        <v/>
      </c>
      <c r="C253" s="40" t="str">
        <f>IF(Bids!$B253="","",Bids!$B253)</f>
        <v/>
      </c>
      <c r="D253" s="40" t="str">
        <f>IF($C253="","",IFERROR(VLOOKUP($C253,Orders!$A:$J,9,FALSE),""))</f>
        <v/>
      </c>
      <c r="E253" s="40" t="str">
        <f>IF($C253="","",IFERROR(VLOOKUP($C253,Orders!$A:$J,3,FALSE),""))</f>
        <v/>
      </c>
      <c r="F253" s="40" t="str">
        <f>IF($C253="","",IFERROR(VLOOKUP($C253,Orders!$A:$J,4,FALSE),""))</f>
        <v/>
      </c>
      <c r="G253" s="40" t="str">
        <f>IF($C253="","",IFERROR(VLOOKUP($C253,Orders!$A:$J,5,FALSE),""))</f>
        <v/>
      </c>
      <c r="H253" s="40" t="str">
        <f>IF($C253="","",IFERROR(VLOOKUP($C253,Orders!$A:$J,6,FALSE),""))</f>
        <v/>
      </c>
      <c r="I253" s="40" t="str">
        <f>IF($C253="","",IFERROR(VLOOKUP($C253,Orders!$A:$J,7,FALSE),""))</f>
        <v/>
      </c>
      <c r="J253" s="40" t="str">
        <f>IF(Bids!$C253="","",Bids!$C253)</f>
        <v/>
      </c>
      <c r="K253" s="40" t="str">
        <f>IF($J253="","",IFERROR(VLOOKUP($J253,Grinders!$A:$N,2,FALSE),""))</f>
        <v/>
      </c>
      <c r="L253" s="40" t="str">
        <f>IF($J253="","",IFERROR(VLOOKUP($J253,Grinders!$A:$N,3,FALSE),""))</f>
        <v/>
      </c>
      <c r="M253" s="40" t="str">
        <f>IF($J253="","",IFERROR(VLOOKUP($J253,Grinders!$A:$N,4,FALSE),""))</f>
        <v/>
      </c>
      <c r="N253" s="40" t="str">
        <f>IF($J253="","",IFERROR(VLOOKUP($J253,Grinders!$A:$N,5,FALSE),""))</f>
        <v/>
      </c>
      <c r="O253" s="40" t="str">
        <f t="shared" si="2"/>
        <v/>
      </c>
      <c r="P253" s="40" t="str">
        <f>IF($J253="","",IFERROR(VLOOKUP($J253,Grinders!$A:$N,6,FALSE),""))</f>
        <v/>
      </c>
      <c r="Q253" s="40" t="str">
        <f>IF($J253="","",IFERROR(VLOOKUP($J253,Grinders!$A:$N,8,FALSE),""))</f>
        <v/>
      </c>
      <c r="R253" s="40" t="str">
        <f>IFERROR(IF($J253="","",IF($L253="Elite",MAX(50,MIN(100,Config!$B$27*MAX(0,MIN(100,(1-IF($O253="",0,$O253))*100)) + Config!$B$28*MAX(0,MIN(100,(1-MIN(1,IF(Config!$B$30=0,1,$P253/Config!$B$30)))*100)) + Config!$B$29*MAX(0,MIN(100,MIN(1,IF($Q253="",0,$Q253)/Config!$B$23)*100)))),MIN(100,Config!$B$27*MAX(0,MIN(100,(1-IF($O253="",0,$O253))*100)) + Config!$B$28*MAX(0,MIN(100,(1-MIN(1,IF(Config!$B$30=0,1,$P253/Config!$B$30)))*100)) + Config!$B$29*MAX(0,MIN(100,MIN(1,IF($Q253="",0,$Q253)/Config!$B$23)*100))))),"")
</f>
        <v/>
      </c>
      <c r="S253" s="40" t="str">
        <f>IF(Bids!$AC253="","",Bids!$AC253)</f>
        <v/>
      </c>
      <c r="T253" s="40" t="str">
        <f>IF(Bids!$F253="","",Bids!$F253)</f>
        <v/>
      </c>
      <c r="U253" s="40" t="str">
        <f t="shared" si="3"/>
        <v/>
      </c>
      <c r="V253" s="40" t="str">
        <f>IF($U253="","",IF(Config!$B$17=Config!$B$16,IF($U253&gt;=Config!$B$17,100,0),MAX(0,MIN(100,($U253-Config!$B$16)/(Config!$B$17-Config!$B$16)*100))))</f>
        <v/>
      </c>
      <c r="W253" s="40">
        <f>IF($L253="Elite",Config!$B$21,0)</f>
        <v>0</v>
      </c>
      <c r="X253" s="40" t="str">
        <f>IFERROR(IF(OR($T253="",$G253=""),"",IF($T253&gt;$G253,
  MAX(0, 60-(($T253-$G253)*24/Config!$B$19)*60),
  MEDIAN(60, 100, 60+(($G253-$T253)*24/Config!$B$20)*40)
)),"")
</f>
        <v/>
      </c>
      <c r="Y253" s="40" t="str">
        <f>IF($J253="","",IFERROR(VLOOKUP($J253,Grinders!$A:$N,10,FALSE),""))</f>
        <v/>
      </c>
      <c r="Z253" s="40" t="str">
        <f>IF($J253="","",IFERROR(VLOOKUP($J253,Grinders!$A:$N,11,FALSE),""))</f>
        <v/>
      </c>
      <c r="AA253" s="40" t="str">
        <f>IF($J253="","",IFERROR(VLOOKUP($J253,Grinders!$A:$N,12,FALSE),""))</f>
        <v/>
      </c>
      <c r="AB253" s="40" t="str">
        <f>IF(OR(AL253=1,AM253=1),0,=IFERROR(IF(OR($C253="",$J253=""),0,IF($D253&lt;&gt;"Open",0,IF(COUNTIFS(GrinderServices!$A:$A,$J253,GrinderServices!$B:$B,$E253,GrinderServices!$D:$D,"Y")=0,0,IF($U253&lt;Config!$B$16,0,IF(Config!$B$18=1,IF($N253&gt;=$M253,0,1),1))))),""))</f>
        <v>#ERROR!</v>
      </c>
      <c r="AC253" s="40" t="str">
        <f>IFERROR((IF(OR(AL253=1,AM253=1),"",=IFERROR((IFERROR(IF($AB253=0,"",((Config!$B$6*$V253 + Config!$B$7*$R253 + Config!$B$8*$W253 + Config!$B$9*$X253 + Config!$B$10*$Y253 + Config!$B$11*$Z253 - Config!$B$12*$AA253)/Config!$B$13)+$AH253+$AI253),""))*(1-IFERROR(VLOOKUP(J253,Grinders!$A:$AB, 28, FALSE),0)),"")))*(1+AO253),"")</f>
        <v>#ERROR!</v>
      </c>
      <c r="AD253" s="40" t="str">
        <f t="shared" si="4"/>
        <v/>
      </c>
      <c r="AE253" s="40" t="str">
        <f>IFERROR(__xludf.DUMMYFUNCTION("IF($AC253="""","""",IF($AC253=IFERROR(MAX(FILTER($AC$6:$AC$1000,$C$6:$C$1000=$C253,$AB$6:$AB$1000=1)),),""WINNER"",""""))"),"#ERROR!")</f>
        <v>#ERROR!</v>
      </c>
      <c r="AF253" s="40" t="str">
        <f t="shared" si="5"/>
        <v/>
      </c>
      <c r="AG253" s="40" t="str">
        <f>IF($J253="","",COUNTIF(Assignments!$B:$B,$J253))</f>
        <v/>
      </c>
      <c r="AH253" s="40" t="str">
        <f>IF($J253="","",IF(AND($AG253=0,$N253&lt;$M253),Config!$B$43,0))</f>
        <v/>
      </c>
      <c r="AI253" s="40" t="str">
        <f>IF($J253="","",IF(AND($L253="Elite",$F253&gt;=Config!$B$41,$N253&lt;$M253),Config!$B$42,0))</f>
        <v/>
      </c>
      <c r="AJ253" s="22"/>
      <c r="AK253" s="39">
        <f>IFERROR(VLOOKUP(J253,Grinders!$A:$Q,28,FALSE),0)</f>
        <v>0</v>
      </c>
      <c r="AL253" s="39">
        <f>IF(Config!$B$1003&lt;&gt;"Y",0,IF(IFERROR(VLOOKUP(J253,Grinders!$A:$P,27,FALSE),0)&gt;=3,IF(OR(F253&gt;=Config!$B$1001,ISNUMBER(SEARCH(E253,Config!$B$1002))),1,0),0))</f>
        <v>0</v>
      </c>
      <c r="AM253" s="39">
        <f t="array" ref="AM253">IFERROR(IF(INDEX(Bids!$AE:$AE,MATCH(B253,Bids!$A:$A,0))="Pending",1,0),0)</f>
        <v>0</v>
      </c>
      <c r="AN253" s="39" t="str">
        <f t="array" ref="AN253">IF(C253="","",IFERROR(XLOOKUP(C253,Assignments!$C:$C,Assignments!$AU:$AU,0),0))</f>
        <v/>
      </c>
      <c r="AO253" s="39">
        <f>IF(AND(Config!$B$1006="Y",AN253=1),Config!$B$1007,0)</f>
        <v>0</v>
      </c>
    </row>
    <row r="254" ht="15.75" customHeight="1">
      <c r="A254" s="46" t="str">
        <f t="shared" si="1"/>
        <v/>
      </c>
      <c r="B254" s="40" t="str">
        <f>IF(Bids!$A254="","",Bids!$A254)</f>
        <v/>
      </c>
      <c r="C254" s="40" t="str">
        <f>IF(Bids!$B254="","",Bids!$B254)</f>
        <v/>
      </c>
      <c r="D254" s="40" t="str">
        <f>IF($C254="","",IFERROR(VLOOKUP($C254,Orders!$A:$J,9,FALSE),""))</f>
        <v/>
      </c>
      <c r="E254" s="40" t="str">
        <f>IF($C254="","",IFERROR(VLOOKUP($C254,Orders!$A:$J,3,FALSE),""))</f>
        <v/>
      </c>
      <c r="F254" s="40" t="str">
        <f>IF($C254="","",IFERROR(VLOOKUP($C254,Orders!$A:$J,4,FALSE),""))</f>
        <v/>
      </c>
      <c r="G254" s="40" t="str">
        <f>IF($C254="","",IFERROR(VLOOKUP($C254,Orders!$A:$J,5,FALSE),""))</f>
        <v/>
      </c>
      <c r="H254" s="40" t="str">
        <f>IF($C254="","",IFERROR(VLOOKUP($C254,Orders!$A:$J,6,FALSE),""))</f>
        <v/>
      </c>
      <c r="I254" s="40" t="str">
        <f>IF($C254="","",IFERROR(VLOOKUP($C254,Orders!$A:$J,7,FALSE),""))</f>
        <v/>
      </c>
      <c r="J254" s="40" t="str">
        <f>IF(Bids!$C254="","",Bids!$C254)</f>
        <v/>
      </c>
      <c r="K254" s="40" t="str">
        <f>IF($J254="","",IFERROR(VLOOKUP($J254,Grinders!$A:$N,2,FALSE),""))</f>
        <v/>
      </c>
      <c r="L254" s="40" t="str">
        <f>IF($J254="","",IFERROR(VLOOKUP($J254,Grinders!$A:$N,3,FALSE),""))</f>
        <v/>
      </c>
      <c r="M254" s="40" t="str">
        <f>IF($J254="","",IFERROR(VLOOKUP($J254,Grinders!$A:$N,4,FALSE),""))</f>
        <v/>
      </c>
      <c r="N254" s="40" t="str">
        <f>IF($J254="","",IFERROR(VLOOKUP($J254,Grinders!$A:$N,5,FALSE),""))</f>
        <v/>
      </c>
      <c r="O254" s="40" t="str">
        <f t="shared" si="2"/>
        <v/>
      </c>
      <c r="P254" s="40" t="str">
        <f>IF($J254="","",IFERROR(VLOOKUP($J254,Grinders!$A:$N,6,FALSE),""))</f>
        <v/>
      </c>
      <c r="Q254" s="40" t="str">
        <f>IF($J254="","",IFERROR(VLOOKUP($J254,Grinders!$A:$N,8,FALSE),""))</f>
        <v/>
      </c>
      <c r="R254" s="40" t="str">
        <f>IFERROR(IF($J254="","",IF($L254="Elite",MAX(50,MIN(100,Config!$B$27*MAX(0,MIN(100,(1-IF($O254="",0,$O254))*100)) + Config!$B$28*MAX(0,MIN(100,(1-MIN(1,IF(Config!$B$30=0,1,$P254/Config!$B$30)))*100)) + Config!$B$29*MAX(0,MIN(100,MIN(1,IF($Q254="",0,$Q254)/Config!$B$23)*100)))),MIN(100,Config!$B$27*MAX(0,MIN(100,(1-IF($O254="",0,$O254))*100)) + Config!$B$28*MAX(0,MIN(100,(1-MIN(1,IF(Config!$B$30=0,1,$P254/Config!$B$30)))*100)) + Config!$B$29*MAX(0,MIN(100,MIN(1,IF($Q254="",0,$Q254)/Config!$B$23)*100))))),"")
</f>
        <v/>
      </c>
      <c r="S254" s="40" t="str">
        <f>IF(Bids!$AC254="","",Bids!$AC254)</f>
        <v/>
      </c>
      <c r="T254" s="40" t="str">
        <f>IF(Bids!$F254="","",Bids!$F254)</f>
        <v/>
      </c>
      <c r="U254" s="40" t="str">
        <f t="shared" si="3"/>
        <v/>
      </c>
      <c r="V254" s="40" t="str">
        <f>IF($U254="","",IF(Config!$B$17=Config!$B$16,IF($U254&gt;=Config!$B$17,100,0),MAX(0,MIN(100,($U254-Config!$B$16)/(Config!$B$17-Config!$B$16)*100))))</f>
        <v/>
      </c>
      <c r="W254" s="40">
        <f>IF($L254="Elite",Config!$B$21,0)</f>
        <v>0</v>
      </c>
      <c r="X254" s="40" t="str">
        <f>IFERROR(IF(OR($T254="",$G254=""),"",IF($T254&gt;$G254,
  MAX(0, 60-(($T254-$G254)*24/Config!$B$19)*60),
  MEDIAN(60, 100, 60+(($G254-$T254)*24/Config!$B$20)*40)
)),"")
</f>
        <v/>
      </c>
      <c r="Y254" s="40" t="str">
        <f>IF($J254="","",IFERROR(VLOOKUP($J254,Grinders!$A:$N,10,FALSE),""))</f>
        <v/>
      </c>
      <c r="Z254" s="40" t="str">
        <f>IF($J254="","",IFERROR(VLOOKUP($J254,Grinders!$A:$N,11,FALSE),""))</f>
        <v/>
      </c>
      <c r="AA254" s="40" t="str">
        <f>IF($J254="","",IFERROR(VLOOKUP($J254,Grinders!$A:$N,12,FALSE),""))</f>
        <v/>
      </c>
      <c r="AB254" s="40" t="str">
        <f>IF(OR(AL254=1,AM254=1),0,=IFERROR(IF(OR($C254="",$J254=""),0,IF($D254&lt;&gt;"Open",0,IF(COUNTIFS(GrinderServices!$A:$A,$J254,GrinderServices!$B:$B,$E254,GrinderServices!$D:$D,"Y")=0,0,IF($U254&lt;Config!$B$16,0,IF(Config!$B$18=1,IF($N254&gt;=$M254,0,1),1))))),""))</f>
        <v>#ERROR!</v>
      </c>
      <c r="AC254" s="40" t="str">
        <f>IFERROR((IF(OR(AL254=1,AM254=1),"",=IFERROR((IFERROR(IF($AB254=0,"",((Config!$B$6*$V254 + Config!$B$7*$R254 + Config!$B$8*$W254 + Config!$B$9*$X254 + Config!$B$10*$Y254 + Config!$B$11*$Z254 - Config!$B$12*$AA254)/Config!$B$13)+$AH254+$AI254),""))*(1-IFERROR(VLOOKUP(J254,Grinders!$A:$AB, 28, FALSE),0)),"")))*(1+AO254),"")</f>
        <v>#ERROR!</v>
      </c>
      <c r="AD254" s="40" t="str">
        <f t="shared" si="4"/>
        <v/>
      </c>
      <c r="AE254" s="40" t="str">
        <f>IFERROR(__xludf.DUMMYFUNCTION("IF($AC254="""","""",IF($AC254=IFERROR(MAX(FILTER($AC$6:$AC$1000,$C$6:$C$1000=$C254,$AB$6:$AB$1000=1)),),""WINNER"",""""))"),"#ERROR!")</f>
        <v>#ERROR!</v>
      </c>
      <c r="AF254" s="40" t="str">
        <f t="shared" si="5"/>
        <v/>
      </c>
      <c r="AG254" s="40" t="str">
        <f>IF($J254="","",COUNTIF(Assignments!$B:$B,$J254))</f>
        <v/>
      </c>
      <c r="AH254" s="40" t="str">
        <f>IF($J254="","",IF(AND($AG254=0,$N254&lt;$M254),Config!$B$43,0))</f>
        <v/>
      </c>
      <c r="AI254" s="40" t="str">
        <f>IF($J254="","",IF(AND($L254="Elite",$F254&gt;=Config!$B$41,$N254&lt;$M254),Config!$B$42,0))</f>
        <v/>
      </c>
      <c r="AJ254" s="22"/>
      <c r="AK254" s="39">
        <f>IFERROR(VLOOKUP(J254,Grinders!$A:$Q,28,FALSE),0)</f>
        <v>0</v>
      </c>
      <c r="AL254" s="39">
        <f>IF(Config!$B$1003&lt;&gt;"Y",0,IF(IFERROR(VLOOKUP(J254,Grinders!$A:$P,27,FALSE),0)&gt;=3,IF(OR(F254&gt;=Config!$B$1001,ISNUMBER(SEARCH(E254,Config!$B$1002))),1,0),0))</f>
        <v>0</v>
      </c>
      <c r="AM254" s="39">
        <f t="array" ref="AM254">IFERROR(IF(INDEX(Bids!$AE:$AE,MATCH(B254,Bids!$A:$A,0))="Pending",1,0),0)</f>
        <v>0</v>
      </c>
      <c r="AN254" s="39" t="str">
        <f t="array" ref="AN254">IF(C254="","",IFERROR(XLOOKUP(C254,Assignments!$C:$C,Assignments!$AU:$AU,0),0))</f>
        <v/>
      </c>
      <c r="AO254" s="39">
        <f>IF(AND(Config!$B$1006="Y",AN254=1),Config!$B$1007,0)</f>
        <v>0</v>
      </c>
    </row>
    <row r="255" ht="15.75" customHeight="1">
      <c r="A255" s="46" t="str">
        <f t="shared" si="1"/>
        <v/>
      </c>
      <c r="B255" s="40" t="str">
        <f>IF(Bids!$A255="","",Bids!$A255)</f>
        <v/>
      </c>
      <c r="C255" s="40" t="str">
        <f>IF(Bids!$B255="","",Bids!$B255)</f>
        <v/>
      </c>
      <c r="D255" s="40" t="str">
        <f>IF($C255="","",IFERROR(VLOOKUP($C255,Orders!$A:$J,9,FALSE),""))</f>
        <v/>
      </c>
      <c r="E255" s="40" t="str">
        <f>IF($C255="","",IFERROR(VLOOKUP($C255,Orders!$A:$J,3,FALSE),""))</f>
        <v/>
      </c>
      <c r="F255" s="40" t="str">
        <f>IF($C255="","",IFERROR(VLOOKUP($C255,Orders!$A:$J,4,FALSE),""))</f>
        <v/>
      </c>
      <c r="G255" s="40" t="str">
        <f>IF($C255="","",IFERROR(VLOOKUP($C255,Orders!$A:$J,5,FALSE),""))</f>
        <v/>
      </c>
      <c r="H255" s="40" t="str">
        <f>IF($C255="","",IFERROR(VLOOKUP($C255,Orders!$A:$J,6,FALSE),""))</f>
        <v/>
      </c>
      <c r="I255" s="40" t="str">
        <f>IF($C255="","",IFERROR(VLOOKUP($C255,Orders!$A:$J,7,FALSE),""))</f>
        <v/>
      </c>
      <c r="J255" s="40" t="str">
        <f>IF(Bids!$C255="","",Bids!$C255)</f>
        <v/>
      </c>
      <c r="K255" s="40" t="str">
        <f>IF($J255="","",IFERROR(VLOOKUP($J255,Grinders!$A:$N,2,FALSE),""))</f>
        <v/>
      </c>
      <c r="L255" s="40" t="str">
        <f>IF($J255="","",IFERROR(VLOOKUP($J255,Grinders!$A:$N,3,FALSE),""))</f>
        <v/>
      </c>
      <c r="M255" s="40" t="str">
        <f>IF($J255="","",IFERROR(VLOOKUP($J255,Grinders!$A:$N,4,FALSE),""))</f>
        <v/>
      </c>
      <c r="N255" s="40" t="str">
        <f>IF($J255="","",IFERROR(VLOOKUP($J255,Grinders!$A:$N,5,FALSE),""))</f>
        <v/>
      </c>
      <c r="O255" s="40" t="str">
        <f t="shared" si="2"/>
        <v/>
      </c>
      <c r="P255" s="40" t="str">
        <f>IF($J255="","",IFERROR(VLOOKUP($J255,Grinders!$A:$N,6,FALSE),""))</f>
        <v/>
      </c>
      <c r="Q255" s="40" t="str">
        <f>IF($J255="","",IFERROR(VLOOKUP($J255,Grinders!$A:$N,8,FALSE),""))</f>
        <v/>
      </c>
      <c r="R255" s="40" t="str">
        <f>IFERROR(IF($J255="","",IF($L255="Elite",MAX(50,MIN(100,Config!$B$27*MAX(0,MIN(100,(1-IF($O255="",0,$O255))*100)) + Config!$B$28*MAX(0,MIN(100,(1-MIN(1,IF(Config!$B$30=0,1,$P255/Config!$B$30)))*100)) + Config!$B$29*MAX(0,MIN(100,MIN(1,IF($Q255="",0,$Q255)/Config!$B$23)*100)))),MIN(100,Config!$B$27*MAX(0,MIN(100,(1-IF($O255="",0,$O255))*100)) + Config!$B$28*MAX(0,MIN(100,(1-MIN(1,IF(Config!$B$30=0,1,$P255/Config!$B$30)))*100)) + Config!$B$29*MAX(0,MIN(100,MIN(1,IF($Q255="",0,$Q255)/Config!$B$23)*100))))),"")
</f>
        <v/>
      </c>
      <c r="S255" s="40" t="str">
        <f>IF(Bids!$AC255="","",Bids!$AC255)</f>
        <v/>
      </c>
      <c r="T255" s="40" t="str">
        <f>IF(Bids!$F255="","",Bids!$F255)</f>
        <v/>
      </c>
      <c r="U255" s="40" t="str">
        <f t="shared" si="3"/>
        <v/>
      </c>
      <c r="V255" s="40" t="str">
        <f>IF($U255="","",IF(Config!$B$17=Config!$B$16,IF($U255&gt;=Config!$B$17,100,0),MAX(0,MIN(100,($U255-Config!$B$16)/(Config!$B$17-Config!$B$16)*100))))</f>
        <v/>
      </c>
      <c r="W255" s="40">
        <f>IF($L255="Elite",Config!$B$21,0)</f>
        <v>0</v>
      </c>
      <c r="X255" s="40" t="str">
        <f>IFERROR(IF(OR($T255="",$G255=""),"",IF($T255&gt;$G255,
  MAX(0, 60-(($T255-$G255)*24/Config!$B$19)*60),
  MEDIAN(60, 100, 60+(($G255-$T255)*24/Config!$B$20)*40)
)),"")
</f>
        <v/>
      </c>
      <c r="Y255" s="40" t="str">
        <f>IF($J255="","",IFERROR(VLOOKUP($J255,Grinders!$A:$N,10,FALSE),""))</f>
        <v/>
      </c>
      <c r="Z255" s="40" t="str">
        <f>IF($J255="","",IFERROR(VLOOKUP($J255,Grinders!$A:$N,11,FALSE),""))</f>
        <v/>
      </c>
      <c r="AA255" s="40" t="str">
        <f>IF($J255="","",IFERROR(VLOOKUP($J255,Grinders!$A:$N,12,FALSE),""))</f>
        <v/>
      </c>
      <c r="AB255" s="40" t="str">
        <f>IF(OR(AL255=1,AM255=1),0,=IFERROR(IF(OR($C255="",$J255=""),0,IF($D255&lt;&gt;"Open",0,IF(COUNTIFS(GrinderServices!$A:$A,$J255,GrinderServices!$B:$B,$E255,GrinderServices!$D:$D,"Y")=0,0,IF($U255&lt;Config!$B$16,0,IF(Config!$B$18=1,IF($N255&gt;=$M255,0,1),1))))),""))</f>
        <v>#ERROR!</v>
      </c>
      <c r="AC255" s="40" t="str">
        <f>IFERROR((IF(OR(AL255=1,AM255=1),"",=IFERROR((IFERROR(IF($AB255=0,"",((Config!$B$6*$V255 + Config!$B$7*$R255 + Config!$B$8*$W255 + Config!$B$9*$X255 + Config!$B$10*$Y255 + Config!$B$11*$Z255 - Config!$B$12*$AA255)/Config!$B$13)+$AH255+$AI255),""))*(1-IFERROR(VLOOKUP(J255,Grinders!$A:$AB, 28, FALSE),0)),"")))*(1+AO255),"")</f>
        <v>#ERROR!</v>
      </c>
      <c r="AD255" s="40" t="str">
        <f t="shared" si="4"/>
        <v/>
      </c>
      <c r="AE255" s="40" t="str">
        <f>IFERROR(__xludf.DUMMYFUNCTION("IF($AC255="""","""",IF($AC255=IFERROR(MAX(FILTER($AC$6:$AC$1000,$C$6:$C$1000=$C255,$AB$6:$AB$1000=1)),),""WINNER"",""""))"),"#ERROR!")</f>
        <v>#ERROR!</v>
      </c>
      <c r="AF255" s="40" t="str">
        <f t="shared" si="5"/>
        <v/>
      </c>
      <c r="AG255" s="40" t="str">
        <f>IF($J255="","",COUNTIF(Assignments!$B:$B,$J255))</f>
        <v/>
      </c>
      <c r="AH255" s="40" t="str">
        <f>IF($J255="","",IF(AND($AG255=0,$N255&lt;$M255),Config!$B$43,0))</f>
        <v/>
      </c>
      <c r="AI255" s="40" t="str">
        <f>IF($J255="","",IF(AND($L255="Elite",$F255&gt;=Config!$B$41,$N255&lt;$M255),Config!$B$42,0))</f>
        <v/>
      </c>
      <c r="AJ255" s="22"/>
      <c r="AK255" s="39">
        <f>IFERROR(VLOOKUP(J255,Grinders!$A:$Q,28,FALSE),0)</f>
        <v>0</v>
      </c>
      <c r="AL255" s="39">
        <f>IF(Config!$B$1003&lt;&gt;"Y",0,IF(IFERROR(VLOOKUP(J255,Grinders!$A:$P,27,FALSE),0)&gt;=3,IF(OR(F255&gt;=Config!$B$1001,ISNUMBER(SEARCH(E255,Config!$B$1002))),1,0),0))</f>
        <v>0</v>
      </c>
      <c r="AM255" s="39">
        <f t="array" ref="AM255">IFERROR(IF(INDEX(Bids!$AE:$AE,MATCH(B255,Bids!$A:$A,0))="Pending",1,0),0)</f>
        <v>0</v>
      </c>
      <c r="AN255" s="39" t="str">
        <f t="array" ref="AN255">IF(C255="","",IFERROR(XLOOKUP(C255,Assignments!$C:$C,Assignments!$AU:$AU,0),0))</f>
        <v/>
      </c>
      <c r="AO255" s="39">
        <f>IF(AND(Config!$B$1006="Y",AN255=1),Config!$B$1007,0)</f>
        <v>0</v>
      </c>
    </row>
    <row r="256" ht="15.75" customHeight="1">
      <c r="A256" s="46" t="str">
        <f t="shared" si="1"/>
        <v/>
      </c>
      <c r="B256" s="40" t="str">
        <f>IF(Bids!$A256="","",Bids!$A256)</f>
        <v/>
      </c>
      <c r="C256" s="40" t="str">
        <f>IF(Bids!$B256="","",Bids!$B256)</f>
        <v/>
      </c>
      <c r="D256" s="40" t="str">
        <f>IF($C256="","",IFERROR(VLOOKUP($C256,Orders!$A:$J,9,FALSE),""))</f>
        <v/>
      </c>
      <c r="E256" s="40" t="str">
        <f>IF($C256="","",IFERROR(VLOOKUP($C256,Orders!$A:$J,3,FALSE),""))</f>
        <v/>
      </c>
      <c r="F256" s="40" t="str">
        <f>IF($C256="","",IFERROR(VLOOKUP($C256,Orders!$A:$J,4,FALSE),""))</f>
        <v/>
      </c>
      <c r="G256" s="40" t="str">
        <f>IF($C256="","",IFERROR(VLOOKUP($C256,Orders!$A:$J,5,FALSE),""))</f>
        <v/>
      </c>
      <c r="H256" s="40" t="str">
        <f>IF($C256="","",IFERROR(VLOOKUP($C256,Orders!$A:$J,6,FALSE),""))</f>
        <v/>
      </c>
      <c r="I256" s="40" t="str">
        <f>IF($C256="","",IFERROR(VLOOKUP($C256,Orders!$A:$J,7,FALSE),""))</f>
        <v/>
      </c>
      <c r="J256" s="40" t="str">
        <f>IF(Bids!$C256="","",Bids!$C256)</f>
        <v/>
      </c>
      <c r="K256" s="40" t="str">
        <f>IF($J256="","",IFERROR(VLOOKUP($J256,Grinders!$A:$N,2,FALSE),""))</f>
        <v/>
      </c>
      <c r="L256" s="40" t="str">
        <f>IF($J256="","",IFERROR(VLOOKUP($J256,Grinders!$A:$N,3,FALSE),""))</f>
        <v/>
      </c>
      <c r="M256" s="40" t="str">
        <f>IF($J256="","",IFERROR(VLOOKUP($J256,Grinders!$A:$N,4,FALSE),""))</f>
        <v/>
      </c>
      <c r="N256" s="40" t="str">
        <f>IF($J256="","",IFERROR(VLOOKUP($J256,Grinders!$A:$N,5,FALSE),""))</f>
        <v/>
      </c>
      <c r="O256" s="40" t="str">
        <f t="shared" si="2"/>
        <v/>
      </c>
      <c r="P256" s="40" t="str">
        <f>IF($J256="","",IFERROR(VLOOKUP($J256,Grinders!$A:$N,6,FALSE),""))</f>
        <v/>
      </c>
      <c r="Q256" s="40" t="str">
        <f>IF($J256="","",IFERROR(VLOOKUP($J256,Grinders!$A:$N,8,FALSE),""))</f>
        <v/>
      </c>
      <c r="R256" s="40" t="str">
        <f>IFERROR(IF($J256="","",IF($L256="Elite",MAX(50,MIN(100,Config!$B$27*MAX(0,MIN(100,(1-IF($O256="",0,$O256))*100)) + Config!$B$28*MAX(0,MIN(100,(1-MIN(1,IF(Config!$B$30=0,1,$P256/Config!$B$30)))*100)) + Config!$B$29*MAX(0,MIN(100,MIN(1,IF($Q256="",0,$Q256)/Config!$B$23)*100)))),MIN(100,Config!$B$27*MAX(0,MIN(100,(1-IF($O256="",0,$O256))*100)) + Config!$B$28*MAX(0,MIN(100,(1-MIN(1,IF(Config!$B$30=0,1,$P256/Config!$B$30)))*100)) + Config!$B$29*MAX(0,MIN(100,MIN(1,IF($Q256="",0,$Q256)/Config!$B$23)*100))))),"")
</f>
        <v/>
      </c>
      <c r="S256" s="40" t="str">
        <f>IF(Bids!$AC256="","",Bids!$AC256)</f>
        <v/>
      </c>
      <c r="T256" s="40" t="str">
        <f>IF(Bids!$F256="","",Bids!$F256)</f>
        <v/>
      </c>
      <c r="U256" s="40" t="str">
        <f t="shared" si="3"/>
        <v/>
      </c>
      <c r="V256" s="40" t="str">
        <f>IF($U256="","",IF(Config!$B$17=Config!$B$16,IF($U256&gt;=Config!$B$17,100,0),MAX(0,MIN(100,($U256-Config!$B$16)/(Config!$B$17-Config!$B$16)*100))))</f>
        <v/>
      </c>
      <c r="W256" s="40">
        <f>IF($L256="Elite",Config!$B$21,0)</f>
        <v>0</v>
      </c>
      <c r="X256" s="40" t="str">
        <f>IFERROR(IF(OR($T256="",$G256=""),"",IF($T256&gt;$G256,
  MAX(0, 60-(($T256-$G256)*24/Config!$B$19)*60),
  MEDIAN(60, 100, 60+(($G256-$T256)*24/Config!$B$20)*40)
)),"")
</f>
        <v/>
      </c>
      <c r="Y256" s="40" t="str">
        <f>IF($J256="","",IFERROR(VLOOKUP($J256,Grinders!$A:$N,10,FALSE),""))</f>
        <v/>
      </c>
      <c r="Z256" s="40" t="str">
        <f>IF($J256="","",IFERROR(VLOOKUP($J256,Grinders!$A:$N,11,FALSE),""))</f>
        <v/>
      </c>
      <c r="AA256" s="40" t="str">
        <f>IF($J256="","",IFERROR(VLOOKUP($J256,Grinders!$A:$N,12,FALSE),""))</f>
        <v/>
      </c>
      <c r="AB256" s="40" t="str">
        <f>IF(OR(AL256=1,AM256=1),0,=IFERROR(IF(OR($C256="",$J256=""),0,IF($D256&lt;&gt;"Open",0,IF(COUNTIFS(GrinderServices!$A:$A,$J256,GrinderServices!$B:$B,$E256,GrinderServices!$D:$D,"Y")=0,0,IF($U256&lt;Config!$B$16,0,IF(Config!$B$18=1,IF($N256&gt;=$M256,0,1),1))))),""))</f>
        <v>#ERROR!</v>
      </c>
      <c r="AC256" s="40" t="str">
        <f>IFERROR((IF(OR(AL256=1,AM256=1),"",=IFERROR((IFERROR(IF($AB256=0,"",((Config!$B$6*$V256 + Config!$B$7*$R256 + Config!$B$8*$W256 + Config!$B$9*$X256 + Config!$B$10*$Y256 + Config!$B$11*$Z256 - Config!$B$12*$AA256)/Config!$B$13)+$AH256+$AI256),""))*(1-IFERROR(VLOOKUP(J256,Grinders!$A:$AB, 28, FALSE),0)),"")))*(1+AO256),"")</f>
        <v>#ERROR!</v>
      </c>
      <c r="AD256" s="40" t="str">
        <f t="shared" si="4"/>
        <v/>
      </c>
      <c r="AE256" s="40" t="str">
        <f>IFERROR(__xludf.DUMMYFUNCTION("IF($AC256="""","""",IF($AC256=IFERROR(MAX(FILTER($AC$6:$AC$1000,$C$6:$C$1000=$C256,$AB$6:$AB$1000=1)),),""WINNER"",""""))"),"#ERROR!")</f>
        <v>#ERROR!</v>
      </c>
      <c r="AF256" s="40" t="str">
        <f t="shared" si="5"/>
        <v/>
      </c>
      <c r="AG256" s="40" t="str">
        <f>IF($J256="","",COUNTIF(Assignments!$B:$B,$J256))</f>
        <v/>
      </c>
      <c r="AH256" s="40" t="str">
        <f>IF($J256="","",IF(AND($AG256=0,$N256&lt;$M256),Config!$B$43,0))</f>
        <v/>
      </c>
      <c r="AI256" s="40" t="str">
        <f>IF($J256="","",IF(AND($L256="Elite",$F256&gt;=Config!$B$41,$N256&lt;$M256),Config!$B$42,0))</f>
        <v/>
      </c>
      <c r="AJ256" s="22"/>
      <c r="AK256" s="39">
        <f>IFERROR(VLOOKUP(J256,Grinders!$A:$Q,28,FALSE),0)</f>
        <v>0</v>
      </c>
      <c r="AL256" s="39">
        <f>IF(Config!$B$1003&lt;&gt;"Y",0,IF(IFERROR(VLOOKUP(J256,Grinders!$A:$P,27,FALSE),0)&gt;=3,IF(OR(F256&gt;=Config!$B$1001,ISNUMBER(SEARCH(E256,Config!$B$1002))),1,0),0))</f>
        <v>0</v>
      </c>
      <c r="AM256" s="39">
        <f t="array" ref="AM256">IFERROR(IF(INDEX(Bids!$AE:$AE,MATCH(B256,Bids!$A:$A,0))="Pending",1,0),0)</f>
        <v>0</v>
      </c>
      <c r="AN256" s="39" t="str">
        <f t="array" ref="AN256">IF(C256="","",IFERROR(XLOOKUP(C256,Assignments!$C:$C,Assignments!$AU:$AU,0),0))</f>
        <v/>
      </c>
      <c r="AO256" s="39">
        <f>IF(AND(Config!$B$1006="Y",AN256=1),Config!$B$1007,0)</f>
        <v>0</v>
      </c>
    </row>
    <row r="257" ht="15.75" customHeight="1">
      <c r="A257" s="46" t="str">
        <f t="shared" si="1"/>
        <v/>
      </c>
      <c r="B257" s="40" t="str">
        <f>IF(Bids!$A257="","",Bids!$A257)</f>
        <v/>
      </c>
      <c r="C257" s="40" t="str">
        <f>IF(Bids!$B257="","",Bids!$B257)</f>
        <v/>
      </c>
      <c r="D257" s="40" t="str">
        <f>IF($C257="","",IFERROR(VLOOKUP($C257,Orders!$A:$J,9,FALSE),""))</f>
        <v/>
      </c>
      <c r="E257" s="40" t="str">
        <f>IF($C257="","",IFERROR(VLOOKUP($C257,Orders!$A:$J,3,FALSE),""))</f>
        <v/>
      </c>
      <c r="F257" s="40" t="str">
        <f>IF($C257="","",IFERROR(VLOOKUP($C257,Orders!$A:$J,4,FALSE),""))</f>
        <v/>
      </c>
      <c r="G257" s="40" t="str">
        <f>IF($C257="","",IFERROR(VLOOKUP($C257,Orders!$A:$J,5,FALSE),""))</f>
        <v/>
      </c>
      <c r="H257" s="40" t="str">
        <f>IF($C257="","",IFERROR(VLOOKUP($C257,Orders!$A:$J,6,FALSE),""))</f>
        <v/>
      </c>
      <c r="I257" s="40" t="str">
        <f>IF($C257="","",IFERROR(VLOOKUP($C257,Orders!$A:$J,7,FALSE),""))</f>
        <v/>
      </c>
      <c r="J257" s="40" t="str">
        <f>IF(Bids!$C257="","",Bids!$C257)</f>
        <v/>
      </c>
      <c r="K257" s="40" t="str">
        <f>IF($J257="","",IFERROR(VLOOKUP($J257,Grinders!$A:$N,2,FALSE),""))</f>
        <v/>
      </c>
      <c r="L257" s="40" t="str">
        <f>IF($J257="","",IFERROR(VLOOKUP($J257,Grinders!$A:$N,3,FALSE),""))</f>
        <v/>
      </c>
      <c r="M257" s="40" t="str">
        <f>IF($J257="","",IFERROR(VLOOKUP($J257,Grinders!$A:$N,4,FALSE),""))</f>
        <v/>
      </c>
      <c r="N257" s="40" t="str">
        <f>IF($J257="","",IFERROR(VLOOKUP($J257,Grinders!$A:$N,5,FALSE),""))</f>
        <v/>
      </c>
      <c r="O257" s="40" t="str">
        <f t="shared" si="2"/>
        <v/>
      </c>
      <c r="P257" s="40" t="str">
        <f>IF($J257="","",IFERROR(VLOOKUP($J257,Grinders!$A:$N,6,FALSE),""))</f>
        <v/>
      </c>
      <c r="Q257" s="40" t="str">
        <f>IF($J257="","",IFERROR(VLOOKUP($J257,Grinders!$A:$N,8,FALSE),""))</f>
        <v/>
      </c>
      <c r="R257" s="40" t="str">
        <f>IFERROR(IF($J257="","",IF($L257="Elite",MAX(50,MIN(100,Config!$B$27*MAX(0,MIN(100,(1-IF($O257="",0,$O257))*100)) + Config!$B$28*MAX(0,MIN(100,(1-MIN(1,IF(Config!$B$30=0,1,$P257/Config!$B$30)))*100)) + Config!$B$29*MAX(0,MIN(100,MIN(1,IF($Q257="",0,$Q257)/Config!$B$23)*100)))),MIN(100,Config!$B$27*MAX(0,MIN(100,(1-IF($O257="",0,$O257))*100)) + Config!$B$28*MAX(0,MIN(100,(1-MIN(1,IF(Config!$B$30=0,1,$P257/Config!$B$30)))*100)) + Config!$B$29*MAX(0,MIN(100,MIN(1,IF($Q257="",0,$Q257)/Config!$B$23)*100))))),"")
</f>
        <v/>
      </c>
      <c r="S257" s="40" t="str">
        <f>IF(Bids!$AC257="","",Bids!$AC257)</f>
        <v/>
      </c>
      <c r="T257" s="40" t="str">
        <f>IF(Bids!$F257="","",Bids!$F257)</f>
        <v/>
      </c>
      <c r="U257" s="40" t="str">
        <f t="shared" si="3"/>
        <v/>
      </c>
      <c r="V257" s="40" t="str">
        <f>IF($U257="","",IF(Config!$B$17=Config!$B$16,IF($U257&gt;=Config!$B$17,100,0),MAX(0,MIN(100,($U257-Config!$B$16)/(Config!$B$17-Config!$B$16)*100))))</f>
        <v/>
      </c>
      <c r="W257" s="40">
        <f>IF($L257="Elite",Config!$B$21,0)</f>
        <v>0</v>
      </c>
      <c r="X257" s="40" t="str">
        <f>IFERROR(IF(OR($T257="",$G257=""),"",IF($T257&gt;$G257,
  MAX(0, 60-(($T257-$G257)*24/Config!$B$19)*60),
  MEDIAN(60, 100, 60+(($G257-$T257)*24/Config!$B$20)*40)
)),"")
</f>
        <v/>
      </c>
      <c r="Y257" s="40" t="str">
        <f>IF($J257="","",IFERROR(VLOOKUP($J257,Grinders!$A:$N,10,FALSE),""))</f>
        <v/>
      </c>
      <c r="Z257" s="40" t="str">
        <f>IF($J257="","",IFERROR(VLOOKUP($J257,Grinders!$A:$N,11,FALSE),""))</f>
        <v/>
      </c>
      <c r="AA257" s="40" t="str">
        <f>IF($J257="","",IFERROR(VLOOKUP($J257,Grinders!$A:$N,12,FALSE),""))</f>
        <v/>
      </c>
      <c r="AB257" s="40" t="str">
        <f>IF(OR(AL257=1,AM257=1),0,=IFERROR(IF(OR($C257="",$J257=""),0,IF($D257&lt;&gt;"Open",0,IF(COUNTIFS(GrinderServices!$A:$A,$J257,GrinderServices!$B:$B,$E257,GrinderServices!$D:$D,"Y")=0,0,IF($U257&lt;Config!$B$16,0,IF(Config!$B$18=1,IF($N257&gt;=$M257,0,1),1))))),""))</f>
        <v>#ERROR!</v>
      </c>
      <c r="AC257" s="40" t="str">
        <f>IFERROR((IF(OR(AL257=1,AM257=1),"",=IFERROR((IFERROR(IF($AB257=0,"",((Config!$B$6*$V257 + Config!$B$7*$R257 + Config!$B$8*$W257 + Config!$B$9*$X257 + Config!$B$10*$Y257 + Config!$B$11*$Z257 - Config!$B$12*$AA257)/Config!$B$13)+$AH257+$AI257),""))*(1-IFERROR(VLOOKUP(J257,Grinders!$A:$AB, 28, FALSE),0)),"")))*(1+AO257),"")</f>
        <v>#ERROR!</v>
      </c>
      <c r="AD257" s="40" t="str">
        <f t="shared" si="4"/>
        <v/>
      </c>
      <c r="AE257" s="40" t="str">
        <f>IFERROR(__xludf.DUMMYFUNCTION("IF($AC257="""","""",IF($AC257=IFERROR(MAX(FILTER($AC$6:$AC$1000,$C$6:$C$1000=$C257,$AB$6:$AB$1000=1)),),""WINNER"",""""))"),"#ERROR!")</f>
        <v>#ERROR!</v>
      </c>
      <c r="AF257" s="40" t="str">
        <f t="shared" si="5"/>
        <v/>
      </c>
      <c r="AG257" s="40" t="str">
        <f>IF($J257="","",COUNTIF(Assignments!$B:$B,$J257))</f>
        <v/>
      </c>
      <c r="AH257" s="40" t="str">
        <f>IF($J257="","",IF(AND($AG257=0,$N257&lt;$M257),Config!$B$43,0))</f>
        <v/>
      </c>
      <c r="AI257" s="40" t="str">
        <f>IF($J257="","",IF(AND($L257="Elite",$F257&gt;=Config!$B$41,$N257&lt;$M257),Config!$B$42,0))</f>
        <v/>
      </c>
      <c r="AJ257" s="22"/>
      <c r="AK257" s="39">
        <f>IFERROR(VLOOKUP(J257,Grinders!$A:$Q,28,FALSE),0)</f>
        <v>0</v>
      </c>
      <c r="AL257" s="39">
        <f>IF(Config!$B$1003&lt;&gt;"Y",0,IF(IFERROR(VLOOKUP(J257,Grinders!$A:$P,27,FALSE),0)&gt;=3,IF(OR(F257&gt;=Config!$B$1001,ISNUMBER(SEARCH(E257,Config!$B$1002))),1,0),0))</f>
        <v>0</v>
      </c>
      <c r="AM257" s="39">
        <f t="array" ref="AM257">IFERROR(IF(INDEX(Bids!$AE:$AE,MATCH(B257,Bids!$A:$A,0))="Pending",1,0),0)</f>
        <v>0</v>
      </c>
      <c r="AN257" s="39" t="str">
        <f t="array" ref="AN257">IF(C257="","",IFERROR(XLOOKUP(C257,Assignments!$C:$C,Assignments!$AU:$AU,0),0))</f>
        <v/>
      </c>
      <c r="AO257" s="39">
        <f>IF(AND(Config!$B$1006="Y",AN257=1),Config!$B$1007,0)</f>
        <v>0</v>
      </c>
    </row>
    <row r="258" ht="15.75" customHeight="1">
      <c r="A258" s="46" t="str">
        <f t="shared" si="1"/>
        <v/>
      </c>
      <c r="B258" s="40" t="str">
        <f>IF(Bids!$A258="","",Bids!$A258)</f>
        <v/>
      </c>
      <c r="C258" s="40" t="str">
        <f>IF(Bids!$B258="","",Bids!$B258)</f>
        <v/>
      </c>
      <c r="D258" s="40" t="str">
        <f>IF($C258="","",IFERROR(VLOOKUP($C258,Orders!$A:$J,9,FALSE),""))</f>
        <v/>
      </c>
      <c r="E258" s="40" t="str">
        <f>IF($C258="","",IFERROR(VLOOKUP($C258,Orders!$A:$J,3,FALSE),""))</f>
        <v/>
      </c>
      <c r="F258" s="40" t="str">
        <f>IF($C258="","",IFERROR(VLOOKUP($C258,Orders!$A:$J,4,FALSE),""))</f>
        <v/>
      </c>
      <c r="G258" s="40" t="str">
        <f>IF($C258="","",IFERROR(VLOOKUP($C258,Orders!$A:$J,5,FALSE),""))</f>
        <v/>
      </c>
      <c r="H258" s="40" t="str">
        <f>IF($C258="","",IFERROR(VLOOKUP($C258,Orders!$A:$J,6,FALSE),""))</f>
        <v/>
      </c>
      <c r="I258" s="40" t="str">
        <f>IF($C258="","",IFERROR(VLOOKUP($C258,Orders!$A:$J,7,FALSE),""))</f>
        <v/>
      </c>
      <c r="J258" s="40" t="str">
        <f>IF(Bids!$C258="","",Bids!$C258)</f>
        <v/>
      </c>
      <c r="K258" s="40" t="str">
        <f>IF($J258="","",IFERROR(VLOOKUP($J258,Grinders!$A:$N,2,FALSE),""))</f>
        <v/>
      </c>
      <c r="L258" s="40" t="str">
        <f>IF($J258="","",IFERROR(VLOOKUP($J258,Grinders!$A:$N,3,FALSE),""))</f>
        <v/>
      </c>
      <c r="M258" s="40" t="str">
        <f>IF($J258="","",IFERROR(VLOOKUP($J258,Grinders!$A:$N,4,FALSE),""))</f>
        <v/>
      </c>
      <c r="N258" s="40" t="str">
        <f>IF($J258="","",IFERROR(VLOOKUP($J258,Grinders!$A:$N,5,FALSE),""))</f>
        <v/>
      </c>
      <c r="O258" s="40" t="str">
        <f t="shared" si="2"/>
        <v/>
      </c>
      <c r="P258" s="40" t="str">
        <f>IF($J258="","",IFERROR(VLOOKUP($J258,Grinders!$A:$N,6,FALSE),""))</f>
        <v/>
      </c>
      <c r="Q258" s="40" t="str">
        <f>IF($J258="","",IFERROR(VLOOKUP($J258,Grinders!$A:$N,8,FALSE),""))</f>
        <v/>
      </c>
      <c r="R258" s="40" t="str">
        <f>IFERROR(IF($J258="","",IF($L258="Elite",MAX(50,MIN(100,Config!$B$27*MAX(0,MIN(100,(1-IF($O258="",0,$O258))*100)) + Config!$B$28*MAX(0,MIN(100,(1-MIN(1,IF(Config!$B$30=0,1,$P258/Config!$B$30)))*100)) + Config!$B$29*MAX(0,MIN(100,MIN(1,IF($Q258="",0,$Q258)/Config!$B$23)*100)))),MIN(100,Config!$B$27*MAX(0,MIN(100,(1-IF($O258="",0,$O258))*100)) + Config!$B$28*MAX(0,MIN(100,(1-MIN(1,IF(Config!$B$30=0,1,$P258/Config!$B$30)))*100)) + Config!$B$29*MAX(0,MIN(100,MIN(1,IF($Q258="",0,$Q258)/Config!$B$23)*100))))),"")
</f>
        <v/>
      </c>
      <c r="S258" s="40" t="str">
        <f>IF(Bids!$AC258="","",Bids!$AC258)</f>
        <v/>
      </c>
      <c r="T258" s="40" t="str">
        <f>IF(Bids!$F258="","",Bids!$F258)</f>
        <v/>
      </c>
      <c r="U258" s="40" t="str">
        <f t="shared" si="3"/>
        <v/>
      </c>
      <c r="V258" s="40" t="str">
        <f>IF($U258="","",IF(Config!$B$17=Config!$B$16,IF($U258&gt;=Config!$B$17,100,0),MAX(0,MIN(100,($U258-Config!$B$16)/(Config!$B$17-Config!$B$16)*100))))</f>
        <v/>
      </c>
      <c r="W258" s="40">
        <f>IF($L258="Elite",Config!$B$21,0)</f>
        <v>0</v>
      </c>
      <c r="X258" s="40" t="str">
        <f>IFERROR(IF(OR($T258="",$G258=""),"",IF($T258&gt;$G258,
  MAX(0, 60-(($T258-$G258)*24/Config!$B$19)*60),
  MEDIAN(60, 100, 60+(($G258-$T258)*24/Config!$B$20)*40)
)),"")
</f>
        <v/>
      </c>
      <c r="Y258" s="40" t="str">
        <f>IF($J258="","",IFERROR(VLOOKUP($J258,Grinders!$A:$N,10,FALSE),""))</f>
        <v/>
      </c>
      <c r="Z258" s="40" t="str">
        <f>IF($J258="","",IFERROR(VLOOKUP($J258,Grinders!$A:$N,11,FALSE),""))</f>
        <v/>
      </c>
      <c r="AA258" s="40" t="str">
        <f>IF($J258="","",IFERROR(VLOOKUP($J258,Grinders!$A:$N,12,FALSE),""))</f>
        <v/>
      </c>
      <c r="AB258" s="40" t="str">
        <f>IF(OR(AL258=1,AM258=1),0,=IFERROR(IF(OR($C258="",$J258=""),0,IF($D258&lt;&gt;"Open",0,IF(COUNTIFS(GrinderServices!$A:$A,$J258,GrinderServices!$B:$B,$E258,GrinderServices!$D:$D,"Y")=0,0,IF($U258&lt;Config!$B$16,0,IF(Config!$B$18=1,IF($N258&gt;=$M258,0,1),1))))),""))</f>
        <v>#ERROR!</v>
      </c>
      <c r="AC258" s="40" t="str">
        <f>IFERROR((IF(OR(AL258=1,AM258=1),"",=IFERROR((IFERROR(IF($AB258=0,"",((Config!$B$6*$V258 + Config!$B$7*$R258 + Config!$B$8*$W258 + Config!$B$9*$X258 + Config!$B$10*$Y258 + Config!$B$11*$Z258 - Config!$B$12*$AA258)/Config!$B$13)+$AH258+$AI258),""))*(1-IFERROR(VLOOKUP(J258,Grinders!$A:$AB, 28, FALSE),0)),"")))*(1+AO258),"")</f>
        <v>#ERROR!</v>
      </c>
      <c r="AD258" s="40" t="str">
        <f t="shared" si="4"/>
        <v/>
      </c>
      <c r="AE258" s="40" t="str">
        <f>IFERROR(__xludf.DUMMYFUNCTION("IF($AC258="""","""",IF($AC258=IFERROR(MAX(FILTER($AC$6:$AC$1000,$C$6:$C$1000=$C258,$AB$6:$AB$1000=1)),),""WINNER"",""""))"),"#ERROR!")</f>
        <v>#ERROR!</v>
      </c>
      <c r="AF258" s="40" t="str">
        <f t="shared" si="5"/>
        <v/>
      </c>
      <c r="AG258" s="40" t="str">
        <f>IF($J258="","",COUNTIF(Assignments!$B:$B,$J258))</f>
        <v/>
      </c>
      <c r="AH258" s="40" t="str">
        <f>IF($J258="","",IF(AND($AG258=0,$N258&lt;$M258),Config!$B$43,0))</f>
        <v/>
      </c>
      <c r="AI258" s="40" t="str">
        <f>IF($J258="","",IF(AND($L258="Elite",$F258&gt;=Config!$B$41,$N258&lt;$M258),Config!$B$42,0))</f>
        <v/>
      </c>
      <c r="AJ258" s="22"/>
      <c r="AK258" s="39">
        <f>IFERROR(VLOOKUP(J258,Grinders!$A:$Q,28,FALSE),0)</f>
        <v>0</v>
      </c>
      <c r="AL258" s="39">
        <f>IF(Config!$B$1003&lt;&gt;"Y",0,IF(IFERROR(VLOOKUP(J258,Grinders!$A:$P,27,FALSE),0)&gt;=3,IF(OR(F258&gt;=Config!$B$1001,ISNUMBER(SEARCH(E258,Config!$B$1002))),1,0),0))</f>
        <v>0</v>
      </c>
      <c r="AM258" s="39">
        <f t="array" ref="AM258">IFERROR(IF(INDEX(Bids!$AE:$AE,MATCH(B258,Bids!$A:$A,0))="Pending",1,0),0)</f>
        <v>0</v>
      </c>
      <c r="AN258" s="39" t="str">
        <f t="array" ref="AN258">IF(C258="","",IFERROR(XLOOKUP(C258,Assignments!$C:$C,Assignments!$AU:$AU,0),0))</f>
        <v/>
      </c>
      <c r="AO258" s="39">
        <f>IF(AND(Config!$B$1006="Y",AN258=1),Config!$B$1007,0)</f>
        <v>0</v>
      </c>
    </row>
    <row r="259" ht="15.75" customHeight="1">
      <c r="A259" s="46" t="str">
        <f t="shared" si="1"/>
        <v/>
      </c>
      <c r="B259" s="40" t="str">
        <f>IF(Bids!$A259="","",Bids!$A259)</f>
        <v/>
      </c>
      <c r="C259" s="40" t="str">
        <f>IF(Bids!$B259="","",Bids!$B259)</f>
        <v/>
      </c>
      <c r="D259" s="40" t="str">
        <f>IF($C259="","",IFERROR(VLOOKUP($C259,Orders!$A:$J,9,FALSE),""))</f>
        <v/>
      </c>
      <c r="E259" s="40" t="str">
        <f>IF($C259="","",IFERROR(VLOOKUP($C259,Orders!$A:$J,3,FALSE),""))</f>
        <v/>
      </c>
      <c r="F259" s="40" t="str">
        <f>IF($C259="","",IFERROR(VLOOKUP($C259,Orders!$A:$J,4,FALSE),""))</f>
        <v/>
      </c>
      <c r="G259" s="40" t="str">
        <f>IF($C259="","",IFERROR(VLOOKUP($C259,Orders!$A:$J,5,FALSE),""))</f>
        <v/>
      </c>
      <c r="H259" s="40" t="str">
        <f>IF($C259="","",IFERROR(VLOOKUP($C259,Orders!$A:$J,6,FALSE),""))</f>
        <v/>
      </c>
      <c r="I259" s="40" t="str">
        <f>IF($C259="","",IFERROR(VLOOKUP($C259,Orders!$A:$J,7,FALSE),""))</f>
        <v/>
      </c>
      <c r="J259" s="40" t="str">
        <f>IF(Bids!$C259="","",Bids!$C259)</f>
        <v/>
      </c>
      <c r="K259" s="40" t="str">
        <f>IF($J259="","",IFERROR(VLOOKUP($J259,Grinders!$A:$N,2,FALSE),""))</f>
        <v/>
      </c>
      <c r="L259" s="40" t="str">
        <f>IF($J259="","",IFERROR(VLOOKUP($J259,Grinders!$A:$N,3,FALSE),""))</f>
        <v/>
      </c>
      <c r="M259" s="40" t="str">
        <f>IF($J259="","",IFERROR(VLOOKUP($J259,Grinders!$A:$N,4,FALSE),""))</f>
        <v/>
      </c>
      <c r="N259" s="40" t="str">
        <f>IF($J259="","",IFERROR(VLOOKUP($J259,Grinders!$A:$N,5,FALSE),""))</f>
        <v/>
      </c>
      <c r="O259" s="40" t="str">
        <f t="shared" si="2"/>
        <v/>
      </c>
      <c r="P259" s="40" t="str">
        <f>IF($J259="","",IFERROR(VLOOKUP($J259,Grinders!$A:$N,6,FALSE),""))</f>
        <v/>
      </c>
      <c r="Q259" s="40" t="str">
        <f>IF($J259="","",IFERROR(VLOOKUP($J259,Grinders!$A:$N,8,FALSE),""))</f>
        <v/>
      </c>
      <c r="R259" s="40" t="str">
        <f>IFERROR(IF($J259="","",IF($L259="Elite",MAX(50,MIN(100,Config!$B$27*MAX(0,MIN(100,(1-IF($O259="",0,$O259))*100)) + Config!$B$28*MAX(0,MIN(100,(1-MIN(1,IF(Config!$B$30=0,1,$P259/Config!$B$30)))*100)) + Config!$B$29*MAX(0,MIN(100,MIN(1,IF($Q259="",0,$Q259)/Config!$B$23)*100)))),MIN(100,Config!$B$27*MAX(0,MIN(100,(1-IF($O259="",0,$O259))*100)) + Config!$B$28*MAX(0,MIN(100,(1-MIN(1,IF(Config!$B$30=0,1,$P259/Config!$B$30)))*100)) + Config!$B$29*MAX(0,MIN(100,MIN(1,IF($Q259="",0,$Q259)/Config!$B$23)*100))))),"")
</f>
        <v/>
      </c>
      <c r="S259" s="40" t="str">
        <f>IF(Bids!$AC259="","",Bids!$AC259)</f>
        <v/>
      </c>
      <c r="T259" s="40" t="str">
        <f>IF(Bids!$F259="","",Bids!$F259)</f>
        <v/>
      </c>
      <c r="U259" s="40" t="str">
        <f t="shared" si="3"/>
        <v/>
      </c>
      <c r="V259" s="40" t="str">
        <f>IF($U259="","",IF(Config!$B$17=Config!$B$16,IF($U259&gt;=Config!$B$17,100,0),MAX(0,MIN(100,($U259-Config!$B$16)/(Config!$B$17-Config!$B$16)*100))))</f>
        <v/>
      </c>
      <c r="W259" s="40">
        <f>IF($L259="Elite",Config!$B$21,0)</f>
        <v>0</v>
      </c>
      <c r="X259" s="40" t="str">
        <f>IFERROR(IF(OR($T259="",$G259=""),"",IF($T259&gt;$G259,
  MAX(0, 60-(($T259-$G259)*24/Config!$B$19)*60),
  MEDIAN(60, 100, 60+(($G259-$T259)*24/Config!$B$20)*40)
)),"")
</f>
        <v/>
      </c>
      <c r="Y259" s="40" t="str">
        <f>IF($J259="","",IFERROR(VLOOKUP($J259,Grinders!$A:$N,10,FALSE),""))</f>
        <v/>
      </c>
      <c r="Z259" s="40" t="str">
        <f>IF($J259="","",IFERROR(VLOOKUP($J259,Grinders!$A:$N,11,FALSE),""))</f>
        <v/>
      </c>
      <c r="AA259" s="40" t="str">
        <f>IF($J259="","",IFERROR(VLOOKUP($J259,Grinders!$A:$N,12,FALSE),""))</f>
        <v/>
      </c>
      <c r="AB259" s="40" t="str">
        <f>IF(OR(AL259=1,AM259=1),0,=IFERROR(IF(OR($C259="",$J259=""),0,IF($D259&lt;&gt;"Open",0,IF(COUNTIFS(GrinderServices!$A:$A,$J259,GrinderServices!$B:$B,$E259,GrinderServices!$D:$D,"Y")=0,0,IF($U259&lt;Config!$B$16,0,IF(Config!$B$18=1,IF($N259&gt;=$M259,0,1),1))))),""))</f>
        <v>#ERROR!</v>
      </c>
      <c r="AC259" s="40" t="str">
        <f>IFERROR((IF(OR(AL259=1,AM259=1),"",=IFERROR((IFERROR(IF($AB259=0,"",((Config!$B$6*$V259 + Config!$B$7*$R259 + Config!$B$8*$W259 + Config!$B$9*$X259 + Config!$B$10*$Y259 + Config!$B$11*$Z259 - Config!$B$12*$AA259)/Config!$B$13)+$AH259+$AI259),""))*(1-IFERROR(VLOOKUP(J259,Grinders!$A:$AB, 28, FALSE),0)),"")))*(1+AO259),"")</f>
        <v>#ERROR!</v>
      </c>
      <c r="AD259" s="40" t="str">
        <f t="shared" si="4"/>
        <v/>
      </c>
      <c r="AE259" s="40" t="str">
        <f>IFERROR(__xludf.DUMMYFUNCTION("IF($AC259="""","""",IF($AC259=IFERROR(MAX(FILTER($AC$6:$AC$1000,$C$6:$C$1000=$C259,$AB$6:$AB$1000=1)),),""WINNER"",""""))"),"#ERROR!")</f>
        <v>#ERROR!</v>
      </c>
      <c r="AF259" s="40" t="str">
        <f t="shared" si="5"/>
        <v/>
      </c>
      <c r="AG259" s="40" t="str">
        <f>IF($J259="","",COUNTIF(Assignments!$B:$B,$J259))</f>
        <v/>
      </c>
      <c r="AH259" s="40" t="str">
        <f>IF($J259="","",IF(AND($AG259=0,$N259&lt;$M259),Config!$B$43,0))</f>
        <v/>
      </c>
      <c r="AI259" s="40" t="str">
        <f>IF($J259="","",IF(AND($L259="Elite",$F259&gt;=Config!$B$41,$N259&lt;$M259),Config!$B$42,0))</f>
        <v/>
      </c>
      <c r="AJ259" s="22"/>
      <c r="AK259" s="39">
        <f>IFERROR(VLOOKUP(J259,Grinders!$A:$Q,28,FALSE),0)</f>
        <v>0</v>
      </c>
      <c r="AL259" s="39">
        <f>IF(Config!$B$1003&lt;&gt;"Y",0,IF(IFERROR(VLOOKUP(J259,Grinders!$A:$P,27,FALSE),0)&gt;=3,IF(OR(F259&gt;=Config!$B$1001,ISNUMBER(SEARCH(E259,Config!$B$1002))),1,0),0))</f>
        <v>0</v>
      </c>
      <c r="AM259" s="39">
        <f t="array" ref="AM259">IFERROR(IF(INDEX(Bids!$AE:$AE,MATCH(B259,Bids!$A:$A,0))="Pending",1,0),0)</f>
        <v>0</v>
      </c>
      <c r="AN259" s="39" t="str">
        <f t="array" ref="AN259">IF(C259="","",IFERROR(XLOOKUP(C259,Assignments!$C:$C,Assignments!$AU:$AU,0),0))</f>
        <v/>
      </c>
      <c r="AO259" s="39">
        <f>IF(AND(Config!$B$1006="Y",AN259=1),Config!$B$1007,0)</f>
        <v>0</v>
      </c>
    </row>
    <row r="260" ht="15.75" customHeight="1">
      <c r="A260" s="46" t="str">
        <f t="shared" si="1"/>
        <v/>
      </c>
      <c r="B260" s="40" t="str">
        <f>IF(Bids!$A260="","",Bids!$A260)</f>
        <v/>
      </c>
      <c r="C260" s="40" t="str">
        <f>IF(Bids!$B260="","",Bids!$B260)</f>
        <v/>
      </c>
      <c r="D260" s="40" t="str">
        <f>IF($C260="","",IFERROR(VLOOKUP($C260,Orders!$A:$J,9,FALSE),""))</f>
        <v/>
      </c>
      <c r="E260" s="40" t="str">
        <f>IF($C260="","",IFERROR(VLOOKUP($C260,Orders!$A:$J,3,FALSE),""))</f>
        <v/>
      </c>
      <c r="F260" s="40" t="str">
        <f>IF($C260="","",IFERROR(VLOOKUP($C260,Orders!$A:$J,4,FALSE),""))</f>
        <v/>
      </c>
      <c r="G260" s="40" t="str">
        <f>IF($C260="","",IFERROR(VLOOKUP($C260,Orders!$A:$J,5,FALSE),""))</f>
        <v/>
      </c>
      <c r="H260" s="40" t="str">
        <f>IF($C260="","",IFERROR(VLOOKUP($C260,Orders!$A:$J,6,FALSE),""))</f>
        <v/>
      </c>
      <c r="I260" s="40" t="str">
        <f>IF($C260="","",IFERROR(VLOOKUP($C260,Orders!$A:$J,7,FALSE),""))</f>
        <v/>
      </c>
      <c r="J260" s="40" t="str">
        <f>IF(Bids!$C260="","",Bids!$C260)</f>
        <v/>
      </c>
      <c r="K260" s="40" t="str">
        <f>IF($J260="","",IFERROR(VLOOKUP($J260,Grinders!$A:$N,2,FALSE),""))</f>
        <v/>
      </c>
      <c r="L260" s="40" t="str">
        <f>IF($J260="","",IFERROR(VLOOKUP($J260,Grinders!$A:$N,3,FALSE),""))</f>
        <v/>
      </c>
      <c r="M260" s="40" t="str">
        <f>IF($J260="","",IFERROR(VLOOKUP($J260,Grinders!$A:$N,4,FALSE),""))</f>
        <v/>
      </c>
      <c r="N260" s="40" t="str">
        <f>IF($J260="","",IFERROR(VLOOKUP($J260,Grinders!$A:$N,5,FALSE),""))</f>
        <v/>
      </c>
      <c r="O260" s="40" t="str">
        <f t="shared" si="2"/>
        <v/>
      </c>
      <c r="P260" s="40" t="str">
        <f>IF($J260="","",IFERROR(VLOOKUP($J260,Grinders!$A:$N,6,FALSE),""))</f>
        <v/>
      </c>
      <c r="Q260" s="40" t="str">
        <f>IF($J260="","",IFERROR(VLOOKUP($J260,Grinders!$A:$N,8,FALSE),""))</f>
        <v/>
      </c>
      <c r="R260" s="40" t="str">
        <f>IFERROR(IF($J260="","",IF($L260="Elite",MAX(50,MIN(100,Config!$B$27*MAX(0,MIN(100,(1-IF($O260="",0,$O260))*100)) + Config!$B$28*MAX(0,MIN(100,(1-MIN(1,IF(Config!$B$30=0,1,$P260/Config!$B$30)))*100)) + Config!$B$29*MAX(0,MIN(100,MIN(1,IF($Q260="",0,$Q260)/Config!$B$23)*100)))),MIN(100,Config!$B$27*MAX(0,MIN(100,(1-IF($O260="",0,$O260))*100)) + Config!$B$28*MAX(0,MIN(100,(1-MIN(1,IF(Config!$B$30=0,1,$P260/Config!$B$30)))*100)) + Config!$B$29*MAX(0,MIN(100,MIN(1,IF($Q260="",0,$Q260)/Config!$B$23)*100))))),"")
</f>
        <v/>
      </c>
      <c r="S260" s="40" t="str">
        <f>IF(Bids!$AC260="","",Bids!$AC260)</f>
        <v/>
      </c>
      <c r="T260" s="40" t="str">
        <f>IF(Bids!$F260="","",Bids!$F260)</f>
        <v/>
      </c>
      <c r="U260" s="40" t="str">
        <f t="shared" si="3"/>
        <v/>
      </c>
      <c r="V260" s="40" t="str">
        <f>IF($U260="","",IF(Config!$B$17=Config!$B$16,IF($U260&gt;=Config!$B$17,100,0),MAX(0,MIN(100,($U260-Config!$B$16)/(Config!$B$17-Config!$B$16)*100))))</f>
        <v/>
      </c>
      <c r="W260" s="40">
        <f>IF($L260="Elite",Config!$B$21,0)</f>
        <v>0</v>
      </c>
      <c r="X260" s="40" t="str">
        <f>IFERROR(IF(OR($T260="",$G260=""),"",IF($T260&gt;$G260,
  MAX(0, 60-(($T260-$G260)*24/Config!$B$19)*60),
  MEDIAN(60, 100, 60+(($G260-$T260)*24/Config!$B$20)*40)
)),"")
</f>
        <v/>
      </c>
      <c r="Y260" s="40" t="str">
        <f>IF($J260="","",IFERROR(VLOOKUP($J260,Grinders!$A:$N,10,FALSE),""))</f>
        <v/>
      </c>
      <c r="Z260" s="40" t="str">
        <f>IF($J260="","",IFERROR(VLOOKUP($J260,Grinders!$A:$N,11,FALSE),""))</f>
        <v/>
      </c>
      <c r="AA260" s="40" t="str">
        <f>IF($J260="","",IFERROR(VLOOKUP($J260,Grinders!$A:$N,12,FALSE),""))</f>
        <v/>
      </c>
      <c r="AB260" s="40" t="str">
        <f>IF(OR(AL260=1,AM260=1),0,=IFERROR(IF(OR($C260="",$J260=""),0,IF($D260&lt;&gt;"Open",0,IF(COUNTIFS(GrinderServices!$A:$A,$J260,GrinderServices!$B:$B,$E260,GrinderServices!$D:$D,"Y")=0,0,IF($U260&lt;Config!$B$16,0,IF(Config!$B$18=1,IF($N260&gt;=$M260,0,1),1))))),""))</f>
        <v>#ERROR!</v>
      </c>
      <c r="AC260" s="40" t="str">
        <f>IFERROR((IF(OR(AL260=1,AM260=1),"",=IFERROR((IFERROR(IF($AB260=0,"",((Config!$B$6*$V260 + Config!$B$7*$R260 + Config!$B$8*$W260 + Config!$B$9*$X260 + Config!$B$10*$Y260 + Config!$B$11*$Z260 - Config!$B$12*$AA260)/Config!$B$13)+$AH260+$AI260),""))*(1-IFERROR(VLOOKUP(J260,Grinders!$A:$AB, 28, FALSE),0)),"")))*(1+AO260),"")</f>
        <v>#ERROR!</v>
      </c>
      <c r="AD260" s="40" t="str">
        <f t="shared" si="4"/>
        <v/>
      </c>
      <c r="AE260" s="40" t="str">
        <f>IFERROR(__xludf.DUMMYFUNCTION("IF($AC260="""","""",IF($AC260=IFERROR(MAX(FILTER($AC$6:$AC$1000,$C$6:$C$1000=$C260,$AB$6:$AB$1000=1)),),""WINNER"",""""))"),"#ERROR!")</f>
        <v>#ERROR!</v>
      </c>
      <c r="AF260" s="40" t="str">
        <f t="shared" si="5"/>
        <v/>
      </c>
      <c r="AG260" s="40" t="str">
        <f>IF($J260="","",COUNTIF(Assignments!$B:$B,$J260))</f>
        <v/>
      </c>
      <c r="AH260" s="40" t="str">
        <f>IF($J260="","",IF(AND($AG260=0,$N260&lt;$M260),Config!$B$43,0))</f>
        <v/>
      </c>
      <c r="AI260" s="40" t="str">
        <f>IF($J260="","",IF(AND($L260="Elite",$F260&gt;=Config!$B$41,$N260&lt;$M260),Config!$B$42,0))</f>
        <v/>
      </c>
      <c r="AJ260" s="22"/>
      <c r="AK260" s="39">
        <f>IFERROR(VLOOKUP(J260,Grinders!$A:$Q,28,FALSE),0)</f>
        <v>0</v>
      </c>
      <c r="AL260" s="39">
        <f>IF(Config!$B$1003&lt;&gt;"Y",0,IF(IFERROR(VLOOKUP(J260,Grinders!$A:$P,27,FALSE),0)&gt;=3,IF(OR(F260&gt;=Config!$B$1001,ISNUMBER(SEARCH(E260,Config!$B$1002))),1,0),0))</f>
        <v>0</v>
      </c>
      <c r="AM260" s="39">
        <f t="array" ref="AM260">IFERROR(IF(INDEX(Bids!$AE:$AE,MATCH(B260,Bids!$A:$A,0))="Pending",1,0),0)</f>
        <v>0</v>
      </c>
      <c r="AN260" s="39" t="str">
        <f t="array" ref="AN260">IF(C260="","",IFERROR(XLOOKUP(C260,Assignments!$C:$C,Assignments!$AU:$AU,0),0))</f>
        <v/>
      </c>
      <c r="AO260" s="39">
        <f>IF(AND(Config!$B$1006="Y",AN260=1),Config!$B$1007,0)</f>
        <v>0</v>
      </c>
    </row>
    <row r="261" ht="15.75" customHeight="1">
      <c r="A261" s="46" t="str">
        <f t="shared" si="1"/>
        <v/>
      </c>
      <c r="B261" s="40" t="str">
        <f>IF(Bids!$A261="","",Bids!$A261)</f>
        <v/>
      </c>
      <c r="C261" s="40" t="str">
        <f>IF(Bids!$B261="","",Bids!$B261)</f>
        <v/>
      </c>
      <c r="D261" s="40" t="str">
        <f>IF($C261="","",IFERROR(VLOOKUP($C261,Orders!$A:$J,9,FALSE),""))</f>
        <v/>
      </c>
      <c r="E261" s="40" t="str">
        <f>IF($C261="","",IFERROR(VLOOKUP($C261,Orders!$A:$J,3,FALSE),""))</f>
        <v/>
      </c>
      <c r="F261" s="40" t="str">
        <f>IF($C261="","",IFERROR(VLOOKUP($C261,Orders!$A:$J,4,FALSE),""))</f>
        <v/>
      </c>
      <c r="G261" s="40" t="str">
        <f>IF($C261="","",IFERROR(VLOOKUP($C261,Orders!$A:$J,5,FALSE),""))</f>
        <v/>
      </c>
      <c r="H261" s="40" t="str">
        <f>IF($C261="","",IFERROR(VLOOKUP($C261,Orders!$A:$J,6,FALSE),""))</f>
        <v/>
      </c>
      <c r="I261" s="40" t="str">
        <f>IF($C261="","",IFERROR(VLOOKUP($C261,Orders!$A:$J,7,FALSE),""))</f>
        <v/>
      </c>
      <c r="J261" s="40" t="str">
        <f>IF(Bids!$C261="","",Bids!$C261)</f>
        <v/>
      </c>
      <c r="K261" s="40" t="str">
        <f>IF($J261="","",IFERROR(VLOOKUP($J261,Grinders!$A:$N,2,FALSE),""))</f>
        <v/>
      </c>
      <c r="L261" s="40" t="str">
        <f>IF($J261="","",IFERROR(VLOOKUP($J261,Grinders!$A:$N,3,FALSE),""))</f>
        <v/>
      </c>
      <c r="M261" s="40" t="str">
        <f>IF($J261="","",IFERROR(VLOOKUP($J261,Grinders!$A:$N,4,FALSE),""))</f>
        <v/>
      </c>
      <c r="N261" s="40" t="str">
        <f>IF($J261="","",IFERROR(VLOOKUP($J261,Grinders!$A:$N,5,FALSE),""))</f>
        <v/>
      </c>
      <c r="O261" s="40" t="str">
        <f t="shared" si="2"/>
        <v/>
      </c>
      <c r="P261" s="40" t="str">
        <f>IF($J261="","",IFERROR(VLOOKUP($J261,Grinders!$A:$N,6,FALSE),""))</f>
        <v/>
      </c>
      <c r="Q261" s="40" t="str">
        <f>IF($J261="","",IFERROR(VLOOKUP($J261,Grinders!$A:$N,8,FALSE),""))</f>
        <v/>
      </c>
      <c r="R261" s="40" t="str">
        <f>IFERROR(IF($J261="","",IF($L261="Elite",MAX(50,MIN(100,Config!$B$27*MAX(0,MIN(100,(1-IF($O261="",0,$O261))*100)) + Config!$B$28*MAX(0,MIN(100,(1-MIN(1,IF(Config!$B$30=0,1,$P261/Config!$B$30)))*100)) + Config!$B$29*MAX(0,MIN(100,MIN(1,IF($Q261="",0,$Q261)/Config!$B$23)*100)))),MIN(100,Config!$B$27*MAX(0,MIN(100,(1-IF($O261="",0,$O261))*100)) + Config!$B$28*MAX(0,MIN(100,(1-MIN(1,IF(Config!$B$30=0,1,$P261/Config!$B$30)))*100)) + Config!$B$29*MAX(0,MIN(100,MIN(1,IF($Q261="",0,$Q261)/Config!$B$23)*100))))),"")
</f>
        <v/>
      </c>
      <c r="S261" s="40" t="str">
        <f>IF(Bids!$AC261="","",Bids!$AC261)</f>
        <v/>
      </c>
      <c r="T261" s="40" t="str">
        <f>IF(Bids!$F261="","",Bids!$F261)</f>
        <v/>
      </c>
      <c r="U261" s="40" t="str">
        <f t="shared" si="3"/>
        <v/>
      </c>
      <c r="V261" s="40" t="str">
        <f>IF($U261="","",IF(Config!$B$17=Config!$B$16,IF($U261&gt;=Config!$B$17,100,0),MAX(0,MIN(100,($U261-Config!$B$16)/(Config!$B$17-Config!$B$16)*100))))</f>
        <v/>
      </c>
      <c r="W261" s="40">
        <f>IF($L261="Elite",Config!$B$21,0)</f>
        <v>0</v>
      </c>
      <c r="X261" s="40" t="str">
        <f>IFERROR(IF(OR($T261="",$G261=""),"",IF($T261&gt;$G261,
  MAX(0, 60-(($T261-$G261)*24/Config!$B$19)*60),
  MEDIAN(60, 100, 60+(($G261-$T261)*24/Config!$B$20)*40)
)),"")
</f>
        <v/>
      </c>
      <c r="Y261" s="40" t="str">
        <f>IF($J261="","",IFERROR(VLOOKUP($J261,Grinders!$A:$N,10,FALSE),""))</f>
        <v/>
      </c>
      <c r="Z261" s="40" t="str">
        <f>IF($J261="","",IFERROR(VLOOKUP($J261,Grinders!$A:$N,11,FALSE),""))</f>
        <v/>
      </c>
      <c r="AA261" s="40" t="str">
        <f>IF($J261="","",IFERROR(VLOOKUP($J261,Grinders!$A:$N,12,FALSE),""))</f>
        <v/>
      </c>
      <c r="AB261" s="40" t="str">
        <f>IF(OR(AL261=1,AM261=1),0,=IFERROR(IF(OR($C261="",$J261=""),0,IF($D261&lt;&gt;"Open",0,IF(COUNTIFS(GrinderServices!$A:$A,$J261,GrinderServices!$B:$B,$E261,GrinderServices!$D:$D,"Y")=0,0,IF($U261&lt;Config!$B$16,0,IF(Config!$B$18=1,IF($N261&gt;=$M261,0,1),1))))),""))</f>
        <v>#ERROR!</v>
      </c>
      <c r="AC261" s="40" t="str">
        <f>IFERROR((IF(OR(AL261=1,AM261=1),"",=IFERROR((IFERROR(IF($AB261=0,"",((Config!$B$6*$V261 + Config!$B$7*$R261 + Config!$B$8*$W261 + Config!$B$9*$X261 + Config!$B$10*$Y261 + Config!$B$11*$Z261 - Config!$B$12*$AA261)/Config!$B$13)+$AH261+$AI261),""))*(1-IFERROR(VLOOKUP(J261,Grinders!$A:$AB, 28, FALSE),0)),"")))*(1+AO261),"")</f>
        <v>#ERROR!</v>
      </c>
      <c r="AD261" s="40" t="str">
        <f t="shared" si="4"/>
        <v/>
      </c>
      <c r="AE261" s="40" t="str">
        <f>IFERROR(__xludf.DUMMYFUNCTION("IF($AC261="""","""",IF($AC261=IFERROR(MAX(FILTER($AC$6:$AC$1000,$C$6:$C$1000=$C261,$AB$6:$AB$1000=1)),),""WINNER"",""""))"),"#ERROR!")</f>
        <v>#ERROR!</v>
      </c>
      <c r="AF261" s="40" t="str">
        <f t="shared" si="5"/>
        <v/>
      </c>
      <c r="AG261" s="40" t="str">
        <f>IF($J261="","",COUNTIF(Assignments!$B:$B,$J261))</f>
        <v/>
      </c>
      <c r="AH261" s="40" t="str">
        <f>IF($J261="","",IF(AND($AG261=0,$N261&lt;$M261),Config!$B$43,0))</f>
        <v/>
      </c>
      <c r="AI261" s="40" t="str">
        <f>IF($J261="","",IF(AND($L261="Elite",$F261&gt;=Config!$B$41,$N261&lt;$M261),Config!$B$42,0))</f>
        <v/>
      </c>
      <c r="AJ261" s="22"/>
      <c r="AK261" s="39">
        <f>IFERROR(VLOOKUP(J261,Grinders!$A:$Q,28,FALSE),0)</f>
        <v>0</v>
      </c>
      <c r="AL261" s="39">
        <f>IF(Config!$B$1003&lt;&gt;"Y",0,IF(IFERROR(VLOOKUP(J261,Grinders!$A:$P,27,FALSE),0)&gt;=3,IF(OR(F261&gt;=Config!$B$1001,ISNUMBER(SEARCH(E261,Config!$B$1002))),1,0),0))</f>
        <v>0</v>
      </c>
      <c r="AM261" s="39">
        <f t="array" ref="AM261">IFERROR(IF(INDEX(Bids!$AE:$AE,MATCH(B261,Bids!$A:$A,0))="Pending",1,0),0)</f>
        <v>0</v>
      </c>
      <c r="AN261" s="39" t="str">
        <f t="array" ref="AN261">IF(C261="","",IFERROR(XLOOKUP(C261,Assignments!$C:$C,Assignments!$AU:$AU,0),0))</f>
        <v/>
      </c>
      <c r="AO261" s="39">
        <f>IF(AND(Config!$B$1006="Y",AN261=1),Config!$B$1007,0)</f>
        <v>0</v>
      </c>
    </row>
    <row r="262" ht="15.75" customHeight="1">
      <c r="A262" s="46" t="str">
        <f t="shared" si="1"/>
        <v/>
      </c>
      <c r="B262" s="40" t="str">
        <f>IF(Bids!$A262="","",Bids!$A262)</f>
        <v/>
      </c>
      <c r="C262" s="40" t="str">
        <f>IF(Bids!$B262="","",Bids!$B262)</f>
        <v/>
      </c>
      <c r="D262" s="40" t="str">
        <f>IF($C262="","",IFERROR(VLOOKUP($C262,Orders!$A:$J,9,FALSE),""))</f>
        <v/>
      </c>
      <c r="E262" s="40" t="str">
        <f>IF($C262="","",IFERROR(VLOOKUP($C262,Orders!$A:$J,3,FALSE),""))</f>
        <v/>
      </c>
      <c r="F262" s="40" t="str">
        <f>IF($C262="","",IFERROR(VLOOKUP($C262,Orders!$A:$J,4,FALSE),""))</f>
        <v/>
      </c>
      <c r="G262" s="40" t="str">
        <f>IF($C262="","",IFERROR(VLOOKUP($C262,Orders!$A:$J,5,FALSE),""))</f>
        <v/>
      </c>
      <c r="H262" s="40" t="str">
        <f>IF($C262="","",IFERROR(VLOOKUP($C262,Orders!$A:$J,6,FALSE),""))</f>
        <v/>
      </c>
      <c r="I262" s="40" t="str">
        <f>IF($C262="","",IFERROR(VLOOKUP($C262,Orders!$A:$J,7,FALSE),""))</f>
        <v/>
      </c>
      <c r="J262" s="40" t="str">
        <f>IF(Bids!$C262="","",Bids!$C262)</f>
        <v/>
      </c>
      <c r="K262" s="40" t="str">
        <f>IF($J262="","",IFERROR(VLOOKUP($J262,Grinders!$A:$N,2,FALSE),""))</f>
        <v/>
      </c>
      <c r="L262" s="40" t="str">
        <f>IF($J262="","",IFERROR(VLOOKUP($J262,Grinders!$A:$N,3,FALSE),""))</f>
        <v/>
      </c>
      <c r="M262" s="40" t="str">
        <f>IF($J262="","",IFERROR(VLOOKUP($J262,Grinders!$A:$N,4,FALSE),""))</f>
        <v/>
      </c>
      <c r="N262" s="40" t="str">
        <f>IF($J262="","",IFERROR(VLOOKUP($J262,Grinders!$A:$N,5,FALSE),""))</f>
        <v/>
      </c>
      <c r="O262" s="40" t="str">
        <f t="shared" si="2"/>
        <v/>
      </c>
      <c r="P262" s="40" t="str">
        <f>IF($J262="","",IFERROR(VLOOKUP($J262,Grinders!$A:$N,6,FALSE),""))</f>
        <v/>
      </c>
      <c r="Q262" s="40" t="str">
        <f>IF($J262="","",IFERROR(VLOOKUP($J262,Grinders!$A:$N,8,FALSE),""))</f>
        <v/>
      </c>
      <c r="R262" s="40" t="str">
        <f>IFERROR(IF($J262="","",IF($L262="Elite",MAX(50,MIN(100,Config!$B$27*MAX(0,MIN(100,(1-IF($O262="",0,$O262))*100)) + Config!$B$28*MAX(0,MIN(100,(1-MIN(1,IF(Config!$B$30=0,1,$P262/Config!$B$30)))*100)) + Config!$B$29*MAX(0,MIN(100,MIN(1,IF($Q262="",0,$Q262)/Config!$B$23)*100)))),MIN(100,Config!$B$27*MAX(0,MIN(100,(1-IF($O262="",0,$O262))*100)) + Config!$B$28*MAX(0,MIN(100,(1-MIN(1,IF(Config!$B$30=0,1,$P262/Config!$B$30)))*100)) + Config!$B$29*MAX(0,MIN(100,MIN(1,IF($Q262="",0,$Q262)/Config!$B$23)*100))))),"")
</f>
        <v/>
      </c>
      <c r="S262" s="40" t="str">
        <f>IF(Bids!$AC262="","",Bids!$AC262)</f>
        <v/>
      </c>
      <c r="T262" s="40" t="str">
        <f>IF(Bids!$F262="","",Bids!$F262)</f>
        <v/>
      </c>
      <c r="U262" s="40" t="str">
        <f t="shared" si="3"/>
        <v/>
      </c>
      <c r="V262" s="40" t="str">
        <f>IF($U262="","",IF(Config!$B$17=Config!$B$16,IF($U262&gt;=Config!$B$17,100,0),MAX(0,MIN(100,($U262-Config!$B$16)/(Config!$B$17-Config!$B$16)*100))))</f>
        <v/>
      </c>
      <c r="W262" s="40">
        <f>IF($L262="Elite",Config!$B$21,0)</f>
        <v>0</v>
      </c>
      <c r="X262" s="40" t="str">
        <f>IFERROR(IF(OR($T262="",$G262=""),"",IF($T262&gt;$G262,
  MAX(0, 60-(($T262-$G262)*24/Config!$B$19)*60),
  MEDIAN(60, 100, 60+(($G262-$T262)*24/Config!$B$20)*40)
)),"")
</f>
        <v/>
      </c>
      <c r="Y262" s="40" t="str">
        <f>IF($J262="","",IFERROR(VLOOKUP($J262,Grinders!$A:$N,10,FALSE),""))</f>
        <v/>
      </c>
      <c r="Z262" s="40" t="str">
        <f>IF($J262="","",IFERROR(VLOOKUP($J262,Grinders!$A:$N,11,FALSE),""))</f>
        <v/>
      </c>
      <c r="AA262" s="40" t="str">
        <f>IF($J262="","",IFERROR(VLOOKUP($J262,Grinders!$A:$N,12,FALSE),""))</f>
        <v/>
      </c>
      <c r="AB262" s="40" t="str">
        <f>IF(OR(AL262=1,AM262=1),0,=IFERROR(IF(OR($C262="",$J262=""),0,IF($D262&lt;&gt;"Open",0,IF(COUNTIFS(GrinderServices!$A:$A,$J262,GrinderServices!$B:$B,$E262,GrinderServices!$D:$D,"Y")=0,0,IF($U262&lt;Config!$B$16,0,IF(Config!$B$18=1,IF($N262&gt;=$M262,0,1),1))))),""))</f>
        <v>#ERROR!</v>
      </c>
      <c r="AC262" s="40" t="str">
        <f>IFERROR((IF(OR(AL262=1,AM262=1),"",=IFERROR((IFERROR(IF($AB262=0,"",((Config!$B$6*$V262 + Config!$B$7*$R262 + Config!$B$8*$W262 + Config!$B$9*$X262 + Config!$B$10*$Y262 + Config!$B$11*$Z262 - Config!$B$12*$AA262)/Config!$B$13)+$AH262+$AI262),""))*(1-IFERROR(VLOOKUP(J262,Grinders!$A:$AB, 28, FALSE),0)),"")))*(1+AO262),"")</f>
        <v>#ERROR!</v>
      </c>
      <c r="AD262" s="40" t="str">
        <f t="shared" si="4"/>
        <v/>
      </c>
      <c r="AE262" s="40" t="str">
        <f>IFERROR(__xludf.DUMMYFUNCTION("IF($AC262="""","""",IF($AC262=IFERROR(MAX(FILTER($AC$6:$AC$1000,$C$6:$C$1000=$C262,$AB$6:$AB$1000=1)),),""WINNER"",""""))"),"#ERROR!")</f>
        <v>#ERROR!</v>
      </c>
      <c r="AF262" s="40" t="str">
        <f t="shared" si="5"/>
        <v/>
      </c>
      <c r="AG262" s="40" t="str">
        <f>IF($J262="","",COUNTIF(Assignments!$B:$B,$J262))</f>
        <v/>
      </c>
      <c r="AH262" s="40" t="str">
        <f>IF($J262="","",IF(AND($AG262=0,$N262&lt;$M262),Config!$B$43,0))</f>
        <v/>
      </c>
      <c r="AI262" s="40" t="str">
        <f>IF($J262="","",IF(AND($L262="Elite",$F262&gt;=Config!$B$41,$N262&lt;$M262),Config!$B$42,0))</f>
        <v/>
      </c>
      <c r="AJ262" s="22"/>
      <c r="AK262" s="39">
        <f>IFERROR(VLOOKUP(J262,Grinders!$A:$Q,28,FALSE),0)</f>
        <v>0</v>
      </c>
      <c r="AL262" s="39">
        <f>IF(Config!$B$1003&lt;&gt;"Y",0,IF(IFERROR(VLOOKUP(J262,Grinders!$A:$P,27,FALSE),0)&gt;=3,IF(OR(F262&gt;=Config!$B$1001,ISNUMBER(SEARCH(E262,Config!$B$1002))),1,0),0))</f>
        <v>0</v>
      </c>
      <c r="AM262" s="39">
        <f t="array" ref="AM262">IFERROR(IF(INDEX(Bids!$AE:$AE,MATCH(B262,Bids!$A:$A,0))="Pending",1,0),0)</f>
        <v>0</v>
      </c>
      <c r="AN262" s="39" t="str">
        <f t="array" ref="AN262">IF(C262="","",IFERROR(XLOOKUP(C262,Assignments!$C:$C,Assignments!$AU:$AU,0),0))</f>
        <v/>
      </c>
      <c r="AO262" s="39">
        <f>IF(AND(Config!$B$1006="Y",AN262=1),Config!$B$1007,0)</f>
        <v>0</v>
      </c>
    </row>
    <row r="263" ht="15.75" customHeight="1">
      <c r="A263" s="46" t="str">
        <f t="shared" si="1"/>
        <v/>
      </c>
      <c r="B263" s="40" t="str">
        <f>IF(Bids!$A263="","",Bids!$A263)</f>
        <v/>
      </c>
      <c r="C263" s="40" t="str">
        <f>IF(Bids!$B263="","",Bids!$B263)</f>
        <v/>
      </c>
      <c r="D263" s="40" t="str">
        <f>IF($C263="","",IFERROR(VLOOKUP($C263,Orders!$A:$J,9,FALSE),""))</f>
        <v/>
      </c>
      <c r="E263" s="40" t="str">
        <f>IF($C263="","",IFERROR(VLOOKUP($C263,Orders!$A:$J,3,FALSE),""))</f>
        <v/>
      </c>
      <c r="F263" s="40" t="str">
        <f>IF($C263="","",IFERROR(VLOOKUP($C263,Orders!$A:$J,4,FALSE),""))</f>
        <v/>
      </c>
      <c r="G263" s="40" t="str">
        <f>IF($C263="","",IFERROR(VLOOKUP($C263,Orders!$A:$J,5,FALSE),""))</f>
        <v/>
      </c>
      <c r="H263" s="40" t="str">
        <f>IF($C263="","",IFERROR(VLOOKUP($C263,Orders!$A:$J,6,FALSE),""))</f>
        <v/>
      </c>
      <c r="I263" s="40" t="str">
        <f>IF($C263="","",IFERROR(VLOOKUP($C263,Orders!$A:$J,7,FALSE),""))</f>
        <v/>
      </c>
      <c r="J263" s="40" t="str">
        <f>IF(Bids!$C263="","",Bids!$C263)</f>
        <v/>
      </c>
      <c r="K263" s="40" t="str">
        <f>IF($J263="","",IFERROR(VLOOKUP($J263,Grinders!$A:$N,2,FALSE),""))</f>
        <v/>
      </c>
      <c r="L263" s="40" t="str">
        <f>IF($J263="","",IFERROR(VLOOKUP($J263,Grinders!$A:$N,3,FALSE),""))</f>
        <v/>
      </c>
      <c r="M263" s="40" t="str">
        <f>IF($J263="","",IFERROR(VLOOKUP($J263,Grinders!$A:$N,4,FALSE),""))</f>
        <v/>
      </c>
      <c r="N263" s="40" t="str">
        <f>IF($J263="","",IFERROR(VLOOKUP($J263,Grinders!$A:$N,5,FALSE),""))</f>
        <v/>
      </c>
      <c r="O263" s="40" t="str">
        <f t="shared" si="2"/>
        <v/>
      </c>
      <c r="P263" s="40" t="str">
        <f>IF($J263="","",IFERROR(VLOOKUP($J263,Grinders!$A:$N,6,FALSE),""))</f>
        <v/>
      </c>
      <c r="Q263" s="40" t="str">
        <f>IF($J263="","",IFERROR(VLOOKUP($J263,Grinders!$A:$N,8,FALSE),""))</f>
        <v/>
      </c>
      <c r="R263" s="40" t="str">
        <f>IFERROR(IF($J263="","",IF($L263="Elite",MAX(50,MIN(100,Config!$B$27*MAX(0,MIN(100,(1-IF($O263="",0,$O263))*100)) + Config!$B$28*MAX(0,MIN(100,(1-MIN(1,IF(Config!$B$30=0,1,$P263/Config!$B$30)))*100)) + Config!$B$29*MAX(0,MIN(100,MIN(1,IF($Q263="",0,$Q263)/Config!$B$23)*100)))),MIN(100,Config!$B$27*MAX(0,MIN(100,(1-IF($O263="",0,$O263))*100)) + Config!$B$28*MAX(0,MIN(100,(1-MIN(1,IF(Config!$B$30=0,1,$P263/Config!$B$30)))*100)) + Config!$B$29*MAX(0,MIN(100,MIN(1,IF($Q263="",0,$Q263)/Config!$B$23)*100))))),"")
</f>
        <v/>
      </c>
      <c r="S263" s="40" t="str">
        <f>IF(Bids!$AC263="","",Bids!$AC263)</f>
        <v/>
      </c>
      <c r="T263" s="40" t="str">
        <f>IF(Bids!$F263="","",Bids!$F263)</f>
        <v/>
      </c>
      <c r="U263" s="40" t="str">
        <f t="shared" si="3"/>
        <v/>
      </c>
      <c r="V263" s="40" t="str">
        <f>IF($U263="","",IF(Config!$B$17=Config!$B$16,IF($U263&gt;=Config!$B$17,100,0),MAX(0,MIN(100,($U263-Config!$B$16)/(Config!$B$17-Config!$B$16)*100))))</f>
        <v/>
      </c>
      <c r="W263" s="40">
        <f>IF($L263="Elite",Config!$B$21,0)</f>
        <v>0</v>
      </c>
      <c r="X263" s="40" t="str">
        <f>IFERROR(IF(OR($T263="",$G263=""),"",IF($T263&gt;$G263,
  MAX(0, 60-(($T263-$G263)*24/Config!$B$19)*60),
  MEDIAN(60, 100, 60+(($G263-$T263)*24/Config!$B$20)*40)
)),"")
</f>
        <v/>
      </c>
      <c r="Y263" s="40" t="str">
        <f>IF($J263="","",IFERROR(VLOOKUP($J263,Grinders!$A:$N,10,FALSE),""))</f>
        <v/>
      </c>
      <c r="Z263" s="40" t="str">
        <f>IF($J263="","",IFERROR(VLOOKUP($J263,Grinders!$A:$N,11,FALSE),""))</f>
        <v/>
      </c>
      <c r="AA263" s="40" t="str">
        <f>IF($J263="","",IFERROR(VLOOKUP($J263,Grinders!$A:$N,12,FALSE),""))</f>
        <v/>
      </c>
      <c r="AB263" s="40" t="str">
        <f>IF(OR(AL263=1,AM263=1),0,=IFERROR(IF(OR($C263="",$J263=""),0,IF($D263&lt;&gt;"Open",0,IF(COUNTIFS(GrinderServices!$A:$A,$J263,GrinderServices!$B:$B,$E263,GrinderServices!$D:$D,"Y")=0,0,IF($U263&lt;Config!$B$16,0,IF(Config!$B$18=1,IF($N263&gt;=$M263,0,1),1))))),""))</f>
        <v>#ERROR!</v>
      </c>
      <c r="AC263" s="40" t="str">
        <f>IFERROR((IF(OR(AL263=1,AM263=1),"",=IFERROR((IFERROR(IF($AB263=0,"",((Config!$B$6*$V263 + Config!$B$7*$R263 + Config!$B$8*$W263 + Config!$B$9*$X263 + Config!$B$10*$Y263 + Config!$B$11*$Z263 - Config!$B$12*$AA263)/Config!$B$13)+$AH263+$AI263),""))*(1-IFERROR(VLOOKUP(J263,Grinders!$A:$AB, 28, FALSE),0)),"")))*(1+AO263),"")</f>
        <v>#ERROR!</v>
      </c>
      <c r="AD263" s="40" t="str">
        <f t="shared" si="4"/>
        <v/>
      </c>
      <c r="AE263" s="40" t="str">
        <f>IFERROR(__xludf.DUMMYFUNCTION("IF($AC263="""","""",IF($AC263=IFERROR(MAX(FILTER($AC$6:$AC$1000,$C$6:$C$1000=$C263,$AB$6:$AB$1000=1)),),""WINNER"",""""))"),"#ERROR!")</f>
        <v>#ERROR!</v>
      </c>
      <c r="AF263" s="40" t="str">
        <f t="shared" si="5"/>
        <v/>
      </c>
      <c r="AG263" s="40" t="str">
        <f>IF($J263="","",COUNTIF(Assignments!$B:$B,$J263))</f>
        <v/>
      </c>
      <c r="AH263" s="40" t="str">
        <f>IF($J263="","",IF(AND($AG263=0,$N263&lt;$M263),Config!$B$43,0))</f>
        <v/>
      </c>
      <c r="AI263" s="40" t="str">
        <f>IF($J263="","",IF(AND($L263="Elite",$F263&gt;=Config!$B$41,$N263&lt;$M263),Config!$B$42,0))</f>
        <v/>
      </c>
      <c r="AJ263" s="22"/>
      <c r="AK263" s="39">
        <f>IFERROR(VLOOKUP(J263,Grinders!$A:$Q,28,FALSE),0)</f>
        <v>0</v>
      </c>
      <c r="AL263" s="39">
        <f>IF(Config!$B$1003&lt;&gt;"Y",0,IF(IFERROR(VLOOKUP(J263,Grinders!$A:$P,27,FALSE),0)&gt;=3,IF(OR(F263&gt;=Config!$B$1001,ISNUMBER(SEARCH(E263,Config!$B$1002))),1,0),0))</f>
        <v>0</v>
      </c>
      <c r="AM263" s="39">
        <f t="array" ref="AM263">IFERROR(IF(INDEX(Bids!$AE:$AE,MATCH(B263,Bids!$A:$A,0))="Pending",1,0),0)</f>
        <v>0</v>
      </c>
      <c r="AN263" s="39" t="str">
        <f t="array" ref="AN263">IF(C263="","",IFERROR(XLOOKUP(C263,Assignments!$C:$C,Assignments!$AU:$AU,0),0))</f>
        <v/>
      </c>
      <c r="AO263" s="39">
        <f>IF(AND(Config!$B$1006="Y",AN263=1),Config!$B$1007,0)</f>
        <v>0</v>
      </c>
    </row>
    <row r="264" ht="15.75" customHeight="1">
      <c r="A264" s="46" t="str">
        <f t="shared" si="1"/>
        <v/>
      </c>
      <c r="B264" s="40" t="str">
        <f>IF(Bids!$A264="","",Bids!$A264)</f>
        <v/>
      </c>
      <c r="C264" s="40" t="str">
        <f>IF(Bids!$B264="","",Bids!$B264)</f>
        <v/>
      </c>
      <c r="D264" s="40" t="str">
        <f>IF($C264="","",IFERROR(VLOOKUP($C264,Orders!$A:$J,9,FALSE),""))</f>
        <v/>
      </c>
      <c r="E264" s="40" t="str">
        <f>IF($C264="","",IFERROR(VLOOKUP($C264,Orders!$A:$J,3,FALSE),""))</f>
        <v/>
      </c>
      <c r="F264" s="40" t="str">
        <f>IF($C264="","",IFERROR(VLOOKUP($C264,Orders!$A:$J,4,FALSE),""))</f>
        <v/>
      </c>
      <c r="G264" s="40" t="str">
        <f>IF($C264="","",IFERROR(VLOOKUP($C264,Orders!$A:$J,5,FALSE),""))</f>
        <v/>
      </c>
      <c r="H264" s="40" t="str">
        <f>IF($C264="","",IFERROR(VLOOKUP($C264,Orders!$A:$J,6,FALSE),""))</f>
        <v/>
      </c>
      <c r="I264" s="40" t="str">
        <f>IF($C264="","",IFERROR(VLOOKUP($C264,Orders!$A:$J,7,FALSE),""))</f>
        <v/>
      </c>
      <c r="J264" s="40" t="str">
        <f>IF(Bids!$C264="","",Bids!$C264)</f>
        <v/>
      </c>
      <c r="K264" s="40" t="str">
        <f>IF($J264="","",IFERROR(VLOOKUP($J264,Grinders!$A:$N,2,FALSE),""))</f>
        <v/>
      </c>
      <c r="L264" s="40" t="str">
        <f>IF($J264="","",IFERROR(VLOOKUP($J264,Grinders!$A:$N,3,FALSE),""))</f>
        <v/>
      </c>
      <c r="M264" s="40" t="str">
        <f>IF($J264="","",IFERROR(VLOOKUP($J264,Grinders!$A:$N,4,FALSE),""))</f>
        <v/>
      </c>
      <c r="N264" s="40" t="str">
        <f>IF($J264="","",IFERROR(VLOOKUP($J264,Grinders!$A:$N,5,FALSE),""))</f>
        <v/>
      </c>
      <c r="O264" s="40" t="str">
        <f t="shared" si="2"/>
        <v/>
      </c>
      <c r="P264" s="40" t="str">
        <f>IF($J264="","",IFERROR(VLOOKUP($J264,Grinders!$A:$N,6,FALSE),""))</f>
        <v/>
      </c>
      <c r="Q264" s="40" t="str">
        <f>IF($J264="","",IFERROR(VLOOKUP($J264,Grinders!$A:$N,8,FALSE),""))</f>
        <v/>
      </c>
      <c r="R264" s="40" t="str">
        <f>IFERROR(IF($J264="","",IF($L264="Elite",MAX(50,MIN(100,Config!$B$27*MAX(0,MIN(100,(1-IF($O264="",0,$O264))*100)) + Config!$B$28*MAX(0,MIN(100,(1-MIN(1,IF(Config!$B$30=0,1,$P264/Config!$B$30)))*100)) + Config!$B$29*MAX(0,MIN(100,MIN(1,IF($Q264="",0,$Q264)/Config!$B$23)*100)))),MIN(100,Config!$B$27*MAX(0,MIN(100,(1-IF($O264="",0,$O264))*100)) + Config!$B$28*MAX(0,MIN(100,(1-MIN(1,IF(Config!$B$30=0,1,$P264/Config!$B$30)))*100)) + Config!$B$29*MAX(0,MIN(100,MIN(1,IF($Q264="",0,$Q264)/Config!$B$23)*100))))),"")
</f>
        <v/>
      </c>
      <c r="S264" s="40" t="str">
        <f>IF(Bids!$AC264="","",Bids!$AC264)</f>
        <v/>
      </c>
      <c r="T264" s="40" t="str">
        <f>IF(Bids!$F264="","",Bids!$F264)</f>
        <v/>
      </c>
      <c r="U264" s="40" t="str">
        <f t="shared" si="3"/>
        <v/>
      </c>
      <c r="V264" s="40" t="str">
        <f>IF($U264="","",IF(Config!$B$17=Config!$B$16,IF($U264&gt;=Config!$B$17,100,0),MAX(0,MIN(100,($U264-Config!$B$16)/(Config!$B$17-Config!$B$16)*100))))</f>
        <v/>
      </c>
      <c r="W264" s="40">
        <f>IF($L264="Elite",Config!$B$21,0)</f>
        <v>0</v>
      </c>
      <c r="X264" s="40" t="str">
        <f>IFERROR(IF(OR($T264="",$G264=""),"",IF($T264&gt;$G264,
  MAX(0, 60-(($T264-$G264)*24/Config!$B$19)*60),
  MEDIAN(60, 100, 60+(($G264-$T264)*24/Config!$B$20)*40)
)),"")
</f>
        <v/>
      </c>
      <c r="Y264" s="40" t="str">
        <f>IF($J264="","",IFERROR(VLOOKUP($J264,Grinders!$A:$N,10,FALSE),""))</f>
        <v/>
      </c>
      <c r="Z264" s="40" t="str">
        <f>IF($J264="","",IFERROR(VLOOKUP($J264,Grinders!$A:$N,11,FALSE),""))</f>
        <v/>
      </c>
      <c r="AA264" s="40" t="str">
        <f>IF($J264="","",IFERROR(VLOOKUP($J264,Grinders!$A:$N,12,FALSE),""))</f>
        <v/>
      </c>
      <c r="AB264" s="40" t="str">
        <f>IF(OR(AL264=1,AM264=1),0,=IFERROR(IF(OR($C264="",$J264=""),0,IF($D264&lt;&gt;"Open",0,IF(COUNTIFS(GrinderServices!$A:$A,$J264,GrinderServices!$B:$B,$E264,GrinderServices!$D:$D,"Y")=0,0,IF($U264&lt;Config!$B$16,0,IF(Config!$B$18=1,IF($N264&gt;=$M264,0,1),1))))),""))</f>
        <v>#ERROR!</v>
      </c>
      <c r="AC264" s="40" t="str">
        <f>IFERROR((IF(OR(AL264=1,AM264=1),"",=IFERROR((IFERROR(IF($AB264=0,"",((Config!$B$6*$V264 + Config!$B$7*$R264 + Config!$B$8*$W264 + Config!$B$9*$X264 + Config!$B$10*$Y264 + Config!$B$11*$Z264 - Config!$B$12*$AA264)/Config!$B$13)+$AH264+$AI264),""))*(1-IFERROR(VLOOKUP(J264,Grinders!$A:$AB, 28, FALSE),0)),"")))*(1+AO264),"")</f>
        <v>#ERROR!</v>
      </c>
      <c r="AD264" s="40" t="str">
        <f t="shared" si="4"/>
        <v/>
      </c>
      <c r="AE264" s="40" t="str">
        <f>IFERROR(__xludf.DUMMYFUNCTION("IF($AC264="""","""",IF($AC264=IFERROR(MAX(FILTER($AC$6:$AC$1000,$C$6:$C$1000=$C264,$AB$6:$AB$1000=1)),),""WINNER"",""""))"),"#ERROR!")</f>
        <v>#ERROR!</v>
      </c>
      <c r="AF264" s="40" t="str">
        <f t="shared" si="5"/>
        <v/>
      </c>
      <c r="AG264" s="40" t="str">
        <f>IF($J264="","",COUNTIF(Assignments!$B:$B,$J264))</f>
        <v/>
      </c>
      <c r="AH264" s="40" t="str">
        <f>IF($J264="","",IF(AND($AG264=0,$N264&lt;$M264),Config!$B$43,0))</f>
        <v/>
      </c>
      <c r="AI264" s="40" t="str">
        <f>IF($J264="","",IF(AND($L264="Elite",$F264&gt;=Config!$B$41,$N264&lt;$M264),Config!$B$42,0))</f>
        <v/>
      </c>
      <c r="AJ264" s="22"/>
      <c r="AK264" s="39">
        <f>IFERROR(VLOOKUP(J264,Grinders!$A:$Q,28,FALSE),0)</f>
        <v>0</v>
      </c>
      <c r="AL264" s="39">
        <f>IF(Config!$B$1003&lt;&gt;"Y",0,IF(IFERROR(VLOOKUP(J264,Grinders!$A:$P,27,FALSE),0)&gt;=3,IF(OR(F264&gt;=Config!$B$1001,ISNUMBER(SEARCH(E264,Config!$B$1002))),1,0),0))</f>
        <v>0</v>
      </c>
      <c r="AM264" s="39">
        <f t="array" ref="AM264">IFERROR(IF(INDEX(Bids!$AE:$AE,MATCH(B264,Bids!$A:$A,0))="Pending",1,0),0)</f>
        <v>0</v>
      </c>
      <c r="AN264" s="39" t="str">
        <f t="array" ref="AN264">IF(C264="","",IFERROR(XLOOKUP(C264,Assignments!$C:$C,Assignments!$AU:$AU,0),0))</f>
        <v/>
      </c>
      <c r="AO264" s="39">
        <f>IF(AND(Config!$B$1006="Y",AN264=1),Config!$B$1007,0)</f>
        <v>0</v>
      </c>
    </row>
    <row r="265" ht="15.75" customHeight="1">
      <c r="A265" s="46" t="str">
        <f t="shared" si="1"/>
        <v/>
      </c>
      <c r="B265" s="40" t="str">
        <f>IF(Bids!$A265="","",Bids!$A265)</f>
        <v/>
      </c>
      <c r="C265" s="40" t="str">
        <f>IF(Bids!$B265="","",Bids!$B265)</f>
        <v/>
      </c>
      <c r="D265" s="40" t="str">
        <f>IF($C265="","",IFERROR(VLOOKUP($C265,Orders!$A:$J,9,FALSE),""))</f>
        <v/>
      </c>
      <c r="E265" s="40" t="str">
        <f>IF($C265="","",IFERROR(VLOOKUP($C265,Orders!$A:$J,3,FALSE),""))</f>
        <v/>
      </c>
      <c r="F265" s="40" t="str">
        <f>IF($C265="","",IFERROR(VLOOKUP($C265,Orders!$A:$J,4,FALSE),""))</f>
        <v/>
      </c>
      <c r="G265" s="40" t="str">
        <f>IF($C265="","",IFERROR(VLOOKUP($C265,Orders!$A:$J,5,FALSE),""))</f>
        <v/>
      </c>
      <c r="H265" s="40" t="str">
        <f>IF($C265="","",IFERROR(VLOOKUP($C265,Orders!$A:$J,6,FALSE),""))</f>
        <v/>
      </c>
      <c r="I265" s="40" t="str">
        <f>IF($C265="","",IFERROR(VLOOKUP($C265,Orders!$A:$J,7,FALSE),""))</f>
        <v/>
      </c>
      <c r="J265" s="40" t="str">
        <f>IF(Bids!$C265="","",Bids!$C265)</f>
        <v/>
      </c>
      <c r="K265" s="40" t="str">
        <f>IF($J265="","",IFERROR(VLOOKUP($J265,Grinders!$A:$N,2,FALSE),""))</f>
        <v/>
      </c>
      <c r="L265" s="40" t="str">
        <f>IF($J265="","",IFERROR(VLOOKUP($J265,Grinders!$A:$N,3,FALSE),""))</f>
        <v/>
      </c>
      <c r="M265" s="40" t="str">
        <f>IF($J265="","",IFERROR(VLOOKUP($J265,Grinders!$A:$N,4,FALSE),""))</f>
        <v/>
      </c>
      <c r="N265" s="40" t="str">
        <f>IF($J265="","",IFERROR(VLOOKUP($J265,Grinders!$A:$N,5,FALSE),""))</f>
        <v/>
      </c>
      <c r="O265" s="40" t="str">
        <f t="shared" si="2"/>
        <v/>
      </c>
      <c r="P265" s="40" t="str">
        <f>IF($J265="","",IFERROR(VLOOKUP($J265,Grinders!$A:$N,6,FALSE),""))</f>
        <v/>
      </c>
      <c r="Q265" s="40" t="str">
        <f>IF($J265="","",IFERROR(VLOOKUP($J265,Grinders!$A:$N,8,FALSE),""))</f>
        <v/>
      </c>
      <c r="R265" s="40" t="str">
        <f>IFERROR(IF($J265="","",IF($L265="Elite",MAX(50,MIN(100,Config!$B$27*MAX(0,MIN(100,(1-IF($O265="",0,$O265))*100)) + Config!$B$28*MAX(0,MIN(100,(1-MIN(1,IF(Config!$B$30=0,1,$P265/Config!$B$30)))*100)) + Config!$B$29*MAX(0,MIN(100,MIN(1,IF($Q265="",0,$Q265)/Config!$B$23)*100)))),MIN(100,Config!$B$27*MAX(0,MIN(100,(1-IF($O265="",0,$O265))*100)) + Config!$B$28*MAX(0,MIN(100,(1-MIN(1,IF(Config!$B$30=0,1,$P265/Config!$B$30)))*100)) + Config!$B$29*MAX(0,MIN(100,MIN(1,IF($Q265="",0,$Q265)/Config!$B$23)*100))))),"")
</f>
        <v/>
      </c>
      <c r="S265" s="40" t="str">
        <f>IF(Bids!$AC265="","",Bids!$AC265)</f>
        <v/>
      </c>
      <c r="T265" s="40" t="str">
        <f>IF(Bids!$F265="","",Bids!$F265)</f>
        <v/>
      </c>
      <c r="U265" s="40" t="str">
        <f t="shared" si="3"/>
        <v/>
      </c>
      <c r="V265" s="40" t="str">
        <f>IF($U265="","",IF(Config!$B$17=Config!$B$16,IF($U265&gt;=Config!$B$17,100,0),MAX(0,MIN(100,($U265-Config!$B$16)/(Config!$B$17-Config!$B$16)*100))))</f>
        <v/>
      </c>
      <c r="W265" s="40">
        <f>IF($L265="Elite",Config!$B$21,0)</f>
        <v>0</v>
      </c>
      <c r="X265" s="40" t="str">
        <f>IFERROR(IF(OR($T265="",$G265=""),"",IF($T265&gt;$G265,
  MAX(0, 60-(($T265-$G265)*24/Config!$B$19)*60),
  MEDIAN(60, 100, 60+(($G265-$T265)*24/Config!$B$20)*40)
)),"")
</f>
        <v/>
      </c>
      <c r="Y265" s="40" t="str">
        <f>IF($J265="","",IFERROR(VLOOKUP($J265,Grinders!$A:$N,10,FALSE),""))</f>
        <v/>
      </c>
      <c r="Z265" s="40" t="str">
        <f>IF($J265="","",IFERROR(VLOOKUP($J265,Grinders!$A:$N,11,FALSE),""))</f>
        <v/>
      </c>
      <c r="AA265" s="40" t="str">
        <f>IF($J265="","",IFERROR(VLOOKUP($J265,Grinders!$A:$N,12,FALSE),""))</f>
        <v/>
      </c>
      <c r="AB265" s="40" t="str">
        <f>IF(OR(AL265=1,AM265=1),0,=IFERROR(IF(OR($C265="",$J265=""),0,IF($D265&lt;&gt;"Open",0,IF(COUNTIFS(GrinderServices!$A:$A,$J265,GrinderServices!$B:$B,$E265,GrinderServices!$D:$D,"Y")=0,0,IF($U265&lt;Config!$B$16,0,IF(Config!$B$18=1,IF($N265&gt;=$M265,0,1),1))))),""))</f>
        <v>#ERROR!</v>
      </c>
      <c r="AC265" s="40" t="str">
        <f>IFERROR((IF(OR(AL265=1,AM265=1),"",=IFERROR((IFERROR(IF($AB265=0,"",((Config!$B$6*$V265 + Config!$B$7*$R265 + Config!$B$8*$W265 + Config!$B$9*$X265 + Config!$B$10*$Y265 + Config!$B$11*$Z265 - Config!$B$12*$AA265)/Config!$B$13)+$AH265+$AI265),""))*(1-IFERROR(VLOOKUP(J265,Grinders!$A:$AB, 28, FALSE),0)),"")))*(1+AO265),"")</f>
        <v>#ERROR!</v>
      </c>
      <c r="AD265" s="40" t="str">
        <f t="shared" si="4"/>
        <v/>
      </c>
      <c r="AE265" s="40" t="str">
        <f>IFERROR(__xludf.DUMMYFUNCTION("IF($AC265="""","""",IF($AC265=IFERROR(MAX(FILTER($AC$6:$AC$1000,$C$6:$C$1000=$C265,$AB$6:$AB$1000=1)),),""WINNER"",""""))"),"#ERROR!")</f>
        <v>#ERROR!</v>
      </c>
      <c r="AF265" s="40" t="str">
        <f t="shared" si="5"/>
        <v/>
      </c>
      <c r="AG265" s="40" t="str">
        <f>IF($J265="","",COUNTIF(Assignments!$B:$B,$J265))</f>
        <v/>
      </c>
      <c r="AH265" s="40" t="str">
        <f>IF($J265="","",IF(AND($AG265=0,$N265&lt;$M265),Config!$B$43,0))</f>
        <v/>
      </c>
      <c r="AI265" s="40" t="str">
        <f>IF($J265="","",IF(AND($L265="Elite",$F265&gt;=Config!$B$41,$N265&lt;$M265),Config!$B$42,0))</f>
        <v/>
      </c>
      <c r="AJ265" s="22"/>
      <c r="AK265" s="39">
        <f>IFERROR(VLOOKUP(J265,Grinders!$A:$Q,28,FALSE),0)</f>
        <v>0</v>
      </c>
      <c r="AL265" s="39">
        <f>IF(Config!$B$1003&lt;&gt;"Y",0,IF(IFERROR(VLOOKUP(J265,Grinders!$A:$P,27,FALSE),0)&gt;=3,IF(OR(F265&gt;=Config!$B$1001,ISNUMBER(SEARCH(E265,Config!$B$1002))),1,0),0))</f>
        <v>0</v>
      </c>
      <c r="AM265" s="39">
        <f t="array" ref="AM265">IFERROR(IF(INDEX(Bids!$AE:$AE,MATCH(B265,Bids!$A:$A,0))="Pending",1,0),0)</f>
        <v>0</v>
      </c>
      <c r="AN265" s="39" t="str">
        <f t="array" ref="AN265">IF(C265="","",IFERROR(XLOOKUP(C265,Assignments!$C:$C,Assignments!$AU:$AU,0),0))</f>
        <v/>
      </c>
      <c r="AO265" s="39">
        <f>IF(AND(Config!$B$1006="Y",AN265=1),Config!$B$1007,0)</f>
        <v>0</v>
      </c>
    </row>
    <row r="266" ht="15.75" customHeight="1">
      <c r="A266" s="46" t="str">
        <f t="shared" si="1"/>
        <v/>
      </c>
      <c r="B266" s="40" t="str">
        <f>IF(Bids!$A266="","",Bids!$A266)</f>
        <v/>
      </c>
      <c r="C266" s="40" t="str">
        <f>IF(Bids!$B266="","",Bids!$B266)</f>
        <v/>
      </c>
      <c r="D266" s="40" t="str">
        <f>IF($C266="","",IFERROR(VLOOKUP($C266,Orders!$A:$J,9,FALSE),""))</f>
        <v/>
      </c>
      <c r="E266" s="40" t="str">
        <f>IF($C266="","",IFERROR(VLOOKUP($C266,Orders!$A:$J,3,FALSE),""))</f>
        <v/>
      </c>
      <c r="F266" s="40" t="str">
        <f>IF($C266="","",IFERROR(VLOOKUP($C266,Orders!$A:$J,4,FALSE),""))</f>
        <v/>
      </c>
      <c r="G266" s="40" t="str">
        <f>IF($C266="","",IFERROR(VLOOKUP($C266,Orders!$A:$J,5,FALSE),""))</f>
        <v/>
      </c>
      <c r="H266" s="40" t="str">
        <f>IF($C266="","",IFERROR(VLOOKUP($C266,Orders!$A:$J,6,FALSE),""))</f>
        <v/>
      </c>
      <c r="I266" s="40" t="str">
        <f>IF($C266="","",IFERROR(VLOOKUP($C266,Orders!$A:$J,7,FALSE),""))</f>
        <v/>
      </c>
      <c r="J266" s="40" t="str">
        <f>IF(Bids!$C266="","",Bids!$C266)</f>
        <v/>
      </c>
      <c r="K266" s="40" t="str">
        <f>IF($J266="","",IFERROR(VLOOKUP($J266,Grinders!$A:$N,2,FALSE),""))</f>
        <v/>
      </c>
      <c r="L266" s="40" t="str">
        <f>IF($J266="","",IFERROR(VLOOKUP($J266,Grinders!$A:$N,3,FALSE),""))</f>
        <v/>
      </c>
      <c r="M266" s="40" t="str">
        <f>IF($J266="","",IFERROR(VLOOKUP($J266,Grinders!$A:$N,4,FALSE),""))</f>
        <v/>
      </c>
      <c r="N266" s="40" t="str">
        <f>IF($J266="","",IFERROR(VLOOKUP($J266,Grinders!$A:$N,5,FALSE),""))</f>
        <v/>
      </c>
      <c r="O266" s="40" t="str">
        <f t="shared" si="2"/>
        <v/>
      </c>
      <c r="P266" s="40" t="str">
        <f>IF($J266="","",IFERROR(VLOOKUP($J266,Grinders!$A:$N,6,FALSE),""))</f>
        <v/>
      </c>
      <c r="Q266" s="40" t="str">
        <f>IF($J266="","",IFERROR(VLOOKUP($J266,Grinders!$A:$N,8,FALSE),""))</f>
        <v/>
      </c>
      <c r="R266" s="40" t="str">
        <f>IFERROR(IF($J266="","",IF($L266="Elite",MAX(50,MIN(100,Config!$B$27*MAX(0,MIN(100,(1-IF($O266="",0,$O266))*100)) + Config!$B$28*MAX(0,MIN(100,(1-MIN(1,IF(Config!$B$30=0,1,$P266/Config!$B$30)))*100)) + Config!$B$29*MAX(0,MIN(100,MIN(1,IF($Q266="",0,$Q266)/Config!$B$23)*100)))),MIN(100,Config!$B$27*MAX(0,MIN(100,(1-IF($O266="",0,$O266))*100)) + Config!$B$28*MAX(0,MIN(100,(1-MIN(1,IF(Config!$B$30=0,1,$P266/Config!$B$30)))*100)) + Config!$B$29*MAX(0,MIN(100,MIN(1,IF($Q266="",0,$Q266)/Config!$B$23)*100))))),"")
</f>
        <v/>
      </c>
      <c r="S266" s="40" t="str">
        <f>IF(Bids!$AC266="","",Bids!$AC266)</f>
        <v/>
      </c>
      <c r="T266" s="40" t="str">
        <f>IF(Bids!$F266="","",Bids!$F266)</f>
        <v/>
      </c>
      <c r="U266" s="40" t="str">
        <f t="shared" si="3"/>
        <v/>
      </c>
      <c r="V266" s="40" t="str">
        <f>IF($U266="","",IF(Config!$B$17=Config!$B$16,IF($U266&gt;=Config!$B$17,100,0),MAX(0,MIN(100,($U266-Config!$B$16)/(Config!$B$17-Config!$B$16)*100))))</f>
        <v/>
      </c>
      <c r="W266" s="40">
        <f>IF($L266="Elite",Config!$B$21,0)</f>
        <v>0</v>
      </c>
      <c r="X266" s="40" t="str">
        <f>IFERROR(IF(OR($T266="",$G266=""),"",IF($T266&gt;$G266,
  MAX(0, 60-(($T266-$G266)*24/Config!$B$19)*60),
  MEDIAN(60, 100, 60+(($G266-$T266)*24/Config!$B$20)*40)
)),"")
</f>
        <v/>
      </c>
      <c r="Y266" s="40" t="str">
        <f>IF($J266="","",IFERROR(VLOOKUP($J266,Grinders!$A:$N,10,FALSE),""))</f>
        <v/>
      </c>
      <c r="Z266" s="40" t="str">
        <f>IF($J266="","",IFERROR(VLOOKUP($J266,Grinders!$A:$N,11,FALSE),""))</f>
        <v/>
      </c>
      <c r="AA266" s="40" t="str">
        <f>IF($J266="","",IFERROR(VLOOKUP($J266,Grinders!$A:$N,12,FALSE),""))</f>
        <v/>
      </c>
      <c r="AB266" s="40" t="str">
        <f>IF(OR(AL266=1,AM266=1),0,=IFERROR(IF(OR($C266="",$J266=""),0,IF($D266&lt;&gt;"Open",0,IF(COUNTIFS(GrinderServices!$A:$A,$J266,GrinderServices!$B:$B,$E266,GrinderServices!$D:$D,"Y")=0,0,IF($U266&lt;Config!$B$16,0,IF(Config!$B$18=1,IF($N266&gt;=$M266,0,1),1))))),""))</f>
        <v>#ERROR!</v>
      </c>
      <c r="AC266" s="40" t="str">
        <f>IFERROR((IF(OR(AL266=1,AM266=1),"",=IFERROR((IFERROR(IF($AB266=0,"",((Config!$B$6*$V266 + Config!$B$7*$R266 + Config!$B$8*$W266 + Config!$B$9*$X266 + Config!$B$10*$Y266 + Config!$B$11*$Z266 - Config!$B$12*$AA266)/Config!$B$13)+$AH266+$AI266),""))*(1-IFERROR(VLOOKUP(J266,Grinders!$A:$AB, 28, FALSE),0)),"")))*(1+AO266),"")</f>
        <v>#ERROR!</v>
      </c>
      <c r="AD266" s="40" t="str">
        <f t="shared" si="4"/>
        <v/>
      </c>
      <c r="AE266" s="40" t="str">
        <f>IFERROR(__xludf.DUMMYFUNCTION("IF($AC266="""","""",IF($AC266=IFERROR(MAX(FILTER($AC$6:$AC$1000,$C$6:$C$1000=$C266,$AB$6:$AB$1000=1)),),""WINNER"",""""))"),"#ERROR!")</f>
        <v>#ERROR!</v>
      </c>
      <c r="AF266" s="40" t="str">
        <f t="shared" si="5"/>
        <v/>
      </c>
      <c r="AG266" s="40" t="str">
        <f>IF($J266="","",COUNTIF(Assignments!$B:$B,$J266))</f>
        <v/>
      </c>
      <c r="AH266" s="40" t="str">
        <f>IF($J266="","",IF(AND($AG266=0,$N266&lt;$M266),Config!$B$43,0))</f>
        <v/>
      </c>
      <c r="AI266" s="40" t="str">
        <f>IF($J266="","",IF(AND($L266="Elite",$F266&gt;=Config!$B$41,$N266&lt;$M266),Config!$B$42,0))</f>
        <v/>
      </c>
      <c r="AJ266" s="22"/>
      <c r="AK266" s="39">
        <f>IFERROR(VLOOKUP(J266,Grinders!$A:$Q,28,FALSE),0)</f>
        <v>0</v>
      </c>
      <c r="AL266" s="39">
        <f>IF(Config!$B$1003&lt;&gt;"Y",0,IF(IFERROR(VLOOKUP(J266,Grinders!$A:$P,27,FALSE),0)&gt;=3,IF(OR(F266&gt;=Config!$B$1001,ISNUMBER(SEARCH(E266,Config!$B$1002))),1,0),0))</f>
        <v>0</v>
      </c>
      <c r="AM266" s="39">
        <f t="array" ref="AM266">IFERROR(IF(INDEX(Bids!$AE:$AE,MATCH(B266,Bids!$A:$A,0))="Pending",1,0),0)</f>
        <v>0</v>
      </c>
      <c r="AN266" s="39" t="str">
        <f t="array" ref="AN266">IF(C266="","",IFERROR(XLOOKUP(C266,Assignments!$C:$C,Assignments!$AU:$AU,0),0))</f>
        <v/>
      </c>
      <c r="AO266" s="39">
        <f>IF(AND(Config!$B$1006="Y",AN266=1),Config!$B$1007,0)</f>
        <v>0</v>
      </c>
    </row>
    <row r="267" ht="15.75" customHeight="1">
      <c r="A267" s="46" t="str">
        <f t="shared" si="1"/>
        <v/>
      </c>
      <c r="B267" s="40" t="str">
        <f>IF(Bids!$A267="","",Bids!$A267)</f>
        <v/>
      </c>
      <c r="C267" s="40" t="str">
        <f>IF(Bids!$B267="","",Bids!$B267)</f>
        <v/>
      </c>
      <c r="D267" s="40" t="str">
        <f>IF($C267="","",IFERROR(VLOOKUP($C267,Orders!$A:$J,9,FALSE),""))</f>
        <v/>
      </c>
      <c r="E267" s="40" t="str">
        <f>IF($C267="","",IFERROR(VLOOKUP($C267,Orders!$A:$J,3,FALSE),""))</f>
        <v/>
      </c>
      <c r="F267" s="40" t="str">
        <f>IF($C267="","",IFERROR(VLOOKUP($C267,Orders!$A:$J,4,FALSE),""))</f>
        <v/>
      </c>
      <c r="G267" s="40" t="str">
        <f>IF($C267="","",IFERROR(VLOOKUP($C267,Orders!$A:$J,5,FALSE),""))</f>
        <v/>
      </c>
      <c r="H267" s="40" t="str">
        <f>IF($C267="","",IFERROR(VLOOKUP($C267,Orders!$A:$J,6,FALSE),""))</f>
        <v/>
      </c>
      <c r="I267" s="40" t="str">
        <f>IF($C267="","",IFERROR(VLOOKUP($C267,Orders!$A:$J,7,FALSE),""))</f>
        <v/>
      </c>
      <c r="J267" s="40" t="str">
        <f>IF(Bids!$C267="","",Bids!$C267)</f>
        <v/>
      </c>
      <c r="K267" s="40" t="str">
        <f>IF($J267="","",IFERROR(VLOOKUP($J267,Grinders!$A:$N,2,FALSE),""))</f>
        <v/>
      </c>
      <c r="L267" s="40" t="str">
        <f>IF($J267="","",IFERROR(VLOOKUP($J267,Grinders!$A:$N,3,FALSE),""))</f>
        <v/>
      </c>
      <c r="M267" s="40" t="str">
        <f>IF($J267="","",IFERROR(VLOOKUP($J267,Grinders!$A:$N,4,FALSE),""))</f>
        <v/>
      </c>
      <c r="N267" s="40" t="str">
        <f>IF($J267="","",IFERROR(VLOOKUP($J267,Grinders!$A:$N,5,FALSE),""))</f>
        <v/>
      </c>
      <c r="O267" s="40" t="str">
        <f t="shared" si="2"/>
        <v/>
      </c>
      <c r="P267" s="40" t="str">
        <f>IF($J267="","",IFERROR(VLOOKUP($J267,Grinders!$A:$N,6,FALSE),""))</f>
        <v/>
      </c>
      <c r="Q267" s="40" t="str">
        <f>IF($J267="","",IFERROR(VLOOKUP($J267,Grinders!$A:$N,8,FALSE),""))</f>
        <v/>
      </c>
      <c r="R267" s="40" t="str">
        <f>IFERROR(IF($J267="","",IF($L267="Elite",MAX(50,MIN(100,Config!$B$27*MAX(0,MIN(100,(1-IF($O267="",0,$O267))*100)) + Config!$B$28*MAX(0,MIN(100,(1-MIN(1,IF(Config!$B$30=0,1,$P267/Config!$B$30)))*100)) + Config!$B$29*MAX(0,MIN(100,MIN(1,IF($Q267="",0,$Q267)/Config!$B$23)*100)))),MIN(100,Config!$B$27*MAX(0,MIN(100,(1-IF($O267="",0,$O267))*100)) + Config!$B$28*MAX(0,MIN(100,(1-MIN(1,IF(Config!$B$30=0,1,$P267/Config!$B$30)))*100)) + Config!$B$29*MAX(0,MIN(100,MIN(1,IF($Q267="",0,$Q267)/Config!$B$23)*100))))),"")
</f>
        <v/>
      </c>
      <c r="S267" s="40" t="str">
        <f>IF(Bids!$AC267="","",Bids!$AC267)</f>
        <v/>
      </c>
      <c r="T267" s="40" t="str">
        <f>IF(Bids!$F267="","",Bids!$F267)</f>
        <v/>
      </c>
      <c r="U267" s="40" t="str">
        <f t="shared" si="3"/>
        <v/>
      </c>
      <c r="V267" s="40" t="str">
        <f>IF($U267="","",IF(Config!$B$17=Config!$B$16,IF($U267&gt;=Config!$B$17,100,0),MAX(0,MIN(100,($U267-Config!$B$16)/(Config!$B$17-Config!$B$16)*100))))</f>
        <v/>
      </c>
      <c r="W267" s="40">
        <f>IF($L267="Elite",Config!$B$21,0)</f>
        <v>0</v>
      </c>
      <c r="X267" s="40" t="str">
        <f>IFERROR(IF(OR($T267="",$G267=""),"",IF($T267&gt;$G267,
  MAX(0, 60-(($T267-$G267)*24/Config!$B$19)*60),
  MEDIAN(60, 100, 60+(($G267-$T267)*24/Config!$B$20)*40)
)),"")
</f>
        <v/>
      </c>
      <c r="Y267" s="40" t="str">
        <f>IF($J267="","",IFERROR(VLOOKUP($J267,Grinders!$A:$N,10,FALSE),""))</f>
        <v/>
      </c>
      <c r="Z267" s="40" t="str">
        <f>IF($J267="","",IFERROR(VLOOKUP($J267,Grinders!$A:$N,11,FALSE),""))</f>
        <v/>
      </c>
      <c r="AA267" s="40" t="str">
        <f>IF($J267="","",IFERROR(VLOOKUP($J267,Grinders!$A:$N,12,FALSE),""))</f>
        <v/>
      </c>
      <c r="AB267" s="40" t="str">
        <f>IF(OR(AL267=1,AM267=1),0,=IFERROR(IF(OR($C267="",$J267=""),0,IF($D267&lt;&gt;"Open",0,IF(COUNTIFS(GrinderServices!$A:$A,$J267,GrinderServices!$B:$B,$E267,GrinderServices!$D:$D,"Y")=0,0,IF($U267&lt;Config!$B$16,0,IF(Config!$B$18=1,IF($N267&gt;=$M267,0,1),1))))),""))</f>
        <v>#ERROR!</v>
      </c>
      <c r="AC267" s="40" t="str">
        <f>IFERROR((IF(OR(AL267=1,AM267=1),"",=IFERROR((IFERROR(IF($AB267=0,"",((Config!$B$6*$V267 + Config!$B$7*$R267 + Config!$B$8*$W267 + Config!$B$9*$X267 + Config!$B$10*$Y267 + Config!$B$11*$Z267 - Config!$B$12*$AA267)/Config!$B$13)+$AH267+$AI267),""))*(1-IFERROR(VLOOKUP(J267,Grinders!$A:$AB, 28, FALSE),0)),"")))*(1+AO267),"")</f>
        <v>#ERROR!</v>
      </c>
      <c r="AD267" s="40" t="str">
        <f t="shared" si="4"/>
        <v/>
      </c>
      <c r="AE267" s="40" t="str">
        <f>IFERROR(__xludf.DUMMYFUNCTION("IF($AC267="""","""",IF($AC267=IFERROR(MAX(FILTER($AC$6:$AC$1000,$C$6:$C$1000=$C267,$AB$6:$AB$1000=1)),),""WINNER"",""""))"),"#ERROR!")</f>
        <v>#ERROR!</v>
      </c>
      <c r="AF267" s="40" t="str">
        <f t="shared" si="5"/>
        <v/>
      </c>
      <c r="AG267" s="40" t="str">
        <f>IF($J267="","",COUNTIF(Assignments!$B:$B,$J267))</f>
        <v/>
      </c>
      <c r="AH267" s="40" t="str">
        <f>IF($J267="","",IF(AND($AG267=0,$N267&lt;$M267),Config!$B$43,0))</f>
        <v/>
      </c>
      <c r="AI267" s="40" t="str">
        <f>IF($J267="","",IF(AND($L267="Elite",$F267&gt;=Config!$B$41,$N267&lt;$M267),Config!$B$42,0))</f>
        <v/>
      </c>
      <c r="AJ267" s="22"/>
      <c r="AK267" s="39">
        <f>IFERROR(VLOOKUP(J267,Grinders!$A:$Q,28,FALSE),0)</f>
        <v>0</v>
      </c>
      <c r="AL267" s="39">
        <f>IF(Config!$B$1003&lt;&gt;"Y",0,IF(IFERROR(VLOOKUP(J267,Grinders!$A:$P,27,FALSE),0)&gt;=3,IF(OR(F267&gt;=Config!$B$1001,ISNUMBER(SEARCH(E267,Config!$B$1002))),1,0),0))</f>
        <v>0</v>
      </c>
      <c r="AM267" s="39">
        <f t="array" ref="AM267">IFERROR(IF(INDEX(Bids!$AE:$AE,MATCH(B267,Bids!$A:$A,0))="Pending",1,0),0)</f>
        <v>0</v>
      </c>
      <c r="AN267" s="39" t="str">
        <f t="array" ref="AN267">IF(C267="","",IFERROR(XLOOKUP(C267,Assignments!$C:$C,Assignments!$AU:$AU,0),0))</f>
        <v/>
      </c>
      <c r="AO267" s="39">
        <f>IF(AND(Config!$B$1006="Y",AN267=1),Config!$B$1007,0)</f>
        <v>0</v>
      </c>
    </row>
    <row r="268" ht="15.75" customHeight="1">
      <c r="A268" s="46" t="str">
        <f t="shared" si="1"/>
        <v/>
      </c>
      <c r="B268" s="40" t="str">
        <f>IF(Bids!$A268="","",Bids!$A268)</f>
        <v/>
      </c>
      <c r="C268" s="40" t="str">
        <f>IF(Bids!$B268="","",Bids!$B268)</f>
        <v/>
      </c>
      <c r="D268" s="40" t="str">
        <f>IF($C268="","",IFERROR(VLOOKUP($C268,Orders!$A:$J,9,FALSE),""))</f>
        <v/>
      </c>
      <c r="E268" s="40" t="str">
        <f>IF($C268="","",IFERROR(VLOOKUP($C268,Orders!$A:$J,3,FALSE),""))</f>
        <v/>
      </c>
      <c r="F268" s="40" t="str">
        <f>IF($C268="","",IFERROR(VLOOKUP($C268,Orders!$A:$J,4,FALSE),""))</f>
        <v/>
      </c>
      <c r="G268" s="40" t="str">
        <f>IF($C268="","",IFERROR(VLOOKUP($C268,Orders!$A:$J,5,FALSE),""))</f>
        <v/>
      </c>
      <c r="H268" s="40" t="str">
        <f>IF($C268="","",IFERROR(VLOOKUP($C268,Orders!$A:$J,6,FALSE),""))</f>
        <v/>
      </c>
      <c r="I268" s="40" t="str">
        <f>IF($C268="","",IFERROR(VLOOKUP($C268,Orders!$A:$J,7,FALSE),""))</f>
        <v/>
      </c>
      <c r="J268" s="40" t="str">
        <f>IF(Bids!$C268="","",Bids!$C268)</f>
        <v/>
      </c>
      <c r="K268" s="40" t="str">
        <f>IF($J268="","",IFERROR(VLOOKUP($J268,Grinders!$A:$N,2,FALSE),""))</f>
        <v/>
      </c>
      <c r="L268" s="40" t="str">
        <f>IF($J268="","",IFERROR(VLOOKUP($J268,Grinders!$A:$N,3,FALSE),""))</f>
        <v/>
      </c>
      <c r="M268" s="40" t="str">
        <f>IF($J268="","",IFERROR(VLOOKUP($J268,Grinders!$A:$N,4,FALSE),""))</f>
        <v/>
      </c>
      <c r="N268" s="40" t="str">
        <f>IF($J268="","",IFERROR(VLOOKUP($J268,Grinders!$A:$N,5,FALSE),""))</f>
        <v/>
      </c>
      <c r="O268" s="40" t="str">
        <f t="shared" si="2"/>
        <v/>
      </c>
      <c r="P268" s="40" t="str">
        <f>IF($J268="","",IFERROR(VLOOKUP($J268,Grinders!$A:$N,6,FALSE),""))</f>
        <v/>
      </c>
      <c r="Q268" s="40" t="str">
        <f>IF($J268="","",IFERROR(VLOOKUP($J268,Grinders!$A:$N,8,FALSE),""))</f>
        <v/>
      </c>
      <c r="R268" s="40" t="str">
        <f>IFERROR(IF($J268="","",IF($L268="Elite",MAX(50,MIN(100,Config!$B$27*MAX(0,MIN(100,(1-IF($O268="",0,$O268))*100)) + Config!$B$28*MAX(0,MIN(100,(1-MIN(1,IF(Config!$B$30=0,1,$P268/Config!$B$30)))*100)) + Config!$B$29*MAX(0,MIN(100,MIN(1,IF($Q268="",0,$Q268)/Config!$B$23)*100)))),MIN(100,Config!$B$27*MAX(0,MIN(100,(1-IF($O268="",0,$O268))*100)) + Config!$B$28*MAX(0,MIN(100,(1-MIN(1,IF(Config!$B$30=0,1,$P268/Config!$B$30)))*100)) + Config!$B$29*MAX(0,MIN(100,MIN(1,IF($Q268="",0,$Q268)/Config!$B$23)*100))))),"")
</f>
        <v/>
      </c>
      <c r="S268" s="40" t="str">
        <f>IF(Bids!$AC268="","",Bids!$AC268)</f>
        <v/>
      </c>
      <c r="T268" s="40" t="str">
        <f>IF(Bids!$F268="","",Bids!$F268)</f>
        <v/>
      </c>
      <c r="U268" s="40" t="str">
        <f t="shared" si="3"/>
        <v/>
      </c>
      <c r="V268" s="40" t="str">
        <f>IF($U268="","",IF(Config!$B$17=Config!$B$16,IF($U268&gt;=Config!$B$17,100,0),MAX(0,MIN(100,($U268-Config!$B$16)/(Config!$B$17-Config!$B$16)*100))))</f>
        <v/>
      </c>
      <c r="W268" s="40">
        <f>IF($L268="Elite",Config!$B$21,0)</f>
        <v>0</v>
      </c>
      <c r="X268" s="40" t="str">
        <f>IFERROR(IF(OR($T268="",$G268=""),"",IF($T268&gt;$G268,
  MAX(0, 60-(($T268-$G268)*24/Config!$B$19)*60),
  MEDIAN(60, 100, 60+(($G268-$T268)*24/Config!$B$20)*40)
)),"")
</f>
        <v/>
      </c>
      <c r="Y268" s="40" t="str">
        <f>IF($J268="","",IFERROR(VLOOKUP($J268,Grinders!$A:$N,10,FALSE),""))</f>
        <v/>
      </c>
      <c r="Z268" s="40" t="str">
        <f>IF($J268="","",IFERROR(VLOOKUP($J268,Grinders!$A:$N,11,FALSE),""))</f>
        <v/>
      </c>
      <c r="AA268" s="40" t="str">
        <f>IF($J268="","",IFERROR(VLOOKUP($J268,Grinders!$A:$N,12,FALSE),""))</f>
        <v/>
      </c>
      <c r="AB268" s="40" t="str">
        <f>IF(OR(AL268=1,AM268=1),0,=IFERROR(IF(OR($C268="",$J268=""),0,IF($D268&lt;&gt;"Open",0,IF(COUNTIFS(GrinderServices!$A:$A,$J268,GrinderServices!$B:$B,$E268,GrinderServices!$D:$D,"Y")=0,0,IF($U268&lt;Config!$B$16,0,IF(Config!$B$18=1,IF($N268&gt;=$M268,0,1),1))))),""))</f>
        <v>#ERROR!</v>
      </c>
      <c r="AC268" s="40" t="str">
        <f>IFERROR((IF(OR(AL268=1,AM268=1),"",=IFERROR((IFERROR(IF($AB268=0,"",((Config!$B$6*$V268 + Config!$B$7*$R268 + Config!$B$8*$W268 + Config!$B$9*$X268 + Config!$B$10*$Y268 + Config!$B$11*$Z268 - Config!$B$12*$AA268)/Config!$B$13)+$AH268+$AI268),""))*(1-IFERROR(VLOOKUP(J268,Grinders!$A:$AB, 28, FALSE),0)),"")))*(1+AO268),"")</f>
        <v>#ERROR!</v>
      </c>
      <c r="AD268" s="40" t="str">
        <f t="shared" si="4"/>
        <v/>
      </c>
      <c r="AE268" s="40" t="str">
        <f>IFERROR(__xludf.DUMMYFUNCTION("IF($AC268="""","""",IF($AC268=IFERROR(MAX(FILTER($AC$6:$AC$1000,$C$6:$C$1000=$C268,$AB$6:$AB$1000=1)),),""WINNER"",""""))"),"#ERROR!")</f>
        <v>#ERROR!</v>
      </c>
      <c r="AF268" s="40" t="str">
        <f t="shared" si="5"/>
        <v/>
      </c>
      <c r="AG268" s="40" t="str">
        <f>IF($J268="","",COUNTIF(Assignments!$B:$B,$J268))</f>
        <v/>
      </c>
      <c r="AH268" s="40" t="str">
        <f>IF($J268="","",IF(AND($AG268=0,$N268&lt;$M268),Config!$B$43,0))</f>
        <v/>
      </c>
      <c r="AI268" s="40" t="str">
        <f>IF($J268="","",IF(AND($L268="Elite",$F268&gt;=Config!$B$41,$N268&lt;$M268),Config!$B$42,0))</f>
        <v/>
      </c>
      <c r="AJ268" s="22"/>
      <c r="AK268" s="39">
        <f>IFERROR(VLOOKUP(J268,Grinders!$A:$Q,28,FALSE),0)</f>
        <v>0</v>
      </c>
      <c r="AL268" s="39">
        <f>IF(Config!$B$1003&lt;&gt;"Y",0,IF(IFERROR(VLOOKUP(J268,Grinders!$A:$P,27,FALSE),0)&gt;=3,IF(OR(F268&gt;=Config!$B$1001,ISNUMBER(SEARCH(E268,Config!$B$1002))),1,0),0))</f>
        <v>0</v>
      </c>
      <c r="AM268" s="39">
        <f t="array" ref="AM268">IFERROR(IF(INDEX(Bids!$AE:$AE,MATCH(B268,Bids!$A:$A,0))="Pending",1,0),0)</f>
        <v>0</v>
      </c>
      <c r="AN268" s="39" t="str">
        <f t="array" ref="AN268">IF(C268="","",IFERROR(XLOOKUP(C268,Assignments!$C:$C,Assignments!$AU:$AU,0),0))</f>
        <v/>
      </c>
      <c r="AO268" s="39">
        <f>IF(AND(Config!$B$1006="Y",AN268=1),Config!$B$1007,0)</f>
        <v>0</v>
      </c>
    </row>
    <row r="269" ht="15.75" customHeight="1">
      <c r="A269" s="46" t="str">
        <f t="shared" si="1"/>
        <v/>
      </c>
      <c r="B269" s="40" t="str">
        <f>IF(Bids!$A269="","",Bids!$A269)</f>
        <v/>
      </c>
      <c r="C269" s="40" t="str">
        <f>IF(Bids!$B269="","",Bids!$B269)</f>
        <v/>
      </c>
      <c r="D269" s="40" t="str">
        <f>IF($C269="","",IFERROR(VLOOKUP($C269,Orders!$A:$J,9,FALSE),""))</f>
        <v/>
      </c>
      <c r="E269" s="40" t="str">
        <f>IF($C269="","",IFERROR(VLOOKUP($C269,Orders!$A:$J,3,FALSE),""))</f>
        <v/>
      </c>
      <c r="F269" s="40" t="str">
        <f>IF($C269="","",IFERROR(VLOOKUP($C269,Orders!$A:$J,4,FALSE),""))</f>
        <v/>
      </c>
      <c r="G269" s="40" t="str">
        <f>IF($C269="","",IFERROR(VLOOKUP($C269,Orders!$A:$J,5,FALSE),""))</f>
        <v/>
      </c>
      <c r="H269" s="40" t="str">
        <f>IF($C269="","",IFERROR(VLOOKUP($C269,Orders!$A:$J,6,FALSE),""))</f>
        <v/>
      </c>
      <c r="I269" s="40" t="str">
        <f>IF($C269="","",IFERROR(VLOOKUP($C269,Orders!$A:$J,7,FALSE),""))</f>
        <v/>
      </c>
      <c r="J269" s="40" t="str">
        <f>IF(Bids!$C269="","",Bids!$C269)</f>
        <v/>
      </c>
      <c r="K269" s="40" t="str">
        <f>IF($J269="","",IFERROR(VLOOKUP($J269,Grinders!$A:$N,2,FALSE),""))</f>
        <v/>
      </c>
      <c r="L269" s="40" t="str">
        <f>IF($J269="","",IFERROR(VLOOKUP($J269,Grinders!$A:$N,3,FALSE),""))</f>
        <v/>
      </c>
      <c r="M269" s="40" t="str">
        <f>IF($J269="","",IFERROR(VLOOKUP($J269,Grinders!$A:$N,4,FALSE),""))</f>
        <v/>
      </c>
      <c r="N269" s="40" t="str">
        <f>IF($J269="","",IFERROR(VLOOKUP($J269,Grinders!$A:$N,5,FALSE),""))</f>
        <v/>
      </c>
      <c r="O269" s="40" t="str">
        <f t="shared" si="2"/>
        <v/>
      </c>
      <c r="P269" s="40" t="str">
        <f>IF($J269="","",IFERROR(VLOOKUP($J269,Grinders!$A:$N,6,FALSE),""))</f>
        <v/>
      </c>
      <c r="Q269" s="40" t="str">
        <f>IF($J269="","",IFERROR(VLOOKUP($J269,Grinders!$A:$N,8,FALSE),""))</f>
        <v/>
      </c>
      <c r="R269" s="40" t="str">
        <f>IFERROR(IF($J269="","",IF($L269="Elite",MAX(50,MIN(100,Config!$B$27*MAX(0,MIN(100,(1-IF($O269="",0,$O269))*100)) + Config!$B$28*MAX(0,MIN(100,(1-MIN(1,IF(Config!$B$30=0,1,$P269/Config!$B$30)))*100)) + Config!$B$29*MAX(0,MIN(100,MIN(1,IF($Q269="",0,$Q269)/Config!$B$23)*100)))),MIN(100,Config!$B$27*MAX(0,MIN(100,(1-IF($O269="",0,$O269))*100)) + Config!$B$28*MAX(0,MIN(100,(1-MIN(1,IF(Config!$B$30=0,1,$P269/Config!$B$30)))*100)) + Config!$B$29*MAX(0,MIN(100,MIN(1,IF($Q269="",0,$Q269)/Config!$B$23)*100))))),"")
</f>
        <v/>
      </c>
      <c r="S269" s="40" t="str">
        <f>IF(Bids!$AC269="","",Bids!$AC269)</f>
        <v/>
      </c>
      <c r="T269" s="40" t="str">
        <f>IF(Bids!$F269="","",Bids!$F269)</f>
        <v/>
      </c>
      <c r="U269" s="40" t="str">
        <f t="shared" si="3"/>
        <v/>
      </c>
      <c r="V269" s="40" t="str">
        <f>IF($U269="","",IF(Config!$B$17=Config!$B$16,IF($U269&gt;=Config!$B$17,100,0),MAX(0,MIN(100,($U269-Config!$B$16)/(Config!$B$17-Config!$B$16)*100))))</f>
        <v/>
      </c>
      <c r="W269" s="40">
        <f>IF($L269="Elite",Config!$B$21,0)</f>
        <v>0</v>
      </c>
      <c r="X269" s="40" t="str">
        <f>IFERROR(IF(OR($T269="",$G269=""),"",IF($T269&gt;$G269,
  MAX(0, 60-(($T269-$G269)*24/Config!$B$19)*60),
  MEDIAN(60, 100, 60+(($G269-$T269)*24/Config!$B$20)*40)
)),"")
</f>
        <v/>
      </c>
      <c r="Y269" s="40" t="str">
        <f>IF($J269="","",IFERROR(VLOOKUP($J269,Grinders!$A:$N,10,FALSE),""))</f>
        <v/>
      </c>
      <c r="Z269" s="40" t="str">
        <f>IF($J269="","",IFERROR(VLOOKUP($J269,Grinders!$A:$N,11,FALSE),""))</f>
        <v/>
      </c>
      <c r="AA269" s="40" t="str">
        <f>IF($J269="","",IFERROR(VLOOKUP($J269,Grinders!$A:$N,12,FALSE),""))</f>
        <v/>
      </c>
      <c r="AB269" s="40" t="str">
        <f>IF(OR(AL269=1,AM269=1),0,=IFERROR(IF(OR($C269="",$J269=""),0,IF($D269&lt;&gt;"Open",0,IF(COUNTIFS(GrinderServices!$A:$A,$J269,GrinderServices!$B:$B,$E269,GrinderServices!$D:$D,"Y")=0,0,IF($U269&lt;Config!$B$16,0,IF(Config!$B$18=1,IF($N269&gt;=$M269,0,1),1))))),""))</f>
        <v>#ERROR!</v>
      </c>
      <c r="AC269" s="40" t="str">
        <f>IFERROR((IF(OR(AL269=1,AM269=1),"",=IFERROR((IFERROR(IF($AB269=0,"",((Config!$B$6*$V269 + Config!$B$7*$R269 + Config!$B$8*$W269 + Config!$B$9*$X269 + Config!$B$10*$Y269 + Config!$B$11*$Z269 - Config!$B$12*$AA269)/Config!$B$13)+$AH269+$AI269),""))*(1-IFERROR(VLOOKUP(J269,Grinders!$A:$AB, 28, FALSE),0)),"")))*(1+AO269),"")</f>
        <v>#ERROR!</v>
      </c>
      <c r="AD269" s="40" t="str">
        <f t="shared" si="4"/>
        <v/>
      </c>
      <c r="AE269" s="40" t="str">
        <f>IFERROR(__xludf.DUMMYFUNCTION("IF($AC269="""","""",IF($AC269=IFERROR(MAX(FILTER($AC$6:$AC$1000,$C$6:$C$1000=$C269,$AB$6:$AB$1000=1)),),""WINNER"",""""))"),"#ERROR!")</f>
        <v>#ERROR!</v>
      </c>
      <c r="AF269" s="40" t="str">
        <f t="shared" si="5"/>
        <v/>
      </c>
      <c r="AG269" s="40" t="str">
        <f>IF($J269="","",COUNTIF(Assignments!$B:$B,$J269))</f>
        <v/>
      </c>
      <c r="AH269" s="40" t="str">
        <f>IF($J269="","",IF(AND($AG269=0,$N269&lt;$M269),Config!$B$43,0))</f>
        <v/>
      </c>
      <c r="AI269" s="40" t="str">
        <f>IF($J269="","",IF(AND($L269="Elite",$F269&gt;=Config!$B$41,$N269&lt;$M269),Config!$B$42,0))</f>
        <v/>
      </c>
      <c r="AJ269" s="22"/>
      <c r="AK269" s="39">
        <f>IFERROR(VLOOKUP(J269,Grinders!$A:$Q,28,FALSE),0)</f>
        <v>0</v>
      </c>
      <c r="AL269" s="39">
        <f>IF(Config!$B$1003&lt;&gt;"Y",0,IF(IFERROR(VLOOKUP(J269,Grinders!$A:$P,27,FALSE),0)&gt;=3,IF(OR(F269&gt;=Config!$B$1001,ISNUMBER(SEARCH(E269,Config!$B$1002))),1,0),0))</f>
        <v>0</v>
      </c>
      <c r="AM269" s="39">
        <f t="array" ref="AM269">IFERROR(IF(INDEX(Bids!$AE:$AE,MATCH(B269,Bids!$A:$A,0))="Pending",1,0),0)</f>
        <v>0</v>
      </c>
      <c r="AN269" s="39" t="str">
        <f t="array" ref="AN269">IF(C269="","",IFERROR(XLOOKUP(C269,Assignments!$C:$C,Assignments!$AU:$AU,0),0))</f>
        <v/>
      </c>
      <c r="AO269" s="39">
        <f>IF(AND(Config!$B$1006="Y",AN269=1),Config!$B$1007,0)</f>
        <v>0</v>
      </c>
    </row>
    <row r="270" ht="15.75" customHeight="1">
      <c r="A270" s="46" t="str">
        <f t="shared" si="1"/>
        <v/>
      </c>
      <c r="B270" s="40" t="str">
        <f>IF(Bids!$A270="","",Bids!$A270)</f>
        <v/>
      </c>
      <c r="C270" s="40" t="str">
        <f>IF(Bids!$B270="","",Bids!$B270)</f>
        <v/>
      </c>
      <c r="D270" s="40" t="str">
        <f>IF($C270="","",IFERROR(VLOOKUP($C270,Orders!$A:$J,9,FALSE),""))</f>
        <v/>
      </c>
      <c r="E270" s="40" t="str">
        <f>IF($C270="","",IFERROR(VLOOKUP($C270,Orders!$A:$J,3,FALSE),""))</f>
        <v/>
      </c>
      <c r="F270" s="40" t="str">
        <f>IF($C270="","",IFERROR(VLOOKUP($C270,Orders!$A:$J,4,FALSE),""))</f>
        <v/>
      </c>
      <c r="G270" s="40" t="str">
        <f>IF($C270="","",IFERROR(VLOOKUP($C270,Orders!$A:$J,5,FALSE),""))</f>
        <v/>
      </c>
      <c r="H270" s="40" t="str">
        <f>IF($C270="","",IFERROR(VLOOKUP($C270,Orders!$A:$J,6,FALSE),""))</f>
        <v/>
      </c>
      <c r="I270" s="40" t="str">
        <f>IF($C270="","",IFERROR(VLOOKUP($C270,Orders!$A:$J,7,FALSE),""))</f>
        <v/>
      </c>
      <c r="J270" s="40" t="str">
        <f>IF(Bids!$C270="","",Bids!$C270)</f>
        <v/>
      </c>
      <c r="K270" s="40" t="str">
        <f>IF($J270="","",IFERROR(VLOOKUP($J270,Grinders!$A:$N,2,FALSE),""))</f>
        <v/>
      </c>
      <c r="L270" s="40" t="str">
        <f>IF($J270="","",IFERROR(VLOOKUP($J270,Grinders!$A:$N,3,FALSE),""))</f>
        <v/>
      </c>
      <c r="M270" s="40" t="str">
        <f>IF($J270="","",IFERROR(VLOOKUP($J270,Grinders!$A:$N,4,FALSE),""))</f>
        <v/>
      </c>
      <c r="N270" s="40" t="str">
        <f>IF($J270="","",IFERROR(VLOOKUP($J270,Grinders!$A:$N,5,FALSE),""))</f>
        <v/>
      </c>
      <c r="O270" s="40" t="str">
        <f t="shared" si="2"/>
        <v/>
      </c>
      <c r="P270" s="40" t="str">
        <f>IF($J270="","",IFERROR(VLOOKUP($J270,Grinders!$A:$N,6,FALSE),""))</f>
        <v/>
      </c>
      <c r="Q270" s="40" t="str">
        <f>IF($J270="","",IFERROR(VLOOKUP($J270,Grinders!$A:$N,8,FALSE),""))</f>
        <v/>
      </c>
      <c r="R270" s="40" t="str">
        <f>IFERROR(IF($J270="","",IF($L270="Elite",MAX(50,MIN(100,Config!$B$27*MAX(0,MIN(100,(1-IF($O270="",0,$O270))*100)) + Config!$B$28*MAX(0,MIN(100,(1-MIN(1,IF(Config!$B$30=0,1,$P270/Config!$B$30)))*100)) + Config!$B$29*MAX(0,MIN(100,MIN(1,IF($Q270="",0,$Q270)/Config!$B$23)*100)))),MIN(100,Config!$B$27*MAX(0,MIN(100,(1-IF($O270="",0,$O270))*100)) + Config!$B$28*MAX(0,MIN(100,(1-MIN(1,IF(Config!$B$30=0,1,$P270/Config!$B$30)))*100)) + Config!$B$29*MAX(0,MIN(100,MIN(1,IF($Q270="",0,$Q270)/Config!$B$23)*100))))),"")
</f>
        <v/>
      </c>
      <c r="S270" s="40" t="str">
        <f>IF(Bids!$AC270="","",Bids!$AC270)</f>
        <v/>
      </c>
      <c r="T270" s="40" t="str">
        <f>IF(Bids!$F270="","",Bids!$F270)</f>
        <v/>
      </c>
      <c r="U270" s="40" t="str">
        <f t="shared" si="3"/>
        <v/>
      </c>
      <c r="V270" s="40" t="str">
        <f>IF($U270="","",IF(Config!$B$17=Config!$B$16,IF($U270&gt;=Config!$B$17,100,0),MAX(0,MIN(100,($U270-Config!$B$16)/(Config!$B$17-Config!$B$16)*100))))</f>
        <v/>
      </c>
      <c r="W270" s="40">
        <f>IF($L270="Elite",Config!$B$21,0)</f>
        <v>0</v>
      </c>
      <c r="X270" s="40" t="str">
        <f>IFERROR(IF(OR($T270="",$G270=""),"",IF($T270&gt;$G270,
  MAX(0, 60-(($T270-$G270)*24/Config!$B$19)*60),
  MEDIAN(60, 100, 60+(($G270-$T270)*24/Config!$B$20)*40)
)),"")
</f>
        <v/>
      </c>
      <c r="Y270" s="40" t="str">
        <f>IF($J270="","",IFERROR(VLOOKUP($J270,Grinders!$A:$N,10,FALSE),""))</f>
        <v/>
      </c>
      <c r="Z270" s="40" t="str">
        <f>IF($J270="","",IFERROR(VLOOKUP($J270,Grinders!$A:$N,11,FALSE),""))</f>
        <v/>
      </c>
      <c r="AA270" s="40" t="str">
        <f>IF($J270="","",IFERROR(VLOOKUP($J270,Grinders!$A:$N,12,FALSE),""))</f>
        <v/>
      </c>
      <c r="AB270" s="40" t="str">
        <f>IF(OR(AL270=1,AM270=1),0,=IFERROR(IF(OR($C270="",$J270=""),0,IF($D270&lt;&gt;"Open",0,IF(COUNTIFS(GrinderServices!$A:$A,$J270,GrinderServices!$B:$B,$E270,GrinderServices!$D:$D,"Y")=0,0,IF($U270&lt;Config!$B$16,0,IF(Config!$B$18=1,IF($N270&gt;=$M270,0,1),1))))),""))</f>
        <v>#ERROR!</v>
      </c>
      <c r="AC270" s="40" t="str">
        <f>IFERROR((IF(OR(AL270=1,AM270=1),"",=IFERROR((IFERROR(IF($AB270=0,"",((Config!$B$6*$V270 + Config!$B$7*$R270 + Config!$B$8*$W270 + Config!$B$9*$X270 + Config!$B$10*$Y270 + Config!$B$11*$Z270 - Config!$B$12*$AA270)/Config!$B$13)+$AH270+$AI270),""))*(1-IFERROR(VLOOKUP(J270,Grinders!$A:$AB, 28, FALSE),0)),"")))*(1+AO270),"")</f>
        <v>#ERROR!</v>
      </c>
      <c r="AD270" s="40" t="str">
        <f t="shared" si="4"/>
        <v/>
      </c>
      <c r="AE270" s="40" t="str">
        <f>IFERROR(__xludf.DUMMYFUNCTION("IF($AC270="""","""",IF($AC270=IFERROR(MAX(FILTER($AC$6:$AC$1000,$C$6:$C$1000=$C270,$AB$6:$AB$1000=1)),),""WINNER"",""""))"),"#ERROR!")</f>
        <v>#ERROR!</v>
      </c>
      <c r="AF270" s="40" t="str">
        <f t="shared" si="5"/>
        <v/>
      </c>
      <c r="AG270" s="40" t="str">
        <f>IF($J270="","",COUNTIF(Assignments!$B:$B,$J270))</f>
        <v/>
      </c>
      <c r="AH270" s="40" t="str">
        <f>IF($J270="","",IF(AND($AG270=0,$N270&lt;$M270),Config!$B$43,0))</f>
        <v/>
      </c>
      <c r="AI270" s="40" t="str">
        <f>IF($J270="","",IF(AND($L270="Elite",$F270&gt;=Config!$B$41,$N270&lt;$M270),Config!$B$42,0))</f>
        <v/>
      </c>
      <c r="AJ270" s="22"/>
      <c r="AK270" s="39">
        <f>IFERROR(VLOOKUP(J270,Grinders!$A:$Q,28,FALSE),0)</f>
        <v>0</v>
      </c>
      <c r="AL270" s="39">
        <f>IF(Config!$B$1003&lt;&gt;"Y",0,IF(IFERROR(VLOOKUP(J270,Grinders!$A:$P,27,FALSE),0)&gt;=3,IF(OR(F270&gt;=Config!$B$1001,ISNUMBER(SEARCH(E270,Config!$B$1002))),1,0),0))</f>
        <v>0</v>
      </c>
      <c r="AM270" s="39">
        <f t="array" ref="AM270">IFERROR(IF(INDEX(Bids!$AE:$AE,MATCH(B270,Bids!$A:$A,0))="Pending",1,0),0)</f>
        <v>0</v>
      </c>
      <c r="AN270" s="39" t="str">
        <f t="array" ref="AN270">IF(C270="","",IFERROR(XLOOKUP(C270,Assignments!$C:$C,Assignments!$AU:$AU,0),0))</f>
        <v/>
      </c>
      <c r="AO270" s="39">
        <f>IF(AND(Config!$B$1006="Y",AN270=1),Config!$B$1007,0)</f>
        <v>0</v>
      </c>
    </row>
    <row r="271" ht="15.75" customHeight="1">
      <c r="A271" s="46" t="str">
        <f t="shared" si="1"/>
        <v/>
      </c>
      <c r="B271" s="40" t="str">
        <f>IF(Bids!$A271="","",Bids!$A271)</f>
        <v/>
      </c>
      <c r="C271" s="40" t="str">
        <f>IF(Bids!$B271="","",Bids!$B271)</f>
        <v/>
      </c>
      <c r="D271" s="40" t="str">
        <f>IF($C271="","",IFERROR(VLOOKUP($C271,Orders!$A:$J,9,FALSE),""))</f>
        <v/>
      </c>
      <c r="E271" s="40" t="str">
        <f>IF($C271="","",IFERROR(VLOOKUP($C271,Orders!$A:$J,3,FALSE),""))</f>
        <v/>
      </c>
      <c r="F271" s="40" t="str">
        <f>IF($C271="","",IFERROR(VLOOKUP($C271,Orders!$A:$J,4,FALSE),""))</f>
        <v/>
      </c>
      <c r="G271" s="40" t="str">
        <f>IF($C271="","",IFERROR(VLOOKUP($C271,Orders!$A:$J,5,FALSE),""))</f>
        <v/>
      </c>
      <c r="H271" s="40" t="str">
        <f>IF($C271="","",IFERROR(VLOOKUP($C271,Orders!$A:$J,6,FALSE),""))</f>
        <v/>
      </c>
      <c r="I271" s="40" t="str">
        <f>IF($C271="","",IFERROR(VLOOKUP($C271,Orders!$A:$J,7,FALSE),""))</f>
        <v/>
      </c>
      <c r="J271" s="40" t="str">
        <f>IF(Bids!$C271="","",Bids!$C271)</f>
        <v/>
      </c>
      <c r="K271" s="40" t="str">
        <f>IF($J271="","",IFERROR(VLOOKUP($J271,Grinders!$A:$N,2,FALSE),""))</f>
        <v/>
      </c>
      <c r="L271" s="40" t="str">
        <f>IF($J271="","",IFERROR(VLOOKUP($J271,Grinders!$A:$N,3,FALSE),""))</f>
        <v/>
      </c>
      <c r="M271" s="40" t="str">
        <f>IF($J271="","",IFERROR(VLOOKUP($J271,Grinders!$A:$N,4,FALSE),""))</f>
        <v/>
      </c>
      <c r="N271" s="40" t="str">
        <f>IF($J271="","",IFERROR(VLOOKUP($J271,Grinders!$A:$N,5,FALSE),""))</f>
        <v/>
      </c>
      <c r="O271" s="40" t="str">
        <f t="shared" si="2"/>
        <v/>
      </c>
      <c r="P271" s="40" t="str">
        <f>IF($J271="","",IFERROR(VLOOKUP($J271,Grinders!$A:$N,6,FALSE),""))</f>
        <v/>
      </c>
      <c r="Q271" s="40" t="str">
        <f>IF($J271="","",IFERROR(VLOOKUP($J271,Grinders!$A:$N,8,FALSE),""))</f>
        <v/>
      </c>
      <c r="R271" s="40" t="str">
        <f>IFERROR(IF($J271="","",IF($L271="Elite",MAX(50,MIN(100,Config!$B$27*MAX(0,MIN(100,(1-IF($O271="",0,$O271))*100)) + Config!$B$28*MAX(0,MIN(100,(1-MIN(1,IF(Config!$B$30=0,1,$P271/Config!$B$30)))*100)) + Config!$B$29*MAX(0,MIN(100,MIN(1,IF($Q271="",0,$Q271)/Config!$B$23)*100)))),MIN(100,Config!$B$27*MAX(0,MIN(100,(1-IF($O271="",0,$O271))*100)) + Config!$B$28*MAX(0,MIN(100,(1-MIN(1,IF(Config!$B$30=0,1,$P271/Config!$B$30)))*100)) + Config!$B$29*MAX(0,MIN(100,MIN(1,IF($Q271="",0,$Q271)/Config!$B$23)*100))))),"")
</f>
        <v/>
      </c>
      <c r="S271" s="40" t="str">
        <f>IF(Bids!$AC271="","",Bids!$AC271)</f>
        <v/>
      </c>
      <c r="T271" s="40" t="str">
        <f>IF(Bids!$F271="","",Bids!$F271)</f>
        <v/>
      </c>
      <c r="U271" s="40" t="str">
        <f t="shared" si="3"/>
        <v/>
      </c>
      <c r="V271" s="40" t="str">
        <f>IF($U271="","",IF(Config!$B$17=Config!$B$16,IF($U271&gt;=Config!$B$17,100,0),MAX(0,MIN(100,($U271-Config!$B$16)/(Config!$B$17-Config!$B$16)*100))))</f>
        <v/>
      </c>
      <c r="W271" s="40">
        <f>IF($L271="Elite",Config!$B$21,0)</f>
        <v>0</v>
      </c>
      <c r="X271" s="40" t="str">
        <f>IFERROR(IF(OR($T271="",$G271=""),"",IF($T271&gt;$G271,
  MAX(0, 60-(($T271-$G271)*24/Config!$B$19)*60),
  MEDIAN(60, 100, 60+(($G271-$T271)*24/Config!$B$20)*40)
)),"")
</f>
        <v/>
      </c>
      <c r="Y271" s="40" t="str">
        <f>IF($J271="","",IFERROR(VLOOKUP($J271,Grinders!$A:$N,10,FALSE),""))</f>
        <v/>
      </c>
      <c r="Z271" s="40" t="str">
        <f>IF($J271="","",IFERROR(VLOOKUP($J271,Grinders!$A:$N,11,FALSE),""))</f>
        <v/>
      </c>
      <c r="AA271" s="40" t="str">
        <f>IF($J271="","",IFERROR(VLOOKUP($J271,Grinders!$A:$N,12,FALSE),""))</f>
        <v/>
      </c>
      <c r="AB271" s="40" t="str">
        <f>IF(OR(AL271=1,AM271=1),0,=IFERROR(IF(OR($C271="",$J271=""),0,IF($D271&lt;&gt;"Open",0,IF(COUNTIFS(GrinderServices!$A:$A,$J271,GrinderServices!$B:$B,$E271,GrinderServices!$D:$D,"Y")=0,0,IF($U271&lt;Config!$B$16,0,IF(Config!$B$18=1,IF($N271&gt;=$M271,0,1),1))))),""))</f>
        <v>#ERROR!</v>
      </c>
      <c r="AC271" s="40" t="str">
        <f>IFERROR((IF(OR(AL271=1,AM271=1),"",=IFERROR((IFERROR(IF($AB271=0,"",((Config!$B$6*$V271 + Config!$B$7*$R271 + Config!$B$8*$W271 + Config!$B$9*$X271 + Config!$B$10*$Y271 + Config!$B$11*$Z271 - Config!$B$12*$AA271)/Config!$B$13)+$AH271+$AI271),""))*(1-IFERROR(VLOOKUP(J271,Grinders!$A:$AB, 28, FALSE),0)),"")))*(1+AO271),"")</f>
        <v>#ERROR!</v>
      </c>
      <c r="AD271" s="40" t="str">
        <f t="shared" si="4"/>
        <v/>
      </c>
      <c r="AE271" s="40" t="str">
        <f>IFERROR(__xludf.DUMMYFUNCTION("IF($AC271="""","""",IF($AC271=IFERROR(MAX(FILTER($AC$6:$AC$1000,$C$6:$C$1000=$C271,$AB$6:$AB$1000=1)),),""WINNER"",""""))"),"#ERROR!")</f>
        <v>#ERROR!</v>
      </c>
      <c r="AF271" s="40" t="str">
        <f t="shared" si="5"/>
        <v/>
      </c>
      <c r="AG271" s="40" t="str">
        <f>IF($J271="","",COUNTIF(Assignments!$B:$B,$J271))</f>
        <v/>
      </c>
      <c r="AH271" s="40" t="str">
        <f>IF($J271="","",IF(AND($AG271=0,$N271&lt;$M271),Config!$B$43,0))</f>
        <v/>
      </c>
      <c r="AI271" s="40" t="str">
        <f>IF($J271="","",IF(AND($L271="Elite",$F271&gt;=Config!$B$41,$N271&lt;$M271),Config!$B$42,0))</f>
        <v/>
      </c>
      <c r="AJ271" s="22"/>
      <c r="AK271" s="39">
        <f>IFERROR(VLOOKUP(J271,Grinders!$A:$Q,28,FALSE),0)</f>
        <v>0</v>
      </c>
      <c r="AL271" s="39">
        <f>IF(Config!$B$1003&lt;&gt;"Y",0,IF(IFERROR(VLOOKUP(J271,Grinders!$A:$P,27,FALSE),0)&gt;=3,IF(OR(F271&gt;=Config!$B$1001,ISNUMBER(SEARCH(E271,Config!$B$1002))),1,0),0))</f>
        <v>0</v>
      </c>
      <c r="AM271" s="39">
        <f t="array" ref="AM271">IFERROR(IF(INDEX(Bids!$AE:$AE,MATCH(B271,Bids!$A:$A,0))="Pending",1,0),0)</f>
        <v>0</v>
      </c>
      <c r="AN271" s="39" t="str">
        <f t="array" ref="AN271">IF(C271="","",IFERROR(XLOOKUP(C271,Assignments!$C:$C,Assignments!$AU:$AU,0),0))</f>
        <v/>
      </c>
      <c r="AO271" s="39">
        <f>IF(AND(Config!$B$1006="Y",AN271=1),Config!$B$1007,0)</f>
        <v>0</v>
      </c>
    </row>
    <row r="272" ht="15.75" customHeight="1">
      <c r="A272" s="46" t="str">
        <f t="shared" si="1"/>
        <v/>
      </c>
      <c r="B272" s="40" t="str">
        <f>IF(Bids!$A272="","",Bids!$A272)</f>
        <v/>
      </c>
      <c r="C272" s="40" t="str">
        <f>IF(Bids!$B272="","",Bids!$B272)</f>
        <v/>
      </c>
      <c r="D272" s="40" t="str">
        <f>IF($C272="","",IFERROR(VLOOKUP($C272,Orders!$A:$J,9,FALSE),""))</f>
        <v/>
      </c>
      <c r="E272" s="40" t="str">
        <f>IF($C272="","",IFERROR(VLOOKUP($C272,Orders!$A:$J,3,FALSE),""))</f>
        <v/>
      </c>
      <c r="F272" s="40" t="str">
        <f>IF($C272="","",IFERROR(VLOOKUP($C272,Orders!$A:$J,4,FALSE),""))</f>
        <v/>
      </c>
      <c r="G272" s="40" t="str">
        <f>IF($C272="","",IFERROR(VLOOKUP($C272,Orders!$A:$J,5,FALSE),""))</f>
        <v/>
      </c>
      <c r="H272" s="40" t="str">
        <f>IF($C272="","",IFERROR(VLOOKUP($C272,Orders!$A:$J,6,FALSE),""))</f>
        <v/>
      </c>
      <c r="I272" s="40" t="str">
        <f>IF($C272="","",IFERROR(VLOOKUP($C272,Orders!$A:$J,7,FALSE),""))</f>
        <v/>
      </c>
      <c r="J272" s="40" t="str">
        <f>IF(Bids!$C272="","",Bids!$C272)</f>
        <v/>
      </c>
      <c r="K272" s="40" t="str">
        <f>IF($J272="","",IFERROR(VLOOKUP($J272,Grinders!$A:$N,2,FALSE),""))</f>
        <v/>
      </c>
      <c r="L272" s="40" t="str">
        <f>IF($J272="","",IFERROR(VLOOKUP($J272,Grinders!$A:$N,3,FALSE),""))</f>
        <v/>
      </c>
      <c r="M272" s="40" t="str">
        <f>IF($J272="","",IFERROR(VLOOKUP($J272,Grinders!$A:$N,4,FALSE),""))</f>
        <v/>
      </c>
      <c r="N272" s="40" t="str">
        <f>IF($J272="","",IFERROR(VLOOKUP($J272,Grinders!$A:$N,5,FALSE),""))</f>
        <v/>
      </c>
      <c r="O272" s="40" t="str">
        <f t="shared" si="2"/>
        <v/>
      </c>
      <c r="P272" s="40" t="str">
        <f>IF($J272="","",IFERROR(VLOOKUP($J272,Grinders!$A:$N,6,FALSE),""))</f>
        <v/>
      </c>
      <c r="Q272" s="40" t="str">
        <f>IF($J272="","",IFERROR(VLOOKUP($J272,Grinders!$A:$N,8,FALSE),""))</f>
        <v/>
      </c>
      <c r="R272" s="40" t="str">
        <f>IFERROR(IF($J272="","",IF($L272="Elite",MAX(50,MIN(100,Config!$B$27*MAX(0,MIN(100,(1-IF($O272="",0,$O272))*100)) + Config!$B$28*MAX(0,MIN(100,(1-MIN(1,IF(Config!$B$30=0,1,$P272/Config!$B$30)))*100)) + Config!$B$29*MAX(0,MIN(100,MIN(1,IF($Q272="",0,$Q272)/Config!$B$23)*100)))),MIN(100,Config!$B$27*MAX(0,MIN(100,(1-IF($O272="",0,$O272))*100)) + Config!$B$28*MAX(0,MIN(100,(1-MIN(1,IF(Config!$B$30=0,1,$P272/Config!$B$30)))*100)) + Config!$B$29*MAX(0,MIN(100,MIN(1,IF($Q272="",0,$Q272)/Config!$B$23)*100))))),"")
</f>
        <v/>
      </c>
      <c r="S272" s="40" t="str">
        <f>IF(Bids!$AC272="","",Bids!$AC272)</f>
        <v/>
      </c>
      <c r="T272" s="40" t="str">
        <f>IF(Bids!$F272="","",Bids!$F272)</f>
        <v/>
      </c>
      <c r="U272" s="40" t="str">
        <f t="shared" si="3"/>
        <v/>
      </c>
      <c r="V272" s="40" t="str">
        <f>IF($U272="","",IF(Config!$B$17=Config!$B$16,IF($U272&gt;=Config!$B$17,100,0),MAX(0,MIN(100,($U272-Config!$B$16)/(Config!$B$17-Config!$B$16)*100))))</f>
        <v/>
      </c>
      <c r="W272" s="40">
        <f>IF($L272="Elite",Config!$B$21,0)</f>
        <v>0</v>
      </c>
      <c r="X272" s="40" t="str">
        <f>IFERROR(IF(OR($T272="",$G272=""),"",IF($T272&gt;$G272,
  MAX(0, 60-(($T272-$G272)*24/Config!$B$19)*60),
  MEDIAN(60, 100, 60+(($G272-$T272)*24/Config!$B$20)*40)
)),"")
</f>
        <v/>
      </c>
      <c r="Y272" s="40" t="str">
        <f>IF($J272="","",IFERROR(VLOOKUP($J272,Grinders!$A:$N,10,FALSE),""))</f>
        <v/>
      </c>
      <c r="Z272" s="40" t="str">
        <f>IF($J272="","",IFERROR(VLOOKUP($J272,Grinders!$A:$N,11,FALSE),""))</f>
        <v/>
      </c>
      <c r="AA272" s="40" t="str">
        <f>IF($J272="","",IFERROR(VLOOKUP($J272,Grinders!$A:$N,12,FALSE),""))</f>
        <v/>
      </c>
      <c r="AB272" s="40" t="str">
        <f>IF(OR(AL272=1,AM272=1),0,=IFERROR(IF(OR($C272="",$J272=""),0,IF($D272&lt;&gt;"Open",0,IF(COUNTIFS(GrinderServices!$A:$A,$J272,GrinderServices!$B:$B,$E272,GrinderServices!$D:$D,"Y")=0,0,IF($U272&lt;Config!$B$16,0,IF(Config!$B$18=1,IF($N272&gt;=$M272,0,1),1))))),""))</f>
        <v>#ERROR!</v>
      </c>
      <c r="AC272" s="40" t="str">
        <f>IFERROR((IF(OR(AL272=1,AM272=1),"",=IFERROR((IFERROR(IF($AB272=0,"",((Config!$B$6*$V272 + Config!$B$7*$R272 + Config!$B$8*$W272 + Config!$B$9*$X272 + Config!$B$10*$Y272 + Config!$B$11*$Z272 - Config!$B$12*$AA272)/Config!$B$13)+$AH272+$AI272),""))*(1-IFERROR(VLOOKUP(J272,Grinders!$A:$AB, 28, FALSE),0)),"")))*(1+AO272),"")</f>
        <v>#ERROR!</v>
      </c>
      <c r="AD272" s="40" t="str">
        <f t="shared" si="4"/>
        <v/>
      </c>
      <c r="AE272" s="40" t="str">
        <f>IFERROR(__xludf.DUMMYFUNCTION("IF($AC272="""","""",IF($AC272=IFERROR(MAX(FILTER($AC$6:$AC$1000,$C$6:$C$1000=$C272,$AB$6:$AB$1000=1)),),""WINNER"",""""))"),"#ERROR!")</f>
        <v>#ERROR!</v>
      </c>
      <c r="AF272" s="40" t="str">
        <f t="shared" si="5"/>
        <v/>
      </c>
      <c r="AG272" s="40" t="str">
        <f>IF($J272="","",COUNTIF(Assignments!$B:$B,$J272))</f>
        <v/>
      </c>
      <c r="AH272" s="40" t="str">
        <f>IF($J272="","",IF(AND($AG272=0,$N272&lt;$M272),Config!$B$43,0))</f>
        <v/>
      </c>
      <c r="AI272" s="40" t="str">
        <f>IF($J272="","",IF(AND($L272="Elite",$F272&gt;=Config!$B$41,$N272&lt;$M272),Config!$B$42,0))</f>
        <v/>
      </c>
      <c r="AJ272" s="22"/>
      <c r="AK272" s="39">
        <f>IFERROR(VLOOKUP(J272,Grinders!$A:$Q,28,FALSE),0)</f>
        <v>0</v>
      </c>
      <c r="AL272" s="39">
        <f>IF(Config!$B$1003&lt;&gt;"Y",0,IF(IFERROR(VLOOKUP(J272,Grinders!$A:$P,27,FALSE),0)&gt;=3,IF(OR(F272&gt;=Config!$B$1001,ISNUMBER(SEARCH(E272,Config!$B$1002))),1,0),0))</f>
        <v>0</v>
      </c>
      <c r="AM272" s="39">
        <f t="array" ref="AM272">IFERROR(IF(INDEX(Bids!$AE:$AE,MATCH(B272,Bids!$A:$A,0))="Pending",1,0),0)</f>
        <v>0</v>
      </c>
      <c r="AN272" s="39" t="str">
        <f t="array" ref="AN272">IF(C272="","",IFERROR(XLOOKUP(C272,Assignments!$C:$C,Assignments!$AU:$AU,0),0))</f>
        <v/>
      </c>
      <c r="AO272" s="39">
        <f>IF(AND(Config!$B$1006="Y",AN272=1),Config!$B$1007,0)</f>
        <v>0</v>
      </c>
    </row>
    <row r="273" ht="15.75" customHeight="1">
      <c r="A273" s="46" t="str">
        <f t="shared" si="1"/>
        <v/>
      </c>
      <c r="B273" s="40" t="str">
        <f>IF(Bids!$A273="","",Bids!$A273)</f>
        <v/>
      </c>
      <c r="C273" s="40" t="str">
        <f>IF(Bids!$B273="","",Bids!$B273)</f>
        <v/>
      </c>
      <c r="D273" s="40" t="str">
        <f>IF($C273="","",IFERROR(VLOOKUP($C273,Orders!$A:$J,9,FALSE),""))</f>
        <v/>
      </c>
      <c r="E273" s="40" t="str">
        <f>IF($C273="","",IFERROR(VLOOKUP($C273,Orders!$A:$J,3,FALSE),""))</f>
        <v/>
      </c>
      <c r="F273" s="40" t="str">
        <f>IF($C273="","",IFERROR(VLOOKUP($C273,Orders!$A:$J,4,FALSE),""))</f>
        <v/>
      </c>
      <c r="G273" s="40" t="str">
        <f>IF($C273="","",IFERROR(VLOOKUP($C273,Orders!$A:$J,5,FALSE),""))</f>
        <v/>
      </c>
      <c r="H273" s="40" t="str">
        <f>IF($C273="","",IFERROR(VLOOKUP($C273,Orders!$A:$J,6,FALSE),""))</f>
        <v/>
      </c>
      <c r="I273" s="40" t="str">
        <f>IF($C273="","",IFERROR(VLOOKUP($C273,Orders!$A:$J,7,FALSE),""))</f>
        <v/>
      </c>
      <c r="J273" s="40" t="str">
        <f>IF(Bids!$C273="","",Bids!$C273)</f>
        <v/>
      </c>
      <c r="K273" s="40" t="str">
        <f>IF($J273="","",IFERROR(VLOOKUP($J273,Grinders!$A:$N,2,FALSE),""))</f>
        <v/>
      </c>
      <c r="L273" s="40" t="str">
        <f>IF($J273="","",IFERROR(VLOOKUP($J273,Grinders!$A:$N,3,FALSE),""))</f>
        <v/>
      </c>
      <c r="M273" s="40" t="str">
        <f>IF($J273="","",IFERROR(VLOOKUP($J273,Grinders!$A:$N,4,FALSE),""))</f>
        <v/>
      </c>
      <c r="N273" s="40" t="str">
        <f>IF($J273="","",IFERROR(VLOOKUP($J273,Grinders!$A:$N,5,FALSE),""))</f>
        <v/>
      </c>
      <c r="O273" s="40" t="str">
        <f t="shared" si="2"/>
        <v/>
      </c>
      <c r="P273" s="40" t="str">
        <f>IF($J273="","",IFERROR(VLOOKUP($J273,Grinders!$A:$N,6,FALSE),""))</f>
        <v/>
      </c>
      <c r="Q273" s="40" t="str">
        <f>IF($J273="","",IFERROR(VLOOKUP($J273,Grinders!$A:$N,8,FALSE),""))</f>
        <v/>
      </c>
      <c r="R273" s="40" t="str">
        <f>IFERROR(IF($J273="","",IF($L273="Elite",MAX(50,MIN(100,Config!$B$27*MAX(0,MIN(100,(1-IF($O273="",0,$O273))*100)) + Config!$B$28*MAX(0,MIN(100,(1-MIN(1,IF(Config!$B$30=0,1,$P273/Config!$B$30)))*100)) + Config!$B$29*MAX(0,MIN(100,MIN(1,IF($Q273="",0,$Q273)/Config!$B$23)*100)))),MIN(100,Config!$B$27*MAX(0,MIN(100,(1-IF($O273="",0,$O273))*100)) + Config!$B$28*MAX(0,MIN(100,(1-MIN(1,IF(Config!$B$30=0,1,$P273/Config!$B$30)))*100)) + Config!$B$29*MAX(0,MIN(100,MIN(1,IF($Q273="",0,$Q273)/Config!$B$23)*100))))),"")
</f>
        <v/>
      </c>
      <c r="S273" s="40" t="str">
        <f>IF(Bids!$AC273="","",Bids!$AC273)</f>
        <v/>
      </c>
      <c r="T273" s="40" t="str">
        <f>IF(Bids!$F273="","",Bids!$F273)</f>
        <v/>
      </c>
      <c r="U273" s="40" t="str">
        <f t="shared" si="3"/>
        <v/>
      </c>
      <c r="V273" s="40" t="str">
        <f>IF($U273="","",IF(Config!$B$17=Config!$B$16,IF($U273&gt;=Config!$B$17,100,0),MAX(0,MIN(100,($U273-Config!$B$16)/(Config!$B$17-Config!$B$16)*100))))</f>
        <v/>
      </c>
      <c r="W273" s="40">
        <f>IF($L273="Elite",Config!$B$21,0)</f>
        <v>0</v>
      </c>
      <c r="X273" s="40" t="str">
        <f>IFERROR(IF(OR($T273="",$G273=""),"",IF($T273&gt;$G273,
  MAX(0, 60-(($T273-$G273)*24/Config!$B$19)*60),
  MEDIAN(60, 100, 60+(($G273-$T273)*24/Config!$B$20)*40)
)),"")
</f>
        <v/>
      </c>
      <c r="Y273" s="40" t="str">
        <f>IF($J273="","",IFERROR(VLOOKUP($J273,Grinders!$A:$N,10,FALSE),""))</f>
        <v/>
      </c>
      <c r="Z273" s="40" t="str">
        <f>IF($J273="","",IFERROR(VLOOKUP($J273,Grinders!$A:$N,11,FALSE),""))</f>
        <v/>
      </c>
      <c r="AA273" s="40" t="str">
        <f>IF($J273="","",IFERROR(VLOOKUP($J273,Grinders!$A:$N,12,FALSE),""))</f>
        <v/>
      </c>
      <c r="AB273" s="40" t="str">
        <f>IF(OR(AL273=1,AM273=1),0,=IFERROR(IF(OR($C273="",$J273=""),0,IF($D273&lt;&gt;"Open",0,IF(COUNTIFS(GrinderServices!$A:$A,$J273,GrinderServices!$B:$B,$E273,GrinderServices!$D:$D,"Y")=0,0,IF($U273&lt;Config!$B$16,0,IF(Config!$B$18=1,IF($N273&gt;=$M273,0,1),1))))),""))</f>
        <v>#ERROR!</v>
      </c>
      <c r="AC273" s="40" t="str">
        <f>IFERROR((IF(OR(AL273=1,AM273=1),"",=IFERROR((IFERROR(IF($AB273=0,"",((Config!$B$6*$V273 + Config!$B$7*$R273 + Config!$B$8*$W273 + Config!$B$9*$X273 + Config!$B$10*$Y273 + Config!$B$11*$Z273 - Config!$B$12*$AA273)/Config!$B$13)+$AH273+$AI273),""))*(1-IFERROR(VLOOKUP(J273,Grinders!$A:$AB, 28, FALSE),0)),"")))*(1+AO273),"")</f>
        <v>#ERROR!</v>
      </c>
      <c r="AD273" s="40" t="str">
        <f t="shared" si="4"/>
        <v/>
      </c>
      <c r="AE273" s="40" t="str">
        <f>IFERROR(__xludf.DUMMYFUNCTION("IF($AC273="""","""",IF($AC273=IFERROR(MAX(FILTER($AC$6:$AC$1000,$C$6:$C$1000=$C273,$AB$6:$AB$1000=1)),),""WINNER"",""""))"),"#ERROR!")</f>
        <v>#ERROR!</v>
      </c>
      <c r="AF273" s="40" t="str">
        <f t="shared" si="5"/>
        <v/>
      </c>
      <c r="AG273" s="40" t="str">
        <f>IF($J273="","",COUNTIF(Assignments!$B:$B,$J273))</f>
        <v/>
      </c>
      <c r="AH273" s="40" t="str">
        <f>IF($J273="","",IF(AND($AG273=0,$N273&lt;$M273),Config!$B$43,0))</f>
        <v/>
      </c>
      <c r="AI273" s="40" t="str">
        <f>IF($J273="","",IF(AND($L273="Elite",$F273&gt;=Config!$B$41,$N273&lt;$M273),Config!$B$42,0))</f>
        <v/>
      </c>
      <c r="AJ273" s="22"/>
      <c r="AK273" s="39">
        <f>IFERROR(VLOOKUP(J273,Grinders!$A:$Q,28,FALSE),0)</f>
        <v>0</v>
      </c>
      <c r="AL273" s="39">
        <f>IF(Config!$B$1003&lt;&gt;"Y",0,IF(IFERROR(VLOOKUP(J273,Grinders!$A:$P,27,FALSE),0)&gt;=3,IF(OR(F273&gt;=Config!$B$1001,ISNUMBER(SEARCH(E273,Config!$B$1002))),1,0),0))</f>
        <v>0</v>
      </c>
      <c r="AM273" s="39">
        <f t="array" ref="AM273">IFERROR(IF(INDEX(Bids!$AE:$AE,MATCH(B273,Bids!$A:$A,0))="Pending",1,0),0)</f>
        <v>0</v>
      </c>
      <c r="AN273" s="39" t="str">
        <f t="array" ref="AN273">IF(C273="","",IFERROR(XLOOKUP(C273,Assignments!$C:$C,Assignments!$AU:$AU,0),0))</f>
        <v/>
      </c>
      <c r="AO273" s="39">
        <f>IF(AND(Config!$B$1006="Y",AN273=1),Config!$B$1007,0)</f>
        <v>0</v>
      </c>
    </row>
    <row r="274" ht="15.75" customHeight="1">
      <c r="A274" s="46" t="str">
        <f t="shared" si="1"/>
        <v/>
      </c>
      <c r="B274" s="40" t="str">
        <f>IF(Bids!$A274="","",Bids!$A274)</f>
        <v/>
      </c>
      <c r="C274" s="40" t="str">
        <f>IF(Bids!$B274="","",Bids!$B274)</f>
        <v/>
      </c>
      <c r="D274" s="40" t="str">
        <f>IF($C274="","",IFERROR(VLOOKUP($C274,Orders!$A:$J,9,FALSE),""))</f>
        <v/>
      </c>
      <c r="E274" s="40" t="str">
        <f>IF($C274="","",IFERROR(VLOOKUP($C274,Orders!$A:$J,3,FALSE),""))</f>
        <v/>
      </c>
      <c r="F274" s="40" t="str">
        <f>IF($C274="","",IFERROR(VLOOKUP($C274,Orders!$A:$J,4,FALSE),""))</f>
        <v/>
      </c>
      <c r="G274" s="40" t="str">
        <f>IF($C274="","",IFERROR(VLOOKUP($C274,Orders!$A:$J,5,FALSE),""))</f>
        <v/>
      </c>
      <c r="H274" s="40" t="str">
        <f>IF($C274="","",IFERROR(VLOOKUP($C274,Orders!$A:$J,6,FALSE),""))</f>
        <v/>
      </c>
      <c r="I274" s="40" t="str">
        <f>IF($C274="","",IFERROR(VLOOKUP($C274,Orders!$A:$J,7,FALSE),""))</f>
        <v/>
      </c>
      <c r="J274" s="40" t="str">
        <f>IF(Bids!$C274="","",Bids!$C274)</f>
        <v/>
      </c>
      <c r="K274" s="40" t="str">
        <f>IF($J274="","",IFERROR(VLOOKUP($J274,Grinders!$A:$N,2,FALSE),""))</f>
        <v/>
      </c>
      <c r="L274" s="40" t="str">
        <f>IF($J274="","",IFERROR(VLOOKUP($J274,Grinders!$A:$N,3,FALSE),""))</f>
        <v/>
      </c>
      <c r="M274" s="40" t="str">
        <f>IF($J274="","",IFERROR(VLOOKUP($J274,Grinders!$A:$N,4,FALSE),""))</f>
        <v/>
      </c>
      <c r="N274" s="40" t="str">
        <f>IF($J274="","",IFERROR(VLOOKUP($J274,Grinders!$A:$N,5,FALSE),""))</f>
        <v/>
      </c>
      <c r="O274" s="40" t="str">
        <f t="shared" si="2"/>
        <v/>
      </c>
      <c r="P274" s="40" t="str">
        <f>IF($J274="","",IFERROR(VLOOKUP($J274,Grinders!$A:$N,6,FALSE),""))</f>
        <v/>
      </c>
      <c r="Q274" s="40" t="str">
        <f>IF($J274="","",IFERROR(VLOOKUP($J274,Grinders!$A:$N,8,FALSE),""))</f>
        <v/>
      </c>
      <c r="R274" s="40" t="str">
        <f>IFERROR(IF($J274="","",IF($L274="Elite",MAX(50,MIN(100,Config!$B$27*MAX(0,MIN(100,(1-IF($O274="",0,$O274))*100)) + Config!$B$28*MAX(0,MIN(100,(1-MIN(1,IF(Config!$B$30=0,1,$P274/Config!$B$30)))*100)) + Config!$B$29*MAX(0,MIN(100,MIN(1,IF($Q274="",0,$Q274)/Config!$B$23)*100)))),MIN(100,Config!$B$27*MAX(0,MIN(100,(1-IF($O274="",0,$O274))*100)) + Config!$B$28*MAX(0,MIN(100,(1-MIN(1,IF(Config!$B$30=0,1,$P274/Config!$B$30)))*100)) + Config!$B$29*MAX(0,MIN(100,MIN(1,IF($Q274="",0,$Q274)/Config!$B$23)*100))))),"")
</f>
        <v/>
      </c>
      <c r="S274" s="40" t="str">
        <f>IF(Bids!$AC274="","",Bids!$AC274)</f>
        <v/>
      </c>
      <c r="T274" s="40" t="str">
        <f>IF(Bids!$F274="","",Bids!$F274)</f>
        <v/>
      </c>
      <c r="U274" s="40" t="str">
        <f t="shared" si="3"/>
        <v/>
      </c>
      <c r="V274" s="40" t="str">
        <f>IF($U274="","",IF(Config!$B$17=Config!$B$16,IF($U274&gt;=Config!$B$17,100,0),MAX(0,MIN(100,($U274-Config!$B$16)/(Config!$B$17-Config!$B$16)*100))))</f>
        <v/>
      </c>
      <c r="W274" s="40">
        <f>IF($L274="Elite",Config!$B$21,0)</f>
        <v>0</v>
      </c>
      <c r="X274" s="40" t="str">
        <f>IFERROR(IF(OR($T274="",$G274=""),"",IF($T274&gt;$G274,
  MAX(0, 60-(($T274-$G274)*24/Config!$B$19)*60),
  MEDIAN(60, 100, 60+(($G274-$T274)*24/Config!$B$20)*40)
)),"")
</f>
        <v/>
      </c>
      <c r="Y274" s="40" t="str">
        <f>IF($J274="","",IFERROR(VLOOKUP($J274,Grinders!$A:$N,10,FALSE),""))</f>
        <v/>
      </c>
      <c r="Z274" s="40" t="str">
        <f>IF($J274="","",IFERROR(VLOOKUP($J274,Grinders!$A:$N,11,FALSE),""))</f>
        <v/>
      </c>
      <c r="AA274" s="40" t="str">
        <f>IF($J274="","",IFERROR(VLOOKUP($J274,Grinders!$A:$N,12,FALSE),""))</f>
        <v/>
      </c>
      <c r="AB274" s="40" t="str">
        <f>IF(OR(AL274=1,AM274=1),0,=IFERROR(IF(OR($C274="",$J274=""),0,IF($D274&lt;&gt;"Open",0,IF(COUNTIFS(GrinderServices!$A:$A,$J274,GrinderServices!$B:$B,$E274,GrinderServices!$D:$D,"Y")=0,0,IF($U274&lt;Config!$B$16,0,IF(Config!$B$18=1,IF($N274&gt;=$M274,0,1),1))))),""))</f>
        <v>#ERROR!</v>
      </c>
      <c r="AC274" s="40" t="str">
        <f>IFERROR((IF(OR(AL274=1,AM274=1),"",=IFERROR((IFERROR(IF($AB274=0,"",((Config!$B$6*$V274 + Config!$B$7*$R274 + Config!$B$8*$W274 + Config!$B$9*$X274 + Config!$B$10*$Y274 + Config!$B$11*$Z274 - Config!$B$12*$AA274)/Config!$B$13)+$AH274+$AI274),""))*(1-IFERROR(VLOOKUP(J274,Grinders!$A:$AB, 28, FALSE),0)),"")))*(1+AO274),"")</f>
        <v>#ERROR!</v>
      </c>
      <c r="AD274" s="40" t="str">
        <f t="shared" si="4"/>
        <v/>
      </c>
      <c r="AE274" s="40" t="str">
        <f>IFERROR(__xludf.DUMMYFUNCTION("IF($AC274="""","""",IF($AC274=IFERROR(MAX(FILTER($AC$6:$AC$1000,$C$6:$C$1000=$C274,$AB$6:$AB$1000=1)),),""WINNER"",""""))"),"#ERROR!")</f>
        <v>#ERROR!</v>
      </c>
      <c r="AF274" s="40" t="str">
        <f t="shared" si="5"/>
        <v/>
      </c>
      <c r="AG274" s="40" t="str">
        <f>IF($J274="","",COUNTIF(Assignments!$B:$B,$J274))</f>
        <v/>
      </c>
      <c r="AH274" s="40" t="str">
        <f>IF($J274="","",IF(AND($AG274=0,$N274&lt;$M274),Config!$B$43,0))</f>
        <v/>
      </c>
      <c r="AI274" s="40" t="str">
        <f>IF($J274="","",IF(AND($L274="Elite",$F274&gt;=Config!$B$41,$N274&lt;$M274),Config!$B$42,0))</f>
        <v/>
      </c>
      <c r="AJ274" s="22"/>
      <c r="AK274" s="39">
        <f>IFERROR(VLOOKUP(J274,Grinders!$A:$Q,28,FALSE),0)</f>
        <v>0</v>
      </c>
      <c r="AL274" s="39">
        <f>IF(Config!$B$1003&lt;&gt;"Y",0,IF(IFERROR(VLOOKUP(J274,Grinders!$A:$P,27,FALSE),0)&gt;=3,IF(OR(F274&gt;=Config!$B$1001,ISNUMBER(SEARCH(E274,Config!$B$1002))),1,0),0))</f>
        <v>0</v>
      </c>
      <c r="AM274" s="39">
        <f t="array" ref="AM274">IFERROR(IF(INDEX(Bids!$AE:$AE,MATCH(B274,Bids!$A:$A,0))="Pending",1,0),0)</f>
        <v>0</v>
      </c>
      <c r="AN274" s="39" t="str">
        <f t="array" ref="AN274">IF(C274="","",IFERROR(XLOOKUP(C274,Assignments!$C:$C,Assignments!$AU:$AU,0),0))</f>
        <v/>
      </c>
      <c r="AO274" s="39">
        <f>IF(AND(Config!$B$1006="Y",AN274=1),Config!$B$1007,0)</f>
        <v>0</v>
      </c>
    </row>
    <row r="275" ht="15.75" customHeight="1">
      <c r="A275" s="46" t="str">
        <f t="shared" si="1"/>
        <v/>
      </c>
      <c r="B275" s="40" t="str">
        <f>IF(Bids!$A275="","",Bids!$A275)</f>
        <v/>
      </c>
      <c r="C275" s="40" t="str">
        <f>IF(Bids!$B275="","",Bids!$B275)</f>
        <v/>
      </c>
      <c r="D275" s="40" t="str">
        <f>IF($C275="","",IFERROR(VLOOKUP($C275,Orders!$A:$J,9,FALSE),""))</f>
        <v/>
      </c>
      <c r="E275" s="40" t="str">
        <f>IF($C275="","",IFERROR(VLOOKUP($C275,Orders!$A:$J,3,FALSE),""))</f>
        <v/>
      </c>
      <c r="F275" s="40" t="str">
        <f>IF($C275="","",IFERROR(VLOOKUP($C275,Orders!$A:$J,4,FALSE),""))</f>
        <v/>
      </c>
      <c r="G275" s="40" t="str">
        <f>IF($C275="","",IFERROR(VLOOKUP($C275,Orders!$A:$J,5,FALSE),""))</f>
        <v/>
      </c>
      <c r="H275" s="40" t="str">
        <f>IF($C275="","",IFERROR(VLOOKUP($C275,Orders!$A:$J,6,FALSE),""))</f>
        <v/>
      </c>
      <c r="I275" s="40" t="str">
        <f>IF($C275="","",IFERROR(VLOOKUP($C275,Orders!$A:$J,7,FALSE),""))</f>
        <v/>
      </c>
      <c r="J275" s="40" t="str">
        <f>IF(Bids!$C275="","",Bids!$C275)</f>
        <v/>
      </c>
      <c r="K275" s="40" t="str">
        <f>IF($J275="","",IFERROR(VLOOKUP($J275,Grinders!$A:$N,2,FALSE),""))</f>
        <v/>
      </c>
      <c r="L275" s="40" t="str">
        <f>IF($J275="","",IFERROR(VLOOKUP($J275,Grinders!$A:$N,3,FALSE),""))</f>
        <v/>
      </c>
      <c r="M275" s="40" t="str">
        <f>IF($J275="","",IFERROR(VLOOKUP($J275,Grinders!$A:$N,4,FALSE),""))</f>
        <v/>
      </c>
      <c r="N275" s="40" t="str">
        <f>IF($J275="","",IFERROR(VLOOKUP($J275,Grinders!$A:$N,5,FALSE),""))</f>
        <v/>
      </c>
      <c r="O275" s="40" t="str">
        <f t="shared" si="2"/>
        <v/>
      </c>
      <c r="P275" s="40" t="str">
        <f>IF($J275="","",IFERROR(VLOOKUP($J275,Grinders!$A:$N,6,FALSE),""))</f>
        <v/>
      </c>
      <c r="Q275" s="40" t="str">
        <f>IF($J275="","",IFERROR(VLOOKUP($J275,Grinders!$A:$N,8,FALSE),""))</f>
        <v/>
      </c>
      <c r="R275" s="40" t="str">
        <f>IFERROR(IF($J275="","",IF($L275="Elite",MAX(50,MIN(100,Config!$B$27*MAX(0,MIN(100,(1-IF($O275="",0,$O275))*100)) + Config!$B$28*MAX(0,MIN(100,(1-MIN(1,IF(Config!$B$30=0,1,$P275/Config!$B$30)))*100)) + Config!$B$29*MAX(0,MIN(100,MIN(1,IF($Q275="",0,$Q275)/Config!$B$23)*100)))),MIN(100,Config!$B$27*MAX(0,MIN(100,(1-IF($O275="",0,$O275))*100)) + Config!$B$28*MAX(0,MIN(100,(1-MIN(1,IF(Config!$B$30=0,1,$P275/Config!$B$30)))*100)) + Config!$B$29*MAX(0,MIN(100,MIN(1,IF($Q275="",0,$Q275)/Config!$B$23)*100))))),"")
</f>
        <v/>
      </c>
      <c r="S275" s="40" t="str">
        <f>IF(Bids!$AC275="","",Bids!$AC275)</f>
        <v/>
      </c>
      <c r="T275" s="40" t="str">
        <f>IF(Bids!$F275="","",Bids!$F275)</f>
        <v/>
      </c>
      <c r="U275" s="40" t="str">
        <f t="shared" si="3"/>
        <v/>
      </c>
      <c r="V275" s="40" t="str">
        <f>IF($U275="","",IF(Config!$B$17=Config!$B$16,IF($U275&gt;=Config!$B$17,100,0),MAX(0,MIN(100,($U275-Config!$B$16)/(Config!$B$17-Config!$B$16)*100))))</f>
        <v/>
      </c>
      <c r="W275" s="40">
        <f>IF($L275="Elite",Config!$B$21,0)</f>
        <v>0</v>
      </c>
      <c r="X275" s="40" t="str">
        <f>IFERROR(IF(OR($T275="",$G275=""),"",IF($T275&gt;$G275,
  MAX(0, 60-(($T275-$G275)*24/Config!$B$19)*60),
  MEDIAN(60, 100, 60+(($G275-$T275)*24/Config!$B$20)*40)
)),"")
</f>
        <v/>
      </c>
      <c r="Y275" s="40" t="str">
        <f>IF($J275="","",IFERROR(VLOOKUP($J275,Grinders!$A:$N,10,FALSE),""))</f>
        <v/>
      </c>
      <c r="Z275" s="40" t="str">
        <f>IF($J275="","",IFERROR(VLOOKUP($J275,Grinders!$A:$N,11,FALSE),""))</f>
        <v/>
      </c>
      <c r="AA275" s="40" t="str">
        <f>IF($J275="","",IFERROR(VLOOKUP($J275,Grinders!$A:$N,12,FALSE),""))</f>
        <v/>
      </c>
      <c r="AB275" s="40" t="str">
        <f>IF(OR(AL275=1,AM275=1),0,=IFERROR(IF(OR($C275="",$J275=""),0,IF($D275&lt;&gt;"Open",0,IF(COUNTIFS(GrinderServices!$A:$A,$J275,GrinderServices!$B:$B,$E275,GrinderServices!$D:$D,"Y")=0,0,IF($U275&lt;Config!$B$16,0,IF(Config!$B$18=1,IF($N275&gt;=$M275,0,1),1))))),""))</f>
        <v>#ERROR!</v>
      </c>
      <c r="AC275" s="40" t="str">
        <f>IFERROR((IF(OR(AL275=1,AM275=1),"",=IFERROR((IFERROR(IF($AB275=0,"",((Config!$B$6*$V275 + Config!$B$7*$R275 + Config!$B$8*$W275 + Config!$B$9*$X275 + Config!$B$10*$Y275 + Config!$B$11*$Z275 - Config!$B$12*$AA275)/Config!$B$13)+$AH275+$AI275),""))*(1-IFERROR(VLOOKUP(J275,Grinders!$A:$AB, 28, FALSE),0)),"")))*(1+AO275),"")</f>
        <v>#ERROR!</v>
      </c>
      <c r="AD275" s="40" t="str">
        <f t="shared" si="4"/>
        <v/>
      </c>
      <c r="AE275" s="40" t="str">
        <f>IFERROR(__xludf.DUMMYFUNCTION("IF($AC275="""","""",IF($AC275=IFERROR(MAX(FILTER($AC$6:$AC$1000,$C$6:$C$1000=$C275,$AB$6:$AB$1000=1)),),""WINNER"",""""))"),"#ERROR!")</f>
        <v>#ERROR!</v>
      </c>
      <c r="AF275" s="40" t="str">
        <f t="shared" si="5"/>
        <v/>
      </c>
      <c r="AG275" s="40" t="str">
        <f>IF($J275="","",COUNTIF(Assignments!$B:$B,$J275))</f>
        <v/>
      </c>
      <c r="AH275" s="40" t="str">
        <f>IF($J275="","",IF(AND($AG275=0,$N275&lt;$M275),Config!$B$43,0))</f>
        <v/>
      </c>
      <c r="AI275" s="40" t="str">
        <f>IF($J275="","",IF(AND($L275="Elite",$F275&gt;=Config!$B$41,$N275&lt;$M275),Config!$B$42,0))</f>
        <v/>
      </c>
      <c r="AJ275" s="22"/>
      <c r="AK275" s="39">
        <f>IFERROR(VLOOKUP(J275,Grinders!$A:$Q,28,FALSE),0)</f>
        <v>0</v>
      </c>
      <c r="AL275" s="39">
        <f>IF(Config!$B$1003&lt;&gt;"Y",0,IF(IFERROR(VLOOKUP(J275,Grinders!$A:$P,27,FALSE),0)&gt;=3,IF(OR(F275&gt;=Config!$B$1001,ISNUMBER(SEARCH(E275,Config!$B$1002))),1,0),0))</f>
        <v>0</v>
      </c>
      <c r="AM275" s="39">
        <f t="array" ref="AM275">IFERROR(IF(INDEX(Bids!$AE:$AE,MATCH(B275,Bids!$A:$A,0))="Pending",1,0),0)</f>
        <v>0</v>
      </c>
      <c r="AN275" s="39" t="str">
        <f t="array" ref="AN275">IF(C275="","",IFERROR(XLOOKUP(C275,Assignments!$C:$C,Assignments!$AU:$AU,0),0))</f>
        <v/>
      </c>
      <c r="AO275" s="39">
        <f>IF(AND(Config!$B$1006="Y",AN275=1),Config!$B$1007,0)</f>
        <v>0</v>
      </c>
    </row>
    <row r="276" ht="15.75" customHeight="1">
      <c r="A276" s="46" t="str">
        <f t="shared" si="1"/>
        <v/>
      </c>
      <c r="B276" s="40" t="str">
        <f>IF(Bids!$A276="","",Bids!$A276)</f>
        <v/>
      </c>
      <c r="C276" s="40" t="str">
        <f>IF(Bids!$B276="","",Bids!$B276)</f>
        <v/>
      </c>
      <c r="D276" s="40" t="str">
        <f>IF($C276="","",IFERROR(VLOOKUP($C276,Orders!$A:$J,9,FALSE),""))</f>
        <v/>
      </c>
      <c r="E276" s="40" t="str">
        <f>IF($C276="","",IFERROR(VLOOKUP($C276,Orders!$A:$J,3,FALSE),""))</f>
        <v/>
      </c>
      <c r="F276" s="40" t="str">
        <f>IF($C276="","",IFERROR(VLOOKUP($C276,Orders!$A:$J,4,FALSE),""))</f>
        <v/>
      </c>
      <c r="G276" s="40" t="str">
        <f>IF($C276="","",IFERROR(VLOOKUP($C276,Orders!$A:$J,5,FALSE),""))</f>
        <v/>
      </c>
      <c r="H276" s="40" t="str">
        <f>IF($C276="","",IFERROR(VLOOKUP($C276,Orders!$A:$J,6,FALSE),""))</f>
        <v/>
      </c>
      <c r="I276" s="40" t="str">
        <f>IF($C276="","",IFERROR(VLOOKUP($C276,Orders!$A:$J,7,FALSE),""))</f>
        <v/>
      </c>
      <c r="J276" s="40" t="str">
        <f>IF(Bids!$C276="","",Bids!$C276)</f>
        <v/>
      </c>
      <c r="K276" s="40" t="str">
        <f>IF($J276="","",IFERROR(VLOOKUP($J276,Grinders!$A:$N,2,FALSE),""))</f>
        <v/>
      </c>
      <c r="L276" s="40" t="str">
        <f>IF($J276="","",IFERROR(VLOOKUP($J276,Grinders!$A:$N,3,FALSE),""))</f>
        <v/>
      </c>
      <c r="M276" s="40" t="str">
        <f>IF($J276="","",IFERROR(VLOOKUP($J276,Grinders!$A:$N,4,FALSE),""))</f>
        <v/>
      </c>
      <c r="N276" s="40" t="str">
        <f>IF($J276="","",IFERROR(VLOOKUP($J276,Grinders!$A:$N,5,FALSE),""))</f>
        <v/>
      </c>
      <c r="O276" s="40" t="str">
        <f t="shared" si="2"/>
        <v/>
      </c>
      <c r="P276" s="40" t="str">
        <f>IF($J276="","",IFERROR(VLOOKUP($J276,Grinders!$A:$N,6,FALSE),""))</f>
        <v/>
      </c>
      <c r="Q276" s="40" t="str">
        <f>IF($J276="","",IFERROR(VLOOKUP($J276,Grinders!$A:$N,8,FALSE),""))</f>
        <v/>
      </c>
      <c r="R276" s="40" t="str">
        <f>IFERROR(IF($J276="","",IF($L276="Elite",MAX(50,MIN(100,Config!$B$27*MAX(0,MIN(100,(1-IF($O276="",0,$O276))*100)) + Config!$B$28*MAX(0,MIN(100,(1-MIN(1,IF(Config!$B$30=0,1,$P276/Config!$B$30)))*100)) + Config!$B$29*MAX(0,MIN(100,MIN(1,IF($Q276="",0,$Q276)/Config!$B$23)*100)))),MIN(100,Config!$B$27*MAX(0,MIN(100,(1-IF($O276="",0,$O276))*100)) + Config!$B$28*MAX(0,MIN(100,(1-MIN(1,IF(Config!$B$30=0,1,$P276/Config!$B$30)))*100)) + Config!$B$29*MAX(0,MIN(100,MIN(1,IF($Q276="",0,$Q276)/Config!$B$23)*100))))),"")
</f>
        <v/>
      </c>
      <c r="S276" s="40" t="str">
        <f>IF(Bids!$AC276="","",Bids!$AC276)</f>
        <v/>
      </c>
      <c r="T276" s="40" t="str">
        <f>IF(Bids!$F276="","",Bids!$F276)</f>
        <v/>
      </c>
      <c r="U276" s="40" t="str">
        <f t="shared" si="3"/>
        <v/>
      </c>
      <c r="V276" s="40" t="str">
        <f>IF($U276="","",IF(Config!$B$17=Config!$B$16,IF($U276&gt;=Config!$B$17,100,0),MAX(0,MIN(100,($U276-Config!$B$16)/(Config!$B$17-Config!$B$16)*100))))</f>
        <v/>
      </c>
      <c r="W276" s="40">
        <f>IF($L276="Elite",Config!$B$21,0)</f>
        <v>0</v>
      </c>
      <c r="X276" s="40" t="str">
        <f>IFERROR(IF(OR($T276="",$G276=""),"",IF($T276&gt;$G276,
  MAX(0, 60-(($T276-$G276)*24/Config!$B$19)*60),
  MEDIAN(60, 100, 60+(($G276-$T276)*24/Config!$B$20)*40)
)),"")
</f>
        <v/>
      </c>
      <c r="Y276" s="40" t="str">
        <f>IF($J276="","",IFERROR(VLOOKUP($J276,Grinders!$A:$N,10,FALSE),""))</f>
        <v/>
      </c>
      <c r="Z276" s="40" t="str">
        <f>IF($J276="","",IFERROR(VLOOKUP($J276,Grinders!$A:$N,11,FALSE),""))</f>
        <v/>
      </c>
      <c r="AA276" s="40" t="str">
        <f>IF($J276="","",IFERROR(VLOOKUP($J276,Grinders!$A:$N,12,FALSE),""))</f>
        <v/>
      </c>
      <c r="AB276" s="40" t="str">
        <f>IF(OR(AL276=1,AM276=1),0,=IFERROR(IF(OR($C276="",$J276=""),0,IF($D276&lt;&gt;"Open",0,IF(COUNTIFS(GrinderServices!$A:$A,$J276,GrinderServices!$B:$B,$E276,GrinderServices!$D:$D,"Y")=0,0,IF($U276&lt;Config!$B$16,0,IF(Config!$B$18=1,IF($N276&gt;=$M276,0,1),1))))),""))</f>
        <v>#ERROR!</v>
      </c>
      <c r="AC276" s="40" t="str">
        <f>IFERROR((IF(OR(AL276=1,AM276=1),"",=IFERROR((IFERROR(IF($AB276=0,"",((Config!$B$6*$V276 + Config!$B$7*$R276 + Config!$B$8*$W276 + Config!$B$9*$X276 + Config!$B$10*$Y276 + Config!$B$11*$Z276 - Config!$B$12*$AA276)/Config!$B$13)+$AH276+$AI276),""))*(1-IFERROR(VLOOKUP(J276,Grinders!$A:$AB, 28, FALSE),0)),"")))*(1+AO276),"")</f>
        <v>#ERROR!</v>
      </c>
      <c r="AD276" s="40" t="str">
        <f t="shared" si="4"/>
        <v/>
      </c>
      <c r="AE276" s="40" t="str">
        <f>IFERROR(__xludf.DUMMYFUNCTION("IF($AC276="""","""",IF($AC276=IFERROR(MAX(FILTER($AC$6:$AC$1000,$C$6:$C$1000=$C276,$AB$6:$AB$1000=1)),),""WINNER"",""""))"),"#ERROR!")</f>
        <v>#ERROR!</v>
      </c>
      <c r="AF276" s="40" t="str">
        <f t="shared" si="5"/>
        <v/>
      </c>
      <c r="AG276" s="40" t="str">
        <f>IF($J276="","",COUNTIF(Assignments!$B:$B,$J276))</f>
        <v/>
      </c>
      <c r="AH276" s="40" t="str">
        <f>IF($J276="","",IF(AND($AG276=0,$N276&lt;$M276),Config!$B$43,0))</f>
        <v/>
      </c>
      <c r="AI276" s="40" t="str">
        <f>IF($J276="","",IF(AND($L276="Elite",$F276&gt;=Config!$B$41,$N276&lt;$M276),Config!$B$42,0))</f>
        <v/>
      </c>
      <c r="AJ276" s="22"/>
      <c r="AK276" s="39">
        <f>IFERROR(VLOOKUP(J276,Grinders!$A:$Q,28,FALSE),0)</f>
        <v>0</v>
      </c>
      <c r="AL276" s="39">
        <f>IF(Config!$B$1003&lt;&gt;"Y",0,IF(IFERROR(VLOOKUP(J276,Grinders!$A:$P,27,FALSE),0)&gt;=3,IF(OR(F276&gt;=Config!$B$1001,ISNUMBER(SEARCH(E276,Config!$B$1002))),1,0),0))</f>
        <v>0</v>
      </c>
      <c r="AM276" s="39">
        <f t="array" ref="AM276">IFERROR(IF(INDEX(Bids!$AE:$AE,MATCH(B276,Bids!$A:$A,0))="Pending",1,0),0)</f>
        <v>0</v>
      </c>
      <c r="AN276" s="39" t="str">
        <f t="array" ref="AN276">IF(C276="","",IFERROR(XLOOKUP(C276,Assignments!$C:$C,Assignments!$AU:$AU,0),0))</f>
        <v/>
      </c>
      <c r="AO276" s="39">
        <f>IF(AND(Config!$B$1006="Y",AN276=1),Config!$B$1007,0)</f>
        <v>0</v>
      </c>
    </row>
    <row r="277" ht="15.75" customHeight="1">
      <c r="A277" s="46" t="str">
        <f t="shared" si="1"/>
        <v/>
      </c>
      <c r="B277" s="40" t="str">
        <f>IF(Bids!$A277="","",Bids!$A277)</f>
        <v/>
      </c>
      <c r="C277" s="40" t="str">
        <f>IF(Bids!$B277="","",Bids!$B277)</f>
        <v/>
      </c>
      <c r="D277" s="40" t="str">
        <f>IF($C277="","",IFERROR(VLOOKUP($C277,Orders!$A:$J,9,FALSE),""))</f>
        <v/>
      </c>
      <c r="E277" s="40" t="str">
        <f>IF($C277="","",IFERROR(VLOOKUP($C277,Orders!$A:$J,3,FALSE),""))</f>
        <v/>
      </c>
      <c r="F277" s="40" t="str">
        <f>IF($C277="","",IFERROR(VLOOKUP($C277,Orders!$A:$J,4,FALSE),""))</f>
        <v/>
      </c>
      <c r="G277" s="40" t="str">
        <f>IF($C277="","",IFERROR(VLOOKUP($C277,Orders!$A:$J,5,FALSE),""))</f>
        <v/>
      </c>
      <c r="H277" s="40" t="str">
        <f>IF($C277="","",IFERROR(VLOOKUP($C277,Orders!$A:$J,6,FALSE),""))</f>
        <v/>
      </c>
      <c r="I277" s="40" t="str">
        <f>IF($C277="","",IFERROR(VLOOKUP($C277,Orders!$A:$J,7,FALSE),""))</f>
        <v/>
      </c>
      <c r="J277" s="40" t="str">
        <f>IF(Bids!$C277="","",Bids!$C277)</f>
        <v/>
      </c>
      <c r="K277" s="40" t="str">
        <f>IF($J277="","",IFERROR(VLOOKUP($J277,Grinders!$A:$N,2,FALSE),""))</f>
        <v/>
      </c>
      <c r="L277" s="40" t="str">
        <f>IF($J277="","",IFERROR(VLOOKUP($J277,Grinders!$A:$N,3,FALSE),""))</f>
        <v/>
      </c>
      <c r="M277" s="40" t="str">
        <f>IF($J277="","",IFERROR(VLOOKUP($J277,Grinders!$A:$N,4,FALSE),""))</f>
        <v/>
      </c>
      <c r="N277" s="40" t="str">
        <f>IF($J277="","",IFERROR(VLOOKUP($J277,Grinders!$A:$N,5,FALSE),""))</f>
        <v/>
      </c>
      <c r="O277" s="40" t="str">
        <f t="shared" si="2"/>
        <v/>
      </c>
      <c r="P277" s="40" t="str">
        <f>IF($J277="","",IFERROR(VLOOKUP($J277,Grinders!$A:$N,6,FALSE),""))</f>
        <v/>
      </c>
      <c r="Q277" s="40" t="str">
        <f>IF($J277="","",IFERROR(VLOOKUP($J277,Grinders!$A:$N,8,FALSE),""))</f>
        <v/>
      </c>
      <c r="R277" s="40" t="str">
        <f>IFERROR(IF($J277="","",IF($L277="Elite",MAX(50,MIN(100,Config!$B$27*MAX(0,MIN(100,(1-IF($O277="",0,$O277))*100)) + Config!$B$28*MAX(0,MIN(100,(1-MIN(1,IF(Config!$B$30=0,1,$P277/Config!$B$30)))*100)) + Config!$B$29*MAX(0,MIN(100,MIN(1,IF($Q277="",0,$Q277)/Config!$B$23)*100)))),MIN(100,Config!$B$27*MAX(0,MIN(100,(1-IF($O277="",0,$O277))*100)) + Config!$B$28*MAX(0,MIN(100,(1-MIN(1,IF(Config!$B$30=0,1,$P277/Config!$B$30)))*100)) + Config!$B$29*MAX(0,MIN(100,MIN(1,IF($Q277="",0,$Q277)/Config!$B$23)*100))))),"")
</f>
        <v/>
      </c>
      <c r="S277" s="40" t="str">
        <f>IF(Bids!$AC277="","",Bids!$AC277)</f>
        <v/>
      </c>
      <c r="T277" s="40" t="str">
        <f>IF(Bids!$F277="","",Bids!$F277)</f>
        <v/>
      </c>
      <c r="U277" s="40" t="str">
        <f t="shared" si="3"/>
        <v/>
      </c>
      <c r="V277" s="40" t="str">
        <f>IF($U277="","",IF(Config!$B$17=Config!$B$16,IF($U277&gt;=Config!$B$17,100,0),MAX(0,MIN(100,($U277-Config!$B$16)/(Config!$B$17-Config!$B$16)*100))))</f>
        <v/>
      </c>
      <c r="W277" s="40">
        <f>IF($L277="Elite",Config!$B$21,0)</f>
        <v>0</v>
      </c>
      <c r="X277" s="40" t="str">
        <f>IFERROR(IF(OR($T277="",$G277=""),"",IF($T277&gt;$G277,
  MAX(0, 60-(($T277-$G277)*24/Config!$B$19)*60),
  MEDIAN(60, 100, 60+(($G277-$T277)*24/Config!$B$20)*40)
)),"")
</f>
        <v/>
      </c>
      <c r="Y277" s="40" t="str">
        <f>IF($J277="","",IFERROR(VLOOKUP($J277,Grinders!$A:$N,10,FALSE),""))</f>
        <v/>
      </c>
      <c r="Z277" s="40" t="str">
        <f>IF($J277="","",IFERROR(VLOOKUP($J277,Grinders!$A:$N,11,FALSE),""))</f>
        <v/>
      </c>
      <c r="AA277" s="40" t="str">
        <f>IF($J277="","",IFERROR(VLOOKUP($J277,Grinders!$A:$N,12,FALSE),""))</f>
        <v/>
      </c>
      <c r="AB277" s="40" t="str">
        <f>IF(OR(AL277=1,AM277=1),0,=IFERROR(IF(OR($C277="",$J277=""),0,IF($D277&lt;&gt;"Open",0,IF(COUNTIFS(GrinderServices!$A:$A,$J277,GrinderServices!$B:$B,$E277,GrinderServices!$D:$D,"Y")=0,0,IF($U277&lt;Config!$B$16,0,IF(Config!$B$18=1,IF($N277&gt;=$M277,0,1),1))))),""))</f>
        <v>#ERROR!</v>
      </c>
      <c r="AC277" s="40" t="str">
        <f>IFERROR((IF(OR(AL277=1,AM277=1),"",=IFERROR((IFERROR(IF($AB277=0,"",((Config!$B$6*$V277 + Config!$B$7*$R277 + Config!$B$8*$W277 + Config!$B$9*$X277 + Config!$B$10*$Y277 + Config!$B$11*$Z277 - Config!$B$12*$AA277)/Config!$B$13)+$AH277+$AI277),""))*(1-IFERROR(VLOOKUP(J277,Grinders!$A:$AB, 28, FALSE),0)),"")))*(1+AO277),"")</f>
        <v>#ERROR!</v>
      </c>
      <c r="AD277" s="40" t="str">
        <f t="shared" si="4"/>
        <v/>
      </c>
      <c r="AE277" s="40" t="str">
        <f>IFERROR(__xludf.DUMMYFUNCTION("IF($AC277="""","""",IF($AC277=IFERROR(MAX(FILTER($AC$6:$AC$1000,$C$6:$C$1000=$C277,$AB$6:$AB$1000=1)),),""WINNER"",""""))"),"#ERROR!")</f>
        <v>#ERROR!</v>
      </c>
      <c r="AF277" s="40" t="str">
        <f t="shared" si="5"/>
        <v/>
      </c>
      <c r="AG277" s="40" t="str">
        <f>IF($J277="","",COUNTIF(Assignments!$B:$B,$J277))</f>
        <v/>
      </c>
      <c r="AH277" s="40" t="str">
        <f>IF($J277="","",IF(AND($AG277=0,$N277&lt;$M277),Config!$B$43,0))</f>
        <v/>
      </c>
      <c r="AI277" s="40" t="str">
        <f>IF($J277="","",IF(AND($L277="Elite",$F277&gt;=Config!$B$41,$N277&lt;$M277),Config!$B$42,0))</f>
        <v/>
      </c>
      <c r="AJ277" s="22"/>
      <c r="AK277" s="39">
        <f>IFERROR(VLOOKUP(J277,Grinders!$A:$Q,28,FALSE),0)</f>
        <v>0</v>
      </c>
      <c r="AL277" s="39">
        <f>IF(Config!$B$1003&lt;&gt;"Y",0,IF(IFERROR(VLOOKUP(J277,Grinders!$A:$P,27,FALSE),0)&gt;=3,IF(OR(F277&gt;=Config!$B$1001,ISNUMBER(SEARCH(E277,Config!$B$1002))),1,0),0))</f>
        <v>0</v>
      </c>
      <c r="AM277" s="39">
        <f t="array" ref="AM277">IFERROR(IF(INDEX(Bids!$AE:$AE,MATCH(B277,Bids!$A:$A,0))="Pending",1,0),0)</f>
        <v>0</v>
      </c>
      <c r="AN277" s="39" t="str">
        <f t="array" ref="AN277">IF(C277="","",IFERROR(XLOOKUP(C277,Assignments!$C:$C,Assignments!$AU:$AU,0),0))</f>
        <v/>
      </c>
      <c r="AO277" s="39">
        <f>IF(AND(Config!$B$1006="Y",AN277=1),Config!$B$1007,0)</f>
        <v>0</v>
      </c>
    </row>
    <row r="278" ht="15.75" customHeight="1">
      <c r="A278" s="46" t="str">
        <f t="shared" si="1"/>
        <v/>
      </c>
      <c r="B278" s="40" t="str">
        <f>IF(Bids!$A278="","",Bids!$A278)</f>
        <v/>
      </c>
      <c r="C278" s="40" t="str">
        <f>IF(Bids!$B278="","",Bids!$B278)</f>
        <v/>
      </c>
      <c r="D278" s="40" t="str">
        <f>IF($C278="","",IFERROR(VLOOKUP($C278,Orders!$A:$J,9,FALSE),""))</f>
        <v/>
      </c>
      <c r="E278" s="40" t="str">
        <f>IF($C278="","",IFERROR(VLOOKUP($C278,Orders!$A:$J,3,FALSE),""))</f>
        <v/>
      </c>
      <c r="F278" s="40" t="str">
        <f>IF($C278="","",IFERROR(VLOOKUP($C278,Orders!$A:$J,4,FALSE),""))</f>
        <v/>
      </c>
      <c r="G278" s="40" t="str">
        <f>IF($C278="","",IFERROR(VLOOKUP($C278,Orders!$A:$J,5,FALSE),""))</f>
        <v/>
      </c>
      <c r="H278" s="40" t="str">
        <f>IF($C278="","",IFERROR(VLOOKUP($C278,Orders!$A:$J,6,FALSE),""))</f>
        <v/>
      </c>
      <c r="I278" s="40" t="str">
        <f>IF($C278="","",IFERROR(VLOOKUP($C278,Orders!$A:$J,7,FALSE),""))</f>
        <v/>
      </c>
      <c r="J278" s="40" t="str">
        <f>IF(Bids!$C278="","",Bids!$C278)</f>
        <v/>
      </c>
      <c r="K278" s="40" t="str">
        <f>IF($J278="","",IFERROR(VLOOKUP($J278,Grinders!$A:$N,2,FALSE),""))</f>
        <v/>
      </c>
      <c r="L278" s="40" t="str">
        <f>IF($J278="","",IFERROR(VLOOKUP($J278,Grinders!$A:$N,3,FALSE),""))</f>
        <v/>
      </c>
      <c r="M278" s="40" t="str">
        <f>IF($J278="","",IFERROR(VLOOKUP($J278,Grinders!$A:$N,4,FALSE),""))</f>
        <v/>
      </c>
      <c r="N278" s="40" t="str">
        <f>IF($J278="","",IFERROR(VLOOKUP($J278,Grinders!$A:$N,5,FALSE),""))</f>
        <v/>
      </c>
      <c r="O278" s="40" t="str">
        <f t="shared" si="2"/>
        <v/>
      </c>
      <c r="P278" s="40" t="str">
        <f>IF($J278="","",IFERROR(VLOOKUP($J278,Grinders!$A:$N,6,FALSE),""))</f>
        <v/>
      </c>
      <c r="Q278" s="40" t="str">
        <f>IF($J278="","",IFERROR(VLOOKUP($J278,Grinders!$A:$N,8,FALSE),""))</f>
        <v/>
      </c>
      <c r="R278" s="40" t="str">
        <f>IFERROR(IF($J278="","",IF($L278="Elite",MAX(50,MIN(100,Config!$B$27*MAX(0,MIN(100,(1-IF($O278="",0,$O278))*100)) + Config!$B$28*MAX(0,MIN(100,(1-MIN(1,IF(Config!$B$30=0,1,$P278/Config!$B$30)))*100)) + Config!$B$29*MAX(0,MIN(100,MIN(1,IF($Q278="",0,$Q278)/Config!$B$23)*100)))),MIN(100,Config!$B$27*MAX(0,MIN(100,(1-IF($O278="",0,$O278))*100)) + Config!$B$28*MAX(0,MIN(100,(1-MIN(1,IF(Config!$B$30=0,1,$P278/Config!$B$30)))*100)) + Config!$B$29*MAX(0,MIN(100,MIN(1,IF($Q278="",0,$Q278)/Config!$B$23)*100))))),"")
</f>
        <v/>
      </c>
      <c r="S278" s="40" t="str">
        <f>IF(Bids!$AC278="","",Bids!$AC278)</f>
        <v/>
      </c>
      <c r="T278" s="40" t="str">
        <f>IF(Bids!$F278="","",Bids!$F278)</f>
        <v/>
      </c>
      <c r="U278" s="40" t="str">
        <f t="shared" si="3"/>
        <v/>
      </c>
      <c r="V278" s="40" t="str">
        <f>IF($U278="","",IF(Config!$B$17=Config!$B$16,IF($U278&gt;=Config!$B$17,100,0),MAX(0,MIN(100,($U278-Config!$B$16)/(Config!$B$17-Config!$B$16)*100))))</f>
        <v/>
      </c>
      <c r="W278" s="40">
        <f>IF($L278="Elite",Config!$B$21,0)</f>
        <v>0</v>
      </c>
      <c r="X278" s="40" t="str">
        <f>IFERROR(IF(OR($T278="",$G278=""),"",IF($T278&gt;$G278,
  MAX(0, 60-(($T278-$G278)*24/Config!$B$19)*60),
  MEDIAN(60, 100, 60+(($G278-$T278)*24/Config!$B$20)*40)
)),"")
</f>
        <v/>
      </c>
      <c r="Y278" s="40" t="str">
        <f>IF($J278="","",IFERROR(VLOOKUP($J278,Grinders!$A:$N,10,FALSE),""))</f>
        <v/>
      </c>
      <c r="Z278" s="40" t="str">
        <f>IF($J278="","",IFERROR(VLOOKUP($J278,Grinders!$A:$N,11,FALSE),""))</f>
        <v/>
      </c>
      <c r="AA278" s="40" t="str">
        <f>IF($J278="","",IFERROR(VLOOKUP($J278,Grinders!$A:$N,12,FALSE),""))</f>
        <v/>
      </c>
      <c r="AB278" s="40" t="str">
        <f>IF(OR(AL278=1,AM278=1),0,=IFERROR(IF(OR($C278="",$J278=""),0,IF($D278&lt;&gt;"Open",0,IF(COUNTIFS(GrinderServices!$A:$A,$J278,GrinderServices!$B:$B,$E278,GrinderServices!$D:$D,"Y")=0,0,IF($U278&lt;Config!$B$16,0,IF(Config!$B$18=1,IF($N278&gt;=$M278,0,1),1))))),""))</f>
        <v>#ERROR!</v>
      </c>
      <c r="AC278" s="40" t="str">
        <f>IFERROR((IF(OR(AL278=1,AM278=1),"",=IFERROR((IFERROR(IF($AB278=0,"",((Config!$B$6*$V278 + Config!$B$7*$R278 + Config!$B$8*$W278 + Config!$B$9*$X278 + Config!$B$10*$Y278 + Config!$B$11*$Z278 - Config!$B$12*$AA278)/Config!$B$13)+$AH278+$AI278),""))*(1-IFERROR(VLOOKUP(J278,Grinders!$A:$AB, 28, FALSE),0)),"")))*(1+AO278),"")</f>
        <v>#ERROR!</v>
      </c>
      <c r="AD278" s="40" t="str">
        <f t="shared" si="4"/>
        <v/>
      </c>
      <c r="AE278" s="40" t="str">
        <f>IFERROR(__xludf.DUMMYFUNCTION("IF($AC278="""","""",IF($AC278=IFERROR(MAX(FILTER($AC$6:$AC$1000,$C$6:$C$1000=$C278,$AB$6:$AB$1000=1)),),""WINNER"",""""))"),"#ERROR!")</f>
        <v>#ERROR!</v>
      </c>
      <c r="AF278" s="40" t="str">
        <f t="shared" si="5"/>
        <v/>
      </c>
      <c r="AG278" s="40" t="str">
        <f>IF($J278="","",COUNTIF(Assignments!$B:$B,$J278))</f>
        <v/>
      </c>
      <c r="AH278" s="40" t="str">
        <f>IF($J278="","",IF(AND($AG278=0,$N278&lt;$M278),Config!$B$43,0))</f>
        <v/>
      </c>
      <c r="AI278" s="40" t="str">
        <f>IF($J278="","",IF(AND($L278="Elite",$F278&gt;=Config!$B$41,$N278&lt;$M278),Config!$B$42,0))</f>
        <v/>
      </c>
      <c r="AJ278" s="22"/>
      <c r="AK278" s="39">
        <f>IFERROR(VLOOKUP(J278,Grinders!$A:$Q,28,FALSE),0)</f>
        <v>0</v>
      </c>
      <c r="AL278" s="39">
        <f>IF(Config!$B$1003&lt;&gt;"Y",0,IF(IFERROR(VLOOKUP(J278,Grinders!$A:$P,27,FALSE),0)&gt;=3,IF(OR(F278&gt;=Config!$B$1001,ISNUMBER(SEARCH(E278,Config!$B$1002))),1,0),0))</f>
        <v>0</v>
      </c>
      <c r="AM278" s="39">
        <f t="array" ref="AM278">IFERROR(IF(INDEX(Bids!$AE:$AE,MATCH(B278,Bids!$A:$A,0))="Pending",1,0),0)</f>
        <v>0</v>
      </c>
      <c r="AN278" s="39" t="str">
        <f t="array" ref="AN278">IF(C278="","",IFERROR(XLOOKUP(C278,Assignments!$C:$C,Assignments!$AU:$AU,0),0))</f>
        <v/>
      </c>
      <c r="AO278" s="39">
        <f>IF(AND(Config!$B$1006="Y",AN278=1),Config!$B$1007,0)</f>
        <v>0</v>
      </c>
    </row>
    <row r="279" ht="15.75" customHeight="1">
      <c r="A279" s="46" t="str">
        <f t="shared" si="1"/>
        <v/>
      </c>
      <c r="B279" s="40" t="str">
        <f>IF(Bids!$A279="","",Bids!$A279)</f>
        <v/>
      </c>
      <c r="C279" s="40" t="str">
        <f>IF(Bids!$B279="","",Bids!$B279)</f>
        <v/>
      </c>
      <c r="D279" s="40" t="str">
        <f>IF($C279="","",IFERROR(VLOOKUP($C279,Orders!$A:$J,9,FALSE),""))</f>
        <v/>
      </c>
      <c r="E279" s="40" t="str">
        <f>IF($C279="","",IFERROR(VLOOKUP($C279,Orders!$A:$J,3,FALSE),""))</f>
        <v/>
      </c>
      <c r="F279" s="40" t="str">
        <f>IF($C279="","",IFERROR(VLOOKUP($C279,Orders!$A:$J,4,FALSE),""))</f>
        <v/>
      </c>
      <c r="G279" s="40" t="str">
        <f>IF($C279="","",IFERROR(VLOOKUP($C279,Orders!$A:$J,5,FALSE),""))</f>
        <v/>
      </c>
      <c r="H279" s="40" t="str">
        <f>IF($C279="","",IFERROR(VLOOKUP($C279,Orders!$A:$J,6,FALSE),""))</f>
        <v/>
      </c>
      <c r="I279" s="40" t="str">
        <f>IF($C279="","",IFERROR(VLOOKUP($C279,Orders!$A:$J,7,FALSE),""))</f>
        <v/>
      </c>
      <c r="J279" s="40" t="str">
        <f>IF(Bids!$C279="","",Bids!$C279)</f>
        <v/>
      </c>
      <c r="K279" s="40" t="str">
        <f>IF($J279="","",IFERROR(VLOOKUP($J279,Grinders!$A:$N,2,FALSE),""))</f>
        <v/>
      </c>
      <c r="L279" s="40" t="str">
        <f>IF($J279="","",IFERROR(VLOOKUP($J279,Grinders!$A:$N,3,FALSE),""))</f>
        <v/>
      </c>
      <c r="M279" s="40" t="str">
        <f>IF($J279="","",IFERROR(VLOOKUP($J279,Grinders!$A:$N,4,FALSE),""))</f>
        <v/>
      </c>
      <c r="N279" s="40" t="str">
        <f>IF($J279="","",IFERROR(VLOOKUP($J279,Grinders!$A:$N,5,FALSE),""))</f>
        <v/>
      </c>
      <c r="O279" s="40" t="str">
        <f t="shared" si="2"/>
        <v/>
      </c>
      <c r="P279" s="40" t="str">
        <f>IF($J279="","",IFERROR(VLOOKUP($J279,Grinders!$A:$N,6,FALSE),""))</f>
        <v/>
      </c>
      <c r="Q279" s="40" t="str">
        <f>IF($J279="","",IFERROR(VLOOKUP($J279,Grinders!$A:$N,8,FALSE),""))</f>
        <v/>
      </c>
      <c r="R279" s="40" t="str">
        <f>IFERROR(IF($J279="","",IF($L279="Elite",MAX(50,MIN(100,Config!$B$27*MAX(0,MIN(100,(1-IF($O279="",0,$O279))*100)) + Config!$B$28*MAX(0,MIN(100,(1-MIN(1,IF(Config!$B$30=0,1,$P279/Config!$B$30)))*100)) + Config!$B$29*MAX(0,MIN(100,MIN(1,IF($Q279="",0,$Q279)/Config!$B$23)*100)))),MIN(100,Config!$B$27*MAX(0,MIN(100,(1-IF($O279="",0,$O279))*100)) + Config!$B$28*MAX(0,MIN(100,(1-MIN(1,IF(Config!$B$30=0,1,$P279/Config!$B$30)))*100)) + Config!$B$29*MAX(0,MIN(100,MIN(1,IF($Q279="",0,$Q279)/Config!$B$23)*100))))),"")
</f>
        <v/>
      </c>
      <c r="S279" s="40" t="str">
        <f>IF(Bids!$AC279="","",Bids!$AC279)</f>
        <v/>
      </c>
      <c r="T279" s="40" t="str">
        <f>IF(Bids!$F279="","",Bids!$F279)</f>
        <v/>
      </c>
      <c r="U279" s="40" t="str">
        <f t="shared" si="3"/>
        <v/>
      </c>
      <c r="V279" s="40" t="str">
        <f>IF($U279="","",IF(Config!$B$17=Config!$B$16,IF($U279&gt;=Config!$B$17,100,0),MAX(0,MIN(100,($U279-Config!$B$16)/(Config!$B$17-Config!$B$16)*100))))</f>
        <v/>
      </c>
      <c r="W279" s="40">
        <f>IF($L279="Elite",Config!$B$21,0)</f>
        <v>0</v>
      </c>
      <c r="X279" s="40" t="str">
        <f>IFERROR(IF(OR($T279="",$G279=""),"",IF($T279&gt;$G279,
  MAX(0, 60-(($T279-$G279)*24/Config!$B$19)*60),
  MEDIAN(60, 100, 60+(($G279-$T279)*24/Config!$B$20)*40)
)),"")
</f>
        <v/>
      </c>
      <c r="Y279" s="40" t="str">
        <f>IF($J279="","",IFERROR(VLOOKUP($J279,Grinders!$A:$N,10,FALSE),""))</f>
        <v/>
      </c>
      <c r="Z279" s="40" t="str">
        <f>IF($J279="","",IFERROR(VLOOKUP($J279,Grinders!$A:$N,11,FALSE),""))</f>
        <v/>
      </c>
      <c r="AA279" s="40" t="str">
        <f>IF($J279="","",IFERROR(VLOOKUP($J279,Grinders!$A:$N,12,FALSE),""))</f>
        <v/>
      </c>
      <c r="AB279" s="40" t="str">
        <f>IF(OR(AL279=1,AM279=1),0,=IFERROR(IF(OR($C279="",$J279=""),0,IF($D279&lt;&gt;"Open",0,IF(COUNTIFS(GrinderServices!$A:$A,$J279,GrinderServices!$B:$B,$E279,GrinderServices!$D:$D,"Y")=0,0,IF($U279&lt;Config!$B$16,0,IF(Config!$B$18=1,IF($N279&gt;=$M279,0,1),1))))),""))</f>
        <v>#ERROR!</v>
      </c>
      <c r="AC279" s="40" t="str">
        <f>IFERROR((IF(OR(AL279=1,AM279=1),"",=IFERROR((IFERROR(IF($AB279=0,"",((Config!$B$6*$V279 + Config!$B$7*$R279 + Config!$B$8*$W279 + Config!$B$9*$X279 + Config!$B$10*$Y279 + Config!$B$11*$Z279 - Config!$B$12*$AA279)/Config!$B$13)+$AH279+$AI279),""))*(1-IFERROR(VLOOKUP(J279,Grinders!$A:$AB, 28, FALSE),0)),"")))*(1+AO279),"")</f>
        <v>#ERROR!</v>
      </c>
      <c r="AD279" s="40" t="str">
        <f t="shared" si="4"/>
        <v/>
      </c>
      <c r="AE279" s="40" t="str">
        <f>IFERROR(__xludf.DUMMYFUNCTION("IF($AC279="""","""",IF($AC279=IFERROR(MAX(FILTER($AC$6:$AC$1000,$C$6:$C$1000=$C279,$AB$6:$AB$1000=1)),),""WINNER"",""""))"),"#ERROR!")</f>
        <v>#ERROR!</v>
      </c>
      <c r="AF279" s="40" t="str">
        <f t="shared" si="5"/>
        <v/>
      </c>
      <c r="AG279" s="40" t="str">
        <f>IF($J279="","",COUNTIF(Assignments!$B:$B,$J279))</f>
        <v/>
      </c>
      <c r="AH279" s="40" t="str">
        <f>IF($J279="","",IF(AND($AG279=0,$N279&lt;$M279),Config!$B$43,0))</f>
        <v/>
      </c>
      <c r="AI279" s="40" t="str">
        <f>IF($J279="","",IF(AND($L279="Elite",$F279&gt;=Config!$B$41,$N279&lt;$M279),Config!$B$42,0))</f>
        <v/>
      </c>
      <c r="AJ279" s="22"/>
      <c r="AK279" s="39">
        <f>IFERROR(VLOOKUP(J279,Grinders!$A:$Q,28,FALSE),0)</f>
        <v>0</v>
      </c>
      <c r="AL279" s="39">
        <f>IF(Config!$B$1003&lt;&gt;"Y",0,IF(IFERROR(VLOOKUP(J279,Grinders!$A:$P,27,FALSE),0)&gt;=3,IF(OR(F279&gt;=Config!$B$1001,ISNUMBER(SEARCH(E279,Config!$B$1002))),1,0),0))</f>
        <v>0</v>
      </c>
      <c r="AM279" s="39">
        <f t="array" ref="AM279">IFERROR(IF(INDEX(Bids!$AE:$AE,MATCH(B279,Bids!$A:$A,0))="Pending",1,0),0)</f>
        <v>0</v>
      </c>
      <c r="AN279" s="39" t="str">
        <f t="array" ref="AN279">IF(C279="","",IFERROR(XLOOKUP(C279,Assignments!$C:$C,Assignments!$AU:$AU,0),0))</f>
        <v/>
      </c>
      <c r="AO279" s="39">
        <f>IF(AND(Config!$B$1006="Y",AN279=1),Config!$B$1007,0)</f>
        <v>0</v>
      </c>
    </row>
    <row r="280" ht="15.75" customHeight="1">
      <c r="A280" s="46" t="str">
        <f t="shared" si="1"/>
        <v/>
      </c>
      <c r="B280" s="40" t="str">
        <f>IF(Bids!$A280="","",Bids!$A280)</f>
        <v/>
      </c>
      <c r="C280" s="40" t="str">
        <f>IF(Bids!$B280="","",Bids!$B280)</f>
        <v/>
      </c>
      <c r="D280" s="40" t="str">
        <f>IF($C280="","",IFERROR(VLOOKUP($C280,Orders!$A:$J,9,FALSE),""))</f>
        <v/>
      </c>
      <c r="E280" s="40" t="str">
        <f>IF($C280="","",IFERROR(VLOOKUP($C280,Orders!$A:$J,3,FALSE),""))</f>
        <v/>
      </c>
      <c r="F280" s="40" t="str">
        <f>IF($C280="","",IFERROR(VLOOKUP($C280,Orders!$A:$J,4,FALSE),""))</f>
        <v/>
      </c>
      <c r="G280" s="40" t="str">
        <f>IF($C280="","",IFERROR(VLOOKUP($C280,Orders!$A:$J,5,FALSE),""))</f>
        <v/>
      </c>
      <c r="H280" s="40" t="str">
        <f>IF($C280="","",IFERROR(VLOOKUP($C280,Orders!$A:$J,6,FALSE),""))</f>
        <v/>
      </c>
      <c r="I280" s="40" t="str">
        <f>IF($C280="","",IFERROR(VLOOKUP($C280,Orders!$A:$J,7,FALSE),""))</f>
        <v/>
      </c>
      <c r="J280" s="40" t="str">
        <f>IF(Bids!$C280="","",Bids!$C280)</f>
        <v/>
      </c>
      <c r="K280" s="40" t="str">
        <f>IF($J280="","",IFERROR(VLOOKUP($J280,Grinders!$A:$N,2,FALSE),""))</f>
        <v/>
      </c>
      <c r="L280" s="40" t="str">
        <f>IF($J280="","",IFERROR(VLOOKUP($J280,Grinders!$A:$N,3,FALSE),""))</f>
        <v/>
      </c>
      <c r="M280" s="40" t="str">
        <f>IF($J280="","",IFERROR(VLOOKUP($J280,Grinders!$A:$N,4,FALSE),""))</f>
        <v/>
      </c>
      <c r="N280" s="40" t="str">
        <f>IF($J280="","",IFERROR(VLOOKUP($J280,Grinders!$A:$N,5,FALSE),""))</f>
        <v/>
      </c>
      <c r="O280" s="40" t="str">
        <f t="shared" si="2"/>
        <v/>
      </c>
      <c r="P280" s="40" t="str">
        <f>IF($J280="","",IFERROR(VLOOKUP($J280,Grinders!$A:$N,6,FALSE),""))</f>
        <v/>
      </c>
      <c r="Q280" s="40" t="str">
        <f>IF($J280="","",IFERROR(VLOOKUP($J280,Grinders!$A:$N,8,FALSE),""))</f>
        <v/>
      </c>
      <c r="R280" s="40" t="str">
        <f>IFERROR(IF($J280="","",IF($L280="Elite",MAX(50,MIN(100,Config!$B$27*MAX(0,MIN(100,(1-IF($O280="",0,$O280))*100)) + Config!$B$28*MAX(0,MIN(100,(1-MIN(1,IF(Config!$B$30=0,1,$P280/Config!$B$30)))*100)) + Config!$B$29*MAX(0,MIN(100,MIN(1,IF($Q280="",0,$Q280)/Config!$B$23)*100)))),MIN(100,Config!$B$27*MAX(0,MIN(100,(1-IF($O280="",0,$O280))*100)) + Config!$B$28*MAX(0,MIN(100,(1-MIN(1,IF(Config!$B$30=0,1,$P280/Config!$B$30)))*100)) + Config!$B$29*MAX(0,MIN(100,MIN(1,IF($Q280="",0,$Q280)/Config!$B$23)*100))))),"")
</f>
        <v/>
      </c>
      <c r="S280" s="40" t="str">
        <f>IF(Bids!$AC280="","",Bids!$AC280)</f>
        <v/>
      </c>
      <c r="T280" s="40" t="str">
        <f>IF(Bids!$F280="","",Bids!$F280)</f>
        <v/>
      </c>
      <c r="U280" s="40" t="str">
        <f t="shared" si="3"/>
        <v/>
      </c>
      <c r="V280" s="40" t="str">
        <f>IF($U280="","",IF(Config!$B$17=Config!$B$16,IF($U280&gt;=Config!$B$17,100,0),MAX(0,MIN(100,($U280-Config!$B$16)/(Config!$B$17-Config!$B$16)*100))))</f>
        <v/>
      </c>
      <c r="W280" s="40">
        <f>IF($L280="Elite",Config!$B$21,0)</f>
        <v>0</v>
      </c>
      <c r="X280" s="40" t="str">
        <f>IFERROR(IF(OR($T280="",$G280=""),"",IF($T280&gt;$G280,
  MAX(0, 60-(($T280-$G280)*24/Config!$B$19)*60),
  MEDIAN(60, 100, 60+(($G280-$T280)*24/Config!$B$20)*40)
)),"")
</f>
        <v/>
      </c>
      <c r="Y280" s="40" t="str">
        <f>IF($J280="","",IFERROR(VLOOKUP($J280,Grinders!$A:$N,10,FALSE),""))</f>
        <v/>
      </c>
      <c r="Z280" s="40" t="str">
        <f>IF($J280="","",IFERROR(VLOOKUP($J280,Grinders!$A:$N,11,FALSE),""))</f>
        <v/>
      </c>
      <c r="AA280" s="40" t="str">
        <f>IF($J280="","",IFERROR(VLOOKUP($J280,Grinders!$A:$N,12,FALSE),""))</f>
        <v/>
      </c>
      <c r="AB280" s="40" t="str">
        <f>IF(OR(AL280=1,AM280=1),0,=IFERROR(IF(OR($C280="",$J280=""),0,IF($D280&lt;&gt;"Open",0,IF(COUNTIFS(GrinderServices!$A:$A,$J280,GrinderServices!$B:$B,$E280,GrinderServices!$D:$D,"Y")=0,0,IF($U280&lt;Config!$B$16,0,IF(Config!$B$18=1,IF($N280&gt;=$M280,0,1),1))))),""))</f>
        <v>#ERROR!</v>
      </c>
      <c r="AC280" s="40" t="str">
        <f>IFERROR((IF(OR(AL280=1,AM280=1),"",=IFERROR((IFERROR(IF($AB280=0,"",((Config!$B$6*$V280 + Config!$B$7*$R280 + Config!$B$8*$W280 + Config!$B$9*$X280 + Config!$B$10*$Y280 + Config!$B$11*$Z280 - Config!$B$12*$AA280)/Config!$B$13)+$AH280+$AI280),""))*(1-IFERROR(VLOOKUP(J280,Grinders!$A:$AB, 28, FALSE),0)),"")))*(1+AO280),"")</f>
        <v>#ERROR!</v>
      </c>
      <c r="AD280" s="40" t="str">
        <f t="shared" si="4"/>
        <v/>
      </c>
      <c r="AE280" s="40" t="str">
        <f>IFERROR(__xludf.DUMMYFUNCTION("IF($AC280="""","""",IF($AC280=IFERROR(MAX(FILTER($AC$6:$AC$1000,$C$6:$C$1000=$C280,$AB$6:$AB$1000=1)),),""WINNER"",""""))"),"#ERROR!")</f>
        <v>#ERROR!</v>
      </c>
      <c r="AF280" s="40" t="str">
        <f t="shared" si="5"/>
        <v/>
      </c>
      <c r="AG280" s="40" t="str">
        <f>IF($J280="","",COUNTIF(Assignments!$B:$B,$J280))</f>
        <v/>
      </c>
      <c r="AH280" s="40" t="str">
        <f>IF($J280="","",IF(AND($AG280=0,$N280&lt;$M280),Config!$B$43,0))</f>
        <v/>
      </c>
      <c r="AI280" s="40" t="str">
        <f>IF($J280="","",IF(AND($L280="Elite",$F280&gt;=Config!$B$41,$N280&lt;$M280),Config!$B$42,0))</f>
        <v/>
      </c>
      <c r="AJ280" s="22"/>
      <c r="AK280" s="39">
        <f>IFERROR(VLOOKUP(J280,Grinders!$A:$Q,28,FALSE),0)</f>
        <v>0</v>
      </c>
      <c r="AL280" s="39">
        <f>IF(Config!$B$1003&lt;&gt;"Y",0,IF(IFERROR(VLOOKUP(J280,Grinders!$A:$P,27,FALSE),0)&gt;=3,IF(OR(F280&gt;=Config!$B$1001,ISNUMBER(SEARCH(E280,Config!$B$1002))),1,0),0))</f>
        <v>0</v>
      </c>
      <c r="AM280" s="39">
        <f t="array" ref="AM280">IFERROR(IF(INDEX(Bids!$AE:$AE,MATCH(B280,Bids!$A:$A,0))="Pending",1,0),0)</f>
        <v>0</v>
      </c>
      <c r="AN280" s="39" t="str">
        <f t="array" ref="AN280">IF(C280="","",IFERROR(XLOOKUP(C280,Assignments!$C:$C,Assignments!$AU:$AU,0),0))</f>
        <v/>
      </c>
      <c r="AO280" s="39">
        <f>IF(AND(Config!$B$1006="Y",AN280=1),Config!$B$1007,0)</f>
        <v>0</v>
      </c>
    </row>
    <row r="281" ht="15.75" customHeight="1">
      <c r="A281" s="46" t="str">
        <f t="shared" si="1"/>
        <v/>
      </c>
      <c r="B281" s="40" t="str">
        <f>IF(Bids!$A281="","",Bids!$A281)</f>
        <v/>
      </c>
      <c r="C281" s="40" t="str">
        <f>IF(Bids!$B281="","",Bids!$B281)</f>
        <v/>
      </c>
      <c r="D281" s="40" t="str">
        <f>IF($C281="","",IFERROR(VLOOKUP($C281,Orders!$A:$J,9,FALSE),""))</f>
        <v/>
      </c>
      <c r="E281" s="40" t="str">
        <f>IF($C281="","",IFERROR(VLOOKUP($C281,Orders!$A:$J,3,FALSE),""))</f>
        <v/>
      </c>
      <c r="F281" s="40" t="str">
        <f>IF($C281="","",IFERROR(VLOOKUP($C281,Orders!$A:$J,4,FALSE),""))</f>
        <v/>
      </c>
      <c r="G281" s="40" t="str">
        <f>IF($C281="","",IFERROR(VLOOKUP($C281,Orders!$A:$J,5,FALSE),""))</f>
        <v/>
      </c>
      <c r="H281" s="40" t="str">
        <f>IF($C281="","",IFERROR(VLOOKUP($C281,Orders!$A:$J,6,FALSE),""))</f>
        <v/>
      </c>
      <c r="I281" s="40" t="str">
        <f>IF($C281="","",IFERROR(VLOOKUP($C281,Orders!$A:$J,7,FALSE),""))</f>
        <v/>
      </c>
      <c r="J281" s="40" t="str">
        <f>IF(Bids!$C281="","",Bids!$C281)</f>
        <v/>
      </c>
      <c r="K281" s="40" t="str">
        <f>IF($J281="","",IFERROR(VLOOKUP($J281,Grinders!$A:$N,2,FALSE),""))</f>
        <v/>
      </c>
      <c r="L281" s="40" t="str">
        <f>IF($J281="","",IFERROR(VLOOKUP($J281,Grinders!$A:$N,3,FALSE),""))</f>
        <v/>
      </c>
      <c r="M281" s="40" t="str">
        <f>IF($J281="","",IFERROR(VLOOKUP($J281,Grinders!$A:$N,4,FALSE),""))</f>
        <v/>
      </c>
      <c r="N281" s="40" t="str">
        <f>IF($J281="","",IFERROR(VLOOKUP($J281,Grinders!$A:$N,5,FALSE),""))</f>
        <v/>
      </c>
      <c r="O281" s="40" t="str">
        <f t="shared" si="2"/>
        <v/>
      </c>
      <c r="P281" s="40" t="str">
        <f>IF($J281="","",IFERROR(VLOOKUP($J281,Grinders!$A:$N,6,FALSE),""))</f>
        <v/>
      </c>
      <c r="Q281" s="40" t="str">
        <f>IF($J281="","",IFERROR(VLOOKUP($J281,Grinders!$A:$N,8,FALSE),""))</f>
        <v/>
      </c>
      <c r="R281" s="40" t="str">
        <f>IFERROR(IF($J281="","",IF($L281="Elite",MAX(50,MIN(100,Config!$B$27*MAX(0,MIN(100,(1-IF($O281="",0,$O281))*100)) + Config!$B$28*MAX(0,MIN(100,(1-MIN(1,IF(Config!$B$30=0,1,$P281/Config!$B$30)))*100)) + Config!$B$29*MAX(0,MIN(100,MIN(1,IF($Q281="",0,$Q281)/Config!$B$23)*100)))),MIN(100,Config!$B$27*MAX(0,MIN(100,(1-IF($O281="",0,$O281))*100)) + Config!$B$28*MAX(0,MIN(100,(1-MIN(1,IF(Config!$B$30=0,1,$P281/Config!$B$30)))*100)) + Config!$B$29*MAX(0,MIN(100,MIN(1,IF($Q281="",0,$Q281)/Config!$B$23)*100))))),"")
</f>
        <v/>
      </c>
      <c r="S281" s="40" t="str">
        <f>IF(Bids!$AC281="","",Bids!$AC281)</f>
        <v/>
      </c>
      <c r="T281" s="40" t="str">
        <f>IF(Bids!$F281="","",Bids!$F281)</f>
        <v/>
      </c>
      <c r="U281" s="40" t="str">
        <f t="shared" si="3"/>
        <v/>
      </c>
      <c r="V281" s="40" t="str">
        <f>IF($U281="","",IF(Config!$B$17=Config!$B$16,IF($U281&gt;=Config!$B$17,100,0),MAX(0,MIN(100,($U281-Config!$B$16)/(Config!$B$17-Config!$B$16)*100))))</f>
        <v/>
      </c>
      <c r="W281" s="40">
        <f>IF($L281="Elite",Config!$B$21,0)</f>
        <v>0</v>
      </c>
      <c r="X281" s="40" t="str">
        <f>IFERROR(IF(OR($T281="",$G281=""),"",IF($T281&gt;$G281,
  MAX(0, 60-(($T281-$G281)*24/Config!$B$19)*60),
  MEDIAN(60, 100, 60+(($G281-$T281)*24/Config!$B$20)*40)
)),"")
</f>
        <v/>
      </c>
      <c r="Y281" s="40" t="str">
        <f>IF($J281="","",IFERROR(VLOOKUP($J281,Grinders!$A:$N,10,FALSE),""))</f>
        <v/>
      </c>
      <c r="Z281" s="40" t="str">
        <f>IF($J281="","",IFERROR(VLOOKUP($J281,Grinders!$A:$N,11,FALSE),""))</f>
        <v/>
      </c>
      <c r="AA281" s="40" t="str">
        <f>IF($J281="","",IFERROR(VLOOKUP($J281,Grinders!$A:$N,12,FALSE),""))</f>
        <v/>
      </c>
      <c r="AB281" s="40" t="str">
        <f>IF(OR(AL281=1,AM281=1),0,=IFERROR(IF(OR($C281="",$J281=""),0,IF($D281&lt;&gt;"Open",0,IF(COUNTIFS(GrinderServices!$A:$A,$J281,GrinderServices!$B:$B,$E281,GrinderServices!$D:$D,"Y")=0,0,IF($U281&lt;Config!$B$16,0,IF(Config!$B$18=1,IF($N281&gt;=$M281,0,1),1))))),""))</f>
        <v>#ERROR!</v>
      </c>
      <c r="AC281" s="40" t="str">
        <f>IFERROR((IF(OR(AL281=1,AM281=1),"",=IFERROR((IFERROR(IF($AB281=0,"",((Config!$B$6*$V281 + Config!$B$7*$R281 + Config!$B$8*$W281 + Config!$B$9*$X281 + Config!$B$10*$Y281 + Config!$B$11*$Z281 - Config!$B$12*$AA281)/Config!$B$13)+$AH281+$AI281),""))*(1-IFERROR(VLOOKUP(J281,Grinders!$A:$AB, 28, FALSE),0)),"")))*(1+AO281),"")</f>
        <v>#ERROR!</v>
      </c>
      <c r="AD281" s="40" t="str">
        <f t="shared" si="4"/>
        <v/>
      </c>
      <c r="AE281" s="40" t="str">
        <f>IFERROR(__xludf.DUMMYFUNCTION("IF($AC281="""","""",IF($AC281=IFERROR(MAX(FILTER($AC$6:$AC$1000,$C$6:$C$1000=$C281,$AB$6:$AB$1000=1)),),""WINNER"",""""))"),"#ERROR!")</f>
        <v>#ERROR!</v>
      </c>
      <c r="AF281" s="40" t="str">
        <f t="shared" si="5"/>
        <v/>
      </c>
      <c r="AG281" s="40" t="str">
        <f>IF($J281="","",COUNTIF(Assignments!$B:$B,$J281))</f>
        <v/>
      </c>
      <c r="AH281" s="40" t="str">
        <f>IF($J281="","",IF(AND($AG281=0,$N281&lt;$M281),Config!$B$43,0))</f>
        <v/>
      </c>
      <c r="AI281" s="40" t="str">
        <f>IF($J281="","",IF(AND($L281="Elite",$F281&gt;=Config!$B$41,$N281&lt;$M281),Config!$B$42,0))</f>
        <v/>
      </c>
      <c r="AJ281" s="22"/>
      <c r="AK281" s="39">
        <f>IFERROR(VLOOKUP(J281,Grinders!$A:$Q,28,FALSE),0)</f>
        <v>0</v>
      </c>
      <c r="AL281" s="39">
        <f>IF(Config!$B$1003&lt;&gt;"Y",0,IF(IFERROR(VLOOKUP(J281,Grinders!$A:$P,27,FALSE),0)&gt;=3,IF(OR(F281&gt;=Config!$B$1001,ISNUMBER(SEARCH(E281,Config!$B$1002))),1,0),0))</f>
        <v>0</v>
      </c>
      <c r="AM281" s="39">
        <f t="array" ref="AM281">IFERROR(IF(INDEX(Bids!$AE:$AE,MATCH(B281,Bids!$A:$A,0))="Pending",1,0),0)</f>
        <v>0</v>
      </c>
      <c r="AN281" s="39" t="str">
        <f t="array" ref="AN281">IF(C281="","",IFERROR(XLOOKUP(C281,Assignments!$C:$C,Assignments!$AU:$AU,0),0))</f>
        <v/>
      </c>
      <c r="AO281" s="39">
        <f>IF(AND(Config!$B$1006="Y",AN281=1),Config!$B$1007,0)</f>
        <v>0</v>
      </c>
    </row>
    <row r="282" ht="15.75" customHeight="1">
      <c r="A282" s="46" t="str">
        <f t="shared" si="1"/>
        <v/>
      </c>
      <c r="B282" s="40" t="str">
        <f>IF(Bids!$A282="","",Bids!$A282)</f>
        <v/>
      </c>
      <c r="C282" s="40" t="str">
        <f>IF(Bids!$B282="","",Bids!$B282)</f>
        <v/>
      </c>
      <c r="D282" s="40" t="str">
        <f>IF($C282="","",IFERROR(VLOOKUP($C282,Orders!$A:$J,9,FALSE),""))</f>
        <v/>
      </c>
      <c r="E282" s="40" t="str">
        <f>IF($C282="","",IFERROR(VLOOKUP($C282,Orders!$A:$J,3,FALSE),""))</f>
        <v/>
      </c>
      <c r="F282" s="40" t="str">
        <f>IF($C282="","",IFERROR(VLOOKUP($C282,Orders!$A:$J,4,FALSE),""))</f>
        <v/>
      </c>
      <c r="G282" s="40" t="str">
        <f>IF($C282="","",IFERROR(VLOOKUP($C282,Orders!$A:$J,5,FALSE),""))</f>
        <v/>
      </c>
      <c r="H282" s="40" t="str">
        <f>IF($C282="","",IFERROR(VLOOKUP($C282,Orders!$A:$J,6,FALSE),""))</f>
        <v/>
      </c>
      <c r="I282" s="40" t="str">
        <f>IF($C282="","",IFERROR(VLOOKUP($C282,Orders!$A:$J,7,FALSE),""))</f>
        <v/>
      </c>
      <c r="J282" s="40" t="str">
        <f>IF(Bids!$C282="","",Bids!$C282)</f>
        <v/>
      </c>
      <c r="K282" s="40" t="str">
        <f>IF($J282="","",IFERROR(VLOOKUP($J282,Grinders!$A:$N,2,FALSE),""))</f>
        <v/>
      </c>
      <c r="L282" s="40" t="str">
        <f>IF($J282="","",IFERROR(VLOOKUP($J282,Grinders!$A:$N,3,FALSE),""))</f>
        <v/>
      </c>
      <c r="M282" s="40" t="str">
        <f>IF($J282="","",IFERROR(VLOOKUP($J282,Grinders!$A:$N,4,FALSE),""))</f>
        <v/>
      </c>
      <c r="N282" s="40" t="str">
        <f>IF($J282="","",IFERROR(VLOOKUP($J282,Grinders!$A:$N,5,FALSE),""))</f>
        <v/>
      </c>
      <c r="O282" s="40" t="str">
        <f t="shared" si="2"/>
        <v/>
      </c>
      <c r="P282" s="40" t="str">
        <f>IF($J282="","",IFERROR(VLOOKUP($J282,Grinders!$A:$N,6,FALSE),""))</f>
        <v/>
      </c>
      <c r="Q282" s="40" t="str">
        <f>IF($J282="","",IFERROR(VLOOKUP($J282,Grinders!$A:$N,8,FALSE),""))</f>
        <v/>
      </c>
      <c r="R282" s="40" t="str">
        <f>IFERROR(IF($J282="","",IF($L282="Elite",MAX(50,MIN(100,Config!$B$27*MAX(0,MIN(100,(1-IF($O282="",0,$O282))*100)) + Config!$B$28*MAX(0,MIN(100,(1-MIN(1,IF(Config!$B$30=0,1,$P282/Config!$B$30)))*100)) + Config!$B$29*MAX(0,MIN(100,MIN(1,IF($Q282="",0,$Q282)/Config!$B$23)*100)))),MIN(100,Config!$B$27*MAX(0,MIN(100,(1-IF($O282="",0,$O282))*100)) + Config!$B$28*MAX(0,MIN(100,(1-MIN(1,IF(Config!$B$30=0,1,$P282/Config!$B$30)))*100)) + Config!$B$29*MAX(0,MIN(100,MIN(1,IF($Q282="",0,$Q282)/Config!$B$23)*100))))),"")
</f>
        <v/>
      </c>
      <c r="S282" s="40" t="str">
        <f>IF(Bids!$AC282="","",Bids!$AC282)</f>
        <v/>
      </c>
      <c r="T282" s="40" t="str">
        <f>IF(Bids!$F282="","",Bids!$F282)</f>
        <v/>
      </c>
      <c r="U282" s="40" t="str">
        <f t="shared" si="3"/>
        <v/>
      </c>
      <c r="V282" s="40" t="str">
        <f>IF($U282="","",IF(Config!$B$17=Config!$B$16,IF($U282&gt;=Config!$B$17,100,0),MAX(0,MIN(100,($U282-Config!$B$16)/(Config!$B$17-Config!$B$16)*100))))</f>
        <v/>
      </c>
      <c r="W282" s="40">
        <f>IF($L282="Elite",Config!$B$21,0)</f>
        <v>0</v>
      </c>
      <c r="X282" s="40" t="str">
        <f>IFERROR(IF(OR($T282="",$G282=""),"",IF($T282&gt;$G282,
  MAX(0, 60-(($T282-$G282)*24/Config!$B$19)*60),
  MEDIAN(60, 100, 60+(($G282-$T282)*24/Config!$B$20)*40)
)),"")
</f>
        <v/>
      </c>
      <c r="Y282" s="40" t="str">
        <f>IF($J282="","",IFERROR(VLOOKUP($J282,Grinders!$A:$N,10,FALSE),""))</f>
        <v/>
      </c>
      <c r="Z282" s="40" t="str">
        <f>IF($J282="","",IFERROR(VLOOKUP($J282,Grinders!$A:$N,11,FALSE),""))</f>
        <v/>
      </c>
      <c r="AA282" s="40" t="str">
        <f>IF($J282="","",IFERROR(VLOOKUP($J282,Grinders!$A:$N,12,FALSE),""))</f>
        <v/>
      </c>
      <c r="AB282" s="40" t="str">
        <f>IF(OR(AL282=1,AM282=1),0,=IFERROR(IF(OR($C282="",$J282=""),0,IF($D282&lt;&gt;"Open",0,IF(COUNTIFS(GrinderServices!$A:$A,$J282,GrinderServices!$B:$B,$E282,GrinderServices!$D:$D,"Y")=0,0,IF($U282&lt;Config!$B$16,0,IF(Config!$B$18=1,IF($N282&gt;=$M282,0,1),1))))),""))</f>
        <v>#ERROR!</v>
      </c>
      <c r="AC282" s="40" t="str">
        <f>IFERROR((IF(OR(AL282=1,AM282=1),"",=IFERROR((IFERROR(IF($AB282=0,"",((Config!$B$6*$V282 + Config!$B$7*$R282 + Config!$B$8*$W282 + Config!$B$9*$X282 + Config!$B$10*$Y282 + Config!$B$11*$Z282 - Config!$B$12*$AA282)/Config!$B$13)+$AH282+$AI282),""))*(1-IFERROR(VLOOKUP(J282,Grinders!$A:$AB, 28, FALSE),0)),"")))*(1+AO282),"")</f>
        <v>#ERROR!</v>
      </c>
      <c r="AD282" s="40" t="str">
        <f t="shared" si="4"/>
        <v/>
      </c>
      <c r="AE282" s="40" t="str">
        <f>IFERROR(__xludf.DUMMYFUNCTION("IF($AC282="""","""",IF($AC282=IFERROR(MAX(FILTER($AC$6:$AC$1000,$C$6:$C$1000=$C282,$AB$6:$AB$1000=1)),),""WINNER"",""""))"),"#ERROR!")</f>
        <v>#ERROR!</v>
      </c>
      <c r="AF282" s="40" t="str">
        <f t="shared" si="5"/>
        <v/>
      </c>
      <c r="AG282" s="40" t="str">
        <f>IF($J282="","",COUNTIF(Assignments!$B:$B,$J282))</f>
        <v/>
      </c>
      <c r="AH282" s="40" t="str">
        <f>IF($J282="","",IF(AND($AG282=0,$N282&lt;$M282),Config!$B$43,0))</f>
        <v/>
      </c>
      <c r="AI282" s="40" t="str">
        <f>IF($J282="","",IF(AND($L282="Elite",$F282&gt;=Config!$B$41,$N282&lt;$M282),Config!$B$42,0))</f>
        <v/>
      </c>
      <c r="AJ282" s="22"/>
      <c r="AK282" s="39">
        <f>IFERROR(VLOOKUP(J282,Grinders!$A:$Q,28,FALSE),0)</f>
        <v>0</v>
      </c>
      <c r="AL282" s="39">
        <f>IF(Config!$B$1003&lt;&gt;"Y",0,IF(IFERROR(VLOOKUP(J282,Grinders!$A:$P,27,FALSE),0)&gt;=3,IF(OR(F282&gt;=Config!$B$1001,ISNUMBER(SEARCH(E282,Config!$B$1002))),1,0),0))</f>
        <v>0</v>
      </c>
      <c r="AM282" s="39">
        <f t="array" ref="AM282">IFERROR(IF(INDEX(Bids!$AE:$AE,MATCH(B282,Bids!$A:$A,0))="Pending",1,0),0)</f>
        <v>0</v>
      </c>
      <c r="AN282" s="39" t="str">
        <f t="array" ref="AN282">IF(C282="","",IFERROR(XLOOKUP(C282,Assignments!$C:$C,Assignments!$AU:$AU,0),0))</f>
        <v/>
      </c>
      <c r="AO282" s="39">
        <f>IF(AND(Config!$B$1006="Y",AN282=1),Config!$B$1007,0)</f>
        <v>0</v>
      </c>
    </row>
    <row r="283" ht="15.75" customHeight="1">
      <c r="A283" s="46" t="str">
        <f t="shared" si="1"/>
        <v/>
      </c>
      <c r="B283" s="40" t="str">
        <f>IF(Bids!$A283="","",Bids!$A283)</f>
        <v/>
      </c>
      <c r="C283" s="40" t="str">
        <f>IF(Bids!$B283="","",Bids!$B283)</f>
        <v/>
      </c>
      <c r="D283" s="40" t="str">
        <f>IF($C283="","",IFERROR(VLOOKUP($C283,Orders!$A:$J,9,FALSE),""))</f>
        <v/>
      </c>
      <c r="E283" s="40" t="str">
        <f>IF($C283="","",IFERROR(VLOOKUP($C283,Orders!$A:$J,3,FALSE),""))</f>
        <v/>
      </c>
      <c r="F283" s="40" t="str">
        <f>IF($C283="","",IFERROR(VLOOKUP($C283,Orders!$A:$J,4,FALSE),""))</f>
        <v/>
      </c>
      <c r="G283" s="40" t="str">
        <f>IF($C283="","",IFERROR(VLOOKUP($C283,Orders!$A:$J,5,FALSE),""))</f>
        <v/>
      </c>
      <c r="H283" s="40" t="str">
        <f>IF($C283="","",IFERROR(VLOOKUP($C283,Orders!$A:$J,6,FALSE),""))</f>
        <v/>
      </c>
      <c r="I283" s="40" t="str">
        <f>IF($C283="","",IFERROR(VLOOKUP($C283,Orders!$A:$J,7,FALSE),""))</f>
        <v/>
      </c>
      <c r="J283" s="40" t="str">
        <f>IF(Bids!$C283="","",Bids!$C283)</f>
        <v/>
      </c>
      <c r="K283" s="40" t="str">
        <f>IF($J283="","",IFERROR(VLOOKUP($J283,Grinders!$A:$N,2,FALSE),""))</f>
        <v/>
      </c>
      <c r="L283" s="40" t="str">
        <f>IF($J283="","",IFERROR(VLOOKUP($J283,Grinders!$A:$N,3,FALSE),""))</f>
        <v/>
      </c>
      <c r="M283" s="40" t="str">
        <f>IF($J283="","",IFERROR(VLOOKUP($J283,Grinders!$A:$N,4,FALSE),""))</f>
        <v/>
      </c>
      <c r="N283" s="40" t="str">
        <f>IF($J283="","",IFERROR(VLOOKUP($J283,Grinders!$A:$N,5,FALSE),""))</f>
        <v/>
      </c>
      <c r="O283" s="40" t="str">
        <f t="shared" si="2"/>
        <v/>
      </c>
      <c r="P283" s="40" t="str">
        <f>IF($J283="","",IFERROR(VLOOKUP($J283,Grinders!$A:$N,6,FALSE),""))</f>
        <v/>
      </c>
      <c r="Q283" s="40" t="str">
        <f>IF($J283="","",IFERROR(VLOOKUP($J283,Grinders!$A:$N,8,FALSE),""))</f>
        <v/>
      </c>
      <c r="R283" s="40" t="str">
        <f>IFERROR(IF($J283="","",IF($L283="Elite",MAX(50,MIN(100,Config!$B$27*MAX(0,MIN(100,(1-IF($O283="",0,$O283))*100)) + Config!$B$28*MAX(0,MIN(100,(1-MIN(1,IF(Config!$B$30=0,1,$P283/Config!$B$30)))*100)) + Config!$B$29*MAX(0,MIN(100,MIN(1,IF($Q283="",0,$Q283)/Config!$B$23)*100)))),MIN(100,Config!$B$27*MAX(0,MIN(100,(1-IF($O283="",0,$O283))*100)) + Config!$B$28*MAX(0,MIN(100,(1-MIN(1,IF(Config!$B$30=0,1,$P283/Config!$B$30)))*100)) + Config!$B$29*MAX(0,MIN(100,MIN(1,IF($Q283="",0,$Q283)/Config!$B$23)*100))))),"")
</f>
        <v/>
      </c>
      <c r="S283" s="40" t="str">
        <f>IF(Bids!$AC283="","",Bids!$AC283)</f>
        <v/>
      </c>
      <c r="T283" s="40" t="str">
        <f>IF(Bids!$F283="","",Bids!$F283)</f>
        <v/>
      </c>
      <c r="U283" s="40" t="str">
        <f t="shared" si="3"/>
        <v/>
      </c>
      <c r="V283" s="40" t="str">
        <f>IF($U283="","",IF(Config!$B$17=Config!$B$16,IF($U283&gt;=Config!$B$17,100,0),MAX(0,MIN(100,($U283-Config!$B$16)/(Config!$B$17-Config!$B$16)*100))))</f>
        <v/>
      </c>
      <c r="W283" s="40">
        <f>IF($L283="Elite",Config!$B$21,0)</f>
        <v>0</v>
      </c>
      <c r="X283" s="40" t="str">
        <f>IFERROR(IF(OR($T283="",$G283=""),"",IF($T283&gt;$G283,
  MAX(0, 60-(($T283-$G283)*24/Config!$B$19)*60),
  MEDIAN(60, 100, 60+(($G283-$T283)*24/Config!$B$20)*40)
)),"")
</f>
        <v/>
      </c>
      <c r="Y283" s="40" t="str">
        <f>IF($J283="","",IFERROR(VLOOKUP($J283,Grinders!$A:$N,10,FALSE),""))</f>
        <v/>
      </c>
      <c r="Z283" s="40" t="str">
        <f>IF($J283="","",IFERROR(VLOOKUP($J283,Grinders!$A:$N,11,FALSE),""))</f>
        <v/>
      </c>
      <c r="AA283" s="40" t="str">
        <f>IF($J283="","",IFERROR(VLOOKUP($J283,Grinders!$A:$N,12,FALSE),""))</f>
        <v/>
      </c>
      <c r="AB283" s="40" t="str">
        <f>IF(OR(AL283=1,AM283=1),0,=IFERROR(IF(OR($C283="",$J283=""),0,IF($D283&lt;&gt;"Open",0,IF(COUNTIFS(GrinderServices!$A:$A,$J283,GrinderServices!$B:$B,$E283,GrinderServices!$D:$D,"Y")=0,0,IF($U283&lt;Config!$B$16,0,IF(Config!$B$18=1,IF($N283&gt;=$M283,0,1),1))))),""))</f>
        <v>#ERROR!</v>
      </c>
      <c r="AC283" s="40" t="str">
        <f>IFERROR((IF(OR(AL283=1,AM283=1),"",=IFERROR((IFERROR(IF($AB283=0,"",((Config!$B$6*$V283 + Config!$B$7*$R283 + Config!$B$8*$W283 + Config!$B$9*$X283 + Config!$B$10*$Y283 + Config!$B$11*$Z283 - Config!$B$12*$AA283)/Config!$B$13)+$AH283+$AI283),""))*(1-IFERROR(VLOOKUP(J283,Grinders!$A:$AB, 28, FALSE),0)),"")))*(1+AO283),"")</f>
        <v>#ERROR!</v>
      </c>
      <c r="AD283" s="40" t="str">
        <f t="shared" si="4"/>
        <v/>
      </c>
      <c r="AE283" s="40" t="str">
        <f>IFERROR(__xludf.DUMMYFUNCTION("IF($AC283="""","""",IF($AC283=IFERROR(MAX(FILTER($AC$6:$AC$1000,$C$6:$C$1000=$C283,$AB$6:$AB$1000=1)),),""WINNER"",""""))"),"#ERROR!")</f>
        <v>#ERROR!</v>
      </c>
      <c r="AF283" s="40" t="str">
        <f t="shared" si="5"/>
        <v/>
      </c>
      <c r="AG283" s="40" t="str">
        <f>IF($J283="","",COUNTIF(Assignments!$B:$B,$J283))</f>
        <v/>
      </c>
      <c r="AH283" s="40" t="str">
        <f>IF($J283="","",IF(AND($AG283=0,$N283&lt;$M283),Config!$B$43,0))</f>
        <v/>
      </c>
      <c r="AI283" s="40" t="str">
        <f>IF($J283="","",IF(AND($L283="Elite",$F283&gt;=Config!$B$41,$N283&lt;$M283),Config!$B$42,0))</f>
        <v/>
      </c>
      <c r="AJ283" s="22"/>
      <c r="AK283" s="39">
        <f>IFERROR(VLOOKUP(J283,Grinders!$A:$Q,28,FALSE),0)</f>
        <v>0</v>
      </c>
      <c r="AL283" s="39">
        <f>IF(Config!$B$1003&lt;&gt;"Y",0,IF(IFERROR(VLOOKUP(J283,Grinders!$A:$P,27,FALSE),0)&gt;=3,IF(OR(F283&gt;=Config!$B$1001,ISNUMBER(SEARCH(E283,Config!$B$1002))),1,0),0))</f>
        <v>0</v>
      </c>
      <c r="AM283" s="39">
        <f t="array" ref="AM283">IFERROR(IF(INDEX(Bids!$AE:$AE,MATCH(B283,Bids!$A:$A,0))="Pending",1,0),0)</f>
        <v>0</v>
      </c>
      <c r="AN283" s="39" t="str">
        <f t="array" ref="AN283">IF(C283="","",IFERROR(XLOOKUP(C283,Assignments!$C:$C,Assignments!$AU:$AU,0),0))</f>
        <v/>
      </c>
      <c r="AO283" s="39">
        <f>IF(AND(Config!$B$1006="Y",AN283=1),Config!$B$1007,0)</f>
        <v>0</v>
      </c>
    </row>
    <row r="284" ht="15.75" customHeight="1">
      <c r="A284" s="46" t="str">
        <f t="shared" si="1"/>
        <v/>
      </c>
      <c r="B284" s="40" t="str">
        <f>IF(Bids!$A284="","",Bids!$A284)</f>
        <v/>
      </c>
      <c r="C284" s="40" t="str">
        <f>IF(Bids!$B284="","",Bids!$B284)</f>
        <v/>
      </c>
      <c r="D284" s="40" t="str">
        <f>IF($C284="","",IFERROR(VLOOKUP($C284,Orders!$A:$J,9,FALSE),""))</f>
        <v/>
      </c>
      <c r="E284" s="40" t="str">
        <f>IF($C284="","",IFERROR(VLOOKUP($C284,Orders!$A:$J,3,FALSE),""))</f>
        <v/>
      </c>
      <c r="F284" s="40" t="str">
        <f>IF($C284="","",IFERROR(VLOOKUP($C284,Orders!$A:$J,4,FALSE),""))</f>
        <v/>
      </c>
      <c r="G284" s="40" t="str">
        <f>IF($C284="","",IFERROR(VLOOKUP($C284,Orders!$A:$J,5,FALSE),""))</f>
        <v/>
      </c>
      <c r="H284" s="40" t="str">
        <f>IF($C284="","",IFERROR(VLOOKUP($C284,Orders!$A:$J,6,FALSE),""))</f>
        <v/>
      </c>
      <c r="I284" s="40" t="str">
        <f>IF($C284="","",IFERROR(VLOOKUP($C284,Orders!$A:$J,7,FALSE),""))</f>
        <v/>
      </c>
      <c r="J284" s="40" t="str">
        <f>IF(Bids!$C284="","",Bids!$C284)</f>
        <v/>
      </c>
      <c r="K284" s="40" t="str">
        <f>IF($J284="","",IFERROR(VLOOKUP($J284,Grinders!$A:$N,2,FALSE),""))</f>
        <v/>
      </c>
      <c r="L284" s="40" t="str">
        <f>IF($J284="","",IFERROR(VLOOKUP($J284,Grinders!$A:$N,3,FALSE),""))</f>
        <v/>
      </c>
      <c r="M284" s="40" t="str">
        <f>IF($J284="","",IFERROR(VLOOKUP($J284,Grinders!$A:$N,4,FALSE),""))</f>
        <v/>
      </c>
      <c r="N284" s="40" t="str">
        <f>IF($J284="","",IFERROR(VLOOKUP($J284,Grinders!$A:$N,5,FALSE),""))</f>
        <v/>
      </c>
      <c r="O284" s="40" t="str">
        <f t="shared" si="2"/>
        <v/>
      </c>
      <c r="P284" s="40" t="str">
        <f>IF($J284="","",IFERROR(VLOOKUP($J284,Grinders!$A:$N,6,FALSE),""))</f>
        <v/>
      </c>
      <c r="Q284" s="40" t="str">
        <f>IF($J284="","",IFERROR(VLOOKUP($J284,Grinders!$A:$N,8,FALSE),""))</f>
        <v/>
      </c>
      <c r="R284" s="40" t="str">
        <f>IFERROR(IF($J284="","",IF($L284="Elite",MAX(50,MIN(100,Config!$B$27*MAX(0,MIN(100,(1-IF($O284="",0,$O284))*100)) + Config!$B$28*MAX(0,MIN(100,(1-MIN(1,IF(Config!$B$30=0,1,$P284/Config!$B$30)))*100)) + Config!$B$29*MAX(0,MIN(100,MIN(1,IF($Q284="",0,$Q284)/Config!$B$23)*100)))),MIN(100,Config!$B$27*MAX(0,MIN(100,(1-IF($O284="",0,$O284))*100)) + Config!$B$28*MAX(0,MIN(100,(1-MIN(1,IF(Config!$B$30=0,1,$P284/Config!$B$30)))*100)) + Config!$B$29*MAX(0,MIN(100,MIN(1,IF($Q284="",0,$Q284)/Config!$B$23)*100))))),"")
</f>
        <v/>
      </c>
      <c r="S284" s="40" t="str">
        <f>IF(Bids!$AC284="","",Bids!$AC284)</f>
        <v/>
      </c>
      <c r="T284" s="40" t="str">
        <f>IF(Bids!$F284="","",Bids!$F284)</f>
        <v/>
      </c>
      <c r="U284" s="40" t="str">
        <f t="shared" si="3"/>
        <v/>
      </c>
      <c r="V284" s="40" t="str">
        <f>IF($U284="","",IF(Config!$B$17=Config!$B$16,IF($U284&gt;=Config!$B$17,100,0),MAX(0,MIN(100,($U284-Config!$B$16)/(Config!$B$17-Config!$B$16)*100))))</f>
        <v/>
      </c>
      <c r="W284" s="40">
        <f>IF($L284="Elite",Config!$B$21,0)</f>
        <v>0</v>
      </c>
      <c r="X284" s="40" t="str">
        <f>IFERROR(IF(OR($T284="",$G284=""),"",IF($T284&gt;$G284,
  MAX(0, 60-(($T284-$G284)*24/Config!$B$19)*60),
  MEDIAN(60, 100, 60+(($G284-$T284)*24/Config!$B$20)*40)
)),"")
</f>
        <v/>
      </c>
      <c r="Y284" s="40" t="str">
        <f>IF($J284="","",IFERROR(VLOOKUP($J284,Grinders!$A:$N,10,FALSE),""))</f>
        <v/>
      </c>
      <c r="Z284" s="40" t="str">
        <f>IF($J284="","",IFERROR(VLOOKUP($J284,Grinders!$A:$N,11,FALSE),""))</f>
        <v/>
      </c>
      <c r="AA284" s="40" t="str">
        <f>IF($J284="","",IFERROR(VLOOKUP($J284,Grinders!$A:$N,12,FALSE),""))</f>
        <v/>
      </c>
      <c r="AB284" s="40" t="str">
        <f>IF(OR(AL284=1,AM284=1),0,=IFERROR(IF(OR($C284="",$J284=""),0,IF($D284&lt;&gt;"Open",0,IF(COUNTIFS(GrinderServices!$A:$A,$J284,GrinderServices!$B:$B,$E284,GrinderServices!$D:$D,"Y")=0,0,IF($U284&lt;Config!$B$16,0,IF(Config!$B$18=1,IF($N284&gt;=$M284,0,1),1))))),""))</f>
        <v>#ERROR!</v>
      </c>
      <c r="AC284" s="40" t="str">
        <f>IFERROR((IF(OR(AL284=1,AM284=1),"",=IFERROR((IFERROR(IF($AB284=0,"",((Config!$B$6*$V284 + Config!$B$7*$R284 + Config!$B$8*$W284 + Config!$B$9*$X284 + Config!$B$10*$Y284 + Config!$B$11*$Z284 - Config!$B$12*$AA284)/Config!$B$13)+$AH284+$AI284),""))*(1-IFERROR(VLOOKUP(J284,Grinders!$A:$AB, 28, FALSE),0)),"")))*(1+AO284),"")</f>
        <v>#ERROR!</v>
      </c>
      <c r="AD284" s="40" t="str">
        <f t="shared" si="4"/>
        <v/>
      </c>
      <c r="AE284" s="40" t="str">
        <f>IFERROR(__xludf.DUMMYFUNCTION("IF($AC284="""","""",IF($AC284=IFERROR(MAX(FILTER($AC$6:$AC$1000,$C$6:$C$1000=$C284,$AB$6:$AB$1000=1)),),""WINNER"",""""))"),"#ERROR!")</f>
        <v>#ERROR!</v>
      </c>
      <c r="AF284" s="40" t="str">
        <f t="shared" si="5"/>
        <v/>
      </c>
      <c r="AG284" s="40" t="str">
        <f>IF($J284="","",COUNTIF(Assignments!$B:$B,$J284))</f>
        <v/>
      </c>
      <c r="AH284" s="40" t="str">
        <f>IF($J284="","",IF(AND($AG284=0,$N284&lt;$M284),Config!$B$43,0))</f>
        <v/>
      </c>
      <c r="AI284" s="40" t="str">
        <f>IF($J284="","",IF(AND($L284="Elite",$F284&gt;=Config!$B$41,$N284&lt;$M284),Config!$B$42,0))</f>
        <v/>
      </c>
      <c r="AJ284" s="22"/>
      <c r="AK284" s="39">
        <f>IFERROR(VLOOKUP(J284,Grinders!$A:$Q,28,FALSE),0)</f>
        <v>0</v>
      </c>
      <c r="AL284" s="39">
        <f>IF(Config!$B$1003&lt;&gt;"Y",0,IF(IFERROR(VLOOKUP(J284,Grinders!$A:$P,27,FALSE),0)&gt;=3,IF(OR(F284&gt;=Config!$B$1001,ISNUMBER(SEARCH(E284,Config!$B$1002))),1,0),0))</f>
        <v>0</v>
      </c>
      <c r="AM284" s="39">
        <f t="array" ref="AM284">IFERROR(IF(INDEX(Bids!$AE:$AE,MATCH(B284,Bids!$A:$A,0))="Pending",1,0),0)</f>
        <v>0</v>
      </c>
      <c r="AN284" s="39" t="str">
        <f t="array" ref="AN284">IF(C284="","",IFERROR(XLOOKUP(C284,Assignments!$C:$C,Assignments!$AU:$AU,0),0))</f>
        <v/>
      </c>
      <c r="AO284" s="39">
        <f>IF(AND(Config!$B$1006="Y",AN284=1),Config!$B$1007,0)</f>
        <v>0</v>
      </c>
    </row>
    <row r="285" ht="15.75" customHeight="1">
      <c r="A285" s="46" t="str">
        <f t="shared" si="1"/>
        <v/>
      </c>
      <c r="B285" s="40" t="str">
        <f>IF(Bids!$A285="","",Bids!$A285)</f>
        <v/>
      </c>
      <c r="C285" s="40" t="str">
        <f>IF(Bids!$B285="","",Bids!$B285)</f>
        <v/>
      </c>
      <c r="D285" s="40" t="str">
        <f>IF($C285="","",IFERROR(VLOOKUP($C285,Orders!$A:$J,9,FALSE),""))</f>
        <v/>
      </c>
      <c r="E285" s="40" t="str">
        <f>IF($C285="","",IFERROR(VLOOKUP($C285,Orders!$A:$J,3,FALSE),""))</f>
        <v/>
      </c>
      <c r="F285" s="40" t="str">
        <f>IF($C285="","",IFERROR(VLOOKUP($C285,Orders!$A:$J,4,FALSE),""))</f>
        <v/>
      </c>
      <c r="G285" s="40" t="str">
        <f>IF($C285="","",IFERROR(VLOOKUP($C285,Orders!$A:$J,5,FALSE),""))</f>
        <v/>
      </c>
      <c r="H285" s="40" t="str">
        <f>IF($C285="","",IFERROR(VLOOKUP($C285,Orders!$A:$J,6,FALSE),""))</f>
        <v/>
      </c>
      <c r="I285" s="40" t="str">
        <f>IF($C285="","",IFERROR(VLOOKUP($C285,Orders!$A:$J,7,FALSE),""))</f>
        <v/>
      </c>
      <c r="J285" s="40" t="str">
        <f>IF(Bids!$C285="","",Bids!$C285)</f>
        <v/>
      </c>
      <c r="K285" s="40" t="str">
        <f>IF($J285="","",IFERROR(VLOOKUP($J285,Grinders!$A:$N,2,FALSE),""))</f>
        <v/>
      </c>
      <c r="L285" s="40" t="str">
        <f>IF($J285="","",IFERROR(VLOOKUP($J285,Grinders!$A:$N,3,FALSE),""))</f>
        <v/>
      </c>
      <c r="M285" s="40" t="str">
        <f>IF($J285="","",IFERROR(VLOOKUP($J285,Grinders!$A:$N,4,FALSE),""))</f>
        <v/>
      </c>
      <c r="N285" s="40" t="str">
        <f>IF($J285="","",IFERROR(VLOOKUP($J285,Grinders!$A:$N,5,FALSE),""))</f>
        <v/>
      </c>
      <c r="O285" s="40" t="str">
        <f t="shared" si="2"/>
        <v/>
      </c>
      <c r="P285" s="40" t="str">
        <f>IF($J285="","",IFERROR(VLOOKUP($J285,Grinders!$A:$N,6,FALSE),""))</f>
        <v/>
      </c>
      <c r="Q285" s="40" t="str">
        <f>IF($J285="","",IFERROR(VLOOKUP($J285,Grinders!$A:$N,8,FALSE),""))</f>
        <v/>
      </c>
      <c r="R285" s="40" t="str">
        <f>IFERROR(IF($J285="","",IF($L285="Elite",MAX(50,MIN(100,Config!$B$27*MAX(0,MIN(100,(1-IF($O285="",0,$O285))*100)) + Config!$B$28*MAX(0,MIN(100,(1-MIN(1,IF(Config!$B$30=0,1,$P285/Config!$B$30)))*100)) + Config!$B$29*MAX(0,MIN(100,MIN(1,IF($Q285="",0,$Q285)/Config!$B$23)*100)))),MIN(100,Config!$B$27*MAX(0,MIN(100,(1-IF($O285="",0,$O285))*100)) + Config!$B$28*MAX(0,MIN(100,(1-MIN(1,IF(Config!$B$30=0,1,$P285/Config!$B$30)))*100)) + Config!$B$29*MAX(0,MIN(100,MIN(1,IF($Q285="",0,$Q285)/Config!$B$23)*100))))),"")
</f>
        <v/>
      </c>
      <c r="S285" s="40" t="str">
        <f>IF(Bids!$AC285="","",Bids!$AC285)</f>
        <v/>
      </c>
      <c r="T285" s="40" t="str">
        <f>IF(Bids!$F285="","",Bids!$F285)</f>
        <v/>
      </c>
      <c r="U285" s="40" t="str">
        <f t="shared" si="3"/>
        <v/>
      </c>
      <c r="V285" s="40" t="str">
        <f>IF($U285="","",IF(Config!$B$17=Config!$B$16,IF($U285&gt;=Config!$B$17,100,0),MAX(0,MIN(100,($U285-Config!$B$16)/(Config!$B$17-Config!$B$16)*100))))</f>
        <v/>
      </c>
      <c r="W285" s="40">
        <f>IF($L285="Elite",Config!$B$21,0)</f>
        <v>0</v>
      </c>
      <c r="X285" s="40" t="str">
        <f>IFERROR(IF(OR($T285="",$G285=""),"",IF($T285&gt;$G285,
  MAX(0, 60-(($T285-$G285)*24/Config!$B$19)*60),
  MEDIAN(60, 100, 60+(($G285-$T285)*24/Config!$B$20)*40)
)),"")
</f>
        <v/>
      </c>
      <c r="Y285" s="40" t="str">
        <f>IF($J285="","",IFERROR(VLOOKUP($J285,Grinders!$A:$N,10,FALSE),""))</f>
        <v/>
      </c>
      <c r="Z285" s="40" t="str">
        <f>IF($J285="","",IFERROR(VLOOKUP($J285,Grinders!$A:$N,11,FALSE),""))</f>
        <v/>
      </c>
      <c r="AA285" s="40" t="str">
        <f>IF($J285="","",IFERROR(VLOOKUP($J285,Grinders!$A:$N,12,FALSE),""))</f>
        <v/>
      </c>
      <c r="AB285" s="40" t="str">
        <f>IF(OR(AL285=1,AM285=1),0,=IFERROR(IF(OR($C285="",$J285=""),0,IF($D285&lt;&gt;"Open",0,IF(COUNTIFS(GrinderServices!$A:$A,$J285,GrinderServices!$B:$B,$E285,GrinderServices!$D:$D,"Y")=0,0,IF($U285&lt;Config!$B$16,0,IF(Config!$B$18=1,IF($N285&gt;=$M285,0,1),1))))),""))</f>
        <v>#ERROR!</v>
      </c>
      <c r="AC285" s="40" t="str">
        <f>IFERROR((IF(OR(AL285=1,AM285=1),"",=IFERROR((IFERROR(IF($AB285=0,"",((Config!$B$6*$V285 + Config!$B$7*$R285 + Config!$B$8*$W285 + Config!$B$9*$X285 + Config!$B$10*$Y285 + Config!$B$11*$Z285 - Config!$B$12*$AA285)/Config!$B$13)+$AH285+$AI285),""))*(1-IFERROR(VLOOKUP(J285,Grinders!$A:$AB, 28, FALSE),0)),"")))*(1+AO285),"")</f>
        <v>#ERROR!</v>
      </c>
      <c r="AD285" s="40" t="str">
        <f t="shared" si="4"/>
        <v/>
      </c>
      <c r="AE285" s="40" t="str">
        <f>IFERROR(__xludf.DUMMYFUNCTION("IF($AC285="""","""",IF($AC285=IFERROR(MAX(FILTER($AC$6:$AC$1000,$C$6:$C$1000=$C285,$AB$6:$AB$1000=1)),),""WINNER"",""""))"),"#ERROR!")</f>
        <v>#ERROR!</v>
      </c>
      <c r="AF285" s="40" t="str">
        <f t="shared" si="5"/>
        <v/>
      </c>
      <c r="AG285" s="40" t="str">
        <f>IF($J285="","",COUNTIF(Assignments!$B:$B,$J285))</f>
        <v/>
      </c>
      <c r="AH285" s="40" t="str">
        <f>IF($J285="","",IF(AND($AG285=0,$N285&lt;$M285),Config!$B$43,0))</f>
        <v/>
      </c>
      <c r="AI285" s="40" t="str">
        <f>IF($J285="","",IF(AND($L285="Elite",$F285&gt;=Config!$B$41,$N285&lt;$M285),Config!$B$42,0))</f>
        <v/>
      </c>
      <c r="AJ285" s="22"/>
      <c r="AK285" s="39">
        <f>IFERROR(VLOOKUP(J285,Grinders!$A:$Q,28,FALSE),0)</f>
        <v>0</v>
      </c>
      <c r="AL285" s="39">
        <f>IF(Config!$B$1003&lt;&gt;"Y",0,IF(IFERROR(VLOOKUP(J285,Grinders!$A:$P,27,FALSE),0)&gt;=3,IF(OR(F285&gt;=Config!$B$1001,ISNUMBER(SEARCH(E285,Config!$B$1002))),1,0),0))</f>
        <v>0</v>
      </c>
      <c r="AM285" s="39">
        <f t="array" ref="AM285">IFERROR(IF(INDEX(Bids!$AE:$AE,MATCH(B285,Bids!$A:$A,0))="Pending",1,0),0)</f>
        <v>0</v>
      </c>
      <c r="AN285" s="39" t="str">
        <f t="array" ref="AN285">IF(C285="","",IFERROR(XLOOKUP(C285,Assignments!$C:$C,Assignments!$AU:$AU,0),0))</f>
        <v/>
      </c>
      <c r="AO285" s="39">
        <f>IF(AND(Config!$B$1006="Y",AN285=1),Config!$B$1007,0)</f>
        <v>0</v>
      </c>
    </row>
    <row r="286" ht="15.75" customHeight="1">
      <c r="A286" s="46" t="str">
        <f t="shared" si="1"/>
        <v/>
      </c>
      <c r="B286" s="40" t="str">
        <f>IF(Bids!$A286="","",Bids!$A286)</f>
        <v/>
      </c>
      <c r="C286" s="40" t="str">
        <f>IF(Bids!$B286="","",Bids!$B286)</f>
        <v/>
      </c>
      <c r="D286" s="40" t="str">
        <f>IF($C286="","",IFERROR(VLOOKUP($C286,Orders!$A:$J,9,FALSE),""))</f>
        <v/>
      </c>
      <c r="E286" s="40" t="str">
        <f>IF($C286="","",IFERROR(VLOOKUP($C286,Orders!$A:$J,3,FALSE),""))</f>
        <v/>
      </c>
      <c r="F286" s="40" t="str">
        <f>IF($C286="","",IFERROR(VLOOKUP($C286,Orders!$A:$J,4,FALSE),""))</f>
        <v/>
      </c>
      <c r="G286" s="40" t="str">
        <f>IF($C286="","",IFERROR(VLOOKUP($C286,Orders!$A:$J,5,FALSE),""))</f>
        <v/>
      </c>
      <c r="H286" s="40" t="str">
        <f>IF($C286="","",IFERROR(VLOOKUP($C286,Orders!$A:$J,6,FALSE),""))</f>
        <v/>
      </c>
      <c r="I286" s="40" t="str">
        <f>IF($C286="","",IFERROR(VLOOKUP($C286,Orders!$A:$J,7,FALSE),""))</f>
        <v/>
      </c>
      <c r="J286" s="40" t="str">
        <f>IF(Bids!$C286="","",Bids!$C286)</f>
        <v/>
      </c>
      <c r="K286" s="40" t="str">
        <f>IF($J286="","",IFERROR(VLOOKUP($J286,Grinders!$A:$N,2,FALSE),""))</f>
        <v/>
      </c>
      <c r="L286" s="40" t="str">
        <f>IF($J286="","",IFERROR(VLOOKUP($J286,Grinders!$A:$N,3,FALSE),""))</f>
        <v/>
      </c>
      <c r="M286" s="40" t="str">
        <f>IF($J286="","",IFERROR(VLOOKUP($J286,Grinders!$A:$N,4,FALSE),""))</f>
        <v/>
      </c>
      <c r="N286" s="40" t="str">
        <f>IF($J286="","",IFERROR(VLOOKUP($J286,Grinders!$A:$N,5,FALSE),""))</f>
        <v/>
      </c>
      <c r="O286" s="40" t="str">
        <f t="shared" si="2"/>
        <v/>
      </c>
      <c r="P286" s="40" t="str">
        <f>IF($J286="","",IFERROR(VLOOKUP($J286,Grinders!$A:$N,6,FALSE),""))</f>
        <v/>
      </c>
      <c r="Q286" s="40" t="str">
        <f>IF($J286="","",IFERROR(VLOOKUP($J286,Grinders!$A:$N,8,FALSE),""))</f>
        <v/>
      </c>
      <c r="R286" s="40" t="str">
        <f>IFERROR(IF($J286="","",IF($L286="Elite",MAX(50,MIN(100,Config!$B$27*MAX(0,MIN(100,(1-IF($O286="",0,$O286))*100)) + Config!$B$28*MAX(0,MIN(100,(1-MIN(1,IF(Config!$B$30=0,1,$P286/Config!$B$30)))*100)) + Config!$B$29*MAX(0,MIN(100,MIN(1,IF($Q286="",0,$Q286)/Config!$B$23)*100)))),MIN(100,Config!$B$27*MAX(0,MIN(100,(1-IF($O286="",0,$O286))*100)) + Config!$B$28*MAX(0,MIN(100,(1-MIN(1,IF(Config!$B$30=0,1,$P286/Config!$B$30)))*100)) + Config!$B$29*MAX(0,MIN(100,MIN(1,IF($Q286="",0,$Q286)/Config!$B$23)*100))))),"")
</f>
        <v/>
      </c>
      <c r="S286" s="40" t="str">
        <f>IF(Bids!$AC286="","",Bids!$AC286)</f>
        <v/>
      </c>
      <c r="T286" s="40" t="str">
        <f>IF(Bids!$F286="","",Bids!$F286)</f>
        <v/>
      </c>
      <c r="U286" s="40" t="str">
        <f t="shared" si="3"/>
        <v/>
      </c>
      <c r="V286" s="40" t="str">
        <f>IF($U286="","",IF(Config!$B$17=Config!$B$16,IF($U286&gt;=Config!$B$17,100,0),MAX(0,MIN(100,($U286-Config!$B$16)/(Config!$B$17-Config!$B$16)*100))))</f>
        <v/>
      </c>
      <c r="W286" s="40">
        <f>IF($L286="Elite",Config!$B$21,0)</f>
        <v>0</v>
      </c>
      <c r="X286" s="40" t="str">
        <f>IFERROR(IF(OR($T286="",$G286=""),"",IF($T286&gt;$G286,
  MAX(0, 60-(($T286-$G286)*24/Config!$B$19)*60),
  MEDIAN(60, 100, 60+(($G286-$T286)*24/Config!$B$20)*40)
)),"")
</f>
        <v/>
      </c>
      <c r="Y286" s="40" t="str">
        <f>IF($J286="","",IFERROR(VLOOKUP($J286,Grinders!$A:$N,10,FALSE),""))</f>
        <v/>
      </c>
      <c r="Z286" s="40" t="str">
        <f>IF($J286="","",IFERROR(VLOOKUP($J286,Grinders!$A:$N,11,FALSE),""))</f>
        <v/>
      </c>
      <c r="AA286" s="40" t="str">
        <f>IF($J286="","",IFERROR(VLOOKUP($J286,Grinders!$A:$N,12,FALSE),""))</f>
        <v/>
      </c>
      <c r="AB286" s="40" t="str">
        <f>IF(OR(AL286=1,AM286=1),0,=IFERROR(IF(OR($C286="",$J286=""),0,IF($D286&lt;&gt;"Open",0,IF(COUNTIFS(GrinderServices!$A:$A,$J286,GrinderServices!$B:$B,$E286,GrinderServices!$D:$D,"Y")=0,0,IF($U286&lt;Config!$B$16,0,IF(Config!$B$18=1,IF($N286&gt;=$M286,0,1),1))))),""))</f>
        <v>#ERROR!</v>
      </c>
      <c r="AC286" s="40" t="str">
        <f>IFERROR((IF(OR(AL286=1,AM286=1),"",=IFERROR((IFERROR(IF($AB286=0,"",((Config!$B$6*$V286 + Config!$B$7*$R286 + Config!$B$8*$W286 + Config!$B$9*$X286 + Config!$B$10*$Y286 + Config!$B$11*$Z286 - Config!$B$12*$AA286)/Config!$B$13)+$AH286+$AI286),""))*(1-IFERROR(VLOOKUP(J286,Grinders!$A:$AB, 28, FALSE),0)),"")))*(1+AO286),"")</f>
        <v>#ERROR!</v>
      </c>
      <c r="AD286" s="40" t="str">
        <f t="shared" si="4"/>
        <v/>
      </c>
      <c r="AE286" s="40" t="str">
        <f>IFERROR(__xludf.DUMMYFUNCTION("IF($AC286="""","""",IF($AC286=IFERROR(MAX(FILTER($AC$6:$AC$1000,$C$6:$C$1000=$C286,$AB$6:$AB$1000=1)),),""WINNER"",""""))"),"#ERROR!")</f>
        <v>#ERROR!</v>
      </c>
      <c r="AF286" s="40" t="str">
        <f t="shared" si="5"/>
        <v/>
      </c>
      <c r="AG286" s="40" t="str">
        <f>IF($J286="","",COUNTIF(Assignments!$B:$B,$J286))</f>
        <v/>
      </c>
      <c r="AH286" s="40" t="str">
        <f>IF($J286="","",IF(AND($AG286=0,$N286&lt;$M286),Config!$B$43,0))</f>
        <v/>
      </c>
      <c r="AI286" s="40" t="str">
        <f>IF($J286="","",IF(AND($L286="Elite",$F286&gt;=Config!$B$41,$N286&lt;$M286),Config!$B$42,0))</f>
        <v/>
      </c>
      <c r="AJ286" s="22"/>
      <c r="AK286" s="39">
        <f>IFERROR(VLOOKUP(J286,Grinders!$A:$Q,28,FALSE),0)</f>
        <v>0</v>
      </c>
      <c r="AL286" s="39">
        <f>IF(Config!$B$1003&lt;&gt;"Y",0,IF(IFERROR(VLOOKUP(J286,Grinders!$A:$P,27,FALSE),0)&gt;=3,IF(OR(F286&gt;=Config!$B$1001,ISNUMBER(SEARCH(E286,Config!$B$1002))),1,0),0))</f>
        <v>0</v>
      </c>
      <c r="AM286" s="39">
        <f t="array" ref="AM286">IFERROR(IF(INDEX(Bids!$AE:$AE,MATCH(B286,Bids!$A:$A,0))="Pending",1,0),0)</f>
        <v>0</v>
      </c>
      <c r="AN286" s="39" t="str">
        <f t="array" ref="AN286">IF(C286="","",IFERROR(XLOOKUP(C286,Assignments!$C:$C,Assignments!$AU:$AU,0),0))</f>
        <v/>
      </c>
      <c r="AO286" s="39">
        <f>IF(AND(Config!$B$1006="Y",AN286=1),Config!$B$1007,0)</f>
        <v>0</v>
      </c>
    </row>
    <row r="287" ht="15.75" customHeight="1">
      <c r="A287" s="46" t="str">
        <f t="shared" si="1"/>
        <v/>
      </c>
      <c r="B287" s="40" t="str">
        <f>IF(Bids!$A287="","",Bids!$A287)</f>
        <v/>
      </c>
      <c r="C287" s="40" t="str">
        <f>IF(Bids!$B287="","",Bids!$B287)</f>
        <v/>
      </c>
      <c r="D287" s="40" t="str">
        <f>IF($C287="","",IFERROR(VLOOKUP($C287,Orders!$A:$J,9,FALSE),""))</f>
        <v/>
      </c>
      <c r="E287" s="40" t="str">
        <f>IF($C287="","",IFERROR(VLOOKUP($C287,Orders!$A:$J,3,FALSE),""))</f>
        <v/>
      </c>
      <c r="F287" s="40" t="str">
        <f>IF($C287="","",IFERROR(VLOOKUP($C287,Orders!$A:$J,4,FALSE),""))</f>
        <v/>
      </c>
      <c r="G287" s="40" t="str">
        <f>IF($C287="","",IFERROR(VLOOKUP($C287,Orders!$A:$J,5,FALSE),""))</f>
        <v/>
      </c>
      <c r="H287" s="40" t="str">
        <f>IF($C287="","",IFERROR(VLOOKUP($C287,Orders!$A:$J,6,FALSE),""))</f>
        <v/>
      </c>
      <c r="I287" s="40" t="str">
        <f>IF($C287="","",IFERROR(VLOOKUP($C287,Orders!$A:$J,7,FALSE),""))</f>
        <v/>
      </c>
      <c r="J287" s="40" t="str">
        <f>IF(Bids!$C287="","",Bids!$C287)</f>
        <v/>
      </c>
      <c r="K287" s="40" t="str">
        <f>IF($J287="","",IFERROR(VLOOKUP($J287,Grinders!$A:$N,2,FALSE),""))</f>
        <v/>
      </c>
      <c r="L287" s="40" t="str">
        <f>IF($J287="","",IFERROR(VLOOKUP($J287,Grinders!$A:$N,3,FALSE),""))</f>
        <v/>
      </c>
      <c r="M287" s="40" t="str">
        <f>IF($J287="","",IFERROR(VLOOKUP($J287,Grinders!$A:$N,4,FALSE),""))</f>
        <v/>
      </c>
      <c r="N287" s="40" t="str">
        <f>IF($J287="","",IFERROR(VLOOKUP($J287,Grinders!$A:$N,5,FALSE),""))</f>
        <v/>
      </c>
      <c r="O287" s="40" t="str">
        <f t="shared" si="2"/>
        <v/>
      </c>
      <c r="P287" s="40" t="str">
        <f>IF($J287="","",IFERROR(VLOOKUP($J287,Grinders!$A:$N,6,FALSE),""))</f>
        <v/>
      </c>
      <c r="Q287" s="40" t="str">
        <f>IF($J287="","",IFERROR(VLOOKUP($J287,Grinders!$A:$N,8,FALSE),""))</f>
        <v/>
      </c>
      <c r="R287" s="40" t="str">
        <f>IFERROR(IF($J287="","",IF($L287="Elite",MAX(50,MIN(100,Config!$B$27*MAX(0,MIN(100,(1-IF($O287="",0,$O287))*100)) + Config!$B$28*MAX(0,MIN(100,(1-MIN(1,IF(Config!$B$30=0,1,$P287/Config!$B$30)))*100)) + Config!$B$29*MAX(0,MIN(100,MIN(1,IF($Q287="",0,$Q287)/Config!$B$23)*100)))),MIN(100,Config!$B$27*MAX(0,MIN(100,(1-IF($O287="",0,$O287))*100)) + Config!$B$28*MAX(0,MIN(100,(1-MIN(1,IF(Config!$B$30=0,1,$P287/Config!$B$30)))*100)) + Config!$B$29*MAX(0,MIN(100,MIN(1,IF($Q287="",0,$Q287)/Config!$B$23)*100))))),"")
</f>
        <v/>
      </c>
      <c r="S287" s="40" t="str">
        <f>IF(Bids!$AC287="","",Bids!$AC287)</f>
        <v/>
      </c>
      <c r="T287" s="40" t="str">
        <f>IF(Bids!$F287="","",Bids!$F287)</f>
        <v/>
      </c>
      <c r="U287" s="40" t="str">
        <f t="shared" si="3"/>
        <v/>
      </c>
      <c r="V287" s="40" t="str">
        <f>IF($U287="","",IF(Config!$B$17=Config!$B$16,IF($U287&gt;=Config!$B$17,100,0),MAX(0,MIN(100,($U287-Config!$B$16)/(Config!$B$17-Config!$B$16)*100))))</f>
        <v/>
      </c>
      <c r="W287" s="40">
        <f>IF($L287="Elite",Config!$B$21,0)</f>
        <v>0</v>
      </c>
      <c r="X287" s="40" t="str">
        <f>IFERROR(IF(OR($T287="",$G287=""),"",IF($T287&gt;$G287,
  MAX(0, 60-(($T287-$G287)*24/Config!$B$19)*60),
  MEDIAN(60, 100, 60+(($G287-$T287)*24/Config!$B$20)*40)
)),"")
</f>
        <v/>
      </c>
      <c r="Y287" s="40" t="str">
        <f>IF($J287="","",IFERROR(VLOOKUP($J287,Grinders!$A:$N,10,FALSE),""))</f>
        <v/>
      </c>
      <c r="Z287" s="40" t="str">
        <f>IF($J287="","",IFERROR(VLOOKUP($J287,Grinders!$A:$N,11,FALSE),""))</f>
        <v/>
      </c>
      <c r="AA287" s="40" t="str">
        <f>IF($J287="","",IFERROR(VLOOKUP($J287,Grinders!$A:$N,12,FALSE),""))</f>
        <v/>
      </c>
      <c r="AB287" s="40" t="str">
        <f>IF(OR(AL287=1,AM287=1),0,=IFERROR(IF(OR($C287="",$J287=""),0,IF($D287&lt;&gt;"Open",0,IF(COUNTIFS(GrinderServices!$A:$A,$J287,GrinderServices!$B:$B,$E287,GrinderServices!$D:$D,"Y")=0,0,IF($U287&lt;Config!$B$16,0,IF(Config!$B$18=1,IF($N287&gt;=$M287,0,1),1))))),""))</f>
        <v>#ERROR!</v>
      </c>
      <c r="AC287" s="40" t="str">
        <f>IFERROR((IF(OR(AL287=1,AM287=1),"",=IFERROR((IFERROR(IF($AB287=0,"",((Config!$B$6*$V287 + Config!$B$7*$R287 + Config!$B$8*$W287 + Config!$B$9*$X287 + Config!$B$10*$Y287 + Config!$B$11*$Z287 - Config!$B$12*$AA287)/Config!$B$13)+$AH287+$AI287),""))*(1-IFERROR(VLOOKUP(J287,Grinders!$A:$AB, 28, FALSE),0)),"")))*(1+AO287),"")</f>
        <v>#ERROR!</v>
      </c>
      <c r="AD287" s="40" t="str">
        <f t="shared" si="4"/>
        <v/>
      </c>
      <c r="AE287" s="40" t="str">
        <f>IFERROR(__xludf.DUMMYFUNCTION("IF($AC287="""","""",IF($AC287=IFERROR(MAX(FILTER($AC$6:$AC$1000,$C$6:$C$1000=$C287,$AB$6:$AB$1000=1)),),""WINNER"",""""))"),"#ERROR!")</f>
        <v>#ERROR!</v>
      </c>
      <c r="AF287" s="40" t="str">
        <f t="shared" si="5"/>
        <v/>
      </c>
      <c r="AG287" s="40" t="str">
        <f>IF($J287="","",COUNTIF(Assignments!$B:$B,$J287))</f>
        <v/>
      </c>
      <c r="AH287" s="40" t="str">
        <f>IF($J287="","",IF(AND($AG287=0,$N287&lt;$M287),Config!$B$43,0))</f>
        <v/>
      </c>
      <c r="AI287" s="40" t="str">
        <f>IF($J287="","",IF(AND($L287="Elite",$F287&gt;=Config!$B$41,$N287&lt;$M287),Config!$B$42,0))</f>
        <v/>
      </c>
      <c r="AJ287" s="22"/>
      <c r="AK287" s="39">
        <f>IFERROR(VLOOKUP(J287,Grinders!$A:$Q,28,FALSE),0)</f>
        <v>0</v>
      </c>
      <c r="AL287" s="39">
        <f>IF(Config!$B$1003&lt;&gt;"Y",0,IF(IFERROR(VLOOKUP(J287,Grinders!$A:$P,27,FALSE),0)&gt;=3,IF(OR(F287&gt;=Config!$B$1001,ISNUMBER(SEARCH(E287,Config!$B$1002))),1,0),0))</f>
        <v>0</v>
      </c>
      <c r="AM287" s="39">
        <f t="array" ref="AM287">IFERROR(IF(INDEX(Bids!$AE:$AE,MATCH(B287,Bids!$A:$A,0))="Pending",1,0),0)</f>
        <v>0</v>
      </c>
      <c r="AN287" s="39" t="str">
        <f t="array" ref="AN287">IF(C287="","",IFERROR(XLOOKUP(C287,Assignments!$C:$C,Assignments!$AU:$AU,0),0))</f>
        <v/>
      </c>
      <c r="AO287" s="39">
        <f>IF(AND(Config!$B$1006="Y",AN287=1),Config!$B$1007,0)</f>
        <v>0</v>
      </c>
    </row>
    <row r="288" ht="15.75" customHeight="1">
      <c r="A288" s="46" t="str">
        <f t="shared" si="1"/>
        <v/>
      </c>
      <c r="B288" s="40" t="str">
        <f>IF(Bids!$A288="","",Bids!$A288)</f>
        <v/>
      </c>
      <c r="C288" s="40" t="str">
        <f>IF(Bids!$B288="","",Bids!$B288)</f>
        <v/>
      </c>
      <c r="D288" s="40" t="str">
        <f>IF($C288="","",IFERROR(VLOOKUP($C288,Orders!$A:$J,9,FALSE),""))</f>
        <v/>
      </c>
      <c r="E288" s="40" t="str">
        <f>IF($C288="","",IFERROR(VLOOKUP($C288,Orders!$A:$J,3,FALSE),""))</f>
        <v/>
      </c>
      <c r="F288" s="40" t="str">
        <f>IF($C288="","",IFERROR(VLOOKUP($C288,Orders!$A:$J,4,FALSE),""))</f>
        <v/>
      </c>
      <c r="G288" s="40" t="str">
        <f>IF($C288="","",IFERROR(VLOOKUP($C288,Orders!$A:$J,5,FALSE),""))</f>
        <v/>
      </c>
      <c r="H288" s="40" t="str">
        <f>IF($C288="","",IFERROR(VLOOKUP($C288,Orders!$A:$J,6,FALSE),""))</f>
        <v/>
      </c>
      <c r="I288" s="40" t="str">
        <f>IF($C288="","",IFERROR(VLOOKUP($C288,Orders!$A:$J,7,FALSE),""))</f>
        <v/>
      </c>
      <c r="J288" s="40" t="str">
        <f>IF(Bids!$C288="","",Bids!$C288)</f>
        <v/>
      </c>
      <c r="K288" s="40" t="str">
        <f>IF($J288="","",IFERROR(VLOOKUP($J288,Grinders!$A:$N,2,FALSE),""))</f>
        <v/>
      </c>
      <c r="L288" s="40" t="str">
        <f>IF($J288="","",IFERROR(VLOOKUP($J288,Grinders!$A:$N,3,FALSE),""))</f>
        <v/>
      </c>
      <c r="M288" s="40" t="str">
        <f>IF($J288="","",IFERROR(VLOOKUP($J288,Grinders!$A:$N,4,FALSE),""))</f>
        <v/>
      </c>
      <c r="N288" s="40" t="str">
        <f>IF($J288="","",IFERROR(VLOOKUP($J288,Grinders!$A:$N,5,FALSE),""))</f>
        <v/>
      </c>
      <c r="O288" s="40" t="str">
        <f t="shared" si="2"/>
        <v/>
      </c>
      <c r="P288" s="40" t="str">
        <f>IF($J288="","",IFERROR(VLOOKUP($J288,Grinders!$A:$N,6,FALSE),""))</f>
        <v/>
      </c>
      <c r="Q288" s="40" t="str">
        <f>IF($J288="","",IFERROR(VLOOKUP($J288,Grinders!$A:$N,8,FALSE),""))</f>
        <v/>
      </c>
      <c r="R288" s="40" t="str">
        <f>IFERROR(IF($J288="","",IF($L288="Elite",MAX(50,MIN(100,Config!$B$27*MAX(0,MIN(100,(1-IF($O288="",0,$O288))*100)) + Config!$B$28*MAX(0,MIN(100,(1-MIN(1,IF(Config!$B$30=0,1,$P288/Config!$B$30)))*100)) + Config!$B$29*MAX(0,MIN(100,MIN(1,IF($Q288="",0,$Q288)/Config!$B$23)*100)))),MIN(100,Config!$B$27*MAX(0,MIN(100,(1-IF($O288="",0,$O288))*100)) + Config!$B$28*MAX(0,MIN(100,(1-MIN(1,IF(Config!$B$30=0,1,$P288/Config!$B$30)))*100)) + Config!$B$29*MAX(0,MIN(100,MIN(1,IF($Q288="",0,$Q288)/Config!$B$23)*100))))),"")
</f>
        <v/>
      </c>
      <c r="S288" s="40" t="str">
        <f>IF(Bids!$AC288="","",Bids!$AC288)</f>
        <v/>
      </c>
      <c r="T288" s="40" t="str">
        <f>IF(Bids!$F288="","",Bids!$F288)</f>
        <v/>
      </c>
      <c r="U288" s="40" t="str">
        <f t="shared" si="3"/>
        <v/>
      </c>
      <c r="V288" s="40" t="str">
        <f>IF($U288="","",IF(Config!$B$17=Config!$B$16,IF($U288&gt;=Config!$B$17,100,0),MAX(0,MIN(100,($U288-Config!$B$16)/(Config!$B$17-Config!$B$16)*100))))</f>
        <v/>
      </c>
      <c r="W288" s="40">
        <f>IF($L288="Elite",Config!$B$21,0)</f>
        <v>0</v>
      </c>
      <c r="X288" s="40" t="str">
        <f>IFERROR(IF(OR($T288="",$G288=""),"",IF($T288&gt;$G288,
  MAX(0, 60-(($T288-$G288)*24/Config!$B$19)*60),
  MEDIAN(60, 100, 60+(($G288-$T288)*24/Config!$B$20)*40)
)),"")
</f>
        <v/>
      </c>
      <c r="Y288" s="40" t="str">
        <f>IF($J288="","",IFERROR(VLOOKUP($J288,Grinders!$A:$N,10,FALSE),""))</f>
        <v/>
      </c>
      <c r="Z288" s="40" t="str">
        <f>IF($J288="","",IFERROR(VLOOKUP($J288,Grinders!$A:$N,11,FALSE),""))</f>
        <v/>
      </c>
      <c r="AA288" s="40" t="str">
        <f>IF($J288="","",IFERROR(VLOOKUP($J288,Grinders!$A:$N,12,FALSE),""))</f>
        <v/>
      </c>
      <c r="AB288" s="40" t="str">
        <f>IF(OR(AL288=1,AM288=1),0,=IFERROR(IF(OR($C288="",$J288=""),0,IF($D288&lt;&gt;"Open",0,IF(COUNTIFS(GrinderServices!$A:$A,$J288,GrinderServices!$B:$B,$E288,GrinderServices!$D:$D,"Y")=0,0,IF($U288&lt;Config!$B$16,0,IF(Config!$B$18=1,IF($N288&gt;=$M288,0,1),1))))),""))</f>
        <v>#ERROR!</v>
      </c>
      <c r="AC288" s="40" t="str">
        <f>IFERROR((IF(OR(AL288=1,AM288=1),"",=IFERROR((IFERROR(IF($AB288=0,"",((Config!$B$6*$V288 + Config!$B$7*$R288 + Config!$B$8*$W288 + Config!$B$9*$X288 + Config!$B$10*$Y288 + Config!$B$11*$Z288 - Config!$B$12*$AA288)/Config!$B$13)+$AH288+$AI288),""))*(1-IFERROR(VLOOKUP(J288,Grinders!$A:$AB, 28, FALSE),0)),"")))*(1+AO288),"")</f>
        <v>#ERROR!</v>
      </c>
      <c r="AD288" s="40" t="str">
        <f t="shared" si="4"/>
        <v/>
      </c>
      <c r="AE288" s="40" t="str">
        <f>IFERROR(__xludf.DUMMYFUNCTION("IF($AC288="""","""",IF($AC288=IFERROR(MAX(FILTER($AC$6:$AC$1000,$C$6:$C$1000=$C288,$AB$6:$AB$1000=1)),),""WINNER"",""""))"),"#ERROR!")</f>
        <v>#ERROR!</v>
      </c>
      <c r="AF288" s="40" t="str">
        <f t="shared" si="5"/>
        <v/>
      </c>
      <c r="AG288" s="40" t="str">
        <f>IF($J288="","",COUNTIF(Assignments!$B:$B,$J288))</f>
        <v/>
      </c>
      <c r="AH288" s="40" t="str">
        <f>IF($J288="","",IF(AND($AG288=0,$N288&lt;$M288),Config!$B$43,0))</f>
        <v/>
      </c>
      <c r="AI288" s="40" t="str">
        <f>IF($J288="","",IF(AND($L288="Elite",$F288&gt;=Config!$B$41,$N288&lt;$M288),Config!$B$42,0))</f>
        <v/>
      </c>
      <c r="AJ288" s="22"/>
      <c r="AK288" s="39">
        <f>IFERROR(VLOOKUP(J288,Grinders!$A:$Q,28,FALSE),0)</f>
        <v>0</v>
      </c>
      <c r="AL288" s="39">
        <f>IF(Config!$B$1003&lt;&gt;"Y",0,IF(IFERROR(VLOOKUP(J288,Grinders!$A:$P,27,FALSE),0)&gt;=3,IF(OR(F288&gt;=Config!$B$1001,ISNUMBER(SEARCH(E288,Config!$B$1002))),1,0),0))</f>
        <v>0</v>
      </c>
      <c r="AM288" s="39">
        <f t="array" ref="AM288">IFERROR(IF(INDEX(Bids!$AE:$AE,MATCH(B288,Bids!$A:$A,0))="Pending",1,0),0)</f>
        <v>0</v>
      </c>
      <c r="AN288" s="39" t="str">
        <f t="array" ref="AN288">IF(C288="","",IFERROR(XLOOKUP(C288,Assignments!$C:$C,Assignments!$AU:$AU,0),0))</f>
        <v/>
      </c>
      <c r="AO288" s="39">
        <f>IF(AND(Config!$B$1006="Y",AN288=1),Config!$B$1007,0)</f>
        <v>0</v>
      </c>
    </row>
    <row r="289" ht="15.75" customHeight="1">
      <c r="A289" s="46" t="str">
        <f t="shared" si="1"/>
        <v/>
      </c>
      <c r="B289" s="40" t="str">
        <f>IF(Bids!$A289="","",Bids!$A289)</f>
        <v/>
      </c>
      <c r="C289" s="40" t="str">
        <f>IF(Bids!$B289="","",Bids!$B289)</f>
        <v/>
      </c>
      <c r="D289" s="40" t="str">
        <f>IF($C289="","",IFERROR(VLOOKUP($C289,Orders!$A:$J,9,FALSE),""))</f>
        <v/>
      </c>
      <c r="E289" s="40" t="str">
        <f>IF($C289="","",IFERROR(VLOOKUP($C289,Orders!$A:$J,3,FALSE),""))</f>
        <v/>
      </c>
      <c r="F289" s="40" t="str">
        <f>IF($C289="","",IFERROR(VLOOKUP($C289,Orders!$A:$J,4,FALSE),""))</f>
        <v/>
      </c>
      <c r="G289" s="40" t="str">
        <f>IF($C289="","",IFERROR(VLOOKUP($C289,Orders!$A:$J,5,FALSE),""))</f>
        <v/>
      </c>
      <c r="H289" s="40" t="str">
        <f>IF($C289="","",IFERROR(VLOOKUP($C289,Orders!$A:$J,6,FALSE),""))</f>
        <v/>
      </c>
      <c r="I289" s="40" t="str">
        <f>IF($C289="","",IFERROR(VLOOKUP($C289,Orders!$A:$J,7,FALSE),""))</f>
        <v/>
      </c>
      <c r="J289" s="40" t="str">
        <f>IF(Bids!$C289="","",Bids!$C289)</f>
        <v/>
      </c>
      <c r="K289" s="40" t="str">
        <f>IF($J289="","",IFERROR(VLOOKUP($J289,Grinders!$A:$N,2,FALSE),""))</f>
        <v/>
      </c>
      <c r="L289" s="40" t="str">
        <f>IF($J289="","",IFERROR(VLOOKUP($J289,Grinders!$A:$N,3,FALSE),""))</f>
        <v/>
      </c>
      <c r="M289" s="40" t="str">
        <f>IF($J289="","",IFERROR(VLOOKUP($J289,Grinders!$A:$N,4,FALSE),""))</f>
        <v/>
      </c>
      <c r="N289" s="40" t="str">
        <f>IF($J289="","",IFERROR(VLOOKUP($J289,Grinders!$A:$N,5,FALSE),""))</f>
        <v/>
      </c>
      <c r="O289" s="40" t="str">
        <f t="shared" si="2"/>
        <v/>
      </c>
      <c r="P289" s="40" t="str">
        <f>IF($J289="","",IFERROR(VLOOKUP($J289,Grinders!$A:$N,6,FALSE),""))</f>
        <v/>
      </c>
      <c r="Q289" s="40" t="str">
        <f>IF($J289="","",IFERROR(VLOOKUP($J289,Grinders!$A:$N,8,FALSE),""))</f>
        <v/>
      </c>
      <c r="R289" s="40" t="str">
        <f>IFERROR(IF($J289="","",IF($L289="Elite",MAX(50,MIN(100,Config!$B$27*MAX(0,MIN(100,(1-IF($O289="",0,$O289))*100)) + Config!$B$28*MAX(0,MIN(100,(1-MIN(1,IF(Config!$B$30=0,1,$P289/Config!$B$30)))*100)) + Config!$B$29*MAX(0,MIN(100,MIN(1,IF($Q289="",0,$Q289)/Config!$B$23)*100)))),MIN(100,Config!$B$27*MAX(0,MIN(100,(1-IF($O289="",0,$O289))*100)) + Config!$B$28*MAX(0,MIN(100,(1-MIN(1,IF(Config!$B$30=0,1,$P289/Config!$B$30)))*100)) + Config!$B$29*MAX(0,MIN(100,MIN(1,IF($Q289="",0,$Q289)/Config!$B$23)*100))))),"")
</f>
        <v/>
      </c>
      <c r="S289" s="40" t="str">
        <f>IF(Bids!$AC289="","",Bids!$AC289)</f>
        <v/>
      </c>
      <c r="T289" s="40" t="str">
        <f>IF(Bids!$F289="","",Bids!$F289)</f>
        <v/>
      </c>
      <c r="U289" s="40" t="str">
        <f t="shared" si="3"/>
        <v/>
      </c>
      <c r="V289" s="40" t="str">
        <f>IF($U289="","",IF(Config!$B$17=Config!$B$16,IF($U289&gt;=Config!$B$17,100,0),MAX(0,MIN(100,($U289-Config!$B$16)/(Config!$B$17-Config!$B$16)*100))))</f>
        <v/>
      </c>
      <c r="W289" s="40">
        <f>IF($L289="Elite",Config!$B$21,0)</f>
        <v>0</v>
      </c>
      <c r="X289" s="40" t="str">
        <f>IFERROR(IF(OR($T289="",$G289=""),"",IF($T289&gt;$G289,
  MAX(0, 60-(($T289-$G289)*24/Config!$B$19)*60),
  MEDIAN(60, 100, 60+(($G289-$T289)*24/Config!$B$20)*40)
)),"")
</f>
        <v/>
      </c>
      <c r="Y289" s="40" t="str">
        <f>IF($J289="","",IFERROR(VLOOKUP($J289,Grinders!$A:$N,10,FALSE),""))</f>
        <v/>
      </c>
      <c r="Z289" s="40" t="str">
        <f>IF($J289="","",IFERROR(VLOOKUP($J289,Grinders!$A:$N,11,FALSE),""))</f>
        <v/>
      </c>
      <c r="AA289" s="40" t="str">
        <f>IF($J289="","",IFERROR(VLOOKUP($J289,Grinders!$A:$N,12,FALSE),""))</f>
        <v/>
      </c>
      <c r="AB289" s="40" t="str">
        <f>IF(OR(AL289=1,AM289=1),0,=IFERROR(IF(OR($C289="",$J289=""),0,IF($D289&lt;&gt;"Open",0,IF(COUNTIFS(GrinderServices!$A:$A,$J289,GrinderServices!$B:$B,$E289,GrinderServices!$D:$D,"Y")=0,0,IF($U289&lt;Config!$B$16,0,IF(Config!$B$18=1,IF($N289&gt;=$M289,0,1),1))))),""))</f>
        <v>#ERROR!</v>
      </c>
      <c r="AC289" s="40" t="str">
        <f>IFERROR((IF(OR(AL289=1,AM289=1),"",=IFERROR((IFERROR(IF($AB289=0,"",((Config!$B$6*$V289 + Config!$B$7*$R289 + Config!$B$8*$W289 + Config!$B$9*$X289 + Config!$B$10*$Y289 + Config!$B$11*$Z289 - Config!$B$12*$AA289)/Config!$B$13)+$AH289+$AI289),""))*(1-IFERROR(VLOOKUP(J289,Grinders!$A:$AB, 28, FALSE),0)),"")))*(1+AO289),"")</f>
        <v>#ERROR!</v>
      </c>
      <c r="AD289" s="40" t="str">
        <f t="shared" si="4"/>
        <v/>
      </c>
      <c r="AE289" s="40" t="str">
        <f>IFERROR(__xludf.DUMMYFUNCTION("IF($AC289="""","""",IF($AC289=IFERROR(MAX(FILTER($AC$6:$AC$1000,$C$6:$C$1000=$C289,$AB$6:$AB$1000=1)),),""WINNER"",""""))"),"#ERROR!")</f>
        <v>#ERROR!</v>
      </c>
      <c r="AF289" s="40" t="str">
        <f t="shared" si="5"/>
        <v/>
      </c>
      <c r="AG289" s="40" t="str">
        <f>IF($J289="","",COUNTIF(Assignments!$B:$B,$J289))</f>
        <v/>
      </c>
      <c r="AH289" s="40" t="str">
        <f>IF($J289="","",IF(AND($AG289=0,$N289&lt;$M289),Config!$B$43,0))</f>
        <v/>
      </c>
      <c r="AI289" s="40" t="str">
        <f>IF($J289="","",IF(AND($L289="Elite",$F289&gt;=Config!$B$41,$N289&lt;$M289),Config!$B$42,0))</f>
        <v/>
      </c>
      <c r="AJ289" s="22"/>
      <c r="AK289" s="39">
        <f>IFERROR(VLOOKUP(J289,Grinders!$A:$Q,28,FALSE),0)</f>
        <v>0</v>
      </c>
      <c r="AL289" s="39">
        <f>IF(Config!$B$1003&lt;&gt;"Y",0,IF(IFERROR(VLOOKUP(J289,Grinders!$A:$P,27,FALSE),0)&gt;=3,IF(OR(F289&gt;=Config!$B$1001,ISNUMBER(SEARCH(E289,Config!$B$1002))),1,0),0))</f>
        <v>0</v>
      </c>
      <c r="AM289" s="39">
        <f t="array" ref="AM289">IFERROR(IF(INDEX(Bids!$AE:$AE,MATCH(B289,Bids!$A:$A,0))="Pending",1,0),0)</f>
        <v>0</v>
      </c>
      <c r="AN289" s="39" t="str">
        <f t="array" ref="AN289">IF(C289="","",IFERROR(XLOOKUP(C289,Assignments!$C:$C,Assignments!$AU:$AU,0),0))</f>
        <v/>
      </c>
      <c r="AO289" s="39">
        <f>IF(AND(Config!$B$1006="Y",AN289=1),Config!$B$1007,0)</f>
        <v>0</v>
      </c>
    </row>
    <row r="290" ht="15.75" customHeight="1">
      <c r="A290" s="46" t="str">
        <f t="shared" si="1"/>
        <v/>
      </c>
      <c r="B290" s="40" t="str">
        <f>IF(Bids!$A290="","",Bids!$A290)</f>
        <v/>
      </c>
      <c r="C290" s="40" t="str">
        <f>IF(Bids!$B290="","",Bids!$B290)</f>
        <v/>
      </c>
      <c r="D290" s="40" t="str">
        <f>IF($C290="","",IFERROR(VLOOKUP($C290,Orders!$A:$J,9,FALSE),""))</f>
        <v/>
      </c>
      <c r="E290" s="40" t="str">
        <f>IF($C290="","",IFERROR(VLOOKUP($C290,Orders!$A:$J,3,FALSE),""))</f>
        <v/>
      </c>
      <c r="F290" s="40" t="str">
        <f>IF($C290="","",IFERROR(VLOOKUP($C290,Orders!$A:$J,4,FALSE),""))</f>
        <v/>
      </c>
      <c r="G290" s="40" t="str">
        <f>IF($C290="","",IFERROR(VLOOKUP($C290,Orders!$A:$J,5,FALSE),""))</f>
        <v/>
      </c>
      <c r="H290" s="40" t="str">
        <f>IF($C290="","",IFERROR(VLOOKUP($C290,Orders!$A:$J,6,FALSE),""))</f>
        <v/>
      </c>
      <c r="I290" s="40" t="str">
        <f>IF($C290="","",IFERROR(VLOOKUP($C290,Orders!$A:$J,7,FALSE),""))</f>
        <v/>
      </c>
      <c r="J290" s="40" t="str">
        <f>IF(Bids!$C290="","",Bids!$C290)</f>
        <v/>
      </c>
      <c r="K290" s="40" t="str">
        <f>IF($J290="","",IFERROR(VLOOKUP($J290,Grinders!$A:$N,2,FALSE),""))</f>
        <v/>
      </c>
      <c r="L290" s="40" t="str">
        <f>IF($J290="","",IFERROR(VLOOKUP($J290,Grinders!$A:$N,3,FALSE),""))</f>
        <v/>
      </c>
      <c r="M290" s="40" t="str">
        <f>IF($J290="","",IFERROR(VLOOKUP($J290,Grinders!$A:$N,4,FALSE),""))</f>
        <v/>
      </c>
      <c r="N290" s="40" t="str">
        <f>IF($J290="","",IFERROR(VLOOKUP($J290,Grinders!$A:$N,5,FALSE),""))</f>
        <v/>
      </c>
      <c r="O290" s="40" t="str">
        <f t="shared" si="2"/>
        <v/>
      </c>
      <c r="P290" s="40" t="str">
        <f>IF($J290="","",IFERROR(VLOOKUP($J290,Grinders!$A:$N,6,FALSE),""))</f>
        <v/>
      </c>
      <c r="Q290" s="40" t="str">
        <f>IF($J290="","",IFERROR(VLOOKUP($J290,Grinders!$A:$N,8,FALSE),""))</f>
        <v/>
      </c>
      <c r="R290" s="40" t="str">
        <f>IFERROR(IF($J290="","",IF($L290="Elite",MAX(50,MIN(100,Config!$B$27*MAX(0,MIN(100,(1-IF($O290="",0,$O290))*100)) + Config!$B$28*MAX(0,MIN(100,(1-MIN(1,IF(Config!$B$30=0,1,$P290/Config!$B$30)))*100)) + Config!$B$29*MAX(0,MIN(100,MIN(1,IF($Q290="",0,$Q290)/Config!$B$23)*100)))),MIN(100,Config!$B$27*MAX(0,MIN(100,(1-IF($O290="",0,$O290))*100)) + Config!$B$28*MAX(0,MIN(100,(1-MIN(1,IF(Config!$B$30=0,1,$P290/Config!$B$30)))*100)) + Config!$B$29*MAX(0,MIN(100,MIN(1,IF($Q290="",0,$Q290)/Config!$B$23)*100))))),"")
</f>
        <v/>
      </c>
      <c r="S290" s="40" t="str">
        <f>IF(Bids!$AC290="","",Bids!$AC290)</f>
        <v/>
      </c>
      <c r="T290" s="40" t="str">
        <f>IF(Bids!$F290="","",Bids!$F290)</f>
        <v/>
      </c>
      <c r="U290" s="40" t="str">
        <f t="shared" si="3"/>
        <v/>
      </c>
      <c r="V290" s="40" t="str">
        <f>IF($U290="","",IF(Config!$B$17=Config!$B$16,IF($U290&gt;=Config!$B$17,100,0),MAX(0,MIN(100,($U290-Config!$B$16)/(Config!$B$17-Config!$B$16)*100))))</f>
        <v/>
      </c>
      <c r="W290" s="40">
        <f>IF($L290="Elite",Config!$B$21,0)</f>
        <v>0</v>
      </c>
      <c r="X290" s="40" t="str">
        <f>IFERROR(IF(OR($T290="",$G290=""),"",IF($T290&gt;$G290,
  MAX(0, 60-(($T290-$G290)*24/Config!$B$19)*60),
  MEDIAN(60, 100, 60+(($G290-$T290)*24/Config!$B$20)*40)
)),"")
</f>
        <v/>
      </c>
      <c r="Y290" s="40" t="str">
        <f>IF($J290="","",IFERROR(VLOOKUP($J290,Grinders!$A:$N,10,FALSE),""))</f>
        <v/>
      </c>
      <c r="Z290" s="40" t="str">
        <f>IF($J290="","",IFERROR(VLOOKUP($J290,Grinders!$A:$N,11,FALSE),""))</f>
        <v/>
      </c>
      <c r="AA290" s="40" t="str">
        <f>IF($J290="","",IFERROR(VLOOKUP($J290,Grinders!$A:$N,12,FALSE),""))</f>
        <v/>
      </c>
      <c r="AB290" s="40" t="str">
        <f>IF(OR(AL290=1,AM290=1),0,=IFERROR(IF(OR($C290="",$J290=""),0,IF($D290&lt;&gt;"Open",0,IF(COUNTIFS(GrinderServices!$A:$A,$J290,GrinderServices!$B:$B,$E290,GrinderServices!$D:$D,"Y")=0,0,IF($U290&lt;Config!$B$16,0,IF(Config!$B$18=1,IF($N290&gt;=$M290,0,1),1))))),""))</f>
        <v>#ERROR!</v>
      </c>
      <c r="AC290" s="40" t="str">
        <f>IFERROR((IF(OR(AL290=1,AM290=1),"",=IFERROR((IFERROR(IF($AB290=0,"",((Config!$B$6*$V290 + Config!$B$7*$R290 + Config!$B$8*$W290 + Config!$B$9*$X290 + Config!$B$10*$Y290 + Config!$B$11*$Z290 - Config!$B$12*$AA290)/Config!$B$13)+$AH290+$AI290),""))*(1-IFERROR(VLOOKUP(J290,Grinders!$A:$AB, 28, FALSE),0)),"")))*(1+AO290),"")</f>
        <v>#ERROR!</v>
      </c>
      <c r="AD290" s="40" t="str">
        <f t="shared" si="4"/>
        <v/>
      </c>
      <c r="AE290" s="40" t="str">
        <f>IFERROR(__xludf.DUMMYFUNCTION("IF($AC290="""","""",IF($AC290=IFERROR(MAX(FILTER($AC$6:$AC$1000,$C$6:$C$1000=$C290,$AB$6:$AB$1000=1)),),""WINNER"",""""))"),"#ERROR!")</f>
        <v>#ERROR!</v>
      </c>
      <c r="AF290" s="40" t="str">
        <f t="shared" si="5"/>
        <v/>
      </c>
      <c r="AG290" s="40" t="str">
        <f>IF($J290="","",COUNTIF(Assignments!$B:$B,$J290))</f>
        <v/>
      </c>
      <c r="AH290" s="40" t="str">
        <f>IF($J290="","",IF(AND($AG290=0,$N290&lt;$M290),Config!$B$43,0))</f>
        <v/>
      </c>
      <c r="AI290" s="40" t="str">
        <f>IF($J290="","",IF(AND($L290="Elite",$F290&gt;=Config!$B$41,$N290&lt;$M290),Config!$B$42,0))</f>
        <v/>
      </c>
      <c r="AJ290" s="22"/>
      <c r="AK290" s="39">
        <f>IFERROR(VLOOKUP(J290,Grinders!$A:$Q,28,FALSE),0)</f>
        <v>0</v>
      </c>
      <c r="AL290" s="39">
        <f>IF(Config!$B$1003&lt;&gt;"Y",0,IF(IFERROR(VLOOKUP(J290,Grinders!$A:$P,27,FALSE),0)&gt;=3,IF(OR(F290&gt;=Config!$B$1001,ISNUMBER(SEARCH(E290,Config!$B$1002))),1,0),0))</f>
        <v>0</v>
      </c>
      <c r="AM290" s="39">
        <f t="array" ref="AM290">IFERROR(IF(INDEX(Bids!$AE:$AE,MATCH(B290,Bids!$A:$A,0))="Pending",1,0),0)</f>
        <v>0</v>
      </c>
      <c r="AN290" s="39" t="str">
        <f t="array" ref="AN290">IF(C290="","",IFERROR(XLOOKUP(C290,Assignments!$C:$C,Assignments!$AU:$AU,0),0))</f>
        <v/>
      </c>
      <c r="AO290" s="39">
        <f>IF(AND(Config!$B$1006="Y",AN290=1),Config!$B$1007,0)</f>
        <v>0</v>
      </c>
    </row>
    <row r="291" ht="15.75" customHeight="1">
      <c r="A291" s="46" t="str">
        <f t="shared" si="1"/>
        <v/>
      </c>
      <c r="B291" s="40" t="str">
        <f>IF(Bids!$A291="","",Bids!$A291)</f>
        <v/>
      </c>
      <c r="C291" s="40" t="str">
        <f>IF(Bids!$B291="","",Bids!$B291)</f>
        <v/>
      </c>
      <c r="D291" s="40" t="str">
        <f>IF($C291="","",IFERROR(VLOOKUP($C291,Orders!$A:$J,9,FALSE),""))</f>
        <v/>
      </c>
      <c r="E291" s="40" t="str">
        <f>IF($C291="","",IFERROR(VLOOKUP($C291,Orders!$A:$J,3,FALSE),""))</f>
        <v/>
      </c>
      <c r="F291" s="40" t="str">
        <f>IF($C291="","",IFERROR(VLOOKUP($C291,Orders!$A:$J,4,FALSE),""))</f>
        <v/>
      </c>
      <c r="G291" s="40" t="str">
        <f>IF($C291="","",IFERROR(VLOOKUP($C291,Orders!$A:$J,5,FALSE),""))</f>
        <v/>
      </c>
      <c r="H291" s="40" t="str">
        <f>IF($C291="","",IFERROR(VLOOKUP($C291,Orders!$A:$J,6,FALSE),""))</f>
        <v/>
      </c>
      <c r="I291" s="40" t="str">
        <f>IF($C291="","",IFERROR(VLOOKUP($C291,Orders!$A:$J,7,FALSE),""))</f>
        <v/>
      </c>
      <c r="J291" s="40" t="str">
        <f>IF(Bids!$C291="","",Bids!$C291)</f>
        <v/>
      </c>
      <c r="K291" s="40" t="str">
        <f>IF($J291="","",IFERROR(VLOOKUP($J291,Grinders!$A:$N,2,FALSE),""))</f>
        <v/>
      </c>
      <c r="L291" s="40" t="str">
        <f>IF($J291="","",IFERROR(VLOOKUP($J291,Grinders!$A:$N,3,FALSE),""))</f>
        <v/>
      </c>
      <c r="M291" s="40" t="str">
        <f>IF($J291="","",IFERROR(VLOOKUP($J291,Grinders!$A:$N,4,FALSE),""))</f>
        <v/>
      </c>
      <c r="N291" s="40" t="str">
        <f>IF($J291="","",IFERROR(VLOOKUP($J291,Grinders!$A:$N,5,FALSE),""))</f>
        <v/>
      </c>
      <c r="O291" s="40" t="str">
        <f t="shared" si="2"/>
        <v/>
      </c>
      <c r="P291" s="40" t="str">
        <f>IF($J291="","",IFERROR(VLOOKUP($J291,Grinders!$A:$N,6,FALSE),""))</f>
        <v/>
      </c>
      <c r="Q291" s="40" t="str">
        <f>IF($J291="","",IFERROR(VLOOKUP($J291,Grinders!$A:$N,8,FALSE),""))</f>
        <v/>
      </c>
      <c r="R291" s="40" t="str">
        <f>IFERROR(IF($J291="","",IF($L291="Elite",MAX(50,MIN(100,Config!$B$27*MAX(0,MIN(100,(1-IF($O291="",0,$O291))*100)) + Config!$B$28*MAX(0,MIN(100,(1-MIN(1,IF(Config!$B$30=0,1,$P291/Config!$B$30)))*100)) + Config!$B$29*MAX(0,MIN(100,MIN(1,IF($Q291="",0,$Q291)/Config!$B$23)*100)))),MIN(100,Config!$B$27*MAX(0,MIN(100,(1-IF($O291="",0,$O291))*100)) + Config!$B$28*MAX(0,MIN(100,(1-MIN(1,IF(Config!$B$30=0,1,$P291/Config!$B$30)))*100)) + Config!$B$29*MAX(0,MIN(100,MIN(1,IF($Q291="",0,$Q291)/Config!$B$23)*100))))),"")
</f>
        <v/>
      </c>
      <c r="S291" s="40" t="str">
        <f>IF(Bids!$AC291="","",Bids!$AC291)</f>
        <v/>
      </c>
      <c r="T291" s="40" t="str">
        <f>IF(Bids!$F291="","",Bids!$F291)</f>
        <v/>
      </c>
      <c r="U291" s="40" t="str">
        <f t="shared" si="3"/>
        <v/>
      </c>
      <c r="V291" s="40" t="str">
        <f>IF($U291="","",IF(Config!$B$17=Config!$B$16,IF($U291&gt;=Config!$B$17,100,0),MAX(0,MIN(100,($U291-Config!$B$16)/(Config!$B$17-Config!$B$16)*100))))</f>
        <v/>
      </c>
      <c r="W291" s="40">
        <f>IF($L291="Elite",Config!$B$21,0)</f>
        <v>0</v>
      </c>
      <c r="X291" s="40" t="str">
        <f>IFERROR(IF(OR($T291="",$G291=""),"",IF($T291&gt;$G291,
  MAX(0, 60-(($T291-$G291)*24/Config!$B$19)*60),
  MEDIAN(60, 100, 60+(($G291-$T291)*24/Config!$B$20)*40)
)),"")
</f>
        <v/>
      </c>
      <c r="Y291" s="40" t="str">
        <f>IF($J291="","",IFERROR(VLOOKUP($J291,Grinders!$A:$N,10,FALSE),""))</f>
        <v/>
      </c>
      <c r="Z291" s="40" t="str">
        <f>IF($J291="","",IFERROR(VLOOKUP($J291,Grinders!$A:$N,11,FALSE),""))</f>
        <v/>
      </c>
      <c r="AA291" s="40" t="str">
        <f>IF($J291="","",IFERROR(VLOOKUP($J291,Grinders!$A:$N,12,FALSE),""))</f>
        <v/>
      </c>
      <c r="AB291" s="40" t="str">
        <f>IF(OR(AL291=1,AM291=1),0,=IFERROR(IF(OR($C291="",$J291=""),0,IF($D291&lt;&gt;"Open",0,IF(COUNTIFS(GrinderServices!$A:$A,$J291,GrinderServices!$B:$B,$E291,GrinderServices!$D:$D,"Y")=0,0,IF($U291&lt;Config!$B$16,0,IF(Config!$B$18=1,IF($N291&gt;=$M291,0,1),1))))),""))</f>
        <v>#ERROR!</v>
      </c>
      <c r="AC291" s="40" t="str">
        <f>IFERROR((IF(OR(AL291=1,AM291=1),"",=IFERROR((IFERROR(IF($AB291=0,"",((Config!$B$6*$V291 + Config!$B$7*$R291 + Config!$B$8*$W291 + Config!$B$9*$X291 + Config!$B$10*$Y291 + Config!$B$11*$Z291 - Config!$B$12*$AA291)/Config!$B$13)+$AH291+$AI291),""))*(1-IFERROR(VLOOKUP(J291,Grinders!$A:$AB, 28, FALSE),0)),"")))*(1+AO291),"")</f>
        <v>#ERROR!</v>
      </c>
      <c r="AD291" s="40" t="str">
        <f t="shared" si="4"/>
        <v/>
      </c>
      <c r="AE291" s="40" t="str">
        <f>IFERROR(__xludf.DUMMYFUNCTION("IF($AC291="""","""",IF($AC291=IFERROR(MAX(FILTER($AC$6:$AC$1000,$C$6:$C$1000=$C291,$AB$6:$AB$1000=1)),),""WINNER"",""""))"),"#ERROR!")</f>
        <v>#ERROR!</v>
      </c>
      <c r="AF291" s="40" t="str">
        <f t="shared" si="5"/>
        <v/>
      </c>
      <c r="AG291" s="40" t="str">
        <f>IF($J291="","",COUNTIF(Assignments!$B:$B,$J291))</f>
        <v/>
      </c>
      <c r="AH291" s="40" t="str">
        <f>IF($J291="","",IF(AND($AG291=0,$N291&lt;$M291),Config!$B$43,0))</f>
        <v/>
      </c>
      <c r="AI291" s="40" t="str">
        <f>IF($J291="","",IF(AND($L291="Elite",$F291&gt;=Config!$B$41,$N291&lt;$M291),Config!$B$42,0))</f>
        <v/>
      </c>
      <c r="AJ291" s="22"/>
      <c r="AK291" s="39">
        <f>IFERROR(VLOOKUP(J291,Grinders!$A:$Q,28,FALSE),0)</f>
        <v>0</v>
      </c>
      <c r="AL291" s="39">
        <f>IF(Config!$B$1003&lt;&gt;"Y",0,IF(IFERROR(VLOOKUP(J291,Grinders!$A:$P,27,FALSE),0)&gt;=3,IF(OR(F291&gt;=Config!$B$1001,ISNUMBER(SEARCH(E291,Config!$B$1002))),1,0),0))</f>
        <v>0</v>
      </c>
      <c r="AM291" s="39">
        <f t="array" ref="AM291">IFERROR(IF(INDEX(Bids!$AE:$AE,MATCH(B291,Bids!$A:$A,0))="Pending",1,0),0)</f>
        <v>0</v>
      </c>
      <c r="AN291" s="39" t="str">
        <f t="array" ref="AN291">IF(C291="","",IFERROR(XLOOKUP(C291,Assignments!$C:$C,Assignments!$AU:$AU,0),0))</f>
        <v/>
      </c>
      <c r="AO291" s="39">
        <f>IF(AND(Config!$B$1006="Y",AN291=1),Config!$B$1007,0)</f>
        <v>0</v>
      </c>
    </row>
    <row r="292" ht="15.75" customHeight="1">
      <c r="A292" s="46" t="str">
        <f t="shared" si="1"/>
        <v/>
      </c>
      <c r="B292" s="40" t="str">
        <f>IF(Bids!$A292="","",Bids!$A292)</f>
        <v/>
      </c>
      <c r="C292" s="40" t="str">
        <f>IF(Bids!$B292="","",Bids!$B292)</f>
        <v/>
      </c>
      <c r="D292" s="40" t="str">
        <f>IF($C292="","",IFERROR(VLOOKUP($C292,Orders!$A:$J,9,FALSE),""))</f>
        <v/>
      </c>
      <c r="E292" s="40" t="str">
        <f>IF($C292="","",IFERROR(VLOOKUP($C292,Orders!$A:$J,3,FALSE),""))</f>
        <v/>
      </c>
      <c r="F292" s="40" t="str">
        <f>IF($C292="","",IFERROR(VLOOKUP($C292,Orders!$A:$J,4,FALSE),""))</f>
        <v/>
      </c>
      <c r="G292" s="40" t="str">
        <f>IF($C292="","",IFERROR(VLOOKUP($C292,Orders!$A:$J,5,FALSE),""))</f>
        <v/>
      </c>
      <c r="H292" s="40" t="str">
        <f>IF($C292="","",IFERROR(VLOOKUP($C292,Orders!$A:$J,6,FALSE),""))</f>
        <v/>
      </c>
      <c r="I292" s="40" t="str">
        <f>IF($C292="","",IFERROR(VLOOKUP($C292,Orders!$A:$J,7,FALSE),""))</f>
        <v/>
      </c>
      <c r="J292" s="40" t="str">
        <f>IF(Bids!$C292="","",Bids!$C292)</f>
        <v/>
      </c>
      <c r="K292" s="40" t="str">
        <f>IF($J292="","",IFERROR(VLOOKUP($J292,Grinders!$A:$N,2,FALSE),""))</f>
        <v/>
      </c>
      <c r="L292" s="40" t="str">
        <f>IF($J292="","",IFERROR(VLOOKUP($J292,Grinders!$A:$N,3,FALSE),""))</f>
        <v/>
      </c>
      <c r="M292" s="40" t="str">
        <f>IF($J292="","",IFERROR(VLOOKUP($J292,Grinders!$A:$N,4,FALSE),""))</f>
        <v/>
      </c>
      <c r="N292" s="40" t="str">
        <f>IF($J292="","",IFERROR(VLOOKUP($J292,Grinders!$A:$N,5,FALSE),""))</f>
        <v/>
      </c>
      <c r="O292" s="40" t="str">
        <f t="shared" si="2"/>
        <v/>
      </c>
      <c r="P292" s="40" t="str">
        <f>IF($J292="","",IFERROR(VLOOKUP($J292,Grinders!$A:$N,6,FALSE),""))</f>
        <v/>
      </c>
      <c r="Q292" s="40" t="str">
        <f>IF($J292="","",IFERROR(VLOOKUP($J292,Grinders!$A:$N,8,FALSE),""))</f>
        <v/>
      </c>
      <c r="R292" s="40" t="str">
        <f>IFERROR(IF($J292="","",IF($L292="Elite",MAX(50,MIN(100,Config!$B$27*MAX(0,MIN(100,(1-IF($O292="",0,$O292))*100)) + Config!$B$28*MAX(0,MIN(100,(1-MIN(1,IF(Config!$B$30=0,1,$P292/Config!$B$30)))*100)) + Config!$B$29*MAX(0,MIN(100,MIN(1,IF($Q292="",0,$Q292)/Config!$B$23)*100)))),MIN(100,Config!$B$27*MAX(0,MIN(100,(1-IF($O292="",0,$O292))*100)) + Config!$B$28*MAX(0,MIN(100,(1-MIN(1,IF(Config!$B$30=0,1,$P292/Config!$B$30)))*100)) + Config!$B$29*MAX(0,MIN(100,MIN(1,IF($Q292="",0,$Q292)/Config!$B$23)*100))))),"")
</f>
        <v/>
      </c>
      <c r="S292" s="40" t="str">
        <f>IF(Bids!$AC292="","",Bids!$AC292)</f>
        <v/>
      </c>
      <c r="T292" s="40" t="str">
        <f>IF(Bids!$F292="","",Bids!$F292)</f>
        <v/>
      </c>
      <c r="U292" s="40" t="str">
        <f t="shared" si="3"/>
        <v/>
      </c>
      <c r="V292" s="40" t="str">
        <f>IF($U292="","",IF(Config!$B$17=Config!$B$16,IF($U292&gt;=Config!$B$17,100,0),MAX(0,MIN(100,($U292-Config!$B$16)/(Config!$B$17-Config!$B$16)*100))))</f>
        <v/>
      </c>
      <c r="W292" s="40">
        <f>IF($L292="Elite",Config!$B$21,0)</f>
        <v>0</v>
      </c>
      <c r="X292" s="40" t="str">
        <f>IFERROR(IF(OR($T292="",$G292=""),"",IF($T292&gt;$G292,
  MAX(0, 60-(($T292-$G292)*24/Config!$B$19)*60),
  MEDIAN(60, 100, 60+(($G292-$T292)*24/Config!$B$20)*40)
)),"")
</f>
        <v/>
      </c>
      <c r="Y292" s="40" t="str">
        <f>IF($J292="","",IFERROR(VLOOKUP($J292,Grinders!$A:$N,10,FALSE),""))</f>
        <v/>
      </c>
      <c r="Z292" s="40" t="str">
        <f>IF($J292="","",IFERROR(VLOOKUP($J292,Grinders!$A:$N,11,FALSE),""))</f>
        <v/>
      </c>
      <c r="AA292" s="40" t="str">
        <f>IF($J292="","",IFERROR(VLOOKUP($J292,Grinders!$A:$N,12,FALSE),""))</f>
        <v/>
      </c>
      <c r="AB292" s="40" t="str">
        <f>IF(OR(AL292=1,AM292=1),0,=IFERROR(IF(OR($C292="",$J292=""),0,IF($D292&lt;&gt;"Open",0,IF(COUNTIFS(GrinderServices!$A:$A,$J292,GrinderServices!$B:$B,$E292,GrinderServices!$D:$D,"Y")=0,0,IF($U292&lt;Config!$B$16,0,IF(Config!$B$18=1,IF($N292&gt;=$M292,0,1),1))))),""))</f>
        <v>#ERROR!</v>
      </c>
      <c r="AC292" s="40" t="str">
        <f>IFERROR((IF(OR(AL292=1,AM292=1),"",=IFERROR((IFERROR(IF($AB292=0,"",((Config!$B$6*$V292 + Config!$B$7*$R292 + Config!$B$8*$W292 + Config!$B$9*$X292 + Config!$B$10*$Y292 + Config!$B$11*$Z292 - Config!$B$12*$AA292)/Config!$B$13)+$AH292+$AI292),""))*(1-IFERROR(VLOOKUP(J292,Grinders!$A:$AB, 28, FALSE),0)),"")))*(1+AO292),"")</f>
        <v>#ERROR!</v>
      </c>
      <c r="AD292" s="40" t="str">
        <f t="shared" si="4"/>
        <v/>
      </c>
      <c r="AE292" s="40" t="str">
        <f>IFERROR(__xludf.DUMMYFUNCTION("IF($AC292="""","""",IF($AC292=IFERROR(MAX(FILTER($AC$6:$AC$1000,$C$6:$C$1000=$C292,$AB$6:$AB$1000=1)),),""WINNER"",""""))"),"#ERROR!")</f>
        <v>#ERROR!</v>
      </c>
      <c r="AF292" s="40" t="str">
        <f t="shared" si="5"/>
        <v/>
      </c>
      <c r="AG292" s="40" t="str">
        <f>IF($J292="","",COUNTIF(Assignments!$B:$B,$J292))</f>
        <v/>
      </c>
      <c r="AH292" s="40" t="str">
        <f>IF($J292="","",IF(AND($AG292=0,$N292&lt;$M292),Config!$B$43,0))</f>
        <v/>
      </c>
      <c r="AI292" s="40" t="str">
        <f>IF($J292="","",IF(AND($L292="Elite",$F292&gt;=Config!$B$41,$N292&lt;$M292),Config!$B$42,0))</f>
        <v/>
      </c>
      <c r="AJ292" s="22"/>
      <c r="AK292" s="39">
        <f>IFERROR(VLOOKUP(J292,Grinders!$A:$Q,28,FALSE),0)</f>
        <v>0</v>
      </c>
      <c r="AL292" s="39">
        <f>IF(Config!$B$1003&lt;&gt;"Y",0,IF(IFERROR(VLOOKUP(J292,Grinders!$A:$P,27,FALSE),0)&gt;=3,IF(OR(F292&gt;=Config!$B$1001,ISNUMBER(SEARCH(E292,Config!$B$1002))),1,0),0))</f>
        <v>0</v>
      </c>
      <c r="AM292" s="39">
        <f t="array" ref="AM292">IFERROR(IF(INDEX(Bids!$AE:$AE,MATCH(B292,Bids!$A:$A,0))="Pending",1,0),0)</f>
        <v>0</v>
      </c>
      <c r="AN292" s="39" t="str">
        <f t="array" ref="AN292">IF(C292="","",IFERROR(XLOOKUP(C292,Assignments!$C:$C,Assignments!$AU:$AU,0),0))</f>
        <v/>
      </c>
      <c r="AO292" s="39">
        <f>IF(AND(Config!$B$1006="Y",AN292=1),Config!$B$1007,0)</f>
        <v>0</v>
      </c>
    </row>
    <row r="293" ht="15.75" customHeight="1">
      <c r="A293" s="46" t="str">
        <f t="shared" si="1"/>
        <v/>
      </c>
      <c r="B293" s="40" t="str">
        <f>IF(Bids!$A293="","",Bids!$A293)</f>
        <v/>
      </c>
      <c r="C293" s="40" t="str">
        <f>IF(Bids!$B293="","",Bids!$B293)</f>
        <v/>
      </c>
      <c r="D293" s="40" t="str">
        <f>IF($C293="","",IFERROR(VLOOKUP($C293,Orders!$A:$J,9,FALSE),""))</f>
        <v/>
      </c>
      <c r="E293" s="40" t="str">
        <f>IF($C293="","",IFERROR(VLOOKUP($C293,Orders!$A:$J,3,FALSE),""))</f>
        <v/>
      </c>
      <c r="F293" s="40" t="str">
        <f>IF($C293="","",IFERROR(VLOOKUP($C293,Orders!$A:$J,4,FALSE),""))</f>
        <v/>
      </c>
      <c r="G293" s="40" t="str">
        <f>IF($C293="","",IFERROR(VLOOKUP($C293,Orders!$A:$J,5,FALSE),""))</f>
        <v/>
      </c>
      <c r="H293" s="40" t="str">
        <f>IF($C293="","",IFERROR(VLOOKUP($C293,Orders!$A:$J,6,FALSE),""))</f>
        <v/>
      </c>
      <c r="I293" s="40" t="str">
        <f>IF($C293="","",IFERROR(VLOOKUP($C293,Orders!$A:$J,7,FALSE),""))</f>
        <v/>
      </c>
      <c r="J293" s="40" t="str">
        <f>IF(Bids!$C293="","",Bids!$C293)</f>
        <v/>
      </c>
      <c r="K293" s="40" t="str">
        <f>IF($J293="","",IFERROR(VLOOKUP($J293,Grinders!$A:$N,2,FALSE),""))</f>
        <v/>
      </c>
      <c r="L293" s="40" t="str">
        <f>IF($J293="","",IFERROR(VLOOKUP($J293,Grinders!$A:$N,3,FALSE),""))</f>
        <v/>
      </c>
      <c r="M293" s="40" t="str">
        <f>IF($J293="","",IFERROR(VLOOKUP($J293,Grinders!$A:$N,4,FALSE),""))</f>
        <v/>
      </c>
      <c r="N293" s="40" t="str">
        <f>IF($J293="","",IFERROR(VLOOKUP($J293,Grinders!$A:$N,5,FALSE),""))</f>
        <v/>
      </c>
      <c r="O293" s="40" t="str">
        <f t="shared" si="2"/>
        <v/>
      </c>
      <c r="P293" s="40" t="str">
        <f>IF($J293="","",IFERROR(VLOOKUP($J293,Grinders!$A:$N,6,FALSE),""))</f>
        <v/>
      </c>
      <c r="Q293" s="40" t="str">
        <f>IF($J293="","",IFERROR(VLOOKUP($J293,Grinders!$A:$N,8,FALSE),""))</f>
        <v/>
      </c>
      <c r="R293" s="40" t="str">
        <f>IFERROR(IF($J293="","",IF($L293="Elite",MAX(50,MIN(100,Config!$B$27*MAX(0,MIN(100,(1-IF($O293="",0,$O293))*100)) + Config!$B$28*MAX(0,MIN(100,(1-MIN(1,IF(Config!$B$30=0,1,$P293/Config!$B$30)))*100)) + Config!$B$29*MAX(0,MIN(100,MIN(1,IF($Q293="",0,$Q293)/Config!$B$23)*100)))),MIN(100,Config!$B$27*MAX(0,MIN(100,(1-IF($O293="",0,$O293))*100)) + Config!$B$28*MAX(0,MIN(100,(1-MIN(1,IF(Config!$B$30=0,1,$P293/Config!$B$30)))*100)) + Config!$B$29*MAX(0,MIN(100,MIN(1,IF($Q293="",0,$Q293)/Config!$B$23)*100))))),"")
</f>
        <v/>
      </c>
      <c r="S293" s="40" t="str">
        <f>IF(Bids!$AC293="","",Bids!$AC293)</f>
        <v/>
      </c>
      <c r="T293" s="40" t="str">
        <f>IF(Bids!$F293="","",Bids!$F293)</f>
        <v/>
      </c>
      <c r="U293" s="40" t="str">
        <f t="shared" si="3"/>
        <v/>
      </c>
      <c r="V293" s="40" t="str">
        <f>IF($U293="","",IF(Config!$B$17=Config!$B$16,IF($U293&gt;=Config!$B$17,100,0),MAX(0,MIN(100,($U293-Config!$B$16)/(Config!$B$17-Config!$B$16)*100))))</f>
        <v/>
      </c>
      <c r="W293" s="40">
        <f>IF($L293="Elite",Config!$B$21,0)</f>
        <v>0</v>
      </c>
      <c r="X293" s="40" t="str">
        <f>IFERROR(IF(OR($T293="",$G293=""),"",IF($T293&gt;$G293,
  MAX(0, 60-(($T293-$G293)*24/Config!$B$19)*60),
  MEDIAN(60, 100, 60+(($G293-$T293)*24/Config!$B$20)*40)
)),"")
</f>
        <v/>
      </c>
      <c r="Y293" s="40" t="str">
        <f>IF($J293="","",IFERROR(VLOOKUP($J293,Grinders!$A:$N,10,FALSE),""))</f>
        <v/>
      </c>
      <c r="Z293" s="40" t="str">
        <f>IF($J293="","",IFERROR(VLOOKUP($J293,Grinders!$A:$N,11,FALSE),""))</f>
        <v/>
      </c>
      <c r="AA293" s="40" t="str">
        <f>IF($J293="","",IFERROR(VLOOKUP($J293,Grinders!$A:$N,12,FALSE),""))</f>
        <v/>
      </c>
      <c r="AB293" s="40" t="str">
        <f>IF(OR(AL293=1,AM293=1),0,=IFERROR(IF(OR($C293="",$J293=""),0,IF($D293&lt;&gt;"Open",0,IF(COUNTIFS(GrinderServices!$A:$A,$J293,GrinderServices!$B:$B,$E293,GrinderServices!$D:$D,"Y")=0,0,IF($U293&lt;Config!$B$16,0,IF(Config!$B$18=1,IF($N293&gt;=$M293,0,1),1))))),""))</f>
        <v>#ERROR!</v>
      </c>
      <c r="AC293" s="40" t="str">
        <f>IFERROR((IF(OR(AL293=1,AM293=1),"",=IFERROR((IFERROR(IF($AB293=0,"",((Config!$B$6*$V293 + Config!$B$7*$R293 + Config!$B$8*$W293 + Config!$B$9*$X293 + Config!$B$10*$Y293 + Config!$B$11*$Z293 - Config!$B$12*$AA293)/Config!$B$13)+$AH293+$AI293),""))*(1-IFERROR(VLOOKUP(J293,Grinders!$A:$AB, 28, FALSE),0)),"")))*(1+AO293),"")</f>
        <v>#ERROR!</v>
      </c>
      <c r="AD293" s="40" t="str">
        <f t="shared" si="4"/>
        <v/>
      </c>
      <c r="AE293" s="40" t="str">
        <f>IFERROR(__xludf.DUMMYFUNCTION("IF($AC293="""","""",IF($AC293=IFERROR(MAX(FILTER($AC$6:$AC$1000,$C$6:$C$1000=$C293,$AB$6:$AB$1000=1)),),""WINNER"",""""))"),"#ERROR!")</f>
        <v>#ERROR!</v>
      </c>
      <c r="AF293" s="40" t="str">
        <f t="shared" si="5"/>
        <v/>
      </c>
      <c r="AG293" s="40" t="str">
        <f>IF($J293="","",COUNTIF(Assignments!$B:$B,$J293))</f>
        <v/>
      </c>
      <c r="AH293" s="40" t="str">
        <f>IF($J293="","",IF(AND($AG293=0,$N293&lt;$M293),Config!$B$43,0))</f>
        <v/>
      </c>
      <c r="AI293" s="40" t="str">
        <f>IF($J293="","",IF(AND($L293="Elite",$F293&gt;=Config!$B$41,$N293&lt;$M293),Config!$B$42,0))</f>
        <v/>
      </c>
      <c r="AJ293" s="22"/>
      <c r="AK293" s="39">
        <f>IFERROR(VLOOKUP(J293,Grinders!$A:$Q,28,FALSE),0)</f>
        <v>0</v>
      </c>
      <c r="AL293" s="39">
        <f>IF(Config!$B$1003&lt;&gt;"Y",0,IF(IFERROR(VLOOKUP(J293,Grinders!$A:$P,27,FALSE),0)&gt;=3,IF(OR(F293&gt;=Config!$B$1001,ISNUMBER(SEARCH(E293,Config!$B$1002))),1,0),0))</f>
        <v>0</v>
      </c>
      <c r="AM293" s="39">
        <f t="array" ref="AM293">IFERROR(IF(INDEX(Bids!$AE:$AE,MATCH(B293,Bids!$A:$A,0))="Pending",1,0),0)</f>
        <v>0</v>
      </c>
      <c r="AN293" s="39" t="str">
        <f t="array" ref="AN293">IF(C293="","",IFERROR(XLOOKUP(C293,Assignments!$C:$C,Assignments!$AU:$AU,0),0))</f>
        <v/>
      </c>
      <c r="AO293" s="39">
        <f>IF(AND(Config!$B$1006="Y",AN293=1),Config!$B$1007,0)</f>
        <v>0</v>
      </c>
    </row>
    <row r="294" ht="15.75" customHeight="1">
      <c r="A294" s="46" t="str">
        <f t="shared" si="1"/>
        <v/>
      </c>
      <c r="B294" s="40" t="str">
        <f>IF(Bids!$A294="","",Bids!$A294)</f>
        <v/>
      </c>
      <c r="C294" s="40" t="str">
        <f>IF(Bids!$B294="","",Bids!$B294)</f>
        <v/>
      </c>
      <c r="D294" s="40" t="str">
        <f>IF($C294="","",IFERROR(VLOOKUP($C294,Orders!$A:$J,9,FALSE),""))</f>
        <v/>
      </c>
      <c r="E294" s="40" t="str">
        <f>IF($C294="","",IFERROR(VLOOKUP($C294,Orders!$A:$J,3,FALSE),""))</f>
        <v/>
      </c>
      <c r="F294" s="40" t="str">
        <f>IF($C294="","",IFERROR(VLOOKUP($C294,Orders!$A:$J,4,FALSE),""))</f>
        <v/>
      </c>
      <c r="G294" s="40" t="str">
        <f>IF($C294="","",IFERROR(VLOOKUP($C294,Orders!$A:$J,5,FALSE),""))</f>
        <v/>
      </c>
      <c r="H294" s="40" t="str">
        <f>IF($C294="","",IFERROR(VLOOKUP($C294,Orders!$A:$J,6,FALSE),""))</f>
        <v/>
      </c>
      <c r="I294" s="40" t="str">
        <f>IF($C294="","",IFERROR(VLOOKUP($C294,Orders!$A:$J,7,FALSE),""))</f>
        <v/>
      </c>
      <c r="J294" s="40" t="str">
        <f>IF(Bids!$C294="","",Bids!$C294)</f>
        <v/>
      </c>
      <c r="K294" s="40" t="str">
        <f>IF($J294="","",IFERROR(VLOOKUP($J294,Grinders!$A:$N,2,FALSE),""))</f>
        <v/>
      </c>
      <c r="L294" s="40" t="str">
        <f>IF($J294="","",IFERROR(VLOOKUP($J294,Grinders!$A:$N,3,FALSE),""))</f>
        <v/>
      </c>
      <c r="M294" s="40" t="str">
        <f>IF($J294="","",IFERROR(VLOOKUP($J294,Grinders!$A:$N,4,FALSE),""))</f>
        <v/>
      </c>
      <c r="N294" s="40" t="str">
        <f>IF($J294="","",IFERROR(VLOOKUP($J294,Grinders!$A:$N,5,FALSE),""))</f>
        <v/>
      </c>
      <c r="O294" s="40" t="str">
        <f t="shared" si="2"/>
        <v/>
      </c>
      <c r="P294" s="40" t="str">
        <f>IF($J294="","",IFERROR(VLOOKUP($J294,Grinders!$A:$N,6,FALSE),""))</f>
        <v/>
      </c>
      <c r="Q294" s="40" t="str">
        <f>IF($J294="","",IFERROR(VLOOKUP($J294,Grinders!$A:$N,8,FALSE),""))</f>
        <v/>
      </c>
      <c r="R294" s="40" t="str">
        <f>IFERROR(IF($J294="","",IF($L294="Elite",MAX(50,MIN(100,Config!$B$27*MAX(0,MIN(100,(1-IF($O294="",0,$O294))*100)) + Config!$B$28*MAX(0,MIN(100,(1-MIN(1,IF(Config!$B$30=0,1,$P294/Config!$B$30)))*100)) + Config!$B$29*MAX(0,MIN(100,MIN(1,IF($Q294="",0,$Q294)/Config!$B$23)*100)))),MIN(100,Config!$B$27*MAX(0,MIN(100,(1-IF($O294="",0,$O294))*100)) + Config!$B$28*MAX(0,MIN(100,(1-MIN(1,IF(Config!$B$30=0,1,$P294/Config!$B$30)))*100)) + Config!$B$29*MAX(0,MIN(100,MIN(1,IF($Q294="",0,$Q294)/Config!$B$23)*100))))),"")
</f>
        <v/>
      </c>
      <c r="S294" s="40" t="str">
        <f>IF(Bids!$AC294="","",Bids!$AC294)</f>
        <v/>
      </c>
      <c r="T294" s="40" t="str">
        <f>IF(Bids!$F294="","",Bids!$F294)</f>
        <v/>
      </c>
      <c r="U294" s="40" t="str">
        <f t="shared" si="3"/>
        <v/>
      </c>
      <c r="V294" s="40" t="str">
        <f>IF($U294="","",IF(Config!$B$17=Config!$B$16,IF($U294&gt;=Config!$B$17,100,0),MAX(0,MIN(100,($U294-Config!$B$16)/(Config!$B$17-Config!$B$16)*100))))</f>
        <v/>
      </c>
      <c r="W294" s="40">
        <f>IF($L294="Elite",Config!$B$21,0)</f>
        <v>0</v>
      </c>
      <c r="X294" s="40" t="str">
        <f>IFERROR(IF(OR($T294="",$G294=""),"",IF($T294&gt;$G294,
  MAX(0, 60-(($T294-$G294)*24/Config!$B$19)*60),
  MEDIAN(60, 100, 60+(($G294-$T294)*24/Config!$B$20)*40)
)),"")
</f>
        <v/>
      </c>
      <c r="Y294" s="40" t="str">
        <f>IF($J294="","",IFERROR(VLOOKUP($J294,Grinders!$A:$N,10,FALSE),""))</f>
        <v/>
      </c>
      <c r="Z294" s="40" t="str">
        <f>IF($J294="","",IFERROR(VLOOKUP($J294,Grinders!$A:$N,11,FALSE),""))</f>
        <v/>
      </c>
      <c r="AA294" s="40" t="str">
        <f>IF($J294="","",IFERROR(VLOOKUP($J294,Grinders!$A:$N,12,FALSE),""))</f>
        <v/>
      </c>
      <c r="AB294" s="40" t="str">
        <f>IF(OR(AL294=1,AM294=1),0,=IFERROR(IF(OR($C294="",$J294=""),0,IF($D294&lt;&gt;"Open",0,IF(COUNTIFS(GrinderServices!$A:$A,$J294,GrinderServices!$B:$B,$E294,GrinderServices!$D:$D,"Y")=0,0,IF($U294&lt;Config!$B$16,0,IF(Config!$B$18=1,IF($N294&gt;=$M294,0,1),1))))),""))</f>
        <v>#ERROR!</v>
      </c>
      <c r="AC294" s="40" t="str">
        <f>IFERROR((IF(OR(AL294=1,AM294=1),"",=IFERROR((IFERROR(IF($AB294=0,"",((Config!$B$6*$V294 + Config!$B$7*$R294 + Config!$B$8*$W294 + Config!$B$9*$X294 + Config!$B$10*$Y294 + Config!$B$11*$Z294 - Config!$B$12*$AA294)/Config!$B$13)+$AH294+$AI294),""))*(1-IFERROR(VLOOKUP(J294,Grinders!$A:$AB, 28, FALSE),0)),"")))*(1+AO294),"")</f>
        <v>#ERROR!</v>
      </c>
      <c r="AD294" s="40" t="str">
        <f t="shared" si="4"/>
        <v/>
      </c>
      <c r="AE294" s="40" t="str">
        <f>IFERROR(__xludf.DUMMYFUNCTION("IF($AC294="""","""",IF($AC294=IFERROR(MAX(FILTER($AC$6:$AC$1000,$C$6:$C$1000=$C294,$AB$6:$AB$1000=1)),),""WINNER"",""""))"),"#ERROR!")</f>
        <v>#ERROR!</v>
      </c>
      <c r="AF294" s="40" t="str">
        <f t="shared" si="5"/>
        <v/>
      </c>
      <c r="AG294" s="40" t="str">
        <f>IF($J294="","",COUNTIF(Assignments!$B:$B,$J294))</f>
        <v/>
      </c>
      <c r="AH294" s="40" t="str">
        <f>IF($J294="","",IF(AND($AG294=0,$N294&lt;$M294),Config!$B$43,0))</f>
        <v/>
      </c>
      <c r="AI294" s="40" t="str">
        <f>IF($J294="","",IF(AND($L294="Elite",$F294&gt;=Config!$B$41,$N294&lt;$M294),Config!$B$42,0))</f>
        <v/>
      </c>
      <c r="AJ294" s="22"/>
      <c r="AK294" s="39">
        <f>IFERROR(VLOOKUP(J294,Grinders!$A:$Q,28,FALSE),0)</f>
        <v>0</v>
      </c>
      <c r="AL294" s="39">
        <f>IF(Config!$B$1003&lt;&gt;"Y",0,IF(IFERROR(VLOOKUP(J294,Grinders!$A:$P,27,FALSE),0)&gt;=3,IF(OR(F294&gt;=Config!$B$1001,ISNUMBER(SEARCH(E294,Config!$B$1002))),1,0),0))</f>
        <v>0</v>
      </c>
      <c r="AM294" s="39">
        <f t="array" ref="AM294">IFERROR(IF(INDEX(Bids!$AE:$AE,MATCH(B294,Bids!$A:$A,0))="Pending",1,0),0)</f>
        <v>0</v>
      </c>
      <c r="AN294" s="39" t="str">
        <f t="array" ref="AN294">IF(C294="","",IFERROR(XLOOKUP(C294,Assignments!$C:$C,Assignments!$AU:$AU,0),0))</f>
        <v/>
      </c>
      <c r="AO294" s="39">
        <f>IF(AND(Config!$B$1006="Y",AN294=1),Config!$B$1007,0)</f>
        <v>0</v>
      </c>
    </row>
    <row r="295" ht="15.75" customHeight="1">
      <c r="A295" s="46" t="str">
        <f t="shared" si="1"/>
        <v/>
      </c>
      <c r="B295" s="40" t="str">
        <f>IF(Bids!$A295="","",Bids!$A295)</f>
        <v/>
      </c>
      <c r="C295" s="40" t="str">
        <f>IF(Bids!$B295="","",Bids!$B295)</f>
        <v/>
      </c>
      <c r="D295" s="40" t="str">
        <f>IF($C295="","",IFERROR(VLOOKUP($C295,Orders!$A:$J,9,FALSE),""))</f>
        <v/>
      </c>
      <c r="E295" s="40" t="str">
        <f>IF($C295="","",IFERROR(VLOOKUP($C295,Orders!$A:$J,3,FALSE),""))</f>
        <v/>
      </c>
      <c r="F295" s="40" t="str">
        <f>IF($C295="","",IFERROR(VLOOKUP($C295,Orders!$A:$J,4,FALSE),""))</f>
        <v/>
      </c>
      <c r="G295" s="40" t="str">
        <f>IF($C295="","",IFERROR(VLOOKUP($C295,Orders!$A:$J,5,FALSE),""))</f>
        <v/>
      </c>
      <c r="H295" s="40" t="str">
        <f>IF($C295="","",IFERROR(VLOOKUP($C295,Orders!$A:$J,6,FALSE),""))</f>
        <v/>
      </c>
      <c r="I295" s="40" t="str">
        <f>IF($C295="","",IFERROR(VLOOKUP($C295,Orders!$A:$J,7,FALSE),""))</f>
        <v/>
      </c>
      <c r="J295" s="40" t="str">
        <f>IF(Bids!$C295="","",Bids!$C295)</f>
        <v/>
      </c>
      <c r="K295" s="40" t="str">
        <f>IF($J295="","",IFERROR(VLOOKUP($J295,Grinders!$A:$N,2,FALSE),""))</f>
        <v/>
      </c>
      <c r="L295" s="40" t="str">
        <f>IF($J295="","",IFERROR(VLOOKUP($J295,Grinders!$A:$N,3,FALSE),""))</f>
        <v/>
      </c>
      <c r="M295" s="40" t="str">
        <f>IF($J295="","",IFERROR(VLOOKUP($J295,Grinders!$A:$N,4,FALSE),""))</f>
        <v/>
      </c>
      <c r="N295" s="40" t="str">
        <f>IF($J295="","",IFERROR(VLOOKUP($J295,Grinders!$A:$N,5,FALSE),""))</f>
        <v/>
      </c>
      <c r="O295" s="40" t="str">
        <f t="shared" si="2"/>
        <v/>
      </c>
      <c r="P295" s="40" t="str">
        <f>IF($J295="","",IFERROR(VLOOKUP($J295,Grinders!$A:$N,6,FALSE),""))</f>
        <v/>
      </c>
      <c r="Q295" s="40" t="str">
        <f>IF($J295="","",IFERROR(VLOOKUP($J295,Grinders!$A:$N,8,FALSE),""))</f>
        <v/>
      </c>
      <c r="R295" s="40" t="str">
        <f>IFERROR(IF($J295="","",IF($L295="Elite",MAX(50,MIN(100,Config!$B$27*MAX(0,MIN(100,(1-IF($O295="",0,$O295))*100)) + Config!$B$28*MAX(0,MIN(100,(1-MIN(1,IF(Config!$B$30=0,1,$P295/Config!$B$30)))*100)) + Config!$B$29*MAX(0,MIN(100,MIN(1,IF($Q295="",0,$Q295)/Config!$B$23)*100)))),MIN(100,Config!$B$27*MAX(0,MIN(100,(1-IF($O295="",0,$O295))*100)) + Config!$B$28*MAX(0,MIN(100,(1-MIN(1,IF(Config!$B$30=0,1,$P295/Config!$B$30)))*100)) + Config!$B$29*MAX(0,MIN(100,MIN(1,IF($Q295="",0,$Q295)/Config!$B$23)*100))))),"")
</f>
        <v/>
      </c>
      <c r="S295" s="40" t="str">
        <f>IF(Bids!$AC295="","",Bids!$AC295)</f>
        <v/>
      </c>
      <c r="T295" s="40" t="str">
        <f>IF(Bids!$F295="","",Bids!$F295)</f>
        <v/>
      </c>
      <c r="U295" s="40" t="str">
        <f t="shared" si="3"/>
        <v/>
      </c>
      <c r="V295" s="40" t="str">
        <f>IF($U295="","",IF(Config!$B$17=Config!$B$16,IF($U295&gt;=Config!$B$17,100,0),MAX(0,MIN(100,($U295-Config!$B$16)/(Config!$B$17-Config!$B$16)*100))))</f>
        <v/>
      </c>
      <c r="W295" s="40">
        <f>IF($L295="Elite",Config!$B$21,0)</f>
        <v>0</v>
      </c>
      <c r="X295" s="40" t="str">
        <f>IFERROR(IF(OR($T295="",$G295=""),"",IF($T295&gt;$G295,
  MAX(0, 60-(($T295-$G295)*24/Config!$B$19)*60),
  MEDIAN(60, 100, 60+(($G295-$T295)*24/Config!$B$20)*40)
)),"")
</f>
        <v/>
      </c>
      <c r="Y295" s="40" t="str">
        <f>IF($J295="","",IFERROR(VLOOKUP($J295,Grinders!$A:$N,10,FALSE),""))</f>
        <v/>
      </c>
      <c r="Z295" s="40" t="str">
        <f>IF($J295="","",IFERROR(VLOOKUP($J295,Grinders!$A:$N,11,FALSE),""))</f>
        <v/>
      </c>
      <c r="AA295" s="40" t="str">
        <f>IF($J295="","",IFERROR(VLOOKUP($J295,Grinders!$A:$N,12,FALSE),""))</f>
        <v/>
      </c>
      <c r="AB295" s="40" t="str">
        <f>IF(OR(AL295=1,AM295=1),0,=IFERROR(IF(OR($C295="",$J295=""),0,IF($D295&lt;&gt;"Open",0,IF(COUNTIFS(GrinderServices!$A:$A,$J295,GrinderServices!$B:$B,$E295,GrinderServices!$D:$D,"Y")=0,0,IF($U295&lt;Config!$B$16,0,IF(Config!$B$18=1,IF($N295&gt;=$M295,0,1),1))))),""))</f>
        <v>#ERROR!</v>
      </c>
      <c r="AC295" s="40" t="str">
        <f>IFERROR((IF(OR(AL295=1,AM295=1),"",=IFERROR((IFERROR(IF($AB295=0,"",((Config!$B$6*$V295 + Config!$B$7*$R295 + Config!$B$8*$W295 + Config!$B$9*$X295 + Config!$B$10*$Y295 + Config!$B$11*$Z295 - Config!$B$12*$AA295)/Config!$B$13)+$AH295+$AI295),""))*(1-IFERROR(VLOOKUP(J295,Grinders!$A:$AB, 28, FALSE),0)),"")))*(1+AO295),"")</f>
        <v>#ERROR!</v>
      </c>
      <c r="AD295" s="40" t="str">
        <f t="shared" si="4"/>
        <v/>
      </c>
      <c r="AE295" s="40" t="str">
        <f>IFERROR(__xludf.DUMMYFUNCTION("IF($AC295="""","""",IF($AC295=IFERROR(MAX(FILTER($AC$6:$AC$1000,$C$6:$C$1000=$C295,$AB$6:$AB$1000=1)),),""WINNER"",""""))"),"#ERROR!")</f>
        <v>#ERROR!</v>
      </c>
      <c r="AF295" s="40" t="str">
        <f t="shared" si="5"/>
        <v/>
      </c>
      <c r="AG295" s="40" t="str">
        <f>IF($J295="","",COUNTIF(Assignments!$B:$B,$J295))</f>
        <v/>
      </c>
      <c r="AH295" s="40" t="str">
        <f>IF($J295="","",IF(AND($AG295=0,$N295&lt;$M295),Config!$B$43,0))</f>
        <v/>
      </c>
      <c r="AI295" s="40" t="str">
        <f>IF($J295="","",IF(AND($L295="Elite",$F295&gt;=Config!$B$41,$N295&lt;$M295),Config!$B$42,0))</f>
        <v/>
      </c>
      <c r="AJ295" s="22"/>
      <c r="AK295" s="39">
        <f>IFERROR(VLOOKUP(J295,Grinders!$A:$Q,28,FALSE),0)</f>
        <v>0</v>
      </c>
      <c r="AL295" s="39">
        <f>IF(Config!$B$1003&lt;&gt;"Y",0,IF(IFERROR(VLOOKUP(J295,Grinders!$A:$P,27,FALSE),0)&gt;=3,IF(OR(F295&gt;=Config!$B$1001,ISNUMBER(SEARCH(E295,Config!$B$1002))),1,0),0))</f>
        <v>0</v>
      </c>
      <c r="AM295" s="39">
        <f t="array" ref="AM295">IFERROR(IF(INDEX(Bids!$AE:$AE,MATCH(B295,Bids!$A:$A,0))="Pending",1,0),0)</f>
        <v>0</v>
      </c>
      <c r="AN295" s="39" t="str">
        <f t="array" ref="AN295">IF(C295="","",IFERROR(XLOOKUP(C295,Assignments!$C:$C,Assignments!$AU:$AU,0),0))</f>
        <v/>
      </c>
      <c r="AO295" s="39">
        <f>IF(AND(Config!$B$1006="Y",AN295=1),Config!$B$1007,0)</f>
        <v>0</v>
      </c>
    </row>
    <row r="296" ht="15.75" customHeight="1">
      <c r="A296" s="46" t="str">
        <f t="shared" si="1"/>
        <v/>
      </c>
      <c r="B296" s="40" t="str">
        <f>IF(Bids!$A296="","",Bids!$A296)</f>
        <v/>
      </c>
      <c r="C296" s="40" t="str">
        <f>IF(Bids!$B296="","",Bids!$B296)</f>
        <v/>
      </c>
      <c r="D296" s="40" t="str">
        <f>IF($C296="","",IFERROR(VLOOKUP($C296,Orders!$A:$J,9,FALSE),""))</f>
        <v/>
      </c>
      <c r="E296" s="40" t="str">
        <f>IF($C296="","",IFERROR(VLOOKUP($C296,Orders!$A:$J,3,FALSE),""))</f>
        <v/>
      </c>
      <c r="F296" s="40" t="str">
        <f>IF($C296="","",IFERROR(VLOOKUP($C296,Orders!$A:$J,4,FALSE),""))</f>
        <v/>
      </c>
      <c r="G296" s="40" t="str">
        <f>IF($C296="","",IFERROR(VLOOKUP($C296,Orders!$A:$J,5,FALSE),""))</f>
        <v/>
      </c>
      <c r="H296" s="40" t="str">
        <f>IF($C296="","",IFERROR(VLOOKUP($C296,Orders!$A:$J,6,FALSE),""))</f>
        <v/>
      </c>
      <c r="I296" s="40" t="str">
        <f>IF($C296="","",IFERROR(VLOOKUP($C296,Orders!$A:$J,7,FALSE),""))</f>
        <v/>
      </c>
      <c r="J296" s="40" t="str">
        <f>IF(Bids!$C296="","",Bids!$C296)</f>
        <v/>
      </c>
      <c r="K296" s="40" t="str">
        <f>IF($J296="","",IFERROR(VLOOKUP($J296,Grinders!$A:$N,2,FALSE),""))</f>
        <v/>
      </c>
      <c r="L296" s="40" t="str">
        <f>IF($J296="","",IFERROR(VLOOKUP($J296,Grinders!$A:$N,3,FALSE),""))</f>
        <v/>
      </c>
      <c r="M296" s="40" t="str">
        <f>IF($J296="","",IFERROR(VLOOKUP($J296,Grinders!$A:$N,4,FALSE),""))</f>
        <v/>
      </c>
      <c r="N296" s="40" t="str">
        <f>IF($J296="","",IFERROR(VLOOKUP($J296,Grinders!$A:$N,5,FALSE),""))</f>
        <v/>
      </c>
      <c r="O296" s="40" t="str">
        <f t="shared" si="2"/>
        <v/>
      </c>
      <c r="P296" s="40" t="str">
        <f>IF($J296="","",IFERROR(VLOOKUP($J296,Grinders!$A:$N,6,FALSE),""))</f>
        <v/>
      </c>
      <c r="Q296" s="40" t="str">
        <f>IF($J296="","",IFERROR(VLOOKUP($J296,Grinders!$A:$N,8,FALSE),""))</f>
        <v/>
      </c>
      <c r="R296" s="40" t="str">
        <f>IFERROR(IF($J296="","",IF($L296="Elite",MAX(50,MIN(100,Config!$B$27*MAX(0,MIN(100,(1-IF($O296="",0,$O296))*100)) + Config!$B$28*MAX(0,MIN(100,(1-MIN(1,IF(Config!$B$30=0,1,$P296/Config!$B$30)))*100)) + Config!$B$29*MAX(0,MIN(100,MIN(1,IF($Q296="",0,$Q296)/Config!$B$23)*100)))),MIN(100,Config!$B$27*MAX(0,MIN(100,(1-IF($O296="",0,$O296))*100)) + Config!$B$28*MAX(0,MIN(100,(1-MIN(1,IF(Config!$B$30=0,1,$P296/Config!$B$30)))*100)) + Config!$B$29*MAX(0,MIN(100,MIN(1,IF($Q296="",0,$Q296)/Config!$B$23)*100))))),"")
</f>
        <v/>
      </c>
      <c r="S296" s="40" t="str">
        <f>IF(Bids!$AC296="","",Bids!$AC296)</f>
        <v/>
      </c>
      <c r="T296" s="40" t="str">
        <f>IF(Bids!$F296="","",Bids!$F296)</f>
        <v/>
      </c>
      <c r="U296" s="40" t="str">
        <f t="shared" si="3"/>
        <v/>
      </c>
      <c r="V296" s="40" t="str">
        <f>IF($U296="","",IF(Config!$B$17=Config!$B$16,IF($U296&gt;=Config!$B$17,100,0),MAX(0,MIN(100,($U296-Config!$B$16)/(Config!$B$17-Config!$B$16)*100))))</f>
        <v/>
      </c>
      <c r="W296" s="40">
        <f>IF($L296="Elite",Config!$B$21,0)</f>
        <v>0</v>
      </c>
      <c r="X296" s="40" t="str">
        <f>IFERROR(IF(OR($T296="",$G296=""),"",IF($T296&gt;$G296,
  MAX(0, 60-(($T296-$G296)*24/Config!$B$19)*60),
  MEDIAN(60, 100, 60+(($G296-$T296)*24/Config!$B$20)*40)
)),"")
</f>
        <v/>
      </c>
      <c r="Y296" s="40" t="str">
        <f>IF($J296="","",IFERROR(VLOOKUP($J296,Grinders!$A:$N,10,FALSE),""))</f>
        <v/>
      </c>
      <c r="Z296" s="40" t="str">
        <f>IF($J296="","",IFERROR(VLOOKUP($J296,Grinders!$A:$N,11,FALSE),""))</f>
        <v/>
      </c>
      <c r="AA296" s="40" t="str">
        <f>IF($J296="","",IFERROR(VLOOKUP($J296,Grinders!$A:$N,12,FALSE),""))</f>
        <v/>
      </c>
      <c r="AB296" s="40" t="str">
        <f>IF(OR(AL296=1,AM296=1),0,=IFERROR(IF(OR($C296="",$J296=""),0,IF($D296&lt;&gt;"Open",0,IF(COUNTIFS(GrinderServices!$A:$A,$J296,GrinderServices!$B:$B,$E296,GrinderServices!$D:$D,"Y")=0,0,IF($U296&lt;Config!$B$16,0,IF(Config!$B$18=1,IF($N296&gt;=$M296,0,1),1))))),""))</f>
        <v>#ERROR!</v>
      </c>
      <c r="AC296" s="40" t="str">
        <f>IFERROR((IF(OR(AL296=1,AM296=1),"",=IFERROR((IFERROR(IF($AB296=0,"",((Config!$B$6*$V296 + Config!$B$7*$R296 + Config!$B$8*$W296 + Config!$B$9*$X296 + Config!$B$10*$Y296 + Config!$B$11*$Z296 - Config!$B$12*$AA296)/Config!$B$13)+$AH296+$AI296),""))*(1-IFERROR(VLOOKUP(J296,Grinders!$A:$AB, 28, FALSE),0)),"")))*(1+AO296),"")</f>
        <v>#ERROR!</v>
      </c>
      <c r="AD296" s="40" t="str">
        <f t="shared" si="4"/>
        <v/>
      </c>
      <c r="AE296" s="40" t="str">
        <f>IFERROR(__xludf.DUMMYFUNCTION("IF($AC296="""","""",IF($AC296=IFERROR(MAX(FILTER($AC$6:$AC$1000,$C$6:$C$1000=$C296,$AB$6:$AB$1000=1)),),""WINNER"",""""))"),"#ERROR!")</f>
        <v>#ERROR!</v>
      </c>
      <c r="AF296" s="40" t="str">
        <f t="shared" si="5"/>
        <v/>
      </c>
      <c r="AG296" s="40" t="str">
        <f>IF($J296="","",COUNTIF(Assignments!$B:$B,$J296))</f>
        <v/>
      </c>
      <c r="AH296" s="40" t="str">
        <f>IF($J296="","",IF(AND($AG296=0,$N296&lt;$M296),Config!$B$43,0))</f>
        <v/>
      </c>
      <c r="AI296" s="40" t="str">
        <f>IF($J296="","",IF(AND($L296="Elite",$F296&gt;=Config!$B$41,$N296&lt;$M296),Config!$B$42,0))</f>
        <v/>
      </c>
      <c r="AJ296" s="22"/>
      <c r="AK296" s="39">
        <f>IFERROR(VLOOKUP(J296,Grinders!$A:$Q,28,FALSE),0)</f>
        <v>0</v>
      </c>
      <c r="AL296" s="39">
        <f>IF(Config!$B$1003&lt;&gt;"Y",0,IF(IFERROR(VLOOKUP(J296,Grinders!$A:$P,27,FALSE),0)&gt;=3,IF(OR(F296&gt;=Config!$B$1001,ISNUMBER(SEARCH(E296,Config!$B$1002))),1,0),0))</f>
        <v>0</v>
      </c>
      <c r="AM296" s="39">
        <f t="array" ref="AM296">IFERROR(IF(INDEX(Bids!$AE:$AE,MATCH(B296,Bids!$A:$A,0))="Pending",1,0),0)</f>
        <v>0</v>
      </c>
      <c r="AN296" s="39" t="str">
        <f t="array" ref="AN296">IF(C296="","",IFERROR(XLOOKUP(C296,Assignments!$C:$C,Assignments!$AU:$AU,0),0))</f>
        <v/>
      </c>
      <c r="AO296" s="39">
        <f>IF(AND(Config!$B$1006="Y",AN296=1),Config!$B$1007,0)</f>
        <v>0</v>
      </c>
    </row>
    <row r="297" ht="15.75" customHeight="1">
      <c r="A297" s="46" t="str">
        <f t="shared" si="1"/>
        <v/>
      </c>
      <c r="B297" s="40" t="str">
        <f>IF(Bids!$A297="","",Bids!$A297)</f>
        <v/>
      </c>
      <c r="C297" s="40" t="str">
        <f>IF(Bids!$B297="","",Bids!$B297)</f>
        <v/>
      </c>
      <c r="D297" s="40" t="str">
        <f>IF($C297="","",IFERROR(VLOOKUP($C297,Orders!$A:$J,9,FALSE),""))</f>
        <v/>
      </c>
      <c r="E297" s="40" t="str">
        <f>IF($C297="","",IFERROR(VLOOKUP($C297,Orders!$A:$J,3,FALSE),""))</f>
        <v/>
      </c>
      <c r="F297" s="40" t="str">
        <f>IF($C297="","",IFERROR(VLOOKUP($C297,Orders!$A:$J,4,FALSE),""))</f>
        <v/>
      </c>
      <c r="G297" s="40" t="str">
        <f>IF($C297="","",IFERROR(VLOOKUP($C297,Orders!$A:$J,5,FALSE),""))</f>
        <v/>
      </c>
      <c r="H297" s="40" t="str">
        <f>IF($C297="","",IFERROR(VLOOKUP($C297,Orders!$A:$J,6,FALSE),""))</f>
        <v/>
      </c>
      <c r="I297" s="40" t="str">
        <f>IF($C297="","",IFERROR(VLOOKUP($C297,Orders!$A:$J,7,FALSE),""))</f>
        <v/>
      </c>
      <c r="J297" s="40" t="str">
        <f>IF(Bids!$C297="","",Bids!$C297)</f>
        <v/>
      </c>
      <c r="K297" s="40" t="str">
        <f>IF($J297="","",IFERROR(VLOOKUP($J297,Grinders!$A:$N,2,FALSE),""))</f>
        <v/>
      </c>
      <c r="L297" s="40" t="str">
        <f>IF($J297="","",IFERROR(VLOOKUP($J297,Grinders!$A:$N,3,FALSE),""))</f>
        <v/>
      </c>
      <c r="M297" s="40" t="str">
        <f>IF($J297="","",IFERROR(VLOOKUP($J297,Grinders!$A:$N,4,FALSE),""))</f>
        <v/>
      </c>
      <c r="N297" s="40" t="str">
        <f>IF($J297="","",IFERROR(VLOOKUP($J297,Grinders!$A:$N,5,FALSE),""))</f>
        <v/>
      </c>
      <c r="O297" s="40" t="str">
        <f t="shared" si="2"/>
        <v/>
      </c>
      <c r="P297" s="40" t="str">
        <f>IF($J297="","",IFERROR(VLOOKUP($J297,Grinders!$A:$N,6,FALSE),""))</f>
        <v/>
      </c>
      <c r="Q297" s="40" t="str">
        <f>IF($J297="","",IFERROR(VLOOKUP($J297,Grinders!$A:$N,8,FALSE),""))</f>
        <v/>
      </c>
      <c r="R297" s="40" t="str">
        <f>IFERROR(IF($J297="","",IF($L297="Elite",MAX(50,MIN(100,Config!$B$27*MAX(0,MIN(100,(1-IF($O297="",0,$O297))*100)) + Config!$B$28*MAX(0,MIN(100,(1-MIN(1,IF(Config!$B$30=0,1,$P297/Config!$B$30)))*100)) + Config!$B$29*MAX(0,MIN(100,MIN(1,IF($Q297="",0,$Q297)/Config!$B$23)*100)))),MIN(100,Config!$B$27*MAX(0,MIN(100,(1-IF($O297="",0,$O297))*100)) + Config!$B$28*MAX(0,MIN(100,(1-MIN(1,IF(Config!$B$30=0,1,$P297/Config!$B$30)))*100)) + Config!$B$29*MAX(0,MIN(100,MIN(1,IF($Q297="",0,$Q297)/Config!$B$23)*100))))),"")
</f>
        <v/>
      </c>
      <c r="S297" s="40" t="str">
        <f>IF(Bids!$AC297="","",Bids!$AC297)</f>
        <v/>
      </c>
      <c r="T297" s="40" t="str">
        <f>IF(Bids!$F297="","",Bids!$F297)</f>
        <v/>
      </c>
      <c r="U297" s="40" t="str">
        <f t="shared" si="3"/>
        <v/>
      </c>
      <c r="V297" s="40" t="str">
        <f>IF($U297="","",IF(Config!$B$17=Config!$B$16,IF($U297&gt;=Config!$B$17,100,0),MAX(0,MIN(100,($U297-Config!$B$16)/(Config!$B$17-Config!$B$16)*100))))</f>
        <v/>
      </c>
      <c r="W297" s="40">
        <f>IF($L297="Elite",Config!$B$21,0)</f>
        <v>0</v>
      </c>
      <c r="X297" s="40" t="str">
        <f>IFERROR(IF(OR($T297="",$G297=""),"",IF($T297&gt;$G297,
  MAX(0, 60-(($T297-$G297)*24/Config!$B$19)*60),
  MEDIAN(60, 100, 60+(($G297-$T297)*24/Config!$B$20)*40)
)),"")
</f>
        <v/>
      </c>
      <c r="Y297" s="40" t="str">
        <f>IF($J297="","",IFERROR(VLOOKUP($J297,Grinders!$A:$N,10,FALSE),""))</f>
        <v/>
      </c>
      <c r="Z297" s="40" t="str">
        <f>IF($J297="","",IFERROR(VLOOKUP($J297,Grinders!$A:$N,11,FALSE),""))</f>
        <v/>
      </c>
      <c r="AA297" s="40" t="str">
        <f>IF($J297="","",IFERROR(VLOOKUP($J297,Grinders!$A:$N,12,FALSE),""))</f>
        <v/>
      </c>
      <c r="AB297" s="40" t="str">
        <f>IF(OR(AL297=1,AM297=1),0,=IFERROR(IF(OR($C297="",$J297=""),0,IF($D297&lt;&gt;"Open",0,IF(COUNTIFS(GrinderServices!$A:$A,$J297,GrinderServices!$B:$B,$E297,GrinderServices!$D:$D,"Y")=0,0,IF($U297&lt;Config!$B$16,0,IF(Config!$B$18=1,IF($N297&gt;=$M297,0,1),1))))),""))</f>
        <v>#ERROR!</v>
      </c>
      <c r="AC297" s="40" t="str">
        <f>IFERROR((IF(OR(AL297=1,AM297=1),"",=IFERROR((IFERROR(IF($AB297=0,"",((Config!$B$6*$V297 + Config!$B$7*$R297 + Config!$B$8*$W297 + Config!$B$9*$X297 + Config!$B$10*$Y297 + Config!$B$11*$Z297 - Config!$B$12*$AA297)/Config!$B$13)+$AH297+$AI297),""))*(1-IFERROR(VLOOKUP(J297,Grinders!$A:$AB, 28, FALSE),0)),"")))*(1+AO297),"")</f>
        <v>#ERROR!</v>
      </c>
      <c r="AD297" s="40" t="str">
        <f t="shared" si="4"/>
        <v/>
      </c>
      <c r="AE297" s="40" t="str">
        <f>IFERROR(__xludf.DUMMYFUNCTION("IF($AC297="""","""",IF($AC297=IFERROR(MAX(FILTER($AC$6:$AC$1000,$C$6:$C$1000=$C297,$AB$6:$AB$1000=1)),),""WINNER"",""""))"),"#ERROR!")</f>
        <v>#ERROR!</v>
      </c>
      <c r="AF297" s="40" t="str">
        <f t="shared" si="5"/>
        <v/>
      </c>
      <c r="AG297" s="40" t="str">
        <f>IF($J297="","",COUNTIF(Assignments!$B:$B,$J297))</f>
        <v/>
      </c>
      <c r="AH297" s="40" t="str">
        <f>IF($J297="","",IF(AND($AG297=0,$N297&lt;$M297),Config!$B$43,0))</f>
        <v/>
      </c>
      <c r="AI297" s="40" t="str">
        <f>IF($J297="","",IF(AND($L297="Elite",$F297&gt;=Config!$B$41,$N297&lt;$M297),Config!$B$42,0))</f>
        <v/>
      </c>
      <c r="AJ297" s="22"/>
      <c r="AK297" s="39">
        <f>IFERROR(VLOOKUP(J297,Grinders!$A:$Q,28,FALSE),0)</f>
        <v>0</v>
      </c>
      <c r="AL297" s="39">
        <f>IF(Config!$B$1003&lt;&gt;"Y",0,IF(IFERROR(VLOOKUP(J297,Grinders!$A:$P,27,FALSE),0)&gt;=3,IF(OR(F297&gt;=Config!$B$1001,ISNUMBER(SEARCH(E297,Config!$B$1002))),1,0),0))</f>
        <v>0</v>
      </c>
      <c r="AM297" s="39">
        <f t="array" ref="AM297">IFERROR(IF(INDEX(Bids!$AE:$AE,MATCH(B297,Bids!$A:$A,0))="Pending",1,0),0)</f>
        <v>0</v>
      </c>
      <c r="AN297" s="39" t="str">
        <f t="array" ref="AN297">IF(C297="","",IFERROR(XLOOKUP(C297,Assignments!$C:$C,Assignments!$AU:$AU,0),0))</f>
        <v/>
      </c>
      <c r="AO297" s="39">
        <f>IF(AND(Config!$B$1006="Y",AN297=1),Config!$B$1007,0)</f>
        <v>0</v>
      </c>
    </row>
    <row r="298" ht="15.75" customHeight="1">
      <c r="A298" s="46" t="str">
        <f t="shared" si="1"/>
        <v/>
      </c>
      <c r="B298" s="40" t="str">
        <f>IF(Bids!$A298="","",Bids!$A298)</f>
        <v/>
      </c>
      <c r="C298" s="40" t="str">
        <f>IF(Bids!$B298="","",Bids!$B298)</f>
        <v/>
      </c>
      <c r="D298" s="40" t="str">
        <f>IF($C298="","",IFERROR(VLOOKUP($C298,Orders!$A:$J,9,FALSE),""))</f>
        <v/>
      </c>
      <c r="E298" s="40" t="str">
        <f>IF($C298="","",IFERROR(VLOOKUP($C298,Orders!$A:$J,3,FALSE),""))</f>
        <v/>
      </c>
      <c r="F298" s="40" t="str">
        <f>IF($C298="","",IFERROR(VLOOKUP($C298,Orders!$A:$J,4,FALSE),""))</f>
        <v/>
      </c>
      <c r="G298" s="40" t="str">
        <f>IF($C298="","",IFERROR(VLOOKUP($C298,Orders!$A:$J,5,FALSE),""))</f>
        <v/>
      </c>
      <c r="H298" s="40" t="str">
        <f>IF($C298="","",IFERROR(VLOOKUP($C298,Orders!$A:$J,6,FALSE),""))</f>
        <v/>
      </c>
      <c r="I298" s="40" t="str">
        <f>IF($C298="","",IFERROR(VLOOKUP($C298,Orders!$A:$J,7,FALSE),""))</f>
        <v/>
      </c>
      <c r="J298" s="40" t="str">
        <f>IF(Bids!$C298="","",Bids!$C298)</f>
        <v/>
      </c>
      <c r="K298" s="40" t="str">
        <f>IF($J298="","",IFERROR(VLOOKUP($J298,Grinders!$A:$N,2,FALSE),""))</f>
        <v/>
      </c>
      <c r="L298" s="40" t="str">
        <f>IF($J298="","",IFERROR(VLOOKUP($J298,Grinders!$A:$N,3,FALSE),""))</f>
        <v/>
      </c>
      <c r="M298" s="40" t="str">
        <f>IF($J298="","",IFERROR(VLOOKUP($J298,Grinders!$A:$N,4,FALSE),""))</f>
        <v/>
      </c>
      <c r="N298" s="40" t="str">
        <f>IF($J298="","",IFERROR(VLOOKUP($J298,Grinders!$A:$N,5,FALSE),""))</f>
        <v/>
      </c>
      <c r="O298" s="40" t="str">
        <f t="shared" si="2"/>
        <v/>
      </c>
      <c r="P298" s="40" t="str">
        <f>IF($J298="","",IFERROR(VLOOKUP($J298,Grinders!$A:$N,6,FALSE),""))</f>
        <v/>
      </c>
      <c r="Q298" s="40" t="str">
        <f>IF($J298="","",IFERROR(VLOOKUP($J298,Grinders!$A:$N,8,FALSE),""))</f>
        <v/>
      </c>
      <c r="R298" s="40" t="str">
        <f>IFERROR(IF($J298="","",IF($L298="Elite",MAX(50,MIN(100,Config!$B$27*MAX(0,MIN(100,(1-IF($O298="",0,$O298))*100)) + Config!$B$28*MAX(0,MIN(100,(1-MIN(1,IF(Config!$B$30=0,1,$P298/Config!$B$30)))*100)) + Config!$B$29*MAX(0,MIN(100,MIN(1,IF($Q298="",0,$Q298)/Config!$B$23)*100)))),MIN(100,Config!$B$27*MAX(0,MIN(100,(1-IF($O298="",0,$O298))*100)) + Config!$B$28*MAX(0,MIN(100,(1-MIN(1,IF(Config!$B$30=0,1,$P298/Config!$B$30)))*100)) + Config!$B$29*MAX(0,MIN(100,MIN(1,IF($Q298="",0,$Q298)/Config!$B$23)*100))))),"")
</f>
        <v/>
      </c>
      <c r="S298" s="40" t="str">
        <f>IF(Bids!$AC298="","",Bids!$AC298)</f>
        <v/>
      </c>
      <c r="T298" s="40" t="str">
        <f>IF(Bids!$F298="","",Bids!$F298)</f>
        <v/>
      </c>
      <c r="U298" s="40" t="str">
        <f t="shared" si="3"/>
        <v/>
      </c>
      <c r="V298" s="40" t="str">
        <f>IF($U298="","",IF(Config!$B$17=Config!$B$16,IF($U298&gt;=Config!$B$17,100,0),MAX(0,MIN(100,($U298-Config!$B$16)/(Config!$B$17-Config!$B$16)*100))))</f>
        <v/>
      </c>
      <c r="W298" s="40">
        <f>IF($L298="Elite",Config!$B$21,0)</f>
        <v>0</v>
      </c>
      <c r="X298" s="40" t="str">
        <f>IFERROR(IF(OR($T298="",$G298=""),"",IF($T298&gt;$G298,
  MAX(0, 60-(($T298-$G298)*24/Config!$B$19)*60),
  MEDIAN(60, 100, 60+(($G298-$T298)*24/Config!$B$20)*40)
)),"")
</f>
        <v/>
      </c>
      <c r="Y298" s="40" t="str">
        <f>IF($J298="","",IFERROR(VLOOKUP($J298,Grinders!$A:$N,10,FALSE),""))</f>
        <v/>
      </c>
      <c r="Z298" s="40" t="str">
        <f>IF($J298="","",IFERROR(VLOOKUP($J298,Grinders!$A:$N,11,FALSE),""))</f>
        <v/>
      </c>
      <c r="AA298" s="40" t="str">
        <f>IF($J298="","",IFERROR(VLOOKUP($J298,Grinders!$A:$N,12,FALSE),""))</f>
        <v/>
      </c>
      <c r="AB298" s="40" t="str">
        <f>IF(OR(AL298=1,AM298=1),0,=IFERROR(IF(OR($C298="",$J298=""),0,IF($D298&lt;&gt;"Open",0,IF(COUNTIFS(GrinderServices!$A:$A,$J298,GrinderServices!$B:$B,$E298,GrinderServices!$D:$D,"Y")=0,0,IF($U298&lt;Config!$B$16,0,IF(Config!$B$18=1,IF($N298&gt;=$M298,0,1),1))))),""))</f>
        <v>#ERROR!</v>
      </c>
      <c r="AC298" s="40" t="str">
        <f>IFERROR((IF(OR(AL298=1,AM298=1),"",=IFERROR((IFERROR(IF($AB298=0,"",((Config!$B$6*$V298 + Config!$B$7*$R298 + Config!$B$8*$W298 + Config!$B$9*$X298 + Config!$B$10*$Y298 + Config!$B$11*$Z298 - Config!$B$12*$AA298)/Config!$B$13)+$AH298+$AI298),""))*(1-IFERROR(VLOOKUP(J298,Grinders!$A:$AB, 28, FALSE),0)),"")))*(1+AO298),"")</f>
        <v>#ERROR!</v>
      </c>
      <c r="AD298" s="40" t="str">
        <f t="shared" si="4"/>
        <v/>
      </c>
      <c r="AE298" s="40" t="str">
        <f>IFERROR(__xludf.DUMMYFUNCTION("IF($AC298="""","""",IF($AC298=IFERROR(MAX(FILTER($AC$6:$AC$1000,$C$6:$C$1000=$C298,$AB$6:$AB$1000=1)),),""WINNER"",""""))"),"#ERROR!")</f>
        <v>#ERROR!</v>
      </c>
      <c r="AF298" s="40" t="str">
        <f t="shared" si="5"/>
        <v/>
      </c>
      <c r="AG298" s="40" t="str">
        <f>IF($J298="","",COUNTIF(Assignments!$B:$B,$J298))</f>
        <v/>
      </c>
      <c r="AH298" s="40" t="str">
        <f>IF($J298="","",IF(AND($AG298=0,$N298&lt;$M298),Config!$B$43,0))</f>
        <v/>
      </c>
      <c r="AI298" s="40" t="str">
        <f>IF($J298="","",IF(AND($L298="Elite",$F298&gt;=Config!$B$41,$N298&lt;$M298),Config!$B$42,0))</f>
        <v/>
      </c>
      <c r="AJ298" s="22"/>
      <c r="AK298" s="39">
        <f>IFERROR(VLOOKUP(J298,Grinders!$A:$Q,28,FALSE),0)</f>
        <v>0</v>
      </c>
      <c r="AL298" s="39">
        <f>IF(Config!$B$1003&lt;&gt;"Y",0,IF(IFERROR(VLOOKUP(J298,Grinders!$A:$P,27,FALSE),0)&gt;=3,IF(OR(F298&gt;=Config!$B$1001,ISNUMBER(SEARCH(E298,Config!$B$1002))),1,0),0))</f>
        <v>0</v>
      </c>
      <c r="AM298" s="39">
        <f t="array" ref="AM298">IFERROR(IF(INDEX(Bids!$AE:$AE,MATCH(B298,Bids!$A:$A,0))="Pending",1,0),0)</f>
        <v>0</v>
      </c>
      <c r="AN298" s="39" t="str">
        <f t="array" ref="AN298">IF(C298="","",IFERROR(XLOOKUP(C298,Assignments!$C:$C,Assignments!$AU:$AU,0),0))</f>
        <v/>
      </c>
      <c r="AO298" s="39">
        <f>IF(AND(Config!$B$1006="Y",AN298=1),Config!$B$1007,0)</f>
        <v>0</v>
      </c>
    </row>
    <row r="299" ht="15.75" customHeight="1">
      <c r="A299" s="46" t="str">
        <f t="shared" si="1"/>
        <v/>
      </c>
      <c r="B299" s="40" t="str">
        <f>IF(Bids!$A299="","",Bids!$A299)</f>
        <v/>
      </c>
      <c r="C299" s="40" t="str">
        <f>IF(Bids!$B299="","",Bids!$B299)</f>
        <v/>
      </c>
      <c r="D299" s="40" t="str">
        <f>IF($C299="","",IFERROR(VLOOKUP($C299,Orders!$A:$J,9,FALSE),""))</f>
        <v/>
      </c>
      <c r="E299" s="40" t="str">
        <f>IF($C299="","",IFERROR(VLOOKUP($C299,Orders!$A:$J,3,FALSE),""))</f>
        <v/>
      </c>
      <c r="F299" s="40" t="str">
        <f>IF($C299="","",IFERROR(VLOOKUP($C299,Orders!$A:$J,4,FALSE),""))</f>
        <v/>
      </c>
      <c r="G299" s="40" t="str">
        <f>IF($C299="","",IFERROR(VLOOKUP($C299,Orders!$A:$J,5,FALSE),""))</f>
        <v/>
      </c>
      <c r="H299" s="40" t="str">
        <f>IF($C299="","",IFERROR(VLOOKUP($C299,Orders!$A:$J,6,FALSE),""))</f>
        <v/>
      </c>
      <c r="I299" s="40" t="str">
        <f>IF($C299="","",IFERROR(VLOOKUP($C299,Orders!$A:$J,7,FALSE),""))</f>
        <v/>
      </c>
      <c r="J299" s="40" t="str">
        <f>IF(Bids!$C299="","",Bids!$C299)</f>
        <v/>
      </c>
      <c r="K299" s="40" t="str">
        <f>IF($J299="","",IFERROR(VLOOKUP($J299,Grinders!$A:$N,2,FALSE),""))</f>
        <v/>
      </c>
      <c r="L299" s="40" t="str">
        <f>IF($J299="","",IFERROR(VLOOKUP($J299,Grinders!$A:$N,3,FALSE),""))</f>
        <v/>
      </c>
      <c r="M299" s="40" t="str">
        <f>IF($J299="","",IFERROR(VLOOKUP($J299,Grinders!$A:$N,4,FALSE),""))</f>
        <v/>
      </c>
      <c r="N299" s="40" t="str">
        <f>IF($J299="","",IFERROR(VLOOKUP($J299,Grinders!$A:$N,5,FALSE),""))</f>
        <v/>
      </c>
      <c r="O299" s="40" t="str">
        <f t="shared" si="2"/>
        <v/>
      </c>
      <c r="P299" s="40" t="str">
        <f>IF($J299="","",IFERROR(VLOOKUP($J299,Grinders!$A:$N,6,FALSE),""))</f>
        <v/>
      </c>
      <c r="Q299" s="40" t="str">
        <f>IF($J299="","",IFERROR(VLOOKUP($J299,Grinders!$A:$N,8,FALSE),""))</f>
        <v/>
      </c>
      <c r="R299" s="40" t="str">
        <f>IFERROR(IF($J299="","",IF($L299="Elite",MAX(50,MIN(100,Config!$B$27*MAX(0,MIN(100,(1-IF($O299="",0,$O299))*100)) + Config!$B$28*MAX(0,MIN(100,(1-MIN(1,IF(Config!$B$30=0,1,$P299/Config!$B$30)))*100)) + Config!$B$29*MAX(0,MIN(100,MIN(1,IF($Q299="",0,$Q299)/Config!$B$23)*100)))),MIN(100,Config!$B$27*MAX(0,MIN(100,(1-IF($O299="",0,$O299))*100)) + Config!$B$28*MAX(0,MIN(100,(1-MIN(1,IF(Config!$B$30=0,1,$P299/Config!$B$30)))*100)) + Config!$B$29*MAX(0,MIN(100,MIN(1,IF($Q299="",0,$Q299)/Config!$B$23)*100))))),"")
</f>
        <v/>
      </c>
      <c r="S299" s="40" t="str">
        <f>IF(Bids!$AC299="","",Bids!$AC299)</f>
        <v/>
      </c>
      <c r="T299" s="40" t="str">
        <f>IF(Bids!$F299="","",Bids!$F299)</f>
        <v/>
      </c>
      <c r="U299" s="40" t="str">
        <f t="shared" si="3"/>
        <v/>
      </c>
      <c r="V299" s="40" t="str">
        <f>IF($U299="","",IF(Config!$B$17=Config!$B$16,IF($U299&gt;=Config!$B$17,100,0),MAX(0,MIN(100,($U299-Config!$B$16)/(Config!$B$17-Config!$B$16)*100))))</f>
        <v/>
      </c>
      <c r="W299" s="40">
        <f>IF($L299="Elite",Config!$B$21,0)</f>
        <v>0</v>
      </c>
      <c r="X299" s="40" t="str">
        <f>IFERROR(IF(OR($T299="",$G299=""),"",IF($T299&gt;$G299,
  MAX(0, 60-(($T299-$G299)*24/Config!$B$19)*60),
  MEDIAN(60, 100, 60+(($G299-$T299)*24/Config!$B$20)*40)
)),"")
</f>
        <v/>
      </c>
      <c r="Y299" s="40" t="str">
        <f>IF($J299="","",IFERROR(VLOOKUP($J299,Grinders!$A:$N,10,FALSE),""))</f>
        <v/>
      </c>
      <c r="Z299" s="40" t="str">
        <f>IF($J299="","",IFERROR(VLOOKUP($J299,Grinders!$A:$N,11,FALSE),""))</f>
        <v/>
      </c>
      <c r="AA299" s="40" t="str">
        <f>IF($J299="","",IFERROR(VLOOKUP($J299,Grinders!$A:$N,12,FALSE),""))</f>
        <v/>
      </c>
      <c r="AB299" s="40" t="str">
        <f>IF(OR(AL299=1,AM299=1),0,=IFERROR(IF(OR($C299="",$J299=""),0,IF($D299&lt;&gt;"Open",0,IF(COUNTIFS(GrinderServices!$A:$A,$J299,GrinderServices!$B:$B,$E299,GrinderServices!$D:$D,"Y")=0,0,IF($U299&lt;Config!$B$16,0,IF(Config!$B$18=1,IF($N299&gt;=$M299,0,1),1))))),""))</f>
        <v>#ERROR!</v>
      </c>
      <c r="AC299" s="40" t="str">
        <f>IFERROR((IF(OR(AL299=1,AM299=1),"",=IFERROR((IFERROR(IF($AB299=0,"",((Config!$B$6*$V299 + Config!$B$7*$R299 + Config!$B$8*$W299 + Config!$B$9*$X299 + Config!$B$10*$Y299 + Config!$B$11*$Z299 - Config!$B$12*$AA299)/Config!$B$13)+$AH299+$AI299),""))*(1-IFERROR(VLOOKUP(J299,Grinders!$A:$AB, 28, FALSE),0)),"")))*(1+AO299),"")</f>
        <v>#ERROR!</v>
      </c>
      <c r="AD299" s="40" t="str">
        <f t="shared" si="4"/>
        <v/>
      </c>
      <c r="AE299" s="40" t="str">
        <f>IFERROR(__xludf.DUMMYFUNCTION("IF($AC299="""","""",IF($AC299=IFERROR(MAX(FILTER($AC$6:$AC$1000,$C$6:$C$1000=$C299,$AB$6:$AB$1000=1)),),""WINNER"",""""))"),"#ERROR!")</f>
        <v>#ERROR!</v>
      </c>
      <c r="AF299" s="40" t="str">
        <f t="shared" si="5"/>
        <v/>
      </c>
      <c r="AG299" s="40" t="str">
        <f>IF($J299="","",COUNTIF(Assignments!$B:$B,$J299))</f>
        <v/>
      </c>
      <c r="AH299" s="40" t="str">
        <f>IF($J299="","",IF(AND($AG299=0,$N299&lt;$M299),Config!$B$43,0))</f>
        <v/>
      </c>
      <c r="AI299" s="40" t="str">
        <f>IF($J299="","",IF(AND($L299="Elite",$F299&gt;=Config!$B$41,$N299&lt;$M299),Config!$B$42,0))</f>
        <v/>
      </c>
      <c r="AJ299" s="22"/>
      <c r="AK299" s="39">
        <f>IFERROR(VLOOKUP(J299,Grinders!$A:$Q,28,FALSE),0)</f>
        <v>0</v>
      </c>
      <c r="AL299" s="39">
        <f>IF(Config!$B$1003&lt;&gt;"Y",0,IF(IFERROR(VLOOKUP(J299,Grinders!$A:$P,27,FALSE),0)&gt;=3,IF(OR(F299&gt;=Config!$B$1001,ISNUMBER(SEARCH(E299,Config!$B$1002))),1,0),0))</f>
        <v>0</v>
      </c>
      <c r="AM299" s="39">
        <f t="array" ref="AM299">IFERROR(IF(INDEX(Bids!$AE:$AE,MATCH(B299,Bids!$A:$A,0))="Pending",1,0),0)</f>
        <v>0</v>
      </c>
      <c r="AN299" s="39" t="str">
        <f t="array" ref="AN299">IF(C299="","",IFERROR(XLOOKUP(C299,Assignments!$C:$C,Assignments!$AU:$AU,0),0))</f>
        <v/>
      </c>
      <c r="AO299" s="39">
        <f>IF(AND(Config!$B$1006="Y",AN299=1),Config!$B$1007,0)</f>
        <v>0</v>
      </c>
    </row>
    <row r="300" ht="15.75" customHeight="1">
      <c r="A300" s="46" t="str">
        <f t="shared" si="1"/>
        <v/>
      </c>
      <c r="B300" s="40" t="str">
        <f>IF(Bids!$A300="","",Bids!$A300)</f>
        <v/>
      </c>
      <c r="C300" s="40" t="str">
        <f>IF(Bids!$B300="","",Bids!$B300)</f>
        <v/>
      </c>
      <c r="D300" s="40" t="str">
        <f>IF($C300="","",IFERROR(VLOOKUP($C300,Orders!$A:$J,9,FALSE),""))</f>
        <v/>
      </c>
      <c r="E300" s="40" t="str">
        <f>IF($C300="","",IFERROR(VLOOKUP($C300,Orders!$A:$J,3,FALSE),""))</f>
        <v/>
      </c>
      <c r="F300" s="40" t="str">
        <f>IF($C300="","",IFERROR(VLOOKUP($C300,Orders!$A:$J,4,FALSE),""))</f>
        <v/>
      </c>
      <c r="G300" s="40" t="str">
        <f>IF($C300="","",IFERROR(VLOOKUP($C300,Orders!$A:$J,5,FALSE),""))</f>
        <v/>
      </c>
      <c r="H300" s="40" t="str">
        <f>IF($C300="","",IFERROR(VLOOKUP($C300,Orders!$A:$J,6,FALSE),""))</f>
        <v/>
      </c>
      <c r="I300" s="40" t="str">
        <f>IF($C300="","",IFERROR(VLOOKUP($C300,Orders!$A:$J,7,FALSE),""))</f>
        <v/>
      </c>
      <c r="J300" s="40" t="str">
        <f>IF(Bids!$C300="","",Bids!$C300)</f>
        <v/>
      </c>
      <c r="K300" s="40" t="str">
        <f>IF($J300="","",IFERROR(VLOOKUP($J300,Grinders!$A:$N,2,FALSE),""))</f>
        <v/>
      </c>
      <c r="L300" s="40" t="str">
        <f>IF($J300="","",IFERROR(VLOOKUP($J300,Grinders!$A:$N,3,FALSE),""))</f>
        <v/>
      </c>
      <c r="M300" s="40" t="str">
        <f>IF($J300="","",IFERROR(VLOOKUP($J300,Grinders!$A:$N,4,FALSE),""))</f>
        <v/>
      </c>
      <c r="N300" s="40" t="str">
        <f>IF($J300="","",IFERROR(VLOOKUP($J300,Grinders!$A:$N,5,FALSE),""))</f>
        <v/>
      </c>
      <c r="O300" s="40" t="str">
        <f t="shared" si="2"/>
        <v/>
      </c>
      <c r="P300" s="40" t="str">
        <f>IF($J300="","",IFERROR(VLOOKUP($J300,Grinders!$A:$N,6,FALSE),""))</f>
        <v/>
      </c>
      <c r="Q300" s="40" t="str">
        <f>IF($J300="","",IFERROR(VLOOKUP($J300,Grinders!$A:$N,8,FALSE),""))</f>
        <v/>
      </c>
      <c r="R300" s="40" t="str">
        <f>IFERROR(IF($J300="","",IF($L300="Elite",MAX(50,MIN(100,Config!$B$27*MAX(0,MIN(100,(1-IF($O300="",0,$O300))*100)) + Config!$B$28*MAX(0,MIN(100,(1-MIN(1,IF(Config!$B$30=0,1,$P300/Config!$B$30)))*100)) + Config!$B$29*MAX(0,MIN(100,MIN(1,IF($Q300="",0,$Q300)/Config!$B$23)*100)))),MIN(100,Config!$B$27*MAX(0,MIN(100,(1-IF($O300="",0,$O300))*100)) + Config!$B$28*MAX(0,MIN(100,(1-MIN(1,IF(Config!$B$30=0,1,$P300/Config!$B$30)))*100)) + Config!$B$29*MAX(0,MIN(100,MIN(1,IF($Q300="",0,$Q300)/Config!$B$23)*100))))),"")
</f>
        <v/>
      </c>
      <c r="S300" s="40" t="str">
        <f>IF(Bids!$AC300="","",Bids!$AC300)</f>
        <v/>
      </c>
      <c r="T300" s="40" t="str">
        <f>IF(Bids!$F300="","",Bids!$F300)</f>
        <v/>
      </c>
      <c r="U300" s="40" t="str">
        <f t="shared" si="3"/>
        <v/>
      </c>
      <c r="V300" s="40" t="str">
        <f>IF($U300="","",IF(Config!$B$17=Config!$B$16,IF($U300&gt;=Config!$B$17,100,0),MAX(0,MIN(100,($U300-Config!$B$16)/(Config!$B$17-Config!$B$16)*100))))</f>
        <v/>
      </c>
      <c r="W300" s="40">
        <f>IF($L300="Elite",Config!$B$21,0)</f>
        <v>0</v>
      </c>
      <c r="X300" s="40" t="str">
        <f>IFERROR(IF(OR($T300="",$G300=""),"",IF($T300&gt;$G300,
  MAX(0, 60-(($T300-$G300)*24/Config!$B$19)*60),
  MEDIAN(60, 100, 60+(($G300-$T300)*24/Config!$B$20)*40)
)),"")
</f>
        <v/>
      </c>
      <c r="Y300" s="40" t="str">
        <f>IF($J300="","",IFERROR(VLOOKUP($J300,Grinders!$A:$N,10,FALSE),""))</f>
        <v/>
      </c>
      <c r="Z300" s="40" t="str">
        <f>IF($J300="","",IFERROR(VLOOKUP($J300,Grinders!$A:$N,11,FALSE),""))</f>
        <v/>
      </c>
      <c r="AA300" s="40" t="str">
        <f>IF($J300="","",IFERROR(VLOOKUP($J300,Grinders!$A:$N,12,FALSE),""))</f>
        <v/>
      </c>
      <c r="AB300" s="40" t="str">
        <f>IF(OR(AL300=1,AM300=1),0,=IFERROR(IF(OR($C300="",$J300=""),0,IF($D300&lt;&gt;"Open",0,IF(COUNTIFS(GrinderServices!$A:$A,$J300,GrinderServices!$B:$B,$E300,GrinderServices!$D:$D,"Y")=0,0,IF($U300&lt;Config!$B$16,0,IF(Config!$B$18=1,IF($N300&gt;=$M300,0,1),1))))),""))</f>
        <v>#ERROR!</v>
      </c>
      <c r="AC300" s="40" t="str">
        <f>IFERROR((IF(OR(AL300=1,AM300=1),"",=IFERROR((IFERROR(IF($AB300=0,"",((Config!$B$6*$V300 + Config!$B$7*$R300 + Config!$B$8*$W300 + Config!$B$9*$X300 + Config!$B$10*$Y300 + Config!$B$11*$Z300 - Config!$B$12*$AA300)/Config!$B$13)+$AH300+$AI300),""))*(1-IFERROR(VLOOKUP(J300,Grinders!$A:$AB, 28, FALSE),0)),"")))*(1+AO300),"")</f>
        <v>#ERROR!</v>
      </c>
      <c r="AD300" s="40" t="str">
        <f t="shared" si="4"/>
        <v/>
      </c>
      <c r="AE300" s="40" t="str">
        <f>IFERROR(__xludf.DUMMYFUNCTION("IF($AC300="""","""",IF($AC300=IFERROR(MAX(FILTER($AC$6:$AC$1000,$C$6:$C$1000=$C300,$AB$6:$AB$1000=1)),),""WINNER"",""""))"),"#ERROR!")</f>
        <v>#ERROR!</v>
      </c>
      <c r="AF300" s="40" t="str">
        <f t="shared" si="5"/>
        <v/>
      </c>
      <c r="AG300" s="40" t="str">
        <f>IF($J300="","",COUNTIF(Assignments!$B:$B,$J300))</f>
        <v/>
      </c>
      <c r="AH300" s="40" t="str">
        <f>IF($J300="","",IF(AND($AG300=0,$N300&lt;$M300),Config!$B$43,0))</f>
        <v/>
      </c>
      <c r="AI300" s="40" t="str">
        <f>IF($J300="","",IF(AND($L300="Elite",$F300&gt;=Config!$B$41,$N300&lt;$M300),Config!$B$42,0))</f>
        <v/>
      </c>
      <c r="AJ300" s="22"/>
      <c r="AK300" s="39">
        <f>IFERROR(VLOOKUP(J300,Grinders!$A:$Q,28,FALSE),0)</f>
        <v>0</v>
      </c>
      <c r="AL300" s="39">
        <f>IF(Config!$B$1003&lt;&gt;"Y",0,IF(IFERROR(VLOOKUP(J300,Grinders!$A:$P,27,FALSE),0)&gt;=3,IF(OR(F300&gt;=Config!$B$1001,ISNUMBER(SEARCH(E300,Config!$B$1002))),1,0),0))</f>
        <v>0</v>
      </c>
      <c r="AM300" s="39">
        <f t="array" ref="AM300">IFERROR(IF(INDEX(Bids!$AE:$AE,MATCH(B300,Bids!$A:$A,0))="Pending",1,0),0)</f>
        <v>0</v>
      </c>
      <c r="AN300" s="39" t="str">
        <f t="array" ref="AN300">IF(C300="","",IFERROR(XLOOKUP(C300,Assignments!$C:$C,Assignments!$AU:$AU,0),0))</f>
        <v/>
      </c>
      <c r="AO300" s="39">
        <f>IF(AND(Config!$B$1006="Y",AN300=1),Config!$B$1007,0)</f>
        <v>0</v>
      </c>
    </row>
    <row r="301" ht="15.75" customHeight="1">
      <c r="A301" s="46" t="str">
        <f t="shared" si="1"/>
        <v/>
      </c>
      <c r="B301" s="40" t="str">
        <f>IF(Bids!$A301="","",Bids!$A301)</f>
        <v/>
      </c>
      <c r="C301" s="40" t="str">
        <f>IF(Bids!$B301="","",Bids!$B301)</f>
        <v/>
      </c>
      <c r="D301" s="40" t="str">
        <f>IF($C301="","",IFERROR(VLOOKUP($C301,Orders!$A:$J,9,FALSE),""))</f>
        <v/>
      </c>
      <c r="E301" s="40" t="str">
        <f>IF($C301="","",IFERROR(VLOOKUP($C301,Orders!$A:$J,3,FALSE),""))</f>
        <v/>
      </c>
      <c r="F301" s="40" t="str">
        <f>IF($C301="","",IFERROR(VLOOKUP($C301,Orders!$A:$J,4,FALSE),""))</f>
        <v/>
      </c>
      <c r="G301" s="40" t="str">
        <f>IF($C301="","",IFERROR(VLOOKUP($C301,Orders!$A:$J,5,FALSE),""))</f>
        <v/>
      </c>
      <c r="H301" s="40" t="str">
        <f>IF($C301="","",IFERROR(VLOOKUP($C301,Orders!$A:$J,6,FALSE),""))</f>
        <v/>
      </c>
      <c r="I301" s="40" t="str">
        <f>IF($C301="","",IFERROR(VLOOKUP($C301,Orders!$A:$J,7,FALSE),""))</f>
        <v/>
      </c>
      <c r="J301" s="40" t="str">
        <f>IF(Bids!$C301="","",Bids!$C301)</f>
        <v/>
      </c>
      <c r="K301" s="40" t="str">
        <f>IF($J301="","",IFERROR(VLOOKUP($J301,Grinders!$A:$N,2,FALSE),""))</f>
        <v/>
      </c>
      <c r="L301" s="40" t="str">
        <f>IF($J301="","",IFERROR(VLOOKUP($J301,Grinders!$A:$N,3,FALSE),""))</f>
        <v/>
      </c>
      <c r="M301" s="40" t="str">
        <f>IF($J301="","",IFERROR(VLOOKUP($J301,Grinders!$A:$N,4,FALSE),""))</f>
        <v/>
      </c>
      <c r="N301" s="40" t="str">
        <f>IF($J301="","",IFERROR(VLOOKUP($J301,Grinders!$A:$N,5,FALSE),""))</f>
        <v/>
      </c>
      <c r="O301" s="40" t="str">
        <f t="shared" si="2"/>
        <v/>
      </c>
      <c r="P301" s="40" t="str">
        <f>IF($J301="","",IFERROR(VLOOKUP($J301,Grinders!$A:$N,6,FALSE),""))</f>
        <v/>
      </c>
      <c r="Q301" s="40" t="str">
        <f>IF($J301="","",IFERROR(VLOOKUP($J301,Grinders!$A:$N,8,FALSE),""))</f>
        <v/>
      </c>
      <c r="R301" s="40" t="str">
        <f>IFERROR(IF($J301="","",IF($L301="Elite",MAX(50,MIN(100,Config!$B$27*MAX(0,MIN(100,(1-IF($O301="",0,$O301))*100)) + Config!$B$28*MAX(0,MIN(100,(1-MIN(1,IF(Config!$B$30=0,1,$P301/Config!$B$30)))*100)) + Config!$B$29*MAX(0,MIN(100,MIN(1,IF($Q301="",0,$Q301)/Config!$B$23)*100)))),MIN(100,Config!$B$27*MAX(0,MIN(100,(1-IF($O301="",0,$O301))*100)) + Config!$B$28*MAX(0,MIN(100,(1-MIN(1,IF(Config!$B$30=0,1,$P301/Config!$B$30)))*100)) + Config!$B$29*MAX(0,MIN(100,MIN(1,IF($Q301="",0,$Q301)/Config!$B$23)*100))))),"")
</f>
        <v/>
      </c>
      <c r="S301" s="40" t="str">
        <f>IF(Bids!$AC301="","",Bids!$AC301)</f>
        <v/>
      </c>
      <c r="T301" s="40" t="str">
        <f>IF(Bids!$F301="","",Bids!$F301)</f>
        <v/>
      </c>
      <c r="U301" s="40" t="str">
        <f t="shared" si="3"/>
        <v/>
      </c>
      <c r="V301" s="40" t="str">
        <f>IF($U301="","",IF(Config!$B$17=Config!$B$16,IF($U301&gt;=Config!$B$17,100,0),MAX(0,MIN(100,($U301-Config!$B$16)/(Config!$B$17-Config!$B$16)*100))))</f>
        <v/>
      </c>
      <c r="W301" s="40">
        <f>IF($L301="Elite",Config!$B$21,0)</f>
        <v>0</v>
      </c>
      <c r="X301" s="40" t="str">
        <f>IFERROR(IF(OR($T301="",$G301=""),"",IF($T301&gt;$G301,
  MAX(0, 60-(($T301-$G301)*24/Config!$B$19)*60),
  MEDIAN(60, 100, 60+(($G301-$T301)*24/Config!$B$20)*40)
)),"")
</f>
        <v/>
      </c>
      <c r="Y301" s="40" t="str">
        <f>IF($J301="","",IFERROR(VLOOKUP($J301,Grinders!$A:$N,10,FALSE),""))</f>
        <v/>
      </c>
      <c r="Z301" s="40" t="str">
        <f>IF($J301="","",IFERROR(VLOOKUP($J301,Grinders!$A:$N,11,FALSE),""))</f>
        <v/>
      </c>
      <c r="AA301" s="40" t="str">
        <f>IF($J301="","",IFERROR(VLOOKUP($J301,Grinders!$A:$N,12,FALSE),""))</f>
        <v/>
      </c>
      <c r="AB301" s="40" t="str">
        <f>IF(OR(AL301=1,AM301=1),0,=IFERROR(IF(OR($C301="",$J301=""),0,IF($D301&lt;&gt;"Open",0,IF(COUNTIFS(GrinderServices!$A:$A,$J301,GrinderServices!$B:$B,$E301,GrinderServices!$D:$D,"Y")=0,0,IF($U301&lt;Config!$B$16,0,IF(Config!$B$18=1,IF($N301&gt;=$M301,0,1),1))))),""))</f>
        <v>#ERROR!</v>
      </c>
      <c r="AC301" s="40" t="str">
        <f>IFERROR((IF(OR(AL301=1,AM301=1),"",=IFERROR((IFERROR(IF($AB301=0,"",((Config!$B$6*$V301 + Config!$B$7*$R301 + Config!$B$8*$W301 + Config!$B$9*$X301 + Config!$B$10*$Y301 + Config!$B$11*$Z301 - Config!$B$12*$AA301)/Config!$B$13)+$AH301+$AI301),""))*(1-IFERROR(VLOOKUP(J301,Grinders!$A:$AB, 28, FALSE),0)),"")))*(1+AO301),"")</f>
        <v>#ERROR!</v>
      </c>
      <c r="AD301" s="40" t="str">
        <f t="shared" si="4"/>
        <v/>
      </c>
      <c r="AE301" s="40" t="str">
        <f>IFERROR(__xludf.DUMMYFUNCTION("IF($AC301="""","""",IF($AC301=IFERROR(MAX(FILTER($AC$6:$AC$1000,$C$6:$C$1000=$C301,$AB$6:$AB$1000=1)),),""WINNER"",""""))"),"#ERROR!")</f>
        <v>#ERROR!</v>
      </c>
      <c r="AF301" s="40" t="str">
        <f t="shared" si="5"/>
        <v/>
      </c>
      <c r="AG301" s="40" t="str">
        <f>IF($J301="","",COUNTIF(Assignments!$B:$B,$J301))</f>
        <v/>
      </c>
      <c r="AH301" s="40" t="str">
        <f>IF($J301="","",IF(AND($AG301=0,$N301&lt;$M301),Config!$B$43,0))</f>
        <v/>
      </c>
      <c r="AI301" s="40" t="str">
        <f>IF($J301="","",IF(AND($L301="Elite",$F301&gt;=Config!$B$41,$N301&lt;$M301),Config!$B$42,0))</f>
        <v/>
      </c>
      <c r="AJ301" s="22"/>
      <c r="AK301" s="39">
        <f>IFERROR(VLOOKUP(J301,Grinders!$A:$Q,28,FALSE),0)</f>
        <v>0</v>
      </c>
      <c r="AL301" s="39">
        <f>IF(Config!$B$1003&lt;&gt;"Y",0,IF(IFERROR(VLOOKUP(J301,Grinders!$A:$P,27,FALSE),0)&gt;=3,IF(OR(F301&gt;=Config!$B$1001,ISNUMBER(SEARCH(E301,Config!$B$1002))),1,0),0))</f>
        <v>0</v>
      </c>
      <c r="AM301" s="39">
        <f t="array" ref="AM301">IFERROR(IF(INDEX(Bids!$AE:$AE,MATCH(B301,Bids!$A:$A,0))="Pending",1,0),0)</f>
        <v>0</v>
      </c>
      <c r="AN301" s="39" t="str">
        <f t="array" ref="AN301">IF(C301="","",IFERROR(XLOOKUP(C301,Assignments!$C:$C,Assignments!$AU:$AU,0),0))</f>
        <v/>
      </c>
      <c r="AO301" s="39">
        <f>IF(AND(Config!$B$1006="Y",AN301=1),Config!$B$1007,0)</f>
        <v>0</v>
      </c>
    </row>
    <row r="302" ht="15.75" customHeight="1">
      <c r="A302" s="46" t="str">
        <f t="shared" si="1"/>
        <v/>
      </c>
      <c r="B302" s="40" t="str">
        <f>IF(Bids!$A302="","",Bids!$A302)</f>
        <v/>
      </c>
      <c r="C302" s="40" t="str">
        <f>IF(Bids!$B302="","",Bids!$B302)</f>
        <v/>
      </c>
      <c r="D302" s="40" t="str">
        <f>IF($C302="","",IFERROR(VLOOKUP($C302,Orders!$A:$J,9,FALSE),""))</f>
        <v/>
      </c>
      <c r="E302" s="40" t="str">
        <f>IF($C302="","",IFERROR(VLOOKUP($C302,Orders!$A:$J,3,FALSE),""))</f>
        <v/>
      </c>
      <c r="F302" s="40" t="str">
        <f>IF($C302="","",IFERROR(VLOOKUP($C302,Orders!$A:$J,4,FALSE),""))</f>
        <v/>
      </c>
      <c r="G302" s="40" t="str">
        <f>IF($C302="","",IFERROR(VLOOKUP($C302,Orders!$A:$J,5,FALSE),""))</f>
        <v/>
      </c>
      <c r="H302" s="40" t="str">
        <f>IF($C302="","",IFERROR(VLOOKUP($C302,Orders!$A:$J,6,FALSE),""))</f>
        <v/>
      </c>
      <c r="I302" s="40" t="str">
        <f>IF($C302="","",IFERROR(VLOOKUP($C302,Orders!$A:$J,7,FALSE),""))</f>
        <v/>
      </c>
      <c r="J302" s="40" t="str">
        <f>IF(Bids!$C302="","",Bids!$C302)</f>
        <v/>
      </c>
      <c r="K302" s="40" t="str">
        <f>IF($J302="","",IFERROR(VLOOKUP($J302,Grinders!$A:$N,2,FALSE),""))</f>
        <v/>
      </c>
      <c r="L302" s="40" t="str">
        <f>IF($J302="","",IFERROR(VLOOKUP($J302,Grinders!$A:$N,3,FALSE),""))</f>
        <v/>
      </c>
      <c r="M302" s="40" t="str">
        <f>IF($J302="","",IFERROR(VLOOKUP($J302,Grinders!$A:$N,4,FALSE),""))</f>
        <v/>
      </c>
      <c r="N302" s="40" t="str">
        <f>IF($J302="","",IFERROR(VLOOKUP($J302,Grinders!$A:$N,5,FALSE),""))</f>
        <v/>
      </c>
      <c r="O302" s="40" t="str">
        <f t="shared" si="2"/>
        <v/>
      </c>
      <c r="P302" s="40" t="str">
        <f>IF($J302="","",IFERROR(VLOOKUP($J302,Grinders!$A:$N,6,FALSE),""))</f>
        <v/>
      </c>
      <c r="Q302" s="40" t="str">
        <f>IF($J302="","",IFERROR(VLOOKUP($J302,Grinders!$A:$N,8,FALSE),""))</f>
        <v/>
      </c>
      <c r="R302" s="40" t="str">
        <f>IFERROR(IF($J302="","",IF($L302="Elite",MAX(50,MIN(100,Config!$B$27*MAX(0,MIN(100,(1-IF($O302="",0,$O302))*100)) + Config!$B$28*MAX(0,MIN(100,(1-MIN(1,IF(Config!$B$30=0,1,$P302/Config!$B$30)))*100)) + Config!$B$29*MAX(0,MIN(100,MIN(1,IF($Q302="",0,$Q302)/Config!$B$23)*100)))),MIN(100,Config!$B$27*MAX(0,MIN(100,(1-IF($O302="",0,$O302))*100)) + Config!$B$28*MAX(0,MIN(100,(1-MIN(1,IF(Config!$B$30=0,1,$P302/Config!$B$30)))*100)) + Config!$B$29*MAX(0,MIN(100,MIN(1,IF($Q302="",0,$Q302)/Config!$B$23)*100))))),"")
</f>
        <v/>
      </c>
      <c r="S302" s="40" t="str">
        <f>IF(Bids!$AC302="","",Bids!$AC302)</f>
        <v/>
      </c>
      <c r="T302" s="40" t="str">
        <f>IF(Bids!$F302="","",Bids!$F302)</f>
        <v/>
      </c>
      <c r="U302" s="40" t="str">
        <f t="shared" si="3"/>
        <v/>
      </c>
      <c r="V302" s="40" t="str">
        <f>IF($U302="","",IF(Config!$B$17=Config!$B$16,IF($U302&gt;=Config!$B$17,100,0),MAX(0,MIN(100,($U302-Config!$B$16)/(Config!$B$17-Config!$B$16)*100))))</f>
        <v/>
      </c>
      <c r="W302" s="40">
        <f>IF($L302="Elite",Config!$B$21,0)</f>
        <v>0</v>
      </c>
      <c r="X302" s="40" t="str">
        <f>IFERROR(IF(OR($T302="",$G302=""),"",IF($T302&gt;$G302,
  MAX(0, 60-(($T302-$G302)*24/Config!$B$19)*60),
  MEDIAN(60, 100, 60+(($G302-$T302)*24/Config!$B$20)*40)
)),"")
</f>
        <v/>
      </c>
      <c r="Y302" s="40" t="str">
        <f>IF($J302="","",IFERROR(VLOOKUP($J302,Grinders!$A:$N,10,FALSE),""))</f>
        <v/>
      </c>
      <c r="Z302" s="40" t="str">
        <f>IF($J302="","",IFERROR(VLOOKUP($J302,Grinders!$A:$N,11,FALSE),""))</f>
        <v/>
      </c>
      <c r="AA302" s="40" t="str">
        <f>IF($J302="","",IFERROR(VLOOKUP($J302,Grinders!$A:$N,12,FALSE),""))</f>
        <v/>
      </c>
      <c r="AB302" s="40" t="str">
        <f>IF(OR(AL302=1,AM302=1),0,=IFERROR(IF(OR($C302="",$J302=""),0,IF($D302&lt;&gt;"Open",0,IF(COUNTIFS(GrinderServices!$A:$A,$J302,GrinderServices!$B:$B,$E302,GrinderServices!$D:$D,"Y")=0,0,IF($U302&lt;Config!$B$16,0,IF(Config!$B$18=1,IF($N302&gt;=$M302,0,1),1))))),""))</f>
        <v>#ERROR!</v>
      </c>
      <c r="AC302" s="40" t="str">
        <f>IFERROR((IF(OR(AL302=1,AM302=1),"",=IFERROR((IFERROR(IF($AB302=0,"",((Config!$B$6*$V302 + Config!$B$7*$R302 + Config!$B$8*$W302 + Config!$B$9*$X302 + Config!$B$10*$Y302 + Config!$B$11*$Z302 - Config!$B$12*$AA302)/Config!$B$13)+$AH302+$AI302),""))*(1-IFERROR(VLOOKUP(J302,Grinders!$A:$AB, 28, FALSE),0)),"")))*(1+AO302),"")</f>
        <v>#ERROR!</v>
      </c>
      <c r="AD302" s="40" t="str">
        <f t="shared" si="4"/>
        <v/>
      </c>
      <c r="AE302" s="40" t="str">
        <f>IFERROR(__xludf.DUMMYFUNCTION("IF($AC302="""","""",IF($AC302=IFERROR(MAX(FILTER($AC$6:$AC$1000,$C$6:$C$1000=$C302,$AB$6:$AB$1000=1)),),""WINNER"",""""))"),"#ERROR!")</f>
        <v>#ERROR!</v>
      </c>
      <c r="AF302" s="40" t="str">
        <f t="shared" si="5"/>
        <v/>
      </c>
      <c r="AG302" s="40" t="str">
        <f>IF($J302="","",COUNTIF(Assignments!$B:$B,$J302))</f>
        <v/>
      </c>
      <c r="AH302" s="40" t="str">
        <f>IF($J302="","",IF(AND($AG302=0,$N302&lt;$M302),Config!$B$43,0))</f>
        <v/>
      </c>
      <c r="AI302" s="40" t="str">
        <f>IF($J302="","",IF(AND($L302="Elite",$F302&gt;=Config!$B$41,$N302&lt;$M302),Config!$B$42,0))</f>
        <v/>
      </c>
      <c r="AJ302" s="22"/>
      <c r="AK302" s="39">
        <f>IFERROR(VLOOKUP(J302,Grinders!$A:$Q,28,FALSE),0)</f>
        <v>0</v>
      </c>
      <c r="AL302" s="39">
        <f>IF(Config!$B$1003&lt;&gt;"Y",0,IF(IFERROR(VLOOKUP(J302,Grinders!$A:$P,27,FALSE),0)&gt;=3,IF(OR(F302&gt;=Config!$B$1001,ISNUMBER(SEARCH(E302,Config!$B$1002))),1,0),0))</f>
        <v>0</v>
      </c>
      <c r="AM302" s="39">
        <f t="array" ref="AM302">IFERROR(IF(INDEX(Bids!$AE:$AE,MATCH(B302,Bids!$A:$A,0))="Pending",1,0),0)</f>
        <v>0</v>
      </c>
      <c r="AN302" s="39" t="str">
        <f t="array" ref="AN302">IF(C302="","",IFERROR(XLOOKUP(C302,Assignments!$C:$C,Assignments!$AU:$AU,0),0))</f>
        <v/>
      </c>
      <c r="AO302" s="39">
        <f>IF(AND(Config!$B$1006="Y",AN302=1),Config!$B$1007,0)</f>
        <v>0</v>
      </c>
    </row>
    <row r="303" ht="15.75" customHeight="1">
      <c r="A303" s="46" t="str">
        <f t="shared" si="1"/>
        <v/>
      </c>
      <c r="B303" s="40" t="str">
        <f>IF(Bids!$A303="","",Bids!$A303)</f>
        <v/>
      </c>
      <c r="C303" s="40" t="str">
        <f>IF(Bids!$B303="","",Bids!$B303)</f>
        <v/>
      </c>
      <c r="D303" s="40" t="str">
        <f>IF($C303="","",IFERROR(VLOOKUP($C303,Orders!$A:$J,9,FALSE),""))</f>
        <v/>
      </c>
      <c r="E303" s="40" t="str">
        <f>IF($C303="","",IFERROR(VLOOKUP($C303,Orders!$A:$J,3,FALSE),""))</f>
        <v/>
      </c>
      <c r="F303" s="40" t="str">
        <f>IF($C303="","",IFERROR(VLOOKUP($C303,Orders!$A:$J,4,FALSE),""))</f>
        <v/>
      </c>
      <c r="G303" s="40" t="str">
        <f>IF($C303="","",IFERROR(VLOOKUP($C303,Orders!$A:$J,5,FALSE),""))</f>
        <v/>
      </c>
      <c r="H303" s="40" t="str">
        <f>IF($C303="","",IFERROR(VLOOKUP($C303,Orders!$A:$J,6,FALSE),""))</f>
        <v/>
      </c>
      <c r="I303" s="40" t="str">
        <f>IF($C303="","",IFERROR(VLOOKUP($C303,Orders!$A:$J,7,FALSE),""))</f>
        <v/>
      </c>
      <c r="J303" s="40" t="str">
        <f>IF(Bids!$C303="","",Bids!$C303)</f>
        <v/>
      </c>
      <c r="K303" s="40" t="str">
        <f>IF($J303="","",IFERROR(VLOOKUP($J303,Grinders!$A:$N,2,FALSE),""))</f>
        <v/>
      </c>
      <c r="L303" s="40" t="str">
        <f>IF($J303="","",IFERROR(VLOOKUP($J303,Grinders!$A:$N,3,FALSE),""))</f>
        <v/>
      </c>
      <c r="M303" s="40" t="str">
        <f>IF($J303="","",IFERROR(VLOOKUP($J303,Grinders!$A:$N,4,FALSE),""))</f>
        <v/>
      </c>
      <c r="N303" s="40" t="str">
        <f>IF($J303="","",IFERROR(VLOOKUP($J303,Grinders!$A:$N,5,FALSE),""))</f>
        <v/>
      </c>
      <c r="O303" s="40" t="str">
        <f t="shared" si="2"/>
        <v/>
      </c>
      <c r="P303" s="40" t="str">
        <f>IF($J303="","",IFERROR(VLOOKUP($J303,Grinders!$A:$N,6,FALSE),""))</f>
        <v/>
      </c>
      <c r="Q303" s="40" t="str">
        <f>IF($J303="","",IFERROR(VLOOKUP($J303,Grinders!$A:$N,8,FALSE),""))</f>
        <v/>
      </c>
      <c r="R303" s="40" t="str">
        <f>IFERROR(IF($J303="","",IF($L303="Elite",MAX(50,MIN(100,Config!$B$27*MAX(0,MIN(100,(1-IF($O303="",0,$O303))*100)) + Config!$B$28*MAX(0,MIN(100,(1-MIN(1,IF(Config!$B$30=0,1,$P303/Config!$B$30)))*100)) + Config!$B$29*MAX(0,MIN(100,MIN(1,IF($Q303="",0,$Q303)/Config!$B$23)*100)))),MIN(100,Config!$B$27*MAX(0,MIN(100,(1-IF($O303="",0,$O303))*100)) + Config!$B$28*MAX(0,MIN(100,(1-MIN(1,IF(Config!$B$30=0,1,$P303/Config!$B$30)))*100)) + Config!$B$29*MAX(0,MIN(100,MIN(1,IF($Q303="",0,$Q303)/Config!$B$23)*100))))),"")
</f>
        <v/>
      </c>
      <c r="S303" s="40" t="str">
        <f>IF(Bids!$AC303="","",Bids!$AC303)</f>
        <v/>
      </c>
      <c r="T303" s="40" t="str">
        <f>IF(Bids!$F303="","",Bids!$F303)</f>
        <v/>
      </c>
      <c r="U303" s="40" t="str">
        <f t="shared" si="3"/>
        <v/>
      </c>
      <c r="V303" s="40" t="str">
        <f>IF($U303="","",IF(Config!$B$17=Config!$B$16,IF($U303&gt;=Config!$B$17,100,0),MAX(0,MIN(100,($U303-Config!$B$16)/(Config!$B$17-Config!$B$16)*100))))</f>
        <v/>
      </c>
      <c r="W303" s="40">
        <f>IF($L303="Elite",Config!$B$21,0)</f>
        <v>0</v>
      </c>
      <c r="X303" s="40" t="str">
        <f>IFERROR(IF(OR($T303="",$G303=""),"",IF($T303&gt;$G303,
  MAX(0, 60-(($T303-$G303)*24/Config!$B$19)*60),
  MEDIAN(60, 100, 60+(($G303-$T303)*24/Config!$B$20)*40)
)),"")
</f>
        <v/>
      </c>
      <c r="Y303" s="40" t="str">
        <f>IF($J303="","",IFERROR(VLOOKUP($J303,Grinders!$A:$N,10,FALSE),""))</f>
        <v/>
      </c>
      <c r="Z303" s="40" t="str">
        <f>IF($J303="","",IFERROR(VLOOKUP($J303,Grinders!$A:$N,11,FALSE),""))</f>
        <v/>
      </c>
      <c r="AA303" s="40" t="str">
        <f>IF($J303="","",IFERROR(VLOOKUP($J303,Grinders!$A:$N,12,FALSE),""))</f>
        <v/>
      </c>
      <c r="AB303" s="40" t="str">
        <f>IF(OR(AL303=1,AM303=1),0,=IFERROR(IF(OR($C303="",$J303=""),0,IF($D303&lt;&gt;"Open",0,IF(COUNTIFS(GrinderServices!$A:$A,$J303,GrinderServices!$B:$B,$E303,GrinderServices!$D:$D,"Y")=0,0,IF($U303&lt;Config!$B$16,0,IF(Config!$B$18=1,IF($N303&gt;=$M303,0,1),1))))),""))</f>
        <v>#ERROR!</v>
      </c>
      <c r="AC303" s="40" t="str">
        <f>IFERROR((IF(OR(AL303=1,AM303=1),"",=IFERROR((IFERROR(IF($AB303=0,"",((Config!$B$6*$V303 + Config!$B$7*$R303 + Config!$B$8*$W303 + Config!$B$9*$X303 + Config!$B$10*$Y303 + Config!$B$11*$Z303 - Config!$B$12*$AA303)/Config!$B$13)+$AH303+$AI303),""))*(1-IFERROR(VLOOKUP(J303,Grinders!$A:$AB, 28, FALSE),0)),"")))*(1+AO303),"")</f>
        <v>#ERROR!</v>
      </c>
      <c r="AD303" s="40" t="str">
        <f t="shared" si="4"/>
        <v/>
      </c>
      <c r="AE303" s="40" t="str">
        <f>IFERROR(__xludf.DUMMYFUNCTION("IF($AC303="""","""",IF($AC303=IFERROR(MAX(FILTER($AC$6:$AC$1000,$C$6:$C$1000=$C303,$AB$6:$AB$1000=1)),),""WINNER"",""""))"),"#ERROR!")</f>
        <v>#ERROR!</v>
      </c>
      <c r="AF303" s="40" t="str">
        <f t="shared" si="5"/>
        <v/>
      </c>
      <c r="AG303" s="40" t="str">
        <f>IF($J303="","",COUNTIF(Assignments!$B:$B,$J303))</f>
        <v/>
      </c>
      <c r="AH303" s="40" t="str">
        <f>IF($J303="","",IF(AND($AG303=0,$N303&lt;$M303),Config!$B$43,0))</f>
        <v/>
      </c>
      <c r="AI303" s="40" t="str">
        <f>IF($J303="","",IF(AND($L303="Elite",$F303&gt;=Config!$B$41,$N303&lt;$M303),Config!$B$42,0))</f>
        <v/>
      </c>
      <c r="AJ303" s="22"/>
      <c r="AK303" s="39">
        <f>IFERROR(VLOOKUP(J303,Grinders!$A:$Q,28,FALSE),0)</f>
        <v>0</v>
      </c>
      <c r="AL303" s="39">
        <f>IF(Config!$B$1003&lt;&gt;"Y",0,IF(IFERROR(VLOOKUP(J303,Grinders!$A:$P,27,FALSE),0)&gt;=3,IF(OR(F303&gt;=Config!$B$1001,ISNUMBER(SEARCH(E303,Config!$B$1002))),1,0),0))</f>
        <v>0</v>
      </c>
      <c r="AM303" s="39">
        <f t="array" ref="AM303">IFERROR(IF(INDEX(Bids!$AE:$AE,MATCH(B303,Bids!$A:$A,0))="Pending",1,0),0)</f>
        <v>0</v>
      </c>
      <c r="AN303" s="39" t="str">
        <f t="array" ref="AN303">IF(C303="","",IFERROR(XLOOKUP(C303,Assignments!$C:$C,Assignments!$AU:$AU,0),0))</f>
        <v/>
      </c>
      <c r="AO303" s="39">
        <f>IF(AND(Config!$B$1006="Y",AN303=1),Config!$B$1007,0)</f>
        <v>0</v>
      </c>
    </row>
    <row r="304" ht="15.75" customHeight="1">
      <c r="A304" s="46" t="str">
        <f t="shared" si="1"/>
        <v/>
      </c>
      <c r="B304" s="40" t="str">
        <f>IF(Bids!$A304="","",Bids!$A304)</f>
        <v/>
      </c>
      <c r="C304" s="40" t="str">
        <f>IF(Bids!$B304="","",Bids!$B304)</f>
        <v/>
      </c>
      <c r="D304" s="40" t="str">
        <f>IF($C304="","",IFERROR(VLOOKUP($C304,Orders!$A:$J,9,FALSE),""))</f>
        <v/>
      </c>
      <c r="E304" s="40" t="str">
        <f>IF($C304="","",IFERROR(VLOOKUP($C304,Orders!$A:$J,3,FALSE),""))</f>
        <v/>
      </c>
      <c r="F304" s="40" t="str">
        <f>IF($C304="","",IFERROR(VLOOKUP($C304,Orders!$A:$J,4,FALSE),""))</f>
        <v/>
      </c>
      <c r="G304" s="40" t="str">
        <f>IF($C304="","",IFERROR(VLOOKUP($C304,Orders!$A:$J,5,FALSE),""))</f>
        <v/>
      </c>
      <c r="H304" s="40" t="str">
        <f>IF($C304="","",IFERROR(VLOOKUP($C304,Orders!$A:$J,6,FALSE),""))</f>
        <v/>
      </c>
      <c r="I304" s="40" t="str">
        <f>IF($C304="","",IFERROR(VLOOKUP($C304,Orders!$A:$J,7,FALSE),""))</f>
        <v/>
      </c>
      <c r="J304" s="40" t="str">
        <f>IF(Bids!$C304="","",Bids!$C304)</f>
        <v/>
      </c>
      <c r="K304" s="40" t="str">
        <f>IF($J304="","",IFERROR(VLOOKUP($J304,Grinders!$A:$N,2,FALSE),""))</f>
        <v/>
      </c>
      <c r="L304" s="40" t="str">
        <f>IF($J304="","",IFERROR(VLOOKUP($J304,Grinders!$A:$N,3,FALSE),""))</f>
        <v/>
      </c>
      <c r="M304" s="40" t="str">
        <f>IF($J304="","",IFERROR(VLOOKUP($J304,Grinders!$A:$N,4,FALSE),""))</f>
        <v/>
      </c>
      <c r="N304" s="40" t="str">
        <f>IF($J304="","",IFERROR(VLOOKUP($J304,Grinders!$A:$N,5,FALSE),""))</f>
        <v/>
      </c>
      <c r="O304" s="40" t="str">
        <f t="shared" si="2"/>
        <v/>
      </c>
      <c r="P304" s="40" t="str">
        <f>IF($J304="","",IFERROR(VLOOKUP($J304,Grinders!$A:$N,6,FALSE),""))</f>
        <v/>
      </c>
      <c r="Q304" s="40" t="str">
        <f>IF($J304="","",IFERROR(VLOOKUP($J304,Grinders!$A:$N,8,FALSE),""))</f>
        <v/>
      </c>
      <c r="R304" s="40" t="str">
        <f>IFERROR(IF($J304="","",IF($L304="Elite",MAX(50,MIN(100,Config!$B$27*MAX(0,MIN(100,(1-IF($O304="",0,$O304))*100)) + Config!$B$28*MAX(0,MIN(100,(1-MIN(1,IF(Config!$B$30=0,1,$P304/Config!$B$30)))*100)) + Config!$B$29*MAX(0,MIN(100,MIN(1,IF($Q304="",0,$Q304)/Config!$B$23)*100)))),MIN(100,Config!$B$27*MAX(0,MIN(100,(1-IF($O304="",0,$O304))*100)) + Config!$B$28*MAX(0,MIN(100,(1-MIN(1,IF(Config!$B$30=0,1,$P304/Config!$B$30)))*100)) + Config!$B$29*MAX(0,MIN(100,MIN(1,IF($Q304="",0,$Q304)/Config!$B$23)*100))))),"")
</f>
        <v/>
      </c>
      <c r="S304" s="40" t="str">
        <f>IF(Bids!$AC304="","",Bids!$AC304)</f>
        <v/>
      </c>
      <c r="T304" s="40" t="str">
        <f>IF(Bids!$F304="","",Bids!$F304)</f>
        <v/>
      </c>
      <c r="U304" s="40" t="str">
        <f t="shared" si="3"/>
        <v/>
      </c>
      <c r="V304" s="40" t="str">
        <f>IF($U304="","",IF(Config!$B$17=Config!$B$16,IF($U304&gt;=Config!$B$17,100,0),MAX(0,MIN(100,($U304-Config!$B$16)/(Config!$B$17-Config!$B$16)*100))))</f>
        <v/>
      </c>
      <c r="W304" s="40">
        <f>IF($L304="Elite",Config!$B$21,0)</f>
        <v>0</v>
      </c>
      <c r="X304" s="40" t="str">
        <f>IFERROR(IF(OR($T304="",$G304=""),"",IF($T304&gt;$G304,
  MAX(0, 60-(($T304-$G304)*24/Config!$B$19)*60),
  MEDIAN(60, 100, 60+(($G304-$T304)*24/Config!$B$20)*40)
)),"")
</f>
        <v/>
      </c>
      <c r="Y304" s="40" t="str">
        <f>IF($J304="","",IFERROR(VLOOKUP($J304,Grinders!$A:$N,10,FALSE),""))</f>
        <v/>
      </c>
      <c r="Z304" s="40" t="str">
        <f>IF($J304="","",IFERROR(VLOOKUP($J304,Grinders!$A:$N,11,FALSE),""))</f>
        <v/>
      </c>
      <c r="AA304" s="40" t="str">
        <f>IF($J304="","",IFERROR(VLOOKUP($J304,Grinders!$A:$N,12,FALSE),""))</f>
        <v/>
      </c>
      <c r="AB304" s="40" t="str">
        <f>IF(OR(AL304=1,AM304=1),0,=IFERROR(IF(OR($C304="",$J304=""),0,IF($D304&lt;&gt;"Open",0,IF(COUNTIFS(GrinderServices!$A:$A,$J304,GrinderServices!$B:$B,$E304,GrinderServices!$D:$D,"Y")=0,0,IF($U304&lt;Config!$B$16,0,IF(Config!$B$18=1,IF($N304&gt;=$M304,0,1),1))))),""))</f>
        <v>#ERROR!</v>
      </c>
      <c r="AC304" s="40" t="str">
        <f>IFERROR((IF(OR(AL304=1,AM304=1),"",=IFERROR((IFERROR(IF($AB304=0,"",((Config!$B$6*$V304 + Config!$B$7*$R304 + Config!$B$8*$W304 + Config!$B$9*$X304 + Config!$B$10*$Y304 + Config!$B$11*$Z304 - Config!$B$12*$AA304)/Config!$B$13)+$AH304+$AI304),""))*(1-IFERROR(VLOOKUP(J304,Grinders!$A:$AB, 28, FALSE),0)),"")))*(1+AO304),"")</f>
        <v>#ERROR!</v>
      </c>
      <c r="AD304" s="40" t="str">
        <f t="shared" si="4"/>
        <v/>
      </c>
      <c r="AE304" s="40" t="str">
        <f>IFERROR(__xludf.DUMMYFUNCTION("IF($AC304="""","""",IF($AC304=IFERROR(MAX(FILTER($AC$6:$AC$1000,$C$6:$C$1000=$C304,$AB$6:$AB$1000=1)),),""WINNER"",""""))"),"#ERROR!")</f>
        <v>#ERROR!</v>
      </c>
      <c r="AF304" s="40" t="str">
        <f t="shared" si="5"/>
        <v/>
      </c>
      <c r="AG304" s="40" t="str">
        <f>IF($J304="","",COUNTIF(Assignments!$B:$B,$J304))</f>
        <v/>
      </c>
      <c r="AH304" s="40" t="str">
        <f>IF($J304="","",IF(AND($AG304=0,$N304&lt;$M304),Config!$B$43,0))</f>
        <v/>
      </c>
      <c r="AI304" s="40" t="str">
        <f>IF($J304="","",IF(AND($L304="Elite",$F304&gt;=Config!$B$41,$N304&lt;$M304),Config!$B$42,0))</f>
        <v/>
      </c>
      <c r="AJ304" s="22"/>
      <c r="AK304" s="39">
        <f>IFERROR(VLOOKUP(J304,Grinders!$A:$Q,28,FALSE),0)</f>
        <v>0</v>
      </c>
      <c r="AL304" s="39">
        <f>IF(Config!$B$1003&lt;&gt;"Y",0,IF(IFERROR(VLOOKUP(J304,Grinders!$A:$P,27,FALSE),0)&gt;=3,IF(OR(F304&gt;=Config!$B$1001,ISNUMBER(SEARCH(E304,Config!$B$1002))),1,0),0))</f>
        <v>0</v>
      </c>
      <c r="AM304" s="39">
        <f t="array" ref="AM304">IFERROR(IF(INDEX(Bids!$AE:$AE,MATCH(B304,Bids!$A:$A,0))="Pending",1,0),0)</f>
        <v>0</v>
      </c>
      <c r="AN304" s="39" t="str">
        <f t="array" ref="AN304">IF(C304="","",IFERROR(XLOOKUP(C304,Assignments!$C:$C,Assignments!$AU:$AU,0),0))</f>
        <v/>
      </c>
      <c r="AO304" s="39">
        <f>IF(AND(Config!$B$1006="Y",AN304=1),Config!$B$1007,0)</f>
        <v>0</v>
      </c>
    </row>
    <row r="305" ht="15.75" customHeight="1">
      <c r="A305" s="46" t="str">
        <f t="shared" si="1"/>
        <v/>
      </c>
      <c r="B305" s="40" t="str">
        <f>IF(Bids!$A305="","",Bids!$A305)</f>
        <v/>
      </c>
      <c r="C305" s="40" t="str">
        <f>IF(Bids!$B305="","",Bids!$B305)</f>
        <v/>
      </c>
      <c r="D305" s="40" t="str">
        <f>IF($C305="","",IFERROR(VLOOKUP($C305,Orders!$A:$J,9,FALSE),""))</f>
        <v/>
      </c>
      <c r="E305" s="40" t="str">
        <f>IF($C305="","",IFERROR(VLOOKUP($C305,Orders!$A:$J,3,FALSE),""))</f>
        <v/>
      </c>
      <c r="F305" s="40" t="str">
        <f>IF($C305="","",IFERROR(VLOOKUP($C305,Orders!$A:$J,4,FALSE),""))</f>
        <v/>
      </c>
      <c r="G305" s="40" t="str">
        <f>IF($C305="","",IFERROR(VLOOKUP($C305,Orders!$A:$J,5,FALSE),""))</f>
        <v/>
      </c>
      <c r="H305" s="40" t="str">
        <f>IF($C305="","",IFERROR(VLOOKUP($C305,Orders!$A:$J,6,FALSE),""))</f>
        <v/>
      </c>
      <c r="I305" s="40" t="str">
        <f>IF($C305="","",IFERROR(VLOOKUP($C305,Orders!$A:$J,7,FALSE),""))</f>
        <v/>
      </c>
      <c r="J305" s="40" t="str">
        <f>IF(Bids!$C305="","",Bids!$C305)</f>
        <v/>
      </c>
      <c r="K305" s="40" t="str">
        <f>IF($J305="","",IFERROR(VLOOKUP($J305,Grinders!$A:$N,2,FALSE),""))</f>
        <v/>
      </c>
      <c r="L305" s="40" t="str">
        <f>IF($J305="","",IFERROR(VLOOKUP($J305,Grinders!$A:$N,3,FALSE),""))</f>
        <v/>
      </c>
      <c r="M305" s="40" t="str">
        <f>IF($J305="","",IFERROR(VLOOKUP($J305,Grinders!$A:$N,4,FALSE),""))</f>
        <v/>
      </c>
      <c r="N305" s="40" t="str">
        <f>IF($J305="","",IFERROR(VLOOKUP($J305,Grinders!$A:$N,5,FALSE),""))</f>
        <v/>
      </c>
      <c r="O305" s="40" t="str">
        <f t="shared" si="2"/>
        <v/>
      </c>
      <c r="P305" s="40" t="str">
        <f>IF($J305="","",IFERROR(VLOOKUP($J305,Grinders!$A:$N,6,FALSE),""))</f>
        <v/>
      </c>
      <c r="Q305" s="40" t="str">
        <f>IF($J305="","",IFERROR(VLOOKUP($J305,Grinders!$A:$N,8,FALSE),""))</f>
        <v/>
      </c>
      <c r="R305" s="40" t="str">
        <f>IFERROR(IF($J305="","",IF($L305="Elite",MAX(50,MIN(100,Config!$B$27*MAX(0,MIN(100,(1-IF($O305="",0,$O305))*100)) + Config!$B$28*MAX(0,MIN(100,(1-MIN(1,IF(Config!$B$30=0,1,$P305/Config!$B$30)))*100)) + Config!$B$29*MAX(0,MIN(100,MIN(1,IF($Q305="",0,$Q305)/Config!$B$23)*100)))),MIN(100,Config!$B$27*MAX(0,MIN(100,(1-IF($O305="",0,$O305))*100)) + Config!$B$28*MAX(0,MIN(100,(1-MIN(1,IF(Config!$B$30=0,1,$P305/Config!$B$30)))*100)) + Config!$B$29*MAX(0,MIN(100,MIN(1,IF($Q305="",0,$Q305)/Config!$B$23)*100))))),"")
</f>
        <v/>
      </c>
      <c r="S305" s="40" t="str">
        <f>IF(Bids!$AC305="","",Bids!$AC305)</f>
        <v/>
      </c>
      <c r="T305" s="40" t="str">
        <f>IF(Bids!$F305="","",Bids!$F305)</f>
        <v/>
      </c>
      <c r="U305" s="40" t="str">
        <f t="shared" si="3"/>
        <v/>
      </c>
      <c r="V305" s="40" t="str">
        <f>IF($U305="","",IF(Config!$B$17=Config!$B$16,IF($U305&gt;=Config!$B$17,100,0),MAX(0,MIN(100,($U305-Config!$B$16)/(Config!$B$17-Config!$B$16)*100))))</f>
        <v/>
      </c>
      <c r="W305" s="40">
        <f>IF($L305="Elite",Config!$B$21,0)</f>
        <v>0</v>
      </c>
      <c r="X305" s="40" t="str">
        <f>IFERROR(IF(OR($T305="",$G305=""),"",IF($T305&gt;$G305,
  MAX(0, 60-(($T305-$G305)*24/Config!$B$19)*60),
  MEDIAN(60, 100, 60+(($G305-$T305)*24/Config!$B$20)*40)
)),"")
</f>
        <v/>
      </c>
      <c r="Y305" s="40" t="str">
        <f>IF($J305="","",IFERROR(VLOOKUP($J305,Grinders!$A:$N,10,FALSE),""))</f>
        <v/>
      </c>
      <c r="Z305" s="40" t="str">
        <f>IF($J305="","",IFERROR(VLOOKUP($J305,Grinders!$A:$N,11,FALSE),""))</f>
        <v/>
      </c>
      <c r="AA305" s="40" t="str">
        <f>IF($J305="","",IFERROR(VLOOKUP($J305,Grinders!$A:$N,12,FALSE),""))</f>
        <v/>
      </c>
      <c r="AB305" s="40" t="str">
        <f>IF(OR(AL305=1,AM305=1),0,=IFERROR(IF(OR($C305="",$J305=""),0,IF($D305&lt;&gt;"Open",0,IF(COUNTIFS(GrinderServices!$A:$A,$J305,GrinderServices!$B:$B,$E305,GrinderServices!$D:$D,"Y")=0,0,IF($U305&lt;Config!$B$16,0,IF(Config!$B$18=1,IF($N305&gt;=$M305,0,1),1))))),""))</f>
        <v>#ERROR!</v>
      </c>
      <c r="AC305" s="40" t="str">
        <f>IFERROR((IF(OR(AL305=1,AM305=1),"",=IFERROR((IFERROR(IF($AB305=0,"",((Config!$B$6*$V305 + Config!$B$7*$R305 + Config!$B$8*$W305 + Config!$B$9*$X305 + Config!$B$10*$Y305 + Config!$B$11*$Z305 - Config!$B$12*$AA305)/Config!$B$13)+$AH305+$AI305),""))*(1-IFERROR(VLOOKUP(J305,Grinders!$A:$AB, 28, FALSE),0)),"")))*(1+AO305),"")</f>
        <v>#ERROR!</v>
      </c>
      <c r="AD305" s="40" t="str">
        <f t="shared" si="4"/>
        <v/>
      </c>
      <c r="AE305" s="40" t="str">
        <f>IFERROR(__xludf.DUMMYFUNCTION("IF($AC305="""","""",IF($AC305=IFERROR(MAX(FILTER($AC$6:$AC$1000,$C$6:$C$1000=$C305,$AB$6:$AB$1000=1)),),""WINNER"",""""))"),"#ERROR!")</f>
        <v>#ERROR!</v>
      </c>
      <c r="AF305" s="40" t="str">
        <f t="shared" si="5"/>
        <v/>
      </c>
      <c r="AG305" s="40" t="str">
        <f>IF($J305="","",COUNTIF(Assignments!$B:$B,$J305))</f>
        <v/>
      </c>
      <c r="AH305" s="40" t="str">
        <f>IF($J305="","",IF(AND($AG305=0,$N305&lt;$M305),Config!$B$43,0))</f>
        <v/>
      </c>
      <c r="AI305" s="40" t="str">
        <f>IF($J305="","",IF(AND($L305="Elite",$F305&gt;=Config!$B$41,$N305&lt;$M305),Config!$B$42,0))</f>
        <v/>
      </c>
      <c r="AJ305" s="22"/>
      <c r="AK305" s="39">
        <f>IFERROR(VLOOKUP(J305,Grinders!$A:$Q,28,FALSE),0)</f>
        <v>0</v>
      </c>
      <c r="AL305" s="39">
        <f>IF(Config!$B$1003&lt;&gt;"Y",0,IF(IFERROR(VLOOKUP(J305,Grinders!$A:$P,27,FALSE),0)&gt;=3,IF(OR(F305&gt;=Config!$B$1001,ISNUMBER(SEARCH(E305,Config!$B$1002))),1,0),0))</f>
        <v>0</v>
      </c>
      <c r="AM305" s="39">
        <f t="array" ref="AM305">IFERROR(IF(INDEX(Bids!$AE:$AE,MATCH(B305,Bids!$A:$A,0))="Pending",1,0),0)</f>
        <v>0</v>
      </c>
      <c r="AN305" s="39" t="str">
        <f t="array" ref="AN305">IF(C305="","",IFERROR(XLOOKUP(C305,Assignments!$C:$C,Assignments!$AU:$AU,0),0))</f>
        <v/>
      </c>
      <c r="AO305" s="39">
        <f>IF(AND(Config!$B$1006="Y",AN305=1),Config!$B$1007,0)</f>
        <v>0</v>
      </c>
    </row>
    <row r="306" ht="15.75" customHeight="1">
      <c r="A306" s="46" t="str">
        <f t="shared" si="1"/>
        <v/>
      </c>
      <c r="B306" s="40" t="str">
        <f>IF(Bids!$A306="","",Bids!$A306)</f>
        <v/>
      </c>
      <c r="C306" s="40" t="str">
        <f>IF(Bids!$B306="","",Bids!$B306)</f>
        <v/>
      </c>
      <c r="D306" s="40" t="str">
        <f>IF($C306="","",IFERROR(VLOOKUP($C306,Orders!$A:$J,9,FALSE),""))</f>
        <v/>
      </c>
      <c r="E306" s="40" t="str">
        <f>IF($C306="","",IFERROR(VLOOKUP($C306,Orders!$A:$J,3,FALSE),""))</f>
        <v/>
      </c>
      <c r="F306" s="40" t="str">
        <f>IF($C306="","",IFERROR(VLOOKUP($C306,Orders!$A:$J,4,FALSE),""))</f>
        <v/>
      </c>
      <c r="G306" s="40" t="str">
        <f>IF($C306="","",IFERROR(VLOOKUP($C306,Orders!$A:$J,5,FALSE),""))</f>
        <v/>
      </c>
      <c r="H306" s="40" t="str">
        <f>IF($C306="","",IFERROR(VLOOKUP($C306,Orders!$A:$J,6,FALSE),""))</f>
        <v/>
      </c>
      <c r="I306" s="40" t="str">
        <f>IF($C306="","",IFERROR(VLOOKUP($C306,Orders!$A:$J,7,FALSE),""))</f>
        <v/>
      </c>
      <c r="J306" s="40" t="str">
        <f>IF(Bids!$C306="","",Bids!$C306)</f>
        <v/>
      </c>
      <c r="K306" s="40" t="str">
        <f>IF($J306="","",IFERROR(VLOOKUP($J306,Grinders!$A:$N,2,FALSE),""))</f>
        <v/>
      </c>
      <c r="L306" s="40" t="str">
        <f>IF($J306="","",IFERROR(VLOOKUP($J306,Grinders!$A:$N,3,FALSE),""))</f>
        <v/>
      </c>
      <c r="M306" s="40" t="str">
        <f>IF($J306="","",IFERROR(VLOOKUP($J306,Grinders!$A:$N,4,FALSE),""))</f>
        <v/>
      </c>
      <c r="N306" s="40" t="str">
        <f>IF($J306="","",IFERROR(VLOOKUP($J306,Grinders!$A:$N,5,FALSE),""))</f>
        <v/>
      </c>
      <c r="O306" s="40" t="str">
        <f t="shared" si="2"/>
        <v/>
      </c>
      <c r="P306" s="40" t="str">
        <f>IF($J306="","",IFERROR(VLOOKUP($J306,Grinders!$A:$N,6,FALSE),""))</f>
        <v/>
      </c>
      <c r="Q306" s="40" t="str">
        <f>IF($J306="","",IFERROR(VLOOKUP($J306,Grinders!$A:$N,8,FALSE),""))</f>
        <v/>
      </c>
      <c r="R306" s="40" t="str">
        <f>IFERROR(IF($J306="","",IF($L306="Elite",MAX(50,MIN(100,Config!$B$27*MAX(0,MIN(100,(1-IF($O306="",0,$O306))*100)) + Config!$B$28*MAX(0,MIN(100,(1-MIN(1,IF(Config!$B$30=0,1,$P306/Config!$B$30)))*100)) + Config!$B$29*MAX(0,MIN(100,MIN(1,IF($Q306="",0,$Q306)/Config!$B$23)*100)))),MIN(100,Config!$B$27*MAX(0,MIN(100,(1-IF($O306="",0,$O306))*100)) + Config!$B$28*MAX(0,MIN(100,(1-MIN(1,IF(Config!$B$30=0,1,$P306/Config!$B$30)))*100)) + Config!$B$29*MAX(0,MIN(100,MIN(1,IF($Q306="",0,$Q306)/Config!$B$23)*100))))),"")
</f>
        <v/>
      </c>
      <c r="S306" s="40" t="str">
        <f>IF(Bids!$AC306="","",Bids!$AC306)</f>
        <v/>
      </c>
      <c r="T306" s="40" t="str">
        <f>IF(Bids!$F306="","",Bids!$F306)</f>
        <v/>
      </c>
      <c r="U306" s="40" t="str">
        <f t="shared" si="3"/>
        <v/>
      </c>
      <c r="V306" s="40" t="str">
        <f>IF($U306="","",IF(Config!$B$17=Config!$B$16,IF($U306&gt;=Config!$B$17,100,0),MAX(0,MIN(100,($U306-Config!$B$16)/(Config!$B$17-Config!$B$16)*100))))</f>
        <v/>
      </c>
      <c r="W306" s="40">
        <f>IF($L306="Elite",Config!$B$21,0)</f>
        <v>0</v>
      </c>
      <c r="X306" s="40" t="str">
        <f>IFERROR(IF(OR($T306="",$G306=""),"",IF($T306&gt;$G306,
  MAX(0, 60-(($T306-$G306)*24/Config!$B$19)*60),
  MEDIAN(60, 100, 60+(($G306-$T306)*24/Config!$B$20)*40)
)),"")
</f>
        <v/>
      </c>
      <c r="Y306" s="40" t="str">
        <f>IF($J306="","",IFERROR(VLOOKUP($J306,Grinders!$A:$N,10,FALSE),""))</f>
        <v/>
      </c>
      <c r="Z306" s="40" t="str">
        <f>IF($J306="","",IFERROR(VLOOKUP($J306,Grinders!$A:$N,11,FALSE),""))</f>
        <v/>
      </c>
      <c r="AA306" s="40" t="str">
        <f>IF($J306="","",IFERROR(VLOOKUP($J306,Grinders!$A:$N,12,FALSE),""))</f>
        <v/>
      </c>
      <c r="AB306" s="40" t="str">
        <f>IF(OR(AL306=1,AM306=1),0,=IFERROR(IF(OR($C306="",$J306=""),0,IF($D306&lt;&gt;"Open",0,IF(COUNTIFS(GrinderServices!$A:$A,$J306,GrinderServices!$B:$B,$E306,GrinderServices!$D:$D,"Y")=0,0,IF($U306&lt;Config!$B$16,0,IF(Config!$B$18=1,IF($N306&gt;=$M306,0,1),1))))),""))</f>
        <v>#ERROR!</v>
      </c>
      <c r="AC306" s="40" t="str">
        <f>IFERROR((IF(OR(AL306=1,AM306=1),"",=IFERROR((IFERROR(IF($AB306=0,"",((Config!$B$6*$V306 + Config!$B$7*$R306 + Config!$B$8*$W306 + Config!$B$9*$X306 + Config!$B$10*$Y306 + Config!$B$11*$Z306 - Config!$B$12*$AA306)/Config!$B$13)+$AH306+$AI306),""))*(1-IFERROR(VLOOKUP(J306,Grinders!$A:$AB, 28, FALSE),0)),"")))*(1+AO306),"")</f>
        <v>#ERROR!</v>
      </c>
      <c r="AD306" s="40" t="str">
        <f t="shared" si="4"/>
        <v/>
      </c>
      <c r="AE306" s="40" t="str">
        <f>IFERROR(__xludf.DUMMYFUNCTION("IF($AC306="""","""",IF($AC306=IFERROR(MAX(FILTER($AC$6:$AC$1000,$C$6:$C$1000=$C306,$AB$6:$AB$1000=1)),),""WINNER"",""""))"),"#ERROR!")</f>
        <v>#ERROR!</v>
      </c>
      <c r="AF306" s="40" t="str">
        <f t="shared" si="5"/>
        <v/>
      </c>
      <c r="AG306" s="40" t="str">
        <f>IF($J306="","",COUNTIF(Assignments!$B:$B,$J306))</f>
        <v/>
      </c>
      <c r="AH306" s="40" t="str">
        <f>IF($J306="","",IF(AND($AG306=0,$N306&lt;$M306),Config!$B$43,0))</f>
        <v/>
      </c>
      <c r="AI306" s="40" t="str">
        <f>IF($J306="","",IF(AND($L306="Elite",$F306&gt;=Config!$B$41,$N306&lt;$M306),Config!$B$42,0))</f>
        <v/>
      </c>
      <c r="AJ306" s="22"/>
      <c r="AK306" s="39">
        <f>IFERROR(VLOOKUP(J306,Grinders!$A:$Q,28,FALSE),0)</f>
        <v>0</v>
      </c>
      <c r="AL306" s="39">
        <f>IF(Config!$B$1003&lt;&gt;"Y",0,IF(IFERROR(VLOOKUP(J306,Grinders!$A:$P,27,FALSE),0)&gt;=3,IF(OR(F306&gt;=Config!$B$1001,ISNUMBER(SEARCH(E306,Config!$B$1002))),1,0),0))</f>
        <v>0</v>
      </c>
      <c r="AM306" s="39">
        <f t="array" ref="AM306">IFERROR(IF(INDEX(Bids!$AE:$AE,MATCH(B306,Bids!$A:$A,0))="Pending",1,0),0)</f>
        <v>0</v>
      </c>
      <c r="AN306" s="39" t="str">
        <f t="array" ref="AN306">IF(C306="","",IFERROR(XLOOKUP(C306,Assignments!$C:$C,Assignments!$AU:$AU,0),0))</f>
        <v/>
      </c>
      <c r="AO306" s="39">
        <f>IF(AND(Config!$B$1006="Y",AN306=1),Config!$B$1007,0)</f>
        <v>0</v>
      </c>
    </row>
    <row r="307" ht="15.75" customHeight="1">
      <c r="A307" s="46" t="str">
        <f t="shared" si="1"/>
        <v/>
      </c>
      <c r="B307" s="40" t="str">
        <f>IF(Bids!$A307="","",Bids!$A307)</f>
        <v/>
      </c>
      <c r="C307" s="40" t="str">
        <f>IF(Bids!$B307="","",Bids!$B307)</f>
        <v/>
      </c>
      <c r="D307" s="40" t="str">
        <f>IF($C307="","",IFERROR(VLOOKUP($C307,Orders!$A:$J,9,FALSE),""))</f>
        <v/>
      </c>
      <c r="E307" s="40" t="str">
        <f>IF($C307="","",IFERROR(VLOOKUP($C307,Orders!$A:$J,3,FALSE),""))</f>
        <v/>
      </c>
      <c r="F307" s="40" t="str">
        <f>IF($C307="","",IFERROR(VLOOKUP($C307,Orders!$A:$J,4,FALSE),""))</f>
        <v/>
      </c>
      <c r="G307" s="40" t="str">
        <f>IF($C307="","",IFERROR(VLOOKUP($C307,Orders!$A:$J,5,FALSE),""))</f>
        <v/>
      </c>
      <c r="H307" s="40" t="str">
        <f>IF($C307="","",IFERROR(VLOOKUP($C307,Orders!$A:$J,6,FALSE),""))</f>
        <v/>
      </c>
      <c r="I307" s="40" t="str">
        <f>IF($C307="","",IFERROR(VLOOKUP($C307,Orders!$A:$J,7,FALSE),""))</f>
        <v/>
      </c>
      <c r="J307" s="40" t="str">
        <f>IF(Bids!$C307="","",Bids!$C307)</f>
        <v/>
      </c>
      <c r="K307" s="40" t="str">
        <f>IF($J307="","",IFERROR(VLOOKUP($J307,Grinders!$A:$N,2,FALSE),""))</f>
        <v/>
      </c>
      <c r="L307" s="40" t="str">
        <f>IF($J307="","",IFERROR(VLOOKUP($J307,Grinders!$A:$N,3,FALSE),""))</f>
        <v/>
      </c>
      <c r="M307" s="40" t="str">
        <f>IF($J307="","",IFERROR(VLOOKUP($J307,Grinders!$A:$N,4,FALSE),""))</f>
        <v/>
      </c>
      <c r="N307" s="40" t="str">
        <f>IF($J307="","",IFERROR(VLOOKUP($J307,Grinders!$A:$N,5,FALSE),""))</f>
        <v/>
      </c>
      <c r="O307" s="40" t="str">
        <f t="shared" si="2"/>
        <v/>
      </c>
      <c r="P307" s="40" t="str">
        <f>IF($J307="","",IFERROR(VLOOKUP($J307,Grinders!$A:$N,6,FALSE),""))</f>
        <v/>
      </c>
      <c r="Q307" s="40" t="str">
        <f>IF($J307="","",IFERROR(VLOOKUP($J307,Grinders!$A:$N,8,FALSE),""))</f>
        <v/>
      </c>
      <c r="R307" s="40" t="str">
        <f>IFERROR(IF($J307="","",IF($L307="Elite",MAX(50,MIN(100,Config!$B$27*MAX(0,MIN(100,(1-IF($O307="",0,$O307))*100)) + Config!$B$28*MAX(0,MIN(100,(1-MIN(1,IF(Config!$B$30=0,1,$P307/Config!$B$30)))*100)) + Config!$B$29*MAX(0,MIN(100,MIN(1,IF($Q307="",0,$Q307)/Config!$B$23)*100)))),MIN(100,Config!$B$27*MAX(0,MIN(100,(1-IF($O307="",0,$O307))*100)) + Config!$B$28*MAX(0,MIN(100,(1-MIN(1,IF(Config!$B$30=0,1,$P307/Config!$B$30)))*100)) + Config!$B$29*MAX(0,MIN(100,MIN(1,IF($Q307="",0,$Q307)/Config!$B$23)*100))))),"")
</f>
        <v/>
      </c>
      <c r="S307" s="40" t="str">
        <f>IF(Bids!$AC307="","",Bids!$AC307)</f>
        <v/>
      </c>
      <c r="T307" s="40" t="str">
        <f>IF(Bids!$F307="","",Bids!$F307)</f>
        <v/>
      </c>
      <c r="U307" s="40" t="str">
        <f t="shared" si="3"/>
        <v/>
      </c>
      <c r="V307" s="40" t="str">
        <f>IF($U307="","",IF(Config!$B$17=Config!$B$16,IF($U307&gt;=Config!$B$17,100,0),MAX(0,MIN(100,($U307-Config!$B$16)/(Config!$B$17-Config!$B$16)*100))))</f>
        <v/>
      </c>
      <c r="W307" s="40">
        <f>IF($L307="Elite",Config!$B$21,0)</f>
        <v>0</v>
      </c>
      <c r="X307" s="40" t="str">
        <f>IFERROR(IF(OR($T307="",$G307=""),"",IF($T307&gt;$G307,
  MAX(0, 60-(($T307-$G307)*24/Config!$B$19)*60),
  MEDIAN(60, 100, 60+(($G307-$T307)*24/Config!$B$20)*40)
)),"")
</f>
        <v/>
      </c>
      <c r="Y307" s="40" t="str">
        <f>IF($J307="","",IFERROR(VLOOKUP($J307,Grinders!$A:$N,10,FALSE),""))</f>
        <v/>
      </c>
      <c r="Z307" s="40" t="str">
        <f>IF($J307="","",IFERROR(VLOOKUP($J307,Grinders!$A:$N,11,FALSE),""))</f>
        <v/>
      </c>
      <c r="AA307" s="40" t="str">
        <f>IF($J307="","",IFERROR(VLOOKUP($J307,Grinders!$A:$N,12,FALSE),""))</f>
        <v/>
      </c>
      <c r="AB307" s="40" t="str">
        <f>IF(OR(AL307=1,AM307=1),0,=IFERROR(IF(OR($C307="",$J307=""),0,IF($D307&lt;&gt;"Open",0,IF(COUNTIFS(GrinderServices!$A:$A,$J307,GrinderServices!$B:$B,$E307,GrinderServices!$D:$D,"Y")=0,0,IF($U307&lt;Config!$B$16,0,IF(Config!$B$18=1,IF($N307&gt;=$M307,0,1),1))))),""))</f>
        <v>#ERROR!</v>
      </c>
      <c r="AC307" s="40" t="str">
        <f>IFERROR((IF(OR(AL307=1,AM307=1),"",=IFERROR((IFERROR(IF($AB307=0,"",((Config!$B$6*$V307 + Config!$B$7*$R307 + Config!$B$8*$W307 + Config!$B$9*$X307 + Config!$B$10*$Y307 + Config!$B$11*$Z307 - Config!$B$12*$AA307)/Config!$B$13)+$AH307+$AI307),""))*(1-IFERROR(VLOOKUP(J307,Grinders!$A:$AB, 28, FALSE),0)),"")))*(1+AO307),"")</f>
        <v>#ERROR!</v>
      </c>
      <c r="AD307" s="40" t="str">
        <f t="shared" si="4"/>
        <v/>
      </c>
      <c r="AE307" s="40" t="str">
        <f>IFERROR(__xludf.DUMMYFUNCTION("IF($AC307="""","""",IF($AC307=IFERROR(MAX(FILTER($AC$6:$AC$1000,$C$6:$C$1000=$C307,$AB$6:$AB$1000=1)),),""WINNER"",""""))"),"#ERROR!")</f>
        <v>#ERROR!</v>
      </c>
      <c r="AF307" s="40" t="str">
        <f t="shared" si="5"/>
        <v/>
      </c>
      <c r="AG307" s="40" t="str">
        <f>IF($J307="","",COUNTIF(Assignments!$B:$B,$J307))</f>
        <v/>
      </c>
      <c r="AH307" s="40" t="str">
        <f>IF($J307="","",IF(AND($AG307=0,$N307&lt;$M307),Config!$B$43,0))</f>
        <v/>
      </c>
      <c r="AI307" s="40" t="str">
        <f>IF($J307="","",IF(AND($L307="Elite",$F307&gt;=Config!$B$41,$N307&lt;$M307),Config!$B$42,0))</f>
        <v/>
      </c>
      <c r="AJ307" s="22"/>
      <c r="AK307" s="39">
        <f>IFERROR(VLOOKUP(J307,Grinders!$A:$Q,28,FALSE),0)</f>
        <v>0</v>
      </c>
      <c r="AL307" s="39">
        <f>IF(Config!$B$1003&lt;&gt;"Y",0,IF(IFERROR(VLOOKUP(J307,Grinders!$A:$P,27,FALSE),0)&gt;=3,IF(OR(F307&gt;=Config!$B$1001,ISNUMBER(SEARCH(E307,Config!$B$1002))),1,0),0))</f>
        <v>0</v>
      </c>
      <c r="AM307" s="39">
        <f t="array" ref="AM307">IFERROR(IF(INDEX(Bids!$AE:$AE,MATCH(B307,Bids!$A:$A,0))="Pending",1,0),0)</f>
        <v>0</v>
      </c>
      <c r="AN307" s="39" t="str">
        <f t="array" ref="AN307">IF(C307="","",IFERROR(XLOOKUP(C307,Assignments!$C:$C,Assignments!$AU:$AU,0),0))</f>
        <v/>
      </c>
      <c r="AO307" s="39">
        <f>IF(AND(Config!$B$1006="Y",AN307=1),Config!$B$1007,0)</f>
        <v>0</v>
      </c>
    </row>
    <row r="308" ht="15.75" customHeight="1">
      <c r="A308" s="46" t="str">
        <f t="shared" si="1"/>
        <v/>
      </c>
      <c r="B308" s="40" t="str">
        <f>IF(Bids!$A308="","",Bids!$A308)</f>
        <v/>
      </c>
      <c r="C308" s="40" t="str">
        <f>IF(Bids!$B308="","",Bids!$B308)</f>
        <v/>
      </c>
      <c r="D308" s="40" t="str">
        <f>IF($C308="","",IFERROR(VLOOKUP($C308,Orders!$A:$J,9,FALSE),""))</f>
        <v/>
      </c>
      <c r="E308" s="40" t="str">
        <f>IF($C308="","",IFERROR(VLOOKUP($C308,Orders!$A:$J,3,FALSE),""))</f>
        <v/>
      </c>
      <c r="F308" s="40" t="str">
        <f>IF($C308="","",IFERROR(VLOOKUP($C308,Orders!$A:$J,4,FALSE),""))</f>
        <v/>
      </c>
      <c r="G308" s="40" t="str">
        <f>IF($C308="","",IFERROR(VLOOKUP($C308,Orders!$A:$J,5,FALSE),""))</f>
        <v/>
      </c>
      <c r="H308" s="40" t="str">
        <f>IF($C308="","",IFERROR(VLOOKUP($C308,Orders!$A:$J,6,FALSE),""))</f>
        <v/>
      </c>
      <c r="I308" s="40" t="str">
        <f>IF($C308="","",IFERROR(VLOOKUP($C308,Orders!$A:$J,7,FALSE),""))</f>
        <v/>
      </c>
      <c r="J308" s="40" t="str">
        <f>IF(Bids!$C308="","",Bids!$C308)</f>
        <v/>
      </c>
      <c r="K308" s="40" t="str">
        <f>IF($J308="","",IFERROR(VLOOKUP($J308,Grinders!$A:$N,2,FALSE),""))</f>
        <v/>
      </c>
      <c r="L308" s="40" t="str">
        <f>IF($J308="","",IFERROR(VLOOKUP($J308,Grinders!$A:$N,3,FALSE),""))</f>
        <v/>
      </c>
      <c r="M308" s="40" t="str">
        <f>IF($J308="","",IFERROR(VLOOKUP($J308,Grinders!$A:$N,4,FALSE),""))</f>
        <v/>
      </c>
      <c r="N308" s="40" t="str">
        <f>IF($J308="","",IFERROR(VLOOKUP($J308,Grinders!$A:$N,5,FALSE),""))</f>
        <v/>
      </c>
      <c r="O308" s="40" t="str">
        <f t="shared" si="2"/>
        <v/>
      </c>
      <c r="P308" s="40" t="str">
        <f>IF($J308="","",IFERROR(VLOOKUP($J308,Grinders!$A:$N,6,FALSE),""))</f>
        <v/>
      </c>
      <c r="Q308" s="40" t="str">
        <f>IF($J308="","",IFERROR(VLOOKUP($J308,Grinders!$A:$N,8,FALSE),""))</f>
        <v/>
      </c>
      <c r="R308" s="40" t="str">
        <f>IFERROR(IF($J308="","",IF($L308="Elite",MAX(50,MIN(100,Config!$B$27*MAX(0,MIN(100,(1-IF($O308="",0,$O308))*100)) + Config!$B$28*MAX(0,MIN(100,(1-MIN(1,IF(Config!$B$30=0,1,$P308/Config!$B$30)))*100)) + Config!$B$29*MAX(0,MIN(100,MIN(1,IF($Q308="",0,$Q308)/Config!$B$23)*100)))),MIN(100,Config!$B$27*MAX(0,MIN(100,(1-IF($O308="",0,$O308))*100)) + Config!$B$28*MAX(0,MIN(100,(1-MIN(1,IF(Config!$B$30=0,1,$P308/Config!$B$30)))*100)) + Config!$B$29*MAX(0,MIN(100,MIN(1,IF($Q308="",0,$Q308)/Config!$B$23)*100))))),"")
</f>
        <v/>
      </c>
      <c r="S308" s="40" t="str">
        <f>IF(Bids!$AC308="","",Bids!$AC308)</f>
        <v/>
      </c>
      <c r="T308" s="40" t="str">
        <f>IF(Bids!$F308="","",Bids!$F308)</f>
        <v/>
      </c>
      <c r="U308" s="40" t="str">
        <f t="shared" si="3"/>
        <v/>
      </c>
      <c r="V308" s="40" t="str">
        <f>IF($U308="","",IF(Config!$B$17=Config!$B$16,IF($U308&gt;=Config!$B$17,100,0),MAX(0,MIN(100,($U308-Config!$B$16)/(Config!$B$17-Config!$B$16)*100))))</f>
        <v/>
      </c>
      <c r="W308" s="40">
        <f>IF($L308="Elite",Config!$B$21,0)</f>
        <v>0</v>
      </c>
      <c r="X308" s="40" t="str">
        <f>IFERROR(IF(OR($T308="",$G308=""),"",IF($T308&gt;$G308,
  MAX(0, 60-(($T308-$G308)*24/Config!$B$19)*60),
  MEDIAN(60, 100, 60+(($G308-$T308)*24/Config!$B$20)*40)
)),"")
</f>
        <v/>
      </c>
      <c r="Y308" s="40" t="str">
        <f>IF($J308="","",IFERROR(VLOOKUP($J308,Grinders!$A:$N,10,FALSE),""))</f>
        <v/>
      </c>
      <c r="Z308" s="40" t="str">
        <f>IF($J308="","",IFERROR(VLOOKUP($J308,Grinders!$A:$N,11,FALSE),""))</f>
        <v/>
      </c>
      <c r="AA308" s="40" t="str">
        <f>IF($J308="","",IFERROR(VLOOKUP($J308,Grinders!$A:$N,12,FALSE),""))</f>
        <v/>
      </c>
      <c r="AB308" s="40" t="str">
        <f>IF(OR(AL308=1,AM308=1),0,=IFERROR(IF(OR($C308="",$J308=""),0,IF($D308&lt;&gt;"Open",0,IF(COUNTIFS(GrinderServices!$A:$A,$J308,GrinderServices!$B:$B,$E308,GrinderServices!$D:$D,"Y")=0,0,IF($U308&lt;Config!$B$16,0,IF(Config!$B$18=1,IF($N308&gt;=$M308,0,1),1))))),""))</f>
        <v>#ERROR!</v>
      </c>
      <c r="AC308" s="40" t="str">
        <f>IFERROR((IF(OR(AL308=1,AM308=1),"",=IFERROR((IFERROR(IF($AB308=0,"",((Config!$B$6*$V308 + Config!$B$7*$R308 + Config!$B$8*$W308 + Config!$B$9*$X308 + Config!$B$10*$Y308 + Config!$B$11*$Z308 - Config!$B$12*$AA308)/Config!$B$13)+$AH308+$AI308),""))*(1-IFERROR(VLOOKUP(J308,Grinders!$A:$AB, 28, FALSE),0)),"")))*(1+AO308),"")</f>
        <v>#ERROR!</v>
      </c>
      <c r="AD308" s="40" t="str">
        <f t="shared" si="4"/>
        <v/>
      </c>
      <c r="AE308" s="40" t="str">
        <f>IFERROR(__xludf.DUMMYFUNCTION("IF($AC308="""","""",IF($AC308=IFERROR(MAX(FILTER($AC$6:$AC$1000,$C$6:$C$1000=$C308,$AB$6:$AB$1000=1)),),""WINNER"",""""))"),"#ERROR!")</f>
        <v>#ERROR!</v>
      </c>
      <c r="AF308" s="40" t="str">
        <f t="shared" si="5"/>
        <v/>
      </c>
      <c r="AG308" s="40" t="str">
        <f>IF($J308="","",COUNTIF(Assignments!$B:$B,$J308))</f>
        <v/>
      </c>
      <c r="AH308" s="40" t="str">
        <f>IF($J308="","",IF(AND($AG308=0,$N308&lt;$M308),Config!$B$43,0))</f>
        <v/>
      </c>
      <c r="AI308" s="40" t="str">
        <f>IF($J308="","",IF(AND($L308="Elite",$F308&gt;=Config!$B$41,$N308&lt;$M308),Config!$B$42,0))</f>
        <v/>
      </c>
      <c r="AJ308" s="22"/>
      <c r="AK308" s="39">
        <f>IFERROR(VLOOKUP(J308,Grinders!$A:$Q,28,FALSE),0)</f>
        <v>0</v>
      </c>
      <c r="AL308" s="39">
        <f>IF(Config!$B$1003&lt;&gt;"Y",0,IF(IFERROR(VLOOKUP(J308,Grinders!$A:$P,27,FALSE),0)&gt;=3,IF(OR(F308&gt;=Config!$B$1001,ISNUMBER(SEARCH(E308,Config!$B$1002))),1,0),0))</f>
        <v>0</v>
      </c>
      <c r="AM308" s="39">
        <f t="array" ref="AM308">IFERROR(IF(INDEX(Bids!$AE:$AE,MATCH(B308,Bids!$A:$A,0))="Pending",1,0),0)</f>
        <v>0</v>
      </c>
      <c r="AN308" s="39" t="str">
        <f t="array" ref="AN308">IF(C308="","",IFERROR(XLOOKUP(C308,Assignments!$C:$C,Assignments!$AU:$AU,0),0))</f>
        <v/>
      </c>
      <c r="AO308" s="39">
        <f>IF(AND(Config!$B$1006="Y",AN308=1),Config!$B$1007,0)</f>
        <v>0</v>
      </c>
    </row>
    <row r="309" ht="15.75" customHeight="1">
      <c r="A309" s="46" t="str">
        <f t="shared" si="1"/>
        <v/>
      </c>
      <c r="B309" s="40" t="str">
        <f>IF(Bids!$A309="","",Bids!$A309)</f>
        <v/>
      </c>
      <c r="C309" s="40" t="str">
        <f>IF(Bids!$B309="","",Bids!$B309)</f>
        <v/>
      </c>
      <c r="D309" s="40" t="str">
        <f>IF($C309="","",IFERROR(VLOOKUP($C309,Orders!$A:$J,9,FALSE),""))</f>
        <v/>
      </c>
      <c r="E309" s="40" t="str">
        <f>IF($C309="","",IFERROR(VLOOKUP($C309,Orders!$A:$J,3,FALSE),""))</f>
        <v/>
      </c>
      <c r="F309" s="40" t="str">
        <f>IF($C309="","",IFERROR(VLOOKUP($C309,Orders!$A:$J,4,FALSE),""))</f>
        <v/>
      </c>
      <c r="G309" s="40" t="str">
        <f>IF($C309="","",IFERROR(VLOOKUP($C309,Orders!$A:$J,5,FALSE),""))</f>
        <v/>
      </c>
      <c r="H309" s="40" t="str">
        <f>IF($C309="","",IFERROR(VLOOKUP($C309,Orders!$A:$J,6,FALSE),""))</f>
        <v/>
      </c>
      <c r="I309" s="40" t="str">
        <f>IF($C309="","",IFERROR(VLOOKUP($C309,Orders!$A:$J,7,FALSE),""))</f>
        <v/>
      </c>
      <c r="J309" s="40" t="str">
        <f>IF(Bids!$C309="","",Bids!$C309)</f>
        <v/>
      </c>
      <c r="K309" s="40" t="str">
        <f>IF($J309="","",IFERROR(VLOOKUP($J309,Grinders!$A:$N,2,FALSE),""))</f>
        <v/>
      </c>
      <c r="L309" s="40" t="str">
        <f>IF($J309="","",IFERROR(VLOOKUP($J309,Grinders!$A:$N,3,FALSE),""))</f>
        <v/>
      </c>
      <c r="M309" s="40" t="str">
        <f>IF($J309="","",IFERROR(VLOOKUP($J309,Grinders!$A:$N,4,FALSE),""))</f>
        <v/>
      </c>
      <c r="N309" s="40" t="str">
        <f>IF($J309="","",IFERROR(VLOOKUP($J309,Grinders!$A:$N,5,FALSE),""))</f>
        <v/>
      </c>
      <c r="O309" s="40" t="str">
        <f t="shared" si="2"/>
        <v/>
      </c>
      <c r="P309" s="40" t="str">
        <f>IF($J309="","",IFERROR(VLOOKUP($J309,Grinders!$A:$N,6,FALSE),""))</f>
        <v/>
      </c>
      <c r="Q309" s="40" t="str">
        <f>IF($J309="","",IFERROR(VLOOKUP($J309,Grinders!$A:$N,8,FALSE),""))</f>
        <v/>
      </c>
      <c r="R309" s="40" t="str">
        <f>IFERROR(IF($J309="","",IF($L309="Elite",MAX(50,MIN(100,Config!$B$27*MAX(0,MIN(100,(1-IF($O309="",0,$O309))*100)) + Config!$B$28*MAX(0,MIN(100,(1-MIN(1,IF(Config!$B$30=0,1,$P309/Config!$B$30)))*100)) + Config!$B$29*MAX(0,MIN(100,MIN(1,IF($Q309="",0,$Q309)/Config!$B$23)*100)))),MIN(100,Config!$B$27*MAX(0,MIN(100,(1-IF($O309="",0,$O309))*100)) + Config!$B$28*MAX(0,MIN(100,(1-MIN(1,IF(Config!$B$30=0,1,$P309/Config!$B$30)))*100)) + Config!$B$29*MAX(0,MIN(100,MIN(1,IF($Q309="",0,$Q309)/Config!$B$23)*100))))),"")
</f>
        <v/>
      </c>
      <c r="S309" s="40" t="str">
        <f>IF(Bids!$AC309="","",Bids!$AC309)</f>
        <v/>
      </c>
      <c r="T309" s="40" t="str">
        <f>IF(Bids!$F309="","",Bids!$F309)</f>
        <v/>
      </c>
      <c r="U309" s="40" t="str">
        <f t="shared" si="3"/>
        <v/>
      </c>
      <c r="V309" s="40" t="str">
        <f>IF($U309="","",IF(Config!$B$17=Config!$B$16,IF($U309&gt;=Config!$B$17,100,0),MAX(0,MIN(100,($U309-Config!$B$16)/(Config!$B$17-Config!$B$16)*100))))</f>
        <v/>
      </c>
      <c r="W309" s="40">
        <f>IF($L309="Elite",Config!$B$21,0)</f>
        <v>0</v>
      </c>
      <c r="X309" s="40" t="str">
        <f>IFERROR(IF(OR($T309="",$G309=""),"",IF($T309&gt;$G309,
  MAX(0, 60-(($T309-$G309)*24/Config!$B$19)*60),
  MEDIAN(60, 100, 60+(($G309-$T309)*24/Config!$B$20)*40)
)),"")
</f>
        <v/>
      </c>
      <c r="Y309" s="40" t="str">
        <f>IF($J309="","",IFERROR(VLOOKUP($J309,Grinders!$A:$N,10,FALSE),""))</f>
        <v/>
      </c>
      <c r="Z309" s="40" t="str">
        <f>IF($J309="","",IFERROR(VLOOKUP($J309,Grinders!$A:$N,11,FALSE),""))</f>
        <v/>
      </c>
      <c r="AA309" s="40" t="str">
        <f>IF($J309="","",IFERROR(VLOOKUP($J309,Grinders!$A:$N,12,FALSE),""))</f>
        <v/>
      </c>
      <c r="AB309" s="40" t="str">
        <f>IF(OR(AL309=1,AM309=1),0,=IFERROR(IF(OR($C309="",$J309=""),0,IF($D309&lt;&gt;"Open",0,IF(COUNTIFS(GrinderServices!$A:$A,$J309,GrinderServices!$B:$B,$E309,GrinderServices!$D:$D,"Y")=0,0,IF($U309&lt;Config!$B$16,0,IF(Config!$B$18=1,IF($N309&gt;=$M309,0,1),1))))),""))</f>
        <v>#ERROR!</v>
      </c>
      <c r="AC309" s="40" t="str">
        <f>IFERROR((IF(OR(AL309=1,AM309=1),"",=IFERROR((IFERROR(IF($AB309=0,"",((Config!$B$6*$V309 + Config!$B$7*$R309 + Config!$B$8*$W309 + Config!$B$9*$X309 + Config!$B$10*$Y309 + Config!$B$11*$Z309 - Config!$B$12*$AA309)/Config!$B$13)+$AH309+$AI309),""))*(1-IFERROR(VLOOKUP(J309,Grinders!$A:$AB, 28, FALSE),0)),"")))*(1+AO309),"")</f>
        <v>#ERROR!</v>
      </c>
      <c r="AD309" s="40" t="str">
        <f t="shared" si="4"/>
        <v/>
      </c>
      <c r="AE309" s="40" t="str">
        <f>IFERROR(__xludf.DUMMYFUNCTION("IF($AC309="""","""",IF($AC309=IFERROR(MAX(FILTER($AC$6:$AC$1000,$C$6:$C$1000=$C309,$AB$6:$AB$1000=1)),),""WINNER"",""""))"),"#ERROR!")</f>
        <v>#ERROR!</v>
      </c>
      <c r="AF309" s="40" t="str">
        <f t="shared" si="5"/>
        <v/>
      </c>
      <c r="AG309" s="40" t="str">
        <f>IF($J309="","",COUNTIF(Assignments!$B:$B,$J309))</f>
        <v/>
      </c>
      <c r="AH309" s="40" t="str">
        <f>IF($J309="","",IF(AND($AG309=0,$N309&lt;$M309),Config!$B$43,0))</f>
        <v/>
      </c>
      <c r="AI309" s="40" t="str">
        <f>IF($J309="","",IF(AND($L309="Elite",$F309&gt;=Config!$B$41,$N309&lt;$M309),Config!$B$42,0))</f>
        <v/>
      </c>
      <c r="AJ309" s="22"/>
      <c r="AK309" s="39">
        <f>IFERROR(VLOOKUP(J309,Grinders!$A:$Q,28,FALSE),0)</f>
        <v>0</v>
      </c>
      <c r="AL309" s="39">
        <f>IF(Config!$B$1003&lt;&gt;"Y",0,IF(IFERROR(VLOOKUP(J309,Grinders!$A:$P,27,FALSE),0)&gt;=3,IF(OR(F309&gt;=Config!$B$1001,ISNUMBER(SEARCH(E309,Config!$B$1002))),1,0),0))</f>
        <v>0</v>
      </c>
      <c r="AM309" s="39">
        <f t="array" ref="AM309">IFERROR(IF(INDEX(Bids!$AE:$AE,MATCH(B309,Bids!$A:$A,0))="Pending",1,0),0)</f>
        <v>0</v>
      </c>
      <c r="AN309" s="39" t="str">
        <f t="array" ref="AN309">IF(C309="","",IFERROR(XLOOKUP(C309,Assignments!$C:$C,Assignments!$AU:$AU,0),0))</f>
        <v/>
      </c>
      <c r="AO309" s="39">
        <f>IF(AND(Config!$B$1006="Y",AN309=1),Config!$B$1007,0)</f>
        <v>0</v>
      </c>
    </row>
    <row r="310" ht="15.75" customHeight="1">
      <c r="A310" s="46" t="str">
        <f t="shared" si="1"/>
        <v/>
      </c>
      <c r="B310" s="40" t="str">
        <f>IF(Bids!$A310="","",Bids!$A310)</f>
        <v/>
      </c>
      <c r="C310" s="40" t="str">
        <f>IF(Bids!$B310="","",Bids!$B310)</f>
        <v/>
      </c>
      <c r="D310" s="40" t="str">
        <f>IF($C310="","",IFERROR(VLOOKUP($C310,Orders!$A:$J,9,FALSE),""))</f>
        <v/>
      </c>
      <c r="E310" s="40" t="str">
        <f>IF($C310="","",IFERROR(VLOOKUP($C310,Orders!$A:$J,3,FALSE),""))</f>
        <v/>
      </c>
      <c r="F310" s="40" t="str">
        <f>IF($C310="","",IFERROR(VLOOKUP($C310,Orders!$A:$J,4,FALSE),""))</f>
        <v/>
      </c>
      <c r="G310" s="40" t="str">
        <f>IF($C310="","",IFERROR(VLOOKUP($C310,Orders!$A:$J,5,FALSE),""))</f>
        <v/>
      </c>
      <c r="H310" s="40" t="str">
        <f>IF($C310="","",IFERROR(VLOOKUP($C310,Orders!$A:$J,6,FALSE),""))</f>
        <v/>
      </c>
      <c r="I310" s="40" t="str">
        <f>IF($C310="","",IFERROR(VLOOKUP($C310,Orders!$A:$J,7,FALSE),""))</f>
        <v/>
      </c>
      <c r="J310" s="40" t="str">
        <f>IF(Bids!$C310="","",Bids!$C310)</f>
        <v/>
      </c>
      <c r="K310" s="40" t="str">
        <f>IF($J310="","",IFERROR(VLOOKUP($J310,Grinders!$A:$N,2,FALSE),""))</f>
        <v/>
      </c>
      <c r="L310" s="40" t="str">
        <f>IF($J310="","",IFERROR(VLOOKUP($J310,Grinders!$A:$N,3,FALSE),""))</f>
        <v/>
      </c>
      <c r="M310" s="40" t="str">
        <f>IF($J310="","",IFERROR(VLOOKUP($J310,Grinders!$A:$N,4,FALSE),""))</f>
        <v/>
      </c>
      <c r="N310" s="40" t="str">
        <f>IF($J310="","",IFERROR(VLOOKUP($J310,Grinders!$A:$N,5,FALSE),""))</f>
        <v/>
      </c>
      <c r="O310" s="40" t="str">
        <f t="shared" si="2"/>
        <v/>
      </c>
      <c r="P310" s="40" t="str">
        <f>IF($J310="","",IFERROR(VLOOKUP($J310,Grinders!$A:$N,6,FALSE),""))</f>
        <v/>
      </c>
      <c r="Q310" s="40" t="str">
        <f>IF($J310="","",IFERROR(VLOOKUP($J310,Grinders!$A:$N,8,FALSE),""))</f>
        <v/>
      </c>
      <c r="R310" s="40" t="str">
        <f>IFERROR(IF($J310="","",IF($L310="Elite",MAX(50,MIN(100,Config!$B$27*MAX(0,MIN(100,(1-IF($O310="",0,$O310))*100)) + Config!$B$28*MAX(0,MIN(100,(1-MIN(1,IF(Config!$B$30=0,1,$P310/Config!$B$30)))*100)) + Config!$B$29*MAX(0,MIN(100,MIN(1,IF($Q310="",0,$Q310)/Config!$B$23)*100)))),MIN(100,Config!$B$27*MAX(0,MIN(100,(1-IF($O310="",0,$O310))*100)) + Config!$B$28*MAX(0,MIN(100,(1-MIN(1,IF(Config!$B$30=0,1,$P310/Config!$B$30)))*100)) + Config!$B$29*MAX(0,MIN(100,MIN(1,IF($Q310="",0,$Q310)/Config!$B$23)*100))))),"")
</f>
        <v/>
      </c>
      <c r="S310" s="40" t="str">
        <f>IF(Bids!$AC310="","",Bids!$AC310)</f>
        <v/>
      </c>
      <c r="T310" s="40" t="str">
        <f>IF(Bids!$F310="","",Bids!$F310)</f>
        <v/>
      </c>
      <c r="U310" s="40" t="str">
        <f t="shared" si="3"/>
        <v/>
      </c>
      <c r="V310" s="40" t="str">
        <f>IF($U310="","",IF(Config!$B$17=Config!$B$16,IF($U310&gt;=Config!$B$17,100,0),MAX(0,MIN(100,($U310-Config!$B$16)/(Config!$B$17-Config!$B$16)*100))))</f>
        <v/>
      </c>
      <c r="W310" s="40">
        <f>IF($L310="Elite",Config!$B$21,0)</f>
        <v>0</v>
      </c>
      <c r="X310" s="40" t="str">
        <f>IFERROR(IF(OR($T310="",$G310=""),"",IF($T310&gt;$G310,
  MAX(0, 60-(($T310-$G310)*24/Config!$B$19)*60),
  MEDIAN(60, 100, 60+(($G310-$T310)*24/Config!$B$20)*40)
)),"")
</f>
        <v/>
      </c>
      <c r="Y310" s="40" t="str">
        <f>IF($J310="","",IFERROR(VLOOKUP($J310,Grinders!$A:$N,10,FALSE),""))</f>
        <v/>
      </c>
      <c r="Z310" s="40" t="str">
        <f>IF($J310="","",IFERROR(VLOOKUP($J310,Grinders!$A:$N,11,FALSE),""))</f>
        <v/>
      </c>
      <c r="AA310" s="40" t="str">
        <f>IF($J310="","",IFERROR(VLOOKUP($J310,Grinders!$A:$N,12,FALSE),""))</f>
        <v/>
      </c>
      <c r="AB310" s="40" t="str">
        <f>IF(OR(AL310=1,AM310=1),0,=IFERROR(IF(OR($C310="",$J310=""),0,IF($D310&lt;&gt;"Open",0,IF(COUNTIFS(GrinderServices!$A:$A,$J310,GrinderServices!$B:$B,$E310,GrinderServices!$D:$D,"Y")=0,0,IF($U310&lt;Config!$B$16,0,IF(Config!$B$18=1,IF($N310&gt;=$M310,0,1),1))))),""))</f>
        <v>#ERROR!</v>
      </c>
      <c r="AC310" s="40" t="str">
        <f>IFERROR((IF(OR(AL310=1,AM310=1),"",=IFERROR((IFERROR(IF($AB310=0,"",((Config!$B$6*$V310 + Config!$B$7*$R310 + Config!$B$8*$W310 + Config!$B$9*$X310 + Config!$B$10*$Y310 + Config!$B$11*$Z310 - Config!$B$12*$AA310)/Config!$B$13)+$AH310+$AI310),""))*(1-IFERROR(VLOOKUP(J310,Grinders!$A:$AB, 28, FALSE),0)),"")))*(1+AO310),"")</f>
        <v>#ERROR!</v>
      </c>
      <c r="AD310" s="40" t="str">
        <f t="shared" si="4"/>
        <v/>
      </c>
      <c r="AE310" s="40" t="str">
        <f>IFERROR(__xludf.DUMMYFUNCTION("IF($AC310="""","""",IF($AC310=IFERROR(MAX(FILTER($AC$6:$AC$1000,$C$6:$C$1000=$C310,$AB$6:$AB$1000=1)),),""WINNER"",""""))"),"#ERROR!")</f>
        <v>#ERROR!</v>
      </c>
      <c r="AF310" s="40" t="str">
        <f t="shared" si="5"/>
        <v/>
      </c>
      <c r="AG310" s="40" t="str">
        <f>IF($J310="","",COUNTIF(Assignments!$B:$B,$J310))</f>
        <v/>
      </c>
      <c r="AH310" s="40" t="str">
        <f>IF($J310="","",IF(AND($AG310=0,$N310&lt;$M310),Config!$B$43,0))</f>
        <v/>
      </c>
      <c r="AI310" s="40" t="str">
        <f>IF($J310="","",IF(AND($L310="Elite",$F310&gt;=Config!$B$41,$N310&lt;$M310),Config!$B$42,0))</f>
        <v/>
      </c>
      <c r="AJ310" s="22"/>
      <c r="AK310" s="39">
        <f>IFERROR(VLOOKUP(J310,Grinders!$A:$Q,28,FALSE),0)</f>
        <v>0</v>
      </c>
      <c r="AL310" s="39">
        <f>IF(Config!$B$1003&lt;&gt;"Y",0,IF(IFERROR(VLOOKUP(J310,Grinders!$A:$P,27,FALSE),0)&gt;=3,IF(OR(F310&gt;=Config!$B$1001,ISNUMBER(SEARCH(E310,Config!$B$1002))),1,0),0))</f>
        <v>0</v>
      </c>
      <c r="AM310" s="39">
        <f t="array" ref="AM310">IFERROR(IF(INDEX(Bids!$AE:$AE,MATCH(B310,Bids!$A:$A,0))="Pending",1,0),0)</f>
        <v>0</v>
      </c>
      <c r="AN310" s="39" t="str">
        <f t="array" ref="AN310">IF(C310="","",IFERROR(XLOOKUP(C310,Assignments!$C:$C,Assignments!$AU:$AU,0),0))</f>
        <v/>
      </c>
      <c r="AO310" s="39">
        <f>IF(AND(Config!$B$1006="Y",AN310=1),Config!$B$1007,0)</f>
        <v>0</v>
      </c>
    </row>
    <row r="311" ht="15.75" customHeight="1">
      <c r="A311" s="46" t="str">
        <f t="shared" si="1"/>
        <v/>
      </c>
      <c r="B311" s="40" t="str">
        <f>IF(Bids!$A311="","",Bids!$A311)</f>
        <v/>
      </c>
      <c r="C311" s="40" t="str">
        <f>IF(Bids!$B311="","",Bids!$B311)</f>
        <v/>
      </c>
      <c r="D311" s="40" t="str">
        <f>IF($C311="","",IFERROR(VLOOKUP($C311,Orders!$A:$J,9,FALSE),""))</f>
        <v/>
      </c>
      <c r="E311" s="40" t="str">
        <f>IF($C311="","",IFERROR(VLOOKUP($C311,Orders!$A:$J,3,FALSE),""))</f>
        <v/>
      </c>
      <c r="F311" s="40" t="str">
        <f>IF($C311="","",IFERROR(VLOOKUP($C311,Orders!$A:$J,4,FALSE),""))</f>
        <v/>
      </c>
      <c r="G311" s="40" t="str">
        <f>IF($C311="","",IFERROR(VLOOKUP($C311,Orders!$A:$J,5,FALSE),""))</f>
        <v/>
      </c>
      <c r="H311" s="40" t="str">
        <f>IF($C311="","",IFERROR(VLOOKUP($C311,Orders!$A:$J,6,FALSE),""))</f>
        <v/>
      </c>
      <c r="I311" s="40" t="str">
        <f>IF($C311="","",IFERROR(VLOOKUP($C311,Orders!$A:$J,7,FALSE),""))</f>
        <v/>
      </c>
      <c r="J311" s="40" t="str">
        <f>IF(Bids!$C311="","",Bids!$C311)</f>
        <v/>
      </c>
      <c r="K311" s="40" t="str">
        <f>IF($J311="","",IFERROR(VLOOKUP($J311,Grinders!$A:$N,2,FALSE),""))</f>
        <v/>
      </c>
      <c r="L311" s="40" t="str">
        <f>IF($J311="","",IFERROR(VLOOKUP($J311,Grinders!$A:$N,3,FALSE),""))</f>
        <v/>
      </c>
      <c r="M311" s="40" t="str">
        <f>IF($J311="","",IFERROR(VLOOKUP($J311,Grinders!$A:$N,4,FALSE),""))</f>
        <v/>
      </c>
      <c r="N311" s="40" t="str">
        <f>IF($J311="","",IFERROR(VLOOKUP($J311,Grinders!$A:$N,5,FALSE),""))</f>
        <v/>
      </c>
      <c r="O311" s="40" t="str">
        <f t="shared" si="2"/>
        <v/>
      </c>
      <c r="P311" s="40" t="str">
        <f>IF($J311="","",IFERROR(VLOOKUP($J311,Grinders!$A:$N,6,FALSE),""))</f>
        <v/>
      </c>
      <c r="Q311" s="40" t="str">
        <f>IF($J311="","",IFERROR(VLOOKUP($J311,Grinders!$A:$N,8,FALSE),""))</f>
        <v/>
      </c>
      <c r="R311" s="40" t="str">
        <f>IFERROR(IF($J311="","",IF($L311="Elite",MAX(50,MIN(100,Config!$B$27*MAX(0,MIN(100,(1-IF($O311="",0,$O311))*100)) + Config!$B$28*MAX(0,MIN(100,(1-MIN(1,IF(Config!$B$30=0,1,$P311/Config!$B$30)))*100)) + Config!$B$29*MAX(0,MIN(100,MIN(1,IF($Q311="",0,$Q311)/Config!$B$23)*100)))),MIN(100,Config!$B$27*MAX(0,MIN(100,(1-IF($O311="",0,$O311))*100)) + Config!$B$28*MAX(0,MIN(100,(1-MIN(1,IF(Config!$B$30=0,1,$P311/Config!$B$30)))*100)) + Config!$B$29*MAX(0,MIN(100,MIN(1,IF($Q311="",0,$Q311)/Config!$B$23)*100))))),"")
</f>
        <v/>
      </c>
      <c r="S311" s="40" t="str">
        <f>IF(Bids!$AC311="","",Bids!$AC311)</f>
        <v/>
      </c>
      <c r="T311" s="40" t="str">
        <f>IF(Bids!$F311="","",Bids!$F311)</f>
        <v/>
      </c>
      <c r="U311" s="40" t="str">
        <f t="shared" si="3"/>
        <v/>
      </c>
      <c r="V311" s="40" t="str">
        <f>IF($U311="","",IF(Config!$B$17=Config!$B$16,IF($U311&gt;=Config!$B$17,100,0),MAX(0,MIN(100,($U311-Config!$B$16)/(Config!$B$17-Config!$B$16)*100))))</f>
        <v/>
      </c>
      <c r="W311" s="40">
        <f>IF($L311="Elite",Config!$B$21,0)</f>
        <v>0</v>
      </c>
      <c r="X311" s="40" t="str">
        <f>IFERROR(IF(OR($T311="",$G311=""),"",IF($T311&gt;$G311,
  MAX(0, 60-(($T311-$G311)*24/Config!$B$19)*60),
  MEDIAN(60, 100, 60+(($G311-$T311)*24/Config!$B$20)*40)
)),"")
</f>
        <v/>
      </c>
      <c r="Y311" s="40" t="str">
        <f>IF($J311="","",IFERROR(VLOOKUP($J311,Grinders!$A:$N,10,FALSE),""))</f>
        <v/>
      </c>
      <c r="Z311" s="40" t="str">
        <f>IF($J311="","",IFERROR(VLOOKUP($J311,Grinders!$A:$N,11,FALSE),""))</f>
        <v/>
      </c>
      <c r="AA311" s="40" t="str">
        <f>IF($J311="","",IFERROR(VLOOKUP($J311,Grinders!$A:$N,12,FALSE),""))</f>
        <v/>
      </c>
      <c r="AB311" s="40" t="str">
        <f>IF(OR(AL311=1,AM311=1),0,=IFERROR(IF(OR($C311="",$J311=""),0,IF($D311&lt;&gt;"Open",0,IF(COUNTIFS(GrinderServices!$A:$A,$J311,GrinderServices!$B:$B,$E311,GrinderServices!$D:$D,"Y")=0,0,IF($U311&lt;Config!$B$16,0,IF(Config!$B$18=1,IF($N311&gt;=$M311,0,1),1))))),""))</f>
        <v>#ERROR!</v>
      </c>
      <c r="AC311" s="40" t="str">
        <f>IFERROR((IF(OR(AL311=1,AM311=1),"",=IFERROR((IFERROR(IF($AB311=0,"",((Config!$B$6*$V311 + Config!$B$7*$R311 + Config!$B$8*$W311 + Config!$B$9*$X311 + Config!$B$10*$Y311 + Config!$B$11*$Z311 - Config!$B$12*$AA311)/Config!$B$13)+$AH311+$AI311),""))*(1-IFERROR(VLOOKUP(J311,Grinders!$A:$AB, 28, FALSE),0)),"")))*(1+AO311),"")</f>
        <v>#ERROR!</v>
      </c>
      <c r="AD311" s="40" t="str">
        <f t="shared" si="4"/>
        <v/>
      </c>
      <c r="AE311" s="40" t="str">
        <f>IFERROR(__xludf.DUMMYFUNCTION("IF($AC311="""","""",IF($AC311=IFERROR(MAX(FILTER($AC$6:$AC$1000,$C$6:$C$1000=$C311,$AB$6:$AB$1000=1)),),""WINNER"",""""))"),"#ERROR!")</f>
        <v>#ERROR!</v>
      </c>
      <c r="AF311" s="40" t="str">
        <f t="shared" si="5"/>
        <v/>
      </c>
      <c r="AG311" s="40" t="str">
        <f>IF($J311="","",COUNTIF(Assignments!$B:$B,$J311))</f>
        <v/>
      </c>
      <c r="AH311" s="40" t="str">
        <f>IF($J311="","",IF(AND($AG311=0,$N311&lt;$M311),Config!$B$43,0))</f>
        <v/>
      </c>
      <c r="AI311" s="40" t="str">
        <f>IF($J311="","",IF(AND($L311="Elite",$F311&gt;=Config!$B$41,$N311&lt;$M311),Config!$B$42,0))</f>
        <v/>
      </c>
      <c r="AJ311" s="22"/>
      <c r="AK311" s="39">
        <f>IFERROR(VLOOKUP(J311,Grinders!$A:$Q,28,FALSE),0)</f>
        <v>0</v>
      </c>
      <c r="AL311" s="39">
        <f>IF(Config!$B$1003&lt;&gt;"Y",0,IF(IFERROR(VLOOKUP(J311,Grinders!$A:$P,27,FALSE),0)&gt;=3,IF(OR(F311&gt;=Config!$B$1001,ISNUMBER(SEARCH(E311,Config!$B$1002))),1,0),0))</f>
        <v>0</v>
      </c>
      <c r="AM311" s="39">
        <f t="array" ref="AM311">IFERROR(IF(INDEX(Bids!$AE:$AE,MATCH(B311,Bids!$A:$A,0))="Pending",1,0),0)</f>
        <v>0</v>
      </c>
      <c r="AN311" s="39" t="str">
        <f t="array" ref="AN311">IF(C311="","",IFERROR(XLOOKUP(C311,Assignments!$C:$C,Assignments!$AU:$AU,0),0))</f>
        <v/>
      </c>
      <c r="AO311" s="39">
        <f>IF(AND(Config!$B$1006="Y",AN311=1),Config!$B$1007,0)</f>
        <v>0</v>
      </c>
    </row>
    <row r="312" ht="15.75" customHeight="1">
      <c r="A312" s="46" t="str">
        <f t="shared" si="1"/>
        <v/>
      </c>
      <c r="B312" s="40" t="str">
        <f>IF(Bids!$A312="","",Bids!$A312)</f>
        <v/>
      </c>
      <c r="C312" s="40" t="str">
        <f>IF(Bids!$B312="","",Bids!$B312)</f>
        <v/>
      </c>
      <c r="D312" s="40" t="str">
        <f>IF($C312="","",IFERROR(VLOOKUP($C312,Orders!$A:$J,9,FALSE),""))</f>
        <v/>
      </c>
      <c r="E312" s="40" t="str">
        <f>IF($C312="","",IFERROR(VLOOKUP($C312,Orders!$A:$J,3,FALSE),""))</f>
        <v/>
      </c>
      <c r="F312" s="40" t="str">
        <f>IF($C312="","",IFERROR(VLOOKUP($C312,Orders!$A:$J,4,FALSE),""))</f>
        <v/>
      </c>
      <c r="G312" s="40" t="str">
        <f>IF($C312="","",IFERROR(VLOOKUP($C312,Orders!$A:$J,5,FALSE),""))</f>
        <v/>
      </c>
      <c r="H312" s="40" t="str">
        <f>IF($C312="","",IFERROR(VLOOKUP($C312,Orders!$A:$J,6,FALSE),""))</f>
        <v/>
      </c>
      <c r="I312" s="40" t="str">
        <f>IF($C312="","",IFERROR(VLOOKUP($C312,Orders!$A:$J,7,FALSE),""))</f>
        <v/>
      </c>
      <c r="J312" s="40" t="str">
        <f>IF(Bids!$C312="","",Bids!$C312)</f>
        <v/>
      </c>
      <c r="K312" s="40" t="str">
        <f>IF($J312="","",IFERROR(VLOOKUP($J312,Grinders!$A:$N,2,FALSE),""))</f>
        <v/>
      </c>
      <c r="L312" s="40" t="str">
        <f>IF($J312="","",IFERROR(VLOOKUP($J312,Grinders!$A:$N,3,FALSE),""))</f>
        <v/>
      </c>
      <c r="M312" s="40" t="str">
        <f>IF($J312="","",IFERROR(VLOOKUP($J312,Grinders!$A:$N,4,FALSE),""))</f>
        <v/>
      </c>
      <c r="N312" s="40" t="str">
        <f>IF($J312="","",IFERROR(VLOOKUP($J312,Grinders!$A:$N,5,FALSE),""))</f>
        <v/>
      </c>
      <c r="O312" s="40" t="str">
        <f t="shared" si="2"/>
        <v/>
      </c>
      <c r="P312" s="40" t="str">
        <f>IF($J312="","",IFERROR(VLOOKUP($J312,Grinders!$A:$N,6,FALSE),""))</f>
        <v/>
      </c>
      <c r="Q312" s="40" t="str">
        <f>IF($J312="","",IFERROR(VLOOKUP($J312,Grinders!$A:$N,8,FALSE),""))</f>
        <v/>
      </c>
      <c r="R312" s="40" t="str">
        <f>IFERROR(IF($J312="","",IF($L312="Elite",MAX(50,MIN(100,Config!$B$27*MAX(0,MIN(100,(1-IF($O312="",0,$O312))*100)) + Config!$B$28*MAX(0,MIN(100,(1-MIN(1,IF(Config!$B$30=0,1,$P312/Config!$B$30)))*100)) + Config!$B$29*MAX(0,MIN(100,MIN(1,IF($Q312="",0,$Q312)/Config!$B$23)*100)))),MIN(100,Config!$B$27*MAX(0,MIN(100,(1-IF($O312="",0,$O312))*100)) + Config!$B$28*MAX(0,MIN(100,(1-MIN(1,IF(Config!$B$30=0,1,$P312/Config!$B$30)))*100)) + Config!$B$29*MAX(0,MIN(100,MIN(1,IF($Q312="",0,$Q312)/Config!$B$23)*100))))),"")
</f>
        <v/>
      </c>
      <c r="S312" s="40" t="str">
        <f>IF(Bids!$AC312="","",Bids!$AC312)</f>
        <v/>
      </c>
      <c r="T312" s="40" t="str">
        <f>IF(Bids!$F312="","",Bids!$F312)</f>
        <v/>
      </c>
      <c r="U312" s="40" t="str">
        <f t="shared" si="3"/>
        <v/>
      </c>
      <c r="V312" s="40" t="str">
        <f>IF($U312="","",IF(Config!$B$17=Config!$B$16,IF($U312&gt;=Config!$B$17,100,0),MAX(0,MIN(100,($U312-Config!$B$16)/(Config!$B$17-Config!$B$16)*100))))</f>
        <v/>
      </c>
      <c r="W312" s="40">
        <f>IF($L312="Elite",Config!$B$21,0)</f>
        <v>0</v>
      </c>
      <c r="X312" s="40" t="str">
        <f>IFERROR(IF(OR($T312="",$G312=""),"",IF($T312&gt;$G312,
  MAX(0, 60-(($T312-$G312)*24/Config!$B$19)*60),
  MEDIAN(60, 100, 60+(($G312-$T312)*24/Config!$B$20)*40)
)),"")
</f>
        <v/>
      </c>
      <c r="Y312" s="40" t="str">
        <f>IF($J312="","",IFERROR(VLOOKUP($J312,Grinders!$A:$N,10,FALSE),""))</f>
        <v/>
      </c>
      <c r="Z312" s="40" t="str">
        <f>IF($J312="","",IFERROR(VLOOKUP($J312,Grinders!$A:$N,11,FALSE),""))</f>
        <v/>
      </c>
      <c r="AA312" s="40" t="str">
        <f>IF($J312="","",IFERROR(VLOOKUP($J312,Grinders!$A:$N,12,FALSE),""))</f>
        <v/>
      </c>
      <c r="AB312" s="40" t="str">
        <f>IF(OR(AL312=1,AM312=1),0,=IFERROR(IF(OR($C312="",$J312=""),0,IF($D312&lt;&gt;"Open",0,IF(COUNTIFS(GrinderServices!$A:$A,$J312,GrinderServices!$B:$B,$E312,GrinderServices!$D:$D,"Y")=0,0,IF($U312&lt;Config!$B$16,0,IF(Config!$B$18=1,IF($N312&gt;=$M312,0,1),1))))),""))</f>
        <v>#ERROR!</v>
      </c>
      <c r="AC312" s="40" t="str">
        <f>IFERROR((IF(OR(AL312=1,AM312=1),"",=IFERROR((IFERROR(IF($AB312=0,"",((Config!$B$6*$V312 + Config!$B$7*$R312 + Config!$B$8*$W312 + Config!$B$9*$X312 + Config!$B$10*$Y312 + Config!$B$11*$Z312 - Config!$B$12*$AA312)/Config!$B$13)+$AH312+$AI312),""))*(1-IFERROR(VLOOKUP(J312,Grinders!$A:$AB, 28, FALSE),0)),"")))*(1+AO312),"")</f>
        <v>#ERROR!</v>
      </c>
      <c r="AD312" s="40" t="str">
        <f t="shared" si="4"/>
        <v/>
      </c>
      <c r="AE312" s="40" t="str">
        <f>IFERROR(__xludf.DUMMYFUNCTION("IF($AC312="""","""",IF($AC312=IFERROR(MAX(FILTER($AC$6:$AC$1000,$C$6:$C$1000=$C312,$AB$6:$AB$1000=1)),),""WINNER"",""""))"),"#ERROR!")</f>
        <v>#ERROR!</v>
      </c>
      <c r="AF312" s="40" t="str">
        <f t="shared" si="5"/>
        <v/>
      </c>
      <c r="AG312" s="40" t="str">
        <f>IF($J312="","",COUNTIF(Assignments!$B:$B,$J312))</f>
        <v/>
      </c>
      <c r="AH312" s="40" t="str">
        <f>IF($J312="","",IF(AND($AG312=0,$N312&lt;$M312),Config!$B$43,0))</f>
        <v/>
      </c>
      <c r="AI312" s="40" t="str">
        <f>IF($J312="","",IF(AND($L312="Elite",$F312&gt;=Config!$B$41,$N312&lt;$M312),Config!$B$42,0))</f>
        <v/>
      </c>
      <c r="AJ312" s="22"/>
      <c r="AK312" s="39">
        <f>IFERROR(VLOOKUP(J312,Grinders!$A:$Q,28,FALSE),0)</f>
        <v>0</v>
      </c>
      <c r="AL312" s="39">
        <f>IF(Config!$B$1003&lt;&gt;"Y",0,IF(IFERROR(VLOOKUP(J312,Grinders!$A:$P,27,FALSE),0)&gt;=3,IF(OR(F312&gt;=Config!$B$1001,ISNUMBER(SEARCH(E312,Config!$B$1002))),1,0),0))</f>
        <v>0</v>
      </c>
      <c r="AM312" s="39">
        <f t="array" ref="AM312">IFERROR(IF(INDEX(Bids!$AE:$AE,MATCH(B312,Bids!$A:$A,0))="Pending",1,0),0)</f>
        <v>0</v>
      </c>
      <c r="AN312" s="39" t="str">
        <f t="array" ref="AN312">IF(C312="","",IFERROR(XLOOKUP(C312,Assignments!$C:$C,Assignments!$AU:$AU,0),0))</f>
        <v/>
      </c>
      <c r="AO312" s="39">
        <f>IF(AND(Config!$B$1006="Y",AN312=1),Config!$B$1007,0)</f>
        <v>0</v>
      </c>
    </row>
    <row r="313" ht="15.75" customHeight="1">
      <c r="A313" s="46" t="str">
        <f t="shared" si="1"/>
        <v/>
      </c>
      <c r="B313" s="40" t="str">
        <f>IF(Bids!$A313="","",Bids!$A313)</f>
        <v/>
      </c>
      <c r="C313" s="40" t="str">
        <f>IF(Bids!$B313="","",Bids!$B313)</f>
        <v/>
      </c>
      <c r="D313" s="40" t="str">
        <f>IF($C313="","",IFERROR(VLOOKUP($C313,Orders!$A:$J,9,FALSE),""))</f>
        <v/>
      </c>
      <c r="E313" s="40" t="str">
        <f>IF($C313="","",IFERROR(VLOOKUP($C313,Orders!$A:$J,3,FALSE),""))</f>
        <v/>
      </c>
      <c r="F313" s="40" t="str">
        <f>IF($C313="","",IFERROR(VLOOKUP($C313,Orders!$A:$J,4,FALSE),""))</f>
        <v/>
      </c>
      <c r="G313" s="40" t="str">
        <f>IF($C313="","",IFERROR(VLOOKUP($C313,Orders!$A:$J,5,FALSE),""))</f>
        <v/>
      </c>
      <c r="H313" s="40" t="str">
        <f>IF($C313="","",IFERROR(VLOOKUP($C313,Orders!$A:$J,6,FALSE),""))</f>
        <v/>
      </c>
      <c r="I313" s="40" t="str">
        <f>IF($C313="","",IFERROR(VLOOKUP($C313,Orders!$A:$J,7,FALSE),""))</f>
        <v/>
      </c>
      <c r="J313" s="40" t="str">
        <f>IF(Bids!$C313="","",Bids!$C313)</f>
        <v/>
      </c>
      <c r="K313" s="40" t="str">
        <f>IF($J313="","",IFERROR(VLOOKUP($J313,Grinders!$A:$N,2,FALSE),""))</f>
        <v/>
      </c>
      <c r="L313" s="40" t="str">
        <f>IF($J313="","",IFERROR(VLOOKUP($J313,Grinders!$A:$N,3,FALSE),""))</f>
        <v/>
      </c>
      <c r="M313" s="40" t="str">
        <f>IF($J313="","",IFERROR(VLOOKUP($J313,Grinders!$A:$N,4,FALSE),""))</f>
        <v/>
      </c>
      <c r="N313" s="40" t="str">
        <f>IF($J313="","",IFERROR(VLOOKUP($J313,Grinders!$A:$N,5,FALSE),""))</f>
        <v/>
      </c>
      <c r="O313" s="40" t="str">
        <f t="shared" si="2"/>
        <v/>
      </c>
      <c r="P313" s="40" t="str">
        <f>IF($J313="","",IFERROR(VLOOKUP($J313,Grinders!$A:$N,6,FALSE),""))</f>
        <v/>
      </c>
      <c r="Q313" s="40" t="str">
        <f>IF($J313="","",IFERROR(VLOOKUP($J313,Grinders!$A:$N,8,FALSE),""))</f>
        <v/>
      </c>
      <c r="R313" s="40" t="str">
        <f>IFERROR(IF($J313="","",IF($L313="Elite",MAX(50,MIN(100,Config!$B$27*MAX(0,MIN(100,(1-IF($O313="",0,$O313))*100)) + Config!$B$28*MAX(0,MIN(100,(1-MIN(1,IF(Config!$B$30=0,1,$P313/Config!$B$30)))*100)) + Config!$B$29*MAX(0,MIN(100,MIN(1,IF($Q313="",0,$Q313)/Config!$B$23)*100)))),MIN(100,Config!$B$27*MAX(0,MIN(100,(1-IF($O313="",0,$O313))*100)) + Config!$B$28*MAX(0,MIN(100,(1-MIN(1,IF(Config!$B$30=0,1,$P313/Config!$B$30)))*100)) + Config!$B$29*MAX(0,MIN(100,MIN(1,IF($Q313="",0,$Q313)/Config!$B$23)*100))))),"")
</f>
        <v/>
      </c>
      <c r="S313" s="40" t="str">
        <f>IF(Bids!$AC313="","",Bids!$AC313)</f>
        <v/>
      </c>
      <c r="T313" s="40" t="str">
        <f>IF(Bids!$F313="","",Bids!$F313)</f>
        <v/>
      </c>
      <c r="U313" s="40" t="str">
        <f t="shared" si="3"/>
        <v/>
      </c>
      <c r="V313" s="40" t="str">
        <f>IF($U313="","",IF(Config!$B$17=Config!$B$16,IF($U313&gt;=Config!$B$17,100,0),MAX(0,MIN(100,($U313-Config!$B$16)/(Config!$B$17-Config!$B$16)*100))))</f>
        <v/>
      </c>
      <c r="W313" s="40">
        <f>IF($L313="Elite",Config!$B$21,0)</f>
        <v>0</v>
      </c>
      <c r="X313" s="40" t="str">
        <f>IFERROR(IF(OR($T313="",$G313=""),"",IF($T313&gt;$G313,
  MAX(0, 60-(($T313-$G313)*24/Config!$B$19)*60),
  MEDIAN(60, 100, 60+(($G313-$T313)*24/Config!$B$20)*40)
)),"")
</f>
        <v/>
      </c>
      <c r="Y313" s="40" t="str">
        <f>IF($J313="","",IFERROR(VLOOKUP($J313,Grinders!$A:$N,10,FALSE),""))</f>
        <v/>
      </c>
      <c r="Z313" s="40" t="str">
        <f>IF($J313="","",IFERROR(VLOOKUP($J313,Grinders!$A:$N,11,FALSE),""))</f>
        <v/>
      </c>
      <c r="AA313" s="40" t="str">
        <f>IF($J313="","",IFERROR(VLOOKUP($J313,Grinders!$A:$N,12,FALSE),""))</f>
        <v/>
      </c>
      <c r="AB313" s="40" t="str">
        <f>IF(OR(AL313=1,AM313=1),0,=IFERROR(IF(OR($C313="",$J313=""),0,IF($D313&lt;&gt;"Open",0,IF(COUNTIFS(GrinderServices!$A:$A,$J313,GrinderServices!$B:$B,$E313,GrinderServices!$D:$D,"Y")=0,0,IF($U313&lt;Config!$B$16,0,IF(Config!$B$18=1,IF($N313&gt;=$M313,0,1),1))))),""))</f>
        <v>#ERROR!</v>
      </c>
      <c r="AC313" s="40" t="str">
        <f>IFERROR((IF(OR(AL313=1,AM313=1),"",=IFERROR((IFERROR(IF($AB313=0,"",((Config!$B$6*$V313 + Config!$B$7*$R313 + Config!$B$8*$W313 + Config!$B$9*$X313 + Config!$B$10*$Y313 + Config!$B$11*$Z313 - Config!$B$12*$AA313)/Config!$B$13)+$AH313+$AI313),""))*(1-IFERROR(VLOOKUP(J313,Grinders!$A:$AB, 28, FALSE),0)),"")))*(1+AO313),"")</f>
        <v>#ERROR!</v>
      </c>
      <c r="AD313" s="40" t="str">
        <f t="shared" si="4"/>
        <v/>
      </c>
      <c r="AE313" s="40" t="str">
        <f>IFERROR(__xludf.DUMMYFUNCTION("IF($AC313="""","""",IF($AC313=IFERROR(MAX(FILTER($AC$6:$AC$1000,$C$6:$C$1000=$C313,$AB$6:$AB$1000=1)),),""WINNER"",""""))"),"#ERROR!")</f>
        <v>#ERROR!</v>
      </c>
      <c r="AF313" s="40" t="str">
        <f t="shared" si="5"/>
        <v/>
      </c>
      <c r="AG313" s="40" t="str">
        <f>IF($J313="","",COUNTIF(Assignments!$B:$B,$J313))</f>
        <v/>
      </c>
      <c r="AH313" s="40" t="str">
        <f>IF($J313="","",IF(AND($AG313=0,$N313&lt;$M313),Config!$B$43,0))</f>
        <v/>
      </c>
      <c r="AI313" s="40" t="str">
        <f>IF($J313="","",IF(AND($L313="Elite",$F313&gt;=Config!$B$41,$N313&lt;$M313),Config!$B$42,0))</f>
        <v/>
      </c>
      <c r="AJ313" s="22"/>
      <c r="AK313" s="39">
        <f>IFERROR(VLOOKUP(J313,Grinders!$A:$Q,28,FALSE),0)</f>
        <v>0</v>
      </c>
      <c r="AL313" s="39">
        <f>IF(Config!$B$1003&lt;&gt;"Y",0,IF(IFERROR(VLOOKUP(J313,Grinders!$A:$P,27,FALSE),0)&gt;=3,IF(OR(F313&gt;=Config!$B$1001,ISNUMBER(SEARCH(E313,Config!$B$1002))),1,0),0))</f>
        <v>0</v>
      </c>
      <c r="AM313" s="39">
        <f t="array" ref="AM313">IFERROR(IF(INDEX(Bids!$AE:$AE,MATCH(B313,Bids!$A:$A,0))="Pending",1,0),0)</f>
        <v>0</v>
      </c>
      <c r="AN313" s="39" t="str">
        <f t="array" ref="AN313">IF(C313="","",IFERROR(XLOOKUP(C313,Assignments!$C:$C,Assignments!$AU:$AU,0),0))</f>
        <v/>
      </c>
      <c r="AO313" s="39">
        <f>IF(AND(Config!$B$1006="Y",AN313=1),Config!$B$1007,0)</f>
        <v>0</v>
      </c>
    </row>
    <row r="314" ht="15.75" customHeight="1">
      <c r="A314" s="46" t="str">
        <f t="shared" si="1"/>
        <v/>
      </c>
      <c r="B314" s="40" t="str">
        <f>IF(Bids!$A314="","",Bids!$A314)</f>
        <v/>
      </c>
      <c r="C314" s="40" t="str">
        <f>IF(Bids!$B314="","",Bids!$B314)</f>
        <v/>
      </c>
      <c r="D314" s="40" t="str">
        <f>IF($C314="","",IFERROR(VLOOKUP($C314,Orders!$A:$J,9,FALSE),""))</f>
        <v/>
      </c>
      <c r="E314" s="40" t="str">
        <f>IF($C314="","",IFERROR(VLOOKUP($C314,Orders!$A:$J,3,FALSE),""))</f>
        <v/>
      </c>
      <c r="F314" s="40" t="str">
        <f>IF($C314="","",IFERROR(VLOOKUP($C314,Orders!$A:$J,4,FALSE),""))</f>
        <v/>
      </c>
      <c r="G314" s="40" t="str">
        <f>IF($C314="","",IFERROR(VLOOKUP($C314,Orders!$A:$J,5,FALSE),""))</f>
        <v/>
      </c>
      <c r="H314" s="40" t="str">
        <f>IF($C314="","",IFERROR(VLOOKUP($C314,Orders!$A:$J,6,FALSE),""))</f>
        <v/>
      </c>
      <c r="I314" s="40" t="str">
        <f>IF($C314="","",IFERROR(VLOOKUP($C314,Orders!$A:$J,7,FALSE),""))</f>
        <v/>
      </c>
      <c r="J314" s="40" t="str">
        <f>IF(Bids!$C314="","",Bids!$C314)</f>
        <v/>
      </c>
      <c r="K314" s="40" t="str">
        <f>IF($J314="","",IFERROR(VLOOKUP($J314,Grinders!$A:$N,2,FALSE),""))</f>
        <v/>
      </c>
      <c r="L314" s="40" t="str">
        <f>IF($J314="","",IFERROR(VLOOKUP($J314,Grinders!$A:$N,3,FALSE),""))</f>
        <v/>
      </c>
      <c r="M314" s="40" t="str">
        <f>IF($J314="","",IFERROR(VLOOKUP($J314,Grinders!$A:$N,4,FALSE),""))</f>
        <v/>
      </c>
      <c r="N314" s="40" t="str">
        <f>IF($J314="","",IFERROR(VLOOKUP($J314,Grinders!$A:$N,5,FALSE),""))</f>
        <v/>
      </c>
      <c r="O314" s="40" t="str">
        <f t="shared" si="2"/>
        <v/>
      </c>
      <c r="P314" s="40" t="str">
        <f>IF($J314="","",IFERROR(VLOOKUP($J314,Grinders!$A:$N,6,FALSE),""))</f>
        <v/>
      </c>
      <c r="Q314" s="40" t="str">
        <f>IF($J314="","",IFERROR(VLOOKUP($J314,Grinders!$A:$N,8,FALSE),""))</f>
        <v/>
      </c>
      <c r="R314" s="40" t="str">
        <f>IFERROR(IF($J314="","",IF($L314="Elite",MAX(50,MIN(100,Config!$B$27*MAX(0,MIN(100,(1-IF($O314="",0,$O314))*100)) + Config!$B$28*MAX(0,MIN(100,(1-MIN(1,IF(Config!$B$30=0,1,$P314/Config!$B$30)))*100)) + Config!$B$29*MAX(0,MIN(100,MIN(1,IF($Q314="",0,$Q314)/Config!$B$23)*100)))),MIN(100,Config!$B$27*MAX(0,MIN(100,(1-IF($O314="",0,$O314))*100)) + Config!$B$28*MAX(0,MIN(100,(1-MIN(1,IF(Config!$B$30=0,1,$P314/Config!$B$30)))*100)) + Config!$B$29*MAX(0,MIN(100,MIN(1,IF($Q314="",0,$Q314)/Config!$B$23)*100))))),"")
</f>
        <v/>
      </c>
      <c r="S314" s="40" t="str">
        <f>IF(Bids!$AC314="","",Bids!$AC314)</f>
        <v/>
      </c>
      <c r="T314" s="40" t="str">
        <f>IF(Bids!$F314="","",Bids!$F314)</f>
        <v/>
      </c>
      <c r="U314" s="40" t="str">
        <f t="shared" si="3"/>
        <v/>
      </c>
      <c r="V314" s="40" t="str">
        <f>IF($U314="","",IF(Config!$B$17=Config!$B$16,IF($U314&gt;=Config!$B$17,100,0),MAX(0,MIN(100,($U314-Config!$B$16)/(Config!$B$17-Config!$B$16)*100))))</f>
        <v/>
      </c>
      <c r="W314" s="40">
        <f>IF($L314="Elite",Config!$B$21,0)</f>
        <v>0</v>
      </c>
      <c r="X314" s="40" t="str">
        <f>IFERROR(IF(OR($T314="",$G314=""),"",IF($T314&gt;$G314,
  MAX(0, 60-(($T314-$G314)*24/Config!$B$19)*60),
  MEDIAN(60, 100, 60+(($G314-$T314)*24/Config!$B$20)*40)
)),"")
</f>
        <v/>
      </c>
      <c r="Y314" s="40" t="str">
        <f>IF($J314="","",IFERROR(VLOOKUP($J314,Grinders!$A:$N,10,FALSE),""))</f>
        <v/>
      </c>
      <c r="Z314" s="40" t="str">
        <f>IF($J314="","",IFERROR(VLOOKUP($J314,Grinders!$A:$N,11,FALSE),""))</f>
        <v/>
      </c>
      <c r="AA314" s="40" t="str">
        <f>IF($J314="","",IFERROR(VLOOKUP($J314,Grinders!$A:$N,12,FALSE),""))</f>
        <v/>
      </c>
      <c r="AB314" s="40" t="str">
        <f>IF(OR(AL314=1,AM314=1),0,=IFERROR(IF(OR($C314="",$J314=""),0,IF($D314&lt;&gt;"Open",0,IF(COUNTIFS(GrinderServices!$A:$A,$J314,GrinderServices!$B:$B,$E314,GrinderServices!$D:$D,"Y")=0,0,IF($U314&lt;Config!$B$16,0,IF(Config!$B$18=1,IF($N314&gt;=$M314,0,1),1))))),""))</f>
        <v>#ERROR!</v>
      </c>
      <c r="AC314" s="40" t="str">
        <f>IFERROR((IF(OR(AL314=1,AM314=1),"",=IFERROR((IFERROR(IF($AB314=0,"",((Config!$B$6*$V314 + Config!$B$7*$R314 + Config!$B$8*$W314 + Config!$B$9*$X314 + Config!$B$10*$Y314 + Config!$B$11*$Z314 - Config!$B$12*$AA314)/Config!$B$13)+$AH314+$AI314),""))*(1-IFERROR(VLOOKUP(J314,Grinders!$A:$AB, 28, FALSE),0)),"")))*(1+AO314),"")</f>
        <v>#ERROR!</v>
      </c>
      <c r="AD314" s="40" t="str">
        <f t="shared" si="4"/>
        <v/>
      </c>
      <c r="AE314" s="40" t="str">
        <f>IFERROR(__xludf.DUMMYFUNCTION("IF($AC314="""","""",IF($AC314=IFERROR(MAX(FILTER($AC$6:$AC$1000,$C$6:$C$1000=$C314,$AB$6:$AB$1000=1)),),""WINNER"",""""))"),"#ERROR!")</f>
        <v>#ERROR!</v>
      </c>
      <c r="AF314" s="40" t="str">
        <f t="shared" si="5"/>
        <v/>
      </c>
      <c r="AG314" s="40" t="str">
        <f>IF($J314="","",COUNTIF(Assignments!$B:$B,$J314))</f>
        <v/>
      </c>
      <c r="AH314" s="40" t="str">
        <f>IF($J314="","",IF(AND($AG314=0,$N314&lt;$M314),Config!$B$43,0))</f>
        <v/>
      </c>
      <c r="AI314" s="40" t="str">
        <f>IF($J314="","",IF(AND($L314="Elite",$F314&gt;=Config!$B$41,$N314&lt;$M314),Config!$B$42,0))</f>
        <v/>
      </c>
      <c r="AJ314" s="22"/>
      <c r="AK314" s="39">
        <f>IFERROR(VLOOKUP(J314,Grinders!$A:$Q,28,FALSE),0)</f>
        <v>0</v>
      </c>
      <c r="AL314" s="39">
        <f>IF(Config!$B$1003&lt;&gt;"Y",0,IF(IFERROR(VLOOKUP(J314,Grinders!$A:$P,27,FALSE),0)&gt;=3,IF(OR(F314&gt;=Config!$B$1001,ISNUMBER(SEARCH(E314,Config!$B$1002))),1,0),0))</f>
        <v>0</v>
      </c>
      <c r="AM314" s="39">
        <f t="array" ref="AM314">IFERROR(IF(INDEX(Bids!$AE:$AE,MATCH(B314,Bids!$A:$A,0))="Pending",1,0),0)</f>
        <v>0</v>
      </c>
      <c r="AN314" s="39" t="str">
        <f t="array" ref="AN314">IF(C314="","",IFERROR(XLOOKUP(C314,Assignments!$C:$C,Assignments!$AU:$AU,0),0))</f>
        <v/>
      </c>
      <c r="AO314" s="39">
        <f>IF(AND(Config!$B$1006="Y",AN314=1),Config!$B$1007,0)</f>
        <v>0</v>
      </c>
    </row>
    <row r="315" ht="15.75" customHeight="1">
      <c r="A315" s="46" t="str">
        <f t="shared" si="1"/>
        <v/>
      </c>
      <c r="B315" s="40" t="str">
        <f>IF(Bids!$A315="","",Bids!$A315)</f>
        <v/>
      </c>
      <c r="C315" s="40" t="str">
        <f>IF(Bids!$B315="","",Bids!$B315)</f>
        <v/>
      </c>
      <c r="D315" s="40" t="str">
        <f>IF($C315="","",IFERROR(VLOOKUP($C315,Orders!$A:$J,9,FALSE),""))</f>
        <v/>
      </c>
      <c r="E315" s="40" t="str">
        <f>IF($C315="","",IFERROR(VLOOKUP($C315,Orders!$A:$J,3,FALSE),""))</f>
        <v/>
      </c>
      <c r="F315" s="40" t="str">
        <f>IF($C315="","",IFERROR(VLOOKUP($C315,Orders!$A:$J,4,FALSE),""))</f>
        <v/>
      </c>
      <c r="G315" s="40" t="str">
        <f>IF($C315="","",IFERROR(VLOOKUP($C315,Orders!$A:$J,5,FALSE),""))</f>
        <v/>
      </c>
      <c r="H315" s="40" t="str">
        <f>IF($C315="","",IFERROR(VLOOKUP($C315,Orders!$A:$J,6,FALSE),""))</f>
        <v/>
      </c>
      <c r="I315" s="40" t="str">
        <f>IF($C315="","",IFERROR(VLOOKUP($C315,Orders!$A:$J,7,FALSE),""))</f>
        <v/>
      </c>
      <c r="J315" s="40" t="str">
        <f>IF(Bids!$C315="","",Bids!$C315)</f>
        <v/>
      </c>
      <c r="K315" s="40" t="str">
        <f>IF($J315="","",IFERROR(VLOOKUP($J315,Grinders!$A:$N,2,FALSE),""))</f>
        <v/>
      </c>
      <c r="L315" s="40" t="str">
        <f>IF($J315="","",IFERROR(VLOOKUP($J315,Grinders!$A:$N,3,FALSE),""))</f>
        <v/>
      </c>
      <c r="M315" s="40" t="str">
        <f>IF($J315="","",IFERROR(VLOOKUP($J315,Grinders!$A:$N,4,FALSE),""))</f>
        <v/>
      </c>
      <c r="N315" s="40" t="str">
        <f>IF($J315="","",IFERROR(VLOOKUP($J315,Grinders!$A:$N,5,FALSE),""))</f>
        <v/>
      </c>
      <c r="O315" s="40" t="str">
        <f t="shared" si="2"/>
        <v/>
      </c>
      <c r="P315" s="40" t="str">
        <f>IF($J315="","",IFERROR(VLOOKUP($J315,Grinders!$A:$N,6,FALSE),""))</f>
        <v/>
      </c>
      <c r="Q315" s="40" t="str">
        <f>IF($J315="","",IFERROR(VLOOKUP($J315,Grinders!$A:$N,8,FALSE),""))</f>
        <v/>
      </c>
      <c r="R315" s="40" t="str">
        <f>IFERROR(IF($J315="","",IF($L315="Elite",MAX(50,MIN(100,Config!$B$27*MAX(0,MIN(100,(1-IF($O315="",0,$O315))*100)) + Config!$B$28*MAX(0,MIN(100,(1-MIN(1,IF(Config!$B$30=0,1,$P315/Config!$B$30)))*100)) + Config!$B$29*MAX(0,MIN(100,MIN(1,IF($Q315="",0,$Q315)/Config!$B$23)*100)))),MIN(100,Config!$B$27*MAX(0,MIN(100,(1-IF($O315="",0,$O315))*100)) + Config!$B$28*MAX(0,MIN(100,(1-MIN(1,IF(Config!$B$30=0,1,$P315/Config!$B$30)))*100)) + Config!$B$29*MAX(0,MIN(100,MIN(1,IF($Q315="",0,$Q315)/Config!$B$23)*100))))),"")
</f>
        <v/>
      </c>
      <c r="S315" s="40" t="str">
        <f>IF(Bids!$AC315="","",Bids!$AC315)</f>
        <v/>
      </c>
      <c r="T315" s="40" t="str">
        <f>IF(Bids!$F315="","",Bids!$F315)</f>
        <v/>
      </c>
      <c r="U315" s="40" t="str">
        <f t="shared" si="3"/>
        <v/>
      </c>
      <c r="V315" s="40" t="str">
        <f>IF($U315="","",IF(Config!$B$17=Config!$B$16,IF($U315&gt;=Config!$B$17,100,0),MAX(0,MIN(100,($U315-Config!$B$16)/(Config!$B$17-Config!$B$16)*100))))</f>
        <v/>
      </c>
      <c r="W315" s="40">
        <f>IF($L315="Elite",Config!$B$21,0)</f>
        <v>0</v>
      </c>
      <c r="X315" s="40" t="str">
        <f>IFERROR(IF(OR($T315="",$G315=""),"",IF($T315&gt;$G315,
  MAX(0, 60-(($T315-$G315)*24/Config!$B$19)*60),
  MEDIAN(60, 100, 60+(($G315-$T315)*24/Config!$B$20)*40)
)),"")
</f>
        <v/>
      </c>
      <c r="Y315" s="40" t="str">
        <f>IF($J315="","",IFERROR(VLOOKUP($J315,Grinders!$A:$N,10,FALSE),""))</f>
        <v/>
      </c>
      <c r="Z315" s="40" t="str">
        <f>IF($J315="","",IFERROR(VLOOKUP($J315,Grinders!$A:$N,11,FALSE),""))</f>
        <v/>
      </c>
      <c r="AA315" s="40" t="str">
        <f>IF($J315="","",IFERROR(VLOOKUP($J315,Grinders!$A:$N,12,FALSE),""))</f>
        <v/>
      </c>
      <c r="AB315" s="40" t="str">
        <f>IF(OR(AL315=1,AM315=1),0,=IFERROR(IF(OR($C315="",$J315=""),0,IF($D315&lt;&gt;"Open",0,IF(COUNTIFS(GrinderServices!$A:$A,$J315,GrinderServices!$B:$B,$E315,GrinderServices!$D:$D,"Y")=0,0,IF($U315&lt;Config!$B$16,0,IF(Config!$B$18=1,IF($N315&gt;=$M315,0,1),1))))),""))</f>
        <v>#ERROR!</v>
      </c>
      <c r="AC315" s="40" t="str">
        <f>IFERROR((IF(OR(AL315=1,AM315=1),"",=IFERROR((IFERROR(IF($AB315=0,"",((Config!$B$6*$V315 + Config!$B$7*$R315 + Config!$B$8*$W315 + Config!$B$9*$X315 + Config!$B$10*$Y315 + Config!$B$11*$Z315 - Config!$B$12*$AA315)/Config!$B$13)+$AH315+$AI315),""))*(1-IFERROR(VLOOKUP(J315,Grinders!$A:$AB, 28, FALSE),0)),"")))*(1+AO315),"")</f>
        <v>#ERROR!</v>
      </c>
      <c r="AD315" s="40" t="str">
        <f t="shared" si="4"/>
        <v/>
      </c>
      <c r="AE315" s="40" t="str">
        <f>IFERROR(__xludf.DUMMYFUNCTION("IF($AC315="""","""",IF($AC315=IFERROR(MAX(FILTER($AC$6:$AC$1000,$C$6:$C$1000=$C315,$AB$6:$AB$1000=1)),),""WINNER"",""""))"),"#ERROR!")</f>
        <v>#ERROR!</v>
      </c>
      <c r="AF315" s="40" t="str">
        <f t="shared" si="5"/>
        <v/>
      </c>
      <c r="AG315" s="40" t="str">
        <f>IF($J315="","",COUNTIF(Assignments!$B:$B,$J315))</f>
        <v/>
      </c>
      <c r="AH315" s="40" t="str">
        <f>IF($J315="","",IF(AND($AG315=0,$N315&lt;$M315),Config!$B$43,0))</f>
        <v/>
      </c>
      <c r="AI315" s="40" t="str">
        <f>IF($J315="","",IF(AND($L315="Elite",$F315&gt;=Config!$B$41,$N315&lt;$M315),Config!$B$42,0))</f>
        <v/>
      </c>
      <c r="AJ315" s="22"/>
      <c r="AK315" s="39">
        <f>IFERROR(VLOOKUP(J315,Grinders!$A:$Q,28,FALSE),0)</f>
        <v>0</v>
      </c>
      <c r="AL315" s="39">
        <f>IF(Config!$B$1003&lt;&gt;"Y",0,IF(IFERROR(VLOOKUP(J315,Grinders!$A:$P,27,FALSE),0)&gt;=3,IF(OR(F315&gt;=Config!$B$1001,ISNUMBER(SEARCH(E315,Config!$B$1002))),1,0),0))</f>
        <v>0</v>
      </c>
      <c r="AM315" s="39">
        <f t="array" ref="AM315">IFERROR(IF(INDEX(Bids!$AE:$AE,MATCH(B315,Bids!$A:$A,0))="Pending",1,0),0)</f>
        <v>0</v>
      </c>
      <c r="AN315" s="39" t="str">
        <f t="array" ref="AN315">IF(C315="","",IFERROR(XLOOKUP(C315,Assignments!$C:$C,Assignments!$AU:$AU,0),0))</f>
        <v/>
      </c>
      <c r="AO315" s="39">
        <f>IF(AND(Config!$B$1006="Y",AN315=1),Config!$B$1007,0)</f>
        <v>0</v>
      </c>
    </row>
    <row r="316" ht="15.75" customHeight="1">
      <c r="A316" s="46" t="str">
        <f t="shared" si="1"/>
        <v/>
      </c>
      <c r="B316" s="40" t="str">
        <f>IF(Bids!$A316="","",Bids!$A316)</f>
        <v/>
      </c>
      <c r="C316" s="40" t="str">
        <f>IF(Bids!$B316="","",Bids!$B316)</f>
        <v/>
      </c>
      <c r="D316" s="40" t="str">
        <f>IF($C316="","",IFERROR(VLOOKUP($C316,Orders!$A:$J,9,FALSE),""))</f>
        <v/>
      </c>
      <c r="E316" s="40" t="str">
        <f>IF($C316="","",IFERROR(VLOOKUP($C316,Orders!$A:$J,3,FALSE),""))</f>
        <v/>
      </c>
      <c r="F316" s="40" t="str">
        <f>IF($C316="","",IFERROR(VLOOKUP($C316,Orders!$A:$J,4,FALSE),""))</f>
        <v/>
      </c>
      <c r="G316" s="40" t="str">
        <f>IF($C316="","",IFERROR(VLOOKUP($C316,Orders!$A:$J,5,FALSE),""))</f>
        <v/>
      </c>
      <c r="H316" s="40" t="str">
        <f>IF($C316="","",IFERROR(VLOOKUP($C316,Orders!$A:$J,6,FALSE),""))</f>
        <v/>
      </c>
      <c r="I316" s="40" t="str">
        <f>IF($C316="","",IFERROR(VLOOKUP($C316,Orders!$A:$J,7,FALSE),""))</f>
        <v/>
      </c>
      <c r="J316" s="40" t="str">
        <f>IF(Bids!$C316="","",Bids!$C316)</f>
        <v/>
      </c>
      <c r="K316" s="40" t="str">
        <f>IF($J316="","",IFERROR(VLOOKUP($J316,Grinders!$A:$N,2,FALSE),""))</f>
        <v/>
      </c>
      <c r="L316" s="40" t="str">
        <f>IF($J316="","",IFERROR(VLOOKUP($J316,Grinders!$A:$N,3,FALSE),""))</f>
        <v/>
      </c>
      <c r="M316" s="40" t="str">
        <f>IF($J316="","",IFERROR(VLOOKUP($J316,Grinders!$A:$N,4,FALSE),""))</f>
        <v/>
      </c>
      <c r="N316" s="40" t="str">
        <f>IF($J316="","",IFERROR(VLOOKUP($J316,Grinders!$A:$N,5,FALSE),""))</f>
        <v/>
      </c>
      <c r="O316" s="40" t="str">
        <f t="shared" si="2"/>
        <v/>
      </c>
      <c r="P316" s="40" t="str">
        <f>IF($J316="","",IFERROR(VLOOKUP($J316,Grinders!$A:$N,6,FALSE),""))</f>
        <v/>
      </c>
      <c r="Q316" s="40" t="str">
        <f>IF($J316="","",IFERROR(VLOOKUP($J316,Grinders!$A:$N,8,FALSE),""))</f>
        <v/>
      </c>
      <c r="R316" s="40" t="str">
        <f>IFERROR(IF($J316="","",IF($L316="Elite",MAX(50,MIN(100,Config!$B$27*MAX(0,MIN(100,(1-IF($O316="",0,$O316))*100)) + Config!$B$28*MAX(0,MIN(100,(1-MIN(1,IF(Config!$B$30=0,1,$P316/Config!$B$30)))*100)) + Config!$B$29*MAX(0,MIN(100,MIN(1,IF($Q316="",0,$Q316)/Config!$B$23)*100)))),MIN(100,Config!$B$27*MAX(0,MIN(100,(1-IF($O316="",0,$O316))*100)) + Config!$B$28*MAX(0,MIN(100,(1-MIN(1,IF(Config!$B$30=0,1,$P316/Config!$B$30)))*100)) + Config!$B$29*MAX(0,MIN(100,MIN(1,IF($Q316="",0,$Q316)/Config!$B$23)*100))))),"")
</f>
        <v/>
      </c>
      <c r="S316" s="40" t="str">
        <f>IF(Bids!$AC316="","",Bids!$AC316)</f>
        <v/>
      </c>
      <c r="T316" s="40" t="str">
        <f>IF(Bids!$F316="","",Bids!$F316)</f>
        <v/>
      </c>
      <c r="U316" s="40" t="str">
        <f t="shared" si="3"/>
        <v/>
      </c>
      <c r="V316" s="40" t="str">
        <f>IF($U316="","",IF(Config!$B$17=Config!$B$16,IF($U316&gt;=Config!$B$17,100,0),MAX(0,MIN(100,($U316-Config!$B$16)/(Config!$B$17-Config!$B$16)*100))))</f>
        <v/>
      </c>
      <c r="W316" s="40">
        <f>IF($L316="Elite",Config!$B$21,0)</f>
        <v>0</v>
      </c>
      <c r="X316" s="40" t="str">
        <f>IFERROR(IF(OR($T316="",$G316=""),"",IF($T316&gt;$G316,
  MAX(0, 60-(($T316-$G316)*24/Config!$B$19)*60),
  MEDIAN(60, 100, 60+(($G316-$T316)*24/Config!$B$20)*40)
)),"")
</f>
        <v/>
      </c>
      <c r="Y316" s="40" t="str">
        <f>IF($J316="","",IFERROR(VLOOKUP($J316,Grinders!$A:$N,10,FALSE),""))</f>
        <v/>
      </c>
      <c r="Z316" s="40" t="str">
        <f>IF($J316="","",IFERROR(VLOOKUP($J316,Grinders!$A:$N,11,FALSE),""))</f>
        <v/>
      </c>
      <c r="AA316" s="40" t="str">
        <f>IF($J316="","",IFERROR(VLOOKUP($J316,Grinders!$A:$N,12,FALSE),""))</f>
        <v/>
      </c>
      <c r="AB316" s="40" t="str">
        <f>IF(OR(AL316=1,AM316=1),0,=IFERROR(IF(OR($C316="",$J316=""),0,IF($D316&lt;&gt;"Open",0,IF(COUNTIFS(GrinderServices!$A:$A,$J316,GrinderServices!$B:$B,$E316,GrinderServices!$D:$D,"Y")=0,0,IF($U316&lt;Config!$B$16,0,IF(Config!$B$18=1,IF($N316&gt;=$M316,0,1),1))))),""))</f>
        <v>#ERROR!</v>
      </c>
      <c r="AC316" s="40" t="str">
        <f>IFERROR((IF(OR(AL316=1,AM316=1),"",=IFERROR((IFERROR(IF($AB316=0,"",((Config!$B$6*$V316 + Config!$B$7*$R316 + Config!$B$8*$W316 + Config!$B$9*$X316 + Config!$B$10*$Y316 + Config!$B$11*$Z316 - Config!$B$12*$AA316)/Config!$B$13)+$AH316+$AI316),""))*(1-IFERROR(VLOOKUP(J316,Grinders!$A:$AB, 28, FALSE),0)),"")))*(1+AO316),"")</f>
        <v>#ERROR!</v>
      </c>
      <c r="AD316" s="40" t="str">
        <f t="shared" si="4"/>
        <v/>
      </c>
      <c r="AE316" s="40" t="str">
        <f>IFERROR(__xludf.DUMMYFUNCTION("IF($AC316="""","""",IF($AC316=IFERROR(MAX(FILTER($AC$6:$AC$1000,$C$6:$C$1000=$C316,$AB$6:$AB$1000=1)),),""WINNER"",""""))"),"#ERROR!")</f>
        <v>#ERROR!</v>
      </c>
      <c r="AF316" s="40" t="str">
        <f t="shared" si="5"/>
        <v/>
      </c>
      <c r="AG316" s="40" t="str">
        <f>IF($J316="","",COUNTIF(Assignments!$B:$B,$J316))</f>
        <v/>
      </c>
      <c r="AH316" s="40" t="str">
        <f>IF($J316="","",IF(AND($AG316=0,$N316&lt;$M316),Config!$B$43,0))</f>
        <v/>
      </c>
      <c r="AI316" s="40" t="str">
        <f>IF($J316="","",IF(AND($L316="Elite",$F316&gt;=Config!$B$41,$N316&lt;$M316),Config!$B$42,0))</f>
        <v/>
      </c>
      <c r="AJ316" s="22"/>
      <c r="AK316" s="39">
        <f>IFERROR(VLOOKUP(J316,Grinders!$A:$Q,28,FALSE),0)</f>
        <v>0</v>
      </c>
      <c r="AL316" s="39">
        <f>IF(Config!$B$1003&lt;&gt;"Y",0,IF(IFERROR(VLOOKUP(J316,Grinders!$A:$P,27,FALSE),0)&gt;=3,IF(OR(F316&gt;=Config!$B$1001,ISNUMBER(SEARCH(E316,Config!$B$1002))),1,0),0))</f>
        <v>0</v>
      </c>
      <c r="AM316" s="39">
        <f t="array" ref="AM316">IFERROR(IF(INDEX(Bids!$AE:$AE,MATCH(B316,Bids!$A:$A,0))="Pending",1,0),0)</f>
        <v>0</v>
      </c>
      <c r="AN316" s="39" t="str">
        <f t="array" ref="AN316">IF(C316="","",IFERROR(XLOOKUP(C316,Assignments!$C:$C,Assignments!$AU:$AU,0),0))</f>
        <v/>
      </c>
      <c r="AO316" s="39">
        <f>IF(AND(Config!$B$1006="Y",AN316=1),Config!$B$1007,0)</f>
        <v>0</v>
      </c>
    </row>
    <row r="317" ht="15.75" customHeight="1">
      <c r="A317" s="46" t="str">
        <f t="shared" si="1"/>
        <v/>
      </c>
      <c r="B317" s="40" t="str">
        <f>IF(Bids!$A317="","",Bids!$A317)</f>
        <v/>
      </c>
      <c r="C317" s="40" t="str">
        <f>IF(Bids!$B317="","",Bids!$B317)</f>
        <v/>
      </c>
      <c r="D317" s="40" t="str">
        <f>IF($C317="","",IFERROR(VLOOKUP($C317,Orders!$A:$J,9,FALSE),""))</f>
        <v/>
      </c>
      <c r="E317" s="40" t="str">
        <f>IF($C317="","",IFERROR(VLOOKUP($C317,Orders!$A:$J,3,FALSE),""))</f>
        <v/>
      </c>
      <c r="F317" s="40" t="str">
        <f>IF($C317="","",IFERROR(VLOOKUP($C317,Orders!$A:$J,4,FALSE),""))</f>
        <v/>
      </c>
      <c r="G317" s="40" t="str">
        <f>IF($C317="","",IFERROR(VLOOKUP($C317,Orders!$A:$J,5,FALSE),""))</f>
        <v/>
      </c>
      <c r="H317" s="40" t="str">
        <f>IF($C317="","",IFERROR(VLOOKUP($C317,Orders!$A:$J,6,FALSE),""))</f>
        <v/>
      </c>
      <c r="I317" s="40" t="str">
        <f>IF($C317="","",IFERROR(VLOOKUP($C317,Orders!$A:$J,7,FALSE),""))</f>
        <v/>
      </c>
      <c r="J317" s="40" t="str">
        <f>IF(Bids!$C317="","",Bids!$C317)</f>
        <v/>
      </c>
      <c r="K317" s="40" t="str">
        <f>IF($J317="","",IFERROR(VLOOKUP($J317,Grinders!$A:$N,2,FALSE),""))</f>
        <v/>
      </c>
      <c r="L317" s="40" t="str">
        <f>IF($J317="","",IFERROR(VLOOKUP($J317,Grinders!$A:$N,3,FALSE),""))</f>
        <v/>
      </c>
      <c r="M317" s="40" t="str">
        <f>IF($J317="","",IFERROR(VLOOKUP($J317,Grinders!$A:$N,4,FALSE),""))</f>
        <v/>
      </c>
      <c r="N317" s="40" t="str">
        <f>IF($J317="","",IFERROR(VLOOKUP($J317,Grinders!$A:$N,5,FALSE),""))</f>
        <v/>
      </c>
      <c r="O317" s="40" t="str">
        <f t="shared" si="2"/>
        <v/>
      </c>
      <c r="P317" s="40" t="str">
        <f>IF($J317="","",IFERROR(VLOOKUP($J317,Grinders!$A:$N,6,FALSE),""))</f>
        <v/>
      </c>
      <c r="Q317" s="40" t="str">
        <f>IF($J317="","",IFERROR(VLOOKUP($J317,Grinders!$A:$N,8,FALSE),""))</f>
        <v/>
      </c>
      <c r="R317" s="40" t="str">
        <f>IFERROR(IF($J317="","",IF($L317="Elite",MAX(50,MIN(100,Config!$B$27*MAX(0,MIN(100,(1-IF($O317="",0,$O317))*100)) + Config!$B$28*MAX(0,MIN(100,(1-MIN(1,IF(Config!$B$30=0,1,$P317/Config!$B$30)))*100)) + Config!$B$29*MAX(0,MIN(100,MIN(1,IF($Q317="",0,$Q317)/Config!$B$23)*100)))),MIN(100,Config!$B$27*MAX(0,MIN(100,(1-IF($O317="",0,$O317))*100)) + Config!$B$28*MAX(0,MIN(100,(1-MIN(1,IF(Config!$B$30=0,1,$P317/Config!$B$30)))*100)) + Config!$B$29*MAX(0,MIN(100,MIN(1,IF($Q317="",0,$Q317)/Config!$B$23)*100))))),"")
</f>
        <v/>
      </c>
      <c r="S317" s="40" t="str">
        <f>IF(Bids!$AC317="","",Bids!$AC317)</f>
        <v/>
      </c>
      <c r="T317" s="40" t="str">
        <f>IF(Bids!$F317="","",Bids!$F317)</f>
        <v/>
      </c>
      <c r="U317" s="40" t="str">
        <f t="shared" si="3"/>
        <v/>
      </c>
      <c r="V317" s="40" t="str">
        <f>IF($U317="","",IF(Config!$B$17=Config!$B$16,IF($U317&gt;=Config!$B$17,100,0),MAX(0,MIN(100,($U317-Config!$B$16)/(Config!$B$17-Config!$B$16)*100))))</f>
        <v/>
      </c>
      <c r="W317" s="40">
        <f>IF($L317="Elite",Config!$B$21,0)</f>
        <v>0</v>
      </c>
      <c r="X317" s="40" t="str">
        <f>IFERROR(IF(OR($T317="",$G317=""),"",IF($T317&gt;$G317,
  MAX(0, 60-(($T317-$G317)*24/Config!$B$19)*60),
  MEDIAN(60, 100, 60+(($G317-$T317)*24/Config!$B$20)*40)
)),"")
</f>
        <v/>
      </c>
      <c r="Y317" s="40" t="str">
        <f>IF($J317="","",IFERROR(VLOOKUP($J317,Grinders!$A:$N,10,FALSE),""))</f>
        <v/>
      </c>
      <c r="Z317" s="40" t="str">
        <f>IF($J317="","",IFERROR(VLOOKUP($J317,Grinders!$A:$N,11,FALSE),""))</f>
        <v/>
      </c>
      <c r="AA317" s="40" t="str">
        <f>IF($J317="","",IFERROR(VLOOKUP($J317,Grinders!$A:$N,12,FALSE),""))</f>
        <v/>
      </c>
      <c r="AB317" s="40" t="str">
        <f>IF(OR(AL317=1,AM317=1),0,=IFERROR(IF(OR($C317="",$J317=""),0,IF($D317&lt;&gt;"Open",0,IF(COUNTIFS(GrinderServices!$A:$A,$J317,GrinderServices!$B:$B,$E317,GrinderServices!$D:$D,"Y")=0,0,IF($U317&lt;Config!$B$16,0,IF(Config!$B$18=1,IF($N317&gt;=$M317,0,1),1))))),""))</f>
        <v>#ERROR!</v>
      </c>
      <c r="AC317" s="40" t="str">
        <f>IFERROR((IF(OR(AL317=1,AM317=1),"",=IFERROR((IFERROR(IF($AB317=0,"",((Config!$B$6*$V317 + Config!$B$7*$R317 + Config!$B$8*$W317 + Config!$B$9*$X317 + Config!$B$10*$Y317 + Config!$B$11*$Z317 - Config!$B$12*$AA317)/Config!$B$13)+$AH317+$AI317),""))*(1-IFERROR(VLOOKUP(J317,Grinders!$A:$AB, 28, FALSE),0)),"")))*(1+AO317),"")</f>
        <v>#ERROR!</v>
      </c>
      <c r="AD317" s="40" t="str">
        <f t="shared" si="4"/>
        <v/>
      </c>
      <c r="AE317" s="40" t="str">
        <f>IFERROR(__xludf.DUMMYFUNCTION("IF($AC317="""","""",IF($AC317=IFERROR(MAX(FILTER($AC$6:$AC$1000,$C$6:$C$1000=$C317,$AB$6:$AB$1000=1)),),""WINNER"",""""))"),"#ERROR!")</f>
        <v>#ERROR!</v>
      </c>
      <c r="AF317" s="40" t="str">
        <f t="shared" si="5"/>
        <v/>
      </c>
      <c r="AG317" s="40" t="str">
        <f>IF($J317="","",COUNTIF(Assignments!$B:$B,$J317))</f>
        <v/>
      </c>
      <c r="AH317" s="40" t="str">
        <f>IF($J317="","",IF(AND($AG317=0,$N317&lt;$M317),Config!$B$43,0))</f>
        <v/>
      </c>
      <c r="AI317" s="40" t="str">
        <f>IF($J317="","",IF(AND($L317="Elite",$F317&gt;=Config!$B$41,$N317&lt;$M317),Config!$B$42,0))</f>
        <v/>
      </c>
      <c r="AJ317" s="22"/>
      <c r="AK317" s="39">
        <f>IFERROR(VLOOKUP(J317,Grinders!$A:$Q,28,FALSE),0)</f>
        <v>0</v>
      </c>
      <c r="AL317" s="39">
        <f>IF(Config!$B$1003&lt;&gt;"Y",0,IF(IFERROR(VLOOKUP(J317,Grinders!$A:$P,27,FALSE),0)&gt;=3,IF(OR(F317&gt;=Config!$B$1001,ISNUMBER(SEARCH(E317,Config!$B$1002))),1,0),0))</f>
        <v>0</v>
      </c>
      <c r="AM317" s="39">
        <f t="array" ref="AM317">IFERROR(IF(INDEX(Bids!$AE:$AE,MATCH(B317,Bids!$A:$A,0))="Pending",1,0),0)</f>
        <v>0</v>
      </c>
      <c r="AN317" s="39" t="str">
        <f t="array" ref="AN317">IF(C317="","",IFERROR(XLOOKUP(C317,Assignments!$C:$C,Assignments!$AU:$AU,0),0))</f>
        <v/>
      </c>
      <c r="AO317" s="39">
        <f>IF(AND(Config!$B$1006="Y",AN317=1),Config!$B$1007,0)</f>
        <v>0</v>
      </c>
    </row>
    <row r="318" ht="15.75" customHeight="1">
      <c r="A318" s="46" t="str">
        <f t="shared" si="1"/>
        <v/>
      </c>
      <c r="B318" s="40" t="str">
        <f>IF(Bids!$A318="","",Bids!$A318)</f>
        <v/>
      </c>
      <c r="C318" s="40" t="str">
        <f>IF(Bids!$B318="","",Bids!$B318)</f>
        <v/>
      </c>
      <c r="D318" s="40" t="str">
        <f>IF($C318="","",IFERROR(VLOOKUP($C318,Orders!$A:$J,9,FALSE),""))</f>
        <v/>
      </c>
      <c r="E318" s="40" t="str">
        <f>IF($C318="","",IFERROR(VLOOKUP($C318,Orders!$A:$J,3,FALSE),""))</f>
        <v/>
      </c>
      <c r="F318" s="40" t="str">
        <f>IF($C318="","",IFERROR(VLOOKUP($C318,Orders!$A:$J,4,FALSE),""))</f>
        <v/>
      </c>
      <c r="G318" s="40" t="str">
        <f>IF($C318="","",IFERROR(VLOOKUP($C318,Orders!$A:$J,5,FALSE),""))</f>
        <v/>
      </c>
      <c r="H318" s="40" t="str">
        <f>IF($C318="","",IFERROR(VLOOKUP($C318,Orders!$A:$J,6,FALSE),""))</f>
        <v/>
      </c>
      <c r="I318" s="40" t="str">
        <f>IF($C318="","",IFERROR(VLOOKUP($C318,Orders!$A:$J,7,FALSE),""))</f>
        <v/>
      </c>
      <c r="J318" s="40" t="str">
        <f>IF(Bids!$C318="","",Bids!$C318)</f>
        <v/>
      </c>
      <c r="K318" s="40" t="str">
        <f>IF($J318="","",IFERROR(VLOOKUP($J318,Grinders!$A:$N,2,FALSE),""))</f>
        <v/>
      </c>
      <c r="L318" s="40" t="str">
        <f>IF($J318="","",IFERROR(VLOOKUP($J318,Grinders!$A:$N,3,FALSE),""))</f>
        <v/>
      </c>
      <c r="M318" s="40" t="str">
        <f>IF($J318="","",IFERROR(VLOOKUP($J318,Grinders!$A:$N,4,FALSE),""))</f>
        <v/>
      </c>
      <c r="N318" s="40" t="str">
        <f>IF($J318="","",IFERROR(VLOOKUP($J318,Grinders!$A:$N,5,FALSE),""))</f>
        <v/>
      </c>
      <c r="O318" s="40" t="str">
        <f t="shared" si="2"/>
        <v/>
      </c>
      <c r="P318" s="40" t="str">
        <f>IF($J318="","",IFERROR(VLOOKUP($J318,Grinders!$A:$N,6,FALSE),""))</f>
        <v/>
      </c>
      <c r="Q318" s="40" t="str">
        <f>IF($J318="","",IFERROR(VLOOKUP($J318,Grinders!$A:$N,8,FALSE),""))</f>
        <v/>
      </c>
      <c r="R318" s="40" t="str">
        <f>IFERROR(IF($J318="","",IF($L318="Elite",MAX(50,MIN(100,Config!$B$27*MAX(0,MIN(100,(1-IF($O318="",0,$O318))*100)) + Config!$B$28*MAX(0,MIN(100,(1-MIN(1,IF(Config!$B$30=0,1,$P318/Config!$B$30)))*100)) + Config!$B$29*MAX(0,MIN(100,MIN(1,IF($Q318="",0,$Q318)/Config!$B$23)*100)))),MIN(100,Config!$B$27*MAX(0,MIN(100,(1-IF($O318="",0,$O318))*100)) + Config!$B$28*MAX(0,MIN(100,(1-MIN(1,IF(Config!$B$30=0,1,$P318/Config!$B$30)))*100)) + Config!$B$29*MAX(0,MIN(100,MIN(1,IF($Q318="",0,$Q318)/Config!$B$23)*100))))),"")
</f>
        <v/>
      </c>
      <c r="S318" s="40" t="str">
        <f>IF(Bids!$AC318="","",Bids!$AC318)</f>
        <v/>
      </c>
      <c r="T318" s="40" t="str">
        <f>IF(Bids!$F318="","",Bids!$F318)</f>
        <v/>
      </c>
      <c r="U318" s="40" t="str">
        <f t="shared" si="3"/>
        <v/>
      </c>
      <c r="V318" s="40" t="str">
        <f>IF($U318="","",IF(Config!$B$17=Config!$B$16,IF($U318&gt;=Config!$B$17,100,0),MAX(0,MIN(100,($U318-Config!$B$16)/(Config!$B$17-Config!$B$16)*100))))</f>
        <v/>
      </c>
      <c r="W318" s="40">
        <f>IF($L318="Elite",Config!$B$21,0)</f>
        <v>0</v>
      </c>
      <c r="X318" s="40" t="str">
        <f>IFERROR(IF(OR($T318="",$G318=""),"",IF($T318&gt;$G318,
  MAX(0, 60-(($T318-$G318)*24/Config!$B$19)*60),
  MEDIAN(60, 100, 60+(($G318-$T318)*24/Config!$B$20)*40)
)),"")
</f>
        <v/>
      </c>
      <c r="Y318" s="40" t="str">
        <f>IF($J318="","",IFERROR(VLOOKUP($J318,Grinders!$A:$N,10,FALSE),""))</f>
        <v/>
      </c>
      <c r="Z318" s="40" t="str">
        <f>IF($J318="","",IFERROR(VLOOKUP($J318,Grinders!$A:$N,11,FALSE),""))</f>
        <v/>
      </c>
      <c r="AA318" s="40" t="str">
        <f>IF($J318="","",IFERROR(VLOOKUP($J318,Grinders!$A:$N,12,FALSE),""))</f>
        <v/>
      </c>
      <c r="AB318" s="40" t="str">
        <f>IF(OR(AL318=1,AM318=1),0,=IFERROR(IF(OR($C318="",$J318=""),0,IF($D318&lt;&gt;"Open",0,IF(COUNTIFS(GrinderServices!$A:$A,$J318,GrinderServices!$B:$B,$E318,GrinderServices!$D:$D,"Y")=0,0,IF($U318&lt;Config!$B$16,0,IF(Config!$B$18=1,IF($N318&gt;=$M318,0,1),1))))),""))</f>
        <v>#ERROR!</v>
      </c>
      <c r="AC318" s="40" t="str">
        <f>IFERROR((IF(OR(AL318=1,AM318=1),"",=IFERROR((IFERROR(IF($AB318=0,"",((Config!$B$6*$V318 + Config!$B$7*$R318 + Config!$B$8*$W318 + Config!$B$9*$X318 + Config!$B$10*$Y318 + Config!$B$11*$Z318 - Config!$B$12*$AA318)/Config!$B$13)+$AH318+$AI318),""))*(1-IFERROR(VLOOKUP(J318,Grinders!$A:$AB, 28, FALSE),0)),"")))*(1+AO318),"")</f>
        <v>#ERROR!</v>
      </c>
      <c r="AD318" s="40" t="str">
        <f t="shared" si="4"/>
        <v/>
      </c>
      <c r="AE318" s="40" t="str">
        <f>IFERROR(__xludf.DUMMYFUNCTION("IF($AC318="""","""",IF($AC318=IFERROR(MAX(FILTER($AC$6:$AC$1000,$C$6:$C$1000=$C318,$AB$6:$AB$1000=1)),),""WINNER"",""""))"),"#ERROR!")</f>
        <v>#ERROR!</v>
      </c>
      <c r="AF318" s="40" t="str">
        <f t="shared" si="5"/>
        <v/>
      </c>
      <c r="AG318" s="40" t="str">
        <f>IF($J318="","",COUNTIF(Assignments!$B:$B,$J318))</f>
        <v/>
      </c>
      <c r="AH318" s="40" t="str">
        <f>IF($J318="","",IF(AND($AG318=0,$N318&lt;$M318),Config!$B$43,0))</f>
        <v/>
      </c>
      <c r="AI318" s="40" t="str">
        <f>IF($J318="","",IF(AND($L318="Elite",$F318&gt;=Config!$B$41,$N318&lt;$M318),Config!$B$42,0))</f>
        <v/>
      </c>
      <c r="AJ318" s="22"/>
      <c r="AK318" s="39">
        <f>IFERROR(VLOOKUP(J318,Grinders!$A:$Q,28,FALSE),0)</f>
        <v>0</v>
      </c>
      <c r="AL318" s="39">
        <f>IF(Config!$B$1003&lt;&gt;"Y",0,IF(IFERROR(VLOOKUP(J318,Grinders!$A:$P,27,FALSE),0)&gt;=3,IF(OR(F318&gt;=Config!$B$1001,ISNUMBER(SEARCH(E318,Config!$B$1002))),1,0),0))</f>
        <v>0</v>
      </c>
      <c r="AM318" s="39">
        <f t="array" ref="AM318">IFERROR(IF(INDEX(Bids!$AE:$AE,MATCH(B318,Bids!$A:$A,0))="Pending",1,0),0)</f>
        <v>0</v>
      </c>
      <c r="AN318" s="39" t="str">
        <f t="array" ref="AN318">IF(C318="","",IFERROR(XLOOKUP(C318,Assignments!$C:$C,Assignments!$AU:$AU,0),0))</f>
        <v/>
      </c>
      <c r="AO318" s="39">
        <f>IF(AND(Config!$B$1006="Y",AN318=1),Config!$B$1007,0)</f>
        <v>0</v>
      </c>
    </row>
    <row r="319" ht="15.75" customHeight="1">
      <c r="A319" s="46" t="str">
        <f t="shared" si="1"/>
        <v/>
      </c>
      <c r="B319" s="40" t="str">
        <f>IF(Bids!$A319="","",Bids!$A319)</f>
        <v/>
      </c>
      <c r="C319" s="40" t="str">
        <f>IF(Bids!$B319="","",Bids!$B319)</f>
        <v/>
      </c>
      <c r="D319" s="40" t="str">
        <f>IF($C319="","",IFERROR(VLOOKUP($C319,Orders!$A:$J,9,FALSE),""))</f>
        <v/>
      </c>
      <c r="E319" s="40" t="str">
        <f>IF($C319="","",IFERROR(VLOOKUP($C319,Orders!$A:$J,3,FALSE),""))</f>
        <v/>
      </c>
      <c r="F319" s="40" t="str">
        <f>IF($C319="","",IFERROR(VLOOKUP($C319,Orders!$A:$J,4,FALSE),""))</f>
        <v/>
      </c>
      <c r="G319" s="40" t="str">
        <f>IF($C319="","",IFERROR(VLOOKUP($C319,Orders!$A:$J,5,FALSE),""))</f>
        <v/>
      </c>
      <c r="H319" s="40" t="str">
        <f>IF($C319="","",IFERROR(VLOOKUP($C319,Orders!$A:$J,6,FALSE),""))</f>
        <v/>
      </c>
      <c r="I319" s="40" t="str">
        <f>IF($C319="","",IFERROR(VLOOKUP($C319,Orders!$A:$J,7,FALSE),""))</f>
        <v/>
      </c>
      <c r="J319" s="40" t="str">
        <f>IF(Bids!$C319="","",Bids!$C319)</f>
        <v/>
      </c>
      <c r="K319" s="40" t="str">
        <f>IF($J319="","",IFERROR(VLOOKUP($J319,Grinders!$A:$N,2,FALSE),""))</f>
        <v/>
      </c>
      <c r="L319" s="40" t="str">
        <f>IF($J319="","",IFERROR(VLOOKUP($J319,Grinders!$A:$N,3,FALSE),""))</f>
        <v/>
      </c>
      <c r="M319" s="40" t="str">
        <f>IF($J319="","",IFERROR(VLOOKUP($J319,Grinders!$A:$N,4,FALSE),""))</f>
        <v/>
      </c>
      <c r="N319" s="40" t="str">
        <f>IF($J319="","",IFERROR(VLOOKUP($J319,Grinders!$A:$N,5,FALSE),""))</f>
        <v/>
      </c>
      <c r="O319" s="40" t="str">
        <f t="shared" si="2"/>
        <v/>
      </c>
      <c r="P319" s="40" t="str">
        <f>IF($J319="","",IFERROR(VLOOKUP($J319,Grinders!$A:$N,6,FALSE),""))</f>
        <v/>
      </c>
      <c r="Q319" s="40" t="str">
        <f>IF($J319="","",IFERROR(VLOOKUP($J319,Grinders!$A:$N,8,FALSE),""))</f>
        <v/>
      </c>
      <c r="R319" s="40" t="str">
        <f>IFERROR(IF($J319="","",IF($L319="Elite",MAX(50,MIN(100,Config!$B$27*MAX(0,MIN(100,(1-IF($O319="",0,$O319))*100)) + Config!$B$28*MAX(0,MIN(100,(1-MIN(1,IF(Config!$B$30=0,1,$P319/Config!$B$30)))*100)) + Config!$B$29*MAX(0,MIN(100,MIN(1,IF($Q319="",0,$Q319)/Config!$B$23)*100)))),MIN(100,Config!$B$27*MAX(0,MIN(100,(1-IF($O319="",0,$O319))*100)) + Config!$B$28*MAX(0,MIN(100,(1-MIN(1,IF(Config!$B$30=0,1,$P319/Config!$B$30)))*100)) + Config!$B$29*MAX(0,MIN(100,MIN(1,IF($Q319="",0,$Q319)/Config!$B$23)*100))))),"")
</f>
        <v/>
      </c>
      <c r="S319" s="40" t="str">
        <f>IF(Bids!$AC319="","",Bids!$AC319)</f>
        <v/>
      </c>
      <c r="T319" s="40" t="str">
        <f>IF(Bids!$F319="","",Bids!$F319)</f>
        <v/>
      </c>
      <c r="U319" s="40" t="str">
        <f t="shared" si="3"/>
        <v/>
      </c>
      <c r="V319" s="40" t="str">
        <f>IF($U319="","",IF(Config!$B$17=Config!$B$16,IF($U319&gt;=Config!$B$17,100,0),MAX(0,MIN(100,($U319-Config!$B$16)/(Config!$B$17-Config!$B$16)*100))))</f>
        <v/>
      </c>
      <c r="W319" s="40">
        <f>IF($L319="Elite",Config!$B$21,0)</f>
        <v>0</v>
      </c>
      <c r="X319" s="40" t="str">
        <f>IFERROR(IF(OR($T319="",$G319=""),"",IF($T319&gt;$G319,
  MAX(0, 60-(($T319-$G319)*24/Config!$B$19)*60),
  MEDIAN(60, 100, 60+(($G319-$T319)*24/Config!$B$20)*40)
)),"")
</f>
        <v/>
      </c>
      <c r="Y319" s="40" t="str">
        <f>IF($J319="","",IFERROR(VLOOKUP($J319,Grinders!$A:$N,10,FALSE),""))</f>
        <v/>
      </c>
      <c r="Z319" s="40" t="str">
        <f>IF($J319="","",IFERROR(VLOOKUP($J319,Grinders!$A:$N,11,FALSE),""))</f>
        <v/>
      </c>
      <c r="AA319" s="40" t="str">
        <f>IF($J319="","",IFERROR(VLOOKUP($J319,Grinders!$A:$N,12,FALSE),""))</f>
        <v/>
      </c>
      <c r="AB319" s="40" t="str">
        <f>IF(OR(AL319=1,AM319=1),0,=IFERROR(IF(OR($C319="",$J319=""),0,IF($D319&lt;&gt;"Open",0,IF(COUNTIFS(GrinderServices!$A:$A,$J319,GrinderServices!$B:$B,$E319,GrinderServices!$D:$D,"Y")=0,0,IF($U319&lt;Config!$B$16,0,IF(Config!$B$18=1,IF($N319&gt;=$M319,0,1),1))))),""))</f>
        <v>#ERROR!</v>
      </c>
      <c r="AC319" s="40" t="str">
        <f>IFERROR((IF(OR(AL319=1,AM319=1),"",=IFERROR((IFERROR(IF($AB319=0,"",((Config!$B$6*$V319 + Config!$B$7*$R319 + Config!$B$8*$W319 + Config!$B$9*$X319 + Config!$B$10*$Y319 + Config!$B$11*$Z319 - Config!$B$12*$AA319)/Config!$B$13)+$AH319+$AI319),""))*(1-IFERROR(VLOOKUP(J319,Grinders!$A:$AB, 28, FALSE),0)),"")))*(1+AO319),"")</f>
        <v>#ERROR!</v>
      </c>
      <c r="AD319" s="40" t="str">
        <f t="shared" si="4"/>
        <v/>
      </c>
      <c r="AE319" s="40" t="str">
        <f>IFERROR(__xludf.DUMMYFUNCTION("IF($AC319="""","""",IF($AC319=IFERROR(MAX(FILTER($AC$6:$AC$1000,$C$6:$C$1000=$C319,$AB$6:$AB$1000=1)),),""WINNER"",""""))"),"#ERROR!")</f>
        <v>#ERROR!</v>
      </c>
      <c r="AF319" s="40" t="str">
        <f t="shared" si="5"/>
        <v/>
      </c>
      <c r="AG319" s="40" t="str">
        <f>IF($J319="","",COUNTIF(Assignments!$B:$B,$J319))</f>
        <v/>
      </c>
      <c r="AH319" s="40" t="str">
        <f>IF($J319="","",IF(AND($AG319=0,$N319&lt;$M319),Config!$B$43,0))</f>
        <v/>
      </c>
      <c r="AI319" s="40" t="str">
        <f>IF($J319="","",IF(AND($L319="Elite",$F319&gt;=Config!$B$41,$N319&lt;$M319),Config!$B$42,0))</f>
        <v/>
      </c>
      <c r="AJ319" s="22"/>
      <c r="AK319" s="39">
        <f>IFERROR(VLOOKUP(J319,Grinders!$A:$Q,28,FALSE),0)</f>
        <v>0</v>
      </c>
      <c r="AL319" s="39">
        <f>IF(Config!$B$1003&lt;&gt;"Y",0,IF(IFERROR(VLOOKUP(J319,Grinders!$A:$P,27,FALSE),0)&gt;=3,IF(OR(F319&gt;=Config!$B$1001,ISNUMBER(SEARCH(E319,Config!$B$1002))),1,0),0))</f>
        <v>0</v>
      </c>
      <c r="AM319" s="39">
        <f t="array" ref="AM319">IFERROR(IF(INDEX(Bids!$AE:$AE,MATCH(B319,Bids!$A:$A,0))="Pending",1,0),0)</f>
        <v>0</v>
      </c>
      <c r="AN319" s="39" t="str">
        <f t="array" ref="AN319">IF(C319="","",IFERROR(XLOOKUP(C319,Assignments!$C:$C,Assignments!$AU:$AU,0),0))</f>
        <v/>
      </c>
      <c r="AO319" s="39">
        <f>IF(AND(Config!$B$1006="Y",AN319=1),Config!$B$1007,0)</f>
        <v>0</v>
      </c>
    </row>
    <row r="320" ht="15.75" customHeight="1">
      <c r="A320" s="46" t="str">
        <f t="shared" si="1"/>
        <v/>
      </c>
      <c r="B320" s="40" t="str">
        <f>IF(Bids!$A320="","",Bids!$A320)</f>
        <v/>
      </c>
      <c r="C320" s="40" t="str">
        <f>IF(Bids!$B320="","",Bids!$B320)</f>
        <v/>
      </c>
      <c r="D320" s="40" t="str">
        <f>IF($C320="","",IFERROR(VLOOKUP($C320,Orders!$A:$J,9,FALSE),""))</f>
        <v/>
      </c>
      <c r="E320" s="40" t="str">
        <f>IF($C320="","",IFERROR(VLOOKUP($C320,Orders!$A:$J,3,FALSE),""))</f>
        <v/>
      </c>
      <c r="F320" s="40" t="str">
        <f>IF($C320="","",IFERROR(VLOOKUP($C320,Orders!$A:$J,4,FALSE),""))</f>
        <v/>
      </c>
      <c r="G320" s="40" t="str">
        <f>IF($C320="","",IFERROR(VLOOKUP($C320,Orders!$A:$J,5,FALSE),""))</f>
        <v/>
      </c>
      <c r="H320" s="40" t="str">
        <f>IF($C320="","",IFERROR(VLOOKUP($C320,Orders!$A:$J,6,FALSE),""))</f>
        <v/>
      </c>
      <c r="I320" s="40" t="str">
        <f>IF($C320="","",IFERROR(VLOOKUP($C320,Orders!$A:$J,7,FALSE),""))</f>
        <v/>
      </c>
      <c r="J320" s="40" t="str">
        <f>IF(Bids!$C320="","",Bids!$C320)</f>
        <v/>
      </c>
      <c r="K320" s="40" t="str">
        <f>IF($J320="","",IFERROR(VLOOKUP($J320,Grinders!$A:$N,2,FALSE),""))</f>
        <v/>
      </c>
      <c r="L320" s="40" t="str">
        <f>IF($J320="","",IFERROR(VLOOKUP($J320,Grinders!$A:$N,3,FALSE),""))</f>
        <v/>
      </c>
      <c r="M320" s="40" t="str">
        <f>IF($J320="","",IFERROR(VLOOKUP($J320,Grinders!$A:$N,4,FALSE),""))</f>
        <v/>
      </c>
      <c r="N320" s="40" t="str">
        <f>IF($J320="","",IFERROR(VLOOKUP($J320,Grinders!$A:$N,5,FALSE),""))</f>
        <v/>
      </c>
      <c r="O320" s="40" t="str">
        <f t="shared" si="2"/>
        <v/>
      </c>
      <c r="P320" s="40" t="str">
        <f>IF($J320="","",IFERROR(VLOOKUP($J320,Grinders!$A:$N,6,FALSE),""))</f>
        <v/>
      </c>
      <c r="Q320" s="40" t="str">
        <f>IF($J320="","",IFERROR(VLOOKUP($J320,Grinders!$A:$N,8,FALSE),""))</f>
        <v/>
      </c>
      <c r="R320" s="40" t="str">
        <f>IFERROR(IF($J320="","",IF($L320="Elite",MAX(50,MIN(100,Config!$B$27*MAX(0,MIN(100,(1-IF($O320="",0,$O320))*100)) + Config!$B$28*MAX(0,MIN(100,(1-MIN(1,IF(Config!$B$30=0,1,$P320/Config!$B$30)))*100)) + Config!$B$29*MAX(0,MIN(100,MIN(1,IF($Q320="",0,$Q320)/Config!$B$23)*100)))),MIN(100,Config!$B$27*MAX(0,MIN(100,(1-IF($O320="",0,$O320))*100)) + Config!$B$28*MAX(0,MIN(100,(1-MIN(1,IF(Config!$B$30=0,1,$P320/Config!$B$30)))*100)) + Config!$B$29*MAX(0,MIN(100,MIN(1,IF($Q320="",0,$Q320)/Config!$B$23)*100))))),"")
</f>
        <v/>
      </c>
      <c r="S320" s="40" t="str">
        <f>IF(Bids!$AC320="","",Bids!$AC320)</f>
        <v/>
      </c>
      <c r="T320" s="40" t="str">
        <f>IF(Bids!$F320="","",Bids!$F320)</f>
        <v/>
      </c>
      <c r="U320" s="40" t="str">
        <f t="shared" si="3"/>
        <v/>
      </c>
      <c r="V320" s="40" t="str">
        <f>IF($U320="","",IF(Config!$B$17=Config!$B$16,IF($U320&gt;=Config!$B$17,100,0),MAX(0,MIN(100,($U320-Config!$B$16)/(Config!$B$17-Config!$B$16)*100))))</f>
        <v/>
      </c>
      <c r="W320" s="40">
        <f>IF($L320="Elite",Config!$B$21,0)</f>
        <v>0</v>
      </c>
      <c r="X320" s="40" t="str">
        <f>IFERROR(IF(OR($T320="",$G320=""),"",IF($T320&gt;$G320,
  MAX(0, 60-(($T320-$G320)*24/Config!$B$19)*60),
  MEDIAN(60, 100, 60+(($G320-$T320)*24/Config!$B$20)*40)
)),"")
</f>
        <v/>
      </c>
      <c r="Y320" s="40" t="str">
        <f>IF($J320="","",IFERROR(VLOOKUP($J320,Grinders!$A:$N,10,FALSE),""))</f>
        <v/>
      </c>
      <c r="Z320" s="40" t="str">
        <f>IF($J320="","",IFERROR(VLOOKUP($J320,Grinders!$A:$N,11,FALSE),""))</f>
        <v/>
      </c>
      <c r="AA320" s="40" t="str">
        <f>IF($J320="","",IFERROR(VLOOKUP($J320,Grinders!$A:$N,12,FALSE),""))</f>
        <v/>
      </c>
      <c r="AB320" s="40" t="str">
        <f>IF(OR(AL320=1,AM320=1),0,=IFERROR(IF(OR($C320="",$J320=""),0,IF($D320&lt;&gt;"Open",0,IF(COUNTIFS(GrinderServices!$A:$A,$J320,GrinderServices!$B:$B,$E320,GrinderServices!$D:$D,"Y")=0,0,IF($U320&lt;Config!$B$16,0,IF(Config!$B$18=1,IF($N320&gt;=$M320,0,1),1))))),""))</f>
        <v>#ERROR!</v>
      </c>
      <c r="AC320" s="40" t="str">
        <f>IFERROR((IF(OR(AL320=1,AM320=1),"",=IFERROR((IFERROR(IF($AB320=0,"",((Config!$B$6*$V320 + Config!$B$7*$R320 + Config!$B$8*$W320 + Config!$B$9*$X320 + Config!$B$10*$Y320 + Config!$B$11*$Z320 - Config!$B$12*$AA320)/Config!$B$13)+$AH320+$AI320),""))*(1-IFERROR(VLOOKUP(J320,Grinders!$A:$AB, 28, FALSE),0)),"")))*(1+AO320),"")</f>
        <v>#ERROR!</v>
      </c>
      <c r="AD320" s="40" t="str">
        <f t="shared" si="4"/>
        <v/>
      </c>
      <c r="AE320" s="40" t="str">
        <f>IFERROR(__xludf.DUMMYFUNCTION("IF($AC320="""","""",IF($AC320=IFERROR(MAX(FILTER($AC$6:$AC$1000,$C$6:$C$1000=$C320,$AB$6:$AB$1000=1)),),""WINNER"",""""))"),"#ERROR!")</f>
        <v>#ERROR!</v>
      </c>
      <c r="AF320" s="40" t="str">
        <f t="shared" si="5"/>
        <v/>
      </c>
      <c r="AG320" s="40" t="str">
        <f>IF($J320="","",COUNTIF(Assignments!$B:$B,$J320))</f>
        <v/>
      </c>
      <c r="AH320" s="40" t="str">
        <f>IF($J320="","",IF(AND($AG320=0,$N320&lt;$M320),Config!$B$43,0))</f>
        <v/>
      </c>
      <c r="AI320" s="40" t="str">
        <f>IF($J320="","",IF(AND($L320="Elite",$F320&gt;=Config!$B$41,$N320&lt;$M320),Config!$B$42,0))</f>
        <v/>
      </c>
      <c r="AJ320" s="22"/>
      <c r="AK320" s="39">
        <f>IFERROR(VLOOKUP(J320,Grinders!$A:$Q,28,FALSE),0)</f>
        <v>0</v>
      </c>
      <c r="AL320" s="39">
        <f>IF(Config!$B$1003&lt;&gt;"Y",0,IF(IFERROR(VLOOKUP(J320,Grinders!$A:$P,27,FALSE),0)&gt;=3,IF(OR(F320&gt;=Config!$B$1001,ISNUMBER(SEARCH(E320,Config!$B$1002))),1,0),0))</f>
        <v>0</v>
      </c>
      <c r="AM320" s="39">
        <f t="array" ref="AM320">IFERROR(IF(INDEX(Bids!$AE:$AE,MATCH(B320,Bids!$A:$A,0))="Pending",1,0),0)</f>
        <v>0</v>
      </c>
      <c r="AN320" s="39" t="str">
        <f t="array" ref="AN320">IF(C320="","",IFERROR(XLOOKUP(C320,Assignments!$C:$C,Assignments!$AU:$AU,0),0))</f>
        <v/>
      </c>
      <c r="AO320" s="39">
        <f>IF(AND(Config!$B$1006="Y",AN320=1),Config!$B$1007,0)</f>
        <v>0</v>
      </c>
    </row>
    <row r="321" ht="15.75" customHeight="1">
      <c r="A321" s="46" t="str">
        <f t="shared" si="1"/>
        <v/>
      </c>
      <c r="B321" s="40" t="str">
        <f>IF(Bids!$A321="","",Bids!$A321)</f>
        <v/>
      </c>
      <c r="C321" s="40" t="str">
        <f>IF(Bids!$B321="","",Bids!$B321)</f>
        <v/>
      </c>
      <c r="D321" s="40" t="str">
        <f>IF($C321="","",IFERROR(VLOOKUP($C321,Orders!$A:$J,9,FALSE),""))</f>
        <v/>
      </c>
      <c r="E321" s="40" t="str">
        <f>IF($C321="","",IFERROR(VLOOKUP($C321,Orders!$A:$J,3,FALSE),""))</f>
        <v/>
      </c>
      <c r="F321" s="40" t="str">
        <f>IF($C321="","",IFERROR(VLOOKUP($C321,Orders!$A:$J,4,FALSE),""))</f>
        <v/>
      </c>
      <c r="G321" s="40" t="str">
        <f>IF($C321="","",IFERROR(VLOOKUP($C321,Orders!$A:$J,5,FALSE),""))</f>
        <v/>
      </c>
      <c r="H321" s="40" t="str">
        <f>IF($C321="","",IFERROR(VLOOKUP($C321,Orders!$A:$J,6,FALSE),""))</f>
        <v/>
      </c>
      <c r="I321" s="40" t="str">
        <f>IF($C321="","",IFERROR(VLOOKUP($C321,Orders!$A:$J,7,FALSE),""))</f>
        <v/>
      </c>
      <c r="J321" s="40" t="str">
        <f>IF(Bids!$C321="","",Bids!$C321)</f>
        <v/>
      </c>
      <c r="K321" s="40" t="str">
        <f>IF($J321="","",IFERROR(VLOOKUP($J321,Grinders!$A:$N,2,FALSE),""))</f>
        <v/>
      </c>
      <c r="L321" s="40" t="str">
        <f>IF($J321="","",IFERROR(VLOOKUP($J321,Grinders!$A:$N,3,FALSE),""))</f>
        <v/>
      </c>
      <c r="M321" s="40" t="str">
        <f>IF($J321="","",IFERROR(VLOOKUP($J321,Grinders!$A:$N,4,FALSE),""))</f>
        <v/>
      </c>
      <c r="N321" s="40" t="str">
        <f>IF($J321="","",IFERROR(VLOOKUP($J321,Grinders!$A:$N,5,FALSE),""))</f>
        <v/>
      </c>
      <c r="O321" s="40" t="str">
        <f t="shared" si="2"/>
        <v/>
      </c>
      <c r="P321" s="40" t="str">
        <f>IF($J321="","",IFERROR(VLOOKUP($J321,Grinders!$A:$N,6,FALSE),""))</f>
        <v/>
      </c>
      <c r="Q321" s="40" t="str">
        <f>IF($J321="","",IFERROR(VLOOKUP($J321,Grinders!$A:$N,8,FALSE),""))</f>
        <v/>
      </c>
      <c r="R321" s="40" t="str">
        <f>IFERROR(IF($J321="","",IF($L321="Elite",MAX(50,MIN(100,Config!$B$27*MAX(0,MIN(100,(1-IF($O321="",0,$O321))*100)) + Config!$B$28*MAX(0,MIN(100,(1-MIN(1,IF(Config!$B$30=0,1,$P321/Config!$B$30)))*100)) + Config!$B$29*MAX(0,MIN(100,MIN(1,IF($Q321="",0,$Q321)/Config!$B$23)*100)))),MIN(100,Config!$B$27*MAX(0,MIN(100,(1-IF($O321="",0,$O321))*100)) + Config!$B$28*MAX(0,MIN(100,(1-MIN(1,IF(Config!$B$30=0,1,$P321/Config!$B$30)))*100)) + Config!$B$29*MAX(0,MIN(100,MIN(1,IF($Q321="",0,$Q321)/Config!$B$23)*100))))),"")
</f>
        <v/>
      </c>
      <c r="S321" s="40" t="str">
        <f>IF(Bids!$AC321="","",Bids!$AC321)</f>
        <v/>
      </c>
      <c r="T321" s="40" t="str">
        <f>IF(Bids!$F321="","",Bids!$F321)</f>
        <v/>
      </c>
      <c r="U321" s="40" t="str">
        <f t="shared" si="3"/>
        <v/>
      </c>
      <c r="V321" s="40" t="str">
        <f>IF($U321="","",IF(Config!$B$17=Config!$B$16,IF($U321&gt;=Config!$B$17,100,0),MAX(0,MIN(100,($U321-Config!$B$16)/(Config!$B$17-Config!$B$16)*100))))</f>
        <v/>
      </c>
      <c r="W321" s="40">
        <f>IF($L321="Elite",Config!$B$21,0)</f>
        <v>0</v>
      </c>
      <c r="X321" s="40" t="str">
        <f>IFERROR(IF(OR($T321="",$G321=""),"",IF($T321&gt;$G321,
  MAX(0, 60-(($T321-$G321)*24/Config!$B$19)*60),
  MEDIAN(60, 100, 60+(($G321-$T321)*24/Config!$B$20)*40)
)),"")
</f>
        <v/>
      </c>
      <c r="Y321" s="40" t="str">
        <f>IF($J321="","",IFERROR(VLOOKUP($J321,Grinders!$A:$N,10,FALSE),""))</f>
        <v/>
      </c>
      <c r="Z321" s="40" t="str">
        <f>IF($J321="","",IFERROR(VLOOKUP($J321,Grinders!$A:$N,11,FALSE),""))</f>
        <v/>
      </c>
      <c r="AA321" s="40" t="str">
        <f>IF($J321="","",IFERROR(VLOOKUP($J321,Grinders!$A:$N,12,FALSE),""))</f>
        <v/>
      </c>
      <c r="AB321" s="40" t="str">
        <f>IF(OR(AL321=1,AM321=1),0,=IFERROR(IF(OR($C321="",$J321=""),0,IF($D321&lt;&gt;"Open",0,IF(COUNTIFS(GrinderServices!$A:$A,$J321,GrinderServices!$B:$B,$E321,GrinderServices!$D:$D,"Y")=0,0,IF($U321&lt;Config!$B$16,0,IF(Config!$B$18=1,IF($N321&gt;=$M321,0,1),1))))),""))</f>
        <v>#ERROR!</v>
      </c>
      <c r="AC321" s="40" t="str">
        <f>IFERROR((IF(OR(AL321=1,AM321=1),"",=IFERROR((IFERROR(IF($AB321=0,"",((Config!$B$6*$V321 + Config!$B$7*$R321 + Config!$B$8*$W321 + Config!$B$9*$X321 + Config!$B$10*$Y321 + Config!$B$11*$Z321 - Config!$B$12*$AA321)/Config!$B$13)+$AH321+$AI321),""))*(1-IFERROR(VLOOKUP(J321,Grinders!$A:$AB, 28, FALSE),0)),"")))*(1+AO321),"")</f>
        <v>#ERROR!</v>
      </c>
      <c r="AD321" s="40" t="str">
        <f t="shared" si="4"/>
        <v/>
      </c>
      <c r="AE321" s="40" t="str">
        <f>IFERROR(__xludf.DUMMYFUNCTION("IF($AC321="""","""",IF($AC321=IFERROR(MAX(FILTER($AC$6:$AC$1000,$C$6:$C$1000=$C321,$AB$6:$AB$1000=1)),),""WINNER"",""""))"),"#ERROR!")</f>
        <v>#ERROR!</v>
      </c>
      <c r="AF321" s="40" t="str">
        <f t="shared" si="5"/>
        <v/>
      </c>
      <c r="AG321" s="40" t="str">
        <f>IF($J321="","",COUNTIF(Assignments!$B:$B,$J321))</f>
        <v/>
      </c>
      <c r="AH321" s="40" t="str">
        <f>IF($J321="","",IF(AND($AG321=0,$N321&lt;$M321),Config!$B$43,0))</f>
        <v/>
      </c>
      <c r="AI321" s="40" t="str">
        <f>IF($J321="","",IF(AND($L321="Elite",$F321&gt;=Config!$B$41,$N321&lt;$M321),Config!$B$42,0))</f>
        <v/>
      </c>
      <c r="AJ321" s="22"/>
      <c r="AK321" s="39">
        <f>IFERROR(VLOOKUP(J321,Grinders!$A:$Q,28,FALSE),0)</f>
        <v>0</v>
      </c>
      <c r="AL321" s="39">
        <f>IF(Config!$B$1003&lt;&gt;"Y",0,IF(IFERROR(VLOOKUP(J321,Grinders!$A:$P,27,FALSE),0)&gt;=3,IF(OR(F321&gt;=Config!$B$1001,ISNUMBER(SEARCH(E321,Config!$B$1002))),1,0),0))</f>
        <v>0</v>
      </c>
      <c r="AM321" s="39">
        <f t="array" ref="AM321">IFERROR(IF(INDEX(Bids!$AE:$AE,MATCH(B321,Bids!$A:$A,0))="Pending",1,0),0)</f>
        <v>0</v>
      </c>
      <c r="AN321" s="39" t="str">
        <f t="array" ref="AN321">IF(C321="","",IFERROR(XLOOKUP(C321,Assignments!$C:$C,Assignments!$AU:$AU,0),0))</f>
        <v/>
      </c>
      <c r="AO321" s="39">
        <f>IF(AND(Config!$B$1006="Y",AN321=1),Config!$B$1007,0)</f>
        <v>0</v>
      </c>
    </row>
    <row r="322" ht="15.75" customHeight="1">
      <c r="A322" s="46" t="str">
        <f t="shared" si="1"/>
        <v/>
      </c>
      <c r="B322" s="40" t="str">
        <f>IF(Bids!$A322="","",Bids!$A322)</f>
        <v/>
      </c>
      <c r="C322" s="40" t="str">
        <f>IF(Bids!$B322="","",Bids!$B322)</f>
        <v/>
      </c>
      <c r="D322" s="40" t="str">
        <f>IF($C322="","",IFERROR(VLOOKUP($C322,Orders!$A:$J,9,FALSE),""))</f>
        <v/>
      </c>
      <c r="E322" s="40" t="str">
        <f>IF($C322="","",IFERROR(VLOOKUP($C322,Orders!$A:$J,3,FALSE),""))</f>
        <v/>
      </c>
      <c r="F322" s="40" t="str">
        <f>IF($C322="","",IFERROR(VLOOKUP($C322,Orders!$A:$J,4,FALSE),""))</f>
        <v/>
      </c>
      <c r="G322" s="40" t="str">
        <f>IF($C322="","",IFERROR(VLOOKUP($C322,Orders!$A:$J,5,FALSE),""))</f>
        <v/>
      </c>
      <c r="H322" s="40" t="str">
        <f>IF($C322="","",IFERROR(VLOOKUP($C322,Orders!$A:$J,6,FALSE),""))</f>
        <v/>
      </c>
      <c r="I322" s="40" t="str">
        <f>IF($C322="","",IFERROR(VLOOKUP($C322,Orders!$A:$J,7,FALSE),""))</f>
        <v/>
      </c>
      <c r="J322" s="40" t="str">
        <f>IF(Bids!$C322="","",Bids!$C322)</f>
        <v/>
      </c>
      <c r="K322" s="40" t="str">
        <f>IF($J322="","",IFERROR(VLOOKUP($J322,Grinders!$A:$N,2,FALSE),""))</f>
        <v/>
      </c>
      <c r="L322" s="40" t="str">
        <f>IF($J322="","",IFERROR(VLOOKUP($J322,Grinders!$A:$N,3,FALSE),""))</f>
        <v/>
      </c>
      <c r="M322" s="40" t="str">
        <f>IF($J322="","",IFERROR(VLOOKUP($J322,Grinders!$A:$N,4,FALSE),""))</f>
        <v/>
      </c>
      <c r="N322" s="40" t="str">
        <f>IF($J322="","",IFERROR(VLOOKUP($J322,Grinders!$A:$N,5,FALSE),""))</f>
        <v/>
      </c>
      <c r="O322" s="40" t="str">
        <f t="shared" si="2"/>
        <v/>
      </c>
      <c r="P322" s="40" t="str">
        <f>IF($J322="","",IFERROR(VLOOKUP($J322,Grinders!$A:$N,6,FALSE),""))</f>
        <v/>
      </c>
      <c r="Q322" s="40" t="str">
        <f>IF($J322="","",IFERROR(VLOOKUP($J322,Grinders!$A:$N,8,FALSE),""))</f>
        <v/>
      </c>
      <c r="R322" s="40" t="str">
        <f>IFERROR(IF($J322="","",IF($L322="Elite",MAX(50,MIN(100,Config!$B$27*MAX(0,MIN(100,(1-IF($O322="",0,$O322))*100)) + Config!$B$28*MAX(0,MIN(100,(1-MIN(1,IF(Config!$B$30=0,1,$P322/Config!$B$30)))*100)) + Config!$B$29*MAX(0,MIN(100,MIN(1,IF($Q322="",0,$Q322)/Config!$B$23)*100)))),MIN(100,Config!$B$27*MAX(0,MIN(100,(1-IF($O322="",0,$O322))*100)) + Config!$B$28*MAX(0,MIN(100,(1-MIN(1,IF(Config!$B$30=0,1,$P322/Config!$B$30)))*100)) + Config!$B$29*MAX(0,MIN(100,MIN(1,IF($Q322="",0,$Q322)/Config!$B$23)*100))))),"")
</f>
        <v/>
      </c>
      <c r="S322" s="40" t="str">
        <f>IF(Bids!$AC322="","",Bids!$AC322)</f>
        <v/>
      </c>
      <c r="T322" s="40" t="str">
        <f>IF(Bids!$F322="","",Bids!$F322)</f>
        <v/>
      </c>
      <c r="U322" s="40" t="str">
        <f t="shared" si="3"/>
        <v/>
      </c>
      <c r="V322" s="40" t="str">
        <f>IF($U322="","",IF(Config!$B$17=Config!$B$16,IF($U322&gt;=Config!$B$17,100,0),MAX(0,MIN(100,($U322-Config!$B$16)/(Config!$B$17-Config!$B$16)*100))))</f>
        <v/>
      </c>
      <c r="W322" s="40">
        <f>IF($L322="Elite",Config!$B$21,0)</f>
        <v>0</v>
      </c>
      <c r="X322" s="40" t="str">
        <f>IFERROR(IF(OR($T322="",$G322=""),"",IF($T322&gt;$G322,
  MAX(0, 60-(($T322-$G322)*24/Config!$B$19)*60),
  MEDIAN(60, 100, 60+(($G322-$T322)*24/Config!$B$20)*40)
)),"")
</f>
        <v/>
      </c>
      <c r="Y322" s="40" t="str">
        <f>IF($J322="","",IFERROR(VLOOKUP($J322,Grinders!$A:$N,10,FALSE),""))</f>
        <v/>
      </c>
      <c r="Z322" s="40" t="str">
        <f>IF($J322="","",IFERROR(VLOOKUP($J322,Grinders!$A:$N,11,FALSE),""))</f>
        <v/>
      </c>
      <c r="AA322" s="40" t="str">
        <f>IF($J322="","",IFERROR(VLOOKUP($J322,Grinders!$A:$N,12,FALSE),""))</f>
        <v/>
      </c>
      <c r="AB322" s="40" t="str">
        <f>IF(OR(AL322=1,AM322=1),0,=IFERROR(IF(OR($C322="",$J322=""),0,IF($D322&lt;&gt;"Open",0,IF(COUNTIFS(GrinderServices!$A:$A,$J322,GrinderServices!$B:$B,$E322,GrinderServices!$D:$D,"Y")=0,0,IF($U322&lt;Config!$B$16,0,IF(Config!$B$18=1,IF($N322&gt;=$M322,0,1),1))))),""))</f>
        <v>#ERROR!</v>
      </c>
      <c r="AC322" s="40" t="str">
        <f>IFERROR((IF(OR(AL322=1,AM322=1),"",=IFERROR((IFERROR(IF($AB322=0,"",((Config!$B$6*$V322 + Config!$B$7*$R322 + Config!$B$8*$W322 + Config!$B$9*$X322 + Config!$B$10*$Y322 + Config!$B$11*$Z322 - Config!$B$12*$AA322)/Config!$B$13)+$AH322+$AI322),""))*(1-IFERROR(VLOOKUP(J322,Grinders!$A:$AB, 28, FALSE),0)),"")))*(1+AO322),"")</f>
        <v>#ERROR!</v>
      </c>
      <c r="AD322" s="40" t="str">
        <f t="shared" si="4"/>
        <v/>
      </c>
      <c r="AE322" s="40" t="str">
        <f>IFERROR(__xludf.DUMMYFUNCTION("IF($AC322="""","""",IF($AC322=IFERROR(MAX(FILTER($AC$6:$AC$1000,$C$6:$C$1000=$C322,$AB$6:$AB$1000=1)),),""WINNER"",""""))"),"#ERROR!")</f>
        <v>#ERROR!</v>
      </c>
      <c r="AF322" s="40" t="str">
        <f t="shared" si="5"/>
        <v/>
      </c>
      <c r="AG322" s="40" t="str">
        <f>IF($J322="","",COUNTIF(Assignments!$B:$B,$J322))</f>
        <v/>
      </c>
      <c r="AH322" s="40" t="str">
        <f>IF($J322="","",IF(AND($AG322=0,$N322&lt;$M322),Config!$B$43,0))</f>
        <v/>
      </c>
      <c r="AI322" s="40" t="str">
        <f>IF($J322="","",IF(AND($L322="Elite",$F322&gt;=Config!$B$41,$N322&lt;$M322),Config!$B$42,0))</f>
        <v/>
      </c>
      <c r="AJ322" s="22"/>
      <c r="AK322" s="39">
        <f>IFERROR(VLOOKUP(J322,Grinders!$A:$Q,28,FALSE),0)</f>
        <v>0</v>
      </c>
      <c r="AL322" s="39">
        <f>IF(Config!$B$1003&lt;&gt;"Y",0,IF(IFERROR(VLOOKUP(J322,Grinders!$A:$P,27,FALSE),0)&gt;=3,IF(OR(F322&gt;=Config!$B$1001,ISNUMBER(SEARCH(E322,Config!$B$1002))),1,0),0))</f>
        <v>0</v>
      </c>
      <c r="AM322" s="39">
        <f t="array" ref="AM322">IFERROR(IF(INDEX(Bids!$AE:$AE,MATCH(B322,Bids!$A:$A,0))="Pending",1,0),0)</f>
        <v>0</v>
      </c>
      <c r="AN322" s="39" t="str">
        <f t="array" ref="AN322">IF(C322="","",IFERROR(XLOOKUP(C322,Assignments!$C:$C,Assignments!$AU:$AU,0),0))</f>
        <v/>
      </c>
      <c r="AO322" s="39">
        <f>IF(AND(Config!$B$1006="Y",AN322=1),Config!$B$1007,0)</f>
        <v>0</v>
      </c>
    </row>
    <row r="323" ht="15.75" customHeight="1">
      <c r="A323" s="46" t="str">
        <f t="shared" si="1"/>
        <v/>
      </c>
      <c r="B323" s="40" t="str">
        <f>IF(Bids!$A323="","",Bids!$A323)</f>
        <v/>
      </c>
      <c r="C323" s="40" t="str">
        <f>IF(Bids!$B323="","",Bids!$B323)</f>
        <v/>
      </c>
      <c r="D323" s="40" t="str">
        <f>IF($C323="","",IFERROR(VLOOKUP($C323,Orders!$A:$J,9,FALSE),""))</f>
        <v/>
      </c>
      <c r="E323" s="40" t="str">
        <f>IF($C323="","",IFERROR(VLOOKUP($C323,Orders!$A:$J,3,FALSE),""))</f>
        <v/>
      </c>
      <c r="F323" s="40" t="str">
        <f>IF($C323="","",IFERROR(VLOOKUP($C323,Orders!$A:$J,4,FALSE),""))</f>
        <v/>
      </c>
      <c r="G323" s="40" t="str">
        <f>IF($C323="","",IFERROR(VLOOKUP($C323,Orders!$A:$J,5,FALSE),""))</f>
        <v/>
      </c>
      <c r="H323" s="40" t="str">
        <f>IF($C323="","",IFERROR(VLOOKUP($C323,Orders!$A:$J,6,FALSE),""))</f>
        <v/>
      </c>
      <c r="I323" s="40" t="str">
        <f>IF($C323="","",IFERROR(VLOOKUP($C323,Orders!$A:$J,7,FALSE),""))</f>
        <v/>
      </c>
      <c r="J323" s="40" t="str">
        <f>IF(Bids!$C323="","",Bids!$C323)</f>
        <v/>
      </c>
      <c r="K323" s="40" t="str">
        <f>IF($J323="","",IFERROR(VLOOKUP($J323,Grinders!$A:$N,2,FALSE),""))</f>
        <v/>
      </c>
      <c r="L323" s="40" t="str">
        <f>IF($J323="","",IFERROR(VLOOKUP($J323,Grinders!$A:$N,3,FALSE),""))</f>
        <v/>
      </c>
      <c r="M323" s="40" t="str">
        <f>IF($J323="","",IFERROR(VLOOKUP($J323,Grinders!$A:$N,4,FALSE),""))</f>
        <v/>
      </c>
      <c r="N323" s="40" t="str">
        <f>IF($J323="","",IFERROR(VLOOKUP($J323,Grinders!$A:$N,5,FALSE),""))</f>
        <v/>
      </c>
      <c r="O323" s="40" t="str">
        <f t="shared" si="2"/>
        <v/>
      </c>
      <c r="P323" s="40" t="str">
        <f>IF($J323="","",IFERROR(VLOOKUP($J323,Grinders!$A:$N,6,FALSE),""))</f>
        <v/>
      </c>
      <c r="Q323" s="40" t="str">
        <f>IF($J323="","",IFERROR(VLOOKUP($J323,Grinders!$A:$N,8,FALSE),""))</f>
        <v/>
      </c>
      <c r="R323" s="40" t="str">
        <f>IFERROR(IF($J323="","",IF($L323="Elite",MAX(50,MIN(100,Config!$B$27*MAX(0,MIN(100,(1-IF($O323="",0,$O323))*100)) + Config!$B$28*MAX(0,MIN(100,(1-MIN(1,IF(Config!$B$30=0,1,$P323/Config!$B$30)))*100)) + Config!$B$29*MAX(0,MIN(100,MIN(1,IF($Q323="",0,$Q323)/Config!$B$23)*100)))),MIN(100,Config!$B$27*MAX(0,MIN(100,(1-IF($O323="",0,$O323))*100)) + Config!$B$28*MAX(0,MIN(100,(1-MIN(1,IF(Config!$B$30=0,1,$P323/Config!$B$30)))*100)) + Config!$B$29*MAX(0,MIN(100,MIN(1,IF($Q323="",0,$Q323)/Config!$B$23)*100))))),"")
</f>
        <v/>
      </c>
      <c r="S323" s="40" t="str">
        <f>IF(Bids!$AC323="","",Bids!$AC323)</f>
        <v/>
      </c>
      <c r="T323" s="40" t="str">
        <f>IF(Bids!$F323="","",Bids!$F323)</f>
        <v/>
      </c>
      <c r="U323" s="40" t="str">
        <f t="shared" si="3"/>
        <v/>
      </c>
      <c r="V323" s="40" t="str">
        <f>IF($U323="","",IF(Config!$B$17=Config!$B$16,IF($U323&gt;=Config!$B$17,100,0),MAX(0,MIN(100,($U323-Config!$B$16)/(Config!$B$17-Config!$B$16)*100))))</f>
        <v/>
      </c>
      <c r="W323" s="40">
        <f>IF($L323="Elite",Config!$B$21,0)</f>
        <v>0</v>
      </c>
      <c r="X323" s="40" t="str">
        <f>IFERROR(IF(OR($T323="",$G323=""),"",IF($T323&gt;$G323,
  MAX(0, 60-(($T323-$G323)*24/Config!$B$19)*60),
  MEDIAN(60, 100, 60+(($G323-$T323)*24/Config!$B$20)*40)
)),"")
</f>
        <v/>
      </c>
      <c r="Y323" s="40" t="str">
        <f>IF($J323="","",IFERROR(VLOOKUP($J323,Grinders!$A:$N,10,FALSE),""))</f>
        <v/>
      </c>
      <c r="Z323" s="40" t="str">
        <f>IF($J323="","",IFERROR(VLOOKUP($J323,Grinders!$A:$N,11,FALSE),""))</f>
        <v/>
      </c>
      <c r="AA323" s="40" t="str">
        <f>IF($J323="","",IFERROR(VLOOKUP($J323,Grinders!$A:$N,12,FALSE),""))</f>
        <v/>
      </c>
      <c r="AB323" s="40" t="str">
        <f>IF(OR(AL323=1,AM323=1),0,=IFERROR(IF(OR($C323="",$J323=""),0,IF($D323&lt;&gt;"Open",0,IF(COUNTIFS(GrinderServices!$A:$A,$J323,GrinderServices!$B:$B,$E323,GrinderServices!$D:$D,"Y")=0,0,IF($U323&lt;Config!$B$16,0,IF(Config!$B$18=1,IF($N323&gt;=$M323,0,1),1))))),""))</f>
        <v>#ERROR!</v>
      </c>
      <c r="AC323" s="40" t="str">
        <f>IFERROR((IF(OR(AL323=1,AM323=1),"",=IFERROR((IFERROR(IF($AB323=0,"",((Config!$B$6*$V323 + Config!$B$7*$R323 + Config!$B$8*$W323 + Config!$B$9*$X323 + Config!$B$10*$Y323 + Config!$B$11*$Z323 - Config!$B$12*$AA323)/Config!$B$13)+$AH323+$AI323),""))*(1-IFERROR(VLOOKUP(J323,Grinders!$A:$AB, 28, FALSE),0)),"")))*(1+AO323),"")</f>
        <v>#ERROR!</v>
      </c>
      <c r="AD323" s="40" t="str">
        <f t="shared" si="4"/>
        <v/>
      </c>
      <c r="AE323" s="40" t="str">
        <f>IFERROR(__xludf.DUMMYFUNCTION("IF($AC323="""","""",IF($AC323=IFERROR(MAX(FILTER($AC$6:$AC$1000,$C$6:$C$1000=$C323,$AB$6:$AB$1000=1)),),""WINNER"",""""))"),"#ERROR!")</f>
        <v>#ERROR!</v>
      </c>
      <c r="AF323" s="40" t="str">
        <f t="shared" si="5"/>
        <v/>
      </c>
      <c r="AG323" s="40" t="str">
        <f>IF($J323="","",COUNTIF(Assignments!$B:$B,$J323))</f>
        <v/>
      </c>
      <c r="AH323" s="40" t="str">
        <f>IF($J323="","",IF(AND($AG323=0,$N323&lt;$M323),Config!$B$43,0))</f>
        <v/>
      </c>
      <c r="AI323" s="40" t="str">
        <f>IF($J323="","",IF(AND($L323="Elite",$F323&gt;=Config!$B$41,$N323&lt;$M323),Config!$B$42,0))</f>
        <v/>
      </c>
      <c r="AJ323" s="22"/>
      <c r="AK323" s="39">
        <f>IFERROR(VLOOKUP(J323,Grinders!$A:$Q,28,FALSE),0)</f>
        <v>0</v>
      </c>
      <c r="AL323" s="39">
        <f>IF(Config!$B$1003&lt;&gt;"Y",0,IF(IFERROR(VLOOKUP(J323,Grinders!$A:$P,27,FALSE),0)&gt;=3,IF(OR(F323&gt;=Config!$B$1001,ISNUMBER(SEARCH(E323,Config!$B$1002))),1,0),0))</f>
        <v>0</v>
      </c>
      <c r="AM323" s="39">
        <f t="array" ref="AM323">IFERROR(IF(INDEX(Bids!$AE:$AE,MATCH(B323,Bids!$A:$A,0))="Pending",1,0),0)</f>
        <v>0</v>
      </c>
      <c r="AN323" s="39" t="str">
        <f t="array" ref="AN323">IF(C323="","",IFERROR(XLOOKUP(C323,Assignments!$C:$C,Assignments!$AU:$AU,0),0))</f>
        <v/>
      </c>
      <c r="AO323" s="39">
        <f>IF(AND(Config!$B$1006="Y",AN323=1),Config!$B$1007,0)</f>
        <v>0</v>
      </c>
    </row>
    <row r="324" ht="15.75" customHeight="1">
      <c r="A324" s="46" t="str">
        <f t="shared" si="1"/>
        <v/>
      </c>
      <c r="B324" s="40" t="str">
        <f>IF(Bids!$A324="","",Bids!$A324)</f>
        <v/>
      </c>
      <c r="C324" s="40" t="str">
        <f>IF(Bids!$B324="","",Bids!$B324)</f>
        <v/>
      </c>
      <c r="D324" s="40" t="str">
        <f>IF($C324="","",IFERROR(VLOOKUP($C324,Orders!$A:$J,9,FALSE),""))</f>
        <v/>
      </c>
      <c r="E324" s="40" t="str">
        <f>IF($C324="","",IFERROR(VLOOKUP($C324,Orders!$A:$J,3,FALSE),""))</f>
        <v/>
      </c>
      <c r="F324" s="40" t="str">
        <f>IF($C324="","",IFERROR(VLOOKUP($C324,Orders!$A:$J,4,FALSE),""))</f>
        <v/>
      </c>
      <c r="G324" s="40" t="str">
        <f>IF($C324="","",IFERROR(VLOOKUP($C324,Orders!$A:$J,5,FALSE),""))</f>
        <v/>
      </c>
      <c r="H324" s="40" t="str">
        <f>IF($C324="","",IFERROR(VLOOKUP($C324,Orders!$A:$J,6,FALSE),""))</f>
        <v/>
      </c>
      <c r="I324" s="40" t="str">
        <f>IF($C324="","",IFERROR(VLOOKUP($C324,Orders!$A:$J,7,FALSE),""))</f>
        <v/>
      </c>
      <c r="J324" s="40" t="str">
        <f>IF(Bids!$C324="","",Bids!$C324)</f>
        <v/>
      </c>
      <c r="K324" s="40" t="str">
        <f>IF($J324="","",IFERROR(VLOOKUP($J324,Grinders!$A:$N,2,FALSE),""))</f>
        <v/>
      </c>
      <c r="L324" s="40" t="str">
        <f>IF($J324="","",IFERROR(VLOOKUP($J324,Grinders!$A:$N,3,FALSE),""))</f>
        <v/>
      </c>
      <c r="M324" s="40" t="str">
        <f>IF($J324="","",IFERROR(VLOOKUP($J324,Grinders!$A:$N,4,FALSE),""))</f>
        <v/>
      </c>
      <c r="N324" s="40" t="str">
        <f>IF($J324="","",IFERROR(VLOOKUP($J324,Grinders!$A:$N,5,FALSE),""))</f>
        <v/>
      </c>
      <c r="O324" s="40" t="str">
        <f t="shared" si="2"/>
        <v/>
      </c>
      <c r="P324" s="40" t="str">
        <f>IF($J324="","",IFERROR(VLOOKUP($J324,Grinders!$A:$N,6,FALSE),""))</f>
        <v/>
      </c>
      <c r="Q324" s="40" t="str">
        <f>IF($J324="","",IFERROR(VLOOKUP($J324,Grinders!$A:$N,8,FALSE),""))</f>
        <v/>
      </c>
      <c r="R324" s="40" t="str">
        <f>IFERROR(IF($J324="","",IF($L324="Elite",MAX(50,MIN(100,Config!$B$27*MAX(0,MIN(100,(1-IF($O324="",0,$O324))*100)) + Config!$B$28*MAX(0,MIN(100,(1-MIN(1,IF(Config!$B$30=0,1,$P324/Config!$B$30)))*100)) + Config!$B$29*MAX(0,MIN(100,MIN(1,IF($Q324="",0,$Q324)/Config!$B$23)*100)))),MIN(100,Config!$B$27*MAX(0,MIN(100,(1-IF($O324="",0,$O324))*100)) + Config!$B$28*MAX(0,MIN(100,(1-MIN(1,IF(Config!$B$30=0,1,$P324/Config!$B$30)))*100)) + Config!$B$29*MAX(0,MIN(100,MIN(1,IF($Q324="",0,$Q324)/Config!$B$23)*100))))),"")
</f>
        <v/>
      </c>
      <c r="S324" s="40" t="str">
        <f>IF(Bids!$AC324="","",Bids!$AC324)</f>
        <v/>
      </c>
      <c r="T324" s="40" t="str">
        <f>IF(Bids!$F324="","",Bids!$F324)</f>
        <v/>
      </c>
      <c r="U324" s="40" t="str">
        <f t="shared" si="3"/>
        <v/>
      </c>
      <c r="V324" s="40" t="str">
        <f>IF($U324="","",IF(Config!$B$17=Config!$B$16,IF($U324&gt;=Config!$B$17,100,0),MAX(0,MIN(100,($U324-Config!$B$16)/(Config!$B$17-Config!$B$16)*100))))</f>
        <v/>
      </c>
      <c r="W324" s="40">
        <f>IF($L324="Elite",Config!$B$21,0)</f>
        <v>0</v>
      </c>
      <c r="X324" s="40" t="str">
        <f>IFERROR(IF(OR($T324="",$G324=""),"",IF($T324&gt;$G324,
  MAX(0, 60-(($T324-$G324)*24/Config!$B$19)*60),
  MEDIAN(60, 100, 60+(($G324-$T324)*24/Config!$B$20)*40)
)),"")
</f>
        <v/>
      </c>
      <c r="Y324" s="40" t="str">
        <f>IF($J324="","",IFERROR(VLOOKUP($J324,Grinders!$A:$N,10,FALSE),""))</f>
        <v/>
      </c>
      <c r="Z324" s="40" t="str">
        <f>IF($J324="","",IFERROR(VLOOKUP($J324,Grinders!$A:$N,11,FALSE),""))</f>
        <v/>
      </c>
      <c r="AA324" s="40" t="str">
        <f>IF($J324="","",IFERROR(VLOOKUP($J324,Grinders!$A:$N,12,FALSE),""))</f>
        <v/>
      </c>
      <c r="AB324" s="40" t="str">
        <f>IF(OR(AL324=1,AM324=1),0,=IFERROR(IF(OR($C324="",$J324=""),0,IF($D324&lt;&gt;"Open",0,IF(COUNTIFS(GrinderServices!$A:$A,$J324,GrinderServices!$B:$B,$E324,GrinderServices!$D:$D,"Y")=0,0,IF($U324&lt;Config!$B$16,0,IF(Config!$B$18=1,IF($N324&gt;=$M324,0,1),1))))),""))</f>
        <v>#ERROR!</v>
      </c>
      <c r="AC324" s="40" t="str">
        <f>IFERROR((IF(OR(AL324=1,AM324=1),"",=IFERROR((IFERROR(IF($AB324=0,"",((Config!$B$6*$V324 + Config!$B$7*$R324 + Config!$B$8*$W324 + Config!$B$9*$X324 + Config!$B$10*$Y324 + Config!$B$11*$Z324 - Config!$B$12*$AA324)/Config!$B$13)+$AH324+$AI324),""))*(1-IFERROR(VLOOKUP(J324,Grinders!$A:$AB, 28, FALSE),0)),"")))*(1+AO324),"")</f>
        <v>#ERROR!</v>
      </c>
      <c r="AD324" s="40" t="str">
        <f t="shared" si="4"/>
        <v/>
      </c>
      <c r="AE324" s="40" t="str">
        <f>IFERROR(__xludf.DUMMYFUNCTION("IF($AC324="""","""",IF($AC324=IFERROR(MAX(FILTER($AC$6:$AC$1000,$C$6:$C$1000=$C324,$AB$6:$AB$1000=1)),),""WINNER"",""""))"),"#ERROR!")</f>
        <v>#ERROR!</v>
      </c>
      <c r="AF324" s="40" t="str">
        <f t="shared" si="5"/>
        <v/>
      </c>
      <c r="AG324" s="40" t="str">
        <f>IF($J324="","",COUNTIF(Assignments!$B:$B,$J324))</f>
        <v/>
      </c>
      <c r="AH324" s="40" t="str">
        <f>IF($J324="","",IF(AND($AG324=0,$N324&lt;$M324),Config!$B$43,0))</f>
        <v/>
      </c>
      <c r="AI324" s="40" t="str">
        <f>IF($J324="","",IF(AND($L324="Elite",$F324&gt;=Config!$B$41,$N324&lt;$M324),Config!$B$42,0))</f>
        <v/>
      </c>
      <c r="AJ324" s="22"/>
      <c r="AK324" s="39">
        <f>IFERROR(VLOOKUP(J324,Grinders!$A:$Q,28,FALSE),0)</f>
        <v>0</v>
      </c>
      <c r="AL324" s="39">
        <f>IF(Config!$B$1003&lt;&gt;"Y",0,IF(IFERROR(VLOOKUP(J324,Grinders!$A:$P,27,FALSE),0)&gt;=3,IF(OR(F324&gt;=Config!$B$1001,ISNUMBER(SEARCH(E324,Config!$B$1002))),1,0),0))</f>
        <v>0</v>
      </c>
      <c r="AM324" s="39">
        <f t="array" ref="AM324">IFERROR(IF(INDEX(Bids!$AE:$AE,MATCH(B324,Bids!$A:$A,0))="Pending",1,0),0)</f>
        <v>0</v>
      </c>
      <c r="AN324" s="39" t="str">
        <f t="array" ref="AN324">IF(C324="","",IFERROR(XLOOKUP(C324,Assignments!$C:$C,Assignments!$AU:$AU,0),0))</f>
        <v/>
      </c>
      <c r="AO324" s="39">
        <f>IF(AND(Config!$B$1006="Y",AN324=1),Config!$B$1007,0)</f>
        <v>0</v>
      </c>
    </row>
    <row r="325" ht="15.75" customHeight="1">
      <c r="A325" s="46" t="str">
        <f t="shared" si="1"/>
        <v/>
      </c>
      <c r="B325" s="40" t="str">
        <f>IF(Bids!$A325="","",Bids!$A325)</f>
        <v/>
      </c>
      <c r="C325" s="40" t="str">
        <f>IF(Bids!$B325="","",Bids!$B325)</f>
        <v/>
      </c>
      <c r="D325" s="40" t="str">
        <f>IF($C325="","",IFERROR(VLOOKUP($C325,Orders!$A:$J,9,FALSE),""))</f>
        <v/>
      </c>
      <c r="E325" s="40" t="str">
        <f>IF($C325="","",IFERROR(VLOOKUP($C325,Orders!$A:$J,3,FALSE),""))</f>
        <v/>
      </c>
      <c r="F325" s="40" t="str">
        <f>IF($C325="","",IFERROR(VLOOKUP($C325,Orders!$A:$J,4,FALSE),""))</f>
        <v/>
      </c>
      <c r="G325" s="40" t="str">
        <f>IF($C325="","",IFERROR(VLOOKUP($C325,Orders!$A:$J,5,FALSE),""))</f>
        <v/>
      </c>
      <c r="H325" s="40" t="str">
        <f>IF($C325="","",IFERROR(VLOOKUP($C325,Orders!$A:$J,6,FALSE),""))</f>
        <v/>
      </c>
      <c r="I325" s="40" t="str">
        <f>IF($C325="","",IFERROR(VLOOKUP($C325,Orders!$A:$J,7,FALSE),""))</f>
        <v/>
      </c>
      <c r="J325" s="40" t="str">
        <f>IF(Bids!$C325="","",Bids!$C325)</f>
        <v/>
      </c>
      <c r="K325" s="40" t="str">
        <f>IF($J325="","",IFERROR(VLOOKUP($J325,Grinders!$A:$N,2,FALSE),""))</f>
        <v/>
      </c>
      <c r="L325" s="40" t="str">
        <f>IF($J325="","",IFERROR(VLOOKUP($J325,Grinders!$A:$N,3,FALSE),""))</f>
        <v/>
      </c>
      <c r="M325" s="40" t="str">
        <f>IF($J325="","",IFERROR(VLOOKUP($J325,Grinders!$A:$N,4,FALSE),""))</f>
        <v/>
      </c>
      <c r="N325" s="40" t="str">
        <f>IF($J325="","",IFERROR(VLOOKUP($J325,Grinders!$A:$N,5,FALSE),""))</f>
        <v/>
      </c>
      <c r="O325" s="40" t="str">
        <f t="shared" si="2"/>
        <v/>
      </c>
      <c r="P325" s="40" t="str">
        <f>IF($J325="","",IFERROR(VLOOKUP($J325,Grinders!$A:$N,6,FALSE),""))</f>
        <v/>
      </c>
      <c r="Q325" s="40" t="str">
        <f>IF($J325="","",IFERROR(VLOOKUP($J325,Grinders!$A:$N,8,FALSE),""))</f>
        <v/>
      </c>
      <c r="R325" s="40" t="str">
        <f>IFERROR(IF($J325="","",IF($L325="Elite",MAX(50,MIN(100,Config!$B$27*MAX(0,MIN(100,(1-IF($O325="",0,$O325))*100)) + Config!$B$28*MAX(0,MIN(100,(1-MIN(1,IF(Config!$B$30=0,1,$P325/Config!$B$30)))*100)) + Config!$B$29*MAX(0,MIN(100,MIN(1,IF($Q325="",0,$Q325)/Config!$B$23)*100)))),MIN(100,Config!$B$27*MAX(0,MIN(100,(1-IF($O325="",0,$O325))*100)) + Config!$B$28*MAX(0,MIN(100,(1-MIN(1,IF(Config!$B$30=0,1,$P325/Config!$B$30)))*100)) + Config!$B$29*MAX(0,MIN(100,MIN(1,IF($Q325="",0,$Q325)/Config!$B$23)*100))))),"")
</f>
        <v/>
      </c>
      <c r="S325" s="40" t="str">
        <f>IF(Bids!$AC325="","",Bids!$AC325)</f>
        <v/>
      </c>
      <c r="T325" s="40" t="str">
        <f>IF(Bids!$F325="","",Bids!$F325)</f>
        <v/>
      </c>
      <c r="U325" s="40" t="str">
        <f t="shared" si="3"/>
        <v/>
      </c>
      <c r="V325" s="40" t="str">
        <f>IF($U325="","",IF(Config!$B$17=Config!$B$16,IF($U325&gt;=Config!$B$17,100,0),MAX(0,MIN(100,($U325-Config!$B$16)/(Config!$B$17-Config!$B$16)*100))))</f>
        <v/>
      </c>
      <c r="W325" s="40">
        <f>IF($L325="Elite",Config!$B$21,0)</f>
        <v>0</v>
      </c>
      <c r="X325" s="40" t="str">
        <f>IFERROR(IF(OR($T325="",$G325=""),"",IF($T325&gt;$G325,
  MAX(0, 60-(($T325-$G325)*24/Config!$B$19)*60),
  MEDIAN(60, 100, 60+(($G325-$T325)*24/Config!$B$20)*40)
)),"")
</f>
        <v/>
      </c>
      <c r="Y325" s="40" t="str">
        <f>IF($J325="","",IFERROR(VLOOKUP($J325,Grinders!$A:$N,10,FALSE),""))</f>
        <v/>
      </c>
      <c r="Z325" s="40" t="str">
        <f>IF($J325="","",IFERROR(VLOOKUP($J325,Grinders!$A:$N,11,FALSE),""))</f>
        <v/>
      </c>
      <c r="AA325" s="40" t="str">
        <f>IF($J325="","",IFERROR(VLOOKUP($J325,Grinders!$A:$N,12,FALSE),""))</f>
        <v/>
      </c>
      <c r="AB325" s="40" t="str">
        <f>IF(OR(AL325=1,AM325=1),0,=IFERROR(IF(OR($C325="",$J325=""),0,IF($D325&lt;&gt;"Open",0,IF(COUNTIFS(GrinderServices!$A:$A,$J325,GrinderServices!$B:$B,$E325,GrinderServices!$D:$D,"Y")=0,0,IF($U325&lt;Config!$B$16,0,IF(Config!$B$18=1,IF($N325&gt;=$M325,0,1),1))))),""))</f>
        <v>#ERROR!</v>
      </c>
      <c r="AC325" s="40" t="str">
        <f>IFERROR((IF(OR(AL325=1,AM325=1),"",=IFERROR((IFERROR(IF($AB325=0,"",((Config!$B$6*$V325 + Config!$B$7*$R325 + Config!$B$8*$W325 + Config!$B$9*$X325 + Config!$B$10*$Y325 + Config!$B$11*$Z325 - Config!$B$12*$AA325)/Config!$B$13)+$AH325+$AI325),""))*(1-IFERROR(VLOOKUP(J325,Grinders!$A:$AB, 28, FALSE),0)),"")))*(1+AO325),"")</f>
        <v>#ERROR!</v>
      </c>
      <c r="AD325" s="40" t="str">
        <f t="shared" si="4"/>
        <v/>
      </c>
      <c r="AE325" s="40" t="str">
        <f>IFERROR(__xludf.DUMMYFUNCTION("IF($AC325="""","""",IF($AC325=IFERROR(MAX(FILTER($AC$6:$AC$1000,$C$6:$C$1000=$C325,$AB$6:$AB$1000=1)),),""WINNER"",""""))"),"#ERROR!")</f>
        <v>#ERROR!</v>
      </c>
      <c r="AF325" s="40" t="str">
        <f t="shared" si="5"/>
        <v/>
      </c>
      <c r="AG325" s="40" t="str">
        <f>IF($J325="","",COUNTIF(Assignments!$B:$B,$J325))</f>
        <v/>
      </c>
      <c r="AH325" s="40" t="str">
        <f>IF($J325="","",IF(AND($AG325=0,$N325&lt;$M325),Config!$B$43,0))</f>
        <v/>
      </c>
      <c r="AI325" s="40" t="str">
        <f>IF($J325="","",IF(AND($L325="Elite",$F325&gt;=Config!$B$41,$N325&lt;$M325),Config!$B$42,0))</f>
        <v/>
      </c>
      <c r="AJ325" s="22"/>
      <c r="AK325" s="39">
        <f>IFERROR(VLOOKUP(J325,Grinders!$A:$Q,28,FALSE),0)</f>
        <v>0</v>
      </c>
      <c r="AL325" s="39">
        <f>IF(Config!$B$1003&lt;&gt;"Y",0,IF(IFERROR(VLOOKUP(J325,Grinders!$A:$P,27,FALSE),0)&gt;=3,IF(OR(F325&gt;=Config!$B$1001,ISNUMBER(SEARCH(E325,Config!$B$1002))),1,0),0))</f>
        <v>0</v>
      </c>
      <c r="AM325" s="39">
        <f t="array" ref="AM325">IFERROR(IF(INDEX(Bids!$AE:$AE,MATCH(B325,Bids!$A:$A,0))="Pending",1,0),0)</f>
        <v>0</v>
      </c>
      <c r="AN325" s="39" t="str">
        <f t="array" ref="AN325">IF(C325="","",IFERROR(XLOOKUP(C325,Assignments!$C:$C,Assignments!$AU:$AU,0),0))</f>
        <v/>
      </c>
      <c r="AO325" s="39">
        <f>IF(AND(Config!$B$1006="Y",AN325=1),Config!$B$1007,0)</f>
        <v>0</v>
      </c>
    </row>
    <row r="326" ht="15.75" customHeight="1">
      <c r="A326" s="46" t="str">
        <f t="shared" si="1"/>
        <v/>
      </c>
      <c r="B326" s="40" t="str">
        <f>IF(Bids!$A326="","",Bids!$A326)</f>
        <v/>
      </c>
      <c r="C326" s="40" t="str">
        <f>IF(Bids!$B326="","",Bids!$B326)</f>
        <v/>
      </c>
      <c r="D326" s="40" t="str">
        <f>IF($C326="","",IFERROR(VLOOKUP($C326,Orders!$A:$J,9,FALSE),""))</f>
        <v/>
      </c>
      <c r="E326" s="40" t="str">
        <f>IF($C326="","",IFERROR(VLOOKUP($C326,Orders!$A:$J,3,FALSE),""))</f>
        <v/>
      </c>
      <c r="F326" s="40" t="str">
        <f>IF($C326="","",IFERROR(VLOOKUP($C326,Orders!$A:$J,4,FALSE),""))</f>
        <v/>
      </c>
      <c r="G326" s="40" t="str">
        <f>IF($C326="","",IFERROR(VLOOKUP($C326,Orders!$A:$J,5,FALSE),""))</f>
        <v/>
      </c>
      <c r="H326" s="40" t="str">
        <f>IF($C326="","",IFERROR(VLOOKUP($C326,Orders!$A:$J,6,FALSE),""))</f>
        <v/>
      </c>
      <c r="I326" s="40" t="str">
        <f>IF($C326="","",IFERROR(VLOOKUP($C326,Orders!$A:$J,7,FALSE),""))</f>
        <v/>
      </c>
      <c r="J326" s="40" t="str">
        <f>IF(Bids!$C326="","",Bids!$C326)</f>
        <v/>
      </c>
      <c r="K326" s="40" t="str">
        <f>IF($J326="","",IFERROR(VLOOKUP($J326,Grinders!$A:$N,2,FALSE),""))</f>
        <v/>
      </c>
      <c r="L326" s="40" t="str">
        <f>IF($J326="","",IFERROR(VLOOKUP($J326,Grinders!$A:$N,3,FALSE),""))</f>
        <v/>
      </c>
      <c r="M326" s="40" t="str">
        <f>IF($J326="","",IFERROR(VLOOKUP($J326,Grinders!$A:$N,4,FALSE),""))</f>
        <v/>
      </c>
      <c r="N326" s="40" t="str">
        <f>IF($J326="","",IFERROR(VLOOKUP($J326,Grinders!$A:$N,5,FALSE),""))</f>
        <v/>
      </c>
      <c r="O326" s="40" t="str">
        <f t="shared" si="2"/>
        <v/>
      </c>
      <c r="P326" s="40" t="str">
        <f>IF($J326="","",IFERROR(VLOOKUP($J326,Grinders!$A:$N,6,FALSE),""))</f>
        <v/>
      </c>
      <c r="Q326" s="40" t="str">
        <f>IF($J326="","",IFERROR(VLOOKUP($J326,Grinders!$A:$N,8,FALSE),""))</f>
        <v/>
      </c>
      <c r="R326" s="40" t="str">
        <f>IFERROR(IF($J326="","",IF($L326="Elite",MAX(50,MIN(100,Config!$B$27*MAX(0,MIN(100,(1-IF($O326="",0,$O326))*100)) + Config!$B$28*MAX(0,MIN(100,(1-MIN(1,IF(Config!$B$30=0,1,$P326/Config!$B$30)))*100)) + Config!$B$29*MAX(0,MIN(100,MIN(1,IF($Q326="",0,$Q326)/Config!$B$23)*100)))),MIN(100,Config!$B$27*MAX(0,MIN(100,(1-IF($O326="",0,$O326))*100)) + Config!$B$28*MAX(0,MIN(100,(1-MIN(1,IF(Config!$B$30=0,1,$P326/Config!$B$30)))*100)) + Config!$B$29*MAX(0,MIN(100,MIN(1,IF($Q326="",0,$Q326)/Config!$B$23)*100))))),"")
</f>
        <v/>
      </c>
      <c r="S326" s="40" t="str">
        <f>IF(Bids!$AC326="","",Bids!$AC326)</f>
        <v/>
      </c>
      <c r="T326" s="40" t="str">
        <f>IF(Bids!$F326="","",Bids!$F326)</f>
        <v/>
      </c>
      <c r="U326" s="40" t="str">
        <f t="shared" si="3"/>
        <v/>
      </c>
      <c r="V326" s="40" t="str">
        <f>IF($U326="","",IF(Config!$B$17=Config!$B$16,IF($U326&gt;=Config!$B$17,100,0),MAX(0,MIN(100,($U326-Config!$B$16)/(Config!$B$17-Config!$B$16)*100))))</f>
        <v/>
      </c>
      <c r="W326" s="40">
        <f>IF($L326="Elite",Config!$B$21,0)</f>
        <v>0</v>
      </c>
      <c r="X326" s="40" t="str">
        <f>IFERROR(IF(OR($T326="",$G326=""),"",IF($T326&gt;$G326,
  MAX(0, 60-(($T326-$G326)*24/Config!$B$19)*60),
  MEDIAN(60, 100, 60+(($G326-$T326)*24/Config!$B$20)*40)
)),"")
</f>
        <v/>
      </c>
      <c r="Y326" s="40" t="str">
        <f>IF($J326="","",IFERROR(VLOOKUP($J326,Grinders!$A:$N,10,FALSE),""))</f>
        <v/>
      </c>
      <c r="Z326" s="40" t="str">
        <f>IF($J326="","",IFERROR(VLOOKUP($J326,Grinders!$A:$N,11,FALSE),""))</f>
        <v/>
      </c>
      <c r="AA326" s="40" t="str">
        <f>IF($J326="","",IFERROR(VLOOKUP($J326,Grinders!$A:$N,12,FALSE),""))</f>
        <v/>
      </c>
      <c r="AB326" s="40" t="str">
        <f>IF(OR(AL326=1,AM326=1),0,=IFERROR(IF(OR($C326="",$J326=""),0,IF($D326&lt;&gt;"Open",0,IF(COUNTIFS(GrinderServices!$A:$A,$J326,GrinderServices!$B:$B,$E326,GrinderServices!$D:$D,"Y")=0,0,IF($U326&lt;Config!$B$16,0,IF(Config!$B$18=1,IF($N326&gt;=$M326,0,1),1))))),""))</f>
        <v>#ERROR!</v>
      </c>
      <c r="AC326" s="40" t="str">
        <f>IFERROR((IF(OR(AL326=1,AM326=1),"",=IFERROR((IFERROR(IF($AB326=0,"",((Config!$B$6*$V326 + Config!$B$7*$R326 + Config!$B$8*$W326 + Config!$B$9*$X326 + Config!$B$10*$Y326 + Config!$B$11*$Z326 - Config!$B$12*$AA326)/Config!$B$13)+$AH326+$AI326),""))*(1-IFERROR(VLOOKUP(J326,Grinders!$A:$AB, 28, FALSE),0)),"")))*(1+AO326),"")</f>
        <v>#ERROR!</v>
      </c>
      <c r="AD326" s="40" t="str">
        <f t="shared" si="4"/>
        <v/>
      </c>
      <c r="AE326" s="40" t="str">
        <f>IFERROR(__xludf.DUMMYFUNCTION("IF($AC326="""","""",IF($AC326=IFERROR(MAX(FILTER($AC$6:$AC$1000,$C$6:$C$1000=$C326,$AB$6:$AB$1000=1)),),""WINNER"",""""))"),"#ERROR!")</f>
        <v>#ERROR!</v>
      </c>
      <c r="AF326" s="40" t="str">
        <f t="shared" si="5"/>
        <v/>
      </c>
      <c r="AG326" s="40" t="str">
        <f>IF($J326="","",COUNTIF(Assignments!$B:$B,$J326))</f>
        <v/>
      </c>
      <c r="AH326" s="40" t="str">
        <f>IF($J326="","",IF(AND($AG326=0,$N326&lt;$M326),Config!$B$43,0))</f>
        <v/>
      </c>
      <c r="AI326" s="40" t="str">
        <f>IF($J326="","",IF(AND($L326="Elite",$F326&gt;=Config!$B$41,$N326&lt;$M326),Config!$B$42,0))</f>
        <v/>
      </c>
      <c r="AJ326" s="22"/>
      <c r="AK326" s="39">
        <f>IFERROR(VLOOKUP(J326,Grinders!$A:$Q,28,FALSE),0)</f>
        <v>0</v>
      </c>
      <c r="AL326" s="39">
        <f>IF(Config!$B$1003&lt;&gt;"Y",0,IF(IFERROR(VLOOKUP(J326,Grinders!$A:$P,27,FALSE),0)&gt;=3,IF(OR(F326&gt;=Config!$B$1001,ISNUMBER(SEARCH(E326,Config!$B$1002))),1,0),0))</f>
        <v>0</v>
      </c>
      <c r="AM326" s="39">
        <f t="array" ref="AM326">IFERROR(IF(INDEX(Bids!$AE:$AE,MATCH(B326,Bids!$A:$A,0))="Pending",1,0),0)</f>
        <v>0</v>
      </c>
      <c r="AN326" s="39" t="str">
        <f t="array" ref="AN326">IF(C326="","",IFERROR(XLOOKUP(C326,Assignments!$C:$C,Assignments!$AU:$AU,0),0))</f>
        <v/>
      </c>
      <c r="AO326" s="39">
        <f>IF(AND(Config!$B$1006="Y",AN326=1),Config!$B$1007,0)</f>
        <v>0</v>
      </c>
    </row>
    <row r="327" ht="15.75" customHeight="1">
      <c r="A327" s="46" t="str">
        <f t="shared" si="1"/>
        <v/>
      </c>
      <c r="B327" s="40" t="str">
        <f>IF(Bids!$A327="","",Bids!$A327)</f>
        <v/>
      </c>
      <c r="C327" s="40" t="str">
        <f>IF(Bids!$B327="","",Bids!$B327)</f>
        <v/>
      </c>
      <c r="D327" s="40" t="str">
        <f>IF($C327="","",IFERROR(VLOOKUP($C327,Orders!$A:$J,9,FALSE),""))</f>
        <v/>
      </c>
      <c r="E327" s="40" t="str">
        <f>IF($C327="","",IFERROR(VLOOKUP($C327,Orders!$A:$J,3,FALSE),""))</f>
        <v/>
      </c>
      <c r="F327" s="40" t="str">
        <f>IF($C327="","",IFERROR(VLOOKUP($C327,Orders!$A:$J,4,FALSE),""))</f>
        <v/>
      </c>
      <c r="G327" s="40" t="str">
        <f>IF($C327="","",IFERROR(VLOOKUP($C327,Orders!$A:$J,5,FALSE),""))</f>
        <v/>
      </c>
      <c r="H327" s="40" t="str">
        <f>IF($C327="","",IFERROR(VLOOKUP($C327,Orders!$A:$J,6,FALSE),""))</f>
        <v/>
      </c>
      <c r="I327" s="40" t="str">
        <f>IF($C327="","",IFERROR(VLOOKUP($C327,Orders!$A:$J,7,FALSE),""))</f>
        <v/>
      </c>
      <c r="J327" s="40" t="str">
        <f>IF(Bids!$C327="","",Bids!$C327)</f>
        <v/>
      </c>
      <c r="K327" s="40" t="str">
        <f>IF($J327="","",IFERROR(VLOOKUP($J327,Grinders!$A:$N,2,FALSE),""))</f>
        <v/>
      </c>
      <c r="L327" s="40" t="str">
        <f>IF($J327="","",IFERROR(VLOOKUP($J327,Grinders!$A:$N,3,FALSE),""))</f>
        <v/>
      </c>
      <c r="M327" s="40" t="str">
        <f>IF($J327="","",IFERROR(VLOOKUP($J327,Grinders!$A:$N,4,FALSE),""))</f>
        <v/>
      </c>
      <c r="N327" s="40" t="str">
        <f>IF($J327="","",IFERROR(VLOOKUP($J327,Grinders!$A:$N,5,FALSE),""))</f>
        <v/>
      </c>
      <c r="O327" s="40" t="str">
        <f t="shared" si="2"/>
        <v/>
      </c>
      <c r="P327" s="40" t="str">
        <f>IF($J327="","",IFERROR(VLOOKUP($J327,Grinders!$A:$N,6,FALSE),""))</f>
        <v/>
      </c>
      <c r="Q327" s="40" t="str">
        <f>IF($J327="","",IFERROR(VLOOKUP($J327,Grinders!$A:$N,8,FALSE),""))</f>
        <v/>
      </c>
      <c r="R327" s="40" t="str">
        <f>IFERROR(IF($J327="","",IF($L327="Elite",MAX(50,MIN(100,Config!$B$27*MAX(0,MIN(100,(1-IF($O327="",0,$O327))*100)) + Config!$B$28*MAX(0,MIN(100,(1-MIN(1,IF(Config!$B$30=0,1,$P327/Config!$B$30)))*100)) + Config!$B$29*MAX(0,MIN(100,MIN(1,IF($Q327="",0,$Q327)/Config!$B$23)*100)))),MIN(100,Config!$B$27*MAX(0,MIN(100,(1-IF($O327="",0,$O327))*100)) + Config!$B$28*MAX(0,MIN(100,(1-MIN(1,IF(Config!$B$30=0,1,$P327/Config!$B$30)))*100)) + Config!$B$29*MAX(0,MIN(100,MIN(1,IF($Q327="",0,$Q327)/Config!$B$23)*100))))),"")
</f>
        <v/>
      </c>
      <c r="S327" s="40" t="str">
        <f>IF(Bids!$AC327="","",Bids!$AC327)</f>
        <v/>
      </c>
      <c r="T327" s="40" t="str">
        <f>IF(Bids!$F327="","",Bids!$F327)</f>
        <v/>
      </c>
      <c r="U327" s="40" t="str">
        <f t="shared" si="3"/>
        <v/>
      </c>
      <c r="V327" s="40" t="str">
        <f>IF($U327="","",IF(Config!$B$17=Config!$B$16,IF($U327&gt;=Config!$B$17,100,0),MAX(0,MIN(100,($U327-Config!$B$16)/(Config!$B$17-Config!$B$16)*100))))</f>
        <v/>
      </c>
      <c r="W327" s="40">
        <f>IF($L327="Elite",Config!$B$21,0)</f>
        <v>0</v>
      </c>
      <c r="X327" s="40" t="str">
        <f>IFERROR(IF(OR($T327="",$G327=""),"",IF($T327&gt;$G327,
  MAX(0, 60-(($T327-$G327)*24/Config!$B$19)*60),
  MEDIAN(60, 100, 60+(($G327-$T327)*24/Config!$B$20)*40)
)),"")
</f>
        <v/>
      </c>
      <c r="Y327" s="40" t="str">
        <f>IF($J327="","",IFERROR(VLOOKUP($J327,Grinders!$A:$N,10,FALSE),""))</f>
        <v/>
      </c>
      <c r="Z327" s="40" t="str">
        <f>IF($J327="","",IFERROR(VLOOKUP($J327,Grinders!$A:$N,11,FALSE),""))</f>
        <v/>
      </c>
      <c r="AA327" s="40" t="str">
        <f>IF($J327="","",IFERROR(VLOOKUP($J327,Grinders!$A:$N,12,FALSE),""))</f>
        <v/>
      </c>
      <c r="AB327" s="40" t="str">
        <f>IF(OR(AL327=1,AM327=1),0,=IFERROR(IF(OR($C327="",$J327=""),0,IF($D327&lt;&gt;"Open",0,IF(COUNTIFS(GrinderServices!$A:$A,$J327,GrinderServices!$B:$B,$E327,GrinderServices!$D:$D,"Y")=0,0,IF($U327&lt;Config!$B$16,0,IF(Config!$B$18=1,IF($N327&gt;=$M327,0,1),1))))),""))</f>
        <v>#ERROR!</v>
      </c>
      <c r="AC327" s="40" t="str">
        <f>IFERROR((IF(OR(AL327=1,AM327=1),"",=IFERROR((IFERROR(IF($AB327=0,"",((Config!$B$6*$V327 + Config!$B$7*$R327 + Config!$B$8*$W327 + Config!$B$9*$X327 + Config!$B$10*$Y327 + Config!$B$11*$Z327 - Config!$B$12*$AA327)/Config!$B$13)+$AH327+$AI327),""))*(1-IFERROR(VLOOKUP(J327,Grinders!$A:$AB, 28, FALSE),0)),"")))*(1+AO327),"")</f>
        <v>#ERROR!</v>
      </c>
      <c r="AD327" s="40" t="str">
        <f t="shared" si="4"/>
        <v/>
      </c>
      <c r="AE327" s="40" t="str">
        <f>IFERROR(__xludf.DUMMYFUNCTION("IF($AC327="""","""",IF($AC327=IFERROR(MAX(FILTER($AC$6:$AC$1000,$C$6:$C$1000=$C327,$AB$6:$AB$1000=1)),),""WINNER"",""""))"),"#ERROR!")</f>
        <v>#ERROR!</v>
      </c>
      <c r="AF327" s="40" t="str">
        <f t="shared" si="5"/>
        <v/>
      </c>
      <c r="AG327" s="40" t="str">
        <f>IF($J327="","",COUNTIF(Assignments!$B:$B,$J327))</f>
        <v/>
      </c>
      <c r="AH327" s="40" t="str">
        <f>IF($J327="","",IF(AND($AG327=0,$N327&lt;$M327),Config!$B$43,0))</f>
        <v/>
      </c>
      <c r="AI327" s="40" t="str">
        <f>IF($J327="","",IF(AND($L327="Elite",$F327&gt;=Config!$B$41,$N327&lt;$M327),Config!$B$42,0))</f>
        <v/>
      </c>
      <c r="AJ327" s="22"/>
      <c r="AK327" s="39">
        <f>IFERROR(VLOOKUP(J327,Grinders!$A:$Q,28,FALSE),0)</f>
        <v>0</v>
      </c>
      <c r="AL327" s="39">
        <f>IF(Config!$B$1003&lt;&gt;"Y",0,IF(IFERROR(VLOOKUP(J327,Grinders!$A:$P,27,FALSE),0)&gt;=3,IF(OR(F327&gt;=Config!$B$1001,ISNUMBER(SEARCH(E327,Config!$B$1002))),1,0),0))</f>
        <v>0</v>
      </c>
      <c r="AM327" s="39">
        <f t="array" ref="AM327">IFERROR(IF(INDEX(Bids!$AE:$AE,MATCH(B327,Bids!$A:$A,0))="Pending",1,0),0)</f>
        <v>0</v>
      </c>
      <c r="AN327" s="39" t="str">
        <f t="array" ref="AN327">IF(C327="","",IFERROR(XLOOKUP(C327,Assignments!$C:$C,Assignments!$AU:$AU,0),0))</f>
        <v/>
      </c>
      <c r="AO327" s="39">
        <f>IF(AND(Config!$B$1006="Y",AN327=1),Config!$B$1007,0)</f>
        <v>0</v>
      </c>
    </row>
    <row r="328" ht="15.75" customHeight="1">
      <c r="A328" s="46" t="str">
        <f t="shared" si="1"/>
        <v/>
      </c>
      <c r="B328" s="40" t="str">
        <f>IF(Bids!$A328="","",Bids!$A328)</f>
        <v/>
      </c>
      <c r="C328" s="40" t="str">
        <f>IF(Bids!$B328="","",Bids!$B328)</f>
        <v/>
      </c>
      <c r="D328" s="40" t="str">
        <f>IF($C328="","",IFERROR(VLOOKUP($C328,Orders!$A:$J,9,FALSE),""))</f>
        <v/>
      </c>
      <c r="E328" s="40" t="str">
        <f>IF($C328="","",IFERROR(VLOOKUP($C328,Orders!$A:$J,3,FALSE),""))</f>
        <v/>
      </c>
      <c r="F328" s="40" t="str">
        <f>IF($C328="","",IFERROR(VLOOKUP($C328,Orders!$A:$J,4,FALSE),""))</f>
        <v/>
      </c>
      <c r="G328" s="40" t="str">
        <f>IF($C328="","",IFERROR(VLOOKUP($C328,Orders!$A:$J,5,FALSE),""))</f>
        <v/>
      </c>
      <c r="H328" s="40" t="str">
        <f>IF($C328="","",IFERROR(VLOOKUP($C328,Orders!$A:$J,6,FALSE),""))</f>
        <v/>
      </c>
      <c r="I328" s="40" t="str">
        <f>IF($C328="","",IFERROR(VLOOKUP($C328,Orders!$A:$J,7,FALSE),""))</f>
        <v/>
      </c>
      <c r="J328" s="40" t="str">
        <f>IF(Bids!$C328="","",Bids!$C328)</f>
        <v/>
      </c>
      <c r="K328" s="40" t="str">
        <f>IF($J328="","",IFERROR(VLOOKUP($J328,Grinders!$A:$N,2,FALSE),""))</f>
        <v/>
      </c>
      <c r="L328" s="40" t="str">
        <f>IF($J328="","",IFERROR(VLOOKUP($J328,Grinders!$A:$N,3,FALSE),""))</f>
        <v/>
      </c>
      <c r="M328" s="40" t="str">
        <f>IF($J328="","",IFERROR(VLOOKUP($J328,Grinders!$A:$N,4,FALSE),""))</f>
        <v/>
      </c>
      <c r="N328" s="40" t="str">
        <f>IF($J328="","",IFERROR(VLOOKUP($J328,Grinders!$A:$N,5,FALSE),""))</f>
        <v/>
      </c>
      <c r="O328" s="40" t="str">
        <f t="shared" si="2"/>
        <v/>
      </c>
      <c r="P328" s="40" t="str">
        <f>IF($J328="","",IFERROR(VLOOKUP($J328,Grinders!$A:$N,6,FALSE),""))</f>
        <v/>
      </c>
      <c r="Q328" s="40" t="str">
        <f>IF($J328="","",IFERROR(VLOOKUP($J328,Grinders!$A:$N,8,FALSE),""))</f>
        <v/>
      </c>
      <c r="R328" s="40" t="str">
        <f>IFERROR(IF($J328="","",IF($L328="Elite",MAX(50,MIN(100,Config!$B$27*MAX(0,MIN(100,(1-IF($O328="",0,$O328))*100)) + Config!$B$28*MAX(0,MIN(100,(1-MIN(1,IF(Config!$B$30=0,1,$P328/Config!$B$30)))*100)) + Config!$B$29*MAX(0,MIN(100,MIN(1,IF($Q328="",0,$Q328)/Config!$B$23)*100)))),MIN(100,Config!$B$27*MAX(0,MIN(100,(1-IF($O328="",0,$O328))*100)) + Config!$B$28*MAX(0,MIN(100,(1-MIN(1,IF(Config!$B$30=0,1,$P328/Config!$B$30)))*100)) + Config!$B$29*MAX(0,MIN(100,MIN(1,IF($Q328="",0,$Q328)/Config!$B$23)*100))))),"")
</f>
        <v/>
      </c>
      <c r="S328" s="40" t="str">
        <f>IF(Bids!$AC328="","",Bids!$AC328)</f>
        <v/>
      </c>
      <c r="T328" s="40" t="str">
        <f>IF(Bids!$F328="","",Bids!$F328)</f>
        <v/>
      </c>
      <c r="U328" s="40" t="str">
        <f t="shared" si="3"/>
        <v/>
      </c>
      <c r="V328" s="40" t="str">
        <f>IF($U328="","",IF(Config!$B$17=Config!$B$16,IF($U328&gt;=Config!$B$17,100,0),MAX(0,MIN(100,($U328-Config!$B$16)/(Config!$B$17-Config!$B$16)*100))))</f>
        <v/>
      </c>
      <c r="W328" s="40">
        <f>IF($L328="Elite",Config!$B$21,0)</f>
        <v>0</v>
      </c>
      <c r="X328" s="40" t="str">
        <f>IFERROR(IF(OR($T328="",$G328=""),"",IF($T328&gt;$G328,
  MAX(0, 60-(($T328-$G328)*24/Config!$B$19)*60),
  MEDIAN(60, 100, 60+(($G328-$T328)*24/Config!$B$20)*40)
)),"")
</f>
        <v/>
      </c>
      <c r="Y328" s="40" t="str">
        <f>IF($J328="","",IFERROR(VLOOKUP($J328,Grinders!$A:$N,10,FALSE),""))</f>
        <v/>
      </c>
      <c r="Z328" s="40" t="str">
        <f>IF($J328="","",IFERROR(VLOOKUP($J328,Grinders!$A:$N,11,FALSE),""))</f>
        <v/>
      </c>
      <c r="AA328" s="40" t="str">
        <f>IF($J328="","",IFERROR(VLOOKUP($J328,Grinders!$A:$N,12,FALSE),""))</f>
        <v/>
      </c>
      <c r="AB328" s="40" t="str">
        <f>IF(OR(AL328=1,AM328=1),0,=IFERROR(IF(OR($C328="",$J328=""),0,IF($D328&lt;&gt;"Open",0,IF(COUNTIFS(GrinderServices!$A:$A,$J328,GrinderServices!$B:$B,$E328,GrinderServices!$D:$D,"Y")=0,0,IF($U328&lt;Config!$B$16,0,IF(Config!$B$18=1,IF($N328&gt;=$M328,0,1),1))))),""))</f>
        <v>#ERROR!</v>
      </c>
      <c r="AC328" s="40" t="str">
        <f>IFERROR((IF(OR(AL328=1,AM328=1),"",=IFERROR((IFERROR(IF($AB328=0,"",((Config!$B$6*$V328 + Config!$B$7*$R328 + Config!$B$8*$W328 + Config!$B$9*$X328 + Config!$B$10*$Y328 + Config!$B$11*$Z328 - Config!$B$12*$AA328)/Config!$B$13)+$AH328+$AI328),""))*(1-IFERROR(VLOOKUP(J328,Grinders!$A:$AB, 28, FALSE),0)),"")))*(1+AO328),"")</f>
        <v>#ERROR!</v>
      </c>
      <c r="AD328" s="40" t="str">
        <f t="shared" si="4"/>
        <v/>
      </c>
      <c r="AE328" s="40" t="str">
        <f>IFERROR(__xludf.DUMMYFUNCTION("IF($AC328="""","""",IF($AC328=IFERROR(MAX(FILTER($AC$6:$AC$1000,$C$6:$C$1000=$C328,$AB$6:$AB$1000=1)),),""WINNER"",""""))"),"#ERROR!")</f>
        <v>#ERROR!</v>
      </c>
      <c r="AF328" s="40" t="str">
        <f t="shared" si="5"/>
        <v/>
      </c>
      <c r="AG328" s="40" t="str">
        <f>IF($J328="","",COUNTIF(Assignments!$B:$B,$J328))</f>
        <v/>
      </c>
      <c r="AH328" s="40" t="str">
        <f>IF($J328="","",IF(AND($AG328=0,$N328&lt;$M328),Config!$B$43,0))</f>
        <v/>
      </c>
      <c r="AI328" s="40" t="str">
        <f>IF($J328="","",IF(AND($L328="Elite",$F328&gt;=Config!$B$41,$N328&lt;$M328),Config!$B$42,0))</f>
        <v/>
      </c>
      <c r="AJ328" s="22"/>
      <c r="AK328" s="39">
        <f>IFERROR(VLOOKUP(J328,Grinders!$A:$Q,28,FALSE),0)</f>
        <v>0</v>
      </c>
      <c r="AL328" s="39">
        <f>IF(Config!$B$1003&lt;&gt;"Y",0,IF(IFERROR(VLOOKUP(J328,Grinders!$A:$P,27,FALSE),0)&gt;=3,IF(OR(F328&gt;=Config!$B$1001,ISNUMBER(SEARCH(E328,Config!$B$1002))),1,0),0))</f>
        <v>0</v>
      </c>
      <c r="AM328" s="39">
        <f t="array" ref="AM328">IFERROR(IF(INDEX(Bids!$AE:$AE,MATCH(B328,Bids!$A:$A,0))="Pending",1,0),0)</f>
        <v>0</v>
      </c>
      <c r="AN328" s="39" t="str">
        <f t="array" ref="AN328">IF(C328="","",IFERROR(XLOOKUP(C328,Assignments!$C:$C,Assignments!$AU:$AU,0),0))</f>
        <v/>
      </c>
      <c r="AO328" s="39">
        <f>IF(AND(Config!$B$1006="Y",AN328=1),Config!$B$1007,0)</f>
        <v>0</v>
      </c>
    </row>
    <row r="329" ht="15.75" customHeight="1">
      <c r="A329" s="46" t="str">
        <f t="shared" si="1"/>
        <v/>
      </c>
      <c r="B329" s="40" t="str">
        <f>IF(Bids!$A329="","",Bids!$A329)</f>
        <v/>
      </c>
      <c r="C329" s="40" t="str">
        <f>IF(Bids!$B329="","",Bids!$B329)</f>
        <v/>
      </c>
      <c r="D329" s="40" t="str">
        <f>IF($C329="","",IFERROR(VLOOKUP($C329,Orders!$A:$J,9,FALSE),""))</f>
        <v/>
      </c>
      <c r="E329" s="40" t="str">
        <f>IF($C329="","",IFERROR(VLOOKUP($C329,Orders!$A:$J,3,FALSE),""))</f>
        <v/>
      </c>
      <c r="F329" s="40" t="str">
        <f>IF($C329="","",IFERROR(VLOOKUP($C329,Orders!$A:$J,4,FALSE),""))</f>
        <v/>
      </c>
      <c r="G329" s="40" t="str">
        <f>IF($C329="","",IFERROR(VLOOKUP($C329,Orders!$A:$J,5,FALSE),""))</f>
        <v/>
      </c>
      <c r="H329" s="40" t="str">
        <f>IF($C329="","",IFERROR(VLOOKUP($C329,Orders!$A:$J,6,FALSE),""))</f>
        <v/>
      </c>
      <c r="I329" s="40" t="str">
        <f>IF($C329="","",IFERROR(VLOOKUP($C329,Orders!$A:$J,7,FALSE),""))</f>
        <v/>
      </c>
      <c r="J329" s="40" t="str">
        <f>IF(Bids!$C329="","",Bids!$C329)</f>
        <v/>
      </c>
      <c r="K329" s="40" t="str">
        <f>IF($J329="","",IFERROR(VLOOKUP($J329,Grinders!$A:$N,2,FALSE),""))</f>
        <v/>
      </c>
      <c r="L329" s="40" t="str">
        <f>IF($J329="","",IFERROR(VLOOKUP($J329,Grinders!$A:$N,3,FALSE),""))</f>
        <v/>
      </c>
      <c r="M329" s="40" t="str">
        <f>IF($J329="","",IFERROR(VLOOKUP($J329,Grinders!$A:$N,4,FALSE),""))</f>
        <v/>
      </c>
      <c r="N329" s="40" t="str">
        <f>IF($J329="","",IFERROR(VLOOKUP($J329,Grinders!$A:$N,5,FALSE),""))</f>
        <v/>
      </c>
      <c r="O329" s="40" t="str">
        <f t="shared" si="2"/>
        <v/>
      </c>
      <c r="P329" s="40" t="str">
        <f>IF($J329="","",IFERROR(VLOOKUP($J329,Grinders!$A:$N,6,FALSE),""))</f>
        <v/>
      </c>
      <c r="Q329" s="40" t="str">
        <f>IF($J329="","",IFERROR(VLOOKUP($J329,Grinders!$A:$N,8,FALSE),""))</f>
        <v/>
      </c>
      <c r="R329" s="40" t="str">
        <f>IFERROR(IF($J329="","",IF($L329="Elite",MAX(50,MIN(100,Config!$B$27*MAX(0,MIN(100,(1-IF($O329="",0,$O329))*100)) + Config!$B$28*MAX(0,MIN(100,(1-MIN(1,IF(Config!$B$30=0,1,$P329/Config!$B$30)))*100)) + Config!$B$29*MAX(0,MIN(100,MIN(1,IF($Q329="",0,$Q329)/Config!$B$23)*100)))),MIN(100,Config!$B$27*MAX(0,MIN(100,(1-IF($O329="",0,$O329))*100)) + Config!$B$28*MAX(0,MIN(100,(1-MIN(1,IF(Config!$B$30=0,1,$P329/Config!$B$30)))*100)) + Config!$B$29*MAX(0,MIN(100,MIN(1,IF($Q329="",0,$Q329)/Config!$B$23)*100))))),"")
</f>
        <v/>
      </c>
      <c r="S329" s="40" t="str">
        <f>IF(Bids!$AC329="","",Bids!$AC329)</f>
        <v/>
      </c>
      <c r="T329" s="40" t="str">
        <f>IF(Bids!$F329="","",Bids!$F329)</f>
        <v/>
      </c>
      <c r="U329" s="40" t="str">
        <f t="shared" si="3"/>
        <v/>
      </c>
      <c r="V329" s="40" t="str">
        <f>IF($U329="","",IF(Config!$B$17=Config!$B$16,IF($U329&gt;=Config!$B$17,100,0),MAX(0,MIN(100,($U329-Config!$B$16)/(Config!$B$17-Config!$B$16)*100))))</f>
        <v/>
      </c>
      <c r="W329" s="40">
        <f>IF($L329="Elite",Config!$B$21,0)</f>
        <v>0</v>
      </c>
      <c r="X329" s="40" t="str">
        <f>IFERROR(IF(OR($T329="",$G329=""),"",IF($T329&gt;$G329,
  MAX(0, 60-(($T329-$G329)*24/Config!$B$19)*60),
  MEDIAN(60, 100, 60+(($G329-$T329)*24/Config!$B$20)*40)
)),"")
</f>
        <v/>
      </c>
      <c r="Y329" s="40" t="str">
        <f>IF($J329="","",IFERROR(VLOOKUP($J329,Grinders!$A:$N,10,FALSE),""))</f>
        <v/>
      </c>
      <c r="Z329" s="40" t="str">
        <f>IF($J329="","",IFERROR(VLOOKUP($J329,Grinders!$A:$N,11,FALSE),""))</f>
        <v/>
      </c>
      <c r="AA329" s="40" t="str">
        <f>IF($J329="","",IFERROR(VLOOKUP($J329,Grinders!$A:$N,12,FALSE),""))</f>
        <v/>
      </c>
      <c r="AB329" s="40" t="str">
        <f>IF(OR(AL329=1,AM329=1),0,=IFERROR(IF(OR($C329="",$J329=""),0,IF($D329&lt;&gt;"Open",0,IF(COUNTIFS(GrinderServices!$A:$A,$J329,GrinderServices!$B:$B,$E329,GrinderServices!$D:$D,"Y")=0,0,IF($U329&lt;Config!$B$16,0,IF(Config!$B$18=1,IF($N329&gt;=$M329,0,1),1))))),""))</f>
        <v>#ERROR!</v>
      </c>
      <c r="AC329" s="40" t="str">
        <f>IFERROR((IF(OR(AL329=1,AM329=1),"",=IFERROR((IFERROR(IF($AB329=0,"",((Config!$B$6*$V329 + Config!$B$7*$R329 + Config!$B$8*$W329 + Config!$B$9*$X329 + Config!$B$10*$Y329 + Config!$B$11*$Z329 - Config!$B$12*$AA329)/Config!$B$13)+$AH329+$AI329),""))*(1-IFERROR(VLOOKUP(J329,Grinders!$A:$AB, 28, FALSE),0)),"")))*(1+AO329),"")</f>
        <v>#ERROR!</v>
      </c>
      <c r="AD329" s="40" t="str">
        <f t="shared" si="4"/>
        <v/>
      </c>
      <c r="AE329" s="40" t="str">
        <f>IFERROR(__xludf.DUMMYFUNCTION("IF($AC329="""","""",IF($AC329=IFERROR(MAX(FILTER($AC$6:$AC$1000,$C$6:$C$1000=$C329,$AB$6:$AB$1000=1)),),""WINNER"",""""))"),"#ERROR!")</f>
        <v>#ERROR!</v>
      </c>
      <c r="AF329" s="40" t="str">
        <f t="shared" si="5"/>
        <v/>
      </c>
      <c r="AG329" s="40" t="str">
        <f>IF($J329="","",COUNTIF(Assignments!$B:$B,$J329))</f>
        <v/>
      </c>
      <c r="AH329" s="40" t="str">
        <f>IF($J329="","",IF(AND($AG329=0,$N329&lt;$M329),Config!$B$43,0))</f>
        <v/>
      </c>
      <c r="AI329" s="40" t="str">
        <f>IF($J329="","",IF(AND($L329="Elite",$F329&gt;=Config!$B$41,$N329&lt;$M329),Config!$B$42,0))</f>
        <v/>
      </c>
      <c r="AJ329" s="22"/>
      <c r="AK329" s="39">
        <f>IFERROR(VLOOKUP(J329,Grinders!$A:$Q,28,FALSE),0)</f>
        <v>0</v>
      </c>
      <c r="AL329" s="39">
        <f>IF(Config!$B$1003&lt;&gt;"Y",0,IF(IFERROR(VLOOKUP(J329,Grinders!$A:$P,27,FALSE),0)&gt;=3,IF(OR(F329&gt;=Config!$B$1001,ISNUMBER(SEARCH(E329,Config!$B$1002))),1,0),0))</f>
        <v>0</v>
      </c>
      <c r="AM329" s="39">
        <f t="array" ref="AM329">IFERROR(IF(INDEX(Bids!$AE:$AE,MATCH(B329,Bids!$A:$A,0))="Pending",1,0),0)</f>
        <v>0</v>
      </c>
      <c r="AN329" s="39" t="str">
        <f t="array" ref="AN329">IF(C329="","",IFERROR(XLOOKUP(C329,Assignments!$C:$C,Assignments!$AU:$AU,0),0))</f>
        <v/>
      </c>
      <c r="AO329" s="39">
        <f>IF(AND(Config!$B$1006="Y",AN329=1),Config!$B$1007,0)</f>
        <v>0</v>
      </c>
    </row>
    <row r="330" ht="15.75" customHeight="1">
      <c r="A330" s="46" t="str">
        <f t="shared" si="1"/>
        <v/>
      </c>
      <c r="B330" s="40" t="str">
        <f>IF(Bids!$A330="","",Bids!$A330)</f>
        <v/>
      </c>
      <c r="C330" s="40" t="str">
        <f>IF(Bids!$B330="","",Bids!$B330)</f>
        <v/>
      </c>
      <c r="D330" s="40" t="str">
        <f>IF($C330="","",IFERROR(VLOOKUP($C330,Orders!$A:$J,9,FALSE),""))</f>
        <v/>
      </c>
      <c r="E330" s="40" t="str">
        <f>IF($C330="","",IFERROR(VLOOKUP($C330,Orders!$A:$J,3,FALSE),""))</f>
        <v/>
      </c>
      <c r="F330" s="40" t="str">
        <f>IF($C330="","",IFERROR(VLOOKUP($C330,Orders!$A:$J,4,FALSE),""))</f>
        <v/>
      </c>
      <c r="G330" s="40" t="str">
        <f>IF($C330="","",IFERROR(VLOOKUP($C330,Orders!$A:$J,5,FALSE),""))</f>
        <v/>
      </c>
      <c r="H330" s="40" t="str">
        <f>IF($C330="","",IFERROR(VLOOKUP($C330,Orders!$A:$J,6,FALSE),""))</f>
        <v/>
      </c>
      <c r="I330" s="40" t="str">
        <f>IF($C330="","",IFERROR(VLOOKUP($C330,Orders!$A:$J,7,FALSE),""))</f>
        <v/>
      </c>
      <c r="J330" s="40" t="str">
        <f>IF(Bids!$C330="","",Bids!$C330)</f>
        <v/>
      </c>
      <c r="K330" s="40" t="str">
        <f>IF($J330="","",IFERROR(VLOOKUP($J330,Grinders!$A:$N,2,FALSE),""))</f>
        <v/>
      </c>
      <c r="L330" s="40" t="str">
        <f>IF($J330="","",IFERROR(VLOOKUP($J330,Grinders!$A:$N,3,FALSE),""))</f>
        <v/>
      </c>
      <c r="M330" s="40" t="str">
        <f>IF($J330="","",IFERROR(VLOOKUP($J330,Grinders!$A:$N,4,FALSE),""))</f>
        <v/>
      </c>
      <c r="N330" s="40" t="str">
        <f>IF($J330="","",IFERROR(VLOOKUP($J330,Grinders!$A:$N,5,FALSE),""))</f>
        <v/>
      </c>
      <c r="O330" s="40" t="str">
        <f t="shared" si="2"/>
        <v/>
      </c>
      <c r="P330" s="40" t="str">
        <f>IF($J330="","",IFERROR(VLOOKUP($J330,Grinders!$A:$N,6,FALSE),""))</f>
        <v/>
      </c>
      <c r="Q330" s="40" t="str">
        <f>IF($J330="","",IFERROR(VLOOKUP($J330,Grinders!$A:$N,8,FALSE),""))</f>
        <v/>
      </c>
      <c r="R330" s="40" t="str">
        <f>IFERROR(IF($J330="","",IF($L330="Elite",MAX(50,MIN(100,Config!$B$27*MAX(0,MIN(100,(1-IF($O330="",0,$O330))*100)) + Config!$B$28*MAX(0,MIN(100,(1-MIN(1,IF(Config!$B$30=0,1,$P330/Config!$B$30)))*100)) + Config!$B$29*MAX(0,MIN(100,MIN(1,IF($Q330="",0,$Q330)/Config!$B$23)*100)))),MIN(100,Config!$B$27*MAX(0,MIN(100,(1-IF($O330="",0,$O330))*100)) + Config!$B$28*MAX(0,MIN(100,(1-MIN(1,IF(Config!$B$30=0,1,$P330/Config!$B$30)))*100)) + Config!$B$29*MAX(0,MIN(100,MIN(1,IF($Q330="",0,$Q330)/Config!$B$23)*100))))),"")
</f>
        <v/>
      </c>
      <c r="S330" s="40" t="str">
        <f>IF(Bids!$AC330="","",Bids!$AC330)</f>
        <v/>
      </c>
      <c r="T330" s="40" t="str">
        <f>IF(Bids!$F330="","",Bids!$F330)</f>
        <v/>
      </c>
      <c r="U330" s="40" t="str">
        <f t="shared" si="3"/>
        <v/>
      </c>
      <c r="V330" s="40" t="str">
        <f>IF($U330="","",IF(Config!$B$17=Config!$B$16,IF($U330&gt;=Config!$B$17,100,0),MAX(0,MIN(100,($U330-Config!$B$16)/(Config!$B$17-Config!$B$16)*100))))</f>
        <v/>
      </c>
      <c r="W330" s="40">
        <f>IF($L330="Elite",Config!$B$21,0)</f>
        <v>0</v>
      </c>
      <c r="X330" s="40" t="str">
        <f>IFERROR(IF(OR($T330="",$G330=""),"",IF($T330&gt;$G330,
  MAX(0, 60-(($T330-$G330)*24/Config!$B$19)*60),
  MEDIAN(60, 100, 60+(($G330-$T330)*24/Config!$B$20)*40)
)),"")
</f>
        <v/>
      </c>
      <c r="Y330" s="40" t="str">
        <f>IF($J330="","",IFERROR(VLOOKUP($J330,Grinders!$A:$N,10,FALSE),""))</f>
        <v/>
      </c>
      <c r="Z330" s="40" t="str">
        <f>IF($J330="","",IFERROR(VLOOKUP($J330,Grinders!$A:$N,11,FALSE),""))</f>
        <v/>
      </c>
      <c r="AA330" s="40" t="str">
        <f>IF($J330="","",IFERROR(VLOOKUP($J330,Grinders!$A:$N,12,FALSE),""))</f>
        <v/>
      </c>
      <c r="AB330" s="40" t="str">
        <f>IF(OR(AL330=1,AM330=1),0,=IFERROR(IF(OR($C330="",$J330=""),0,IF($D330&lt;&gt;"Open",0,IF(COUNTIFS(GrinderServices!$A:$A,$J330,GrinderServices!$B:$B,$E330,GrinderServices!$D:$D,"Y")=0,0,IF($U330&lt;Config!$B$16,0,IF(Config!$B$18=1,IF($N330&gt;=$M330,0,1),1))))),""))</f>
        <v>#ERROR!</v>
      </c>
      <c r="AC330" s="40" t="str">
        <f>IFERROR((IF(OR(AL330=1,AM330=1),"",=IFERROR((IFERROR(IF($AB330=0,"",((Config!$B$6*$V330 + Config!$B$7*$R330 + Config!$B$8*$W330 + Config!$B$9*$X330 + Config!$B$10*$Y330 + Config!$B$11*$Z330 - Config!$B$12*$AA330)/Config!$B$13)+$AH330+$AI330),""))*(1-IFERROR(VLOOKUP(J330,Grinders!$A:$AB, 28, FALSE),0)),"")))*(1+AO330),"")</f>
        <v>#ERROR!</v>
      </c>
      <c r="AD330" s="40" t="str">
        <f t="shared" si="4"/>
        <v/>
      </c>
      <c r="AE330" s="40" t="str">
        <f>IFERROR(__xludf.DUMMYFUNCTION("IF($AC330="""","""",IF($AC330=IFERROR(MAX(FILTER($AC$6:$AC$1000,$C$6:$C$1000=$C330,$AB$6:$AB$1000=1)),),""WINNER"",""""))"),"#ERROR!")</f>
        <v>#ERROR!</v>
      </c>
      <c r="AF330" s="40" t="str">
        <f t="shared" si="5"/>
        <v/>
      </c>
      <c r="AG330" s="40" t="str">
        <f>IF($J330="","",COUNTIF(Assignments!$B:$B,$J330))</f>
        <v/>
      </c>
      <c r="AH330" s="40" t="str">
        <f>IF($J330="","",IF(AND($AG330=0,$N330&lt;$M330),Config!$B$43,0))</f>
        <v/>
      </c>
      <c r="AI330" s="40" t="str">
        <f>IF($J330="","",IF(AND($L330="Elite",$F330&gt;=Config!$B$41,$N330&lt;$M330),Config!$B$42,0))</f>
        <v/>
      </c>
      <c r="AJ330" s="22"/>
      <c r="AK330" s="39">
        <f>IFERROR(VLOOKUP(J330,Grinders!$A:$Q,28,FALSE),0)</f>
        <v>0</v>
      </c>
      <c r="AL330" s="39">
        <f>IF(Config!$B$1003&lt;&gt;"Y",0,IF(IFERROR(VLOOKUP(J330,Grinders!$A:$P,27,FALSE),0)&gt;=3,IF(OR(F330&gt;=Config!$B$1001,ISNUMBER(SEARCH(E330,Config!$B$1002))),1,0),0))</f>
        <v>0</v>
      </c>
      <c r="AM330" s="39">
        <f t="array" ref="AM330">IFERROR(IF(INDEX(Bids!$AE:$AE,MATCH(B330,Bids!$A:$A,0))="Pending",1,0),0)</f>
        <v>0</v>
      </c>
      <c r="AN330" s="39" t="str">
        <f t="array" ref="AN330">IF(C330="","",IFERROR(XLOOKUP(C330,Assignments!$C:$C,Assignments!$AU:$AU,0),0))</f>
        <v/>
      </c>
      <c r="AO330" s="39">
        <f>IF(AND(Config!$B$1006="Y",AN330=1),Config!$B$1007,0)</f>
        <v>0</v>
      </c>
    </row>
    <row r="331" ht="15.75" customHeight="1">
      <c r="A331" s="46" t="str">
        <f t="shared" si="1"/>
        <v/>
      </c>
      <c r="B331" s="40" t="str">
        <f>IF(Bids!$A331="","",Bids!$A331)</f>
        <v/>
      </c>
      <c r="C331" s="40" t="str">
        <f>IF(Bids!$B331="","",Bids!$B331)</f>
        <v/>
      </c>
      <c r="D331" s="40" t="str">
        <f>IF($C331="","",IFERROR(VLOOKUP($C331,Orders!$A:$J,9,FALSE),""))</f>
        <v/>
      </c>
      <c r="E331" s="40" t="str">
        <f>IF($C331="","",IFERROR(VLOOKUP($C331,Orders!$A:$J,3,FALSE),""))</f>
        <v/>
      </c>
      <c r="F331" s="40" t="str">
        <f>IF($C331="","",IFERROR(VLOOKUP($C331,Orders!$A:$J,4,FALSE),""))</f>
        <v/>
      </c>
      <c r="G331" s="40" t="str">
        <f>IF($C331="","",IFERROR(VLOOKUP($C331,Orders!$A:$J,5,FALSE),""))</f>
        <v/>
      </c>
      <c r="H331" s="40" t="str">
        <f>IF($C331="","",IFERROR(VLOOKUP($C331,Orders!$A:$J,6,FALSE),""))</f>
        <v/>
      </c>
      <c r="I331" s="40" t="str">
        <f>IF($C331="","",IFERROR(VLOOKUP($C331,Orders!$A:$J,7,FALSE),""))</f>
        <v/>
      </c>
      <c r="J331" s="40" t="str">
        <f>IF(Bids!$C331="","",Bids!$C331)</f>
        <v/>
      </c>
      <c r="K331" s="40" t="str">
        <f>IF($J331="","",IFERROR(VLOOKUP($J331,Grinders!$A:$N,2,FALSE),""))</f>
        <v/>
      </c>
      <c r="L331" s="40" t="str">
        <f>IF($J331="","",IFERROR(VLOOKUP($J331,Grinders!$A:$N,3,FALSE),""))</f>
        <v/>
      </c>
      <c r="M331" s="40" t="str">
        <f>IF($J331="","",IFERROR(VLOOKUP($J331,Grinders!$A:$N,4,FALSE),""))</f>
        <v/>
      </c>
      <c r="N331" s="40" t="str">
        <f>IF($J331="","",IFERROR(VLOOKUP($J331,Grinders!$A:$N,5,FALSE),""))</f>
        <v/>
      </c>
      <c r="O331" s="40" t="str">
        <f t="shared" si="2"/>
        <v/>
      </c>
      <c r="P331" s="40" t="str">
        <f>IF($J331="","",IFERROR(VLOOKUP($J331,Grinders!$A:$N,6,FALSE),""))</f>
        <v/>
      </c>
      <c r="Q331" s="40" t="str">
        <f>IF($J331="","",IFERROR(VLOOKUP($J331,Grinders!$A:$N,8,FALSE),""))</f>
        <v/>
      </c>
      <c r="R331" s="40" t="str">
        <f>IFERROR(IF($J331="","",IF($L331="Elite",MAX(50,MIN(100,Config!$B$27*MAX(0,MIN(100,(1-IF($O331="",0,$O331))*100)) + Config!$B$28*MAX(0,MIN(100,(1-MIN(1,IF(Config!$B$30=0,1,$P331/Config!$B$30)))*100)) + Config!$B$29*MAX(0,MIN(100,MIN(1,IF($Q331="",0,$Q331)/Config!$B$23)*100)))),MIN(100,Config!$B$27*MAX(0,MIN(100,(1-IF($O331="",0,$O331))*100)) + Config!$B$28*MAX(0,MIN(100,(1-MIN(1,IF(Config!$B$30=0,1,$P331/Config!$B$30)))*100)) + Config!$B$29*MAX(0,MIN(100,MIN(1,IF($Q331="",0,$Q331)/Config!$B$23)*100))))),"")
</f>
        <v/>
      </c>
      <c r="S331" s="40" t="str">
        <f>IF(Bids!$AC331="","",Bids!$AC331)</f>
        <v/>
      </c>
      <c r="T331" s="40" t="str">
        <f>IF(Bids!$F331="","",Bids!$F331)</f>
        <v/>
      </c>
      <c r="U331" s="40" t="str">
        <f t="shared" si="3"/>
        <v/>
      </c>
      <c r="V331" s="40" t="str">
        <f>IF($U331="","",IF(Config!$B$17=Config!$B$16,IF($U331&gt;=Config!$B$17,100,0),MAX(0,MIN(100,($U331-Config!$B$16)/(Config!$B$17-Config!$B$16)*100))))</f>
        <v/>
      </c>
      <c r="W331" s="40">
        <f>IF($L331="Elite",Config!$B$21,0)</f>
        <v>0</v>
      </c>
      <c r="X331" s="40" t="str">
        <f>IFERROR(IF(OR($T331="",$G331=""),"",IF($T331&gt;$G331,
  MAX(0, 60-(($T331-$G331)*24/Config!$B$19)*60),
  MEDIAN(60, 100, 60+(($G331-$T331)*24/Config!$B$20)*40)
)),"")
</f>
        <v/>
      </c>
      <c r="Y331" s="40" t="str">
        <f>IF($J331="","",IFERROR(VLOOKUP($J331,Grinders!$A:$N,10,FALSE),""))</f>
        <v/>
      </c>
      <c r="Z331" s="40" t="str">
        <f>IF($J331="","",IFERROR(VLOOKUP($J331,Grinders!$A:$N,11,FALSE),""))</f>
        <v/>
      </c>
      <c r="AA331" s="40" t="str">
        <f>IF($J331="","",IFERROR(VLOOKUP($J331,Grinders!$A:$N,12,FALSE),""))</f>
        <v/>
      </c>
      <c r="AB331" s="40" t="str">
        <f>IF(OR(AL331=1,AM331=1),0,=IFERROR(IF(OR($C331="",$J331=""),0,IF($D331&lt;&gt;"Open",0,IF(COUNTIFS(GrinderServices!$A:$A,$J331,GrinderServices!$B:$B,$E331,GrinderServices!$D:$D,"Y")=0,0,IF($U331&lt;Config!$B$16,0,IF(Config!$B$18=1,IF($N331&gt;=$M331,0,1),1))))),""))</f>
        <v>#ERROR!</v>
      </c>
      <c r="AC331" s="40" t="str">
        <f>IFERROR((IF(OR(AL331=1,AM331=1),"",=IFERROR((IFERROR(IF($AB331=0,"",((Config!$B$6*$V331 + Config!$B$7*$R331 + Config!$B$8*$W331 + Config!$B$9*$X331 + Config!$B$10*$Y331 + Config!$B$11*$Z331 - Config!$B$12*$AA331)/Config!$B$13)+$AH331+$AI331),""))*(1-IFERROR(VLOOKUP(J331,Grinders!$A:$AB, 28, FALSE),0)),"")))*(1+AO331),"")</f>
        <v>#ERROR!</v>
      </c>
      <c r="AD331" s="40" t="str">
        <f t="shared" si="4"/>
        <v/>
      </c>
      <c r="AE331" s="40" t="str">
        <f>IFERROR(__xludf.DUMMYFUNCTION("IF($AC331="""","""",IF($AC331=IFERROR(MAX(FILTER($AC$6:$AC$1000,$C$6:$C$1000=$C331,$AB$6:$AB$1000=1)),),""WINNER"",""""))"),"#ERROR!")</f>
        <v>#ERROR!</v>
      </c>
      <c r="AF331" s="40" t="str">
        <f t="shared" si="5"/>
        <v/>
      </c>
      <c r="AG331" s="40" t="str">
        <f>IF($J331="","",COUNTIF(Assignments!$B:$B,$J331))</f>
        <v/>
      </c>
      <c r="AH331" s="40" t="str">
        <f>IF($J331="","",IF(AND($AG331=0,$N331&lt;$M331),Config!$B$43,0))</f>
        <v/>
      </c>
      <c r="AI331" s="40" t="str">
        <f>IF($J331="","",IF(AND($L331="Elite",$F331&gt;=Config!$B$41,$N331&lt;$M331),Config!$B$42,0))</f>
        <v/>
      </c>
      <c r="AJ331" s="22"/>
      <c r="AK331" s="39">
        <f>IFERROR(VLOOKUP(J331,Grinders!$A:$Q,28,FALSE),0)</f>
        <v>0</v>
      </c>
      <c r="AL331" s="39">
        <f>IF(Config!$B$1003&lt;&gt;"Y",0,IF(IFERROR(VLOOKUP(J331,Grinders!$A:$P,27,FALSE),0)&gt;=3,IF(OR(F331&gt;=Config!$B$1001,ISNUMBER(SEARCH(E331,Config!$B$1002))),1,0),0))</f>
        <v>0</v>
      </c>
      <c r="AM331" s="39">
        <f t="array" ref="AM331">IFERROR(IF(INDEX(Bids!$AE:$AE,MATCH(B331,Bids!$A:$A,0))="Pending",1,0),0)</f>
        <v>0</v>
      </c>
      <c r="AN331" s="39" t="str">
        <f t="array" ref="AN331">IF(C331="","",IFERROR(XLOOKUP(C331,Assignments!$C:$C,Assignments!$AU:$AU,0),0))</f>
        <v/>
      </c>
      <c r="AO331" s="39">
        <f>IF(AND(Config!$B$1006="Y",AN331=1),Config!$B$1007,0)</f>
        <v>0</v>
      </c>
    </row>
    <row r="332" ht="15.75" customHeight="1">
      <c r="A332" s="46" t="str">
        <f t="shared" si="1"/>
        <v/>
      </c>
      <c r="B332" s="40" t="str">
        <f>IF(Bids!$A332="","",Bids!$A332)</f>
        <v/>
      </c>
      <c r="C332" s="40" t="str">
        <f>IF(Bids!$B332="","",Bids!$B332)</f>
        <v/>
      </c>
      <c r="D332" s="40" t="str">
        <f>IF($C332="","",IFERROR(VLOOKUP($C332,Orders!$A:$J,9,FALSE),""))</f>
        <v/>
      </c>
      <c r="E332" s="40" t="str">
        <f>IF($C332="","",IFERROR(VLOOKUP($C332,Orders!$A:$J,3,FALSE),""))</f>
        <v/>
      </c>
      <c r="F332" s="40" t="str">
        <f>IF($C332="","",IFERROR(VLOOKUP($C332,Orders!$A:$J,4,FALSE),""))</f>
        <v/>
      </c>
      <c r="G332" s="40" t="str">
        <f>IF($C332="","",IFERROR(VLOOKUP($C332,Orders!$A:$J,5,FALSE),""))</f>
        <v/>
      </c>
      <c r="H332" s="40" t="str">
        <f>IF($C332="","",IFERROR(VLOOKUP($C332,Orders!$A:$J,6,FALSE),""))</f>
        <v/>
      </c>
      <c r="I332" s="40" t="str">
        <f>IF($C332="","",IFERROR(VLOOKUP($C332,Orders!$A:$J,7,FALSE),""))</f>
        <v/>
      </c>
      <c r="J332" s="40" t="str">
        <f>IF(Bids!$C332="","",Bids!$C332)</f>
        <v/>
      </c>
      <c r="K332" s="40" t="str">
        <f>IF($J332="","",IFERROR(VLOOKUP($J332,Grinders!$A:$N,2,FALSE),""))</f>
        <v/>
      </c>
      <c r="L332" s="40" t="str">
        <f>IF($J332="","",IFERROR(VLOOKUP($J332,Grinders!$A:$N,3,FALSE),""))</f>
        <v/>
      </c>
      <c r="M332" s="40" t="str">
        <f>IF($J332="","",IFERROR(VLOOKUP($J332,Grinders!$A:$N,4,FALSE),""))</f>
        <v/>
      </c>
      <c r="N332" s="40" t="str">
        <f>IF($J332="","",IFERROR(VLOOKUP($J332,Grinders!$A:$N,5,FALSE),""))</f>
        <v/>
      </c>
      <c r="O332" s="40" t="str">
        <f t="shared" si="2"/>
        <v/>
      </c>
      <c r="P332" s="40" t="str">
        <f>IF($J332="","",IFERROR(VLOOKUP($J332,Grinders!$A:$N,6,FALSE),""))</f>
        <v/>
      </c>
      <c r="Q332" s="40" t="str">
        <f>IF($J332="","",IFERROR(VLOOKUP($J332,Grinders!$A:$N,8,FALSE),""))</f>
        <v/>
      </c>
      <c r="R332" s="40" t="str">
        <f>IFERROR(IF($J332="","",IF($L332="Elite",MAX(50,MIN(100,Config!$B$27*MAX(0,MIN(100,(1-IF($O332="",0,$O332))*100)) + Config!$B$28*MAX(0,MIN(100,(1-MIN(1,IF(Config!$B$30=0,1,$P332/Config!$B$30)))*100)) + Config!$B$29*MAX(0,MIN(100,MIN(1,IF($Q332="",0,$Q332)/Config!$B$23)*100)))),MIN(100,Config!$B$27*MAX(0,MIN(100,(1-IF($O332="",0,$O332))*100)) + Config!$B$28*MAX(0,MIN(100,(1-MIN(1,IF(Config!$B$30=0,1,$P332/Config!$B$30)))*100)) + Config!$B$29*MAX(0,MIN(100,MIN(1,IF($Q332="",0,$Q332)/Config!$B$23)*100))))),"")
</f>
        <v/>
      </c>
      <c r="S332" s="40" t="str">
        <f>IF(Bids!$AC332="","",Bids!$AC332)</f>
        <v/>
      </c>
      <c r="T332" s="40" t="str">
        <f>IF(Bids!$F332="","",Bids!$F332)</f>
        <v/>
      </c>
      <c r="U332" s="40" t="str">
        <f t="shared" si="3"/>
        <v/>
      </c>
      <c r="V332" s="40" t="str">
        <f>IF($U332="","",IF(Config!$B$17=Config!$B$16,IF($U332&gt;=Config!$B$17,100,0),MAX(0,MIN(100,($U332-Config!$B$16)/(Config!$B$17-Config!$B$16)*100))))</f>
        <v/>
      </c>
      <c r="W332" s="40">
        <f>IF($L332="Elite",Config!$B$21,0)</f>
        <v>0</v>
      </c>
      <c r="X332" s="40" t="str">
        <f>IFERROR(IF(OR($T332="",$G332=""),"",IF($T332&gt;$G332,
  MAX(0, 60-(($T332-$G332)*24/Config!$B$19)*60),
  MEDIAN(60, 100, 60+(($G332-$T332)*24/Config!$B$20)*40)
)),"")
</f>
        <v/>
      </c>
      <c r="Y332" s="40" t="str">
        <f>IF($J332="","",IFERROR(VLOOKUP($J332,Grinders!$A:$N,10,FALSE),""))</f>
        <v/>
      </c>
      <c r="Z332" s="40" t="str">
        <f>IF($J332="","",IFERROR(VLOOKUP($J332,Grinders!$A:$N,11,FALSE),""))</f>
        <v/>
      </c>
      <c r="AA332" s="40" t="str">
        <f>IF($J332="","",IFERROR(VLOOKUP($J332,Grinders!$A:$N,12,FALSE),""))</f>
        <v/>
      </c>
      <c r="AB332" s="40" t="str">
        <f>IF(OR(AL332=1,AM332=1),0,=IFERROR(IF(OR($C332="",$J332=""),0,IF($D332&lt;&gt;"Open",0,IF(COUNTIFS(GrinderServices!$A:$A,$J332,GrinderServices!$B:$B,$E332,GrinderServices!$D:$D,"Y")=0,0,IF($U332&lt;Config!$B$16,0,IF(Config!$B$18=1,IF($N332&gt;=$M332,0,1),1))))),""))</f>
        <v>#ERROR!</v>
      </c>
      <c r="AC332" s="40" t="str">
        <f>IFERROR((IF(OR(AL332=1,AM332=1),"",=IFERROR((IFERROR(IF($AB332=0,"",((Config!$B$6*$V332 + Config!$B$7*$R332 + Config!$B$8*$W332 + Config!$B$9*$X332 + Config!$B$10*$Y332 + Config!$B$11*$Z332 - Config!$B$12*$AA332)/Config!$B$13)+$AH332+$AI332),""))*(1-IFERROR(VLOOKUP(J332,Grinders!$A:$AB, 28, FALSE),0)),"")))*(1+AO332),"")</f>
        <v>#ERROR!</v>
      </c>
      <c r="AD332" s="40" t="str">
        <f t="shared" si="4"/>
        <v/>
      </c>
      <c r="AE332" s="40" t="str">
        <f>IFERROR(__xludf.DUMMYFUNCTION("IF($AC332="""","""",IF($AC332=IFERROR(MAX(FILTER($AC$6:$AC$1000,$C$6:$C$1000=$C332,$AB$6:$AB$1000=1)),),""WINNER"",""""))"),"#ERROR!")</f>
        <v>#ERROR!</v>
      </c>
      <c r="AF332" s="40" t="str">
        <f t="shared" si="5"/>
        <v/>
      </c>
      <c r="AG332" s="40" t="str">
        <f>IF($J332="","",COUNTIF(Assignments!$B:$B,$J332))</f>
        <v/>
      </c>
      <c r="AH332" s="40" t="str">
        <f>IF($J332="","",IF(AND($AG332=0,$N332&lt;$M332),Config!$B$43,0))</f>
        <v/>
      </c>
      <c r="AI332" s="40" t="str">
        <f>IF($J332="","",IF(AND($L332="Elite",$F332&gt;=Config!$B$41,$N332&lt;$M332),Config!$B$42,0))</f>
        <v/>
      </c>
      <c r="AJ332" s="22"/>
      <c r="AK332" s="39">
        <f>IFERROR(VLOOKUP(J332,Grinders!$A:$Q,28,FALSE),0)</f>
        <v>0</v>
      </c>
      <c r="AL332" s="39">
        <f>IF(Config!$B$1003&lt;&gt;"Y",0,IF(IFERROR(VLOOKUP(J332,Grinders!$A:$P,27,FALSE),0)&gt;=3,IF(OR(F332&gt;=Config!$B$1001,ISNUMBER(SEARCH(E332,Config!$B$1002))),1,0),0))</f>
        <v>0</v>
      </c>
      <c r="AM332" s="39">
        <f t="array" ref="AM332">IFERROR(IF(INDEX(Bids!$AE:$AE,MATCH(B332,Bids!$A:$A,0))="Pending",1,0),0)</f>
        <v>0</v>
      </c>
      <c r="AN332" s="39" t="str">
        <f t="array" ref="AN332">IF(C332="","",IFERROR(XLOOKUP(C332,Assignments!$C:$C,Assignments!$AU:$AU,0),0))</f>
        <v/>
      </c>
      <c r="AO332" s="39">
        <f>IF(AND(Config!$B$1006="Y",AN332=1),Config!$B$1007,0)</f>
        <v>0</v>
      </c>
    </row>
    <row r="333" ht="15.75" customHeight="1">
      <c r="A333" s="46" t="str">
        <f t="shared" si="1"/>
        <v/>
      </c>
      <c r="B333" s="40" t="str">
        <f>IF(Bids!$A333="","",Bids!$A333)</f>
        <v/>
      </c>
      <c r="C333" s="40" t="str">
        <f>IF(Bids!$B333="","",Bids!$B333)</f>
        <v/>
      </c>
      <c r="D333" s="40" t="str">
        <f>IF($C333="","",IFERROR(VLOOKUP($C333,Orders!$A:$J,9,FALSE),""))</f>
        <v/>
      </c>
      <c r="E333" s="40" t="str">
        <f>IF($C333="","",IFERROR(VLOOKUP($C333,Orders!$A:$J,3,FALSE),""))</f>
        <v/>
      </c>
      <c r="F333" s="40" t="str">
        <f>IF($C333="","",IFERROR(VLOOKUP($C333,Orders!$A:$J,4,FALSE),""))</f>
        <v/>
      </c>
      <c r="G333" s="40" t="str">
        <f>IF($C333="","",IFERROR(VLOOKUP($C333,Orders!$A:$J,5,FALSE),""))</f>
        <v/>
      </c>
      <c r="H333" s="40" t="str">
        <f>IF($C333="","",IFERROR(VLOOKUP($C333,Orders!$A:$J,6,FALSE),""))</f>
        <v/>
      </c>
      <c r="I333" s="40" t="str">
        <f>IF($C333="","",IFERROR(VLOOKUP($C333,Orders!$A:$J,7,FALSE),""))</f>
        <v/>
      </c>
      <c r="J333" s="40" t="str">
        <f>IF(Bids!$C333="","",Bids!$C333)</f>
        <v/>
      </c>
      <c r="K333" s="40" t="str">
        <f>IF($J333="","",IFERROR(VLOOKUP($J333,Grinders!$A:$N,2,FALSE),""))</f>
        <v/>
      </c>
      <c r="L333" s="40" t="str">
        <f>IF($J333="","",IFERROR(VLOOKUP($J333,Grinders!$A:$N,3,FALSE),""))</f>
        <v/>
      </c>
      <c r="M333" s="40" t="str">
        <f>IF($J333="","",IFERROR(VLOOKUP($J333,Grinders!$A:$N,4,FALSE),""))</f>
        <v/>
      </c>
      <c r="N333" s="40" t="str">
        <f>IF($J333="","",IFERROR(VLOOKUP($J333,Grinders!$A:$N,5,FALSE),""))</f>
        <v/>
      </c>
      <c r="O333" s="40" t="str">
        <f t="shared" si="2"/>
        <v/>
      </c>
      <c r="P333" s="40" t="str">
        <f>IF($J333="","",IFERROR(VLOOKUP($J333,Grinders!$A:$N,6,FALSE),""))</f>
        <v/>
      </c>
      <c r="Q333" s="40" t="str">
        <f>IF($J333="","",IFERROR(VLOOKUP($J333,Grinders!$A:$N,8,FALSE),""))</f>
        <v/>
      </c>
      <c r="R333" s="40" t="str">
        <f>IFERROR(IF($J333="","",IF($L333="Elite",MAX(50,MIN(100,Config!$B$27*MAX(0,MIN(100,(1-IF($O333="",0,$O333))*100)) + Config!$B$28*MAX(0,MIN(100,(1-MIN(1,IF(Config!$B$30=0,1,$P333/Config!$B$30)))*100)) + Config!$B$29*MAX(0,MIN(100,MIN(1,IF($Q333="",0,$Q333)/Config!$B$23)*100)))),MIN(100,Config!$B$27*MAX(0,MIN(100,(1-IF($O333="",0,$O333))*100)) + Config!$B$28*MAX(0,MIN(100,(1-MIN(1,IF(Config!$B$30=0,1,$P333/Config!$B$30)))*100)) + Config!$B$29*MAX(0,MIN(100,MIN(1,IF($Q333="",0,$Q333)/Config!$B$23)*100))))),"")
</f>
        <v/>
      </c>
      <c r="S333" s="40" t="str">
        <f>IF(Bids!$AC333="","",Bids!$AC333)</f>
        <v/>
      </c>
      <c r="T333" s="40" t="str">
        <f>IF(Bids!$F333="","",Bids!$F333)</f>
        <v/>
      </c>
      <c r="U333" s="40" t="str">
        <f t="shared" si="3"/>
        <v/>
      </c>
      <c r="V333" s="40" t="str">
        <f>IF($U333="","",IF(Config!$B$17=Config!$B$16,IF($U333&gt;=Config!$B$17,100,0),MAX(0,MIN(100,($U333-Config!$B$16)/(Config!$B$17-Config!$B$16)*100))))</f>
        <v/>
      </c>
      <c r="W333" s="40">
        <f>IF($L333="Elite",Config!$B$21,0)</f>
        <v>0</v>
      </c>
      <c r="X333" s="40" t="str">
        <f>IFERROR(IF(OR($T333="",$G333=""),"",IF($T333&gt;$G333,
  MAX(0, 60-(($T333-$G333)*24/Config!$B$19)*60),
  MEDIAN(60, 100, 60+(($G333-$T333)*24/Config!$B$20)*40)
)),"")
</f>
        <v/>
      </c>
      <c r="Y333" s="40" t="str">
        <f>IF($J333="","",IFERROR(VLOOKUP($J333,Grinders!$A:$N,10,FALSE),""))</f>
        <v/>
      </c>
      <c r="Z333" s="40" t="str">
        <f>IF($J333="","",IFERROR(VLOOKUP($J333,Grinders!$A:$N,11,FALSE),""))</f>
        <v/>
      </c>
      <c r="AA333" s="40" t="str">
        <f>IF($J333="","",IFERROR(VLOOKUP($J333,Grinders!$A:$N,12,FALSE),""))</f>
        <v/>
      </c>
      <c r="AB333" s="40" t="str">
        <f>IF(OR(AL333=1,AM333=1),0,=IFERROR(IF(OR($C333="",$J333=""),0,IF($D333&lt;&gt;"Open",0,IF(COUNTIFS(GrinderServices!$A:$A,$J333,GrinderServices!$B:$B,$E333,GrinderServices!$D:$D,"Y")=0,0,IF($U333&lt;Config!$B$16,0,IF(Config!$B$18=1,IF($N333&gt;=$M333,0,1),1))))),""))</f>
        <v>#ERROR!</v>
      </c>
      <c r="AC333" s="40" t="str">
        <f>IFERROR((IF(OR(AL333=1,AM333=1),"",=IFERROR((IFERROR(IF($AB333=0,"",((Config!$B$6*$V333 + Config!$B$7*$R333 + Config!$B$8*$W333 + Config!$B$9*$X333 + Config!$B$10*$Y333 + Config!$B$11*$Z333 - Config!$B$12*$AA333)/Config!$B$13)+$AH333+$AI333),""))*(1-IFERROR(VLOOKUP(J333,Grinders!$A:$AB, 28, FALSE),0)),"")))*(1+AO333),"")</f>
        <v>#ERROR!</v>
      </c>
      <c r="AD333" s="40" t="str">
        <f t="shared" si="4"/>
        <v/>
      </c>
      <c r="AE333" s="40" t="str">
        <f>IFERROR(__xludf.DUMMYFUNCTION("IF($AC333="""","""",IF($AC333=IFERROR(MAX(FILTER($AC$6:$AC$1000,$C$6:$C$1000=$C333,$AB$6:$AB$1000=1)),),""WINNER"",""""))"),"#ERROR!")</f>
        <v>#ERROR!</v>
      </c>
      <c r="AF333" s="40" t="str">
        <f t="shared" si="5"/>
        <v/>
      </c>
      <c r="AG333" s="40" t="str">
        <f>IF($J333="","",COUNTIF(Assignments!$B:$B,$J333))</f>
        <v/>
      </c>
      <c r="AH333" s="40" t="str">
        <f>IF($J333="","",IF(AND($AG333=0,$N333&lt;$M333),Config!$B$43,0))</f>
        <v/>
      </c>
      <c r="AI333" s="40" t="str">
        <f>IF($J333="","",IF(AND($L333="Elite",$F333&gt;=Config!$B$41,$N333&lt;$M333),Config!$B$42,0))</f>
        <v/>
      </c>
      <c r="AJ333" s="22"/>
      <c r="AK333" s="39">
        <f>IFERROR(VLOOKUP(J333,Grinders!$A:$Q,28,FALSE),0)</f>
        <v>0</v>
      </c>
      <c r="AL333" s="39">
        <f>IF(Config!$B$1003&lt;&gt;"Y",0,IF(IFERROR(VLOOKUP(J333,Grinders!$A:$P,27,FALSE),0)&gt;=3,IF(OR(F333&gt;=Config!$B$1001,ISNUMBER(SEARCH(E333,Config!$B$1002))),1,0),0))</f>
        <v>0</v>
      </c>
      <c r="AM333" s="39">
        <f t="array" ref="AM333">IFERROR(IF(INDEX(Bids!$AE:$AE,MATCH(B333,Bids!$A:$A,0))="Pending",1,0),0)</f>
        <v>0</v>
      </c>
      <c r="AN333" s="39" t="str">
        <f t="array" ref="AN333">IF(C333="","",IFERROR(XLOOKUP(C333,Assignments!$C:$C,Assignments!$AU:$AU,0),0))</f>
        <v/>
      </c>
      <c r="AO333" s="39">
        <f>IF(AND(Config!$B$1006="Y",AN333=1),Config!$B$1007,0)</f>
        <v>0</v>
      </c>
    </row>
    <row r="334" ht="15.75" customHeight="1">
      <c r="A334" s="46" t="str">
        <f t="shared" si="1"/>
        <v/>
      </c>
      <c r="B334" s="40" t="str">
        <f>IF(Bids!$A334="","",Bids!$A334)</f>
        <v/>
      </c>
      <c r="C334" s="40" t="str">
        <f>IF(Bids!$B334="","",Bids!$B334)</f>
        <v/>
      </c>
      <c r="D334" s="40" t="str">
        <f>IF($C334="","",IFERROR(VLOOKUP($C334,Orders!$A:$J,9,FALSE),""))</f>
        <v/>
      </c>
      <c r="E334" s="40" t="str">
        <f>IF($C334="","",IFERROR(VLOOKUP($C334,Orders!$A:$J,3,FALSE),""))</f>
        <v/>
      </c>
      <c r="F334" s="40" t="str">
        <f>IF($C334="","",IFERROR(VLOOKUP($C334,Orders!$A:$J,4,FALSE),""))</f>
        <v/>
      </c>
      <c r="G334" s="40" t="str">
        <f>IF($C334="","",IFERROR(VLOOKUP($C334,Orders!$A:$J,5,FALSE),""))</f>
        <v/>
      </c>
      <c r="H334" s="40" t="str">
        <f>IF($C334="","",IFERROR(VLOOKUP($C334,Orders!$A:$J,6,FALSE),""))</f>
        <v/>
      </c>
      <c r="I334" s="40" t="str">
        <f>IF($C334="","",IFERROR(VLOOKUP($C334,Orders!$A:$J,7,FALSE),""))</f>
        <v/>
      </c>
      <c r="J334" s="40" t="str">
        <f>IF(Bids!$C334="","",Bids!$C334)</f>
        <v/>
      </c>
      <c r="K334" s="40" t="str">
        <f>IF($J334="","",IFERROR(VLOOKUP($J334,Grinders!$A:$N,2,FALSE),""))</f>
        <v/>
      </c>
      <c r="L334" s="40" t="str">
        <f>IF($J334="","",IFERROR(VLOOKUP($J334,Grinders!$A:$N,3,FALSE),""))</f>
        <v/>
      </c>
      <c r="M334" s="40" t="str">
        <f>IF($J334="","",IFERROR(VLOOKUP($J334,Grinders!$A:$N,4,FALSE),""))</f>
        <v/>
      </c>
      <c r="N334" s="40" t="str">
        <f>IF($J334="","",IFERROR(VLOOKUP($J334,Grinders!$A:$N,5,FALSE),""))</f>
        <v/>
      </c>
      <c r="O334" s="40" t="str">
        <f t="shared" si="2"/>
        <v/>
      </c>
      <c r="P334" s="40" t="str">
        <f>IF($J334="","",IFERROR(VLOOKUP($J334,Grinders!$A:$N,6,FALSE),""))</f>
        <v/>
      </c>
      <c r="Q334" s="40" t="str">
        <f>IF($J334="","",IFERROR(VLOOKUP($J334,Grinders!$A:$N,8,FALSE),""))</f>
        <v/>
      </c>
      <c r="R334" s="40" t="str">
        <f>IFERROR(IF($J334="","",IF($L334="Elite",MAX(50,MIN(100,Config!$B$27*MAX(0,MIN(100,(1-IF($O334="",0,$O334))*100)) + Config!$B$28*MAX(0,MIN(100,(1-MIN(1,IF(Config!$B$30=0,1,$P334/Config!$B$30)))*100)) + Config!$B$29*MAX(0,MIN(100,MIN(1,IF($Q334="",0,$Q334)/Config!$B$23)*100)))),MIN(100,Config!$B$27*MAX(0,MIN(100,(1-IF($O334="",0,$O334))*100)) + Config!$B$28*MAX(0,MIN(100,(1-MIN(1,IF(Config!$B$30=0,1,$P334/Config!$B$30)))*100)) + Config!$B$29*MAX(0,MIN(100,MIN(1,IF($Q334="",0,$Q334)/Config!$B$23)*100))))),"")
</f>
        <v/>
      </c>
      <c r="S334" s="40" t="str">
        <f>IF(Bids!$AC334="","",Bids!$AC334)</f>
        <v/>
      </c>
      <c r="T334" s="40" t="str">
        <f>IF(Bids!$F334="","",Bids!$F334)</f>
        <v/>
      </c>
      <c r="U334" s="40" t="str">
        <f t="shared" si="3"/>
        <v/>
      </c>
      <c r="V334" s="40" t="str">
        <f>IF($U334="","",IF(Config!$B$17=Config!$B$16,IF($U334&gt;=Config!$B$17,100,0),MAX(0,MIN(100,($U334-Config!$B$16)/(Config!$B$17-Config!$B$16)*100))))</f>
        <v/>
      </c>
      <c r="W334" s="40">
        <f>IF($L334="Elite",Config!$B$21,0)</f>
        <v>0</v>
      </c>
      <c r="X334" s="40" t="str">
        <f>IFERROR(IF(OR($T334="",$G334=""),"",IF($T334&gt;$G334,
  MAX(0, 60-(($T334-$G334)*24/Config!$B$19)*60),
  MEDIAN(60, 100, 60+(($G334-$T334)*24/Config!$B$20)*40)
)),"")
</f>
        <v/>
      </c>
      <c r="Y334" s="40" t="str">
        <f>IF($J334="","",IFERROR(VLOOKUP($J334,Grinders!$A:$N,10,FALSE),""))</f>
        <v/>
      </c>
      <c r="Z334" s="40" t="str">
        <f>IF($J334="","",IFERROR(VLOOKUP($J334,Grinders!$A:$N,11,FALSE),""))</f>
        <v/>
      </c>
      <c r="AA334" s="40" t="str">
        <f>IF($J334="","",IFERROR(VLOOKUP($J334,Grinders!$A:$N,12,FALSE),""))</f>
        <v/>
      </c>
      <c r="AB334" s="40" t="str">
        <f>IF(OR(AL334=1,AM334=1),0,=IFERROR(IF(OR($C334="",$J334=""),0,IF($D334&lt;&gt;"Open",0,IF(COUNTIFS(GrinderServices!$A:$A,$J334,GrinderServices!$B:$B,$E334,GrinderServices!$D:$D,"Y")=0,0,IF($U334&lt;Config!$B$16,0,IF(Config!$B$18=1,IF($N334&gt;=$M334,0,1),1))))),""))</f>
        <v>#ERROR!</v>
      </c>
      <c r="AC334" s="40" t="str">
        <f>IFERROR((IF(OR(AL334=1,AM334=1),"",=IFERROR((IFERROR(IF($AB334=0,"",((Config!$B$6*$V334 + Config!$B$7*$R334 + Config!$B$8*$W334 + Config!$B$9*$X334 + Config!$B$10*$Y334 + Config!$B$11*$Z334 - Config!$B$12*$AA334)/Config!$B$13)+$AH334+$AI334),""))*(1-IFERROR(VLOOKUP(J334,Grinders!$A:$AB, 28, FALSE),0)),"")))*(1+AO334),"")</f>
        <v>#ERROR!</v>
      </c>
      <c r="AD334" s="40" t="str">
        <f t="shared" si="4"/>
        <v/>
      </c>
      <c r="AE334" s="40" t="str">
        <f>IFERROR(__xludf.DUMMYFUNCTION("IF($AC334="""","""",IF($AC334=IFERROR(MAX(FILTER($AC$6:$AC$1000,$C$6:$C$1000=$C334,$AB$6:$AB$1000=1)),),""WINNER"",""""))"),"#ERROR!")</f>
        <v>#ERROR!</v>
      </c>
      <c r="AF334" s="40" t="str">
        <f t="shared" si="5"/>
        <v/>
      </c>
      <c r="AG334" s="40" t="str">
        <f>IF($J334="","",COUNTIF(Assignments!$B:$B,$J334))</f>
        <v/>
      </c>
      <c r="AH334" s="40" t="str">
        <f>IF($J334="","",IF(AND($AG334=0,$N334&lt;$M334),Config!$B$43,0))</f>
        <v/>
      </c>
      <c r="AI334" s="40" t="str">
        <f>IF($J334="","",IF(AND($L334="Elite",$F334&gt;=Config!$B$41,$N334&lt;$M334),Config!$B$42,0))</f>
        <v/>
      </c>
      <c r="AJ334" s="22"/>
      <c r="AK334" s="39">
        <f>IFERROR(VLOOKUP(J334,Grinders!$A:$Q,28,FALSE),0)</f>
        <v>0</v>
      </c>
      <c r="AL334" s="39">
        <f>IF(Config!$B$1003&lt;&gt;"Y",0,IF(IFERROR(VLOOKUP(J334,Grinders!$A:$P,27,FALSE),0)&gt;=3,IF(OR(F334&gt;=Config!$B$1001,ISNUMBER(SEARCH(E334,Config!$B$1002))),1,0),0))</f>
        <v>0</v>
      </c>
      <c r="AM334" s="39">
        <f t="array" ref="AM334">IFERROR(IF(INDEX(Bids!$AE:$AE,MATCH(B334,Bids!$A:$A,0))="Pending",1,0),0)</f>
        <v>0</v>
      </c>
      <c r="AN334" s="39" t="str">
        <f t="array" ref="AN334">IF(C334="","",IFERROR(XLOOKUP(C334,Assignments!$C:$C,Assignments!$AU:$AU,0),0))</f>
        <v/>
      </c>
      <c r="AO334" s="39">
        <f>IF(AND(Config!$B$1006="Y",AN334=1),Config!$B$1007,0)</f>
        <v>0</v>
      </c>
    </row>
    <row r="335" ht="15.75" customHeight="1">
      <c r="A335" s="46" t="str">
        <f t="shared" si="1"/>
        <v/>
      </c>
      <c r="B335" s="40" t="str">
        <f>IF(Bids!$A335="","",Bids!$A335)</f>
        <v/>
      </c>
      <c r="C335" s="40" t="str">
        <f>IF(Bids!$B335="","",Bids!$B335)</f>
        <v/>
      </c>
      <c r="D335" s="40" t="str">
        <f>IF($C335="","",IFERROR(VLOOKUP($C335,Orders!$A:$J,9,FALSE),""))</f>
        <v/>
      </c>
      <c r="E335" s="40" t="str">
        <f>IF($C335="","",IFERROR(VLOOKUP($C335,Orders!$A:$J,3,FALSE),""))</f>
        <v/>
      </c>
      <c r="F335" s="40" t="str">
        <f>IF($C335="","",IFERROR(VLOOKUP($C335,Orders!$A:$J,4,FALSE),""))</f>
        <v/>
      </c>
      <c r="G335" s="40" t="str">
        <f>IF($C335="","",IFERROR(VLOOKUP($C335,Orders!$A:$J,5,FALSE),""))</f>
        <v/>
      </c>
      <c r="H335" s="40" t="str">
        <f>IF($C335="","",IFERROR(VLOOKUP($C335,Orders!$A:$J,6,FALSE),""))</f>
        <v/>
      </c>
      <c r="I335" s="40" t="str">
        <f>IF($C335="","",IFERROR(VLOOKUP($C335,Orders!$A:$J,7,FALSE),""))</f>
        <v/>
      </c>
      <c r="J335" s="40" t="str">
        <f>IF(Bids!$C335="","",Bids!$C335)</f>
        <v/>
      </c>
      <c r="K335" s="40" t="str">
        <f>IF($J335="","",IFERROR(VLOOKUP($J335,Grinders!$A:$N,2,FALSE),""))</f>
        <v/>
      </c>
      <c r="L335" s="40" t="str">
        <f>IF($J335="","",IFERROR(VLOOKUP($J335,Grinders!$A:$N,3,FALSE),""))</f>
        <v/>
      </c>
      <c r="M335" s="40" t="str">
        <f>IF($J335="","",IFERROR(VLOOKUP($J335,Grinders!$A:$N,4,FALSE),""))</f>
        <v/>
      </c>
      <c r="N335" s="40" t="str">
        <f>IF($J335="","",IFERROR(VLOOKUP($J335,Grinders!$A:$N,5,FALSE),""))</f>
        <v/>
      </c>
      <c r="O335" s="40" t="str">
        <f t="shared" si="2"/>
        <v/>
      </c>
      <c r="P335" s="40" t="str">
        <f>IF($J335="","",IFERROR(VLOOKUP($J335,Grinders!$A:$N,6,FALSE),""))</f>
        <v/>
      </c>
      <c r="Q335" s="40" t="str">
        <f>IF($J335="","",IFERROR(VLOOKUP($J335,Grinders!$A:$N,8,FALSE),""))</f>
        <v/>
      </c>
      <c r="R335" s="40" t="str">
        <f>IFERROR(IF($J335="","",IF($L335="Elite",MAX(50,MIN(100,Config!$B$27*MAX(0,MIN(100,(1-IF($O335="",0,$O335))*100)) + Config!$B$28*MAX(0,MIN(100,(1-MIN(1,IF(Config!$B$30=0,1,$P335/Config!$B$30)))*100)) + Config!$B$29*MAX(0,MIN(100,MIN(1,IF($Q335="",0,$Q335)/Config!$B$23)*100)))),MIN(100,Config!$B$27*MAX(0,MIN(100,(1-IF($O335="",0,$O335))*100)) + Config!$B$28*MAX(0,MIN(100,(1-MIN(1,IF(Config!$B$30=0,1,$P335/Config!$B$30)))*100)) + Config!$B$29*MAX(0,MIN(100,MIN(1,IF($Q335="",0,$Q335)/Config!$B$23)*100))))),"")
</f>
        <v/>
      </c>
      <c r="S335" s="40" t="str">
        <f>IF(Bids!$AC335="","",Bids!$AC335)</f>
        <v/>
      </c>
      <c r="T335" s="40" t="str">
        <f>IF(Bids!$F335="","",Bids!$F335)</f>
        <v/>
      </c>
      <c r="U335" s="40" t="str">
        <f t="shared" si="3"/>
        <v/>
      </c>
      <c r="V335" s="40" t="str">
        <f>IF($U335="","",IF(Config!$B$17=Config!$B$16,IF($U335&gt;=Config!$B$17,100,0),MAX(0,MIN(100,($U335-Config!$B$16)/(Config!$B$17-Config!$B$16)*100))))</f>
        <v/>
      </c>
      <c r="W335" s="40">
        <f>IF($L335="Elite",Config!$B$21,0)</f>
        <v>0</v>
      </c>
      <c r="X335" s="40" t="str">
        <f>IFERROR(IF(OR($T335="",$G335=""),"",IF($T335&gt;$G335,
  MAX(0, 60-(($T335-$G335)*24/Config!$B$19)*60),
  MEDIAN(60, 100, 60+(($G335-$T335)*24/Config!$B$20)*40)
)),"")
</f>
        <v/>
      </c>
      <c r="Y335" s="40" t="str">
        <f>IF($J335="","",IFERROR(VLOOKUP($J335,Grinders!$A:$N,10,FALSE),""))</f>
        <v/>
      </c>
      <c r="Z335" s="40" t="str">
        <f>IF($J335="","",IFERROR(VLOOKUP($J335,Grinders!$A:$N,11,FALSE),""))</f>
        <v/>
      </c>
      <c r="AA335" s="40" t="str">
        <f>IF($J335="","",IFERROR(VLOOKUP($J335,Grinders!$A:$N,12,FALSE),""))</f>
        <v/>
      </c>
      <c r="AB335" s="40" t="str">
        <f>IF(OR(AL335=1,AM335=1),0,=IFERROR(IF(OR($C335="",$J335=""),0,IF($D335&lt;&gt;"Open",0,IF(COUNTIFS(GrinderServices!$A:$A,$J335,GrinderServices!$B:$B,$E335,GrinderServices!$D:$D,"Y")=0,0,IF($U335&lt;Config!$B$16,0,IF(Config!$B$18=1,IF($N335&gt;=$M335,0,1),1))))),""))</f>
        <v>#ERROR!</v>
      </c>
      <c r="AC335" s="40" t="str">
        <f>IFERROR((IF(OR(AL335=1,AM335=1),"",=IFERROR((IFERROR(IF($AB335=0,"",((Config!$B$6*$V335 + Config!$B$7*$R335 + Config!$B$8*$W335 + Config!$B$9*$X335 + Config!$B$10*$Y335 + Config!$B$11*$Z335 - Config!$B$12*$AA335)/Config!$B$13)+$AH335+$AI335),""))*(1-IFERROR(VLOOKUP(J335,Grinders!$A:$AB, 28, FALSE),0)),"")))*(1+AO335),"")</f>
        <v>#ERROR!</v>
      </c>
      <c r="AD335" s="40" t="str">
        <f t="shared" si="4"/>
        <v/>
      </c>
      <c r="AE335" s="40" t="str">
        <f>IFERROR(__xludf.DUMMYFUNCTION("IF($AC335="""","""",IF($AC335=IFERROR(MAX(FILTER($AC$6:$AC$1000,$C$6:$C$1000=$C335,$AB$6:$AB$1000=1)),),""WINNER"",""""))"),"#ERROR!")</f>
        <v>#ERROR!</v>
      </c>
      <c r="AF335" s="40" t="str">
        <f t="shared" si="5"/>
        <v/>
      </c>
      <c r="AG335" s="40" t="str">
        <f>IF($J335="","",COUNTIF(Assignments!$B:$B,$J335))</f>
        <v/>
      </c>
      <c r="AH335" s="40" t="str">
        <f>IF($J335="","",IF(AND($AG335=0,$N335&lt;$M335),Config!$B$43,0))</f>
        <v/>
      </c>
      <c r="AI335" s="40" t="str">
        <f>IF($J335="","",IF(AND($L335="Elite",$F335&gt;=Config!$B$41,$N335&lt;$M335),Config!$B$42,0))</f>
        <v/>
      </c>
      <c r="AJ335" s="22"/>
      <c r="AK335" s="39">
        <f>IFERROR(VLOOKUP(J335,Grinders!$A:$Q,28,FALSE),0)</f>
        <v>0</v>
      </c>
      <c r="AL335" s="39">
        <f>IF(Config!$B$1003&lt;&gt;"Y",0,IF(IFERROR(VLOOKUP(J335,Grinders!$A:$P,27,FALSE),0)&gt;=3,IF(OR(F335&gt;=Config!$B$1001,ISNUMBER(SEARCH(E335,Config!$B$1002))),1,0),0))</f>
        <v>0</v>
      </c>
      <c r="AM335" s="39">
        <f t="array" ref="AM335">IFERROR(IF(INDEX(Bids!$AE:$AE,MATCH(B335,Bids!$A:$A,0))="Pending",1,0),0)</f>
        <v>0</v>
      </c>
      <c r="AN335" s="39" t="str">
        <f t="array" ref="AN335">IF(C335="","",IFERROR(XLOOKUP(C335,Assignments!$C:$C,Assignments!$AU:$AU,0),0))</f>
        <v/>
      </c>
      <c r="AO335" s="39">
        <f>IF(AND(Config!$B$1006="Y",AN335=1),Config!$B$1007,0)</f>
        <v>0</v>
      </c>
    </row>
    <row r="336" ht="15.75" customHeight="1">
      <c r="A336" s="46" t="str">
        <f t="shared" si="1"/>
        <v/>
      </c>
      <c r="B336" s="40" t="str">
        <f>IF(Bids!$A336="","",Bids!$A336)</f>
        <v/>
      </c>
      <c r="C336" s="40" t="str">
        <f>IF(Bids!$B336="","",Bids!$B336)</f>
        <v/>
      </c>
      <c r="D336" s="40" t="str">
        <f>IF($C336="","",IFERROR(VLOOKUP($C336,Orders!$A:$J,9,FALSE),""))</f>
        <v/>
      </c>
      <c r="E336" s="40" t="str">
        <f>IF($C336="","",IFERROR(VLOOKUP($C336,Orders!$A:$J,3,FALSE),""))</f>
        <v/>
      </c>
      <c r="F336" s="40" t="str">
        <f>IF($C336="","",IFERROR(VLOOKUP($C336,Orders!$A:$J,4,FALSE),""))</f>
        <v/>
      </c>
      <c r="G336" s="40" t="str">
        <f>IF($C336="","",IFERROR(VLOOKUP($C336,Orders!$A:$J,5,FALSE),""))</f>
        <v/>
      </c>
      <c r="H336" s="40" t="str">
        <f>IF($C336="","",IFERROR(VLOOKUP($C336,Orders!$A:$J,6,FALSE),""))</f>
        <v/>
      </c>
      <c r="I336" s="40" t="str">
        <f>IF($C336="","",IFERROR(VLOOKUP($C336,Orders!$A:$J,7,FALSE),""))</f>
        <v/>
      </c>
      <c r="J336" s="40" t="str">
        <f>IF(Bids!$C336="","",Bids!$C336)</f>
        <v/>
      </c>
      <c r="K336" s="40" t="str">
        <f>IF($J336="","",IFERROR(VLOOKUP($J336,Grinders!$A:$N,2,FALSE),""))</f>
        <v/>
      </c>
      <c r="L336" s="40" t="str">
        <f>IF($J336="","",IFERROR(VLOOKUP($J336,Grinders!$A:$N,3,FALSE),""))</f>
        <v/>
      </c>
      <c r="M336" s="40" t="str">
        <f>IF($J336="","",IFERROR(VLOOKUP($J336,Grinders!$A:$N,4,FALSE),""))</f>
        <v/>
      </c>
      <c r="N336" s="40" t="str">
        <f>IF($J336="","",IFERROR(VLOOKUP($J336,Grinders!$A:$N,5,FALSE),""))</f>
        <v/>
      </c>
      <c r="O336" s="40" t="str">
        <f t="shared" si="2"/>
        <v/>
      </c>
      <c r="P336" s="40" t="str">
        <f>IF($J336="","",IFERROR(VLOOKUP($J336,Grinders!$A:$N,6,FALSE),""))</f>
        <v/>
      </c>
      <c r="Q336" s="40" t="str">
        <f>IF($J336="","",IFERROR(VLOOKUP($J336,Grinders!$A:$N,8,FALSE),""))</f>
        <v/>
      </c>
      <c r="R336" s="40" t="str">
        <f>IFERROR(IF($J336="","",IF($L336="Elite",MAX(50,MIN(100,Config!$B$27*MAX(0,MIN(100,(1-IF($O336="",0,$O336))*100)) + Config!$B$28*MAX(0,MIN(100,(1-MIN(1,IF(Config!$B$30=0,1,$P336/Config!$B$30)))*100)) + Config!$B$29*MAX(0,MIN(100,MIN(1,IF($Q336="",0,$Q336)/Config!$B$23)*100)))),MIN(100,Config!$B$27*MAX(0,MIN(100,(1-IF($O336="",0,$O336))*100)) + Config!$B$28*MAX(0,MIN(100,(1-MIN(1,IF(Config!$B$30=0,1,$P336/Config!$B$30)))*100)) + Config!$B$29*MAX(0,MIN(100,MIN(1,IF($Q336="",0,$Q336)/Config!$B$23)*100))))),"")
</f>
        <v/>
      </c>
      <c r="S336" s="40" t="str">
        <f>IF(Bids!$AC336="","",Bids!$AC336)</f>
        <v/>
      </c>
      <c r="T336" s="40" t="str">
        <f>IF(Bids!$F336="","",Bids!$F336)</f>
        <v/>
      </c>
      <c r="U336" s="40" t="str">
        <f t="shared" si="3"/>
        <v/>
      </c>
      <c r="V336" s="40" t="str">
        <f>IF($U336="","",IF(Config!$B$17=Config!$B$16,IF($U336&gt;=Config!$B$17,100,0),MAX(0,MIN(100,($U336-Config!$B$16)/(Config!$B$17-Config!$B$16)*100))))</f>
        <v/>
      </c>
      <c r="W336" s="40">
        <f>IF($L336="Elite",Config!$B$21,0)</f>
        <v>0</v>
      </c>
      <c r="X336" s="40" t="str">
        <f>IFERROR(IF(OR($T336="",$G336=""),"",IF($T336&gt;$G336,
  MAX(0, 60-(($T336-$G336)*24/Config!$B$19)*60),
  MEDIAN(60, 100, 60+(($G336-$T336)*24/Config!$B$20)*40)
)),"")
</f>
        <v/>
      </c>
      <c r="Y336" s="40" t="str">
        <f>IF($J336="","",IFERROR(VLOOKUP($J336,Grinders!$A:$N,10,FALSE),""))</f>
        <v/>
      </c>
      <c r="Z336" s="40" t="str">
        <f>IF($J336="","",IFERROR(VLOOKUP($J336,Grinders!$A:$N,11,FALSE),""))</f>
        <v/>
      </c>
      <c r="AA336" s="40" t="str">
        <f>IF($J336="","",IFERROR(VLOOKUP($J336,Grinders!$A:$N,12,FALSE),""))</f>
        <v/>
      </c>
      <c r="AB336" s="40" t="str">
        <f>IF(OR(AL336=1,AM336=1),0,=IFERROR(IF(OR($C336="",$J336=""),0,IF($D336&lt;&gt;"Open",0,IF(COUNTIFS(GrinderServices!$A:$A,$J336,GrinderServices!$B:$B,$E336,GrinderServices!$D:$D,"Y")=0,0,IF($U336&lt;Config!$B$16,0,IF(Config!$B$18=1,IF($N336&gt;=$M336,0,1),1))))),""))</f>
        <v>#ERROR!</v>
      </c>
      <c r="AC336" s="40" t="str">
        <f>IFERROR((IF(OR(AL336=1,AM336=1),"",=IFERROR((IFERROR(IF($AB336=0,"",((Config!$B$6*$V336 + Config!$B$7*$R336 + Config!$B$8*$W336 + Config!$B$9*$X336 + Config!$B$10*$Y336 + Config!$B$11*$Z336 - Config!$B$12*$AA336)/Config!$B$13)+$AH336+$AI336),""))*(1-IFERROR(VLOOKUP(J336,Grinders!$A:$AB, 28, FALSE),0)),"")))*(1+AO336),"")</f>
        <v>#ERROR!</v>
      </c>
      <c r="AD336" s="40" t="str">
        <f t="shared" si="4"/>
        <v/>
      </c>
      <c r="AE336" s="40" t="str">
        <f>IFERROR(__xludf.DUMMYFUNCTION("IF($AC336="""","""",IF($AC336=IFERROR(MAX(FILTER($AC$6:$AC$1000,$C$6:$C$1000=$C336,$AB$6:$AB$1000=1)),),""WINNER"",""""))"),"#ERROR!")</f>
        <v>#ERROR!</v>
      </c>
      <c r="AF336" s="40" t="str">
        <f t="shared" si="5"/>
        <v/>
      </c>
      <c r="AG336" s="40" t="str">
        <f>IF($J336="","",COUNTIF(Assignments!$B:$B,$J336))</f>
        <v/>
      </c>
      <c r="AH336" s="40" t="str">
        <f>IF($J336="","",IF(AND($AG336=0,$N336&lt;$M336),Config!$B$43,0))</f>
        <v/>
      </c>
      <c r="AI336" s="40" t="str">
        <f>IF($J336="","",IF(AND($L336="Elite",$F336&gt;=Config!$B$41,$N336&lt;$M336),Config!$B$42,0))</f>
        <v/>
      </c>
      <c r="AJ336" s="22"/>
      <c r="AK336" s="39">
        <f>IFERROR(VLOOKUP(J336,Grinders!$A:$Q,28,FALSE),0)</f>
        <v>0</v>
      </c>
      <c r="AL336" s="39">
        <f>IF(Config!$B$1003&lt;&gt;"Y",0,IF(IFERROR(VLOOKUP(J336,Grinders!$A:$P,27,FALSE),0)&gt;=3,IF(OR(F336&gt;=Config!$B$1001,ISNUMBER(SEARCH(E336,Config!$B$1002))),1,0),0))</f>
        <v>0</v>
      </c>
      <c r="AM336" s="39">
        <f t="array" ref="AM336">IFERROR(IF(INDEX(Bids!$AE:$AE,MATCH(B336,Bids!$A:$A,0))="Pending",1,0),0)</f>
        <v>0</v>
      </c>
      <c r="AN336" s="39" t="str">
        <f t="array" ref="AN336">IF(C336="","",IFERROR(XLOOKUP(C336,Assignments!$C:$C,Assignments!$AU:$AU,0),0))</f>
        <v/>
      </c>
      <c r="AO336" s="39">
        <f>IF(AND(Config!$B$1006="Y",AN336=1),Config!$B$1007,0)</f>
        <v>0</v>
      </c>
    </row>
    <row r="337" ht="15.75" customHeight="1">
      <c r="A337" s="46" t="str">
        <f t="shared" si="1"/>
        <v/>
      </c>
      <c r="B337" s="40" t="str">
        <f>IF(Bids!$A337="","",Bids!$A337)</f>
        <v/>
      </c>
      <c r="C337" s="40" t="str">
        <f>IF(Bids!$B337="","",Bids!$B337)</f>
        <v/>
      </c>
      <c r="D337" s="40" t="str">
        <f>IF($C337="","",IFERROR(VLOOKUP($C337,Orders!$A:$J,9,FALSE),""))</f>
        <v/>
      </c>
      <c r="E337" s="40" t="str">
        <f>IF($C337="","",IFERROR(VLOOKUP($C337,Orders!$A:$J,3,FALSE),""))</f>
        <v/>
      </c>
      <c r="F337" s="40" t="str">
        <f>IF($C337="","",IFERROR(VLOOKUP($C337,Orders!$A:$J,4,FALSE),""))</f>
        <v/>
      </c>
      <c r="G337" s="40" t="str">
        <f>IF($C337="","",IFERROR(VLOOKUP($C337,Orders!$A:$J,5,FALSE),""))</f>
        <v/>
      </c>
      <c r="H337" s="40" t="str">
        <f>IF($C337="","",IFERROR(VLOOKUP($C337,Orders!$A:$J,6,FALSE),""))</f>
        <v/>
      </c>
      <c r="I337" s="40" t="str">
        <f>IF($C337="","",IFERROR(VLOOKUP($C337,Orders!$A:$J,7,FALSE),""))</f>
        <v/>
      </c>
      <c r="J337" s="40" t="str">
        <f>IF(Bids!$C337="","",Bids!$C337)</f>
        <v/>
      </c>
      <c r="K337" s="40" t="str">
        <f>IF($J337="","",IFERROR(VLOOKUP($J337,Grinders!$A:$N,2,FALSE),""))</f>
        <v/>
      </c>
      <c r="L337" s="40" t="str">
        <f>IF($J337="","",IFERROR(VLOOKUP($J337,Grinders!$A:$N,3,FALSE),""))</f>
        <v/>
      </c>
      <c r="M337" s="40" t="str">
        <f>IF($J337="","",IFERROR(VLOOKUP($J337,Grinders!$A:$N,4,FALSE),""))</f>
        <v/>
      </c>
      <c r="N337" s="40" t="str">
        <f>IF($J337="","",IFERROR(VLOOKUP($J337,Grinders!$A:$N,5,FALSE),""))</f>
        <v/>
      </c>
      <c r="O337" s="40" t="str">
        <f t="shared" si="2"/>
        <v/>
      </c>
      <c r="P337" s="40" t="str">
        <f>IF($J337="","",IFERROR(VLOOKUP($J337,Grinders!$A:$N,6,FALSE),""))</f>
        <v/>
      </c>
      <c r="Q337" s="40" t="str">
        <f>IF($J337="","",IFERROR(VLOOKUP($J337,Grinders!$A:$N,8,FALSE),""))</f>
        <v/>
      </c>
      <c r="R337" s="40" t="str">
        <f>IFERROR(IF($J337="","",IF($L337="Elite",MAX(50,MIN(100,Config!$B$27*MAX(0,MIN(100,(1-IF($O337="",0,$O337))*100)) + Config!$B$28*MAX(0,MIN(100,(1-MIN(1,IF(Config!$B$30=0,1,$P337/Config!$B$30)))*100)) + Config!$B$29*MAX(0,MIN(100,MIN(1,IF($Q337="",0,$Q337)/Config!$B$23)*100)))),MIN(100,Config!$B$27*MAX(0,MIN(100,(1-IF($O337="",0,$O337))*100)) + Config!$B$28*MAX(0,MIN(100,(1-MIN(1,IF(Config!$B$30=0,1,$P337/Config!$B$30)))*100)) + Config!$B$29*MAX(0,MIN(100,MIN(1,IF($Q337="",0,$Q337)/Config!$B$23)*100))))),"")
</f>
        <v/>
      </c>
      <c r="S337" s="40" t="str">
        <f>IF(Bids!$AC337="","",Bids!$AC337)</f>
        <v/>
      </c>
      <c r="T337" s="40" t="str">
        <f>IF(Bids!$F337="","",Bids!$F337)</f>
        <v/>
      </c>
      <c r="U337" s="40" t="str">
        <f t="shared" si="3"/>
        <v/>
      </c>
      <c r="V337" s="40" t="str">
        <f>IF($U337="","",IF(Config!$B$17=Config!$B$16,IF($U337&gt;=Config!$B$17,100,0),MAX(0,MIN(100,($U337-Config!$B$16)/(Config!$B$17-Config!$B$16)*100))))</f>
        <v/>
      </c>
      <c r="W337" s="40">
        <f>IF($L337="Elite",Config!$B$21,0)</f>
        <v>0</v>
      </c>
      <c r="X337" s="40" t="str">
        <f>IFERROR(IF(OR($T337="",$G337=""),"",IF($T337&gt;$G337,
  MAX(0, 60-(($T337-$G337)*24/Config!$B$19)*60),
  MEDIAN(60, 100, 60+(($G337-$T337)*24/Config!$B$20)*40)
)),"")
</f>
        <v/>
      </c>
      <c r="Y337" s="40" t="str">
        <f>IF($J337="","",IFERROR(VLOOKUP($J337,Grinders!$A:$N,10,FALSE),""))</f>
        <v/>
      </c>
      <c r="Z337" s="40" t="str">
        <f>IF($J337="","",IFERROR(VLOOKUP($J337,Grinders!$A:$N,11,FALSE),""))</f>
        <v/>
      </c>
      <c r="AA337" s="40" t="str">
        <f>IF($J337="","",IFERROR(VLOOKUP($J337,Grinders!$A:$N,12,FALSE),""))</f>
        <v/>
      </c>
      <c r="AB337" s="40" t="str">
        <f>IF(OR(AL337=1,AM337=1),0,=IFERROR(IF(OR($C337="",$J337=""),0,IF($D337&lt;&gt;"Open",0,IF(COUNTIFS(GrinderServices!$A:$A,$J337,GrinderServices!$B:$B,$E337,GrinderServices!$D:$D,"Y")=0,0,IF($U337&lt;Config!$B$16,0,IF(Config!$B$18=1,IF($N337&gt;=$M337,0,1),1))))),""))</f>
        <v>#ERROR!</v>
      </c>
      <c r="AC337" s="40" t="str">
        <f>IFERROR((IF(OR(AL337=1,AM337=1),"",=IFERROR((IFERROR(IF($AB337=0,"",((Config!$B$6*$V337 + Config!$B$7*$R337 + Config!$B$8*$W337 + Config!$B$9*$X337 + Config!$B$10*$Y337 + Config!$B$11*$Z337 - Config!$B$12*$AA337)/Config!$B$13)+$AH337+$AI337),""))*(1-IFERROR(VLOOKUP(J337,Grinders!$A:$AB, 28, FALSE),0)),"")))*(1+AO337),"")</f>
        <v>#ERROR!</v>
      </c>
      <c r="AD337" s="40" t="str">
        <f t="shared" si="4"/>
        <v/>
      </c>
      <c r="AE337" s="40" t="str">
        <f>IFERROR(__xludf.DUMMYFUNCTION("IF($AC337="""","""",IF($AC337=IFERROR(MAX(FILTER($AC$6:$AC$1000,$C$6:$C$1000=$C337,$AB$6:$AB$1000=1)),),""WINNER"",""""))"),"#ERROR!")</f>
        <v>#ERROR!</v>
      </c>
      <c r="AF337" s="40" t="str">
        <f t="shared" si="5"/>
        <v/>
      </c>
      <c r="AG337" s="40" t="str">
        <f>IF($J337="","",COUNTIF(Assignments!$B:$B,$J337))</f>
        <v/>
      </c>
      <c r="AH337" s="40" t="str">
        <f>IF($J337="","",IF(AND($AG337=0,$N337&lt;$M337),Config!$B$43,0))</f>
        <v/>
      </c>
      <c r="AI337" s="40" t="str">
        <f>IF($J337="","",IF(AND($L337="Elite",$F337&gt;=Config!$B$41,$N337&lt;$M337),Config!$B$42,0))</f>
        <v/>
      </c>
      <c r="AJ337" s="22"/>
      <c r="AK337" s="39">
        <f>IFERROR(VLOOKUP(J337,Grinders!$A:$Q,28,FALSE),0)</f>
        <v>0</v>
      </c>
      <c r="AL337" s="39">
        <f>IF(Config!$B$1003&lt;&gt;"Y",0,IF(IFERROR(VLOOKUP(J337,Grinders!$A:$P,27,FALSE),0)&gt;=3,IF(OR(F337&gt;=Config!$B$1001,ISNUMBER(SEARCH(E337,Config!$B$1002))),1,0),0))</f>
        <v>0</v>
      </c>
      <c r="AM337" s="39">
        <f t="array" ref="AM337">IFERROR(IF(INDEX(Bids!$AE:$AE,MATCH(B337,Bids!$A:$A,0))="Pending",1,0),0)</f>
        <v>0</v>
      </c>
      <c r="AN337" s="39" t="str">
        <f t="array" ref="AN337">IF(C337="","",IFERROR(XLOOKUP(C337,Assignments!$C:$C,Assignments!$AU:$AU,0),0))</f>
        <v/>
      </c>
      <c r="AO337" s="39">
        <f>IF(AND(Config!$B$1006="Y",AN337=1),Config!$B$1007,0)</f>
        <v>0</v>
      </c>
    </row>
    <row r="338" ht="15.75" customHeight="1">
      <c r="A338" s="46" t="str">
        <f t="shared" si="1"/>
        <v/>
      </c>
      <c r="B338" s="40" t="str">
        <f>IF(Bids!$A338="","",Bids!$A338)</f>
        <v/>
      </c>
      <c r="C338" s="40" t="str">
        <f>IF(Bids!$B338="","",Bids!$B338)</f>
        <v/>
      </c>
      <c r="D338" s="40" t="str">
        <f>IF($C338="","",IFERROR(VLOOKUP($C338,Orders!$A:$J,9,FALSE),""))</f>
        <v/>
      </c>
      <c r="E338" s="40" t="str">
        <f>IF($C338="","",IFERROR(VLOOKUP($C338,Orders!$A:$J,3,FALSE),""))</f>
        <v/>
      </c>
      <c r="F338" s="40" t="str">
        <f>IF($C338="","",IFERROR(VLOOKUP($C338,Orders!$A:$J,4,FALSE),""))</f>
        <v/>
      </c>
      <c r="G338" s="40" t="str">
        <f>IF($C338="","",IFERROR(VLOOKUP($C338,Orders!$A:$J,5,FALSE),""))</f>
        <v/>
      </c>
      <c r="H338" s="40" t="str">
        <f>IF($C338="","",IFERROR(VLOOKUP($C338,Orders!$A:$J,6,FALSE),""))</f>
        <v/>
      </c>
      <c r="I338" s="40" t="str">
        <f>IF($C338="","",IFERROR(VLOOKUP($C338,Orders!$A:$J,7,FALSE),""))</f>
        <v/>
      </c>
      <c r="J338" s="40" t="str">
        <f>IF(Bids!$C338="","",Bids!$C338)</f>
        <v/>
      </c>
      <c r="K338" s="40" t="str">
        <f>IF($J338="","",IFERROR(VLOOKUP($J338,Grinders!$A:$N,2,FALSE),""))</f>
        <v/>
      </c>
      <c r="L338" s="40" t="str">
        <f>IF($J338="","",IFERROR(VLOOKUP($J338,Grinders!$A:$N,3,FALSE),""))</f>
        <v/>
      </c>
      <c r="M338" s="40" t="str">
        <f>IF($J338="","",IFERROR(VLOOKUP($J338,Grinders!$A:$N,4,FALSE),""))</f>
        <v/>
      </c>
      <c r="N338" s="40" t="str">
        <f>IF($J338="","",IFERROR(VLOOKUP($J338,Grinders!$A:$N,5,FALSE),""))</f>
        <v/>
      </c>
      <c r="O338" s="40" t="str">
        <f t="shared" si="2"/>
        <v/>
      </c>
      <c r="P338" s="40" t="str">
        <f>IF($J338="","",IFERROR(VLOOKUP($J338,Grinders!$A:$N,6,FALSE),""))</f>
        <v/>
      </c>
      <c r="Q338" s="40" t="str">
        <f>IF($J338="","",IFERROR(VLOOKUP($J338,Grinders!$A:$N,8,FALSE),""))</f>
        <v/>
      </c>
      <c r="R338" s="40" t="str">
        <f>IFERROR(IF($J338="","",IF($L338="Elite",MAX(50,MIN(100,Config!$B$27*MAX(0,MIN(100,(1-IF($O338="",0,$O338))*100)) + Config!$B$28*MAX(0,MIN(100,(1-MIN(1,IF(Config!$B$30=0,1,$P338/Config!$B$30)))*100)) + Config!$B$29*MAX(0,MIN(100,MIN(1,IF($Q338="",0,$Q338)/Config!$B$23)*100)))),MIN(100,Config!$B$27*MAX(0,MIN(100,(1-IF($O338="",0,$O338))*100)) + Config!$B$28*MAX(0,MIN(100,(1-MIN(1,IF(Config!$B$30=0,1,$P338/Config!$B$30)))*100)) + Config!$B$29*MAX(0,MIN(100,MIN(1,IF($Q338="",0,$Q338)/Config!$B$23)*100))))),"")
</f>
        <v/>
      </c>
      <c r="S338" s="40" t="str">
        <f>IF(Bids!$AC338="","",Bids!$AC338)</f>
        <v/>
      </c>
      <c r="T338" s="40" t="str">
        <f>IF(Bids!$F338="","",Bids!$F338)</f>
        <v/>
      </c>
      <c r="U338" s="40" t="str">
        <f t="shared" si="3"/>
        <v/>
      </c>
      <c r="V338" s="40" t="str">
        <f>IF($U338="","",IF(Config!$B$17=Config!$B$16,IF($U338&gt;=Config!$B$17,100,0),MAX(0,MIN(100,($U338-Config!$B$16)/(Config!$B$17-Config!$B$16)*100))))</f>
        <v/>
      </c>
      <c r="W338" s="40">
        <f>IF($L338="Elite",Config!$B$21,0)</f>
        <v>0</v>
      </c>
      <c r="X338" s="40" t="str">
        <f>IFERROR(IF(OR($T338="",$G338=""),"",IF($T338&gt;$G338,
  MAX(0, 60-(($T338-$G338)*24/Config!$B$19)*60),
  MEDIAN(60, 100, 60+(($G338-$T338)*24/Config!$B$20)*40)
)),"")
</f>
        <v/>
      </c>
      <c r="Y338" s="40" t="str">
        <f>IF($J338="","",IFERROR(VLOOKUP($J338,Grinders!$A:$N,10,FALSE),""))</f>
        <v/>
      </c>
      <c r="Z338" s="40" t="str">
        <f>IF($J338="","",IFERROR(VLOOKUP($J338,Grinders!$A:$N,11,FALSE),""))</f>
        <v/>
      </c>
      <c r="AA338" s="40" t="str">
        <f>IF($J338="","",IFERROR(VLOOKUP($J338,Grinders!$A:$N,12,FALSE),""))</f>
        <v/>
      </c>
      <c r="AB338" s="40" t="str">
        <f>IF(OR(AL338=1,AM338=1),0,=IFERROR(IF(OR($C338="",$J338=""),0,IF($D338&lt;&gt;"Open",0,IF(COUNTIFS(GrinderServices!$A:$A,$J338,GrinderServices!$B:$B,$E338,GrinderServices!$D:$D,"Y")=0,0,IF($U338&lt;Config!$B$16,0,IF(Config!$B$18=1,IF($N338&gt;=$M338,0,1),1))))),""))</f>
        <v>#ERROR!</v>
      </c>
      <c r="AC338" s="40" t="str">
        <f>IFERROR((IF(OR(AL338=1,AM338=1),"",=IFERROR((IFERROR(IF($AB338=0,"",((Config!$B$6*$V338 + Config!$B$7*$R338 + Config!$B$8*$W338 + Config!$B$9*$X338 + Config!$B$10*$Y338 + Config!$B$11*$Z338 - Config!$B$12*$AA338)/Config!$B$13)+$AH338+$AI338),""))*(1-IFERROR(VLOOKUP(J338,Grinders!$A:$AB, 28, FALSE),0)),"")))*(1+AO338),"")</f>
        <v>#ERROR!</v>
      </c>
      <c r="AD338" s="40" t="str">
        <f t="shared" si="4"/>
        <v/>
      </c>
      <c r="AE338" s="40" t="str">
        <f>IFERROR(__xludf.DUMMYFUNCTION("IF($AC338="""","""",IF($AC338=IFERROR(MAX(FILTER($AC$6:$AC$1000,$C$6:$C$1000=$C338,$AB$6:$AB$1000=1)),),""WINNER"",""""))"),"#ERROR!")</f>
        <v>#ERROR!</v>
      </c>
      <c r="AF338" s="40" t="str">
        <f t="shared" si="5"/>
        <v/>
      </c>
      <c r="AG338" s="40" t="str">
        <f>IF($J338="","",COUNTIF(Assignments!$B:$B,$J338))</f>
        <v/>
      </c>
      <c r="AH338" s="40" t="str">
        <f>IF($J338="","",IF(AND($AG338=0,$N338&lt;$M338),Config!$B$43,0))</f>
        <v/>
      </c>
      <c r="AI338" s="40" t="str">
        <f>IF($J338="","",IF(AND($L338="Elite",$F338&gt;=Config!$B$41,$N338&lt;$M338),Config!$B$42,0))</f>
        <v/>
      </c>
      <c r="AJ338" s="22"/>
      <c r="AK338" s="39">
        <f>IFERROR(VLOOKUP(J338,Grinders!$A:$Q,28,FALSE),0)</f>
        <v>0</v>
      </c>
      <c r="AL338" s="39">
        <f>IF(Config!$B$1003&lt;&gt;"Y",0,IF(IFERROR(VLOOKUP(J338,Grinders!$A:$P,27,FALSE),0)&gt;=3,IF(OR(F338&gt;=Config!$B$1001,ISNUMBER(SEARCH(E338,Config!$B$1002))),1,0),0))</f>
        <v>0</v>
      </c>
      <c r="AM338" s="39">
        <f t="array" ref="AM338">IFERROR(IF(INDEX(Bids!$AE:$AE,MATCH(B338,Bids!$A:$A,0))="Pending",1,0),0)</f>
        <v>0</v>
      </c>
      <c r="AN338" s="39" t="str">
        <f t="array" ref="AN338">IF(C338="","",IFERROR(XLOOKUP(C338,Assignments!$C:$C,Assignments!$AU:$AU,0),0))</f>
        <v/>
      </c>
      <c r="AO338" s="39">
        <f>IF(AND(Config!$B$1006="Y",AN338=1),Config!$B$1007,0)</f>
        <v>0</v>
      </c>
    </row>
    <row r="339" ht="15.75" customHeight="1">
      <c r="A339" s="46" t="str">
        <f t="shared" si="1"/>
        <v/>
      </c>
      <c r="B339" s="40" t="str">
        <f>IF(Bids!$A339="","",Bids!$A339)</f>
        <v/>
      </c>
      <c r="C339" s="40" t="str">
        <f>IF(Bids!$B339="","",Bids!$B339)</f>
        <v/>
      </c>
      <c r="D339" s="40" t="str">
        <f>IF($C339="","",IFERROR(VLOOKUP($C339,Orders!$A:$J,9,FALSE),""))</f>
        <v/>
      </c>
      <c r="E339" s="40" t="str">
        <f>IF($C339="","",IFERROR(VLOOKUP($C339,Orders!$A:$J,3,FALSE),""))</f>
        <v/>
      </c>
      <c r="F339" s="40" t="str">
        <f>IF($C339="","",IFERROR(VLOOKUP($C339,Orders!$A:$J,4,FALSE),""))</f>
        <v/>
      </c>
      <c r="G339" s="40" t="str">
        <f>IF($C339="","",IFERROR(VLOOKUP($C339,Orders!$A:$J,5,FALSE),""))</f>
        <v/>
      </c>
      <c r="H339" s="40" t="str">
        <f>IF($C339="","",IFERROR(VLOOKUP($C339,Orders!$A:$J,6,FALSE),""))</f>
        <v/>
      </c>
      <c r="I339" s="40" t="str">
        <f>IF($C339="","",IFERROR(VLOOKUP($C339,Orders!$A:$J,7,FALSE),""))</f>
        <v/>
      </c>
      <c r="J339" s="40" t="str">
        <f>IF(Bids!$C339="","",Bids!$C339)</f>
        <v/>
      </c>
      <c r="K339" s="40" t="str">
        <f>IF($J339="","",IFERROR(VLOOKUP($J339,Grinders!$A:$N,2,FALSE),""))</f>
        <v/>
      </c>
      <c r="L339" s="40" t="str">
        <f>IF($J339="","",IFERROR(VLOOKUP($J339,Grinders!$A:$N,3,FALSE),""))</f>
        <v/>
      </c>
      <c r="M339" s="40" t="str">
        <f>IF($J339="","",IFERROR(VLOOKUP($J339,Grinders!$A:$N,4,FALSE),""))</f>
        <v/>
      </c>
      <c r="N339" s="40" t="str">
        <f>IF($J339="","",IFERROR(VLOOKUP($J339,Grinders!$A:$N,5,FALSE),""))</f>
        <v/>
      </c>
      <c r="O339" s="40" t="str">
        <f t="shared" si="2"/>
        <v/>
      </c>
      <c r="P339" s="40" t="str">
        <f>IF($J339="","",IFERROR(VLOOKUP($J339,Grinders!$A:$N,6,FALSE),""))</f>
        <v/>
      </c>
      <c r="Q339" s="40" t="str">
        <f>IF($J339="","",IFERROR(VLOOKUP($J339,Grinders!$A:$N,8,FALSE),""))</f>
        <v/>
      </c>
      <c r="R339" s="40" t="str">
        <f>IFERROR(IF($J339="","",IF($L339="Elite",MAX(50,MIN(100,Config!$B$27*MAX(0,MIN(100,(1-IF($O339="",0,$O339))*100)) + Config!$B$28*MAX(0,MIN(100,(1-MIN(1,IF(Config!$B$30=0,1,$P339/Config!$B$30)))*100)) + Config!$B$29*MAX(0,MIN(100,MIN(1,IF($Q339="",0,$Q339)/Config!$B$23)*100)))),MIN(100,Config!$B$27*MAX(0,MIN(100,(1-IF($O339="",0,$O339))*100)) + Config!$B$28*MAX(0,MIN(100,(1-MIN(1,IF(Config!$B$30=0,1,$P339/Config!$B$30)))*100)) + Config!$B$29*MAX(0,MIN(100,MIN(1,IF($Q339="",0,$Q339)/Config!$B$23)*100))))),"")
</f>
        <v/>
      </c>
      <c r="S339" s="40" t="str">
        <f>IF(Bids!$AC339="","",Bids!$AC339)</f>
        <v/>
      </c>
      <c r="T339" s="40" t="str">
        <f>IF(Bids!$F339="","",Bids!$F339)</f>
        <v/>
      </c>
      <c r="U339" s="40" t="str">
        <f t="shared" si="3"/>
        <v/>
      </c>
      <c r="V339" s="40" t="str">
        <f>IF($U339="","",IF(Config!$B$17=Config!$B$16,IF($U339&gt;=Config!$B$17,100,0),MAX(0,MIN(100,($U339-Config!$B$16)/(Config!$B$17-Config!$B$16)*100))))</f>
        <v/>
      </c>
      <c r="W339" s="40">
        <f>IF($L339="Elite",Config!$B$21,0)</f>
        <v>0</v>
      </c>
      <c r="X339" s="40" t="str">
        <f>IFERROR(IF(OR($T339="",$G339=""),"",IF($T339&gt;$G339,
  MAX(0, 60-(($T339-$G339)*24/Config!$B$19)*60),
  MEDIAN(60, 100, 60+(($G339-$T339)*24/Config!$B$20)*40)
)),"")
</f>
        <v/>
      </c>
      <c r="Y339" s="40" t="str">
        <f>IF($J339="","",IFERROR(VLOOKUP($J339,Grinders!$A:$N,10,FALSE),""))</f>
        <v/>
      </c>
      <c r="Z339" s="40" t="str">
        <f>IF($J339="","",IFERROR(VLOOKUP($J339,Grinders!$A:$N,11,FALSE),""))</f>
        <v/>
      </c>
      <c r="AA339" s="40" t="str">
        <f>IF($J339="","",IFERROR(VLOOKUP($J339,Grinders!$A:$N,12,FALSE),""))</f>
        <v/>
      </c>
      <c r="AB339" s="40" t="str">
        <f>IF(OR(AL339=1,AM339=1),0,=IFERROR(IF(OR($C339="",$J339=""),0,IF($D339&lt;&gt;"Open",0,IF(COUNTIFS(GrinderServices!$A:$A,$J339,GrinderServices!$B:$B,$E339,GrinderServices!$D:$D,"Y")=0,0,IF($U339&lt;Config!$B$16,0,IF(Config!$B$18=1,IF($N339&gt;=$M339,0,1),1))))),""))</f>
        <v>#ERROR!</v>
      </c>
      <c r="AC339" s="40" t="str">
        <f>IFERROR((IF(OR(AL339=1,AM339=1),"",=IFERROR((IFERROR(IF($AB339=0,"",((Config!$B$6*$V339 + Config!$B$7*$R339 + Config!$B$8*$W339 + Config!$B$9*$X339 + Config!$B$10*$Y339 + Config!$B$11*$Z339 - Config!$B$12*$AA339)/Config!$B$13)+$AH339+$AI339),""))*(1-IFERROR(VLOOKUP(J339,Grinders!$A:$AB, 28, FALSE),0)),"")))*(1+AO339),"")</f>
        <v>#ERROR!</v>
      </c>
      <c r="AD339" s="40" t="str">
        <f t="shared" si="4"/>
        <v/>
      </c>
      <c r="AE339" s="40" t="str">
        <f>IFERROR(__xludf.DUMMYFUNCTION("IF($AC339="""","""",IF($AC339=IFERROR(MAX(FILTER($AC$6:$AC$1000,$C$6:$C$1000=$C339,$AB$6:$AB$1000=1)),),""WINNER"",""""))"),"#ERROR!")</f>
        <v>#ERROR!</v>
      </c>
      <c r="AF339" s="40" t="str">
        <f t="shared" si="5"/>
        <v/>
      </c>
      <c r="AG339" s="40" t="str">
        <f>IF($J339="","",COUNTIF(Assignments!$B:$B,$J339))</f>
        <v/>
      </c>
      <c r="AH339" s="40" t="str">
        <f>IF($J339="","",IF(AND($AG339=0,$N339&lt;$M339),Config!$B$43,0))</f>
        <v/>
      </c>
      <c r="AI339" s="40" t="str">
        <f>IF($J339="","",IF(AND($L339="Elite",$F339&gt;=Config!$B$41,$N339&lt;$M339),Config!$B$42,0))</f>
        <v/>
      </c>
      <c r="AJ339" s="22"/>
      <c r="AK339" s="39">
        <f>IFERROR(VLOOKUP(J339,Grinders!$A:$Q,28,FALSE),0)</f>
        <v>0</v>
      </c>
      <c r="AL339" s="39">
        <f>IF(Config!$B$1003&lt;&gt;"Y",0,IF(IFERROR(VLOOKUP(J339,Grinders!$A:$P,27,FALSE),0)&gt;=3,IF(OR(F339&gt;=Config!$B$1001,ISNUMBER(SEARCH(E339,Config!$B$1002))),1,0),0))</f>
        <v>0</v>
      </c>
      <c r="AM339" s="39">
        <f t="array" ref="AM339">IFERROR(IF(INDEX(Bids!$AE:$AE,MATCH(B339,Bids!$A:$A,0))="Pending",1,0),0)</f>
        <v>0</v>
      </c>
      <c r="AN339" s="39" t="str">
        <f t="array" ref="AN339">IF(C339="","",IFERROR(XLOOKUP(C339,Assignments!$C:$C,Assignments!$AU:$AU,0),0))</f>
        <v/>
      </c>
      <c r="AO339" s="39">
        <f>IF(AND(Config!$B$1006="Y",AN339=1),Config!$B$1007,0)</f>
        <v>0</v>
      </c>
    </row>
    <row r="340" ht="15.75" customHeight="1">
      <c r="A340" s="46" t="str">
        <f t="shared" si="1"/>
        <v/>
      </c>
      <c r="B340" s="40" t="str">
        <f>IF(Bids!$A340="","",Bids!$A340)</f>
        <v/>
      </c>
      <c r="C340" s="40" t="str">
        <f>IF(Bids!$B340="","",Bids!$B340)</f>
        <v/>
      </c>
      <c r="D340" s="40" t="str">
        <f>IF($C340="","",IFERROR(VLOOKUP($C340,Orders!$A:$J,9,FALSE),""))</f>
        <v/>
      </c>
      <c r="E340" s="40" t="str">
        <f>IF($C340="","",IFERROR(VLOOKUP($C340,Orders!$A:$J,3,FALSE),""))</f>
        <v/>
      </c>
      <c r="F340" s="40" t="str">
        <f>IF($C340="","",IFERROR(VLOOKUP($C340,Orders!$A:$J,4,FALSE),""))</f>
        <v/>
      </c>
      <c r="G340" s="40" t="str">
        <f>IF($C340="","",IFERROR(VLOOKUP($C340,Orders!$A:$J,5,FALSE),""))</f>
        <v/>
      </c>
      <c r="H340" s="40" t="str">
        <f>IF($C340="","",IFERROR(VLOOKUP($C340,Orders!$A:$J,6,FALSE),""))</f>
        <v/>
      </c>
      <c r="I340" s="40" t="str">
        <f>IF($C340="","",IFERROR(VLOOKUP($C340,Orders!$A:$J,7,FALSE),""))</f>
        <v/>
      </c>
      <c r="J340" s="40" t="str">
        <f>IF(Bids!$C340="","",Bids!$C340)</f>
        <v/>
      </c>
      <c r="K340" s="40" t="str">
        <f>IF($J340="","",IFERROR(VLOOKUP($J340,Grinders!$A:$N,2,FALSE),""))</f>
        <v/>
      </c>
      <c r="L340" s="40" t="str">
        <f>IF($J340="","",IFERROR(VLOOKUP($J340,Grinders!$A:$N,3,FALSE),""))</f>
        <v/>
      </c>
      <c r="M340" s="40" t="str">
        <f>IF($J340="","",IFERROR(VLOOKUP($J340,Grinders!$A:$N,4,FALSE),""))</f>
        <v/>
      </c>
      <c r="N340" s="40" t="str">
        <f>IF($J340="","",IFERROR(VLOOKUP($J340,Grinders!$A:$N,5,FALSE),""))</f>
        <v/>
      </c>
      <c r="O340" s="40" t="str">
        <f t="shared" si="2"/>
        <v/>
      </c>
      <c r="P340" s="40" t="str">
        <f>IF($J340="","",IFERROR(VLOOKUP($J340,Grinders!$A:$N,6,FALSE),""))</f>
        <v/>
      </c>
      <c r="Q340" s="40" t="str">
        <f>IF($J340="","",IFERROR(VLOOKUP($J340,Grinders!$A:$N,8,FALSE),""))</f>
        <v/>
      </c>
      <c r="R340" s="40" t="str">
        <f>IFERROR(IF($J340="","",IF($L340="Elite",MAX(50,MIN(100,Config!$B$27*MAX(0,MIN(100,(1-IF($O340="",0,$O340))*100)) + Config!$B$28*MAX(0,MIN(100,(1-MIN(1,IF(Config!$B$30=0,1,$P340/Config!$B$30)))*100)) + Config!$B$29*MAX(0,MIN(100,MIN(1,IF($Q340="",0,$Q340)/Config!$B$23)*100)))),MIN(100,Config!$B$27*MAX(0,MIN(100,(1-IF($O340="",0,$O340))*100)) + Config!$B$28*MAX(0,MIN(100,(1-MIN(1,IF(Config!$B$30=0,1,$P340/Config!$B$30)))*100)) + Config!$B$29*MAX(0,MIN(100,MIN(1,IF($Q340="",0,$Q340)/Config!$B$23)*100))))),"")
</f>
        <v/>
      </c>
      <c r="S340" s="40" t="str">
        <f>IF(Bids!$AC340="","",Bids!$AC340)</f>
        <v/>
      </c>
      <c r="T340" s="40" t="str">
        <f>IF(Bids!$F340="","",Bids!$F340)</f>
        <v/>
      </c>
      <c r="U340" s="40" t="str">
        <f t="shared" si="3"/>
        <v/>
      </c>
      <c r="V340" s="40" t="str">
        <f>IF($U340="","",IF(Config!$B$17=Config!$B$16,IF($U340&gt;=Config!$B$17,100,0),MAX(0,MIN(100,($U340-Config!$B$16)/(Config!$B$17-Config!$B$16)*100))))</f>
        <v/>
      </c>
      <c r="W340" s="40">
        <f>IF($L340="Elite",Config!$B$21,0)</f>
        <v>0</v>
      </c>
      <c r="X340" s="40" t="str">
        <f>IFERROR(IF(OR($T340="",$G340=""),"",IF($T340&gt;$G340,
  MAX(0, 60-(($T340-$G340)*24/Config!$B$19)*60),
  MEDIAN(60, 100, 60+(($G340-$T340)*24/Config!$B$20)*40)
)),"")
</f>
        <v/>
      </c>
      <c r="Y340" s="40" t="str">
        <f>IF($J340="","",IFERROR(VLOOKUP($J340,Grinders!$A:$N,10,FALSE),""))</f>
        <v/>
      </c>
      <c r="Z340" s="40" t="str">
        <f>IF($J340="","",IFERROR(VLOOKUP($J340,Grinders!$A:$N,11,FALSE),""))</f>
        <v/>
      </c>
      <c r="AA340" s="40" t="str">
        <f>IF($J340="","",IFERROR(VLOOKUP($J340,Grinders!$A:$N,12,FALSE),""))</f>
        <v/>
      </c>
      <c r="AB340" s="40" t="str">
        <f>IF(OR(AL340=1,AM340=1),0,=IFERROR(IF(OR($C340="",$J340=""),0,IF($D340&lt;&gt;"Open",0,IF(COUNTIFS(GrinderServices!$A:$A,$J340,GrinderServices!$B:$B,$E340,GrinderServices!$D:$D,"Y")=0,0,IF($U340&lt;Config!$B$16,0,IF(Config!$B$18=1,IF($N340&gt;=$M340,0,1),1))))),""))</f>
        <v>#ERROR!</v>
      </c>
      <c r="AC340" s="40" t="str">
        <f>IFERROR((IF(OR(AL340=1,AM340=1),"",=IFERROR((IFERROR(IF($AB340=0,"",((Config!$B$6*$V340 + Config!$B$7*$R340 + Config!$B$8*$W340 + Config!$B$9*$X340 + Config!$B$10*$Y340 + Config!$B$11*$Z340 - Config!$B$12*$AA340)/Config!$B$13)+$AH340+$AI340),""))*(1-IFERROR(VLOOKUP(J340,Grinders!$A:$AB, 28, FALSE),0)),"")))*(1+AO340),"")</f>
        <v>#ERROR!</v>
      </c>
      <c r="AD340" s="40" t="str">
        <f t="shared" si="4"/>
        <v/>
      </c>
      <c r="AE340" s="40" t="str">
        <f>IFERROR(__xludf.DUMMYFUNCTION("IF($AC340="""","""",IF($AC340=IFERROR(MAX(FILTER($AC$6:$AC$1000,$C$6:$C$1000=$C340,$AB$6:$AB$1000=1)),),""WINNER"",""""))"),"#ERROR!")</f>
        <v>#ERROR!</v>
      </c>
      <c r="AF340" s="40" t="str">
        <f t="shared" si="5"/>
        <v/>
      </c>
      <c r="AG340" s="40" t="str">
        <f>IF($J340="","",COUNTIF(Assignments!$B:$B,$J340))</f>
        <v/>
      </c>
      <c r="AH340" s="40" t="str">
        <f>IF($J340="","",IF(AND($AG340=0,$N340&lt;$M340),Config!$B$43,0))</f>
        <v/>
      </c>
      <c r="AI340" s="40" t="str">
        <f>IF($J340="","",IF(AND($L340="Elite",$F340&gt;=Config!$B$41,$N340&lt;$M340),Config!$B$42,0))</f>
        <v/>
      </c>
      <c r="AJ340" s="22"/>
      <c r="AK340" s="39">
        <f>IFERROR(VLOOKUP(J340,Grinders!$A:$Q,28,FALSE),0)</f>
        <v>0</v>
      </c>
      <c r="AL340" s="39">
        <f>IF(Config!$B$1003&lt;&gt;"Y",0,IF(IFERROR(VLOOKUP(J340,Grinders!$A:$P,27,FALSE),0)&gt;=3,IF(OR(F340&gt;=Config!$B$1001,ISNUMBER(SEARCH(E340,Config!$B$1002))),1,0),0))</f>
        <v>0</v>
      </c>
      <c r="AM340" s="39">
        <f t="array" ref="AM340">IFERROR(IF(INDEX(Bids!$AE:$AE,MATCH(B340,Bids!$A:$A,0))="Pending",1,0),0)</f>
        <v>0</v>
      </c>
      <c r="AN340" s="39" t="str">
        <f t="array" ref="AN340">IF(C340="","",IFERROR(XLOOKUP(C340,Assignments!$C:$C,Assignments!$AU:$AU,0),0))</f>
        <v/>
      </c>
      <c r="AO340" s="39">
        <f>IF(AND(Config!$B$1006="Y",AN340=1),Config!$B$1007,0)</f>
        <v>0</v>
      </c>
    </row>
    <row r="341" ht="15.75" customHeight="1">
      <c r="A341" s="46" t="str">
        <f t="shared" si="1"/>
        <v/>
      </c>
      <c r="B341" s="40" t="str">
        <f>IF(Bids!$A341="","",Bids!$A341)</f>
        <v/>
      </c>
      <c r="C341" s="40" t="str">
        <f>IF(Bids!$B341="","",Bids!$B341)</f>
        <v/>
      </c>
      <c r="D341" s="40" t="str">
        <f>IF($C341="","",IFERROR(VLOOKUP($C341,Orders!$A:$J,9,FALSE),""))</f>
        <v/>
      </c>
      <c r="E341" s="40" t="str">
        <f>IF($C341="","",IFERROR(VLOOKUP($C341,Orders!$A:$J,3,FALSE),""))</f>
        <v/>
      </c>
      <c r="F341" s="40" t="str">
        <f>IF($C341="","",IFERROR(VLOOKUP($C341,Orders!$A:$J,4,FALSE),""))</f>
        <v/>
      </c>
      <c r="G341" s="40" t="str">
        <f>IF($C341="","",IFERROR(VLOOKUP($C341,Orders!$A:$J,5,FALSE),""))</f>
        <v/>
      </c>
      <c r="H341" s="40" t="str">
        <f>IF($C341="","",IFERROR(VLOOKUP($C341,Orders!$A:$J,6,FALSE),""))</f>
        <v/>
      </c>
      <c r="I341" s="40" t="str">
        <f>IF($C341="","",IFERROR(VLOOKUP($C341,Orders!$A:$J,7,FALSE),""))</f>
        <v/>
      </c>
      <c r="J341" s="40" t="str">
        <f>IF(Bids!$C341="","",Bids!$C341)</f>
        <v/>
      </c>
      <c r="K341" s="40" t="str">
        <f>IF($J341="","",IFERROR(VLOOKUP($J341,Grinders!$A:$N,2,FALSE),""))</f>
        <v/>
      </c>
      <c r="L341" s="40" t="str">
        <f>IF($J341="","",IFERROR(VLOOKUP($J341,Grinders!$A:$N,3,FALSE),""))</f>
        <v/>
      </c>
      <c r="M341" s="40" t="str">
        <f>IF($J341="","",IFERROR(VLOOKUP($J341,Grinders!$A:$N,4,FALSE),""))</f>
        <v/>
      </c>
      <c r="N341" s="40" t="str">
        <f>IF($J341="","",IFERROR(VLOOKUP($J341,Grinders!$A:$N,5,FALSE),""))</f>
        <v/>
      </c>
      <c r="O341" s="40" t="str">
        <f t="shared" si="2"/>
        <v/>
      </c>
      <c r="P341" s="40" t="str">
        <f>IF($J341="","",IFERROR(VLOOKUP($J341,Grinders!$A:$N,6,FALSE),""))</f>
        <v/>
      </c>
      <c r="Q341" s="40" t="str">
        <f>IF($J341="","",IFERROR(VLOOKUP($J341,Grinders!$A:$N,8,FALSE),""))</f>
        <v/>
      </c>
      <c r="R341" s="40" t="str">
        <f>IFERROR(IF($J341="","",IF($L341="Elite",MAX(50,MIN(100,Config!$B$27*MAX(0,MIN(100,(1-IF($O341="",0,$O341))*100)) + Config!$B$28*MAX(0,MIN(100,(1-MIN(1,IF(Config!$B$30=0,1,$P341/Config!$B$30)))*100)) + Config!$B$29*MAX(0,MIN(100,MIN(1,IF($Q341="",0,$Q341)/Config!$B$23)*100)))),MIN(100,Config!$B$27*MAX(0,MIN(100,(1-IF($O341="",0,$O341))*100)) + Config!$B$28*MAX(0,MIN(100,(1-MIN(1,IF(Config!$B$30=0,1,$P341/Config!$B$30)))*100)) + Config!$B$29*MAX(0,MIN(100,MIN(1,IF($Q341="",0,$Q341)/Config!$B$23)*100))))),"")
</f>
        <v/>
      </c>
      <c r="S341" s="40" t="str">
        <f>IF(Bids!$AC341="","",Bids!$AC341)</f>
        <v/>
      </c>
      <c r="T341" s="40" t="str">
        <f>IF(Bids!$F341="","",Bids!$F341)</f>
        <v/>
      </c>
      <c r="U341" s="40" t="str">
        <f t="shared" si="3"/>
        <v/>
      </c>
      <c r="V341" s="40" t="str">
        <f>IF($U341="","",IF(Config!$B$17=Config!$B$16,IF($U341&gt;=Config!$B$17,100,0),MAX(0,MIN(100,($U341-Config!$B$16)/(Config!$B$17-Config!$B$16)*100))))</f>
        <v/>
      </c>
      <c r="W341" s="40">
        <f>IF($L341="Elite",Config!$B$21,0)</f>
        <v>0</v>
      </c>
      <c r="X341" s="40" t="str">
        <f>IFERROR(IF(OR($T341="",$G341=""),"",IF($T341&gt;$G341,
  MAX(0, 60-(($T341-$G341)*24/Config!$B$19)*60),
  MEDIAN(60, 100, 60+(($G341-$T341)*24/Config!$B$20)*40)
)),"")
</f>
        <v/>
      </c>
      <c r="Y341" s="40" t="str">
        <f>IF($J341="","",IFERROR(VLOOKUP($J341,Grinders!$A:$N,10,FALSE),""))</f>
        <v/>
      </c>
      <c r="Z341" s="40" t="str">
        <f>IF($J341="","",IFERROR(VLOOKUP($J341,Grinders!$A:$N,11,FALSE),""))</f>
        <v/>
      </c>
      <c r="AA341" s="40" t="str">
        <f>IF($J341="","",IFERROR(VLOOKUP($J341,Grinders!$A:$N,12,FALSE),""))</f>
        <v/>
      </c>
      <c r="AB341" s="40" t="str">
        <f>IF(OR(AL341=1,AM341=1),0,=IFERROR(IF(OR($C341="",$J341=""),0,IF($D341&lt;&gt;"Open",0,IF(COUNTIFS(GrinderServices!$A:$A,$J341,GrinderServices!$B:$B,$E341,GrinderServices!$D:$D,"Y")=0,0,IF($U341&lt;Config!$B$16,0,IF(Config!$B$18=1,IF($N341&gt;=$M341,0,1),1))))),""))</f>
        <v>#ERROR!</v>
      </c>
      <c r="AC341" s="40" t="str">
        <f>IFERROR((IF(OR(AL341=1,AM341=1),"",=IFERROR((IFERROR(IF($AB341=0,"",((Config!$B$6*$V341 + Config!$B$7*$R341 + Config!$B$8*$W341 + Config!$B$9*$X341 + Config!$B$10*$Y341 + Config!$B$11*$Z341 - Config!$B$12*$AA341)/Config!$B$13)+$AH341+$AI341),""))*(1-IFERROR(VLOOKUP(J341,Grinders!$A:$AB, 28, FALSE),0)),"")))*(1+AO341),"")</f>
        <v>#ERROR!</v>
      </c>
      <c r="AD341" s="40" t="str">
        <f t="shared" si="4"/>
        <v/>
      </c>
      <c r="AE341" s="40" t="str">
        <f>IFERROR(__xludf.DUMMYFUNCTION("IF($AC341="""","""",IF($AC341=IFERROR(MAX(FILTER($AC$6:$AC$1000,$C$6:$C$1000=$C341,$AB$6:$AB$1000=1)),),""WINNER"",""""))"),"#ERROR!")</f>
        <v>#ERROR!</v>
      </c>
      <c r="AF341" s="40" t="str">
        <f t="shared" si="5"/>
        <v/>
      </c>
      <c r="AG341" s="40" t="str">
        <f>IF($J341="","",COUNTIF(Assignments!$B:$B,$J341))</f>
        <v/>
      </c>
      <c r="AH341" s="40" t="str">
        <f>IF($J341="","",IF(AND($AG341=0,$N341&lt;$M341),Config!$B$43,0))</f>
        <v/>
      </c>
      <c r="AI341" s="40" t="str">
        <f>IF($J341="","",IF(AND($L341="Elite",$F341&gt;=Config!$B$41,$N341&lt;$M341),Config!$B$42,0))</f>
        <v/>
      </c>
      <c r="AJ341" s="22"/>
      <c r="AK341" s="39">
        <f>IFERROR(VLOOKUP(J341,Grinders!$A:$Q,28,FALSE),0)</f>
        <v>0</v>
      </c>
      <c r="AL341" s="39">
        <f>IF(Config!$B$1003&lt;&gt;"Y",0,IF(IFERROR(VLOOKUP(J341,Grinders!$A:$P,27,FALSE),0)&gt;=3,IF(OR(F341&gt;=Config!$B$1001,ISNUMBER(SEARCH(E341,Config!$B$1002))),1,0),0))</f>
        <v>0</v>
      </c>
      <c r="AM341" s="39">
        <f t="array" ref="AM341">IFERROR(IF(INDEX(Bids!$AE:$AE,MATCH(B341,Bids!$A:$A,0))="Pending",1,0),0)</f>
        <v>0</v>
      </c>
      <c r="AN341" s="39" t="str">
        <f t="array" ref="AN341">IF(C341="","",IFERROR(XLOOKUP(C341,Assignments!$C:$C,Assignments!$AU:$AU,0),0))</f>
        <v/>
      </c>
      <c r="AO341" s="39">
        <f>IF(AND(Config!$B$1006="Y",AN341=1),Config!$B$1007,0)</f>
        <v>0</v>
      </c>
    </row>
    <row r="342" ht="15.75" customHeight="1">
      <c r="A342" s="46" t="str">
        <f t="shared" si="1"/>
        <v/>
      </c>
      <c r="B342" s="40" t="str">
        <f>IF(Bids!$A342="","",Bids!$A342)</f>
        <v/>
      </c>
      <c r="C342" s="40" t="str">
        <f>IF(Bids!$B342="","",Bids!$B342)</f>
        <v/>
      </c>
      <c r="D342" s="40" t="str">
        <f>IF($C342="","",IFERROR(VLOOKUP($C342,Orders!$A:$J,9,FALSE),""))</f>
        <v/>
      </c>
      <c r="E342" s="40" t="str">
        <f>IF($C342="","",IFERROR(VLOOKUP($C342,Orders!$A:$J,3,FALSE),""))</f>
        <v/>
      </c>
      <c r="F342" s="40" t="str">
        <f>IF($C342="","",IFERROR(VLOOKUP($C342,Orders!$A:$J,4,FALSE),""))</f>
        <v/>
      </c>
      <c r="G342" s="40" t="str">
        <f>IF($C342="","",IFERROR(VLOOKUP($C342,Orders!$A:$J,5,FALSE),""))</f>
        <v/>
      </c>
      <c r="H342" s="40" t="str">
        <f>IF($C342="","",IFERROR(VLOOKUP($C342,Orders!$A:$J,6,FALSE),""))</f>
        <v/>
      </c>
      <c r="I342" s="40" t="str">
        <f>IF($C342="","",IFERROR(VLOOKUP($C342,Orders!$A:$J,7,FALSE),""))</f>
        <v/>
      </c>
      <c r="J342" s="40" t="str">
        <f>IF(Bids!$C342="","",Bids!$C342)</f>
        <v/>
      </c>
      <c r="K342" s="40" t="str">
        <f>IF($J342="","",IFERROR(VLOOKUP($J342,Grinders!$A:$N,2,FALSE),""))</f>
        <v/>
      </c>
      <c r="L342" s="40" t="str">
        <f>IF($J342="","",IFERROR(VLOOKUP($J342,Grinders!$A:$N,3,FALSE),""))</f>
        <v/>
      </c>
      <c r="M342" s="40" t="str">
        <f>IF($J342="","",IFERROR(VLOOKUP($J342,Grinders!$A:$N,4,FALSE),""))</f>
        <v/>
      </c>
      <c r="N342" s="40" t="str">
        <f>IF($J342="","",IFERROR(VLOOKUP($J342,Grinders!$A:$N,5,FALSE),""))</f>
        <v/>
      </c>
      <c r="O342" s="40" t="str">
        <f t="shared" si="2"/>
        <v/>
      </c>
      <c r="P342" s="40" t="str">
        <f>IF($J342="","",IFERROR(VLOOKUP($J342,Grinders!$A:$N,6,FALSE),""))</f>
        <v/>
      </c>
      <c r="Q342" s="40" t="str">
        <f>IF($J342="","",IFERROR(VLOOKUP($J342,Grinders!$A:$N,8,FALSE),""))</f>
        <v/>
      </c>
      <c r="R342" s="40" t="str">
        <f>IFERROR(IF($J342="","",IF($L342="Elite",MAX(50,MIN(100,Config!$B$27*MAX(0,MIN(100,(1-IF($O342="",0,$O342))*100)) + Config!$B$28*MAX(0,MIN(100,(1-MIN(1,IF(Config!$B$30=0,1,$P342/Config!$B$30)))*100)) + Config!$B$29*MAX(0,MIN(100,MIN(1,IF($Q342="",0,$Q342)/Config!$B$23)*100)))),MIN(100,Config!$B$27*MAX(0,MIN(100,(1-IF($O342="",0,$O342))*100)) + Config!$B$28*MAX(0,MIN(100,(1-MIN(1,IF(Config!$B$30=0,1,$P342/Config!$B$30)))*100)) + Config!$B$29*MAX(0,MIN(100,MIN(1,IF($Q342="",0,$Q342)/Config!$B$23)*100))))),"")
</f>
        <v/>
      </c>
      <c r="S342" s="40" t="str">
        <f>IF(Bids!$AC342="","",Bids!$AC342)</f>
        <v/>
      </c>
      <c r="T342" s="40" t="str">
        <f>IF(Bids!$F342="","",Bids!$F342)</f>
        <v/>
      </c>
      <c r="U342" s="40" t="str">
        <f t="shared" si="3"/>
        <v/>
      </c>
      <c r="V342" s="40" t="str">
        <f>IF($U342="","",IF(Config!$B$17=Config!$B$16,IF($U342&gt;=Config!$B$17,100,0),MAX(0,MIN(100,($U342-Config!$B$16)/(Config!$B$17-Config!$B$16)*100))))</f>
        <v/>
      </c>
      <c r="W342" s="40">
        <f>IF($L342="Elite",Config!$B$21,0)</f>
        <v>0</v>
      </c>
      <c r="X342" s="40" t="str">
        <f>IFERROR(IF(OR($T342="",$G342=""),"",IF($T342&gt;$G342,
  MAX(0, 60-(($T342-$G342)*24/Config!$B$19)*60),
  MEDIAN(60, 100, 60+(($G342-$T342)*24/Config!$B$20)*40)
)),"")
</f>
        <v/>
      </c>
      <c r="Y342" s="40" t="str">
        <f>IF($J342="","",IFERROR(VLOOKUP($J342,Grinders!$A:$N,10,FALSE),""))</f>
        <v/>
      </c>
      <c r="Z342" s="40" t="str">
        <f>IF($J342="","",IFERROR(VLOOKUP($J342,Grinders!$A:$N,11,FALSE),""))</f>
        <v/>
      </c>
      <c r="AA342" s="40" t="str">
        <f>IF($J342="","",IFERROR(VLOOKUP($J342,Grinders!$A:$N,12,FALSE),""))</f>
        <v/>
      </c>
      <c r="AB342" s="40" t="str">
        <f>IF(OR(AL342=1,AM342=1),0,=IFERROR(IF(OR($C342="",$J342=""),0,IF($D342&lt;&gt;"Open",0,IF(COUNTIFS(GrinderServices!$A:$A,$J342,GrinderServices!$B:$B,$E342,GrinderServices!$D:$D,"Y")=0,0,IF($U342&lt;Config!$B$16,0,IF(Config!$B$18=1,IF($N342&gt;=$M342,0,1),1))))),""))</f>
        <v>#ERROR!</v>
      </c>
      <c r="AC342" s="40" t="str">
        <f>IFERROR((IF(OR(AL342=1,AM342=1),"",=IFERROR((IFERROR(IF($AB342=0,"",((Config!$B$6*$V342 + Config!$B$7*$R342 + Config!$B$8*$W342 + Config!$B$9*$X342 + Config!$B$10*$Y342 + Config!$B$11*$Z342 - Config!$B$12*$AA342)/Config!$B$13)+$AH342+$AI342),""))*(1-IFERROR(VLOOKUP(J342,Grinders!$A:$AB, 28, FALSE),0)),"")))*(1+AO342),"")</f>
        <v>#ERROR!</v>
      </c>
      <c r="AD342" s="40" t="str">
        <f t="shared" si="4"/>
        <v/>
      </c>
      <c r="AE342" s="40" t="str">
        <f>IFERROR(__xludf.DUMMYFUNCTION("IF($AC342="""","""",IF($AC342=IFERROR(MAX(FILTER($AC$6:$AC$1000,$C$6:$C$1000=$C342,$AB$6:$AB$1000=1)),),""WINNER"",""""))"),"#ERROR!")</f>
        <v>#ERROR!</v>
      </c>
      <c r="AF342" s="40" t="str">
        <f t="shared" si="5"/>
        <v/>
      </c>
      <c r="AG342" s="40" t="str">
        <f>IF($J342="","",COUNTIF(Assignments!$B:$B,$J342))</f>
        <v/>
      </c>
      <c r="AH342" s="40" t="str">
        <f>IF($J342="","",IF(AND($AG342=0,$N342&lt;$M342),Config!$B$43,0))</f>
        <v/>
      </c>
      <c r="AI342" s="40" t="str">
        <f>IF($J342="","",IF(AND($L342="Elite",$F342&gt;=Config!$B$41,$N342&lt;$M342),Config!$B$42,0))</f>
        <v/>
      </c>
      <c r="AJ342" s="22"/>
      <c r="AK342" s="39">
        <f>IFERROR(VLOOKUP(J342,Grinders!$A:$Q,28,FALSE),0)</f>
        <v>0</v>
      </c>
      <c r="AL342" s="39">
        <f>IF(Config!$B$1003&lt;&gt;"Y",0,IF(IFERROR(VLOOKUP(J342,Grinders!$A:$P,27,FALSE),0)&gt;=3,IF(OR(F342&gt;=Config!$B$1001,ISNUMBER(SEARCH(E342,Config!$B$1002))),1,0),0))</f>
        <v>0</v>
      </c>
      <c r="AM342" s="39">
        <f t="array" ref="AM342">IFERROR(IF(INDEX(Bids!$AE:$AE,MATCH(B342,Bids!$A:$A,0))="Pending",1,0),0)</f>
        <v>0</v>
      </c>
      <c r="AN342" s="39" t="str">
        <f t="array" ref="AN342">IF(C342="","",IFERROR(XLOOKUP(C342,Assignments!$C:$C,Assignments!$AU:$AU,0),0))</f>
        <v/>
      </c>
      <c r="AO342" s="39">
        <f>IF(AND(Config!$B$1006="Y",AN342=1),Config!$B$1007,0)</f>
        <v>0</v>
      </c>
    </row>
    <row r="343" ht="15.75" customHeight="1">
      <c r="A343" s="46" t="str">
        <f t="shared" si="1"/>
        <v/>
      </c>
      <c r="B343" s="40" t="str">
        <f>IF(Bids!$A343="","",Bids!$A343)</f>
        <v/>
      </c>
      <c r="C343" s="40" t="str">
        <f>IF(Bids!$B343="","",Bids!$B343)</f>
        <v/>
      </c>
      <c r="D343" s="40" t="str">
        <f>IF($C343="","",IFERROR(VLOOKUP($C343,Orders!$A:$J,9,FALSE),""))</f>
        <v/>
      </c>
      <c r="E343" s="40" t="str">
        <f>IF($C343="","",IFERROR(VLOOKUP($C343,Orders!$A:$J,3,FALSE),""))</f>
        <v/>
      </c>
      <c r="F343" s="40" t="str">
        <f>IF($C343="","",IFERROR(VLOOKUP($C343,Orders!$A:$J,4,FALSE),""))</f>
        <v/>
      </c>
      <c r="G343" s="40" t="str">
        <f>IF($C343="","",IFERROR(VLOOKUP($C343,Orders!$A:$J,5,FALSE),""))</f>
        <v/>
      </c>
      <c r="H343" s="40" t="str">
        <f>IF($C343="","",IFERROR(VLOOKUP($C343,Orders!$A:$J,6,FALSE),""))</f>
        <v/>
      </c>
      <c r="I343" s="40" t="str">
        <f>IF($C343="","",IFERROR(VLOOKUP($C343,Orders!$A:$J,7,FALSE),""))</f>
        <v/>
      </c>
      <c r="J343" s="40" t="str">
        <f>IF(Bids!$C343="","",Bids!$C343)</f>
        <v/>
      </c>
      <c r="K343" s="40" t="str">
        <f>IF($J343="","",IFERROR(VLOOKUP($J343,Grinders!$A:$N,2,FALSE),""))</f>
        <v/>
      </c>
      <c r="L343" s="40" t="str">
        <f>IF($J343="","",IFERROR(VLOOKUP($J343,Grinders!$A:$N,3,FALSE),""))</f>
        <v/>
      </c>
      <c r="M343" s="40" t="str">
        <f>IF($J343="","",IFERROR(VLOOKUP($J343,Grinders!$A:$N,4,FALSE),""))</f>
        <v/>
      </c>
      <c r="N343" s="40" t="str">
        <f>IF($J343="","",IFERROR(VLOOKUP($J343,Grinders!$A:$N,5,FALSE),""))</f>
        <v/>
      </c>
      <c r="O343" s="40" t="str">
        <f t="shared" si="2"/>
        <v/>
      </c>
      <c r="P343" s="40" t="str">
        <f>IF($J343="","",IFERROR(VLOOKUP($J343,Grinders!$A:$N,6,FALSE),""))</f>
        <v/>
      </c>
      <c r="Q343" s="40" t="str">
        <f>IF($J343="","",IFERROR(VLOOKUP($J343,Grinders!$A:$N,8,FALSE),""))</f>
        <v/>
      </c>
      <c r="R343" s="40" t="str">
        <f>IFERROR(IF($J343="","",IF($L343="Elite",MAX(50,MIN(100,Config!$B$27*MAX(0,MIN(100,(1-IF($O343="",0,$O343))*100)) + Config!$B$28*MAX(0,MIN(100,(1-MIN(1,IF(Config!$B$30=0,1,$P343/Config!$B$30)))*100)) + Config!$B$29*MAX(0,MIN(100,MIN(1,IF($Q343="",0,$Q343)/Config!$B$23)*100)))),MIN(100,Config!$B$27*MAX(0,MIN(100,(1-IF($O343="",0,$O343))*100)) + Config!$B$28*MAX(0,MIN(100,(1-MIN(1,IF(Config!$B$30=0,1,$P343/Config!$B$30)))*100)) + Config!$B$29*MAX(0,MIN(100,MIN(1,IF($Q343="",0,$Q343)/Config!$B$23)*100))))),"")
</f>
        <v/>
      </c>
      <c r="S343" s="40" t="str">
        <f>IF(Bids!$AC343="","",Bids!$AC343)</f>
        <v/>
      </c>
      <c r="T343" s="40" t="str">
        <f>IF(Bids!$F343="","",Bids!$F343)</f>
        <v/>
      </c>
      <c r="U343" s="40" t="str">
        <f t="shared" si="3"/>
        <v/>
      </c>
      <c r="V343" s="40" t="str">
        <f>IF($U343="","",IF(Config!$B$17=Config!$B$16,IF($U343&gt;=Config!$B$17,100,0),MAX(0,MIN(100,($U343-Config!$B$16)/(Config!$B$17-Config!$B$16)*100))))</f>
        <v/>
      </c>
      <c r="W343" s="40">
        <f>IF($L343="Elite",Config!$B$21,0)</f>
        <v>0</v>
      </c>
      <c r="X343" s="40" t="str">
        <f>IFERROR(IF(OR($T343="",$G343=""),"",IF($T343&gt;$G343,
  MAX(0, 60-(($T343-$G343)*24/Config!$B$19)*60),
  MEDIAN(60, 100, 60+(($G343-$T343)*24/Config!$B$20)*40)
)),"")
</f>
        <v/>
      </c>
      <c r="Y343" s="40" t="str">
        <f>IF($J343="","",IFERROR(VLOOKUP($J343,Grinders!$A:$N,10,FALSE),""))</f>
        <v/>
      </c>
      <c r="Z343" s="40" t="str">
        <f>IF($J343="","",IFERROR(VLOOKUP($J343,Grinders!$A:$N,11,FALSE),""))</f>
        <v/>
      </c>
      <c r="AA343" s="40" t="str">
        <f>IF($J343="","",IFERROR(VLOOKUP($J343,Grinders!$A:$N,12,FALSE),""))</f>
        <v/>
      </c>
      <c r="AB343" s="40" t="str">
        <f>IF(OR(AL343=1,AM343=1),0,=IFERROR(IF(OR($C343="",$J343=""),0,IF($D343&lt;&gt;"Open",0,IF(COUNTIFS(GrinderServices!$A:$A,$J343,GrinderServices!$B:$B,$E343,GrinderServices!$D:$D,"Y")=0,0,IF($U343&lt;Config!$B$16,0,IF(Config!$B$18=1,IF($N343&gt;=$M343,0,1),1))))),""))</f>
        <v>#ERROR!</v>
      </c>
      <c r="AC343" s="40" t="str">
        <f>IFERROR((IF(OR(AL343=1,AM343=1),"",=IFERROR((IFERROR(IF($AB343=0,"",((Config!$B$6*$V343 + Config!$B$7*$R343 + Config!$B$8*$W343 + Config!$B$9*$X343 + Config!$B$10*$Y343 + Config!$B$11*$Z343 - Config!$B$12*$AA343)/Config!$B$13)+$AH343+$AI343),""))*(1-IFERROR(VLOOKUP(J343,Grinders!$A:$AB, 28, FALSE),0)),"")))*(1+AO343),"")</f>
        <v>#ERROR!</v>
      </c>
      <c r="AD343" s="40" t="str">
        <f t="shared" si="4"/>
        <v/>
      </c>
      <c r="AE343" s="40" t="str">
        <f>IFERROR(__xludf.DUMMYFUNCTION("IF($AC343="""","""",IF($AC343=IFERROR(MAX(FILTER($AC$6:$AC$1000,$C$6:$C$1000=$C343,$AB$6:$AB$1000=1)),),""WINNER"",""""))"),"#ERROR!")</f>
        <v>#ERROR!</v>
      </c>
      <c r="AF343" s="40" t="str">
        <f t="shared" si="5"/>
        <v/>
      </c>
      <c r="AG343" s="40" t="str">
        <f>IF($J343="","",COUNTIF(Assignments!$B:$B,$J343))</f>
        <v/>
      </c>
      <c r="AH343" s="40" t="str">
        <f>IF($J343="","",IF(AND($AG343=0,$N343&lt;$M343),Config!$B$43,0))</f>
        <v/>
      </c>
      <c r="AI343" s="40" t="str">
        <f>IF($J343="","",IF(AND($L343="Elite",$F343&gt;=Config!$B$41,$N343&lt;$M343),Config!$B$42,0))</f>
        <v/>
      </c>
      <c r="AJ343" s="22"/>
      <c r="AK343" s="39">
        <f>IFERROR(VLOOKUP(J343,Grinders!$A:$Q,28,FALSE),0)</f>
        <v>0</v>
      </c>
      <c r="AL343" s="39">
        <f>IF(Config!$B$1003&lt;&gt;"Y",0,IF(IFERROR(VLOOKUP(J343,Grinders!$A:$P,27,FALSE),0)&gt;=3,IF(OR(F343&gt;=Config!$B$1001,ISNUMBER(SEARCH(E343,Config!$B$1002))),1,0),0))</f>
        <v>0</v>
      </c>
      <c r="AM343" s="39">
        <f t="array" ref="AM343">IFERROR(IF(INDEX(Bids!$AE:$AE,MATCH(B343,Bids!$A:$A,0))="Pending",1,0),0)</f>
        <v>0</v>
      </c>
      <c r="AN343" s="39" t="str">
        <f t="array" ref="AN343">IF(C343="","",IFERROR(XLOOKUP(C343,Assignments!$C:$C,Assignments!$AU:$AU,0),0))</f>
        <v/>
      </c>
      <c r="AO343" s="39">
        <f>IF(AND(Config!$B$1006="Y",AN343=1),Config!$B$1007,0)</f>
        <v>0</v>
      </c>
    </row>
    <row r="344" ht="15.75" customHeight="1">
      <c r="A344" s="46" t="str">
        <f t="shared" si="1"/>
        <v/>
      </c>
      <c r="B344" s="40" t="str">
        <f>IF(Bids!$A344="","",Bids!$A344)</f>
        <v/>
      </c>
      <c r="C344" s="40" t="str">
        <f>IF(Bids!$B344="","",Bids!$B344)</f>
        <v/>
      </c>
      <c r="D344" s="40" t="str">
        <f>IF($C344="","",IFERROR(VLOOKUP($C344,Orders!$A:$J,9,FALSE),""))</f>
        <v/>
      </c>
      <c r="E344" s="40" t="str">
        <f>IF($C344="","",IFERROR(VLOOKUP($C344,Orders!$A:$J,3,FALSE),""))</f>
        <v/>
      </c>
      <c r="F344" s="40" t="str">
        <f>IF($C344="","",IFERROR(VLOOKUP($C344,Orders!$A:$J,4,FALSE),""))</f>
        <v/>
      </c>
      <c r="G344" s="40" t="str">
        <f>IF($C344="","",IFERROR(VLOOKUP($C344,Orders!$A:$J,5,FALSE),""))</f>
        <v/>
      </c>
      <c r="H344" s="40" t="str">
        <f>IF($C344="","",IFERROR(VLOOKUP($C344,Orders!$A:$J,6,FALSE),""))</f>
        <v/>
      </c>
      <c r="I344" s="40" t="str">
        <f>IF($C344="","",IFERROR(VLOOKUP($C344,Orders!$A:$J,7,FALSE),""))</f>
        <v/>
      </c>
      <c r="J344" s="40" t="str">
        <f>IF(Bids!$C344="","",Bids!$C344)</f>
        <v/>
      </c>
      <c r="K344" s="40" t="str">
        <f>IF($J344="","",IFERROR(VLOOKUP($J344,Grinders!$A:$N,2,FALSE),""))</f>
        <v/>
      </c>
      <c r="L344" s="40" t="str">
        <f>IF($J344="","",IFERROR(VLOOKUP($J344,Grinders!$A:$N,3,FALSE),""))</f>
        <v/>
      </c>
      <c r="M344" s="40" t="str">
        <f>IF($J344="","",IFERROR(VLOOKUP($J344,Grinders!$A:$N,4,FALSE),""))</f>
        <v/>
      </c>
      <c r="N344" s="40" t="str">
        <f>IF($J344="","",IFERROR(VLOOKUP($J344,Grinders!$A:$N,5,FALSE),""))</f>
        <v/>
      </c>
      <c r="O344" s="40" t="str">
        <f t="shared" si="2"/>
        <v/>
      </c>
      <c r="P344" s="40" t="str">
        <f>IF($J344="","",IFERROR(VLOOKUP($J344,Grinders!$A:$N,6,FALSE),""))</f>
        <v/>
      </c>
      <c r="Q344" s="40" t="str">
        <f>IF($J344="","",IFERROR(VLOOKUP($J344,Grinders!$A:$N,8,FALSE),""))</f>
        <v/>
      </c>
      <c r="R344" s="40" t="str">
        <f>IFERROR(IF($J344="","",IF($L344="Elite",MAX(50,MIN(100,Config!$B$27*MAX(0,MIN(100,(1-IF($O344="",0,$O344))*100)) + Config!$B$28*MAX(0,MIN(100,(1-MIN(1,IF(Config!$B$30=0,1,$P344/Config!$B$30)))*100)) + Config!$B$29*MAX(0,MIN(100,MIN(1,IF($Q344="",0,$Q344)/Config!$B$23)*100)))),MIN(100,Config!$B$27*MAX(0,MIN(100,(1-IF($O344="",0,$O344))*100)) + Config!$B$28*MAX(0,MIN(100,(1-MIN(1,IF(Config!$B$30=0,1,$P344/Config!$B$30)))*100)) + Config!$B$29*MAX(0,MIN(100,MIN(1,IF($Q344="",0,$Q344)/Config!$B$23)*100))))),"")
</f>
        <v/>
      </c>
      <c r="S344" s="40" t="str">
        <f>IF(Bids!$AC344="","",Bids!$AC344)</f>
        <v/>
      </c>
      <c r="T344" s="40" t="str">
        <f>IF(Bids!$F344="","",Bids!$F344)</f>
        <v/>
      </c>
      <c r="U344" s="40" t="str">
        <f t="shared" si="3"/>
        <v/>
      </c>
      <c r="V344" s="40" t="str">
        <f>IF($U344="","",IF(Config!$B$17=Config!$B$16,IF($U344&gt;=Config!$B$17,100,0),MAX(0,MIN(100,($U344-Config!$B$16)/(Config!$B$17-Config!$B$16)*100))))</f>
        <v/>
      </c>
      <c r="W344" s="40">
        <f>IF($L344="Elite",Config!$B$21,0)</f>
        <v>0</v>
      </c>
      <c r="X344" s="40" t="str">
        <f>IFERROR(IF(OR($T344="",$G344=""),"",IF($T344&gt;$G344,
  MAX(0, 60-(($T344-$G344)*24/Config!$B$19)*60),
  MEDIAN(60, 100, 60+(($G344-$T344)*24/Config!$B$20)*40)
)),"")
</f>
        <v/>
      </c>
      <c r="Y344" s="40" t="str">
        <f>IF($J344="","",IFERROR(VLOOKUP($J344,Grinders!$A:$N,10,FALSE),""))</f>
        <v/>
      </c>
      <c r="Z344" s="40" t="str">
        <f>IF($J344="","",IFERROR(VLOOKUP($J344,Grinders!$A:$N,11,FALSE),""))</f>
        <v/>
      </c>
      <c r="AA344" s="40" t="str">
        <f>IF($J344="","",IFERROR(VLOOKUP($J344,Grinders!$A:$N,12,FALSE),""))</f>
        <v/>
      </c>
      <c r="AB344" s="40" t="str">
        <f>IF(OR(AL344=1,AM344=1),0,=IFERROR(IF(OR($C344="",$J344=""),0,IF($D344&lt;&gt;"Open",0,IF(COUNTIFS(GrinderServices!$A:$A,$J344,GrinderServices!$B:$B,$E344,GrinderServices!$D:$D,"Y")=0,0,IF($U344&lt;Config!$B$16,0,IF(Config!$B$18=1,IF($N344&gt;=$M344,0,1),1))))),""))</f>
        <v>#ERROR!</v>
      </c>
      <c r="AC344" s="40" t="str">
        <f>IFERROR((IF(OR(AL344=1,AM344=1),"",=IFERROR((IFERROR(IF($AB344=0,"",((Config!$B$6*$V344 + Config!$B$7*$R344 + Config!$B$8*$W344 + Config!$B$9*$X344 + Config!$B$10*$Y344 + Config!$B$11*$Z344 - Config!$B$12*$AA344)/Config!$B$13)+$AH344+$AI344),""))*(1-IFERROR(VLOOKUP(J344,Grinders!$A:$AB, 28, FALSE),0)),"")))*(1+AO344),"")</f>
        <v>#ERROR!</v>
      </c>
      <c r="AD344" s="40" t="str">
        <f t="shared" si="4"/>
        <v/>
      </c>
      <c r="AE344" s="40" t="str">
        <f>IFERROR(__xludf.DUMMYFUNCTION("IF($AC344="""","""",IF($AC344=IFERROR(MAX(FILTER($AC$6:$AC$1000,$C$6:$C$1000=$C344,$AB$6:$AB$1000=1)),),""WINNER"",""""))"),"#ERROR!")</f>
        <v>#ERROR!</v>
      </c>
      <c r="AF344" s="40" t="str">
        <f t="shared" si="5"/>
        <v/>
      </c>
      <c r="AG344" s="40" t="str">
        <f>IF($J344="","",COUNTIF(Assignments!$B:$B,$J344))</f>
        <v/>
      </c>
      <c r="AH344" s="40" t="str">
        <f>IF($J344="","",IF(AND($AG344=0,$N344&lt;$M344),Config!$B$43,0))</f>
        <v/>
      </c>
      <c r="AI344" s="40" t="str">
        <f>IF($J344="","",IF(AND($L344="Elite",$F344&gt;=Config!$B$41,$N344&lt;$M344),Config!$B$42,0))</f>
        <v/>
      </c>
      <c r="AJ344" s="22"/>
      <c r="AK344" s="39">
        <f>IFERROR(VLOOKUP(J344,Grinders!$A:$Q,28,FALSE),0)</f>
        <v>0</v>
      </c>
      <c r="AL344" s="39">
        <f>IF(Config!$B$1003&lt;&gt;"Y",0,IF(IFERROR(VLOOKUP(J344,Grinders!$A:$P,27,FALSE),0)&gt;=3,IF(OR(F344&gt;=Config!$B$1001,ISNUMBER(SEARCH(E344,Config!$B$1002))),1,0),0))</f>
        <v>0</v>
      </c>
      <c r="AM344" s="39">
        <f t="array" ref="AM344">IFERROR(IF(INDEX(Bids!$AE:$AE,MATCH(B344,Bids!$A:$A,0))="Pending",1,0),0)</f>
        <v>0</v>
      </c>
      <c r="AN344" s="39" t="str">
        <f t="array" ref="AN344">IF(C344="","",IFERROR(XLOOKUP(C344,Assignments!$C:$C,Assignments!$AU:$AU,0),0))</f>
        <v/>
      </c>
      <c r="AO344" s="39">
        <f>IF(AND(Config!$B$1006="Y",AN344=1),Config!$B$1007,0)</f>
        <v>0</v>
      </c>
    </row>
    <row r="345" ht="15.75" customHeight="1">
      <c r="A345" s="46" t="str">
        <f t="shared" si="1"/>
        <v/>
      </c>
      <c r="B345" s="40" t="str">
        <f>IF(Bids!$A345="","",Bids!$A345)</f>
        <v/>
      </c>
      <c r="C345" s="40" t="str">
        <f>IF(Bids!$B345="","",Bids!$B345)</f>
        <v/>
      </c>
      <c r="D345" s="40" t="str">
        <f>IF($C345="","",IFERROR(VLOOKUP($C345,Orders!$A:$J,9,FALSE),""))</f>
        <v/>
      </c>
      <c r="E345" s="40" t="str">
        <f>IF($C345="","",IFERROR(VLOOKUP($C345,Orders!$A:$J,3,FALSE),""))</f>
        <v/>
      </c>
      <c r="F345" s="40" t="str">
        <f>IF($C345="","",IFERROR(VLOOKUP($C345,Orders!$A:$J,4,FALSE),""))</f>
        <v/>
      </c>
      <c r="G345" s="40" t="str">
        <f>IF($C345="","",IFERROR(VLOOKUP($C345,Orders!$A:$J,5,FALSE),""))</f>
        <v/>
      </c>
      <c r="H345" s="40" t="str">
        <f>IF($C345="","",IFERROR(VLOOKUP($C345,Orders!$A:$J,6,FALSE),""))</f>
        <v/>
      </c>
      <c r="I345" s="40" t="str">
        <f>IF($C345="","",IFERROR(VLOOKUP($C345,Orders!$A:$J,7,FALSE),""))</f>
        <v/>
      </c>
      <c r="J345" s="40" t="str">
        <f>IF(Bids!$C345="","",Bids!$C345)</f>
        <v/>
      </c>
      <c r="K345" s="40" t="str">
        <f>IF($J345="","",IFERROR(VLOOKUP($J345,Grinders!$A:$N,2,FALSE),""))</f>
        <v/>
      </c>
      <c r="L345" s="40" t="str">
        <f>IF($J345="","",IFERROR(VLOOKUP($J345,Grinders!$A:$N,3,FALSE),""))</f>
        <v/>
      </c>
      <c r="M345" s="40" t="str">
        <f>IF($J345="","",IFERROR(VLOOKUP($J345,Grinders!$A:$N,4,FALSE),""))</f>
        <v/>
      </c>
      <c r="N345" s="40" t="str">
        <f>IF($J345="","",IFERROR(VLOOKUP($J345,Grinders!$A:$N,5,FALSE),""))</f>
        <v/>
      </c>
      <c r="O345" s="40" t="str">
        <f t="shared" si="2"/>
        <v/>
      </c>
      <c r="P345" s="40" t="str">
        <f>IF($J345="","",IFERROR(VLOOKUP($J345,Grinders!$A:$N,6,FALSE),""))</f>
        <v/>
      </c>
      <c r="Q345" s="40" t="str">
        <f>IF($J345="","",IFERROR(VLOOKUP($J345,Grinders!$A:$N,8,FALSE),""))</f>
        <v/>
      </c>
      <c r="R345" s="40" t="str">
        <f>IFERROR(IF($J345="","",IF($L345="Elite",MAX(50,MIN(100,Config!$B$27*MAX(0,MIN(100,(1-IF($O345="",0,$O345))*100)) + Config!$B$28*MAX(0,MIN(100,(1-MIN(1,IF(Config!$B$30=0,1,$P345/Config!$B$30)))*100)) + Config!$B$29*MAX(0,MIN(100,MIN(1,IF($Q345="",0,$Q345)/Config!$B$23)*100)))),MIN(100,Config!$B$27*MAX(0,MIN(100,(1-IF($O345="",0,$O345))*100)) + Config!$B$28*MAX(0,MIN(100,(1-MIN(1,IF(Config!$B$30=0,1,$P345/Config!$B$30)))*100)) + Config!$B$29*MAX(0,MIN(100,MIN(1,IF($Q345="",0,$Q345)/Config!$B$23)*100))))),"")
</f>
        <v/>
      </c>
      <c r="S345" s="40" t="str">
        <f>IF(Bids!$AC345="","",Bids!$AC345)</f>
        <v/>
      </c>
      <c r="T345" s="40" t="str">
        <f>IF(Bids!$F345="","",Bids!$F345)</f>
        <v/>
      </c>
      <c r="U345" s="40" t="str">
        <f t="shared" si="3"/>
        <v/>
      </c>
      <c r="V345" s="40" t="str">
        <f>IF($U345="","",IF(Config!$B$17=Config!$B$16,IF($U345&gt;=Config!$B$17,100,0),MAX(0,MIN(100,($U345-Config!$B$16)/(Config!$B$17-Config!$B$16)*100))))</f>
        <v/>
      </c>
      <c r="W345" s="40">
        <f>IF($L345="Elite",Config!$B$21,0)</f>
        <v>0</v>
      </c>
      <c r="X345" s="40" t="str">
        <f>IFERROR(IF(OR($T345="",$G345=""),"",IF($T345&gt;$G345,
  MAX(0, 60-(($T345-$G345)*24/Config!$B$19)*60),
  MEDIAN(60, 100, 60+(($G345-$T345)*24/Config!$B$20)*40)
)),"")
</f>
        <v/>
      </c>
      <c r="Y345" s="40" t="str">
        <f>IF($J345="","",IFERROR(VLOOKUP($J345,Grinders!$A:$N,10,FALSE),""))</f>
        <v/>
      </c>
      <c r="Z345" s="40" t="str">
        <f>IF($J345="","",IFERROR(VLOOKUP($J345,Grinders!$A:$N,11,FALSE),""))</f>
        <v/>
      </c>
      <c r="AA345" s="40" t="str">
        <f>IF($J345="","",IFERROR(VLOOKUP($J345,Grinders!$A:$N,12,FALSE),""))</f>
        <v/>
      </c>
      <c r="AB345" s="40" t="str">
        <f>IF(OR(AL345=1,AM345=1),0,=IFERROR(IF(OR($C345="",$J345=""),0,IF($D345&lt;&gt;"Open",0,IF(COUNTIFS(GrinderServices!$A:$A,$J345,GrinderServices!$B:$B,$E345,GrinderServices!$D:$D,"Y")=0,0,IF($U345&lt;Config!$B$16,0,IF(Config!$B$18=1,IF($N345&gt;=$M345,0,1),1))))),""))</f>
        <v>#ERROR!</v>
      </c>
      <c r="AC345" s="40" t="str">
        <f>IFERROR((IF(OR(AL345=1,AM345=1),"",=IFERROR((IFERROR(IF($AB345=0,"",((Config!$B$6*$V345 + Config!$B$7*$R345 + Config!$B$8*$W345 + Config!$B$9*$X345 + Config!$B$10*$Y345 + Config!$B$11*$Z345 - Config!$B$12*$AA345)/Config!$B$13)+$AH345+$AI345),""))*(1-IFERROR(VLOOKUP(J345,Grinders!$A:$AB, 28, FALSE),0)),"")))*(1+AO345),"")</f>
        <v>#ERROR!</v>
      </c>
      <c r="AD345" s="40" t="str">
        <f t="shared" si="4"/>
        <v/>
      </c>
      <c r="AE345" s="40" t="str">
        <f>IFERROR(__xludf.DUMMYFUNCTION("IF($AC345="""","""",IF($AC345=IFERROR(MAX(FILTER($AC$6:$AC$1000,$C$6:$C$1000=$C345,$AB$6:$AB$1000=1)),),""WINNER"",""""))"),"#ERROR!")</f>
        <v>#ERROR!</v>
      </c>
      <c r="AF345" s="40" t="str">
        <f t="shared" si="5"/>
        <v/>
      </c>
      <c r="AG345" s="40" t="str">
        <f>IF($J345="","",COUNTIF(Assignments!$B:$B,$J345))</f>
        <v/>
      </c>
      <c r="AH345" s="40" t="str">
        <f>IF($J345="","",IF(AND($AG345=0,$N345&lt;$M345),Config!$B$43,0))</f>
        <v/>
      </c>
      <c r="AI345" s="40" t="str">
        <f>IF($J345="","",IF(AND($L345="Elite",$F345&gt;=Config!$B$41,$N345&lt;$M345),Config!$B$42,0))</f>
        <v/>
      </c>
      <c r="AJ345" s="22"/>
      <c r="AK345" s="39">
        <f>IFERROR(VLOOKUP(J345,Grinders!$A:$Q,28,FALSE),0)</f>
        <v>0</v>
      </c>
      <c r="AL345" s="39">
        <f>IF(Config!$B$1003&lt;&gt;"Y",0,IF(IFERROR(VLOOKUP(J345,Grinders!$A:$P,27,FALSE),0)&gt;=3,IF(OR(F345&gt;=Config!$B$1001,ISNUMBER(SEARCH(E345,Config!$B$1002))),1,0),0))</f>
        <v>0</v>
      </c>
      <c r="AM345" s="39">
        <f t="array" ref="AM345">IFERROR(IF(INDEX(Bids!$AE:$AE,MATCH(B345,Bids!$A:$A,0))="Pending",1,0),0)</f>
        <v>0</v>
      </c>
      <c r="AN345" s="39" t="str">
        <f t="array" ref="AN345">IF(C345="","",IFERROR(XLOOKUP(C345,Assignments!$C:$C,Assignments!$AU:$AU,0),0))</f>
        <v/>
      </c>
      <c r="AO345" s="39">
        <f>IF(AND(Config!$B$1006="Y",AN345=1),Config!$B$1007,0)</f>
        <v>0</v>
      </c>
    </row>
    <row r="346" ht="15.75" customHeight="1">
      <c r="A346" s="46" t="str">
        <f t="shared" si="1"/>
        <v/>
      </c>
      <c r="B346" s="40" t="str">
        <f>IF(Bids!$A346="","",Bids!$A346)</f>
        <v/>
      </c>
      <c r="C346" s="40" t="str">
        <f>IF(Bids!$B346="","",Bids!$B346)</f>
        <v/>
      </c>
      <c r="D346" s="40" t="str">
        <f>IF($C346="","",IFERROR(VLOOKUP($C346,Orders!$A:$J,9,FALSE),""))</f>
        <v/>
      </c>
      <c r="E346" s="40" t="str">
        <f>IF($C346="","",IFERROR(VLOOKUP($C346,Orders!$A:$J,3,FALSE),""))</f>
        <v/>
      </c>
      <c r="F346" s="40" t="str">
        <f>IF($C346="","",IFERROR(VLOOKUP($C346,Orders!$A:$J,4,FALSE),""))</f>
        <v/>
      </c>
      <c r="G346" s="40" t="str">
        <f>IF($C346="","",IFERROR(VLOOKUP($C346,Orders!$A:$J,5,FALSE),""))</f>
        <v/>
      </c>
      <c r="H346" s="40" t="str">
        <f>IF($C346="","",IFERROR(VLOOKUP($C346,Orders!$A:$J,6,FALSE),""))</f>
        <v/>
      </c>
      <c r="I346" s="40" t="str">
        <f>IF($C346="","",IFERROR(VLOOKUP($C346,Orders!$A:$J,7,FALSE),""))</f>
        <v/>
      </c>
      <c r="J346" s="40" t="str">
        <f>IF(Bids!$C346="","",Bids!$C346)</f>
        <v/>
      </c>
      <c r="K346" s="40" t="str">
        <f>IF($J346="","",IFERROR(VLOOKUP($J346,Grinders!$A:$N,2,FALSE),""))</f>
        <v/>
      </c>
      <c r="L346" s="40" t="str">
        <f>IF($J346="","",IFERROR(VLOOKUP($J346,Grinders!$A:$N,3,FALSE),""))</f>
        <v/>
      </c>
      <c r="M346" s="40" t="str">
        <f>IF($J346="","",IFERROR(VLOOKUP($J346,Grinders!$A:$N,4,FALSE),""))</f>
        <v/>
      </c>
      <c r="N346" s="40" t="str">
        <f>IF($J346="","",IFERROR(VLOOKUP($J346,Grinders!$A:$N,5,FALSE),""))</f>
        <v/>
      </c>
      <c r="O346" s="40" t="str">
        <f t="shared" si="2"/>
        <v/>
      </c>
      <c r="P346" s="40" t="str">
        <f>IF($J346="","",IFERROR(VLOOKUP($J346,Grinders!$A:$N,6,FALSE),""))</f>
        <v/>
      </c>
      <c r="Q346" s="40" t="str">
        <f>IF($J346="","",IFERROR(VLOOKUP($J346,Grinders!$A:$N,8,FALSE),""))</f>
        <v/>
      </c>
      <c r="R346" s="40" t="str">
        <f>IFERROR(IF($J346="","",IF($L346="Elite",MAX(50,MIN(100,Config!$B$27*MAX(0,MIN(100,(1-IF($O346="",0,$O346))*100)) + Config!$B$28*MAX(0,MIN(100,(1-MIN(1,IF(Config!$B$30=0,1,$P346/Config!$B$30)))*100)) + Config!$B$29*MAX(0,MIN(100,MIN(1,IF($Q346="",0,$Q346)/Config!$B$23)*100)))),MIN(100,Config!$B$27*MAX(0,MIN(100,(1-IF($O346="",0,$O346))*100)) + Config!$B$28*MAX(0,MIN(100,(1-MIN(1,IF(Config!$B$30=0,1,$P346/Config!$B$30)))*100)) + Config!$B$29*MAX(0,MIN(100,MIN(1,IF($Q346="",0,$Q346)/Config!$B$23)*100))))),"")
</f>
        <v/>
      </c>
      <c r="S346" s="40" t="str">
        <f>IF(Bids!$AC346="","",Bids!$AC346)</f>
        <v/>
      </c>
      <c r="T346" s="40" t="str">
        <f>IF(Bids!$F346="","",Bids!$F346)</f>
        <v/>
      </c>
      <c r="U346" s="40" t="str">
        <f t="shared" si="3"/>
        <v/>
      </c>
      <c r="V346" s="40" t="str">
        <f>IF($U346="","",IF(Config!$B$17=Config!$B$16,IF($U346&gt;=Config!$B$17,100,0),MAX(0,MIN(100,($U346-Config!$B$16)/(Config!$B$17-Config!$B$16)*100))))</f>
        <v/>
      </c>
      <c r="W346" s="40">
        <f>IF($L346="Elite",Config!$B$21,0)</f>
        <v>0</v>
      </c>
      <c r="X346" s="40" t="str">
        <f>IFERROR(IF(OR($T346="",$G346=""),"",IF($T346&gt;$G346,
  MAX(0, 60-(($T346-$G346)*24/Config!$B$19)*60),
  MEDIAN(60, 100, 60+(($G346-$T346)*24/Config!$B$20)*40)
)),"")
</f>
        <v/>
      </c>
      <c r="Y346" s="40" t="str">
        <f>IF($J346="","",IFERROR(VLOOKUP($J346,Grinders!$A:$N,10,FALSE),""))</f>
        <v/>
      </c>
      <c r="Z346" s="40" t="str">
        <f>IF($J346="","",IFERROR(VLOOKUP($J346,Grinders!$A:$N,11,FALSE),""))</f>
        <v/>
      </c>
      <c r="AA346" s="40" t="str">
        <f>IF($J346="","",IFERROR(VLOOKUP($J346,Grinders!$A:$N,12,FALSE),""))</f>
        <v/>
      </c>
      <c r="AB346" s="40" t="str">
        <f>IF(OR(AL346=1,AM346=1),0,=IFERROR(IF(OR($C346="",$J346=""),0,IF($D346&lt;&gt;"Open",0,IF(COUNTIFS(GrinderServices!$A:$A,$J346,GrinderServices!$B:$B,$E346,GrinderServices!$D:$D,"Y")=0,0,IF($U346&lt;Config!$B$16,0,IF(Config!$B$18=1,IF($N346&gt;=$M346,0,1),1))))),""))</f>
        <v>#ERROR!</v>
      </c>
      <c r="AC346" s="40" t="str">
        <f>IFERROR((IF(OR(AL346=1,AM346=1),"",=IFERROR((IFERROR(IF($AB346=0,"",((Config!$B$6*$V346 + Config!$B$7*$R346 + Config!$B$8*$W346 + Config!$B$9*$X346 + Config!$B$10*$Y346 + Config!$B$11*$Z346 - Config!$B$12*$AA346)/Config!$B$13)+$AH346+$AI346),""))*(1-IFERROR(VLOOKUP(J346,Grinders!$A:$AB, 28, FALSE),0)),"")))*(1+AO346),"")</f>
        <v>#ERROR!</v>
      </c>
      <c r="AD346" s="40" t="str">
        <f t="shared" si="4"/>
        <v/>
      </c>
      <c r="AE346" s="40" t="str">
        <f>IFERROR(__xludf.DUMMYFUNCTION("IF($AC346="""","""",IF($AC346=IFERROR(MAX(FILTER($AC$6:$AC$1000,$C$6:$C$1000=$C346,$AB$6:$AB$1000=1)),),""WINNER"",""""))"),"#ERROR!")</f>
        <v>#ERROR!</v>
      </c>
      <c r="AF346" s="40" t="str">
        <f t="shared" si="5"/>
        <v/>
      </c>
      <c r="AG346" s="40" t="str">
        <f>IF($J346="","",COUNTIF(Assignments!$B:$B,$J346))</f>
        <v/>
      </c>
      <c r="AH346" s="40" t="str">
        <f>IF($J346="","",IF(AND($AG346=0,$N346&lt;$M346),Config!$B$43,0))</f>
        <v/>
      </c>
      <c r="AI346" s="40" t="str">
        <f>IF($J346="","",IF(AND($L346="Elite",$F346&gt;=Config!$B$41,$N346&lt;$M346),Config!$B$42,0))</f>
        <v/>
      </c>
      <c r="AJ346" s="22"/>
      <c r="AK346" s="39">
        <f>IFERROR(VLOOKUP(J346,Grinders!$A:$Q,28,FALSE),0)</f>
        <v>0</v>
      </c>
      <c r="AL346" s="39">
        <f>IF(Config!$B$1003&lt;&gt;"Y",0,IF(IFERROR(VLOOKUP(J346,Grinders!$A:$P,27,FALSE),0)&gt;=3,IF(OR(F346&gt;=Config!$B$1001,ISNUMBER(SEARCH(E346,Config!$B$1002))),1,0),0))</f>
        <v>0</v>
      </c>
      <c r="AM346" s="39">
        <f t="array" ref="AM346">IFERROR(IF(INDEX(Bids!$AE:$AE,MATCH(B346,Bids!$A:$A,0))="Pending",1,0),0)</f>
        <v>0</v>
      </c>
      <c r="AN346" s="39" t="str">
        <f t="array" ref="AN346">IF(C346="","",IFERROR(XLOOKUP(C346,Assignments!$C:$C,Assignments!$AU:$AU,0),0))</f>
        <v/>
      </c>
      <c r="AO346" s="39">
        <f>IF(AND(Config!$B$1006="Y",AN346=1),Config!$B$1007,0)</f>
        <v>0</v>
      </c>
    </row>
    <row r="347" ht="15.75" customHeight="1">
      <c r="A347" s="46" t="str">
        <f t="shared" si="1"/>
        <v/>
      </c>
      <c r="B347" s="40" t="str">
        <f>IF(Bids!$A347="","",Bids!$A347)</f>
        <v/>
      </c>
      <c r="C347" s="40" t="str">
        <f>IF(Bids!$B347="","",Bids!$B347)</f>
        <v/>
      </c>
      <c r="D347" s="40" t="str">
        <f>IF($C347="","",IFERROR(VLOOKUP($C347,Orders!$A:$J,9,FALSE),""))</f>
        <v/>
      </c>
      <c r="E347" s="40" t="str">
        <f>IF($C347="","",IFERROR(VLOOKUP($C347,Orders!$A:$J,3,FALSE),""))</f>
        <v/>
      </c>
      <c r="F347" s="40" t="str">
        <f>IF($C347="","",IFERROR(VLOOKUP($C347,Orders!$A:$J,4,FALSE),""))</f>
        <v/>
      </c>
      <c r="G347" s="40" t="str">
        <f>IF($C347="","",IFERROR(VLOOKUP($C347,Orders!$A:$J,5,FALSE),""))</f>
        <v/>
      </c>
      <c r="H347" s="40" t="str">
        <f>IF($C347="","",IFERROR(VLOOKUP($C347,Orders!$A:$J,6,FALSE),""))</f>
        <v/>
      </c>
      <c r="I347" s="40" t="str">
        <f>IF($C347="","",IFERROR(VLOOKUP($C347,Orders!$A:$J,7,FALSE),""))</f>
        <v/>
      </c>
      <c r="J347" s="40" t="str">
        <f>IF(Bids!$C347="","",Bids!$C347)</f>
        <v/>
      </c>
      <c r="K347" s="40" t="str">
        <f>IF($J347="","",IFERROR(VLOOKUP($J347,Grinders!$A:$N,2,FALSE),""))</f>
        <v/>
      </c>
      <c r="L347" s="40" t="str">
        <f>IF($J347="","",IFERROR(VLOOKUP($J347,Grinders!$A:$N,3,FALSE),""))</f>
        <v/>
      </c>
      <c r="M347" s="40" t="str">
        <f>IF($J347="","",IFERROR(VLOOKUP($J347,Grinders!$A:$N,4,FALSE),""))</f>
        <v/>
      </c>
      <c r="N347" s="40" t="str">
        <f>IF($J347="","",IFERROR(VLOOKUP($J347,Grinders!$A:$N,5,FALSE),""))</f>
        <v/>
      </c>
      <c r="O347" s="40" t="str">
        <f t="shared" si="2"/>
        <v/>
      </c>
      <c r="P347" s="40" t="str">
        <f>IF($J347="","",IFERROR(VLOOKUP($J347,Grinders!$A:$N,6,FALSE),""))</f>
        <v/>
      </c>
      <c r="Q347" s="40" t="str">
        <f>IF($J347="","",IFERROR(VLOOKUP($J347,Grinders!$A:$N,8,FALSE),""))</f>
        <v/>
      </c>
      <c r="R347" s="40" t="str">
        <f>IFERROR(IF($J347="","",IF($L347="Elite",MAX(50,MIN(100,Config!$B$27*MAX(0,MIN(100,(1-IF($O347="",0,$O347))*100)) + Config!$B$28*MAX(0,MIN(100,(1-MIN(1,IF(Config!$B$30=0,1,$P347/Config!$B$30)))*100)) + Config!$B$29*MAX(0,MIN(100,MIN(1,IF($Q347="",0,$Q347)/Config!$B$23)*100)))),MIN(100,Config!$B$27*MAX(0,MIN(100,(1-IF($O347="",0,$O347))*100)) + Config!$B$28*MAX(0,MIN(100,(1-MIN(1,IF(Config!$B$30=0,1,$P347/Config!$B$30)))*100)) + Config!$B$29*MAX(0,MIN(100,MIN(1,IF($Q347="",0,$Q347)/Config!$B$23)*100))))),"")
</f>
        <v/>
      </c>
      <c r="S347" s="40" t="str">
        <f>IF(Bids!$AC347="","",Bids!$AC347)</f>
        <v/>
      </c>
      <c r="T347" s="40" t="str">
        <f>IF(Bids!$F347="","",Bids!$F347)</f>
        <v/>
      </c>
      <c r="U347" s="40" t="str">
        <f t="shared" si="3"/>
        <v/>
      </c>
      <c r="V347" s="40" t="str">
        <f>IF($U347="","",IF(Config!$B$17=Config!$B$16,IF($U347&gt;=Config!$B$17,100,0),MAX(0,MIN(100,($U347-Config!$B$16)/(Config!$B$17-Config!$B$16)*100))))</f>
        <v/>
      </c>
      <c r="W347" s="40">
        <f>IF($L347="Elite",Config!$B$21,0)</f>
        <v>0</v>
      </c>
      <c r="X347" s="40" t="str">
        <f>IFERROR(IF(OR($T347="",$G347=""),"",IF($T347&gt;$G347,
  MAX(0, 60-(($T347-$G347)*24/Config!$B$19)*60),
  MEDIAN(60, 100, 60+(($G347-$T347)*24/Config!$B$20)*40)
)),"")
</f>
        <v/>
      </c>
      <c r="Y347" s="40" t="str">
        <f>IF($J347="","",IFERROR(VLOOKUP($J347,Grinders!$A:$N,10,FALSE),""))</f>
        <v/>
      </c>
      <c r="Z347" s="40" t="str">
        <f>IF($J347="","",IFERROR(VLOOKUP($J347,Grinders!$A:$N,11,FALSE),""))</f>
        <v/>
      </c>
      <c r="AA347" s="40" t="str">
        <f>IF($J347="","",IFERROR(VLOOKUP($J347,Grinders!$A:$N,12,FALSE),""))</f>
        <v/>
      </c>
      <c r="AB347" s="40" t="str">
        <f>IF(OR(AL347=1,AM347=1),0,=IFERROR(IF(OR($C347="",$J347=""),0,IF($D347&lt;&gt;"Open",0,IF(COUNTIFS(GrinderServices!$A:$A,$J347,GrinderServices!$B:$B,$E347,GrinderServices!$D:$D,"Y")=0,0,IF($U347&lt;Config!$B$16,0,IF(Config!$B$18=1,IF($N347&gt;=$M347,0,1),1))))),""))</f>
        <v>#ERROR!</v>
      </c>
      <c r="AC347" s="40" t="str">
        <f>IFERROR((IF(OR(AL347=1,AM347=1),"",=IFERROR((IFERROR(IF($AB347=0,"",((Config!$B$6*$V347 + Config!$B$7*$R347 + Config!$B$8*$W347 + Config!$B$9*$X347 + Config!$B$10*$Y347 + Config!$B$11*$Z347 - Config!$B$12*$AA347)/Config!$B$13)+$AH347+$AI347),""))*(1-IFERROR(VLOOKUP(J347,Grinders!$A:$AB, 28, FALSE),0)),"")))*(1+AO347),"")</f>
        <v>#ERROR!</v>
      </c>
      <c r="AD347" s="40" t="str">
        <f t="shared" si="4"/>
        <v/>
      </c>
      <c r="AE347" s="40" t="str">
        <f>IFERROR(__xludf.DUMMYFUNCTION("IF($AC347="""","""",IF($AC347=IFERROR(MAX(FILTER($AC$6:$AC$1000,$C$6:$C$1000=$C347,$AB$6:$AB$1000=1)),),""WINNER"",""""))"),"#ERROR!")</f>
        <v>#ERROR!</v>
      </c>
      <c r="AF347" s="40" t="str">
        <f t="shared" si="5"/>
        <v/>
      </c>
      <c r="AG347" s="40" t="str">
        <f>IF($J347="","",COUNTIF(Assignments!$B:$B,$J347))</f>
        <v/>
      </c>
      <c r="AH347" s="40" t="str">
        <f>IF($J347="","",IF(AND($AG347=0,$N347&lt;$M347),Config!$B$43,0))</f>
        <v/>
      </c>
      <c r="AI347" s="40" t="str">
        <f>IF($J347="","",IF(AND($L347="Elite",$F347&gt;=Config!$B$41,$N347&lt;$M347),Config!$B$42,0))</f>
        <v/>
      </c>
      <c r="AJ347" s="22"/>
      <c r="AK347" s="39">
        <f>IFERROR(VLOOKUP(J347,Grinders!$A:$Q,28,FALSE),0)</f>
        <v>0</v>
      </c>
      <c r="AL347" s="39">
        <f>IF(Config!$B$1003&lt;&gt;"Y",0,IF(IFERROR(VLOOKUP(J347,Grinders!$A:$P,27,FALSE),0)&gt;=3,IF(OR(F347&gt;=Config!$B$1001,ISNUMBER(SEARCH(E347,Config!$B$1002))),1,0),0))</f>
        <v>0</v>
      </c>
      <c r="AM347" s="39">
        <f t="array" ref="AM347">IFERROR(IF(INDEX(Bids!$AE:$AE,MATCH(B347,Bids!$A:$A,0))="Pending",1,0),0)</f>
        <v>0</v>
      </c>
      <c r="AN347" s="39" t="str">
        <f t="array" ref="AN347">IF(C347="","",IFERROR(XLOOKUP(C347,Assignments!$C:$C,Assignments!$AU:$AU,0),0))</f>
        <v/>
      </c>
      <c r="AO347" s="39">
        <f>IF(AND(Config!$B$1006="Y",AN347=1),Config!$B$1007,0)</f>
        <v>0</v>
      </c>
    </row>
    <row r="348" ht="15.75" customHeight="1">
      <c r="A348" s="46" t="str">
        <f t="shared" si="1"/>
        <v/>
      </c>
      <c r="B348" s="40" t="str">
        <f>IF(Bids!$A348="","",Bids!$A348)</f>
        <v/>
      </c>
      <c r="C348" s="40" t="str">
        <f>IF(Bids!$B348="","",Bids!$B348)</f>
        <v/>
      </c>
      <c r="D348" s="40" t="str">
        <f>IF($C348="","",IFERROR(VLOOKUP($C348,Orders!$A:$J,9,FALSE),""))</f>
        <v/>
      </c>
      <c r="E348" s="40" t="str">
        <f>IF($C348="","",IFERROR(VLOOKUP($C348,Orders!$A:$J,3,FALSE),""))</f>
        <v/>
      </c>
      <c r="F348" s="40" t="str">
        <f>IF($C348="","",IFERROR(VLOOKUP($C348,Orders!$A:$J,4,FALSE),""))</f>
        <v/>
      </c>
      <c r="G348" s="40" t="str">
        <f>IF($C348="","",IFERROR(VLOOKUP($C348,Orders!$A:$J,5,FALSE),""))</f>
        <v/>
      </c>
      <c r="H348" s="40" t="str">
        <f>IF($C348="","",IFERROR(VLOOKUP($C348,Orders!$A:$J,6,FALSE),""))</f>
        <v/>
      </c>
      <c r="I348" s="40" t="str">
        <f>IF($C348="","",IFERROR(VLOOKUP($C348,Orders!$A:$J,7,FALSE),""))</f>
        <v/>
      </c>
      <c r="J348" s="40" t="str">
        <f>IF(Bids!$C348="","",Bids!$C348)</f>
        <v/>
      </c>
      <c r="K348" s="40" t="str">
        <f>IF($J348="","",IFERROR(VLOOKUP($J348,Grinders!$A:$N,2,FALSE),""))</f>
        <v/>
      </c>
      <c r="L348" s="40" t="str">
        <f>IF($J348="","",IFERROR(VLOOKUP($J348,Grinders!$A:$N,3,FALSE),""))</f>
        <v/>
      </c>
      <c r="M348" s="40" t="str">
        <f>IF($J348="","",IFERROR(VLOOKUP($J348,Grinders!$A:$N,4,FALSE),""))</f>
        <v/>
      </c>
      <c r="N348" s="40" t="str">
        <f>IF($J348="","",IFERROR(VLOOKUP($J348,Grinders!$A:$N,5,FALSE),""))</f>
        <v/>
      </c>
      <c r="O348" s="40" t="str">
        <f t="shared" si="2"/>
        <v/>
      </c>
      <c r="P348" s="40" t="str">
        <f>IF($J348="","",IFERROR(VLOOKUP($J348,Grinders!$A:$N,6,FALSE),""))</f>
        <v/>
      </c>
      <c r="Q348" s="40" t="str">
        <f>IF($J348="","",IFERROR(VLOOKUP($J348,Grinders!$A:$N,8,FALSE),""))</f>
        <v/>
      </c>
      <c r="R348" s="40" t="str">
        <f>IFERROR(IF($J348="","",IF($L348="Elite",MAX(50,MIN(100,Config!$B$27*MAX(0,MIN(100,(1-IF($O348="",0,$O348))*100)) + Config!$B$28*MAX(0,MIN(100,(1-MIN(1,IF(Config!$B$30=0,1,$P348/Config!$B$30)))*100)) + Config!$B$29*MAX(0,MIN(100,MIN(1,IF($Q348="",0,$Q348)/Config!$B$23)*100)))),MIN(100,Config!$B$27*MAX(0,MIN(100,(1-IF($O348="",0,$O348))*100)) + Config!$B$28*MAX(0,MIN(100,(1-MIN(1,IF(Config!$B$30=0,1,$P348/Config!$B$30)))*100)) + Config!$B$29*MAX(0,MIN(100,MIN(1,IF($Q348="",0,$Q348)/Config!$B$23)*100))))),"")
</f>
        <v/>
      </c>
      <c r="S348" s="40" t="str">
        <f>IF(Bids!$AC348="","",Bids!$AC348)</f>
        <v/>
      </c>
      <c r="T348" s="40" t="str">
        <f>IF(Bids!$F348="","",Bids!$F348)</f>
        <v/>
      </c>
      <c r="U348" s="40" t="str">
        <f t="shared" si="3"/>
        <v/>
      </c>
      <c r="V348" s="40" t="str">
        <f>IF($U348="","",IF(Config!$B$17=Config!$B$16,IF($U348&gt;=Config!$B$17,100,0),MAX(0,MIN(100,($U348-Config!$B$16)/(Config!$B$17-Config!$B$16)*100))))</f>
        <v/>
      </c>
      <c r="W348" s="40">
        <f>IF($L348="Elite",Config!$B$21,0)</f>
        <v>0</v>
      </c>
      <c r="X348" s="40" t="str">
        <f>IFERROR(IF(OR($T348="",$G348=""),"",IF($T348&gt;$G348,
  MAX(0, 60-(($T348-$G348)*24/Config!$B$19)*60),
  MEDIAN(60, 100, 60+(($G348-$T348)*24/Config!$B$20)*40)
)),"")
</f>
        <v/>
      </c>
      <c r="Y348" s="40" t="str">
        <f>IF($J348="","",IFERROR(VLOOKUP($J348,Grinders!$A:$N,10,FALSE),""))</f>
        <v/>
      </c>
      <c r="Z348" s="40" t="str">
        <f>IF($J348="","",IFERROR(VLOOKUP($J348,Grinders!$A:$N,11,FALSE),""))</f>
        <v/>
      </c>
      <c r="AA348" s="40" t="str">
        <f>IF($J348="","",IFERROR(VLOOKUP($J348,Grinders!$A:$N,12,FALSE),""))</f>
        <v/>
      </c>
      <c r="AB348" s="40" t="str">
        <f>IF(OR(AL348=1,AM348=1),0,=IFERROR(IF(OR($C348="",$J348=""),0,IF($D348&lt;&gt;"Open",0,IF(COUNTIFS(GrinderServices!$A:$A,$J348,GrinderServices!$B:$B,$E348,GrinderServices!$D:$D,"Y")=0,0,IF($U348&lt;Config!$B$16,0,IF(Config!$B$18=1,IF($N348&gt;=$M348,0,1),1))))),""))</f>
        <v>#ERROR!</v>
      </c>
      <c r="AC348" s="40" t="str">
        <f>IFERROR((IF(OR(AL348=1,AM348=1),"",=IFERROR((IFERROR(IF($AB348=0,"",((Config!$B$6*$V348 + Config!$B$7*$R348 + Config!$B$8*$W348 + Config!$B$9*$X348 + Config!$B$10*$Y348 + Config!$B$11*$Z348 - Config!$B$12*$AA348)/Config!$B$13)+$AH348+$AI348),""))*(1-IFERROR(VLOOKUP(J348,Grinders!$A:$AB, 28, FALSE),0)),"")))*(1+AO348),"")</f>
        <v>#ERROR!</v>
      </c>
      <c r="AD348" s="40" t="str">
        <f t="shared" si="4"/>
        <v/>
      </c>
      <c r="AE348" s="40" t="str">
        <f>IFERROR(__xludf.DUMMYFUNCTION("IF($AC348="""","""",IF($AC348=IFERROR(MAX(FILTER($AC$6:$AC$1000,$C$6:$C$1000=$C348,$AB$6:$AB$1000=1)),),""WINNER"",""""))"),"#ERROR!")</f>
        <v>#ERROR!</v>
      </c>
      <c r="AF348" s="40" t="str">
        <f t="shared" si="5"/>
        <v/>
      </c>
      <c r="AG348" s="40" t="str">
        <f>IF($J348="","",COUNTIF(Assignments!$B:$B,$J348))</f>
        <v/>
      </c>
      <c r="AH348" s="40" t="str">
        <f>IF($J348="","",IF(AND($AG348=0,$N348&lt;$M348),Config!$B$43,0))</f>
        <v/>
      </c>
      <c r="AI348" s="40" t="str">
        <f>IF($J348="","",IF(AND($L348="Elite",$F348&gt;=Config!$B$41,$N348&lt;$M348),Config!$B$42,0))</f>
        <v/>
      </c>
      <c r="AJ348" s="22"/>
      <c r="AK348" s="39">
        <f>IFERROR(VLOOKUP(J348,Grinders!$A:$Q,28,FALSE),0)</f>
        <v>0</v>
      </c>
      <c r="AL348" s="39">
        <f>IF(Config!$B$1003&lt;&gt;"Y",0,IF(IFERROR(VLOOKUP(J348,Grinders!$A:$P,27,FALSE),0)&gt;=3,IF(OR(F348&gt;=Config!$B$1001,ISNUMBER(SEARCH(E348,Config!$B$1002))),1,0),0))</f>
        <v>0</v>
      </c>
      <c r="AM348" s="39">
        <f t="array" ref="AM348">IFERROR(IF(INDEX(Bids!$AE:$AE,MATCH(B348,Bids!$A:$A,0))="Pending",1,0),0)</f>
        <v>0</v>
      </c>
      <c r="AN348" s="39" t="str">
        <f t="array" ref="AN348">IF(C348="","",IFERROR(XLOOKUP(C348,Assignments!$C:$C,Assignments!$AU:$AU,0),0))</f>
        <v/>
      </c>
      <c r="AO348" s="39">
        <f>IF(AND(Config!$B$1006="Y",AN348=1),Config!$B$1007,0)</f>
        <v>0</v>
      </c>
    </row>
    <row r="349" ht="15.75" customHeight="1">
      <c r="A349" s="46" t="str">
        <f t="shared" si="1"/>
        <v/>
      </c>
      <c r="B349" s="40" t="str">
        <f>IF(Bids!$A349="","",Bids!$A349)</f>
        <v/>
      </c>
      <c r="C349" s="40" t="str">
        <f>IF(Bids!$B349="","",Bids!$B349)</f>
        <v/>
      </c>
      <c r="D349" s="40" t="str">
        <f>IF($C349="","",IFERROR(VLOOKUP($C349,Orders!$A:$J,9,FALSE),""))</f>
        <v/>
      </c>
      <c r="E349" s="40" t="str">
        <f>IF($C349="","",IFERROR(VLOOKUP($C349,Orders!$A:$J,3,FALSE),""))</f>
        <v/>
      </c>
      <c r="F349" s="40" t="str">
        <f>IF($C349="","",IFERROR(VLOOKUP($C349,Orders!$A:$J,4,FALSE),""))</f>
        <v/>
      </c>
      <c r="G349" s="40" t="str">
        <f>IF($C349="","",IFERROR(VLOOKUP($C349,Orders!$A:$J,5,FALSE),""))</f>
        <v/>
      </c>
      <c r="H349" s="40" t="str">
        <f>IF($C349="","",IFERROR(VLOOKUP($C349,Orders!$A:$J,6,FALSE),""))</f>
        <v/>
      </c>
      <c r="I349" s="40" t="str">
        <f>IF($C349="","",IFERROR(VLOOKUP($C349,Orders!$A:$J,7,FALSE),""))</f>
        <v/>
      </c>
      <c r="J349" s="40" t="str">
        <f>IF(Bids!$C349="","",Bids!$C349)</f>
        <v/>
      </c>
      <c r="K349" s="40" t="str">
        <f>IF($J349="","",IFERROR(VLOOKUP($J349,Grinders!$A:$N,2,FALSE),""))</f>
        <v/>
      </c>
      <c r="L349" s="40" t="str">
        <f>IF($J349="","",IFERROR(VLOOKUP($J349,Grinders!$A:$N,3,FALSE),""))</f>
        <v/>
      </c>
      <c r="M349" s="40" t="str">
        <f>IF($J349="","",IFERROR(VLOOKUP($J349,Grinders!$A:$N,4,FALSE),""))</f>
        <v/>
      </c>
      <c r="N349" s="40" t="str">
        <f>IF($J349="","",IFERROR(VLOOKUP($J349,Grinders!$A:$N,5,FALSE),""))</f>
        <v/>
      </c>
      <c r="O349" s="40" t="str">
        <f t="shared" si="2"/>
        <v/>
      </c>
      <c r="P349" s="40" t="str">
        <f>IF($J349="","",IFERROR(VLOOKUP($J349,Grinders!$A:$N,6,FALSE),""))</f>
        <v/>
      </c>
      <c r="Q349" s="40" t="str">
        <f>IF($J349="","",IFERROR(VLOOKUP($J349,Grinders!$A:$N,8,FALSE),""))</f>
        <v/>
      </c>
      <c r="R349" s="40" t="str">
        <f>IFERROR(IF($J349="","",IF($L349="Elite",MAX(50,MIN(100,Config!$B$27*MAX(0,MIN(100,(1-IF($O349="",0,$O349))*100)) + Config!$B$28*MAX(0,MIN(100,(1-MIN(1,IF(Config!$B$30=0,1,$P349/Config!$B$30)))*100)) + Config!$B$29*MAX(0,MIN(100,MIN(1,IF($Q349="",0,$Q349)/Config!$B$23)*100)))),MIN(100,Config!$B$27*MAX(0,MIN(100,(1-IF($O349="",0,$O349))*100)) + Config!$B$28*MAX(0,MIN(100,(1-MIN(1,IF(Config!$B$30=0,1,$P349/Config!$B$30)))*100)) + Config!$B$29*MAX(0,MIN(100,MIN(1,IF($Q349="",0,$Q349)/Config!$B$23)*100))))),"")
</f>
        <v/>
      </c>
      <c r="S349" s="40" t="str">
        <f>IF(Bids!$AC349="","",Bids!$AC349)</f>
        <v/>
      </c>
      <c r="T349" s="40" t="str">
        <f>IF(Bids!$F349="","",Bids!$F349)</f>
        <v/>
      </c>
      <c r="U349" s="40" t="str">
        <f t="shared" si="3"/>
        <v/>
      </c>
      <c r="V349" s="40" t="str">
        <f>IF($U349="","",IF(Config!$B$17=Config!$B$16,IF($U349&gt;=Config!$B$17,100,0),MAX(0,MIN(100,($U349-Config!$B$16)/(Config!$B$17-Config!$B$16)*100))))</f>
        <v/>
      </c>
      <c r="W349" s="40">
        <f>IF($L349="Elite",Config!$B$21,0)</f>
        <v>0</v>
      </c>
      <c r="X349" s="40" t="str">
        <f>IFERROR(IF(OR($T349="",$G349=""),"",IF($T349&gt;$G349,
  MAX(0, 60-(($T349-$G349)*24/Config!$B$19)*60),
  MEDIAN(60, 100, 60+(($G349-$T349)*24/Config!$B$20)*40)
)),"")
</f>
        <v/>
      </c>
      <c r="Y349" s="40" t="str">
        <f>IF($J349="","",IFERROR(VLOOKUP($J349,Grinders!$A:$N,10,FALSE),""))</f>
        <v/>
      </c>
      <c r="Z349" s="40" t="str">
        <f>IF($J349="","",IFERROR(VLOOKUP($J349,Grinders!$A:$N,11,FALSE),""))</f>
        <v/>
      </c>
      <c r="AA349" s="40" t="str">
        <f>IF($J349="","",IFERROR(VLOOKUP($J349,Grinders!$A:$N,12,FALSE),""))</f>
        <v/>
      </c>
      <c r="AB349" s="40" t="str">
        <f>IF(OR(AL349=1,AM349=1),0,=IFERROR(IF(OR($C349="",$J349=""),0,IF($D349&lt;&gt;"Open",0,IF(COUNTIFS(GrinderServices!$A:$A,$J349,GrinderServices!$B:$B,$E349,GrinderServices!$D:$D,"Y")=0,0,IF($U349&lt;Config!$B$16,0,IF(Config!$B$18=1,IF($N349&gt;=$M349,0,1),1))))),""))</f>
        <v>#ERROR!</v>
      </c>
      <c r="AC349" s="40" t="str">
        <f>IFERROR((IF(OR(AL349=1,AM349=1),"",=IFERROR((IFERROR(IF($AB349=0,"",((Config!$B$6*$V349 + Config!$B$7*$R349 + Config!$B$8*$W349 + Config!$B$9*$X349 + Config!$B$10*$Y349 + Config!$B$11*$Z349 - Config!$B$12*$AA349)/Config!$B$13)+$AH349+$AI349),""))*(1-IFERROR(VLOOKUP(J349,Grinders!$A:$AB, 28, FALSE),0)),"")))*(1+AO349),"")</f>
        <v>#ERROR!</v>
      </c>
      <c r="AD349" s="40" t="str">
        <f t="shared" si="4"/>
        <v/>
      </c>
      <c r="AE349" s="40" t="str">
        <f>IFERROR(__xludf.DUMMYFUNCTION("IF($AC349="""","""",IF($AC349=IFERROR(MAX(FILTER($AC$6:$AC$1000,$C$6:$C$1000=$C349,$AB$6:$AB$1000=1)),),""WINNER"",""""))"),"#ERROR!")</f>
        <v>#ERROR!</v>
      </c>
      <c r="AF349" s="40" t="str">
        <f t="shared" si="5"/>
        <v/>
      </c>
      <c r="AG349" s="40" t="str">
        <f>IF($J349="","",COUNTIF(Assignments!$B:$B,$J349))</f>
        <v/>
      </c>
      <c r="AH349" s="40" t="str">
        <f>IF($J349="","",IF(AND($AG349=0,$N349&lt;$M349),Config!$B$43,0))</f>
        <v/>
      </c>
      <c r="AI349" s="40" t="str">
        <f>IF($J349="","",IF(AND($L349="Elite",$F349&gt;=Config!$B$41,$N349&lt;$M349),Config!$B$42,0))</f>
        <v/>
      </c>
      <c r="AJ349" s="22"/>
      <c r="AK349" s="39">
        <f>IFERROR(VLOOKUP(J349,Grinders!$A:$Q,28,FALSE),0)</f>
        <v>0</v>
      </c>
      <c r="AL349" s="39">
        <f>IF(Config!$B$1003&lt;&gt;"Y",0,IF(IFERROR(VLOOKUP(J349,Grinders!$A:$P,27,FALSE),0)&gt;=3,IF(OR(F349&gt;=Config!$B$1001,ISNUMBER(SEARCH(E349,Config!$B$1002))),1,0),0))</f>
        <v>0</v>
      </c>
      <c r="AM349" s="39">
        <f t="array" ref="AM349">IFERROR(IF(INDEX(Bids!$AE:$AE,MATCH(B349,Bids!$A:$A,0))="Pending",1,0),0)</f>
        <v>0</v>
      </c>
      <c r="AN349" s="39" t="str">
        <f t="array" ref="AN349">IF(C349="","",IFERROR(XLOOKUP(C349,Assignments!$C:$C,Assignments!$AU:$AU,0),0))</f>
        <v/>
      </c>
      <c r="AO349" s="39">
        <f>IF(AND(Config!$B$1006="Y",AN349=1),Config!$B$1007,0)</f>
        <v>0</v>
      </c>
    </row>
    <row r="350" ht="15.75" customHeight="1">
      <c r="A350" s="46" t="str">
        <f t="shared" si="1"/>
        <v/>
      </c>
      <c r="B350" s="40" t="str">
        <f>IF(Bids!$A350="","",Bids!$A350)</f>
        <v/>
      </c>
      <c r="C350" s="40" t="str">
        <f>IF(Bids!$B350="","",Bids!$B350)</f>
        <v/>
      </c>
      <c r="D350" s="40" t="str">
        <f>IF($C350="","",IFERROR(VLOOKUP($C350,Orders!$A:$J,9,FALSE),""))</f>
        <v/>
      </c>
      <c r="E350" s="40" t="str">
        <f>IF($C350="","",IFERROR(VLOOKUP($C350,Orders!$A:$J,3,FALSE),""))</f>
        <v/>
      </c>
      <c r="F350" s="40" t="str">
        <f>IF($C350="","",IFERROR(VLOOKUP($C350,Orders!$A:$J,4,FALSE),""))</f>
        <v/>
      </c>
      <c r="G350" s="40" t="str">
        <f>IF($C350="","",IFERROR(VLOOKUP($C350,Orders!$A:$J,5,FALSE),""))</f>
        <v/>
      </c>
      <c r="H350" s="40" t="str">
        <f>IF($C350="","",IFERROR(VLOOKUP($C350,Orders!$A:$J,6,FALSE),""))</f>
        <v/>
      </c>
      <c r="I350" s="40" t="str">
        <f>IF($C350="","",IFERROR(VLOOKUP($C350,Orders!$A:$J,7,FALSE),""))</f>
        <v/>
      </c>
      <c r="J350" s="40" t="str">
        <f>IF(Bids!$C350="","",Bids!$C350)</f>
        <v/>
      </c>
      <c r="K350" s="40" t="str">
        <f>IF($J350="","",IFERROR(VLOOKUP($J350,Grinders!$A:$N,2,FALSE),""))</f>
        <v/>
      </c>
      <c r="L350" s="40" t="str">
        <f>IF($J350="","",IFERROR(VLOOKUP($J350,Grinders!$A:$N,3,FALSE),""))</f>
        <v/>
      </c>
      <c r="M350" s="40" t="str">
        <f>IF($J350="","",IFERROR(VLOOKUP($J350,Grinders!$A:$N,4,FALSE),""))</f>
        <v/>
      </c>
      <c r="N350" s="40" t="str">
        <f>IF($J350="","",IFERROR(VLOOKUP($J350,Grinders!$A:$N,5,FALSE),""))</f>
        <v/>
      </c>
      <c r="O350" s="40" t="str">
        <f t="shared" si="2"/>
        <v/>
      </c>
      <c r="P350" s="40" t="str">
        <f>IF($J350="","",IFERROR(VLOOKUP($J350,Grinders!$A:$N,6,FALSE),""))</f>
        <v/>
      </c>
      <c r="Q350" s="40" t="str">
        <f>IF($J350="","",IFERROR(VLOOKUP($J350,Grinders!$A:$N,8,FALSE),""))</f>
        <v/>
      </c>
      <c r="R350" s="40" t="str">
        <f>IFERROR(IF($J350="","",IF($L350="Elite",MAX(50,MIN(100,Config!$B$27*MAX(0,MIN(100,(1-IF($O350="",0,$O350))*100)) + Config!$B$28*MAX(0,MIN(100,(1-MIN(1,IF(Config!$B$30=0,1,$P350/Config!$B$30)))*100)) + Config!$B$29*MAX(0,MIN(100,MIN(1,IF($Q350="",0,$Q350)/Config!$B$23)*100)))),MIN(100,Config!$B$27*MAX(0,MIN(100,(1-IF($O350="",0,$O350))*100)) + Config!$B$28*MAX(0,MIN(100,(1-MIN(1,IF(Config!$B$30=0,1,$P350/Config!$B$30)))*100)) + Config!$B$29*MAX(0,MIN(100,MIN(1,IF($Q350="",0,$Q350)/Config!$B$23)*100))))),"")
</f>
        <v/>
      </c>
      <c r="S350" s="40" t="str">
        <f>IF(Bids!$AC350="","",Bids!$AC350)</f>
        <v/>
      </c>
      <c r="T350" s="40" t="str">
        <f>IF(Bids!$F350="","",Bids!$F350)</f>
        <v/>
      </c>
      <c r="U350" s="40" t="str">
        <f t="shared" si="3"/>
        <v/>
      </c>
      <c r="V350" s="40" t="str">
        <f>IF($U350="","",IF(Config!$B$17=Config!$B$16,IF($U350&gt;=Config!$B$17,100,0),MAX(0,MIN(100,($U350-Config!$B$16)/(Config!$B$17-Config!$B$16)*100))))</f>
        <v/>
      </c>
      <c r="W350" s="40">
        <f>IF($L350="Elite",Config!$B$21,0)</f>
        <v>0</v>
      </c>
      <c r="X350" s="40" t="str">
        <f>IFERROR(IF(OR($T350="",$G350=""),"",IF($T350&gt;$G350,
  MAX(0, 60-(($T350-$G350)*24/Config!$B$19)*60),
  MEDIAN(60, 100, 60+(($G350-$T350)*24/Config!$B$20)*40)
)),"")
</f>
        <v/>
      </c>
      <c r="Y350" s="40" t="str">
        <f>IF($J350="","",IFERROR(VLOOKUP($J350,Grinders!$A:$N,10,FALSE),""))</f>
        <v/>
      </c>
      <c r="Z350" s="40" t="str">
        <f>IF($J350="","",IFERROR(VLOOKUP($J350,Grinders!$A:$N,11,FALSE),""))</f>
        <v/>
      </c>
      <c r="AA350" s="40" t="str">
        <f>IF($J350="","",IFERROR(VLOOKUP($J350,Grinders!$A:$N,12,FALSE),""))</f>
        <v/>
      </c>
      <c r="AB350" s="40" t="str">
        <f>IF(OR(AL350=1,AM350=1),0,=IFERROR(IF(OR($C350="",$J350=""),0,IF($D350&lt;&gt;"Open",0,IF(COUNTIFS(GrinderServices!$A:$A,$J350,GrinderServices!$B:$B,$E350,GrinderServices!$D:$D,"Y")=0,0,IF($U350&lt;Config!$B$16,0,IF(Config!$B$18=1,IF($N350&gt;=$M350,0,1),1))))),""))</f>
        <v>#ERROR!</v>
      </c>
      <c r="AC350" s="40" t="str">
        <f>IFERROR((IF(OR(AL350=1,AM350=1),"",=IFERROR((IFERROR(IF($AB350=0,"",((Config!$B$6*$V350 + Config!$B$7*$R350 + Config!$B$8*$W350 + Config!$B$9*$X350 + Config!$B$10*$Y350 + Config!$B$11*$Z350 - Config!$B$12*$AA350)/Config!$B$13)+$AH350+$AI350),""))*(1-IFERROR(VLOOKUP(J350,Grinders!$A:$AB, 28, FALSE),0)),"")))*(1+AO350),"")</f>
        <v>#ERROR!</v>
      </c>
      <c r="AD350" s="40" t="str">
        <f t="shared" si="4"/>
        <v/>
      </c>
      <c r="AE350" s="40" t="str">
        <f>IFERROR(__xludf.DUMMYFUNCTION("IF($AC350="""","""",IF($AC350=IFERROR(MAX(FILTER($AC$6:$AC$1000,$C$6:$C$1000=$C350,$AB$6:$AB$1000=1)),),""WINNER"",""""))"),"#ERROR!")</f>
        <v>#ERROR!</v>
      </c>
      <c r="AF350" s="40" t="str">
        <f t="shared" si="5"/>
        <v/>
      </c>
      <c r="AG350" s="40" t="str">
        <f>IF($J350="","",COUNTIF(Assignments!$B:$B,$J350))</f>
        <v/>
      </c>
      <c r="AH350" s="40" t="str">
        <f>IF($J350="","",IF(AND($AG350=0,$N350&lt;$M350),Config!$B$43,0))</f>
        <v/>
      </c>
      <c r="AI350" s="40" t="str">
        <f>IF($J350="","",IF(AND($L350="Elite",$F350&gt;=Config!$B$41,$N350&lt;$M350),Config!$B$42,0))</f>
        <v/>
      </c>
      <c r="AJ350" s="22"/>
      <c r="AK350" s="39">
        <f>IFERROR(VLOOKUP(J350,Grinders!$A:$Q,28,FALSE),0)</f>
        <v>0</v>
      </c>
      <c r="AL350" s="39">
        <f>IF(Config!$B$1003&lt;&gt;"Y",0,IF(IFERROR(VLOOKUP(J350,Grinders!$A:$P,27,FALSE),0)&gt;=3,IF(OR(F350&gt;=Config!$B$1001,ISNUMBER(SEARCH(E350,Config!$B$1002))),1,0),0))</f>
        <v>0</v>
      </c>
      <c r="AM350" s="39">
        <f t="array" ref="AM350">IFERROR(IF(INDEX(Bids!$AE:$AE,MATCH(B350,Bids!$A:$A,0))="Pending",1,0),0)</f>
        <v>0</v>
      </c>
      <c r="AN350" s="39" t="str">
        <f t="array" ref="AN350">IF(C350="","",IFERROR(XLOOKUP(C350,Assignments!$C:$C,Assignments!$AU:$AU,0),0))</f>
        <v/>
      </c>
      <c r="AO350" s="39">
        <f>IF(AND(Config!$B$1006="Y",AN350=1),Config!$B$1007,0)</f>
        <v>0</v>
      </c>
    </row>
    <row r="351" ht="15.75" customHeight="1">
      <c r="A351" s="46" t="str">
        <f t="shared" si="1"/>
        <v/>
      </c>
      <c r="B351" s="40" t="str">
        <f>IF(Bids!$A351="","",Bids!$A351)</f>
        <v/>
      </c>
      <c r="C351" s="40" t="str">
        <f>IF(Bids!$B351="","",Bids!$B351)</f>
        <v/>
      </c>
      <c r="D351" s="40" t="str">
        <f>IF($C351="","",IFERROR(VLOOKUP($C351,Orders!$A:$J,9,FALSE),""))</f>
        <v/>
      </c>
      <c r="E351" s="40" t="str">
        <f>IF($C351="","",IFERROR(VLOOKUP($C351,Orders!$A:$J,3,FALSE),""))</f>
        <v/>
      </c>
      <c r="F351" s="40" t="str">
        <f>IF($C351="","",IFERROR(VLOOKUP($C351,Orders!$A:$J,4,FALSE),""))</f>
        <v/>
      </c>
      <c r="G351" s="40" t="str">
        <f>IF($C351="","",IFERROR(VLOOKUP($C351,Orders!$A:$J,5,FALSE),""))</f>
        <v/>
      </c>
      <c r="H351" s="40" t="str">
        <f>IF($C351="","",IFERROR(VLOOKUP($C351,Orders!$A:$J,6,FALSE),""))</f>
        <v/>
      </c>
      <c r="I351" s="40" t="str">
        <f>IF($C351="","",IFERROR(VLOOKUP($C351,Orders!$A:$J,7,FALSE),""))</f>
        <v/>
      </c>
      <c r="J351" s="40" t="str">
        <f>IF(Bids!$C351="","",Bids!$C351)</f>
        <v/>
      </c>
      <c r="K351" s="40" t="str">
        <f>IF($J351="","",IFERROR(VLOOKUP($J351,Grinders!$A:$N,2,FALSE),""))</f>
        <v/>
      </c>
      <c r="L351" s="40" t="str">
        <f>IF($J351="","",IFERROR(VLOOKUP($J351,Grinders!$A:$N,3,FALSE),""))</f>
        <v/>
      </c>
      <c r="M351" s="40" t="str">
        <f>IF($J351="","",IFERROR(VLOOKUP($J351,Grinders!$A:$N,4,FALSE),""))</f>
        <v/>
      </c>
      <c r="N351" s="40" t="str">
        <f>IF($J351="","",IFERROR(VLOOKUP($J351,Grinders!$A:$N,5,FALSE),""))</f>
        <v/>
      </c>
      <c r="O351" s="40" t="str">
        <f t="shared" si="2"/>
        <v/>
      </c>
      <c r="P351" s="40" t="str">
        <f>IF($J351="","",IFERROR(VLOOKUP($J351,Grinders!$A:$N,6,FALSE),""))</f>
        <v/>
      </c>
      <c r="Q351" s="40" t="str">
        <f>IF($J351="","",IFERROR(VLOOKUP($J351,Grinders!$A:$N,8,FALSE),""))</f>
        <v/>
      </c>
      <c r="R351" s="40" t="str">
        <f>IFERROR(IF($J351="","",IF($L351="Elite",MAX(50,MIN(100,Config!$B$27*MAX(0,MIN(100,(1-IF($O351="",0,$O351))*100)) + Config!$B$28*MAX(0,MIN(100,(1-MIN(1,IF(Config!$B$30=0,1,$P351/Config!$B$30)))*100)) + Config!$B$29*MAX(0,MIN(100,MIN(1,IF($Q351="",0,$Q351)/Config!$B$23)*100)))),MIN(100,Config!$B$27*MAX(0,MIN(100,(1-IF($O351="",0,$O351))*100)) + Config!$B$28*MAX(0,MIN(100,(1-MIN(1,IF(Config!$B$30=0,1,$P351/Config!$B$30)))*100)) + Config!$B$29*MAX(0,MIN(100,MIN(1,IF($Q351="",0,$Q351)/Config!$B$23)*100))))),"")
</f>
        <v/>
      </c>
      <c r="S351" s="40" t="str">
        <f>IF(Bids!$AC351="","",Bids!$AC351)</f>
        <v/>
      </c>
      <c r="T351" s="40" t="str">
        <f>IF(Bids!$F351="","",Bids!$F351)</f>
        <v/>
      </c>
      <c r="U351" s="40" t="str">
        <f t="shared" si="3"/>
        <v/>
      </c>
      <c r="V351" s="40" t="str">
        <f>IF($U351="","",IF(Config!$B$17=Config!$B$16,IF($U351&gt;=Config!$B$17,100,0),MAX(0,MIN(100,($U351-Config!$B$16)/(Config!$B$17-Config!$B$16)*100))))</f>
        <v/>
      </c>
      <c r="W351" s="40">
        <f>IF($L351="Elite",Config!$B$21,0)</f>
        <v>0</v>
      </c>
      <c r="X351" s="40" t="str">
        <f>IFERROR(IF(OR($T351="",$G351=""),"",IF($T351&gt;$G351,
  MAX(0, 60-(($T351-$G351)*24/Config!$B$19)*60),
  MEDIAN(60, 100, 60+(($G351-$T351)*24/Config!$B$20)*40)
)),"")
</f>
        <v/>
      </c>
      <c r="Y351" s="40" t="str">
        <f>IF($J351="","",IFERROR(VLOOKUP($J351,Grinders!$A:$N,10,FALSE),""))</f>
        <v/>
      </c>
      <c r="Z351" s="40" t="str">
        <f>IF($J351="","",IFERROR(VLOOKUP($J351,Grinders!$A:$N,11,FALSE),""))</f>
        <v/>
      </c>
      <c r="AA351" s="40" t="str">
        <f>IF($J351="","",IFERROR(VLOOKUP($J351,Grinders!$A:$N,12,FALSE),""))</f>
        <v/>
      </c>
      <c r="AB351" s="40" t="str">
        <f>IF(OR(AL351=1,AM351=1),0,=IFERROR(IF(OR($C351="",$J351=""),0,IF($D351&lt;&gt;"Open",0,IF(COUNTIFS(GrinderServices!$A:$A,$J351,GrinderServices!$B:$B,$E351,GrinderServices!$D:$D,"Y")=0,0,IF($U351&lt;Config!$B$16,0,IF(Config!$B$18=1,IF($N351&gt;=$M351,0,1),1))))),""))</f>
        <v>#ERROR!</v>
      </c>
      <c r="AC351" s="40" t="str">
        <f>IFERROR((IF(OR(AL351=1,AM351=1),"",=IFERROR((IFERROR(IF($AB351=0,"",((Config!$B$6*$V351 + Config!$B$7*$R351 + Config!$B$8*$W351 + Config!$B$9*$X351 + Config!$B$10*$Y351 + Config!$B$11*$Z351 - Config!$B$12*$AA351)/Config!$B$13)+$AH351+$AI351),""))*(1-IFERROR(VLOOKUP(J351,Grinders!$A:$AB, 28, FALSE),0)),"")))*(1+AO351),"")</f>
        <v>#ERROR!</v>
      </c>
      <c r="AD351" s="40" t="str">
        <f t="shared" si="4"/>
        <v/>
      </c>
      <c r="AE351" s="40" t="str">
        <f>IFERROR(__xludf.DUMMYFUNCTION("IF($AC351="""","""",IF($AC351=IFERROR(MAX(FILTER($AC$6:$AC$1000,$C$6:$C$1000=$C351,$AB$6:$AB$1000=1)),),""WINNER"",""""))"),"#ERROR!")</f>
        <v>#ERROR!</v>
      </c>
      <c r="AF351" s="40" t="str">
        <f t="shared" si="5"/>
        <v/>
      </c>
      <c r="AG351" s="40" t="str">
        <f>IF($J351="","",COUNTIF(Assignments!$B:$B,$J351))</f>
        <v/>
      </c>
      <c r="AH351" s="40" t="str">
        <f>IF($J351="","",IF(AND($AG351=0,$N351&lt;$M351),Config!$B$43,0))</f>
        <v/>
      </c>
      <c r="AI351" s="40" t="str">
        <f>IF($J351="","",IF(AND($L351="Elite",$F351&gt;=Config!$B$41,$N351&lt;$M351),Config!$B$42,0))</f>
        <v/>
      </c>
      <c r="AJ351" s="22"/>
      <c r="AK351" s="39">
        <f>IFERROR(VLOOKUP(J351,Grinders!$A:$Q,28,FALSE),0)</f>
        <v>0</v>
      </c>
      <c r="AL351" s="39">
        <f>IF(Config!$B$1003&lt;&gt;"Y",0,IF(IFERROR(VLOOKUP(J351,Grinders!$A:$P,27,FALSE),0)&gt;=3,IF(OR(F351&gt;=Config!$B$1001,ISNUMBER(SEARCH(E351,Config!$B$1002))),1,0),0))</f>
        <v>0</v>
      </c>
      <c r="AM351" s="39">
        <f t="array" ref="AM351">IFERROR(IF(INDEX(Bids!$AE:$AE,MATCH(B351,Bids!$A:$A,0))="Pending",1,0),0)</f>
        <v>0</v>
      </c>
      <c r="AN351" s="39" t="str">
        <f t="array" ref="AN351">IF(C351="","",IFERROR(XLOOKUP(C351,Assignments!$C:$C,Assignments!$AU:$AU,0),0))</f>
        <v/>
      </c>
      <c r="AO351" s="39">
        <f>IF(AND(Config!$B$1006="Y",AN351=1),Config!$B$1007,0)</f>
        <v>0</v>
      </c>
    </row>
    <row r="352" ht="15.75" customHeight="1">
      <c r="A352" s="46" t="str">
        <f t="shared" si="1"/>
        <v/>
      </c>
      <c r="B352" s="40" t="str">
        <f>IF(Bids!$A352="","",Bids!$A352)</f>
        <v/>
      </c>
      <c r="C352" s="40" t="str">
        <f>IF(Bids!$B352="","",Bids!$B352)</f>
        <v/>
      </c>
      <c r="D352" s="40" t="str">
        <f>IF($C352="","",IFERROR(VLOOKUP($C352,Orders!$A:$J,9,FALSE),""))</f>
        <v/>
      </c>
      <c r="E352" s="40" t="str">
        <f>IF($C352="","",IFERROR(VLOOKUP($C352,Orders!$A:$J,3,FALSE),""))</f>
        <v/>
      </c>
      <c r="F352" s="40" t="str">
        <f>IF($C352="","",IFERROR(VLOOKUP($C352,Orders!$A:$J,4,FALSE),""))</f>
        <v/>
      </c>
      <c r="G352" s="40" t="str">
        <f>IF($C352="","",IFERROR(VLOOKUP($C352,Orders!$A:$J,5,FALSE),""))</f>
        <v/>
      </c>
      <c r="H352" s="40" t="str">
        <f>IF($C352="","",IFERROR(VLOOKUP($C352,Orders!$A:$J,6,FALSE),""))</f>
        <v/>
      </c>
      <c r="I352" s="40" t="str">
        <f>IF($C352="","",IFERROR(VLOOKUP($C352,Orders!$A:$J,7,FALSE),""))</f>
        <v/>
      </c>
      <c r="J352" s="40" t="str">
        <f>IF(Bids!$C352="","",Bids!$C352)</f>
        <v/>
      </c>
      <c r="K352" s="40" t="str">
        <f>IF($J352="","",IFERROR(VLOOKUP($J352,Grinders!$A:$N,2,FALSE),""))</f>
        <v/>
      </c>
      <c r="L352" s="40" t="str">
        <f>IF($J352="","",IFERROR(VLOOKUP($J352,Grinders!$A:$N,3,FALSE),""))</f>
        <v/>
      </c>
      <c r="M352" s="40" t="str">
        <f>IF($J352="","",IFERROR(VLOOKUP($J352,Grinders!$A:$N,4,FALSE),""))</f>
        <v/>
      </c>
      <c r="N352" s="40" t="str">
        <f>IF($J352="","",IFERROR(VLOOKUP($J352,Grinders!$A:$N,5,FALSE),""))</f>
        <v/>
      </c>
      <c r="O352" s="40" t="str">
        <f t="shared" si="2"/>
        <v/>
      </c>
      <c r="P352" s="40" t="str">
        <f>IF($J352="","",IFERROR(VLOOKUP($J352,Grinders!$A:$N,6,FALSE),""))</f>
        <v/>
      </c>
      <c r="Q352" s="40" t="str">
        <f>IF($J352="","",IFERROR(VLOOKUP($J352,Grinders!$A:$N,8,FALSE),""))</f>
        <v/>
      </c>
      <c r="R352" s="40" t="str">
        <f>IFERROR(IF($J352="","",IF($L352="Elite",MAX(50,MIN(100,Config!$B$27*MAX(0,MIN(100,(1-IF($O352="",0,$O352))*100)) + Config!$B$28*MAX(0,MIN(100,(1-MIN(1,IF(Config!$B$30=0,1,$P352/Config!$B$30)))*100)) + Config!$B$29*MAX(0,MIN(100,MIN(1,IF($Q352="",0,$Q352)/Config!$B$23)*100)))),MIN(100,Config!$B$27*MAX(0,MIN(100,(1-IF($O352="",0,$O352))*100)) + Config!$B$28*MAX(0,MIN(100,(1-MIN(1,IF(Config!$B$30=0,1,$P352/Config!$B$30)))*100)) + Config!$B$29*MAX(0,MIN(100,MIN(1,IF($Q352="",0,$Q352)/Config!$B$23)*100))))),"")
</f>
        <v/>
      </c>
      <c r="S352" s="40" t="str">
        <f>IF(Bids!$AC352="","",Bids!$AC352)</f>
        <v/>
      </c>
      <c r="T352" s="40" t="str">
        <f>IF(Bids!$F352="","",Bids!$F352)</f>
        <v/>
      </c>
      <c r="U352" s="40" t="str">
        <f t="shared" si="3"/>
        <v/>
      </c>
      <c r="V352" s="40" t="str">
        <f>IF($U352="","",IF(Config!$B$17=Config!$B$16,IF($U352&gt;=Config!$B$17,100,0),MAX(0,MIN(100,($U352-Config!$B$16)/(Config!$B$17-Config!$B$16)*100))))</f>
        <v/>
      </c>
      <c r="W352" s="40">
        <f>IF($L352="Elite",Config!$B$21,0)</f>
        <v>0</v>
      </c>
      <c r="X352" s="40" t="str">
        <f>IFERROR(IF(OR($T352="",$G352=""),"",IF($T352&gt;$G352,
  MAX(0, 60-(($T352-$G352)*24/Config!$B$19)*60),
  MEDIAN(60, 100, 60+(($G352-$T352)*24/Config!$B$20)*40)
)),"")
</f>
        <v/>
      </c>
      <c r="Y352" s="40" t="str">
        <f>IF($J352="","",IFERROR(VLOOKUP($J352,Grinders!$A:$N,10,FALSE),""))</f>
        <v/>
      </c>
      <c r="Z352" s="40" t="str">
        <f>IF($J352="","",IFERROR(VLOOKUP($J352,Grinders!$A:$N,11,FALSE),""))</f>
        <v/>
      </c>
      <c r="AA352" s="40" t="str">
        <f>IF($J352="","",IFERROR(VLOOKUP($J352,Grinders!$A:$N,12,FALSE),""))</f>
        <v/>
      </c>
      <c r="AB352" s="40" t="str">
        <f>IF(OR(AL352=1,AM352=1),0,=IFERROR(IF(OR($C352="",$J352=""),0,IF($D352&lt;&gt;"Open",0,IF(COUNTIFS(GrinderServices!$A:$A,$J352,GrinderServices!$B:$B,$E352,GrinderServices!$D:$D,"Y")=0,0,IF($U352&lt;Config!$B$16,0,IF(Config!$B$18=1,IF($N352&gt;=$M352,0,1),1))))),""))</f>
        <v>#ERROR!</v>
      </c>
      <c r="AC352" s="40" t="str">
        <f>IFERROR((IF(OR(AL352=1,AM352=1),"",=IFERROR((IFERROR(IF($AB352=0,"",((Config!$B$6*$V352 + Config!$B$7*$R352 + Config!$B$8*$W352 + Config!$B$9*$X352 + Config!$B$10*$Y352 + Config!$B$11*$Z352 - Config!$B$12*$AA352)/Config!$B$13)+$AH352+$AI352),""))*(1-IFERROR(VLOOKUP(J352,Grinders!$A:$AB, 28, FALSE),0)),"")))*(1+AO352),"")</f>
        <v>#ERROR!</v>
      </c>
      <c r="AD352" s="40" t="str">
        <f t="shared" si="4"/>
        <v/>
      </c>
      <c r="AE352" s="40" t="str">
        <f>IFERROR(__xludf.DUMMYFUNCTION("IF($AC352="""","""",IF($AC352=IFERROR(MAX(FILTER($AC$6:$AC$1000,$C$6:$C$1000=$C352,$AB$6:$AB$1000=1)),),""WINNER"",""""))"),"#ERROR!")</f>
        <v>#ERROR!</v>
      </c>
      <c r="AF352" s="40" t="str">
        <f t="shared" si="5"/>
        <v/>
      </c>
      <c r="AG352" s="40" t="str">
        <f>IF($J352="","",COUNTIF(Assignments!$B:$B,$J352))</f>
        <v/>
      </c>
      <c r="AH352" s="40" t="str">
        <f>IF($J352="","",IF(AND($AG352=0,$N352&lt;$M352),Config!$B$43,0))</f>
        <v/>
      </c>
      <c r="AI352" s="40" t="str">
        <f>IF($J352="","",IF(AND($L352="Elite",$F352&gt;=Config!$B$41,$N352&lt;$M352),Config!$B$42,0))</f>
        <v/>
      </c>
      <c r="AJ352" s="22"/>
      <c r="AK352" s="39">
        <f>IFERROR(VLOOKUP(J352,Grinders!$A:$Q,28,FALSE),0)</f>
        <v>0</v>
      </c>
      <c r="AL352" s="39">
        <f>IF(Config!$B$1003&lt;&gt;"Y",0,IF(IFERROR(VLOOKUP(J352,Grinders!$A:$P,27,FALSE),0)&gt;=3,IF(OR(F352&gt;=Config!$B$1001,ISNUMBER(SEARCH(E352,Config!$B$1002))),1,0),0))</f>
        <v>0</v>
      </c>
      <c r="AM352" s="39">
        <f t="array" ref="AM352">IFERROR(IF(INDEX(Bids!$AE:$AE,MATCH(B352,Bids!$A:$A,0))="Pending",1,0),0)</f>
        <v>0</v>
      </c>
      <c r="AN352" s="39" t="str">
        <f t="array" ref="AN352">IF(C352="","",IFERROR(XLOOKUP(C352,Assignments!$C:$C,Assignments!$AU:$AU,0),0))</f>
        <v/>
      </c>
      <c r="AO352" s="39">
        <f>IF(AND(Config!$B$1006="Y",AN352=1),Config!$B$1007,0)</f>
        <v>0</v>
      </c>
    </row>
    <row r="353" ht="15.75" customHeight="1">
      <c r="A353" s="46" t="str">
        <f t="shared" si="1"/>
        <v/>
      </c>
      <c r="B353" s="40" t="str">
        <f>IF(Bids!$A353="","",Bids!$A353)</f>
        <v/>
      </c>
      <c r="C353" s="40" t="str">
        <f>IF(Bids!$B353="","",Bids!$B353)</f>
        <v/>
      </c>
      <c r="D353" s="40" t="str">
        <f>IF($C353="","",IFERROR(VLOOKUP($C353,Orders!$A:$J,9,FALSE),""))</f>
        <v/>
      </c>
      <c r="E353" s="40" t="str">
        <f>IF($C353="","",IFERROR(VLOOKUP($C353,Orders!$A:$J,3,FALSE),""))</f>
        <v/>
      </c>
      <c r="F353" s="40" t="str">
        <f>IF($C353="","",IFERROR(VLOOKUP($C353,Orders!$A:$J,4,FALSE),""))</f>
        <v/>
      </c>
      <c r="G353" s="40" t="str">
        <f>IF($C353="","",IFERROR(VLOOKUP($C353,Orders!$A:$J,5,FALSE),""))</f>
        <v/>
      </c>
      <c r="H353" s="40" t="str">
        <f>IF($C353="","",IFERROR(VLOOKUP($C353,Orders!$A:$J,6,FALSE),""))</f>
        <v/>
      </c>
      <c r="I353" s="40" t="str">
        <f>IF($C353="","",IFERROR(VLOOKUP($C353,Orders!$A:$J,7,FALSE),""))</f>
        <v/>
      </c>
      <c r="J353" s="40" t="str">
        <f>IF(Bids!$C353="","",Bids!$C353)</f>
        <v/>
      </c>
      <c r="K353" s="40" t="str">
        <f>IF($J353="","",IFERROR(VLOOKUP($J353,Grinders!$A:$N,2,FALSE),""))</f>
        <v/>
      </c>
      <c r="L353" s="40" t="str">
        <f>IF($J353="","",IFERROR(VLOOKUP($J353,Grinders!$A:$N,3,FALSE),""))</f>
        <v/>
      </c>
      <c r="M353" s="40" t="str">
        <f>IF($J353="","",IFERROR(VLOOKUP($J353,Grinders!$A:$N,4,FALSE),""))</f>
        <v/>
      </c>
      <c r="N353" s="40" t="str">
        <f>IF($J353="","",IFERROR(VLOOKUP($J353,Grinders!$A:$N,5,FALSE),""))</f>
        <v/>
      </c>
      <c r="O353" s="40" t="str">
        <f t="shared" si="2"/>
        <v/>
      </c>
      <c r="P353" s="40" t="str">
        <f>IF($J353="","",IFERROR(VLOOKUP($J353,Grinders!$A:$N,6,FALSE),""))</f>
        <v/>
      </c>
      <c r="Q353" s="40" t="str">
        <f>IF($J353="","",IFERROR(VLOOKUP($J353,Grinders!$A:$N,8,FALSE),""))</f>
        <v/>
      </c>
      <c r="R353" s="40" t="str">
        <f>IFERROR(IF($J353="","",IF($L353="Elite",MAX(50,MIN(100,Config!$B$27*MAX(0,MIN(100,(1-IF($O353="",0,$O353))*100)) + Config!$B$28*MAX(0,MIN(100,(1-MIN(1,IF(Config!$B$30=0,1,$P353/Config!$B$30)))*100)) + Config!$B$29*MAX(0,MIN(100,MIN(1,IF($Q353="",0,$Q353)/Config!$B$23)*100)))),MIN(100,Config!$B$27*MAX(0,MIN(100,(1-IF($O353="",0,$O353))*100)) + Config!$B$28*MAX(0,MIN(100,(1-MIN(1,IF(Config!$B$30=0,1,$P353/Config!$B$30)))*100)) + Config!$B$29*MAX(0,MIN(100,MIN(1,IF($Q353="",0,$Q353)/Config!$B$23)*100))))),"")
</f>
        <v/>
      </c>
      <c r="S353" s="40" t="str">
        <f>IF(Bids!$AC353="","",Bids!$AC353)</f>
        <v/>
      </c>
      <c r="T353" s="40" t="str">
        <f>IF(Bids!$F353="","",Bids!$F353)</f>
        <v/>
      </c>
      <c r="U353" s="40" t="str">
        <f t="shared" si="3"/>
        <v/>
      </c>
      <c r="V353" s="40" t="str">
        <f>IF($U353="","",IF(Config!$B$17=Config!$B$16,IF($U353&gt;=Config!$B$17,100,0),MAX(0,MIN(100,($U353-Config!$B$16)/(Config!$B$17-Config!$B$16)*100))))</f>
        <v/>
      </c>
      <c r="W353" s="40">
        <f>IF($L353="Elite",Config!$B$21,0)</f>
        <v>0</v>
      </c>
      <c r="X353" s="40" t="str">
        <f>IFERROR(IF(OR($T353="",$G353=""),"",IF($T353&gt;$G353,
  MAX(0, 60-(($T353-$G353)*24/Config!$B$19)*60),
  MEDIAN(60, 100, 60+(($G353-$T353)*24/Config!$B$20)*40)
)),"")
</f>
        <v/>
      </c>
      <c r="Y353" s="40" t="str">
        <f>IF($J353="","",IFERROR(VLOOKUP($J353,Grinders!$A:$N,10,FALSE),""))</f>
        <v/>
      </c>
      <c r="Z353" s="40" t="str">
        <f>IF($J353="","",IFERROR(VLOOKUP($J353,Grinders!$A:$N,11,FALSE),""))</f>
        <v/>
      </c>
      <c r="AA353" s="40" t="str">
        <f>IF($J353="","",IFERROR(VLOOKUP($J353,Grinders!$A:$N,12,FALSE),""))</f>
        <v/>
      </c>
      <c r="AB353" s="40" t="str">
        <f>IF(OR(AL353=1,AM353=1),0,=IFERROR(IF(OR($C353="",$J353=""),0,IF($D353&lt;&gt;"Open",0,IF(COUNTIFS(GrinderServices!$A:$A,$J353,GrinderServices!$B:$B,$E353,GrinderServices!$D:$D,"Y")=0,0,IF($U353&lt;Config!$B$16,0,IF(Config!$B$18=1,IF($N353&gt;=$M353,0,1),1))))),""))</f>
        <v>#ERROR!</v>
      </c>
      <c r="AC353" s="40" t="str">
        <f>IFERROR((IF(OR(AL353=1,AM353=1),"",=IFERROR((IFERROR(IF($AB353=0,"",((Config!$B$6*$V353 + Config!$B$7*$R353 + Config!$B$8*$W353 + Config!$B$9*$X353 + Config!$B$10*$Y353 + Config!$B$11*$Z353 - Config!$B$12*$AA353)/Config!$B$13)+$AH353+$AI353),""))*(1-IFERROR(VLOOKUP(J353,Grinders!$A:$AB, 28, FALSE),0)),"")))*(1+AO353),"")</f>
        <v>#ERROR!</v>
      </c>
      <c r="AD353" s="40" t="str">
        <f t="shared" si="4"/>
        <v/>
      </c>
      <c r="AE353" s="40" t="str">
        <f>IFERROR(__xludf.DUMMYFUNCTION("IF($AC353="""","""",IF($AC353=IFERROR(MAX(FILTER($AC$6:$AC$1000,$C$6:$C$1000=$C353,$AB$6:$AB$1000=1)),),""WINNER"",""""))"),"#ERROR!")</f>
        <v>#ERROR!</v>
      </c>
      <c r="AF353" s="40" t="str">
        <f t="shared" si="5"/>
        <v/>
      </c>
      <c r="AG353" s="40" t="str">
        <f>IF($J353="","",COUNTIF(Assignments!$B:$B,$J353))</f>
        <v/>
      </c>
      <c r="AH353" s="40" t="str">
        <f>IF($J353="","",IF(AND($AG353=0,$N353&lt;$M353),Config!$B$43,0))</f>
        <v/>
      </c>
      <c r="AI353" s="40" t="str">
        <f>IF($J353="","",IF(AND($L353="Elite",$F353&gt;=Config!$B$41,$N353&lt;$M353),Config!$B$42,0))</f>
        <v/>
      </c>
      <c r="AJ353" s="22"/>
      <c r="AK353" s="39">
        <f>IFERROR(VLOOKUP(J353,Grinders!$A:$Q,28,FALSE),0)</f>
        <v>0</v>
      </c>
      <c r="AL353" s="39">
        <f>IF(Config!$B$1003&lt;&gt;"Y",0,IF(IFERROR(VLOOKUP(J353,Grinders!$A:$P,27,FALSE),0)&gt;=3,IF(OR(F353&gt;=Config!$B$1001,ISNUMBER(SEARCH(E353,Config!$B$1002))),1,0),0))</f>
        <v>0</v>
      </c>
      <c r="AM353" s="39">
        <f t="array" ref="AM353">IFERROR(IF(INDEX(Bids!$AE:$AE,MATCH(B353,Bids!$A:$A,0))="Pending",1,0),0)</f>
        <v>0</v>
      </c>
      <c r="AN353" s="39" t="str">
        <f t="array" ref="AN353">IF(C353="","",IFERROR(XLOOKUP(C353,Assignments!$C:$C,Assignments!$AU:$AU,0),0))</f>
        <v/>
      </c>
      <c r="AO353" s="39">
        <f>IF(AND(Config!$B$1006="Y",AN353=1),Config!$B$1007,0)</f>
        <v>0</v>
      </c>
    </row>
    <row r="354" ht="15.75" customHeight="1">
      <c r="A354" s="46" t="str">
        <f t="shared" si="1"/>
        <v/>
      </c>
      <c r="B354" s="40" t="str">
        <f>IF(Bids!$A354="","",Bids!$A354)</f>
        <v/>
      </c>
      <c r="C354" s="40" t="str">
        <f>IF(Bids!$B354="","",Bids!$B354)</f>
        <v/>
      </c>
      <c r="D354" s="40" t="str">
        <f>IF($C354="","",IFERROR(VLOOKUP($C354,Orders!$A:$J,9,FALSE),""))</f>
        <v/>
      </c>
      <c r="E354" s="40" t="str">
        <f>IF($C354="","",IFERROR(VLOOKUP($C354,Orders!$A:$J,3,FALSE),""))</f>
        <v/>
      </c>
      <c r="F354" s="40" t="str">
        <f>IF($C354="","",IFERROR(VLOOKUP($C354,Orders!$A:$J,4,FALSE),""))</f>
        <v/>
      </c>
      <c r="G354" s="40" t="str">
        <f>IF($C354="","",IFERROR(VLOOKUP($C354,Orders!$A:$J,5,FALSE),""))</f>
        <v/>
      </c>
      <c r="H354" s="40" t="str">
        <f>IF($C354="","",IFERROR(VLOOKUP($C354,Orders!$A:$J,6,FALSE),""))</f>
        <v/>
      </c>
      <c r="I354" s="40" t="str">
        <f>IF($C354="","",IFERROR(VLOOKUP($C354,Orders!$A:$J,7,FALSE),""))</f>
        <v/>
      </c>
      <c r="J354" s="40" t="str">
        <f>IF(Bids!$C354="","",Bids!$C354)</f>
        <v/>
      </c>
      <c r="K354" s="40" t="str">
        <f>IF($J354="","",IFERROR(VLOOKUP($J354,Grinders!$A:$N,2,FALSE),""))</f>
        <v/>
      </c>
      <c r="L354" s="40" t="str">
        <f>IF($J354="","",IFERROR(VLOOKUP($J354,Grinders!$A:$N,3,FALSE),""))</f>
        <v/>
      </c>
      <c r="M354" s="40" t="str">
        <f>IF($J354="","",IFERROR(VLOOKUP($J354,Grinders!$A:$N,4,FALSE),""))</f>
        <v/>
      </c>
      <c r="N354" s="40" t="str">
        <f>IF($J354="","",IFERROR(VLOOKUP($J354,Grinders!$A:$N,5,FALSE),""))</f>
        <v/>
      </c>
      <c r="O354" s="40" t="str">
        <f t="shared" si="2"/>
        <v/>
      </c>
      <c r="P354" s="40" t="str">
        <f>IF($J354="","",IFERROR(VLOOKUP($J354,Grinders!$A:$N,6,FALSE),""))</f>
        <v/>
      </c>
      <c r="Q354" s="40" t="str">
        <f>IF($J354="","",IFERROR(VLOOKUP($J354,Grinders!$A:$N,8,FALSE),""))</f>
        <v/>
      </c>
      <c r="R354" s="40" t="str">
        <f>IFERROR(IF($J354="","",IF($L354="Elite",MAX(50,MIN(100,Config!$B$27*MAX(0,MIN(100,(1-IF($O354="",0,$O354))*100)) + Config!$B$28*MAX(0,MIN(100,(1-MIN(1,IF(Config!$B$30=0,1,$P354/Config!$B$30)))*100)) + Config!$B$29*MAX(0,MIN(100,MIN(1,IF($Q354="",0,$Q354)/Config!$B$23)*100)))),MIN(100,Config!$B$27*MAX(0,MIN(100,(1-IF($O354="",0,$O354))*100)) + Config!$B$28*MAX(0,MIN(100,(1-MIN(1,IF(Config!$B$30=0,1,$P354/Config!$B$30)))*100)) + Config!$B$29*MAX(0,MIN(100,MIN(1,IF($Q354="",0,$Q354)/Config!$B$23)*100))))),"")
</f>
        <v/>
      </c>
      <c r="S354" s="40" t="str">
        <f>IF(Bids!$AC354="","",Bids!$AC354)</f>
        <v/>
      </c>
      <c r="T354" s="40" t="str">
        <f>IF(Bids!$F354="","",Bids!$F354)</f>
        <v/>
      </c>
      <c r="U354" s="40" t="str">
        <f t="shared" si="3"/>
        <v/>
      </c>
      <c r="V354" s="40" t="str">
        <f>IF($U354="","",IF(Config!$B$17=Config!$B$16,IF($U354&gt;=Config!$B$17,100,0),MAX(0,MIN(100,($U354-Config!$B$16)/(Config!$B$17-Config!$B$16)*100))))</f>
        <v/>
      </c>
      <c r="W354" s="40">
        <f>IF($L354="Elite",Config!$B$21,0)</f>
        <v>0</v>
      </c>
      <c r="X354" s="40" t="str">
        <f>IFERROR(IF(OR($T354="",$G354=""),"",IF($T354&gt;$G354,
  MAX(0, 60-(($T354-$G354)*24/Config!$B$19)*60),
  MEDIAN(60, 100, 60+(($G354-$T354)*24/Config!$B$20)*40)
)),"")
</f>
        <v/>
      </c>
      <c r="Y354" s="40" t="str">
        <f>IF($J354="","",IFERROR(VLOOKUP($J354,Grinders!$A:$N,10,FALSE),""))</f>
        <v/>
      </c>
      <c r="Z354" s="40" t="str">
        <f>IF($J354="","",IFERROR(VLOOKUP($J354,Grinders!$A:$N,11,FALSE),""))</f>
        <v/>
      </c>
      <c r="AA354" s="40" t="str">
        <f>IF($J354="","",IFERROR(VLOOKUP($J354,Grinders!$A:$N,12,FALSE),""))</f>
        <v/>
      </c>
      <c r="AB354" s="40" t="str">
        <f>IF(OR(AL354=1,AM354=1),0,=IFERROR(IF(OR($C354="",$J354=""),0,IF($D354&lt;&gt;"Open",0,IF(COUNTIFS(GrinderServices!$A:$A,$J354,GrinderServices!$B:$B,$E354,GrinderServices!$D:$D,"Y")=0,0,IF($U354&lt;Config!$B$16,0,IF(Config!$B$18=1,IF($N354&gt;=$M354,0,1),1))))),""))</f>
        <v>#ERROR!</v>
      </c>
      <c r="AC354" s="40" t="str">
        <f>IFERROR((IF(OR(AL354=1,AM354=1),"",=IFERROR((IFERROR(IF($AB354=0,"",((Config!$B$6*$V354 + Config!$B$7*$R354 + Config!$B$8*$W354 + Config!$B$9*$X354 + Config!$B$10*$Y354 + Config!$B$11*$Z354 - Config!$B$12*$AA354)/Config!$B$13)+$AH354+$AI354),""))*(1-IFERROR(VLOOKUP(J354,Grinders!$A:$AB, 28, FALSE),0)),"")))*(1+AO354),"")</f>
        <v>#ERROR!</v>
      </c>
      <c r="AD354" s="40" t="str">
        <f t="shared" si="4"/>
        <v/>
      </c>
      <c r="AE354" s="40" t="str">
        <f>IFERROR(__xludf.DUMMYFUNCTION("IF($AC354="""","""",IF($AC354=IFERROR(MAX(FILTER($AC$6:$AC$1000,$C$6:$C$1000=$C354,$AB$6:$AB$1000=1)),),""WINNER"",""""))"),"#ERROR!")</f>
        <v>#ERROR!</v>
      </c>
      <c r="AF354" s="40" t="str">
        <f t="shared" si="5"/>
        <v/>
      </c>
      <c r="AG354" s="40" t="str">
        <f>IF($J354="","",COUNTIF(Assignments!$B:$B,$J354))</f>
        <v/>
      </c>
      <c r="AH354" s="40" t="str">
        <f>IF($J354="","",IF(AND($AG354=0,$N354&lt;$M354),Config!$B$43,0))</f>
        <v/>
      </c>
      <c r="AI354" s="40" t="str">
        <f>IF($J354="","",IF(AND($L354="Elite",$F354&gt;=Config!$B$41,$N354&lt;$M354),Config!$B$42,0))</f>
        <v/>
      </c>
      <c r="AJ354" s="22"/>
      <c r="AK354" s="39">
        <f>IFERROR(VLOOKUP(J354,Grinders!$A:$Q,28,FALSE),0)</f>
        <v>0</v>
      </c>
      <c r="AL354" s="39">
        <f>IF(Config!$B$1003&lt;&gt;"Y",0,IF(IFERROR(VLOOKUP(J354,Grinders!$A:$P,27,FALSE),0)&gt;=3,IF(OR(F354&gt;=Config!$B$1001,ISNUMBER(SEARCH(E354,Config!$B$1002))),1,0),0))</f>
        <v>0</v>
      </c>
      <c r="AM354" s="39">
        <f t="array" ref="AM354">IFERROR(IF(INDEX(Bids!$AE:$AE,MATCH(B354,Bids!$A:$A,0))="Pending",1,0),0)</f>
        <v>0</v>
      </c>
      <c r="AN354" s="39" t="str">
        <f t="array" ref="AN354">IF(C354="","",IFERROR(XLOOKUP(C354,Assignments!$C:$C,Assignments!$AU:$AU,0),0))</f>
        <v/>
      </c>
      <c r="AO354" s="39">
        <f>IF(AND(Config!$B$1006="Y",AN354=1),Config!$B$1007,0)</f>
        <v>0</v>
      </c>
    </row>
    <row r="355" ht="15.75" customHeight="1">
      <c r="A355" s="46" t="str">
        <f t="shared" si="1"/>
        <v/>
      </c>
      <c r="B355" s="40" t="str">
        <f>IF(Bids!$A355="","",Bids!$A355)</f>
        <v/>
      </c>
      <c r="C355" s="40" t="str">
        <f>IF(Bids!$B355="","",Bids!$B355)</f>
        <v/>
      </c>
      <c r="D355" s="40" t="str">
        <f>IF($C355="","",IFERROR(VLOOKUP($C355,Orders!$A:$J,9,FALSE),""))</f>
        <v/>
      </c>
      <c r="E355" s="40" t="str">
        <f>IF($C355="","",IFERROR(VLOOKUP($C355,Orders!$A:$J,3,FALSE),""))</f>
        <v/>
      </c>
      <c r="F355" s="40" t="str">
        <f>IF($C355="","",IFERROR(VLOOKUP($C355,Orders!$A:$J,4,FALSE),""))</f>
        <v/>
      </c>
      <c r="G355" s="40" t="str">
        <f>IF($C355="","",IFERROR(VLOOKUP($C355,Orders!$A:$J,5,FALSE),""))</f>
        <v/>
      </c>
      <c r="H355" s="40" t="str">
        <f>IF($C355="","",IFERROR(VLOOKUP($C355,Orders!$A:$J,6,FALSE),""))</f>
        <v/>
      </c>
      <c r="I355" s="40" t="str">
        <f>IF($C355="","",IFERROR(VLOOKUP($C355,Orders!$A:$J,7,FALSE),""))</f>
        <v/>
      </c>
      <c r="J355" s="40" t="str">
        <f>IF(Bids!$C355="","",Bids!$C355)</f>
        <v/>
      </c>
      <c r="K355" s="40" t="str">
        <f>IF($J355="","",IFERROR(VLOOKUP($J355,Grinders!$A:$N,2,FALSE),""))</f>
        <v/>
      </c>
      <c r="L355" s="40" t="str">
        <f>IF($J355="","",IFERROR(VLOOKUP($J355,Grinders!$A:$N,3,FALSE),""))</f>
        <v/>
      </c>
      <c r="M355" s="40" t="str">
        <f>IF($J355="","",IFERROR(VLOOKUP($J355,Grinders!$A:$N,4,FALSE),""))</f>
        <v/>
      </c>
      <c r="N355" s="40" t="str">
        <f>IF($J355="","",IFERROR(VLOOKUP($J355,Grinders!$A:$N,5,FALSE),""))</f>
        <v/>
      </c>
      <c r="O355" s="40" t="str">
        <f t="shared" si="2"/>
        <v/>
      </c>
      <c r="P355" s="40" t="str">
        <f>IF($J355="","",IFERROR(VLOOKUP($J355,Grinders!$A:$N,6,FALSE),""))</f>
        <v/>
      </c>
      <c r="Q355" s="40" t="str">
        <f>IF($J355="","",IFERROR(VLOOKUP($J355,Grinders!$A:$N,8,FALSE),""))</f>
        <v/>
      </c>
      <c r="R355" s="40" t="str">
        <f>IFERROR(IF($J355="","",IF($L355="Elite",MAX(50,MIN(100,Config!$B$27*MAX(0,MIN(100,(1-IF($O355="",0,$O355))*100)) + Config!$B$28*MAX(0,MIN(100,(1-MIN(1,IF(Config!$B$30=0,1,$P355/Config!$B$30)))*100)) + Config!$B$29*MAX(0,MIN(100,MIN(1,IF($Q355="",0,$Q355)/Config!$B$23)*100)))),MIN(100,Config!$B$27*MAX(0,MIN(100,(1-IF($O355="",0,$O355))*100)) + Config!$B$28*MAX(0,MIN(100,(1-MIN(1,IF(Config!$B$30=0,1,$P355/Config!$B$30)))*100)) + Config!$B$29*MAX(0,MIN(100,MIN(1,IF($Q355="",0,$Q355)/Config!$B$23)*100))))),"")
</f>
        <v/>
      </c>
      <c r="S355" s="40" t="str">
        <f>IF(Bids!$AC355="","",Bids!$AC355)</f>
        <v/>
      </c>
      <c r="T355" s="40" t="str">
        <f>IF(Bids!$F355="","",Bids!$F355)</f>
        <v/>
      </c>
      <c r="U355" s="40" t="str">
        <f t="shared" si="3"/>
        <v/>
      </c>
      <c r="V355" s="40" t="str">
        <f>IF($U355="","",IF(Config!$B$17=Config!$B$16,IF($U355&gt;=Config!$B$17,100,0),MAX(0,MIN(100,($U355-Config!$B$16)/(Config!$B$17-Config!$B$16)*100))))</f>
        <v/>
      </c>
      <c r="W355" s="40">
        <f>IF($L355="Elite",Config!$B$21,0)</f>
        <v>0</v>
      </c>
      <c r="X355" s="40" t="str">
        <f>IFERROR(IF(OR($T355="",$G355=""),"",IF($T355&gt;$G355,
  MAX(0, 60-(($T355-$G355)*24/Config!$B$19)*60),
  MEDIAN(60, 100, 60+(($G355-$T355)*24/Config!$B$20)*40)
)),"")
</f>
        <v/>
      </c>
      <c r="Y355" s="40" t="str">
        <f>IF($J355="","",IFERROR(VLOOKUP($J355,Grinders!$A:$N,10,FALSE),""))</f>
        <v/>
      </c>
      <c r="Z355" s="40" t="str">
        <f>IF($J355="","",IFERROR(VLOOKUP($J355,Grinders!$A:$N,11,FALSE),""))</f>
        <v/>
      </c>
      <c r="AA355" s="40" t="str">
        <f>IF($J355="","",IFERROR(VLOOKUP($J355,Grinders!$A:$N,12,FALSE),""))</f>
        <v/>
      </c>
      <c r="AB355" s="40" t="str">
        <f>IF(OR(AL355=1,AM355=1),0,=IFERROR(IF(OR($C355="",$J355=""),0,IF($D355&lt;&gt;"Open",0,IF(COUNTIFS(GrinderServices!$A:$A,$J355,GrinderServices!$B:$B,$E355,GrinderServices!$D:$D,"Y")=0,0,IF($U355&lt;Config!$B$16,0,IF(Config!$B$18=1,IF($N355&gt;=$M355,0,1),1))))),""))</f>
        <v>#ERROR!</v>
      </c>
      <c r="AC355" s="40" t="str">
        <f>IFERROR((IF(OR(AL355=1,AM355=1),"",=IFERROR((IFERROR(IF($AB355=0,"",((Config!$B$6*$V355 + Config!$B$7*$R355 + Config!$B$8*$W355 + Config!$B$9*$X355 + Config!$B$10*$Y355 + Config!$B$11*$Z355 - Config!$B$12*$AA355)/Config!$B$13)+$AH355+$AI355),""))*(1-IFERROR(VLOOKUP(J355,Grinders!$A:$AB, 28, FALSE),0)),"")))*(1+AO355),"")</f>
        <v>#ERROR!</v>
      </c>
      <c r="AD355" s="40" t="str">
        <f t="shared" si="4"/>
        <v/>
      </c>
      <c r="AE355" s="40" t="str">
        <f>IFERROR(__xludf.DUMMYFUNCTION("IF($AC355="""","""",IF($AC355=IFERROR(MAX(FILTER($AC$6:$AC$1000,$C$6:$C$1000=$C355,$AB$6:$AB$1000=1)),),""WINNER"",""""))"),"#ERROR!")</f>
        <v>#ERROR!</v>
      </c>
      <c r="AF355" s="40" t="str">
        <f t="shared" si="5"/>
        <v/>
      </c>
      <c r="AG355" s="40" t="str">
        <f>IF($J355="","",COUNTIF(Assignments!$B:$B,$J355))</f>
        <v/>
      </c>
      <c r="AH355" s="40" t="str">
        <f>IF($J355="","",IF(AND($AG355=0,$N355&lt;$M355),Config!$B$43,0))</f>
        <v/>
      </c>
      <c r="AI355" s="40" t="str">
        <f>IF($J355="","",IF(AND($L355="Elite",$F355&gt;=Config!$B$41,$N355&lt;$M355),Config!$B$42,0))</f>
        <v/>
      </c>
      <c r="AJ355" s="22"/>
      <c r="AK355" s="39">
        <f>IFERROR(VLOOKUP(J355,Grinders!$A:$Q,28,FALSE),0)</f>
        <v>0</v>
      </c>
      <c r="AL355" s="39">
        <f>IF(Config!$B$1003&lt;&gt;"Y",0,IF(IFERROR(VLOOKUP(J355,Grinders!$A:$P,27,FALSE),0)&gt;=3,IF(OR(F355&gt;=Config!$B$1001,ISNUMBER(SEARCH(E355,Config!$B$1002))),1,0),0))</f>
        <v>0</v>
      </c>
      <c r="AM355" s="39">
        <f t="array" ref="AM355">IFERROR(IF(INDEX(Bids!$AE:$AE,MATCH(B355,Bids!$A:$A,0))="Pending",1,0),0)</f>
        <v>0</v>
      </c>
      <c r="AN355" s="39" t="str">
        <f t="array" ref="AN355">IF(C355="","",IFERROR(XLOOKUP(C355,Assignments!$C:$C,Assignments!$AU:$AU,0),0))</f>
        <v/>
      </c>
      <c r="AO355" s="39">
        <f>IF(AND(Config!$B$1006="Y",AN355=1),Config!$B$1007,0)</f>
        <v>0</v>
      </c>
    </row>
    <row r="356" ht="15.75" customHeight="1">
      <c r="A356" s="46" t="str">
        <f t="shared" si="1"/>
        <v/>
      </c>
      <c r="B356" s="40" t="str">
        <f>IF(Bids!$A356="","",Bids!$A356)</f>
        <v/>
      </c>
      <c r="C356" s="40" t="str">
        <f>IF(Bids!$B356="","",Bids!$B356)</f>
        <v/>
      </c>
      <c r="D356" s="40" t="str">
        <f>IF($C356="","",IFERROR(VLOOKUP($C356,Orders!$A:$J,9,FALSE),""))</f>
        <v/>
      </c>
      <c r="E356" s="40" t="str">
        <f>IF($C356="","",IFERROR(VLOOKUP($C356,Orders!$A:$J,3,FALSE),""))</f>
        <v/>
      </c>
      <c r="F356" s="40" t="str">
        <f>IF($C356="","",IFERROR(VLOOKUP($C356,Orders!$A:$J,4,FALSE),""))</f>
        <v/>
      </c>
      <c r="G356" s="40" t="str">
        <f>IF($C356="","",IFERROR(VLOOKUP($C356,Orders!$A:$J,5,FALSE),""))</f>
        <v/>
      </c>
      <c r="H356" s="40" t="str">
        <f>IF($C356="","",IFERROR(VLOOKUP($C356,Orders!$A:$J,6,FALSE),""))</f>
        <v/>
      </c>
      <c r="I356" s="40" t="str">
        <f>IF($C356="","",IFERROR(VLOOKUP($C356,Orders!$A:$J,7,FALSE),""))</f>
        <v/>
      </c>
      <c r="J356" s="40" t="str">
        <f>IF(Bids!$C356="","",Bids!$C356)</f>
        <v/>
      </c>
      <c r="K356" s="40" t="str">
        <f>IF($J356="","",IFERROR(VLOOKUP($J356,Grinders!$A:$N,2,FALSE),""))</f>
        <v/>
      </c>
      <c r="L356" s="40" t="str">
        <f>IF($J356="","",IFERROR(VLOOKUP($J356,Grinders!$A:$N,3,FALSE),""))</f>
        <v/>
      </c>
      <c r="M356" s="40" t="str">
        <f>IF($J356="","",IFERROR(VLOOKUP($J356,Grinders!$A:$N,4,FALSE),""))</f>
        <v/>
      </c>
      <c r="N356" s="40" t="str">
        <f>IF($J356="","",IFERROR(VLOOKUP($J356,Grinders!$A:$N,5,FALSE),""))</f>
        <v/>
      </c>
      <c r="O356" s="40" t="str">
        <f t="shared" si="2"/>
        <v/>
      </c>
      <c r="P356" s="40" t="str">
        <f>IF($J356="","",IFERROR(VLOOKUP($J356,Grinders!$A:$N,6,FALSE),""))</f>
        <v/>
      </c>
      <c r="Q356" s="40" t="str">
        <f>IF($J356="","",IFERROR(VLOOKUP($J356,Grinders!$A:$N,8,FALSE),""))</f>
        <v/>
      </c>
      <c r="R356" s="40" t="str">
        <f>IFERROR(IF($J356="","",IF($L356="Elite",MAX(50,MIN(100,Config!$B$27*MAX(0,MIN(100,(1-IF($O356="",0,$O356))*100)) + Config!$B$28*MAX(0,MIN(100,(1-MIN(1,IF(Config!$B$30=0,1,$P356/Config!$B$30)))*100)) + Config!$B$29*MAX(0,MIN(100,MIN(1,IF($Q356="",0,$Q356)/Config!$B$23)*100)))),MIN(100,Config!$B$27*MAX(0,MIN(100,(1-IF($O356="",0,$O356))*100)) + Config!$B$28*MAX(0,MIN(100,(1-MIN(1,IF(Config!$B$30=0,1,$P356/Config!$B$30)))*100)) + Config!$B$29*MAX(0,MIN(100,MIN(1,IF($Q356="",0,$Q356)/Config!$B$23)*100))))),"")
</f>
        <v/>
      </c>
      <c r="S356" s="40" t="str">
        <f>IF(Bids!$AC356="","",Bids!$AC356)</f>
        <v/>
      </c>
      <c r="T356" s="40" t="str">
        <f>IF(Bids!$F356="","",Bids!$F356)</f>
        <v/>
      </c>
      <c r="U356" s="40" t="str">
        <f t="shared" si="3"/>
        <v/>
      </c>
      <c r="V356" s="40" t="str">
        <f>IF($U356="","",IF(Config!$B$17=Config!$B$16,IF($U356&gt;=Config!$B$17,100,0),MAX(0,MIN(100,($U356-Config!$B$16)/(Config!$B$17-Config!$B$16)*100))))</f>
        <v/>
      </c>
      <c r="W356" s="40">
        <f>IF($L356="Elite",Config!$B$21,0)</f>
        <v>0</v>
      </c>
      <c r="X356" s="40" t="str">
        <f>IFERROR(IF(OR($T356="",$G356=""),"",IF($T356&gt;$G356,
  MAX(0, 60-(($T356-$G356)*24/Config!$B$19)*60),
  MEDIAN(60, 100, 60+(($G356-$T356)*24/Config!$B$20)*40)
)),"")
</f>
        <v/>
      </c>
      <c r="Y356" s="40" t="str">
        <f>IF($J356="","",IFERROR(VLOOKUP($J356,Grinders!$A:$N,10,FALSE),""))</f>
        <v/>
      </c>
      <c r="Z356" s="40" t="str">
        <f>IF($J356="","",IFERROR(VLOOKUP($J356,Grinders!$A:$N,11,FALSE),""))</f>
        <v/>
      </c>
      <c r="AA356" s="40" t="str">
        <f>IF($J356="","",IFERROR(VLOOKUP($J356,Grinders!$A:$N,12,FALSE),""))</f>
        <v/>
      </c>
      <c r="AB356" s="40" t="str">
        <f>IF(OR(AL356=1,AM356=1),0,=IFERROR(IF(OR($C356="",$J356=""),0,IF($D356&lt;&gt;"Open",0,IF(COUNTIFS(GrinderServices!$A:$A,$J356,GrinderServices!$B:$B,$E356,GrinderServices!$D:$D,"Y")=0,0,IF($U356&lt;Config!$B$16,0,IF(Config!$B$18=1,IF($N356&gt;=$M356,0,1),1))))),""))</f>
        <v>#ERROR!</v>
      </c>
      <c r="AC356" s="40" t="str">
        <f>IFERROR((IF(OR(AL356=1,AM356=1),"",=IFERROR((IFERROR(IF($AB356=0,"",((Config!$B$6*$V356 + Config!$B$7*$R356 + Config!$B$8*$W356 + Config!$B$9*$X356 + Config!$B$10*$Y356 + Config!$B$11*$Z356 - Config!$B$12*$AA356)/Config!$B$13)+$AH356+$AI356),""))*(1-IFERROR(VLOOKUP(J356,Grinders!$A:$AB, 28, FALSE),0)),"")))*(1+AO356),"")</f>
        <v>#ERROR!</v>
      </c>
      <c r="AD356" s="40" t="str">
        <f t="shared" si="4"/>
        <v/>
      </c>
      <c r="AE356" s="40" t="str">
        <f>IFERROR(__xludf.DUMMYFUNCTION("IF($AC356="""","""",IF($AC356=IFERROR(MAX(FILTER($AC$6:$AC$1000,$C$6:$C$1000=$C356,$AB$6:$AB$1000=1)),),""WINNER"",""""))"),"#ERROR!")</f>
        <v>#ERROR!</v>
      </c>
      <c r="AF356" s="40" t="str">
        <f t="shared" si="5"/>
        <v/>
      </c>
      <c r="AG356" s="40" t="str">
        <f>IF($J356="","",COUNTIF(Assignments!$B:$B,$J356))</f>
        <v/>
      </c>
      <c r="AH356" s="40" t="str">
        <f>IF($J356="","",IF(AND($AG356=0,$N356&lt;$M356),Config!$B$43,0))</f>
        <v/>
      </c>
      <c r="AI356" s="40" t="str">
        <f>IF($J356="","",IF(AND($L356="Elite",$F356&gt;=Config!$B$41,$N356&lt;$M356),Config!$B$42,0))</f>
        <v/>
      </c>
      <c r="AJ356" s="22"/>
      <c r="AK356" s="39">
        <f>IFERROR(VLOOKUP(J356,Grinders!$A:$Q,28,FALSE),0)</f>
        <v>0</v>
      </c>
      <c r="AL356" s="39">
        <f>IF(Config!$B$1003&lt;&gt;"Y",0,IF(IFERROR(VLOOKUP(J356,Grinders!$A:$P,27,FALSE),0)&gt;=3,IF(OR(F356&gt;=Config!$B$1001,ISNUMBER(SEARCH(E356,Config!$B$1002))),1,0),0))</f>
        <v>0</v>
      </c>
      <c r="AM356" s="39">
        <f t="array" ref="AM356">IFERROR(IF(INDEX(Bids!$AE:$AE,MATCH(B356,Bids!$A:$A,0))="Pending",1,0),0)</f>
        <v>0</v>
      </c>
      <c r="AN356" s="39" t="str">
        <f t="array" ref="AN356">IF(C356="","",IFERROR(XLOOKUP(C356,Assignments!$C:$C,Assignments!$AU:$AU,0),0))</f>
        <v/>
      </c>
      <c r="AO356" s="39">
        <f>IF(AND(Config!$B$1006="Y",AN356=1),Config!$B$1007,0)</f>
        <v>0</v>
      </c>
    </row>
    <row r="357" ht="15.75" customHeight="1">
      <c r="A357" s="46" t="str">
        <f t="shared" si="1"/>
        <v/>
      </c>
      <c r="B357" s="40" t="str">
        <f>IF(Bids!$A357="","",Bids!$A357)</f>
        <v/>
      </c>
      <c r="C357" s="40" t="str">
        <f>IF(Bids!$B357="","",Bids!$B357)</f>
        <v/>
      </c>
      <c r="D357" s="40" t="str">
        <f>IF($C357="","",IFERROR(VLOOKUP($C357,Orders!$A:$J,9,FALSE),""))</f>
        <v/>
      </c>
      <c r="E357" s="40" t="str">
        <f>IF($C357="","",IFERROR(VLOOKUP($C357,Orders!$A:$J,3,FALSE),""))</f>
        <v/>
      </c>
      <c r="F357" s="40" t="str">
        <f>IF($C357="","",IFERROR(VLOOKUP($C357,Orders!$A:$J,4,FALSE),""))</f>
        <v/>
      </c>
      <c r="G357" s="40" t="str">
        <f>IF($C357="","",IFERROR(VLOOKUP($C357,Orders!$A:$J,5,FALSE),""))</f>
        <v/>
      </c>
      <c r="H357" s="40" t="str">
        <f>IF($C357="","",IFERROR(VLOOKUP($C357,Orders!$A:$J,6,FALSE),""))</f>
        <v/>
      </c>
      <c r="I357" s="40" t="str">
        <f>IF($C357="","",IFERROR(VLOOKUP($C357,Orders!$A:$J,7,FALSE),""))</f>
        <v/>
      </c>
      <c r="J357" s="40" t="str">
        <f>IF(Bids!$C357="","",Bids!$C357)</f>
        <v/>
      </c>
      <c r="K357" s="40" t="str">
        <f>IF($J357="","",IFERROR(VLOOKUP($J357,Grinders!$A:$N,2,FALSE),""))</f>
        <v/>
      </c>
      <c r="L357" s="40" t="str">
        <f>IF($J357="","",IFERROR(VLOOKUP($J357,Grinders!$A:$N,3,FALSE),""))</f>
        <v/>
      </c>
      <c r="M357" s="40" t="str">
        <f>IF($J357="","",IFERROR(VLOOKUP($J357,Grinders!$A:$N,4,FALSE),""))</f>
        <v/>
      </c>
      <c r="N357" s="40" t="str">
        <f>IF($J357="","",IFERROR(VLOOKUP($J357,Grinders!$A:$N,5,FALSE),""))</f>
        <v/>
      </c>
      <c r="O357" s="40" t="str">
        <f t="shared" si="2"/>
        <v/>
      </c>
      <c r="P357" s="40" t="str">
        <f>IF($J357="","",IFERROR(VLOOKUP($J357,Grinders!$A:$N,6,FALSE),""))</f>
        <v/>
      </c>
      <c r="Q357" s="40" t="str">
        <f>IF($J357="","",IFERROR(VLOOKUP($J357,Grinders!$A:$N,8,FALSE),""))</f>
        <v/>
      </c>
      <c r="R357" s="40" t="str">
        <f>IFERROR(IF($J357="","",IF($L357="Elite",MAX(50,MIN(100,Config!$B$27*MAX(0,MIN(100,(1-IF($O357="",0,$O357))*100)) + Config!$B$28*MAX(0,MIN(100,(1-MIN(1,IF(Config!$B$30=0,1,$P357/Config!$B$30)))*100)) + Config!$B$29*MAX(0,MIN(100,MIN(1,IF($Q357="",0,$Q357)/Config!$B$23)*100)))),MIN(100,Config!$B$27*MAX(0,MIN(100,(1-IF($O357="",0,$O357))*100)) + Config!$B$28*MAX(0,MIN(100,(1-MIN(1,IF(Config!$B$30=0,1,$P357/Config!$B$30)))*100)) + Config!$B$29*MAX(0,MIN(100,MIN(1,IF($Q357="",0,$Q357)/Config!$B$23)*100))))),"")
</f>
        <v/>
      </c>
      <c r="S357" s="40" t="str">
        <f>IF(Bids!$AC357="","",Bids!$AC357)</f>
        <v/>
      </c>
      <c r="T357" s="40" t="str">
        <f>IF(Bids!$F357="","",Bids!$F357)</f>
        <v/>
      </c>
      <c r="U357" s="40" t="str">
        <f t="shared" si="3"/>
        <v/>
      </c>
      <c r="V357" s="40" t="str">
        <f>IF($U357="","",IF(Config!$B$17=Config!$B$16,IF($U357&gt;=Config!$B$17,100,0),MAX(0,MIN(100,($U357-Config!$B$16)/(Config!$B$17-Config!$B$16)*100))))</f>
        <v/>
      </c>
      <c r="W357" s="40">
        <f>IF($L357="Elite",Config!$B$21,0)</f>
        <v>0</v>
      </c>
      <c r="X357" s="40" t="str">
        <f>IFERROR(IF(OR($T357="",$G357=""),"",IF($T357&gt;$G357,
  MAX(0, 60-(($T357-$G357)*24/Config!$B$19)*60),
  MEDIAN(60, 100, 60+(($G357-$T357)*24/Config!$B$20)*40)
)),"")
</f>
        <v/>
      </c>
      <c r="Y357" s="40" t="str">
        <f>IF($J357="","",IFERROR(VLOOKUP($J357,Grinders!$A:$N,10,FALSE),""))</f>
        <v/>
      </c>
      <c r="Z357" s="40" t="str">
        <f>IF($J357="","",IFERROR(VLOOKUP($J357,Grinders!$A:$N,11,FALSE),""))</f>
        <v/>
      </c>
      <c r="AA357" s="40" t="str">
        <f>IF($J357="","",IFERROR(VLOOKUP($J357,Grinders!$A:$N,12,FALSE),""))</f>
        <v/>
      </c>
      <c r="AB357" s="40" t="str">
        <f>IF(OR(AL357=1,AM357=1),0,=IFERROR(IF(OR($C357="",$J357=""),0,IF($D357&lt;&gt;"Open",0,IF(COUNTIFS(GrinderServices!$A:$A,$J357,GrinderServices!$B:$B,$E357,GrinderServices!$D:$D,"Y")=0,0,IF($U357&lt;Config!$B$16,0,IF(Config!$B$18=1,IF($N357&gt;=$M357,0,1),1))))),""))</f>
        <v>#ERROR!</v>
      </c>
      <c r="AC357" s="40" t="str">
        <f>IFERROR((IF(OR(AL357=1,AM357=1),"",=IFERROR((IFERROR(IF($AB357=0,"",((Config!$B$6*$V357 + Config!$B$7*$R357 + Config!$B$8*$W357 + Config!$B$9*$X357 + Config!$B$10*$Y357 + Config!$B$11*$Z357 - Config!$B$12*$AA357)/Config!$B$13)+$AH357+$AI357),""))*(1-IFERROR(VLOOKUP(J357,Grinders!$A:$AB, 28, FALSE),0)),"")))*(1+AO357),"")</f>
        <v>#ERROR!</v>
      </c>
      <c r="AD357" s="40" t="str">
        <f t="shared" si="4"/>
        <v/>
      </c>
      <c r="AE357" s="40" t="str">
        <f>IFERROR(__xludf.DUMMYFUNCTION("IF($AC357="""","""",IF($AC357=IFERROR(MAX(FILTER($AC$6:$AC$1000,$C$6:$C$1000=$C357,$AB$6:$AB$1000=1)),),""WINNER"",""""))"),"#ERROR!")</f>
        <v>#ERROR!</v>
      </c>
      <c r="AF357" s="40" t="str">
        <f t="shared" si="5"/>
        <v/>
      </c>
      <c r="AG357" s="40" t="str">
        <f>IF($J357="","",COUNTIF(Assignments!$B:$B,$J357))</f>
        <v/>
      </c>
      <c r="AH357" s="40" t="str">
        <f>IF($J357="","",IF(AND($AG357=0,$N357&lt;$M357),Config!$B$43,0))</f>
        <v/>
      </c>
      <c r="AI357" s="40" t="str">
        <f>IF($J357="","",IF(AND($L357="Elite",$F357&gt;=Config!$B$41,$N357&lt;$M357),Config!$B$42,0))</f>
        <v/>
      </c>
      <c r="AJ357" s="22"/>
      <c r="AK357" s="39">
        <f>IFERROR(VLOOKUP(J357,Grinders!$A:$Q,28,FALSE),0)</f>
        <v>0</v>
      </c>
      <c r="AL357" s="39">
        <f>IF(Config!$B$1003&lt;&gt;"Y",0,IF(IFERROR(VLOOKUP(J357,Grinders!$A:$P,27,FALSE),0)&gt;=3,IF(OR(F357&gt;=Config!$B$1001,ISNUMBER(SEARCH(E357,Config!$B$1002))),1,0),0))</f>
        <v>0</v>
      </c>
      <c r="AM357" s="39">
        <f t="array" ref="AM357">IFERROR(IF(INDEX(Bids!$AE:$AE,MATCH(B357,Bids!$A:$A,0))="Pending",1,0),0)</f>
        <v>0</v>
      </c>
      <c r="AN357" s="39" t="str">
        <f t="array" ref="AN357">IF(C357="","",IFERROR(XLOOKUP(C357,Assignments!$C:$C,Assignments!$AU:$AU,0),0))</f>
        <v/>
      </c>
      <c r="AO357" s="39">
        <f>IF(AND(Config!$B$1006="Y",AN357=1),Config!$B$1007,0)</f>
        <v>0</v>
      </c>
    </row>
    <row r="358" ht="15.75" customHeight="1">
      <c r="A358" s="46" t="str">
        <f t="shared" si="1"/>
        <v/>
      </c>
      <c r="B358" s="40" t="str">
        <f>IF(Bids!$A358="","",Bids!$A358)</f>
        <v/>
      </c>
      <c r="C358" s="40" t="str">
        <f>IF(Bids!$B358="","",Bids!$B358)</f>
        <v/>
      </c>
      <c r="D358" s="40" t="str">
        <f>IF($C358="","",IFERROR(VLOOKUP($C358,Orders!$A:$J,9,FALSE),""))</f>
        <v/>
      </c>
      <c r="E358" s="40" t="str">
        <f>IF($C358="","",IFERROR(VLOOKUP($C358,Orders!$A:$J,3,FALSE),""))</f>
        <v/>
      </c>
      <c r="F358" s="40" t="str">
        <f>IF($C358="","",IFERROR(VLOOKUP($C358,Orders!$A:$J,4,FALSE),""))</f>
        <v/>
      </c>
      <c r="G358" s="40" t="str">
        <f>IF($C358="","",IFERROR(VLOOKUP($C358,Orders!$A:$J,5,FALSE),""))</f>
        <v/>
      </c>
      <c r="H358" s="40" t="str">
        <f>IF($C358="","",IFERROR(VLOOKUP($C358,Orders!$A:$J,6,FALSE),""))</f>
        <v/>
      </c>
      <c r="I358" s="40" t="str">
        <f>IF($C358="","",IFERROR(VLOOKUP($C358,Orders!$A:$J,7,FALSE),""))</f>
        <v/>
      </c>
      <c r="J358" s="40" t="str">
        <f>IF(Bids!$C358="","",Bids!$C358)</f>
        <v/>
      </c>
      <c r="K358" s="40" t="str">
        <f>IF($J358="","",IFERROR(VLOOKUP($J358,Grinders!$A:$N,2,FALSE),""))</f>
        <v/>
      </c>
      <c r="L358" s="40" t="str">
        <f>IF($J358="","",IFERROR(VLOOKUP($J358,Grinders!$A:$N,3,FALSE),""))</f>
        <v/>
      </c>
      <c r="M358" s="40" t="str">
        <f>IF($J358="","",IFERROR(VLOOKUP($J358,Grinders!$A:$N,4,FALSE),""))</f>
        <v/>
      </c>
      <c r="N358" s="40" t="str">
        <f>IF($J358="","",IFERROR(VLOOKUP($J358,Grinders!$A:$N,5,FALSE),""))</f>
        <v/>
      </c>
      <c r="O358" s="40" t="str">
        <f t="shared" si="2"/>
        <v/>
      </c>
      <c r="P358" s="40" t="str">
        <f>IF($J358="","",IFERROR(VLOOKUP($J358,Grinders!$A:$N,6,FALSE),""))</f>
        <v/>
      </c>
      <c r="Q358" s="40" t="str">
        <f>IF($J358="","",IFERROR(VLOOKUP($J358,Grinders!$A:$N,8,FALSE),""))</f>
        <v/>
      </c>
      <c r="R358" s="40" t="str">
        <f>IFERROR(IF($J358="","",IF($L358="Elite",MAX(50,MIN(100,Config!$B$27*MAX(0,MIN(100,(1-IF($O358="",0,$O358))*100)) + Config!$B$28*MAX(0,MIN(100,(1-MIN(1,IF(Config!$B$30=0,1,$P358/Config!$B$30)))*100)) + Config!$B$29*MAX(0,MIN(100,MIN(1,IF($Q358="",0,$Q358)/Config!$B$23)*100)))),MIN(100,Config!$B$27*MAX(0,MIN(100,(1-IF($O358="",0,$O358))*100)) + Config!$B$28*MAX(0,MIN(100,(1-MIN(1,IF(Config!$B$30=0,1,$P358/Config!$B$30)))*100)) + Config!$B$29*MAX(0,MIN(100,MIN(1,IF($Q358="",0,$Q358)/Config!$B$23)*100))))),"")
</f>
        <v/>
      </c>
      <c r="S358" s="40" t="str">
        <f>IF(Bids!$AC358="","",Bids!$AC358)</f>
        <v/>
      </c>
      <c r="T358" s="40" t="str">
        <f>IF(Bids!$F358="","",Bids!$F358)</f>
        <v/>
      </c>
      <c r="U358" s="40" t="str">
        <f t="shared" si="3"/>
        <v/>
      </c>
      <c r="V358" s="40" t="str">
        <f>IF($U358="","",IF(Config!$B$17=Config!$B$16,IF($U358&gt;=Config!$B$17,100,0),MAX(0,MIN(100,($U358-Config!$B$16)/(Config!$B$17-Config!$B$16)*100))))</f>
        <v/>
      </c>
      <c r="W358" s="40">
        <f>IF($L358="Elite",Config!$B$21,0)</f>
        <v>0</v>
      </c>
      <c r="X358" s="40" t="str">
        <f>IFERROR(IF(OR($T358="",$G358=""),"",IF($T358&gt;$G358,
  MAX(0, 60-(($T358-$G358)*24/Config!$B$19)*60),
  MEDIAN(60, 100, 60+(($G358-$T358)*24/Config!$B$20)*40)
)),"")
</f>
        <v/>
      </c>
      <c r="Y358" s="40" t="str">
        <f>IF($J358="","",IFERROR(VLOOKUP($J358,Grinders!$A:$N,10,FALSE),""))</f>
        <v/>
      </c>
      <c r="Z358" s="40" t="str">
        <f>IF($J358="","",IFERROR(VLOOKUP($J358,Grinders!$A:$N,11,FALSE),""))</f>
        <v/>
      </c>
      <c r="AA358" s="40" t="str">
        <f>IF($J358="","",IFERROR(VLOOKUP($J358,Grinders!$A:$N,12,FALSE),""))</f>
        <v/>
      </c>
      <c r="AB358" s="40" t="str">
        <f>IF(OR(AL358=1,AM358=1),0,=IFERROR(IF(OR($C358="",$J358=""),0,IF($D358&lt;&gt;"Open",0,IF(COUNTIFS(GrinderServices!$A:$A,$J358,GrinderServices!$B:$B,$E358,GrinderServices!$D:$D,"Y")=0,0,IF($U358&lt;Config!$B$16,0,IF(Config!$B$18=1,IF($N358&gt;=$M358,0,1),1))))),""))</f>
        <v>#ERROR!</v>
      </c>
      <c r="AC358" s="40" t="str">
        <f>IFERROR((IF(OR(AL358=1,AM358=1),"",=IFERROR((IFERROR(IF($AB358=0,"",((Config!$B$6*$V358 + Config!$B$7*$R358 + Config!$B$8*$W358 + Config!$B$9*$X358 + Config!$B$10*$Y358 + Config!$B$11*$Z358 - Config!$B$12*$AA358)/Config!$B$13)+$AH358+$AI358),""))*(1-IFERROR(VLOOKUP(J358,Grinders!$A:$AB, 28, FALSE),0)),"")))*(1+AO358),"")</f>
        <v>#ERROR!</v>
      </c>
      <c r="AD358" s="40" t="str">
        <f t="shared" si="4"/>
        <v/>
      </c>
      <c r="AE358" s="40" t="str">
        <f>IFERROR(__xludf.DUMMYFUNCTION("IF($AC358="""","""",IF($AC358=IFERROR(MAX(FILTER($AC$6:$AC$1000,$C$6:$C$1000=$C358,$AB$6:$AB$1000=1)),),""WINNER"",""""))"),"#ERROR!")</f>
        <v>#ERROR!</v>
      </c>
      <c r="AF358" s="40" t="str">
        <f t="shared" si="5"/>
        <v/>
      </c>
      <c r="AG358" s="40" t="str">
        <f>IF($J358="","",COUNTIF(Assignments!$B:$B,$J358))</f>
        <v/>
      </c>
      <c r="AH358" s="40" t="str">
        <f>IF($J358="","",IF(AND($AG358=0,$N358&lt;$M358),Config!$B$43,0))</f>
        <v/>
      </c>
      <c r="AI358" s="40" t="str">
        <f>IF($J358="","",IF(AND($L358="Elite",$F358&gt;=Config!$B$41,$N358&lt;$M358),Config!$B$42,0))</f>
        <v/>
      </c>
      <c r="AJ358" s="22"/>
      <c r="AK358" s="39">
        <f>IFERROR(VLOOKUP(J358,Grinders!$A:$Q,28,FALSE),0)</f>
        <v>0</v>
      </c>
      <c r="AL358" s="39">
        <f>IF(Config!$B$1003&lt;&gt;"Y",0,IF(IFERROR(VLOOKUP(J358,Grinders!$A:$P,27,FALSE),0)&gt;=3,IF(OR(F358&gt;=Config!$B$1001,ISNUMBER(SEARCH(E358,Config!$B$1002))),1,0),0))</f>
        <v>0</v>
      </c>
      <c r="AM358" s="39">
        <f t="array" ref="AM358">IFERROR(IF(INDEX(Bids!$AE:$AE,MATCH(B358,Bids!$A:$A,0))="Pending",1,0),0)</f>
        <v>0</v>
      </c>
      <c r="AN358" s="39" t="str">
        <f t="array" ref="AN358">IF(C358="","",IFERROR(XLOOKUP(C358,Assignments!$C:$C,Assignments!$AU:$AU,0),0))</f>
        <v/>
      </c>
      <c r="AO358" s="39">
        <f>IF(AND(Config!$B$1006="Y",AN358=1),Config!$B$1007,0)</f>
        <v>0</v>
      </c>
    </row>
    <row r="359" ht="15.75" customHeight="1">
      <c r="A359" s="46" t="str">
        <f t="shared" si="1"/>
        <v/>
      </c>
      <c r="B359" s="40" t="str">
        <f>IF(Bids!$A359="","",Bids!$A359)</f>
        <v/>
      </c>
      <c r="C359" s="40" t="str">
        <f>IF(Bids!$B359="","",Bids!$B359)</f>
        <v/>
      </c>
      <c r="D359" s="40" t="str">
        <f>IF($C359="","",IFERROR(VLOOKUP($C359,Orders!$A:$J,9,FALSE),""))</f>
        <v/>
      </c>
      <c r="E359" s="40" t="str">
        <f>IF($C359="","",IFERROR(VLOOKUP($C359,Orders!$A:$J,3,FALSE),""))</f>
        <v/>
      </c>
      <c r="F359" s="40" t="str">
        <f>IF($C359="","",IFERROR(VLOOKUP($C359,Orders!$A:$J,4,FALSE),""))</f>
        <v/>
      </c>
      <c r="G359" s="40" t="str">
        <f>IF($C359="","",IFERROR(VLOOKUP($C359,Orders!$A:$J,5,FALSE),""))</f>
        <v/>
      </c>
      <c r="H359" s="40" t="str">
        <f>IF($C359="","",IFERROR(VLOOKUP($C359,Orders!$A:$J,6,FALSE),""))</f>
        <v/>
      </c>
      <c r="I359" s="40" t="str">
        <f>IF($C359="","",IFERROR(VLOOKUP($C359,Orders!$A:$J,7,FALSE),""))</f>
        <v/>
      </c>
      <c r="J359" s="40" t="str">
        <f>IF(Bids!$C359="","",Bids!$C359)</f>
        <v/>
      </c>
      <c r="K359" s="40" t="str">
        <f>IF($J359="","",IFERROR(VLOOKUP($J359,Grinders!$A:$N,2,FALSE),""))</f>
        <v/>
      </c>
      <c r="L359" s="40" t="str">
        <f>IF($J359="","",IFERROR(VLOOKUP($J359,Grinders!$A:$N,3,FALSE),""))</f>
        <v/>
      </c>
      <c r="M359" s="40" t="str">
        <f>IF($J359="","",IFERROR(VLOOKUP($J359,Grinders!$A:$N,4,FALSE),""))</f>
        <v/>
      </c>
      <c r="N359" s="40" t="str">
        <f>IF($J359="","",IFERROR(VLOOKUP($J359,Grinders!$A:$N,5,FALSE),""))</f>
        <v/>
      </c>
      <c r="O359" s="40" t="str">
        <f t="shared" si="2"/>
        <v/>
      </c>
      <c r="P359" s="40" t="str">
        <f>IF($J359="","",IFERROR(VLOOKUP($J359,Grinders!$A:$N,6,FALSE),""))</f>
        <v/>
      </c>
      <c r="Q359" s="40" t="str">
        <f>IF($J359="","",IFERROR(VLOOKUP($J359,Grinders!$A:$N,8,FALSE),""))</f>
        <v/>
      </c>
      <c r="R359" s="40" t="str">
        <f>IFERROR(IF($J359="","",IF($L359="Elite",MAX(50,MIN(100,Config!$B$27*MAX(0,MIN(100,(1-IF($O359="",0,$O359))*100)) + Config!$B$28*MAX(0,MIN(100,(1-MIN(1,IF(Config!$B$30=0,1,$P359/Config!$B$30)))*100)) + Config!$B$29*MAX(0,MIN(100,MIN(1,IF($Q359="",0,$Q359)/Config!$B$23)*100)))),MIN(100,Config!$B$27*MAX(0,MIN(100,(1-IF($O359="",0,$O359))*100)) + Config!$B$28*MAX(0,MIN(100,(1-MIN(1,IF(Config!$B$30=0,1,$P359/Config!$B$30)))*100)) + Config!$B$29*MAX(0,MIN(100,MIN(1,IF($Q359="",0,$Q359)/Config!$B$23)*100))))),"")
</f>
        <v/>
      </c>
      <c r="S359" s="40" t="str">
        <f>IF(Bids!$AC359="","",Bids!$AC359)</f>
        <v/>
      </c>
      <c r="T359" s="40" t="str">
        <f>IF(Bids!$F359="","",Bids!$F359)</f>
        <v/>
      </c>
      <c r="U359" s="40" t="str">
        <f t="shared" si="3"/>
        <v/>
      </c>
      <c r="V359" s="40" t="str">
        <f>IF($U359="","",IF(Config!$B$17=Config!$B$16,IF($U359&gt;=Config!$B$17,100,0),MAX(0,MIN(100,($U359-Config!$B$16)/(Config!$B$17-Config!$B$16)*100))))</f>
        <v/>
      </c>
      <c r="W359" s="40">
        <f>IF($L359="Elite",Config!$B$21,0)</f>
        <v>0</v>
      </c>
      <c r="X359" s="40" t="str">
        <f>IFERROR(IF(OR($T359="",$G359=""),"",IF($T359&gt;$G359,
  MAX(0, 60-(($T359-$G359)*24/Config!$B$19)*60),
  MEDIAN(60, 100, 60+(($G359-$T359)*24/Config!$B$20)*40)
)),"")
</f>
        <v/>
      </c>
      <c r="Y359" s="40" t="str">
        <f>IF($J359="","",IFERROR(VLOOKUP($J359,Grinders!$A:$N,10,FALSE),""))</f>
        <v/>
      </c>
      <c r="Z359" s="40" t="str">
        <f>IF($J359="","",IFERROR(VLOOKUP($J359,Grinders!$A:$N,11,FALSE),""))</f>
        <v/>
      </c>
      <c r="AA359" s="40" t="str">
        <f>IF($J359="","",IFERROR(VLOOKUP($J359,Grinders!$A:$N,12,FALSE),""))</f>
        <v/>
      </c>
      <c r="AB359" s="40" t="str">
        <f>IF(OR(AL359=1,AM359=1),0,=IFERROR(IF(OR($C359="",$J359=""),0,IF($D359&lt;&gt;"Open",0,IF(COUNTIFS(GrinderServices!$A:$A,$J359,GrinderServices!$B:$B,$E359,GrinderServices!$D:$D,"Y")=0,0,IF($U359&lt;Config!$B$16,0,IF(Config!$B$18=1,IF($N359&gt;=$M359,0,1),1))))),""))</f>
        <v>#ERROR!</v>
      </c>
      <c r="AC359" s="40" t="str">
        <f>IFERROR((IF(OR(AL359=1,AM359=1),"",=IFERROR((IFERROR(IF($AB359=0,"",((Config!$B$6*$V359 + Config!$B$7*$R359 + Config!$B$8*$W359 + Config!$B$9*$X359 + Config!$B$10*$Y359 + Config!$B$11*$Z359 - Config!$B$12*$AA359)/Config!$B$13)+$AH359+$AI359),""))*(1-IFERROR(VLOOKUP(J359,Grinders!$A:$AB, 28, FALSE),0)),"")))*(1+AO359),"")</f>
        <v>#ERROR!</v>
      </c>
      <c r="AD359" s="40" t="str">
        <f t="shared" si="4"/>
        <v/>
      </c>
      <c r="AE359" s="40" t="str">
        <f>IFERROR(__xludf.DUMMYFUNCTION("IF($AC359="""","""",IF($AC359=IFERROR(MAX(FILTER($AC$6:$AC$1000,$C$6:$C$1000=$C359,$AB$6:$AB$1000=1)),),""WINNER"",""""))"),"#ERROR!")</f>
        <v>#ERROR!</v>
      </c>
      <c r="AF359" s="40" t="str">
        <f t="shared" si="5"/>
        <v/>
      </c>
      <c r="AG359" s="40" t="str">
        <f>IF($J359="","",COUNTIF(Assignments!$B:$B,$J359))</f>
        <v/>
      </c>
      <c r="AH359" s="40" t="str">
        <f>IF($J359="","",IF(AND($AG359=0,$N359&lt;$M359),Config!$B$43,0))</f>
        <v/>
      </c>
      <c r="AI359" s="40" t="str">
        <f>IF($J359="","",IF(AND($L359="Elite",$F359&gt;=Config!$B$41,$N359&lt;$M359),Config!$B$42,0))</f>
        <v/>
      </c>
      <c r="AJ359" s="22"/>
      <c r="AK359" s="39">
        <f>IFERROR(VLOOKUP(J359,Grinders!$A:$Q,28,FALSE),0)</f>
        <v>0</v>
      </c>
      <c r="AL359" s="39">
        <f>IF(Config!$B$1003&lt;&gt;"Y",0,IF(IFERROR(VLOOKUP(J359,Grinders!$A:$P,27,FALSE),0)&gt;=3,IF(OR(F359&gt;=Config!$B$1001,ISNUMBER(SEARCH(E359,Config!$B$1002))),1,0),0))</f>
        <v>0</v>
      </c>
      <c r="AM359" s="39">
        <f t="array" ref="AM359">IFERROR(IF(INDEX(Bids!$AE:$AE,MATCH(B359,Bids!$A:$A,0))="Pending",1,0),0)</f>
        <v>0</v>
      </c>
      <c r="AN359" s="39" t="str">
        <f t="array" ref="AN359">IF(C359="","",IFERROR(XLOOKUP(C359,Assignments!$C:$C,Assignments!$AU:$AU,0),0))</f>
        <v/>
      </c>
      <c r="AO359" s="39">
        <f>IF(AND(Config!$B$1006="Y",AN359=1),Config!$B$1007,0)</f>
        <v>0</v>
      </c>
    </row>
    <row r="360" ht="15.75" customHeight="1">
      <c r="A360" s="46" t="str">
        <f t="shared" si="1"/>
        <v/>
      </c>
      <c r="B360" s="40" t="str">
        <f>IF(Bids!$A360="","",Bids!$A360)</f>
        <v/>
      </c>
      <c r="C360" s="40" t="str">
        <f>IF(Bids!$B360="","",Bids!$B360)</f>
        <v/>
      </c>
      <c r="D360" s="40" t="str">
        <f>IF($C360="","",IFERROR(VLOOKUP($C360,Orders!$A:$J,9,FALSE),""))</f>
        <v/>
      </c>
      <c r="E360" s="40" t="str">
        <f>IF($C360="","",IFERROR(VLOOKUP($C360,Orders!$A:$J,3,FALSE),""))</f>
        <v/>
      </c>
      <c r="F360" s="40" t="str">
        <f>IF($C360="","",IFERROR(VLOOKUP($C360,Orders!$A:$J,4,FALSE),""))</f>
        <v/>
      </c>
      <c r="G360" s="40" t="str">
        <f>IF($C360="","",IFERROR(VLOOKUP($C360,Orders!$A:$J,5,FALSE),""))</f>
        <v/>
      </c>
      <c r="H360" s="40" t="str">
        <f>IF($C360="","",IFERROR(VLOOKUP($C360,Orders!$A:$J,6,FALSE),""))</f>
        <v/>
      </c>
      <c r="I360" s="40" t="str">
        <f>IF($C360="","",IFERROR(VLOOKUP($C360,Orders!$A:$J,7,FALSE),""))</f>
        <v/>
      </c>
      <c r="J360" s="40" t="str">
        <f>IF(Bids!$C360="","",Bids!$C360)</f>
        <v/>
      </c>
      <c r="K360" s="40" t="str">
        <f>IF($J360="","",IFERROR(VLOOKUP($J360,Grinders!$A:$N,2,FALSE),""))</f>
        <v/>
      </c>
      <c r="L360" s="40" t="str">
        <f>IF($J360="","",IFERROR(VLOOKUP($J360,Grinders!$A:$N,3,FALSE),""))</f>
        <v/>
      </c>
      <c r="M360" s="40" t="str">
        <f>IF($J360="","",IFERROR(VLOOKUP($J360,Grinders!$A:$N,4,FALSE),""))</f>
        <v/>
      </c>
      <c r="N360" s="40" t="str">
        <f>IF($J360="","",IFERROR(VLOOKUP($J360,Grinders!$A:$N,5,FALSE),""))</f>
        <v/>
      </c>
      <c r="O360" s="40" t="str">
        <f t="shared" si="2"/>
        <v/>
      </c>
      <c r="P360" s="40" t="str">
        <f>IF($J360="","",IFERROR(VLOOKUP($J360,Grinders!$A:$N,6,FALSE),""))</f>
        <v/>
      </c>
      <c r="Q360" s="40" t="str">
        <f>IF($J360="","",IFERROR(VLOOKUP($J360,Grinders!$A:$N,8,FALSE),""))</f>
        <v/>
      </c>
      <c r="R360" s="40" t="str">
        <f>IFERROR(IF($J360="","",IF($L360="Elite",MAX(50,MIN(100,Config!$B$27*MAX(0,MIN(100,(1-IF($O360="",0,$O360))*100)) + Config!$B$28*MAX(0,MIN(100,(1-MIN(1,IF(Config!$B$30=0,1,$P360/Config!$B$30)))*100)) + Config!$B$29*MAX(0,MIN(100,MIN(1,IF($Q360="",0,$Q360)/Config!$B$23)*100)))),MIN(100,Config!$B$27*MAX(0,MIN(100,(1-IF($O360="",0,$O360))*100)) + Config!$B$28*MAX(0,MIN(100,(1-MIN(1,IF(Config!$B$30=0,1,$P360/Config!$B$30)))*100)) + Config!$B$29*MAX(0,MIN(100,MIN(1,IF($Q360="",0,$Q360)/Config!$B$23)*100))))),"")
</f>
        <v/>
      </c>
      <c r="S360" s="40" t="str">
        <f>IF(Bids!$AC360="","",Bids!$AC360)</f>
        <v/>
      </c>
      <c r="T360" s="40" t="str">
        <f>IF(Bids!$F360="","",Bids!$F360)</f>
        <v/>
      </c>
      <c r="U360" s="40" t="str">
        <f t="shared" si="3"/>
        <v/>
      </c>
      <c r="V360" s="40" t="str">
        <f>IF($U360="","",IF(Config!$B$17=Config!$B$16,IF($U360&gt;=Config!$B$17,100,0),MAX(0,MIN(100,($U360-Config!$B$16)/(Config!$B$17-Config!$B$16)*100))))</f>
        <v/>
      </c>
      <c r="W360" s="40">
        <f>IF($L360="Elite",Config!$B$21,0)</f>
        <v>0</v>
      </c>
      <c r="X360" s="40" t="str">
        <f>IFERROR(IF(OR($T360="",$G360=""),"",IF($T360&gt;$G360,
  MAX(0, 60-(($T360-$G360)*24/Config!$B$19)*60),
  MEDIAN(60, 100, 60+(($G360-$T360)*24/Config!$B$20)*40)
)),"")
</f>
        <v/>
      </c>
      <c r="Y360" s="40" t="str">
        <f>IF($J360="","",IFERROR(VLOOKUP($J360,Grinders!$A:$N,10,FALSE),""))</f>
        <v/>
      </c>
      <c r="Z360" s="40" t="str">
        <f>IF($J360="","",IFERROR(VLOOKUP($J360,Grinders!$A:$N,11,FALSE),""))</f>
        <v/>
      </c>
      <c r="AA360" s="40" t="str">
        <f>IF($J360="","",IFERROR(VLOOKUP($J360,Grinders!$A:$N,12,FALSE),""))</f>
        <v/>
      </c>
      <c r="AB360" s="40" t="str">
        <f>IF(OR(AL360=1,AM360=1),0,=IFERROR(IF(OR($C360="",$J360=""),0,IF($D360&lt;&gt;"Open",0,IF(COUNTIFS(GrinderServices!$A:$A,$J360,GrinderServices!$B:$B,$E360,GrinderServices!$D:$D,"Y")=0,0,IF($U360&lt;Config!$B$16,0,IF(Config!$B$18=1,IF($N360&gt;=$M360,0,1),1))))),""))</f>
        <v>#ERROR!</v>
      </c>
      <c r="AC360" s="40" t="str">
        <f>IFERROR((IF(OR(AL360=1,AM360=1),"",=IFERROR((IFERROR(IF($AB360=0,"",((Config!$B$6*$V360 + Config!$B$7*$R360 + Config!$B$8*$W360 + Config!$B$9*$X360 + Config!$B$10*$Y360 + Config!$B$11*$Z360 - Config!$B$12*$AA360)/Config!$B$13)+$AH360+$AI360),""))*(1-IFERROR(VLOOKUP(J360,Grinders!$A:$AB, 28, FALSE),0)),"")))*(1+AO360),"")</f>
        <v>#ERROR!</v>
      </c>
      <c r="AD360" s="40" t="str">
        <f t="shared" si="4"/>
        <v/>
      </c>
      <c r="AE360" s="40" t="str">
        <f>IFERROR(__xludf.DUMMYFUNCTION("IF($AC360="""","""",IF($AC360=IFERROR(MAX(FILTER($AC$6:$AC$1000,$C$6:$C$1000=$C360,$AB$6:$AB$1000=1)),),""WINNER"",""""))"),"#ERROR!")</f>
        <v>#ERROR!</v>
      </c>
      <c r="AF360" s="40" t="str">
        <f t="shared" si="5"/>
        <v/>
      </c>
      <c r="AG360" s="40" t="str">
        <f>IF($J360="","",COUNTIF(Assignments!$B:$B,$J360))</f>
        <v/>
      </c>
      <c r="AH360" s="40" t="str">
        <f>IF($J360="","",IF(AND($AG360=0,$N360&lt;$M360),Config!$B$43,0))</f>
        <v/>
      </c>
      <c r="AI360" s="40" t="str">
        <f>IF($J360="","",IF(AND($L360="Elite",$F360&gt;=Config!$B$41,$N360&lt;$M360),Config!$B$42,0))</f>
        <v/>
      </c>
      <c r="AJ360" s="22"/>
      <c r="AK360" s="39">
        <f>IFERROR(VLOOKUP(J360,Grinders!$A:$Q,28,FALSE),0)</f>
        <v>0</v>
      </c>
      <c r="AL360" s="39">
        <f>IF(Config!$B$1003&lt;&gt;"Y",0,IF(IFERROR(VLOOKUP(J360,Grinders!$A:$P,27,FALSE),0)&gt;=3,IF(OR(F360&gt;=Config!$B$1001,ISNUMBER(SEARCH(E360,Config!$B$1002))),1,0),0))</f>
        <v>0</v>
      </c>
      <c r="AM360" s="39">
        <f t="array" ref="AM360">IFERROR(IF(INDEX(Bids!$AE:$AE,MATCH(B360,Bids!$A:$A,0))="Pending",1,0),0)</f>
        <v>0</v>
      </c>
      <c r="AN360" s="39" t="str">
        <f t="array" ref="AN360">IF(C360="","",IFERROR(XLOOKUP(C360,Assignments!$C:$C,Assignments!$AU:$AU,0),0))</f>
        <v/>
      </c>
      <c r="AO360" s="39">
        <f>IF(AND(Config!$B$1006="Y",AN360=1),Config!$B$1007,0)</f>
        <v>0</v>
      </c>
    </row>
    <row r="361" ht="15.75" customHeight="1">
      <c r="A361" s="46" t="str">
        <f t="shared" si="1"/>
        <v/>
      </c>
      <c r="B361" s="40" t="str">
        <f>IF(Bids!$A361="","",Bids!$A361)</f>
        <v/>
      </c>
      <c r="C361" s="40" t="str">
        <f>IF(Bids!$B361="","",Bids!$B361)</f>
        <v/>
      </c>
      <c r="D361" s="40" t="str">
        <f>IF($C361="","",IFERROR(VLOOKUP($C361,Orders!$A:$J,9,FALSE),""))</f>
        <v/>
      </c>
      <c r="E361" s="40" t="str">
        <f>IF($C361="","",IFERROR(VLOOKUP($C361,Orders!$A:$J,3,FALSE),""))</f>
        <v/>
      </c>
      <c r="F361" s="40" t="str">
        <f>IF($C361="","",IFERROR(VLOOKUP($C361,Orders!$A:$J,4,FALSE),""))</f>
        <v/>
      </c>
      <c r="G361" s="40" t="str">
        <f>IF($C361="","",IFERROR(VLOOKUP($C361,Orders!$A:$J,5,FALSE),""))</f>
        <v/>
      </c>
      <c r="H361" s="40" t="str">
        <f>IF($C361="","",IFERROR(VLOOKUP($C361,Orders!$A:$J,6,FALSE),""))</f>
        <v/>
      </c>
      <c r="I361" s="40" t="str">
        <f>IF($C361="","",IFERROR(VLOOKUP($C361,Orders!$A:$J,7,FALSE),""))</f>
        <v/>
      </c>
      <c r="J361" s="40" t="str">
        <f>IF(Bids!$C361="","",Bids!$C361)</f>
        <v/>
      </c>
      <c r="K361" s="40" t="str">
        <f>IF($J361="","",IFERROR(VLOOKUP($J361,Grinders!$A:$N,2,FALSE),""))</f>
        <v/>
      </c>
      <c r="L361" s="40" t="str">
        <f>IF($J361="","",IFERROR(VLOOKUP($J361,Grinders!$A:$N,3,FALSE),""))</f>
        <v/>
      </c>
      <c r="M361" s="40" t="str">
        <f>IF($J361="","",IFERROR(VLOOKUP($J361,Grinders!$A:$N,4,FALSE),""))</f>
        <v/>
      </c>
      <c r="N361" s="40" t="str">
        <f>IF($J361="","",IFERROR(VLOOKUP($J361,Grinders!$A:$N,5,FALSE),""))</f>
        <v/>
      </c>
      <c r="O361" s="40" t="str">
        <f t="shared" si="2"/>
        <v/>
      </c>
      <c r="P361" s="40" t="str">
        <f>IF($J361="","",IFERROR(VLOOKUP($J361,Grinders!$A:$N,6,FALSE),""))</f>
        <v/>
      </c>
      <c r="Q361" s="40" t="str">
        <f>IF($J361="","",IFERROR(VLOOKUP($J361,Grinders!$A:$N,8,FALSE),""))</f>
        <v/>
      </c>
      <c r="R361" s="40" t="str">
        <f>IFERROR(IF($J361="","",IF($L361="Elite",MAX(50,MIN(100,Config!$B$27*MAX(0,MIN(100,(1-IF($O361="",0,$O361))*100)) + Config!$B$28*MAX(0,MIN(100,(1-MIN(1,IF(Config!$B$30=0,1,$P361/Config!$B$30)))*100)) + Config!$B$29*MAX(0,MIN(100,MIN(1,IF($Q361="",0,$Q361)/Config!$B$23)*100)))),MIN(100,Config!$B$27*MAX(0,MIN(100,(1-IF($O361="",0,$O361))*100)) + Config!$B$28*MAX(0,MIN(100,(1-MIN(1,IF(Config!$B$30=0,1,$P361/Config!$B$30)))*100)) + Config!$B$29*MAX(0,MIN(100,MIN(1,IF($Q361="",0,$Q361)/Config!$B$23)*100))))),"")
</f>
        <v/>
      </c>
      <c r="S361" s="40" t="str">
        <f>IF(Bids!$AC361="","",Bids!$AC361)</f>
        <v/>
      </c>
      <c r="T361" s="40" t="str">
        <f>IF(Bids!$F361="","",Bids!$F361)</f>
        <v/>
      </c>
      <c r="U361" s="40" t="str">
        <f t="shared" si="3"/>
        <v/>
      </c>
      <c r="V361" s="40" t="str">
        <f>IF($U361="","",IF(Config!$B$17=Config!$B$16,IF($U361&gt;=Config!$B$17,100,0),MAX(0,MIN(100,($U361-Config!$B$16)/(Config!$B$17-Config!$B$16)*100))))</f>
        <v/>
      </c>
      <c r="W361" s="40">
        <f>IF($L361="Elite",Config!$B$21,0)</f>
        <v>0</v>
      </c>
      <c r="X361" s="40" t="str">
        <f>IFERROR(IF(OR($T361="",$G361=""),"",IF($T361&gt;$G361,
  MAX(0, 60-(($T361-$G361)*24/Config!$B$19)*60),
  MEDIAN(60, 100, 60+(($G361-$T361)*24/Config!$B$20)*40)
)),"")
</f>
        <v/>
      </c>
      <c r="Y361" s="40" t="str">
        <f>IF($J361="","",IFERROR(VLOOKUP($J361,Grinders!$A:$N,10,FALSE),""))</f>
        <v/>
      </c>
      <c r="Z361" s="40" t="str">
        <f>IF($J361="","",IFERROR(VLOOKUP($J361,Grinders!$A:$N,11,FALSE),""))</f>
        <v/>
      </c>
      <c r="AA361" s="40" t="str">
        <f>IF($J361="","",IFERROR(VLOOKUP($J361,Grinders!$A:$N,12,FALSE),""))</f>
        <v/>
      </c>
      <c r="AB361" s="40" t="str">
        <f>IF(OR(AL361=1,AM361=1),0,=IFERROR(IF(OR($C361="",$J361=""),0,IF($D361&lt;&gt;"Open",0,IF(COUNTIFS(GrinderServices!$A:$A,$J361,GrinderServices!$B:$B,$E361,GrinderServices!$D:$D,"Y")=0,0,IF($U361&lt;Config!$B$16,0,IF(Config!$B$18=1,IF($N361&gt;=$M361,0,1),1))))),""))</f>
        <v>#ERROR!</v>
      </c>
      <c r="AC361" s="40" t="str">
        <f>IFERROR((IF(OR(AL361=1,AM361=1),"",=IFERROR((IFERROR(IF($AB361=0,"",((Config!$B$6*$V361 + Config!$B$7*$R361 + Config!$B$8*$W361 + Config!$B$9*$X361 + Config!$B$10*$Y361 + Config!$B$11*$Z361 - Config!$B$12*$AA361)/Config!$B$13)+$AH361+$AI361),""))*(1-IFERROR(VLOOKUP(J361,Grinders!$A:$AB, 28, FALSE),0)),"")))*(1+AO361),"")</f>
        <v>#ERROR!</v>
      </c>
      <c r="AD361" s="40" t="str">
        <f t="shared" si="4"/>
        <v/>
      </c>
      <c r="AE361" s="40" t="str">
        <f>IFERROR(__xludf.DUMMYFUNCTION("IF($AC361="""","""",IF($AC361=IFERROR(MAX(FILTER($AC$6:$AC$1000,$C$6:$C$1000=$C361,$AB$6:$AB$1000=1)),),""WINNER"",""""))"),"#ERROR!")</f>
        <v>#ERROR!</v>
      </c>
      <c r="AF361" s="40" t="str">
        <f t="shared" si="5"/>
        <v/>
      </c>
      <c r="AG361" s="40" t="str">
        <f>IF($J361="","",COUNTIF(Assignments!$B:$B,$J361))</f>
        <v/>
      </c>
      <c r="AH361" s="40" t="str">
        <f>IF($J361="","",IF(AND($AG361=0,$N361&lt;$M361),Config!$B$43,0))</f>
        <v/>
      </c>
      <c r="AI361" s="40" t="str">
        <f>IF($J361="","",IF(AND($L361="Elite",$F361&gt;=Config!$B$41,$N361&lt;$M361),Config!$B$42,0))</f>
        <v/>
      </c>
      <c r="AJ361" s="22"/>
      <c r="AK361" s="39">
        <f>IFERROR(VLOOKUP(J361,Grinders!$A:$Q,28,FALSE),0)</f>
        <v>0</v>
      </c>
      <c r="AL361" s="39">
        <f>IF(Config!$B$1003&lt;&gt;"Y",0,IF(IFERROR(VLOOKUP(J361,Grinders!$A:$P,27,FALSE),0)&gt;=3,IF(OR(F361&gt;=Config!$B$1001,ISNUMBER(SEARCH(E361,Config!$B$1002))),1,0),0))</f>
        <v>0</v>
      </c>
      <c r="AM361" s="39">
        <f t="array" ref="AM361">IFERROR(IF(INDEX(Bids!$AE:$AE,MATCH(B361,Bids!$A:$A,0))="Pending",1,0),0)</f>
        <v>0</v>
      </c>
      <c r="AN361" s="39" t="str">
        <f t="array" ref="AN361">IF(C361="","",IFERROR(XLOOKUP(C361,Assignments!$C:$C,Assignments!$AU:$AU,0),0))</f>
        <v/>
      </c>
      <c r="AO361" s="39">
        <f>IF(AND(Config!$B$1006="Y",AN361=1),Config!$B$1007,0)</f>
        <v>0</v>
      </c>
    </row>
    <row r="362" ht="15.75" customHeight="1">
      <c r="A362" s="46" t="str">
        <f t="shared" si="1"/>
        <v/>
      </c>
      <c r="B362" s="40" t="str">
        <f>IF(Bids!$A362="","",Bids!$A362)</f>
        <v/>
      </c>
      <c r="C362" s="40" t="str">
        <f>IF(Bids!$B362="","",Bids!$B362)</f>
        <v/>
      </c>
      <c r="D362" s="40" t="str">
        <f>IF($C362="","",IFERROR(VLOOKUP($C362,Orders!$A:$J,9,FALSE),""))</f>
        <v/>
      </c>
      <c r="E362" s="40" t="str">
        <f>IF($C362="","",IFERROR(VLOOKUP($C362,Orders!$A:$J,3,FALSE),""))</f>
        <v/>
      </c>
      <c r="F362" s="40" t="str">
        <f>IF($C362="","",IFERROR(VLOOKUP($C362,Orders!$A:$J,4,FALSE),""))</f>
        <v/>
      </c>
      <c r="G362" s="40" t="str">
        <f>IF($C362="","",IFERROR(VLOOKUP($C362,Orders!$A:$J,5,FALSE),""))</f>
        <v/>
      </c>
      <c r="H362" s="40" t="str">
        <f>IF($C362="","",IFERROR(VLOOKUP($C362,Orders!$A:$J,6,FALSE),""))</f>
        <v/>
      </c>
      <c r="I362" s="40" t="str">
        <f>IF($C362="","",IFERROR(VLOOKUP($C362,Orders!$A:$J,7,FALSE),""))</f>
        <v/>
      </c>
      <c r="J362" s="40" t="str">
        <f>IF(Bids!$C362="","",Bids!$C362)</f>
        <v/>
      </c>
      <c r="K362" s="40" t="str">
        <f>IF($J362="","",IFERROR(VLOOKUP($J362,Grinders!$A:$N,2,FALSE),""))</f>
        <v/>
      </c>
      <c r="L362" s="40" t="str">
        <f>IF($J362="","",IFERROR(VLOOKUP($J362,Grinders!$A:$N,3,FALSE),""))</f>
        <v/>
      </c>
      <c r="M362" s="40" t="str">
        <f>IF($J362="","",IFERROR(VLOOKUP($J362,Grinders!$A:$N,4,FALSE),""))</f>
        <v/>
      </c>
      <c r="N362" s="40" t="str">
        <f>IF($J362="","",IFERROR(VLOOKUP($J362,Grinders!$A:$N,5,FALSE),""))</f>
        <v/>
      </c>
      <c r="O362" s="40" t="str">
        <f t="shared" si="2"/>
        <v/>
      </c>
      <c r="P362" s="40" t="str">
        <f>IF($J362="","",IFERROR(VLOOKUP($J362,Grinders!$A:$N,6,FALSE),""))</f>
        <v/>
      </c>
      <c r="Q362" s="40" t="str">
        <f>IF($J362="","",IFERROR(VLOOKUP($J362,Grinders!$A:$N,8,FALSE),""))</f>
        <v/>
      </c>
      <c r="R362" s="40" t="str">
        <f>IFERROR(IF($J362="","",IF($L362="Elite",MAX(50,MIN(100,Config!$B$27*MAX(0,MIN(100,(1-IF($O362="",0,$O362))*100)) + Config!$B$28*MAX(0,MIN(100,(1-MIN(1,IF(Config!$B$30=0,1,$P362/Config!$B$30)))*100)) + Config!$B$29*MAX(0,MIN(100,MIN(1,IF($Q362="",0,$Q362)/Config!$B$23)*100)))),MIN(100,Config!$B$27*MAX(0,MIN(100,(1-IF($O362="",0,$O362))*100)) + Config!$B$28*MAX(0,MIN(100,(1-MIN(1,IF(Config!$B$30=0,1,$P362/Config!$B$30)))*100)) + Config!$B$29*MAX(0,MIN(100,MIN(1,IF($Q362="",0,$Q362)/Config!$B$23)*100))))),"")
</f>
        <v/>
      </c>
      <c r="S362" s="40" t="str">
        <f>IF(Bids!$AC362="","",Bids!$AC362)</f>
        <v/>
      </c>
      <c r="T362" s="40" t="str">
        <f>IF(Bids!$F362="","",Bids!$F362)</f>
        <v/>
      </c>
      <c r="U362" s="40" t="str">
        <f t="shared" si="3"/>
        <v/>
      </c>
      <c r="V362" s="40" t="str">
        <f>IF($U362="","",IF(Config!$B$17=Config!$B$16,IF($U362&gt;=Config!$B$17,100,0),MAX(0,MIN(100,($U362-Config!$B$16)/(Config!$B$17-Config!$B$16)*100))))</f>
        <v/>
      </c>
      <c r="W362" s="40">
        <f>IF($L362="Elite",Config!$B$21,0)</f>
        <v>0</v>
      </c>
      <c r="X362" s="40" t="str">
        <f>IFERROR(IF(OR($T362="",$G362=""),"",IF($T362&gt;$G362,
  MAX(0, 60-(($T362-$G362)*24/Config!$B$19)*60),
  MEDIAN(60, 100, 60+(($G362-$T362)*24/Config!$B$20)*40)
)),"")
</f>
        <v/>
      </c>
      <c r="Y362" s="40" t="str">
        <f>IF($J362="","",IFERROR(VLOOKUP($J362,Grinders!$A:$N,10,FALSE),""))</f>
        <v/>
      </c>
      <c r="Z362" s="40" t="str">
        <f>IF($J362="","",IFERROR(VLOOKUP($J362,Grinders!$A:$N,11,FALSE),""))</f>
        <v/>
      </c>
      <c r="AA362" s="40" t="str">
        <f>IF($J362="","",IFERROR(VLOOKUP($J362,Grinders!$A:$N,12,FALSE),""))</f>
        <v/>
      </c>
      <c r="AB362" s="40" t="str">
        <f>IF(OR(AL362=1,AM362=1),0,=IFERROR(IF(OR($C362="",$J362=""),0,IF($D362&lt;&gt;"Open",0,IF(COUNTIFS(GrinderServices!$A:$A,$J362,GrinderServices!$B:$B,$E362,GrinderServices!$D:$D,"Y")=0,0,IF($U362&lt;Config!$B$16,0,IF(Config!$B$18=1,IF($N362&gt;=$M362,0,1),1))))),""))</f>
        <v>#ERROR!</v>
      </c>
      <c r="AC362" s="40" t="str">
        <f>IFERROR((IF(OR(AL362=1,AM362=1),"",=IFERROR((IFERROR(IF($AB362=0,"",((Config!$B$6*$V362 + Config!$B$7*$R362 + Config!$B$8*$W362 + Config!$B$9*$X362 + Config!$B$10*$Y362 + Config!$B$11*$Z362 - Config!$B$12*$AA362)/Config!$B$13)+$AH362+$AI362),""))*(1-IFERROR(VLOOKUP(J362,Grinders!$A:$AB, 28, FALSE),0)),"")))*(1+AO362),"")</f>
        <v>#ERROR!</v>
      </c>
      <c r="AD362" s="40" t="str">
        <f t="shared" si="4"/>
        <v/>
      </c>
      <c r="AE362" s="40" t="str">
        <f>IFERROR(__xludf.DUMMYFUNCTION("IF($AC362="""","""",IF($AC362=IFERROR(MAX(FILTER($AC$6:$AC$1000,$C$6:$C$1000=$C362,$AB$6:$AB$1000=1)),),""WINNER"",""""))"),"#ERROR!")</f>
        <v>#ERROR!</v>
      </c>
      <c r="AF362" s="40" t="str">
        <f t="shared" si="5"/>
        <v/>
      </c>
      <c r="AG362" s="40" t="str">
        <f>IF($J362="","",COUNTIF(Assignments!$B:$B,$J362))</f>
        <v/>
      </c>
      <c r="AH362" s="40" t="str">
        <f>IF($J362="","",IF(AND($AG362=0,$N362&lt;$M362),Config!$B$43,0))</f>
        <v/>
      </c>
      <c r="AI362" s="40" t="str">
        <f>IF($J362="","",IF(AND($L362="Elite",$F362&gt;=Config!$B$41,$N362&lt;$M362),Config!$B$42,0))</f>
        <v/>
      </c>
      <c r="AJ362" s="22"/>
      <c r="AK362" s="39">
        <f>IFERROR(VLOOKUP(J362,Grinders!$A:$Q,28,FALSE),0)</f>
        <v>0</v>
      </c>
      <c r="AL362" s="39">
        <f>IF(Config!$B$1003&lt;&gt;"Y",0,IF(IFERROR(VLOOKUP(J362,Grinders!$A:$P,27,FALSE),0)&gt;=3,IF(OR(F362&gt;=Config!$B$1001,ISNUMBER(SEARCH(E362,Config!$B$1002))),1,0),0))</f>
        <v>0</v>
      </c>
      <c r="AM362" s="39">
        <f t="array" ref="AM362">IFERROR(IF(INDEX(Bids!$AE:$AE,MATCH(B362,Bids!$A:$A,0))="Pending",1,0),0)</f>
        <v>0</v>
      </c>
      <c r="AN362" s="39" t="str">
        <f t="array" ref="AN362">IF(C362="","",IFERROR(XLOOKUP(C362,Assignments!$C:$C,Assignments!$AU:$AU,0),0))</f>
        <v/>
      </c>
      <c r="AO362" s="39">
        <f>IF(AND(Config!$B$1006="Y",AN362=1),Config!$B$1007,0)</f>
        <v>0</v>
      </c>
    </row>
    <row r="363" ht="15.75" customHeight="1">
      <c r="A363" s="46" t="str">
        <f t="shared" si="1"/>
        <v/>
      </c>
      <c r="B363" s="40" t="str">
        <f>IF(Bids!$A363="","",Bids!$A363)</f>
        <v/>
      </c>
      <c r="C363" s="40" t="str">
        <f>IF(Bids!$B363="","",Bids!$B363)</f>
        <v/>
      </c>
      <c r="D363" s="40" t="str">
        <f>IF($C363="","",IFERROR(VLOOKUP($C363,Orders!$A:$J,9,FALSE),""))</f>
        <v/>
      </c>
      <c r="E363" s="40" t="str">
        <f>IF($C363="","",IFERROR(VLOOKUP($C363,Orders!$A:$J,3,FALSE),""))</f>
        <v/>
      </c>
      <c r="F363" s="40" t="str">
        <f>IF($C363="","",IFERROR(VLOOKUP($C363,Orders!$A:$J,4,FALSE),""))</f>
        <v/>
      </c>
      <c r="G363" s="40" t="str">
        <f>IF($C363="","",IFERROR(VLOOKUP($C363,Orders!$A:$J,5,FALSE),""))</f>
        <v/>
      </c>
      <c r="H363" s="40" t="str">
        <f>IF($C363="","",IFERROR(VLOOKUP($C363,Orders!$A:$J,6,FALSE),""))</f>
        <v/>
      </c>
      <c r="I363" s="40" t="str">
        <f>IF($C363="","",IFERROR(VLOOKUP($C363,Orders!$A:$J,7,FALSE),""))</f>
        <v/>
      </c>
      <c r="J363" s="40" t="str">
        <f>IF(Bids!$C363="","",Bids!$C363)</f>
        <v/>
      </c>
      <c r="K363" s="40" t="str">
        <f>IF($J363="","",IFERROR(VLOOKUP($J363,Grinders!$A:$N,2,FALSE),""))</f>
        <v/>
      </c>
      <c r="L363" s="40" t="str">
        <f>IF($J363="","",IFERROR(VLOOKUP($J363,Grinders!$A:$N,3,FALSE),""))</f>
        <v/>
      </c>
      <c r="M363" s="40" t="str">
        <f>IF($J363="","",IFERROR(VLOOKUP($J363,Grinders!$A:$N,4,FALSE),""))</f>
        <v/>
      </c>
      <c r="N363" s="40" t="str">
        <f>IF($J363="","",IFERROR(VLOOKUP($J363,Grinders!$A:$N,5,FALSE),""))</f>
        <v/>
      </c>
      <c r="O363" s="40" t="str">
        <f t="shared" si="2"/>
        <v/>
      </c>
      <c r="P363" s="40" t="str">
        <f>IF($J363="","",IFERROR(VLOOKUP($J363,Grinders!$A:$N,6,FALSE),""))</f>
        <v/>
      </c>
      <c r="Q363" s="40" t="str">
        <f>IF($J363="","",IFERROR(VLOOKUP($J363,Grinders!$A:$N,8,FALSE),""))</f>
        <v/>
      </c>
      <c r="R363" s="40" t="str">
        <f>IFERROR(IF($J363="","",IF($L363="Elite",MAX(50,MIN(100,Config!$B$27*MAX(0,MIN(100,(1-IF($O363="",0,$O363))*100)) + Config!$B$28*MAX(0,MIN(100,(1-MIN(1,IF(Config!$B$30=0,1,$P363/Config!$B$30)))*100)) + Config!$B$29*MAX(0,MIN(100,MIN(1,IF($Q363="",0,$Q363)/Config!$B$23)*100)))),MIN(100,Config!$B$27*MAX(0,MIN(100,(1-IF($O363="",0,$O363))*100)) + Config!$B$28*MAX(0,MIN(100,(1-MIN(1,IF(Config!$B$30=0,1,$P363/Config!$B$30)))*100)) + Config!$B$29*MAX(0,MIN(100,MIN(1,IF($Q363="",0,$Q363)/Config!$B$23)*100))))),"")
</f>
        <v/>
      </c>
      <c r="S363" s="40" t="str">
        <f>IF(Bids!$AC363="","",Bids!$AC363)</f>
        <v/>
      </c>
      <c r="T363" s="40" t="str">
        <f>IF(Bids!$F363="","",Bids!$F363)</f>
        <v/>
      </c>
      <c r="U363" s="40" t="str">
        <f t="shared" si="3"/>
        <v/>
      </c>
      <c r="V363" s="40" t="str">
        <f>IF($U363="","",IF(Config!$B$17=Config!$B$16,IF($U363&gt;=Config!$B$17,100,0),MAX(0,MIN(100,($U363-Config!$B$16)/(Config!$B$17-Config!$B$16)*100))))</f>
        <v/>
      </c>
      <c r="W363" s="40">
        <f>IF($L363="Elite",Config!$B$21,0)</f>
        <v>0</v>
      </c>
      <c r="X363" s="40" t="str">
        <f>IFERROR(IF(OR($T363="",$G363=""),"",IF($T363&gt;$G363,
  MAX(0, 60-(($T363-$G363)*24/Config!$B$19)*60),
  MEDIAN(60, 100, 60+(($G363-$T363)*24/Config!$B$20)*40)
)),"")
</f>
        <v/>
      </c>
      <c r="Y363" s="40" t="str">
        <f>IF($J363="","",IFERROR(VLOOKUP($J363,Grinders!$A:$N,10,FALSE),""))</f>
        <v/>
      </c>
      <c r="Z363" s="40" t="str">
        <f>IF($J363="","",IFERROR(VLOOKUP($J363,Grinders!$A:$N,11,FALSE),""))</f>
        <v/>
      </c>
      <c r="AA363" s="40" t="str">
        <f>IF($J363="","",IFERROR(VLOOKUP($J363,Grinders!$A:$N,12,FALSE),""))</f>
        <v/>
      </c>
      <c r="AB363" s="40" t="str">
        <f>IF(OR(AL363=1,AM363=1),0,=IFERROR(IF(OR($C363="",$J363=""),0,IF($D363&lt;&gt;"Open",0,IF(COUNTIFS(GrinderServices!$A:$A,$J363,GrinderServices!$B:$B,$E363,GrinderServices!$D:$D,"Y")=0,0,IF($U363&lt;Config!$B$16,0,IF(Config!$B$18=1,IF($N363&gt;=$M363,0,1),1))))),""))</f>
        <v>#ERROR!</v>
      </c>
      <c r="AC363" s="40" t="str">
        <f>IFERROR((IF(OR(AL363=1,AM363=1),"",=IFERROR((IFERROR(IF($AB363=0,"",((Config!$B$6*$V363 + Config!$B$7*$R363 + Config!$B$8*$W363 + Config!$B$9*$X363 + Config!$B$10*$Y363 + Config!$B$11*$Z363 - Config!$B$12*$AA363)/Config!$B$13)+$AH363+$AI363),""))*(1-IFERROR(VLOOKUP(J363,Grinders!$A:$AB, 28, FALSE),0)),"")))*(1+AO363),"")</f>
        <v>#ERROR!</v>
      </c>
      <c r="AD363" s="40" t="str">
        <f t="shared" si="4"/>
        <v/>
      </c>
      <c r="AE363" s="40" t="str">
        <f>IFERROR(__xludf.DUMMYFUNCTION("IF($AC363="""","""",IF($AC363=IFERROR(MAX(FILTER($AC$6:$AC$1000,$C$6:$C$1000=$C363,$AB$6:$AB$1000=1)),),""WINNER"",""""))"),"#ERROR!")</f>
        <v>#ERROR!</v>
      </c>
      <c r="AF363" s="40" t="str">
        <f t="shared" si="5"/>
        <v/>
      </c>
      <c r="AG363" s="40" t="str">
        <f>IF($J363="","",COUNTIF(Assignments!$B:$B,$J363))</f>
        <v/>
      </c>
      <c r="AH363" s="40" t="str">
        <f>IF($J363="","",IF(AND($AG363=0,$N363&lt;$M363),Config!$B$43,0))</f>
        <v/>
      </c>
      <c r="AI363" s="40" t="str">
        <f>IF($J363="","",IF(AND($L363="Elite",$F363&gt;=Config!$B$41,$N363&lt;$M363),Config!$B$42,0))</f>
        <v/>
      </c>
      <c r="AJ363" s="22"/>
      <c r="AK363" s="39">
        <f>IFERROR(VLOOKUP(J363,Grinders!$A:$Q,28,FALSE),0)</f>
        <v>0</v>
      </c>
      <c r="AL363" s="39">
        <f>IF(Config!$B$1003&lt;&gt;"Y",0,IF(IFERROR(VLOOKUP(J363,Grinders!$A:$P,27,FALSE),0)&gt;=3,IF(OR(F363&gt;=Config!$B$1001,ISNUMBER(SEARCH(E363,Config!$B$1002))),1,0),0))</f>
        <v>0</v>
      </c>
      <c r="AM363" s="39">
        <f t="array" ref="AM363">IFERROR(IF(INDEX(Bids!$AE:$AE,MATCH(B363,Bids!$A:$A,0))="Pending",1,0),0)</f>
        <v>0</v>
      </c>
      <c r="AN363" s="39" t="str">
        <f t="array" ref="AN363">IF(C363="","",IFERROR(XLOOKUP(C363,Assignments!$C:$C,Assignments!$AU:$AU,0),0))</f>
        <v/>
      </c>
      <c r="AO363" s="39">
        <f>IF(AND(Config!$B$1006="Y",AN363=1),Config!$B$1007,0)</f>
        <v>0</v>
      </c>
    </row>
    <row r="364" ht="15.75" customHeight="1">
      <c r="A364" s="46" t="str">
        <f t="shared" si="1"/>
        <v/>
      </c>
      <c r="B364" s="40" t="str">
        <f>IF(Bids!$A364="","",Bids!$A364)</f>
        <v/>
      </c>
      <c r="C364" s="40" t="str">
        <f>IF(Bids!$B364="","",Bids!$B364)</f>
        <v/>
      </c>
      <c r="D364" s="40" t="str">
        <f>IF($C364="","",IFERROR(VLOOKUP($C364,Orders!$A:$J,9,FALSE),""))</f>
        <v/>
      </c>
      <c r="E364" s="40" t="str">
        <f>IF($C364="","",IFERROR(VLOOKUP($C364,Orders!$A:$J,3,FALSE),""))</f>
        <v/>
      </c>
      <c r="F364" s="40" t="str">
        <f>IF($C364="","",IFERROR(VLOOKUP($C364,Orders!$A:$J,4,FALSE),""))</f>
        <v/>
      </c>
      <c r="G364" s="40" t="str">
        <f>IF($C364="","",IFERROR(VLOOKUP($C364,Orders!$A:$J,5,FALSE),""))</f>
        <v/>
      </c>
      <c r="H364" s="40" t="str">
        <f>IF($C364="","",IFERROR(VLOOKUP($C364,Orders!$A:$J,6,FALSE),""))</f>
        <v/>
      </c>
      <c r="I364" s="40" t="str">
        <f>IF($C364="","",IFERROR(VLOOKUP($C364,Orders!$A:$J,7,FALSE),""))</f>
        <v/>
      </c>
      <c r="J364" s="40" t="str">
        <f>IF(Bids!$C364="","",Bids!$C364)</f>
        <v/>
      </c>
      <c r="K364" s="40" t="str">
        <f>IF($J364="","",IFERROR(VLOOKUP($J364,Grinders!$A:$N,2,FALSE),""))</f>
        <v/>
      </c>
      <c r="L364" s="40" t="str">
        <f>IF($J364="","",IFERROR(VLOOKUP($J364,Grinders!$A:$N,3,FALSE),""))</f>
        <v/>
      </c>
      <c r="M364" s="40" t="str">
        <f>IF($J364="","",IFERROR(VLOOKUP($J364,Grinders!$A:$N,4,FALSE),""))</f>
        <v/>
      </c>
      <c r="N364" s="40" t="str">
        <f>IF($J364="","",IFERROR(VLOOKUP($J364,Grinders!$A:$N,5,FALSE),""))</f>
        <v/>
      </c>
      <c r="O364" s="40" t="str">
        <f t="shared" si="2"/>
        <v/>
      </c>
      <c r="P364" s="40" t="str">
        <f>IF($J364="","",IFERROR(VLOOKUP($J364,Grinders!$A:$N,6,FALSE),""))</f>
        <v/>
      </c>
      <c r="Q364" s="40" t="str">
        <f>IF($J364="","",IFERROR(VLOOKUP($J364,Grinders!$A:$N,8,FALSE),""))</f>
        <v/>
      </c>
      <c r="R364" s="40" t="str">
        <f>IFERROR(IF($J364="","",IF($L364="Elite",MAX(50,MIN(100,Config!$B$27*MAX(0,MIN(100,(1-IF($O364="",0,$O364))*100)) + Config!$B$28*MAX(0,MIN(100,(1-MIN(1,IF(Config!$B$30=0,1,$P364/Config!$B$30)))*100)) + Config!$B$29*MAX(0,MIN(100,MIN(1,IF($Q364="",0,$Q364)/Config!$B$23)*100)))),MIN(100,Config!$B$27*MAX(0,MIN(100,(1-IF($O364="",0,$O364))*100)) + Config!$B$28*MAX(0,MIN(100,(1-MIN(1,IF(Config!$B$30=0,1,$P364/Config!$B$30)))*100)) + Config!$B$29*MAX(0,MIN(100,MIN(1,IF($Q364="",0,$Q364)/Config!$B$23)*100))))),"")
</f>
        <v/>
      </c>
      <c r="S364" s="40" t="str">
        <f>IF(Bids!$AC364="","",Bids!$AC364)</f>
        <v/>
      </c>
      <c r="T364" s="40" t="str">
        <f>IF(Bids!$F364="","",Bids!$F364)</f>
        <v/>
      </c>
      <c r="U364" s="40" t="str">
        <f t="shared" si="3"/>
        <v/>
      </c>
      <c r="V364" s="40" t="str">
        <f>IF($U364="","",IF(Config!$B$17=Config!$B$16,IF($U364&gt;=Config!$B$17,100,0),MAX(0,MIN(100,($U364-Config!$B$16)/(Config!$B$17-Config!$B$16)*100))))</f>
        <v/>
      </c>
      <c r="W364" s="40">
        <f>IF($L364="Elite",Config!$B$21,0)</f>
        <v>0</v>
      </c>
      <c r="X364" s="40" t="str">
        <f>IFERROR(IF(OR($T364="",$G364=""),"",IF($T364&gt;$G364,
  MAX(0, 60-(($T364-$G364)*24/Config!$B$19)*60),
  MEDIAN(60, 100, 60+(($G364-$T364)*24/Config!$B$20)*40)
)),"")
</f>
        <v/>
      </c>
      <c r="Y364" s="40" t="str">
        <f>IF($J364="","",IFERROR(VLOOKUP($J364,Grinders!$A:$N,10,FALSE),""))</f>
        <v/>
      </c>
      <c r="Z364" s="40" t="str">
        <f>IF($J364="","",IFERROR(VLOOKUP($J364,Grinders!$A:$N,11,FALSE),""))</f>
        <v/>
      </c>
      <c r="AA364" s="40" t="str">
        <f>IF($J364="","",IFERROR(VLOOKUP($J364,Grinders!$A:$N,12,FALSE),""))</f>
        <v/>
      </c>
      <c r="AB364" s="40" t="str">
        <f>IF(OR(AL364=1,AM364=1),0,=IFERROR(IF(OR($C364="",$J364=""),0,IF($D364&lt;&gt;"Open",0,IF(COUNTIFS(GrinderServices!$A:$A,$J364,GrinderServices!$B:$B,$E364,GrinderServices!$D:$D,"Y")=0,0,IF($U364&lt;Config!$B$16,0,IF(Config!$B$18=1,IF($N364&gt;=$M364,0,1),1))))),""))</f>
        <v>#ERROR!</v>
      </c>
      <c r="AC364" s="40" t="str">
        <f>IFERROR((IF(OR(AL364=1,AM364=1),"",=IFERROR((IFERROR(IF($AB364=0,"",((Config!$B$6*$V364 + Config!$B$7*$R364 + Config!$B$8*$W364 + Config!$B$9*$X364 + Config!$B$10*$Y364 + Config!$B$11*$Z364 - Config!$B$12*$AA364)/Config!$B$13)+$AH364+$AI364),""))*(1-IFERROR(VLOOKUP(J364,Grinders!$A:$AB, 28, FALSE),0)),"")))*(1+AO364),"")</f>
        <v>#ERROR!</v>
      </c>
      <c r="AD364" s="40" t="str">
        <f t="shared" si="4"/>
        <v/>
      </c>
      <c r="AE364" s="40" t="str">
        <f>IFERROR(__xludf.DUMMYFUNCTION("IF($AC364="""","""",IF($AC364=IFERROR(MAX(FILTER($AC$6:$AC$1000,$C$6:$C$1000=$C364,$AB$6:$AB$1000=1)),),""WINNER"",""""))"),"#ERROR!")</f>
        <v>#ERROR!</v>
      </c>
      <c r="AF364" s="40" t="str">
        <f t="shared" si="5"/>
        <v/>
      </c>
      <c r="AG364" s="40" t="str">
        <f>IF($J364="","",COUNTIF(Assignments!$B:$B,$J364))</f>
        <v/>
      </c>
      <c r="AH364" s="40" t="str">
        <f>IF($J364="","",IF(AND($AG364=0,$N364&lt;$M364),Config!$B$43,0))</f>
        <v/>
      </c>
      <c r="AI364" s="40" t="str">
        <f>IF($J364="","",IF(AND($L364="Elite",$F364&gt;=Config!$B$41,$N364&lt;$M364),Config!$B$42,0))</f>
        <v/>
      </c>
      <c r="AJ364" s="22"/>
      <c r="AK364" s="39">
        <f>IFERROR(VLOOKUP(J364,Grinders!$A:$Q,28,FALSE),0)</f>
        <v>0</v>
      </c>
      <c r="AL364" s="39">
        <f>IF(Config!$B$1003&lt;&gt;"Y",0,IF(IFERROR(VLOOKUP(J364,Grinders!$A:$P,27,FALSE),0)&gt;=3,IF(OR(F364&gt;=Config!$B$1001,ISNUMBER(SEARCH(E364,Config!$B$1002))),1,0),0))</f>
        <v>0</v>
      </c>
      <c r="AM364" s="39">
        <f t="array" ref="AM364">IFERROR(IF(INDEX(Bids!$AE:$AE,MATCH(B364,Bids!$A:$A,0))="Pending",1,0),0)</f>
        <v>0</v>
      </c>
      <c r="AN364" s="39" t="str">
        <f t="array" ref="AN364">IF(C364="","",IFERROR(XLOOKUP(C364,Assignments!$C:$C,Assignments!$AU:$AU,0),0))</f>
        <v/>
      </c>
      <c r="AO364" s="39">
        <f>IF(AND(Config!$B$1006="Y",AN364=1),Config!$B$1007,0)</f>
        <v>0</v>
      </c>
    </row>
    <row r="365" ht="15.75" customHeight="1">
      <c r="A365" s="46" t="str">
        <f t="shared" si="1"/>
        <v/>
      </c>
      <c r="B365" s="40" t="str">
        <f>IF(Bids!$A365="","",Bids!$A365)</f>
        <v/>
      </c>
      <c r="C365" s="40" t="str">
        <f>IF(Bids!$B365="","",Bids!$B365)</f>
        <v/>
      </c>
      <c r="D365" s="40" t="str">
        <f>IF($C365="","",IFERROR(VLOOKUP($C365,Orders!$A:$J,9,FALSE),""))</f>
        <v/>
      </c>
      <c r="E365" s="40" t="str">
        <f>IF($C365="","",IFERROR(VLOOKUP($C365,Orders!$A:$J,3,FALSE),""))</f>
        <v/>
      </c>
      <c r="F365" s="40" t="str">
        <f>IF($C365="","",IFERROR(VLOOKUP($C365,Orders!$A:$J,4,FALSE),""))</f>
        <v/>
      </c>
      <c r="G365" s="40" t="str">
        <f>IF($C365="","",IFERROR(VLOOKUP($C365,Orders!$A:$J,5,FALSE),""))</f>
        <v/>
      </c>
      <c r="H365" s="40" t="str">
        <f>IF($C365="","",IFERROR(VLOOKUP($C365,Orders!$A:$J,6,FALSE),""))</f>
        <v/>
      </c>
      <c r="I365" s="40" t="str">
        <f>IF($C365="","",IFERROR(VLOOKUP($C365,Orders!$A:$J,7,FALSE),""))</f>
        <v/>
      </c>
      <c r="J365" s="40" t="str">
        <f>IF(Bids!$C365="","",Bids!$C365)</f>
        <v/>
      </c>
      <c r="K365" s="40" t="str">
        <f>IF($J365="","",IFERROR(VLOOKUP($J365,Grinders!$A:$N,2,FALSE),""))</f>
        <v/>
      </c>
      <c r="L365" s="40" t="str">
        <f>IF($J365="","",IFERROR(VLOOKUP($J365,Grinders!$A:$N,3,FALSE),""))</f>
        <v/>
      </c>
      <c r="M365" s="40" t="str">
        <f>IF($J365="","",IFERROR(VLOOKUP($J365,Grinders!$A:$N,4,FALSE),""))</f>
        <v/>
      </c>
      <c r="N365" s="40" t="str">
        <f>IF($J365="","",IFERROR(VLOOKUP($J365,Grinders!$A:$N,5,FALSE),""))</f>
        <v/>
      </c>
      <c r="O365" s="40" t="str">
        <f t="shared" si="2"/>
        <v/>
      </c>
      <c r="P365" s="40" t="str">
        <f>IF($J365="","",IFERROR(VLOOKUP($J365,Grinders!$A:$N,6,FALSE),""))</f>
        <v/>
      </c>
      <c r="Q365" s="40" t="str">
        <f>IF($J365="","",IFERROR(VLOOKUP($J365,Grinders!$A:$N,8,FALSE),""))</f>
        <v/>
      </c>
      <c r="R365" s="40" t="str">
        <f>IFERROR(IF($J365="","",IF($L365="Elite",MAX(50,MIN(100,Config!$B$27*MAX(0,MIN(100,(1-IF($O365="",0,$O365))*100)) + Config!$B$28*MAX(0,MIN(100,(1-MIN(1,IF(Config!$B$30=0,1,$P365/Config!$B$30)))*100)) + Config!$B$29*MAX(0,MIN(100,MIN(1,IF($Q365="",0,$Q365)/Config!$B$23)*100)))),MIN(100,Config!$B$27*MAX(0,MIN(100,(1-IF($O365="",0,$O365))*100)) + Config!$B$28*MAX(0,MIN(100,(1-MIN(1,IF(Config!$B$30=0,1,$P365/Config!$B$30)))*100)) + Config!$B$29*MAX(0,MIN(100,MIN(1,IF($Q365="",0,$Q365)/Config!$B$23)*100))))),"")
</f>
        <v/>
      </c>
      <c r="S365" s="40" t="str">
        <f>IF(Bids!$AC365="","",Bids!$AC365)</f>
        <v/>
      </c>
      <c r="T365" s="40" t="str">
        <f>IF(Bids!$F365="","",Bids!$F365)</f>
        <v/>
      </c>
      <c r="U365" s="40" t="str">
        <f t="shared" si="3"/>
        <v/>
      </c>
      <c r="V365" s="40" t="str">
        <f>IF($U365="","",IF(Config!$B$17=Config!$B$16,IF($U365&gt;=Config!$B$17,100,0),MAX(0,MIN(100,($U365-Config!$B$16)/(Config!$B$17-Config!$B$16)*100))))</f>
        <v/>
      </c>
      <c r="W365" s="40">
        <f>IF($L365="Elite",Config!$B$21,0)</f>
        <v>0</v>
      </c>
      <c r="X365" s="40" t="str">
        <f>IFERROR(IF(OR($T365="",$G365=""),"",IF($T365&gt;$G365,
  MAX(0, 60-(($T365-$G365)*24/Config!$B$19)*60),
  MEDIAN(60, 100, 60+(($G365-$T365)*24/Config!$B$20)*40)
)),"")
</f>
        <v/>
      </c>
      <c r="Y365" s="40" t="str">
        <f>IF($J365="","",IFERROR(VLOOKUP($J365,Grinders!$A:$N,10,FALSE),""))</f>
        <v/>
      </c>
      <c r="Z365" s="40" t="str">
        <f>IF($J365="","",IFERROR(VLOOKUP($J365,Grinders!$A:$N,11,FALSE),""))</f>
        <v/>
      </c>
      <c r="AA365" s="40" t="str">
        <f>IF($J365="","",IFERROR(VLOOKUP($J365,Grinders!$A:$N,12,FALSE),""))</f>
        <v/>
      </c>
      <c r="AB365" s="40" t="str">
        <f>IF(OR(AL365=1,AM365=1),0,=IFERROR(IF(OR($C365="",$J365=""),0,IF($D365&lt;&gt;"Open",0,IF(COUNTIFS(GrinderServices!$A:$A,$J365,GrinderServices!$B:$B,$E365,GrinderServices!$D:$D,"Y")=0,0,IF($U365&lt;Config!$B$16,0,IF(Config!$B$18=1,IF($N365&gt;=$M365,0,1),1))))),""))</f>
        <v>#ERROR!</v>
      </c>
      <c r="AC365" s="40" t="str">
        <f>IFERROR((IF(OR(AL365=1,AM365=1),"",=IFERROR((IFERROR(IF($AB365=0,"",((Config!$B$6*$V365 + Config!$B$7*$R365 + Config!$B$8*$W365 + Config!$B$9*$X365 + Config!$B$10*$Y365 + Config!$B$11*$Z365 - Config!$B$12*$AA365)/Config!$B$13)+$AH365+$AI365),""))*(1-IFERROR(VLOOKUP(J365,Grinders!$A:$AB, 28, FALSE),0)),"")))*(1+AO365),"")</f>
        <v>#ERROR!</v>
      </c>
      <c r="AD365" s="40" t="str">
        <f t="shared" si="4"/>
        <v/>
      </c>
      <c r="AE365" s="40" t="str">
        <f>IFERROR(__xludf.DUMMYFUNCTION("IF($AC365="""","""",IF($AC365=IFERROR(MAX(FILTER($AC$6:$AC$1000,$C$6:$C$1000=$C365,$AB$6:$AB$1000=1)),),""WINNER"",""""))"),"#ERROR!")</f>
        <v>#ERROR!</v>
      </c>
      <c r="AF365" s="40" t="str">
        <f t="shared" si="5"/>
        <v/>
      </c>
      <c r="AG365" s="40" t="str">
        <f>IF($J365="","",COUNTIF(Assignments!$B:$B,$J365))</f>
        <v/>
      </c>
      <c r="AH365" s="40" t="str">
        <f>IF($J365="","",IF(AND($AG365=0,$N365&lt;$M365),Config!$B$43,0))</f>
        <v/>
      </c>
      <c r="AI365" s="40" t="str">
        <f>IF($J365="","",IF(AND($L365="Elite",$F365&gt;=Config!$B$41,$N365&lt;$M365),Config!$B$42,0))</f>
        <v/>
      </c>
      <c r="AJ365" s="22"/>
      <c r="AK365" s="39">
        <f>IFERROR(VLOOKUP(J365,Grinders!$A:$Q,28,FALSE),0)</f>
        <v>0</v>
      </c>
      <c r="AL365" s="39">
        <f>IF(Config!$B$1003&lt;&gt;"Y",0,IF(IFERROR(VLOOKUP(J365,Grinders!$A:$P,27,FALSE),0)&gt;=3,IF(OR(F365&gt;=Config!$B$1001,ISNUMBER(SEARCH(E365,Config!$B$1002))),1,0),0))</f>
        <v>0</v>
      </c>
      <c r="AM365" s="39">
        <f t="array" ref="AM365">IFERROR(IF(INDEX(Bids!$AE:$AE,MATCH(B365,Bids!$A:$A,0))="Pending",1,0),0)</f>
        <v>0</v>
      </c>
      <c r="AN365" s="39" t="str">
        <f t="array" ref="AN365">IF(C365="","",IFERROR(XLOOKUP(C365,Assignments!$C:$C,Assignments!$AU:$AU,0),0))</f>
        <v/>
      </c>
      <c r="AO365" s="39">
        <f>IF(AND(Config!$B$1006="Y",AN365=1),Config!$B$1007,0)</f>
        <v>0</v>
      </c>
    </row>
    <row r="366" ht="15.75" customHeight="1">
      <c r="A366" s="46" t="str">
        <f t="shared" si="1"/>
        <v/>
      </c>
      <c r="B366" s="40" t="str">
        <f>IF(Bids!$A366="","",Bids!$A366)</f>
        <v/>
      </c>
      <c r="C366" s="40" t="str">
        <f>IF(Bids!$B366="","",Bids!$B366)</f>
        <v/>
      </c>
      <c r="D366" s="40" t="str">
        <f>IF($C366="","",IFERROR(VLOOKUP($C366,Orders!$A:$J,9,FALSE),""))</f>
        <v/>
      </c>
      <c r="E366" s="40" t="str">
        <f>IF($C366="","",IFERROR(VLOOKUP($C366,Orders!$A:$J,3,FALSE),""))</f>
        <v/>
      </c>
      <c r="F366" s="40" t="str">
        <f>IF($C366="","",IFERROR(VLOOKUP($C366,Orders!$A:$J,4,FALSE),""))</f>
        <v/>
      </c>
      <c r="G366" s="40" t="str">
        <f>IF($C366="","",IFERROR(VLOOKUP($C366,Orders!$A:$J,5,FALSE),""))</f>
        <v/>
      </c>
      <c r="H366" s="40" t="str">
        <f>IF($C366="","",IFERROR(VLOOKUP($C366,Orders!$A:$J,6,FALSE),""))</f>
        <v/>
      </c>
      <c r="I366" s="40" t="str">
        <f>IF($C366="","",IFERROR(VLOOKUP($C366,Orders!$A:$J,7,FALSE),""))</f>
        <v/>
      </c>
      <c r="J366" s="40" t="str">
        <f>IF(Bids!$C366="","",Bids!$C366)</f>
        <v/>
      </c>
      <c r="K366" s="40" t="str">
        <f>IF($J366="","",IFERROR(VLOOKUP($J366,Grinders!$A:$N,2,FALSE),""))</f>
        <v/>
      </c>
      <c r="L366" s="40" t="str">
        <f>IF($J366="","",IFERROR(VLOOKUP($J366,Grinders!$A:$N,3,FALSE),""))</f>
        <v/>
      </c>
      <c r="M366" s="40" t="str">
        <f>IF($J366="","",IFERROR(VLOOKUP($J366,Grinders!$A:$N,4,FALSE),""))</f>
        <v/>
      </c>
      <c r="N366" s="40" t="str">
        <f>IF($J366="","",IFERROR(VLOOKUP($J366,Grinders!$A:$N,5,FALSE),""))</f>
        <v/>
      </c>
      <c r="O366" s="40" t="str">
        <f t="shared" si="2"/>
        <v/>
      </c>
      <c r="P366" s="40" t="str">
        <f>IF($J366="","",IFERROR(VLOOKUP($J366,Grinders!$A:$N,6,FALSE),""))</f>
        <v/>
      </c>
      <c r="Q366" s="40" t="str">
        <f>IF($J366="","",IFERROR(VLOOKUP($J366,Grinders!$A:$N,8,FALSE),""))</f>
        <v/>
      </c>
      <c r="R366" s="40" t="str">
        <f>IFERROR(IF($J366="","",IF($L366="Elite",MAX(50,MIN(100,Config!$B$27*MAX(0,MIN(100,(1-IF($O366="",0,$O366))*100)) + Config!$B$28*MAX(0,MIN(100,(1-MIN(1,IF(Config!$B$30=0,1,$P366/Config!$B$30)))*100)) + Config!$B$29*MAX(0,MIN(100,MIN(1,IF($Q366="",0,$Q366)/Config!$B$23)*100)))),MIN(100,Config!$B$27*MAX(0,MIN(100,(1-IF($O366="",0,$O366))*100)) + Config!$B$28*MAX(0,MIN(100,(1-MIN(1,IF(Config!$B$30=0,1,$P366/Config!$B$30)))*100)) + Config!$B$29*MAX(0,MIN(100,MIN(1,IF($Q366="",0,$Q366)/Config!$B$23)*100))))),"")
</f>
        <v/>
      </c>
      <c r="S366" s="40" t="str">
        <f>IF(Bids!$AC366="","",Bids!$AC366)</f>
        <v/>
      </c>
      <c r="T366" s="40" t="str">
        <f>IF(Bids!$F366="","",Bids!$F366)</f>
        <v/>
      </c>
      <c r="U366" s="40" t="str">
        <f t="shared" si="3"/>
        <v/>
      </c>
      <c r="V366" s="40" t="str">
        <f>IF($U366="","",IF(Config!$B$17=Config!$B$16,IF($U366&gt;=Config!$B$17,100,0),MAX(0,MIN(100,($U366-Config!$B$16)/(Config!$B$17-Config!$B$16)*100))))</f>
        <v/>
      </c>
      <c r="W366" s="40">
        <f>IF($L366="Elite",Config!$B$21,0)</f>
        <v>0</v>
      </c>
      <c r="X366" s="40" t="str">
        <f>IFERROR(IF(OR($T366="",$G366=""),"",IF($T366&gt;$G366,
  MAX(0, 60-(($T366-$G366)*24/Config!$B$19)*60),
  MEDIAN(60, 100, 60+(($G366-$T366)*24/Config!$B$20)*40)
)),"")
</f>
        <v/>
      </c>
      <c r="Y366" s="40" t="str">
        <f>IF($J366="","",IFERROR(VLOOKUP($J366,Grinders!$A:$N,10,FALSE),""))</f>
        <v/>
      </c>
      <c r="Z366" s="40" t="str">
        <f>IF($J366="","",IFERROR(VLOOKUP($J366,Grinders!$A:$N,11,FALSE),""))</f>
        <v/>
      </c>
      <c r="AA366" s="40" t="str">
        <f>IF($J366="","",IFERROR(VLOOKUP($J366,Grinders!$A:$N,12,FALSE),""))</f>
        <v/>
      </c>
      <c r="AB366" s="40" t="str">
        <f>IF(OR(AL366=1,AM366=1),0,=IFERROR(IF(OR($C366="",$J366=""),0,IF($D366&lt;&gt;"Open",0,IF(COUNTIFS(GrinderServices!$A:$A,$J366,GrinderServices!$B:$B,$E366,GrinderServices!$D:$D,"Y")=0,0,IF($U366&lt;Config!$B$16,0,IF(Config!$B$18=1,IF($N366&gt;=$M366,0,1),1))))),""))</f>
        <v>#ERROR!</v>
      </c>
      <c r="AC366" s="40" t="str">
        <f>IFERROR((IF(OR(AL366=1,AM366=1),"",=IFERROR((IFERROR(IF($AB366=0,"",((Config!$B$6*$V366 + Config!$B$7*$R366 + Config!$B$8*$W366 + Config!$B$9*$X366 + Config!$B$10*$Y366 + Config!$B$11*$Z366 - Config!$B$12*$AA366)/Config!$B$13)+$AH366+$AI366),""))*(1-IFERROR(VLOOKUP(J366,Grinders!$A:$AB, 28, FALSE),0)),"")))*(1+AO366),"")</f>
        <v>#ERROR!</v>
      </c>
      <c r="AD366" s="40" t="str">
        <f t="shared" si="4"/>
        <v/>
      </c>
      <c r="AE366" s="40" t="str">
        <f>IFERROR(__xludf.DUMMYFUNCTION("IF($AC366="""","""",IF($AC366=IFERROR(MAX(FILTER($AC$6:$AC$1000,$C$6:$C$1000=$C366,$AB$6:$AB$1000=1)),),""WINNER"",""""))"),"#ERROR!")</f>
        <v>#ERROR!</v>
      </c>
      <c r="AF366" s="40" t="str">
        <f t="shared" si="5"/>
        <v/>
      </c>
      <c r="AG366" s="40" t="str">
        <f>IF($J366="","",COUNTIF(Assignments!$B:$B,$J366))</f>
        <v/>
      </c>
      <c r="AH366" s="40" t="str">
        <f>IF($J366="","",IF(AND($AG366=0,$N366&lt;$M366),Config!$B$43,0))</f>
        <v/>
      </c>
      <c r="AI366" s="40" t="str">
        <f>IF($J366="","",IF(AND($L366="Elite",$F366&gt;=Config!$B$41,$N366&lt;$M366),Config!$B$42,0))</f>
        <v/>
      </c>
      <c r="AJ366" s="22"/>
      <c r="AK366" s="39">
        <f>IFERROR(VLOOKUP(J366,Grinders!$A:$Q,28,FALSE),0)</f>
        <v>0</v>
      </c>
      <c r="AL366" s="39">
        <f>IF(Config!$B$1003&lt;&gt;"Y",0,IF(IFERROR(VLOOKUP(J366,Grinders!$A:$P,27,FALSE),0)&gt;=3,IF(OR(F366&gt;=Config!$B$1001,ISNUMBER(SEARCH(E366,Config!$B$1002))),1,0),0))</f>
        <v>0</v>
      </c>
      <c r="AM366" s="39">
        <f t="array" ref="AM366">IFERROR(IF(INDEX(Bids!$AE:$AE,MATCH(B366,Bids!$A:$A,0))="Pending",1,0),0)</f>
        <v>0</v>
      </c>
      <c r="AN366" s="39" t="str">
        <f t="array" ref="AN366">IF(C366="","",IFERROR(XLOOKUP(C366,Assignments!$C:$C,Assignments!$AU:$AU,0),0))</f>
        <v/>
      </c>
      <c r="AO366" s="39">
        <f>IF(AND(Config!$B$1006="Y",AN366=1),Config!$B$1007,0)</f>
        <v>0</v>
      </c>
    </row>
    <row r="367" ht="15.75" customHeight="1">
      <c r="A367" s="46" t="str">
        <f t="shared" si="1"/>
        <v/>
      </c>
      <c r="B367" s="40" t="str">
        <f>IF(Bids!$A367="","",Bids!$A367)</f>
        <v/>
      </c>
      <c r="C367" s="40" t="str">
        <f>IF(Bids!$B367="","",Bids!$B367)</f>
        <v/>
      </c>
      <c r="D367" s="40" t="str">
        <f>IF($C367="","",IFERROR(VLOOKUP($C367,Orders!$A:$J,9,FALSE),""))</f>
        <v/>
      </c>
      <c r="E367" s="40" t="str">
        <f>IF($C367="","",IFERROR(VLOOKUP($C367,Orders!$A:$J,3,FALSE),""))</f>
        <v/>
      </c>
      <c r="F367" s="40" t="str">
        <f>IF($C367="","",IFERROR(VLOOKUP($C367,Orders!$A:$J,4,FALSE),""))</f>
        <v/>
      </c>
      <c r="G367" s="40" t="str">
        <f>IF($C367="","",IFERROR(VLOOKUP($C367,Orders!$A:$J,5,FALSE),""))</f>
        <v/>
      </c>
      <c r="H367" s="40" t="str">
        <f>IF($C367="","",IFERROR(VLOOKUP($C367,Orders!$A:$J,6,FALSE),""))</f>
        <v/>
      </c>
      <c r="I367" s="40" t="str">
        <f>IF($C367="","",IFERROR(VLOOKUP($C367,Orders!$A:$J,7,FALSE),""))</f>
        <v/>
      </c>
      <c r="J367" s="40" t="str">
        <f>IF(Bids!$C367="","",Bids!$C367)</f>
        <v/>
      </c>
      <c r="K367" s="40" t="str">
        <f>IF($J367="","",IFERROR(VLOOKUP($J367,Grinders!$A:$N,2,FALSE),""))</f>
        <v/>
      </c>
      <c r="L367" s="40" t="str">
        <f>IF($J367="","",IFERROR(VLOOKUP($J367,Grinders!$A:$N,3,FALSE),""))</f>
        <v/>
      </c>
      <c r="M367" s="40" t="str">
        <f>IF($J367="","",IFERROR(VLOOKUP($J367,Grinders!$A:$N,4,FALSE),""))</f>
        <v/>
      </c>
      <c r="N367" s="40" t="str">
        <f>IF($J367="","",IFERROR(VLOOKUP($J367,Grinders!$A:$N,5,FALSE),""))</f>
        <v/>
      </c>
      <c r="O367" s="40" t="str">
        <f t="shared" si="2"/>
        <v/>
      </c>
      <c r="P367" s="40" t="str">
        <f>IF($J367="","",IFERROR(VLOOKUP($J367,Grinders!$A:$N,6,FALSE),""))</f>
        <v/>
      </c>
      <c r="Q367" s="40" t="str">
        <f>IF($J367="","",IFERROR(VLOOKUP($J367,Grinders!$A:$N,8,FALSE),""))</f>
        <v/>
      </c>
      <c r="R367" s="40" t="str">
        <f>IFERROR(IF($J367="","",IF($L367="Elite",MAX(50,MIN(100,Config!$B$27*MAX(0,MIN(100,(1-IF($O367="",0,$O367))*100)) + Config!$B$28*MAX(0,MIN(100,(1-MIN(1,IF(Config!$B$30=0,1,$P367/Config!$B$30)))*100)) + Config!$B$29*MAX(0,MIN(100,MIN(1,IF($Q367="",0,$Q367)/Config!$B$23)*100)))),MIN(100,Config!$B$27*MAX(0,MIN(100,(1-IF($O367="",0,$O367))*100)) + Config!$B$28*MAX(0,MIN(100,(1-MIN(1,IF(Config!$B$30=0,1,$P367/Config!$B$30)))*100)) + Config!$B$29*MAX(0,MIN(100,MIN(1,IF($Q367="",0,$Q367)/Config!$B$23)*100))))),"")
</f>
        <v/>
      </c>
      <c r="S367" s="40" t="str">
        <f>IF(Bids!$AC367="","",Bids!$AC367)</f>
        <v/>
      </c>
      <c r="T367" s="40" t="str">
        <f>IF(Bids!$F367="","",Bids!$F367)</f>
        <v/>
      </c>
      <c r="U367" s="40" t="str">
        <f t="shared" si="3"/>
        <v/>
      </c>
      <c r="V367" s="40" t="str">
        <f>IF($U367="","",IF(Config!$B$17=Config!$B$16,IF($U367&gt;=Config!$B$17,100,0),MAX(0,MIN(100,($U367-Config!$B$16)/(Config!$B$17-Config!$B$16)*100))))</f>
        <v/>
      </c>
      <c r="W367" s="40">
        <f>IF($L367="Elite",Config!$B$21,0)</f>
        <v>0</v>
      </c>
      <c r="X367" s="40" t="str">
        <f>IFERROR(IF(OR($T367="",$G367=""),"",IF($T367&gt;$G367,
  MAX(0, 60-(($T367-$G367)*24/Config!$B$19)*60),
  MEDIAN(60, 100, 60+(($G367-$T367)*24/Config!$B$20)*40)
)),"")
</f>
        <v/>
      </c>
      <c r="Y367" s="40" t="str">
        <f>IF($J367="","",IFERROR(VLOOKUP($J367,Grinders!$A:$N,10,FALSE),""))</f>
        <v/>
      </c>
      <c r="Z367" s="40" t="str">
        <f>IF($J367="","",IFERROR(VLOOKUP($J367,Grinders!$A:$N,11,FALSE),""))</f>
        <v/>
      </c>
      <c r="AA367" s="40" t="str">
        <f>IF($J367="","",IFERROR(VLOOKUP($J367,Grinders!$A:$N,12,FALSE),""))</f>
        <v/>
      </c>
      <c r="AB367" s="40" t="str">
        <f>IF(OR(AL367=1,AM367=1),0,=IFERROR(IF(OR($C367="",$J367=""),0,IF($D367&lt;&gt;"Open",0,IF(COUNTIFS(GrinderServices!$A:$A,$J367,GrinderServices!$B:$B,$E367,GrinderServices!$D:$D,"Y")=0,0,IF($U367&lt;Config!$B$16,0,IF(Config!$B$18=1,IF($N367&gt;=$M367,0,1),1))))),""))</f>
        <v>#ERROR!</v>
      </c>
      <c r="AC367" s="40" t="str">
        <f>IFERROR((IF(OR(AL367=1,AM367=1),"",=IFERROR((IFERROR(IF($AB367=0,"",((Config!$B$6*$V367 + Config!$B$7*$R367 + Config!$B$8*$W367 + Config!$B$9*$X367 + Config!$B$10*$Y367 + Config!$B$11*$Z367 - Config!$B$12*$AA367)/Config!$B$13)+$AH367+$AI367),""))*(1-IFERROR(VLOOKUP(J367,Grinders!$A:$AB, 28, FALSE),0)),"")))*(1+AO367),"")</f>
        <v>#ERROR!</v>
      </c>
      <c r="AD367" s="40" t="str">
        <f t="shared" si="4"/>
        <v/>
      </c>
      <c r="AE367" s="40" t="str">
        <f>IFERROR(__xludf.DUMMYFUNCTION("IF($AC367="""","""",IF($AC367=IFERROR(MAX(FILTER($AC$6:$AC$1000,$C$6:$C$1000=$C367,$AB$6:$AB$1000=1)),),""WINNER"",""""))"),"#ERROR!")</f>
        <v>#ERROR!</v>
      </c>
      <c r="AF367" s="40" t="str">
        <f t="shared" si="5"/>
        <v/>
      </c>
      <c r="AG367" s="40" t="str">
        <f>IF($J367="","",COUNTIF(Assignments!$B:$B,$J367))</f>
        <v/>
      </c>
      <c r="AH367" s="40" t="str">
        <f>IF($J367="","",IF(AND($AG367=0,$N367&lt;$M367),Config!$B$43,0))</f>
        <v/>
      </c>
      <c r="AI367" s="40" t="str">
        <f>IF($J367="","",IF(AND($L367="Elite",$F367&gt;=Config!$B$41,$N367&lt;$M367),Config!$B$42,0))</f>
        <v/>
      </c>
      <c r="AJ367" s="22"/>
      <c r="AK367" s="39">
        <f>IFERROR(VLOOKUP(J367,Grinders!$A:$Q,28,FALSE),0)</f>
        <v>0</v>
      </c>
      <c r="AL367" s="39">
        <f>IF(Config!$B$1003&lt;&gt;"Y",0,IF(IFERROR(VLOOKUP(J367,Grinders!$A:$P,27,FALSE),0)&gt;=3,IF(OR(F367&gt;=Config!$B$1001,ISNUMBER(SEARCH(E367,Config!$B$1002))),1,0),0))</f>
        <v>0</v>
      </c>
      <c r="AM367" s="39">
        <f t="array" ref="AM367">IFERROR(IF(INDEX(Bids!$AE:$AE,MATCH(B367,Bids!$A:$A,0))="Pending",1,0),0)</f>
        <v>0</v>
      </c>
      <c r="AN367" s="39" t="str">
        <f t="array" ref="AN367">IF(C367="","",IFERROR(XLOOKUP(C367,Assignments!$C:$C,Assignments!$AU:$AU,0),0))</f>
        <v/>
      </c>
      <c r="AO367" s="39">
        <f>IF(AND(Config!$B$1006="Y",AN367=1),Config!$B$1007,0)</f>
        <v>0</v>
      </c>
    </row>
    <row r="368" ht="15.75" customHeight="1">
      <c r="A368" s="46" t="str">
        <f t="shared" si="1"/>
        <v/>
      </c>
      <c r="B368" s="40" t="str">
        <f>IF(Bids!$A368="","",Bids!$A368)</f>
        <v/>
      </c>
      <c r="C368" s="40" t="str">
        <f>IF(Bids!$B368="","",Bids!$B368)</f>
        <v/>
      </c>
      <c r="D368" s="40" t="str">
        <f>IF($C368="","",IFERROR(VLOOKUP($C368,Orders!$A:$J,9,FALSE),""))</f>
        <v/>
      </c>
      <c r="E368" s="40" t="str">
        <f>IF($C368="","",IFERROR(VLOOKUP($C368,Orders!$A:$J,3,FALSE),""))</f>
        <v/>
      </c>
      <c r="F368" s="40" t="str">
        <f>IF($C368="","",IFERROR(VLOOKUP($C368,Orders!$A:$J,4,FALSE),""))</f>
        <v/>
      </c>
      <c r="G368" s="40" t="str">
        <f>IF($C368="","",IFERROR(VLOOKUP($C368,Orders!$A:$J,5,FALSE),""))</f>
        <v/>
      </c>
      <c r="H368" s="40" t="str">
        <f>IF($C368="","",IFERROR(VLOOKUP($C368,Orders!$A:$J,6,FALSE),""))</f>
        <v/>
      </c>
      <c r="I368" s="40" t="str">
        <f>IF($C368="","",IFERROR(VLOOKUP($C368,Orders!$A:$J,7,FALSE),""))</f>
        <v/>
      </c>
      <c r="J368" s="40" t="str">
        <f>IF(Bids!$C368="","",Bids!$C368)</f>
        <v/>
      </c>
      <c r="K368" s="40" t="str">
        <f>IF($J368="","",IFERROR(VLOOKUP($J368,Grinders!$A:$N,2,FALSE),""))</f>
        <v/>
      </c>
      <c r="L368" s="40" t="str">
        <f>IF($J368="","",IFERROR(VLOOKUP($J368,Grinders!$A:$N,3,FALSE),""))</f>
        <v/>
      </c>
      <c r="M368" s="40" t="str">
        <f>IF($J368="","",IFERROR(VLOOKUP($J368,Grinders!$A:$N,4,FALSE),""))</f>
        <v/>
      </c>
      <c r="N368" s="40" t="str">
        <f>IF($J368="","",IFERROR(VLOOKUP($J368,Grinders!$A:$N,5,FALSE),""))</f>
        <v/>
      </c>
      <c r="O368" s="40" t="str">
        <f t="shared" si="2"/>
        <v/>
      </c>
      <c r="P368" s="40" t="str">
        <f>IF($J368="","",IFERROR(VLOOKUP($J368,Grinders!$A:$N,6,FALSE),""))</f>
        <v/>
      </c>
      <c r="Q368" s="40" t="str">
        <f>IF($J368="","",IFERROR(VLOOKUP($J368,Grinders!$A:$N,8,FALSE),""))</f>
        <v/>
      </c>
      <c r="R368" s="40" t="str">
        <f>IFERROR(IF($J368="","",IF($L368="Elite",MAX(50,MIN(100,Config!$B$27*MAX(0,MIN(100,(1-IF($O368="",0,$O368))*100)) + Config!$B$28*MAX(0,MIN(100,(1-MIN(1,IF(Config!$B$30=0,1,$P368/Config!$B$30)))*100)) + Config!$B$29*MAX(0,MIN(100,MIN(1,IF($Q368="",0,$Q368)/Config!$B$23)*100)))),MIN(100,Config!$B$27*MAX(0,MIN(100,(1-IF($O368="",0,$O368))*100)) + Config!$B$28*MAX(0,MIN(100,(1-MIN(1,IF(Config!$B$30=0,1,$P368/Config!$B$30)))*100)) + Config!$B$29*MAX(0,MIN(100,MIN(1,IF($Q368="",0,$Q368)/Config!$B$23)*100))))),"")
</f>
        <v/>
      </c>
      <c r="S368" s="40" t="str">
        <f>IF(Bids!$AC368="","",Bids!$AC368)</f>
        <v/>
      </c>
      <c r="T368" s="40" t="str">
        <f>IF(Bids!$F368="","",Bids!$F368)</f>
        <v/>
      </c>
      <c r="U368" s="40" t="str">
        <f t="shared" si="3"/>
        <v/>
      </c>
      <c r="V368" s="40" t="str">
        <f>IF($U368="","",IF(Config!$B$17=Config!$B$16,IF($U368&gt;=Config!$B$17,100,0),MAX(0,MIN(100,($U368-Config!$B$16)/(Config!$B$17-Config!$B$16)*100))))</f>
        <v/>
      </c>
      <c r="W368" s="40">
        <f>IF($L368="Elite",Config!$B$21,0)</f>
        <v>0</v>
      </c>
      <c r="X368" s="40" t="str">
        <f>IFERROR(IF(OR($T368="",$G368=""),"",IF($T368&gt;$G368,
  MAX(0, 60-(($T368-$G368)*24/Config!$B$19)*60),
  MEDIAN(60, 100, 60+(($G368-$T368)*24/Config!$B$20)*40)
)),"")
</f>
        <v/>
      </c>
      <c r="Y368" s="40" t="str">
        <f>IF($J368="","",IFERROR(VLOOKUP($J368,Grinders!$A:$N,10,FALSE),""))</f>
        <v/>
      </c>
      <c r="Z368" s="40" t="str">
        <f>IF($J368="","",IFERROR(VLOOKUP($J368,Grinders!$A:$N,11,FALSE),""))</f>
        <v/>
      </c>
      <c r="AA368" s="40" t="str">
        <f>IF($J368="","",IFERROR(VLOOKUP($J368,Grinders!$A:$N,12,FALSE),""))</f>
        <v/>
      </c>
      <c r="AB368" s="40" t="str">
        <f>IF(OR(AL368=1,AM368=1),0,=IFERROR(IF(OR($C368="",$J368=""),0,IF($D368&lt;&gt;"Open",0,IF(COUNTIFS(GrinderServices!$A:$A,$J368,GrinderServices!$B:$B,$E368,GrinderServices!$D:$D,"Y")=0,0,IF($U368&lt;Config!$B$16,0,IF(Config!$B$18=1,IF($N368&gt;=$M368,0,1),1))))),""))</f>
        <v>#ERROR!</v>
      </c>
      <c r="AC368" s="40" t="str">
        <f>IFERROR((IF(OR(AL368=1,AM368=1),"",=IFERROR((IFERROR(IF($AB368=0,"",((Config!$B$6*$V368 + Config!$B$7*$R368 + Config!$B$8*$W368 + Config!$B$9*$X368 + Config!$B$10*$Y368 + Config!$B$11*$Z368 - Config!$B$12*$AA368)/Config!$B$13)+$AH368+$AI368),""))*(1-IFERROR(VLOOKUP(J368,Grinders!$A:$AB, 28, FALSE),0)),"")))*(1+AO368),"")</f>
        <v>#ERROR!</v>
      </c>
      <c r="AD368" s="40" t="str">
        <f t="shared" si="4"/>
        <v/>
      </c>
      <c r="AE368" s="40" t="str">
        <f>IFERROR(__xludf.DUMMYFUNCTION("IF($AC368="""","""",IF($AC368=IFERROR(MAX(FILTER($AC$6:$AC$1000,$C$6:$C$1000=$C368,$AB$6:$AB$1000=1)),),""WINNER"",""""))"),"#ERROR!")</f>
        <v>#ERROR!</v>
      </c>
      <c r="AF368" s="40" t="str">
        <f t="shared" si="5"/>
        <v/>
      </c>
      <c r="AG368" s="40" t="str">
        <f>IF($J368="","",COUNTIF(Assignments!$B:$B,$J368))</f>
        <v/>
      </c>
      <c r="AH368" s="40" t="str">
        <f>IF($J368="","",IF(AND($AG368=0,$N368&lt;$M368),Config!$B$43,0))</f>
        <v/>
      </c>
      <c r="AI368" s="40" t="str">
        <f>IF($J368="","",IF(AND($L368="Elite",$F368&gt;=Config!$B$41,$N368&lt;$M368),Config!$B$42,0))</f>
        <v/>
      </c>
      <c r="AJ368" s="22"/>
      <c r="AK368" s="39">
        <f>IFERROR(VLOOKUP(J368,Grinders!$A:$Q,28,FALSE),0)</f>
        <v>0</v>
      </c>
      <c r="AL368" s="39">
        <f>IF(Config!$B$1003&lt;&gt;"Y",0,IF(IFERROR(VLOOKUP(J368,Grinders!$A:$P,27,FALSE),0)&gt;=3,IF(OR(F368&gt;=Config!$B$1001,ISNUMBER(SEARCH(E368,Config!$B$1002))),1,0),0))</f>
        <v>0</v>
      </c>
      <c r="AM368" s="39">
        <f t="array" ref="AM368">IFERROR(IF(INDEX(Bids!$AE:$AE,MATCH(B368,Bids!$A:$A,0))="Pending",1,0),0)</f>
        <v>0</v>
      </c>
      <c r="AN368" s="39" t="str">
        <f t="array" ref="AN368">IF(C368="","",IFERROR(XLOOKUP(C368,Assignments!$C:$C,Assignments!$AU:$AU,0),0))</f>
        <v/>
      </c>
      <c r="AO368" s="39">
        <f>IF(AND(Config!$B$1006="Y",AN368=1),Config!$B$1007,0)</f>
        <v>0</v>
      </c>
    </row>
    <row r="369" ht="15.75" customHeight="1">
      <c r="A369" s="46" t="str">
        <f t="shared" si="1"/>
        <v/>
      </c>
      <c r="B369" s="40" t="str">
        <f>IF(Bids!$A369="","",Bids!$A369)</f>
        <v/>
      </c>
      <c r="C369" s="40" t="str">
        <f>IF(Bids!$B369="","",Bids!$B369)</f>
        <v/>
      </c>
      <c r="D369" s="40" t="str">
        <f>IF($C369="","",IFERROR(VLOOKUP($C369,Orders!$A:$J,9,FALSE),""))</f>
        <v/>
      </c>
      <c r="E369" s="40" t="str">
        <f>IF($C369="","",IFERROR(VLOOKUP($C369,Orders!$A:$J,3,FALSE),""))</f>
        <v/>
      </c>
      <c r="F369" s="40" t="str">
        <f>IF($C369="","",IFERROR(VLOOKUP($C369,Orders!$A:$J,4,FALSE),""))</f>
        <v/>
      </c>
      <c r="G369" s="40" t="str">
        <f>IF($C369="","",IFERROR(VLOOKUP($C369,Orders!$A:$J,5,FALSE),""))</f>
        <v/>
      </c>
      <c r="H369" s="40" t="str">
        <f>IF($C369="","",IFERROR(VLOOKUP($C369,Orders!$A:$J,6,FALSE),""))</f>
        <v/>
      </c>
      <c r="I369" s="40" t="str">
        <f>IF($C369="","",IFERROR(VLOOKUP($C369,Orders!$A:$J,7,FALSE),""))</f>
        <v/>
      </c>
      <c r="J369" s="40" t="str">
        <f>IF(Bids!$C369="","",Bids!$C369)</f>
        <v/>
      </c>
      <c r="K369" s="40" t="str">
        <f>IF($J369="","",IFERROR(VLOOKUP($J369,Grinders!$A:$N,2,FALSE),""))</f>
        <v/>
      </c>
      <c r="L369" s="40" t="str">
        <f>IF($J369="","",IFERROR(VLOOKUP($J369,Grinders!$A:$N,3,FALSE),""))</f>
        <v/>
      </c>
      <c r="M369" s="40" t="str">
        <f>IF($J369="","",IFERROR(VLOOKUP($J369,Grinders!$A:$N,4,FALSE),""))</f>
        <v/>
      </c>
      <c r="N369" s="40" t="str">
        <f>IF($J369="","",IFERROR(VLOOKUP($J369,Grinders!$A:$N,5,FALSE),""))</f>
        <v/>
      </c>
      <c r="O369" s="40" t="str">
        <f t="shared" si="2"/>
        <v/>
      </c>
      <c r="P369" s="40" t="str">
        <f>IF($J369="","",IFERROR(VLOOKUP($J369,Grinders!$A:$N,6,FALSE),""))</f>
        <v/>
      </c>
      <c r="Q369" s="40" t="str">
        <f>IF($J369="","",IFERROR(VLOOKUP($J369,Grinders!$A:$N,8,FALSE),""))</f>
        <v/>
      </c>
      <c r="R369" s="40" t="str">
        <f>IFERROR(IF($J369="","",IF($L369="Elite",MAX(50,MIN(100,Config!$B$27*MAX(0,MIN(100,(1-IF($O369="",0,$O369))*100)) + Config!$B$28*MAX(0,MIN(100,(1-MIN(1,IF(Config!$B$30=0,1,$P369/Config!$B$30)))*100)) + Config!$B$29*MAX(0,MIN(100,MIN(1,IF($Q369="",0,$Q369)/Config!$B$23)*100)))),MIN(100,Config!$B$27*MAX(0,MIN(100,(1-IF($O369="",0,$O369))*100)) + Config!$B$28*MAX(0,MIN(100,(1-MIN(1,IF(Config!$B$30=0,1,$P369/Config!$B$30)))*100)) + Config!$B$29*MAX(0,MIN(100,MIN(1,IF($Q369="",0,$Q369)/Config!$B$23)*100))))),"")
</f>
        <v/>
      </c>
      <c r="S369" s="40" t="str">
        <f>IF(Bids!$AC369="","",Bids!$AC369)</f>
        <v/>
      </c>
      <c r="T369" s="40" t="str">
        <f>IF(Bids!$F369="","",Bids!$F369)</f>
        <v/>
      </c>
      <c r="U369" s="40" t="str">
        <f t="shared" si="3"/>
        <v/>
      </c>
      <c r="V369" s="40" t="str">
        <f>IF($U369="","",IF(Config!$B$17=Config!$B$16,IF($U369&gt;=Config!$B$17,100,0),MAX(0,MIN(100,($U369-Config!$B$16)/(Config!$B$17-Config!$B$16)*100))))</f>
        <v/>
      </c>
      <c r="W369" s="40">
        <f>IF($L369="Elite",Config!$B$21,0)</f>
        <v>0</v>
      </c>
      <c r="X369" s="40" t="str">
        <f>IFERROR(IF(OR($T369="",$G369=""),"",IF($T369&gt;$G369,
  MAX(0, 60-(($T369-$G369)*24/Config!$B$19)*60),
  MEDIAN(60, 100, 60+(($G369-$T369)*24/Config!$B$20)*40)
)),"")
</f>
        <v/>
      </c>
      <c r="Y369" s="40" t="str">
        <f>IF($J369="","",IFERROR(VLOOKUP($J369,Grinders!$A:$N,10,FALSE),""))</f>
        <v/>
      </c>
      <c r="Z369" s="40" t="str">
        <f>IF($J369="","",IFERROR(VLOOKUP($J369,Grinders!$A:$N,11,FALSE),""))</f>
        <v/>
      </c>
      <c r="AA369" s="40" t="str">
        <f>IF($J369="","",IFERROR(VLOOKUP($J369,Grinders!$A:$N,12,FALSE),""))</f>
        <v/>
      </c>
      <c r="AB369" s="40" t="str">
        <f>IF(OR(AL369=1,AM369=1),0,=IFERROR(IF(OR($C369="",$J369=""),0,IF($D369&lt;&gt;"Open",0,IF(COUNTIFS(GrinderServices!$A:$A,$J369,GrinderServices!$B:$B,$E369,GrinderServices!$D:$D,"Y")=0,0,IF($U369&lt;Config!$B$16,0,IF(Config!$B$18=1,IF($N369&gt;=$M369,0,1),1))))),""))</f>
        <v>#ERROR!</v>
      </c>
      <c r="AC369" s="40" t="str">
        <f>IFERROR((IF(OR(AL369=1,AM369=1),"",=IFERROR((IFERROR(IF($AB369=0,"",((Config!$B$6*$V369 + Config!$B$7*$R369 + Config!$B$8*$W369 + Config!$B$9*$X369 + Config!$B$10*$Y369 + Config!$B$11*$Z369 - Config!$B$12*$AA369)/Config!$B$13)+$AH369+$AI369),""))*(1-IFERROR(VLOOKUP(J369,Grinders!$A:$AB, 28, FALSE),0)),"")))*(1+AO369),"")</f>
        <v>#ERROR!</v>
      </c>
      <c r="AD369" s="40" t="str">
        <f t="shared" si="4"/>
        <v/>
      </c>
      <c r="AE369" s="40" t="str">
        <f>IFERROR(__xludf.DUMMYFUNCTION("IF($AC369="""","""",IF($AC369=IFERROR(MAX(FILTER($AC$6:$AC$1000,$C$6:$C$1000=$C369,$AB$6:$AB$1000=1)),),""WINNER"",""""))"),"#ERROR!")</f>
        <v>#ERROR!</v>
      </c>
      <c r="AF369" s="40" t="str">
        <f t="shared" si="5"/>
        <v/>
      </c>
      <c r="AG369" s="40" t="str">
        <f>IF($J369="","",COUNTIF(Assignments!$B:$B,$J369))</f>
        <v/>
      </c>
      <c r="AH369" s="40" t="str">
        <f>IF($J369="","",IF(AND($AG369=0,$N369&lt;$M369),Config!$B$43,0))</f>
        <v/>
      </c>
      <c r="AI369" s="40" t="str">
        <f>IF($J369="","",IF(AND($L369="Elite",$F369&gt;=Config!$B$41,$N369&lt;$M369),Config!$B$42,0))</f>
        <v/>
      </c>
      <c r="AJ369" s="22"/>
      <c r="AK369" s="39">
        <f>IFERROR(VLOOKUP(J369,Grinders!$A:$Q,28,FALSE),0)</f>
        <v>0</v>
      </c>
      <c r="AL369" s="39">
        <f>IF(Config!$B$1003&lt;&gt;"Y",0,IF(IFERROR(VLOOKUP(J369,Grinders!$A:$P,27,FALSE),0)&gt;=3,IF(OR(F369&gt;=Config!$B$1001,ISNUMBER(SEARCH(E369,Config!$B$1002))),1,0),0))</f>
        <v>0</v>
      </c>
      <c r="AM369" s="39">
        <f t="array" ref="AM369">IFERROR(IF(INDEX(Bids!$AE:$AE,MATCH(B369,Bids!$A:$A,0))="Pending",1,0),0)</f>
        <v>0</v>
      </c>
      <c r="AN369" s="39" t="str">
        <f t="array" ref="AN369">IF(C369="","",IFERROR(XLOOKUP(C369,Assignments!$C:$C,Assignments!$AU:$AU,0),0))</f>
        <v/>
      </c>
      <c r="AO369" s="39">
        <f>IF(AND(Config!$B$1006="Y",AN369=1),Config!$B$1007,0)</f>
        <v>0</v>
      </c>
    </row>
    <row r="370" ht="15.75" customHeight="1">
      <c r="A370" s="46" t="str">
        <f t="shared" si="1"/>
        <v/>
      </c>
      <c r="B370" s="40" t="str">
        <f>IF(Bids!$A370="","",Bids!$A370)</f>
        <v/>
      </c>
      <c r="C370" s="40" t="str">
        <f>IF(Bids!$B370="","",Bids!$B370)</f>
        <v/>
      </c>
      <c r="D370" s="40" t="str">
        <f>IF($C370="","",IFERROR(VLOOKUP($C370,Orders!$A:$J,9,FALSE),""))</f>
        <v/>
      </c>
      <c r="E370" s="40" t="str">
        <f>IF($C370="","",IFERROR(VLOOKUP($C370,Orders!$A:$J,3,FALSE),""))</f>
        <v/>
      </c>
      <c r="F370" s="40" t="str">
        <f>IF($C370="","",IFERROR(VLOOKUP($C370,Orders!$A:$J,4,FALSE),""))</f>
        <v/>
      </c>
      <c r="G370" s="40" t="str">
        <f>IF($C370="","",IFERROR(VLOOKUP($C370,Orders!$A:$J,5,FALSE),""))</f>
        <v/>
      </c>
      <c r="H370" s="40" t="str">
        <f>IF($C370="","",IFERROR(VLOOKUP($C370,Orders!$A:$J,6,FALSE),""))</f>
        <v/>
      </c>
      <c r="I370" s="40" t="str">
        <f>IF($C370="","",IFERROR(VLOOKUP($C370,Orders!$A:$J,7,FALSE),""))</f>
        <v/>
      </c>
      <c r="J370" s="40" t="str">
        <f>IF(Bids!$C370="","",Bids!$C370)</f>
        <v/>
      </c>
      <c r="K370" s="40" t="str">
        <f>IF($J370="","",IFERROR(VLOOKUP($J370,Grinders!$A:$N,2,FALSE),""))</f>
        <v/>
      </c>
      <c r="L370" s="40" t="str">
        <f>IF($J370="","",IFERROR(VLOOKUP($J370,Grinders!$A:$N,3,FALSE),""))</f>
        <v/>
      </c>
      <c r="M370" s="40" t="str">
        <f>IF($J370="","",IFERROR(VLOOKUP($J370,Grinders!$A:$N,4,FALSE),""))</f>
        <v/>
      </c>
      <c r="N370" s="40" t="str">
        <f>IF($J370="","",IFERROR(VLOOKUP($J370,Grinders!$A:$N,5,FALSE),""))</f>
        <v/>
      </c>
      <c r="O370" s="40" t="str">
        <f t="shared" si="2"/>
        <v/>
      </c>
      <c r="P370" s="40" t="str">
        <f>IF($J370="","",IFERROR(VLOOKUP($J370,Grinders!$A:$N,6,FALSE),""))</f>
        <v/>
      </c>
      <c r="Q370" s="40" t="str">
        <f>IF($J370="","",IFERROR(VLOOKUP($J370,Grinders!$A:$N,8,FALSE),""))</f>
        <v/>
      </c>
      <c r="R370" s="40" t="str">
        <f>IFERROR(IF($J370="","",IF($L370="Elite",MAX(50,MIN(100,Config!$B$27*MAX(0,MIN(100,(1-IF($O370="",0,$O370))*100)) + Config!$B$28*MAX(0,MIN(100,(1-MIN(1,IF(Config!$B$30=0,1,$P370/Config!$B$30)))*100)) + Config!$B$29*MAX(0,MIN(100,MIN(1,IF($Q370="",0,$Q370)/Config!$B$23)*100)))),MIN(100,Config!$B$27*MAX(0,MIN(100,(1-IF($O370="",0,$O370))*100)) + Config!$B$28*MAX(0,MIN(100,(1-MIN(1,IF(Config!$B$30=0,1,$P370/Config!$B$30)))*100)) + Config!$B$29*MAX(0,MIN(100,MIN(1,IF($Q370="",0,$Q370)/Config!$B$23)*100))))),"")
</f>
        <v/>
      </c>
      <c r="S370" s="40" t="str">
        <f>IF(Bids!$AC370="","",Bids!$AC370)</f>
        <v/>
      </c>
      <c r="T370" s="40" t="str">
        <f>IF(Bids!$F370="","",Bids!$F370)</f>
        <v/>
      </c>
      <c r="U370" s="40" t="str">
        <f t="shared" si="3"/>
        <v/>
      </c>
      <c r="V370" s="40" t="str">
        <f>IF($U370="","",IF(Config!$B$17=Config!$B$16,IF($U370&gt;=Config!$B$17,100,0),MAX(0,MIN(100,($U370-Config!$B$16)/(Config!$B$17-Config!$B$16)*100))))</f>
        <v/>
      </c>
      <c r="W370" s="40">
        <f>IF($L370="Elite",Config!$B$21,0)</f>
        <v>0</v>
      </c>
      <c r="X370" s="40" t="str">
        <f>IFERROR(IF(OR($T370="",$G370=""),"",IF($T370&gt;$G370,
  MAX(0, 60-(($T370-$G370)*24/Config!$B$19)*60),
  MEDIAN(60, 100, 60+(($G370-$T370)*24/Config!$B$20)*40)
)),"")
</f>
        <v/>
      </c>
      <c r="Y370" s="40" t="str">
        <f>IF($J370="","",IFERROR(VLOOKUP($J370,Grinders!$A:$N,10,FALSE),""))</f>
        <v/>
      </c>
      <c r="Z370" s="40" t="str">
        <f>IF($J370="","",IFERROR(VLOOKUP($J370,Grinders!$A:$N,11,FALSE),""))</f>
        <v/>
      </c>
      <c r="AA370" s="40" t="str">
        <f>IF($J370="","",IFERROR(VLOOKUP($J370,Grinders!$A:$N,12,FALSE),""))</f>
        <v/>
      </c>
      <c r="AB370" s="40" t="str">
        <f>IF(OR(AL370=1,AM370=1),0,=IFERROR(IF(OR($C370="",$J370=""),0,IF($D370&lt;&gt;"Open",0,IF(COUNTIFS(GrinderServices!$A:$A,$J370,GrinderServices!$B:$B,$E370,GrinderServices!$D:$D,"Y")=0,0,IF($U370&lt;Config!$B$16,0,IF(Config!$B$18=1,IF($N370&gt;=$M370,0,1),1))))),""))</f>
        <v>#ERROR!</v>
      </c>
      <c r="AC370" s="40" t="str">
        <f>IFERROR((IF(OR(AL370=1,AM370=1),"",=IFERROR((IFERROR(IF($AB370=0,"",((Config!$B$6*$V370 + Config!$B$7*$R370 + Config!$B$8*$W370 + Config!$B$9*$X370 + Config!$B$10*$Y370 + Config!$B$11*$Z370 - Config!$B$12*$AA370)/Config!$B$13)+$AH370+$AI370),""))*(1-IFERROR(VLOOKUP(J370,Grinders!$A:$AB, 28, FALSE),0)),"")))*(1+AO370),"")</f>
        <v>#ERROR!</v>
      </c>
      <c r="AD370" s="40" t="str">
        <f t="shared" si="4"/>
        <v/>
      </c>
      <c r="AE370" s="40" t="str">
        <f>IFERROR(__xludf.DUMMYFUNCTION("IF($AC370="""","""",IF($AC370=IFERROR(MAX(FILTER($AC$6:$AC$1000,$C$6:$C$1000=$C370,$AB$6:$AB$1000=1)),),""WINNER"",""""))"),"#ERROR!")</f>
        <v>#ERROR!</v>
      </c>
      <c r="AF370" s="40" t="str">
        <f t="shared" si="5"/>
        <v/>
      </c>
      <c r="AG370" s="40" t="str">
        <f>IF($J370="","",COUNTIF(Assignments!$B:$B,$J370))</f>
        <v/>
      </c>
      <c r="AH370" s="40" t="str">
        <f>IF($J370="","",IF(AND($AG370=0,$N370&lt;$M370),Config!$B$43,0))</f>
        <v/>
      </c>
      <c r="AI370" s="40" t="str">
        <f>IF($J370="","",IF(AND($L370="Elite",$F370&gt;=Config!$B$41,$N370&lt;$M370),Config!$B$42,0))</f>
        <v/>
      </c>
      <c r="AJ370" s="22"/>
      <c r="AK370" s="39">
        <f>IFERROR(VLOOKUP(J370,Grinders!$A:$Q,28,FALSE),0)</f>
        <v>0</v>
      </c>
      <c r="AL370" s="39">
        <f>IF(Config!$B$1003&lt;&gt;"Y",0,IF(IFERROR(VLOOKUP(J370,Grinders!$A:$P,27,FALSE),0)&gt;=3,IF(OR(F370&gt;=Config!$B$1001,ISNUMBER(SEARCH(E370,Config!$B$1002))),1,0),0))</f>
        <v>0</v>
      </c>
      <c r="AM370" s="39">
        <f t="array" ref="AM370">IFERROR(IF(INDEX(Bids!$AE:$AE,MATCH(B370,Bids!$A:$A,0))="Pending",1,0),0)</f>
        <v>0</v>
      </c>
      <c r="AN370" s="39" t="str">
        <f t="array" ref="AN370">IF(C370="","",IFERROR(XLOOKUP(C370,Assignments!$C:$C,Assignments!$AU:$AU,0),0))</f>
        <v/>
      </c>
      <c r="AO370" s="39">
        <f>IF(AND(Config!$B$1006="Y",AN370=1),Config!$B$1007,0)</f>
        <v>0</v>
      </c>
    </row>
    <row r="371" ht="15.75" customHeight="1">
      <c r="A371" s="46" t="str">
        <f t="shared" si="1"/>
        <v/>
      </c>
      <c r="B371" s="40" t="str">
        <f>IF(Bids!$A371="","",Bids!$A371)</f>
        <v/>
      </c>
      <c r="C371" s="40" t="str">
        <f>IF(Bids!$B371="","",Bids!$B371)</f>
        <v/>
      </c>
      <c r="D371" s="40" t="str">
        <f>IF($C371="","",IFERROR(VLOOKUP($C371,Orders!$A:$J,9,FALSE),""))</f>
        <v/>
      </c>
      <c r="E371" s="40" t="str">
        <f>IF($C371="","",IFERROR(VLOOKUP($C371,Orders!$A:$J,3,FALSE),""))</f>
        <v/>
      </c>
      <c r="F371" s="40" t="str">
        <f>IF($C371="","",IFERROR(VLOOKUP($C371,Orders!$A:$J,4,FALSE),""))</f>
        <v/>
      </c>
      <c r="G371" s="40" t="str">
        <f>IF($C371="","",IFERROR(VLOOKUP($C371,Orders!$A:$J,5,FALSE),""))</f>
        <v/>
      </c>
      <c r="H371" s="40" t="str">
        <f>IF($C371="","",IFERROR(VLOOKUP($C371,Orders!$A:$J,6,FALSE),""))</f>
        <v/>
      </c>
      <c r="I371" s="40" t="str">
        <f>IF($C371="","",IFERROR(VLOOKUP($C371,Orders!$A:$J,7,FALSE),""))</f>
        <v/>
      </c>
      <c r="J371" s="40" t="str">
        <f>IF(Bids!$C371="","",Bids!$C371)</f>
        <v/>
      </c>
      <c r="K371" s="40" t="str">
        <f>IF($J371="","",IFERROR(VLOOKUP($J371,Grinders!$A:$N,2,FALSE),""))</f>
        <v/>
      </c>
      <c r="L371" s="40" t="str">
        <f>IF($J371="","",IFERROR(VLOOKUP($J371,Grinders!$A:$N,3,FALSE),""))</f>
        <v/>
      </c>
      <c r="M371" s="40" t="str">
        <f>IF($J371="","",IFERROR(VLOOKUP($J371,Grinders!$A:$N,4,FALSE),""))</f>
        <v/>
      </c>
      <c r="N371" s="40" t="str">
        <f>IF($J371="","",IFERROR(VLOOKUP($J371,Grinders!$A:$N,5,FALSE),""))</f>
        <v/>
      </c>
      <c r="O371" s="40" t="str">
        <f t="shared" si="2"/>
        <v/>
      </c>
      <c r="P371" s="40" t="str">
        <f>IF($J371="","",IFERROR(VLOOKUP($J371,Grinders!$A:$N,6,FALSE),""))</f>
        <v/>
      </c>
      <c r="Q371" s="40" t="str">
        <f>IF($J371="","",IFERROR(VLOOKUP($J371,Grinders!$A:$N,8,FALSE),""))</f>
        <v/>
      </c>
      <c r="R371" s="40" t="str">
        <f>IFERROR(IF($J371="","",IF($L371="Elite",MAX(50,MIN(100,Config!$B$27*MAX(0,MIN(100,(1-IF($O371="",0,$O371))*100)) + Config!$B$28*MAX(0,MIN(100,(1-MIN(1,IF(Config!$B$30=0,1,$P371/Config!$B$30)))*100)) + Config!$B$29*MAX(0,MIN(100,MIN(1,IF($Q371="",0,$Q371)/Config!$B$23)*100)))),MIN(100,Config!$B$27*MAX(0,MIN(100,(1-IF($O371="",0,$O371))*100)) + Config!$B$28*MAX(0,MIN(100,(1-MIN(1,IF(Config!$B$30=0,1,$P371/Config!$B$30)))*100)) + Config!$B$29*MAX(0,MIN(100,MIN(1,IF($Q371="",0,$Q371)/Config!$B$23)*100))))),"")
</f>
        <v/>
      </c>
      <c r="S371" s="40" t="str">
        <f>IF(Bids!$AC371="","",Bids!$AC371)</f>
        <v/>
      </c>
      <c r="T371" s="40" t="str">
        <f>IF(Bids!$F371="","",Bids!$F371)</f>
        <v/>
      </c>
      <c r="U371" s="40" t="str">
        <f t="shared" si="3"/>
        <v/>
      </c>
      <c r="V371" s="40" t="str">
        <f>IF($U371="","",IF(Config!$B$17=Config!$B$16,IF($U371&gt;=Config!$B$17,100,0),MAX(0,MIN(100,($U371-Config!$B$16)/(Config!$B$17-Config!$B$16)*100))))</f>
        <v/>
      </c>
      <c r="W371" s="40">
        <f>IF($L371="Elite",Config!$B$21,0)</f>
        <v>0</v>
      </c>
      <c r="X371" s="40" t="str">
        <f>IFERROR(IF(OR($T371="",$G371=""),"",IF($T371&gt;$G371,
  MAX(0, 60-(($T371-$G371)*24/Config!$B$19)*60),
  MEDIAN(60, 100, 60+(($G371-$T371)*24/Config!$B$20)*40)
)),"")
</f>
        <v/>
      </c>
      <c r="Y371" s="40" t="str">
        <f>IF($J371="","",IFERROR(VLOOKUP($J371,Grinders!$A:$N,10,FALSE),""))</f>
        <v/>
      </c>
      <c r="Z371" s="40" t="str">
        <f>IF($J371="","",IFERROR(VLOOKUP($J371,Grinders!$A:$N,11,FALSE),""))</f>
        <v/>
      </c>
      <c r="AA371" s="40" t="str">
        <f>IF($J371="","",IFERROR(VLOOKUP($J371,Grinders!$A:$N,12,FALSE),""))</f>
        <v/>
      </c>
      <c r="AB371" s="40" t="str">
        <f>IF(OR(AL371=1,AM371=1),0,=IFERROR(IF(OR($C371="",$J371=""),0,IF($D371&lt;&gt;"Open",0,IF(COUNTIFS(GrinderServices!$A:$A,$J371,GrinderServices!$B:$B,$E371,GrinderServices!$D:$D,"Y")=0,0,IF($U371&lt;Config!$B$16,0,IF(Config!$B$18=1,IF($N371&gt;=$M371,0,1),1))))),""))</f>
        <v>#ERROR!</v>
      </c>
      <c r="AC371" s="40" t="str">
        <f>IFERROR((IF(OR(AL371=1,AM371=1),"",=IFERROR((IFERROR(IF($AB371=0,"",((Config!$B$6*$V371 + Config!$B$7*$R371 + Config!$B$8*$W371 + Config!$B$9*$X371 + Config!$B$10*$Y371 + Config!$B$11*$Z371 - Config!$B$12*$AA371)/Config!$B$13)+$AH371+$AI371),""))*(1-IFERROR(VLOOKUP(J371,Grinders!$A:$AB, 28, FALSE),0)),"")))*(1+AO371),"")</f>
        <v>#ERROR!</v>
      </c>
      <c r="AD371" s="40" t="str">
        <f t="shared" si="4"/>
        <v/>
      </c>
      <c r="AE371" s="40" t="str">
        <f>IFERROR(__xludf.DUMMYFUNCTION("IF($AC371="""","""",IF($AC371=IFERROR(MAX(FILTER($AC$6:$AC$1000,$C$6:$C$1000=$C371,$AB$6:$AB$1000=1)),),""WINNER"",""""))"),"#ERROR!")</f>
        <v>#ERROR!</v>
      </c>
      <c r="AF371" s="40" t="str">
        <f t="shared" si="5"/>
        <v/>
      </c>
      <c r="AG371" s="40" t="str">
        <f>IF($J371="","",COUNTIF(Assignments!$B:$B,$J371))</f>
        <v/>
      </c>
      <c r="AH371" s="40" t="str">
        <f>IF($J371="","",IF(AND($AG371=0,$N371&lt;$M371),Config!$B$43,0))</f>
        <v/>
      </c>
      <c r="AI371" s="40" t="str">
        <f>IF($J371="","",IF(AND($L371="Elite",$F371&gt;=Config!$B$41,$N371&lt;$M371),Config!$B$42,0))</f>
        <v/>
      </c>
      <c r="AJ371" s="22"/>
      <c r="AK371" s="39">
        <f>IFERROR(VLOOKUP(J371,Grinders!$A:$Q,28,FALSE),0)</f>
        <v>0</v>
      </c>
      <c r="AL371" s="39">
        <f>IF(Config!$B$1003&lt;&gt;"Y",0,IF(IFERROR(VLOOKUP(J371,Grinders!$A:$P,27,FALSE),0)&gt;=3,IF(OR(F371&gt;=Config!$B$1001,ISNUMBER(SEARCH(E371,Config!$B$1002))),1,0),0))</f>
        <v>0</v>
      </c>
      <c r="AM371" s="39">
        <f t="array" ref="AM371">IFERROR(IF(INDEX(Bids!$AE:$AE,MATCH(B371,Bids!$A:$A,0))="Pending",1,0),0)</f>
        <v>0</v>
      </c>
      <c r="AN371" s="39" t="str">
        <f t="array" ref="AN371">IF(C371="","",IFERROR(XLOOKUP(C371,Assignments!$C:$C,Assignments!$AU:$AU,0),0))</f>
        <v/>
      </c>
      <c r="AO371" s="39">
        <f>IF(AND(Config!$B$1006="Y",AN371=1),Config!$B$1007,0)</f>
        <v>0</v>
      </c>
    </row>
    <row r="372" ht="15.75" customHeight="1">
      <c r="A372" s="46" t="str">
        <f t="shared" si="1"/>
        <v/>
      </c>
      <c r="B372" s="40" t="str">
        <f>IF(Bids!$A372="","",Bids!$A372)</f>
        <v/>
      </c>
      <c r="C372" s="40" t="str">
        <f>IF(Bids!$B372="","",Bids!$B372)</f>
        <v/>
      </c>
      <c r="D372" s="40" t="str">
        <f>IF($C372="","",IFERROR(VLOOKUP($C372,Orders!$A:$J,9,FALSE),""))</f>
        <v/>
      </c>
      <c r="E372" s="40" t="str">
        <f>IF($C372="","",IFERROR(VLOOKUP($C372,Orders!$A:$J,3,FALSE),""))</f>
        <v/>
      </c>
      <c r="F372" s="40" t="str">
        <f>IF($C372="","",IFERROR(VLOOKUP($C372,Orders!$A:$J,4,FALSE),""))</f>
        <v/>
      </c>
      <c r="G372" s="40" t="str">
        <f>IF($C372="","",IFERROR(VLOOKUP($C372,Orders!$A:$J,5,FALSE),""))</f>
        <v/>
      </c>
      <c r="H372" s="40" t="str">
        <f>IF($C372="","",IFERROR(VLOOKUP($C372,Orders!$A:$J,6,FALSE),""))</f>
        <v/>
      </c>
      <c r="I372" s="40" t="str">
        <f>IF($C372="","",IFERROR(VLOOKUP($C372,Orders!$A:$J,7,FALSE),""))</f>
        <v/>
      </c>
      <c r="J372" s="40" t="str">
        <f>IF(Bids!$C372="","",Bids!$C372)</f>
        <v/>
      </c>
      <c r="K372" s="40" t="str">
        <f>IF($J372="","",IFERROR(VLOOKUP($J372,Grinders!$A:$N,2,FALSE),""))</f>
        <v/>
      </c>
      <c r="L372" s="40" t="str">
        <f>IF($J372="","",IFERROR(VLOOKUP($J372,Grinders!$A:$N,3,FALSE),""))</f>
        <v/>
      </c>
      <c r="M372" s="40" t="str">
        <f>IF($J372="","",IFERROR(VLOOKUP($J372,Grinders!$A:$N,4,FALSE),""))</f>
        <v/>
      </c>
      <c r="N372" s="40" t="str">
        <f>IF($J372="","",IFERROR(VLOOKUP($J372,Grinders!$A:$N,5,FALSE),""))</f>
        <v/>
      </c>
      <c r="O372" s="40" t="str">
        <f t="shared" si="2"/>
        <v/>
      </c>
      <c r="P372" s="40" t="str">
        <f>IF($J372="","",IFERROR(VLOOKUP($J372,Grinders!$A:$N,6,FALSE),""))</f>
        <v/>
      </c>
      <c r="Q372" s="40" t="str">
        <f>IF($J372="","",IFERROR(VLOOKUP($J372,Grinders!$A:$N,8,FALSE),""))</f>
        <v/>
      </c>
      <c r="R372" s="40" t="str">
        <f>IFERROR(IF($J372="","",IF($L372="Elite",MAX(50,MIN(100,Config!$B$27*MAX(0,MIN(100,(1-IF($O372="",0,$O372))*100)) + Config!$B$28*MAX(0,MIN(100,(1-MIN(1,IF(Config!$B$30=0,1,$P372/Config!$B$30)))*100)) + Config!$B$29*MAX(0,MIN(100,MIN(1,IF($Q372="",0,$Q372)/Config!$B$23)*100)))),MIN(100,Config!$B$27*MAX(0,MIN(100,(1-IF($O372="",0,$O372))*100)) + Config!$B$28*MAX(0,MIN(100,(1-MIN(1,IF(Config!$B$30=0,1,$P372/Config!$B$30)))*100)) + Config!$B$29*MAX(0,MIN(100,MIN(1,IF($Q372="",0,$Q372)/Config!$B$23)*100))))),"")
</f>
        <v/>
      </c>
      <c r="S372" s="40" t="str">
        <f>IF(Bids!$AC372="","",Bids!$AC372)</f>
        <v/>
      </c>
      <c r="T372" s="40" t="str">
        <f>IF(Bids!$F372="","",Bids!$F372)</f>
        <v/>
      </c>
      <c r="U372" s="40" t="str">
        <f t="shared" si="3"/>
        <v/>
      </c>
      <c r="V372" s="40" t="str">
        <f>IF($U372="","",IF(Config!$B$17=Config!$B$16,IF($U372&gt;=Config!$B$17,100,0),MAX(0,MIN(100,($U372-Config!$B$16)/(Config!$B$17-Config!$B$16)*100))))</f>
        <v/>
      </c>
      <c r="W372" s="40">
        <f>IF($L372="Elite",Config!$B$21,0)</f>
        <v>0</v>
      </c>
      <c r="X372" s="40" t="str">
        <f>IFERROR(IF(OR($T372="",$G372=""),"",IF($T372&gt;$G372,
  MAX(0, 60-(($T372-$G372)*24/Config!$B$19)*60),
  MEDIAN(60, 100, 60+(($G372-$T372)*24/Config!$B$20)*40)
)),"")
</f>
        <v/>
      </c>
      <c r="Y372" s="40" t="str">
        <f>IF($J372="","",IFERROR(VLOOKUP($J372,Grinders!$A:$N,10,FALSE),""))</f>
        <v/>
      </c>
      <c r="Z372" s="40" t="str">
        <f>IF($J372="","",IFERROR(VLOOKUP($J372,Grinders!$A:$N,11,FALSE),""))</f>
        <v/>
      </c>
      <c r="AA372" s="40" t="str">
        <f>IF($J372="","",IFERROR(VLOOKUP($J372,Grinders!$A:$N,12,FALSE),""))</f>
        <v/>
      </c>
      <c r="AB372" s="40" t="str">
        <f>IF(OR(AL372=1,AM372=1),0,=IFERROR(IF(OR($C372="",$J372=""),0,IF($D372&lt;&gt;"Open",0,IF(COUNTIFS(GrinderServices!$A:$A,$J372,GrinderServices!$B:$B,$E372,GrinderServices!$D:$D,"Y")=0,0,IF($U372&lt;Config!$B$16,0,IF(Config!$B$18=1,IF($N372&gt;=$M372,0,1),1))))),""))</f>
        <v>#ERROR!</v>
      </c>
      <c r="AC372" s="40" t="str">
        <f>IFERROR((IF(OR(AL372=1,AM372=1),"",=IFERROR((IFERROR(IF($AB372=0,"",((Config!$B$6*$V372 + Config!$B$7*$R372 + Config!$B$8*$W372 + Config!$B$9*$X372 + Config!$B$10*$Y372 + Config!$B$11*$Z372 - Config!$B$12*$AA372)/Config!$B$13)+$AH372+$AI372),""))*(1-IFERROR(VLOOKUP(J372,Grinders!$A:$AB, 28, FALSE),0)),"")))*(1+AO372),"")</f>
        <v>#ERROR!</v>
      </c>
      <c r="AD372" s="40" t="str">
        <f t="shared" si="4"/>
        <v/>
      </c>
      <c r="AE372" s="40" t="str">
        <f>IFERROR(__xludf.DUMMYFUNCTION("IF($AC372="""","""",IF($AC372=IFERROR(MAX(FILTER($AC$6:$AC$1000,$C$6:$C$1000=$C372,$AB$6:$AB$1000=1)),),""WINNER"",""""))"),"#ERROR!")</f>
        <v>#ERROR!</v>
      </c>
      <c r="AF372" s="40" t="str">
        <f t="shared" si="5"/>
        <v/>
      </c>
      <c r="AG372" s="40" t="str">
        <f>IF($J372="","",COUNTIF(Assignments!$B:$B,$J372))</f>
        <v/>
      </c>
      <c r="AH372" s="40" t="str">
        <f>IF($J372="","",IF(AND($AG372=0,$N372&lt;$M372),Config!$B$43,0))</f>
        <v/>
      </c>
      <c r="AI372" s="40" t="str">
        <f>IF($J372="","",IF(AND($L372="Elite",$F372&gt;=Config!$B$41,$N372&lt;$M372),Config!$B$42,0))</f>
        <v/>
      </c>
      <c r="AJ372" s="22"/>
      <c r="AK372" s="39">
        <f>IFERROR(VLOOKUP(J372,Grinders!$A:$Q,28,FALSE),0)</f>
        <v>0</v>
      </c>
      <c r="AL372" s="39">
        <f>IF(Config!$B$1003&lt;&gt;"Y",0,IF(IFERROR(VLOOKUP(J372,Grinders!$A:$P,27,FALSE),0)&gt;=3,IF(OR(F372&gt;=Config!$B$1001,ISNUMBER(SEARCH(E372,Config!$B$1002))),1,0),0))</f>
        <v>0</v>
      </c>
      <c r="AM372" s="39">
        <f t="array" ref="AM372">IFERROR(IF(INDEX(Bids!$AE:$AE,MATCH(B372,Bids!$A:$A,0))="Pending",1,0),0)</f>
        <v>0</v>
      </c>
      <c r="AN372" s="39" t="str">
        <f t="array" ref="AN372">IF(C372="","",IFERROR(XLOOKUP(C372,Assignments!$C:$C,Assignments!$AU:$AU,0),0))</f>
        <v/>
      </c>
      <c r="AO372" s="39">
        <f>IF(AND(Config!$B$1006="Y",AN372=1),Config!$B$1007,0)</f>
        <v>0</v>
      </c>
    </row>
    <row r="373" ht="15.75" customHeight="1">
      <c r="A373" s="46" t="str">
        <f t="shared" si="1"/>
        <v/>
      </c>
      <c r="B373" s="40" t="str">
        <f>IF(Bids!$A373="","",Bids!$A373)</f>
        <v/>
      </c>
      <c r="C373" s="40" t="str">
        <f>IF(Bids!$B373="","",Bids!$B373)</f>
        <v/>
      </c>
      <c r="D373" s="40" t="str">
        <f>IF($C373="","",IFERROR(VLOOKUP($C373,Orders!$A:$J,9,FALSE),""))</f>
        <v/>
      </c>
      <c r="E373" s="40" t="str">
        <f>IF($C373="","",IFERROR(VLOOKUP($C373,Orders!$A:$J,3,FALSE),""))</f>
        <v/>
      </c>
      <c r="F373" s="40" t="str">
        <f>IF($C373="","",IFERROR(VLOOKUP($C373,Orders!$A:$J,4,FALSE),""))</f>
        <v/>
      </c>
      <c r="G373" s="40" t="str">
        <f>IF($C373="","",IFERROR(VLOOKUP($C373,Orders!$A:$J,5,FALSE),""))</f>
        <v/>
      </c>
      <c r="H373" s="40" t="str">
        <f>IF($C373="","",IFERROR(VLOOKUP($C373,Orders!$A:$J,6,FALSE),""))</f>
        <v/>
      </c>
      <c r="I373" s="40" t="str">
        <f>IF($C373="","",IFERROR(VLOOKUP($C373,Orders!$A:$J,7,FALSE),""))</f>
        <v/>
      </c>
      <c r="J373" s="40" t="str">
        <f>IF(Bids!$C373="","",Bids!$C373)</f>
        <v/>
      </c>
      <c r="K373" s="40" t="str">
        <f>IF($J373="","",IFERROR(VLOOKUP($J373,Grinders!$A:$N,2,FALSE),""))</f>
        <v/>
      </c>
      <c r="L373" s="40" t="str">
        <f>IF($J373="","",IFERROR(VLOOKUP($J373,Grinders!$A:$N,3,FALSE),""))</f>
        <v/>
      </c>
      <c r="M373" s="40" t="str">
        <f>IF($J373="","",IFERROR(VLOOKUP($J373,Grinders!$A:$N,4,FALSE),""))</f>
        <v/>
      </c>
      <c r="N373" s="40" t="str">
        <f>IF($J373="","",IFERROR(VLOOKUP($J373,Grinders!$A:$N,5,FALSE),""))</f>
        <v/>
      </c>
      <c r="O373" s="40" t="str">
        <f t="shared" si="2"/>
        <v/>
      </c>
      <c r="P373" s="40" t="str">
        <f>IF($J373="","",IFERROR(VLOOKUP($J373,Grinders!$A:$N,6,FALSE),""))</f>
        <v/>
      </c>
      <c r="Q373" s="40" t="str">
        <f>IF($J373="","",IFERROR(VLOOKUP($J373,Grinders!$A:$N,8,FALSE),""))</f>
        <v/>
      </c>
      <c r="R373" s="40" t="str">
        <f>IFERROR(IF($J373="","",IF($L373="Elite",MAX(50,MIN(100,Config!$B$27*MAX(0,MIN(100,(1-IF($O373="",0,$O373))*100)) + Config!$B$28*MAX(0,MIN(100,(1-MIN(1,IF(Config!$B$30=0,1,$P373/Config!$B$30)))*100)) + Config!$B$29*MAX(0,MIN(100,MIN(1,IF($Q373="",0,$Q373)/Config!$B$23)*100)))),MIN(100,Config!$B$27*MAX(0,MIN(100,(1-IF($O373="",0,$O373))*100)) + Config!$B$28*MAX(0,MIN(100,(1-MIN(1,IF(Config!$B$30=0,1,$P373/Config!$B$30)))*100)) + Config!$B$29*MAX(0,MIN(100,MIN(1,IF($Q373="",0,$Q373)/Config!$B$23)*100))))),"")
</f>
        <v/>
      </c>
      <c r="S373" s="40" t="str">
        <f>IF(Bids!$AC373="","",Bids!$AC373)</f>
        <v/>
      </c>
      <c r="T373" s="40" t="str">
        <f>IF(Bids!$F373="","",Bids!$F373)</f>
        <v/>
      </c>
      <c r="U373" s="40" t="str">
        <f t="shared" si="3"/>
        <v/>
      </c>
      <c r="V373" s="40" t="str">
        <f>IF($U373="","",IF(Config!$B$17=Config!$B$16,IF($U373&gt;=Config!$B$17,100,0),MAX(0,MIN(100,($U373-Config!$B$16)/(Config!$B$17-Config!$B$16)*100))))</f>
        <v/>
      </c>
      <c r="W373" s="40">
        <f>IF($L373="Elite",Config!$B$21,0)</f>
        <v>0</v>
      </c>
      <c r="X373" s="40" t="str">
        <f>IFERROR(IF(OR($T373="",$G373=""),"",IF($T373&gt;$G373,
  MAX(0, 60-(($T373-$G373)*24/Config!$B$19)*60),
  MEDIAN(60, 100, 60+(($G373-$T373)*24/Config!$B$20)*40)
)),"")
</f>
        <v/>
      </c>
      <c r="Y373" s="40" t="str">
        <f>IF($J373="","",IFERROR(VLOOKUP($J373,Grinders!$A:$N,10,FALSE),""))</f>
        <v/>
      </c>
      <c r="Z373" s="40" t="str">
        <f>IF($J373="","",IFERROR(VLOOKUP($J373,Grinders!$A:$N,11,FALSE),""))</f>
        <v/>
      </c>
      <c r="AA373" s="40" t="str">
        <f>IF($J373="","",IFERROR(VLOOKUP($J373,Grinders!$A:$N,12,FALSE),""))</f>
        <v/>
      </c>
      <c r="AB373" s="40" t="str">
        <f>IF(OR(AL373=1,AM373=1),0,=IFERROR(IF(OR($C373="",$J373=""),0,IF($D373&lt;&gt;"Open",0,IF(COUNTIFS(GrinderServices!$A:$A,$J373,GrinderServices!$B:$B,$E373,GrinderServices!$D:$D,"Y")=0,0,IF($U373&lt;Config!$B$16,0,IF(Config!$B$18=1,IF($N373&gt;=$M373,0,1),1))))),""))</f>
        <v>#ERROR!</v>
      </c>
      <c r="AC373" s="40" t="str">
        <f>IFERROR((IF(OR(AL373=1,AM373=1),"",=IFERROR((IFERROR(IF($AB373=0,"",((Config!$B$6*$V373 + Config!$B$7*$R373 + Config!$B$8*$W373 + Config!$B$9*$X373 + Config!$B$10*$Y373 + Config!$B$11*$Z373 - Config!$B$12*$AA373)/Config!$B$13)+$AH373+$AI373),""))*(1-IFERROR(VLOOKUP(J373,Grinders!$A:$AB, 28, FALSE),0)),"")))*(1+AO373),"")</f>
        <v>#ERROR!</v>
      </c>
      <c r="AD373" s="40" t="str">
        <f t="shared" si="4"/>
        <v/>
      </c>
      <c r="AE373" s="40" t="str">
        <f>IFERROR(__xludf.DUMMYFUNCTION("IF($AC373="""","""",IF($AC373=IFERROR(MAX(FILTER($AC$6:$AC$1000,$C$6:$C$1000=$C373,$AB$6:$AB$1000=1)),),""WINNER"",""""))"),"#ERROR!")</f>
        <v>#ERROR!</v>
      </c>
      <c r="AF373" s="40" t="str">
        <f t="shared" si="5"/>
        <v/>
      </c>
      <c r="AG373" s="40" t="str">
        <f>IF($J373="","",COUNTIF(Assignments!$B:$B,$J373))</f>
        <v/>
      </c>
      <c r="AH373" s="40" t="str">
        <f>IF($J373="","",IF(AND($AG373=0,$N373&lt;$M373),Config!$B$43,0))</f>
        <v/>
      </c>
      <c r="AI373" s="40" t="str">
        <f>IF($J373="","",IF(AND($L373="Elite",$F373&gt;=Config!$B$41,$N373&lt;$M373),Config!$B$42,0))</f>
        <v/>
      </c>
      <c r="AJ373" s="22"/>
      <c r="AK373" s="39">
        <f>IFERROR(VLOOKUP(J373,Grinders!$A:$Q,28,FALSE),0)</f>
        <v>0</v>
      </c>
      <c r="AL373" s="39">
        <f>IF(Config!$B$1003&lt;&gt;"Y",0,IF(IFERROR(VLOOKUP(J373,Grinders!$A:$P,27,FALSE),0)&gt;=3,IF(OR(F373&gt;=Config!$B$1001,ISNUMBER(SEARCH(E373,Config!$B$1002))),1,0),0))</f>
        <v>0</v>
      </c>
      <c r="AM373" s="39">
        <f t="array" ref="AM373">IFERROR(IF(INDEX(Bids!$AE:$AE,MATCH(B373,Bids!$A:$A,0))="Pending",1,0),0)</f>
        <v>0</v>
      </c>
      <c r="AN373" s="39" t="str">
        <f t="array" ref="AN373">IF(C373="","",IFERROR(XLOOKUP(C373,Assignments!$C:$C,Assignments!$AU:$AU,0),0))</f>
        <v/>
      </c>
      <c r="AO373" s="39">
        <f>IF(AND(Config!$B$1006="Y",AN373=1),Config!$B$1007,0)</f>
        <v>0</v>
      </c>
    </row>
    <row r="374" ht="15.75" customHeight="1">
      <c r="A374" s="46" t="str">
        <f t="shared" si="1"/>
        <v/>
      </c>
      <c r="B374" s="40" t="str">
        <f>IF(Bids!$A374="","",Bids!$A374)</f>
        <v/>
      </c>
      <c r="C374" s="40" t="str">
        <f>IF(Bids!$B374="","",Bids!$B374)</f>
        <v/>
      </c>
      <c r="D374" s="40" t="str">
        <f>IF($C374="","",IFERROR(VLOOKUP($C374,Orders!$A:$J,9,FALSE),""))</f>
        <v/>
      </c>
      <c r="E374" s="40" t="str">
        <f>IF($C374="","",IFERROR(VLOOKUP($C374,Orders!$A:$J,3,FALSE),""))</f>
        <v/>
      </c>
      <c r="F374" s="40" t="str">
        <f>IF($C374="","",IFERROR(VLOOKUP($C374,Orders!$A:$J,4,FALSE),""))</f>
        <v/>
      </c>
      <c r="G374" s="40" t="str">
        <f>IF($C374="","",IFERROR(VLOOKUP($C374,Orders!$A:$J,5,FALSE),""))</f>
        <v/>
      </c>
      <c r="H374" s="40" t="str">
        <f>IF($C374="","",IFERROR(VLOOKUP($C374,Orders!$A:$J,6,FALSE),""))</f>
        <v/>
      </c>
      <c r="I374" s="40" t="str">
        <f>IF($C374="","",IFERROR(VLOOKUP($C374,Orders!$A:$J,7,FALSE),""))</f>
        <v/>
      </c>
      <c r="J374" s="40" t="str">
        <f>IF(Bids!$C374="","",Bids!$C374)</f>
        <v/>
      </c>
      <c r="K374" s="40" t="str">
        <f>IF($J374="","",IFERROR(VLOOKUP($J374,Grinders!$A:$N,2,FALSE),""))</f>
        <v/>
      </c>
      <c r="L374" s="40" t="str">
        <f>IF($J374="","",IFERROR(VLOOKUP($J374,Grinders!$A:$N,3,FALSE),""))</f>
        <v/>
      </c>
      <c r="M374" s="40" t="str">
        <f>IF($J374="","",IFERROR(VLOOKUP($J374,Grinders!$A:$N,4,FALSE),""))</f>
        <v/>
      </c>
      <c r="N374" s="40" t="str">
        <f>IF($J374="","",IFERROR(VLOOKUP($J374,Grinders!$A:$N,5,FALSE),""))</f>
        <v/>
      </c>
      <c r="O374" s="40" t="str">
        <f t="shared" si="2"/>
        <v/>
      </c>
      <c r="P374" s="40" t="str">
        <f>IF($J374="","",IFERROR(VLOOKUP($J374,Grinders!$A:$N,6,FALSE),""))</f>
        <v/>
      </c>
      <c r="Q374" s="40" t="str">
        <f>IF($J374="","",IFERROR(VLOOKUP($J374,Grinders!$A:$N,8,FALSE),""))</f>
        <v/>
      </c>
      <c r="R374" s="40" t="str">
        <f>IFERROR(IF($J374="","",IF($L374="Elite",MAX(50,MIN(100,Config!$B$27*MAX(0,MIN(100,(1-IF($O374="",0,$O374))*100)) + Config!$B$28*MAX(0,MIN(100,(1-MIN(1,IF(Config!$B$30=0,1,$P374/Config!$B$30)))*100)) + Config!$B$29*MAX(0,MIN(100,MIN(1,IF($Q374="",0,$Q374)/Config!$B$23)*100)))),MIN(100,Config!$B$27*MAX(0,MIN(100,(1-IF($O374="",0,$O374))*100)) + Config!$B$28*MAX(0,MIN(100,(1-MIN(1,IF(Config!$B$30=0,1,$P374/Config!$B$30)))*100)) + Config!$B$29*MAX(0,MIN(100,MIN(1,IF($Q374="",0,$Q374)/Config!$B$23)*100))))),"")
</f>
        <v/>
      </c>
      <c r="S374" s="40" t="str">
        <f>IF(Bids!$AC374="","",Bids!$AC374)</f>
        <v/>
      </c>
      <c r="T374" s="40" t="str">
        <f>IF(Bids!$F374="","",Bids!$F374)</f>
        <v/>
      </c>
      <c r="U374" s="40" t="str">
        <f t="shared" si="3"/>
        <v/>
      </c>
      <c r="V374" s="40" t="str">
        <f>IF($U374="","",IF(Config!$B$17=Config!$B$16,IF($U374&gt;=Config!$B$17,100,0),MAX(0,MIN(100,($U374-Config!$B$16)/(Config!$B$17-Config!$B$16)*100))))</f>
        <v/>
      </c>
      <c r="W374" s="40">
        <f>IF($L374="Elite",Config!$B$21,0)</f>
        <v>0</v>
      </c>
      <c r="X374" s="40" t="str">
        <f>IFERROR(IF(OR($T374="",$G374=""),"",IF($T374&gt;$G374,
  MAX(0, 60-(($T374-$G374)*24/Config!$B$19)*60),
  MEDIAN(60, 100, 60+(($G374-$T374)*24/Config!$B$20)*40)
)),"")
</f>
        <v/>
      </c>
      <c r="Y374" s="40" t="str">
        <f>IF($J374="","",IFERROR(VLOOKUP($J374,Grinders!$A:$N,10,FALSE),""))</f>
        <v/>
      </c>
      <c r="Z374" s="40" t="str">
        <f>IF($J374="","",IFERROR(VLOOKUP($J374,Grinders!$A:$N,11,FALSE),""))</f>
        <v/>
      </c>
      <c r="AA374" s="40" t="str">
        <f>IF($J374="","",IFERROR(VLOOKUP($J374,Grinders!$A:$N,12,FALSE),""))</f>
        <v/>
      </c>
      <c r="AB374" s="40" t="str">
        <f>IF(OR(AL374=1,AM374=1),0,=IFERROR(IF(OR($C374="",$J374=""),0,IF($D374&lt;&gt;"Open",0,IF(COUNTIFS(GrinderServices!$A:$A,$J374,GrinderServices!$B:$B,$E374,GrinderServices!$D:$D,"Y")=0,0,IF($U374&lt;Config!$B$16,0,IF(Config!$B$18=1,IF($N374&gt;=$M374,0,1),1))))),""))</f>
        <v>#ERROR!</v>
      </c>
      <c r="AC374" s="40" t="str">
        <f>IFERROR((IF(OR(AL374=1,AM374=1),"",=IFERROR((IFERROR(IF($AB374=0,"",((Config!$B$6*$V374 + Config!$B$7*$R374 + Config!$B$8*$W374 + Config!$B$9*$X374 + Config!$B$10*$Y374 + Config!$B$11*$Z374 - Config!$B$12*$AA374)/Config!$B$13)+$AH374+$AI374),""))*(1-IFERROR(VLOOKUP(J374,Grinders!$A:$AB, 28, FALSE),0)),"")))*(1+AO374),"")</f>
        <v>#ERROR!</v>
      </c>
      <c r="AD374" s="40" t="str">
        <f t="shared" si="4"/>
        <v/>
      </c>
      <c r="AE374" s="40" t="str">
        <f>IFERROR(__xludf.DUMMYFUNCTION("IF($AC374="""","""",IF($AC374=IFERROR(MAX(FILTER($AC$6:$AC$1000,$C$6:$C$1000=$C374,$AB$6:$AB$1000=1)),),""WINNER"",""""))"),"#ERROR!")</f>
        <v>#ERROR!</v>
      </c>
      <c r="AF374" s="40" t="str">
        <f t="shared" si="5"/>
        <v/>
      </c>
      <c r="AG374" s="40" t="str">
        <f>IF($J374="","",COUNTIF(Assignments!$B:$B,$J374))</f>
        <v/>
      </c>
      <c r="AH374" s="40" t="str">
        <f>IF($J374="","",IF(AND($AG374=0,$N374&lt;$M374),Config!$B$43,0))</f>
        <v/>
      </c>
      <c r="AI374" s="40" t="str">
        <f>IF($J374="","",IF(AND($L374="Elite",$F374&gt;=Config!$B$41,$N374&lt;$M374),Config!$B$42,0))</f>
        <v/>
      </c>
      <c r="AJ374" s="22"/>
      <c r="AK374" s="39">
        <f>IFERROR(VLOOKUP(J374,Grinders!$A:$Q,28,FALSE),0)</f>
        <v>0</v>
      </c>
      <c r="AL374" s="39">
        <f>IF(Config!$B$1003&lt;&gt;"Y",0,IF(IFERROR(VLOOKUP(J374,Grinders!$A:$P,27,FALSE),0)&gt;=3,IF(OR(F374&gt;=Config!$B$1001,ISNUMBER(SEARCH(E374,Config!$B$1002))),1,0),0))</f>
        <v>0</v>
      </c>
      <c r="AM374" s="39">
        <f t="array" ref="AM374">IFERROR(IF(INDEX(Bids!$AE:$AE,MATCH(B374,Bids!$A:$A,0))="Pending",1,0),0)</f>
        <v>0</v>
      </c>
      <c r="AN374" s="39" t="str">
        <f t="array" ref="AN374">IF(C374="","",IFERROR(XLOOKUP(C374,Assignments!$C:$C,Assignments!$AU:$AU,0),0))</f>
        <v/>
      </c>
      <c r="AO374" s="39">
        <f>IF(AND(Config!$B$1006="Y",AN374=1),Config!$B$1007,0)</f>
        <v>0</v>
      </c>
    </row>
    <row r="375" ht="15.75" customHeight="1">
      <c r="A375" s="46" t="str">
        <f t="shared" si="1"/>
        <v/>
      </c>
      <c r="B375" s="40" t="str">
        <f>IF(Bids!$A375="","",Bids!$A375)</f>
        <v/>
      </c>
      <c r="C375" s="40" t="str">
        <f>IF(Bids!$B375="","",Bids!$B375)</f>
        <v/>
      </c>
      <c r="D375" s="40" t="str">
        <f>IF($C375="","",IFERROR(VLOOKUP($C375,Orders!$A:$J,9,FALSE),""))</f>
        <v/>
      </c>
      <c r="E375" s="40" t="str">
        <f>IF($C375="","",IFERROR(VLOOKUP($C375,Orders!$A:$J,3,FALSE),""))</f>
        <v/>
      </c>
      <c r="F375" s="40" t="str">
        <f>IF($C375="","",IFERROR(VLOOKUP($C375,Orders!$A:$J,4,FALSE),""))</f>
        <v/>
      </c>
      <c r="G375" s="40" t="str">
        <f>IF($C375="","",IFERROR(VLOOKUP($C375,Orders!$A:$J,5,FALSE),""))</f>
        <v/>
      </c>
      <c r="H375" s="40" t="str">
        <f>IF($C375="","",IFERROR(VLOOKUP($C375,Orders!$A:$J,6,FALSE),""))</f>
        <v/>
      </c>
      <c r="I375" s="40" t="str">
        <f>IF($C375="","",IFERROR(VLOOKUP($C375,Orders!$A:$J,7,FALSE),""))</f>
        <v/>
      </c>
      <c r="J375" s="40" t="str">
        <f>IF(Bids!$C375="","",Bids!$C375)</f>
        <v/>
      </c>
      <c r="K375" s="40" t="str">
        <f>IF($J375="","",IFERROR(VLOOKUP($J375,Grinders!$A:$N,2,FALSE),""))</f>
        <v/>
      </c>
      <c r="L375" s="40" t="str">
        <f>IF($J375="","",IFERROR(VLOOKUP($J375,Grinders!$A:$N,3,FALSE),""))</f>
        <v/>
      </c>
      <c r="M375" s="40" t="str">
        <f>IF($J375="","",IFERROR(VLOOKUP($J375,Grinders!$A:$N,4,FALSE),""))</f>
        <v/>
      </c>
      <c r="N375" s="40" t="str">
        <f>IF($J375="","",IFERROR(VLOOKUP($J375,Grinders!$A:$N,5,FALSE),""))</f>
        <v/>
      </c>
      <c r="O375" s="40" t="str">
        <f t="shared" si="2"/>
        <v/>
      </c>
      <c r="P375" s="40" t="str">
        <f>IF($J375="","",IFERROR(VLOOKUP($J375,Grinders!$A:$N,6,FALSE),""))</f>
        <v/>
      </c>
      <c r="Q375" s="40" t="str">
        <f>IF($J375="","",IFERROR(VLOOKUP($J375,Grinders!$A:$N,8,FALSE),""))</f>
        <v/>
      </c>
      <c r="R375" s="40" t="str">
        <f>IFERROR(IF($J375="","",IF($L375="Elite",MAX(50,MIN(100,Config!$B$27*MAX(0,MIN(100,(1-IF($O375="",0,$O375))*100)) + Config!$B$28*MAX(0,MIN(100,(1-MIN(1,IF(Config!$B$30=0,1,$P375/Config!$B$30)))*100)) + Config!$B$29*MAX(0,MIN(100,MIN(1,IF($Q375="",0,$Q375)/Config!$B$23)*100)))),MIN(100,Config!$B$27*MAX(0,MIN(100,(1-IF($O375="",0,$O375))*100)) + Config!$B$28*MAX(0,MIN(100,(1-MIN(1,IF(Config!$B$30=0,1,$P375/Config!$B$30)))*100)) + Config!$B$29*MAX(0,MIN(100,MIN(1,IF($Q375="",0,$Q375)/Config!$B$23)*100))))),"")
</f>
        <v/>
      </c>
      <c r="S375" s="40" t="str">
        <f>IF(Bids!$AC375="","",Bids!$AC375)</f>
        <v/>
      </c>
      <c r="T375" s="40" t="str">
        <f>IF(Bids!$F375="","",Bids!$F375)</f>
        <v/>
      </c>
      <c r="U375" s="40" t="str">
        <f t="shared" si="3"/>
        <v/>
      </c>
      <c r="V375" s="40" t="str">
        <f>IF($U375="","",IF(Config!$B$17=Config!$B$16,IF($U375&gt;=Config!$B$17,100,0),MAX(0,MIN(100,($U375-Config!$B$16)/(Config!$B$17-Config!$B$16)*100))))</f>
        <v/>
      </c>
      <c r="W375" s="40">
        <f>IF($L375="Elite",Config!$B$21,0)</f>
        <v>0</v>
      </c>
      <c r="X375" s="40" t="str">
        <f>IFERROR(IF(OR($T375="",$G375=""),"",IF($T375&gt;$G375,
  MAX(0, 60-(($T375-$G375)*24/Config!$B$19)*60),
  MEDIAN(60, 100, 60+(($G375-$T375)*24/Config!$B$20)*40)
)),"")
</f>
        <v/>
      </c>
      <c r="Y375" s="40" t="str">
        <f>IF($J375="","",IFERROR(VLOOKUP($J375,Grinders!$A:$N,10,FALSE),""))</f>
        <v/>
      </c>
      <c r="Z375" s="40" t="str">
        <f>IF($J375="","",IFERROR(VLOOKUP($J375,Grinders!$A:$N,11,FALSE),""))</f>
        <v/>
      </c>
      <c r="AA375" s="40" t="str">
        <f>IF($J375="","",IFERROR(VLOOKUP($J375,Grinders!$A:$N,12,FALSE),""))</f>
        <v/>
      </c>
      <c r="AB375" s="40" t="str">
        <f>IF(OR(AL375=1,AM375=1),0,=IFERROR(IF(OR($C375="",$J375=""),0,IF($D375&lt;&gt;"Open",0,IF(COUNTIFS(GrinderServices!$A:$A,$J375,GrinderServices!$B:$B,$E375,GrinderServices!$D:$D,"Y")=0,0,IF($U375&lt;Config!$B$16,0,IF(Config!$B$18=1,IF($N375&gt;=$M375,0,1),1))))),""))</f>
        <v>#ERROR!</v>
      </c>
      <c r="AC375" s="40" t="str">
        <f>IFERROR((IF(OR(AL375=1,AM375=1),"",=IFERROR((IFERROR(IF($AB375=0,"",((Config!$B$6*$V375 + Config!$B$7*$R375 + Config!$B$8*$W375 + Config!$B$9*$X375 + Config!$B$10*$Y375 + Config!$B$11*$Z375 - Config!$B$12*$AA375)/Config!$B$13)+$AH375+$AI375),""))*(1-IFERROR(VLOOKUP(J375,Grinders!$A:$AB, 28, FALSE),0)),"")))*(1+AO375),"")</f>
        <v>#ERROR!</v>
      </c>
      <c r="AD375" s="40" t="str">
        <f t="shared" si="4"/>
        <v/>
      </c>
      <c r="AE375" s="40" t="str">
        <f>IFERROR(__xludf.DUMMYFUNCTION("IF($AC375="""","""",IF($AC375=IFERROR(MAX(FILTER($AC$6:$AC$1000,$C$6:$C$1000=$C375,$AB$6:$AB$1000=1)),),""WINNER"",""""))"),"#ERROR!")</f>
        <v>#ERROR!</v>
      </c>
      <c r="AF375" s="40" t="str">
        <f t="shared" si="5"/>
        <v/>
      </c>
      <c r="AG375" s="40" t="str">
        <f>IF($J375="","",COUNTIF(Assignments!$B:$B,$J375))</f>
        <v/>
      </c>
      <c r="AH375" s="40" t="str">
        <f>IF($J375="","",IF(AND($AG375=0,$N375&lt;$M375),Config!$B$43,0))</f>
        <v/>
      </c>
      <c r="AI375" s="40" t="str">
        <f>IF($J375="","",IF(AND($L375="Elite",$F375&gt;=Config!$B$41,$N375&lt;$M375),Config!$B$42,0))</f>
        <v/>
      </c>
      <c r="AJ375" s="22"/>
      <c r="AK375" s="39">
        <f>IFERROR(VLOOKUP(J375,Grinders!$A:$Q,28,FALSE),0)</f>
        <v>0</v>
      </c>
      <c r="AL375" s="39">
        <f>IF(Config!$B$1003&lt;&gt;"Y",0,IF(IFERROR(VLOOKUP(J375,Grinders!$A:$P,27,FALSE),0)&gt;=3,IF(OR(F375&gt;=Config!$B$1001,ISNUMBER(SEARCH(E375,Config!$B$1002))),1,0),0))</f>
        <v>0</v>
      </c>
      <c r="AM375" s="39">
        <f t="array" ref="AM375">IFERROR(IF(INDEX(Bids!$AE:$AE,MATCH(B375,Bids!$A:$A,0))="Pending",1,0),0)</f>
        <v>0</v>
      </c>
      <c r="AN375" s="39" t="str">
        <f t="array" ref="AN375">IF(C375="","",IFERROR(XLOOKUP(C375,Assignments!$C:$C,Assignments!$AU:$AU,0),0))</f>
        <v/>
      </c>
      <c r="AO375" s="39">
        <f>IF(AND(Config!$B$1006="Y",AN375=1),Config!$B$1007,0)</f>
        <v>0</v>
      </c>
    </row>
    <row r="376" ht="15.75" customHeight="1">
      <c r="A376" s="46" t="str">
        <f t="shared" si="1"/>
        <v/>
      </c>
      <c r="B376" s="40" t="str">
        <f>IF(Bids!$A376="","",Bids!$A376)</f>
        <v/>
      </c>
      <c r="C376" s="40" t="str">
        <f>IF(Bids!$B376="","",Bids!$B376)</f>
        <v/>
      </c>
      <c r="D376" s="40" t="str">
        <f>IF($C376="","",IFERROR(VLOOKUP($C376,Orders!$A:$J,9,FALSE),""))</f>
        <v/>
      </c>
      <c r="E376" s="40" t="str">
        <f>IF($C376="","",IFERROR(VLOOKUP($C376,Orders!$A:$J,3,FALSE),""))</f>
        <v/>
      </c>
      <c r="F376" s="40" t="str">
        <f>IF($C376="","",IFERROR(VLOOKUP($C376,Orders!$A:$J,4,FALSE),""))</f>
        <v/>
      </c>
      <c r="G376" s="40" t="str">
        <f>IF($C376="","",IFERROR(VLOOKUP($C376,Orders!$A:$J,5,FALSE),""))</f>
        <v/>
      </c>
      <c r="H376" s="40" t="str">
        <f>IF($C376="","",IFERROR(VLOOKUP($C376,Orders!$A:$J,6,FALSE),""))</f>
        <v/>
      </c>
      <c r="I376" s="40" t="str">
        <f>IF($C376="","",IFERROR(VLOOKUP($C376,Orders!$A:$J,7,FALSE),""))</f>
        <v/>
      </c>
      <c r="J376" s="40" t="str">
        <f>IF(Bids!$C376="","",Bids!$C376)</f>
        <v/>
      </c>
      <c r="K376" s="40" t="str">
        <f>IF($J376="","",IFERROR(VLOOKUP($J376,Grinders!$A:$N,2,FALSE),""))</f>
        <v/>
      </c>
      <c r="L376" s="40" t="str">
        <f>IF($J376="","",IFERROR(VLOOKUP($J376,Grinders!$A:$N,3,FALSE),""))</f>
        <v/>
      </c>
      <c r="M376" s="40" t="str">
        <f>IF($J376="","",IFERROR(VLOOKUP($J376,Grinders!$A:$N,4,FALSE),""))</f>
        <v/>
      </c>
      <c r="N376" s="40" t="str">
        <f>IF($J376="","",IFERROR(VLOOKUP($J376,Grinders!$A:$N,5,FALSE),""))</f>
        <v/>
      </c>
      <c r="O376" s="40" t="str">
        <f t="shared" si="2"/>
        <v/>
      </c>
      <c r="P376" s="40" t="str">
        <f>IF($J376="","",IFERROR(VLOOKUP($J376,Grinders!$A:$N,6,FALSE),""))</f>
        <v/>
      </c>
      <c r="Q376" s="40" t="str">
        <f>IF($J376="","",IFERROR(VLOOKUP($J376,Grinders!$A:$N,8,FALSE),""))</f>
        <v/>
      </c>
      <c r="R376" s="40" t="str">
        <f>IFERROR(IF($J376="","",IF($L376="Elite",MAX(50,MIN(100,Config!$B$27*MAX(0,MIN(100,(1-IF($O376="",0,$O376))*100)) + Config!$B$28*MAX(0,MIN(100,(1-MIN(1,IF(Config!$B$30=0,1,$P376/Config!$B$30)))*100)) + Config!$B$29*MAX(0,MIN(100,MIN(1,IF($Q376="",0,$Q376)/Config!$B$23)*100)))),MIN(100,Config!$B$27*MAX(0,MIN(100,(1-IF($O376="",0,$O376))*100)) + Config!$B$28*MAX(0,MIN(100,(1-MIN(1,IF(Config!$B$30=0,1,$P376/Config!$B$30)))*100)) + Config!$B$29*MAX(0,MIN(100,MIN(1,IF($Q376="",0,$Q376)/Config!$B$23)*100))))),"")
</f>
        <v/>
      </c>
      <c r="S376" s="40" t="str">
        <f>IF(Bids!$AC376="","",Bids!$AC376)</f>
        <v/>
      </c>
      <c r="T376" s="40" t="str">
        <f>IF(Bids!$F376="","",Bids!$F376)</f>
        <v/>
      </c>
      <c r="U376" s="40" t="str">
        <f t="shared" si="3"/>
        <v/>
      </c>
      <c r="V376" s="40" t="str">
        <f>IF($U376="","",IF(Config!$B$17=Config!$B$16,IF($U376&gt;=Config!$B$17,100,0),MAX(0,MIN(100,($U376-Config!$B$16)/(Config!$B$17-Config!$B$16)*100))))</f>
        <v/>
      </c>
      <c r="W376" s="40">
        <f>IF($L376="Elite",Config!$B$21,0)</f>
        <v>0</v>
      </c>
      <c r="X376" s="40" t="str">
        <f>IFERROR(IF(OR($T376="",$G376=""),"",IF($T376&gt;$G376,
  MAX(0, 60-(($T376-$G376)*24/Config!$B$19)*60),
  MEDIAN(60, 100, 60+(($G376-$T376)*24/Config!$B$20)*40)
)),"")
</f>
        <v/>
      </c>
      <c r="Y376" s="40" t="str">
        <f>IF($J376="","",IFERROR(VLOOKUP($J376,Grinders!$A:$N,10,FALSE),""))</f>
        <v/>
      </c>
      <c r="Z376" s="40" t="str">
        <f>IF($J376="","",IFERROR(VLOOKUP($J376,Grinders!$A:$N,11,FALSE),""))</f>
        <v/>
      </c>
      <c r="AA376" s="40" t="str">
        <f>IF($J376="","",IFERROR(VLOOKUP($J376,Grinders!$A:$N,12,FALSE),""))</f>
        <v/>
      </c>
      <c r="AB376" s="40" t="str">
        <f>IF(OR(AL376=1,AM376=1),0,=IFERROR(IF(OR($C376="",$J376=""),0,IF($D376&lt;&gt;"Open",0,IF(COUNTIFS(GrinderServices!$A:$A,$J376,GrinderServices!$B:$B,$E376,GrinderServices!$D:$D,"Y")=0,0,IF($U376&lt;Config!$B$16,0,IF(Config!$B$18=1,IF($N376&gt;=$M376,0,1),1))))),""))</f>
        <v>#ERROR!</v>
      </c>
      <c r="AC376" s="40" t="str">
        <f>IFERROR((IF(OR(AL376=1,AM376=1),"",=IFERROR((IFERROR(IF($AB376=0,"",((Config!$B$6*$V376 + Config!$B$7*$R376 + Config!$B$8*$W376 + Config!$B$9*$X376 + Config!$B$10*$Y376 + Config!$B$11*$Z376 - Config!$B$12*$AA376)/Config!$B$13)+$AH376+$AI376),""))*(1-IFERROR(VLOOKUP(J376,Grinders!$A:$AB, 28, FALSE),0)),"")))*(1+AO376),"")</f>
        <v>#ERROR!</v>
      </c>
      <c r="AD376" s="40" t="str">
        <f t="shared" si="4"/>
        <v/>
      </c>
      <c r="AE376" s="40" t="str">
        <f>IFERROR(__xludf.DUMMYFUNCTION("IF($AC376="""","""",IF($AC376=IFERROR(MAX(FILTER($AC$6:$AC$1000,$C$6:$C$1000=$C376,$AB$6:$AB$1000=1)),),""WINNER"",""""))"),"#ERROR!")</f>
        <v>#ERROR!</v>
      </c>
      <c r="AF376" s="40" t="str">
        <f t="shared" si="5"/>
        <v/>
      </c>
      <c r="AG376" s="40" t="str">
        <f>IF($J376="","",COUNTIF(Assignments!$B:$B,$J376))</f>
        <v/>
      </c>
      <c r="AH376" s="40" t="str">
        <f>IF($J376="","",IF(AND($AG376=0,$N376&lt;$M376),Config!$B$43,0))</f>
        <v/>
      </c>
      <c r="AI376" s="40" t="str">
        <f>IF($J376="","",IF(AND($L376="Elite",$F376&gt;=Config!$B$41,$N376&lt;$M376),Config!$B$42,0))</f>
        <v/>
      </c>
      <c r="AJ376" s="22"/>
      <c r="AK376" s="39">
        <f>IFERROR(VLOOKUP(J376,Grinders!$A:$Q,28,FALSE),0)</f>
        <v>0</v>
      </c>
      <c r="AL376" s="39">
        <f>IF(Config!$B$1003&lt;&gt;"Y",0,IF(IFERROR(VLOOKUP(J376,Grinders!$A:$P,27,FALSE),0)&gt;=3,IF(OR(F376&gt;=Config!$B$1001,ISNUMBER(SEARCH(E376,Config!$B$1002))),1,0),0))</f>
        <v>0</v>
      </c>
      <c r="AM376" s="39">
        <f t="array" ref="AM376">IFERROR(IF(INDEX(Bids!$AE:$AE,MATCH(B376,Bids!$A:$A,0))="Pending",1,0),0)</f>
        <v>0</v>
      </c>
      <c r="AN376" s="39" t="str">
        <f t="array" ref="AN376">IF(C376="","",IFERROR(XLOOKUP(C376,Assignments!$C:$C,Assignments!$AU:$AU,0),0))</f>
        <v/>
      </c>
      <c r="AO376" s="39">
        <f>IF(AND(Config!$B$1006="Y",AN376=1),Config!$B$1007,0)</f>
        <v>0</v>
      </c>
    </row>
    <row r="377" ht="15.75" customHeight="1">
      <c r="A377" s="46" t="str">
        <f t="shared" si="1"/>
        <v/>
      </c>
      <c r="B377" s="40" t="str">
        <f>IF(Bids!$A377="","",Bids!$A377)</f>
        <v/>
      </c>
      <c r="C377" s="40" t="str">
        <f>IF(Bids!$B377="","",Bids!$B377)</f>
        <v/>
      </c>
      <c r="D377" s="40" t="str">
        <f>IF($C377="","",IFERROR(VLOOKUP($C377,Orders!$A:$J,9,FALSE),""))</f>
        <v/>
      </c>
      <c r="E377" s="40" t="str">
        <f>IF($C377="","",IFERROR(VLOOKUP($C377,Orders!$A:$J,3,FALSE),""))</f>
        <v/>
      </c>
      <c r="F377" s="40" t="str">
        <f>IF($C377="","",IFERROR(VLOOKUP($C377,Orders!$A:$J,4,FALSE),""))</f>
        <v/>
      </c>
      <c r="G377" s="40" t="str">
        <f>IF($C377="","",IFERROR(VLOOKUP($C377,Orders!$A:$J,5,FALSE),""))</f>
        <v/>
      </c>
      <c r="H377" s="40" t="str">
        <f>IF($C377="","",IFERROR(VLOOKUP($C377,Orders!$A:$J,6,FALSE),""))</f>
        <v/>
      </c>
      <c r="I377" s="40" t="str">
        <f>IF($C377="","",IFERROR(VLOOKUP($C377,Orders!$A:$J,7,FALSE),""))</f>
        <v/>
      </c>
      <c r="J377" s="40" t="str">
        <f>IF(Bids!$C377="","",Bids!$C377)</f>
        <v/>
      </c>
      <c r="K377" s="40" t="str">
        <f>IF($J377="","",IFERROR(VLOOKUP($J377,Grinders!$A:$N,2,FALSE),""))</f>
        <v/>
      </c>
      <c r="L377" s="40" t="str">
        <f>IF($J377="","",IFERROR(VLOOKUP($J377,Grinders!$A:$N,3,FALSE),""))</f>
        <v/>
      </c>
      <c r="M377" s="40" t="str">
        <f>IF($J377="","",IFERROR(VLOOKUP($J377,Grinders!$A:$N,4,FALSE),""))</f>
        <v/>
      </c>
      <c r="N377" s="40" t="str">
        <f>IF($J377="","",IFERROR(VLOOKUP($J377,Grinders!$A:$N,5,FALSE),""))</f>
        <v/>
      </c>
      <c r="O377" s="40" t="str">
        <f t="shared" si="2"/>
        <v/>
      </c>
      <c r="P377" s="40" t="str">
        <f>IF($J377="","",IFERROR(VLOOKUP($J377,Grinders!$A:$N,6,FALSE),""))</f>
        <v/>
      </c>
      <c r="Q377" s="40" t="str">
        <f>IF($J377="","",IFERROR(VLOOKUP($J377,Grinders!$A:$N,8,FALSE),""))</f>
        <v/>
      </c>
      <c r="R377" s="40" t="str">
        <f>IFERROR(IF($J377="","",IF($L377="Elite",MAX(50,MIN(100,Config!$B$27*MAX(0,MIN(100,(1-IF($O377="",0,$O377))*100)) + Config!$B$28*MAX(0,MIN(100,(1-MIN(1,IF(Config!$B$30=0,1,$P377/Config!$B$30)))*100)) + Config!$B$29*MAX(0,MIN(100,MIN(1,IF($Q377="",0,$Q377)/Config!$B$23)*100)))),MIN(100,Config!$B$27*MAX(0,MIN(100,(1-IF($O377="",0,$O377))*100)) + Config!$B$28*MAX(0,MIN(100,(1-MIN(1,IF(Config!$B$30=0,1,$P377/Config!$B$30)))*100)) + Config!$B$29*MAX(0,MIN(100,MIN(1,IF($Q377="",0,$Q377)/Config!$B$23)*100))))),"")
</f>
        <v/>
      </c>
      <c r="S377" s="40" t="str">
        <f>IF(Bids!$AC377="","",Bids!$AC377)</f>
        <v/>
      </c>
      <c r="T377" s="40" t="str">
        <f>IF(Bids!$F377="","",Bids!$F377)</f>
        <v/>
      </c>
      <c r="U377" s="40" t="str">
        <f t="shared" si="3"/>
        <v/>
      </c>
      <c r="V377" s="40" t="str">
        <f>IF($U377="","",IF(Config!$B$17=Config!$B$16,IF($U377&gt;=Config!$B$17,100,0),MAX(0,MIN(100,($U377-Config!$B$16)/(Config!$B$17-Config!$B$16)*100))))</f>
        <v/>
      </c>
      <c r="W377" s="40">
        <f>IF($L377="Elite",Config!$B$21,0)</f>
        <v>0</v>
      </c>
      <c r="X377" s="40" t="str">
        <f>IFERROR(IF(OR($T377="",$G377=""),"",IF($T377&gt;$G377,
  MAX(0, 60-(($T377-$G377)*24/Config!$B$19)*60),
  MEDIAN(60, 100, 60+(($G377-$T377)*24/Config!$B$20)*40)
)),"")
</f>
        <v/>
      </c>
      <c r="Y377" s="40" t="str">
        <f>IF($J377="","",IFERROR(VLOOKUP($J377,Grinders!$A:$N,10,FALSE),""))</f>
        <v/>
      </c>
      <c r="Z377" s="40" t="str">
        <f>IF($J377="","",IFERROR(VLOOKUP($J377,Grinders!$A:$N,11,FALSE),""))</f>
        <v/>
      </c>
      <c r="AA377" s="40" t="str">
        <f>IF($J377="","",IFERROR(VLOOKUP($J377,Grinders!$A:$N,12,FALSE),""))</f>
        <v/>
      </c>
      <c r="AB377" s="40" t="str">
        <f>IF(OR(AL377=1,AM377=1),0,=IFERROR(IF(OR($C377="",$J377=""),0,IF($D377&lt;&gt;"Open",0,IF(COUNTIFS(GrinderServices!$A:$A,$J377,GrinderServices!$B:$B,$E377,GrinderServices!$D:$D,"Y")=0,0,IF($U377&lt;Config!$B$16,0,IF(Config!$B$18=1,IF($N377&gt;=$M377,0,1),1))))),""))</f>
        <v>#ERROR!</v>
      </c>
      <c r="AC377" s="40" t="str">
        <f>IFERROR((IF(OR(AL377=1,AM377=1),"",=IFERROR((IFERROR(IF($AB377=0,"",((Config!$B$6*$V377 + Config!$B$7*$R377 + Config!$B$8*$W377 + Config!$B$9*$X377 + Config!$B$10*$Y377 + Config!$B$11*$Z377 - Config!$B$12*$AA377)/Config!$B$13)+$AH377+$AI377),""))*(1-IFERROR(VLOOKUP(J377,Grinders!$A:$AB, 28, FALSE),0)),"")))*(1+AO377),"")</f>
        <v>#ERROR!</v>
      </c>
      <c r="AD377" s="40" t="str">
        <f t="shared" si="4"/>
        <v/>
      </c>
      <c r="AE377" s="40" t="str">
        <f>IFERROR(__xludf.DUMMYFUNCTION("IF($AC377="""","""",IF($AC377=IFERROR(MAX(FILTER($AC$6:$AC$1000,$C$6:$C$1000=$C377,$AB$6:$AB$1000=1)),),""WINNER"",""""))"),"#ERROR!")</f>
        <v>#ERROR!</v>
      </c>
      <c r="AF377" s="40" t="str">
        <f t="shared" si="5"/>
        <v/>
      </c>
      <c r="AG377" s="40" t="str">
        <f>IF($J377="","",COUNTIF(Assignments!$B:$B,$J377))</f>
        <v/>
      </c>
      <c r="AH377" s="40" t="str">
        <f>IF($J377="","",IF(AND($AG377=0,$N377&lt;$M377),Config!$B$43,0))</f>
        <v/>
      </c>
      <c r="AI377" s="40" t="str">
        <f>IF($J377="","",IF(AND($L377="Elite",$F377&gt;=Config!$B$41,$N377&lt;$M377),Config!$B$42,0))</f>
        <v/>
      </c>
      <c r="AJ377" s="22"/>
      <c r="AK377" s="39">
        <f>IFERROR(VLOOKUP(J377,Grinders!$A:$Q,28,FALSE),0)</f>
        <v>0</v>
      </c>
      <c r="AL377" s="39">
        <f>IF(Config!$B$1003&lt;&gt;"Y",0,IF(IFERROR(VLOOKUP(J377,Grinders!$A:$P,27,FALSE),0)&gt;=3,IF(OR(F377&gt;=Config!$B$1001,ISNUMBER(SEARCH(E377,Config!$B$1002))),1,0),0))</f>
        <v>0</v>
      </c>
      <c r="AM377" s="39">
        <f t="array" ref="AM377">IFERROR(IF(INDEX(Bids!$AE:$AE,MATCH(B377,Bids!$A:$A,0))="Pending",1,0),0)</f>
        <v>0</v>
      </c>
      <c r="AN377" s="39" t="str">
        <f t="array" ref="AN377">IF(C377="","",IFERROR(XLOOKUP(C377,Assignments!$C:$C,Assignments!$AU:$AU,0),0))</f>
        <v/>
      </c>
      <c r="AO377" s="39">
        <f>IF(AND(Config!$B$1006="Y",AN377=1),Config!$B$1007,0)</f>
        <v>0</v>
      </c>
    </row>
    <row r="378" ht="15.75" customHeight="1">
      <c r="A378" s="46" t="str">
        <f t="shared" si="1"/>
        <v/>
      </c>
      <c r="B378" s="40" t="str">
        <f>IF(Bids!$A378="","",Bids!$A378)</f>
        <v/>
      </c>
      <c r="C378" s="40" t="str">
        <f>IF(Bids!$B378="","",Bids!$B378)</f>
        <v/>
      </c>
      <c r="D378" s="40" t="str">
        <f>IF($C378="","",IFERROR(VLOOKUP($C378,Orders!$A:$J,9,FALSE),""))</f>
        <v/>
      </c>
      <c r="E378" s="40" t="str">
        <f>IF($C378="","",IFERROR(VLOOKUP($C378,Orders!$A:$J,3,FALSE),""))</f>
        <v/>
      </c>
      <c r="F378" s="40" t="str">
        <f>IF($C378="","",IFERROR(VLOOKUP($C378,Orders!$A:$J,4,FALSE),""))</f>
        <v/>
      </c>
      <c r="G378" s="40" t="str">
        <f>IF($C378="","",IFERROR(VLOOKUP($C378,Orders!$A:$J,5,FALSE),""))</f>
        <v/>
      </c>
      <c r="H378" s="40" t="str">
        <f>IF($C378="","",IFERROR(VLOOKUP($C378,Orders!$A:$J,6,FALSE),""))</f>
        <v/>
      </c>
      <c r="I378" s="40" t="str">
        <f>IF($C378="","",IFERROR(VLOOKUP($C378,Orders!$A:$J,7,FALSE),""))</f>
        <v/>
      </c>
      <c r="J378" s="40" t="str">
        <f>IF(Bids!$C378="","",Bids!$C378)</f>
        <v/>
      </c>
      <c r="K378" s="40" t="str">
        <f>IF($J378="","",IFERROR(VLOOKUP($J378,Grinders!$A:$N,2,FALSE),""))</f>
        <v/>
      </c>
      <c r="L378" s="40" t="str">
        <f>IF($J378="","",IFERROR(VLOOKUP($J378,Grinders!$A:$N,3,FALSE),""))</f>
        <v/>
      </c>
      <c r="M378" s="40" t="str">
        <f>IF($J378="","",IFERROR(VLOOKUP($J378,Grinders!$A:$N,4,FALSE),""))</f>
        <v/>
      </c>
      <c r="N378" s="40" t="str">
        <f>IF($J378="","",IFERROR(VLOOKUP($J378,Grinders!$A:$N,5,FALSE),""))</f>
        <v/>
      </c>
      <c r="O378" s="40" t="str">
        <f t="shared" si="2"/>
        <v/>
      </c>
      <c r="P378" s="40" t="str">
        <f>IF($J378="","",IFERROR(VLOOKUP($J378,Grinders!$A:$N,6,FALSE),""))</f>
        <v/>
      </c>
      <c r="Q378" s="40" t="str">
        <f>IF($J378="","",IFERROR(VLOOKUP($J378,Grinders!$A:$N,8,FALSE),""))</f>
        <v/>
      </c>
      <c r="R378" s="40" t="str">
        <f>IFERROR(IF($J378="","",IF($L378="Elite",MAX(50,MIN(100,Config!$B$27*MAX(0,MIN(100,(1-IF($O378="",0,$O378))*100)) + Config!$B$28*MAX(0,MIN(100,(1-MIN(1,IF(Config!$B$30=0,1,$P378/Config!$B$30)))*100)) + Config!$B$29*MAX(0,MIN(100,MIN(1,IF($Q378="",0,$Q378)/Config!$B$23)*100)))),MIN(100,Config!$B$27*MAX(0,MIN(100,(1-IF($O378="",0,$O378))*100)) + Config!$B$28*MAX(0,MIN(100,(1-MIN(1,IF(Config!$B$30=0,1,$P378/Config!$B$30)))*100)) + Config!$B$29*MAX(0,MIN(100,MIN(1,IF($Q378="",0,$Q378)/Config!$B$23)*100))))),"")
</f>
        <v/>
      </c>
      <c r="S378" s="40" t="str">
        <f>IF(Bids!$AC378="","",Bids!$AC378)</f>
        <v/>
      </c>
      <c r="T378" s="40" t="str">
        <f>IF(Bids!$F378="","",Bids!$F378)</f>
        <v/>
      </c>
      <c r="U378" s="40" t="str">
        <f t="shared" si="3"/>
        <v/>
      </c>
      <c r="V378" s="40" t="str">
        <f>IF($U378="","",IF(Config!$B$17=Config!$B$16,IF($U378&gt;=Config!$B$17,100,0),MAX(0,MIN(100,($U378-Config!$B$16)/(Config!$B$17-Config!$B$16)*100))))</f>
        <v/>
      </c>
      <c r="W378" s="40">
        <f>IF($L378="Elite",Config!$B$21,0)</f>
        <v>0</v>
      </c>
      <c r="X378" s="40" t="str">
        <f>IFERROR(IF(OR($T378="",$G378=""),"",IF($T378&gt;$G378,
  MAX(0, 60-(($T378-$G378)*24/Config!$B$19)*60),
  MEDIAN(60, 100, 60+(($G378-$T378)*24/Config!$B$20)*40)
)),"")
</f>
        <v/>
      </c>
      <c r="Y378" s="40" t="str">
        <f>IF($J378="","",IFERROR(VLOOKUP($J378,Grinders!$A:$N,10,FALSE),""))</f>
        <v/>
      </c>
      <c r="Z378" s="40" t="str">
        <f>IF($J378="","",IFERROR(VLOOKUP($J378,Grinders!$A:$N,11,FALSE),""))</f>
        <v/>
      </c>
      <c r="AA378" s="40" t="str">
        <f>IF($J378="","",IFERROR(VLOOKUP($J378,Grinders!$A:$N,12,FALSE),""))</f>
        <v/>
      </c>
      <c r="AB378" s="40" t="str">
        <f>IF(OR(AL378=1,AM378=1),0,=IFERROR(IF(OR($C378="",$J378=""),0,IF($D378&lt;&gt;"Open",0,IF(COUNTIFS(GrinderServices!$A:$A,$J378,GrinderServices!$B:$B,$E378,GrinderServices!$D:$D,"Y")=0,0,IF($U378&lt;Config!$B$16,0,IF(Config!$B$18=1,IF($N378&gt;=$M378,0,1),1))))),""))</f>
        <v>#ERROR!</v>
      </c>
      <c r="AC378" s="40" t="str">
        <f>IFERROR((IF(OR(AL378=1,AM378=1),"",=IFERROR((IFERROR(IF($AB378=0,"",((Config!$B$6*$V378 + Config!$B$7*$R378 + Config!$B$8*$W378 + Config!$B$9*$X378 + Config!$B$10*$Y378 + Config!$B$11*$Z378 - Config!$B$12*$AA378)/Config!$B$13)+$AH378+$AI378),""))*(1-IFERROR(VLOOKUP(J378,Grinders!$A:$AB, 28, FALSE),0)),"")))*(1+AO378),"")</f>
        <v>#ERROR!</v>
      </c>
      <c r="AD378" s="40" t="str">
        <f t="shared" si="4"/>
        <v/>
      </c>
      <c r="AE378" s="40" t="str">
        <f>IFERROR(__xludf.DUMMYFUNCTION("IF($AC378="""","""",IF($AC378=IFERROR(MAX(FILTER($AC$6:$AC$1000,$C$6:$C$1000=$C378,$AB$6:$AB$1000=1)),),""WINNER"",""""))"),"#ERROR!")</f>
        <v>#ERROR!</v>
      </c>
      <c r="AF378" s="40" t="str">
        <f t="shared" si="5"/>
        <v/>
      </c>
      <c r="AG378" s="40" t="str">
        <f>IF($J378="","",COUNTIF(Assignments!$B:$B,$J378))</f>
        <v/>
      </c>
      <c r="AH378" s="40" t="str">
        <f>IF($J378="","",IF(AND($AG378=0,$N378&lt;$M378),Config!$B$43,0))</f>
        <v/>
      </c>
      <c r="AI378" s="40" t="str">
        <f>IF($J378="","",IF(AND($L378="Elite",$F378&gt;=Config!$B$41,$N378&lt;$M378),Config!$B$42,0))</f>
        <v/>
      </c>
      <c r="AJ378" s="22"/>
      <c r="AK378" s="39">
        <f>IFERROR(VLOOKUP(J378,Grinders!$A:$Q,28,FALSE),0)</f>
        <v>0</v>
      </c>
      <c r="AL378" s="39">
        <f>IF(Config!$B$1003&lt;&gt;"Y",0,IF(IFERROR(VLOOKUP(J378,Grinders!$A:$P,27,FALSE),0)&gt;=3,IF(OR(F378&gt;=Config!$B$1001,ISNUMBER(SEARCH(E378,Config!$B$1002))),1,0),0))</f>
        <v>0</v>
      </c>
      <c r="AM378" s="39">
        <f t="array" ref="AM378">IFERROR(IF(INDEX(Bids!$AE:$AE,MATCH(B378,Bids!$A:$A,0))="Pending",1,0),0)</f>
        <v>0</v>
      </c>
      <c r="AN378" s="39" t="str">
        <f t="array" ref="AN378">IF(C378="","",IFERROR(XLOOKUP(C378,Assignments!$C:$C,Assignments!$AU:$AU,0),0))</f>
        <v/>
      </c>
      <c r="AO378" s="39">
        <f>IF(AND(Config!$B$1006="Y",AN378=1),Config!$B$1007,0)</f>
        <v>0</v>
      </c>
    </row>
    <row r="379" ht="15.75" customHeight="1">
      <c r="A379" s="46" t="str">
        <f t="shared" si="1"/>
        <v/>
      </c>
      <c r="B379" s="40" t="str">
        <f>IF(Bids!$A379="","",Bids!$A379)</f>
        <v/>
      </c>
      <c r="C379" s="40" t="str">
        <f>IF(Bids!$B379="","",Bids!$B379)</f>
        <v/>
      </c>
      <c r="D379" s="40" t="str">
        <f>IF($C379="","",IFERROR(VLOOKUP($C379,Orders!$A:$J,9,FALSE),""))</f>
        <v/>
      </c>
      <c r="E379" s="40" t="str">
        <f>IF($C379="","",IFERROR(VLOOKUP($C379,Orders!$A:$J,3,FALSE),""))</f>
        <v/>
      </c>
      <c r="F379" s="40" t="str">
        <f>IF($C379="","",IFERROR(VLOOKUP($C379,Orders!$A:$J,4,FALSE),""))</f>
        <v/>
      </c>
      <c r="G379" s="40" t="str">
        <f>IF($C379="","",IFERROR(VLOOKUP($C379,Orders!$A:$J,5,FALSE),""))</f>
        <v/>
      </c>
      <c r="H379" s="40" t="str">
        <f>IF($C379="","",IFERROR(VLOOKUP($C379,Orders!$A:$J,6,FALSE),""))</f>
        <v/>
      </c>
      <c r="I379" s="40" t="str">
        <f>IF($C379="","",IFERROR(VLOOKUP($C379,Orders!$A:$J,7,FALSE),""))</f>
        <v/>
      </c>
      <c r="J379" s="40" t="str">
        <f>IF(Bids!$C379="","",Bids!$C379)</f>
        <v/>
      </c>
      <c r="K379" s="40" t="str">
        <f>IF($J379="","",IFERROR(VLOOKUP($J379,Grinders!$A:$N,2,FALSE),""))</f>
        <v/>
      </c>
      <c r="L379" s="40" t="str">
        <f>IF($J379="","",IFERROR(VLOOKUP($J379,Grinders!$A:$N,3,FALSE),""))</f>
        <v/>
      </c>
      <c r="M379" s="40" t="str">
        <f>IF($J379="","",IFERROR(VLOOKUP($J379,Grinders!$A:$N,4,FALSE),""))</f>
        <v/>
      </c>
      <c r="N379" s="40" t="str">
        <f>IF($J379="","",IFERROR(VLOOKUP($J379,Grinders!$A:$N,5,FALSE),""))</f>
        <v/>
      </c>
      <c r="O379" s="40" t="str">
        <f t="shared" si="2"/>
        <v/>
      </c>
      <c r="P379" s="40" t="str">
        <f>IF($J379="","",IFERROR(VLOOKUP($J379,Grinders!$A:$N,6,FALSE),""))</f>
        <v/>
      </c>
      <c r="Q379" s="40" t="str">
        <f>IF($J379="","",IFERROR(VLOOKUP($J379,Grinders!$A:$N,8,FALSE),""))</f>
        <v/>
      </c>
      <c r="R379" s="40" t="str">
        <f>IFERROR(IF($J379="","",IF($L379="Elite",MAX(50,MIN(100,Config!$B$27*MAX(0,MIN(100,(1-IF($O379="",0,$O379))*100)) + Config!$B$28*MAX(0,MIN(100,(1-MIN(1,IF(Config!$B$30=0,1,$P379/Config!$B$30)))*100)) + Config!$B$29*MAX(0,MIN(100,MIN(1,IF($Q379="",0,$Q379)/Config!$B$23)*100)))),MIN(100,Config!$B$27*MAX(0,MIN(100,(1-IF($O379="",0,$O379))*100)) + Config!$B$28*MAX(0,MIN(100,(1-MIN(1,IF(Config!$B$30=0,1,$P379/Config!$B$30)))*100)) + Config!$B$29*MAX(0,MIN(100,MIN(1,IF($Q379="",0,$Q379)/Config!$B$23)*100))))),"")
</f>
        <v/>
      </c>
      <c r="S379" s="40" t="str">
        <f>IF(Bids!$AC379="","",Bids!$AC379)</f>
        <v/>
      </c>
      <c r="T379" s="40" t="str">
        <f>IF(Bids!$F379="","",Bids!$F379)</f>
        <v/>
      </c>
      <c r="U379" s="40" t="str">
        <f t="shared" si="3"/>
        <v/>
      </c>
      <c r="V379" s="40" t="str">
        <f>IF($U379="","",IF(Config!$B$17=Config!$B$16,IF($U379&gt;=Config!$B$17,100,0),MAX(0,MIN(100,($U379-Config!$B$16)/(Config!$B$17-Config!$B$16)*100))))</f>
        <v/>
      </c>
      <c r="W379" s="40">
        <f>IF($L379="Elite",Config!$B$21,0)</f>
        <v>0</v>
      </c>
      <c r="X379" s="40" t="str">
        <f>IFERROR(IF(OR($T379="",$G379=""),"",IF($T379&gt;$G379,
  MAX(0, 60-(($T379-$G379)*24/Config!$B$19)*60),
  MEDIAN(60, 100, 60+(($G379-$T379)*24/Config!$B$20)*40)
)),"")
</f>
        <v/>
      </c>
      <c r="Y379" s="40" t="str">
        <f>IF($J379="","",IFERROR(VLOOKUP($J379,Grinders!$A:$N,10,FALSE),""))</f>
        <v/>
      </c>
      <c r="Z379" s="40" t="str">
        <f>IF($J379="","",IFERROR(VLOOKUP($J379,Grinders!$A:$N,11,FALSE),""))</f>
        <v/>
      </c>
      <c r="AA379" s="40" t="str">
        <f>IF($J379="","",IFERROR(VLOOKUP($J379,Grinders!$A:$N,12,FALSE),""))</f>
        <v/>
      </c>
      <c r="AB379" s="40" t="str">
        <f>IF(OR(AL379=1,AM379=1),0,=IFERROR(IF(OR($C379="",$J379=""),0,IF($D379&lt;&gt;"Open",0,IF(COUNTIFS(GrinderServices!$A:$A,$J379,GrinderServices!$B:$B,$E379,GrinderServices!$D:$D,"Y")=0,0,IF($U379&lt;Config!$B$16,0,IF(Config!$B$18=1,IF($N379&gt;=$M379,0,1),1))))),""))</f>
        <v>#ERROR!</v>
      </c>
      <c r="AC379" s="40" t="str">
        <f>IFERROR((IF(OR(AL379=1,AM379=1),"",=IFERROR((IFERROR(IF($AB379=0,"",((Config!$B$6*$V379 + Config!$B$7*$R379 + Config!$B$8*$W379 + Config!$B$9*$X379 + Config!$B$10*$Y379 + Config!$B$11*$Z379 - Config!$B$12*$AA379)/Config!$B$13)+$AH379+$AI379),""))*(1-IFERROR(VLOOKUP(J379,Grinders!$A:$AB, 28, FALSE),0)),"")))*(1+AO379),"")</f>
        <v>#ERROR!</v>
      </c>
      <c r="AD379" s="40" t="str">
        <f t="shared" si="4"/>
        <v/>
      </c>
      <c r="AE379" s="40" t="str">
        <f>IFERROR(__xludf.DUMMYFUNCTION("IF($AC379="""","""",IF($AC379=IFERROR(MAX(FILTER($AC$6:$AC$1000,$C$6:$C$1000=$C379,$AB$6:$AB$1000=1)),),""WINNER"",""""))"),"#ERROR!")</f>
        <v>#ERROR!</v>
      </c>
      <c r="AF379" s="40" t="str">
        <f t="shared" si="5"/>
        <v/>
      </c>
      <c r="AG379" s="40" t="str">
        <f>IF($J379="","",COUNTIF(Assignments!$B:$B,$J379))</f>
        <v/>
      </c>
      <c r="AH379" s="40" t="str">
        <f>IF($J379="","",IF(AND($AG379=0,$N379&lt;$M379),Config!$B$43,0))</f>
        <v/>
      </c>
      <c r="AI379" s="40" t="str">
        <f>IF($J379="","",IF(AND($L379="Elite",$F379&gt;=Config!$B$41,$N379&lt;$M379),Config!$B$42,0))</f>
        <v/>
      </c>
      <c r="AJ379" s="22"/>
      <c r="AK379" s="39">
        <f>IFERROR(VLOOKUP(J379,Grinders!$A:$Q,28,FALSE),0)</f>
        <v>0</v>
      </c>
      <c r="AL379" s="39">
        <f>IF(Config!$B$1003&lt;&gt;"Y",0,IF(IFERROR(VLOOKUP(J379,Grinders!$A:$P,27,FALSE),0)&gt;=3,IF(OR(F379&gt;=Config!$B$1001,ISNUMBER(SEARCH(E379,Config!$B$1002))),1,0),0))</f>
        <v>0</v>
      </c>
      <c r="AM379" s="39">
        <f t="array" ref="AM379">IFERROR(IF(INDEX(Bids!$AE:$AE,MATCH(B379,Bids!$A:$A,0))="Pending",1,0),0)</f>
        <v>0</v>
      </c>
      <c r="AN379" s="39" t="str">
        <f t="array" ref="AN379">IF(C379="","",IFERROR(XLOOKUP(C379,Assignments!$C:$C,Assignments!$AU:$AU,0),0))</f>
        <v/>
      </c>
      <c r="AO379" s="39">
        <f>IF(AND(Config!$B$1006="Y",AN379=1),Config!$B$1007,0)</f>
        <v>0</v>
      </c>
    </row>
    <row r="380" ht="15.75" customHeight="1">
      <c r="A380" s="46" t="str">
        <f t="shared" si="1"/>
        <v/>
      </c>
      <c r="B380" s="40" t="str">
        <f>IF(Bids!$A380="","",Bids!$A380)</f>
        <v/>
      </c>
      <c r="C380" s="40" t="str">
        <f>IF(Bids!$B380="","",Bids!$B380)</f>
        <v/>
      </c>
      <c r="D380" s="40" t="str">
        <f>IF($C380="","",IFERROR(VLOOKUP($C380,Orders!$A:$J,9,FALSE),""))</f>
        <v/>
      </c>
      <c r="E380" s="40" t="str">
        <f>IF($C380="","",IFERROR(VLOOKUP($C380,Orders!$A:$J,3,FALSE),""))</f>
        <v/>
      </c>
      <c r="F380" s="40" t="str">
        <f>IF($C380="","",IFERROR(VLOOKUP($C380,Orders!$A:$J,4,FALSE),""))</f>
        <v/>
      </c>
      <c r="G380" s="40" t="str">
        <f>IF($C380="","",IFERROR(VLOOKUP($C380,Orders!$A:$J,5,FALSE),""))</f>
        <v/>
      </c>
      <c r="H380" s="40" t="str">
        <f>IF($C380="","",IFERROR(VLOOKUP($C380,Orders!$A:$J,6,FALSE),""))</f>
        <v/>
      </c>
      <c r="I380" s="40" t="str">
        <f>IF($C380="","",IFERROR(VLOOKUP($C380,Orders!$A:$J,7,FALSE),""))</f>
        <v/>
      </c>
      <c r="J380" s="40" t="str">
        <f>IF(Bids!$C380="","",Bids!$C380)</f>
        <v/>
      </c>
      <c r="K380" s="40" t="str">
        <f>IF($J380="","",IFERROR(VLOOKUP($J380,Grinders!$A:$N,2,FALSE),""))</f>
        <v/>
      </c>
      <c r="L380" s="40" t="str">
        <f>IF($J380="","",IFERROR(VLOOKUP($J380,Grinders!$A:$N,3,FALSE),""))</f>
        <v/>
      </c>
      <c r="M380" s="40" t="str">
        <f>IF($J380="","",IFERROR(VLOOKUP($J380,Grinders!$A:$N,4,FALSE),""))</f>
        <v/>
      </c>
      <c r="N380" s="40" t="str">
        <f>IF($J380="","",IFERROR(VLOOKUP($J380,Grinders!$A:$N,5,FALSE),""))</f>
        <v/>
      </c>
      <c r="O380" s="40" t="str">
        <f t="shared" si="2"/>
        <v/>
      </c>
      <c r="P380" s="40" t="str">
        <f>IF($J380="","",IFERROR(VLOOKUP($J380,Grinders!$A:$N,6,FALSE),""))</f>
        <v/>
      </c>
      <c r="Q380" s="40" t="str">
        <f>IF($J380="","",IFERROR(VLOOKUP($J380,Grinders!$A:$N,8,FALSE),""))</f>
        <v/>
      </c>
      <c r="R380" s="40" t="str">
        <f>IFERROR(IF($J380="","",IF($L380="Elite",MAX(50,MIN(100,Config!$B$27*MAX(0,MIN(100,(1-IF($O380="",0,$O380))*100)) + Config!$B$28*MAX(0,MIN(100,(1-MIN(1,IF(Config!$B$30=0,1,$P380/Config!$B$30)))*100)) + Config!$B$29*MAX(0,MIN(100,MIN(1,IF($Q380="",0,$Q380)/Config!$B$23)*100)))),MIN(100,Config!$B$27*MAX(0,MIN(100,(1-IF($O380="",0,$O380))*100)) + Config!$B$28*MAX(0,MIN(100,(1-MIN(1,IF(Config!$B$30=0,1,$P380/Config!$B$30)))*100)) + Config!$B$29*MAX(0,MIN(100,MIN(1,IF($Q380="",0,$Q380)/Config!$B$23)*100))))),"")
</f>
        <v/>
      </c>
      <c r="S380" s="40" t="str">
        <f>IF(Bids!$AC380="","",Bids!$AC380)</f>
        <v/>
      </c>
      <c r="T380" s="40" t="str">
        <f>IF(Bids!$F380="","",Bids!$F380)</f>
        <v/>
      </c>
      <c r="U380" s="40" t="str">
        <f t="shared" si="3"/>
        <v/>
      </c>
      <c r="V380" s="40" t="str">
        <f>IF($U380="","",IF(Config!$B$17=Config!$B$16,IF($U380&gt;=Config!$B$17,100,0),MAX(0,MIN(100,($U380-Config!$B$16)/(Config!$B$17-Config!$B$16)*100))))</f>
        <v/>
      </c>
      <c r="W380" s="40">
        <f>IF($L380="Elite",Config!$B$21,0)</f>
        <v>0</v>
      </c>
      <c r="X380" s="40" t="str">
        <f>IFERROR(IF(OR($T380="",$G380=""),"",IF($T380&gt;$G380,
  MAX(0, 60-(($T380-$G380)*24/Config!$B$19)*60),
  MEDIAN(60, 100, 60+(($G380-$T380)*24/Config!$B$20)*40)
)),"")
</f>
        <v/>
      </c>
      <c r="Y380" s="40" t="str">
        <f>IF($J380="","",IFERROR(VLOOKUP($J380,Grinders!$A:$N,10,FALSE),""))</f>
        <v/>
      </c>
      <c r="Z380" s="40" t="str">
        <f>IF($J380="","",IFERROR(VLOOKUP($J380,Grinders!$A:$N,11,FALSE),""))</f>
        <v/>
      </c>
      <c r="AA380" s="40" t="str">
        <f>IF($J380="","",IFERROR(VLOOKUP($J380,Grinders!$A:$N,12,FALSE),""))</f>
        <v/>
      </c>
      <c r="AB380" s="40" t="str">
        <f>IF(OR(AL380=1,AM380=1),0,=IFERROR(IF(OR($C380="",$J380=""),0,IF($D380&lt;&gt;"Open",0,IF(COUNTIFS(GrinderServices!$A:$A,$J380,GrinderServices!$B:$B,$E380,GrinderServices!$D:$D,"Y")=0,0,IF($U380&lt;Config!$B$16,0,IF(Config!$B$18=1,IF($N380&gt;=$M380,0,1),1))))),""))</f>
        <v>#ERROR!</v>
      </c>
      <c r="AC380" s="40" t="str">
        <f>IFERROR((IF(OR(AL380=1,AM380=1),"",=IFERROR((IFERROR(IF($AB380=0,"",((Config!$B$6*$V380 + Config!$B$7*$R380 + Config!$B$8*$W380 + Config!$B$9*$X380 + Config!$B$10*$Y380 + Config!$B$11*$Z380 - Config!$B$12*$AA380)/Config!$B$13)+$AH380+$AI380),""))*(1-IFERROR(VLOOKUP(J380,Grinders!$A:$AB, 28, FALSE),0)),"")))*(1+AO380),"")</f>
        <v>#ERROR!</v>
      </c>
      <c r="AD380" s="40" t="str">
        <f t="shared" si="4"/>
        <v/>
      </c>
      <c r="AE380" s="40" t="str">
        <f>IFERROR(__xludf.DUMMYFUNCTION("IF($AC380="""","""",IF($AC380=IFERROR(MAX(FILTER($AC$6:$AC$1000,$C$6:$C$1000=$C380,$AB$6:$AB$1000=1)),),""WINNER"",""""))"),"#ERROR!")</f>
        <v>#ERROR!</v>
      </c>
      <c r="AF380" s="40" t="str">
        <f t="shared" si="5"/>
        <v/>
      </c>
      <c r="AG380" s="40" t="str">
        <f>IF($J380="","",COUNTIF(Assignments!$B:$B,$J380))</f>
        <v/>
      </c>
      <c r="AH380" s="40" t="str">
        <f>IF($J380="","",IF(AND($AG380=0,$N380&lt;$M380),Config!$B$43,0))</f>
        <v/>
      </c>
      <c r="AI380" s="40" t="str">
        <f>IF($J380="","",IF(AND($L380="Elite",$F380&gt;=Config!$B$41,$N380&lt;$M380),Config!$B$42,0))</f>
        <v/>
      </c>
      <c r="AJ380" s="22"/>
      <c r="AK380" s="39">
        <f>IFERROR(VLOOKUP(J380,Grinders!$A:$Q,28,FALSE),0)</f>
        <v>0</v>
      </c>
      <c r="AL380" s="39">
        <f>IF(Config!$B$1003&lt;&gt;"Y",0,IF(IFERROR(VLOOKUP(J380,Grinders!$A:$P,27,FALSE),0)&gt;=3,IF(OR(F380&gt;=Config!$B$1001,ISNUMBER(SEARCH(E380,Config!$B$1002))),1,0),0))</f>
        <v>0</v>
      </c>
      <c r="AM380" s="39">
        <f t="array" ref="AM380">IFERROR(IF(INDEX(Bids!$AE:$AE,MATCH(B380,Bids!$A:$A,0))="Pending",1,0),0)</f>
        <v>0</v>
      </c>
      <c r="AN380" s="39" t="str">
        <f t="array" ref="AN380">IF(C380="","",IFERROR(XLOOKUP(C380,Assignments!$C:$C,Assignments!$AU:$AU,0),0))</f>
        <v/>
      </c>
      <c r="AO380" s="39">
        <f>IF(AND(Config!$B$1006="Y",AN380=1),Config!$B$1007,0)</f>
        <v>0</v>
      </c>
    </row>
    <row r="381" ht="15.75" customHeight="1">
      <c r="A381" s="46" t="str">
        <f t="shared" si="1"/>
        <v/>
      </c>
      <c r="B381" s="40" t="str">
        <f>IF(Bids!$A381="","",Bids!$A381)</f>
        <v/>
      </c>
      <c r="C381" s="40" t="str">
        <f>IF(Bids!$B381="","",Bids!$B381)</f>
        <v/>
      </c>
      <c r="D381" s="40" t="str">
        <f>IF($C381="","",IFERROR(VLOOKUP($C381,Orders!$A:$J,9,FALSE),""))</f>
        <v/>
      </c>
      <c r="E381" s="40" t="str">
        <f>IF($C381="","",IFERROR(VLOOKUP($C381,Orders!$A:$J,3,FALSE),""))</f>
        <v/>
      </c>
      <c r="F381" s="40" t="str">
        <f>IF($C381="","",IFERROR(VLOOKUP($C381,Orders!$A:$J,4,FALSE),""))</f>
        <v/>
      </c>
      <c r="G381" s="40" t="str">
        <f>IF($C381="","",IFERROR(VLOOKUP($C381,Orders!$A:$J,5,FALSE),""))</f>
        <v/>
      </c>
      <c r="H381" s="40" t="str">
        <f>IF($C381="","",IFERROR(VLOOKUP($C381,Orders!$A:$J,6,FALSE),""))</f>
        <v/>
      </c>
      <c r="I381" s="40" t="str">
        <f>IF($C381="","",IFERROR(VLOOKUP($C381,Orders!$A:$J,7,FALSE),""))</f>
        <v/>
      </c>
      <c r="J381" s="40" t="str">
        <f>IF(Bids!$C381="","",Bids!$C381)</f>
        <v/>
      </c>
      <c r="K381" s="40" t="str">
        <f>IF($J381="","",IFERROR(VLOOKUP($J381,Grinders!$A:$N,2,FALSE),""))</f>
        <v/>
      </c>
      <c r="L381" s="40" t="str">
        <f>IF($J381="","",IFERROR(VLOOKUP($J381,Grinders!$A:$N,3,FALSE),""))</f>
        <v/>
      </c>
      <c r="M381" s="40" t="str">
        <f>IF($J381="","",IFERROR(VLOOKUP($J381,Grinders!$A:$N,4,FALSE),""))</f>
        <v/>
      </c>
      <c r="N381" s="40" t="str">
        <f>IF($J381="","",IFERROR(VLOOKUP($J381,Grinders!$A:$N,5,FALSE),""))</f>
        <v/>
      </c>
      <c r="O381" s="40" t="str">
        <f t="shared" si="2"/>
        <v/>
      </c>
      <c r="P381" s="40" t="str">
        <f>IF($J381="","",IFERROR(VLOOKUP($J381,Grinders!$A:$N,6,FALSE),""))</f>
        <v/>
      </c>
      <c r="Q381" s="40" t="str">
        <f>IF($J381="","",IFERROR(VLOOKUP($J381,Grinders!$A:$N,8,FALSE),""))</f>
        <v/>
      </c>
      <c r="R381" s="40" t="str">
        <f>IFERROR(IF($J381="","",IF($L381="Elite",MAX(50,MIN(100,Config!$B$27*MAX(0,MIN(100,(1-IF($O381="",0,$O381))*100)) + Config!$B$28*MAX(0,MIN(100,(1-MIN(1,IF(Config!$B$30=0,1,$P381/Config!$B$30)))*100)) + Config!$B$29*MAX(0,MIN(100,MIN(1,IF($Q381="",0,$Q381)/Config!$B$23)*100)))),MIN(100,Config!$B$27*MAX(0,MIN(100,(1-IF($O381="",0,$O381))*100)) + Config!$B$28*MAX(0,MIN(100,(1-MIN(1,IF(Config!$B$30=0,1,$P381/Config!$B$30)))*100)) + Config!$B$29*MAX(0,MIN(100,MIN(1,IF($Q381="",0,$Q381)/Config!$B$23)*100))))),"")
</f>
        <v/>
      </c>
      <c r="S381" s="40" t="str">
        <f>IF(Bids!$AC381="","",Bids!$AC381)</f>
        <v/>
      </c>
      <c r="T381" s="40" t="str">
        <f>IF(Bids!$F381="","",Bids!$F381)</f>
        <v/>
      </c>
      <c r="U381" s="40" t="str">
        <f t="shared" si="3"/>
        <v/>
      </c>
      <c r="V381" s="40" t="str">
        <f>IF($U381="","",IF(Config!$B$17=Config!$B$16,IF($U381&gt;=Config!$B$17,100,0),MAX(0,MIN(100,($U381-Config!$B$16)/(Config!$B$17-Config!$B$16)*100))))</f>
        <v/>
      </c>
      <c r="W381" s="40">
        <f>IF($L381="Elite",Config!$B$21,0)</f>
        <v>0</v>
      </c>
      <c r="X381" s="40" t="str">
        <f>IFERROR(IF(OR($T381="",$G381=""),"",IF($T381&gt;$G381,
  MAX(0, 60-(($T381-$G381)*24/Config!$B$19)*60),
  MEDIAN(60, 100, 60+(($G381-$T381)*24/Config!$B$20)*40)
)),"")
</f>
        <v/>
      </c>
      <c r="Y381" s="40" t="str">
        <f>IF($J381="","",IFERROR(VLOOKUP($J381,Grinders!$A:$N,10,FALSE),""))</f>
        <v/>
      </c>
      <c r="Z381" s="40" t="str">
        <f>IF($J381="","",IFERROR(VLOOKUP($J381,Grinders!$A:$N,11,FALSE),""))</f>
        <v/>
      </c>
      <c r="AA381" s="40" t="str">
        <f>IF($J381="","",IFERROR(VLOOKUP($J381,Grinders!$A:$N,12,FALSE),""))</f>
        <v/>
      </c>
      <c r="AB381" s="40" t="str">
        <f>IF(OR(AL381=1,AM381=1),0,=IFERROR(IF(OR($C381="",$J381=""),0,IF($D381&lt;&gt;"Open",0,IF(COUNTIFS(GrinderServices!$A:$A,$J381,GrinderServices!$B:$B,$E381,GrinderServices!$D:$D,"Y")=0,0,IF($U381&lt;Config!$B$16,0,IF(Config!$B$18=1,IF($N381&gt;=$M381,0,1),1))))),""))</f>
        <v>#ERROR!</v>
      </c>
      <c r="AC381" s="40" t="str">
        <f>IFERROR((IF(OR(AL381=1,AM381=1),"",=IFERROR((IFERROR(IF($AB381=0,"",((Config!$B$6*$V381 + Config!$B$7*$R381 + Config!$B$8*$W381 + Config!$B$9*$X381 + Config!$B$10*$Y381 + Config!$B$11*$Z381 - Config!$B$12*$AA381)/Config!$B$13)+$AH381+$AI381),""))*(1-IFERROR(VLOOKUP(J381,Grinders!$A:$AB, 28, FALSE),0)),"")))*(1+AO381),"")</f>
        <v>#ERROR!</v>
      </c>
      <c r="AD381" s="40" t="str">
        <f t="shared" si="4"/>
        <v/>
      </c>
      <c r="AE381" s="40" t="str">
        <f>IFERROR(__xludf.DUMMYFUNCTION("IF($AC381="""","""",IF($AC381=IFERROR(MAX(FILTER($AC$6:$AC$1000,$C$6:$C$1000=$C381,$AB$6:$AB$1000=1)),),""WINNER"",""""))"),"#ERROR!")</f>
        <v>#ERROR!</v>
      </c>
      <c r="AF381" s="40" t="str">
        <f t="shared" si="5"/>
        <v/>
      </c>
      <c r="AG381" s="40" t="str">
        <f>IF($J381="","",COUNTIF(Assignments!$B:$B,$J381))</f>
        <v/>
      </c>
      <c r="AH381" s="40" t="str">
        <f>IF($J381="","",IF(AND($AG381=0,$N381&lt;$M381),Config!$B$43,0))</f>
        <v/>
      </c>
      <c r="AI381" s="40" t="str">
        <f>IF($J381="","",IF(AND($L381="Elite",$F381&gt;=Config!$B$41,$N381&lt;$M381),Config!$B$42,0))</f>
        <v/>
      </c>
      <c r="AJ381" s="22"/>
      <c r="AK381" s="39">
        <f>IFERROR(VLOOKUP(J381,Grinders!$A:$Q,28,FALSE),0)</f>
        <v>0</v>
      </c>
      <c r="AL381" s="39">
        <f>IF(Config!$B$1003&lt;&gt;"Y",0,IF(IFERROR(VLOOKUP(J381,Grinders!$A:$P,27,FALSE),0)&gt;=3,IF(OR(F381&gt;=Config!$B$1001,ISNUMBER(SEARCH(E381,Config!$B$1002))),1,0),0))</f>
        <v>0</v>
      </c>
      <c r="AM381" s="39">
        <f t="array" ref="AM381">IFERROR(IF(INDEX(Bids!$AE:$AE,MATCH(B381,Bids!$A:$A,0))="Pending",1,0),0)</f>
        <v>0</v>
      </c>
      <c r="AN381" s="39" t="str">
        <f t="array" ref="AN381">IF(C381="","",IFERROR(XLOOKUP(C381,Assignments!$C:$C,Assignments!$AU:$AU,0),0))</f>
        <v/>
      </c>
      <c r="AO381" s="39">
        <f>IF(AND(Config!$B$1006="Y",AN381=1),Config!$B$1007,0)</f>
        <v>0</v>
      </c>
    </row>
    <row r="382" ht="15.75" customHeight="1">
      <c r="A382" s="46" t="str">
        <f t="shared" si="1"/>
        <v/>
      </c>
      <c r="B382" s="40" t="str">
        <f>IF(Bids!$A382="","",Bids!$A382)</f>
        <v/>
      </c>
      <c r="C382" s="40" t="str">
        <f>IF(Bids!$B382="","",Bids!$B382)</f>
        <v/>
      </c>
      <c r="D382" s="40" t="str">
        <f>IF($C382="","",IFERROR(VLOOKUP($C382,Orders!$A:$J,9,FALSE),""))</f>
        <v/>
      </c>
      <c r="E382" s="40" t="str">
        <f>IF($C382="","",IFERROR(VLOOKUP($C382,Orders!$A:$J,3,FALSE),""))</f>
        <v/>
      </c>
      <c r="F382" s="40" t="str">
        <f>IF($C382="","",IFERROR(VLOOKUP($C382,Orders!$A:$J,4,FALSE),""))</f>
        <v/>
      </c>
      <c r="G382" s="40" t="str">
        <f>IF($C382="","",IFERROR(VLOOKUP($C382,Orders!$A:$J,5,FALSE),""))</f>
        <v/>
      </c>
      <c r="H382" s="40" t="str">
        <f>IF($C382="","",IFERROR(VLOOKUP($C382,Orders!$A:$J,6,FALSE),""))</f>
        <v/>
      </c>
      <c r="I382" s="40" t="str">
        <f>IF($C382="","",IFERROR(VLOOKUP($C382,Orders!$A:$J,7,FALSE),""))</f>
        <v/>
      </c>
      <c r="J382" s="40" t="str">
        <f>IF(Bids!$C382="","",Bids!$C382)</f>
        <v/>
      </c>
      <c r="K382" s="40" t="str">
        <f>IF($J382="","",IFERROR(VLOOKUP($J382,Grinders!$A:$N,2,FALSE),""))</f>
        <v/>
      </c>
      <c r="L382" s="40" t="str">
        <f>IF($J382="","",IFERROR(VLOOKUP($J382,Grinders!$A:$N,3,FALSE),""))</f>
        <v/>
      </c>
      <c r="M382" s="40" t="str">
        <f>IF($J382="","",IFERROR(VLOOKUP($J382,Grinders!$A:$N,4,FALSE),""))</f>
        <v/>
      </c>
      <c r="N382" s="40" t="str">
        <f>IF($J382="","",IFERROR(VLOOKUP($J382,Grinders!$A:$N,5,FALSE),""))</f>
        <v/>
      </c>
      <c r="O382" s="40" t="str">
        <f t="shared" si="2"/>
        <v/>
      </c>
      <c r="P382" s="40" t="str">
        <f>IF($J382="","",IFERROR(VLOOKUP($J382,Grinders!$A:$N,6,FALSE),""))</f>
        <v/>
      </c>
      <c r="Q382" s="40" t="str">
        <f>IF($J382="","",IFERROR(VLOOKUP($J382,Grinders!$A:$N,8,FALSE),""))</f>
        <v/>
      </c>
      <c r="R382" s="40" t="str">
        <f>IFERROR(IF($J382="","",IF($L382="Elite",MAX(50,MIN(100,Config!$B$27*MAX(0,MIN(100,(1-IF($O382="",0,$O382))*100)) + Config!$B$28*MAX(0,MIN(100,(1-MIN(1,IF(Config!$B$30=0,1,$P382/Config!$B$30)))*100)) + Config!$B$29*MAX(0,MIN(100,MIN(1,IF($Q382="",0,$Q382)/Config!$B$23)*100)))),MIN(100,Config!$B$27*MAX(0,MIN(100,(1-IF($O382="",0,$O382))*100)) + Config!$B$28*MAX(0,MIN(100,(1-MIN(1,IF(Config!$B$30=0,1,$P382/Config!$B$30)))*100)) + Config!$B$29*MAX(0,MIN(100,MIN(1,IF($Q382="",0,$Q382)/Config!$B$23)*100))))),"")
</f>
        <v/>
      </c>
      <c r="S382" s="40" t="str">
        <f>IF(Bids!$AC382="","",Bids!$AC382)</f>
        <v/>
      </c>
      <c r="T382" s="40" t="str">
        <f>IF(Bids!$F382="","",Bids!$F382)</f>
        <v/>
      </c>
      <c r="U382" s="40" t="str">
        <f t="shared" si="3"/>
        <v/>
      </c>
      <c r="V382" s="40" t="str">
        <f>IF($U382="","",IF(Config!$B$17=Config!$B$16,IF($U382&gt;=Config!$B$17,100,0),MAX(0,MIN(100,($U382-Config!$B$16)/(Config!$B$17-Config!$B$16)*100))))</f>
        <v/>
      </c>
      <c r="W382" s="40">
        <f>IF($L382="Elite",Config!$B$21,0)</f>
        <v>0</v>
      </c>
      <c r="X382" s="40" t="str">
        <f>IFERROR(IF(OR($T382="",$G382=""),"",IF($T382&gt;$G382,
  MAX(0, 60-(($T382-$G382)*24/Config!$B$19)*60),
  MEDIAN(60, 100, 60+(($G382-$T382)*24/Config!$B$20)*40)
)),"")
</f>
        <v/>
      </c>
      <c r="Y382" s="40" t="str">
        <f>IF($J382="","",IFERROR(VLOOKUP($J382,Grinders!$A:$N,10,FALSE),""))</f>
        <v/>
      </c>
      <c r="Z382" s="40" t="str">
        <f>IF($J382="","",IFERROR(VLOOKUP($J382,Grinders!$A:$N,11,FALSE),""))</f>
        <v/>
      </c>
      <c r="AA382" s="40" t="str">
        <f>IF($J382="","",IFERROR(VLOOKUP($J382,Grinders!$A:$N,12,FALSE),""))</f>
        <v/>
      </c>
      <c r="AB382" s="40" t="str">
        <f>IF(OR(AL382=1,AM382=1),0,=IFERROR(IF(OR($C382="",$J382=""),0,IF($D382&lt;&gt;"Open",0,IF(COUNTIFS(GrinderServices!$A:$A,$J382,GrinderServices!$B:$B,$E382,GrinderServices!$D:$D,"Y")=0,0,IF($U382&lt;Config!$B$16,0,IF(Config!$B$18=1,IF($N382&gt;=$M382,0,1),1))))),""))</f>
        <v>#ERROR!</v>
      </c>
      <c r="AC382" s="40" t="str">
        <f>IFERROR((IF(OR(AL382=1,AM382=1),"",=IFERROR((IFERROR(IF($AB382=0,"",((Config!$B$6*$V382 + Config!$B$7*$R382 + Config!$B$8*$W382 + Config!$B$9*$X382 + Config!$B$10*$Y382 + Config!$B$11*$Z382 - Config!$B$12*$AA382)/Config!$B$13)+$AH382+$AI382),""))*(1-IFERROR(VLOOKUP(J382,Grinders!$A:$AB, 28, FALSE),0)),"")))*(1+AO382),"")</f>
        <v>#ERROR!</v>
      </c>
      <c r="AD382" s="40" t="str">
        <f t="shared" si="4"/>
        <v/>
      </c>
      <c r="AE382" s="40" t="str">
        <f>IFERROR(__xludf.DUMMYFUNCTION("IF($AC382="""","""",IF($AC382=IFERROR(MAX(FILTER($AC$6:$AC$1000,$C$6:$C$1000=$C382,$AB$6:$AB$1000=1)),),""WINNER"",""""))"),"#ERROR!")</f>
        <v>#ERROR!</v>
      </c>
      <c r="AF382" s="40" t="str">
        <f t="shared" si="5"/>
        <v/>
      </c>
      <c r="AG382" s="40" t="str">
        <f>IF($J382="","",COUNTIF(Assignments!$B:$B,$J382))</f>
        <v/>
      </c>
      <c r="AH382" s="40" t="str">
        <f>IF($J382="","",IF(AND($AG382=0,$N382&lt;$M382),Config!$B$43,0))</f>
        <v/>
      </c>
      <c r="AI382" s="40" t="str">
        <f>IF($J382="","",IF(AND($L382="Elite",$F382&gt;=Config!$B$41,$N382&lt;$M382),Config!$B$42,0))</f>
        <v/>
      </c>
      <c r="AJ382" s="22"/>
      <c r="AK382" s="39">
        <f>IFERROR(VLOOKUP(J382,Grinders!$A:$Q,28,FALSE),0)</f>
        <v>0</v>
      </c>
      <c r="AL382" s="39">
        <f>IF(Config!$B$1003&lt;&gt;"Y",0,IF(IFERROR(VLOOKUP(J382,Grinders!$A:$P,27,FALSE),0)&gt;=3,IF(OR(F382&gt;=Config!$B$1001,ISNUMBER(SEARCH(E382,Config!$B$1002))),1,0),0))</f>
        <v>0</v>
      </c>
      <c r="AM382" s="39">
        <f t="array" ref="AM382">IFERROR(IF(INDEX(Bids!$AE:$AE,MATCH(B382,Bids!$A:$A,0))="Pending",1,0),0)</f>
        <v>0</v>
      </c>
      <c r="AN382" s="39" t="str">
        <f t="array" ref="AN382">IF(C382="","",IFERROR(XLOOKUP(C382,Assignments!$C:$C,Assignments!$AU:$AU,0),0))</f>
        <v/>
      </c>
      <c r="AO382" s="39">
        <f>IF(AND(Config!$B$1006="Y",AN382=1),Config!$B$1007,0)</f>
        <v>0</v>
      </c>
    </row>
    <row r="383" ht="15.75" customHeight="1">
      <c r="A383" s="46" t="str">
        <f t="shared" si="1"/>
        <v/>
      </c>
      <c r="B383" s="40" t="str">
        <f>IF(Bids!$A383="","",Bids!$A383)</f>
        <v/>
      </c>
      <c r="C383" s="40" t="str">
        <f>IF(Bids!$B383="","",Bids!$B383)</f>
        <v/>
      </c>
      <c r="D383" s="40" t="str">
        <f>IF($C383="","",IFERROR(VLOOKUP($C383,Orders!$A:$J,9,FALSE),""))</f>
        <v/>
      </c>
      <c r="E383" s="40" t="str">
        <f>IF($C383="","",IFERROR(VLOOKUP($C383,Orders!$A:$J,3,FALSE),""))</f>
        <v/>
      </c>
      <c r="F383" s="40" t="str">
        <f>IF($C383="","",IFERROR(VLOOKUP($C383,Orders!$A:$J,4,FALSE),""))</f>
        <v/>
      </c>
      <c r="G383" s="40" t="str">
        <f>IF($C383="","",IFERROR(VLOOKUP($C383,Orders!$A:$J,5,FALSE),""))</f>
        <v/>
      </c>
      <c r="H383" s="40" t="str">
        <f>IF($C383="","",IFERROR(VLOOKUP($C383,Orders!$A:$J,6,FALSE),""))</f>
        <v/>
      </c>
      <c r="I383" s="40" t="str">
        <f>IF($C383="","",IFERROR(VLOOKUP($C383,Orders!$A:$J,7,FALSE),""))</f>
        <v/>
      </c>
      <c r="J383" s="40" t="str">
        <f>IF(Bids!$C383="","",Bids!$C383)</f>
        <v/>
      </c>
      <c r="K383" s="40" t="str">
        <f>IF($J383="","",IFERROR(VLOOKUP($J383,Grinders!$A:$N,2,FALSE),""))</f>
        <v/>
      </c>
      <c r="L383" s="40" t="str">
        <f>IF($J383="","",IFERROR(VLOOKUP($J383,Grinders!$A:$N,3,FALSE),""))</f>
        <v/>
      </c>
      <c r="M383" s="40" t="str">
        <f>IF($J383="","",IFERROR(VLOOKUP($J383,Grinders!$A:$N,4,FALSE),""))</f>
        <v/>
      </c>
      <c r="N383" s="40" t="str">
        <f>IF($J383="","",IFERROR(VLOOKUP($J383,Grinders!$A:$N,5,FALSE),""))</f>
        <v/>
      </c>
      <c r="O383" s="40" t="str">
        <f t="shared" si="2"/>
        <v/>
      </c>
      <c r="P383" s="40" t="str">
        <f>IF($J383="","",IFERROR(VLOOKUP($J383,Grinders!$A:$N,6,FALSE),""))</f>
        <v/>
      </c>
      <c r="Q383" s="40" t="str">
        <f>IF($J383="","",IFERROR(VLOOKUP($J383,Grinders!$A:$N,8,FALSE),""))</f>
        <v/>
      </c>
      <c r="R383" s="40" t="str">
        <f>IFERROR(IF($J383="","",IF($L383="Elite",MAX(50,MIN(100,Config!$B$27*MAX(0,MIN(100,(1-IF($O383="",0,$O383))*100)) + Config!$B$28*MAX(0,MIN(100,(1-MIN(1,IF(Config!$B$30=0,1,$P383/Config!$B$30)))*100)) + Config!$B$29*MAX(0,MIN(100,MIN(1,IF($Q383="",0,$Q383)/Config!$B$23)*100)))),MIN(100,Config!$B$27*MAX(0,MIN(100,(1-IF($O383="",0,$O383))*100)) + Config!$B$28*MAX(0,MIN(100,(1-MIN(1,IF(Config!$B$30=0,1,$P383/Config!$B$30)))*100)) + Config!$B$29*MAX(0,MIN(100,MIN(1,IF($Q383="",0,$Q383)/Config!$B$23)*100))))),"")
</f>
        <v/>
      </c>
      <c r="S383" s="40" t="str">
        <f>IF(Bids!$AC383="","",Bids!$AC383)</f>
        <v/>
      </c>
      <c r="T383" s="40" t="str">
        <f>IF(Bids!$F383="","",Bids!$F383)</f>
        <v/>
      </c>
      <c r="U383" s="40" t="str">
        <f t="shared" si="3"/>
        <v/>
      </c>
      <c r="V383" s="40" t="str">
        <f>IF($U383="","",IF(Config!$B$17=Config!$B$16,IF($U383&gt;=Config!$B$17,100,0),MAX(0,MIN(100,($U383-Config!$B$16)/(Config!$B$17-Config!$B$16)*100))))</f>
        <v/>
      </c>
      <c r="W383" s="40">
        <f>IF($L383="Elite",Config!$B$21,0)</f>
        <v>0</v>
      </c>
      <c r="X383" s="40" t="str">
        <f>IFERROR(IF(OR($T383="",$G383=""),"",IF($T383&gt;$G383,
  MAX(0, 60-(($T383-$G383)*24/Config!$B$19)*60),
  MEDIAN(60, 100, 60+(($G383-$T383)*24/Config!$B$20)*40)
)),"")
</f>
        <v/>
      </c>
      <c r="Y383" s="40" t="str">
        <f>IF($J383="","",IFERROR(VLOOKUP($J383,Grinders!$A:$N,10,FALSE),""))</f>
        <v/>
      </c>
      <c r="Z383" s="40" t="str">
        <f>IF($J383="","",IFERROR(VLOOKUP($J383,Grinders!$A:$N,11,FALSE),""))</f>
        <v/>
      </c>
      <c r="AA383" s="40" t="str">
        <f>IF($J383="","",IFERROR(VLOOKUP($J383,Grinders!$A:$N,12,FALSE),""))</f>
        <v/>
      </c>
      <c r="AB383" s="40" t="str">
        <f>IF(OR(AL383=1,AM383=1),0,=IFERROR(IF(OR($C383="",$J383=""),0,IF($D383&lt;&gt;"Open",0,IF(COUNTIFS(GrinderServices!$A:$A,$J383,GrinderServices!$B:$B,$E383,GrinderServices!$D:$D,"Y")=0,0,IF($U383&lt;Config!$B$16,0,IF(Config!$B$18=1,IF($N383&gt;=$M383,0,1),1))))),""))</f>
        <v>#ERROR!</v>
      </c>
      <c r="AC383" s="40" t="str">
        <f>IFERROR((IF(OR(AL383=1,AM383=1),"",=IFERROR((IFERROR(IF($AB383=0,"",((Config!$B$6*$V383 + Config!$B$7*$R383 + Config!$B$8*$W383 + Config!$B$9*$X383 + Config!$B$10*$Y383 + Config!$B$11*$Z383 - Config!$B$12*$AA383)/Config!$B$13)+$AH383+$AI383),""))*(1-IFERROR(VLOOKUP(J383,Grinders!$A:$AB, 28, FALSE),0)),"")))*(1+AO383),"")</f>
        <v>#ERROR!</v>
      </c>
      <c r="AD383" s="40" t="str">
        <f t="shared" si="4"/>
        <v/>
      </c>
      <c r="AE383" s="40" t="str">
        <f>IFERROR(__xludf.DUMMYFUNCTION("IF($AC383="""","""",IF($AC383=IFERROR(MAX(FILTER($AC$6:$AC$1000,$C$6:$C$1000=$C383,$AB$6:$AB$1000=1)),),""WINNER"",""""))"),"#ERROR!")</f>
        <v>#ERROR!</v>
      </c>
      <c r="AF383" s="40" t="str">
        <f t="shared" si="5"/>
        <v/>
      </c>
      <c r="AG383" s="40" t="str">
        <f>IF($J383="","",COUNTIF(Assignments!$B:$B,$J383))</f>
        <v/>
      </c>
      <c r="AH383" s="40" t="str">
        <f>IF($J383="","",IF(AND($AG383=0,$N383&lt;$M383),Config!$B$43,0))</f>
        <v/>
      </c>
      <c r="AI383" s="40" t="str">
        <f>IF($J383="","",IF(AND($L383="Elite",$F383&gt;=Config!$B$41,$N383&lt;$M383),Config!$B$42,0))</f>
        <v/>
      </c>
      <c r="AJ383" s="22"/>
      <c r="AK383" s="39">
        <f>IFERROR(VLOOKUP(J383,Grinders!$A:$Q,28,FALSE),0)</f>
        <v>0</v>
      </c>
      <c r="AL383" s="39">
        <f>IF(Config!$B$1003&lt;&gt;"Y",0,IF(IFERROR(VLOOKUP(J383,Grinders!$A:$P,27,FALSE),0)&gt;=3,IF(OR(F383&gt;=Config!$B$1001,ISNUMBER(SEARCH(E383,Config!$B$1002))),1,0),0))</f>
        <v>0</v>
      </c>
      <c r="AM383" s="39">
        <f t="array" ref="AM383">IFERROR(IF(INDEX(Bids!$AE:$AE,MATCH(B383,Bids!$A:$A,0))="Pending",1,0),0)</f>
        <v>0</v>
      </c>
      <c r="AN383" s="39" t="str">
        <f t="array" ref="AN383">IF(C383="","",IFERROR(XLOOKUP(C383,Assignments!$C:$C,Assignments!$AU:$AU,0),0))</f>
        <v/>
      </c>
      <c r="AO383" s="39">
        <f>IF(AND(Config!$B$1006="Y",AN383=1),Config!$B$1007,0)</f>
        <v>0</v>
      </c>
    </row>
    <row r="384" ht="15.75" customHeight="1">
      <c r="A384" s="46" t="str">
        <f t="shared" si="1"/>
        <v/>
      </c>
      <c r="B384" s="40" t="str">
        <f>IF(Bids!$A384="","",Bids!$A384)</f>
        <v/>
      </c>
      <c r="C384" s="40" t="str">
        <f>IF(Bids!$B384="","",Bids!$B384)</f>
        <v/>
      </c>
      <c r="D384" s="40" t="str">
        <f>IF($C384="","",IFERROR(VLOOKUP($C384,Orders!$A:$J,9,FALSE),""))</f>
        <v/>
      </c>
      <c r="E384" s="40" t="str">
        <f>IF($C384="","",IFERROR(VLOOKUP($C384,Orders!$A:$J,3,FALSE),""))</f>
        <v/>
      </c>
      <c r="F384" s="40" t="str">
        <f>IF($C384="","",IFERROR(VLOOKUP($C384,Orders!$A:$J,4,FALSE),""))</f>
        <v/>
      </c>
      <c r="G384" s="40" t="str">
        <f>IF($C384="","",IFERROR(VLOOKUP($C384,Orders!$A:$J,5,FALSE),""))</f>
        <v/>
      </c>
      <c r="H384" s="40" t="str">
        <f>IF($C384="","",IFERROR(VLOOKUP($C384,Orders!$A:$J,6,FALSE),""))</f>
        <v/>
      </c>
      <c r="I384" s="40" t="str">
        <f>IF($C384="","",IFERROR(VLOOKUP($C384,Orders!$A:$J,7,FALSE),""))</f>
        <v/>
      </c>
      <c r="J384" s="40" t="str">
        <f>IF(Bids!$C384="","",Bids!$C384)</f>
        <v/>
      </c>
      <c r="K384" s="40" t="str">
        <f>IF($J384="","",IFERROR(VLOOKUP($J384,Grinders!$A:$N,2,FALSE),""))</f>
        <v/>
      </c>
      <c r="L384" s="40" t="str">
        <f>IF($J384="","",IFERROR(VLOOKUP($J384,Grinders!$A:$N,3,FALSE),""))</f>
        <v/>
      </c>
      <c r="M384" s="40" t="str">
        <f>IF($J384="","",IFERROR(VLOOKUP($J384,Grinders!$A:$N,4,FALSE),""))</f>
        <v/>
      </c>
      <c r="N384" s="40" t="str">
        <f>IF($J384="","",IFERROR(VLOOKUP($J384,Grinders!$A:$N,5,FALSE),""))</f>
        <v/>
      </c>
      <c r="O384" s="40" t="str">
        <f t="shared" si="2"/>
        <v/>
      </c>
      <c r="P384" s="40" t="str">
        <f>IF($J384="","",IFERROR(VLOOKUP($J384,Grinders!$A:$N,6,FALSE),""))</f>
        <v/>
      </c>
      <c r="Q384" s="40" t="str">
        <f>IF($J384="","",IFERROR(VLOOKUP($J384,Grinders!$A:$N,8,FALSE),""))</f>
        <v/>
      </c>
      <c r="R384" s="40" t="str">
        <f>IFERROR(IF($J384="","",IF($L384="Elite",MAX(50,MIN(100,Config!$B$27*MAX(0,MIN(100,(1-IF($O384="",0,$O384))*100)) + Config!$B$28*MAX(0,MIN(100,(1-MIN(1,IF(Config!$B$30=0,1,$P384/Config!$B$30)))*100)) + Config!$B$29*MAX(0,MIN(100,MIN(1,IF($Q384="",0,$Q384)/Config!$B$23)*100)))),MIN(100,Config!$B$27*MAX(0,MIN(100,(1-IF($O384="",0,$O384))*100)) + Config!$B$28*MAX(0,MIN(100,(1-MIN(1,IF(Config!$B$30=0,1,$P384/Config!$B$30)))*100)) + Config!$B$29*MAX(0,MIN(100,MIN(1,IF($Q384="",0,$Q384)/Config!$B$23)*100))))),"")
</f>
        <v/>
      </c>
      <c r="S384" s="40" t="str">
        <f>IF(Bids!$AC384="","",Bids!$AC384)</f>
        <v/>
      </c>
      <c r="T384" s="40" t="str">
        <f>IF(Bids!$F384="","",Bids!$F384)</f>
        <v/>
      </c>
      <c r="U384" s="40" t="str">
        <f t="shared" si="3"/>
        <v/>
      </c>
      <c r="V384" s="40" t="str">
        <f>IF($U384="","",IF(Config!$B$17=Config!$B$16,IF($U384&gt;=Config!$B$17,100,0),MAX(0,MIN(100,($U384-Config!$B$16)/(Config!$B$17-Config!$B$16)*100))))</f>
        <v/>
      </c>
      <c r="W384" s="40">
        <f>IF($L384="Elite",Config!$B$21,0)</f>
        <v>0</v>
      </c>
      <c r="X384" s="40" t="str">
        <f>IFERROR(IF(OR($T384="",$G384=""),"",IF($T384&gt;$G384,
  MAX(0, 60-(($T384-$G384)*24/Config!$B$19)*60),
  MEDIAN(60, 100, 60+(($G384-$T384)*24/Config!$B$20)*40)
)),"")
</f>
        <v/>
      </c>
      <c r="Y384" s="40" t="str">
        <f>IF($J384="","",IFERROR(VLOOKUP($J384,Grinders!$A:$N,10,FALSE),""))</f>
        <v/>
      </c>
      <c r="Z384" s="40" t="str">
        <f>IF($J384="","",IFERROR(VLOOKUP($J384,Grinders!$A:$N,11,FALSE),""))</f>
        <v/>
      </c>
      <c r="AA384" s="40" t="str">
        <f>IF($J384="","",IFERROR(VLOOKUP($J384,Grinders!$A:$N,12,FALSE),""))</f>
        <v/>
      </c>
      <c r="AB384" s="40" t="str">
        <f>IF(OR(AL384=1,AM384=1),0,=IFERROR(IF(OR($C384="",$J384=""),0,IF($D384&lt;&gt;"Open",0,IF(COUNTIFS(GrinderServices!$A:$A,$J384,GrinderServices!$B:$B,$E384,GrinderServices!$D:$D,"Y")=0,0,IF($U384&lt;Config!$B$16,0,IF(Config!$B$18=1,IF($N384&gt;=$M384,0,1),1))))),""))</f>
        <v>#ERROR!</v>
      </c>
      <c r="AC384" s="40" t="str">
        <f>IFERROR((IF(OR(AL384=1,AM384=1),"",=IFERROR((IFERROR(IF($AB384=0,"",((Config!$B$6*$V384 + Config!$B$7*$R384 + Config!$B$8*$W384 + Config!$B$9*$X384 + Config!$B$10*$Y384 + Config!$B$11*$Z384 - Config!$B$12*$AA384)/Config!$B$13)+$AH384+$AI384),""))*(1-IFERROR(VLOOKUP(J384,Grinders!$A:$AB, 28, FALSE),0)),"")))*(1+AO384),"")</f>
        <v>#ERROR!</v>
      </c>
      <c r="AD384" s="40" t="str">
        <f t="shared" si="4"/>
        <v/>
      </c>
      <c r="AE384" s="40" t="str">
        <f>IFERROR(__xludf.DUMMYFUNCTION("IF($AC384="""","""",IF($AC384=IFERROR(MAX(FILTER($AC$6:$AC$1000,$C$6:$C$1000=$C384,$AB$6:$AB$1000=1)),),""WINNER"",""""))"),"#ERROR!")</f>
        <v>#ERROR!</v>
      </c>
      <c r="AF384" s="40" t="str">
        <f t="shared" si="5"/>
        <v/>
      </c>
      <c r="AG384" s="40" t="str">
        <f>IF($J384="","",COUNTIF(Assignments!$B:$B,$J384))</f>
        <v/>
      </c>
      <c r="AH384" s="40" t="str">
        <f>IF($J384="","",IF(AND($AG384=0,$N384&lt;$M384),Config!$B$43,0))</f>
        <v/>
      </c>
      <c r="AI384" s="40" t="str">
        <f>IF($J384="","",IF(AND($L384="Elite",$F384&gt;=Config!$B$41,$N384&lt;$M384),Config!$B$42,0))</f>
        <v/>
      </c>
      <c r="AJ384" s="22"/>
      <c r="AK384" s="39">
        <f>IFERROR(VLOOKUP(J384,Grinders!$A:$Q,28,FALSE),0)</f>
        <v>0</v>
      </c>
      <c r="AL384" s="39">
        <f>IF(Config!$B$1003&lt;&gt;"Y",0,IF(IFERROR(VLOOKUP(J384,Grinders!$A:$P,27,FALSE),0)&gt;=3,IF(OR(F384&gt;=Config!$B$1001,ISNUMBER(SEARCH(E384,Config!$B$1002))),1,0),0))</f>
        <v>0</v>
      </c>
      <c r="AM384" s="39">
        <f t="array" ref="AM384">IFERROR(IF(INDEX(Bids!$AE:$AE,MATCH(B384,Bids!$A:$A,0))="Pending",1,0),0)</f>
        <v>0</v>
      </c>
      <c r="AN384" s="39" t="str">
        <f t="array" ref="AN384">IF(C384="","",IFERROR(XLOOKUP(C384,Assignments!$C:$C,Assignments!$AU:$AU,0),0))</f>
        <v/>
      </c>
      <c r="AO384" s="39">
        <f>IF(AND(Config!$B$1006="Y",AN384=1),Config!$B$1007,0)</f>
        <v>0</v>
      </c>
    </row>
    <row r="385" ht="15.75" customHeight="1">
      <c r="A385" s="46" t="str">
        <f t="shared" si="1"/>
        <v/>
      </c>
      <c r="B385" s="40" t="str">
        <f>IF(Bids!$A385="","",Bids!$A385)</f>
        <v/>
      </c>
      <c r="C385" s="40" t="str">
        <f>IF(Bids!$B385="","",Bids!$B385)</f>
        <v/>
      </c>
      <c r="D385" s="40" t="str">
        <f>IF($C385="","",IFERROR(VLOOKUP($C385,Orders!$A:$J,9,FALSE),""))</f>
        <v/>
      </c>
      <c r="E385" s="40" t="str">
        <f>IF($C385="","",IFERROR(VLOOKUP($C385,Orders!$A:$J,3,FALSE),""))</f>
        <v/>
      </c>
      <c r="F385" s="40" t="str">
        <f>IF($C385="","",IFERROR(VLOOKUP($C385,Orders!$A:$J,4,FALSE),""))</f>
        <v/>
      </c>
      <c r="G385" s="40" t="str">
        <f>IF($C385="","",IFERROR(VLOOKUP($C385,Orders!$A:$J,5,FALSE),""))</f>
        <v/>
      </c>
      <c r="H385" s="40" t="str">
        <f>IF($C385="","",IFERROR(VLOOKUP($C385,Orders!$A:$J,6,FALSE),""))</f>
        <v/>
      </c>
      <c r="I385" s="40" t="str">
        <f>IF($C385="","",IFERROR(VLOOKUP($C385,Orders!$A:$J,7,FALSE),""))</f>
        <v/>
      </c>
      <c r="J385" s="40" t="str">
        <f>IF(Bids!$C385="","",Bids!$C385)</f>
        <v/>
      </c>
      <c r="K385" s="40" t="str">
        <f>IF($J385="","",IFERROR(VLOOKUP($J385,Grinders!$A:$N,2,FALSE),""))</f>
        <v/>
      </c>
      <c r="L385" s="40" t="str">
        <f>IF($J385="","",IFERROR(VLOOKUP($J385,Grinders!$A:$N,3,FALSE),""))</f>
        <v/>
      </c>
      <c r="M385" s="40" t="str">
        <f>IF($J385="","",IFERROR(VLOOKUP($J385,Grinders!$A:$N,4,FALSE),""))</f>
        <v/>
      </c>
      <c r="N385" s="40" t="str">
        <f>IF($J385="","",IFERROR(VLOOKUP($J385,Grinders!$A:$N,5,FALSE),""))</f>
        <v/>
      </c>
      <c r="O385" s="40" t="str">
        <f t="shared" si="2"/>
        <v/>
      </c>
      <c r="P385" s="40" t="str">
        <f>IF($J385="","",IFERROR(VLOOKUP($J385,Grinders!$A:$N,6,FALSE),""))</f>
        <v/>
      </c>
      <c r="Q385" s="40" t="str">
        <f>IF($J385="","",IFERROR(VLOOKUP($J385,Grinders!$A:$N,8,FALSE),""))</f>
        <v/>
      </c>
      <c r="R385" s="40" t="str">
        <f>IFERROR(IF($J385="","",IF($L385="Elite",MAX(50,MIN(100,Config!$B$27*MAX(0,MIN(100,(1-IF($O385="",0,$O385))*100)) + Config!$B$28*MAX(0,MIN(100,(1-MIN(1,IF(Config!$B$30=0,1,$P385/Config!$B$30)))*100)) + Config!$B$29*MAX(0,MIN(100,MIN(1,IF($Q385="",0,$Q385)/Config!$B$23)*100)))),MIN(100,Config!$B$27*MAX(0,MIN(100,(1-IF($O385="",0,$O385))*100)) + Config!$B$28*MAX(0,MIN(100,(1-MIN(1,IF(Config!$B$30=0,1,$P385/Config!$B$30)))*100)) + Config!$B$29*MAX(0,MIN(100,MIN(1,IF($Q385="",0,$Q385)/Config!$B$23)*100))))),"")
</f>
        <v/>
      </c>
      <c r="S385" s="40" t="str">
        <f>IF(Bids!$AC385="","",Bids!$AC385)</f>
        <v/>
      </c>
      <c r="T385" s="40" t="str">
        <f>IF(Bids!$F385="","",Bids!$F385)</f>
        <v/>
      </c>
      <c r="U385" s="40" t="str">
        <f t="shared" si="3"/>
        <v/>
      </c>
      <c r="V385" s="40" t="str">
        <f>IF($U385="","",IF(Config!$B$17=Config!$B$16,IF($U385&gt;=Config!$B$17,100,0),MAX(0,MIN(100,($U385-Config!$B$16)/(Config!$B$17-Config!$B$16)*100))))</f>
        <v/>
      </c>
      <c r="W385" s="40">
        <f>IF($L385="Elite",Config!$B$21,0)</f>
        <v>0</v>
      </c>
      <c r="X385" s="40" t="str">
        <f>IFERROR(IF(OR($T385="",$G385=""),"",IF($T385&gt;$G385,
  MAX(0, 60-(($T385-$G385)*24/Config!$B$19)*60),
  MEDIAN(60, 100, 60+(($G385-$T385)*24/Config!$B$20)*40)
)),"")
</f>
        <v/>
      </c>
      <c r="Y385" s="40" t="str">
        <f>IF($J385="","",IFERROR(VLOOKUP($J385,Grinders!$A:$N,10,FALSE),""))</f>
        <v/>
      </c>
      <c r="Z385" s="40" t="str">
        <f>IF($J385="","",IFERROR(VLOOKUP($J385,Grinders!$A:$N,11,FALSE),""))</f>
        <v/>
      </c>
      <c r="AA385" s="40" t="str">
        <f>IF($J385="","",IFERROR(VLOOKUP($J385,Grinders!$A:$N,12,FALSE),""))</f>
        <v/>
      </c>
      <c r="AB385" s="40" t="str">
        <f>IF(OR(AL385=1,AM385=1),0,=IFERROR(IF(OR($C385="",$J385=""),0,IF($D385&lt;&gt;"Open",0,IF(COUNTIFS(GrinderServices!$A:$A,$J385,GrinderServices!$B:$B,$E385,GrinderServices!$D:$D,"Y")=0,0,IF($U385&lt;Config!$B$16,0,IF(Config!$B$18=1,IF($N385&gt;=$M385,0,1),1))))),""))</f>
        <v>#ERROR!</v>
      </c>
      <c r="AC385" s="40" t="str">
        <f>IFERROR((IF(OR(AL385=1,AM385=1),"",=IFERROR((IFERROR(IF($AB385=0,"",((Config!$B$6*$V385 + Config!$B$7*$R385 + Config!$B$8*$W385 + Config!$B$9*$X385 + Config!$B$10*$Y385 + Config!$B$11*$Z385 - Config!$B$12*$AA385)/Config!$B$13)+$AH385+$AI385),""))*(1-IFERROR(VLOOKUP(J385,Grinders!$A:$AB, 28, FALSE),0)),"")))*(1+AO385),"")</f>
        <v>#ERROR!</v>
      </c>
      <c r="AD385" s="40" t="str">
        <f t="shared" si="4"/>
        <v/>
      </c>
      <c r="AE385" s="40" t="str">
        <f>IFERROR(__xludf.DUMMYFUNCTION("IF($AC385="""","""",IF($AC385=IFERROR(MAX(FILTER($AC$6:$AC$1000,$C$6:$C$1000=$C385,$AB$6:$AB$1000=1)),),""WINNER"",""""))"),"#ERROR!")</f>
        <v>#ERROR!</v>
      </c>
      <c r="AF385" s="40" t="str">
        <f t="shared" si="5"/>
        <v/>
      </c>
      <c r="AG385" s="40" t="str">
        <f>IF($J385="","",COUNTIF(Assignments!$B:$B,$J385))</f>
        <v/>
      </c>
      <c r="AH385" s="40" t="str">
        <f>IF($J385="","",IF(AND($AG385=0,$N385&lt;$M385),Config!$B$43,0))</f>
        <v/>
      </c>
      <c r="AI385" s="40" t="str">
        <f>IF($J385="","",IF(AND($L385="Elite",$F385&gt;=Config!$B$41,$N385&lt;$M385),Config!$B$42,0))</f>
        <v/>
      </c>
      <c r="AJ385" s="22"/>
      <c r="AK385" s="39">
        <f>IFERROR(VLOOKUP(J385,Grinders!$A:$Q,28,FALSE),0)</f>
        <v>0</v>
      </c>
      <c r="AL385" s="39">
        <f>IF(Config!$B$1003&lt;&gt;"Y",0,IF(IFERROR(VLOOKUP(J385,Grinders!$A:$P,27,FALSE),0)&gt;=3,IF(OR(F385&gt;=Config!$B$1001,ISNUMBER(SEARCH(E385,Config!$B$1002))),1,0),0))</f>
        <v>0</v>
      </c>
      <c r="AM385" s="39">
        <f t="array" ref="AM385">IFERROR(IF(INDEX(Bids!$AE:$AE,MATCH(B385,Bids!$A:$A,0))="Pending",1,0),0)</f>
        <v>0</v>
      </c>
      <c r="AN385" s="39" t="str">
        <f t="array" ref="AN385">IF(C385="","",IFERROR(XLOOKUP(C385,Assignments!$C:$C,Assignments!$AU:$AU,0),0))</f>
        <v/>
      </c>
      <c r="AO385" s="39">
        <f>IF(AND(Config!$B$1006="Y",AN385=1),Config!$B$1007,0)</f>
        <v>0</v>
      </c>
    </row>
    <row r="386" ht="15.75" customHeight="1">
      <c r="A386" s="46" t="str">
        <f t="shared" si="1"/>
        <v/>
      </c>
      <c r="B386" s="40" t="str">
        <f>IF(Bids!$A386="","",Bids!$A386)</f>
        <v/>
      </c>
      <c r="C386" s="40" t="str">
        <f>IF(Bids!$B386="","",Bids!$B386)</f>
        <v/>
      </c>
      <c r="D386" s="40" t="str">
        <f>IF($C386="","",IFERROR(VLOOKUP($C386,Orders!$A:$J,9,FALSE),""))</f>
        <v/>
      </c>
      <c r="E386" s="40" t="str">
        <f>IF($C386="","",IFERROR(VLOOKUP($C386,Orders!$A:$J,3,FALSE),""))</f>
        <v/>
      </c>
      <c r="F386" s="40" t="str">
        <f>IF($C386="","",IFERROR(VLOOKUP($C386,Orders!$A:$J,4,FALSE),""))</f>
        <v/>
      </c>
      <c r="G386" s="40" t="str">
        <f>IF($C386="","",IFERROR(VLOOKUP($C386,Orders!$A:$J,5,FALSE),""))</f>
        <v/>
      </c>
      <c r="H386" s="40" t="str">
        <f>IF($C386="","",IFERROR(VLOOKUP($C386,Orders!$A:$J,6,FALSE),""))</f>
        <v/>
      </c>
      <c r="I386" s="40" t="str">
        <f>IF($C386="","",IFERROR(VLOOKUP($C386,Orders!$A:$J,7,FALSE),""))</f>
        <v/>
      </c>
      <c r="J386" s="40" t="str">
        <f>IF(Bids!$C386="","",Bids!$C386)</f>
        <v/>
      </c>
      <c r="K386" s="40" t="str">
        <f>IF($J386="","",IFERROR(VLOOKUP($J386,Grinders!$A:$N,2,FALSE),""))</f>
        <v/>
      </c>
      <c r="L386" s="40" t="str">
        <f>IF($J386="","",IFERROR(VLOOKUP($J386,Grinders!$A:$N,3,FALSE),""))</f>
        <v/>
      </c>
      <c r="M386" s="40" t="str">
        <f>IF($J386="","",IFERROR(VLOOKUP($J386,Grinders!$A:$N,4,FALSE),""))</f>
        <v/>
      </c>
      <c r="N386" s="40" t="str">
        <f>IF($J386="","",IFERROR(VLOOKUP($J386,Grinders!$A:$N,5,FALSE),""))</f>
        <v/>
      </c>
      <c r="O386" s="40" t="str">
        <f t="shared" si="2"/>
        <v/>
      </c>
      <c r="P386" s="40" t="str">
        <f>IF($J386="","",IFERROR(VLOOKUP($J386,Grinders!$A:$N,6,FALSE),""))</f>
        <v/>
      </c>
      <c r="Q386" s="40" t="str">
        <f>IF($J386="","",IFERROR(VLOOKUP($J386,Grinders!$A:$N,8,FALSE),""))</f>
        <v/>
      </c>
      <c r="R386" s="40" t="str">
        <f>IFERROR(IF($J386="","",IF($L386="Elite",MAX(50,MIN(100,Config!$B$27*MAX(0,MIN(100,(1-IF($O386="",0,$O386))*100)) + Config!$B$28*MAX(0,MIN(100,(1-MIN(1,IF(Config!$B$30=0,1,$P386/Config!$B$30)))*100)) + Config!$B$29*MAX(0,MIN(100,MIN(1,IF($Q386="",0,$Q386)/Config!$B$23)*100)))),MIN(100,Config!$B$27*MAX(0,MIN(100,(1-IF($O386="",0,$O386))*100)) + Config!$B$28*MAX(0,MIN(100,(1-MIN(1,IF(Config!$B$30=0,1,$P386/Config!$B$30)))*100)) + Config!$B$29*MAX(0,MIN(100,MIN(1,IF($Q386="",0,$Q386)/Config!$B$23)*100))))),"")
</f>
        <v/>
      </c>
      <c r="S386" s="40" t="str">
        <f>IF(Bids!$AC386="","",Bids!$AC386)</f>
        <v/>
      </c>
      <c r="T386" s="40" t="str">
        <f>IF(Bids!$F386="","",Bids!$F386)</f>
        <v/>
      </c>
      <c r="U386" s="40" t="str">
        <f t="shared" si="3"/>
        <v/>
      </c>
      <c r="V386" s="40" t="str">
        <f>IF($U386="","",IF(Config!$B$17=Config!$B$16,IF($U386&gt;=Config!$B$17,100,0),MAX(0,MIN(100,($U386-Config!$B$16)/(Config!$B$17-Config!$B$16)*100))))</f>
        <v/>
      </c>
      <c r="W386" s="40">
        <f>IF($L386="Elite",Config!$B$21,0)</f>
        <v>0</v>
      </c>
      <c r="X386" s="40" t="str">
        <f>IFERROR(IF(OR($T386="",$G386=""),"",IF($T386&gt;$G386,
  MAX(0, 60-(($T386-$G386)*24/Config!$B$19)*60),
  MEDIAN(60, 100, 60+(($G386-$T386)*24/Config!$B$20)*40)
)),"")
</f>
        <v/>
      </c>
      <c r="Y386" s="40" t="str">
        <f>IF($J386="","",IFERROR(VLOOKUP($J386,Grinders!$A:$N,10,FALSE),""))</f>
        <v/>
      </c>
      <c r="Z386" s="40" t="str">
        <f>IF($J386="","",IFERROR(VLOOKUP($J386,Grinders!$A:$N,11,FALSE),""))</f>
        <v/>
      </c>
      <c r="AA386" s="40" t="str">
        <f>IF($J386="","",IFERROR(VLOOKUP($J386,Grinders!$A:$N,12,FALSE),""))</f>
        <v/>
      </c>
      <c r="AB386" s="40" t="str">
        <f>IF(OR(AL386=1,AM386=1),0,=IFERROR(IF(OR($C386="",$J386=""),0,IF($D386&lt;&gt;"Open",0,IF(COUNTIFS(GrinderServices!$A:$A,$J386,GrinderServices!$B:$B,$E386,GrinderServices!$D:$D,"Y")=0,0,IF($U386&lt;Config!$B$16,0,IF(Config!$B$18=1,IF($N386&gt;=$M386,0,1),1))))),""))</f>
        <v>#ERROR!</v>
      </c>
      <c r="AC386" s="40" t="str">
        <f>IFERROR((IF(OR(AL386=1,AM386=1),"",=IFERROR((IFERROR(IF($AB386=0,"",((Config!$B$6*$V386 + Config!$B$7*$R386 + Config!$B$8*$W386 + Config!$B$9*$X386 + Config!$B$10*$Y386 + Config!$B$11*$Z386 - Config!$B$12*$AA386)/Config!$B$13)+$AH386+$AI386),""))*(1-IFERROR(VLOOKUP(J386,Grinders!$A:$AB, 28, FALSE),0)),"")))*(1+AO386),"")</f>
        <v>#ERROR!</v>
      </c>
      <c r="AD386" s="40" t="str">
        <f t="shared" si="4"/>
        <v/>
      </c>
      <c r="AE386" s="40" t="str">
        <f>IFERROR(__xludf.DUMMYFUNCTION("IF($AC386="""","""",IF($AC386=IFERROR(MAX(FILTER($AC$6:$AC$1000,$C$6:$C$1000=$C386,$AB$6:$AB$1000=1)),),""WINNER"",""""))"),"#ERROR!")</f>
        <v>#ERROR!</v>
      </c>
      <c r="AF386" s="40" t="str">
        <f t="shared" si="5"/>
        <v/>
      </c>
      <c r="AG386" s="40" t="str">
        <f>IF($J386="","",COUNTIF(Assignments!$B:$B,$J386))</f>
        <v/>
      </c>
      <c r="AH386" s="40" t="str">
        <f>IF($J386="","",IF(AND($AG386=0,$N386&lt;$M386),Config!$B$43,0))</f>
        <v/>
      </c>
      <c r="AI386" s="40" t="str">
        <f>IF($J386="","",IF(AND($L386="Elite",$F386&gt;=Config!$B$41,$N386&lt;$M386),Config!$B$42,0))</f>
        <v/>
      </c>
      <c r="AJ386" s="22"/>
      <c r="AK386" s="39">
        <f>IFERROR(VLOOKUP(J386,Grinders!$A:$Q,28,FALSE),0)</f>
        <v>0</v>
      </c>
      <c r="AL386" s="39">
        <f>IF(Config!$B$1003&lt;&gt;"Y",0,IF(IFERROR(VLOOKUP(J386,Grinders!$A:$P,27,FALSE),0)&gt;=3,IF(OR(F386&gt;=Config!$B$1001,ISNUMBER(SEARCH(E386,Config!$B$1002))),1,0),0))</f>
        <v>0</v>
      </c>
      <c r="AM386" s="39">
        <f t="array" ref="AM386">IFERROR(IF(INDEX(Bids!$AE:$AE,MATCH(B386,Bids!$A:$A,0))="Pending",1,0),0)</f>
        <v>0</v>
      </c>
      <c r="AN386" s="39" t="str">
        <f t="array" ref="AN386">IF(C386="","",IFERROR(XLOOKUP(C386,Assignments!$C:$C,Assignments!$AU:$AU,0),0))</f>
        <v/>
      </c>
      <c r="AO386" s="39">
        <f>IF(AND(Config!$B$1006="Y",AN386=1),Config!$B$1007,0)</f>
        <v>0</v>
      </c>
    </row>
    <row r="387" ht="15.75" customHeight="1">
      <c r="A387" s="46" t="str">
        <f t="shared" si="1"/>
        <v/>
      </c>
      <c r="B387" s="40" t="str">
        <f>IF(Bids!$A387="","",Bids!$A387)</f>
        <v/>
      </c>
      <c r="C387" s="40" t="str">
        <f>IF(Bids!$B387="","",Bids!$B387)</f>
        <v/>
      </c>
      <c r="D387" s="40" t="str">
        <f>IF($C387="","",IFERROR(VLOOKUP($C387,Orders!$A:$J,9,FALSE),""))</f>
        <v/>
      </c>
      <c r="E387" s="40" t="str">
        <f>IF($C387="","",IFERROR(VLOOKUP($C387,Orders!$A:$J,3,FALSE),""))</f>
        <v/>
      </c>
      <c r="F387" s="40" t="str">
        <f>IF($C387="","",IFERROR(VLOOKUP($C387,Orders!$A:$J,4,FALSE),""))</f>
        <v/>
      </c>
      <c r="G387" s="40" t="str">
        <f>IF($C387="","",IFERROR(VLOOKUP($C387,Orders!$A:$J,5,FALSE),""))</f>
        <v/>
      </c>
      <c r="H387" s="40" t="str">
        <f>IF($C387="","",IFERROR(VLOOKUP($C387,Orders!$A:$J,6,FALSE),""))</f>
        <v/>
      </c>
      <c r="I387" s="40" t="str">
        <f>IF($C387="","",IFERROR(VLOOKUP($C387,Orders!$A:$J,7,FALSE),""))</f>
        <v/>
      </c>
      <c r="J387" s="40" t="str">
        <f>IF(Bids!$C387="","",Bids!$C387)</f>
        <v/>
      </c>
      <c r="K387" s="40" t="str">
        <f>IF($J387="","",IFERROR(VLOOKUP($J387,Grinders!$A:$N,2,FALSE),""))</f>
        <v/>
      </c>
      <c r="L387" s="40" t="str">
        <f>IF($J387="","",IFERROR(VLOOKUP($J387,Grinders!$A:$N,3,FALSE),""))</f>
        <v/>
      </c>
      <c r="M387" s="40" t="str">
        <f>IF($J387="","",IFERROR(VLOOKUP($J387,Grinders!$A:$N,4,FALSE),""))</f>
        <v/>
      </c>
      <c r="N387" s="40" t="str">
        <f>IF($J387="","",IFERROR(VLOOKUP($J387,Grinders!$A:$N,5,FALSE),""))</f>
        <v/>
      </c>
      <c r="O387" s="40" t="str">
        <f t="shared" si="2"/>
        <v/>
      </c>
      <c r="P387" s="40" t="str">
        <f>IF($J387="","",IFERROR(VLOOKUP($J387,Grinders!$A:$N,6,FALSE),""))</f>
        <v/>
      </c>
      <c r="Q387" s="40" t="str">
        <f>IF($J387="","",IFERROR(VLOOKUP($J387,Grinders!$A:$N,8,FALSE),""))</f>
        <v/>
      </c>
      <c r="R387" s="40" t="str">
        <f>IFERROR(IF($J387="","",IF($L387="Elite",MAX(50,MIN(100,Config!$B$27*MAX(0,MIN(100,(1-IF($O387="",0,$O387))*100)) + Config!$B$28*MAX(0,MIN(100,(1-MIN(1,IF(Config!$B$30=0,1,$P387/Config!$B$30)))*100)) + Config!$B$29*MAX(0,MIN(100,MIN(1,IF($Q387="",0,$Q387)/Config!$B$23)*100)))),MIN(100,Config!$B$27*MAX(0,MIN(100,(1-IF($O387="",0,$O387))*100)) + Config!$B$28*MAX(0,MIN(100,(1-MIN(1,IF(Config!$B$30=0,1,$P387/Config!$B$30)))*100)) + Config!$B$29*MAX(0,MIN(100,MIN(1,IF($Q387="",0,$Q387)/Config!$B$23)*100))))),"")
</f>
        <v/>
      </c>
      <c r="S387" s="40" t="str">
        <f>IF(Bids!$AC387="","",Bids!$AC387)</f>
        <v/>
      </c>
      <c r="T387" s="40" t="str">
        <f>IF(Bids!$F387="","",Bids!$F387)</f>
        <v/>
      </c>
      <c r="U387" s="40" t="str">
        <f t="shared" si="3"/>
        <v/>
      </c>
      <c r="V387" s="40" t="str">
        <f>IF($U387="","",IF(Config!$B$17=Config!$B$16,IF($U387&gt;=Config!$B$17,100,0),MAX(0,MIN(100,($U387-Config!$B$16)/(Config!$B$17-Config!$B$16)*100))))</f>
        <v/>
      </c>
      <c r="W387" s="40">
        <f>IF($L387="Elite",Config!$B$21,0)</f>
        <v>0</v>
      </c>
      <c r="X387" s="40" t="str">
        <f>IFERROR(IF(OR($T387="",$G387=""),"",IF($T387&gt;$G387,
  MAX(0, 60-(($T387-$G387)*24/Config!$B$19)*60),
  MEDIAN(60, 100, 60+(($G387-$T387)*24/Config!$B$20)*40)
)),"")
</f>
        <v/>
      </c>
      <c r="Y387" s="40" t="str">
        <f>IF($J387="","",IFERROR(VLOOKUP($J387,Grinders!$A:$N,10,FALSE),""))</f>
        <v/>
      </c>
      <c r="Z387" s="40" t="str">
        <f>IF($J387="","",IFERROR(VLOOKUP($J387,Grinders!$A:$N,11,FALSE),""))</f>
        <v/>
      </c>
      <c r="AA387" s="40" t="str">
        <f>IF($J387="","",IFERROR(VLOOKUP($J387,Grinders!$A:$N,12,FALSE),""))</f>
        <v/>
      </c>
      <c r="AB387" s="40" t="str">
        <f>IF(OR(AL387=1,AM387=1),0,=IFERROR(IF(OR($C387="",$J387=""),0,IF($D387&lt;&gt;"Open",0,IF(COUNTIFS(GrinderServices!$A:$A,$J387,GrinderServices!$B:$B,$E387,GrinderServices!$D:$D,"Y")=0,0,IF($U387&lt;Config!$B$16,0,IF(Config!$B$18=1,IF($N387&gt;=$M387,0,1),1))))),""))</f>
        <v>#ERROR!</v>
      </c>
      <c r="AC387" s="40" t="str">
        <f>IFERROR((IF(OR(AL387=1,AM387=1),"",=IFERROR((IFERROR(IF($AB387=0,"",((Config!$B$6*$V387 + Config!$B$7*$R387 + Config!$B$8*$W387 + Config!$B$9*$X387 + Config!$B$10*$Y387 + Config!$B$11*$Z387 - Config!$B$12*$AA387)/Config!$B$13)+$AH387+$AI387),""))*(1-IFERROR(VLOOKUP(J387,Grinders!$A:$AB, 28, FALSE),0)),"")))*(1+AO387),"")</f>
        <v>#ERROR!</v>
      </c>
      <c r="AD387" s="40" t="str">
        <f t="shared" si="4"/>
        <v/>
      </c>
      <c r="AE387" s="40" t="str">
        <f>IFERROR(__xludf.DUMMYFUNCTION("IF($AC387="""","""",IF($AC387=IFERROR(MAX(FILTER($AC$6:$AC$1000,$C$6:$C$1000=$C387,$AB$6:$AB$1000=1)),),""WINNER"",""""))"),"#ERROR!")</f>
        <v>#ERROR!</v>
      </c>
      <c r="AF387" s="40" t="str">
        <f t="shared" si="5"/>
        <v/>
      </c>
      <c r="AG387" s="40" t="str">
        <f>IF($J387="","",COUNTIF(Assignments!$B:$B,$J387))</f>
        <v/>
      </c>
      <c r="AH387" s="40" t="str">
        <f>IF($J387="","",IF(AND($AG387=0,$N387&lt;$M387),Config!$B$43,0))</f>
        <v/>
      </c>
      <c r="AI387" s="40" t="str">
        <f>IF($J387="","",IF(AND($L387="Elite",$F387&gt;=Config!$B$41,$N387&lt;$M387),Config!$B$42,0))</f>
        <v/>
      </c>
      <c r="AJ387" s="22"/>
      <c r="AK387" s="39">
        <f>IFERROR(VLOOKUP(J387,Grinders!$A:$Q,28,FALSE),0)</f>
        <v>0</v>
      </c>
      <c r="AL387" s="39">
        <f>IF(Config!$B$1003&lt;&gt;"Y",0,IF(IFERROR(VLOOKUP(J387,Grinders!$A:$P,27,FALSE),0)&gt;=3,IF(OR(F387&gt;=Config!$B$1001,ISNUMBER(SEARCH(E387,Config!$B$1002))),1,0),0))</f>
        <v>0</v>
      </c>
      <c r="AM387" s="39">
        <f t="array" ref="AM387">IFERROR(IF(INDEX(Bids!$AE:$AE,MATCH(B387,Bids!$A:$A,0))="Pending",1,0),0)</f>
        <v>0</v>
      </c>
      <c r="AN387" s="39" t="str">
        <f t="array" ref="AN387">IF(C387="","",IFERROR(XLOOKUP(C387,Assignments!$C:$C,Assignments!$AU:$AU,0),0))</f>
        <v/>
      </c>
      <c r="AO387" s="39">
        <f>IF(AND(Config!$B$1006="Y",AN387=1),Config!$B$1007,0)</f>
        <v>0</v>
      </c>
    </row>
    <row r="388" ht="15.75" customHeight="1">
      <c r="A388" s="46" t="str">
        <f t="shared" si="1"/>
        <v/>
      </c>
      <c r="B388" s="40" t="str">
        <f>IF(Bids!$A388="","",Bids!$A388)</f>
        <v/>
      </c>
      <c r="C388" s="40" t="str">
        <f>IF(Bids!$B388="","",Bids!$B388)</f>
        <v/>
      </c>
      <c r="D388" s="40" t="str">
        <f>IF($C388="","",IFERROR(VLOOKUP($C388,Orders!$A:$J,9,FALSE),""))</f>
        <v/>
      </c>
      <c r="E388" s="40" t="str">
        <f>IF($C388="","",IFERROR(VLOOKUP($C388,Orders!$A:$J,3,FALSE),""))</f>
        <v/>
      </c>
      <c r="F388" s="40" t="str">
        <f>IF($C388="","",IFERROR(VLOOKUP($C388,Orders!$A:$J,4,FALSE),""))</f>
        <v/>
      </c>
      <c r="G388" s="40" t="str">
        <f>IF($C388="","",IFERROR(VLOOKUP($C388,Orders!$A:$J,5,FALSE),""))</f>
        <v/>
      </c>
      <c r="H388" s="40" t="str">
        <f>IF($C388="","",IFERROR(VLOOKUP($C388,Orders!$A:$J,6,FALSE),""))</f>
        <v/>
      </c>
      <c r="I388" s="40" t="str">
        <f>IF($C388="","",IFERROR(VLOOKUP($C388,Orders!$A:$J,7,FALSE),""))</f>
        <v/>
      </c>
      <c r="J388" s="40" t="str">
        <f>IF(Bids!$C388="","",Bids!$C388)</f>
        <v/>
      </c>
      <c r="K388" s="40" t="str">
        <f>IF($J388="","",IFERROR(VLOOKUP($J388,Grinders!$A:$N,2,FALSE),""))</f>
        <v/>
      </c>
      <c r="L388" s="40" t="str">
        <f>IF($J388="","",IFERROR(VLOOKUP($J388,Grinders!$A:$N,3,FALSE),""))</f>
        <v/>
      </c>
      <c r="M388" s="40" t="str">
        <f>IF($J388="","",IFERROR(VLOOKUP($J388,Grinders!$A:$N,4,FALSE),""))</f>
        <v/>
      </c>
      <c r="N388" s="40" t="str">
        <f>IF($J388="","",IFERROR(VLOOKUP($J388,Grinders!$A:$N,5,FALSE),""))</f>
        <v/>
      </c>
      <c r="O388" s="40" t="str">
        <f t="shared" si="2"/>
        <v/>
      </c>
      <c r="P388" s="40" t="str">
        <f>IF($J388="","",IFERROR(VLOOKUP($J388,Grinders!$A:$N,6,FALSE),""))</f>
        <v/>
      </c>
      <c r="Q388" s="40" t="str">
        <f>IF($J388="","",IFERROR(VLOOKUP($J388,Grinders!$A:$N,8,FALSE),""))</f>
        <v/>
      </c>
      <c r="R388" s="40" t="str">
        <f>IFERROR(IF($J388="","",IF($L388="Elite",MAX(50,MIN(100,Config!$B$27*MAX(0,MIN(100,(1-IF($O388="",0,$O388))*100)) + Config!$B$28*MAX(0,MIN(100,(1-MIN(1,IF(Config!$B$30=0,1,$P388/Config!$B$30)))*100)) + Config!$B$29*MAX(0,MIN(100,MIN(1,IF($Q388="",0,$Q388)/Config!$B$23)*100)))),MIN(100,Config!$B$27*MAX(0,MIN(100,(1-IF($O388="",0,$O388))*100)) + Config!$B$28*MAX(0,MIN(100,(1-MIN(1,IF(Config!$B$30=0,1,$P388/Config!$B$30)))*100)) + Config!$B$29*MAX(0,MIN(100,MIN(1,IF($Q388="",0,$Q388)/Config!$B$23)*100))))),"")
</f>
        <v/>
      </c>
      <c r="S388" s="40" t="str">
        <f>IF(Bids!$AC388="","",Bids!$AC388)</f>
        <v/>
      </c>
      <c r="T388" s="40" t="str">
        <f>IF(Bids!$F388="","",Bids!$F388)</f>
        <v/>
      </c>
      <c r="U388" s="40" t="str">
        <f t="shared" si="3"/>
        <v/>
      </c>
      <c r="V388" s="40" t="str">
        <f>IF($U388="","",IF(Config!$B$17=Config!$B$16,IF($U388&gt;=Config!$B$17,100,0),MAX(0,MIN(100,($U388-Config!$B$16)/(Config!$B$17-Config!$B$16)*100))))</f>
        <v/>
      </c>
      <c r="W388" s="40">
        <f>IF($L388="Elite",Config!$B$21,0)</f>
        <v>0</v>
      </c>
      <c r="X388" s="40" t="str">
        <f>IFERROR(IF(OR($T388="",$G388=""),"",IF($T388&gt;$G388,
  MAX(0, 60-(($T388-$G388)*24/Config!$B$19)*60),
  MEDIAN(60, 100, 60+(($G388-$T388)*24/Config!$B$20)*40)
)),"")
</f>
        <v/>
      </c>
      <c r="Y388" s="40" t="str">
        <f>IF($J388="","",IFERROR(VLOOKUP($J388,Grinders!$A:$N,10,FALSE),""))</f>
        <v/>
      </c>
      <c r="Z388" s="40" t="str">
        <f>IF($J388="","",IFERROR(VLOOKUP($J388,Grinders!$A:$N,11,FALSE),""))</f>
        <v/>
      </c>
      <c r="AA388" s="40" t="str">
        <f>IF($J388="","",IFERROR(VLOOKUP($J388,Grinders!$A:$N,12,FALSE),""))</f>
        <v/>
      </c>
      <c r="AB388" s="40" t="str">
        <f>IF(OR(AL388=1,AM388=1),0,=IFERROR(IF(OR($C388="",$J388=""),0,IF($D388&lt;&gt;"Open",0,IF(COUNTIFS(GrinderServices!$A:$A,$J388,GrinderServices!$B:$B,$E388,GrinderServices!$D:$D,"Y")=0,0,IF($U388&lt;Config!$B$16,0,IF(Config!$B$18=1,IF($N388&gt;=$M388,0,1),1))))),""))</f>
        <v>#ERROR!</v>
      </c>
      <c r="AC388" s="40" t="str">
        <f>IFERROR((IF(OR(AL388=1,AM388=1),"",=IFERROR((IFERROR(IF($AB388=0,"",((Config!$B$6*$V388 + Config!$B$7*$R388 + Config!$B$8*$W388 + Config!$B$9*$X388 + Config!$B$10*$Y388 + Config!$B$11*$Z388 - Config!$B$12*$AA388)/Config!$B$13)+$AH388+$AI388),""))*(1-IFERROR(VLOOKUP(J388,Grinders!$A:$AB, 28, FALSE),0)),"")))*(1+AO388),"")</f>
        <v>#ERROR!</v>
      </c>
      <c r="AD388" s="40" t="str">
        <f t="shared" si="4"/>
        <v/>
      </c>
      <c r="AE388" s="40" t="str">
        <f>IFERROR(__xludf.DUMMYFUNCTION("IF($AC388="""","""",IF($AC388=IFERROR(MAX(FILTER($AC$6:$AC$1000,$C$6:$C$1000=$C388,$AB$6:$AB$1000=1)),),""WINNER"",""""))"),"#ERROR!")</f>
        <v>#ERROR!</v>
      </c>
      <c r="AF388" s="40" t="str">
        <f t="shared" si="5"/>
        <v/>
      </c>
      <c r="AG388" s="40" t="str">
        <f>IF($J388="","",COUNTIF(Assignments!$B:$B,$J388))</f>
        <v/>
      </c>
      <c r="AH388" s="40" t="str">
        <f>IF($J388="","",IF(AND($AG388=0,$N388&lt;$M388),Config!$B$43,0))</f>
        <v/>
      </c>
      <c r="AI388" s="40" t="str">
        <f>IF($J388="","",IF(AND($L388="Elite",$F388&gt;=Config!$B$41,$N388&lt;$M388),Config!$B$42,0))</f>
        <v/>
      </c>
      <c r="AJ388" s="22"/>
      <c r="AK388" s="39">
        <f>IFERROR(VLOOKUP(J388,Grinders!$A:$Q,28,FALSE),0)</f>
        <v>0</v>
      </c>
      <c r="AL388" s="39">
        <f>IF(Config!$B$1003&lt;&gt;"Y",0,IF(IFERROR(VLOOKUP(J388,Grinders!$A:$P,27,FALSE),0)&gt;=3,IF(OR(F388&gt;=Config!$B$1001,ISNUMBER(SEARCH(E388,Config!$B$1002))),1,0),0))</f>
        <v>0</v>
      </c>
      <c r="AM388" s="39">
        <f t="array" ref="AM388">IFERROR(IF(INDEX(Bids!$AE:$AE,MATCH(B388,Bids!$A:$A,0))="Pending",1,0),0)</f>
        <v>0</v>
      </c>
      <c r="AN388" s="39" t="str">
        <f t="array" ref="AN388">IF(C388="","",IFERROR(XLOOKUP(C388,Assignments!$C:$C,Assignments!$AU:$AU,0),0))</f>
        <v/>
      </c>
      <c r="AO388" s="39">
        <f>IF(AND(Config!$B$1006="Y",AN388=1),Config!$B$1007,0)</f>
        <v>0</v>
      </c>
    </row>
    <row r="389" ht="15.75" customHeight="1">
      <c r="A389" s="46" t="str">
        <f t="shared" si="1"/>
        <v/>
      </c>
      <c r="B389" s="40" t="str">
        <f>IF(Bids!$A389="","",Bids!$A389)</f>
        <v/>
      </c>
      <c r="C389" s="40" t="str">
        <f>IF(Bids!$B389="","",Bids!$B389)</f>
        <v/>
      </c>
      <c r="D389" s="40" t="str">
        <f>IF($C389="","",IFERROR(VLOOKUP($C389,Orders!$A:$J,9,FALSE),""))</f>
        <v/>
      </c>
      <c r="E389" s="40" t="str">
        <f>IF($C389="","",IFERROR(VLOOKUP($C389,Orders!$A:$J,3,FALSE),""))</f>
        <v/>
      </c>
      <c r="F389" s="40" t="str">
        <f>IF($C389="","",IFERROR(VLOOKUP($C389,Orders!$A:$J,4,FALSE),""))</f>
        <v/>
      </c>
      <c r="G389" s="40" t="str">
        <f>IF($C389="","",IFERROR(VLOOKUP($C389,Orders!$A:$J,5,FALSE),""))</f>
        <v/>
      </c>
      <c r="H389" s="40" t="str">
        <f>IF($C389="","",IFERROR(VLOOKUP($C389,Orders!$A:$J,6,FALSE),""))</f>
        <v/>
      </c>
      <c r="I389" s="40" t="str">
        <f>IF($C389="","",IFERROR(VLOOKUP($C389,Orders!$A:$J,7,FALSE),""))</f>
        <v/>
      </c>
      <c r="J389" s="40" t="str">
        <f>IF(Bids!$C389="","",Bids!$C389)</f>
        <v/>
      </c>
      <c r="K389" s="40" t="str">
        <f>IF($J389="","",IFERROR(VLOOKUP($J389,Grinders!$A:$N,2,FALSE),""))</f>
        <v/>
      </c>
      <c r="L389" s="40" t="str">
        <f>IF($J389="","",IFERROR(VLOOKUP($J389,Grinders!$A:$N,3,FALSE),""))</f>
        <v/>
      </c>
      <c r="M389" s="40" t="str">
        <f>IF($J389="","",IFERROR(VLOOKUP($J389,Grinders!$A:$N,4,FALSE),""))</f>
        <v/>
      </c>
      <c r="N389" s="40" t="str">
        <f>IF($J389="","",IFERROR(VLOOKUP($J389,Grinders!$A:$N,5,FALSE),""))</f>
        <v/>
      </c>
      <c r="O389" s="40" t="str">
        <f t="shared" si="2"/>
        <v/>
      </c>
      <c r="P389" s="40" t="str">
        <f>IF($J389="","",IFERROR(VLOOKUP($J389,Grinders!$A:$N,6,FALSE),""))</f>
        <v/>
      </c>
      <c r="Q389" s="40" t="str">
        <f>IF($J389="","",IFERROR(VLOOKUP($J389,Grinders!$A:$N,8,FALSE),""))</f>
        <v/>
      </c>
      <c r="R389" s="40" t="str">
        <f>IFERROR(IF($J389="","",IF($L389="Elite",MAX(50,MIN(100,Config!$B$27*MAX(0,MIN(100,(1-IF($O389="",0,$O389))*100)) + Config!$B$28*MAX(0,MIN(100,(1-MIN(1,IF(Config!$B$30=0,1,$P389/Config!$B$30)))*100)) + Config!$B$29*MAX(0,MIN(100,MIN(1,IF($Q389="",0,$Q389)/Config!$B$23)*100)))),MIN(100,Config!$B$27*MAX(0,MIN(100,(1-IF($O389="",0,$O389))*100)) + Config!$B$28*MAX(0,MIN(100,(1-MIN(1,IF(Config!$B$30=0,1,$P389/Config!$B$30)))*100)) + Config!$B$29*MAX(0,MIN(100,MIN(1,IF($Q389="",0,$Q389)/Config!$B$23)*100))))),"")
</f>
        <v/>
      </c>
      <c r="S389" s="40" t="str">
        <f>IF(Bids!$AC389="","",Bids!$AC389)</f>
        <v/>
      </c>
      <c r="T389" s="40" t="str">
        <f>IF(Bids!$F389="","",Bids!$F389)</f>
        <v/>
      </c>
      <c r="U389" s="40" t="str">
        <f t="shared" si="3"/>
        <v/>
      </c>
      <c r="V389" s="40" t="str">
        <f>IF($U389="","",IF(Config!$B$17=Config!$B$16,IF($U389&gt;=Config!$B$17,100,0),MAX(0,MIN(100,($U389-Config!$B$16)/(Config!$B$17-Config!$B$16)*100))))</f>
        <v/>
      </c>
      <c r="W389" s="40">
        <f>IF($L389="Elite",Config!$B$21,0)</f>
        <v>0</v>
      </c>
      <c r="X389" s="40" t="str">
        <f>IFERROR(IF(OR($T389="",$G389=""),"",IF($T389&gt;$G389,
  MAX(0, 60-(($T389-$G389)*24/Config!$B$19)*60),
  MEDIAN(60, 100, 60+(($G389-$T389)*24/Config!$B$20)*40)
)),"")
</f>
        <v/>
      </c>
      <c r="Y389" s="40" t="str">
        <f>IF($J389="","",IFERROR(VLOOKUP($J389,Grinders!$A:$N,10,FALSE),""))</f>
        <v/>
      </c>
      <c r="Z389" s="40" t="str">
        <f>IF($J389="","",IFERROR(VLOOKUP($J389,Grinders!$A:$N,11,FALSE),""))</f>
        <v/>
      </c>
      <c r="AA389" s="40" t="str">
        <f>IF($J389="","",IFERROR(VLOOKUP($J389,Grinders!$A:$N,12,FALSE),""))</f>
        <v/>
      </c>
      <c r="AB389" s="40" t="str">
        <f>IF(OR(AL389=1,AM389=1),0,=IFERROR(IF(OR($C389="",$J389=""),0,IF($D389&lt;&gt;"Open",0,IF(COUNTIFS(GrinderServices!$A:$A,$J389,GrinderServices!$B:$B,$E389,GrinderServices!$D:$D,"Y")=0,0,IF($U389&lt;Config!$B$16,0,IF(Config!$B$18=1,IF($N389&gt;=$M389,0,1),1))))),""))</f>
        <v>#ERROR!</v>
      </c>
      <c r="AC389" s="40" t="str">
        <f>IFERROR((IF(OR(AL389=1,AM389=1),"",=IFERROR((IFERROR(IF($AB389=0,"",((Config!$B$6*$V389 + Config!$B$7*$R389 + Config!$B$8*$W389 + Config!$B$9*$X389 + Config!$B$10*$Y389 + Config!$B$11*$Z389 - Config!$B$12*$AA389)/Config!$B$13)+$AH389+$AI389),""))*(1-IFERROR(VLOOKUP(J389,Grinders!$A:$AB, 28, FALSE),0)),"")))*(1+AO389),"")</f>
        <v>#ERROR!</v>
      </c>
      <c r="AD389" s="40" t="str">
        <f t="shared" si="4"/>
        <v/>
      </c>
      <c r="AE389" s="40" t="str">
        <f>IFERROR(__xludf.DUMMYFUNCTION("IF($AC389="""","""",IF($AC389=IFERROR(MAX(FILTER($AC$6:$AC$1000,$C$6:$C$1000=$C389,$AB$6:$AB$1000=1)),),""WINNER"",""""))"),"#ERROR!")</f>
        <v>#ERROR!</v>
      </c>
      <c r="AF389" s="40" t="str">
        <f t="shared" si="5"/>
        <v/>
      </c>
      <c r="AG389" s="40" t="str">
        <f>IF($J389="","",COUNTIF(Assignments!$B:$B,$J389))</f>
        <v/>
      </c>
      <c r="AH389" s="40" t="str">
        <f>IF($J389="","",IF(AND($AG389=0,$N389&lt;$M389),Config!$B$43,0))</f>
        <v/>
      </c>
      <c r="AI389" s="40" t="str">
        <f>IF($J389="","",IF(AND($L389="Elite",$F389&gt;=Config!$B$41,$N389&lt;$M389),Config!$B$42,0))</f>
        <v/>
      </c>
      <c r="AJ389" s="22"/>
      <c r="AK389" s="39">
        <f>IFERROR(VLOOKUP(J389,Grinders!$A:$Q,28,FALSE),0)</f>
        <v>0</v>
      </c>
      <c r="AL389" s="39">
        <f>IF(Config!$B$1003&lt;&gt;"Y",0,IF(IFERROR(VLOOKUP(J389,Grinders!$A:$P,27,FALSE),0)&gt;=3,IF(OR(F389&gt;=Config!$B$1001,ISNUMBER(SEARCH(E389,Config!$B$1002))),1,0),0))</f>
        <v>0</v>
      </c>
      <c r="AM389" s="39">
        <f t="array" ref="AM389">IFERROR(IF(INDEX(Bids!$AE:$AE,MATCH(B389,Bids!$A:$A,0))="Pending",1,0),0)</f>
        <v>0</v>
      </c>
      <c r="AN389" s="39" t="str">
        <f t="array" ref="AN389">IF(C389="","",IFERROR(XLOOKUP(C389,Assignments!$C:$C,Assignments!$AU:$AU,0),0))</f>
        <v/>
      </c>
      <c r="AO389" s="39">
        <f>IF(AND(Config!$B$1006="Y",AN389=1),Config!$B$1007,0)</f>
        <v>0</v>
      </c>
    </row>
    <row r="390" ht="15.75" customHeight="1">
      <c r="A390" s="46" t="str">
        <f t="shared" si="1"/>
        <v/>
      </c>
      <c r="B390" s="40" t="str">
        <f>IF(Bids!$A390="","",Bids!$A390)</f>
        <v/>
      </c>
      <c r="C390" s="40" t="str">
        <f>IF(Bids!$B390="","",Bids!$B390)</f>
        <v/>
      </c>
      <c r="D390" s="40" t="str">
        <f>IF($C390="","",IFERROR(VLOOKUP($C390,Orders!$A:$J,9,FALSE),""))</f>
        <v/>
      </c>
      <c r="E390" s="40" t="str">
        <f>IF($C390="","",IFERROR(VLOOKUP($C390,Orders!$A:$J,3,FALSE),""))</f>
        <v/>
      </c>
      <c r="F390" s="40" t="str">
        <f>IF($C390="","",IFERROR(VLOOKUP($C390,Orders!$A:$J,4,FALSE),""))</f>
        <v/>
      </c>
      <c r="G390" s="40" t="str">
        <f>IF($C390="","",IFERROR(VLOOKUP($C390,Orders!$A:$J,5,FALSE),""))</f>
        <v/>
      </c>
      <c r="H390" s="40" t="str">
        <f>IF($C390="","",IFERROR(VLOOKUP($C390,Orders!$A:$J,6,FALSE),""))</f>
        <v/>
      </c>
      <c r="I390" s="40" t="str">
        <f>IF($C390="","",IFERROR(VLOOKUP($C390,Orders!$A:$J,7,FALSE),""))</f>
        <v/>
      </c>
      <c r="J390" s="40" t="str">
        <f>IF(Bids!$C390="","",Bids!$C390)</f>
        <v/>
      </c>
      <c r="K390" s="40" t="str">
        <f>IF($J390="","",IFERROR(VLOOKUP($J390,Grinders!$A:$N,2,FALSE),""))</f>
        <v/>
      </c>
      <c r="L390" s="40" t="str">
        <f>IF($J390="","",IFERROR(VLOOKUP($J390,Grinders!$A:$N,3,FALSE),""))</f>
        <v/>
      </c>
      <c r="M390" s="40" t="str">
        <f>IF($J390="","",IFERROR(VLOOKUP($J390,Grinders!$A:$N,4,FALSE),""))</f>
        <v/>
      </c>
      <c r="N390" s="40" t="str">
        <f>IF($J390="","",IFERROR(VLOOKUP($J390,Grinders!$A:$N,5,FALSE),""))</f>
        <v/>
      </c>
      <c r="O390" s="40" t="str">
        <f t="shared" si="2"/>
        <v/>
      </c>
      <c r="P390" s="40" t="str">
        <f>IF($J390="","",IFERROR(VLOOKUP($J390,Grinders!$A:$N,6,FALSE),""))</f>
        <v/>
      </c>
      <c r="Q390" s="40" t="str">
        <f>IF($J390="","",IFERROR(VLOOKUP($J390,Grinders!$A:$N,8,FALSE),""))</f>
        <v/>
      </c>
      <c r="R390" s="40" t="str">
        <f>IFERROR(IF($J390="","",IF($L390="Elite",MAX(50,MIN(100,Config!$B$27*MAX(0,MIN(100,(1-IF($O390="",0,$O390))*100)) + Config!$B$28*MAX(0,MIN(100,(1-MIN(1,IF(Config!$B$30=0,1,$P390/Config!$B$30)))*100)) + Config!$B$29*MAX(0,MIN(100,MIN(1,IF($Q390="",0,$Q390)/Config!$B$23)*100)))),MIN(100,Config!$B$27*MAX(0,MIN(100,(1-IF($O390="",0,$O390))*100)) + Config!$B$28*MAX(0,MIN(100,(1-MIN(1,IF(Config!$B$30=0,1,$P390/Config!$B$30)))*100)) + Config!$B$29*MAX(0,MIN(100,MIN(1,IF($Q390="",0,$Q390)/Config!$B$23)*100))))),"")
</f>
        <v/>
      </c>
      <c r="S390" s="40" t="str">
        <f>IF(Bids!$AC390="","",Bids!$AC390)</f>
        <v/>
      </c>
      <c r="T390" s="40" t="str">
        <f>IF(Bids!$F390="","",Bids!$F390)</f>
        <v/>
      </c>
      <c r="U390" s="40" t="str">
        <f t="shared" si="3"/>
        <v/>
      </c>
      <c r="V390" s="40" t="str">
        <f>IF($U390="","",IF(Config!$B$17=Config!$B$16,IF($U390&gt;=Config!$B$17,100,0),MAX(0,MIN(100,($U390-Config!$B$16)/(Config!$B$17-Config!$B$16)*100))))</f>
        <v/>
      </c>
      <c r="W390" s="40">
        <f>IF($L390="Elite",Config!$B$21,0)</f>
        <v>0</v>
      </c>
      <c r="X390" s="40" t="str">
        <f>IFERROR(IF(OR($T390="",$G390=""),"",IF($T390&gt;$G390,
  MAX(0, 60-(($T390-$G390)*24/Config!$B$19)*60),
  MEDIAN(60, 100, 60+(($G390-$T390)*24/Config!$B$20)*40)
)),"")
</f>
        <v/>
      </c>
      <c r="Y390" s="40" t="str">
        <f>IF($J390="","",IFERROR(VLOOKUP($J390,Grinders!$A:$N,10,FALSE),""))</f>
        <v/>
      </c>
      <c r="Z390" s="40" t="str">
        <f>IF($J390="","",IFERROR(VLOOKUP($J390,Grinders!$A:$N,11,FALSE),""))</f>
        <v/>
      </c>
      <c r="AA390" s="40" t="str">
        <f>IF($J390="","",IFERROR(VLOOKUP($J390,Grinders!$A:$N,12,FALSE),""))</f>
        <v/>
      </c>
      <c r="AB390" s="40" t="str">
        <f>IF(OR(AL390=1,AM390=1),0,=IFERROR(IF(OR($C390="",$J390=""),0,IF($D390&lt;&gt;"Open",0,IF(COUNTIFS(GrinderServices!$A:$A,$J390,GrinderServices!$B:$B,$E390,GrinderServices!$D:$D,"Y")=0,0,IF($U390&lt;Config!$B$16,0,IF(Config!$B$18=1,IF($N390&gt;=$M390,0,1),1))))),""))</f>
        <v>#ERROR!</v>
      </c>
      <c r="AC390" s="40" t="str">
        <f>IFERROR((IF(OR(AL390=1,AM390=1),"",=IFERROR((IFERROR(IF($AB390=0,"",((Config!$B$6*$V390 + Config!$B$7*$R390 + Config!$B$8*$W390 + Config!$B$9*$X390 + Config!$B$10*$Y390 + Config!$B$11*$Z390 - Config!$B$12*$AA390)/Config!$B$13)+$AH390+$AI390),""))*(1-IFERROR(VLOOKUP(J390,Grinders!$A:$AB, 28, FALSE),0)),"")))*(1+AO390),"")</f>
        <v>#ERROR!</v>
      </c>
      <c r="AD390" s="40" t="str">
        <f t="shared" si="4"/>
        <v/>
      </c>
      <c r="AE390" s="40" t="str">
        <f>IFERROR(__xludf.DUMMYFUNCTION("IF($AC390="""","""",IF($AC390=IFERROR(MAX(FILTER($AC$6:$AC$1000,$C$6:$C$1000=$C390,$AB$6:$AB$1000=1)),),""WINNER"",""""))"),"#ERROR!")</f>
        <v>#ERROR!</v>
      </c>
      <c r="AF390" s="40" t="str">
        <f t="shared" si="5"/>
        <v/>
      </c>
      <c r="AG390" s="40" t="str">
        <f>IF($J390="","",COUNTIF(Assignments!$B:$B,$J390))</f>
        <v/>
      </c>
      <c r="AH390" s="40" t="str">
        <f>IF($J390="","",IF(AND($AG390=0,$N390&lt;$M390),Config!$B$43,0))</f>
        <v/>
      </c>
      <c r="AI390" s="40" t="str">
        <f>IF($J390="","",IF(AND($L390="Elite",$F390&gt;=Config!$B$41,$N390&lt;$M390),Config!$B$42,0))</f>
        <v/>
      </c>
      <c r="AJ390" s="22"/>
      <c r="AK390" s="39">
        <f>IFERROR(VLOOKUP(J390,Grinders!$A:$Q,28,FALSE),0)</f>
        <v>0</v>
      </c>
      <c r="AL390" s="39">
        <f>IF(Config!$B$1003&lt;&gt;"Y",0,IF(IFERROR(VLOOKUP(J390,Grinders!$A:$P,27,FALSE),0)&gt;=3,IF(OR(F390&gt;=Config!$B$1001,ISNUMBER(SEARCH(E390,Config!$B$1002))),1,0),0))</f>
        <v>0</v>
      </c>
      <c r="AM390" s="39">
        <f t="array" ref="AM390">IFERROR(IF(INDEX(Bids!$AE:$AE,MATCH(B390,Bids!$A:$A,0))="Pending",1,0),0)</f>
        <v>0</v>
      </c>
      <c r="AN390" s="39" t="str">
        <f t="array" ref="AN390">IF(C390="","",IFERROR(XLOOKUP(C390,Assignments!$C:$C,Assignments!$AU:$AU,0),0))</f>
        <v/>
      </c>
      <c r="AO390" s="39">
        <f>IF(AND(Config!$B$1006="Y",AN390=1),Config!$B$1007,0)</f>
        <v>0</v>
      </c>
    </row>
    <row r="391" ht="15.75" customHeight="1">
      <c r="A391" s="46" t="str">
        <f t="shared" si="1"/>
        <v/>
      </c>
      <c r="B391" s="40" t="str">
        <f>IF(Bids!$A391="","",Bids!$A391)</f>
        <v/>
      </c>
      <c r="C391" s="40" t="str">
        <f>IF(Bids!$B391="","",Bids!$B391)</f>
        <v/>
      </c>
      <c r="D391" s="40" t="str">
        <f>IF($C391="","",IFERROR(VLOOKUP($C391,Orders!$A:$J,9,FALSE),""))</f>
        <v/>
      </c>
      <c r="E391" s="40" t="str">
        <f>IF($C391="","",IFERROR(VLOOKUP($C391,Orders!$A:$J,3,FALSE),""))</f>
        <v/>
      </c>
      <c r="F391" s="40" t="str">
        <f>IF($C391="","",IFERROR(VLOOKUP($C391,Orders!$A:$J,4,FALSE),""))</f>
        <v/>
      </c>
      <c r="G391" s="40" t="str">
        <f>IF($C391="","",IFERROR(VLOOKUP($C391,Orders!$A:$J,5,FALSE),""))</f>
        <v/>
      </c>
      <c r="H391" s="40" t="str">
        <f>IF($C391="","",IFERROR(VLOOKUP($C391,Orders!$A:$J,6,FALSE),""))</f>
        <v/>
      </c>
      <c r="I391" s="40" t="str">
        <f>IF($C391="","",IFERROR(VLOOKUP($C391,Orders!$A:$J,7,FALSE),""))</f>
        <v/>
      </c>
      <c r="J391" s="40" t="str">
        <f>IF(Bids!$C391="","",Bids!$C391)</f>
        <v/>
      </c>
      <c r="K391" s="40" t="str">
        <f>IF($J391="","",IFERROR(VLOOKUP($J391,Grinders!$A:$N,2,FALSE),""))</f>
        <v/>
      </c>
      <c r="L391" s="40" t="str">
        <f>IF($J391="","",IFERROR(VLOOKUP($J391,Grinders!$A:$N,3,FALSE),""))</f>
        <v/>
      </c>
      <c r="M391" s="40" t="str">
        <f>IF($J391="","",IFERROR(VLOOKUP($J391,Grinders!$A:$N,4,FALSE),""))</f>
        <v/>
      </c>
      <c r="N391" s="40" t="str">
        <f>IF($J391="","",IFERROR(VLOOKUP($J391,Grinders!$A:$N,5,FALSE),""))</f>
        <v/>
      </c>
      <c r="O391" s="40" t="str">
        <f t="shared" si="2"/>
        <v/>
      </c>
      <c r="P391" s="40" t="str">
        <f>IF($J391="","",IFERROR(VLOOKUP($J391,Grinders!$A:$N,6,FALSE),""))</f>
        <v/>
      </c>
      <c r="Q391" s="40" t="str">
        <f>IF($J391="","",IFERROR(VLOOKUP($J391,Grinders!$A:$N,8,FALSE),""))</f>
        <v/>
      </c>
      <c r="R391" s="40" t="str">
        <f>IFERROR(IF($J391="","",IF($L391="Elite",MAX(50,MIN(100,Config!$B$27*MAX(0,MIN(100,(1-IF($O391="",0,$O391))*100)) + Config!$B$28*MAX(0,MIN(100,(1-MIN(1,IF(Config!$B$30=0,1,$P391/Config!$B$30)))*100)) + Config!$B$29*MAX(0,MIN(100,MIN(1,IF($Q391="",0,$Q391)/Config!$B$23)*100)))),MIN(100,Config!$B$27*MAX(0,MIN(100,(1-IF($O391="",0,$O391))*100)) + Config!$B$28*MAX(0,MIN(100,(1-MIN(1,IF(Config!$B$30=0,1,$P391/Config!$B$30)))*100)) + Config!$B$29*MAX(0,MIN(100,MIN(1,IF($Q391="",0,$Q391)/Config!$B$23)*100))))),"")
</f>
        <v/>
      </c>
      <c r="S391" s="40" t="str">
        <f>IF(Bids!$AC391="","",Bids!$AC391)</f>
        <v/>
      </c>
      <c r="T391" s="40" t="str">
        <f>IF(Bids!$F391="","",Bids!$F391)</f>
        <v/>
      </c>
      <c r="U391" s="40" t="str">
        <f t="shared" si="3"/>
        <v/>
      </c>
      <c r="V391" s="40" t="str">
        <f>IF($U391="","",IF(Config!$B$17=Config!$B$16,IF($U391&gt;=Config!$B$17,100,0),MAX(0,MIN(100,($U391-Config!$B$16)/(Config!$B$17-Config!$B$16)*100))))</f>
        <v/>
      </c>
      <c r="W391" s="40">
        <f>IF($L391="Elite",Config!$B$21,0)</f>
        <v>0</v>
      </c>
      <c r="X391" s="40" t="str">
        <f>IFERROR(IF(OR($T391="",$G391=""),"",IF($T391&gt;$G391,
  MAX(0, 60-(($T391-$G391)*24/Config!$B$19)*60),
  MEDIAN(60, 100, 60+(($G391-$T391)*24/Config!$B$20)*40)
)),"")
</f>
        <v/>
      </c>
      <c r="Y391" s="40" t="str">
        <f>IF($J391="","",IFERROR(VLOOKUP($J391,Grinders!$A:$N,10,FALSE),""))</f>
        <v/>
      </c>
      <c r="Z391" s="40" t="str">
        <f>IF($J391="","",IFERROR(VLOOKUP($J391,Grinders!$A:$N,11,FALSE),""))</f>
        <v/>
      </c>
      <c r="AA391" s="40" t="str">
        <f>IF($J391="","",IFERROR(VLOOKUP($J391,Grinders!$A:$N,12,FALSE),""))</f>
        <v/>
      </c>
      <c r="AB391" s="40" t="str">
        <f>IF(OR(AL391=1,AM391=1),0,=IFERROR(IF(OR($C391="",$J391=""),0,IF($D391&lt;&gt;"Open",0,IF(COUNTIFS(GrinderServices!$A:$A,$J391,GrinderServices!$B:$B,$E391,GrinderServices!$D:$D,"Y")=0,0,IF($U391&lt;Config!$B$16,0,IF(Config!$B$18=1,IF($N391&gt;=$M391,0,1),1))))),""))</f>
        <v>#ERROR!</v>
      </c>
      <c r="AC391" s="40" t="str">
        <f>IFERROR((IF(OR(AL391=1,AM391=1),"",=IFERROR((IFERROR(IF($AB391=0,"",((Config!$B$6*$V391 + Config!$B$7*$R391 + Config!$B$8*$W391 + Config!$B$9*$X391 + Config!$B$10*$Y391 + Config!$B$11*$Z391 - Config!$B$12*$AA391)/Config!$B$13)+$AH391+$AI391),""))*(1-IFERROR(VLOOKUP(J391,Grinders!$A:$AB, 28, FALSE),0)),"")))*(1+AO391),"")</f>
        <v>#ERROR!</v>
      </c>
      <c r="AD391" s="40" t="str">
        <f t="shared" si="4"/>
        <v/>
      </c>
      <c r="AE391" s="40" t="str">
        <f>IFERROR(__xludf.DUMMYFUNCTION("IF($AC391="""","""",IF($AC391=IFERROR(MAX(FILTER($AC$6:$AC$1000,$C$6:$C$1000=$C391,$AB$6:$AB$1000=1)),),""WINNER"",""""))"),"#ERROR!")</f>
        <v>#ERROR!</v>
      </c>
      <c r="AF391" s="40" t="str">
        <f t="shared" si="5"/>
        <v/>
      </c>
      <c r="AG391" s="40" t="str">
        <f>IF($J391="","",COUNTIF(Assignments!$B:$B,$J391))</f>
        <v/>
      </c>
      <c r="AH391" s="40" t="str">
        <f>IF($J391="","",IF(AND($AG391=0,$N391&lt;$M391),Config!$B$43,0))</f>
        <v/>
      </c>
      <c r="AI391" s="40" t="str">
        <f>IF($J391="","",IF(AND($L391="Elite",$F391&gt;=Config!$B$41,$N391&lt;$M391),Config!$B$42,0))</f>
        <v/>
      </c>
      <c r="AJ391" s="22"/>
      <c r="AK391" s="39">
        <f>IFERROR(VLOOKUP(J391,Grinders!$A:$Q,28,FALSE),0)</f>
        <v>0</v>
      </c>
      <c r="AL391" s="39">
        <f>IF(Config!$B$1003&lt;&gt;"Y",0,IF(IFERROR(VLOOKUP(J391,Grinders!$A:$P,27,FALSE),0)&gt;=3,IF(OR(F391&gt;=Config!$B$1001,ISNUMBER(SEARCH(E391,Config!$B$1002))),1,0),0))</f>
        <v>0</v>
      </c>
      <c r="AM391" s="39">
        <f t="array" ref="AM391">IFERROR(IF(INDEX(Bids!$AE:$AE,MATCH(B391,Bids!$A:$A,0))="Pending",1,0),0)</f>
        <v>0</v>
      </c>
      <c r="AN391" s="39" t="str">
        <f t="array" ref="AN391">IF(C391="","",IFERROR(XLOOKUP(C391,Assignments!$C:$C,Assignments!$AU:$AU,0),0))</f>
        <v/>
      </c>
      <c r="AO391" s="39">
        <f>IF(AND(Config!$B$1006="Y",AN391=1),Config!$B$1007,0)</f>
        <v>0</v>
      </c>
    </row>
    <row r="392" ht="15.75" customHeight="1">
      <c r="A392" s="46" t="str">
        <f t="shared" si="1"/>
        <v/>
      </c>
      <c r="B392" s="40" t="str">
        <f>IF(Bids!$A392="","",Bids!$A392)</f>
        <v/>
      </c>
      <c r="C392" s="40" t="str">
        <f>IF(Bids!$B392="","",Bids!$B392)</f>
        <v/>
      </c>
      <c r="D392" s="40" t="str">
        <f>IF($C392="","",IFERROR(VLOOKUP($C392,Orders!$A:$J,9,FALSE),""))</f>
        <v/>
      </c>
      <c r="E392" s="40" t="str">
        <f>IF($C392="","",IFERROR(VLOOKUP($C392,Orders!$A:$J,3,FALSE),""))</f>
        <v/>
      </c>
      <c r="F392" s="40" t="str">
        <f>IF($C392="","",IFERROR(VLOOKUP($C392,Orders!$A:$J,4,FALSE),""))</f>
        <v/>
      </c>
      <c r="G392" s="40" t="str">
        <f>IF($C392="","",IFERROR(VLOOKUP($C392,Orders!$A:$J,5,FALSE),""))</f>
        <v/>
      </c>
      <c r="H392" s="40" t="str">
        <f>IF($C392="","",IFERROR(VLOOKUP($C392,Orders!$A:$J,6,FALSE),""))</f>
        <v/>
      </c>
      <c r="I392" s="40" t="str">
        <f>IF($C392="","",IFERROR(VLOOKUP($C392,Orders!$A:$J,7,FALSE),""))</f>
        <v/>
      </c>
      <c r="J392" s="40" t="str">
        <f>IF(Bids!$C392="","",Bids!$C392)</f>
        <v/>
      </c>
      <c r="K392" s="40" t="str">
        <f>IF($J392="","",IFERROR(VLOOKUP($J392,Grinders!$A:$N,2,FALSE),""))</f>
        <v/>
      </c>
      <c r="L392" s="40" t="str">
        <f>IF($J392="","",IFERROR(VLOOKUP($J392,Grinders!$A:$N,3,FALSE),""))</f>
        <v/>
      </c>
      <c r="M392" s="40" t="str">
        <f>IF($J392="","",IFERROR(VLOOKUP($J392,Grinders!$A:$N,4,FALSE),""))</f>
        <v/>
      </c>
      <c r="N392" s="40" t="str">
        <f>IF($J392="","",IFERROR(VLOOKUP($J392,Grinders!$A:$N,5,FALSE),""))</f>
        <v/>
      </c>
      <c r="O392" s="40" t="str">
        <f t="shared" si="2"/>
        <v/>
      </c>
      <c r="P392" s="40" t="str">
        <f>IF($J392="","",IFERROR(VLOOKUP($J392,Grinders!$A:$N,6,FALSE),""))</f>
        <v/>
      </c>
      <c r="Q392" s="40" t="str">
        <f>IF($J392="","",IFERROR(VLOOKUP($J392,Grinders!$A:$N,8,FALSE),""))</f>
        <v/>
      </c>
      <c r="R392" s="40" t="str">
        <f>IFERROR(IF($J392="","",IF($L392="Elite",MAX(50,MIN(100,Config!$B$27*MAX(0,MIN(100,(1-IF($O392="",0,$O392))*100)) + Config!$B$28*MAX(0,MIN(100,(1-MIN(1,IF(Config!$B$30=0,1,$P392/Config!$B$30)))*100)) + Config!$B$29*MAX(0,MIN(100,MIN(1,IF($Q392="",0,$Q392)/Config!$B$23)*100)))),MIN(100,Config!$B$27*MAX(0,MIN(100,(1-IF($O392="",0,$O392))*100)) + Config!$B$28*MAX(0,MIN(100,(1-MIN(1,IF(Config!$B$30=0,1,$P392/Config!$B$30)))*100)) + Config!$B$29*MAX(0,MIN(100,MIN(1,IF($Q392="",0,$Q392)/Config!$B$23)*100))))),"")
</f>
        <v/>
      </c>
      <c r="S392" s="40" t="str">
        <f>IF(Bids!$AC392="","",Bids!$AC392)</f>
        <v/>
      </c>
      <c r="T392" s="40" t="str">
        <f>IF(Bids!$F392="","",Bids!$F392)</f>
        <v/>
      </c>
      <c r="U392" s="40" t="str">
        <f t="shared" si="3"/>
        <v/>
      </c>
      <c r="V392" s="40" t="str">
        <f>IF($U392="","",IF(Config!$B$17=Config!$B$16,IF($U392&gt;=Config!$B$17,100,0),MAX(0,MIN(100,($U392-Config!$B$16)/(Config!$B$17-Config!$B$16)*100))))</f>
        <v/>
      </c>
      <c r="W392" s="40">
        <f>IF($L392="Elite",Config!$B$21,0)</f>
        <v>0</v>
      </c>
      <c r="X392" s="40" t="str">
        <f>IFERROR(IF(OR($T392="",$G392=""),"",IF($T392&gt;$G392,
  MAX(0, 60-(($T392-$G392)*24/Config!$B$19)*60),
  MEDIAN(60, 100, 60+(($G392-$T392)*24/Config!$B$20)*40)
)),"")
</f>
        <v/>
      </c>
      <c r="Y392" s="40" t="str">
        <f>IF($J392="","",IFERROR(VLOOKUP($J392,Grinders!$A:$N,10,FALSE),""))</f>
        <v/>
      </c>
      <c r="Z392" s="40" t="str">
        <f>IF($J392="","",IFERROR(VLOOKUP($J392,Grinders!$A:$N,11,FALSE),""))</f>
        <v/>
      </c>
      <c r="AA392" s="40" t="str">
        <f>IF($J392="","",IFERROR(VLOOKUP($J392,Grinders!$A:$N,12,FALSE),""))</f>
        <v/>
      </c>
      <c r="AB392" s="40" t="str">
        <f>IF(OR(AL392=1,AM392=1),0,=IFERROR(IF(OR($C392="",$J392=""),0,IF($D392&lt;&gt;"Open",0,IF(COUNTIFS(GrinderServices!$A:$A,$J392,GrinderServices!$B:$B,$E392,GrinderServices!$D:$D,"Y")=0,0,IF($U392&lt;Config!$B$16,0,IF(Config!$B$18=1,IF($N392&gt;=$M392,0,1),1))))),""))</f>
        <v>#ERROR!</v>
      </c>
      <c r="AC392" s="40" t="str">
        <f>IFERROR((IF(OR(AL392=1,AM392=1),"",=IFERROR((IFERROR(IF($AB392=0,"",((Config!$B$6*$V392 + Config!$B$7*$R392 + Config!$B$8*$W392 + Config!$B$9*$X392 + Config!$B$10*$Y392 + Config!$B$11*$Z392 - Config!$B$12*$AA392)/Config!$B$13)+$AH392+$AI392),""))*(1-IFERROR(VLOOKUP(J392,Grinders!$A:$AB, 28, FALSE),0)),"")))*(1+AO392),"")</f>
        <v>#ERROR!</v>
      </c>
      <c r="AD392" s="40" t="str">
        <f t="shared" si="4"/>
        <v/>
      </c>
      <c r="AE392" s="40" t="str">
        <f>IFERROR(__xludf.DUMMYFUNCTION("IF($AC392="""","""",IF($AC392=IFERROR(MAX(FILTER($AC$6:$AC$1000,$C$6:$C$1000=$C392,$AB$6:$AB$1000=1)),),""WINNER"",""""))"),"#ERROR!")</f>
        <v>#ERROR!</v>
      </c>
      <c r="AF392" s="40" t="str">
        <f t="shared" si="5"/>
        <v/>
      </c>
      <c r="AG392" s="40" t="str">
        <f>IF($J392="","",COUNTIF(Assignments!$B:$B,$J392))</f>
        <v/>
      </c>
      <c r="AH392" s="40" t="str">
        <f>IF($J392="","",IF(AND($AG392=0,$N392&lt;$M392),Config!$B$43,0))</f>
        <v/>
      </c>
      <c r="AI392" s="40" t="str">
        <f>IF($J392="","",IF(AND($L392="Elite",$F392&gt;=Config!$B$41,$N392&lt;$M392),Config!$B$42,0))</f>
        <v/>
      </c>
      <c r="AJ392" s="22"/>
      <c r="AK392" s="39">
        <f>IFERROR(VLOOKUP(J392,Grinders!$A:$Q,28,FALSE),0)</f>
        <v>0</v>
      </c>
      <c r="AL392" s="39">
        <f>IF(Config!$B$1003&lt;&gt;"Y",0,IF(IFERROR(VLOOKUP(J392,Grinders!$A:$P,27,FALSE),0)&gt;=3,IF(OR(F392&gt;=Config!$B$1001,ISNUMBER(SEARCH(E392,Config!$B$1002))),1,0),0))</f>
        <v>0</v>
      </c>
      <c r="AM392" s="39">
        <f t="array" ref="AM392">IFERROR(IF(INDEX(Bids!$AE:$AE,MATCH(B392,Bids!$A:$A,0))="Pending",1,0),0)</f>
        <v>0</v>
      </c>
      <c r="AN392" s="39" t="str">
        <f t="array" ref="AN392">IF(C392="","",IFERROR(XLOOKUP(C392,Assignments!$C:$C,Assignments!$AU:$AU,0),0))</f>
        <v/>
      </c>
      <c r="AO392" s="39">
        <f>IF(AND(Config!$B$1006="Y",AN392=1),Config!$B$1007,0)</f>
        <v>0</v>
      </c>
    </row>
    <row r="393" ht="15.75" customHeight="1">
      <c r="A393" s="46" t="str">
        <f t="shared" si="1"/>
        <v/>
      </c>
      <c r="B393" s="40" t="str">
        <f>IF(Bids!$A393="","",Bids!$A393)</f>
        <v/>
      </c>
      <c r="C393" s="40" t="str">
        <f>IF(Bids!$B393="","",Bids!$B393)</f>
        <v/>
      </c>
      <c r="D393" s="40" t="str">
        <f>IF($C393="","",IFERROR(VLOOKUP($C393,Orders!$A:$J,9,FALSE),""))</f>
        <v/>
      </c>
      <c r="E393" s="40" t="str">
        <f>IF($C393="","",IFERROR(VLOOKUP($C393,Orders!$A:$J,3,FALSE),""))</f>
        <v/>
      </c>
      <c r="F393" s="40" t="str">
        <f>IF($C393="","",IFERROR(VLOOKUP($C393,Orders!$A:$J,4,FALSE),""))</f>
        <v/>
      </c>
      <c r="G393" s="40" t="str">
        <f>IF($C393="","",IFERROR(VLOOKUP($C393,Orders!$A:$J,5,FALSE),""))</f>
        <v/>
      </c>
      <c r="H393" s="40" t="str">
        <f>IF($C393="","",IFERROR(VLOOKUP($C393,Orders!$A:$J,6,FALSE),""))</f>
        <v/>
      </c>
      <c r="I393" s="40" t="str">
        <f>IF($C393="","",IFERROR(VLOOKUP($C393,Orders!$A:$J,7,FALSE),""))</f>
        <v/>
      </c>
      <c r="J393" s="40" t="str">
        <f>IF(Bids!$C393="","",Bids!$C393)</f>
        <v/>
      </c>
      <c r="K393" s="40" t="str">
        <f>IF($J393="","",IFERROR(VLOOKUP($J393,Grinders!$A:$N,2,FALSE),""))</f>
        <v/>
      </c>
      <c r="L393" s="40" t="str">
        <f>IF($J393="","",IFERROR(VLOOKUP($J393,Grinders!$A:$N,3,FALSE),""))</f>
        <v/>
      </c>
      <c r="M393" s="40" t="str">
        <f>IF($J393="","",IFERROR(VLOOKUP($J393,Grinders!$A:$N,4,FALSE),""))</f>
        <v/>
      </c>
      <c r="N393" s="40" t="str">
        <f>IF($J393="","",IFERROR(VLOOKUP($J393,Grinders!$A:$N,5,FALSE),""))</f>
        <v/>
      </c>
      <c r="O393" s="40" t="str">
        <f t="shared" si="2"/>
        <v/>
      </c>
      <c r="P393" s="40" t="str">
        <f>IF($J393="","",IFERROR(VLOOKUP($J393,Grinders!$A:$N,6,FALSE),""))</f>
        <v/>
      </c>
      <c r="Q393" s="40" t="str">
        <f>IF($J393="","",IFERROR(VLOOKUP($J393,Grinders!$A:$N,8,FALSE),""))</f>
        <v/>
      </c>
      <c r="R393" s="40" t="str">
        <f>IFERROR(IF($J393="","",IF($L393="Elite",MAX(50,MIN(100,Config!$B$27*MAX(0,MIN(100,(1-IF($O393="",0,$O393))*100)) + Config!$B$28*MAX(0,MIN(100,(1-MIN(1,IF(Config!$B$30=0,1,$P393/Config!$B$30)))*100)) + Config!$B$29*MAX(0,MIN(100,MIN(1,IF($Q393="",0,$Q393)/Config!$B$23)*100)))),MIN(100,Config!$B$27*MAX(0,MIN(100,(1-IF($O393="",0,$O393))*100)) + Config!$B$28*MAX(0,MIN(100,(1-MIN(1,IF(Config!$B$30=0,1,$P393/Config!$B$30)))*100)) + Config!$B$29*MAX(0,MIN(100,MIN(1,IF($Q393="",0,$Q393)/Config!$B$23)*100))))),"")
</f>
        <v/>
      </c>
      <c r="S393" s="40" t="str">
        <f>IF(Bids!$AC393="","",Bids!$AC393)</f>
        <v/>
      </c>
      <c r="T393" s="40" t="str">
        <f>IF(Bids!$F393="","",Bids!$F393)</f>
        <v/>
      </c>
      <c r="U393" s="40" t="str">
        <f t="shared" si="3"/>
        <v/>
      </c>
      <c r="V393" s="40" t="str">
        <f>IF($U393="","",IF(Config!$B$17=Config!$B$16,IF($U393&gt;=Config!$B$17,100,0),MAX(0,MIN(100,($U393-Config!$B$16)/(Config!$B$17-Config!$B$16)*100))))</f>
        <v/>
      </c>
      <c r="W393" s="40">
        <f>IF($L393="Elite",Config!$B$21,0)</f>
        <v>0</v>
      </c>
      <c r="X393" s="40" t="str">
        <f>IFERROR(IF(OR($T393="",$G393=""),"",IF($T393&gt;$G393,
  MAX(0, 60-(($T393-$G393)*24/Config!$B$19)*60),
  MEDIAN(60, 100, 60+(($G393-$T393)*24/Config!$B$20)*40)
)),"")
</f>
        <v/>
      </c>
      <c r="Y393" s="40" t="str">
        <f>IF($J393="","",IFERROR(VLOOKUP($J393,Grinders!$A:$N,10,FALSE),""))</f>
        <v/>
      </c>
      <c r="Z393" s="40" t="str">
        <f>IF($J393="","",IFERROR(VLOOKUP($J393,Grinders!$A:$N,11,FALSE),""))</f>
        <v/>
      </c>
      <c r="AA393" s="40" t="str">
        <f>IF($J393="","",IFERROR(VLOOKUP($J393,Grinders!$A:$N,12,FALSE),""))</f>
        <v/>
      </c>
      <c r="AB393" s="40" t="str">
        <f>IF(OR(AL393=1,AM393=1),0,=IFERROR(IF(OR($C393="",$J393=""),0,IF($D393&lt;&gt;"Open",0,IF(COUNTIFS(GrinderServices!$A:$A,$J393,GrinderServices!$B:$B,$E393,GrinderServices!$D:$D,"Y")=0,0,IF($U393&lt;Config!$B$16,0,IF(Config!$B$18=1,IF($N393&gt;=$M393,0,1),1))))),""))</f>
        <v>#ERROR!</v>
      </c>
      <c r="AC393" s="40" t="str">
        <f>IFERROR((IF(OR(AL393=1,AM393=1),"",=IFERROR((IFERROR(IF($AB393=0,"",((Config!$B$6*$V393 + Config!$B$7*$R393 + Config!$B$8*$W393 + Config!$B$9*$X393 + Config!$B$10*$Y393 + Config!$B$11*$Z393 - Config!$B$12*$AA393)/Config!$B$13)+$AH393+$AI393),""))*(1-IFERROR(VLOOKUP(J393,Grinders!$A:$AB, 28, FALSE),0)),"")))*(1+AO393),"")</f>
        <v>#ERROR!</v>
      </c>
      <c r="AD393" s="40" t="str">
        <f t="shared" si="4"/>
        <v/>
      </c>
      <c r="AE393" s="40" t="str">
        <f>IFERROR(__xludf.DUMMYFUNCTION("IF($AC393="""","""",IF($AC393=IFERROR(MAX(FILTER($AC$6:$AC$1000,$C$6:$C$1000=$C393,$AB$6:$AB$1000=1)),),""WINNER"",""""))"),"#ERROR!")</f>
        <v>#ERROR!</v>
      </c>
      <c r="AF393" s="40" t="str">
        <f t="shared" si="5"/>
        <v/>
      </c>
      <c r="AG393" s="40" t="str">
        <f>IF($J393="","",COUNTIF(Assignments!$B:$B,$J393))</f>
        <v/>
      </c>
      <c r="AH393" s="40" t="str">
        <f>IF($J393="","",IF(AND($AG393=0,$N393&lt;$M393),Config!$B$43,0))</f>
        <v/>
      </c>
      <c r="AI393" s="40" t="str">
        <f>IF($J393="","",IF(AND($L393="Elite",$F393&gt;=Config!$B$41,$N393&lt;$M393),Config!$B$42,0))</f>
        <v/>
      </c>
      <c r="AJ393" s="22"/>
      <c r="AK393" s="39">
        <f>IFERROR(VLOOKUP(J393,Grinders!$A:$Q,28,FALSE),0)</f>
        <v>0</v>
      </c>
      <c r="AL393" s="39">
        <f>IF(Config!$B$1003&lt;&gt;"Y",0,IF(IFERROR(VLOOKUP(J393,Grinders!$A:$P,27,FALSE),0)&gt;=3,IF(OR(F393&gt;=Config!$B$1001,ISNUMBER(SEARCH(E393,Config!$B$1002))),1,0),0))</f>
        <v>0</v>
      </c>
      <c r="AM393" s="39">
        <f t="array" ref="AM393">IFERROR(IF(INDEX(Bids!$AE:$AE,MATCH(B393,Bids!$A:$A,0))="Pending",1,0),0)</f>
        <v>0</v>
      </c>
      <c r="AN393" s="39" t="str">
        <f t="array" ref="AN393">IF(C393="","",IFERROR(XLOOKUP(C393,Assignments!$C:$C,Assignments!$AU:$AU,0),0))</f>
        <v/>
      </c>
      <c r="AO393" s="39">
        <f>IF(AND(Config!$B$1006="Y",AN393=1),Config!$B$1007,0)</f>
        <v>0</v>
      </c>
    </row>
    <row r="394" ht="15.75" customHeight="1">
      <c r="A394" s="46" t="str">
        <f t="shared" si="1"/>
        <v/>
      </c>
      <c r="B394" s="40" t="str">
        <f>IF(Bids!$A394="","",Bids!$A394)</f>
        <v/>
      </c>
      <c r="C394" s="40" t="str">
        <f>IF(Bids!$B394="","",Bids!$B394)</f>
        <v/>
      </c>
      <c r="D394" s="40" t="str">
        <f>IF($C394="","",IFERROR(VLOOKUP($C394,Orders!$A:$J,9,FALSE),""))</f>
        <v/>
      </c>
      <c r="E394" s="40" t="str">
        <f>IF($C394="","",IFERROR(VLOOKUP($C394,Orders!$A:$J,3,FALSE),""))</f>
        <v/>
      </c>
      <c r="F394" s="40" t="str">
        <f>IF($C394="","",IFERROR(VLOOKUP($C394,Orders!$A:$J,4,FALSE),""))</f>
        <v/>
      </c>
      <c r="G394" s="40" t="str">
        <f>IF($C394="","",IFERROR(VLOOKUP($C394,Orders!$A:$J,5,FALSE),""))</f>
        <v/>
      </c>
      <c r="H394" s="40" t="str">
        <f>IF($C394="","",IFERROR(VLOOKUP($C394,Orders!$A:$J,6,FALSE),""))</f>
        <v/>
      </c>
      <c r="I394" s="40" t="str">
        <f>IF($C394="","",IFERROR(VLOOKUP($C394,Orders!$A:$J,7,FALSE),""))</f>
        <v/>
      </c>
      <c r="J394" s="40" t="str">
        <f>IF(Bids!$C394="","",Bids!$C394)</f>
        <v/>
      </c>
      <c r="K394" s="40" t="str">
        <f>IF($J394="","",IFERROR(VLOOKUP($J394,Grinders!$A:$N,2,FALSE),""))</f>
        <v/>
      </c>
      <c r="L394" s="40" t="str">
        <f>IF($J394="","",IFERROR(VLOOKUP($J394,Grinders!$A:$N,3,FALSE),""))</f>
        <v/>
      </c>
      <c r="M394" s="40" t="str">
        <f>IF($J394="","",IFERROR(VLOOKUP($J394,Grinders!$A:$N,4,FALSE),""))</f>
        <v/>
      </c>
      <c r="N394" s="40" t="str">
        <f>IF($J394="","",IFERROR(VLOOKUP($J394,Grinders!$A:$N,5,FALSE),""))</f>
        <v/>
      </c>
      <c r="O394" s="40" t="str">
        <f t="shared" si="2"/>
        <v/>
      </c>
      <c r="P394" s="40" t="str">
        <f>IF($J394="","",IFERROR(VLOOKUP($J394,Grinders!$A:$N,6,FALSE),""))</f>
        <v/>
      </c>
      <c r="Q394" s="40" t="str">
        <f>IF($J394="","",IFERROR(VLOOKUP($J394,Grinders!$A:$N,8,FALSE),""))</f>
        <v/>
      </c>
      <c r="R394" s="40" t="str">
        <f>IFERROR(IF($J394="","",IF($L394="Elite",MAX(50,MIN(100,Config!$B$27*MAX(0,MIN(100,(1-IF($O394="",0,$O394))*100)) + Config!$B$28*MAX(0,MIN(100,(1-MIN(1,IF(Config!$B$30=0,1,$P394/Config!$B$30)))*100)) + Config!$B$29*MAX(0,MIN(100,MIN(1,IF($Q394="",0,$Q394)/Config!$B$23)*100)))),MIN(100,Config!$B$27*MAX(0,MIN(100,(1-IF($O394="",0,$O394))*100)) + Config!$B$28*MAX(0,MIN(100,(1-MIN(1,IF(Config!$B$30=0,1,$P394/Config!$B$30)))*100)) + Config!$B$29*MAX(0,MIN(100,MIN(1,IF($Q394="",0,$Q394)/Config!$B$23)*100))))),"")
</f>
        <v/>
      </c>
      <c r="S394" s="40" t="str">
        <f>IF(Bids!$AC394="","",Bids!$AC394)</f>
        <v/>
      </c>
      <c r="T394" s="40" t="str">
        <f>IF(Bids!$F394="","",Bids!$F394)</f>
        <v/>
      </c>
      <c r="U394" s="40" t="str">
        <f t="shared" si="3"/>
        <v/>
      </c>
      <c r="V394" s="40" t="str">
        <f>IF($U394="","",IF(Config!$B$17=Config!$B$16,IF($U394&gt;=Config!$B$17,100,0),MAX(0,MIN(100,($U394-Config!$B$16)/(Config!$B$17-Config!$B$16)*100))))</f>
        <v/>
      </c>
      <c r="W394" s="40">
        <f>IF($L394="Elite",Config!$B$21,0)</f>
        <v>0</v>
      </c>
      <c r="X394" s="40" t="str">
        <f>IFERROR(IF(OR($T394="",$G394=""),"",IF($T394&gt;$G394,
  MAX(0, 60-(($T394-$G394)*24/Config!$B$19)*60),
  MEDIAN(60, 100, 60+(($G394-$T394)*24/Config!$B$20)*40)
)),"")
</f>
        <v/>
      </c>
      <c r="Y394" s="40" t="str">
        <f>IF($J394="","",IFERROR(VLOOKUP($J394,Grinders!$A:$N,10,FALSE),""))</f>
        <v/>
      </c>
      <c r="Z394" s="40" t="str">
        <f>IF($J394="","",IFERROR(VLOOKUP($J394,Grinders!$A:$N,11,FALSE),""))</f>
        <v/>
      </c>
      <c r="AA394" s="40" t="str">
        <f>IF($J394="","",IFERROR(VLOOKUP($J394,Grinders!$A:$N,12,FALSE),""))</f>
        <v/>
      </c>
      <c r="AB394" s="40" t="str">
        <f>IF(OR(AL394=1,AM394=1),0,=IFERROR(IF(OR($C394="",$J394=""),0,IF($D394&lt;&gt;"Open",0,IF(COUNTIFS(GrinderServices!$A:$A,$J394,GrinderServices!$B:$B,$E394,GrinderServices!$D:$D,"Y")=0,0,IF($U394&lt;Config!$B$16,0,IF(Config!$B$18=1,IF($N394&gt;=$M394,0,1),1))))),""))</f>
        <v>#ERROR!</v>
      </c>
      <c r="AC394" s="40" t="str">
        <f>IFERROR((IF(OR(AL394=1,AM394=1),"",=IFERROR((IFERROR(IF($AB394=0,"",((Config!$B$6*$V394 + Config!$B$7*$R394 + Config!$B$8*$W394 + Config!$B$9*$X394 + Config!$B$10*$Y394 + Config!$B$11*$Z394 - Config!$B$12*$AA394)/Config!$B$13)+$AH394+$AI394),""))*(1-IFERROR(VLOOKUP(J394,Grinders!$A:$AB, 28, FALSE),0)),"")))*(1+AO394),"")</f>
        <v>#ERROR!</v>
      </c>
      <c r="AD394" s="40" t="str">
        <f t="shared" si="4"/>
        <v/>
      </c>
      <c r="AE394" s="40" t="str">
        <f>IFERROR(__xludf.DUMMYFUNCTION("IF($AC394="""","""",IF($AC394=IFERROR(MAX(FILTER($AC$6:$AC$1000,$C$6:$C$1000=$C394,$AB$6:$AB$1000=1)),),""WINNER"",""""))"),"#ERROR!")</f>
        <v>#ERROR!</v>
      </c>
      <c r="AF394" s="40" t="str">
        <f t="shared" si="5"/>
        <v/>
      </c>
      <c r="AG394" s="40" t="str">
        <f>IF($J394="","",COUNTIF(Assignments!$B:$B,$J394))</f>
        <v/>
      </c>
      <c r="AH394" s="40" t="str">
        <f>IF($J394="","",IF(AND($AG394=0,$N394&lt;$M394),Config!$B$43,0))</f>
        <v/>
      </c>
      <c r="AI394" s="40" t="str">
        <f>IF($J394="","",IF(AND($L394="Elite",$F394&gt;=Config!$B$41,$N394&lt;$M394),Config!$B$42,0))</f>
        <v/>
      </c>
      <c r="AJ394" s="22"/>
      <c r="AK394" s="39">
        <f>IFERROR(VLOOKUP(J394,Grinders!$A:$Q,28,FALSE),0)</f>
        <v>0</v>
      </c>
      <c r="AL394" s="39">
        <f>IF(Config!$B$1003&lt;&gt;"Y",0,IF(IFERROR(VLOOKUP(J394,Grinders!$A:$P,27,FALSE),0)&gt;=3,IF(OR(F394&gt;=Config!$B$1001,ISNUMBER(SEARCH(E394,Config!$B$1002))),1,0),0))</f>
        <v>0</v>
      </c>
      <c r="AM394" s="39">
        <f t="array" ref="AM394">IFERROR(IF(INDEX(Bids!$AE:$AE,MATCH(B394,Bids!$A:$A,0))="Pending",1,0),0)</f>
        <v>0</v>
      </c>
      <c r="AN394" s="39" t="str">
        <f t="array" ref="AN394">IF(C394="","",IFERROR(XLOOKUP(C394,Assignments!$C:$C,Assignments!$AU:$AU,0),0))</f>
        <v/>
      </c>
      <c r="AO394" s="39">
        <f>IF(AND(Config!$B$1006="Y",AN394=1),Config!$B$1007,0)</f>
        <v>0</v>
      </c>
    </row>
    <row r="395" ht="15.75" customHeight="1">
      <c r="A395" s="46" t="str">
        <f t="shared" si="1"/>
        <v/>
      </c>
      <c r="B395" s="40" t="str">
        <f>IF(Bids!$A395="","",Bids!$A395)</f>
        <v/>
      </c>
      <c r="C395" s="40" t="str">
        <f>IF(Bids!$B395="","",Bids!$B395)</f>
        <v/>
      </c>
      <c r="D395" s="40" t="str">
        <f>IF($C395="","",IFERROR(VLOOKUP($C395,Orders!$A:$J,9,FALSE),""))</f>
        <v/>
      </c>
      <c r="E395" s="40" t="str">
        <f>IF($C395="","",IFERROR(VLOOKUP($C395,Orders!$A:$J,3,FALSE),""))</f>
        <v/>
      </c>
      <c r="F395" s="40" t="str">
        <f>IF($C395="","",IFERROR(VLOOKUP($C395,Orders!$A:$J,4,FALSE),""))</f>
        <v/>
      </c>
      <c r="G395" s="40" t="str">
        <f>IF($C395="","",IFERROR(VLOOKUP($C395,Orders!$A:$J,5,FALSE),""))</f>
        <v/>
      </c>
      <c r="H395" s="40" t="str">
        <f>IF($C395="","",IFERROR(VLOOKUP($C395,Orders!$A:$J,6,FALSE),""))</f>
        <v/>
      </c>
      <c r="I395" s="40" t="str">
        <f>IF($C395="","",IFERROR(VLOOKUP($C395,Orders!$A:$J,7,FALSE),""))</f>
        <v/>
      </c>
      <c r="J395" s="40" t="str">
        <f>IF(Bids!$C395="","",Bids!$C395)</f>
        <v/>
      </c>
      <c r="K395" s="40" t="str">
        <f>IF($J395="","",IFERROR(VLOOKUP($J395,Grinders!$A:$N,2,FALSE),""))</f>
        <v/>
      </c>
      <c r="L395" s="40" t="str">
        <f>IF($J395="","",IFERROR(VLOOKUP($J395,Grinders!$A:$N,3,FALSE),""))</f>
        <v/>
      </c>
      <c r="M395" s="40" t="str">
        <f>IF($J395="","",IFERROR(VLOOKUP($J395,Grinders!$A:$N,4,FALSE),""))</f>
        <v/>
      </c>
      <c r="N395" s="40" t="str">
        <f>IF($J395="","",IFERROR(VLOOKUP($J395,Grinders!$A:$N,5,FALSE),""))</f>
        <v/>
      </c>
      <c r="O395" s="40" t="str">
        <f t="shared" si="2"/>
        <v/>
      </c>
      <c r="P395" s="40" t="str">
        <f>IF($J395="","",IFERROR(VLOOKUP($J395,Grinders!$A:$N,6,FALSE),""))</f>
        <v/>
      </c>
      <c r="Q395" s="40" t="str">
        <f>IF($J395="","",IFERROR(VLOOKUP($J395,Grinders!$A:$N,8,FALSE),""))</f>
        <v/>
      </c>
      <c r="R395" s="40" t="str">
        <f>IFERROR(IF($J395="","",IF($L395="Elite",MAX(50,MIN(100,Config!$B$27*MAX(0,MIN(100,(1-IF($O395="",0,$O395))*100)) + Config!$B$28*MAX(0,MIN(100,(1-MIN(1,IF(Config!$B$30=0,1,$P395/Config!$B$30)))*100)) + Config!$B$29*MAX(0,MIN(100,MIN(1,IF($Q395="",0,$Q395)/Config!$B$23)*100)))),MIN(100,Config!$B$27*MAX(0,MIN(100,(1-IF($O395="",0,$O395))*100)) + Config!$B$28*MAX(0,MIN(100,(1-MIN(1,IF(Config!$B$30=0,1,$P395/Config!$B$30)))*100)) + Config!$B$29*MAX(0,MIN(100,MIN(1,IF($Q395="",0,$Q395)/Config!$B$23)*100))))),"")
</f>
        <v/>
      </c>
      <c r="S395" s="40" t="str">
        <f>IF(Bids!$AC395="","",Bids!$AC395)</f>
        <v/>
      </c>
      <c r="T395" s="40" t="str">
        <f>IF(Bids!$F395="","",Bids!$F395)</f>
        <v/>
      </c>
      <c r="U395" s="40" t="str">
        <f t="shared" si="3"/>
        <v/>
      </c>
      <c r="V395" s="40" t="str">
        <f>IF($U395="","",IF(Config!$B$17=Config!$B$16,IF($U395&gt;=Config!$B$17,100,0),MAX(0,MIN(100,($U395-Config!$B$16)/(Config!$B$17-Config!$B$16)*100))))</f>
        <v/>
      </c>
      <c r="W395" s="40">
        <f>IF($L395="Elite",Config!$B$21,0)</f>
        <v>0</v>
      </c>
      <c r="X395" s="40" t="str">
        <f>IFERROR(IF(OR($T395="",$G395=""),"",IF($T395&gt;$G395,
  MAX(0, 60-(($T395-$G395)*24/Config!$B$19)*60),
  MEDIAN(60, 100, 60+(($G395-$T395)*24/Config!$B$20)*40)
)),"")
</f>
        <v/>
      </c>
      <c r="Y395" s="40" t="str">
        <f>IF($J395="","",IFERROR(VLOOKUP($J395,Grinders!$A:$N,10,FALSE),""))</f>
        <v/>
      </c>
      <c r="Z395" s="40" t="str">
        <f>IF($J395="","",IFERROR(VLOOKUP($J395,Grinders!$A:$N,11,FALSE),""))</f>
        <v/>
      </c>
      <c r="AA395" s="40" t="str">
        <f>IF($J395="","",IFERROR(VLOOKUP($J395,Grinders!$A:$N,12,FALSE),""))</f>
        <v/>
      </c>
      <c r="AB395" s="40" t="str">
        <f>IF(OR(AL395=1,AM395=1),0,=IFERROR(IF(OR($C395="",$J395=""),0,IF($D395&lt;&gt;"Open",0,IF(COUNTIFS(GrinderServices!$A:$A,$J395,GrinderServices!$B:$B,$E395,GrinderServices!$D:$D,"Y")=0,0,IF($U395&lt;Config!$B$16,0,IF(Config!$B$18=1,IF($N395&gt;=$M395,0,1),1))))),""))</f>
        <v>#ERROR!</v>
      </c>
      <c r="AC395" s="40" t="str">
        <f>IFERROR((IF(OR(AL395=1,AM395=1),"",=IFERROR((IFERROR(IF($AB395=0,"",((Config!$B$6*$V395 + Config!$B$7*$R395 + Config!$B$8*$W395 + Config!$B$9*$X395 + Config!$B$10*$Y395 + Config!$B$11*$Z395 - Config!$B$12*$AA395)/Config!$B$13)+$AH395+$AI395),""))*(1-IFERROR(VLOOKUP(J395,Grinders!$A:$AB, 28, FALSE),0)),"")))*(1+AO395),"")</f>
        <v>#ERROR!</v>
      </c>
      <c r="AD395" s="40" t="str">
        <f t="shared" si="4"/>
        <v/>
      </c>
      <c r="AE395" s="40" t="str">
        <f>IFERROR(__xludf.DUMMYFUNCTION("IF($AC395="""","""",IF($AC395=IFERROR(MAX(FILTER($AC$6:$AC$1000,$C$6:$C$1000=$C395,$AB$6:$AB$1000=1)),),""WINNER"",""""))"),"#ERROR!")</f>
        <v>#ERROR!</v>
      </c>
      <c r="AF395" s="40" t="str">
        <f t="shared" si="5"/>
        <v/>
      </c>
      <c r="AG395" s="40" t="str">
        <f>IF($J395="","",COUNTIF(Assignments!$B:$B,$J395))</f>
        <v/>
      </c>
      <c r="AH395" s="40" t="str">
        <f>IF($J395="","",IF(AND($AG395=0,$N395&lt;$M395),Config!$B$43,0))</f>
        <v/>
      </c>
      <c r="AI395" s="40" t="str">
        <f>IF($J395="","",IF(AND($L395="Elite",$F395&gt;=Config!$B$41,$N395&lt;$M395),Config!$B$42,0))</f>
        <v/>
      </c>
      <c r="AJ395" s="22"/>
      <c r="AK395" s="39">
        <f>IFERROR(VLOOKUP(J395,Grinders!$A:$Q,28,FALSE),0)</f>
        <v>0</v>
      </c>
      <c r="AL395" s="39">
        <f>IF(Config!$B$1003&lt;&gt;"Y",0,IF(IFERROR(VLOOKUP(J395,Grinders!$A:$P,27,FALSE),0)&gt;=3,IF(OR(F395&gt;=Config!$B$1001,ISNUMBER(SEARCH(E395,Config!$B$1002))),1,0),0))</f>
        <v>0</v>
      </c>
      <c r="AM395" s="39">
        <f t="array" ref="AM395">IFERROR(IF(INDEX(Bids!$AE:$AE,MATCH(B395,Bids!$A:$A,0))="Pending",1,0),0)</f>
        <v>0</v>
      </c>
      <c r="AN395" s="39" t="str">
        <f t="array" ref="AN395">IF(C395="","",IFERROR(XLOOKUP(C395,Assignments!$C:$C,Assignments!$AU:$AU,0),0))</f>
        <v/>
      </c>
      <c r="AO395" s="39">
        <f>IF(AND(Config!$B$1006="Y",AN395=1),Config!$B$1007,0)</f>
        <v>0</v>
      </c>
    </row>
    <row r="396" ht="15.75" customHeight="1">
      <c r="A396" s="46" t="str">
        <f t="shared" si="1"/>
        <v/>
      </c>
      <c r="B396" s="40" t="str">
        <f>IF(Bids!$A396="","",Bids!$A396)</f>
        <v/>
      </c>
      <c r="C396" s="40" t="str">
        <f>IF(Bids!$B396="","",Bids!$B396)</f>
        <v/>
      </c>
      <c r="D396" s="40" t="str">
        <f>IF($C396="","",IFERROR(VLOOKUP($C396,Orders!$A:$J,9,FALSE),""))</f>
        <v/>
      </c>
      <c r="E396" s="40" t="str">
        <f>IF($C396="","",IFERROR(VLOOKUP($C396,Orders!$A:$J,3,FALSE),""))</f>
        <v/>
      </c>
      <c r="F396" s="40" t="str">
        <f>IF($C396="","",IFERROR(VLOOKUP($C396,Orders!$A:$J,4,FALSE),""))</f>
        <v/>
      </c>
      <c r="G396" s="40" t="str">
        <f>IF($C396="","",IFERROR(VLOOKUP($C396,Orders!$A:$J,5,FALSE),""))</f>
        <v/>
      </c>
      <c r="H396" s="40" t="str">
        <f>IF($C396="","",IFERROR(VLOOKUP($C396,Orders!$A:$J,6,FALSE),""))</f>
        <v/>
      </c>
      <c r="I396" s="40" t="str">
        <f>IF($C396="","",IFERROR(VLOOKUP($C396,Orders!$A:$J,7,FALSE),""))</f>
        <v/>
      </c>
      <c r="J396" s="40" t="str">
        <f>IF(Bids!$C396="","",Bids!$C396)</f>
        <v/>
      </c>
      <c r="K396" s="40" t="str">
        <f>IF($J396="","",IFERROR(VLOOKUP($J396,Grinders!$A:$N,2,FALSE),""))</f>
        <v/>
      </c>
      <c r="L396" s="40" t="str">
        <f>IF($J396="","",IFERROR(VLOOKUP($J396,Grinders!$A:$N,3,FALSE),""))</f>
        <v/>
      </c>
      <c r="M396" s="40" t="str">
        <f>IF($J396="","",IFERROR(VLOOKUP($J396,Grinders!$A:$N,4,FALSE),""))</f>
        <v/>
      </c>
      <c r="N396" s="40" t="str">
        <f>IF($J396="","",IFERROR(VLOOKUP($J396,Grinders!$A:$N,5,FALSE),""))</f>
        <v/>
      </c>
      <c r="O396" s="40" t="str">
        <f t="shared" si="2"/>
        <v/>
      </c>
      <c r="P396" s="40" t="str">
        <f>IF($J396="","",IFERROR(VLOOKUP($J396,Grinders!$A:$N,6,FALSE),""))</f>
        <v/>
      </c>
      <c r="Q396" s="40" t="str">
        <f>IF($J396="","",IFERROR(VLOOKUP($J396,Grinders!$A:$N,8,FALSE),""))</f>
        <v/>
      </c>
      <c r="R396" s="40" t="str">
        <f>IFERROR(IF($J396="","",IF($L396="Elite",MAX(50,MIN(100,Config!$B$27*MAX(0,MIN(100,(1-IF($O396="",0,$O396))*100)) + Config!$B$28*MAX(0,MIN(100,(1-MIN(1,IF(Config!$B$30=0,1,$P396/Config!$B$30)))*100)) + Config!$B$29*MAX(0,MIN(100,MIN(1,IF($Q396="",0,$Q396)/Config!$B$23)*100)))),MIN(100,Config!$B$27*MAX(0,MIN(100,(1-IF($O396="",0,$O396))*100)) + Config!$B$28*MAX(0,MIN(100,(1-MIN(1,IF(Config!$B$30=0,1,$P396/Config!$B$30)))*100)) + Config!$B$29*MAX(0,MIN(100,MIN(1,IF($Q396="",0,$Q396)/Config!$B$23)*100))))),"")
</f>
        <v/>
      </c>
      <c r="S396" s="40" t="str">
        <f>IF(Bids!$AC396="","",Bids!$AC396)</f>
        <v/>
      </c>
      <c r="T396" s="40" t="str">
        <f>IF(Bids!$F396="","",Bids!$F396)</f>
        <v/>
      </c>
      <c r="U396" s="40" t="str">
        <f t="shared" si="3"/>
        <v/>
      </c>
      <c r="V396" s="40" t="str">
        <f>IF($U396="","",IF(Config!$B$17=Config!$B$16,IF($U396&gt;=Config!$B$17,100,0),MAX(0,MIN(100,($U396-Config!$B$16)/(Config!$B$17-Config!$B$16)*100))))</f>
        <v/>
      </c>
      <c r="W396" s="40">
        <f>IF($L396="Elite",Config!$B$21,0)</f>
        <v>0</v>
      </c>
      <c r="X396" s="40" t="str">
        <f>IFERROR(IF(OR($T396="",$G396=""),"",IF($T396&gt;$G396,
  MAX(0, 60-(($T396-$G396)*24/Config!$B$19)*60),
  MEDIAN(60, 100, 60+(($G396-$T396)*24/Config!$B$20)*40)
)),"")
</f>
        <v/>
      </c>
      <c r="Y396" s="40" t="str">
        <f>IF($J396="","",IFERROR(VLOOKUP($J396,Grinders!$A:$N,10,FALSE),""))</f>
        <v/>
      </c>
      <c r="Z396" s="40" t="str">
        <f>IF($J396="","",IFERROR(VLOOKUP($J396,Grinders!$A:$N,11,FALSE),""))</f>
        <v/>
      </c>
      <c r="AA396" s="40" t="str">
        <f>IF($J396="","",IFERROR(VLOOKUP($J396,Grinders!$A:$N,12,FALSE),""))</f>
        <v/>
      </c>
      <c r="AB396" s="40" t="str">
        <f>IF(OR(AL396=1,AM396=1),0,=IFERROR(IF(OR($C396="",$J396=""),0,IF($D396&lt;&gt;"Open",0,IF(COUNTIFS(GrinderServices!$A:$A,$J396,GrinderServices!$B:$B,$E396,GrinderServices!$D:$D,"Y")=0,0,IF($U396&lt;Config!$B$16,0,IF(Config!$B$18=1,IF($N396&gt;=$M396,0,1),1))))),""))</f>
        <v>#ERROR!</v>
      </c>
      <c r="AC396" s="40" t="str">
        <f>IFERROR((IF(OR(AL396=1,AM396=1),"",=IFERROR((IFERROR(IF($AB396=0,"",((Config!$B$6*$V396 + Config!$B$7*$R396 + Config!$B$8*$W396 + Config!$B$9*$X396 + Config!$B$10*$Y396 + Config!$B$11*$Z396 - Config!$B$12*$AA396)/Config!$B$13)+$AH396+$AI396),""))*(1-IFERROR(VLOOKUP(J396,Grinders!$A:$AB, 28, FALSE),0)),"")))*(1+AO396),"")</f>
        <v>#ERROR!</v>
      </c>
      <c r="AD396" s="40" t="str">
        <f t="shared" si="4"/>
        <v/>
      </c>
      <c r="AE396" s="40" t="str">
        <f>IFERROR(__xludf.DUMMYFUNCTION("IF($AC396="""","""",IF($AC396=IFERROR(MAX(FILTER($AC$6:$AC$1000,$C$6:$C$1000=$C396,$AB$6:$AB$1000=1)),),""WINNER"",""""))"),"#ERROR!")</f>
        <v>#ERROR!</v>
      </c>
      <c r="AF396" s="40" t="str">
        <f t="shared" si="5"/>
        <v/>
      </c>
      <c r="AG396" s="40" t="str">
        <f>IF($J396="","",COUNTIF(Assignments!$B:$B,$J396))</f>
        <v/>
      </c>
      <c r="AH396" s="40" t="str">
        <f>IF($J396="","",IF(AND($AG396=0,$N396&lt;$M396),Config!$B$43,0))</f>
        <v/>
      </c>
      <c r="AI396" s="40" t="str">
        <f>IF($J396="","",IF(AND($L396="Elite",$F396&gt;=Config!$B$41,$N396&lt;$M396),Config!$B$42,0))</f>
        <v/>
      </c>
      <c r="AJ396" s="22"/>
      <c r="AK396" s="39">
        <f>IFERROR(VLOOKUP(J396,Grinders!$A:$Q,28,FALSE),0)</f>
        <v>0</v>
      </c>
      <c r="AL396" s="39">
        <f>IF(Config!$B$1003&lt;&gt;"Y",0,IF(IFERROR(VLOOKUP(J396,Grinders!$A:$P,27,FALSE),0)&gt;=3,IF(OR(F396&gt;=Config!$B$1001,ISNUMBER(SEARCH(E396,Config!$B$1002))),1,0),0))</f>
        <v>0</v>
      </c>
      <c r="AM396" s="39">
        <f t="array" ref="AM396">IFERROR(IF(INDEX(Bids!$AE:$AE,MATCH(B396,Bids!$A:$A,0))="Pending",1,0),0)</f>
        <v>0</v>
      </c>
      <c r="AN396" s="39" t="str">
        <f t="array" ref="AN396">IF(C396="","",IFERROR(XLOOKUP(C396,Assignments!$C:$C,Assignments!$AU:$AU,0),0))</f>
        <v/>
      </c>
      <c r="AO396" s="39">
        <f>IF(AND(Config!$B$1006="Y",AN396=1),Config!$B$1007,0)</f>
        <v>0</v>
      </c>
    </row>
    <row r="397" ht="15.75" customHeight="1">
      <c r="A397" s="46" t="str">
        <f t="shared" si="1"/>
        <v/>
      </c>
      <c r="B397" s="40" t="str">
        <f>IF(Bids!$A397="","",Bids!$A397)</f>
        <v/>
      </c>
      <c r="C397" s="40" t="str">
        <f>IF(Bids!$B397="","",Bids!$B397)</f>
        <v/>
      </c>
      <c r="D397" s="40" t="str">
        <f>IF($C397="","",IFERROR(VLOOKUP($C397,Orders!$A:$J,9,FALSE),""))</f>
        <v/>
      </c>
      <c r="E397" s="40" t="str">
        <f>IF($C397="","",IFERROR(VLOOKUP($C397,Orders!$A:$J,3,FALSE),""))</f>
        <v/>
      </c>
      <c r="F397" s="40" t="str">
        <f>IF($C397="","",IFERROR(VLOOKUP($C397,Orders!$A:$J,4,FALSE),""))</f>
        <v/>
      </c>
      <c r="G397" s="40" t="str">
        <f>IF($C397="","",IFERROR(VLOOKUP($C397,Orders!$A:$J,5,FALSE),""))</f>
        <v/>
      </c>
      <c r="H397" s="40" t="str">
        <f>IF($C397="","",IFERROR(VLOOKUP($C397,Orders!$A:$J,6,FALSE),""))</f>
        <v/>
      </c>
      <c r="I397" s="40" t="str">
        <f>IF($C397="","",IFERROR(VLOOKUP($C397,Orders!$A:$J,7,FALSE),""))</f>
        <v/>
      </c>
      <c r="J397" s="40" t="str">
        <f>IF(Bids!$C397="","",Bids!$C397)</f>
        <v/>
      </c>
      <c r="K397" s="40" t="str">
        <f>IF($J397="","",IFERROR(VLOOKUP($J397,Grinders!$A:$N,2,FALSE),""))</f>
        <v/>
      </c>
      <c r="L397" s="40" t="str">
        <f>IF($J397="","",IFERROR(VLOOKUP($J397,Grinders!$A:$N,3,FALSE),""))</f>
        <v/>
      </c>
      <c r="M397" s="40" t="str">
        <f>IF($J397="","",IFERROR(VLOOKUP($J397,Grinders!$A:$N,4,FALSE),""))</f>
        <v/>
      </c>
      <c r="N397" s="40" t="str">
        <f>IF($J397="","",IFERROR(VLOOKUP($J397,Grinders!$A:$N,5,FALSE),""))</f>
        <v/>
      </c>
      <c r="O397" s="40" t="str">
        <f t="shared" si="2"/>
        <v/>
      </c>
      <c r="P397" s="40" t="str">
        <f>IF($J397="","",IFERROR(VLOOKUP($J397,Grinders!$A:$N,6,FALSE),""))</f>
        <v/>
      </c>
      <c r="Q397" s="40" t="str">
        <f>IF($J397="","",IFERROR(VLOOKUP($J397,Grinders!$A:$N,8,FALSE),""))</f>
        <v/>
      </c>
      <c r="R397" s="40" t="str">
        <f>IFERROR(IF($J397="","",IF($L397="Elite",MAX(50,MIN(100,Config!$B$27*MAX(0,MIN(100,(1-IF($O397="",0,$O397))*100)) + Config!$B$28*MAX(0,MIN(100,(1-MIN(1,IF(Config!$B$30=0,1,$P397/Config!$B$30)))*100)) + Config!$B$29*MAX(0,MIN(100,MIN(1,IF($Q397="",0,$Q397)/Config!$B$23)*100)))),MIN(100,Config!$B$27*MAX(0,MIN(100,(1-IF($O397="",0,$O397))*100)) + Config!$B$28*MAX(0,MIN(100,(1-MIN(1,IF(Config!$B$30=0,1,$P397/Config!$B$30)))*100)) + Config!$B$29*MAX(0,MIN(100,MIN(1,IF($Q397="",0,$Q397)/Config!$B$23)*100))))),"")
</f>
        <v/>
      </c>
      <c r="S397" s="40" t="str">
        <f>IF(Bids!$AC397="","",Bids!$AC397)</f>
        <v/>
      </c>
      <c r="T397" s="40" t="str">
        <f>IF(Bids!$F397="","",Bids!$F397)</f>
        <v/>
      </c>
      <c r="U397" s="40" t="str">
        <f t="shared" si="3"/>
        <v/>
      </c>
      <c r="V397" s="40" t="str">
        <f>IF($U397="","",IF(Config!$B$17=Config!$B$16,IF($U397&gt;=Config!$B$17,100,0),MAX(0,MIN(100,($U397-Config!$B$16)/(Config!$B$17-Config!$B$16)*100))))</f>
        <v/>
      </c>
      <c r="W397" s="40">
        <f>IF($L397="Elite",Config!$B$21,0)</f>
        <v>0</v>
      </c>
      <c r="X397" s="40" t="str">
        <f>IFERROR(IF(OR($T397="",$G397=""),"",IF($T397&gt;$G397,
  MAX(0, 60-(($T397-$G397)*24/Config!$B$19)*60),
  MEDIAN(60, 100, 60+(($G397-$T397)*24/Config!$B$20)*40)
)),"")
</f>
        <v/>
      </c>
      <c r="Y397" s="40" t="str">
        <f>IF($J397="","",IFERROR(VLOOKUP($J397,Grinders!$A:$N,10,FALSE),""))</f>
        <v/>
      </c>
      <c r="Z397" s="40" t="str">
        <f>IF($J397="","",IFERROR(VLOOKUP($J397,Grinders!$A:$N,11,FALSE),""))</f>
        <v/>
      </c>
      <c r="AA397" s="40" t="str">
        <f>IF($J397="","",IFERROR(VLOOKUP($J397,Grinders!$A:$N,12,FALSE),""))</f>
        <v/>
      </c>
      <c r="AB397" s="40" t="str">
        <f>IF(OR(AL397=1,AM397=1),0,=IFERROR(IF(OR($C397="",$J397=""),0,IF($D397&lt;&gt;"Open",0,IF(COUNTIFS(GrinderServices!$A:$A,$J397,GrinderServices!$B:$B,$E397,GrinderServices!$D:$D,"Y")=0,0,IF($U397&lt;Config!$B$16,0,IF(Config!$B$18=1,IF($N397&gt;=$M397,0,1),1))))),""))</f>
        <v>#ERROR!</v>
      </c>
      <c r="AC397" s="40" t="str">
        <f>IFERROR((IF(OR(AL397=1,AM397=1),"",=IFERROR((IFERROR(IF($AB397=0,"",((Config!$B$6*$V397 + Config!$B$7*$R397 + Config!$B$8*$W397 + Config!$B$9*$X397 + Config!$B$10*$Y397 + Config!$B$11*$Z397 - Config!$B$12*$AA397)/Config!$B$13)+$AH397+$AI397),""))*(1-IFERROR(VLOOKUP(J397,Grinders!$A:$AB, 28, FALSE),0)),"")))*(1+AO397),"")</f>
        <v>#ERROR!</v>
      </c>
      <c r="AD397" s="40" t="str">
        <f t="shared" si="4"/>
        <v/>
      </c>
      <c r="AE397" s="40" t="str">
        <f>IFERROR(__xludf.DUMMYFUNCTION("IF($AC397="""","""",IF($AC397=IFERROR(MAX(FILTER($AC$6:$AC$1000,$C$6:$C$1000=$C397,$AB$6:$AB$1000=1)),),""WINNER"",""""))"),"#ERROR!")</f>
        <v>#ERROR!</v>
      </c>
      <c r="AF397" s="40" t="str">
        <f t="shared" si="5"/>
        <v/>
      </c>
      <c r="AG397" s="40" t="str">
        <f>IF($J397="","",COUNTIF(Assignments!$B:$B,$J397))</f>
        <v/>
      </c>
      <c r="AH397" s="40" t="str">
        <f>IF($J397="","",IF(AND($AG397=0,$N397&lt;$M397),Config!$B$43,0))</f>
        <v/>
      </c>
      <c r="AI397" s="40" t="str">
        <f>IF($J397="","",IF(AND($L397="Elite",$F397&gt;=Config!$B$41,$N397&lt;$M397),Config!$B$42,0))</f>
        <v/>
      </c>
      <c r="AJ397" s="22"/>
      <c r="AK397" s="39">
        <f>IFERROR(VLOOKUP(J397,Grinders!$A:$Q,28,FALSE),0)</f>
        <v>0</v>
      </c>
      <c r="AL397" s="39">
        <f>IF(Config!$B$1003&lt;&gt;"Y",0,IF(IFERROR(VLOOKUP(J397,Grinders!$A:$P,27,FALSE),0)&gt;=3,IF(OR(F397&gt;=Config!$B$1001,ISNUMBER(SEARCH(E397,Config!$B$1002))),1,0),0))</f>
        <v>0</v>
      </c>
      <c r="AM397" s="39">
        <f t="array" ref="AM397">IFERROR(IF(INDEX(Bids!$AE:$AE,MATCH(B397,Bids!$A:$A,0))="Pending",1,0),0)</f>
        <v>0</v>
      </c>
      <c r="AN397" s="39" t="str">
        <f t="array" ref="AN397">IF(C397="","",IFERROR(XLOOKUP(C397,Assignments!$C:$C,Assignments!$AU:$AU,0),0))</f>
        <v/>
      </c>
      <c r="AO397" s="39">
        <f>IF(AND(Config!$B$1006="Y",AN397=1),Config!$B$1007,0)</f>
        <v>0</v>
      </c>
    </row>
    <row r="398" ht="15.75" customHeight="1">
      <c r="A398" s="46" t="str">
        <f t="shared" si="1"/>
        <v/>
      </c>
      <c r="B398" s="40" t="str">
        <f>IF(Bids!$A398="","",Bids!$A398)</f>
        <v/>
      </c>
      <c r="C398" s="40" t="str">
        <f>IF(Bids!$B398="","",Bids!$B398)</f>
        <v/>
      </c>
      <c r="D398" s="40" t="str">
        <f>IF($C398="","",IFERROR(VLOOKUP($C398,Orders!$A:$J,9,FALSE),""))</f>
        <v/>
      </c>
      <c r="E398" s="40" t="str">
        <f>IF($C398="","",IFERROR(VLOOKUP($C398,Orders!$A:$J,3,FALSE),""))</f>
        <v/>
      </c>
      <c r="F398" s="40" t="str">
        <f>IF($C398="","",IFERROR(VLOOKUP($C398,Orders!$A:$J,4,FALSE),""))</f>
        <v/>
      </c>
      <c r="G398" s="40" t="str">
        <f>IF($C398="","",IFERROR(VLOOKUP($C398,Orders!$A:$J,5,FALSE),""))</f>
        <v/>
      </c>
      <c r="H398" s="40" t="str">
        <f>IF($C398="","",IFERROR(VLOOKUP($C398,Orders!$A:$J,6,FALSE),""))</f>
        <v/>
      </c>
      <c r="I398" s="40" t="str">
        <f>IF($C398="","",IFERROR(VLOOKUP($C398,Orders!$A:$J,7,FALSE),""))</f>
        <v/>
      </c>
      <c r="J398" s="40" t="str">
        <f>IF(Bids!$C398="","",Bids!$C398)</f>
        <v/>
      </c>
      <c r="K398" s="40" t="str">
        <f>IF($J398="","",IFERROR(VLOOKUP($J398,Grinders!$A:$N,2,FALSE),""))</f>
        <v/>
      </c>
      <c r="L398" s="40" t="str">
        <f>IF($J398="","",IFERROR(VLOOKUP($J398,Grinders!$A:$N,3,FALSE),""))</f>
        <v/>
      </c>
      <c r="M398" s="40" t="str">
        <f>IF($J398="","",IFERROR(VLOOKUP($J398,Grinders!$A:$N,4,FALSE),""))</f>
        <v/>
      </c>
      <c r="N398" s="40" t="str">
        <f>IF($J398="","",IFERROR(VLOOKUP($J398,Grinders!$A:$N,5,FALSE),""))</f>
        <v/>
      </c>
      <c r="O398" s="40" t="str">
        <f t="shared" si="2"/>
        <v/>
      </c>
      <c r="P398" s="40" t="str">
        <f>IF($J398="","",IFERROR(VLOOKUP($J398,Grinders!$A:$N,6,FALSE),""))</f>
        <v/>
      </c>
      <c r="Q398" s="40" t="str">
        <f>IF($J398="","",IFERROR(VLOOKUP($J398,Grinders!$A:$N,8,FALSE),""))</f>
        <v/>
      </c>
      <c r="R398" s="40" t="str">
        <f>IFERROR(IF($J398="","",IF($L398="Elite",MAX(50,MIN(100,Config!$B$27*MAX(0,MIN(100,(1-IF($O398="",0,$O398))*100)) + Config!$B$28*MAX(0,MIN(100,(1-MIN(1,IF(Config!$B$30=0,1,$P398/Config!$B$30)))*100)) + Config!$B$29*MAX(0,MIN(100,MIN(1,IF($Q398="",0,$Q398)/Config!$B$23)*100)))),MIN(100,Config!$B$27*MAX(0,MIN(100,(1-IF($O398="",0,$O398))*100)) + Config!$B$28*MAX(0,MIN(100,(1-MIN(1,IF(Config!$B$30=0,1,$P398/Config!$B$30)))*100)) + Config!$B$29*MAX(0,MIN(100,MIN(1,IF($Q398="",0,$Q398)/Config!$B$23)*100))))),"")
</f>
        <v/>
      </c>
      <c r="S398" s="40" t="str">
        <f>IF(Bids!$AC398="","",Bids!$AC398)</f>
        <v/>
      </c>
      <c r="T398" s="40" t="str">
        <f>IF(Bids!$F398="","",Bids!$F398)</f>
        <v/>
      </c>
      <c r="U398" s="40" t="str">
        <f t="shared" si="3"/>
        <v/>
      </c>
      <c r="V398" s="40" t="str">
        <f>IF($U398="","",IF(Config!$B$17=Config!$B$16,IF($U398&gt;=Config!$B$17,100,0),MAX(0,MIN(100,($U398-Config!$B$16)/(Config!$B$17-Config!$B$16)*100))))</f>
        <v/>
      </c>
      <c r="W398" s="40">
        <f>IF($L398="Elite",Config!$B$21,0)</f>
        <v>0</v>
      </c>
      <c r="X398" s="40" t="str">
        <f>IFERROR(IF(OR($T398="",$G398=""),"",IF($T398&gt;$G398,
  MAX(0, 60-(($T398-$G398)*24/Config!$B$19)*60),
  MEDIAN(60, 100, 60+(($G398-$T398)*24/Config!$B$20)*40)
)),"")
</f>
        <v/>
      </c>
      <c r="Y398" s="40" t="str">
        <f>IF($J398="","",IFERROR(VLOOKUP($J398,Grinders!$A:$N,10,FALSE),""))</f>
        <v/>
      </c>
      <c r="Z398" s="40" t="str">
        <f>IF($J398="","",IFERROR(VLOOKUP($J398,Grinders!$A:$N,11,FALSE),""))</f>
        <v/>
      </c>
      <c r="AA398" s="40" t="str">
        <f>IF($J398="","",IFERROR(VLOOKUP($J398,Grinders!$A:$N,12,FALSE),""))</f>
        <v/>
      </c>
      <c r="AB398" s="40" t="str">
        <f>IF(OR(AL398=1,AM398=1),0,=IFERROR(IF(OR($C398="",$J398=""),0,IF($D398&lt;&gt;"Open",0,IF(COUNTIFS(GrinderServices!$A:$A,$J398,GrinderServices!$B:$B,$E398,GrinderServices!$D:$D,"Y")=0,0,IF($U398&lt;Config!$B$16,0,IF(Config!$B$18=1,IF($N398&gt;=$M398,0,1),1))))),""))</f>
        <v>#ERROR!</v>
      </c>
      <c r="AC398" s="40" t="str">
        <f>IFERROR((IF(OR(AL398=1,AM398=1),"",=IFERROR((IFERROR(IF($AB398=0,"",((Config!$B$6*$V398 + Config!$B$7*$R398 + Config!$B$8*$W398 + Config!$B$9*$X398 + Config!$B$10*$Y398 + Config!$B$11*$Z398 - Config!$B$12*$AA398)/Config!$B$13)+$AH398+$AI398),""))*(1-IFERROR(VLOOKUP(J398,Grinders!$A:$AB, 28, FALSE),0)),"")))*(1+AO398),"")</f>
        <v>#ERROR!</v>
      </c>
      <c r="AD398" s="40" t="str">
        <f t="shared" si="4"/>
        <v/>
      </c>
      <c r="AE398" s="40" t="str">
        <f>IFERROR(__xludf.DUMMYFUNCTION("IF($AC398="""","""",IF($AC398=IFERROR(MAX(FILTER($AC$6:$AC$1000,$C$6:$C$1000=$C398,$AB$6:$AB$1000=1)),),""WINNER"",""""))"),"#ERROR!")</f>
        <v>#ERROR!</v>
      </c>
      <c r="AF398" s="40" t="str">
        <f t="shared" si="5"/>
        <v/>
      </c>
      <c r="AG398" s="40" t="str">
        <f>IF($J398="","",COUNTIF(Assignments!$B:$B,$J398))</f>
        <v/>
      </c>
      <c r="AH398" s="40" t="str">
        <f>IF($J398="","",IF(AND($AG398=0,$N398&lt;$M398),Config!$B$43,0))</f>
        <v/>
      </c>
      <c r="AI398" s="40" t="str">
        <f>IF($J398="","",IF(AND($L398="Elite",$F398&gt;=Config!$B$41,$N398&lt;$M398),Config!$B$42,0))</f>
        <v/>
      </c>
      <c r="AJ398" s="22"/>
      <c r="AK398" s="39">
        <f>IFERROR(VLOOKUP(J398,Grinders!$A:$Q,28,FALSE),0)</f>
        <v>0</v>
      </c>
      <c r="AL398" s="39">
        <f>IF(Config!$B$1003&lt;&gt;"Y",0,IF(IFERROR(VLOOKUP(J398,Grinders!$A:$P,27,FALSE),0)&gt;=3,IF(OR(F398&gt;=Config!$B$1001,ISNUMBER(SEARCH(E398,Config!$B$1002))),1,0),0))</f>
        <v>0</v>
      </c>
      <c r="AM398" s="39">
        <f t="array" ref="AM398">IFERROR(IF(INDEX(Bids!$AE:$AE,MATCH(B398,Bids!$A:$A,0))="Pending",1,0),0)</f>
        <v>0</v>
      </c>
      <c r="AN398" s="39" t="str">
        <f t="array" ref="AN398">IF(C398="","",IFERROR(XLOOKUP(C398,Assignments!$C:$C,Assignments!$AU:$AU,0),0))</f>
        <v/>
      </c>
      <c r="AO398" s="39">
        <f>IF(AND(Config!$B$1006="Y",AN398=1),Config!$B$1007,0)</f>
        <v>0</v>
      </c>
    </row>
    <row r="399" ht="15.75" customHeight="1">
      <c r="A399" s="46" t="str">
        <f t="shared" si="1"/>
        <v/>
      </c>
      <c r="B399" s="40" t="str">
        <f>IF(Bids!$A399="","",Bids!$A399)</f>
        <v/>
      </c>
      <c r="C399" s="40" t="str">
        <f>IF(Bids!$B399="","",Bids!$B399)</f>
        <v/>
      </c>
      <c r="D399" s="40" t="str">
        <f>IF($C399="","",IFERROR(VLOOKUP($C399,Orders!$A:$J,9,FALSE),""))</f>
        <v/>
      </c>
      <c r="E399" s="40" t="str">
        <f>IF($C399="","",IFERROR(VLOOKUP($C399,Orders!$A:$J,3,FALSE),""))</f>
        <v/>
      </c>
      <c r="F399" s="40" t="str">
        <f>IF($C399="","",IFERROR(VLOOKUP($C399,Orders!$A:$J,4,FALSE),""))</f>
        <v/>
      </c>
      <c r="G399" s="40" t="str">
        <f>IF($C399="","",IFERROR(VLOOKUP($C399,Orders!$A:$J,5,FALSE),""))</f>
        <v/>
      </c>
      <c r="H399" s="40" t="str">
        <f>IF($C399="","",IFERROR(VLOOKUP($C399,Orders!$A:$J,6,FALSE),""))</f>
        <v/>
      </c>
      <c r="I399" s="40" t="str">
        <f>IF($C399="","",IFERROR(VLOOKUP($C399,Orders!$A:$J,7,FALSE),""))</f>
        <v/>
      </c>
      <c r="J399" s="40" t="str">
        <f>IF(Bids!$C399="","",Bids!$C399)</f>
        <v/>
      </c>
      <c r="K399" s="40" t="str">
        <f>IF($J399="","",IFERROR(VLOOKUP($J399,Grinders!$A:$N,2,FALSE),""))</f>
        <v/>
      </c>
      <c r="L399" s="40" t="str">
        <f>IF($J399="","",IFERROR(VLOOKUP($J399,Grinders!$A:$N,3,FALSE),""))</f>
        <v/>
      </c>
      <c r="M399" s="40" t="str">
        <f>IF($J399="","",IFERROR(VLOOKUP($J399,Grinders!$A:$N,4,FALSE),""))</f>
        <v/>
      </c>
      <c r="N399" s="40" t="str">
        <f>IF($J399="","",IFERROR(VLOOKUP($J399,Grinders!$A:$N,5,FALSE),""))</f>
        <v/>
      </c>
      <c r="O399" s="40" t="str">
        <f t="shared" si="2"/>
        <v/>
      </c>
      <c r="P399" s="40" t="str">
        <f>IF($J399="","",IFERROR(VLOOKUP($J399,Grinders!$A:$N,6,FALSE),""))</f>
        <v/>
      </c>
      <c r="Q399" s="40" t="str">
        <f>IF($J399="","",IFERROR(VLOOKUP($J399,Grinders!$A:$N,8,FALSE),""))</f>
        <v/>
      </c>
      <c r="R399" s="40" t="str">
        <f>IFERROR(IF($J399="","",IF($L399="Elite",MAX(50,MIN(100,Config!$B$27*MAX(0,MIN(100,(1-IF($O399="",0,$O399))*100)) + Config!$B$28*MAX(0,MIN(100,(1-MIN(1,IF(Config!$B$30=0,1,$P399/Config!$B$30)))*100)) + Config!$B$29*MAX(0,MIN(100,MIN(1,IF($Q399="",0,$Q399)/Config!$B$23)*100)))),MIN(100,Config!$B$27*MAX(0,MIN(100,(1-IF($O399="",0,$O399))*100)) + Config!$B$28*MAX(0,MIN(100,(1-MIN(1,IF(Config!$B$30=0,1,$P399/Config!$B$30)))*100)) + Config!$B$29*MAX(0,MIN(100,MIN(1,IF($Q399="",0,$Q399)/Config!$B$23)*100))))),"")
</f>
        <v/>
      </c>
      <c r="S399" s="40" t="str">
        <f>IF(Bids!$AC399="","",Bids!$AC399)</f>
        <v/>
      </c>
      <c r="T399" s="40" t="str">
        <f>IF(Bids!$F399="","",Bids!$F399)</f>
        <v/>
      </c>
      <c r="U399" s="40" t="str">
        <f t="shared" si="3"/>
        <v/>
      </c>
      <c r="V399" s="40" t="str">
        <f>IF($U399="","",IF(Config!$B$17=Config!$B$16,IF($U399&gt;=Config!$B$17,100,0),MAX(0,MIN(100,($U399-Config!$B$16)/(Config!$B$17-Config!$B$16)*100))))</f>
        <v/>
      </c>
      <c r="W399" s="40">
        <f>IF($L399="Elite",Config!$B$21,0)</f>
        <v>0</v>
      </c>
      <c r="X399" s="40" t="str">
        <f>IFERROR(IF(OR($T399="",$G399=""),"",IF($T399&gt;$G399,
  MAX(0, 60-(($T399-$G399)*24/Config!$B$19)*60),
  MEDIAN(60, 100, 60+(($G399-$T399)*24/Config!$B$20)*40)
)),"")
</f>
        <v/>
      </c>
      <c r="Y399" s="40" t="str">
        <f>IF($J399="","",IFERROR(VLOOKUP($J399,Grinders!$A:$N,10,FALSE),""))</f>
        <v/>
      </c>
      <c r="Z399" s="40" t="str">
        <f>IF($J399="","",IFERROR(VLOOKUP($J399,Grinders!$A:$N,11,FALSE),""))</f>
        <v/>
      </c>
      <c r="AA399" s="40" t="str">
        <f>IF($J399="","",IFERROR(VLOOKUP($J399,Grinders!$A:$N,12,FALSE),""))</f>
        <v/>
      </c>
      <c r="AB399" s="40" t="str">
        <f>IF(OR(AL399=1,AM399=1),0,=IFERROR(IF(OR($C399="",$J399=""),0,IF($D399&lt;&gt;"Open",0,IF(COUNTIFS(GrinderServices!$A:$A,$J399,GrinderServices!$B:$B,$E399,GrinderServices!$D:$D,"Y")=0,0,IF($U399&lt;Config!$B$16,0,IF(Config!$B$18=1,IF($N399&gt;=$M399,0,1),1))))),""))</f>
        <v>#ERROR!</v>
      </c>
      <c r="AC399" s="40" t="str">
        <f>IFERROR((IF(OR(AL399=1,AM399=1),"",=IFERROR((IFERROR(IF($AB399=0,"",((Config!$B$6*$V399 + Config!$B$7*$R399 + Config!$B$8*$W399 + Config!$B$9*$X399 + Config!$B$10*$Y399 + Config!$B$11*$Z399 - Config!$B$12*$AA399)/Config!$B$13)+$AH399+$AI399),""))*(1-IFERROR(VLOOKUP(J399,Grinders!$A:$AB, 28, FALSE),0)),"")))*(1+AO399),"")</f>
        <v>#ERROR!</v>
      </c>
      <c r="AD399" s="40" t="str">
        <f t="shared" si="4"/>
        <v/>
      </c>
      <c r="AE399" s="40" t="str">
        <f>IFERROR(__xludf.DUMMYFUNCTION("IF($AC399="""","""",IF($AC399=IFERROR(MAX(FILTER($AC$6:$AC$1000,$C$6:$C$1000=$C399,$AB$6:$AB$1000=1)),),""WINNER"",""""))"),"#ERROR!")</f>
        <v>#ERROR!</v>
      </c>
      <c r="AF399" s="40" t="str">
        <f t="shared" si="5"/>
        <v/>
      </c>
      <c r="AG399" s="40" t="str">
        <f>IF($J399="","",COUNTIF(Assignments!$B:$B,$J399))</f>
        <v/>
      </c>
      <c r="AH399" s="40" t="str">
        <f>IF($J399="","",IF(AND($AG399=0,$N399&lt;$M399),Config!$B$43,0))</f>
        <v/>
      </c>
      <c r="AI399" s="40" t="str">
        <f>IF($J399="","",IF(AND($L399="Elite",$F399&gt;=Config!$B$41,$N399&lt;$M399),Config!$B$42,0))</f>
        <v/>
      </c>
      <c r="AJ399" s="22"/>
      <c r="AK399" s="39">
        <f>IFERROR(VLOOKUP(J399,Grinders!$A:$Q,28,FALSE),0)</f>
        <v>0</v>
      </c>
      <c r="AL399" s="39">
        <f>IF(Config!$B$1003&lt;&gt;"Y",0,IF(IFERROR(VLOOKUP(J399,Grinders!$A:$P,27,FALSE),0)&gt;=3,IF(OR(F399&gt;=Config!$B$1001,ISNUMBER(SEARCH(E399,Config!$B$1002))),1,0),0))</f>
        <v>0</v>
      </c>
      <c r="AM399" s="39">
        <f t="array" ref="AM399">IFERROR(IF(INDEX(Bids!$AE:$AE,MATCH(B399,Bids!$A:$A,0))="Pending",1,0),0)</f>
        <v>0</v>
      </c>
      <c r="AN399" s="39" t="str">
        <f t="array" ref="AN399">IF(C399="","",IFERROR(XLOOKUP(C399,Assignments!$C:$C,Assignments!$AU:$AU,0),0))</f>
        <v/>
      </c>
      <c r="AO399" s="39">
        <f>IF(AND(Config!$B$1006="Y",AN399=1),Config!$B$1007,0)</f>
        <v>0</v>
      </c>
    </row>
    <row r="400" ht="15.75" customHeight="1">
      <c r="A400" s="46" t="str">
        <f t="shared" si="1"/>
        <v/>
      </c>
      <c r="B400" s="40" t="str">
        <f>IF(Bids!$A400="","",Bids!$A400)</f>
        <v/>
      </c>
      <c r="C400" s="40" t="str">
        <f>IF(Bids!$B400="","",Bids!$B400)</f>
        <v/>
      </c>
      <c r="D400" s="40" t="str">
        <f>IF($C400="","",IFERROR(VLOOKUP($C400,Orders!$A:$J,9,FALSE),""))</f>
        <v/>
      </c>
      <c r="E400" s="40" t="str">
        <f>IF($C400="","",IFERROR(VLOOKUP($C400,Orders!$A:$J,3,FALSE),""))</f>
        <v/>
      </c>
      <c r="F400" s="40" t="str">
        <f>IF($C400="","",IFERROR(VLOOKUP($C400,Orders!$A:$J,4,FALSE),""))</f>
        <v/>
      </c>
      <c r="G400" s="40" t="str">
        <f>IF($C400="","",IFERROR(VLOOKUP($C400,Orders!$A:$J,5,FALSE),""))</f>
        <v/>
      </c>
      <c r="H400" s="40" t="str">
        <f>IF($C400="","",IFERROR(VLOOKUP($C400,Orders!$A:$J,6,FALSE),""))</f>
        <v/>
      </c>
      <c r="I400" s="40" t="str">
        <f>IF($C400="","",IFERROR(VLOOKUP($C400,Orders!$A:$J,7,FALSE),""))</f>
        <v/>
      </c>
      <c r="J400" s="40" t="str">
        <f>IF(Bids!$C400="","",Bids!$C400)</f>
        <v/>
      </c>
      <c r="K400" s="40" t="str">
        <f>IF($J400="","",IFERROR(VLOOKUP($J400,Grinders!$A:$N,2,FALSE),""))</f>
        <v/>
      </c>
      <c r="L400" s="40" t="str">
        <f>IF($J400="","",IFERROR(VLOOKUP($J400,Grinders!$A:$N,3,FALSE),""))</f>
        <v/>
      </c>
      <c r="M400" s="40" t="str">
        <f>IF($J400="","",IFERROR(VLOOKUP($J400,Grinders!$A:$N,4,FALSE),""))</f>
        <v/>
      </c>
      <c r="N400" s="40" t="str">
        <f>IF($J400="","",IFERROR(VLOOKUP($J400,Grinders!$A:$N,5,FALSE),""))</f>
        <v/>
      </c>
      <c r="O400" s="40" t="str">
        <f t="shared" si="2"/>
        <v/>
      </c>
      <c r="P400" s="40" t="str">
        <f>IF($J400="","",IFERROR(VLOOKUP($J400,Grinders!$A:$N,6,FALSE),""))</f>
        <v/>
      </c>
      <c r="Q400" s="40" t="str">
        <f>IF($J400="","",IFERROR(VLOOKUP($J400,Grinders!$A:$N,8,FALSE),""))</f>
        <v/>
      </c>
      <c r="R400" s="40" t="str">
        <f>IFERROR(IF($J400="","",IF($L400="Elite",MAX(50,MIN(100,Config!$B$27*MAX(0,MIN(100,(1-IF($O400="",0,$O400))*100)) + Config!$B$28*MAX(0,MIN(100,(1-MIN(1,IF(Config!$B$30=0,1,$P400/Config!$B$30)))*100)) + Config!$B$29*MAX(0,MIN(100,MIN(1,IF($Q400="",0,$Q400)/Config!$B$23)*100)))),MIN(100,Config!$B$27*MAX(0,MIN(100,(1-IF($O400="",0,$O400))*100)) + Config!$B$28*MAX(0,MIN(100,(1-MIN(1,IF(Config!$B$30=0,1,$P400/Config!$B$30)))*100)) + Config!$B$29*MAX(0,MIN(100,MIN(1,IF($Q400="",0,$Q400)/Config!$B$23)*100))))),"")
</f>
        <v/>
      </c>
      <c r="S400" s="40" t="str">
        <f>IF(Bids!$AC400="","",Bids!$AC400)</f>
        <v/>
      </c>
      <c r="T400" s="40" t="str">
        <f>IF(Bids!$F400="","",Bids!$F400)</f>
        <v/>
      </c>
      <c r="U400" s="40" t="str">
        <f t="shared" si="3"/>
        <v/>
      </c>
      <c r="V400" s="40" t="str">
        <f>IF($U400="","",IF(Config!$B$17=Config!$B$16,IF($U400&gt;=Config!$B$17,100,0),MAX(0,MIN(100,($U400-Config!$B$16)/(Config!$B$17-Config!$B$16)*100))))</f>
        <v/>
      </c>
      <c r="W400" s="40">
        <f>IF($L400="Elite",Config!$B$21,0)</f>
        <v>0</v>
      </c>
      <c r="X400" s="40" t="str">
        <f>IFERROR(IF(OR($T400="",$G400=""),"",IF($T400&gt;$G400,
  MAX(0, 60-(($T400-$G400)*24/Config!$B$19)*60),
  MEDIAN(60, 100, 60+(($G400-$T400)*24/Config!$B$20)*40)
)),"")
</f>
        <v/>
      </c>
      <c r="Y400" s="40" t="str">
        <f>IF($J400="","",IFERROR(VLOOKUP($J400,Grinders!$A:$N,10,FALSE),""))</f>
        <v/>
      </c>
      <c r="Z400" s="40" t="str">
        <f>IF($J400="","",IFERROR(VLOOKUP($J400,Grinders!$A:$N,11,FALSE),""))</f>
        <v/>
      </c>
      <c r="AA400" s="40" t="str">
        <f>IF($J400="","",IFERROR(VLOOKUP($J400,Grinders!$A:$N,12,FALSE),""))</f>
        <v/>
      </c>
      <c r="AB400" s="40" t="str">
        <f>IF(OR(AL400=1,AM400=1),0,=IFERROR(IF(OR($C400="",$J400=""),0,IF($D400&lt;&gt;"Open",0,IF(COUNTIFS(GrinderServices!$A:$A,$J400,GrinderServices!$B:$B,$E400,GrinderServices!$D:$D,"Y")=0,0,IF($U400&lt;Config!$B$16,0,IF(Config!$B$18=1,IF($N400&gt;=$M400,0,1),1))))),""))</f>
        <v>#ERROR!</v>
      </c>
      <c r="AC400" s="40" t="str">
        <f>IFERROR((IF(OR(AL400=1,AM400=1),"",=IFERROR((IFERROR(IF($AB400=0,"",((Config!$B$6*$V400 + Config!$B$7*$R400 + Config!$B$8*$W400 + Config!$B$9*$X400 + Config!$B$10*$Y400 + Config!$B$11*$Z400 - Config!$B$12*$AA400)/Config!$B$13)+$AH400+$AI400),""))*(1-IFERROR(VLOOKUP(J400,Grinders!$A:$AB, 28, FALSE),0)),"")))*(1+AO400),"")</f>
        <v>#ERROR!</v>
      </c>
      <c r="AD400" s="40" t="str">
        <f t="shared" si="4"/>
        <v/>
      </c>
      <c r="AE400" s="40" t="str">
        <f>IFERROR(__xludf.DUMMYFUNCTION("IF($AC400="""","""",IF($AC400=IFERROR(MAX(FILTER($AC$6:$AC$1000,$C$6:$C$1000=$C400,$AB$6:$AB$1000=1)),),""WINNER"",""""))"),"#ERROR!")</f>
        <v>#ERROR!</v>
      </c>
      <c r="AF400" s="40" t="str">
        <f t="shared" si="5"/>
        <v/>
      </c>
      <c r="AG400" s="40" t="str">
        <f>IF($J400="","",COUNTIF(Assignments!$B:$B,$J400))</f>
        <v/>
      </c>
      <c r="AH400" s="40" t="str">
        <f>IF($J400="","",IF(AND($AG400=0,$N400&lt;$M400),Config!$B$43,0))</f>
        <v/>
      </c>
      <c r="AI400" s="40" t="str">
        <f>IF($J400="","",IF(AND($L400="Elite",$F400&gt;=Config!$B$41,$N400&lt;$M400),Config!$B$42,0))</f>
        <v/>
      </c>
      <c r="AJ400" s="22"/>
      <c r="AK400" s="39">
        <f>IFERROR(VLOOKUP(J400,Grinders!$A:$Q,28,FALSE),0)</f>
        <v>0</v>
      </c>
      <c r="AL400" s="39">
        <f>IF(Config!$B$1003&lt;&gt;"Y",0,IF(IFERROR(VLOOKUP(J400,Grinders!$A:$P,27,FALSE),0)&gt;=3,IF(OR(F400&gt;=Config!$B$1001,ISNUMBER(SEARCH(E400,Config!$B$1002))),1,0),0))</f>
        <v>0</v>
      </c>
      <c r="AM400" s="39">
        <f t="array" ref="AM400">IFERROR(IF(INDEX(Bids!$AE:$AE,MATCH(B400,Bids!$A:$A,0))="Pending",1,0),0)</f>
        <v>0</v>
      </c>
      <c r="AN400" s="39" t="str">
        <f t="array" ref="AN400">IF(C400="","",IFERROR(XLOOKUP(C400,Assignments!$C:$C,Assignments!$AU:$AU,0),0))</f>
        <v/>
      </c>
      <c r="AO400" s="39">
        <f>IF(AND(Config!$B$1006="Y",AN400=1),Config!$B$1007,0)</f>
        <v>0</v>
      </c>
    </row>
    <row r="401" ht="15.75" customHeight="1">
      <c r="A401" s="46" t="str">
        <f t="shared" si="1"/>
        <v/>
      </c>
      <c r="B401" s="40" t="str">
        <f>IF(Bids!$A401="","",Bids!$A401)</f>
        <v/>
      </c>
      <c r="C401" s="40" t="str">
        <f>IF(Bids!$B401="","",Bids!$B401)</f>
        <v/>
      </c>
      <c r="D401" s="40" t="str">
        <f>IF($C401="","",IFERROR(VLOOKUP($C401,Orders!$A:$J,9,FALSE),""))</f>
        <v/>
      </c>
      <c r="E401" s="40" t="str">
        <f>IF($C401="","",IFERROR(VLOOKUP($C401,Orders!$A:$J,3,FALSE),""))</f>
        <v/>
      </c>
      <c r="F401" s="40" t="str">
        <f>IF($C401="","",IFERROR(VLOOKUP($C401,Orders!$A:$J,4,FALSE),""))</f>
        <v/>
      </c>
      <c r="G401" s="40" t="str">
        <f>IF($C401="","",IFERROR(VLOOKUP($C401,Orders!$A:$J,5,FALSE),""))</f>
        <v/>
      </c>
      <c r="H401" s="40" t="str">
        <f>IF($C401="","",IFERROR(VLOOKUP($C401,Orders!$A:$J,6,FALSE),""))</f>
        <v/>
      </c>
      <c r="I401" s="40" t="str">
        <f>IF($C401="","",IFERROR(VLOOKUP($C401,Orders!$A:$J,7,FALSE),""))</f>
        <v/>
      </c>
      <c r="J401" s="40" t="str">
        <f>IF(Bids!$C401="","",Bids!$C401)</f>
        <v/>
      </c>
      <c r="K401" s="40" t="str">
        <f>IF($J401="","",IFERROR(VLOOKUP($J401,Grinders!$A:$N,2,FALSE),""))</f>
        <v/>
      </c>
      <c r="L401" s="40" t="str">
        <f>IF($J401="","",IFERROR(VLOOKUP($J401,Grinders!$A:$N,3,FALSE),""))</f>
        <v/>
      </c>
      <c r="M401" s="40" t="str">
        <f>IF($J401="","",IFERROR(VLOOKUP($J401,Grinders!$A:$N,4,FALSE),""))</f>
        <v/>
      </c>
      <c r="N401" s="40" t="str">
        <f>IF($J401="","",IFERROR(VLOOKUP($J401,Grinders!$A:$N,5,FALSE),""))</f>
        <v/>
      </c>
      <c r="O401" s="40" t="str">
        <f t="shared" si="2"/>
        <v/>
      </c>
      <c r="P401" s="40" t="str">
        <f>IF($J401="","",IFERROR(VLOOKUP($J401,Grinders!$A:$N,6,FALSE),""))</f>
        <v/>
      </c>
      <c r="Q401" s="40" t="str">
        <f>IF($J401="","",IFERROR(VLOOKUP($J401,Grinders!$A:$N,8,FALSE),""))</f>
        <v/>
      </c>
      <c r="R401" s="40" t="str">
        <f>IFERROR(IF($J401="","",IF($L401="Elite",MAX(50,MIN(100,Config!$B$27*MAX(0,MIN(100,(1-IF($O401="",0,$O401))*100)) + Config!$B$28*MAX(0,MIN(100,(1-MIN(1,IF(Config!$B$30=0,1,$P401/Config!$B$30)))*100)) + Config!$B$29*MAX(0,MIN(100,MIN(1,IF($Q401="",0,$Q401)/Config!$B$23)*100)))),MIN(100,Config!$B$27*MAX(0,MIN(100,(1-IF($O401="",0,$O401))*100)) + Config!$B$28*MAX(0,MIN(100,(1-MIN(1,IF(Config!$B$30=0,1,$P401/Config!$B$30)))*100)) + Config!$B$29*MAX(0,MIN(100,MIN(1,IF($Q401="",0,$Q401)/Config!$B$23)*100))))),"")
</f>
        <v/>
      </c>
      <c r="S401" s="40" t="str">
        <f>IF(Bids!$AC401="","",Bids!$AC401)</f>
        <v/>
      </c>
      <c r="T401" s="40" t="str">
        <f>IF(Bids!$F401="","",Bids!$F401)</f>
        <v/>
      </c>
      <c r="U401" s="40" t="str">
        <f t="shared" si="3"/>
        <v/>
      </c>
      <c r="V401" s="40" t="str">
        <f>IF($U401="","",IF(Config!$B$17=Config!$B$16,IF($U401&gt;=Config!$B$17,100,0),MAX(0,MIN(100,($U401-Config!$B$16)/(Config!$B$17-Config!$B$16)*100))))</f>
        <v/>
      </c>
      <c r="W401" s="40">
        <f>IF($L401="Elite",Config!$B$21,0)</f>
        <v>0</v>
      </c>
      <c r="X401" s="40" t="str">
        <f>IFERROR(IF(OR($T401="",$G401=""),"",IF($T401&gt;$G401,
  MAX(0, 60-(($T401-$G401)*24/Config!$B$19)*60),
  MEDIAN(60, 100, 60+(($G401-$T401)*24/Config!$B$20)*40)
)),"")
</f>
        <v/>
      </c>
      <c r="Y401" s="40" t="str">
        <f>IF($J401="","",IFERROR(VLOOKUP($J401,Grinders!$A:$N,10,FALSE),""))</f>
        <v/>
      </c>
      <c r="Z401" s="40" t="str">
        <f>IF($J401="","",IFERROR(VLOOKUP($J401,Grinders!$A:$N,11,FALSE),""))</f>
        <v/>
      </c>
      <c r="AA401" s="40" t="str">
        <f>IF($J401="","",IFERROR(VLOOKUP($J401,Grinders!$A:$N,12,FALSE),""))</f>
        <v/>
      </c>
      <c r="AB401" s="40" t="str">
        <f>IF(OR(AL401=1,AM401=1),0,=IFERROR(IF(OR($C401="",$J401=""),0,IF($D401&lt;&gt;"Open",0,IF(COUNTIFS(GrinderServices!$A:$A,$J401,GrinderServices!$B:$B,$E401,GrinderServices!$D:$D,"Y")=0,0,IF($U401&lt;Config!$B$16,0,IF(Config!$B$18=1,IF($N401&gt;=$M401,0,1),1))))),""))</f>
        <v>#ERROR!</v>
      </c>
      <c r="AC401" s="40" t="str">
        <f>IFERROR((IF(OR(AL401=1,AM401=1),"",=IFERROR((IFERROR(IF($AB401=0,"",((Config!$B$6*$V401 + Config!$B$7*$R401 + Config!$B$8*$W401 + Config!$B$9*$X401 + Config!$B$10*$Y401 + Config!$B$11*$Z401 - Config!$B$12*$AA401)/Config!$B$13)+$AH401+$AI401),""))*(1-IFERROR(VLOOKUP(J401,Grinders!$A:$AB, 28, FALSE),0)),"")))*(1+AO401),"")</f>
        <v>#ERROR!</v>
      </c>
      <c r="AD401" s="40" t="str">
        <f t="shared" si="4"/>
        <v/>
      </c>
      <c r="AE401" s="40" t="str">
        <f>IFERROR(__xludf.DUMMYFUNCTION("IF($AC401="""","""",IF($AC401=IFERROR(MAX(FILTER($AC$6:$AC$1000,$C$6:$C$1000=$C401,$AB$6:$AB$1000=1)),),""WINNER"",""""))"),"#ERROR!")</f>
        <v>#ERROR!</v>
      </c>
      <c r="AF401" s="40" t="str">
        <f t="shared" si="5"/>
        <v/>
      </c>
      <c r="AG401" s="40" t="str">
        <f>IF($J401="","",COUNTIF(Assignments!$B:$B,$J401))</f>
        <v/>
      </c>
      <c r="AH401" s="40" t="str">
        <f>IF($J401="","",IF(AND($AG401=0,$N401&lt;$M401),Config!$B$43,0))</f>
        <v/>
      </c>
      <c r="AI401" s="40" t="str">
        <f>IF($J401="","",IF(AND($L401="Elite",$F401&gt;=Config!$B$41,$N401&lt;$M401),Config!$B$42,0))</f>
        <v/>
      </c>
      <c r="AJ401" s="22"/>
      <c r="AK401" s="39">
        <f>IFERROR(VLOOKUP(J401,Grinders!$A:$Q,28,FALSE),0)</f>
        <v>0</v>
      </c>
      <c r="AL401" s="39">
        <f>IF(Config!$B$1003&lt;&gt;"Y",0,IF(IFERROR(VLOOKUP(J401,Grinders!$A:$P,27,FALSE),0)&gt;=3,IF(OR(F401&gt;=Config!$B$1001,ISNUMBER(SEARCH(E401,Config!$B$1002))),1,0),0))</f>
        <v>0</v>
      </c>
      <c r="AM401" s="39">
        <f t="array" ref="AM401">IFERROR(IF(INDEX(Bids!$AE:$AE,MATCH(B401,Bids!$A:$A,0))="Pending",1,0),0)</f>
        <v>0</v>
      </c>
      <c r="AN401" s="39" t="str">
        <f t="array" ref="AN401">IF(C401="","",IFERROR(XLOOKUP(C401,Assignments!$C:$C,Assignments!$AU:$AU,0),0))</f>
        <v/>
      </c>
      <c r="AO401" s="39">
        <f>IF(AND(Config!$B$1006="Y",AN401=1),Config!$B$1007,0)</f>
        <v>0</v>
      </c>
    </row>
    <row r="402" ht="15.75" customHeight="1">
      <c r="A402" s="46" t="str">
        <f t="shared" si="1"/>
        <v/>
      </c>
      <c r="B402" s="40" t="str">
        <f>IF(Bids!$A402="","",Bids!$A402)</f>
        <v/>
      </c>
      <c r="C402" s="40" t="str">
        <f>IF(Bids!$B402="","",Bids!$B402)</f>
        <v/>
      </c>
      <c r="D402" s="40" t="str">
        <f>IF($C402="","",IFERROR(VLOOKUP($C402,Orders!$A:$J,9,FALSE),""))</f>
        <v/>
      </c>
      <c r="E402" s="40" t="str">
        <f>IF($C402="","",IFERROR(VLOOKUP($C402,Orders!$A:$J,3,FALSE),""))</f>
        <v/>
      </c>
      <c r="F402" s="40" t="str">
        <f>IF($C402="","",IFERROR(VLOOKUP($C402,Orders!$A:$J,4,FALSE),""))</f>
        <v/>
      </c>
      <c r="G402" s="40" t="str">
        <f>IF($C402="","",IFERROR(VLOOKUP($C402,Orders!$A:$J,5,FALSE),""))</f>
        <v/>
      </c>
      <c r="H402" s="40" t="str">
        <f>IF($C402="","",IFERROR(VLOOKUP($C402,Orders!$A:$J,6,FALSE),""))</f>
        <v/>
      </c>
      <c r="I402" s="40" t="str">
        <f>IF($C402="","",IFERROR(VLOOKUP($C402,Orders!$A:$J,7,FALSE),""))</f>
        <v/>
      </c>
      <c r="J402" s="40" t="str">
        <f>IF(Bids!$C402="","",Bids!$C402)</f>
        <v/>
      </c>
      <c r="K402" s="40" t="str">
        <f>IF($J402="","",IFERROR(VLOOKUP($J402,Grinders!$A:$N,2,FALSE),""))</f>
        <v/>
      </c>
      <c r="L402" s="40" t="str">
        <f>IF($J402="","",IFERROR(VLOOKUP($J402,Grinders!$A:$N,3,FALSE),""))</f>
        <v/>
      </c>
      <c r="M402" s="40" t="str">
        <f>IF($J402="","",IFERROR(VLOOKUP($J402,Grinders!$A:$N,4,FALSE),""))</f>
        <v/>
      </c>
      <c r="N402" s="40" t="str">
        <f>IF($J402="","",IFERROR(VLOOKUP($J402,Grinders!$A:$N,5,FALSE),""))</f>
        <v/>
      </c>
      <c r="O402" s="40" t="str">
        <f t="shared" si="2"/>
        <v/>
      </c>
      <c r="P402" s="40" t="str">
        <f>IF($J402="","",IFERROR(VLOOKUP($J402,Grinders!$A:$N,6,FALSE),""))</f>
        <v/>
      </c>
      <c r="Q402" s="40" t="str">
        <f>IF($J402="","",IFERROR(VLOOKUP($J402,Grinders!$A:$N,8,FALSE),""))</f>
        <v/>
      </c>
      <c r="R402" s="40" t="str">
        <f>IFERROR(IF($J402="","",IF($L402="Elite",MAX(50,MIN(100,Config!$B$27*MAX(0,MIN(100,(1-IF($O402="",0,$O402))*100)) + Config!$B$28*MAX(0,MIN(100,(1-MIN(1,IF(Config!$B$30=0,1,$P402/Config!$B$30)))*100)) + Config!$B$29*MAX(0,MIN(100,MIN(1,IF($Q402="",0,$Q402)/Config!$B$23)*100)))),MIN(100,Config!$B$27*MAX(0,MIN(100,(1-IF($O402="",0,$O402))*100)) + Config!$B$28*MAX(0,MIN(100,(1-MIN(1,IF(Config!$B$30=0,1,$P402/Config!$B$30)))*100)) + Config!$B$29*MAX(0,MIN(100,MIN(1,IF($Q402="",0,$Q402)/Config!$B$23)*100))))),"")
</f>
        <v/>
      </c>
      <c r="S402" s="40" t="str">
        <f>IF(Bids!$AC402="","",Bids!$AC402)</f>
        <v/>
      </c>
      <c r="T402" s="40" t="str">
        <f>IF(Bids!$F402="","",Bids!$F402)</f>
        <v/>
      </c>
      <c r="U402" s="40" t="str">
        <f t="shared" si="3"/>
        <v/>
      </c>
      <c r="V402" s="40" t="str">
        <f>IF($U402="","",IF(Config!$B$17=Config!$B$16,IF($U402&gt;=Config!$B$17,100,0),MAX(0,MIN(100,($U402-Config!$B$16)/(Config!$B$17-Config!$B$16)*100))))</f>
        <v/>
      </c>
      <c r="W402" s="40">
        <f>IF($L402="Elite",Config!$B$21,0)</f>
        <v>0</v>
      </c>
      <c r="X402" s="40" t="str">
        <f>IFERROR(IF(OR($T402="",$G402=""),"",IF($T402&gt;$G402,
  MAX(0, 60-(($T402-$G402)*24/Config!$B$19)*60),
  MEDIAN(60, 100, 60+(($G402-$T402)*24/Config!$B$20)*40)
)),"")
</f>
        <v/>
      </c>
      <c r="Y402" s="40" t="str">
        <f>IF($J402="","",IFERROR(VLOOKUP($J402,Grinders!$A:$N,10,FALSE),""))</f>
        <v/>
      </c>
      <c r="Z402" s="40" t="str">
        <f>IF($J402="","",IFERROR(VLOOKUP($J402,Grinders!$A:$N,11,FALSE),""))</f>
        <v/>
      </c>
      <c r="AA402" s="40" t="str">
        <f>IF($J402="","",IFERROR(VLOOKUP($J402,Grinders!$A:$N,12,FALSE),""))</f>
        <v/>
      </c>
      <c r="AB402" s="40" t="str">
        <f>IF(OR(AL402=1,AM402=1),0,=IFERROR(IF(OR($C402="",$J402=""),0,IF($D402&lt;&gt;"Open",0,IF(COUNTIFS(GrinderServices!$A:$A,$J402,GrinderServices!$B:$B,$E402,GrinderServices!$D:$D,"Y")=0,0,IF($U402&lt;Config!$B$16,0,IF(Config!$B$18=1,IF($N402&gt;=$M402,0,1),1))))),""))</f>
        <v>#ERROR!</v>
      </c>
      <c r="AC402" s="40" t="str">
        <f>IFERROR((IF(OR(AL402=1,AM402=1),"",=IFERROR((IFERROR(IF($AB402=0,"",((Config!$B$6*$V402 + Config!$B$7*$R402 + Config!$B$8*$W402 + Config!$B$9*$X402 + Config!$B$10*$Y402 + Config!$B$11*$Z402 - Config!$B$12*$AA402)/Config!$B$13)+$AH402+$AI402),""))*(1-IFERROR(VLOOKUP(J402,Grinders!$A:$AB, 28, FALSE),0)),"")))*(1+AO402),"")</f>
        <v>#ERROR!</v>
      </c>
      <c r="AD402" s="40" t="str">
        <f t="shared" si="4"/>
        <v/>
      </c>
      <c r="AE402" s="40" t="str">
        <f>IFERROR(__xludf.DUMMYFUNCTION("IF($AC402="""","""",IF($AC402=IFERROR(MAX(FILTER($AC$6:$AC$1000,$C$6:$C$1000=$C402,$AB$6:$AB$1000=1)),),""WINNER"",""""))"),"#ERROR!")</f>
        <v>#ERROR!</v>
      </c>
      <c r="AF402" s="40" t="str">
        <f t="shared" si="5"/>
        <v/>
      </c>
      <c r="AG402" s="40" t="str">
        <f>IF($J402="","",COUNTIF(Assignments!$B:$B,$J402))</f>
        <v/>
      </c>
      <c r="AH402" s="40" t="str">
        <f>IF($J402="","",IF(AND($AG402=0,$N402&lt;$M402),Config!$B$43,0))</f>
        <v/>
      </c>
      <c r="AI402" s="40" t="str">
        <f>IF($J402="","",IF(AND($L402="Elite",$F402&gt;=Config!$B$41,$N402&lt;$M402),Config!$B$42,0))</f>
        <v/>
      </c>
      <c r="AJ402" s="22"/>
      <c r="AK402" s="39">
        <f>IFERROR(VLOOKUP(J402,Grinders!$A:$Q,28,FALSE),0)</f>
        <v>0</v>
      </c>
      <c r="AL402" s="39">
        <f>IF(Config!$B$1003&lt;&gt;"Y",0,IF(IFERROR(VLOOKUP(J402,Grinders!$A:$P,27,FALSE),0)&gt;=3,IF(OR(F402&gt;=Config!$B$1001,ISNUMBER(SEARCH(E402,Config!$B$1002))),1,0),0))</f>
        <v>0</v>
      </c>
      <c r="AM402" s="39">
        <f t="array" ref="AM402">IFERROR(IF(INDEX(Bids!$AE:$AE,MATCH(B402,Bids!$A:$A,0))="Pending",1,0),0)</f>
        <v>0</v>
      </c>
      <c r="AN402" s="39" t="str">
        <f t="array" ref="AN402">IF(C402="","",IFERROR(XLOOKUP(C402,Assignments!$C:$C,Assignments!$AU:$AU,0),0))</f>
        <v/>
      </c>
      <c r="AO402" s="39">
        <f>IF(AND(Config!$B$1006="Y",AN402=1),Config!$B$1007,0)</f>
        <v>0</v>
      </c>
    </row>
    <row r="403" ht="15.75" customHeight="1">
      <c r="A403" s="46" t="str">
        <f t="shared" si="1"/>
        <v/>
      </c>
      <c r="B403" s="40" t="str">
        <f>IF(Bids!$A403="","",Bids!$A403)</f>
        <v/>
      </c>
      <c r="C403" s="40" t="str">
        <f>IF(Bids!$B403="","",Bids!$B403)</f>
        <v/>
      </c>
      <c r="D403" s="40" t="str">
        <f>IF($C403="","",IFERROR(VLOOKUP($C403,Orders!$A:$J,9,FALSE),""))</f>
        <v/>
      </c>
      <c r="E403" s="40" t="str">
        <f>IF($C403="","",IFERROR(VLOOKUP($C403,Orders!$A:$J,3,FALSE),""))</f>
        <v/>
      </c>
      <c r="F403" s="40" t="str">
        <f>IF($C403="","",IFERROR(VLOOKUP($C403,Orders!$A:$J,4,FALSE),""))</f>
        <v/>
      </c>
      <c r="G403" s="40" t="str">
        <f>IF($C403="","",IFERROR(VLOOKUP($C403,Orders!$A:$J,5,FALSE),""))</f>
        <v/>
      </c>
      <c r="H403" s="40" t="str">
        <f>IF($C403="","",IFERROR(VLOOKUP($C403,Orders!$A:$J,6,FALSE),""))</f>
        <v/>
      </c>
      <c r="I403" s="40" t="str">
        <f>IF($C403="","",IFERROR(VLOOKUP($C403,Orders!$A:$J,7,FALSE),""))</f>
        <v/>
      </c>
      <c r="J403" s="40" t="str">
        <f>IF(Bids!$C403="","",Bids!$C403)</f>
        <v/>
      </c>
      <c r="K403" s="40" t="str">
        <f>IF($J403="","",IFERROR(VLOOKUP($J403,Grinders!$A:$N,2,FALSE),""))</f>
        <v/>
      </c>
      <c r="L403" s="40" t="str">
        <f>IF($J403="","",IFERROR(VLOOKUP($J403,Grinders!$A:$N,3,FALSE),""))</f>
        <v/>
      </c>
      <c r="M403" s="40" t="str">
        <f>IF($J403="","",IFERROR(VLOOKUP($J403,Grinders!$A:$N,4,FALSE),""))</f>
        <v/>
      </c>
      <c r="N403" s="40" t="str">
        <f>IF($J403="","",IFERROR(VLOOKUP($J403,Grinders!$A:$N,5,FALSE),""))</f>
        <v/>
      </c>
      <c r="O403" s="40" t="str">
        <f t="shared" si="2"/>
        <v/>
      </c>
      <c r="P403" s="40" t="str">
        <f>IF($J403="","",IFERROR(VLOOKUP($J403,Grinders!$A:$N,6,FALSE),""))</f>
        <v/>
      </c>
      <c r="Q403" s="40" t="str">
        <f>IF($J403="","",IFERROR(VLOOKUP($J403,Grinders!$A:$N,8,FALSE),""))</f>
        <v/>
      </c>
      <c r="R403" s="40" t="str">
        <f>IFERROR(IF($J403="","",IF($L403="Elite",MAX(50,MIN(100,Config!$B$27*MAX(0,MIN(100,(1-IF($O403="",0,$O403))*100)) + Config!$B$28*MAX(0,MIN(100,(1-MIN(1,IF(Config!$B$30=0,1,$P403/Config!$B$30)))*100)) + Config!$B$29*MAX(0,MIN(100,MIN(1,IF($Q403="",0,$Q403)/Config!$B$23)*100)))),MIN(100,Config!$B$27*MAX(0,MIN(100,(1-IF($O403="",0,$O403))*100)) + Config!$B$28*MAX(0,MIN(100,(1-MIN(1,IF(Config!$B$30=0,1,$P403/Config!$B$30)))*100)) + Config!$B$29*MAX(0,MIN(100,MIN(1,IF($Q403="",0,$Q403)/Config!$B$23)*100))))),"")
</f>
        <v/>
      </c>
      <c r="S403" s="40" t="str">
        <f>IF(Bids!$AC403="","",Bids!$AC403)</f>
        <v/>
      </c>
      <c r="T403" s="40" t="str">
        <f>IF(Bids!$F403="","",Bids!$F403)</f>
        <v/>
      </c>
      <c r="U403" s="40" t="str">
        <f t="shared" si="3"/>
        <v/>
      </c>
      <c r="V403" s="40" t="str">
        <f>IF($U403="","",IF(Config!$B$17=Config!$B$16,IF($U403&gt;=Config!$B$17,100,0),MAX(0,MIN(100,($U403-Config!$B$16)/(Config!$B$17-Config!$B$16)*100))))</f>
        <v/>
      </c>
      <c r="W403" s="40">
        <f>IF($L403="Elite",Config!$B$21,0)</f>
        <v>0</v>
      </c>
      <c r="X403" s="40" t="str">
        <f>IFERROR(IF(OR($T403="",$G403=""),"",IF($T403&gt;$G403,
  MAX(0, 60-(($T403-$G403)*24/Config!$B$19)*60),
  MEDIAN(60, 100, 60+(($G403-$T403)*24/Config!$B$20)*40)
)),"")
</f>
        <v/>
      </c>
      <c r="Y403" s="40" t="str">
        <f>IF($J403="","",IFERROR(VLOOKUP($J403,Grinders!$A:$N,10,FALSE),""))</f>
        <v/>
      </c>
      <c r="Z403" s="40" t="str">
        <f>IF($J403="","",IFERROR(VLOOKUP($J403,Grinders!$A:$N,11,FALSE),""))</f>
        <v/>
      </c>
      <c r="AA403" s="40" t="str">
        <f>IF($J403="","",IFERROR(VLOOKUP($J403,Grinders!$A:$N,12,FALSE),""))</f>
        <v/>
      </c>
      <c r="AB403" s="40" t="str">
        <f>IF(OR(AL403=1,AM403=1),0,=IFERROR(IF(OR($C403="",$J403=""),0,IF($D403&lt;&gt;"Open",0,IF(COUNTIFS(GrinderServices!$A:$A,$J403,GrinderServices!$B:$B,$E403,GrinderServices!$D:$D,"Y")=0,0,IF($U403&lt;Config!$B$16,0,IF(Config!$B$18=1,IF($N403&gt;=$M403,0,1),1))))),""))</f>
        <v>#ERROR!</v>
      </c>
      <c r="AC403" s="40" t="str">
        <f>IFERROR((IF(OR(AL403=1,AM403=1),"",=IFERROR((IFERROR(IF($AB403=0,"",((Config!$B$6*$V403 + Config!$B$7*$R403 + Config!$B$8*$W403 + Config!$B$9*$X403 + Config!$B$10*$Y403 + Config!$B$11*$Z403 - Config!$B$12*$AA403)/Config!$B$13)+$AH403+$AI403),""))*(1-IFERROR(VLOOKUP(J403,Grinders!$A:$AB, 28, FALSE),0)),"")))*(1+AO403),"")</f>
        <v>#ERROR!</v>
      </c>
      <c r="AD403" s="40" t="str">
        <f t="shared" si="4"/>
        <v/>
      </c>
      <c r="AE403" s="40" t="str">
        <f>IFERROR(__xludf.DUMMYFUNCTION("IF($AC403="""","""",IF($AC403=IFERROR(MAX(FILTER($AC$6:$AC$1000,$C$6:$C$1000=$C403,$AB$6:$AB$1000=1)),),""WINNER"",""""))"),"#ERROR!")</f>
        <v>#ERROR!</v>
      </c>
      <c r="AF403" s="40" t="str">
        <f t="shared" si="5"/>
        <v/>
      </c>
      <c r="AG403" s="40" t="str">
        <f>IF($J403="","",COUNTIF(Assignments!$B:$B,$J403))</f>
        <v/>
      </c>
      <c r="AH403" s="40" t="str">
        <f>IF($J403="","",IF(AND($AG403=0,$N403&lt;$M403),Config!$B$43,0))</f>
        <v/>
      </c>
      <c r="AI403" s="40" t="str">
        <f>IF($J403="","",IF(AND($L403="Elite",$F403&gt;=Config!$B$41,$N403&lt;$M403),Config!$B$42,0))</f>
        <v/>
      </c>
      <c r="AJ403" s="22"/>
      <c r="AK403" s="39">
        <f>IFERROR(VLOOKUP(J403,Grinders!$A:$Q,28,FALSE),0)</f>
        <v>0</v>
      </c>
      <c r="AL403" s="39">
        <f>IF(Config!$B$1003&lt;&gt;"Y",0,IF(IFERROR(VLOOKUP(J403,Grinders!$A:$P,27,FALSE),0)&gt;=3,IF(OR(F403&gt;=Config!$B$1001,ISNUMBER(SEARCH(E403,Config!$B$1002))),1,0),0))</f>
        <v>0</v>
      </c>
      <c r="AM403" s="39">
        <f t="array" ref="AM403">IFERROR(IF(INDEX(Bids!$AE:$AE,MATCH(B403,Bids!$A:$A,0))="Pending",1,0),0)</f>
        <v>0</v>
      </c>
      <c r="AN403" s="39" t="str">
        <f t="array" ref="AN403">IF(C403="","",IFERROR(XLOOKUP(C403,Assignments!$C:$C,Assignments!$AU:$AU,0),0))</f>
        <v/>
      </c>
      <c r="AO403" s="39">
        <f>IF(AND(Config!$B$1006="Y",AN403=1),Config!$B$1007,0)</f>
        <v>0</v>
      </c>
    </row>
    <row r="404" ht="15.75" customHeight="1">
      <c r="A404" s="46" t="str">
        <f t="shared" si="1"/>
        <v/>
      </c>
      <c r="B404" s="40" t="str">
        <f>IF(Bids!$A404="","",Bids!$A404)</f>
        <v/>
      </c>
      <c r="C404" s="40" t="str">
        <f>IF(Bids!$B404="","",Bids!$B404)</f>
        <v/>
      </c>
      <c r="D404" s="40" t="str">
        <f>IF($C404="","",IFERROR(VLOOKUP($C404,Orders!$A:$J,9,FALSE),""))</f>
        <v/>
      </c>
      <c r="E404" s="40" t="str">
        <f>IF($C404="","",IFERROR(VLOOKUP($C404,Orders!$A:$J,3,FALSE),""))</f>
        <v/>
      </c>
      <c r="F404" s="40" t="str">
        <f>IF($C404="","",IFERROR(VLOOKUP($C404,Orders!$A:$J,4,FALSE),""))</f>
        <v/>
      </c>
      <c r="G404" s="40" t="str">
        <f>IF($C404="","",IFERROR(VLOOKUP($C404,Orders!$A:$J,5,FALSE),""))</f>
        <v/>
      </c>
      <c r="H404" s="40" t="str">
        <f>IF($C404="","",IFERROR(VLOOKUP($C404,Orders!$A:$J,6,FALSE),""))</f>
        <v/>
      </c>
      <c r="I404" s="40" t="str">
        <f>IF($C404="","",IFERROR(VLOOKUP($C404,Orders!$A:$J,7,FALSE),""))</f>
        <v/>
      </c>
      <c r="J404" s="40" t="str">
        <f>IF(Bids!$C404="","",Bids!$C404)</f>
        <v/>
      </c>
      <c r="K404" s="40" t="str">
        <f>IF($J404="","",IFERROR(VLOOKUP($J404,Grinders!$A:$N,2,FALSE),""))</f>
        <v/>
      </c>
      <c r="L404" s="40" t="str">
        <f>IF($J404="","",IFERROR(VLOOKUP($J404,Grinders!$A:$N,3,FALSE),""))</f>
        <v/>
      </c>
      <c r="M404" s="40" t="str">
        <f>IF($J404="","",IFERROR(VLOOKUP($J404,Grinders!$A:$N,4,FALSE),""))</f>
        <v/>
      </c>
      <c r="N404" s="40" t="str">
        <f>IF($J404="","",IFERROR(VLOOKUP($J404,Grinders!$A:$N,5,FALSE),""))</f>
        <v/>
      </c>
      <c r="O404" s="40" t="str">
        <f t="shared" si="2"/>
        <v/>
      </c>
      <c r="P404" s="40" t="str">
        <f>IF($J404="","",IFERROR(VLOOKUP($J404,Grinders!$A:$N,6,FALSE),""))</f>
        <v/>
      </c>
      <c r="Q404" s="40" t="str">
        <f>IF($J404="","",IFERROR(VLOOKUP($J404,Grinders!$A:$N,8,FALSE),""))</f>
        <v/>
      </c>
      <c r="R404" s="40" t="str">
        <f>IFERROR(IF($J404="","",IF($L404="Elite",MAX(50,MIN(100,Config!$B$27*MAX(0,MIN(100,(1-IF($O404="",0,$O404))*100)) + Config!$B$28*MAX(0,MIN(100,(1-MIN(1,IF(Config!$B$30=0,1,$P404/Config!$B$30)))*100)) + Config!$B$29*MAX(0,MIN(100,MIN(1,IF($Q404="",0,$Q404)/Config!$B$23)*100)))),MIN(100,Config!$B$27*MAX(0,MIN(100,(1-IF($O404="",0,$O404))*100)) + Config!$B$28*MAX(0,MIN(100,(1-MIN(1,IF(Config!$B$30=0,1,$P404/Config!$B$30)))*100)) + Config!$B$29*MAX(0,MIN(100,MIN(1,IF($Q404="",0,$Q404)/Config!$B$23)*100))))),"")
</f>
        <v/>
      </c>
      <c r="S404" s="40" t="str">
        <f>IF(Bids!$AC404="","",Bids!$AC404)</f>
        <v/>
      </c>
      <c r="T404" s="40" t="str">
        <f>IF(Bids!$F404="","",Bids!$F404)</f>
        <v/>
      </c>
      <c r="U404" s="40" t="str">
        <f t="shared" si="3"/>
        <v/>
      </c>
      <c r="V404" s="40" t="str">
        <f>IF($U404="","",IF(Config!$B$17=Config!$B$16,IF($U404&gt;=Config!$B$17,100,0),MAX(0,MIN(100,($U404-Config!$B$16)/(Config!$B$17-Config!$B$16)*100))))</f>
        <v/>
      </c>
      <c r="W404" s="40">
        <f>IF($L404="Elite",Config!$B$21,0)</f>
        <v>0</v>
      </c>
      <c r="X404" s="40" t="str">
        <f>IFERROR(IF(OR($T404="",$G404=""),"",IF($T404&gt;$G404,
  MAX(0, 60-(($T404-$G404)*24/Config!$B$19)*60),
  MEDIAN(60, 100, 60+(($G404-$T404)*24/Config!$B$20)*40)
)),"")
</f>
        <v/>
      </c>
      <c r="Y404" s="40" t="str">
        <f>IF($J404="","",IFERROR(VLOOKUP($J404,Grinders!$A:$N,10,FALSE),""))</f>
        <v/>
      </c>
      <c r="Z404" s="40" t="str">
        <f>IF($J404="","",IFERROR(VLOOKUP($J404,Grinders!$A:$N,11,FALSE),""))</f>
        <v/>
      </c>
      <c r="AA404" s="40" t="str">
        <f>IF($J404="","",IFERROR(VLOOKUP($J404,Grinders!$A:$N,12,FALSE),""))</f>
        <v/>
      </c>
      <c r="AB404" s="40" t="str">
        <f>IF(OR(AL404=1,AM404=1),0,=IFERROR(IF(OR($C404="",$J404=""),0,IF($D404&lt;&gt;"Open",0,IF(COUNTIFS(GrinderServices!$A:$A,$J404,GrinderServices!$B:$B,$E404,GrinderServices!$D:$D,"Y")=0,0,IF($U404&lt;Config!$B$16,0,IF(Config!$B$18=1,IF($N404&gt;=$M404,0,1),1))))),""))</f>
        <v>#ERROR!</v>
      </c>
      <c r="AC404" s="40" t="str">
        <f>IFERROR((IF(OR(AL404=1,AM404=1),"",=IFERROR((IFERROR(IF($AB404=0,"",((Config!$B$6*$V404 + Config!$B$7*$R404 + Config!$B$8*$W404 + Config!$B$9*$X404 + Config!$B$10*$Y404 + Config!$B$11*$Z404 - Config!$B$12*$AA404)/Config!$B$13)+$AH404+$AI404),""))*(1-IFERROR(VLOOKUP(J404,Grinders!$A:$AB, 28, FALSE),0)),"")))*(1+AO404),"")</f>
        <v>#ERROR!</v>
      </c>
      <c r="AD404" s="40" t="str">
        <f t="shared" si="4"/>
        <v/>
      </c>
      <c r="AE404" s="40" t="str">
        <f>IFERROR(__xludf.DUMMYFUNCTION("IF($AC404="""","""",IF($AC404=IFERROR(MAX(FILTER($AC$6:$AC$1000,$C$6:$C$1000=$C404,$AB$6:$AB$1000=1)),),""WINNER"",""""))"),"#ERROR!")</f>
        <v>#ERROR!</v>
      </c>
      <c r="AF404" s="40" t="str">
        <f t="shared" si="5"/>
        <v/>
      </c>
      <c r="AG404" s="40" t="str">
        <f>IF($J404="","",COUNTIF(Assignments!$B:$B,$J404))</f>
        <v/>
      </c>
      <c r="AH404" s="40" t="str">
        <f>IF($J404="","",IF(AND($AG404=0,$N404&lt;$M404),Config!$B$43,0))</f>
        <v/>
      </c>
      <c r="AI404" s="40" t="str">
        <f>IF($J404="","",IF(AND($L404="Elite",$F404&gt;=Config!$B$41,$N404&lt;$M404),Config!$B$42,0))</f>
        <v/>
      </c>
      <c r="AJ404" s="22"/>
      <c r="AK404" s="39">
        <f>IFERROR(VLOOKUP(J404,Grinders!$A:$Q,28,FALSE),0)</f>
        <v>0</v>
      </c>
      <c r="AL404" s="39">
        <f>IF(Config!$B$1003&lt;&gt;"Y",0,IF(IFERROR(VLOOKUP(J404,Grinders!$A:$P,27,FALSE),0)&gt;=3,IF(OR(F404&gt;=Config!$B$1001,ISNUMBER(SEARCH(E404,Config!$B$1002))),1,0),0))</f>
        <v>0</v>
      </c>
      <c r="AM404" s="39">
        <f t="array" ref="AM404">IFERROR(IF(INDEX(Bids!$AE:$AE,MATCH(B404,Bids!$A:$A,0))="Pending",1,0),0)</f>
        <v>0</v>
      </c>
      <c r="AN404" s="39" t="str">
        <f t="array" ref="AN404">IF(C404="","",IFERROR(XLOOKUP(C404,Assignments!$C:$C,Assignments!$AU:$AU,0),0))</f>
        <v/>
      </c>
      <c r="AO404" s="39">
        <f>IF(AND(Config!$B$1006="Y",AN404=1),Config!$B$1007,0)</f>
        <v>0</v>
      </c>
    </row>
    <row r="405" ht="15.75" customHeight="1">
      <c r="A405" s="46" t="str">
        <f t="shared" si="1"/>
        <v/>
      </c>
      <c r="B405" s="40" t="str">
        <f>IF(Bids!$A405="","",Bids!$A405)</f>
        <v/>
      </c>
      <c r="C405" s="40" t="str">
        <f>IF(Bids!$B405="","",Bids!$B405)</f>
        <v/>
      </c>
      <c r="D405" s="40" t="str">
        <f>IF($C405="","",IFERROR(VLOOKUP($C405,Orders!$A:$J,9,FALSE),""))</f>
        <v/>
      </c>
      <c r="E405" s="40" t="str">
        <f>IF($C405="","",IFERROR(VLOOKUP($C405,Orders!$A:$J,3,FALSE),""))</f>
        <v/>
      </c>
      <c r="F405" s="40" t="str">
        <f>IF($C405="","",IFERROR(VLOOKUP($C405,Orders!$A:$J,4,FALSE),""))</f>
        <v/>
      </c>
      <c r="G405" s="40" t="str">
        <f>IF($C405="","",IFERROR(VLOOKUP($C405,Orders!$A:$J,5,FALSE),""))</f>
        <v/>
      </c>
      <c r="H405" s="40" t="str">
        <f>IF($C405="","",IFERROR(VLOOKUP($C405,Orders!$A:$J,6,FALSE),""))</f>
        <v/>
      </c>
      <c r="I405" s="40" t="str">
        <f>IF($C405="","",IFERROR(VLOOKUP($C405,Orders!$A:$J,7,FALSE),""))</f>
        <v/>
      </c>
      <c r="J405" s="40" t="str">
        <f>IF(Bids!$C405="","",Bids!$C405)</f>
        <v/>
      </c>
      <c r="K405" s="40" t="str">
        <f>IF($J405="","",IFERROR(VLOOKUP($J405,Grinders!$A:$N,2,FALSE),""))</f>
        <v/>
      </c>
      <c r="L405" s="40" t="str">
        <f>IF($J405="","",IFERROR(VLOOKUP($J405,Grinders!$A:$N,3,FALSE),""))</f>
        <v/>
      </c>
      <c r="M405" s="40" t="str">
        <f>IF($J405="","",IFERROR(VLOOKUP($J405,Grinders!$A:$N,4,FALSE),""))</f>
        <v/>
      </c>
      <c r="N405" s="40" t="str">
        <f>IF($J405="","",IFERROR(VLOOKUP($J405,Grinders!$A:$N,5,FALSE),""))</f>
        <v/>
      </c>
      <c r="O405" s="40" t="str">
        <f t="shared" si="2"/>
        <v/>
      </c>
      <c r="P405" s="40" t="str">
        <f>IF($J405="","",IFERROR(VLOOKUP($J405,Grinders!$A:$N,6,FALSE),""))</f>
        <v/>
      </c>
      <c r="Q405" s="40" t="str">
        <f>IF($J405="","",IFERROR(VLOOKUP($J405,Grinders!$A:$N,8,FALSE),""))</f>
        <v/>
      </c>
      <c r="R405" s="40" t="str">
        <f>IFERROR(IF($J405="","",IF($L405="Elite",MAX(50,MIN(100,Config!$B$27*MAX(0,MIN(100,(1-IF($O405="",0,$O405))*100)) + Config!$B$28*MAX(0,MIN(100,(1-MIN(1,IF(Config!$B$30=0,1,$P405/Config!$B$30)))*100)) + Config!$B$29*MAX(0,MIN(100,MIN(1,IF($Q405="",0,$Q405)/Config!$B$23)*100)))),MIN(100,Config!$B$27*MAX(0,MIN(100,(1-IF($O405="",0,$O405))*100)) + Config!$B$28*MAX(0,MIN(100,(1-MIN(1,IF(Config!$B$30=0,1,$P405/Config!$B$30)))*100)) + Config!$B$29*MAX(0,MIN(100,MIN(1,IF($Q405="",0,$Q405)/Config!$B$23)*100))))),"")
</f>
        <v/>
      </c>
      <c r="S405" s="40" t="str">
        <f>IF(Bids!$AC405="","",Bids!$AC405)</f>
        <v/>
      </c>
      <c r="T405" s="40" t="str">
        <f>IF(Bids!$F405="","",Bids!$F405)</f>
        <v/>
      </c>
      <c r="U405" s="40" t="str">
        <f t="shared" si="3"/>
        <v/>
      </c>
      <c r="V405" s="40" t="str">
        <f>IF($U405="","",IF(Config!$B$17=Config!$B$16,IF($U405&gt;=Config!$B$17,100,0),MAX(0,MIN(100,($U405-Config!$B$16)/(Config!$B$17-Config!$B$16)*100))))</f>
        <v/>
      </c>
      <c r="W405" s="40">
        <f>IF($L405="Elite",Config!$B$21,0)</f>
        <v>0</v>
      </c>
      <c r="X405" s="40" t="str">
        <f>IFERROR(IF(OR($T405="",$G405=""),"",IF($T405&gt;$G405,
  MAX(0, 60-(($T405-$G405)*24/Config!$B$19)*60),
  MEDIAN(60, 100, 60+(($G405-$T405)*24/Config!$B$20)*40)
)),"")
</f>
        <v/>
      </c>
      <c r="Y405" s="40" t="str">
        <f>IF($J405="","",IFERROR(VLOOKUP($J405,Grinders!$A:$N,10,FALSE),""))</f>
        <v/>
      </c>
      <c r="Z405" s="40" t="str">
        <f>IF($J405="","",IFERROR(VLOOKUP($J405,Grinders!$A:$N,11,FALSE),""))</f>
        <v/>
      </c>
      <c r="AA405" s="40" t="str">
        <f>IF($J405="","",IFERROR(VLOOKUP($J405,Grinders!$A:$N,12,FALSE),""))</f>
        <v/>
      </c>
      <c r="AB405" s="40" t="str">
        <f>IF(OR(AL405=1,AM405=1),0,=IFERROR(IF(OR($C405="",$J405=""),0,IF($D405&lt;&gt;"Open",0,IF(COUNTIFS(GrinderServices!$A:$A,$J405,GrinderServices!$B:$B,$E405,GrinderServices!$D:$D,"Y")=0,0,IF($U405&lt;Config!$B$16,0,IF(Config!$B$18=1,IF($N405&gt;=$M405,0,1),1))))),""))</f>
        <v>#ERROR!</v>
      </c>
      <c r="AC405" s="40" t="str">
        <f>IFERROR((IF(OR(AL405=1,AM405=1),"",=IFERROR((IFERROR(IF($AB405=0,"",((Config!$B$6*$V405 + Config!$B$7*$R405 + Config!$B$8*$W405 + Config!$B$9*$X405 + Config!$B$10*$Y405 + Config!$B$11*$Z405 - Config!$B$12*$AA405)/Config!$B$13)+$AH405+$AI405),""))*(1-IFERROR(VLOOKUP(J405,Grinders!$A:$AB, 28, FALSE),0)),"")))*(1+AO405),"")</f>
        <v>#ERROR!</v>
      </c>
      <c r="AD405" s="40" t="str">
        <f t="shared" si="4"/>
        <v/>
      </c>
      <c r="AE405" s="40" t="str">
        <f>IFERROR(__xludf.DUMMYFUNCTION("IF($AC405="""","""",IF($AC405=IFERROR(MAX(FILTER($AC$6:$AC$1000,$C$6:$C$1000=$C405,$AB$6:$AB$1000=1)),),""WINNER"",""""))"),"#ERROR!")</f>
        <v>#ERROR!</v>
      </c>
      <c r="AF405" s="40" t="str">
        <f t="shared" si="5"/>
        <v/>
      </c>
      <c r="AG405" s="40" t="str">
        <f>IF($J405="","",COUNTIF(Assignments!$B:$B,$J405))</f>
        <v/>
      </c>
      <c r="AH405" s="40" t="str">
        <f>IF($J405="","",IF(AND($AG405=0,$N405&lt;$M405),Config!$B$43,0))</f>
        <v/>
      </c>
      <c r="AI405" s="40" t="str">
        <f>IF($J405="","",IF(AND($L405="Elite",$F405&gt;=Config!$B$41,$N405&lt;$M405),Config!$B$42,0))</f>
        <v/>
      </c>
      <c r="AJ405" s="22"/>
      <c r="AK405" s="39">
        <f>IFERROR(VLOOKUP(J405,Grinders!$A:$Q,28,FALSE),0)</f>
        <v>0</v>
      </c>
      <c r="AL405" s="39">
        <f>IF(Config!$B$1003&lt;&gt;"Y",0,IF(IFERROR(VLOOKUP(J405,Grinders!$A:$P,27,FALSE),0)&gt;=3,IF(OR(F405&gt;=Config!$B$1001,ISNUMBER(SEARCH(E405,Config!$B$1002))),1,0),0))</f>
        <v>0</v>
      </c>
      <c r="AM405" s="39">
        <f t="array" ref="AM405">IFERROR(IF(INDEX(Bids!$AE:$AE,MATCH(B405,Bids!$A:$A,0))="Pending",1,0),0)</f>
        <v>0</v>
      </c>
      <c r="AN405" s="39" t="str">
        <f t="array" ref="AN405">IF(C405="","",IFERROR(XLOOKUP(C405,Assignments!$C:$C,Assignments!$AU:$AU,0),0))</f>
        <v/>
      </c>
      <c r="AO405" s="39">
        <f>IF(AND(Config!$B$1006="Y",AN405=1),Config!$B$1007,0)</f>
        <v>0</v>
      </c>
    </row>
    <row r="406" ht="15.75" customHeight="1">
      <c r="A406" s="46" t="str">
        <f t="shared" si="1"/>
        <v/>
      </c>
      <c r="B406" s="40" t="str">
        <f>IF(Bids!$A406="","",Bids!$A406)</f>
        <v/>
      </c>
      <c r="C406" s="40" t="str">
        <f>IF(Bids!$B406="","",Bids!$B406)</f>
        <v/>
      </c>
      <c r="D406" s="40" t="str">
        <f>IF($C406="","",IFERROR(VLOOKUP($C406,Orders!$A:$J,9,FALSE),""))</f>
        <v/>
      </c>
      <c r="E406" s="40" t="str">
        <f>IF($C406="","",IFERROR(VLOOKUP($C406,Orders!$A:$J,3,FALSE),""))</f>
        <v/>
      </c>
      <c r="F406" s="40" t="str">
        <f>IF($C406="","",IFERROR(VLOOKUP($C406,Orders!$A:$J,4,FALSE),""))</f>
        <v/>
      </c>
      <c r="G406" s="40" t="str">
        <f>IF($C406="","",IFERROR(VLOOKUP($C406,Orders!$A:$J,5,FALSE),""))</f>
        <v/>
      </c>
      <c r="H406" s="40" t="str">
        <f>IF($C406="","",IFERROR(VLOOKUP($C406,Orders!$A:$J,6,FALSE),""))</f>
        <v/>
      </c>
      <c r="I406" s="40" t="str">
        <f>IF($C406="","",IFERROR(VLOOKUP($C406,Orders!$A:$J,7,FALSE),""))</f>
        <v/>
      </c>
      <c r="J406" s="40" t="str">
        <f>IF(Bids!$C406="","",Bids!$C406)</f>
        <v/>
      </c>
      <c r="K406" s="40" t="str">
        <f>IF($J406="","",IFERROR(VLOOKUP($J406,Grinders!$A:$N,2,FALSE),""))</f>
        <v/>
      </c>
      <c r="L406" s="40" t="str">
        <f>IF($J406="","",IFERROR(VLOOKUP($J406,Grinders!$A:$N,3,FALSE),""))</f>
        <v/>
      </c>
      <c r="M406" s="40" t="str">
        <f>IF($J406="","",IFERROR(VLOOKUP($J406,Grinders!$A:$N,4,FALSE),""))</f>
        <v/>
      </c>
      <c r="N406" s="40" t="str">
        <f>IF($J406="","",IFERROR(VLOOKUP($J406,Grinders!$A:$N,5,FALSE),""))</f>
        <v/>
      </c>
      <c r="O406" s="40" t="str">
        <f t="shared" si="2"/>
        <v/>
      </c>
      <c r="P406" s="40" t="str">
        <f>IF($J406="","",IFERROR(VLOOKUP($J406,Grinders!$A:$N,6,FALSE),""))</f>
        <v/>
      </c>
      <c r="Q406" s="40" t="str">
        <f>IF($J406="","",IFERROR(VLOOKUP($J406,Grinders!$A:$N,8,FALSE),""))</f>
        <v/>
      </c>
      <c r="R406" s="40" t="str">
        <f>IFERROR(IF($J406="","",IF($L406="Elite",MAX(50,MIN(100,Config!$B$27*MAX(0,MIN(100,(1-IF($O406="",0,$O406))*100)) + Config!$B$28*MAX(0,MIN(100,(1-MIN(1,IF(Config!$B$30=0,1,$P406/Config!$B$30)))*100)) + Config!$B$29*MAX(0,MIN(100,MIN(1,IF($Q406="",0,$Q406)/Config!$B$23)*100)))),MIN(100,Config!$B$27*MAX(0,MIN(100,(1-IF($O406="",0,$O406))*100)) + Config!$B$28*MAX(0,MIN(100,(1-MIN(1,IF(Config!$B$30=0,1,$P406/Config!$B$30)))*100)) + Config!$B$29*MAX(0,MIN(100,MIN(1,IF($Q406="",0,$Q406)/Config!$B$23)*100))))),"")
</f>
        <v/>
      </c>
      <c r="S406" s="40" t="str">
        <f>IF(Bids!$AC406="","",Bids!$AC406)</f>
        <v/>
      </c>
      <c r="T406" s="40" t="str">
        <f>IF(Bids!$F406="","",Bids!$F406)</f>
        <v/>
      </c>
      <c r="U406" s="40" t="str">
        <f t="shared" si="3"/>
        <v/>
      </c>
      <c r="V406" s="40" t="str">
        <f>IF($U406="","",IF(Config!$B$17=Config!$B$16,IF($U406&gt;=Config!$B$17,100,0),MAX(0,MIN(100,($U406-Config!$B$16)/(Config!$B$17-Config!$B$16)*100))))</f>
        <v/>
      </c>
      <c r="W406" s="40">
        <f>IF($L406="Elite",Config!$B$21,0)</f>
        <v>0</v>
      </c>
      <c r="X406" s="40" t="str">
        <f>IFERROR(IF(OR($T406="",$G406=""),"",IF($T406&gt;$G406,
  MAX(0, 60-(($T406-$G406)*24/Config!$B$19)*60),
  MEDIAN(60, 100, 60+(($G406-$T406)*24/Config!$B$20)*40)
)),"")
</f>
        <v/>
      </c>
      <c r="Y406" s="40" t="str">
        <f>IF($J406="","",IFERROR(VLOOKUP($J406,Grinders!$A:$N,10,FALSE),""))</f>
        <v/>
      </c>
      <c r="Z406" s="40" t="str">
        <f>IF($J406="","",IFERROR(VLOOKUP($J406,Grinders!$A:$N,11,FALSE),""))</f>
        <v/>
      </c>
      <c r="AA406" s="40" t="str">
        <f>IF($J406="","",IFERROR(VLOOKUP($J406,Grinders!$A:$N,12,FALSE),""))</f>
        <v/>
      </c>
      <c r="AB406" s="40" t="str">
        <f>IF(OR(AL406=1,AM406=1),0,=IFERROR(IF(OR($C406="",$J406=""),0,IF($D406&lt;&gt;"Open",0,IF(COUNTIFS(GrinderServices!$A:$A,$J406,GrinderServices!$B:$B,$E406,GrinderServices!$D:$D,"Y")=0,0,IF($U406&lt;Config!$B$16,0,IF(Config!$B$18=1,IF($N406&gt;=$M406,0,1),1))))),""))</f>
        <v>#ERROR!</v>
      </c>
      <c r="AC406" s="40" t="str">
        <f>IFERROR((IF(OR(AL406=1,AM406=1),"",=IFERROR((IFERROR(IF($AB406=0,"",((Config!$B$6*$V406 + Config!$B$7*$R406 + Config!$B$8*$W406 + Config!$B$9*$X406 + Config!$B$10*$Y406 + Config!$B$11*$Z406 - Config!$B$12*$AA406)/Config!$B$13)+$AH406+$AI406),""))*(1-IFERROR(VLOOKUP(J406,Grinders!$A:$AB, 28, FALSE),0)),"")))*(1+AO406),"")</f>
        <v>#ERROR!</v>
      </c>
      <c r="AD406" s="40" t="str">
        <f t="shared" si="4"/>
        <v/>
      </c>
      <c r="AE406" s="40" t="str">
        <f>IFERROR(__xludf.DUMMYFUNCTION("IF($AC406="""","""",IF($AC406=IFERROR(MAX(FILTER($AC$6:$AC$1000,$C$6:$C$1000=$C406,$AB$6:$AB$1000=1)),),""WINNER"",""""))"),"#ERROR!")</f>
        <v>#ERROR!</v>
      </c>
      <c r="AF406" s="40" t="str">
        <f t="shared" si="5"/>
        <v/>
      </c>
      <c r="AG406" s="40" t="str">
        <f>IF($J406="","",COUNTIF(Assignments!$B:$B,$J406))</f>
        <v/>
      </c>
      <c r="AH406" s="40" t="str">
        <f>IF($J406="","",IF(AND($AG406=0,$N406&lt;$M406),Config!$B$43,0))</f>
        <v/>
      </c>
      <c r="AI406" s="40" t="str">
        <f>IF($J406="","",IF(AND($L406="Elite",$F406&gt;=Config!$B$41,$N406&lt;$M406),Config!$B$42,0))</f>
        <v/>
      </c>
      <c r="AJ406" s="22"/>
      <c r="AK406" s="39">
        <f>IFERROR(VLOOKUP(J406,Grinders!$A:$Q,28,FALSE),0)</f>
        <v>0</v>
      </c>
      <c r="AL406" s="39">
        <f>IF(Config!$B$1003&lt;&gt;"Y",0,IF(IFERROR(VLOOKUP(J406,Grinders!$A:$P,27,FALSE),0)&gt;=3,IF(OR(F406&gt;=Config!$B$1001,ISNUMBER(SEARCH(E406,Config!$B$1002))),1,0),0))</f>
        <v>0</v>
      </c>
      <c r="AM406" s="39">
        <f t="array" ref="AM406">IFERROR(IF(INDEX(Bids!$AE:$AE,MATCH(B406,Bids!$A:$A,0))="Pending",1,0),0)</f>
        <v>0</v>
      </c>
      <c r="AN406" s="39" t="str">
        <f t="array" ref="AN406">IF(C406="","",IFERROR(XLOOKUP(C406,Assignments!$C:$C,Assignments!$AU:$AU,0),0))</f>
        <v/>
      </c>
      <c r="AO406" s="39">
        <f>IF(AND(Config!$B$1006="Y",AN406=1),Config!$B$1007,0)</f>
        <v>0</v>
      </c>
    </row>
    <row r="407" ht="15.75" customHeight="1">
      <c r="A407" s="46" t="str">
        <f t="shared" si="1"/>
        <v/>
      </c>
      <c r="B407" s="40" t="str">
        <f>IF(Bids!$A407="","",Bids!$A407)</f>
        <v/>
      </c>
      <c r="C407" s="40" t="str">
        <f>IF(Bids!$B407="","",Bids!$B407)</f>
        <v/>
      </c>
      <c r="D407" s="40" t="str">
        <f>IF($C407="","",IFERROR(VLOOKUP($C407,Orders!$A:$J,9,FALSE),""))</f>
        <v/>
      </c>
      <c r="E407" s="40" t="str">
        <f>IF($C407="","",IFERROR(VLOOKUP($C407,Orders!$A:$J,3,FALSE),""))</f>
        <v/>
      </c>
      <c r="F407" s="40" t="str">
        <f>IF($C407="","",IFERROR(VLOOKUP($C407,Orders!$A:$J,4,FALSE),""))</f>
        <v/>
      </c>
      <c r="G407" s="40" t="str">
        <f>IF($C407="","",IFERROR(VLOOKUP($C407,Orders!$A:$J,5,FALSE),""))</f>
        <v/>
      </c>
      <c r="H407" s="40" t="str">
        <f>IF($C407="","",IFERROR(VLOOKUP($C407,Orders!$A:$J,6,FALSE),""))</f>
        <v/>
      </c>
      <c r="I407" s="40" t="str">
        <f>IF($C407="","",IFERROR(VLOOKUP($C407,Orders!$A:$J,7,FALSE),""))</f>
        <v/>
      </c>
      <c r="J407" s="40" t="str">
        <f>IF(Bids!$C407="","",Bids!$C407)</f>
        <v/>
      </c>
      <c r="K407" s="40" t="str">
        <f>IF($J407="","",IFERROR(VLOOKUP($J407,Grinders!$A:$N,2,FALSE),""))</f>
        <v/>
      </c>
      <c r="L407" s="40" t="str">
        <f>IF($J407="","",IFERROR(VLOOKUP($J407,Grinders!$A:$N,3,FALSE),""))</f>
        <v/>
      </c>
      <c r="M407" s="40" t="str">
        <f>IF($J407="","",IFERROR(VLOOKUP($J407,Grinders!$A:$N,4,FALSE),""))</f>
        <v/>
      </c>
      <c r="N407" s="40" t="str">
        <f>IF($J407="","",IFERROR(VLOOKUP($J407,Grinders!$A:$N,5,FALSE),""))</f>
        <v/>
      </c>
      <c r="O407" s="40" t="str">
        <f t="shared" si="2"/>
        <v/>
      </c>
      <c r="P407" s="40" t="str">
        <f>IF($J407="","",IFERROR(VLOOKUP($J407,Grinders!$A:$N,6,FALSE),""))</f>
        <v/>
      </c>
      <c r="Q407" s="40" t="str">
        <f>IF($J407="","",IFERROR(VLOOKUP($J407,Grinders!$A:$N,8,FALSE),""))</f>
        <v/>
      </c>
      <c r="R407" s="40" t="str">
        <f>IFERROR(IF($J407="","",IF($L407="Elite",MAX(50,MIN(100,Config!$B$27*MAX(0,MIN(100,(1-IF($O407="",0,$O407))*100)) + Config!$B$28*MAX(0,MIN(100,(1-MIN(1,IF(Config!$B$30=0,1,$P407/Config!$B$30)))*100)) + Config!$B$29*MAX(0,MIN(100,MIN(1,IF($Q407="",0,$Q407)/Config!$B$23)*100)))),MIN(100,Config!$B$27*MAX(0,MIN(100,(1-IF($O407="",0,$O407))*100)) + Config!$B$28*MAX(0,MIN(100,(1-MIN(1,IF(Config!$B$30=0,1,$P407/Config!$B$30)))*100)) + Config!$B$29*MAX(0,MIN(100,MIN(1,IF($Q407="",0,$Q407)/Config!$B$23)*100))))),"")
</f>
        <v/>
      </c>
      <c r="S407" s="40" t="str">
        <f>IF(Bids!$AC407="","",Bids!$AC407)</f>
        <v/>
      </c>
      <c r="T407" s="40" t="str">
        <f>IF(Bids!$F407="","",Bids!$F407)</f>
        <v/>
      </c>
      <c r="U407" s="40" t="str">
        <f t="shared" si="3"/>
        <v/>
      </c>
      <c r="V407" s="40" t="str">
        <f>IF($U407="","",IF(Config!$B$17=Config!$B$16,IF($U407&gt;=Config!$B$17,100,0),MAX(0,MIN(100,($U407-Config!$B$16)/(Config!$B$17-Config!$B$16)*100))))</f>
        <v/>
      </c>
      <c r="W407" s="40">
        <f>IF($L407="Elite",Config!$B$21,0)</f>
        <v>0</v>
      </c>
      <c r="X407" s="40" t="str">
        <f>IFERROR(IF(OR($T407="",$G407=""),"",IF($T407&gt;$G407,
  MAX(0, 60-(($T407-$G407)*24/Config!$B$19)*60),
  MEDIAN(60, 100, 60+(($G407-$T407)*24/Config!$B$20)*40)
)),"")
</f>
        <v/>
      </c>
      <c r="Y407" s="40" t="str">
        <f>IF($J407="","",IFERROR(VLOOKUP($J407,Grinders!$A:$N,10,FALSE),""))</f>
        <v/>
      </c>
      <c r="Z407" s="40" t="str">
        <f>IF($J407="","",IFERROR(VLOOKUP($J407,Grinders!$A:$N,11,FALSE),""))</f>
        <v/>
      </c>
      <c r="AA407" s="40" t="str">
        <f>IF($J407="","",IFERROR(VLOOKUP($J407,Grinders!$A:$N,12,FALSE),""))</f>
        <v/>
      </c>
      <c r="AB407" s="40" t="str">
        <f>IF(OR(AL407=1,AM407=1),0,=IFERROR(IF(OR($C407="",$J407=""),0,IF($D407&lt;&gt;"Open",0,IF(COUNTIFS(GrinderServices!$A:$A,$J407,GrinderServices!$B:$B,$E407,GrinderServices!$D:$D,"Y")=0,0,IF($U407&lt;Config!$B$16,0,IF(Config!$B$18=1,IF($N407&gt;=$M407,0,1),1))))),""))</f>
        <v>#ERROR!</v>
      </c>
      <c r="AC407" s="40" t="str">
        <f>IFERROR((IF(OR(AL407=1,AM407=1),"",=IFERROR((IFERROR(IF($AB407=0,"",((Config!$B$6*$V407 + Config!$B$7*$R407 + Config!$B$8*$W407 + Config!$B$9*$X407 + Config!$B$10*$Y407 + Config!$B$11*$Z407 - Config!$B$12*$AA407)/Config!$B$13)+$AH407+$AI407),""))*(1-IFERROR(VLOOKUP(J407,Grinders!$A:$AB, 28, FALSE),0)),"")))*(1+AO407),"")</f>
        <v>#ERROR!</v>
      </c>
      <c r="AD407" s="40" t="str">
        <f t="shared" si="4"/>
        <v/>
      </c>
      <c r="AE407" s="40" t="str">
        <f>IFERROR(__xludf.DUMMYFUNCTION("IF($AC407="""","""",IF($AC407=IFERROR(MAX(FILTER($AC$6:$AC$1000,$C$6:$C$1000=$C407,$AB$6:$AB$1000=1)),),""WINNER"",""""))"),"#ERROR!")</f>
        <v>#ERROR!</v>
      </c>
      <c r="AF407" s="40" t="str">
        <f t="shared" si="5"/>
        <v/>
      </c>
      <c r="AG407" s="40" t="str">
        <f>IF($J407="","",COUNTIF(Assignments!$B:$B,$J407))</f>
        <v/>
      </c>
      <c r="AH407" s="40" t="str">
        <f>IF($J407="","",IF(AND($AG407=0,$N407&lt;$M407),Config!$B$43,0))</f>
        <v/>
      </c>
      <c r="AI407" s="40" t="str">
        <f>IF($J407="","",IF(AND($L407="Elite",$F407&gt;=Config!$B$41,$N407&lt;$M407),Config!$B$42,0))</f>
        <v/>
      </c>
      <c r="AJ407" s="22"/>
      <c r="AK407" s="39">
        <f>IFERROR(VLOOKUP(J407,Grinders!$A:$Q,28,FALSE),0)</f>
        <v>0</v>
      </c>
      <c r="AL407" s="39">
        <f>IF(Config!$B$1003&lt;&gt;"Y",0,IF(IFERROR(VLOOKUP(J407,Grinders!$A:$P,27,FALSE),0)&gt;=3,IF(OR(F407&gt;=Config!$B$1001,ISNUMBER(SEARCH(E407,Config!$B$1002))),1,0),0))</f>
        <v>0</v>
      </c>
      <c r="AM407" s="39">
        <f t="array" ref="AM407">IFERROR(IF(INDEX(Bids!$AE:$AE,MATCH(B407,Bids!$A:$A,0))="Pending",1,0),0)</f>
        <v>0</v>
      </c>
      <c r="AN407" s="39" t="str">
        <f t="array" ref="AN407">IF(C407="","",IFERROR(XLOOKUP(C407,Assignments!$C:$C,Assignments!$AU:$AU,0),0))</f>
        <v/>
      </c>
      <c r="AO407" s="39">
        <f>IF(AND(Config!$B$1006="Y",AN407=1),Config!$B$1007,0)</f>
        <v>0</v>
      </c>
    </row>
    <row r="408" ht="15.75" customHeight="1">
      <c r="A408" s="46" t="str">
        <f t="shared" si="1"/>
        <v/>
      </c>
      <c r="B408" s="40" t="str">
        <f>IF(Bids!$A408="","",Bids!$A408)</f>
        <v/>
      </c>
      <c r="C408" s="40" t="str">
        <f>IF(Bids!$B408="","",Bids!$B408)</f>
        <v/>
      </c>
      <c r="D408" s="40" t="str">
        <f>IF($C408="","",IFERROR(VLOOKUP($C408,Orders!$A:$J,9,FALSE),""))</f>
        <v/>
      </c>
      <c r="E408" s="40" t="str">
        <f>IF($C408="","",IFERROR(VLOOKUP($C408,Orders!$A:$J,3,FALSE),""))</f>
        <v/>
      </c>
      <c r="F408" s="40" t="str">
        <f>IF($C408="","",IFERROR(VLOOKUP($C408,Orders!$A:$J,4,FALSE),""))</f>
        <v/>
      </c>
      <c r="G408" s="40" t="str">
        <f>IF($C408="","",IFERROR(VLOOKUP($C408,Orders!$A:$J,5,FALSE),""))</f>
        <v/>
      </c>
      <c r="H408" s="40" t="str">
        <f>IF($C408="","",IFERROR(VLOOKUP($C408,Orders!$A:$J,6,FALSE),""))</f>
        <v/>
      </c>
      <c r="I408" s="40" t="str">
        <f>IF($C408="","",IFERROR(VLOOKUP($C408,Orders!$A:$J,7,FALSE),""))</f>
        <v/>
      </c>
      <c r="J408" s="40" t="str">
        <f>IF(Bids!$C408="","",Bids!$C408)</f>
        <v/>
      </c>
      <c r="K408" s="40" t="str">
        <f>IF($J408="","",IFERROR(VLOOKUP($J408,Grinders!$A:$N,2,FALSE),""))</f>
        <v/>
      </c>
      <c r="L408" s="40" t="str">
        <f>IF($J408="","",IFERROR(VLOOKUP($J408,Grinders!$A:$N,3,FALSE),""))</f>
        <v/>
      </c>
      <c r="M408" s="40" t="str">
        <f>IF($J408="","",IFERROR(VLOOKUP($J408,Grinders!$A:$N,4,FALSE),""))</f>
        <v/>
      </c>
      <c r="N408" s="40" t="str">
        <f>IF($J408="","",IFERROR(VLOOKUP($J408,Grinders!$A:$N,5,FALSE),""))</f>
        <v/>
      </c>
      <c r="O408" s="40" t="str">
        <f t="shared" si="2"/>
        <v/>
      </c>
      <c r="P408" s="40" t="str">
        <f>IF($J408="","",IFERROR(VLOOKUP($J408,Grinders!$A:$N,6,FALSE),""))</f>
        <v/>
      </c>
      <c r="Q408" s="40" t="str">
        <f>IF($J408="","",IFERROR(VLOOKUP($J408,Grinders!$A:$N,8,FALSE),""))</f>
        <v/>
      </c>
      <c r="R408" s="40" t="str">
        <f>IFERROR(IF($J408="","",IF($L408="Elite",MAX(50,MIN(100,Config!$B$27*MAX(0,MIN(100,(1-IF($O408="",0,$O408))*100)) + Config!$B$28*MAX(0,MIN(100,(1-MIN(1,IF(Config!$B$30=0,1,$P408/Config!$B$30)))*100)) + Config!$B$29*MAX(0,MIN(100,MIN(1,IF($Q408="",0,$Q408)/Config!$B$23)*100)))),MIN(100,Config!$B$27*MAX(0,MIN(100,(1-IF($O408="",0,$O408))*100)) + Config!$B$28*MAX(0,MIN(100,(1-MIN(1,IF(Config!$B$30=0,1,$P408/Config!$B$30)))*100)) + Config!$B$29*MAX(0,MIN(100,MIN(1,IF($Q408="",0,$Q408)/Config!$B$23)*100))))),"")
</f>
        <v/>
      </c>
      <c r="S408" s="40" t="str">
        <f>IF(Bids!$AC408="","",Bids!$AC408)</f>
        <v/>
      </c>
      <c r="T408" s="40" t="str">
        <f>IF(Bids!$F408="","",Bids!$F408)</f>
        <v/>
      </c>
      <c r="U408" s="40" t="str">
        <f t="shared" si="3"/>
        <v/>
      </c>
      <c r="V408" s="40" t="str">
        <f>IF($U408="","",IF(Config!$B$17=Config!$B$16,IF($U408&gt;=Config!$B$17,100,0),MAX(0,MIN(100,($U408-Config!$B$16)/(Config!$B$17-Config!$B$16)*100))))</f>
        <v/>
      </c>
      <c r="W408" s="40">
        <f>IF($L408="Elite",Config!$B$21,0)</f>
        <v>0</v>
      </c>
      <c r="X408" s="40" t="str">
        <f>IFERROR(IF(OR($T408="",$G408=""),"",IF($T408&gt;$G408,
  MAX(0, 60-(($T408-$G408)*24/Config!$B$19)*60),
  MEDIAN(60, 100, 60+(($G408-$T408)*24/Config!$B$20)*40)
)),"")
</f>
        <v/>
      </c>
      <c r="Y408" s="40" t="str">
        <f>IF($J408="","",IFERROR(VLOOKUP($J408,Grinders!$A:$N,10,FALSE),""))</f>
        <v/>
      </c>
      <c r="Z408" s="40" t="str">
        <f>IF($J408="","",IFERROR(VLOOKUP($J408,Grinders!$A:$N,11,FALSE),""))</f>
        <v/>
      </c>
      <c r="AA408" s="40" t="str">
        <f>IF($J408="","",IFERROR(VLOOKUP($J408,Grinders!$A:$N,12,FALSE),""))</f>
        <v/>
      </c>
      <c r="AB408" s="40" t="str">
        <f>IF(OR(AL408=1,AM408=1),0,=IFERROR(IF(OR($C408="",$J408=""),0,IF($D408&lt;&gt;"Open",0,IF(COUNTIFS(GrinderServices!$A:$A,$J408,GrinderServices!$B:$B,$E408,GrinderServices!$D:$D,"Y")=0,0,IF($U408&lt;Config!$B$16,0,IF(Config!$B$18=1,IF($N408&gt;=$M408,0,1),1))))),""))</f>
        <v>#ERROR!</v>
      </c>
      <c r="AC408" s="40" t="str">
        <f>IFERROR((IF(OR(AL408=1,AM408=1),"",=IFERROR((IFERROR(IF($AB408=0,"",((Config!$B$6*$V408 + Config!$B$7*$R408 + Config!$B$8*$W408 + Config!$B$9*$X408 + Config!$B$10*$Y408 + Config!$B$11*$Z408 - Config!$B$12*$AA408)/Config!$B$13)+$AH408+$AI408),""))*(1-IFERROR(VLOOKUP(J408,Grinders!$A:$AB, 28, FALSE),0)),"")))*(1+AO408),"")</f>
        <v>#ERROR!</v>
      </c>
      <c r="AD408" s="40" t="str">
        <f t="shared" si="4"/>
        <v/>
      </c>
      <c r="AE408" s="40" t="str">
        <f>IFERROR(__xludf.DUMMYFUNCTION("IF($AC408="""","""",IF($AC408=IFERROR(MAX(FILTER($AC$6:$AC$1000,$C$6:$C$1000=$C408,$AB$6:$AB$1000=1)),),""WINNER"",""""))"),"#ERROR!")</f>
        <v>#ERROR!</v>
      </c>
      <c r="AF408" s="40" t="str">
        <f t="shared" si="5"/>
        <v/>
      </c>
      <c r="AG408" s="40" t="str">
        <f>IF($J408="","",COUNTIF(Assignments!$B:$B,$J408))</f>
        <v/>
      </c>
      <c r="AH408" s="40" t="str">
        <f>IF($J408="","",IF(AND($AG408=0,$N408&lt;$M408),Config!$B$43,0))</f>
        <v/>
      </c>
      <c r="AI408" s="40" t="str">
        <f>IF($J408="","",IF(AND($L408="Elite",$F408&gt;=Config!$B$41,$N408&lt;$M408),Config!$B$42,0))</f>
        <v/>
      </c>
      <c r="AJ408" s="22"/>
      <c r="AK408" s="39">
        <f>IFERROR(VLOOKUP(J408,Grinders!$A:$Q,28,FALSE),0)</f>
        <v>0</v>
      </c>
      <c r="AL408" s="39">
        <f>IF(Config!$B$1003&lt;&gt;"Y",0,IF(IFERROR(VLOOKUP(J408,Grinders!$A:$P,27,FALSE),0)&gt;=3,IF(OR(F408&gt;=Config!$B$1001,ISNUMBER(SEARCH(E408,Config!$B$1002))),1,0),0))</f>
        <v>0</v>
      </c>
      <c r="AM408" s="39">
        <f t="array" ref="AM408">IFERROR(IF(INDEX(Bids!$AE:$AE,MATCH(B408,Bids!$A:$A,0))="Pending",1,0),0)</f>
        <v>0</v>
      </c>
      <c r="AN408" s="39" t="str">
        <f t="array" ref="AN408">IF(C408="","",IFERROR(XLOOKUP(C408,Assignments!$C:$C,Assignments!$AU:$AU,0),0))</f>
        <v/>
      </c>
      <c r="AO408" s="39">
        <f>IF(AND(Config!$B$1006="Y",AN408=1),Config!$B$1007,0)</f>
        <v>0</v>
      </c>
    </row>
    <row r="409" ht="15.75" customHeight="1">
      <c r="A409" s="46" t="str">
        <f t="shared" si="1"/>
        <v/>
      </c>
      <c r="B409" s="40" t="str">
        <f>IF(Bids!$A409="","",Bids!$A409)</f>
        <v/>
      </c>
      <c r="C409" s="40" t="str">
        <f>IF(Bids!$B409="","",Bids!$B409)</f>
        <v/>
      </c>
      <c r="D409" s="40" t="str">
        <f>IF($C409="","",IFERROR(VLOOKUP($C409,Orders!$A:$J,9,FALSE),""))</f>
        <v/>
      </c>
      <c r="E409" s="40" t="str">
        <f>IF($C409="","",IFERROR(VLOOKUP($C409,Orders!$A:$J,3,FALSE),""))</f>
        <v/>
      </c>
      <c r="F409" s="40" t="str">
        <f>IF($C409="","",IFERROR(VLOOKUP($C409,Orders!$A:$J,4,FALSE),""))</f>
        <v/>
      </c>
      <c r="G409" s="40" t="str">
        <f>IF($C409="","",IFERROR(VLOOKUP($C409,Orders!$A:$J,5,FALSE),""))</f>
        <v/>
      </c>
      <c r="H409" s="40" t="str">
        <f>IF($C409="","",IFERROR(VLOOKUP($C409,Orders!$A:$J,6,FALSE),""))</f>
        <v/>
      </c>
      <c r="I409" s="40" t="str">
        <f>IF($C409="","",IFERROR(VLOOKUP($C409,Orders!$A:$J,7,FALSE),""))</f>
        <v/>
      </c>
      <c r="J409" s="40" t="str">
        <f>IF(Bids!$C409="","",Bids!$C409)</f>
        <v/>
      </c>
      <c r="K409" s="40" t="str">
        <f>IF($J409="","",IFERROR(VLOOKUP($J409,Grinders!$A:$N,2,FALSE),""))</f>
        <v/>
      </c>
      <c r="L409" s="40" t="str">
        <f>IF($J409="","",IFERROR(VLOOKUP($J409,Grinders!$A:$N,3,FALSE),""))</f>
        <v/>
      </c>
      <c r="M409" s="40" t="str">
        <f>IF($J409="","",IFERROR(VLOOKUP($J409,Grinders!$A:$N,4,FALSE),""))</f>
        <v/>
      </c>
      <c r="N409" s="40" t="str">
        <f>IF($J409="","",IFERROR(VLOOKUP($J409,Grinders!$A:$N,5,FALSE),""))</f>
        <v/>
      </c>
      <c r="O409" s="40" t="str">
        <f t="shared" si="2"/>
        <v/>
      </c>
      <c r="P409" s="40" t="str">
        <f>IF($J409="","",IFERROR(VLOOKUP($J409,Grinders!$A:$N,6,FALSE),""))</f>
        <v/>
      </c>
      <c r="Q409" s="40" t="str">
        <f>IF($J409="","",IFERROR(VLOOKUP($J409,Grinders!$A:$N,8,FALSE),""))</f>
        <v/>
      </c>
      <c r="R409" s="40" t="str">
        <f>IFERROR(IF($J409="","",IF($L409="Elite",MAX(50,MIN(100,Config!$B$27*MAX(0,MIN(100,(1-IF($O409="",0,$O409))*100)) + Config!$B$28*MAX(0,MIN(100,(1-MIN(1,IF(Config!$B$30=0,1,$P409/Config!$B$30)))*100)) + Config!$B$29*MAX(0,MIN(100,MIN(1,IF($Q409="",0,$Q409)/Config!$B$23)*100)))),MIN(100,Config!$B$27*MAX(0,MIN(100,(1-IF($O409="",0,$O409))*100)) + Config!$B$28*MAX(0,MIN(100,(1-MIN(1,IF(Config!$B$30=0,1,$P409/Config!$B$30)))*100)) + Config!$B$29*MAX(0,MIN(100,MIN(1,IF($Q409="",0,$Q409)/Config!$B$23)*100))))),"")
</f>
        <v/>
      </c>
      <c r="S409" s="40" t="str">
        <f>IF(Bids!$AC409="","",Bids!$AC409)</f>
        <v/>
      </c>
      <c r="T409" s="40" t="str">
        <f>IF(Bids!$F409="","",Bids!$F409)</f>
        <v/>
      </c>
      <c r="U409" s="40" t="str">
        <f t="shared" si="3"/>
        <v/>
      </c>
      <c r="V409" s="40" t="str">
        <f>IF($U409="","",IF(Config!$B$17=Config!$B$16,IF($U409&gt;=Config!$B$17,100,0),MAX(0,MIN(100,($U409-Config!$B$16)/(Config!$B$17-Config!$B$16)*100))))</f>
        <v/>
      </c>
      <c r="W409" s="40">
        <f>IF($L409="Elite",Config!$B$21,0)</f>
        <v>0</v>
      </c>
      <c r="X409" s="40" t="str">
        <f>IFERROR(IF(OR($T409="",$G409=""),"",IF($T409&gt;$G409,
  MAX(0, 60-(($T409-$G409)*24/Config!$B$19)*60),
  MEDIAN(60, 100, 60+(($G409-$T409)*24/Config!$B$20)*40)
)),"")
</f>
        <v/>
      </c>
      <c r="Y409" s="40" t="str">
        <f>IF($J409="","",IFERROR(VLOOKUP($J409,Grinders!$A:$N,10,FALSE),""))</f>
        <v/>
      </c>
      <c r="Z409" s="40" t="str">
        <f>IF($J409="","",IFERROR(VLOOKUP($J409,Grinders!$A:$N,11,FALSE),""))</f>
        <v/>
      </c>
      <c r="AA409" s="40" t="str">
        <f>IF($J409="","",IFERROR(VLOOKUP($J409,Grinders!$A:$N,12,FALSE),""))</f>
        <v/>
      </c>
      <c r="AB409" s="40" t="str">
        <f>IF(OR(AL409=1,AM409=1),0,=IFERROR(IF(OR($C409="",$J409=""),0,IF($D409&lt;&gt;"Open",0,IF(COUNTIFS(GrinderServices!$A:$A,$J409,GrinderServices!$B:$B,$E409,GrinderServices!$D:$D,"Y")=0,0,IF($U409&lt;Config!$B$16,0,IF(Config!$B$18=1,IF($N409&gt;=$M409,0,1),1))))),""))</f>
        <v>#ERROR!</v>
      </c>
      <c r="AC409" s="40" t="str">
        <f>IFERROR((IF(OR(AL409=1,AM409=1),"",=IFERROR((IFERROR(IF($AB409=0,"",((Config!$B$6*$V409 + Config!$B$7*$R409 + Config!$B$8*$W409 + Config!$B$9*$X409 + Config!$B$10*$Y409 + Config!$B$11*$Z409 - Config!$B$12*$AA409)/Config!$B$13)+$AH409+$AI409),""))*(1-IFERROR(VLOOKUP(J409,Grinders!$A:$AB, 28, FALSE),0)),"")))*(1+AO409),"")</f>
        <v>#ERROR!</v>
      </c>
      <c r="AD409" s="40" t="str">
        <f t="shared" si="4"/>
        <v/>
      </c>
      <c r="AE409" s="40" t="str">
        <f>IFERROR(__xludf.DUMMYFUNCTION("IF($AC409="""","""",IF($AC409=IFERROR(MAX(FILTER($AC$6:$AC$1000,$C$6:$C$1000=$C409,$AB$6:$AB$1000=1)),),""WINNER"",""""))"),"#ERROR!")</f>
        <v>#ERROR!</v>
      </c>
      <c r="AF409" s="40" t="str">
        <f t="shared" si="5"/>
        <v/>
      </c>
      <c r="AG409" s="40" t="str">
        <f>IF($J409="","",COUNTIF(Assignments!$B:$B,$J409))</f>
        <v/>
      </c>
      <c r="AH409" s="40" t="str">
        <f>IF($J409="","",IF(AND($AG409=0,$N409&lt;$M409),Config!$B$43,0))</f>
        <v/>
      </c>
      <c r="AI409" s="40" t="str">
        <f>IF($J409="","",IF(AND($L409="Elite",$F409&gt;=Config!$B$41,$N409&lt;$M409),Config!$B$42,0))</f>
        <v/>
      </c>
      <c r="AJ409" s="22"/>
      <c r="AK409" s="39">
        <f>IFERROR(VLOOKUP(J409,Grinders!$A:$Q,28,FALSE),0)</f>
        <v>0</v>
      </c>
      <c r="AL409" s="39">
        <f>IF(Config!$B$1003&lt;&gt;"Y",0,IF(IFERROR(VLOOKUP(J409,Grinders!$A:$P,27,FALSE),0)&gt;=3,IF(OR(F409&gt;=Config!$B$1001,ISNUMBER(SEARCH(E409,Config!$B$1002))),1,0),0))</f>
        <v>0</v>
      </c>
      <c r="AM409" s="39">
        <f t="array" ref="AM409">IFERROR(IF(INDEX(Bids!$AE:$AE,MATCH(B409,Bids!$A:$A,0))="Pending",1,0),0)</f>
        <v>0</v>
      </c>
      <c r="AN409" s="39" t="str">
        <f t="array" ref="AN409">IF(C409="","",IFERROR(XLOOKUP(C409,Assignments!$C:$C,Assignments!$AU:$AU,0),0))</f>
        <v/>
      </c>
      <c r="AO409" s="39">
        <f>IF(AND(Config!$B$1006="Y",AN409=1),Config!$B$1007,0)</f>
        <v>0</v>
      </c>
    </row>
    <row r="410" ht="15.75" customHeight="1">
      <c r="A410" s="46" t="str">
        <f t="shared" si="1"/>
        <v/>
      </c>
      <c r="B410" s="40" t="str">
        <f>IF(Bids!$A410="","",Bids!$A410)</f>
        <v/>
      </c>
      <c r="C410" s="40" t="str">
        <f>IF(Bids!$B410="","",Bids!$B410)</f>
        <v/>
      </c>
      <c r="D410" s="40" t="str">
        <f>IF($C410="","",IFERROR(VLOOKUP($C410,Orders!$A:$J,9,FALSE),""))</f>
        <v/>
      </c>
      <c r="E410" s="40" t="str">
        <f>IF($C410="","",IFERROR(VLOOKUP($C410,Orders!$A:$J,3,FALSE),""))</f>
        <v/>
      </c>
      <c r="F410" s="40" t="str">
        <f>IF($C410="","",IFERROR(VLOOKUP($C410,Orders!$A:$J,4,FALSE),""))</f>
        <v/>
      </c>
      <c r="G410" s="40" t="str">
        <f>IF($C410="","",IFERROR(VLOOKUP($C410,Orders!$A:$J,5,FALSE),""))</f>
        <v/>
      </c>
      <c r="H410" s="40" t="str">
        <f>IF($C410="","",IFERROR(VLOOKUP($C410,Orders!$A:$J,6,FALSE),""))</f>
        <v/>
      </c>
      <c r="I410" s="40" t="str">
        <f>IF($C410="","",IFERROR(VLOOKUP($C410,Orders!$A:$J,7,FALSE),""))</f>
        <v/>
      </c>
      <c r="J410" s="40" t="str">
        <f>IF(Bids!$C410="","",Bids!$C410)</f>
        <v/>
      </c>
      <c r="K410" s="40" t="str">
        <f>IF($J410="","",IFERROR(VLOOKUP($J410,Grinders!$A:$N,2,FALSE),""))</f>
        <v/>
      </c>
      <c r="L410" s="40" t="str">
        <f>IF($J410="","",IFERROR(VLOOKUP($J410,Grinders!$A:$N,3,FALSE),""))</f>
        <v/>
      </c>
      <c r="M410" s="40" t="str">
        <f>IF($J410="","",IFERROR(VLOOKUP($J410,Grinders!$A:$N,4,FALSE),""))</f>
        <v/>
      </c>
      <c r="N410" s="40" t="str">
        <f>IF($J410="","",IFERROR(VLOOKUP($J410,Grinders!$A:$N,5,FALSE),""))</f>
        <v/>
      </c>
      <c r="O410" s="40" t="str">
        <f t="shared" si="2"/>
        <v/>
      </c>
      <c r="P410" s="40" t="str">
        <f>IF($J410="","",IFERROR(VLOOKUP($J410,Grinders!$A:$N,6,FALSE),""))</f>
        <v/>
      </c>
      <c r="Q410" s="40" t="str">
        <f>IF($J410="","",IFERROR(VLOOKUP($J410,Grinders!$A:$N,8,FALSE),""))</f>
        <v/>
      </c>
      <c r="R410" s="40" t="str">
        <f>IFERROR(IF($J410="","",IF($L410="Elite",MAX(50,MIN(100,Config!$B$27*MAX(0,MIN(100,(1-IF($O410="",0,$O410))*100)) + Config!$B$28*MAX(0,MIN(100,(1-MIN(1,IF(Config!$B$30=0,1,$P410/Config!$B$30)))*100)) + Config!$B$29*MAX(0,MIN(100,MIN(1,IF($Q410="",0,$Q410)/Config!$B$23)*100)))),MIN(100,Config!$B$27*MAX(0,MIN(100,(1-IF($O410="",0,$O410))*100)) + Config!$B$28*MAX(0,MIN(100,(1-MIN(1,IF(Config!$B$30=0,1,$P410/Config!$B$30)))*100)) + Config!$B$29*MAX(0,MIN(100,MIN(1,IF($Q410="",0,$Q410)/Config!$B$23)*100))))),"")
</f>
        <v/>
      </c>
      <c r="S410" s="40" t="str">
        <f>IF(Bids!$AC410="","",Bids!$AC410)</f>
        <v/>
      </c>
      <c r="T410" s="40" t="str">
        <f>IF(Bids!$F410="","",Bids!$F410)</f>
        <v/>
      </c>
      <c r="U410" s="40" t="str">
        <f t="shared" si="3"/>
        <v/>
      </c>
      <c r="V410" s="40" t="str">
        <f>IF($U410="","",IF(Config!$B$17=Config!$B$16,IF($U410&gt;=Config!$B$17,100,0),MAX(0,MIN(100,($U410-Config!$B$16)/(Config!$B$17-Config!$B$16)*100))))</f>
        <v/>
      </c>
      <c r="W410" s="40">
        <f>IF($L410="Elite",Config!$B$21,0)</f>
        <v>0</v>
      </c>
      <c r="X410" s="40" t="str">
        <f>IFERROR(IF(OR($T410="",$G410=""),"",IF($T410&gt;$G410,
  MAX(0, 60-(($T410-$G410)*24/Config!$B$19)*60),
  MEDIAN(60, 100, 60+(($G410-$T410)*24/Config!$B$20)*40)
)),"")
</f>
        <v/>
      </c>
      <c r="Y410" s="40" t="str">
        <f>IF($J410="","",IFERROR(VLOOKUP($J410,Grinders!$A:$N,10,FALSE),""))</f>
        <v/>
      </c>
      <c r="Z410" s="40" t="str">
        <f>IF($J410="","",IFERROR(VLOOKUP($J410,Grinders!$A:$N,11,FALSE),""))</f>
        <v/>
      </c>
      <c r="AA410" s="40" t="str">
        <f>IF($J410="","",IFERROR(VLOOKUP($J410,Grinders!$A:$N,12,FALSE),""))</f>
        <v/>
      </c>
      <c r="AB410" s="40" t="str">
        <f>IF(OR(AL410=1,AM410=1),0,=IFERROR(IF(OR($C410="",$J410=""),0,IF($D410&lt;&gt;"Open",0,IF(COUNTIFS(GrinderServices!$A:$A,$J410,GrinderServices!$B:$B,$E410,GrinderServices!$D:$D,"Y")=0,0,IF($U410&lt;Config!$B$16,0,IF(Config!$B$18=1,IF($N410&gt;=$M410,0,1),1))))),""))</f>
        <v>#ERROR!</v>
      </c>
      <c r="AC410" s="40" t="str">
        <f>IFERROR((IF(OR(AL410=1,AM410=1),"",=IFERROR((IFERROR(IF($AB410=0,"",((Config!$B$6*$V410 + Config!$B$7*$R410 + Config!$B$8*$W410 + Config!$B$9*$X410 + Config!$B$10*$Y410 + Config!$B$11*$Z410 - Config!$B$12*$AA410)/Config!$B$13)+$AH410+$AI410),""))*(1-IFERROR(VLOOKUP(J410,Grinders!$A:$AB, 28, FALSE),0)),"")))*(1+AO410),"")</f>
        <v>#ERROR!</v>
      </c>
      <c r="AD410" s="40" t="str">
        <f t="shared" si="4"/>
        <v/>
      </c>
      <c r="AE410" s="40" t="str">
        <f>IFERROR(__xludf.DUMMYFUNCTION("IF($AC410="""","""",IF($AC410=IFERROR(MAX(FILTER($AC$6:$AC$1000,$C$6:$C$1000=$C410,$AB$6:$AB$1000=1)),),""WINNER"",""""))"),"#ERROR!")</f>
        <v>#ERROR!</v>
      </c>
      <c r="AF410" s="40" t="str">
        <f t="shared" si="5"/>
        <v/>
      </c>
      <c r="AG410" s="40" t="str">
        <f>IF($J410="","",COUNTIF(Assignments!$B:$B,$J410))</f>
        <v/>
      </c>
      <c r="AH410" s="40" t="str">
        <f>IF($J410="","",IF(AND($AG410=0,$N410&lt;$M410),Config!$B$43,0))</f>
        <v/>
      </c>
      <c r="AI410" s="40" t="str">
        <f>IF($J410="","",IF(AND($L410="Elite",$F410&gt;=Config!$B$41,$N410&lt;$M410),Config!$B$42,0))</f>
        <v/>
      </c>
      <c r="AJ410" s="22"/>
      <c r="AK410" s="39">
        <f>IFERROR(VLOOKUP(J410,Grinders!$A:$Q,28,FALSE),0)</f>
        <v>0</v>
      </c>
      <c r="AL410" s="39">
        <f>IF(Config!$B$1003&lt;&gt;"Y",0,IF(IFERROR(VLOOKUP(J410,Grinders!$A:$P,27,FALSE),0)&gt;=3,IF(OR(F410&gt;=Config!$B$1001,ISNUMBER(SEARCH(E410,Config!$B$1002))),1,0),0))</f>
        <v>0</v>
      </c>
      <c r="AM410" s="39">
        <f t="array" ref="AM410">IFERROR(IF(INDEX(Bids!$AE:$AE,MATCH(B410,Bids!$A:$A,0))="Pending",1,0),0)</f>
        <v>0</v>
      </c>
      <c r="AN410" s="39" t="str">
        <f t="array" ref="AN410">IF(C410="","",IFERROR(XLOOKUP(C410,Assignments!$C:$C,Assignments!$AU:$AU,0),0))</f>
        <v/>
      </c>
      <c r="AO410" s="39">
        <f>IF(AND(Config!$B$1006="Y",AN410=1),Config!$B$1007,0)</f>
        <v>0</v>
      </c>
    </row>
    <row r="411" ht="15.75" customHeight="1">
      <c r="A411" s="46" t="str">
        <f t="shared" si="1"/>
        <v/>
      </c>
      <c r="B411" s="40" t="str">
        <f>IF(Bids!$A411="","",Bids!$A411)</f>
        <v/>
      </c>
      <c r="C411" s="40" t="str">
        <f>IF(Bids!$B411="","",Bids!$B411)</f>
        <v/>
      </c>
      <c r="D411" s="40" t="str">
        <f>IF($C411="","",IFERROR(VLOOKUP($C411,Orders!$A:$J,9,FALSE),""))</f>
        <v/>
      </c>
      <c r="E411" s="40" t="str">
        <f>IF($C411="","",IFERROR(VLOOKUP($C411,Orders!$A:$J,3,FALSE),""))</f>
        <v/>
      </c>
      <c r="F411" s="40" t="str">
        <f>IF($C411="","",IFERROR(VLOOKUP($C411,Orders!$A:$J,4,FALSE),""))</f>
        <v/>
      </c>
      <c r="G411" s="40" t="str">
        <f>IF($C411="","",IFERROR(VLOOKUP($C411,Orders!$A:$J,5,FALSE),""))</f>
        <v/>
      </c>
      <c r="H411" s="40" t="str">
        <f>IF($C411="","",IFERROR(VLOOKUP($C411,Orders!$A:$J,6,FALSE),""))</f>
        <v/>
      </c>
      <c r="I411" s="40" t="str">
        <f>IF($C411="","",IFERROR(VLOOKUP($C411,Orders!$A:$J,7,FALSE),""))</f>
        <v/>
      </c>
      <c r="J411" s="40" t="str">
        <f>IF(Bids!$C411="","",Bids!$C411)</f>
        <v/>
      </c>
      <c r="K411" s="40" t="str">
        <f>IF($J411="","",IFERROR(VLOOKUP($J411,Grinders!$A:$N,2,FALSE),""))</f>
        <v/>
      </c>
      <c r="L411" s="40" t="str">
        <f>IF($J411="","",IFERROR(VLOOKUP($J411,Grinders!$A:$N,3,FALSE),""))</f>
        <v/>
      </c>
      <c r="M411" s="40" t="str">
        <f>IF($J411="","",IFERROR(VLOOKUP($J411,Grinders!$A:$N,4,FALSE),""))</f>
        <v/>
      </c>
      <c r="N411" s="40" t="str">
        <f>IF($J411="","",IFERROR(VLOOKUP($J411,Grinders!$A:$N,5,FALSE),""))</f>
        <v/>
      </c>
      <c r="O411" s="40" t="str">
        <f t="shared" si="2"/>
        <v/>
      </c>
      <c r="P411" s="40" t="str">
        <f>IF($J411="","",IFERROR(VLOOKUP($J411,Grinders!$A:$N,6,FALSE),""))</f>
        <v/>
      </c>
      <c r="Q411" s="40" t="str">
        <f>IF($J411="","",IFERROR(VLOOKUP($J411,Grinders!$A:$N,8,FALSE),""))</f>
        <v/>
      </c>
      <c r="R411" s="40" t="str">
        <f>IFERROR(IF($J411="","",IF($L411="Elite",MAX(50,MIN(100,Config!$B$27*MAX(0,MIN(100,(1-IF($O411="",0,$O411))*100)) + Config!$B$28*MAX(0,MIN(100,(1-MIN(1,IF(Config!$B$30=0,1,$P411/Config!$B$30)))*100)) + Config!$B$29*MAX(0,MIN(100,MIN(1,IF($Q411="",0,$Q411)/Config!$B$23)*100)))),MIN(100,Config!$B$27*MAX(0,MIN(100,(1-IF($O411="",0,$O411))*100)) + Config!$B$28*MAX(0,MIN(100,(1-MIN(1,IF(Config!$B$30=0,1,$P411/Config!$B$30)))*100)) + Config!$B$29*MAX(0,MIN(100,MIN(1,IF($Q411="",0,$Q411)/Config!$B$23)*100))))),"")
</f>
        <v/>
      </c>
      <c r="S411" s="40" t="str">
        <f>IF(Bids!$AC411="","",Bids!$AC411)</f>
        <v/>
      </c>
      <c r="T411" s="40" t="str">
        <f>IF(Bids!$F411="","",Bids!$F411)</f>
        <v/>
      </c>
      <c r="U411" s="40" t="str">
        <f t="shared" si="3"/>
        <v/>
      </c>
      <c r="V411" s="40" t="str">
        <f>IF($U411="","",IF(Config!$B$17=Config!$B$16,IF($U411&gt;=Config!$B$17,100,0),MAX(0,MIN(100,($U411-Config!$B$16)/(Config!$B$17-Config!$B$16)*100))))</f>
        <v/>
      </c>
      <c r="W411" s="40">
        <f>IF($L411="Elite",Config!$B$21,0)</f>
        <v>0</v>
      </c>
      <c r="X411" s="40" t="str">
        <f>IFERROR(IF(OR($T411="",$G411=""),"",IF($T411&gt;$G411,
  MAX(0, 60-(($T411-$G411)*24/Config!$B$19)*60),
  MEDIAN(60, 100, 60+(($G411-$T411)*24/Config!$B$20)*40)
)),"")
</f>
        <v/>
      </c>
      <c r="Y411" s="40" t="str">
        <f>IF($J411="","",IFERROR(VLOOKUP($J411,Grinders!$A:$N,10,FALSE),""))</f>
        <v/>
      </c>
      <c r="Z411" s="40" t="str">
        <f>IF($J411="","",IFERROR(VLOOKUP($J411,Grinders!$A:$N,11,FALSE),""))</f>
        <v/>
      </c>
      <c r="AA411" s="40" t="str">
        <f>IF($J411="","",IFERROR(VLOOKUP($J411,Grinders!$A:$N,12,FALSE),""))</f>
        <v/>
      </c>
      <c r="AB411" s="40" t="str">
        <f>IF(OR(AL411=1,AM411=1),0,=IFERROR(IF(OR($C411="",$J411=""),0,IF($D411&lt;&gt;"Open",0,IF(COUNTIFS(GrinderServices!$A:$A,$J411,GrinderServices!$B:$B,$E411,GrinderServices!$D:$D,"Y")=0,0,IF($U411&lt;Config!$B$16,0,IF(Config!$B$18=1,IF($N411&gt;=$M411,0,1),1))))),""))</f>
        <v>#ERROR!</v>
      </c>
      <c r="AC411" s="40" t="str">
        <f>IFERROR((IF(OR(AL411=1,AM411=1),"",=IFERROR((IFERROR(IF($AB411=0,"",((Config!$B$6*$V411 + Config!$B$7*$R411 + Config!$B$8*$W411 + Config!$B$9*$X411 + Config!$B$10*$Y411 + Config!$B$11*$Z411 - Config!$B$12*$AA411)/Config!$B$13)+$AH411+$AI411),""))*(1-IFERROR(VLOOKUP(J411,Grinders!$A:$AB, 28, FALSE),0)),"")))*(1+AO411),"")</f>
        <v>#ERROR!</v>
      </c>
      <c r="AD411" s="40" t="str">
        <f t="shared" si="4"/>
        <v/>
      </c>
      <c r="AE411" s="40" t="str">
        <f>IFERROR(__xludf.DUMMYFUNCTION("IF($AC411="""","""",IF($AC411=IFERROR(MAX(FILTER($AC$6:$AC$1000,$C$6:$C$1000=$C411,$AB$6:$AB$1000=1)),),""WINNER"",""""))"),"#ERROR!")</f>
        <v>#ERROR!</v>
      </c>
      <c r="AF411" s="40" t="str">
        <f t="shared" si="5"/>
        <v/>
      </c>
      <c r="AG411" s="40" t="str">
        <f>IF($J411="","",COUNTIF(Assignments!$B:$B,$J411))</f>
        <v/>
      </c>
      <c r="AH411" s="40" t="str">
        <f>IF($J411="","",IF(AND($AG411=0,$N411&lt;$M411),Config!$B$43,0))</f>
        <v/>
      </c>
      <c r="AI411" s="40" t="str">
        <f>IF($J411="","",IF(AND($L411="Elite",$F411&gt;=Config!$B$41,$N411&lt;$M411),Config!$B$42,0))</f>
        <v/>
      </c>
      <c r="AJ411" s="22"/>
      <c r="AK411" s="39">
        <f>IFERROR(VLOOKUP(J411,Grinders!$A:$Q,28,FALSE),0)</f>
        <v>0</v>
      </c>
      <c r="AL411" s="39">
        <f>IF(Config!$B$1003&lt;&gt;"Y",0,IF(IFERROR(VLOOKUP(J411,Grinders!$A:$P,27,FALSE),0)&gt;=3,IF(OR(F411&gt;=Config!$B$1001,ISNUMBER(SEARCH(E411,Config!$B$1002))),1,0),0))</f>
        <v>0</v>
      </c>
      <c r="AM411" s="39">
        <f t="array" ref="AM411">IFERROR(IF(INDEX(Bids!$AE:$AE,MATCH(B411,Bids!$A:$A,0))="Pending",1,0),0)</f>
        <v>0</v>
      </c>
      <c r="AN411" s="39" t="str">
        <f t="array" ref="AN411">IF(C411="","",IFERROR(XLOOKUP(C411,Assignments!$C:$C,Assignments!$AU:$AU,0),0))</f>
        <v/>
      </c>
      <c r="AO411" s="39">
        <f>IF(AND(Config!$B$1006="Y",AN411=1),Config!$B$1007,0)</f>
        <v>0</v>
      </c>
    </row>
    <row r="412" ht="15.75" customHeight="1">
      <c r="A412" s="46" t="str">
        <f t="shared" si="1"/>
        <v/>
      </c>
      <c r="B412" s="40" t="str">
        <f>IF(Bids!$A412="","",Bids!$A412)</f>
        <v/>
      </c>
      <c r="C412" s="40" t="str">
        <f>IF(Bids!$B412="","",Bids!$B412)</f>
        <v/>
      </c>
      <c r="D412" s="40" t="str">
        <f>IF($C412="","",IFERROR(VLOOKUP($C412,Orders!$A:$J,9,FALSE),""))</f>
        <v/>
      </c>
      <c r="E412" s="40" t="str">
        <f>IF($C412="","",IFERROR(VLOOKUP($C412,Orders!$A:$J,3,FALSE),""))</f>
        <v/>
      </c>
      <c r="F412" s="40" t="str">
        <f>IF($C412="","",IFERROR(VLOOKUP($C412,Orders!$A:$J,4,FALSE),""))</f>
        <v/>
      </c>
      <c r="G412" s="40" t="str">
        <f>IF($C412="","",IFERROR(VLOOKUP($C412,Orders!$A:$J,5,FALSE),""))</f>
        <v/>
      </c>
      <c r="H412" s="40" t="str">
        <f>IF($C412="","",IFERROR(VLOOKUP($C412,Orders!$A:$J,6,FALSE),""))</f>
        <v/>
      </c>
      <c r="I412" s="40" t="str">
        <f>IF($C412="","",IFERROR(VLOOKUP($C412,Orders!$A:$J,7,FALSE),""))</f>
        <v/>
      </c>
      <c r="J412" s="40" t="str">
        <f>IF(Bids!$C412="","",Bids!$C412)</f>
        <v/>
      </c>
      <c r="K412" s="40" t="str">
        <f>IF($J412="","",IFERROR(VLOOKUP($J412,Grinders!$A:$N,2,FALSE),""))</f>
        <v/>
      </c>
      <c r="L412" s="40" t="str">
        <f>IF($J412="","",IFERROR(VLOOKUP($J412,Grinders!$A:$N,3,FALSE),""))</f>
        <v/>
      </c>
      <c r="M412" s="40" t="str">
        <f>IF($J412="","",IFERROR(VLOOKUP($J412,Grinders!$A:$N,4,FALSE),""))</f>
        <v/>
      </c>
      <c r="N412" s="40" t="str">
        <f>IF($J412="","",IFERROR(VLOOKUP($J412,Grinders!$A:$N,5,FALSE),""))</f>
        <v/>
      </c>
      <c r="O412" s="40" t="str">
        <f t="shared" si="2"/>
        <v/>
      </c>
      <c r="P412" s="40" t="str">
        <f>IF($J412="","",IFERROR(VLOOKUP($J412,Grinders!$A:$N,6,FALSE),""))</f>
        <v/>
      </c>
      <c r="Q412" s="40" t="str">
        <f>IF($J412="","",IFERROR(VLOOKUP($J412,Grinders!$A:$N,8,FALSE),""))</f>
        <v/>
      </c>
      <c r="R412" s="40" t="str">
        <f>IFERROR(IF($J412="","",IF($L412="Elite",MAX(50,MIN(100,Config!$B$27*MAX(0,MIN(100,(1-IF($O412="",0,$O412))*100)) + Config!$B$28*MAX(0,MIN(100,(1-MIN(1,IF(Config!$B$30=0,1,$P412/Config!$B$30)))*100)) + Config!$B$29*MAX(0,MIN(100,MIN(1,IF($Q412="",0,$Q412)/Config!$B$23)*100)))),MIN(100,Config!$B$27*MAX(0,MIN(100,(1-IF($O412="",0,$O412))*100)) + Config!$B$28*MAX(0,MIN(100,(1-MIN(1,IF(Config!$B$30=0,1,$P412/Config!$B$30)))*100)) + Config!$B$29*MAX(0,MIN(100,MIN(1,IF($Q412="",0,$Q412)/Config!$B$23)*100))))),"")
</f>
        <v/>
      </c>
      <c r="S412" s="40" t="str">
        <f>IF(Bids!$AC412="","",Bids!$AC412)</f>
        <v/>
      </c>
      <c r="T412" s="40" t="str">
        <f>IF(Bids!$F412="","",Bids!$F412)</f>
        <v/>
      </c>
      <c r="U412" s="40" t="str">
        <f t="shared" si="3"/>
        <v/>
      </c>
      <c r="V412" s="40" t="str">
        <f>IF($U412="","",IF(Config!$B$17=Config!$B$16,IF($U412&gt;=Config!$B$17,100,0),MAX(0,MIN(100,($U412-Config!$B$16)/(Config!$B$17-Config!$B$16)*100))))</f>
        <v/>
      </c>
      <c r="W412" s="40">
        <f>IF($L412="Elite",Config!$B$21,0)</f>
        <v>0</v>
      </c>
      <c r="X412" s="40" t="str">
        <f>IFERROR(IF(OR($T412="",$G412=""),"",IF($T412&gt;$G412,
  MAX(0, 60-(($T412-$G412)*24/Config!$B$19)*60),
  MEDIAN(60, 100, 60+(($G412-$T412)*24/Config!$B$20)*40)
)),"")
</f>
        <v/>
      </c>
      <c r="Y412" s="40" t="str">
        <f>IF($J412="","",IFERROR(VLOOKUP($J412,Grinders!$A:$N,10,FALSE),""))</f>
        <v/>
      </c>
      <c r="Z412" s="40" t="str">
        <f>IF($J412="","",IFERROR(VLOOKUP($J412,Grinders!$A:$N,11,FALSE),""))</f>
        <v/>
      </c>
      <c r="AA412" s="40" t="str">
        <f>IF($J412="","",IFERROR(VLOOKUP($J412,Grinders!$A:$N,12,FALSE),""))</f>
        <v/>
      </c>
      <c r="AB412" s="40" t="str">
        <f>IF(OR(AL412=1,AM412=1),0,=IFERROR(IF(OR($C412="",$J412=""),0,IF($D412&lt;&gt;"Open",0,IF(COUNTIFS(GrinderServices!$A:$A,$J412,GrinderServices!$B:$B,$E412,GrinderServices!$D:$D,"Y")=0,0,IF($U412&lt;Config!$B$16,0,IF(Config!$B$18=1,IF($N412&gt;=$M412,0,1),1))))),""))</f>
        <v>#ERROR!</v>
      </c>
      <c r="AC412" s="40" t="str">
        <f>IFERROR((IF(OR(AL412=1,AM412=1),"",=IFERROR((IFERROR(IF($AB412=0,"",((Config!$B$6*$V412 + Config!$B$7*$R412 + Config!$B$8*$W412 + Config!$B$9*$X412 + Config!$B$10*$Y412 + Config!$B$11*$Z412 - Config!$B$12*$AA412)/Config!$B$13)+$AH412+$AI412),""))*(1-IFERROR(VLOOKUP(J412,Grinders!$A:$AB, 28, FALSE),0)),"")))*(1+AO412),"")</f>
        <v>#ERROR!</v>
      </c>
      <c r="AD412" s="40" t="str">
        <f t="shared" si="4"/>
        <v/>
      </c>
      <c r="AE412" s="40" t="str">
        <f>IFERROR(__xludf.DUMMYFUNCTION("IF($AC412="""","""",IF($AC412=IFERROR(MAX(FILTER($AC$6:$AC$1000,$C$6:$C$1000=$C412,$AB$6:$AB$1000=1)),),""WINNER"",""""))"),"#ERROR!")</f>
        <v>#ERROR!</v>
      </c>
      <c r="AF412" s="40" t="str">
        <f t="shared" si="5"/>
        <v/>
      </c>
      <c r="AG412" s="40" t="str">
        <f>IF($J412="","",COUNTIF(Assignments!$B:$B,$J412))</f>
        <v/>
      </c>
      <c r="AH412" s="40" t="str">
        <f>IF($J412="","",IF(AND($AG412=0,$N412&lt;$M412),Config!$B$43,0))</f>
        <v/>
      </c>
      <c r="AI412" s="40" t="str">
        <f>IF($J412="","",IF(AND($L412="Elite",$F412&gt;=Config!$B$41,$N412&lt;$M412),Config!$B$42,0))</f>
        <v/>
      </c>
      <c r="AJ412" s="22"/>
      <c r="AK412" s="39">
        <f>IFERROR(VLOOKUP(J412,Grinders!$A:$Q,28,FALSE),0)</f>
        <v>0</v>
      </c>
      <c r="AL412" s="39">
        <f>IF(Config!$B$1003&lt;&gt;"Y",0,IF(IFERROR(VLOOKUP(J412,Grinders!$A:$P,27,FALSE),0)&gt;=3,IF(OR(F412&gt;=Config!$B$1001,ISNUMBER(SEARCH(E412,Config!$B$1002))),1,0),0))</f>
        <v>0</v>
      </c>
      <c r="AM412" s="39">
        <f t="array" ref="AM412">IFERROR(IF(INDEX(Bids!$AE:$AE,MATCH(B412,Bids!$A:$A,0))="Pending",1,0),0)</f>
        <v>0</v>
      </c>
      <c r="AN412" s="39" t="str">
        <f t="array" ref="AN412">IF(C412="","",IFERROR(XLOOKUP(C412,Assignments!$C:$C,Assignments!$AU:$AU,0),0))</f>
        <v/>
      </c>
      <c r="AO412" s="39">
        <f>IF(AND(Config!$B$1006="Y",AN412=1),Config!$B$1007,0)</f>
        <v>0</v>
      </c>
    </row>
    <row r="413" ht="15.75" customHeight="1">
      <c r="A413" s="46" t="str">
        <f t="shared" si="1"/>
        <v/>
      </c>
      <c r="B413" s="40" t="str">
        <f>IF(Bids!$A413="","",Bids!$A413)</f>
        <v/>
      </c>
      <c r="C413" s="40" t="str">
        <f>IF(Bids!$B413="","",Bids!$B413)</f>
        <v/>
      </c>
      <c r="D413" s="40" t="str">
        <f>IF($C413="","",IFERROR(VLOOKUP($C413,Orders!$A:$J,9,FALSE),""))</f>
        <v/>
      </c>
      <c r="E413" s="40" t="str">
        <f>IF($C413="","",IFERROR(VLOOKUP($C413,Orders!$A:$J,3,FALSE),""))</f>
        <v/>
      </c>
      <c r="F413" s="40" t="str">
        <f>IF($C413="","",IFERROR(VLOOKUP($C413,Orders!$A:$J,4,FALSE),""))</f>
        <v/>
      </c>
      <c r="G413" s="40" t="str">
        <f>IF($C413="","",IFERROR(VLOOKUP($C413,Orders!$A:$J,5,FALSE),""))</f>
        <v/>
      </c>
      <c r="H413" s="40" t="str">
        <f>IF($C413="","",IFERROR(VLOOKUP($C413,Orders!$A:$J,6,FALSE),""))</f>
        <v/>
      </c>
      <c r="I413" s="40" t="str">
        <f>IF($C413="","",IFERROR(VLOOKUP($C413,Orders!$A:$J,7,FALSE),""))</f>
        <v/>
      </c>
      <c r="J413" s="40" t="str">
        <f>IF(Bids!$C413="","",Bids!$C413)</f>
        <v/>
      </c>
      <c r="K413" s="40" t="str">
        <f>IF($J413="","",IFERROR(VLOOKUP($J413,Grinders!$A:$N,2,FALSE),""))</f>
        <v/>
      </c>
      <c r="L413" s="40" t="str">
        <f>IF($J413="","",IFERROR(VLOOKUP($J413,Grinders!$A:$N,3,FALSE),""))</f>
        <v/>
      </c>
      <c r="M413" s="40" t="str">
        <f>IF($J413="","",IFERROR(VLOOKUP($J413,Grinders!$A:$N,4,FALSE),""))</f>
        <v/>
      </c>
      <c r="N413" s="40" t="str">
        <f>IF($J413="","",IFERROR(VLOOKUP($J413,Grinders!$A:$N,5,FALSE),""))</f>
        <v/>
      </c>
      <c r="O413" s="40" t="str">
        <f t="shared" si="2"/>
        <v/>
      </c>
      <c r="P413" s="40" t="str">
        <f>IF($J413="","",IFERROR(VLOOKUP($J413,Grinders!$A:$N,6,FALSE),""))</f>
        <v/>
      </c>
      <c r="Q413" s="40" t="str">
        <f>IF($J413="","",IFERROR(VLOOKUP($J413,Grinders!$A:$N,8,FALSE),""))</f>
        <v/>
      </c>
      <c r="R413" s="40" t="str">
        <f>IFERROR(IF($J413="","",IF($L413="Elite",MAX(50,MIN(100,Config!$B$27*MAX(0,MIN(100,(1-IF($O413="",0,$O413))*100)) + Config!$B$28*MAX(0,MIN(100,(1-MIN(1,IF(Config!$B$30=0,1,$P413/Config!$B$30)))*100)) + Config!$B$29*MAX(0,MIN(100,MIN(1,IF($Q413="",0,$Q413)/Config!$B$23)*100)))),MIN(100,Config!$B$27*MAX(0,MIN(100,(1-IF($O413="",0,$O413))*100)) + Config!$B$28*MAX(0,MIN(100,(1-MIN(1,IF(Config!$B$30=0,1,$P413/Config!$B$30)))*100)) + Config!$B$29*MAX(0,MIN(100,MIN(1,IF($Q413="",0,$Q413)/Config!$B$23)*100))))),"")
</f>
        <v/>
      </c>
      <c r="S413" s="40" t="str">
        <f>IF(Bids!$AC413="","",Bids!$AC413)</f>
        <v/>
      </c>
      <c r="T413" s="40" t="str">
        <f>IF(Bids!$F413="","",Bids!$F413)</f>
        <v/>
      </c>
      <c r="U413" s="40" t="str">
        <f t="shared" si="3"/>
        <v/>
      </c>
      <c r="V413" s="40" t="str">
        <f>IF($U413="","",IF(Config!$B$17=Config!$B$16,IF($U413&gt;=Config!$B$17,100,0),MAX(0,MIN(100,($U413-Config!$B$16)/(Config!$B$17-Config!$B$16)*100))))</f>
        <v/>
      </c>
      <c r="W413" s="40">
        <f>IF($L413="Elite",Config!$B$21,0)</f>
        <v>0</v>
      </c>
      <c r="X413" s="40" t="str">
        <f>IFERROR(IF(OR($T413="",$G413=""),"",IF($T413&gt;$G413,
  MAX(0, 60-(($T413-$G413)*24/Config!$B$19)*60),
  MEDIAN(60, 100, 60+(($G413-$T413)*24/Config!$B$20)*40)
)),"")
</f>
        <v/>
      </c>
      <c r="Y413" s="40" t="str">
        <f>IF($J413="","",IFERROR(VLOOKUP($J413,Grinders!$A:$N,10,FALSE),""))</f>
        <v/>
      </c>
      <c r="Z413" s="40" t="str">
        <f>IF($J413="","",IFERROR(VLOOKUP($J413,Grinders!$A:$N,11,FALSE),""))</f>
        <v/>
      </c>
      <c r="AA413" s="40" t="str">
        <f>IF($J413="","",IFERROR(VLOOKUP($J413,Grinders!$A:$N,12,FALSE),""))</f>
        <v/>
      </c>
      <c r="AB413" s="40" t="str">
        <f>IF(OR(AL413=1,AM413=1),0,=IFERROR(IF(OR($C413="",$J413=""),0,IF($D413&lt;&gt;"Open",0,IF(COUNTIFS(GrinderServices!$A:$A,$J413,GrinderServices!$B:$B,$E413,GrinderServices!$D:$D,"Y")=0,0,IF($U413&lt;Config!$B$16,0,IF(Config!$B$18=1,IF($N413&gt;=$M413,0,1),1))))),""))</f>
        <v>#ERROR!</v>
      </c>
      <c r="AC413" s="40" t="str">
        <f>IFERROR((IF(OR(AL413=1,AM413=1),"",=IFERROR((IFERROR(IF($AB413=0,"",((Config!$B$6*$V413 + Config!$B$7*$R413 + Config!$B$8*$W413 + Config!$B$9*$X413 + Config!$B$10*$Y413 + Config!$B$11*$Z413 - Config!$B$12*$AA413)/Config!$B$13)+$AH413+$AI413),""))*(1-IFERROR(VLOOKUP(J413,Grinders!$A:$AB, 28, FALSE),0)),"")))*(1+AO413),"")</f>
        <v>#ERROR!</v>
      </c>
      <c r="AD413" s="40" t="str">
        <f t="shared" si="4"/>
        <v/>
      </c>
      <c r="AE413" s="40" t="str">
        <f>IFERROR(__xludf.DUMMYFUNCTION("IF($AC413="""","""",IF($AC413=IFERROR(MAX(FILTER($AC$6:$AC$1000,$C$6:$C$1000=$C413,$AB$6:$AB$1000=1)),),""WINNER"",""""))"),"#ERROR!")</f>
        <v>#ERROR!</v>
      </c>
      <c r="AF413" s="40" t="str">
        <f t="shared" si="5"/>
        <v/>
      </c>
      <c r="AG413" s="40" t="str">
        <f>IF($J413="","",COUNTIF(Assignments!$B:$B,$J413))</f>
        <v/>
      </c>
      <c r="AH413" s="40" t="str">
        <f>IF($J413="","",IF(AND($AG413=0,$N413&lt;$M413),Config!$B$43,0))</f>
        <v/>
      </c>
      <c r="AI413" s="40" t="str">
        <f>IF($J413="","",IF(AND($L413="Elite",$F413&gt;=Config!$B$41,$N413&lt;$M413),Config!$B$42,0))</f>
        <v/>
      </c>
      <c r="AJ413" s="22"/>
      <c r="AK413" s="39">
        <f>IFERROR(VLOOKUP(J413,Grinders!$A:$Q,28,FALSE),0)</f>
        <v>0</v>
      </c>
      <c r="AL413" s="39">
        <f>IF(Config!$B$1003&lt;&gt;"Y",0,IF(IFERROR(VLOOKUP(J413,Grinders!$A:$P,27,FALSE),0)&gt;=3,IF(OR(F413&gt;=Config!$B$1001,ISNUMBER(SEARCH(E413,Config!$B$1002))),1,0),0))</f>
        <v>0</v>
      </c>
      <c r="AM413" s="39">
        <f t="array" ref="AM413">IFERROR(IF(INDEX(Bids!$AE:$AE,MATCH(B413,Bids!$A:$A,0))="Pending",1,0),0)</f>
        <v>0</v>
      </c>
      <c r="AN413" s="39" t="str">
        <f t="array" ref="AN413">IF(C413="","",IFERROR(XLOOKUP(C413,Assignments!$C:$C,Assignments!$AU:$AU,0),0))</f>
        <v/>
      </c>
      <c r="AO413" s="39">
        <f>IF(AND(Config!$B$1006="Y",AN413=1),Config!$B$1007,0)</f>
        <v>0</v>
      </c>
    </row>
    <row r="414" ht="15.75" customHeight="1">
      <c r="A414" s="46" t="str">
        <f t="shared" si="1"/>
        <v/>
      </c>
      <c r="B414" s="40" t="str">
        <f>IF(Bids!$A414="","",Bids!$A414)</f>
        <v/>
      </c>
      <c r="C414" s="40" t="str">
        <f>IF(Bids!$B414="","",Bids!$B414)</f>
        <v/>
      </c>
      <c r="D414" s="40" t="str">
        <f>IF($C414="","",IFERROR(VLOOKUP($C414,Orders!$A:$J,9,FALSE),""))</f>
        <v/>
      </c>
      <c r="E414" s="40" t="str">
        <f>IF($C414="","",IFERROR(VLOOKUP($C414,Orders!$A:$J,3,FALSE),""))</f>
        <v/>
      </c>
      <c r="F414" s="40" t="str">
        <f>IF($C414="","",IFERROR(VLOOKUP($C414,Orders!$A:$J,4,FALSE),""))</f>
        <v/>
      </c>
      <c r="G414" s="40" t="str">
        <f>IF($C414="","",IFERROR(VLOOKUP($C414,Orders!$A:$J,5,FALSE),""))</f>
        <v/>
      </c>
      <c r="H414" s="40" t="str">
        <f>IF($C414="","",IFERROR(VLOOKUP($C414,Orders!$A:$J,6,FALSE),""))</f>
        <v/>
      </c>
      <c r="I414" s="40" t="str">
        <f>IF($C414="","",IFERROR(VLOOKUP($C414,Orders!$A:$J,7,FALSE),""))</f>
        <v/>
      </c>
      <c r="J414" s="40" t="str">
        <f>IF(Bids!$C414="","",Bids!$C414)</f>
        <v/>
      </c>
      <c r="K414" s="40" t="str">
        <f>IF($J414="","",IFERROR(VLOOKUP($J414,Grinders!$A:$N,2,FALSE),""))</f>
        <v/>
      </c>
      <c r="L414" s="40" t="str">
        <f>IF($J414="","",IFERROR(VLOOKUP($J414,Grinders!$A:$N,3,FALSE),""))</f>
        <v/>
      </c>
      <c r="M414" s="40" t="str">
        <f>IF($J414="","",IFERROR(VLOOKUP($J414,Grinders!$A:$N,4,FALSE),""))</f>
        <v/>
      </c>
      <c r="N414" s="40" t="str">
        <f>IF($J414="","",IFERROR(VLOOKUP($J414,Grinders!$A:$N,5,FALSE),""))</f>
        <v/>
      </c>
      <c r="O414" s="40" t="str">
        <f t="shared" si="2"/>
        <v/>
      </c>
      <c r="P414" s="40" t="str">
        <f>IF($J414="","",IFERROR(VLOOKUP($J414,Grinders!$A:$N,6,FALSE),""))</f>
        <v/>
      </c>
      <c r="Q414" s="40" t="str">
        <f>IF($J414="","",IFERROR(VLOOKUP($J414,Grinders!$A:$N,8,FALSE),""))</f>
        <v/>
      </c>
      <c r="R414" s="40" t="str">
        <f>IFERROR(IF($J414="","",IF($L414="Elite",MAX(50,MIN(100,Config!$B$27*MAX(0,MIN(100,(1-IF($O414="",0,$O414))*100)) + Config!$B$28*MAX(0,MIN(100,(1-MIN(1,IF(Config!$B$30=0,1,$P414/Config!$B$30)))*100)) + Config!$B$29*MAX(0,MIN(100,MIN(1,IF($Q414="",0,$Q414)/Config!$B$23)*100)))),MIN(100,Config!$B$27*MAX(0,MIN(100,(1-IF($O414="",0,$O414))*100)) + Config!$B$28*MAX(0,MIN(100,(1-MIN(1,IF(Config!$B$30=0,1,$P414/Config!$B$30)))*100)) + Config!$B$29*MAX(0,MIN(100,MIN(1,IF($Q414="",0,$Q414)/Config!$B$23)*100))))),"")
</f>
        <v/>
      </c>
      <c r="S414" s="40" t="str">
        <f>IF(Bids!$AC414="","",Bids!$AC414)</f>
        <v/>
      </c>
      <c r="T414" s="40" t="str">
        <f>IF(Bids!$F414="","",Bids!$F414)</f>
        <v/>
      </c>
      <c r="U414" s="40" t="str">
        <f t="shared" si="3"/>
        <v/>
      </c>
      <c r="V414" s="40" t="str">
        <f>IF($U414="","",IF(Config!$B$17=Config!$B$16,IF($U414&gt;=Config!$B$17,100,0),MAX(0,MIN(100,($U414-Config!$B$16)/(Config!$B$17-Config!$B$16)*100))))</f>
        <v/>
      </c>
      <c r="W414" s="40">
        <f>IF($L414="Elite",Config!$B$21,0)</f>
        <v>0</v>
      </c>
      <c r="X414" s="40" t="str">
        <f>IFERROR(IF(OR($T414="",$G414=""),"",IF($T414&gt;$G414,
  MAX(0, 60-(($T414-$G414)*24/Config!$B$19)*60),
  MEDIAN(60, 100, 60+(($G414-$T414)*24/Config!$B$20)*40)
)),"")
</f>
        <v/>
      </c>
      <c r="Y414" s="40" t="str">
        <f>IF($J414="","",IFERROR(VLOOKUP($J414,Grinders!$A:$N,10,FALSE),""))</f>
        <v/>
      </c>
      <c r="Z414" s="40" t="str">
        <f>IF($J414="","",IFERROR(VLOOKUP($J414,Grinders!$A:$N,11,FALSE),""))</f>
        <v/>
      </c>
      <c r="AA414" s="40" t="str">
        <f>IF($J414="","",IFERROR(VLOOKUP($J414,Grinders!$A:$N,12,FALSE),""))</f>
        <v/>
      </c>
      <c r="AB414" s="40" t="str">
        <f>IF(OR(AL414=1,AM414=1),0,=IFERROR(IF(OR($C414="",$J414=""),0,IF($D414&lt;&gt;"Open",0,IF(COUNTIFS(GrinderServices!$A:$A,$J414,GrinderServices!$B:$B,$E414,GrinderServices!$D:$D,"Y")=0,0,IF($U414&lt;Config!$B$16,0,IF(Config!$B$18=1,IF($N414&gt;=$M414,0,1),1))))),""))</f>
        <v>#ERROR!</v>
      </c>
      <c r="AC414" s="40" t="str">
        <f>IFERROR((IF(OR(AL414=1,AM414=1),"",=IFERROR((IFERROR(IF($AB414=0,"",((Config!$B$6*$V414 + Config!$B$7*$R414 + Config!$B$8*$W414 + Config!$B$9*$X414 + Config!$B$10*$Y414 + Config!$B$11*$Z414 - Config!$B$12*$AA414)/Config!$B$13)+$AH414+$AI414),""))*(1-IFERROR(VLOOKUP(J414,Grinders!$A:$AB, 28, FALSE),0)),"")))*(1+AO414),"")</f>
        <v>#ERROR!</v>
      </c>
      <c r="AD414" s="40" t="str">
        <f t="shared" si="4"/>
        <v/>
      </c>
      <c r="AE414" s="40" t="str">
        <f>IFERROR(__xludf.DUMMYFUNCTION("IF($AC414="""","""",IF($AC414=IFERROR(MAX(FILTER($AC$6:$AC$1000,$C$6:$C$1000=$C414,$AB$6:$AB$1000=1)),),""WINNER"",""""))"),"#ERROR!")</f>
        <v>#ERROR!</v>
      </c>
      <c r="AF414" s="40" t="str">
        <f t="shared" si="5"/>
        <v/>
      </c>
      <c r="AG414" s="40" t="str">
        <f>IF($J414="","",COUNTIF(Assignments!$B:$B,$J414))</f>
        <v/>
      </c>
      <c r="AH414" s="40" t="str">
        <f>IF($J414="","",IF(AND($AG414=0,$N414&lt;$M414),Config!$B$43,0))</f>
        <v/>
      </c>
      <c r="AI414" s="40" t="str">
        <f>IF($J414="","",IF(AND($L414="Elite",$F414&gt;=Config!$B$41,$N414&lt;$M414),Config!$B$42,0))</f>
        <v/>
      </c>
      <c r="AJ414" s="22"/>
      <c r="AK414" s="39">
        <f>IFERROR(VLOOKUP(J414,Grinders!$A:$Q,28,FALSE),0)</f>
        <v>0</v>
      </c>
      <c r="AL414" s="39">
        <f>IF(Config!$B$1003&lt;&gt;"Y",0,IF(IFERROR(VLOOKUP(J414,Grinders!$A:$P,27,FALSE),0)&gt;=3,IF(OR(F414&gt;=Config!$B$1001,ISNUMBER(SEARCH(E414,Config!$B$1002))),1,0),0))</f>
        <v>0</v>
      </c>
      <c r="AM414" s="39">
        <f t="array" ref="AM414">IFERROR(IF(INDEX(Bids!$AE:$AE,MATCH(B414,Bids!$A:$A,0))="Pending",1,0),0)</f>
        <v>0</v>
      </c>
      <c r="AN414" s="39" t="str">
        <f t="array" ref="AN414">IF(C414="","",IFERROR(XLOOKUP(C414,Assignments!$C:$C,Assignments!$AU:$AU,0),0))</f>
        <v/>
      </c>
      <c r="AO414" s="39">
        <f>IF(AND(Config!$B$1006="Y",AN414=1),Config!$B$1007,0)</f>
        <v>0</v>
      </c>
    </row>
    <row r="415" ht="15.75" customHeight="1">
      <c r="A415" s="46" t="str">
        <f t="shared" si="1"/>
        <v/>
      </c>
      <c r="B415" s="40" t="str">
        <f>IF(Bids!$A415="","",Bids!$A415)</f>
        <v/>
      </c>
      <c r="C415" s="40" t="str">
        <f>IF(Bids!$B415="","",Bids!$B415)</f>
        <v/>
      </c>
      <c r="D415" s="40" t="str">
        <f>IF($C415="","",IFERROR(VLOOKUP($C415,Orders!$A:$J,9,FALSE),""))</f>
        <v/>
      </c>
      <c r="E415" s="40" t="str">
        <f>IF($C415="","",IFERROR(VLOOKUP($C415,Orders!$A:$J,3,FALSE),""))</f>
        <v/>
      </c>
      <c r="F415" s="40" t="str">
        <f>IF($C415="","",IFERROR(VLOOKUP($C415,Orders!$A:$J,4,FALSE),""))</f>
        <v/>
      </c>
      <c r="G415" s="40" t="str">
        <f>IF($C415="","",IFERROR(VLOOKUP($C415,Orders!$A:$J,5,FALSE),""))</f>
        <v/>
      </c>
      <c r="H415" s="40" t="str">
        <f>IF($C415="","",IFERROR(VLOOKUP($C415,Orders!$A:$J,6,FALSE),""))</f>
        <v/>
      </c>
      <c r="I415" s="40" t="str">
        <f>IF($C415="","",IFERROR(VLOOKUP($C415,Orders!$A:$J,7,FALSE),""))</f>
        <v/>
      </c>
      <c r="J415" s="40" t="str">
        <f>IF(Bids!$C415="","",Bids!$C415)</f>
        <v/>
      </c>
      <c r="K415" s="40" t="str">
        <f>IF($J415="","",IFERROR(VLOOKUP($J415,Grinders!$A:$N,2,FALSE),""))</f>
        <v/>
      </c>
      <c r="L415" s="40" t="str">
        <f>IF($J415="","",IFERROR(VLOOKUP($J415,Grinders!$A:$N,3,FALSE),""))</f>
        <v/>
      </c>
      <c r="M415" s="40" t="str">
        <f>IF($J415="","",IFERROR(VLOOKUP($J415,Grinders!$A:$N,4,FALSE),""))</f>
        <v/>
      </c>
      <c r="N415" s="40" t="str">
        <f>IF($J415="","",IFERROR(VLOOKUP($J415,Grinders!$A:$N,5,FALSE),""))</f>
        <v/>
      </c>
      <c r="O415" s="40" t="str">
        <f t="shared" si="2"/>
        <v/>
      </c>
      <c r="P415" s="40" t="str">
        <f>IF($J415="","",IFERROR(VLOOKUP($J415,Grinders!$A:$N,6,FALSE),""))</f>
        <v/>
      </c>
      <c r="Q415" s="40" t="str">
        <f>IF($J415="","",IFERROR(VLOOKUP($J415,Grinders!$A:$N,8,FALSE),""))</f>
        <v/>
      </c>
      <c r="R415" s="40" t="str">
        <f>IFERROR(IF($J415="","",IF($L415="Elite",MAX(50,MIN(100,Config!$B$27*MAX(0,MIN(100,(1-IF($O415="",0,$O415))*100)) + Config!$B$28*MAX(0,MIN(100,(1-MIN(1,IF(Config!$B$30=0,1,$P415/Config!$B$30)))*100)) + Config!$B$29*MAX(0,MIN(100,MIN(1,IF($Q415="",0,$Q415)/Config!$B$23)*100)))),MIN(100,Config!$B$27*MAX(0,MIN(100,(1-IF($O415="",0,$O415))*100)) + Config!$B$28*MAX(0,MIN(100,(1-MIN(1,IF(Config!$B$30=0,1,$P415/Config!$B$30)))*100)) + Config!$B$29*MAX(0,MIN(100,MIN(1,IF($Q415="",0,$Q415)/Config!$B$23)*100))))),"")
</f>
        <v/>
      </c>
      <c r="S415" s="40" t="str">
        <f>IF(Bids!$AC415="","",Bids!$AC415)</f>
        <v/>
      </c>
      <c r="T415" s="40" t="str">
        <f>IF(Bids!$F415="","",Bids!$F415)</f>
        <v/>
      </c>
      <c r="U415" s="40" t="str">
        <f t="shared" si="3"/>
        <v/>
      </c>
      <c r="V415" s="40" t="str">
        <f>IF($U415="","",IF(Config!$B$17=Config!$B$16,IF($U415&gt;=Config!$B$17,100,0),MAX(0,MIN(100,($U415-Config!$B$16)/(Config!$B$17-Config!$B$16)*100))))</f>
        <v/>
      </c>
      <c r="W415" s="40">
        <f>IF($L415="Elite",Config!$B$21,0)</f>
        <v>0</v>
      </c>
      <c r="X415" s="40" t="str">
        <f>IFERROR(IF(OR($T415="",$G415=""),"",IF($T415&gt;$G415,
  MAX(0, 60-(($T415-$G415)*24/Config!$B$19)*60),
  MEDIAN(60, 100, 60+(($G415-$T415)*24/Config!$B$20)*40)
)),"")
</f>
        <v/>
      </c>
      <c r="Y415" s="40" t="str">
        <f>IF($J415="","",IFERROR(VLOOKUP($J415,Grinders!$A:$N,10,FALSE),""))</f>
        <v/>
      </c>
      <c r="Z415" s="40" t="str">
        <f>IF($J415="","",IFERROR(VLOOKUP($J415,Grinders!$A:$N,11,FALSE),""))</f>
        <v/>
      </c>
      <c r="AA415" s="40" t="str">
        <f>IF($J415="","",IFERROR(VLOOKUP($J415,Grinders!$A:$N,12,FALSE),""))</f>
        <v/>
      </c>
      <c r="AB415" s="40" t="str">
        <f>IF(OR(AL415=1,AM415=1),0,=IFERROR(IF(OR($C415="",$J415=""),0,IF($D415&lt;&gt;"Open",0,IF(COUNTIFS(GrinderServices!$A:$A,$J415,GrinderServices!$B:$B,$E415,GrinderServices!$D:$D,"Y")=0,0,IF($U415&lt;Config!$B$16,0,IF(Config!$B$18=1,IF($N415&gt;=$M415,0,1),1))))),""))</f>
        <v>#ERROR!</v>
      </c>
      <c r="AC415" s="40" t="str">
        <f>IFERROR((IF(OR(AL415=1,AM415=1),"",=IFERROR((IFERROR(IF($AB415=0,"",((Config!$B$6*$V415 + Config!$B$7*$R415 + Config!$B$8*$W415 + Config!$B$9*$X415 + Config!$B$10*$Y415 + Config!$B$11*$Z415 - Config!$B$12*$AA415)/Config!$B$13)+$AH415+$AI415),""))*(1-IFERROR(VLOOKUP(J415,Grinders!$A:$AB, 28, FALSE),0)),"")))*(1+AO415),"")</f>
        <v>#ERROR!</v>
      </c>
      <c r="AD415" s="40" t="str">
        <f t="shared" si="4"/>
        <v/>
      </c>
      <c r="AE415" s="40" t="str">
        <f>IFERROR(__xludf.DUMMYFUNCTION("IF($AC415="""","""",IF($AC415=IFERROR(MAX(FILTER($AC$6:$AC$1000,$C$6:$C$1000=$C415,$AB$6:$AB$1000=1)),),""WINNER"",""""))"),"#ERROR!")</f>
        <v>#ERROR!</v>
      </c>
      <c r="AF415" s="40" t="str">
        <f t="shared" si="5"/>
        <v/>
      </c>
      <c r="AG415" s="40" t="str">
        <f>IF($J415="","",COUNTIF(Assignments!$B:$B,$J415))</f>
        <v/>
      </c>
      <c r="AH415" s="40" t="str">
        <f>IF($J415="","",IF(AND($AG415=0,$N415&lt;$M415),Config!$B$43,0))</f>
        <v/>
      </c>
      <c r="AI415" s="40" t="str">
        <f>IF($J415="","",IF(AND($L415="Elite",$F415&gt;=Config!$B$41,$N415&lt;$M415),Config!$B$42,0))</f>
        <v/>
      </c>
      <c r="AJ415" s="22"/>
      <c r="AK415" s="39">
        <f>IFERROR(VLOOKUP(J415,Grinders!$A:$Q,28,FALSE),0)</f>
        <v>0</v>
      </c>
      <c r="AL415" s="39">
        <f>IF(Config!$B$1003&lt;&gt;"Y",0,IF(IFERROR(VLOOKUP(J415,Grinders!$A:$P,27,FALSE),0)&gt;=3,IF(OR(F415&gt;=Config!$B$1001,ISNUMBER(SEARCH(E415,Config!$B$1002))),1,0),0))</f>
        <v>0</v>
      </c>
      <c r="AM415" s="39">
        <f t="array" ref="AM415">IFERROR(IF(INDEX(Bids!$AE:$AE,MATCH(B415,Bids!$A:$A,0))="Pending",1,0),0)</f>
        <v>0</v>
      </c>
      <c r="AN415" s="39" t="str">
        <f t="array" ref="AN415">IF(C415="","",IFERROR(XLOOKUP(C415,Assignments!$C:$C,Assignments!$AU:$AU,0),0))</f>
        <v/>
      </c>
      <c r="AO415" s="39">
        <f>IF(AND(Config!$B$1006="Y",AN415=1),Config!$B$1007,0)</f>
        <v>0</v>
      </c>
    </row>
    <row r="416" ht="15.75" customHeight="1">
      <c r="A416" s="46" t="str">
        <f t="shared" si="1"/>
        <v/>
      </c>
      <c r="B416" s="40" t="str">
        <f>IF(Bids!$A416="","",Bids!$A416)</f>
        <v/>
      </c>
      <c r="C416" s="40" t="str">
        <f>IF(Bids!$B416="","",Bids!$B416)</f>
        <v/>
      </c>
      <c r="D416" s="40" t="str">
        <f>IF($C416="","",IFERROR(VLOOKUP($C416,Orders!$A:$J,9,FALSE),""))</f>
        <v/>
      </c>
      <c r="E416" s="40" t="str">
        <f>IF($C416="","",IFERROR(VLOOKUP($C416,Orders!$A:$J,3,FALSE),""))</f>
        <v/>
      </c>
      <c r="F416" s="40" t="str">
        <f>IF($C416="","",IFERROR(VLOOKUP($C416,Orders!$A:$J,4,FALSE),""))</f>
        <v/>
      </c>
      <c r="G416" s="40" t="str">
        <f>IF($C416="","",IFERROR(VLOOKUP($C416,Orders!$A:$J,5,FALSE),""))</f>
        <v/>
      </c>
      <c r="H416" s="40" t="str">
        <f>IF($C416="","",IFERROR(VLOOKUP($C416,Orders!$A:$J,6,FALSE),""))</f>
        <v/>
      </c>
      <c r="I416" s="40" t="str">
        <f>IF($C416="","",IFERROR(VLOOKUP($C416,Orders!$A:$J,7,FALSE),""))</f>
        <v/>
      </c>
      <c r="J416" s="40" t="str">
        <f>IF(Bids!$C416="","",Bids!$C416)</f>
        <v/>
      </c>
      <c r="K416" s="40" t="str">
        <f>IF($J416="","",IFERROR(VLOOKUP($J416,Grinders!$A:$N,2,FALSE),""))</f>
        <v/>
      </c>
      <c r="L416" s="40" t="str">
        <f>IF($J416="","",IFERROR(VLOOKUP($J416,Grinders!$A:$N,3,FALSE),""))</f>
        <v/>
      </c>
      <c r="M416" s="40" t="str">
        <f>IF($J416="","",IFERROR(VLOOKUP($J416,Grinders!$A:$N,4,FALSE),""))</f>
        <v/>
      </c>
      <c r="N416" s="40" t="str">
        <f>IF($J416="","",IFERROR(VLOOKUP($J416,Grinders!$A:$N,5,FALSE),""))</f>
        <v/>
      </c>
      <c r="O416" s="40" t="str">
        <f t="shared" si="2"/>
        <v/>
      </c>
      <c r="P416" s="40" t="str">
        <f>IF($J416="","",IFERROR(VLOOKUP($J416,Grinders!$A:$N,6,FALSE),""))</f>
        <v/>
      </c>
      <c r="Q416" s="40" t="str">
        <f>IF($J416="","",IFERROR(VLOOKUP($J416,Grinders!$A:$N,8,FALSE),""))</f>
        <v/>
      </c>
      <c r="R416" s="40" t="str">
        <f>IFERROR(IF($J416="","",IF($L416="Elite",MAX(50,MIN(100,Config!$B$27*MAX(0,MIN(100,(1-IF($O416="",0,$O416))*100)) + Config!$B$28*MAX(0,MIN(100,(1-MIN(1,IF(Config!$B$30=0,1,$P416/Config!$B$30)))*100)) + Config!$B$29*MAX(0,MIN(100,MIN(1,IF($Q416="",0,$Q416)/Config!$B$23)*100)))),MIN(100,Config!$B$27*MAX(0,MIN(100,(1-IF($O416="",0,$O416))*100)) + Config!$B$28*MAX(0,MIN(100,(1-MIN(1,IF(Config!$B$30=0,1,$P416/Config!$B$30)))*100)) + Config!$B$29*MAX(0,MIN(100,MIN(1,IF($Q416="",0,$Q416)/Config!$B$23)*100))))),"")
</f>
        <v/>
      </c>
      <c r="S416" s="40" t="str">
        <f>IF(Bids!$AC416="","",Bids!$AC416)</f>
        <v/>
      </c>
      <c r="T416" s="40" t="str">
        <f>IF(Bids!$F416="","",Bids!$F416)</f>
        <v/>
      </c>
      <c r="U416" s="40" t="str">
        <f t="shared" si="3"/>
        <v/>
      </c>
      <c r="V416" s="40" t="str">
        <f>IF($U416="","",IF(Config!$B$17=Config!$B$16,IF($U416&gt;=Config!$B$17,100,0),MAX(0,MIN(100,($U416-Config!$B$16)/(Config!$B$17-Config!$B$16)*100))))</f>
        <v/>
      </c>
      <c r="W416" s="40">
        <f>IF($L416="Elite",Config!$B$21,0)</f>
        <v>0</v>
      </c>
      <c r="X416" s="40" t="str">
        <f>IFERROR(IF(OR($T416="",$G416=""),"",IF($T416&gt;$G416,
  MAX(0, 60-(($T416-$G416)*24/Config!$B$19)*60),
  MEDIAN(60, 100, 60+(($G416-$T416)*24/Config!$B$20)*40)
)),"")
</f>
        <v/>
      </c>
      <c r="Y416" s="40" t="str">
        <f>IF($J416="","",IFERROR(VLOOKUP($J416,Grinders!$A:$N,10,FALSE),""))</f>
        <v/>
      </c>
      <c r="Z416" s="40" t="str">
        <f>IF($J416="","",IFERROR(VLOOKUP($J416,Grinders!$A:$N,11,FALSE),""))</f>
        <v/>
      </c>
      <c r="AA416" s="40" t="str">
        <f>IF($J416="","",IFERROR(VLOOKUP($J416,Grinders!$A:$N,12,FALSE),""))</f>
        <v/>
      </c>
      <c r="AB416" s="40" t="str">
        <f>IF(OR(AL416=1,AM416=1),0,=IFERROR(IF(OR($C416="",$J416=""),0,IF($D416&lt;&gt;"Open",0,IF(COUNTIFS(GrinderServices!$A:$A,$J416,GrinderServices!$B:$B,$E416,GrinderServices!$D:$D,"Y")=0,0,IF($U416&lt;Config!$B$16,0,IF(Config!$B$18=1,IF($N416&gt;=$M416,0,1),1))))),""))</f>
        <v>#ERROR!</v>
      </c>
      <c r="AC416" s="40" t="str">
        <f>IFERROR((IF(OR(AL416=1,AM416=1),"",=IFERROR((IFERROR(IF($AB416=0,"",((Config!$B$6*$V416 + Config!$B$7*$R416 + Config!$B$8*$W416 + Config!$B$9*$X416 + Config!$B$10*$Y416 + Config!$B$11*$Z416 - Config!$B$12*$AA416)/Config!$B$13)+$AH416+$AI416),""))*(1-IFERROR(VLOOKUP(J416,Grinders!$A:$AB, 28, FALSE),0)),"")))*(1+AO416),"")</f>
        <v>#ERROR!</v>
      </c>
      <c r="AD416" s="40" t="str">
        <f t="shared" si="4"/>
        <v/>
      </c>
      <c r="AE416" s="40" t="str">
        <f>IFERROR(__xludf.DUMMYFUNCTION("IF($AC416="""","""",IF($AC416=IFERROR(MAX(FILTER($AC$6:$AC$1000,$C$6:$C$1000=$C416,$AB$6:$AB$1000=1)),),""WINNER"",""""))"),"#ERROR!")</f>
        <v>#ERROR!</v>
      </c>
      <c r="AF416" s="40" t="str">
        <f t="shared" si="5"/>
        <v/>
      </c>
      <c r="AG416" s="40" t="str">
        <f>IF($J416="","",COUNTIF(Assignments!$B:$B,$J416))</f>
        <v/>
      </c>
      <c r="AH416" s="40" t="str">
        <f>IF($J416="","",IF(AND($AG416=0,$N416&lt;$M416),Config!$B$43,0))</f>
        <v/>
      </c>
      <c r="AI416" s="40" t="str">
        <f>IF($J416="","",IF(AND($L416="Elite",$F416&gt;=Config!$B$41,$N416&lt;$M416),Config!$B$42,0))</f>
        <v/>
      </c>
      <c r="AJ416" s="22"/>
      <c r="AK416" s="39">
        <f>IFERROR(VLOOKUP(J416,Grinders!$A:$Q,28,FALSE),0)</f>
        <v>0</v>
      </c>
      <c r="AL416" s="39">
        <f>IF(Config!$B$1003&lt;&gt;"Y",0,IF(IFERROR(VLOOKUP(J416,Grinders!$A:$P,27,FALSE),0)&gt;=3,IF(OR(F416&gt;=Config!$B$1001,ISNUMBER(SEARCH(E416,Config!$B$1002))),1,0),0))</f>
        <v>0</v>
      </c>
      <c r="AM416" s="39">
        <f t="array" ref="AM416">IFERROR(IF(INDEX(Bids!$AE:$AE,MATCH(B416,Bids!$A:$A,0))="Pending",1,0),0)</f>
        <v>0</v>
      </c>
      <c r="AN416" s="39" t="str">
        <f t="array" ref="AN416">IF(C416="","",IFERROR(XLOOKUP(C416,Assignments!$C:$C,Assignments!$AU:$AU,0),0))</f>
        <v/>
      </c>
      <c r="AO416" s="39">
        <f>IF(AND(Config!$B$1006="Y",AN416=1),Config!$B$1007,0)</f>
        <v>0</v>
      </c>
    </row>
    <row r="417" ht="15.75" customHeight="1">
      <c r="A417" s="46" t="str">
        <f t="shared" si="1"/>
        <v/>
      </c>
      <c r="B417" s="40" t="str">
        <f>IF(Bids!$A417="","",Bids!$A417)</f>
        <v/>
      </c>
      <c r="C417" s="40" t="str">
        <f>IF(Bids!$B417="","",Bids!$B417)</f>
        <v/>
      </c>
      <c r="D417" s="40" t="str">
        <f>IF($C417="","",IFERROR(VLOOKUP($C417,Orders!$A:$J,9,FALSE),""))</f>
        <v/>
      </c>
      <c r="E417" s="40" t="str">
        <f>IF($C417="","",IFERROR(VLOOKUP($C417,Orders!$A:$J,3,FALSE),""))</f>
        <v/>
      </c>
      <c r="F417" s="40" t="str">
        <f>IF($C417="","",IFERROR(VLOOKUP($C417,Orders!$A:$J,4,FALSE),""))</f>
        <v/>
      </c>
      <c r="G417" s="40" t="str">
        <f>IF($C417="","",IFERROR(VLOOKUP($C417,Orders!$A:$J,5,FALSE),""))</f>
        <v/>
      </c>
      <c r="H417" s="40" t="str">
        <f>IF($C417="","",IFERROR(VLOOKUP($C417,Orders!$A:$J,6,FALSE),""))</f>
        <v/>
      </c>
      <c r="I417" s="40" t="str">
        <f>IF($C417="","",IFERROR(VLOOKUP($C417,Orders!$A:$J,7,FALSE),""))</f>
        <v/>
      </c>
      <c r="J417" s="40" t="str">
        <f>IF(Bids!$C417="","",Bids!$C417)</f>
        <v/>
      </c>
      <c r="K417" s="40" t="str">
        <f>IF($J417="","",IFERROR(VLOOKUP($J417,Grinders!$A:$N,2,FALSE),""))</f>
        <v/>
      </c>
      <c r="L417" s="40" t="str">
        <f>IF($J417="","",IFERROR(VLOOKUP($J417,Grinders!$A:$N,3,FALSE),""))</f>
        <v/>
      </c>
      <c r="M417" s="40" t="str">
        <f>IF($J417="","",IFERROR(VLOOKUP($J417,Grinders!$A:$N,4,FALSE),""))</f>
        <v/>
      </c>
      <c r="N417" s="40" t="str">
        <f>IF($J417="","",IFERROR(VLOOKUP($J417,Grinders!$A:$N,5,FALSE),""))</f>
        <v/>
      </c>
      <c r="O417" s="40" t="str">
        <f t="shared" si="2"/>
        <v/>
      </c>
      <c r="P417" s="40" t="str">
        <f>IF($J417="","",IFERROR(VLOOKUP($J417,Grinders!$A:$N,6,FALSE),""))</f>
        <v/>
      </c>
      <c r="Q417" s="40" t="str">
        <f>IF($J417="","",IFERROR(VLOOKUP($J417,Grinders!$A:$N,8,FALSE),""))</f>
        <v/>
      </c>
      <c r="R417" s="40" t="str">
        <f>IFERROR(IF($J417="","",IF($L417="Elite",MAX(50,MIN(100,Config!$B$27*MAX(0,MIN(100,(1-IF($O417="",0,$O417))*100)) + Config!$B$28*MAX(0,MIN(100,(1-MIN(1,IF(Config!$B$30=0,1,$P417/Config!$B$30)))*100)) + Config!$B$29*MAX(0,MIN(100,MIN(1,IF($Q417="",0,$Q417)/Config!$B$23)*100)))),MIN(100,Config!$B$27*MAX(0,MIN(100,(1-IF($O417="",0,$O417))*100)) + Config!$B$28*MAX(0,MIN(100,(1-MIN(1,IF(Config!$B$30=0,1,$P417/Config!$B$30)))*100)) + Config!$B$29*MAX(0,MIN(100,MIN(1,IF($Q417="",0,$Q417)/Config!$B$23)*100))))),"")
</f>
        <v/>
      </c>
      <c r="S417" s="40" t="str">
        <f>IF(Bids!$AC417="","",Bids!$AC417)</f>
        <v/>
      </c>
      <c r="T417" s="40" t="str">
        <f>IF(Bids!$F417="","",Bids!$F417)</f>
        <v/>
      </c>
      <c r="U417" s="40" t="str">
        <f t="shared" si="3"/>
        <v/>
      </c>
      <c r="V417" s="40" t="str">
        <f>IF($U417="","",IF(Config!$B$17=Config!$B$16,IF($U417&gt;=Config!$B$17,100,0),MAX(0,MIN(100,($U417-Config!$B$16)/(Config!$B$17-Config!$B$16)*100))))</f>
        <v/>
      </c>
      <c r="W417" s="40">
        <f>IF($L417="Elite",Config!$B$21,0)</f>
        <v>0</v>
      </c>
      <c r="X417" s="40" t="str">
        <f>IFERROR(IF(OR($T417="",$G417=""),"",IF($T417&gt;$G417,
  MAX(0, 60-(($T417-$G417)*24/Config!$B$19)*60),
  MEDIAN(60, 100, 60+(($G417-$T417)*24/Config!$B$20)*40)
)),"")
</f>
        <v/>
      </c>
      <c r="Y417" s="40" t="str">
        <f>IF($J417="","",IFERROR(VLOOKUP($J417,Grinders!$A:$N,10,FALSE),""))</f>
        <v/>
      </c>
      <c r="Z417" s="40" t="str">
        <f>IF($J417="","",IFERROR(VLOOKUP($J417,Grinders!$A:$N,11,FALSE),""))</f>
        <v/>
      </c>
      <c r="AA417" s="40" t="str">
        <f>IF($J417="","",IFERROR(VLOOKUP($J417,Grinders!$A:$N,12,FALSE),""))</f>
        <v/>
      </c>
      <c r="AB417" s="40" t="str">
        <f>IF(OR(AL417=1,AM417=1),0,=IFERROR(IF(OR($C417="",$J417=""),0,IF($D417&lt;&gt;"Open",0,IF(COUNTIFS(GrinderServices!$A:$A,$J417,GrinderServices!$B:$B,$E417,GrinderServices!$D:$D,"Y")=0,0,IF($U417&lt;Config!$B$16,0,IF(Config!$B$18=1,IF($N417&gt;=$M417,0,1),1))))),""))</f>
        <v>#ERROR!</v>
      </c>
      <c r="AC417" s="40" t="str">
        <f>IFERROR((IF(OR(AL417=1,AM417=1),"",=IFERROR((IFERROR(IF($AB417=0,"",((Config!$B$6*$V417 + Config!$B$7*$R417 + Config!$B$8*$W417 + Config!$B$9*$X417 + Config!$B$10*$Y417 + Config!$B$11*$Z417 - Config!$B$12*$AA417)/Config!$B$13)+$AH417+$AI417),""))*(1-IFERROR(VLOOKUP(J417,Grinders!$A:$AB, 28, FALSE),0)),"")))*(1+AO417),"")</f>
        <v>#ERROR!</v>
      </c>
      <c r="AD417" s="40" t="str">
        <f t="shared" si="4"/>
        <v/>
      </c>
      <c r="AE417" s="40" t="str">
        <f>IFERROR(__xludf.DUMMYFUNCTION("IF($AC417="""","""",IF($AC417=IFERROR(MAX(FILTER($AC$6:$AC$1000,$C$6:$C$1000=$C417,$AB$6:$AB$1000=1)),),""WINNER"",""""))"),"#ERROR!")</f>
        <v>#ERROR!</v>
      </c>
      <c r="AF417" s="40" t="str">
        <f t="shared" si="5"/>
        <v/>
      </c>
      <c r="AG417" s="40" t="str">
        <f>IF($J417="","",COUNTIF(Assignments!$B:$B,$J417))</f>
        <v/>
      </c>
      <c r="AH417" s="40" t="str">
        <f>IF($J417="","",IF(AND($AG417=0,$N417&lt;$M417),Config!$B$43,0))</f>
        <v/>
      </c>
      <c r="AI417" s="40" t="str">
        <f>IF($J417="","",IF(AND($L417="Elite",$F417&gt;=Config!$B$41,$N417&lt;$M417),Config!$B$42,0))</f>
        <v/>
      </c>
      <c r="AJ417" s="22"/>
      <c r="AK417" s="39">
        <f>IFERROR(VLOOKUP(J417,Grinders!$A:$Q,28,FALSE),0)</f>
        <v>0</v>
      </c>
      <c r="AL417" s="39">
        <f>IF(Config!$B$1003&lt;&gt;"Y",0,IF(IFERROR(VLOOKUP(J417,Grinders!$A:$P,27,FALSE),0)&gt;=3,IF(OR(F417&gt;=Config!$B$1001,ISNUMBER(SEARCH(E417,Config!$B$1002))),1,0),0))</f>
        <v>0</v>
      </c>
      <c r="AM417" s="39">
        <f t="array" ref="AM417">IFERROR(IF(INDEX(Bids!$AE:$AE,MATCH(B417,Bids!$A:$A,0))="Pending",1,0),0)</f>
        <v>0</v>
      </c>
      <c r="AN417" s="39" t="str">
        <f t="array" ref="AN417">IF(C417="","",IFERROR(XLOOKUP(C417,Assignments!$C:$C,Assignments!$AU:$AU,0),0))</f>
        <v/>
      </c>
      <c r="AO417" s="39">
        <f>IF(AND(Config!$B$1006="Y",AN417=1),Config!$B$1007,0)</f>
        <v>0</v>
      </c>
    </row>
    <row r="418" ht="15.75" customHeight="1">
      <c r="A418" s="46" t="str">
        <f t="shared" si="1"/>
        <v/>
      </c>
      <c r="B418" s="40" t="str">
        <f>IF(Bids!$A418="","",Bids!$A418)</f>
        <v/>
      </c>
      <c r="C418" s="40" t="str">
        <f>IF(Bids!$B418="","",Bids!$B418)</f>
        <v/>
      </c>
      <c r="D418" s="40" t="str">
        <f>IF($C418="","",IFERROR(VLOOKUP($C418,Orders!$A:$J,9,FALSE),""))</f>
        <v/>
      </c>
      <c r="E418" s="40" t="str">
        <f>IF($C418="","",IFERROR(VLOOKUP($C418,Orders!$A:$J,3,FALSE),""))</f>
        <v/>
      </c>
      <c r="F418" s="40" t="str">
        <f>IF($C418="","",IFERROR(VLOOKUP($C418,Orders!$A:$J,4,FALSE),""))</f>
        <v/>
      </c>
      <c r="G418" s="40" t="str">
        <f>IF($C418="","",IFERROR(VLOOKUP($C418,Orders!$A:$J,5,FALSE),""))</f>
        <v/>
      </c>
      <c r="H418" s="40" t="str">
        <f>IF($C418="","",IFERROR(VLOOKUP($C418,Orders!$A:$J,6,FALSE),""))</f>
        <v/>
      </c>
      <c r="I418" s="40" t="str">
        <f>IF($C418="","",IFERROR(VLOOKUP($C418,Orders!$A:$J,7,FALSE),""))</f>
        <v/>
      </c>
      <c r="J418" s="40" t="str">
        <f>IF(Bids!$C418="","",Bids!$C418)</f>
        <v/>
      </c>
      <c r="K418" s="40" t="str">
        <f>IF($J418="","",IFERROR(VLOOKUP($J418,Grinders!$A:$N,2,FALSE),""))</f>
        <v/>
      </c>
      <c r="L418" s="40" t="str">
        <f>IF($J418="","",IFERROR(VLOOKUP($J418,Grinders!$A:$N,3,FALSE),""))</f>
        <v/>
      </c>
      <c r="M418" s="40" t="str">
        <f>IF($J418="","",IFERROR(VLOOKUP($J418,Grinders!$A:$N,4,FALSE),""))</f>
        <v/>
      </c>
      <c r="N418" s="40" t="str">
        <f>IF($J418="","",IFERROR(VLOOKUP($J418,Grinders!$A:$N,5,FALSE),""))</f>
        <v/>
      </c>
      <c r="O418" s="40" t="str">
        <f t="shared" si="2"/>
        <v/>
      </c>
      <c r="P418" s="40" t="str">
        <f>IF($J418="","",IFERROR(VLOOKUP($J418,Grinders!$A:$N,6,FALSE),""))</f>
        <v/>
      </c>
      <c r="Q418" s="40" t="str">
        <f>IF($J418="","",IFERROR(VLOOKUP($J418,Grinders!$A:$N,8,FALSE),""))</f>
        <v/>
      </c>
      <c r="R418" s="40" t="str">
        <f>IFERROR(IF($J418="","",IF($L418="Elite",MAX(50,MIN(100,Config!$B$27*MAX(0,MIN(100,(1-IF($O418="",0,$O418))*100)) + Config!$B$28*MAX(0,MIN(100,(1-MIN(1,IF(Config!$B$30=0,1,$P418/Config!$B$30)))*100)) + Config!$B$29*MAX(0,MIN(100,MIN(1,IF($Q418="",0,$Q418)/Config!$B$23)*100)))),MIN(100,Config!$B$27*MAX(0,MIN(100,(1-IF($O418="",0,$O418))*100)) + Config!$B$28*MAX(0,MIN(100,(1-MIN(1,IF(Config!$B$30=0,1,$P418/Config!$B$30)))*100)) + Config!$B$29*MAX(0,MIN(100,MIN(1,IF($Q418="",0,$Q418)/Config!$B$23)*100))))),"")
</f>
        <v/>
      </c>
      <c r="S418" s="40" t="str">
        <f>IF(Bids!$AC418="","",Bids!$AC418)</f>
        <v/>
      </c>
      <c r="T418" s="40" t="str">
        <f>IF(Bids!$F418="","",Bids!$F418)</f>
        <v/>
      </c>
      <c r="U418" s="40" t="str">
        <f t="shared" si="3"/>
        <v/>
      </c>
      <c r="V418" s="40" t="str">
        <f>IF($U418="","",IF(Config!$B$17=Config!$B$16,IF($U418&gt;=Config!$B$17,100,0),MAX(0,MIN(100,($U418-Config!$B$16)/(Config!$B$17-Config!$B$16)*100))))</f>
        <v/>
      </c>
      <c r="W418" s="40">
        <f>IF($L418="Elite",Config!$B$21,0)</f>
        <v>0</v>
      </c>
      <c r="X418" s="40" t="str">
        <f>IFERROR(IF(OR($T418="",$G418=""),"",IF($T418&gt;$G418,
  MAX(0, 60-(($T418-$G418)*24/Config!$B$19)*60),
  MEDIAN(60, 100, 60+(($G418-$T418)*24/Config!$B$20)*40)
)),"")
</f>
        <v/>
      </c>
      <c r="Y418" s="40" t="str">
        <f>IF($J418="","",IFERROR(VLOOKUP($J418,Grinders!$A:$N,10,FALSE),""))</f>
        <v/>
      </c>
      <c r="Z418" s="40" t="str">
        <f>IF($J418="","",IFERROR(VLOOKUP($J418,Grinders!$A:$N,11,FALSE),""))</f>
        <v/>
      </c>
      <c r="AA418" s="40" t="str">
        <f>IF($J418="","",IFERROR(VLOOKUP($J418,Grinders!$A:$N,12,FALSE),""))</f>
        <v/>
      </c>
      <c r="AB418" s="40" t="str">
        <f>IF(OR(AL418=1,AM418=1),0,=IFERROR(IF(OR($C418="",$J418=""),0,IF($D418&lt;&gt;"Open",0,IF(COUNTIFS(GrinderServices!$A:$A,$J418,GrinderServices!$B:$B,$E418,GrinderServices!$D:$D,"Y")=0,0,IF($U418&lt;Config!$B$16,0,IF(Config!$B$18=1,IF($N418&gt;=$M418,0,1),1))))),""))</f>
        <v>#ERROR!</v>
      </c>
      <c r="AC418" s="40" t="str">
        <f>IFERROR((IF(OR(AL418=1,AM418=1),"",=IFERROR((IFERROR(IF($AB418=0,"",((Config!$B$6*$V418 + Config!$B$7*$R418 + Config!$B$8*$W418 + Config!$B$9*$X418 + Config!$B$10*$Y418 + Config!$B$11*$Z418 - Config!$B$12*$AA418)/Config!$B$13)+$AH418+$AI418),""))*(1-IFERROR(VLOOKUP(J418,Grinders!$A:$AB, 28, FALSE),0)),"")))*(1+AO418),"")</f>
        <v>#ERROR!</v>
      </c>
      <c r="AD418" s="40" t="str">
        <f t="shared" si="4"/>
        <v/>
      </c>
      <c r="AE418" s="40" t="str">
        <f>IFERROR(__xludf.DUMMYFUNCTION("IF($AC418="""","""",IF($AC418=IFERROR(MAX(FILTER($AC$6:$AC$1000,$C$6:$C$1000=$C418,$AB$6:$AB$1000=1)),),""WINNER"",""""))"),"#ERROR!")</f>
        <v>#ERROR!</v>
      </c>
      <c r="AF418" s="40" t="str">
        <f t="shared" si="5"/>
        <v/>
      </c>
      <c r="AG418" s="40" t="str">
        <f>IF($J418="","",COUNTIF(Assignments!$B:$B,$J418))</f>
        <v/>
      </c>
      <c r="AH418" s="40" t="str">
        <f>IF($J418="","",IF(AND($AG418=0,$N418&lt;$M418),Config!$B$43,0))</f>
        <v/>
      </c>
      <c r="AI418" s="40" t="str">
        <f>IF($J418="","",IF(AND($L418="Elite",$F418&gt;=Config!$B$41,$N418&lt;$M418),Config!$B$42,0))</f>
        <v/>
      </c>
      <c r="AJ418" s="22"/>
      <c r="AK418" s="39">
        <f>IFERROR(VLOOKUP(J418,Grinders!$A:$Q,28,FALSE),0)</f>
        <v>0</v>
      </c>
      <c r="AL418" s="39">
        <f>IF(Config!$B$1003&lt;&gt;"Y",0,IF(IFERROR(VLOOKUP(J418,Grinders!$A:$P,27,FALSE),0)&gt;=3,IF(OR(F418&gt;=Config!$B$1001,ISNUMBER(SEARCH(E418,Config!$B$1002))),1,0),0))</f>
        <v>0</v>
      </c>
      <c r="AM418" s="39">
        <f t="array" ref="AM418">IFERROR(IF(INDEX(Bids!$AE:$AE,MATCH(B418,Bids!$A:$A,0))="Pending",1,0),0)</f>
        <v>0</v>
      </c>
      <c r="AN418" s="39" t="str">
        <f t="array" ref="AN418">IF(C418="","",IFERROR(XLOOKUP(C418,Assignments!$C:$C,Assignments!$AU:$AU,0),0))</f>
        <v/>
      </c>
      <c r="AO418" s="39">
        <f>IF(AND(Config!$B$1006="Y",AN418=1),Config!$B$1007,0)</f>
        <v>0</v>
      </c>
    </row>
    <row r="419" ht="15.75" customHeight="1">
      <c r="A419" s="46" t="str">
        <f t="shared" si="1"/>
        <v/>
      </c>
      <c r="B419" s="40" t="str">
        <f>IF(Bids!$A419="","",Bids!$A419)</f>
        <v/>
      </c>
      <c r="C419" s="40" t="str">
        <f>IF(Bids!$B419="","",Bids!$B419)</f>
        <v/>
      </c>
      <c r="D419" s="40" t="str">
        <f>IF($C419="","",IFERROR(VLOOKUP($C419,Orders!$A:$J,9,FALSE),""))</f>
        <v/>
      </c>
      <c r="E419" s="40" t="str">
        <f>IF($C419="","",IFERROR(VLOOKUP($C419,Orders!$A:$J,3,FALSE),""))</f>
        <v/>
      </c>
      <c r="F419" s="40" t="str">
        <f>IF($C419="","",IFERROR(VLOOKUP($C419,Orders!$A:$J,4,FALSE),""))</f>
        <v/>
      </c>
      <c r="G419" s="40" t="str">
        <f>IF($C419="","",IFERROR(VLOOKUP($C419,Orders!$A:$J,5,FALSE),""))</f>
        <v/>
      </c>
      <c r="H419" s="40" t="str">
        <f>IF($C419="","",IFERROR(VLOOKUP($C419,Orders!$A:$J,6,FALSE),""))</f>
        <v/>
      </c>
      <c r="I419" s="40" t="str">
        <f>IF($C419="","",IFERROR(VLOOKUP($C419,Orders!$A:$J,7,FALSE),""))</f>
        <v/>
      </c>
      <c r="J419" s="40" t="str">
        <f>IF(Bids!$C419="","",Bids!$C419)</f>
        <v/>
      </c>
      <c r="K419" s="40" t="str">
        <f>IF($J419="","",IFERROR(VLOOKUP($J419,Grinders!$A:$N,2,FALSE),""))</f>
        <v/>
      </c>
      <c r="L419" s="40" t="str">
        <f>IF($J419="","",IFERROR(VLOOKUP($J419,Grinders!$A:$N,3,FALSE),""))</f>
        <v/>
      </c>
      <c r="M419" s="40" t="str">
        <f>IF($J419="","",IFERROR(VLOOKUP($J419,Grinders!$A:$N,4,FALSE),""))</f>
        <v/>
      </c>
      <c r="N419" s="40" t="str">
        <f>IF($J419="","",IFERROR(VLOOKUP($J419,Grinders!$A:$N,5,FALSE),""))</f>
        <v/>
      </c>
      <c r="O419" s="40" t="str">
        <f t="shared" si="2"/>
        <v/>
      </c>
      <c r="P419" s="40" t="str">
        <f>IF($J419="","",IFERROR(VLOOKUP($J419,Grinders!$A:$N,6,FALSE),""))</f>
        <v/>
      </c>
      <c r="Q419" s="40" t="str">
        <f>IF($J419="","",IFERROR(VLOOKUP($J419,Grinders!$A:$N,8,FALSE),""))</f>
        <v/>
      </c>
      <c r="R419" s="40" t="str">
        <f>IFERROR(IF($J419="","",IF($L419="Elite",MAX(50,MIN(100,Config!$B$27*MAX(0,MIN(100,(1-IF($O419="",0,$O419))*100)) + Config!$B$28*MAX(0,MIN(100,(1-MIN(1,IF(Config!$B$30=0,1,$P419/Config!$B$30)))*100)) + Config!$B$29*MAX(0,MIN(100,MIN(1,IF($Q419="",0,$Q419)/Config!$B$23)*100)))),MIN(100,Config!$B$27*MAX(0,MIN(100,(1-IF($O419="",0,$O419))*100)) + Config!$B$28*MAX(0,MIN(100,(1-MIN(1,IF(Config!$B$30=0,1,$P419/Config!$B$30)))*100)) + Config!$B$29*MAX(0,MIN(100,MIN(1,IF($Q419="",0,$Q419)/Config!$B$23)*100))))),"")
</f>
        <v/>
      </c>
      <c r="S419" s="40" t="str">
        <f>IF(Bids!$AC419="","",Bids!$AC419)</f>
        <v/>
      </c>
      <c r="T419" s="40" t="str">
        <f>IF(Bids!$F419="","",Bids!$F419)</f>
        <v/>
      </c>
      <c r="U419" s="40" t="str">
        <f t="shared" si="3"/>
        <v/>
      </c>
      <c r="V419" s="40" t="str">
        <f>IF($U419="","",IF(Config!$B$17=Config!$B$16,IF($U419&gt;=Config!$B$17,100,0),MAX(0,MIN(100,($U419-Config!$B$16)/(Config!$B$17-Config!$B$16)*100))))</f>
        <v/>
      </c>
      <c r="W419" s="40">
        <f>IF($L419="Elite",Config!$B$21,0)</f>
        <v>0</v>
      </c>
      <c r="X419" s="40" t="str">
        <f>IFERROR(IF(OR($T419="",$G419=""),"",IF($T419&gt;$G419,
  MAX(0, 60-(($T419-$G419)*24/Config!$B$19)*60),
  MEDIAN(60, 100, 60+(($G419-$T419)*24/Config!$B$20)*40)
)),"")
</f>
        <v/>
      </c>
      <c r="Y419" s="40" t="str">
        <f>IF($J419="","",IFERROR(VLOOKUP($J419,Grinders!$A:$N,10,FALSE),""))</f>
        <v/>
      </c>
      <c r="Z419" s="40" t="str">
        <f>IF($J419="","",IFERROR(VLOOKUP($J419,Grinders!$A:$N,11,FALSE),""))</f>
        <v/>
      </c>
      <c r="AA419" s="40" t="str">
        <f>IF($J419="","",IFERROR(VLOOKUP($J419,Grinders!$A:$N,12,FALSE),""))</f>
        <v/>
      </c>
      <c r="AB419" s="40" t="str">
        <f>IF(OR(AL419=1,AM419=1),0,=IFERROR(IF(OR($C419="",$J419=""),0,IF($D419&lt;&gt;"Open",0,IF(COUNTIFS(GrinderServices!$A:$A,$J419,GrinderServices!$B:$B,$E419,GrinderServices!$D:$D,"Y")=0,0,IF($U419&lt;Config!$B$16,0,IF(Config!$B$18=1,IF($N419&gt;=$M419,0,1),1))))),""))</f>
        <v>#ERROR!</v>
      </c>
      <c r="AC419" s="40" t="str">
        <f>IFERROR((IF(OR(AL419=1,AM419=1),"",=IFERROR((IFERROR(IF($AB419=0,"",((Config!$B$6*$V419 + Config!$B$7*$R419 + Config!$B$8*$W419 + Config!$B$9*$X419 + Config!$B$10*$Y419 + Config!$B$11*$Z419 - Config!$B$12*$AA419)/Config!$B$13)+$AH419+$AI419),""))*(1-IFERROR(VLOOKUP(J419,Grinders!$A:$AB, 28, FALSE),0)),"")))*(1+AO419),"")</f>
        <v>#ERROR!</v>
      </c>
      <c r="AD419" s="40" t="str">
        <f t="shared" si="4"/>
        <v/>
      </c>
      <c r="AE419" s="40" t="str">
        <f>IFERROR(__xludf.DUMMYFUNCTION("IF($AC419="""","""",IF($AC419=IFERROR(MAX(FILTER($AC$6:$AC$1000,$C$6:$C$1000=$C419,$AB$6:$AB$1000=1)),),""WINNER"",""""))"),"#ERROR!")</f>
        <v>#ERROR!</v>
      </c>
      <c r="AF419" s="40" t="str">
        <f t="shared" si="5"/>
        <v/>
      </c>
      <c r="AG419" s="40" t="str">
        <f>IF($J419="","",COUNTIF(Assignments!$B:$B,$J419))</f>
        <v/>
      </c>
      <c r="AH419" s="40" t="str">
        <f>IF($J419="","",IF(AND($AG419=0,$N419&lt;$M419),Config!$B$43,0))</f>
        <v/>
      </c>
      <c r="AI419" s="40" t="str">
        <f>IF($J419="","",IF(AND($L419="Elite",$F419&gt;=Config!$B$41,$N419&lt;$M419),Config!$B$42,0))</f>
        <v/>
      </c>
      <c r="AJ419" s="22"/>
      <c r="AK419" s="39">
        <f>IFERROR(VLOOKUP(J419,Grinders!$A:$Q,28,FALSE),0)</f>
        <v>0</v>
      </c>
      <c r="AL419" s="39">
        <f>IF(Config!$B$1003&lt;&gt;"Y",0,IF(IFERROR(VLOOKUP(J419,Grinders!$A:$P,27,FALSE),0)&gt;=3,IF(OR(F419&gt;=Config!$B$1001,ISNUMBER(SEARCH(E419,Config!$B$1002))),1,0),0))</f>
        <v>0</v>
      </c>
      <c r="AM419" s="39">
        <f t="array" ref="AM419">IFERROR(IF(INDEX(Bids!$AE:$AE,MATCH(B419,Bids!$A:$A,0))="Pending",1,0),0)</f>
        <v>0</v>
      </c>
      <c r="AN419" s="39" t="str">
        <f t="array" ref="AN419">IF(C419="","",IFERROR(XLOOKUP(C419,Assignments!$C:$C,Assignments!$AU:$AU,0),0))</f>
        <v/>
      </c>
      <c r="AO419" s="39">
        <f>IF(AND(Config!$B$1006="Y",AN419=1),Config!$B$1007,0)</f>
        <v>0</v>
      </c>
    </row>
    <row r="420" ht="15.75" customHeight="1">
      <c r="A420" s="46" t="str">
        <f t="shared" si="1"/>
        <v/>
      </c>
      <c r="B420" s="40" t="str">
        <f>IF(Bids!$A420="","",Bids!$A420)</f>
        <v/>
      </c>
      <c r="C420" s="40" t="str">
        <f>IF(Bids!$B420="","",Bids!$B420)</f>
        <v/>
      </c>
      <c r="D420" s="40" t="str">
        <f>IF($C420="","",IFERROR(VLOOKUP($C420,Orders!$A:$J,9,FALSE),""))</f>
        <v/>
      </c>
      <c r="E420" s="40" t="str">
        <f>IF($C420="","",IFERROR(VLOOKUP($C420,Orders!$A:$J,3,FALSE),""))</f>
        <v/>
      </c>
      <c r="F420" s="40" t="str">
        <f>IF($C420="","",IFERROR(VLOOKUP($C420,Orders!$A:$J,4,FALSE),""))</f>
        <v/>
      </c>
      <c r="G420" s="40" t="str">
        <f>IF($C420="","",IFERROR(VLOOKUP($C420,Orders!$A:$J,5,FALSE),""))</f>
        <v/>
      </c>
      <c r="H420" s="40" t="str">
        <f>IF($C420="","",IFERROR(VLOOKUP($C420,Orders!$A:$J,6,FALSE),""))</f>
        <v/>
      </c>
      <c r="I420" s="40" t="str">
        <f>IF($C420="","",IFERROR(VLOOKUP($C420,Orders!$A:$J,7,FALSE),""))</f>
        <v/>
      </c>
      <c r="J420" s="40" t="str">
        <f>IF(Bids!$C420="","",Bids!$C420)</f>
        <v/>
      </c>
      <c r="K420" s="40" t="str">
        <f>IF($J420="","",IFERROR(VLOOKUP($J420,Grinders!$A:$N,2,FALSE),""))</f>
        <v/>
      </c>
      <c r="L420" s="40" t="str">
        <f>IF($J420="","",IFERROR(VLOOKUP($J420,Grinders!$A:$N,3,FALSE),""))</f>
        <v/>
      </c>
      <c r="M420" s="40" t="str">
        <f>IF($J420="","",IFERROR(VLOOKUP($J420,Grinders!$A:$N,4,FALSE),""))</f>
        <v/>
      </c>
      <c r="N420" s="40" t="str">
        <f>IF($J420="","",IFERROR(VLOOKUP($J420,Grinders!$A:$N,5,FALSE),""))</f>
        <v/>
      </c>
      <c r="O420" s="40" t="str">
        <f t="shared" si="2"/>
        <v/>
      </c>
      <c r="P420" s="40" t="str">
        <f>IF($J420="","",IFERROR(VLOOKUP($J420,Grinders!$A:$N,6,FALSE),""))</f>
        <v/>
      </c>
      <c r="Q420" s="40" t="str">
        <f>IF($J420="","",IFERROR(VLOOKUP($J420,Grinders!$A:$N,8,FALSE),""))</f>
        <v/>
      </c>
      <c r="R420" s="40" t="str">
        <f>IFERROR(IF($J420="","",IF($L420="Elite",MAX(50,MIN(100,Config!$B$27*MAX(0,MIN(100,(1-IF($O420="",0,$O420))*100)) + Config!$B$28*MAX(0,MIN(100,(1-MIN(1,IF(Config!$B$30=0,1,$P420/Config!$B$30)))*100)) + Config!$B$29*MAX(0,MIN(100,MIN(1,IF($Q420="",0,$Q420)/Config!$B$23)*100)))),MIN(100,Config!$B$27*MAX(0,MIN(100,(1-IF($O420="",0,$O420))*100)) + Config!$B$28*MAX(0,MIN(100,(1-MIN(1,IF(Config!$B$30=0,1,$P420/Config!$B$30)))*100)) + Config!$B$29*MAX(0,MIN(100,MIN(1,IF($Q420="",0,$Q420)/Config!$B$23)*100))))),"")
</f>
        <v/>
      </c>
      <c r="S420" s="40" t="str">
        <f>IF(Bids!$AC420="","",Bids!$AC420)</f>
        <v/>
      </c>
      <c r="T420" s="40" t="str">
        <f>IF(Bids!$F420="","",Bids!$F420)</f>
        <v/>
      </c>
      <c r="U420" s="40" t="str">
        <f t="shared" si="3"/>
        <v/>
      </c>
      <c r="V420" s="40" t="str">
        <f>IF($U420="","",IF(Config!$B$17=Config!$B$16,IF($U420&gt;=Config!$B$17,100,0),MAX(0,MIN(100,($U420-Config!$B$16)/(Config!$B$17-Config!$B$16)*100))))</f>
        <v/>
      </c>
      <c r="W420" s="40">
        <f>IF($L420="Elite",Config!$B$21,0)</f>
        <v>0</v>
      </c>
      <c r="X420" s="40" t="str">
        <f>IFERROR(IF(OR($T420="",$G420=""),"",IF($T420&gt;$G420,
  MAX(0, 60-(($T420-$G420)*24/Config!$B$19)*60),
  MEDIAN(60, 100, 60+(($G420-$T420)*24/Config!$B$20)*40)
)),"")
</f>
        <v/>
      </c>
      <c r="Y420" s="40" t="str">
        <f>IF($J420="","",IFERROR(VLOOKUP($J420,Grinders!$A:$N,10,FALSE),""))</f>
        <v/>
      </c>
      <c r="Z420" s="40" t="str">
        <f>IF($J420="","",IFERROR(VLOOKUP($J420,Grinders!$A:$N,11,FALSE),""))</f>
        <v/>
      </c>
      <c r="AA420" s="40" t="str">
        <f>IF($J420="","",IFERROR(VLOOKUP($J420,Grinders!$A:$N,12,FALSE),""))</f>
        <v/>
      </c>
      <c r="AB420" s="40" t="str">
        <f>IF(OR(AL420=1,AM420=1),0,=IFERROR(IF(OR($C420="",$J420=""),0,IF($D420&lt;&gt;"Open",0,IF(COUNTIFS(GrinderServices!$A:$A,$J420,GrinderServices!$B:$B,$E420,GrinderServices!$D:$D,"Y")=0,0,IF($U420&lt;Config!$B$16,0,IF(Config!$B$18=1,IF($N420&gt;=$M420,0,1),1))))),""))</f>
        <v>#ERROR!</v>
      </c>
      <c r="AC420" s="40" t="str">
        <f>IFERROR((IF(OR(AL420=1,AM420=1),"",=IFERROR((IFERROR(IF($AB420=0,"",((Config!$B$6*$V420 + Config!$B$7*$R420 + Config!$B$8*$W420 + Config!$B$9*$X420 + Config!$B$10*$Y420 + Config!$B$11*$Z420 - Config!$B$12*$AA420)/Config!$B$13)+$AH420+$AI420),""))*(1-IFERROR(VLOOKUP(J420,Grinders!$A:$AB, 28, FALSE),0)),"")))*(1+AO420),"")</f>
        <v>#ERROR!</v>
      </c>
      <c r="AD420" s="40" t="str">
        <f t="shared" si="4"/>
        <v/>
      </c>
      <c r="AE420" s="40" t="str">
        <f>IFERROR(__xludf.DUMMYFUNCTION("IF($AC420="""","""",IF($AC420=IFERROR(MAX(FILTER($AC$6:$AC$1000,$C$6:$C$1000=$C420,$AB$6:$AB$1000=1)),),""WINNER"",""""))"),"#ERROR!")</f>
        <v>#ERROR!</v>
      </c>
      <c r="AF420" s="40" t="str">
        <f t="shared" si="5"/>
        <v/>
      </c>
      <c r="AG420" s="40" t="str">
        <f>IF($J420="","",COUNTIF(Assignments!$B:$B,$J420))</f>
        <v/>
      </c>
      <c r="AH420" s="40" t="str">
        <f>IF($J420="","",IF(AND($AG420=0,$N420&lt;$M420),Config!$B$43,0))</f>
        <v/>
      </c>
      <c r="AI420" s="40" t="str">
        <f>IF($J420="","",IF(AND($L420="Elite",$F420&gt;=Config!$B$41,$N420&lt;$M420),Config!$B$42,0))</f>
        <v/>
      </c>
      <c r="AJ420" s="22"/>
      <c r="AK420" s="39">
        <f>IFERROR(VLOOKUP(J420,Grinders!$A:$Q,28,FALSE),0)</f>
        <v>0</v>
      </c>
      <c r="AL420" s="39">
        <f>IF(Config!$B$1003&lt;&gt;"Y",0,IF(IFERROR(VLOOKUP(J420,Grinders!$A:$P,27,FALSE),0)&gt;=3,IF(OR(F420&gt;=Config!$B$1001,ISNUMBER(SEARCH(E420,Config!$B$1002))),1,0),0))</f>
        <v>0</v>
      </c>
      <c r="AM420" s="39">
        <f t="array" ref="AM420">IFERROR(IF(INDEX(Bids!$AE:$AE,MATCH(B420,Bids!$A:$A,0))="Pending",1,0),0)</f>
        <v>0</v>
      </c>
      <c r="AN420" s="39" t="str">
        <f t="array" ref="AN420">IF(C420="","",IFERROR(XLOOKUP(C420,Assignments!$C:$C,Assignments!$AU:$AU,0),0))</f>
        <v/>
      </c>
      <c r="AO420" s="39">
        <f>IF(AND(Config!$B$1006="Y",AN420=1),Config!$B$1007,0)</f>
        <v>0</v>
      </c>
    </row>
    <row r="421" ht="15.75" customHeight="1">
      <c r="A421" s="46" t="str">
        <f t="shared" si="1"/>
        <v/>
      </c>
      <c r="B421" s="40" t="str">
        <f>IF(Bids!$A421="","",Bids!$A421)</f>
        <v/>
      </c>
      <c r="C421" s="40" t="str">
        <f>IF(Bids!$B421="","",Bids!$B421)</f>
        <v/>
      </c>
      <c r="D421" s="40" t="str">
        <f>IF($C421="","",IFERROR(VLOOKUP($C421,Orders!$A:$J,9,FALSE),""))</f>
        <v/>
      </c>
      <c r="E421" s="40" t="str">
        <f>IF($C421="","",IFERROR(VLOOKUP($C421,Orders!$A:$J,3,FALSE),""))</f>
        <v/>
      </c>
      <c r="F421" s="40" t="str">
        <f>IF($C421="","",IFERROR(VLOOKUP($C421,Orders!$A:$J,4,FALSE),""))</f>
        <v/>
      </c>
      <c r="G421" s="40" t="str">
        <f>IF($C421="","",IFERROR(VLOOKUP($C421,Orders!$A:$J,5,FALSE),""))</f>
        <v/>
      </c>
      <c r="H421" s="40" t="str">
        <f>IF($C421="","",IFERROR(VLOOKUP($C421,Orders!$A:$J,6,FALSE),""))</f>
        <v/>
      </c>
      <c r="I421" s="40" t="str">
        <f>IF($C421="","",IFERROR(VLOOKUP($C421,Orders!$A:$J,7,FALSE),""))</f>
        <v/>
      </c>
      <c r="J421" s="40" t="str">
        <f>IF(Bids!$C421="","",Bids!$C421)</f>
        <v/>
      </c>
      <c r="K421" s="40" t="str">
        <f>IF($J421="","",IFERROR(VLOOKUP($J421,Grinders!$A:$N,2,FALSE),""))</f>
        <v/>
      </c>
      <c r="L421" s="40" t="str">
        <f>IF($J421="","",IFERROR(VLOOKUP($J421,Grinders!$A:$N,3,FALSE),""))</f>
        <v/>
      </c>
      <c r="M421" s="40" t="str">
        <f>IF($J421="","",IFERROR(VLOOKUP($J421,Grinders!$A:$N,4,FALSE),""))</f>
        <v/>
      </c>
      <c r="N421" s="40" t="str">
        <f>IF($J421="","",IFERROR(VLOOKUP($J421,Grinders!$A:$N,5,FALSE),""))</f>
        <v/>
      </c>
      <c r="O421" s="40" t="str">
        <f t="shared" si="2"/>
        <v/>
      </c>
      <c r="P421" s="40" t="str">
        <f>IF($J421="","",IFERROR(VLOOKUP($J421,Grinders!$A:$N,6,FALSE),""))</f>
        <v/>
      </c>
      <c r="Q421" s="40" t="str">
        <f>IF($J421="","",IFERROR(VLOOKUP($J421,Grinders!$A:$N,8,FALSE),""))</f>
        <v/>
      </c>
      <c r="R421" s="40" t="str">
        <f>IFERROR(IF($J421="","",IF($L421="Elite",MAX(50,MIN(100,Config!$B$27*MAX(0,MIN(100,(1-IF($O421="",0,$O421))*100)) + Config!$B$28*MAX(0,MIN(100,(1-MIN(1,IF(Config!$B$30=0,1,$P421/Config!$B$30)))*100)) + Config!$B$29*MAX(0,MIN(100,MIN(1,IF($Q421="",0,$Q421)/Config!$B$23)*100)))),MIN(100,Config!$B$27*MAX(0,MIN(100,(1-IF($O421="",0,$O421))*100)) + Config!$B$28*MAX(0,MIN(100,(1-MIN(1,IF(Config!$B$30=0,1,$P421/Config!$B$30)))*100)) + Config!$B$29*MAX(0,MIN(100,MIN(1,IF($Q421="",0,$Q421)/Config!$B$23)*100))))),"")
</f>
        <v/>
      </c>
      <c r="S421" s="40" t="str">
        <f>IF(Bids!$AC421="","",Bids!$AC421)</f>
        <v/>
      </c>
      <c r="T421" s="40" t="str">
        <f>IF(Bids!$F421="","",Bids!$F421)</f>
        <v/>
      </c>
      <c r="U421" s="40" t="str">
        <f t="shared" si="3"/>
        <v/>
      </c>
      <c r="V421" s="40" t="str">
        <f>IF($U421="","",IF(Config!$B$17=Config!$B$16,IF($U421&gt;=Config!$B$17,100,0),MAX(0,MIN(100,($U421-Config!$B$16)/(Config!$B$17-Config!$B$16)*100))))</f>
        <v/>
      </c>
      <c r="W421" s="40">
        <f>IF($L421="Elite",Config!$B$21,0)</f>
        <v>0</v>
      </c>
      <c r="X421" s="40" t="str">
        <f>IFERROR(IF(OR($T421="",$G421=""),"",IF($T421&gt;$G421,
  MAX(0, 60-(($T421-$G421)*24/Config!$B$19)*60),
  MEDIAN(60, 100, 60+(($G421-$T421)*24/Config!$B$20)*40)
)),"")
</f>
        <v/>
      </c>
      <c r="Y421" s="40" t="str">
        <f>IF($J421="","",IFERROR(VLOOKUP($J421,Grinders!$A:$N,10,FALSE),""))</f>
        <v/>
      </c>
      <c r="Z421" s="40" t="str">
        <f>IF($J421="","",IFERROR(VLOOKUP($J421,Grinders!$A:$N,11,FALSE),""))</f>
        <v/>
      </c>
      <c r="AA421" s="40" t="str">
        <f>IF($J421="","",IFERROR(VLOOKUP($J421,Grinders!$A:$N,12,FALSE),""))</f>
        <v/>
      </c>
      <c r="AB421" s="40" t="str">
        <f>IF(OR(AL421=1,AM421=1),0,=IFERROR(IF(OR($C421="",$J421=""),0,IF($D421&lt;&gt;"Open",0,IF(COUNTIFS(GrinderServices!$A:$A,$J421,GrinderServices!$B:$B,$E421,GrinderServices!$D:$D,"Y")=0,0,IF($U421&lt;Config!$B$16,0,IF(Config!$B$18=1,IF($N421&gt;=$M421,0,1),1))))),""))</f>
        <v>#ERROR!</v>
      </c>
      <c r="AC421" s="40" t="str">
        <f>IFERROR((IF(OR(AL421=1,AM421=1),"",=IFERROR((IFERROR(IF($AB421=0,"",((Config!$B$6*$V421 + Config!$B$7*$R421 + Config!$B$8*$W421 + Config!$B$9*$X421 + Config!$B$10*$Y421 + Config!$B$11*$Z421 - Config!$B$12*$AA421)/Config!$B$13)+$AH421+$AI421),""))*(1-IFERROR(VLOOKUP(J421,Grinders!$A:$AB, 28, FALSE),0)),"")))*(1+AO421),"")</f>
        <v>#ERROR!</v>
      </c>
      <c r="AD421" s="40" t="str">
        <f t="shared" si="4"/>
        <v/>
      </c>
      <c r="AE421" s="40" t="str">
        <f>IFERROR(__xludf.DUMMYFUNCTION("IF($AC421="""","""",IF($AC421=IFERROR(MAX(FILTER($AC$6:$AC$1000,$C$6:$C$1000=$C421,$AB$6:$AB$1000=1)),),""WINNER"",""""))"),"#ERROR!")</f>
        <v>#ERROR!</v>
      </c>
      <c r="AF421" s="40" t="str">
        <f t="shared" si="5"/>
        <v/>
      </c>
      <c r="AG421" s="40" t="str">
        <f>IF($J421="","",COUNTIF(Assignments!$B:$B,$J421))</f>
        <v/>
      </c>
      <c r="AH421" s="40" t="str">
        <f>IF($J421="","",IF(AND($AG421=0,$N421&lt;$M421),Config!$B$43,0))</f>
        <v/>
      </c>
      <c r="AI421" s="40" t="str">
        <f>IF($J421="","",IF(AND($L421="Elite",$F421&gt;=Config!$B$41,$N421&lt;$M421),Config!$B$42,0))</f>
        <v/>
      </c>
      <c r="AJ421" s="22"/>
      <c r="AK421" s="39">
        <f>IFERROR(VLOOKUP(J421,Grinders!$A:$Q,28,FALSE),0)</f>
        <v>0</v>
      </c>
      <c r="AL421" s="39">
        <f>IF(Config!$B$1003&lt;&gt;"Y",0,IF(IFERROR(VLOOKUP(J421,Grinders!$A:$P,27,FALSE),0)&gt;=3,IF(OR(F421&gt;=Config!$B$1001,ISNUMBER(SEARCH(E421,Config!$B$1002))),1,0),0))</f>
        <v>0</v>
      </c>
      <c r="AM421" s="39">
        <f t="array" ref="AM421">IFERROR(IF(INDEX(Bids!$AE:$AE,MATCH(B421,Bids!$A:$A,0))="Pending",1,0),0)</f>
        <v>0</v>
      </c>
      <c r="AN421" s="39" t="str">
        <f t="array" ref="AN421">IF(C421="","",IFERROR(XLOOKUP(C421,Assignments!$C:$C,Assignments!$AU:$AU,0),0))</f>
        <v/>
      </c>
      <c r="AO421" s="39">
        <f>IF(AND(Config!$B$1006="Y",AN421=1),Config!$B$1007,0)</f>
        <v>0</v>
      </c>
    </row>
    <row r="422" ht="15.75" customHeight="1">
      <c r="A422" s="46" t="str">
        <f t="shared" si="1"/>
        <v/>
      </c>
      <c r="B422" s="40" t="str">
        <f>IF(Bids!$A422="","",Bids!$A422)</f>
        <v/>
      </c>
      <c r="C422" s="40" t="str">
        <f>IF(Bids!$B422="","",Bids!$B422)</f>
        <v/>
      </c>
      <c r="D422" s="40" t="str">
        <f>IF($C422="","",IFERROR(VLOOKUP($C422,Orders!$A:$J,9,FALSE),""))</f>
        <v/>
      </c>
      <c r="E422" s="40" t="str">
        <f>IF($C422="","",IFERROR(VLOOKUP($C422,Orders!$A:$J,3,FALSE),""))</f>
        <v/>
      </c>
      <c r="F422" s="40" t="str">
        <f>IF($C422="","",IFERROR(VLOOKUP($C422,Orders!$A:$J,4,FALSE),""))</f>
        <v/>
      </c>
      <c r="G422" s="40" t="str">
        <f>IF($C422="","",IFERROR(VLOOKUP($C422,Orders!$A:$J,5,FALSE),""))</f>
        <v/>
      </c>
      <c r="H422" s="40" t="str">
        <f>IF($C422="","",IFERROR(VLOOKUP($C422,Orders!$A:$J,6,FALSE),""))</f>
        <v/>
      </c>
      <c r="I422" s="40" t="str">
        <f>IF($C422="","",IFERROR(VLOOKUP($C422,Orders!$A:$J,7,FALSE),""))</f>
        <v/>
      </c>
      <c r="J422" s="40" t="str">
        <f>IF(Bids!$C422="","",Bids!$C422)</f>
        <v/>
      </c>
      <c r="K422" s="40" t="str">
        <f>IF($J422="","",IFERROR(VLOOKUP($J422,Grinders!$A:$N,2,FALSE),""))</f>
        <v/>
      </c>
      <c r="L422" s="40" t="str">
        <f>IF($J422="","",IFERROR(VLOOKUP($J422,Grinders!$A:$N,3,FALSE),""))</f>
        <v/>
      </c>
      <c r="M422" s="40" t="str">
        <f>IF($J422="","",IFERROR(VLOOKUP($J422,Grinders!$A:$N,4,FALSE),""))</f>
        <v/>
      </c>
      <c r="N422" s="40" t="str">
        <f>IF($J422="","",IFERROR(VLOOKUP($J422,Grinders!$A:$N,5,FALSE),""))</f>
        <v/>
      </c>
      <c r="O422" s="40" t="str">
        <f t="shared" si="2"/>
        <v/>
      </c>
      <c r="P422" s="40" t="str">
        <f>IF($J422="","",IFERROR(VLOOKUP($J422,Grinders!$A:$N,6,FALSE),""))</f>
        <v/>
      </c>
      <c r="Q422" s="40" t="str">
        <f>IF($J422="","",IFERROR(VLOOKUP($J422,Grinders!$A:$N,8,FALSE),""))</f>
        <v/>
      </c>
      <c r="R422" s="40" t="str">
        <f>IFERROR(IF($J422="","",IF($L422="Elite",MAX(50,MIN(100,Config!$B$27*MAX(0,MIN(100,(1-IF($O422="",0,$O422))*100)) + Config!$B$28*MAX(0,MIN(100,(1-MIN(1,IF(Config!$B$30=0,1,$P422/Config!$B$30)))*100)) + Config!$B$29*MAX(0,MIN(100,MIN(1,IF($Q422="",0,$Q422)/Config!$B$23)*100)))),MIN(100,Config!$B$27*MAX(0,MIN(100,(1-IF($O422="",0,$O422))*100)) + Config!$B$28*MAX(0,MIN(100,(1-MIN(1,IF(Config!$B$30=0,1,$P422/Config!$B$30)))*100)) + Config!$B$29*MAX(0,MIN(100,MIN(1,IF($Q422="",0,$Q422)/Config!$B$23)*100))))),"")
</f>
        <v/>
      </c>
      <c r="S422" s="40" t="str">
        <f>IF(Bids!$AC422="","",Bids!$AC422)</f>
        <v/>
      </c>
      <c r="T422" s="40" t="str">
        <f>IF(Bids!$F422="","",Bids!$F422)</f>
        <v/>
      </c>
      <c r="U422" s="40" t="str">
        <f t="shared" si="3"/>
        <v/>
      </c>
      <c r="V422" s="40" t="str">
        <f>IF($U422="","",IF(Config!$B$17=Config!$B$16,IF($U422&gt;=Config!$B$17,100,0),MAX(0,MIN(100,($U422-Config!$B$16)/(Config!$B$17-Config!$B$16)*100))))</f>
        <v/>
      </c>
      <c r="W422" s="40">
        <f>IF($L422="Elite",Config!$B$21,0)</f>
        <v>0</v>
      </c>
      <c r="X422" s="40" t="str">
        <f>IFERROR(IF(OR($T422="",$G422=""),"",IF($T422&gt;$G422,
  MAX(0, 60-(($T422-$G422)*24/Config!$B$19)*60),
  MEDIAN(60, 100, 60+(($G422-$T422)*24/Config!$B$20)*40)
)),"")
</f>
        <v/>
      </c>
      <c r="Y422" s="40" t="str">
        <f>IF($J422="","",IFERROR(VLOOKUP($J422,Grinders!$A:$N,10,FALSE),""))</f>
        <v/>
      </c>
      <c r="Z422" s="40" t="str">
        <f>IF($J422="","",IFERROR(VLOOKUP($J422,Grinders!$A:$N,11,FALSE),""))</f>
        <v/>
      </c>
      <c r="AA422" s="40" t="str">
        <f>IF($J422="","",IFERROR(VLOOKUP($J422,Grinders!$A:$N,12,FALSE),""))</f>
        <v/>
      </c>
      <c r="AB422" s="40" t="str">
        <f>IF(OR(AL422=1,AM422=1),0,=IFERROR(IF(OR($C422="",$J422=""),0,IF($D422&lt;&gt;"Open",0,IF(COUNTIFS(GrinderServices!$A:$A,$J422,GrinderServices!$B:$B,$E422,GrinderServices!$D:$D,"Y")=0,0,IF($U422&lt;Config!$B$16,0,IF(Config!$B$18=1,IF($N422&gt;=$M422,0,1),1))))),""))</f>
        <v>#ERROR!</v>
      </c>
      <c r="AC422" s="40" t="str">
        <f>IFERROR((IF(OR(AL422=1,AM422=1),"",=IFERROR((IFERROR(IF($AB422=0,"",((Config!$B$6*$V422 + Config!$B$7*$R422 + Config!$B$8*$W422 + Config!$B$9*$X422 + Config!$B$10*$Y422 + Config!$B$11*$Z422 - Config!$B$12*$AA422)/Config!$B$13)+$AH422+$AI422),""))*(1-IFERROR(VLOOKUP(J422,Grinders!$A:$AB, 28, FALSE),0)),"")))*(1+AO422),"")</f>
        <v>#ERROR!</v>
      </c>
      <c r="AD422" s="40" t="str">
        <f t="shared" si="4"/>
        <v/>
      </c>
      <c r="AE422" s="40" t="str">
        <f>IFERROR(__xludf.DUMMYFUNCTION("IF($AC422="""","""",IF($AC422=IFERROR(MAX(FILTER($AC$6:$AC$1000,$C$6:$C$1000=$C422,$AB$6:$AB$1000=1)),),""WINNER"",""""))"),"#ERROR!")</f>
        <v>#ERROR!</v>
      </c>
      <c r="AF422" s="40" t="str">
        <f t="shared" si="5"/>
        <v/>
      </c>
      <c r="AG422" s="40" t="str">
        <f>IF($J422="","",COUNTIF(Assignments!$B:$B,$J422))</f>
        <v/>
      </c>
      <c r="AH422" s="40" t="str">
        <f>IF($J422="","",IF(AND($AG422=0,$N422&lt;$M422),Config!$B$43,0))</f>
        <v/>
      </c>
      <c r="AI422" s="40" t="str">
        <f>IF($J422="","",IF(AND($L422="Elite",$F422&gt;=Config!$B$41,$N422&lt;$M422),Config!$B$42,0))</f>
        <v/>
      </c>
      <c r="AJ422" s="22"/>
      <c r="AK422" s="39">
        <f>IFERROR(VLOOKUP(J422,Grinders!$A:$Q,28,FALSE),0)</f>
        <v>0</v>
      </c>
      <c r="AL422" s="39">
        <f>IF(Config!$B$1003&lt;&gt;"Y",0,IF(IFERROR(VLOOKUP(J422,Grinders!$A:$P,27,FALSE),0)&gt;=3,IF(OR(F422&gt;=Config!$B$1001,ISNUMBER(SEARCH(E422,Config!$B$1002))),1,0),0))</f>
        <v>0</v>
      </c>
      <c r="AM422" s="39">
        <f t="array" ref="AM422">IFERROR(IF(INDEX(Bids!$AE:$AE,MATCH(B422,Bids!$A:$A,0))="Pending",1,0),0)</f>
        <v>0</v>
      </c>
      <c r="AN422" s="39" t="str">
        <f t="array" ref="AN422">IF(C422="","",IFERROR(XLOOKUP(C422,Assignments!$C:$C,Assignments!$AU:$AU,0),0))</f>
        <v/>
      </c>
      <c r="AO422" s="39">
        <f>IF(AND(Config!$B$1006="Y",AN422=1),Config!$B$1007,0)</f>
        <v>0</v>
      </c>
    </row>
    <row r="423" ht="15.75" customHeight="1">
      <c r="A423" s="46" t="str">
        <f t="shared" si="1"/>
        <v/>
      </c>
      <c r="B423" s="40" t="str">
        <f>IF(Bids!$A423="","",Bids!$A423)</f>
        <v/>
      </c>
      <c r="C423" s="40" t="str">
        <f>IF(Bids!$B423="","",Bids!$B423)</f>
        <v/>
      </c>
      <c r="D423" s="40" t="str">
        <f>IF($C423="","",IFERROR(VLOOKUP($C423,Orders!$A:$J,9,FALSE),""))</f>
        <v/>
      </c>
      <c r="E423" s="40" t="str">
        <f>IF($C423="","",IFERROR(VLOOKUP($C423,Orders!$A:$J,3,FALSE),""))</f>
        <v/>
      </c>
      <c r="F423" s="40" t="str">
        <f>IF($C423="","",IFERROR(VLOOKUP($C423,Orders!$A:$J,4,FALSE),""))</f>
        <v/>
      </c>
      <c r="G423" s="40" t="str">
        <f>IF($C423="","",IFERROR(VLOOKUP($C423,Orders!$A:$J,5,FALSE),""))</f>
        <v/>
      </c>
      <c r="H423" s="40" t="str">
        <f>IF($C423="","",IFERROR(VLOOKUP($C423,Orders!$A:$J,6,FALSE),""))</f>
        <v/>
      </c>
      <c r="I423" s="40" t="str">
        <f>IF($C423="","",IFERROR(VLOOKUP($C423,Orders!$A:$J,7,FALSE),""))</f>
        <v/>
      </c>
      <c r="J423" s="40" t="str">
        <f>IF(Bids!$C423="","",Bids!$C423)</f>
        <v/>
      </c>
      <c r="K423" s="40" t="str">
        <f>IF($J423="","",IFERROR(VLOOKUP($J423,Grinders!$A:$N,2,FALSE),""))</f>
        <v/>
      </c>
      <c r="L423" s="40" t="str">
        <f>IF($J423="","",IFERROR(VLOOKUP($J423,Grinders!$A:$N,3,FALSE),""))</f>
        <v/>
      </c>
      <c r="M423" s="40" t="str">
        <f>IF($J423="","",IFERROR(VLOOKUP($J423,Grinders!$A:$N,4,FALSE),""))</f>
        <v/>
      </c>
      <c r="N423" s="40" t="str">
        <f>IF($J423="","",IFERROR(VLOOKUP($J423,Grinders!$A:$N,5,FALSE),""))</f>
        <v/>
      </c>
      <c r="O423" s="40" t="str">
        <f t="shared" si="2"/>
        <v/>
      </c>
      <c r="P423" s="40" t="str">
        <f>IF($J423="","",IFERROR(VLOOKUP($J423,Grinders!$A:$N,6,FALSE),""))</f>
        <v/>
      </c>
      <c r="Q423" s="40" t="str">
        <f>IF($J423="","",IFERROR(VLOOKUP($J423,Grinders!$A:$N,8,FALSE),""))</f>
        <v/>
      </c>
      <c r="R423" s="40" t="str">
        <f>IFERROR(IF($J423="","",IF($L423="Elite",MAX(50,MIN(100,Config!$B$27*MAX(0,MIN(100,(1-IF($O423="",0,$O423))*100)) + Config!$B$28*MAX(0,MIN(100,(1-MIN(1,IF(Config!$B$30=0,1,$P423/Config!$B$30)))*100)) + Config!$B$29*MAX(0,MIN(100,MIN(1,IF($Q423="",0,$Q423)/Config!$B$23)*100)))),MIN(100,Config!$B$27*MAX(0,MIN(100,(1-IF($O423="",0,$O423))*100)) + Config!$B$28*MAX(0,MIN(100,(1-MIN(1,IF(Config!$B$30=0,1,$P423/Config!$B$30)))*100)) + Config!$B$29*MAX(0,MIN(100,MIN(1,IF($Q423="",0,$Q423)/Config!$B$23)*100))))),"")
</f>
        <v/>
      </c>
      <c r="S423" s="40" t="str">
        <f>IF(Bids!$AC423="","",Bids!$AC423)</f>
        <v/>
      </c>
      <c r="T423" s="40" t="str">
        <f>IF(Bids!$F423="","",Bids!$F423)</f>
        <v/>
      </c>
      <c r="U423" s="40" t="str">
        <f t="shared" si="3"/>
        <v/>
      </c>
      <c r="V423" s="40" t="str">
        <f>IF($U423="","",IF(Config!$B$17=Config!$B$16,IF($U423&gt;=Config!$B$17,100,0),MAX(0,MIN(100,($U423-Config!$B$16)/(Config!$B$17-Config!$B$16)*100))))</f>
        <v/>
      </c>
      <c r="W423" s="40">
        <f>IF($L423="Elite",Config!$B$21,0)</f>
        <v>0</v>
      </c>
      <c r="X423" s="40" t="str">
        <f>IFERROR(IF(OR($T423="",$G423=""),"",IF($T423&gt;$G423,
  MAX(0, 60-(($T423-$G423)*24/Config!$B$19)*60),
  MEDIAN(60, 100, 60+(($G423-$T423)*24/Config!$B$20)*40)
)),"")
</f>
        <v/>
      </c>
      <c r="Y423" s="40" t="str">
        <f>IF($J423="","",IFERROR(VLOOKUP($J423,Grinders!$A:$N,10,FALSE),""))</f>
        <v/>
      </c>
      <c r="Z423" s="40" t="str">
        <f>IF($J423="","",IFERROR(VLOOKUP($J423,Grinders!$A:$N,11,FALSE),""))</f>
        <v/>
      </c>
      <c r="AA423" s="40" t="str">
        <f>IF($J423="","",IFERROR(VLOOKUP($J423,Grinders!$A:$N,12,FALSE),""))</f>
        <v/>
      </c>
      <c r="AB423" s="40" t="str">
        <f>IF(OR(AL423=1,AM423=1),0,=IFERROR(IF(OR($C423="",$J423=""),0,IF($D423&lt;&gt;"Open",0,IF(COUNTIFS(GrinderServices!$A:$A,$J423,GrinderServices!$B:$B,$E423,GrinderServices!$D:$D,"Y")=0,0,IF($U423&lt;Config!$B$16,0,IF(Config!$B$18=1,IF($N423&gt;=$M423,0,1),1))))),""))</f>
        <v>#ERROR!</v>
      </c>
      <c r="AC423" s="40" t="str">
        <f>IFERROR((IF(OR(AL423=1,AM423=1),"",=IFERROR((IFERROR(IF($AB423=0,"",((Config!$B$6*$V423 + Config!$B$7*$R423 + Config!$B$8*$W423 + Config!$B$9*$X423 + Config!$B$10*$Y423 + Config!$B$11*$Z423 - Config!$B$12*$AA423)/Config!$B$13)+$AH423+$AI423),""))*(1-IFERROR(VLOOKUP(J423,Grinders!$A:$AB, 28, FALSE),0)),"")))*(1+AO423),"")</f>
        <v>#ERROR!</v>
      </c>
      <c r="AD423" s="40" t="str">
        <f t="shared" si="4"/>
        <v/>
      </c>
      <c r="AE423" s="40" t="str">
        <f>IFERROR(__xludf.DUMMYFUNCTION("IF($AC423="""","""",IF($AC423=IFERROR(MAX(FILTER($AC$6:$AC$1000,$C$6:$C$1000=$C423,$AB$6:$AB$1000=1)),),""WINNER"",""""))"),"#ERROR!")</f>
        <v>#ERROR!</v>
      </c>
      <c r="AF423" s="40" t="str">
        <f t="shared" si="5"/>
        <v/>
      </c>
      <c r="AG423" s="40" t="str">
        <f>IF($J423="","",COUNTIF(Assignments!$B:$B,$J423))</f>
        <v/>
      </c>
      <c r="AH423" s="40" t="str">
        <f>IF($J423="","",IF(AND($AG423=0,$N423&lt;$M423),Config!$B$43,0))</f>
        <v/>
      </c>
      <c r="AI423" s="40" t="str">
        <f>IF($J423="","",IF(AND($L423="Elite",$F423&gt;=Config!$B$41,$N423&lt;$M423),Config!$B$42,0))</f>
        <v/>
      </c>
      <c r="AJ423" s="22"/>
      <c r="AK423" s="39">
        <f>IFERROR(VLOOKUP(J423,Grinders!$A:$Q,28,FALSE),0)</f>
        <v>0</v>
      </c>
      <c r="AL423" s="39">
        <f>IF(Config!$B$1003&lt;&gt;"Y",0,IF(IFERROR(VLOOKUP(J423,Grinders!$A:$P,27,FALSE),0)&gt;=3,IF(OR(F423&gt;=Config!$B$1001,ISNUMBER(SEARCH(E423,Config!$B$1002))),1,0),0))</f>
        <v>0</v>
      </c>
      <c r="AM423" s="39">
        <f t="array" ref="AM423">IFERROR(IF(INDEX(Bids!$AE:$AE,MATCH(B423,Bids!$A:$A,0))="Pending",1,0),0)</f>
        <v>0</v>
      </c>
      <c r="AN423" s="39" t="str">
        <f t="array" ref="AN423">IF(C423="","",IFERROR(XLOOKUP(C423,Assignments!$C:$C,Assignments!$AU:$AU,0),0))</f>
        <v/>
      </c>
      <c r="AO423" s="39">
        <f>IF(AND(Config!$B$1006="Y",AN423=1),Config!$B$1007,0)</f>
        <v>0</v>
      </c>
    </row>
    <row r="424" ht="15.75" customHeight="1">
      <c r="A424" s="46" t="str">
        <f t="shared" si="1"/>
        <v/>
      </c>
      <c r="B424" s="40" t="str">
        <f>IF(Bids!$A424="","",Bids!$A424)</f>
        <v/>
      </c>
      <c r="C424" s="40" t="str">
        <f>IF(Bids!$B424="","",Bids!$B424)</f>
        <v/>
      </c>
      <c r="D424" s="40" t="str">
        <f>IF($C424="","",IFERROR(VLOOKUP($C424,Orders!$A:$J,9,FALSE),""))</f>
        <v/>
      </c>
      <c r="E424" s="40" t="str">
        <f>IF($C424="","",IFERROR(VLOOKUP($C424,Orders!$A:$J,3,FALSE),""))</f>
        <v/>
      </c>
      <c r="F424" s="40" t="str">
        <f>IF($C424="","",IFERROR(VLOOKUP($C424,Orders!$A:$J,4,FALSE),""))</f>
        <v/>
      </c>
      <c r="G424" s="40" t="str">
        <f>IF($C424="","",IFERROR(VLOOKUP($C424,Orders!$A:$J,5,FALSE),""))</f>
        <v/>
      </c>
      <c r="H424" s="40" t="str">
        <f>IF($C424="","",IFERROR(VLOOKUP($C424,Orders!$A:$J,6,FALSE),""))</f>
        <v/>
      </c>
      <c r="I424" s="40" t="str">
        <f>IF($C424="","",IFERROR(VLOOKUP($C424,Orders!$A:$J,7,FALSE),""))</f>
        <v/>
      </c>
      <c r="J424" s="40" t="str">
        <f>IF(Bids!$C424="","",Bids!$C424)</f>
        <v/>
      </c>
      <c r="K424" s="40" t="str">
        <f>IF($J424="","",IFERROR(VLOOKUP($J424,Grinders!$A:$N,2,FALSE),""))</f>
        <v/>
      </c>
      <c r="L424" s="40" t="str">
        <f>IF($J424="","",IFERROR(VLOOKUP($J424,Grinders!$A:$N,3,FALSE),""))</f>
        <v/>
      </c>
      <c r="M424" s="40" t="str">
        <f>IF($J424="","",IFERROR(VLOOKUP($J424,Grinders!$A:$N,4,FALSE),""))</f>
        <v/>
      </c>
      <c r="N424" s="40" t="str">
        <f>IF($J424="","",IFERROR(VLOOKUP($J424,Grinders!$A:$N,5,FALSE),""))</f>
        <v/>
      </c>
      <c r="O424" s="40" t="str">
        <f t="shared" si="2"/>
        <v/>
      </c>
      <c r="P424" s="40" t="str">
        <f>IF($J424="","",IFERROR(VLOOKUP($J424,Grinders!$A:$N,6,FALSE),""))</f>
        <v/>
      </c>
      <c r="Q424" s="40" t="str">
        <f>IF($J424="","",IFERROR(VLOOKUP($J424,Grinders!$A:$N,8,FALSE),""))</f>
        <v/>
      </c>
      <c r="R424" s="40" t="str">
        <f>IFERROR(IF($J424="","",IF($L424="Elite",MAX(50,MIN(100,Config!$B$27*MAX(0,MIN(100,(1-IF($O424="",0,$O424))*100)) + Config!$B$28*MAX(0,MIN(100,(1-MIN(1,IF(Config!$B$30=0,1,$P424/Config!$B$30)))*100)) + Config!$B$29*MAX(0,MIN(100,MIN(1,IF($Q424="",0,$Q424)/Config!$B$23)*100)))),MIN(100,Config!$B$27*MAX(0,MIN(100,(1-IF($O424="",0,$O424))*100)) + Config!$B$28*MAX(0,MIN(100,(1-MIN(1,IF(Config!$B$30=0,1,$P424/Config!$B$30)))*100)) + Config!$B$29*MAX(0,MIN(100,MIN(1,IF($Q424="",0,$Q424)/Config!$B$23)*100))))),"")
</f>
        <v/>
      </c>
      <c r="S424" s="40" t="str">
        <f>IF(Bids!$AC424="","",Bids!$AC424)</f>
        <v/>
      </c>
      <c r="T424" s="40" t="str">
        <f>IF(Bids!$F424="","",Bids!$F424)</f>
        <v/>
      </c>
      <c r="U424" s="40" t="str">
        <f t="shared" si="3"/>
        <v/>
      </c>
      <c r="V424" s="40" t="str">
        <f>IF($U424="","",IF(Config!$B$17=Config!$B$16,IF($U424&gt;=Config!$B$17,100,0),MAX(0,MIN(100,($U424-Config!$B$16)/(Config!$B$17-Config!$B$16)*100))))</f>
        <v/>
      </c>
      <c r="W424" s="40">
        <f>IF($L424="Elite",Config!$B$21,0)</f>
        <v>0</v>
      </c>
      <c r="X424" s="40" t="str">
        <f>IFERROR(IF(OR($T424="",$G424=""),"",IF($T424&gt;$G424,
  MAX(0, 60-(($T424-$G424)*24/Config!$B$19)*60),
  MEDIAN(60, 100, 60+(($G424-$T424)*24/Config!$B$20)*40)
)),"")
</f>
        <v/>
      </c>
      <c r="Y424" s="40" t="str">
        <f>IF($J424="","",IFERROR(VLOOKUP($J424,Grinders!$A:$N,10,FALSE),""))</f>
        <v/>
      </c>
      <c r="Z424" s="40" t="str">
        <f>IF($J424="","",IFERROR(VLOOKUP($J424,Grinders!$A:$N,11,FALSE),""))</f>
        <v/>
      </c>
      <c r="AA424" s="40" t="str">
        <f>IF($J424="","",IFERROR(VLOOKUP($J424,Grinders!$A:$N,12,FALSE),""))</f>
        <v/>
      </c>
      <c r="AB424" s="40" t="str">
        <f>IF(OR(AL424=1,AM424=1),0,=IFERROR(IF(OR($C424="",$J424=""),0,IF($D424&lt;&gt;"Open",0,IF(COUNTIFS(GrinderServices!$A:$A,$J424,GrinderServices!$B:$B,$E424,GrinderServices!$D:$D,"Y")=0,0,IF($U424&lt;Config!$B$16,0,IF(Config!$B$18=1,IF($N424&gt;=$M424,0,1),1))))),""))</f>
        <v>#ERROR!</v>
      </c>
      <c r="AC424" s="40" t="str">
        <f>IFERROR((IF(OR(AL424=1,AM424=1),"",=IFERROR((IFERROR(IF($AB424=0,"",((Config!$B$6*$V424 + Config!$B$7*$R424 + Config!$B$8*$W424 + Config!$B$9*$X424 + Config!$B$10*$Y424 + Config!$B$11*$Z424 - Config!$B$12*$AA424)/Config!$B$13)+$AH424+$AI424),""))*(1-IFERROR(VLOOKUP(J424,Grinders!$A:$AB, 28, FALSE),0)),"")))*(1+AO424),"")</f>
        <v>#ERROR!</v>
      </c>
      <c r="AD424" s="40" t="str">
        <f t="shared" si="4"/>
        <v/>
      </c>
      <c r="AE424" s="40" t="str">
        <f>IFERROR(__xludf.DUMMYFUNCTION("IF($AC424="""","""",IF($AC424=IFERROR(MAX(FILTER($AC$6:$AC$1000,$C$6:$C$1000=$C424,$AB$6:$AB$1000=1)),),""WINNER"",""""))"),"#ERROR!")</f>
        <v>#ERROR!</v>
      </c>
      <c r="AF424" s="40" t="str">
        <f t="shared" si="5"/>
        <v/>
      </c>
      <c r="AG424" s="40" t="str">
        <f>IF($J424="","",COUNTIF(Assignments!$B:$B,$J424))</f>
        <v/>
      </c>
      <c r="AH424" s="40" t="str">
        <f>IF($J424="","",IF(AND($AG424=0,$N424&lt;$M424),Config!$B$43,0))</f>
        <v/>
      </c>
      <c r="AI424" s="40" t="str">
        <f>IF($J424="","",IF(AND($L424="Elite",$F424&gt;=Config!$B$41,$N424&lt;$M424),Config!$B$42,0))</f>
        <v/>
      </c>
      <c r="AJ424" s="22"/>
      <c r="AK424" s="39">
        <f>IFERROR(VLOOKUP(J424,Grinders!$A:$Q,28,FALSE),0)</f>
        <v>0</v>
      </c>
      <c r="AL424" s="39">
        <f>IF(Config!$B$1003&lt;&gt;"Y",0,IF(IFERROR(VLOOKUP(J424,Grinders!$A:$P,27,FALSE),0)&gt;=3,IF(OR(F424&gt;=Config!$B$1001,ISNUMBER(SEARCH(E424,Config!$B$1002))),1,0),0))</f>
        <v>0</v>
      </c>
      <c r="AM424" s="39">
        <f t="array" ref="AM424">IFERROR(IF(INDEX(Bids!$AE:$AE,MATCH(B424,Bids!$A:$A,0))="Pending",1,0),0)</f>
        <v>0</v>
      </c>
      <c r="AN424" s="39" t="str">
        <f t="array" ref="AN424">IF(C424="","",IFERROR(XLOOKUP(C424,Assignments!$C:$C,Assignments!$AU:$AU,0),0))</f>
        <v/>
      </c>
      <c r="AO424" s="39">
        <f>IF(AND(Config!$B$1006="Y",AN424=1),Config!$B$1007,0)</f>
        <v>0</v>
      </c>
    </row>
    <row r="425" ht="15.75" customHeight="1">
      <c r="A425" s="46" t="str">
        <f t="shared" si="1"/>
        <v/>
      </c>
      <c r="B425" s="40" t="str">
        <f>IF(Bids!$A425="","",Bids!$A425)</f>
        <v/>
      </c>
      <c r="C425" s="40" t="str">
        <f>IF(Bids!$B425="","",Bids!$B425)</f>
        <v/>
      </c>
      <c r="D425" s="40" t="str">
        <f>IF($C425="","",IFERROR(VLOOKUP($C425,Orders!$A:$J,9,FALSE),""))</f>
        <v/>
      </c>
      <c r="E425" s="40" t="str">
        <f>IF($C425="","",IFERROR(VLOOKUP($C425,Orders!$A:$J,3,FALSE),""))</f>
        <v/>
      </c>
      <c r="F425" s="40" t="str">
        <f>IF($C425="","",IFERROR(VLOOKUP($C425,Orders!$A:$J,4,FALSE),""))</f>
        <v/>
      </c>
      <c r="G425" s="40" t="str">
        <f>IF($C425="","",IFERROR(VLOOKUP($C425,Orders!$A:$J,5,FALSE),""))</f>
        <v/>
      </c>
      <c r="H425" s="40" t="str">
        <f>IF($C425="","",IFERROR(VLOOKUP($C425,Orders!$A:$J,6,FALSE),""))</f>
        <v/>
      </c>
      <c r="I425" s="40" t="str">
        <f>IF($C425="","",IFERROR(VLOOKUP($C425,Orders!$A:$J,7,FALSE),""))</f>
        <v/>
      </c>
      <c r="J425" s="40" t="str">
        <f>IF(Bids!$C425="","",Bids!$C425)</f>
        <v/>
      </c>
      <c r="K425" s="40" t="str">
        <f>IF($J425="","",IFERROR(VLOOKUP($J425,Grinders!$A:$N,2,FALSE),""))</f>
        <v/>
      </c>
      <c r="L425" s="40" t="str">
        <f>IF($J425="","",IFERROR(VLOOKUP($J425,Grinders!$A:$N,3,FALSE),""))</f>
        <v/>
      </c>
      <c r="M425" s="40" t="str">
        <f>IF($J425="","",IFERROR(VLOOKUP($J425,Grinders!$A:$N,4,FALSE),""))</f>
        <v/>
      </c>
      <c r="N425" s="40" t="str">
        <f>IF($J425="","",IFERROR(VLOOKUP($J425,Grinders!$A:$N,5,FALSE),""))</f>
        <v/>
      </c>
      <c r="O425" s="40" t="str">
        <f t="shared" si="2"/>
        <v/>
      </c>
      <c r="P425" s="40" t="str">
        <f>IF($J425="","",IFERROR(VLOOKUP($J425,Grinders!$A:$N,6,FALSE),""))</f>
        <v/>
      </c>
      <c r="Q425" s="40" t="str">
        <f>IF($J425="","",IFERROR(VLOOKUP($J425,Grinders!$A:$N,8,FALSE),""))</f>
        <v/>
      </c>
      <c r="R425" s="40" t="str">
        <f>IFERROR(IF($J425="","",IF($L425="Elite",MAX(50,MIN(100,Config!$B$27*MAX(0,MIN(100,(1-IF($O425="",0,$O425))*100)) + Config!$B$28*MAX(0,MIN(100,(1-MIN(1,IF(Config!$B$30=0,1,$P425/Config!$B$30)))*100)) + Config!$B$29*MAX(0,MIN(100,MIN(1,IF($Q425="",0,$Q425)/Config!$B$23)*100)))),MIN(100,Config!$B$27*MAX(0,MIN(100,(1-IF($O425="",0,$O425))*100)) + Config!$B$28*MAX(0,MIN(100,(1-MIN(1,IF(Config!$B$30=0,1,$P425/Config!$B$30)))*100)) + Config!$B$29*MAX(0,MIN(100,MIN(1,IF($Q425="",0,$Q425)/Config!$B$23)*100))))),"")
</f>
        <v/>
      </c>
      <c r="S425" s="40" t="str">
        <f>IF(Bids!$AC425="","",Bids!$AC425)</f>
        <v/>
      </c>
      <c r="T425" s="40" t="str">
        <f>IF(Bids!$F425="","",Bids!$F425)</f>
        <v/>
      </c>
      <c r="U425" s="40" t="str">
        <f t="shared" si="3"/>
        <v/>
      </c>
      <c r="V425" s="40" t="str">
        <f>IF($U425="","",IF(Config!$B$17=Config!$B$16,IF($U425&gt;=Config!$B$17,100,0),MAX(0,MIN(100,($U425-Config!$B$16)/(Config!$B$17-Config!$B$16)*100))))</f>
        <v/>
      </c>
      <c r="W425" s="40">
        <f>IF($L425="Elite",Config!$B$21,0)</f>
        <v>0</v>
      </c>
      <c r="X425" s="40" t="str">
        <f>IFERROR(IF(OR($T425="",$G425=""),"",IF($T425&gt;$G425,
  MAX(0, 60-(($T425-$G425)*24/Config!$B$19)*60),
  MEDIAN(60, 100, 60+(($G425-$T425)*24/Config!$B$20)*40)
)),"")
</f>
        <v/>
      </c>
      <c r="Y425" s="40" t="str">
        <f>IF($J425="","",IFERROR(VLOOKUP($J425,Grinders!$A:$N,10,FALSE),""))</f>
        <v/>
      </c>
      <c r="Z425" s="40" t="str">
        <f>IF($J425="","",IFERROR(VLOOKUP($J425,Grinders!$A:$N,11,FALSE),""))</f>
        <v/>
      </c>
      <c r="AA425" s="40" t="str">
        <f>IF($J425="","",IFERROR(VLOOKUP($J425,Grinders!$A:$N,12,FALSE),""))</f>
        <v/>
      </c>
      <c r="AB425" s="40" t="str">
        <f>IF(OR(AL425=1,AM425=1),0,=IFERROR(IF(OR($C425="",$J425=""),0,IF($D425&lt;&gt;"Open",0,IF(COUNTIFS(GrinderServices!$A:$A,$J425,GrinderServices!$B:$B,$E425,GrinderServices!$D:$D,"Y")=0,0,IF($U425&lt;Config!$B$16,0,IF(Config!$B$18=1,IF($N425&gt;=$M425,0,1),1))))),""))</f>
        <v>#ERROR!</v>
      </c>
      <c r="AC425" s="40" t="str">
        <f>IFERROR((IF(OR(AL425=1,AM425=1),"",=IFERROR((IFERROR(IF($AB425=0,"",((Config!$B$6*$V425 + Config!$B$7*$R425 + Config!$B$8*$W425 + Config!$B$9*$X425 + Config!$B$10*$Y425 + Config!$B$11*$Z425 - Config!$B$12*$AA425)/Config!$B$13)+$AH425+$AI425),""))*(1-IFERROR(VLOOKUP(J425,Grinders!$A:$AB, 28, FALSE),0)),"")))*(1+AO425),"")</f>
        <v>#ERROR!</v>
      </c>
      <c r="AD425" s="40" t="str">
        <f t="shared" si="4"/>
        <v/>
      </c>
      <c r="AE425" s="40" t="str">
        <f>IFERROR(__xludf.DUMMYFUNCTION("IF($AC425="""","""",IF($AC425=IFERROR(MAX(FILTER($AC$6:$AC$1000,$C$6:$C$1000=$C425,$AB$6:$AB$1000=1)),),""WINNER"",""""))"),"#ERROR!")</f>
        <v>#ERROR!</v>
      </c>
      <c r="AF425" s="40" t="str">
        <f t="shared" si="5"/>
        <v/>
      </c>
      <c r="AG425" s="40" t="str">
        <f>IF($J425="","",COUNTIF(Assignments!$B:$B,$J425))</f>
        <v/>
      </c>
      <c r="AH425" s="40" t="str">
        <f>IF($J425="","",IF(AND($AG425=0,$N425&lt;$M425),Config!$B$43,0))</f>
        <v/>
      </c>
      <c r="AI425" s="40" t="str">
        <f>IF($J425="","",IF(AND($L425="Elite",$F425&gt;=Config!$B$41,$N425&lt;$M425),Config!$B$42,0))</f>
        <v/>
      </c>
      <c r="AJ425" s="22"/>
      <c r="AK425" s="39">
        <f>IFERROR(VLOOKUP(J425,Grinders!$A:$Q,28,FALSE),0)</f>
        <v>0</v>
      </c>
      <c r="AL425" s="39">
        <f>IF(Config!$B$1003&lt;&gt;"Y",0,IF(IFERROR(VLOOKUP(J425,Grinders!$A:$P,27,FALSE),0)&gt;=3,IF(OR(F425&gt;=Config!$B$1001,ISNUMBER(SEARCH(E425,Config!$B$1002))),1,0),0))</f>
        <v>0</v>
      </c>
      <c r="AM425" s="39">
        <f t="array" ref="AM425">IFERROR(IF(INDEX(Bids!$AE:$AE,MATCH(B425,Bids!$A:$A,0))="Pending",1,0),0)</f>
        <v>0</v>
      </c>
      <c r="AN425" s="39" t="str">
        <f t="array" ref="AN425">IF(C425="","",IFERROR(XLOOKUP(C425,Assignments!$C:$C,Assignments!$AU:$AU,0),0))</f>
        <v/>
      </c>
      <c r="AO425" s="39">
        <f>IF(AND(Config!$B$1006="Y",AN425=1),Config!$B$1007,0)</f>
        <v>0</v>
      </c>
    </row>
    <row r="426" ht="15.75" customHeight="1">
      <c r="A426" s="46" t="str">
        <f t="shared" si="1"/>
        <v/>
      </c>
      <c r="B426" s="40" t="str">
        <f>IF(Bids!$A426="","",Bids!$A426)</f>
        <v/>
      </c>
      <c r="C426" s="40" t="str">
        <f>IF(Bids!$B426="","",Bids!$B426)</f>
        <v/>
      </c>
      <c r="D426" s="40" t="str">
        <f>IF($C426="","",IFERROR(VLOOKUP($C426,Orders!$A:$J,9,FALSE),""))</f>
        <v/>
      </c>
      <c r="E426" s="40" t="str">
        <f>IF($C426="","",IFERROR(VLOOKUP($C426,Orders!$A:$J,3,FALSE),""))</f>
        <v/>
      </c>
      <c r="F426" s="40" t="str">
        <f>IF($C426="","",IFERROR(VLOOKUP($C426,Orders!$A:$J,4,FALSE),""))</f>
        <v/>
      </c>
      <c r="G426" s="40" t="str">
        <f>IF($C426="","",IFERROR(VLOOKUP($C426,Orders!$A:$J,5,FALSE),""))</f>
        <v/>
      </c>
      <c r="H426" s="40" t="str">
        <f>IF($C426="","",IFERROR(VLOOKUP($C426,Orders!$A:$J,6,FALSE),""))</f>
        <v/>
      </c>
      <c r="I426" s="40" t="str">
        <f>IF($C426="","",IFERROR(VLOOKUP($C426,Orders!$A:$J,7,FALSE),""))</f>
        <v/>
      </c>
      <c r="J426" s="40" t="str">
        <f>IF(Bids!$C426="","",Bids!$C426)</f>
        <v/>
      </c>
      <c r="K426" s="40" t="str">
        <f>IF($J426="","",IFERROR(VLOOKUP($J426,Grinders!$A:$N,2,FALSE),""))</f>
        <v/>
      </c>
      <c r="L426" s="40" t="str">
        <f>IF($J426="","",IFERROR(VLOOKUP($J426,Grinders!$A:$N,3,FALSE),""))</f>
        <v/>
      </c>
      <c r="M426" s="40" t="str">
        <f>IF($J426="","",IFERROR(VLOOKUP($J426,Grinders!$A:$N,4,FALSE),""))</f>
        <v/>
      </c>
      <c r="N426" s="40" t="str">
        <f>IF($J426="","",IFERROR(VLOOKUP($J426,Grinders!$A:$N,5,FALSE),""))</f>
        <v/>
      </c>
      <c r="O426" s="40" t="str">
        <f t="shared" si="2"/>
        <v/>
      </c>
      <c r="P426" s="40" t="str">
        <f>IF($J426="","",IFERROR(VLOOKUP($J426,Grinders!$A:$N,6,FALSE),""))</f>
        <v/>
      </c>
      <c r="Q426" s="40" t="str">
        <f>IF($J426="","",IFERROR(VLOOKUP($J426,Grinders!$A:$N,8,FALSE),""))</f>
        <v/>
      </c>
      <c r="R426" s="40" t="str">
        <f>IFERROR(IF($J426="","",IF($L426="Elite",MAX(50,MIN(100,Config!$B$27*MAX(0,MIN(100,(1-IF($O426="",0,$O426))*100)) + Config!$B$28*MAX(0,MIN(100,(1-MIN(1,IF(Config!$B$30=0,1,$P426/Config!$B$30)))*100)) + Config!$B$29*MAX(0,MIN(100,MIN(1,IF($Q426="",0,$Q426)/Config!$B$23)*100)))),MIN(100,Config!$B$27*MAX(0,MIN(100,(1-IF($O426="",0,$O426))*100)) + Config!$B$28*MAX(0,MIN(100,(1-MIN(1,IF(Config!$B$30=0,1,$P426/Config!$B$30)))*100)) + Config!$B$29*MAX(0,MIN(100,MIN(1,IF($Q426="",0,$Q426)/Config!$B$23)*100))))),"")
</f>
        <v/>
      </c>
      <c r="S426" s="40" t="str">
        <f>IF(Bids!$AC426="","",Bids!$AC426)</f>
        <v/>
      </c>
      <c r="T426" s="40" t="str">
        <f>IF(Bids!$F426="","",Bids!$F426)</f>
        <v/>
      </c>
      <c r="U426" s="40" t="str">
        <f t="shared" si="3"/>
        <v/>
      </c>
      <c r="V426" s="40" t="str">
        <f>IF($U426="","",IF(Config!$B$17=Config!$B$16,IF($U426&gt;=Config!$B$17,100,0),MAX(0,MIN(100,($U426-Config!$B$16)/(Config!$B$17-Config!$B$16)*100))))</f>
        <v/>
      </c>
      <c r="W426" s="40">
        <f>IF($L426="Elite",Config!$B$21,0)</f>
        <v>0</v>
      </c>
      <c r="X426" s="40" t="str">
        <f>IFERROR(IF(OR($T426="",$G426=""),"",IF($T426&gt;$G426,
  MAX(0, 60-(($T426-$G426)*24/Config!$B$19)*60),
  MEDIAN(60, 100, 60+(($G426-$T426)*24/Config!$B$20)*40)
)),"")
</f>
        <v/>
      </c>
      <c r="Y426" s="40" t="str">
        <f>IF($J426="","",IFERROR(VLOOKUP($J426,Grinders!$A:$N,10,FALSE),""))</f>
        <v/>
      </c>
      <c r="Z426" s="40" t="str">
        <f>IF($J426="","",IFERROR(VLOOKUP($J426,Grinders!$A:$N,11,FALSE),""))</f>
        <v/>
      </c>
      <c r="AA426" s="40" t="str">
        <f>IF($J426="","",IFERROR(VLOOKUP($J426,Grinders!$A:$N,12,FALSE),""))</f>
        <v/>
      </c>
      <c r="AB426" s="40" t="str">
        <f>IF(OR(AL426=1,AM426=1),0,=IFERROR(IF(OR($C426="",$J426=""),0,IF($D426&lt;&gt;"Open",0,IF(COUNTIFS(GrinderServices!$A:$A,$J426,GrinderServices!$B:$B,$E426,GrinderServices!$D:$D,"Y")=0,0,IF($U426&lt;Config!$B$16,0,IF(Config!$B$18=1,IF($N426&gt;=$M426,0,1),1))))),""))</f>
        <v>#ERROR!</v>
      </c>
      <c r="AC426" s="40" t="str">
        <f>IFERROR((IF(OR(AL426=1,AM426=1),"",=IFERROR((IFERROR(IF($AB426=0,"",((Config!$B$6*$V426 + Config!$B$7*$R426 + Config!$B$8*$W426 + Config!$B$9*$X426 + Config!$B$10*$Y426 + Config!$B$11*$Z426 - Config!$B$12*$AA426)/Config!$B$13)+$AH426+$AI426),""))*(1-IFERROR(VLOOKUP(J426,Grinders!$A:$AB, 28, FALSE),0)),"")))*(1+AO426),"")</f>
        <v>#ERROR!</v>
      </c>
      <c r="AD426" s="40" t="str">
        <f t="shared" si="4"/>
        <v/>
      </c>
      <c r="AE426" s="40" t="str">
        <f>IFERROR(__xludf.DUMMYFUNCTION("IF($AC426="""","""",IF($AC426=IFERROR(MAX(FILTER($AC$6:$AC$1000,$C$6:$C$1000=$C426,$AB$6:$AB$1000=1)),),""WINNER"",""""))"),"#ERROR!")</f>
        <v>#ERROR!</v>
      </c>
      <c r="AF426" s="40" t="str">
        <f t="shared" si="5"/>
        <v/>
      </c>
      <c r="AG426" s="40" t="str">
        <f>IF($J426="","",COUNTIF(Assignments!$B:$B,$J426))</f>
        <v/>
      </c>
      <c r="AH426" s="40" t="str">
        <f>IF($J426="","",IF(AND($AG426=0,$N426&lt;$M426),Config!$B$43,0))</f>
        <v/>
      </c>
      <c r="AI426" s="40" t="str">
        <f>IF($J426="","",IF(AND($L426="Elite",$F426&gt;=Config!$B$41,$N426&lt;$M426),Config!$B$42,0))</f>
        <v/>
      </c>
      <c r="AJ426" s="22"/>
      <c r="AK426" s="39">
        <f>IFERROR(VLOOKUP(J426,Grinders!$A:$Q,28,FALSE),0)</f>
        <v>0</v>
      </c>
      <c r="AL426" s="39">
        <f>IF(Config!$B$1003&lt;&gt;"Y",0,IF(IFERROR(VLOOKUP(J426,Grinders!$A:$P,27,FALSE),0)&gt;=3,IF(OR(F426&gt;=Config!$B$1001,ISNUMBER(SEARCH(E426,Config!$B$1002))),1,0),0))</f>
        <v>0</v>
      </c>
      <c r="AM426" s="39">
        <f t="array" ref="AM426">IFERROR(IF(INDEX(Bids!$AE:$AE,MATCH(B426,Bids!$A:$A,0))="Pending",1,0),0)</f>
        <v>0</v>
      </c>
      <c r="AN426" s="39" t="str">
        <f t="array" ref="AN426">IF(C426="","",IFERROR(XLOOKUP(C426,Assignments!$C:$C,Assignments!$AU:$AU,0),0))</f>
        <v/>
      </c>
      <c r="AO426" s="39">
        <f>IF(AND(Config!$B$1006="Y",AN426=1),Config!$B$1007,0)</f>
        <v>0</v>
      </c>
    </row>
    <row r="427" ht="15.75" customHeight="1">
      <c r="A427" s="46" t="str">
        <f t="shared" si="1"/>
        <v/>
      </c>
      <c r="B427" s="40" t="str">
        <f>IF(Bids!$A427="","",Bids!$A427)</f>
        <v/>
      </c>
      <c r="C427" s="40" t="str">
        <f>IF(Bids!$B427="","",Bids!$B427)</f>
        <v/>
      </c>
      <c r="D427" s="40" t="str">
        <f>IF($C427="","",IFERROR(VLOOKUP($C427,Orders!$A:$J,9,FALSE),""))</f>
        <v/>
      </c>
      <c r="E427" s="40" t="str">
        <f>IF($C427="","",IFERROR(VLOOKUP($C427,Orders!$A:$J,3,FALSE),""))</f>
        <v/>
      </c>
      <c r="F427" s="40" t="str">
        <f>IF($C427="","",IFERROR(VLOOKUP($C427,Orders!$A:$J,4,FALSE),""))</f>
        <v/>
      </c>
      <c r="G427" s="40" t="str">
        <f>IF($C427="","",IFERROR(VLOOKUP($C427,Orders!$A:$J,5,FALSE),""))</f>
        <v/>
      </c>
      <c r="H427" s="40" t="str">
        <f>IF($C427="","",IFERROR(VLOOKUP($C427,Orders!$A:$J,6,FALSE),""))</f>
        <v/>
      </c>
      <c r="I427" s="40" t="str">
        <f>IF($C427="","",IFERROR(VLOOKUP($C427,Orders!$A:$J,7,FALSE),""))</f>
        <v/>
      </c>
      <c r="J427" s="40" t="str">
        <f>IF(Bids!$C427="","",Bids!$C427)</f>
        <v/>
      </c>
      <c r="K427" s="40" t="str">
        <f>IF($J427="","",IFERROR(VLOOKUP($J427,Grinders!$A:$N,2,FALSE),""))</f>
        <v/>
      </c>
      <c r="L427" s="40" t="str">
        <f>IF($J427="","",IFERROR(VLOOKUP($J427,Grinders!$A:$N,3,FALSE),""))</f>
        <v/>
      </c>
      <c r="M427" s="40" t="str">
        <f>IF($J427="","",IFERROR(VLOOKUP($J427,Grinders!$A:$N,4,FALSE),""))</f>
        <v/>
      </c>
      <c r="N427" s="40" t="str">
        <f>IF($J427="","",IFERROR(VLOOKUP($J427,Grinders!$A:$N,5,FALSE),""))</f>
        <v/>
      </c>
      <c r="O427" s="40" t="str">
        <f t="shared" si="2"/>
        <v/>
      </c>
      <c r="P427" s="40" t="str">
        <f>IF($J427="","",IFERROR(VLOOKUP($J427,Grinders!$A:$N,6,FALSE),""))</f>
        <v/>
      </c>
      <c r="Q427" s="40" t="str">
        <f>IF($J427="","",IFERROR(VLOOKUP($J427,Grinders!$A:$N,8,FALSE),""))</f>
        <v/>
      </c>
      <c r="R427" s="40" t="str">
        <f>IFERROR(IF($J427="","",IF($L427="Elite",MAX(50,MIN(100,Config!$B$27*MAX(0,MIN(100,(1-IF($O427="",0,$O427))*100)) + Config!$B$28*MAX(0,MIN(100,(1-MIN(1,IF(Config!$B$30=0,1,$P427/Config!$B$30)))*100)) + Config!$B$29*MAX(0,MIN(100,MIN(1,IF($Q427="",0,$Q427)/Config!$B$23)*100)))),MIN(100,Config!$B$27*MAX(0,MIN(100,(1-IF($O427="",0,$O427))*100)) + Config!$B$28*MAX(0,MIN(100,(1-MIN(1,IF(Config!$B$30=0,1,$P427/Config!$B$30)))*100)) + Config!$B$29*MAX(0,MIN(100,MIN(1,IF($Q427="",0,$Q427)/Config!$B$23)*100))))),"")
</f>
        <v/>
      </c>
      <c r="S427" s="40" t="str">
        <f>IF(Bids!$AC427="","",Bids!$AC427)</f>
        <v/>
      </c>
      <c r="T427" s="40" t="str">
        <f>IF(Bids!$F427="","",Bids!$F427)</f>
        <v/>
      </c>
      <c r="U427" s="40" t="str">
        <f t="shared" si="3"/>
        <v/>
      </c>
      <c r="V427" s="40" t="str">
        <f>IF($U427="","",IF(Config!$B$17=Config!$B$16,IF($U427&gt;=Config!$B$17,100,0),MAX(0,MIN(100,($U427-Config!$B$16)/(Config!$B$17-Config!$B$16)*100))))</f>
        <v/>
      </c>
      <c r="W427" s="40">
        <f>IF($L427="Elite",Config!$B$21,0)</f>
        <v>0</v>
      </c>
      <c r="X427" s="40" t="str">
        <f>IFERROR(IF(OR($T427="",$G427=""),"",IF($T427&gt;$G427,
  MAX(0, 60-(($T427-$G427)*24/Config!$B$19)*60),
  MEDIAN(60, 100, 60+(($G427-$T427)*24/Config!$B$20)*40)
)),"")
</f>
        <v/>
      </c>
      <c r="Y427" s="40" t="str">
        <f>IF($J427="","",IFERROR(VLOOKUP($J427,Grinders!$A:$N,10,FALSE),""))</f>
        <v/>
      </c>
      <c r="Z427" s="40" t="str">
        <f>IF($J427="","",IFERROR(VLOOKUP($J427,Grinders!$A:$N,11,FALSE),""))</f>
        <v/>
      </c>
      <c r="AA427" s="40" t="str">
        <f>IF($J427="","",IFERROR(VLOOKUP($J427,Grinders!$A:$N,12,FALSE),""))</f>
        <v/>
      </c>
      <c r="AB427" s="40" t="str">
        <f>IF(OR(AL427=1,AM427=1),0,=IFERROR(IF(OR($C427="",$J427=""),0,IF($D427&lt;&gt;"Open",0,IF(COUNTIFS(GrinderServices!$A:$A,$J427,GrinderServices!$B:$B,$E427,GrinderServices!$D:$D,"Y")=0,0,IF($U427&lt;Config!$B$16,0,IF(Config!$B$18=1,IF($N427&gt;=$M427,0,1),1))))),""))</f>
        <v>#ERROR!</v>
      </c>
      <c r="AC427" s="40" t="str">
        <f>IFERROR((IF(OR(AL427=1,AM427=1),"",=IFERROR((IFERROR(IF($AB427=0,"",((Config!$B$6*$V427 + Config!$B$7*$R427 + Config!$B$8*$W427 + Config!$B$9*$X427 + Config!$B$10*$Y427 + Config!$B$11*$Z427 - Config!$B$12*$AA427)/Config!$B$13)+$AH427+$AI427),""))*(1-IFERROR(VLOOKUP(J427,Grinders!$A:$AB, 28, FALSE),0)),"")))*(1+AO427),"")</f>
        <v>#ERROR!</v>
      </c>
      <c r="AD427" s="40" t="str">
        <f t="shared" si="4"/>
        <v/>
      </c>
      <c r="AE427" s="40" t="str">
        <f>IFERROR(__xludf.DUMMYFUNCTION("IF($AC427="""","""",IF($AC427=IFERROR(MAX(FILTER($AC$6:$AC$1000,$C$6:$C$1000=$C427,$AB$6:$AB$1000=1)),),""WINNER"",""""))"),"#ERROR!")</f>
        <v>#ERROR!</v>
      </c>
      <c r="AF427" s="40" t="str">
        <f t="shared" si="5"/>
        <v/>
      </c>
      <c r="AG427" s="40" t="str">
        <f>IF($J427="","",COUNTIF(Assignments!$B:$B,$J427))</f>
        <v/>
      </c>
      <c r="AH427" s="40" t="str">
        <f>IF($J427="","",IF(AND($AG427=0,$N427&lt;$M427),Config!$B$43,0))</f>
        <v/>
      </c>
      <c r="AI427" s="40" t="str">
        <f>IF($J427="","",IF(AND($L427="Elite",$F427&gt;=Config!$B$41,$N427&lt;$M427),Config!$B$42,0))</f>
        <v/>
      </c>
      <c r="AJ427" s="22"/>
      <c r="AK427" s="39">
        <f>IFERROR(VLOOKUP(J427,Grinders!$A:$Q,28,FALSE),0)</f>
        <v>0</v>
      </c>
      <c r="AL427" s="39">
        <f>IF(Config!$B$1003&lt;&gt;"Y",0,IF(IFERROR(VLOOKUP(J427,Grinders!$A:$P,27,FALSE),0)&gt;=3,IF(OR(F427&gt;=Config!$B$1001,ISNUMBER(SEARCH(E427,Config!$B$1002))),1,0),0))</f>
        <v>0</v>
      </c>
      <c r="AM427" s="39">
        <f t="array" ref="AM427">IFERROR(IF(INDEX(Bids!$AE:$AE,MATCH(B427,Bids!$A:$A,0))="Pending",1,0),0)</f>
        <v>0</v>
      </c>
      <c r="AN427" s="39" t="str">
        <f t="array" ref="AN427">IF(C427="","",IFERROR(XLOOKUP(C427,Assignments!$C:$C,Assignments!$AU:$AU,0),0))</f>
        <v/>
      </c>
      <c r="AO427" s="39">
        <f>IF(AND(Config!$B$1006="Y",AN427=1),Config!$B$1007,0)</f>
        <v>0</v>
      </c>
    </row>
    <row r="428" ht="15.75" customHeight="1">
      <c r="A428" s="46" t="str">
        <f t="shared" si="1"/>
        <v/>
      </c>
      <c r="B428" s="40" t="str">
        <f>IF(Bids!$A428="","",Bids!$A428)</f>
        <v/>
      </c>
      <c r="C428" s="40" t="str">
        <f>IF(Bids!$B428="","",Bids!$B428)</f>
        <v/>
      </c>
      <c r="D428" s="40" t="str">
        <f>IF($C428="","",IFERROR(VLOOKUP($C428,Orders!$A:$J,9,FALSE),""))</f>
        <v/>
      </c>
      <c r="E428" s="40" t="str">
        <f>IF($C428="","",IFERROR(VLOOKUP($C428,Orders!$A:$J,3,FALSE),""))</f>
        <v/>
      </c>
      <c r="F428" s="40" t="str">
        <f>IF($C428="","",IFERROR(VLOOKUP($C428,Orders!$A:$J,4,FALSE),""))</f>
        <v/>
      </c>
      <c r="G428" s="40" t="str">
        <f>IF($C428="","",IFERROR(VLOOKUP($C428,Orders!$A:$J,5,FALSE),""))</f>
        <v/>
      </c>
      <c r="H428" s="40" t="str">
        <f>IF($C428="","",IFERROR(VLOOKUP($C428,Orders!$A:$J,6,FALSE),""))</f>
        <v/>
      </c>
      <c r="I428" s="40" t="str">
        <f>IF($C428="","",IFERROR(VLOOKUP($C428,Orders!$A:$J,7,FALSE),""))</f>
        <v/>
      </c>
      <c r="J428" s="40" t="str">
        <f>IF(Bids!$C428="","",Bids!$C428)</f>
        <v/>
      </c>
      <c r="K428" s="40" t="str">
        <f>IF($J428="","",IFERROR(VLOOKUP($J428,Grinders!$A:$N,2,FALSE),""))</f>
        <v/>
      </c>
      <c r="L428" s="40" t="str">
        <f>IF($J428="","",IFERROR(VLOOKUP($J428,Grinders!$A:$N,3,FALSE),""))</f>
        <v/>
      </c>
      <c r="M428" s="40" t="str">
        <f>IF($J428="","",IFERROR(VLOOKUP($J428,Grinders!$A:$N,4,FALSE),""))</f>
        <v/>
      </c>
      <c r="N428" s="40" t="str">
        <f>IF($J428="","",IFERROR(VLOOKUP($J428,Grinders!$A:$N,5,FALSE),""))</f>
        <v/>
      </c>
      <c r="O428" s="40" t="str">
        <f t="shared" si="2"/>
        <v/>
      </c>
      <c r="P428" s="40" t="str">
        <f>IF($J428="","",IFERROR(VLOOKUP($J428,Grinders!$A:$N,6,FALSE),""))</f>
        <v/>
      </c>
      <c r="Q428" s="40" t="str">
        <f>IF($J428="","",IFERROR(VLOOKUP($J428,Grinders!$A:$N,8,FALSE),""))</f>
        <v/>
      </c>
      <c r="R428" s="40" t="str">
        <f>IFERROR(IF($J428="","",IF($L428="Elite",MAX(50,MIN(100,Config!$B$27*MAX(0,MIN(100,(1-IF($O428="",0,$O428))*100)) + Config!$B$28*MAX(0,MIN(100,(1-MIN(1,IF(Config!$B$30=0,1,$P428/Config!$B$30)))*100)) + Config!$B$29*MAX(0,MIN(100,MIN(1,IF($Q428="",0,$Q428)/Config!$B$23)*100)))),MIN(100,Config!$B$27*MAX(0,MIN(100,(1-IF($O428="",0,$O428))*100)) + Config!$B$28*MAX(0,MIN(100,(1-MIN(1,IF(Config!$B$30=0,1,$P428/Config!$B$30)))*100)) + Config!$B$29*MAX(0,MIN(100,MIN(1,IF($Q428="",0,$Q428)/Config!$B$23)*100))))),"")
</f>
        <v/>
      </c>
      <c r="S428" s="40" t="str">
        <f>IF(Bids!$AC428="","",Bids!$AC428)</f>
        <v/>
      </c>
      <c r="T428" s="40" t="str">
        <f>IF(Bids!$F428="","",Bids!$F428)</f>
        <v/>
      </c>
      <c r="U428" s="40" t="str">
        <f t="shared" si="3"/>
        <v/>
      </c>
      <c r="V428" s="40" t="str">
        <f>IF($U428="","",IF(Config!$B$17=Config!$B$16,IF($U428&gt;=Config!$B$17,100,0),MAX(0,MIN(100,($U428-Config!$B$16)/(Config!$B$17-Config!$B$16)*100))))</f>
        <v/>
      </c>
      <c r="W428" s="40">
        <f>IF($L428="Elite",Config!$B$21,0)</f>
        <v>0</v>
      </c>
      <c r="X428" s="40" t="str">
        <f>IFERROR(IF(OR($T428="",$G428=""),"",IF($T428&gt;$G428,
  MAX(0, 60-(($T428-$G428)*24/Config!$B$19)*60),
  MEDIAN(60, 100, 60+(($G428-$T428)*24/Config!$B$20)*40)
)),"")
</f>
        <v/>
      </c>
      <c r="Y428" s="40" t="str">
        <f>IF($J428="","",IFERROR(VLOOKUP($J428,Grinders!$A:$N,10,FALSE),""))</f>
        <v/>
      </c>
      <c r="Z428" s="40" t="str">
        <f>IF($J428="","",IFERROR(VLOOKUP($J428,Grinders!$A:$N,11,FALSE),""))</f>
        <v/>
      </c>
      <c r="AA428" s="40" t="str">
        <f>IF($J428="","",IFERROR(VLOOKUP($J428,Grinders!$A:$N,12,FALSE),""))</f>
        <v/>
      </c>
      <c r="AB428" s="40" t="str">
        <f>IF(OR(AL428=1,AM428=1),0,=IFERROR(IF(OR($C428="",$J428=""),0,IF($D428&lt;&gt;"Open",0,IF(COUNTIFS(GrinderServices!$A:$A,$J428,GrinderServices!$B:$B,$E428,GrinderServices!$D:$D,"Y")=0,0,IF($U428&lt;Config!$B$16,0,IF(Config!$B$18=1,IF($N428&gt;=$M428,0,1),1))))),""))</f>
        <v>#ERROR!</v>
      </c>
      <c r="AC428" s="40" t="str">
        <f>IFERROR((IF(OR(AL428=1,AM428=1),"",=IFERROR((IFERROR(IF($AB428=0,"",((Config!$B$6*$V428 + Config!$B$7*$R428 + Config!$B$8*$W428 + Config!$B$9*$X428 + Config!$B$10*$Y428 + Config!$B$11*$Z428 - Config!$B$12*$AA428)/Config!$B$13)+$AH428+$AI428),""))*(1-IFERROR(VLOOKUP(J428,Grinders!$A:$AB, 28, FALSE),0)),"")))*(1+AO428),"")</f>
        <v>#ERROR!</v>
      </c>
      <c r="AD428" s="40" t="str">
        <f t="shared" si="4"/>
        <v/>
      </c>
      <c r="AE428" s="40" t="str">
        <f>IFERROR(__xludf.DUMMYFUNCTION("IF($AC428="""","""",IF($AC428=IFERROR(MAX(FILTER($AC$6:$AC$1000,$C$6:$C$1000=$C428,$AB$6:$AB$1000=1)),),""WINNER"",""""))"),"#ERROR!")</f>
        <v>#ERROR!</v>
      </c>
      <c r="AF428" s="40" t="str">
        <f t="shared" si="5"/>
        <v/>
      </c>
      <c r="AG428" s="40" t="str">
        <f>IF($J428="","",COUNTIF(Assignments!$B:$B,$J428))</f>
        <v/>
      </c>
      <c r="AH428" s="40" t="str">
        <f>IF($J428="","",IF(AND($AG428=0,$N428&lt;$M428),Config!$B$43,0))</f>
        <v/>
      </c>
      <c r="AI428" s="40" t="str">
        <f>IF($J428="","",IF(AND($L428="Elite",$F428&gt;=Config!$B$41,$N428&lt;$M428),Config!$B$42,0))</f>
        <v/>
      </c>
      <c r="AJ428" s="22"/>
      <c r="AK428" s="39">
        <f>IFERROR(VLOOKUP(J428,Grinders!$A:$Q,28,FALSE),0)</f>
        <v>0</v>
      </c>
      <c r="AL428" s="39">
        <f>IF(Config!$B$1003&lt;&gt;"Y",0,IF(IFERROR(VLOOKUP(J428,Grinders!$A:$P,27,FALSE),0)&gt;=3,IF(OR(F428&gt;=Config!$B$1001,ISNUMBER(SEARCH(E428,Config!$B$1002))),1,0),0))</f>
        <v>0</v>
      </c>
      <c r="AM428" s="39">
        <f t="array" ref="AM428">IFERROR(IF(INDEX(Bids!$AE:$AE,MATCH(B428,Bids!$A:$A,0))="Pending",1,0),0)</f>
        <v>0</v>
      </c>
      <c r="AN428" s="39" t="str">
        <f t="array" ref="AN428">IF(C428="","",IFERROR(XLOOKUP(C428,Assignments!$C:$C,Assignments!$AU:$AU,0),0))</f>
        <v/>
      </c>
      <c r="AO428" s="39">
        <f>IF(AND(Config!$B$1006="Y",AN428=1),Config!$B$1007,0)</f>
        <v>0</v>
      </c>
    </row>
    <row r="429" ht="15.75" customHeight="1">
      <c r="A429" s="46" t="str">
        <f t="shared" si="1"/>
        <v/>
      </c>
      <c r="B429" s="40" t="str">
        <f>IF(Bids!$A429="","",Bids!$A429)</f>
        <v/>
      </c>
      <c r="C429" s="40" t="str">
        <f>IF(Bids!$B429="","",Bids!$B429)</f>
        <v/>
      </c>
      <c r="D429" s="40" t="str">
        <f>IF($C429="","",IFERROR(VLOOKUP($C429,Orders!$A:$J,9,FALSE),""))</f>
        <v/>
      </c>
      <c r="E429" s="40" t="str">
        <f>IF($C429="","",IFERROR(VLOOKUP($C429,Orders!$A:$J,3,FALSE),""))</f>
        <v/>
      </c>
      <c r="F429" s="40" t="str">
        <f>IF($C429="","",IFERROR(VLOOKUP($C429,Orders!$A:$J,4,FALSE),""))</f>
        <v/>
      </c>
      <c r="G429" s="40" t="str">
        <f>IF($C429="","",IFERROR(VLOOKUP($C429,Orders!$A:$J,5,FALSE),""))</f>
        <v/>
      </c>
      <c r="H429" s="40" t="str">
        <f>IF($C429="","",IFERROR(VLOOKUP($C429,Orders!$A:$J,6,FALSE),""))</f>
        <v/>
      </c>
      <c r="I429" s="40" t="str">
        <f>IF($C429="","",IFERROR(VLOOKUP($C429,Orders!$A:$J,7,FALSE),""))</f>
        <v/>
      </c>
      <c r="J429" s="40" t="str">
        <f>IF(Bids!$C429="","",Bids!$C429)</f>
        <v/>
      </c>
      <c r="K429" s="40" t="str">
        <f>IF($J429="","",IFERROR(VLOOKUP($J429,Grinders!$A:$N,2,FALSE),""))</f>
        <v/>
      </c>
      <c r="L429" s="40" t="str">
        <f>IF($J429="","",IFERROR(VLOOKUP($J429,Grinders!$A:$N,3,FALSE),""))</f>
        <v/>
      </c>
      <c r="M429" s="40" t="str">
        <f>IF($J429="","",IFERROR(VLOOKUP($J429,Grinders!$A:$N,4,FALSE),""))</f>
        <v/>
      </c>
      <c r="N429" s="40" t="str">
        <f>IF($J429="","",IFERROR(VLOOKUP($J429,Grinders!$A:$N,5,FALSE),""))</f>
        <v/>
      </c>
      <c r="O429" s="40" t="str">
        <f t="shared" si="2"/>
        <v/>
      </c>
      <c r="P429" s="40" t="str">
        <f>IF($J429="","",IFERROR(VLOOKUP($J429,Grinders!$A:$N,6,FALSE),""))</f>
        <v/>
      </c>
      <c r="Q429" s="40" t="str">
        <f>IF($J429="","",IFERROR(VLOOKUP($J429,Grinders!$A:$N,8,FALSE),""))</f>
        <v/>
      </c>
      <c r="R429" s="40" t="str">
        <f>IFERROR(IF($J429="","",IF($L429="Elite",MAX(50,MIN(100,Config!$B$27*MAX(0,MIN(100,(1-IF($O429="",0,$O429))*100)) + Config!$B$28*MAX(0,MIN(100,(1-MIN(1,IF(Config!$B$30=0,1,$P429/Config!$B$30)))*100)) + Config!$B$29*MAX(0,MIN(100,MIN(1,IF($Q429="",0,$Q429)/Config!$B$23)*100)))),MIN(100,Config!$B$27*MAX(0,MIN(100,(1-IF($O429="",0,$O429))*100)) + Config!$B$28*MAX(0,MIN(100,(1-MIN(1,IF(Config!$B$30=0,1,$P429/Config!$B$30)))*100)) + Config!$B$29*MAX(0,MIN(100,MIN(1,IF($Q429="",0,$Q429)/Config!$B$23)*100))))),"")
</f>
        <v/>
      </c>
      <c r="S429" s="40" t="str">
        <f>IF(Bids!$AC429="","",Bids!$AC429)</f>
        <v/>
      </c>
      <c r="T429" s="40" t="str">
        <f>IF(Bids!$F429="","",Bids!$F429)</f>
        <v/>
      </c>
      <c r="U429" s="40" t="str">
        <f t="shared" si="3"/>
        <v/>
      </c>
      <c r="V429" s="40" t="str">
        <f>IF($U429="","",IF(Config!$B$17=Config!$B$16,IF($U429&gt;=Config!$B$17,100,0),MAX(0,MIN(100,($U429-Config!$B$16)/(Config!$B$17-Config!$B$16)*100))))</f>
        <v/>
      </c>
      <c r="W429" s="40">
        <f>IF($L429="Elite",Config!$B$21,0)</f>
        <v>0</v>
      </c>
      <c r="X429" s="40" t="str">
        <f>IFERROR(IF(OR($T429="",$G429=""),"",IF($T429&gt;$G429,
  MAX(0, 60-(($T429-$G429)*24/Config!$B$19)*60),
  MEDIAN(60, 100, 60+(($G429-$T429)*24/Config!$B$20)*40)
)),"")
</f>
        <v/>
      </c>
      <c r="Y429" s="40" t="str">
        <f>IF($J429="","",IFERROR(VLOOKUP($J429,Grinders!$A:$N,10,FALSE),""))</f>
        <v/>
      </c>
      <c r="Z429" s="40" t="str">
        <f>IF($J429="","",IFERROR(VLOOKUP($J429,Grinders!$A:$N,11,FALSE),""))</f>
        <v/>
      </c>
      <c r="AA429" s="40" t="str">
        <f>IF($J429="","",IFERROR(VLOOKUP($J429,Grinders!$A:$N,12,FALSE),""))</f>
        <v/>
      </c>
      <c r="AB429" s="40" t="str">
        <f>IF(OR(AL429=1,AM429=1),0,=IFERROR(IF(OR($C429="",$J429=""),0,IF($D429&lt;&gt;"Open",0,IF(COUNTIFS(GrinderServices!$A:$A,$J429,GrinderServices!$B:$B,$E429,GrinderServices!$D:$D,"Y")=0,0,IF($U429&lt;Config!$B$16,0,IF(Config!$B$18=1,IF($N429&gt;=$M429,0,1),1))))),""))</f>
        <v>#ERROR!</v>
      </c>
      <c r="AC429" s="40" t="str">
        <f>IFERROR((IF(OR(AL429=1,AM429=1),"",=IFERROR((IFERROR(IF($AB429=0,"",((Config!$B$6*$V429 + Config!$B$7*$R429 + Config!$B$8*$W429 + Config!$B$9*$X429 + Config!$B$10*$Y429 + Config!$B$11*$Z429 - Config!$B$12*$AA429)/Config!$B$13)+$AH429+$AI429),""))*(1-IFERROR(VLOOKUP(J429,Grinders!$A:$AB, 28, FALSE),0)),"")))*(1+AO429),"")</f>
        <v>#ERROR!</v>
      </c>
      <c r="AD429" s="40" t="str">
        <f t="shared" si="4"/>
        <v/>
      </c>
      <c r="AE429" s="40" t="str">
        <f>IFERROR(__xludf.DUMMYFUNCTION("IF($AC429="""","""",IF($AC429=IFERROR(MAX(FILTER($AC$6:$AC$1000,$C$6:$C$1000=$C429,$AB$6:$AB$1000=1)),),""WINNER"",""""))"),"#ERROR!")</f>
        <v>#ERROR!</v>
      </c>
      <c r="AF429" s="40" t="str">
        <f t="shared" si="5"/>
        <v/>
      </c>
      <c r="AG429" s="40" t="str">
        <f>IF($J429="","",COUNTIF(Assignments!$B:$B,$J429))</f>
        <v/>
      </c>
      <c r="AH429" s="40" t="str">
        <f>IF($J429="","",IF(AND($AG429=0,$N429&lt;$M429),Config!$B$43,0))</f>
        <v/>
      </c>
      <c r="AI429" s="40" t="str">
        <f>IF($J429="","",IF(AND($L429="Elite",$F429&gt;=Config!$B$41,$N429&lt;$M429),Config!$B$42,0))</f>
        <v/>
      </c>
      <c r="AJ429" s="22"/>
      <c r="AK429" s="39">
        <f>IFERROR(VLOOKUP(J429,Grinders!$A:$Q,28,FALSE),0)</f>
        <v>0</v>
      </c>
      <c r="AL429" s="39">
        <f>IF(Config!$B$1003&lt;&gt;"Y",0,IF(IFERROR(VLOOKUP(J429,Grinders!$A:$P,27,FALSE),0)&gt;=3,IF(OR(F429&gt;=Config!$B$1001,ISNUMBER(SEARCH(E429,Config!$B$1002))),1,0),0))</f>
        <v>0</v>
      </c>
      <c r="AM429" s="39">
        <f t="array" ref="AM429">IFERROR(IF(INDEX(Bids!$AE:$AE,MATCH(B429,Bids!$A:$A,0))="Pending",1,0),0)</f>
        <v>0</v>
      </c>
      <c r="AN429" s="39" t="str">
        <f t="array" ref="AN429">IF(C429="","",IFERROR(XLOOKUP(C429,Assignments!$C:$C,Assignments!$AU:$AU,0),0))</f>
        <v/>
      </c>
      <c r="AO429" s="39">
        <f>IF(AND(Config!$B$1006="Y",AN429=1),Config!$B$1007,0)</f>
        <v>0</v>
      </c>
    </row>
    <row r="430" ht="15.75" customHeight="1">
      <c r="A430" s="46" t="str">
        <f t="shared" si="1"/>
        <v/>
      </c>
      <c r="B430" s="40" t="str">
        <f>IF(Bids!$A430="","",Bids!$A430)</f>
        <v/>
      </c>
      <c r="C430" s="40" t="str">
        <f>IF(Bids!$B430="","",Bids!$B430)</f>
        <v/>
      </c>
      <c r="D430" s="40" t="str">
        <f>IF($C430="","",IFERROR(VLOOKUP($C430,Orders!$A:$J,9,FALSE),""))</f>
        <v/>
      </c>
      <c r="E430" s="40" t="str">
        <f>IF($C430="","",IFERROR(VLOOKUP($C430,Orders!$A:$J,3,FALSE),""))</f>
        <v/>
      </c>
      <c r="F430" s="40" t="str">
        <f>IF($C430="","",IFERROR(VLOOKUP($C430,Orders!$A:$J,4,FALSE),""))</f>
        <v/>
      </c>
      <c r="G430" s="40" t="str">
        <f>IF($C430="","",IFERROR(VLOOKUP($C430,Orders!$A:$J,5,FALSE),""))</f>
        <v/>
      </c>
      <c r="H430" s="40" t="str">
        <f>IF($C430="","",IFERROR(VLOOKUP($C430,Orders!$A:$J,6,FALSE),""))</f>
        <v/>
      </c>
      <c r="I430" s="40" t="str">
        <f>IF($C430="","",IFERROR(VLOOKUP($C430,Orders!$A:$J,7,FALSE),""))</f>
        <v/>
      </c>
      <c r="J430" s="40" t="str">
        <f>IF(Bids!$C430="","",Bids!$C430)</f>
        <v/>
      </c>
      <c r="K430" s="40" t="str">
        <f>IF($J430="","",IFERROR(VLOOKUP($J430,Grinders!$A:$N,2,FALSE),""))</f>
        <v/>
      </c>
      <c r="L430" s="40" t="str">
        <f>IF($J430="","",IFERROR(VLOOKUP($J430,Grinders!$A:$N,3,FALSE),""))</f>
        <v/>
      </c>
      <c r="M430" s="40" t="str">
        <f>IF($J430="","",IFERROR(VLOOKUP($J430,Grinders!$A:$N,4,FALSE),""))</f>
        <v/>
      </c>
      <c r="N430" s="40" t="str">
        <f>IF($J430="","",IFERROR(VLOOKUP($J430,Grinders!$A:$N,5,FALSE),""))</f>
        <v/>
      </c>
      <c r="O430" s="40" t="str">
        <f t="shared" si="2"/>
        <v/>
      </c>
      <c r="P430" s="40" t="str">
        <f>IF($J430="","",IFERROR(VLOOKUP($J430,Grinders!$A:$N,6,FALSE),""))</f>
        <v/>
      </c>
      <c r="Q430" s="40" t="str">
        <f>IF($J430="","",IFERROR(VLOOKUP($J430,Grinders!$A:$N,8,FALSE),""))</f>
        <v/>
      </c>
      <c r="R430" s="40" t="str">
        <f>IFERROR(IF($J430="","",IF($L430="Elite",MAX(50,MIN(100,Config!$B$27*MAX(0,MIN(100,(1-IF($O430="",0,$O430))*100)) + Config!$B$28*MAX(0,MIN(100,(1-MIN(1,IF(Config!$B$30=0,1,$P430/Config!$B$30)))*100)) + Config!$B$29*MAX(0,MIN(100,MIN(1,IF($Q430="",0,$Q430)/Config!$B$23)*100)))),MIN(100,Config!$B$27*MAX(0,MIN(100,(1-IF($O430="",0,$O430))*100)) + Config!$B$28*MAX(0,MIN(100,(1-MIN(1,IF(Config!$B$30=0,1,$P430/Config!$B$30)))*100)) + Config!$B$29*MAX(0,MIN(100,MIN(1,IF($Q430="",0,$Q430)/Config!$B$23)*100))))),"")
</f>
        <v/>
      </c>
      <c r="S430" s="40" t="str">
        <f>IF(Bids!$AC430="","",Bids!$AC430)</f>
        <v/>
      </c>
      <c r="T430" s="40" t="str">
        <f>IF(Bids!$F430="","",Bids!$F430)</f>
        <v/>
      </c>
      <c r="U430" s="40" t="str">
        <f t="shared" si="3"/>
        <v/>
      </c>
      <c r="V430" s="40" t="str">
        <f>IF($U430="","",IF(Config!$B$17=Config!$B$16,IF($U430&gt;=Config!$B$17,100,0),MAX(0,MIN(100,($U430-Config!$B$16)/(Config!$B$17-Config!$B$16)*100))))</f>
        <v/>
      </c>
      <c r="W430" s="40">
        <f>IF($L430="Elite",Config!$B$21,0)</f>
        <v>0</v>
      </c>
      <c r="X430" s="40" t="str">
        <f>IFERROR(IF(OR($T430="",$G430=""),"",IF($T430&gt;$G430,
  MAX(0, 60-(($T430-$G430)*24/Config!$B$19)*60),
  MEDIAN(60, 100, 60+(($G430-$T430)*24/Config!$B$20)*40)
)),"")
</f>
        <v/>
      </c>
      <c r="Y430" s="40" t="str">
        <f>IF($J430="","",IFERROR(VLOOKUP($J430,Grinders!$A:$N,10,FALSE),""))</f>
        <v/>
      </c>
      <c r="Z430" s="40" t="str">
        <f>IF($J430="","",IFERROR(VLOOKUP($J430,Grinders!$A:$N,11,FALSE),""))</f>
        <v/>
      </c>
      <c r="AA430" s="40" t="str">
        <f>IF($J430="","",IFERROR(VLOOKUP($J430,Grinders!$A:$N,12,FALSE),""))</f>
        <v/>
      </c>
      <c r="AB430" s="40" t="str">
        <f>IF(OR(AL430=1,AM430=1),0,=IFERROR(IF(OR($C430="",$J430=""),0,IF($D430&lt;&gt;"Open",0,IF(COUNTIFS(GrinderServices!$A:$A,$J430,GrinderServices!$B:$B,$E430,GrinderServices!$D:$D,"Y")=0,0,IF($U430&lt;Config!$B$16,0,IF(Config!$B$18=1,IF($N430&gt;=$M430,0,1),1))))),""))</f>
        <v>#ERROR!</v>
      </c>
      <c r="AC430" s="40" t="str">
        <f>IFERROR((IF(OR(AL430=1,AM430=1),"",=IFERROR((IFERROR(IF($AB430=0,"",((Config!$B$6*$V430 + Config!$B$7*$R430 + Config!$B$8*$W430 + Config!$B$9*$X430 + Config!$B$10*$Y430 + Config!$B$11*$Z430 - Config!$B$12*$AA430)/Config!$B$13)+$AH430+$AI430),""))*(1-IFERROR(VLOOKUP(J430,Grinders!$A:$AB, 28, FALSE),0)),"")))*(1+AO430),"")</f>
        <v>#ERROR!</v>
      </c>
      <c r="AD430" s="40" t="str">
        <f t="shared" si="4"/>
        <v/>
      </c>
      <c r="AE430" s="40" t="str">
        <f>IFERROR(__xludf.DUMMYFUNCTION("IF($AC430="""","""",IF($AC430=IFERROR(MAX(FILTER($AC$6:$AC$1000,$C$6:$C$1000=$C430,$AB$6:$AB$1000=1)),),""WINNER"",""""))"),"#ERROR!")</f>
        <v>#ERROR!</v>
      </c>
      <c r="AF430" s="40" t="str">
        <f t="shared" si="5"/>
        <v/>
      </c>
      <c r="AG430" s="40" t="str">
        <f>IF($J430="","",COUNTIF(Assignments!$B:$B,$J430))</f>
        <v/>
      </c>
      <c r="AH430" s="40" t="str">
        <f>IF($J430="","",IF(AND($AG430=0,$N430&lt;$M430),Config!$B$43,0))</f>
        <v/>
      </c>
      <c r="AI430" s="40" t="str">
        <f>IF($J430="","",IF(AND($L430="Elite",$F430&gt;=Config!$B$41,$N430&lt;$M430),Config!$B$42,0))</f>
        <v/>
      </c>
      <c r="AJ430" s="22"/>
      <c r="AK430" s="39">
        <f>IFERROR(VLOOKUP(J430,Grinders!$A:$Q,28,FALSE),0)</f>
        <v>0</v>
      </c>
      <c r="AL430" s="39">
        <f>IF(Config!$B$1003&lt;&gt;"Y",0,IF(IFERROR(VLOOKUP(J430,Grinders!$A:$P,27,FALSE),0)&gt;=3,IF(OR(F430&gt;=Config!$B$1001,ISNUMBER(SEARCH(E430,Config!$B$1002))),1,0),0))</f>
        <v>0</v>
      </c>
      <c r="AM430" s="39">
        <f t="array" ref="AM430">IFERROR(IF(INDEX(Bids!$AE:$AE,MATCH(B430,Bids!$A:$A,0))="Pending",1,0),0)</f>
        <v>0</v>
      </c>
      <c r="AN430" s="39" t="str">
        <f t="array" ref="AN430">IF(C430="","",IFERROR(XLOOKUP(C430,Assignments!$C:$C,Assignments!$AU:$AU,0),0))</f>
        <v/>
      </c>
      <c r="AO430" s="39">
        <f>IF(AND(Config!$B$1006="Y",AN430=1),Config!$B$1007,0)</f>
        <v>0</v>
      </c>
    </row>
    <row r="431" ht="15.75" customHeight="1">
      <c r="A431" s="46" t="str">
        <f t="shared" si="1"/>
        <v/>
      </c>
      <c r="B431" s="40" t="str">
        <f>IF(Bids!$A431="","",Bids!$A431)</f>
        <v/>
      </c>
      <c r="C431" s="40" t="str">
        <f>IF(Bids!$B431="","",Bids!$B431)</f>
        <v/>
      </c>
      <c r="D431" s="40" t="str">
        <f>IF($C431="","",IFERROR(VLOOKUP($C431,Orders!$A:$J,9,FALSE),""))</f>
        <v/>
      </c>
      <c r="E431" s="40" t="str">
        <f>IF($C431="","",IFERROR(VLOOKUP($C431,Orders!$A:$J,3,FALSE),""))</f>
        <v/>
      </c>
      <c r="F431" s="40" t="str">
        <f>IF($C431="","",IFERROR(VLOOKUP($C431,Orders!$A:$J,4,FALSE),""))</f>
        <v/>
      </c>
      <c r="G431" s="40" t="str">
        <f>IF($C431="","",IFERROR(VLOOKUP($C431,Orders!$A:$J,5,FALSE),""))</f>
        <v/>
      </c>
      <c r="H431" s="40" t="str">
        <f>IF($C431="","",IFERROR(VLOOKUP($C431,Orders!$A:$J,6,FALSE),""))</f>
        <v/>
      </c>
      <c r="I431" s="40" t="str">
        <f>IF($C431="","",IFERROR(VLOOKUP($C431,Orders!$A:$J,7,FALSE),""))</f>
        <v/>
      </c>
      <c r="J431" s="40" t="str">
        <f>IF(Bids!$C431="","",Bids!$C431)</f>
        <v/>
      </c>
      <c r="K431" s="40" t="str">
        <f>IF($J431="","",IFERROR(VLOOKUP($J431,Grinders!$A:$N,2,FALSE),""))</f>
        <v/>
      </c>
      <c r="L431" s="40" t="str">
        <f>IF($J431="","",IFERROR(VLOOKUP($J431,Grinders!$A:$N,3,FALSE),""))</f>
        <v/>
      </c>
      <c r="M431" s="40" t="str">
        <f>IF($J431="","",IFERROR(VLOOKUP($J431,Grinders!$A:$N,4,FALSE),""))</f>
        <v/>
      </c>
      <c r="N431" s="40" t="str">
        <f>IF($J431="","",IFERROR(VLOOKUP($J431,Grinders!$A:$N,5,FALSE),""))</f>
        <v/>
      </c>
      <c r="O431" s="40" t="str">
        <f t="shared" si="2"/>
        <v/>
      </c>
      <c r="P431" s="40" t="str">
        <f>IF($J431="","",IFERROR(VLOOKUP($J431,Grinders!$A:$N,6,FALSE),""))</f>
        <v/>
      </c>
      <c r="Q431" s="40" t="str">
        <f>IF($J431="","",IFERROR(VLOOKUP($J431,Grinders!$A:$N,8,FALSE),""))</f>
        <v/>
      </c>
      <c r="R431" s="40" t="str">
        <f>IFERROR(IF($J431="","",IF($L431="Elite",MAX(50,MIN(100,Config!$B$27*MAX(0,MIN(100,(1-IF($O431="",0,$O431))*100)) + Config!$B$28*MAX(0,MIN(100,(1-MIN(1,IF(Config!$B$30=0,1,$P431/Config!$B$30)))*100)) + Config!$B$29*MAX(0,MIN(100,MIN(1,IF($Q431="",0,$Q431)/Config!$B$23)*100)))),MIN(100,Config!$B$27*MAX(0,MIN(100,(1-IF($O431="",0,$O431))*100)) + Config!$B$28*MAX(0,MIN(100,(1-MIN(1,IF(Config!$B$30=0,1,$P431/Config!$B$30)))*100)) + Config!$B$29*MAX(0,MIN(100,MIN(1,IF($Q431="",0,$Q431)/Config!$B$23)*100))))),"")
</f>
        <v/>
      </c>
      <c r="S431" s="40" t="str">
        <f>IF(Bids!$AC431="","",Bids!$AC431)</f>
        <v/>
      </c>
      <c r="T431" s="40" t="str">
        <f>IF(Bids!$F431="","",Bids!$F431)</f>
        <v/>
      </c>
      <c r="U431" s="40" t="str">
        <f t="shared" si="3"/>
        <v/>
      </c>
      <c r="V431" s="40" t="str">
        <f>IF($U431="","",IF(Config!$B$17=Config!$B$16,IF($U431&gt;=Config!$B$17,100,0),MAX(0,MIN(100,($U431-Config!$B$16)/(Config!$B$17-Config!$B$16)*100))))</f>
        <v/>
      </c>
      <c r="W431" s="40">
        <f>IF($L431="Elite",Config!$B$21,0)</f>
        <v>0</v>
      </c>
      <c r="X431" s="40" t="str">
        <f>IFERROR(IF(OR($T431="",$G431=""),"",IF($T431&gt;$G431,
  MAX(0, 60-(($T431-$G431)*24/Config!$B$19)*60),
  MEDIAN(60, 100, 60+(($G431-$T431)*24/Config!$B$20)*40)
)),"")
</f>
        <v/>
      </c>
      <c r="Y431" s="40" t="str">
        <f>IF($J431="","",IFERROR(VLOOKUP($J431,Grinders!$A:$N,10,FALSE),""))</f>
        <v/>
      </c>
      <c r="Z431" s="40" t="str">
        <f>IF($J431="","",IFERROR(VLOOKUP($J431,Grinders!$A:$N,11,FALSE),""))</f>
        <v/>
      </c>
      <c r="AA431" s="40" t="str">
        <f>IF($J431="","",IFERROR(VLOOKUP($J431,Grinders!$A:$N,12,FALSE),""))</f>
        <v/>
      </c>
      <c r="AB431" s="40" t="str">
        <f>IF(OR(AL431=1,AM431=1),0,=IFERROR(IF(OR($C431="",$J431=""),0,IF($D431&lt;&gt;"Open",0,IF(COUNTIFS(GrinderServices!$A:$A,$J431,GrinderServices!$B:$B,$E431,GrinderServices!$D:$D,"Y")=0,0,IF($U431&lt;Config!$B$16,0,IF(Config!$B$18=1,IF($N431&gt;=$M431,0,1),1))))),""))</f>
        <v>#ERROR!</v>
      </c>
      <c r="AC431" s="40" t="str">
        <f>IFERROR((IF(OR(AL431=1,AM431=1),"",=IFERROR((IFERROR(IF($AB431=0,"",((Config!$B$6*$V431 + Config!$B$7*$R431 + Config!$B$8*$W431 + Config!$B$9*$X431 + Config!$B$10*$Y431 + Config!$B$11*$Z431 - Config!$B$12*$AA431)/Config!$B$13)+$AH431+$AI431),""))*(1-IFERROR(VLOOKUP(J431,Grinders!$A:$AB, 28, FALSE),0)),"")))*(1+AO431),"")</f>
        <v>#ERROR!</v>
      </c>
      <c r="AD431" s="40" t="str">
        <f t="shared" si="4"/>
        <v/>
      </c>
      <c r="AE431" s="40" t="str">
        <f>IFERROR(__xludf.DUMMYFUNCTION("IF($AC431="""","""",IF($AC431=IFERROR(MAX(FILTER($AC$6:$AC$1000,$C$6:$C$1000=$C431,$AB$6:$AB$1000=1)),),""WINNER"",""""))"),"#ERROR!")</f>
        <v>#ERROR!</v>
      </c>
      <c r="AF431" s="40" t="str">
        <f t="shared" si="5"/>
        <v/>
      </c>
      <c r="AG431" s="40" t="str">
        <f>IF($J431="","",COUNTIF(Assignments!$B:$B,$J431))</f>
        <v/>
      </c>
      <c r="AH431" s="40" t="str">
        <f>IF($J431="","",IF(AND($AG431=0,$N431&lt;$M431),Config!$B$43,0))</f>
        <v/>
      </c>
      <c r="AI431" s="40" t="str">
        <f>IF($J431="","",IF(AND($L431="Elite",$F431&gt;=Config!$B$41,$N431&lt;$M431),Config!$B$42,0))</f>
        <v/>
      </c>
      <c r="AJ431" s="22"/>
      <c r="AK431" s="39">
        <f>IFERROR(VLOOKUP(J431,Grinders!$A:$Q,28,FALSE),0)</f>
        <v>0</v>
      </c>
      <c r="AL431" s="39">
        <f>IF(Config!$B$1003&lt;&gt;"Y",0,IF(IFERROR(VLOOKUP(J431,Grinders!$A:$P,27,FALSE),0)&gt;=3,IF(OR(F431&gt;=Config!$B$1001,ISNUMBER(SEARCH(E431,Config!$B$1002))),1,0),0))</f>
        <v>0</v>
      </c>
      <c r="AM431" s="39">
        <f t="array" ref="AM431">IFERROR(IF(INDEX(Bids!$AE:$AE,MATCH(B431,Bids!$A:$A,0))="Pending",1,0),0)</f>
        <v>0</v>
      </c>
      <c r="AN431" s="39" t="str">
        <f t="array" ref="AN431">IF(C431="","",IFERROR(XLOOKUP(C431,Assignments!$C:$C,Assignments!$AU:$AU,0),0))</f>
        <v/>
      </c>
      <c r="AO431" s="39">
        <f>IF(AND(Config!$B$1006="Y",AN431=1),Config!$B$1007,0)</f>
        <v>0</v>
      </c>
    </row>
    <row r="432" ht="15.75" customHeight="1">
      <c r="A432" s="46" t="str">
        <f t="shared" si="1"/>
        <v/>
      </c>
      <c r="B432" s="40" t="str">
        <f>IF(Bids!$A432="","",Bids!$A432)</f>
        <v/>
      </c>
      <c r="C432" s="40" t="str">
        <f>IF(Bids!$B432="","",Bids!$B432)</f>
        <v/>
      </c>
      <c r="D432" s="40" t="str">
        <f>IF($C432="","",IFERROR(VLOOKUP($C432,Orders!$A:$J,9,FALSE),""))</f>
        <v/>
      </c>
      <c r="E432" s="40" t="str">
        <f>IF($C432="","",IFERROR(VLOOKUP($C432,Orders!$A:$J,3,FALSE),""))</f>
        <v/>
      </c>
      <c r="F432" s="40" t="str">
        <f>IF($C432="","",IFERROR(VLOOKUP($C432,Orders!$A:$J,4,FALSE),""))</f>
        <v/>
      </c>
      <c r="G432" s="40" t="str">
        <f>IF($C432="","",IFERROR(VLOOKUP($C432,Orders!$A:$J,5,FALSE),""))</f>
        <v/>
      </c>
      <c r="H432" s="40" t="str">
        <f>IF($C432="","",IFERROR(VLOOKUP($C432,Orders!$A:$J,6,FALSE),""))</f>
        <v/>
      </c>
      <c r="I432" s="40" t="str">
        <f>IF($C432="","",IFERROR(VLOOKUP($C432,Orders!$A:$J,7,FALSE),""))</f>
        <v/>
      </c>
      <c r="J432" s="40" t="str">
        <f>IF(Bids!$C432="","",Bids!$C432)</f>
        <v/>
      </c>
      <c r="K432" s="40" t="str">
        <f>IF($J432="","",IFERROR(VLOOKUP($J432,Grinders!$A:$N,2,FALSE),""))</f>
        <v/>
      </c>
      <c r="L432" s="40" t="str">
        <f>IF($J432="","",IFERROR(VLOOKUP($J432,Grinders!$A:$N,3,FALSE),""))</f>
        <v/>
      </c>
      <c r="M432" s="40" t="str">
        <f>IF($J432="","",IFERROR(VLOOKUP($J432,Grinders!$A:$N,4,FALSE),""))</f>
        <v/>
      </c>
      <c r="N432" s="40" t="str">
        <f>IF($J432="","",IFERROR(VLOOKUP($J432,Grinders!$A:$N,5,FALSE),""))</f>
        <v/>
      </c>
      <c r="O432" s="40" t="str">
        <f t="shared" si="2"/>
        <v/>
      </c>
      <c r="P432" s="40" t="str">
        <f>IF($J432="","",IFERROR(VLOOKUP($J432,Grinders!$A:$N,6,FALSE),""))</f>
        <v/>
      </c>
      <c r="Q432" s="40" t="str">
        <f>IF($J432="","",IFERROR(VLOOKUP($J432,Grinders!$A:$N,8,FALSE),""))</f>
        <v/>
      </c>
      <c r="R432" s="40" t="str">
        <f>IFERROR(IF($J432="","",IF($L432="Elite",MAX(50,MIN(100,Config!$B$27*MAX(0,MIN(100,(1-IF($O432="",0,$O432))*100)) + Config!$B$28*MAX(0,MIN(100,(1-MIN(1,IF(Config!$B$30=0,1,$P432/Config!$B$30)))*100)) + Config!$B$29*MAX(0,MIN(100,MIN(1,IF($Q432="",0,$Q432)/Config!$B$23)*100)))),MIN(100,Config!$B$27*MAX(0,MIN(100,(1-IF($O432="",0,$O432))*100)) + Config!$B$28*MAX(0,MIN(100,(1-MIN(1,IF(Config!$B$30=0,1,$P432/Config!$B$30)))*100)) + Config!$B$29*MAX(0,MIN(100,MIN(1,IF($Q432="",0,$Q432)/Config!$B$23)*100))))),"")
</f>
        <v/>
      </c>
      <c r="S432" s="40" t="str">
        <f>IF(Bids!$AC432="","",Bids!$AC432)</f>
        <v/>
      </c>
      <c r="T432" s="40" t="str">
        <f>IF(Bids!$F432="","",Bids!$F432)</f>
        <v/>
      </c>
      <c r="U432" s="40" t="str">
        <f t="shared" si="3"/>
        <v/>
      </c>
      <c r="V432" s="40" t="str">
        <f>IF($U432="","",IF(Config!$B$17=Config!$B$16,IF($U432&gt;=Config!$B$17,100,0),MAX(0,MIN(100,($U432-Config!$B$16)/(Config!$B$17-Config!$B$16)*100))))</f>
        <v/>
      </c>
      <c r="W432" s="40">
        <f>IF($L432="Elite",Config!$B$21,0)</f>
        <v>0</v>
      </c>
      <c r="X432" s="40" t="str">
        <f>IFERROR(IF(OR($T432="",$G432=""),"",IF($T432&gt;$G432,
  MAX(0, 60-(($T432-$G432)*24/Config!$B$19)*60),
  MEDIAN(60, 100, 60+(($G432-$T432)*24/Config!$B$20)*40)
)),"")
</f>
        <v/>
      </c>
      <c r="Y432" s="40" t="str">
        <f>IF($J432="","",IFERROR(VLOOKUP($J432,Grinders!$A:$N,10,FALSE),""))</f>
        <v/>
      </c>
      <c r="Z432" s="40" t="str">
        <f>IF($J432="","",IFERROR(VLOOKUP($J432,Grinders!$A:$N,11,FALSE),""))</f>
        <v/>
      </c>
      <c r="AA432" s="40" t="str">
        <f>IF($J432="","",IFERROR(VLOOKUP($J432,Grinders!$A:$N,12,FALSE),""))</f>
        <v/>
      </c>
      <c r="AB432" s="40" t="str">
        <f>IF(OR(AL432=1,AM432=1),0,=IFERROR(IF(OR($C432="",$J432=""),0,IF($D432&lt;&gt;"Open",0,IF(COUNTIFS(GrinderServices!$A:$A,$J432,GrinderServices!$B:$B,$E432,GrinderServices!$D:$D,"Y")=0,0,IF($U432&lt;Config!$B$16,0,IF(Config!$B$18=1,IF($N432&gt;=$M432,0,1),1))))),""))</f>
        <v>#ERROR!</v>
      </c>
      <c r="AC432" s="40" t="str">
        <f>IFERROR((IF(OR(AL432=1,AM432=1),"",=IFERROR((IFERROR(IF($AB432=0,"",((Config!$B$6*$V432 + Config!$B$7*$R432 + Config!$B$8*$W432 + Config!$B$9*$X432 + Config!$B$10*$Y432 + Config!$B$11*$Z432 - Config!$B$12*$AA432)/Config!$B$13)+$AH432+$AI432),""))*(1-IFERROR(VLOOKUP(J432,Grinders!$A:$AB, 28, FALSE),0)),"")))*(1+AO432),"")</f>
        <v>#ERROR!</v>
      </c>
      <c r="AD432" s="40" t="str">
        <f t="shared" si="4"/>
        <v/>
      </c>
      <c r="AE432" s="40" t="str">
        <f>IFERROR(__xludf.DUMMYFUNCTION("IF($AC432="""","""",IF($AC432=IFERROR(MAX(FILTER($AC$6:$AC$1000,$C$6:$C$1000=$C432,$AB$6:$AB$1000=1)),),""WINNER"",""""))"),"#ERROR!")</f>
        <v>#ERROR!</v>
      </c>
      <c r="AF432" s="40" t="str">
        <f t="shared" si="5"/>
        <v/>
      </c>
      <c r="AG432" s="40" t="str">
        <f>IF($J432="","",COUNTIF(Assignments!$B:$B,$J432))</f>
        <v/>
      </c>
      <c r="AH432" s="40" t="str">
        <f>IF($J432="","",IF(AND($AG432=0,$N432&lt;$M432),Config!$B$43,0))</f>
        <v/>
      </c>
      <c r="AI432" s="40" t="str">
        <f>IF($J432="","",IF(AND($L432="Elite",$F432&gt;=Config!$B$41,$N432&lt;$M432),Config!$B$42,0))</f>
        <v/>
      </c>
      <c r="AJ432" s="22"/>
      <c r="AK432" s="39">
        <f>IFERROR(VLOOKUP(J432,Grinders!$A:$Q,28,FALSE),0)</f>
        <v>0</v>
      </c>
      <c r="AL432" s="39">
        <f>IF(Config!$B$1003&lt;&gt;"Y",0,IF(IFERROR(VLOOKUP(J432,Grinders!$A:$P,27,FALSE),0)&gt;=3,IF(OR(F432&gt;=Config!$B$1001,ISNUMBER(SEARCH(E432,Config!$B$1002))),1,0),0))</f>
        <v>0</v>
      </c>
      <c r="AM432" s="39">
        <f t="array" ref="AM432">IFERROR(IF(INDEX(Bids!$AE:$AE,MATCH(B432,Bids!$A:$A,0))="Pending",1,0),0)</f>
        <v>0</v>
      </c>
      <c r="AN432" s="39" t="str">
        <f t="array" ref="AN432">IF(C432="","",IFERROR(XLOOKUP(C432,Assignments!$C:$C,Assignments!$AU:$AU,0),0))</f>
        <v/>
      </c>
      <c r="AO432" s="39">
        <f>IF(AND(Config!$B$1006="Y",AN432=1),Config!$B$1007,0)</f>
        <v>0</v>
      </c>
    </row>
    <row r="433" ht="15.75" customHeight="1">
      <c r="A433" s="46" t="str">
        <f t="shared" si="1"/>
        <v/>
      </c>
      <c r="B433" s="40" t="str">
        <f>IF(Bids!$A433="","",Bids!$A433)</f>
        <v/>
      </c>
      <c r="C433" s="40" t="str">
        <f>IF(Bids!$B433="","",Bids!$B433)</f>
        <v/>
      </c>
      <c r="D433" s="40" t="str">
        <f>IF($C433="","",IFERROR(VLOOKUP($C433,Orders!$A:$J,9,FALSE),""))</f>
        <v/>
      </c>
      <c r="E433" s="40" t="str">
        <f>IF($C433="","",IFERROR(VLOOKUP($C433,Orders!$A:$J,3,FALSE),""))</f>
        <v/>
      </c>
      <c r="F433" s="40" t="str">
        <f>IF($C433="","",IFERROR(VLOOKUP($C433,Orders!$A:$J,4,FALSE),""))</f>
        <v/>
      </c>
      <c r="G433" s="40" t="str">
        <f>IF($C433="","",IFERROR(VLOOKUP($C433,Orders!$A:$J,5,FALSE),""))</f>
        <v/>
      </c>
      <c r="H433" s="40" t="str">
        <f>IF($C433="","",IFERROR(VLOOKUP($C433,Orders!$A:$J,6,FALSE),""))</f>
        <v/>
      </c>
      <c r="I433" s="40" t="str">
        <f>IF($C433="","",IFERROR(VLOOKUP($C433,Orders!$A:$J,7,FALSE),""))</f>
        <v/>
      </c>
      <c r="J433" s="40" t="str">
        <f>IF(Bids!$C433="","",Bids!$C433)</f>
        <v/>
      </c>
      <c r="K433" s="40" t="str">
        <f>IF($J433="","",IFERROR(VLOOKUP($J433,Grinders!$A:$N,2,FALSE),""))</f>
        <v/>
      </c>
      <c r="L433" s="40" t="str">
        <f>IF($J433="","",IFERROR(VLOOKUP($J433,Grinders!$A:$N,3,FALSE),""))</f>
        <v/>
      </c>
      <c r="M433" s="40" t="str">
        <f>IF($J433="","",IFERROR(VLOOKUP($J433,Grinders!$A:$N,4,FALSE),""))</f>
        <v/>
      </c>
      <c r="N433" s="40" t="str">
        <f>IF($J433="","",IFERROR(VLOOKUP($J433,Grinders!$A:$N,5,FALSE),""))</f>
        <v/>
      </c>
      <c r="O433" s="40" t="str">
        <f t="shared" si="2"/>
        <v/>
      </c>
      <c r="P433" s="40" t="str">
        <f>IF($J433="","",IFERROR(VLOOKUP($J433,Grinders!$A:$N,6,FALSE),""))</f>
        <v/>
      </c>
      <c r="Q433" s="40" t="str">
        <f>IF($J433="","",IFERROR(VLOOKUP($J433,Grinders!$A:$N,8,FALSE),""))</f>
        <v/>
      </c>
      <c r="R433" s="40" t="str">
        <f>IFERROR(IF($J433="","",IF($L433="Elite",MAX(50,MIN(100,Config!$B$27*MAX(0,MIN(100,(1-IF($O433="",0,$O433))*100)) + Config!$B$28*MAX(0,MIN(100,(1-MIN(1,IF(Config!$B$30=0,1,$P433/Config!$B$30)))*100)) + Config!$B$29*MAX(0,MIN(100,MIN(1,IF($Q433="",0,$Q433)/Config!$B$23)*100)))),MIN(100,Config!$B$27*MAX(0,MIN(100,(1-IF($O433="",0,$O433))*100)) + Config!$B$28*MAX(0,MIN(100,(1-MIN(1,IF(Config!$B$30=0,1,$P433/Config!$B$30)))*100)) + Config!$B$29*MAX(0,MIN(100,MIN(1,IF($Q433="",0,$Q433)/Config!$B$23)*100))))),"")
</f>
        <v/>
      </c>
      <c r="S433" s="40" t="str">
        <f>IF(Bids!$AC433="","",Bids!$AC433)</f>
        <v/>
      </c>
      <c r="T433" s="40" t="str">
        <f>IF(Bids!$F433="","",Bids!$F433)</f>
        <v/>
      </c>
      <c r="U433" s="40" t="str">
        <f t="shared" si="3"/>
        <v/>
      </c>
      <c r="V433" s="40" t="str">
        <f>IF($U433="","",IF(Config!$B$17=Config!$B$16,IF($U433&gt;=Config!$B$17,100,0),MAX(0,MIN(100,($U433-Config!$B$16)/(Config!$B$17-Config!$B$16)*100))))</f>
        <v/>
      </c>
      <c r="W433" s="40">
        <f>IF($L433="Elite",Config!$B$21,0)</f>
        <v>0</v>
      </c>
      <c r="X433" s="40" t="str">
        <f>IFERROR(IF(OR($T433="",$G433=""),"",IF($T433&gt;$G433,
  MAX(0, 60-(($T433-$G433)*24/Config!$B$19)*60),
  MEDIAN(60, 100, 60+(($G433-$T433)*24/Config!$B$20)*40)
)),"")
</f>
        <v/>
      </c>
      <c r="Y433" s="40" t="str">
        <f>IF($J433="","",IFERROR(VLOOKUP($J433,Grinders!$A:$N,10,FALSE),""))</f>
        <v/>
      </c>
      <c r="Z433" s="40" t="str">
        <f>IF($J433="","",IFERROR(VLOOKUP($J433,Grinders!$A:$N,11,FALSE),""))</f>
        <v/>
      </c>
      <c r="AA433" s="40" t="str">
        <f>IF($J433="","",IFERROR(VLOOKUP($J433,Grinders!$A:$N,12,FALSE),""))</f>
        <v/>
      </c>
      <c r="AB433" s="40" t="str">
        <f>IF(OR(AL433=1,AM433=1),0,=IFERROR(IF(OR($C433="",$J433=""),0,IF($D433&lt;&gt;"Open",0,IF(COUNTIFS(GrinderServices!$A:$A,$J433,GrinderServices!$B:$B,$E433,GrinderServices!$D:$D,"Y")=0,0,IF($U433&lt;Config!$B$16,0,IF(Config!$B$18=1,IF($N433&gt;=$M433,0,1),1))))),""))</f>
        <v>#ERROR!</v>
      </c>
      <c r="AC433" s="40" t="str">
        <f>IFERROR((IF(OR(AL433=1,AM433=1),"",=IFERROR((IFERROR(IF($AB433=0,"",((Config!$B$6*$V433 + Config!$B$7*$R433 + Config!$B$8*$W433 + Config!$B$9*$X433 + Config!$B$10*$Y433 + Config!$B$11*$Z433 - Config!$B$12*$AA433)/Config!$B$13)+$AH433+$AI433),""))*(1-IFERROR(VLOOKUP(J433,Grinders!$A:$AB, 28, FALSE),0)),"")))*(1+AO433),"")</f>
        <v>#ERROR!</v>
      </c>
      <c r="AD433" s="40" t="str">
        <f t="shared" si="4"/>
        <v/>
      </c>
      <c r="AE433" s="40" t="str">
        <f>IFERROR(__xludf.DUMMYFUNCTION("IF($AC433="""","""",IF($AC433=IFERROR(MAX(FILTER($AC$6:$AC$1000,$C$6:$C$1000=$C433,$AB$6:$AB$1000=1)),),""WINNER"",""""))"),"#ERROR!")</f>
        <v>#ERROR!</v>
      </c>
      <c r="AF433" s="40" t="str">
        <f t="shared" si="5"/>
        <v/>
      </c>
      <c r="AG433" s="40" t="str">
        <f>IF($J433="","",COUNTIF(Assignments!$B:$B,$J433))</f>
        <v/>
      </c>
      <c r="AH433" s="40" t="str">
        <f>IF($J433="","",IF(AND($AG433=0,$N433&lt;$M433),Config!$B$43,0))</f>
        <v/>
      </c>
      <c r="AI433" s="40" t="str">
        <f>IF($J433="","",IF(AND($L433="Elite",$F433&gt;=Config!$B$41,$N433&lt;$M433),Config!$B$42,0))</f>
        <v/>
      </c>
      <c r="AJ433" s="22"/>
      <c r="AK433" s="39">
        <f>IFERROR(VLOOKUP(J433,Grinders!$A:$Q,28,FALSE),0)</f>
        <v>0</v>
      </c>
      <c r="AL433" s="39">
        <f>IF(Config!$B$1003&lt;&gt;"Y",0,IF(IFERROR(VLOOKUP(J433,Grinders!$A:$P,27,FALSE),0)&gt;=3,IF(OR(F433&gt;=Config!$B$1001,ISNUMBER(SEARCH(E433,Config!$B$1002))),1,0),0))</f>
        <v>0</v>
      </c>
      <c r="AM433" s="39">
        <f t="array" ref="AM433">IFERROR(IF(INDEX(Bids!$AE:$AE,MATCH(B433,Bids!$A:$A,0))="Pending",1,0),0)</f>
        <v>0</v>
      </c>
      <c r="AN433" s="39" t="str">
        <f t="array" ref="AN433">IF(C433="","",IFERROR(XLOOKUP(C433,Assignments!$C:$C,Assignments!$AU:$AU,0),0))</f>
        <v/>
      </c>
      <c r="AO433" s="39">
        <f>IF(AND(Config!$B$1006="Y",AN433=1),Config!$B$1007,0)</f>
        <v>0</v>
      </c>
    </row>
    <row r="434" ht="15.75" customHeight="1">
      <c r="A434" s="46" t="str">
        <f t="shared" si="1"/>
        <v/>
      </c>
      <c r="B434" s="40" t="str">
        <f>IF(Bids!$A434="","",Bids!$A434)</f>
        <v/>
      </c>
      <c r="C434" s="40" t="str">
        <f>IF(Bids!$B434="","",Bids!$B434)</f>
        <v/>
      </c>
      <c r="D434" s="40" t="str">
        <f>IF($C434="","",IFERROR(VLOOKUP($C434,Orders!$A:$J,9,FALSE),""))</f>
        <v/>
      </c>
      <c r="E434" s="40" t="str">
        <f>IF($C434="","",IFERROR(VLOOKUP($C434,Orders!$A:$J,3,FALSE),""))</f>
        <v/>
      </c>
      <c r="F434" s="40" t="str">
        <f>IF($C434="","",IFERROR(VLOOKUP($C434,Orders!$A:$J,4,FALSE),""))</f>
        <v/>
      </c>
      <c r="G434" s="40" t="str">
        <f>IF($C434="","",IFERROR(VLOOKUP($C434,Orders!$A:$J,5,FALSE),""))</f>
        <v/>
      </c>
      <c r="H434" s="40" t="str">
        <f>IF($C434="","",IFERROR(VLOOKUP($C434,Orders!$A:$J,6,FALSE),""))</f>
        <v/>
      </c>
      <c r="I434" s="40" t="str">
        <f>IF($C434="","",IFERROR(VLOOKUP($C434,Orders!$A:$J,7,FALSE),""))</f>
        <v/>
      </c>
      <c r="J434" s="40" t="str">
        <f>IF(Bids!$C434="","",Bids!$C434)</f>
        <v/>
      </c>
      <c r="K434" s="40" t="str">
        <f>IF($J434="","",IFERROR(VLOOKUP($J434,Grinders!$A:$N,2,FALSE),""))</f>
        <v/>
      </c>
      <c r="L434" s="40" t="str">
        <f>IF($J434="","",IFERROR(VLOOKUP($J434,Grinders!$A:$N,3,FALSE),""))</f>
        <v/>
      </c>
      <c r="M434" s="40" t="str">
        <f>IF($J434="","",IFERROR(VLOOKUP($J434,Grinders!$A:$N,4,FALSE),""))</f>
        <v/>
      </c>
      <c r="N434" s="40" t="str">
        <f>IF($J434="","",IFERROR(VLOOKUP($J434,Grinders!$A:$N,5,FALSE),""))</f>
        <v/>
      </c>
      <c r="O434" s="40" t="str">
        <f t="shared" si="2"/>
        <v/>
      </c>
      <c r="P434" s="40" t="str">
        <f>IF($J434="","",IFERROR(VLOOKUP($J434,Grinders!$A:$N,6,FALSE),""))</f>
        <v/>
      </c>
      <c r="Q434" s="40" t="str">
        <f>IF($J434="","",IFERROR(VLOOKUP($J434,Grinders!$A:$N,8,FALSE),""))</f>
        <v/>
      </c>
      <c r="R434" s="40" t="str">
        <f>IFERROR(IF($J434="","",IF($L434="Elite",MAX(50,MIN(100,Config!$B$27*MAX(0,MIN(100,(1-IF($O434="",0,$O434))*100)) + Config!$B$28*MAX(0,MIN(100,(1-MIN(1,IF(Config!$B$30=0,1,$P434/Config!$B$30)))*100)) + Config!$B$29*MAX(0,MIN(100,MIN(1,IF($Q434="",0,$Q434)/Config!$B$23)*100)))),MIN(100,Config!$B$27*MAX(0,MIN(100,(1-IF($O434="",0,$O434))*100)) + Config!$B$28*MAX(0,MIN(100,(1-MIN(1,IF(Config!$B$30=0,1,$P434/Config!$B$30)))*100)) + Config!$B$29*MAX(0,MIN(100,MIN(1,IF($Q434="",0,$Q434)/Config!$B$23)*100))))),"")
</f>
        <v/>
      </c>
      <c r="S434" s="40" t="str">
        <f>IF(Bids!$AC434="","",Bids!$AC434)</f>
        <v/>
      </c>
      <c r="T434" s="40" t="str">
        <f>IF(Bids!$F434="","",Bids!$F434)</f>
        <v/>
      </c>
      <c r="U434" s="40" t="str">
        <f t="shared" si="3"/>
        <v/>
      </c>
      <c r="V434" s="40" t="str">
        <f>IF($U434="","",IF(Config!$B$17=Config!$B$16,IF($U434&gt;=Config!$B$17,100,0),MAX(0,MIN(100,($U434-Config!$B$16)/(Config!$B$17-Config!$B$16)*100))))</f>
        <v/>
      </c>
      <c r="W434" s="40">
        <f>IF($L434="Elite",Config!$B$21,0)</f>
        <v>0</v>
      </c>
      <c r="X434" s="40" t="str">
        <f>IFERROR(IF(OR($T434="",$G434=""),"",IF($T434&gt;$G434,
  MAX(0, 60-(($T434-$G434)*24/Config!$B$19)*60),
  MEDIAN(60, 100, 60+(($G434-$T434)*24/Config!$B$20)*40)
)),"")
</f>
        <v/>
      </c>
      <c r="Y434" s="40" t="str">
        <f>IF($J434="","",IFERROR(VLOOKUP($J434,Grinders!$A:$N,10,FALSE),""))</f>
        <v/>
      </c>
      <c r="Z434" s="40" t="str">
        <f>IF($J434="","",IFERROR(VLOOKUP($J434,Grinders!$A:$N,11,FALSE),""))</f>
        <v/>
      </c>
      <c r="AA434" s="40" t="str">
        <f>IF($J434="","",IFERROR(VLOOKUP($J434,Grinders!$A:$N,12,FALSE),""))</f>
        <v/>
      </c>
      <c r="AB434" s="40" t="str">
        <f>IF(OR(AL434=1,AM434=1),0,=IFERROR(IF(OR($C434="",$J434=""),0,IF($D434&lt;&gt;"Open",0,IF(COUNTIFS(GrinderServices!$A:$A,$J434,GrinderServices!$B:$B,$E434,GrinderServices!$D:$D,"Y")=0,0,IF($U434&lt;Config!$B$16,0,IF(Config!$B$18=1,IF($N434&gt;=$M434,0,1),1))))),""))</f>
        <v>#ERROR!</v>
      </c>
      <c r="AC434" s="40" t="str">
        <f>IFERROR((IF(OR(AL434=1,AM434=1),"",=IFERROR((IFERROR(IF($AB434=0,"",((Config!$B$6*$V434 + Config!$B$7*$R434 + Config!$B$8*$W434 + Config!$B$9*$X434 + Config!$B$10*$Y434 + Config!$B$11*$Z434 - Config!$B$12*$AA434)/Config!$B$13)+$AH434+$AI434),""))*(1-IFERROR(VLOOKUP(J434,Grinders!$A:$AB, 28, FALSE),0)),"")))*(1+AO434),"")</f>
        <v>#ERROR!</v>
      </c>
      <c r="AD434" s="40" t="str">
        <f t="shared" si="4"/>
        <v/>
      </c>
      <c r="AE434" s="40" t="str">
        <f>IFERROR(__xludf.DUMMYFUNCTION("IF($AC434="""","""",IF($AC434=IFERROR(MAX(FILTER($AC$6:$AC$1000,$C$6:$C$1000=$C434,$AB$6:$AB$1000=1)),),""WINNER"",""""))"),"#ERROR!")</f>
        <v>#ERROR!</v>
      </c>
      <c r="AF434" s="40" t="str">
        <f t="shared" si="5"/>
        <v/>
      </c>
      <c r="AG434" s="40" t="str">
        <f>IF($J434="","",COUNTIF(Assignments!$B:$B,$J434))</f>
        <v/>
      </c>
      <c r="AH434" s="40" t="str">
        <f>IF($J434="","",IF(AND($AG434=0,$N434&lt;$M434),Config!$B$43,0))</f>
        <v/>
      </c>
      <c r="AI434" s="40" t="str">
        <f>IF($J434="","",IF(AND($L434="Elite",$F434&gt;=Config!$B$41,$N434&lt;$M434),Config!$B$42,0))</f>
        <v/>
      </c>
      <c r="AJ434" s="22"/>
      <c r="AK434" s="39">
        <f>IFERROR(VLOOKUP(J434,Grinders!$A:$Q,28,FALSE),0)</f>
        <v>0</v>
      </c>
      <c r="AL434" s="39">
        <f>IF(Config!$B$1003&lt;&gt;"Y",0,IF(IFERROR(VLOOKUP(J434,Grinders!$A:$P,27,FALSE),0)&gt;=3,IF(OR(F434&gt;=Config!$B$1001,ISNUMBER(SEARCH(E434,Config!$B$1002))),1,0),0))</f>
        <v>0</v>
      </c>
      <c r="AM434" s="39">
        <f t="array" ref="AM434">IFERROR(IF(INDEX(Bids!$AE:$AE,MATCH(B434,Bids!$A:$A,0))="Pending",1,0),0)</f>
        <v>0</v>
      </c>
      <c r="AN434" s="39" t="str">
        <f t="array" ref="AN434">IF(C434="","",IFERROR(XLOOKUP(C434,Assignments!$C:$C,Assignments!$AU:$AU,0),0))</f>
        <v/>
      </c>
      <c r="AO434" s="39">
        <f>IF(AND(Config!$B$1006="Y",AN434=1),Config!$B$1007,0)</f>
        <v>0</v>
      </c>
    </row>
    <row r="435" ht="15.75" customHeight="1">
      <c r="A435" s="46" t="str">
        <f t="shared" si="1"/>
        <v/>
      </c>
      <c r="B435" s="40" t="str">
        <f>IF(Bids!$A435="","",Bids!$A435)</f>
        <v/>
      </c>
      <c r="C435" s="40" t="str">
        <f>IF(Bids!$B435="","",Bids!$B435)</f>
        <v/>
      </c>
      <c r="D435" s="40" t="str">
        <f>IF($C435="","",IFERROR(VLOOKUP($C435,Orders!$A:$J,9,FALSE),""))</f>
        <v/>
      </c>
      <c r="E435" s="40" t="str">
        <f>IF($C435="","",IFERROR(VLOOKUP($C435,Orders!$A:$J,3,FALSE),""))</f>
        <v/>
      </c>
      <c r="F435" s="40" t="str">
        <f>IF($C435="","",IFERROR(VLOOKUP($C435,Orders!$A:$J,4,FALSE),""))</f>
        <v/>
      </c>
      <c r="G435" s="40" t="str">
        <f>IF($C435="","",IFERROR(VLOOKUP($C435,Orders!$A:$J,5,FALSE),""))</f>
        <v/>
      </c>
      <c r="H435" s="40" t="str">
        <f>IF($C435="","",IFERROR(VLOOKUP($C435,Orders!$A:$J,6,FALSE),""))</f>
        <v/>
      </c>
      <c r="I435" s="40" t="str">
        <f>IF($C435="","",IFERROR(VLOOKUP($C435,Orders!$A:$J,7,FALSE),""))</f>
        <v/>
      </c>
      <c r="J435" s="40" t="str">
        <f>IF(Bids!$C435="","",Bids!$C435)</f>
        <v/>
      </c>
      <c r="K435" s="40" t="str">
        <f>IF($J435="","",IFERROR(VLOOKUP($J435,Grinders!$A:$N,2,FALSE),""))</f>
        <v/>
      </c>
      <c r="L435" s="40" t="str">
        <f>IF($J435="","",IFERROR(VLOOKUP($J435,Grinders!$A:$N,3,FALSE),""))</f>
        <v/>
      </c>
      <c r="M435" s="40" t="str">
        <f>IF($J435="","",IFERROR(VLOOKUP($J435,Grinders!$A:$N,4,FALSE),""))</f>
        <v/>
      </c>
      <c r="N435" s="40" t="str">
        <f>IF($J435="","",IFERROR(VLOOKUP($J435,Grinders!$A:$N,5,FALSE),""))</f>
        <v/>
      </c>
      <c r="O435" s="40" t="str">
        <f t="shared" si="2"/>
        <v/>
      </c>
      <c r="P435" s="40" t="str">
        <f>IF($J435="","",IFERROR(VLOOKUP($J435,Grinders!$A:$N,6,FALSE),""))</f>
        <v/>
      </c>
      <c r="Q435" s="40" t="str">
        <f>IF($J435="","",IFERROR(VLOOKUP($J435,Grinders!$A:$N,8,FALSE),""))</f>
        <v/>
      </c>
      <c r="R435" s="40" t="str">
        <f>IFERROR(IF($J435="","",IF($L435="Elite",MAX(50,MIN(100,Config!$B$27*MAX(0,MIN(100,(1-IF($O435="",0,$O435))*100)) + Config!$B$28*MAX(0,MIN(100,(1-MIN(1,IF(Config!$B$30=0,1,$P435/Config!$B$30)))*100)) + Config!$B$29*MAX(0,MIN(100,MIN(1,IF($Q435="",0,$Q435)/Config!$B$23)*100)))),MIN(100,Config!$B$27*MAX(0,MIN(100,(1-IF($O435="",0,$O435))*100)) + Config!$B$28*MAX(0,MIN(100,(1-MIN(1,IF(Config!$B$30=0,1,$P435/Config!$B$30)))*100)) + Config!$B$29*MAX(0,MIN(100,MIN(1,IF($Q435="",0,$Q435)/Config!$B$23)*100))))),"")
</f>
        <v/>
      </c>
      <c r="S435" s="40" t="str">
        <f>IF(Bids!$AC435="","",Bids!$AC435)</f>
        <v/>
      </c>
      <c r="T435" s="40" t="str">
        <f>IF(Bids!$F435="","",Bids!$F435)</f>
        <v/>
      </c>
      <c r="U435" s="40" t="str">
        <f t="shared" si="3"/>
        <v/>
      </c>
      <c r="V435" s="40" t="str">
        <f>IF($U435="","",IF(Config!$B$17=Config!$B$16,IF($U435&gt;=Config!$B$17,100,0),MAX(0,MIN(100,($U435-Config!$B$16)/(Config!$B$17-Config!$B$16)*100))))</f>
        <v/>
      </c>
      <c r="W435" s="40">
        <f>IF($L435="Elite",Config!$B$21,0)</f>
        <v>0</v>
      </c>
      <c r="X435" s="40" t="str">
        <f>IFERROR(IF(OR($T435="",$G435=""),"",IF($T435&gt;$G435,
  MAX(0, 60-(($T435-$G435)*24/Config!$B$19)*60),
  MEDIAN(60, 100, 60+(($G435-$T435)*24/Config!$B$20)*40)
)),"")
</f>
        <v/>
      </c>
      <c r="Y435" s="40" t="str">
        <f>IF($J435="","",IFERROR(VLOOKUP($J435,Grinders!$A:$N,10,FALSE),""))</f>
        <v/>
      </c>
      <c r="Z435" s="40" t="str">
        <f>IF($J435="","",IFERROR(VLOOKUP($J435,Grinders!$A:$N,11,FALSE),""))</f>
        <v/>
      </c>
      <c r="AA435" s="40" t="str">
        <f>IF($J435="","",IFERROR(VLOOKUP($J435,Grinders!$A:$N,12,FALSE),""))</f>
        <v/>
      </c>
      <c r="AB435" s="40" t="str">
        <f>IF(OR(AL435=1,AM435=1),0,=IFERROR(IF(OR($C435="",$J435=""),0,IF($D435&lt;&gt;"Open",0,IF(COUNTIFS(GrinderServices!$A:$A,$J435,GrinderServices!$B:$B,$E435,GrinderServices!$D:$D,"Y")=0,0,IF($U435&lt;Config!$B$16,0,IF(Config!$B$18=1,IF($N435&gt;=$M435,0,1),1))))),""))</f>
        <v>#ERROR!</v>
      </c>
      <c r="AC435" s="40" t="str">
        <f>IFERROR((IF(OR(AL435=1,AM435=1),"",=IFERROR((IFERROR(IF($AB435=0,"",((Config!$B$6*$V435 + Config!$B$7*$R435 + Config!$B$8*$W435 + Config!$B$9*$X435 + Config!$B$10*$Y435 + Config!$B$11*$Z435 - Config!$B$12*$AA435)/Config!$B$13)+$AH435+$AI435),""))*(1-IFERROR(VLOOKUP(J435,Grinders!$A:$AB, 28, FALSE),0)),"")))*(1+AO435),"")</f>
        <v>#ERROR!</v>
      </c>
      <c r="AD435" s="40" t="str">
        <f t="shared" si="4"/>
        <v/>
      </c>
      <c r="AE435" s="40" t="str">
        <f>IFERROR(__xludf.DUMMYFUNCTION("IF($AC435="""","""",IF($AC435=IFERROR(MAX(FILTER($AC$6:$AC$1000,$C$6:$C$1000=$C435,$AB$6:$AB$1000=1)),),""WINNER"",""""))"),"#ERROR!")</f>
        <v>#ERROR!</v>
      </c>
      <c r="AF435" s="40" t="str">
        <f t="shared" si="5"/>
        <v/>
      </c>
      <c r="AG435" s="40" t="str">
        <f>IF($J435="","",COUNTIF(Assignments!$B:$B,$J435))</f>
        <v/>
      </c>
      <c r="AH435" s="40" t="str">
        <f>IF($J435="","",IF(AND($AG435=0,$N435&lt;$M435),Config!$B$43,0))</f>
        <v/>
      </c>
      <c r="AI435" s="40" t="str">
        <f>IF($J435="","",IF(AND($L435="Elite",$F435&gt;=Config!$B$41,$N435&lt;$M435),Config!$B$42,0))</f>
        <v/>
      </c>
      <c r="AJ435" s="22"/>
      <c r="AK435" s="39">
        <f>IFERROR(VLOOKUP(J435,Grinders!$A:$Q,28,FALSE),0)</f>
        <v>0</v>
      </c>
      <c r="AL435" s="39">
        <f>IF(Config!$B$1003&lt;&gt;"Y",0,IF(IFERROR(VLOOKUP(J435,Grinders!$A:$P,27,FALSE),0)&gt;=3,IF(OR(F435&gt;=Config!$B$1001,ISNUMBER(SEARCH(E435,Config!$B$1002))),1,0),0))</f>
        <v>0</v>
      </c>
      <c r="AM435" s="39">
        <f t="array" ref="AM435">IFERROR(IF(INDEX(Bids!$AE:$AE,MATCH(B435,Bids!$A:$A,0))="Pending",1,0),0)</f>
        <v>0</v>
      </c>
      <c r="AN435" s="39" t="str">
        <f t="array" ref="AN435">IF(C435="","",IFERROR(XLOOKUP(C435,Assignments!$C:$C,Assignments!$AU:$AU,0),0))</f>
        <v/>
      </c>
      <c r="AO435" s="39">
        <f>IF(AND(Config!$B$1006="Y",AN435=1),Config!$B$1007,0)</f>
        <v>0</v>
      </c>
    </row>
    <row r="436" ht="15.75" customHeight="1">
      <c r="A436" s="46" t="str">
        <f t="shared" si="1"/>
        <v/>
      </c>
      <c r="B436" s="40" t="str">
        <f>IF(Bids!$A436="","",Bids!$A436)</f>
        <v/>
      </c>
      <c r="C436" s="40" t="str">
        <f>IF(Bids!$B436="","",Bids!$B436)</f>
        <v/>
      </c>
      <c r="D436" s="40" t="str">
        <f>IF($C436="","",IFERROR(VLOOKUP($C436,Orders!$A:$J,9,FALSE),""))</f>
        <v/>
      </c>
      <c r="E436" s="40" t="str">
        <f>IF($C436="","",IFERROR(VLOOKUP($C436,Orders!$A:$J,3,FALSE),""))</f>
        <v/>
      </c>
      <c r="F436" s="40" t="str">
        <f>IF($C436="","",IFERROR(VLOOKUP($C436,Orders!$A:$J,4,FALSE),""))</f>
        <v/>
      </c>
      <c r="G436" s="40" t="str">
        <f>IF($C436="","",IFERROR(VLOOKUP($C436,Orders!$A:$J,5,FALSE),""))</f>
        <v/>
      </c>
      <c r="H436" s="40" t="str">
        <f>IF($C436="","",IFERROR(VLOOKUP($C436,Orders!$A:$J,6,FALSE),""))</f>
        <v/>
      </c>
      <c r="I436" s="40" t="str">
        <f>IF($C436="","",IFERROR(VLOOKUP($C436,Orders!$A:$J,7,FALSE),""))</f>
        <v/>
      </c>
      <c r="J436" s="40" t="str">
        <f>IF(Bids!$C436="","",Bids!$C436)</f>
        <v/>
      </c>
      <c r="K436" s="40" t="str">
        <f>IF($J436="","",IFERROR(VLOOKUP($J436,Grinders!$A:$N,2,FALSE),""))</f>
        <v/>
      </c>
      <c r="L436" s="40" t="str">
        <f>IF($J436="","",IFERROR(VLOOKUP($J436,Grinders!$A:$N,3,FALSE),""))</f>
        <v/>
      </c>
      <c r="M436" s="40" t="str">
        <f>IF($J436="","",IFERROR(VLOOKUP($J436,Grinders!$A:$N,4,FALSE),""))</f>
        <v/>
      </c>
      <c r="N436" s="40" t="str">
        <f>IF($J436="","",IFERROR(VLOOKUP($J436,Grinders!$A:$N,5,FALSE),""))</f>
        <v/>
      </c>
      <c r="O436" s="40" t="str">
        <f t="shared" si="2"/>
        <v/>
      </c>
      <c r="P436" s="40" t="str">
        <f>IF($J436="","",IFERROR(VLOOKUP($J436,Grinders!$A:$N,6,FALSE),""))</f>
        <v/>
      </c>
      <c r="Q436" s="40" t="str">
        <f>IF($J436="","",IFERROR(VLOOKUP($J436,Grinders!$A:$N,8,FALSE),""))</f>
        <v/>
      </c>
      <c r="R436" s="40" t="str">
        <f>IFERROR(IF($J436="","",IF($L436="Elite",MAX(50,MIN(100,Config!$B$27*MAX(0,MIN(100,(1-IF($O436="",0,$O436))*100)) + Config!$B$28*MAX(0,MIN(100,(1-MIN(1,IF(Config!$B$30=0,1,$P436/Config!$B$30)))*100)) + Config!$B$29*MAX(0,MIN(100,MIN(1,IF($Q436="",0,$Q436)/Config!$B$23)*100)))),MIN(100,Config!$B$27*MAX(0,MIN(100,(1-IF($O436="",0,$O436))*100)) + Config!$B$28*MAX(0,MIN(100,(1-MIN(1,IF(Config!$B$30=0,1,$P436/Config!$B$30)))*100)) + Config!$B$29*MAX(0,MIN(100,MIN(1,IF($Q436="",0,$Q436)/Config!$B$23)*100))))),"")
</f>
        <v/>
      </c>
      <c r="S436" s="40" t="str">
        <f>IF(Bids!$AC436="","",Bids!$AC436)</f>
        <v/>
      </c>
      <c r="T436" s="40" t="str">
        <f>IF(Bids!$F436="","",Bids!$F436)</f>
        <v/>
      </c>
      <c r="U436" s="40" t="str">
        <f t="shared" si="3"/>
        <v/>
      </c>
      <c r="V436" s="40" t="str">
        <f>IF($U436="","",IF(Config!$B$17=Config!$B$16,IF($U436&gt;=Config!$B$17,100,0),MAX(0,MIN(100,($U436-Config!$B$16)/(Config!$B$17-Config!$B$16)*100))))</f>
        <v/>
      </c>
      <c r="W436" s="40">
        <f>IF($L436="Elite",Config!$B$21,0)</f>
        <v>0</v>
      </c>
      <c r="X436" s="40" t="str">
        <f>IFERROR(IF(OR($T436="",$G436=""),"",IF($T436&gt;$G436,
  MAX(0, 60-(($T436-$G436)*24/Config!$B$19)*60),
  MEDIAN(60, 100, 60+(($G436-$T436)*24/Config!$B$20)*40)
)),"")
</f>
        <v/>
      </c>
      <c r="Y436" s="40" t="str">
        <f>IF($J436="","",IFERROR(VLOOKUP($J436,Grinders!$A:$N,10,FALSE),""))</f>
        <v/>
      </c>
      <c r="Z436" s="40" t="str">
        <f>IF($J436="","",IFERROR(VLOOKUP($J436,Grinders!$A:$N,11,FALSE),""))</f>
        <v/>
      </c>
      <c r="AA436" s="40" t="str">
        <f>IF($J436="","",IFERROR(VLOOKUP($J436,Grinders!$A:$N,12,FALSE),""))</f>
        <v/>
      </c>
      <c r="AB436" s="40" t="str">
        <f>IF(OR(AL436=1,AM436=1),0,=IFERROR(IF(OR($C436="",$J436=""),0,IF($D436&lt;&gt;"Open",0,IF(COUNTIFS(GrinderServices!$A:$A,$J436,GrinderServices!$B:$B,$E436,GrinderServices!$D:$D,"Y")=0,0,IF($U436&lt;Config!$B$16,0,IF(Config!$B$18=1,IF($N436&gt;=$M436,0,1),1))))),""))</f>
        <v>#ERROR!</v>
      </c>
      <c r="AC436" s="40" t="str">
        <f>IFERROR((IF(OR(AL436=1,AM436=1),"",=IFERROR((IFERROR(IF($AB436=0,"",((Config!$B$6*$V436 + Config!$B$7*$R436 + Config!$B$8*$W436 + Config!$B$9*$X436 + Config!$B$10*$Y436 + Config!$B$11*$Z436 - Config!$B$12*$AA436)/Config!$B$13)+$AH436+$AI436),""))*(1-IFERROR(VLOOKUP(J436,Grinders!$A:$AB, 28, FALSE),0)),"")))*(1+AO436),"")</f>
        <v>#ERROR!</v>
      </c>
      <c r="AD436" s="40" t="str">
        <f t="shared" si="4"/>
        <v/>
      </c>
      <c r="AE436" s="40" t="str">
        <f>IFERROR(__xludf.DUMMYFUNCTION("IF($AC436="""","""",IF($AC436=IFERROR(MAX(FILTER($AC$6:$AC$1000,$C$6:$C$1000=$C436,$AB$6:$AB$1000=1)),),""WINNER"",""""))"),"#ERROR!")</f>
        <v>#ERROR!</v>
      </c>
      <c r="AF436" s="40" t="str">
        <f t="shared" si="5"/>
        <v/>
      </c>
      <c r="AG436" s="40" t="str">
        <f>IF($J436="","",COUNTIF(Assignments!$B:$B,$J436))</f>
        <v/>
      </c>
      <c r="AH436" s="40" t="str">
        <f>IF($J436="","",IF(AND($AG436=0,$N436&lt;$M436),Config!$B$43,0))</f>
        <v/>
      </c>
      <c r="AI436" s="40" t="str">
        <f>IF($J436="","",IF(AND($L436="Elite",$F436&gt;=Config!$B$41,$N436&lt;$M436),Config!$B$42,0))</f>
        <v/>
      </c>
      <c r="AJ436" s="22"/>
      <c r="AK436" s="39">
        <f>IFERROR(VLOOKUP(J436,Grinders!$A:$Q,28,FALSE),0)</f>
        <v>0</v>
      </c>
      <c r="AL436" s="39">
        <f>IF(Config!$B$1003&lt;&gt;"Y",0,IF(IFERROR(VLOOKUP(J436,Grinders!$A:$P,27,FALSE),0)&gt;=3,IF(OR(F436&gt;=Config!$B$1001,ISNUMBER(SEARCH(E436,Config!$B$1002))),1,0),0))</f>
        <v>0</v>
      </c>
      <c r="AM436" s="39">
        <f t="array" ref="AM436">IFERROR(IF(INDEX(Bids!$AE:$AE,MATCH(B436,Bids!$A:$A,0))="Pending",1,0),0)</f>
        <v>0</v>
      </c>
      <c r="AN436" s="39" t="str">
        <f t="array" ref="AN436">IF(C436="","",IFERROR(XLOOKUP(C436,Assignments!$C:$C,Assignments!$AU:$AU,0),0))</f>
        <v/>
      </c>
      <c r="AO436" s="39">
        <f>IF(AND(Config!$B$1006="Y",AN436=1),Config!$B$1007,0)</f>
        <v>0</v>
      </c>
    </row>
    <row r="437" ht="15.75" customHeight="1">
      <c r="A437" s="46" t="str">
        <f t="shared" si="1"/>
        <v/>
      </c>
      <c r="B437" s="40" t="str">
        <f>IF(Bids!$A437="","",Bids!$A437)</f>
        <v/>
      </c>
      <c r="C437" s="40" t="str">
        <f>IF(Bids!$B437="","",Bids!$B437)</f>
        <v/>
      </c>
      <c r="D437" s="40" t="str">
        <f>IF($C437="","",IFERROR(VLOOKUP($C437,Orders!$A:$J,9,FALSE),""))</f>
        <v/>
      </c>
      <c r="E437" s="40" t="str">
        <f>IF($C437="","",IFERROR(VLOOKUP($C437,Orders!$A:$J,3,FALSE),""))</f>
        <v/>
      </c>
      <c r="F437" s="40" t="str">
        <f>IF($C437="","",IFERROR(VLOOKUP($C437,Orders!$A:$J,4,FALSE),""))</f>
        <v/>
      </c>
      <c r="G437" s="40" t="str">
        <f>IF($C437="","",IFERROR(VLOOKUP($C437,Orders!$A:$J,5,FALSE),""))</f>
        <v/>
      </c>
      <c r="H437" s="40" t="str">
        <f>IF($C437="","",IFERROR(VLOOKUP($C437,Orders!$A:$J,6,FALSE),""))</f>
        <v/>
      </c>
      <c r="I437" s="40" t="str">
        <f>IF($C437="","",IFERROR(VLOOKUP($C437,Orders!$A:$J,7,FALSE),""))</f>
        <v/>
      </c>
      <c r="J437" s="40" t="str">
        <f>IF(Bids!$C437="","",Bids!$C437)</f>
        <v/>
      </c>
      <c r="K437" s="40" t="str">
        <f>IF($J437="","",IFERROR(VLOOKUP($J437,Grinders!$A:$N,2,FALSE),""))</f>
        <v/>
      </c>
      <c r="L437" s="40" t="str">
        <f>IF($J437="","",IFERROR(VLOOKUP($J437,Grinders!$A:$N,3,FALSE),""))</f>
        <v/>
      </c>
      <c r="M437" s="40" t="str">
        <f>IF($J437="","",IFERROR(VLOOKUP($J437,Grinders!$A:$N,4,FALSE),""))</f>
        <v/>
      </c>
      <c r="N437" s="40" t="str">
        <f>IF($J437="","",IFERROR(VLOOKUP($J437,Grinders!$A:$N,5,FALSE),""))</f>
        <v/>
      </c>
      <c r="O437" s="40" t="str">
        <f t="shared" si="2"/>
        <v/>
      </c>
      <c r="P437" s="40" t="str">
        <f>IF($J437="","",IFERROR(VLOOKUP($J437,Grinders!$A:$N,6,FALSE),""))</f>
        <v/>
      </c>
      <c r="Q437" s="40" t="str">
        <f>IF($J437="","",IFERROR(VLOOKUP($J437,Grinders!$A:$N,8,FALSE),""))</f>
        <v/>
      </c>
      <c r="R437" s="40" t="str">
        <f>IFERROR(IF($J437="","",IF($L437="Elite",MAX(50,MIN(100,Config!$B$27*MAX(0,MIN(100,(1-IF($O437="",0,$O437))*100)) + Config!$B$28*MAX(0,MIN(100,(1-MIN(1,IF(Config!$B$30=0,1,$P437/Config!$B$30)))*100)) + Config!$B$29*MAX(0,MIN(100,MIN(1,IF($Q437="",0,$Q437)/Config!$B$23)*100)))),MIN(100,Config!$B$27*MAX(0,MIN(100,(1-IF($O437="",0,$O437))*100)) + Config!$B$28*MAX(0,MIN(100,(1-MIN(1,IF(Config!$B$30=0,1,$P437/Config!$B$30)))*100)) + Config!$B$29*MAX(0,MIN(100,MIN(1,IF($Q437="",0,$Q437)/Config!$B$23)*100))))),"")
</f>
        <v/>
      </c>
      <c r="S437" s="40" t="str">
        <f>IF(Bids!$AC437="","",Bids!$AC437)</f>
        <v/>
      </c>
      <c r="T437" s="40" t="str">
        <f>IF(Bids!$F437="","",Bids!$F437)</f>
        <v/>
      </c>
      <c r="U437" s="40" t="str">
        <f t="shared" si="3"/>
        <v/>
      </c>
      <c r="V437" s="40" t="str">
        <f>IF($U437="","",IF(Config!$B$17=Config!$B$16,IF($U437&gt;=Config!$B$17,100,0),MAX(0,MIN(100,($U437-Config!$B$16)/(Config!$B$17-Config!$B$16)*100))))</f>
        <v/>
      </c>
      <c r="W437" s="40">
        <f>IF($L437="Elite",Config!$B$21,0)</f>
        <v>0</v>
      </c>
      <c r="X437" s="40" t="str">
        <f>IFERROR(IF(OR($T437="",$G437=""),"",IF($T437&gt;$G437,
  MAX(0, 60-(($T437-$G437)*24/Config!$B$19)*60),
  MEDIAN(60, 100, 60+(($G437-$T437)*24/Config!$B$20)*40)
)),"")
</f>
        <v/>
      </c>
      <c r="Y437" s="40" t="str">
        <f>IF($J437="","",IFERROR(VLOOKUP($J437,Grinders!$A:$N,10,FALSE),""))</f>
        <v/>
      </c>
      <c r="Z437" s="40" t="str">
        <f>IF($J437="","",IFERROR(VLOOKUP($J437,Grinders!$A:$N,11,FALSE),""))</f>
        <v/>
      </c>
      <c r="AA437" s="40" t="str">
        <f>IF($J437="","",IFERROR(VLOOKUP($J437,Grinders!$A:$N,12,FALSE),""))</f>
        <v/>
      </c>
      <c r="AB437" s="40" t="str">
        <f>IF(OR(AL437=1,AM437=1),0,=IFERROR(IF(OR($C437="",$J437=""),0,IF($D437&lt;&gt;"Open",0,IF(COUNTIFS(GrinderServices!$A:$A,$J437,GrinderServices!$B:$B,$E437,GrinderServices!$D:$D,"Y")=0,0,IF($U437&lt;Config!$B$16,0,IF(Config!$B$18=1,IF($N437&gt;=$M437,0,1),1))))),""))</f>
        <v>#ERROR!</v>
      </c>
      <c r="AC437" s="40" t="str">
        <f>IFERROR((IF(OR(AL437=1,AM437=1),"",=IFERROR((IFERROR(IF($AB437=0,"",((Config!$B$6*$V437 + Config!$B$7*$R437 + Config!$B$8*$W437 + Config!$B$9*$X437 + Config!$B$10*$Y437 + Config!$B$11*$Z437 - Config!$B$12*$AA437)/Config!$B$13)+$AH437+$AI437),""))*(1-IFERROR(VLOOKUP(J437,Grinders!$A:$AB, 28, FALSE),0)),"")))*(1+AO437),"")</f>
        <v>#ERROR!</v>
      </c>
      <c r="AD437" s="40" t="str">
        <f t="shared" si="4"/>
        <v/>
      </c>
      <c r="AE437" s="40" t="str">
        <f>IFERROR(__xludf.DUMMYFUNCTION("IF($AC437="""","""",IF($AC437=IFERROR(MAX(FILTER($AC$6:$AC$1000,$C$6:$C$1000=$C437,$AB$6:$AB$1000=1)),),""WINNER"",""""))"),"#ERROR!")</f>
        <v>#ERROR!</v>
      </c>
      <c r="AF437" s="40" t="str">
        <f t="shared" si="5"/>
        <v/>
      </c>
      <c r="AG437" s="40" t="str">
        <f>IF($J437="","",COUNTIF(Assignments!$B:$B,$J437))</f>
        <v/>
      </c>
      <c r="AH437" s="40" t="str">
        <f>IF($J437="","",IF(AND($AG437=0,$N437&lt;$M437),Config!$B$43,0))</f>
        <v/>
      </c>
      <c r="AI437" s="40" t="str">
        <f>IF($J437="","",IF(AND($L437="Elite",$F437&gt;=Config!$B$41,$N437&lt;$M437),Config!$B$42,0))</f>
        <v/>
      </c>
      <c r="AJ437" s="22"/>
      <c r="AK437" s="39">
        <f>IFERROR(VLOOKUP(J437,Grinders!$A:$Q,28,FALSE),0)</f>
        <v>0</v>
      </c>
      <c r="AL437" s="39">
        <f>IF(Config!$B$1003&lt;&gt;"Y",0,IF(IFERROR(VLOOKUP(J437,Grinders!$A:$P,27,FALSE),0)&gt;=3,IF(OR(F437&gt;=Config!$B$1001,ISNUMBER(SEARCH(E437,Config!$B$1002))),1,0),0))</f>
        <v>0</v>
      </c>
      <c r="AM437" s="39">
        <f t="array" ref="AM437">IFERROR(IF(INDEX(Bids!$AE:$AE,MATCH(B437,Bids!$A:$A,0))="Pending",1,0),0)</f>
        <v>0</v>
      </c>
      <c r="AN437" s="39" t="str">
        <f t="array" ref="AN437">IF(C437="","",IFERROR(XLOOKUP(C437,Assignments!$C:$C,Assignments!$AU:$AU,0),0))</f>
        <v/>
      </c>
      <c r="AO437" s="39">
        <f>IF(AND(Config!$B$1006="Y",AN437=1),Config!$B$1007,0)</f>
        <v>0</v>
      </c>
    </row>
    <row r="438" ht="15.75" customHeight="1">
      <c r="A438" s="46" t="str">
        <f t="shared" si="1"/>
        <v/>
      </c>
      <c r="B438" s="40" t="str">
        <f>IF(Bids!$A438="","",Bids!$A438)</f>
        <v/>
      </c>
      <c r="C438" s="40" t="str">
        <f>IF(Bids!$B438="","",Bids!$B438)</f>
        <v/>
      </c>
      <c r="D438" s="40" t="str">
        <f>IF($C438="","",IFERROR(VLOOKUP($C438,Orders!$A:$J,9,FALSE),""))</f>
        <v/>
      </c>
      <c r="E438" s="40" t="str">
        <f>IF($C438="","",IFERROR(VLOOKUP($C438,Orders!$A:$J,3,FALSE),""))</f>
        <v/>
      </c>
      <c r="F438" s="40" t="str">
        <f>IF($C438="","",IFERROR(VLOOKUP($C438,Orders!$A:$J,4,FALSE),""))</f>
        <v/>
      </c>
      <c r="G438" s="40" t="str">
        <f>IF($C438="","",IFERROR(VLOOKUP($C438,Orders!$A:$J,5,FALSE),""))</f>
        <v/>
      </c>
      <c r="H438" s="40" t="str">
        <f>IF($C438="","",IFERROR(VLOOKUP($C438,Orders!$A:$J,6,FALSE),""))</f>
        <v/>
      </c>
      <c r="I438" s="40" t="str">
        <f>IF($C438="","",IFERROR(VLOOKUP($C438,Orders!$A:$J,7,FALSE),""))</f>
        <v/>
      </c>
      <c r="J438" s="40" t="str">
        <f>IF(Bids!$C438="","",Bids!$C438)</f>
        <v/>
      </c>
      <c r="K438" s="40" t="str">
        <f>IF($J438="","",IFERROR(VLOOKUP($J438,Grinders!$A:$N,2,FALSE),""))</f>
        <v/>
      </c>
      <c r="L438" s="40" t="str">
        <f>IF($J438="","",IFERROR(VLOOKUP($J438,Grinders!$A:$N,3,FALSE),""))</f>
        <v/>
      </c>
      <c r="M438" s="40" t="str">
        <f>IF($J438="","",IFERROR(VLOOKUP($J438,Grinders!$A:$N,4,FALSE),""))</f>
        <v/>
      </c>
      <c r="N438" s="40" t="str">
        <f>IF($J438="","",IFERROR(VLOOKUP($J438,Grinders!$A:$N,5,FALSE),""))</f>
        <v/>
      </c>
      <c r="O438" s="40" t="str">
        <f t="shared" si="2"/>
        <v/>
      </c>
      <c r="P438" s="40" t="str">
        <f>IF($J438="","",IFERROR(VLOOKUP($J438,Grinders!$A:$N,6,FALSE),""))</f>
        <v/>
      </c>
      <c r="Q438" s="40" t="str">
        <f>IF($J438="","",IFERROR(VLOOKUP($J438,Grinders!$A:$N,8,FALSE),""))</f>
        <v/>
      </c>
      <c r="R438" s="40" t="str">
        <f>IFERROR(IF($J438="","",IF($L438="Elite",MAX(50,MIN(100,Config!$B$27*MAX(0,MIN(100,(1-IF($O438="",0,$O438))*100)) + Config!$B$28*MAX(0,MIN(100,(1-MIN(1,IF(Config!$B$30=0,1,$P438/Config!$B$30)))*100)) + Config!$B$29*MAX(0,MIN(100,MIN(1,IF($Q438="",0,$Q438)/Config!$B$23)*100)))),MIN(100,Config!$B$27*MAX(0,MIN(100,(1-IF($O438="",0,$O438))*100)) + Config!$B$28*MAX(0,MIN(100,(1-MIN(1,IF(Config!$B$30=0,1,$P438/Config!$B$30)))*100)) + Config!$B$29*MAX(0,MIN(100,MIN(1,IF($Q438="",0,$Q438)/Config!$B$23)*100))))),"")
</f>
        <v/>
      </c>
      <c r="S438" s="40" t="str">
        <f>IF(Bids!$AC438="","",Bids!$AC438)</f>
        <v/>
      </c>
      <c r="T438" s="40" t="str">
        <f>IF(Bids!$F438="","",Bids!$F438)</f>
        <v/>
      </c>
      <c r="U438" s="40" t="str">
        <f t="shared" si="3"/>
        <v/>
      </c>
      <c r="V438" s="40" t="str">
        <f>IF($U438="","",IF(Config!$B$17=Config!$B$16,IF($U438&gt;=Config!$B$17,100,0),MAX(0,MIN(100,($U438-Config!$B$16)/(Config!$B$17-Config!$B$16)*100))))</f>
        <v/>
      </c>
      <c r="W438" s="40">
        <f>IF($L438="Elite",Config!$B$21,0)</f>
        <v>0</v>
      </c>
      <c r="X438" s="40" t="str">
        <f>IFERROR(IF(OR($T438="",$G438=""),"",IF($T438&gt;$G438,
  MAX(0, 60-(($T438-$G438)*24/Config!$B$19)*60),
  MEDIAN(60, 100, 60+(($G438-$T438)*24/Config!$B$20)*40)
)),"")
</f>
        <v/>
      </c>
      <c r="Y438" s="40" t="str">
        <f>IF($J438="","",IFERROR(VLOOKUP($J438,Grinders!$A:$N,10,FALSE),""))</f>
        <v/>
      </c>
      <c r="Z438" s="40" t="str">
        <f>IF($J438="","",IFERROR(VLOOKUP($J438,Grinders!$A:$N,11,FALSE),""))</f>
        <v/>
      </c>
      <c r="AA438" s="40" t="str">
        <f>IF($J438="","",IFERROR(VLOOKUP($J438,Grinders!$A:$N,12,FALSE),""))</f>
        <v/>
      </c>
      <c r="AB438" s="40" t="str">
        <f>IF(OR(AL438=1,AM438=1),0,=IFERROR(IF(OR($C438="",$J438=""),0,IF($D438&lt;&gt;"Open",0,IF(COUNTIFS(GrinderServices!$A:$A,$J438,GrinderServices!$B:$B,$E438,GrinderServices!$D:$D,"Y")=0,0,IF($U438&lt;Config!$B$16,0,IF(Config!$B$18=1,IF($N438&gt;=$M438,0,1),1))))),""))</f>
        <v>#ERROR!</v>
      </c>
      <c r="AC438" s="40" t="str">
        <f>IFERROR((IF(OR(AL438=1,AM438=1),"",=IFERROR((IFERROR(IF($AB438=0,"",((Config!$B$6*$V438 + Config!$B$7*$R438 + Config!$B$8*$W438 + Config!$B$9*$X438 + Config!$B$10*$Y438 + Config!$B$11*$Z438 - Config!$B$12*$AA438)/Config!$B$13)+$AH438+$AI438),""))*(1-IFERROR(VLOOKUP(J438,Grinders!$A:$AB, 28, FALSE),0)),"")))*(1+AO438),"")</f>
        <v>#ERROR!</v>
      </c>
      <c r="AD438" s="40" t="str">
        <f t="shared" si="4"/>
        <v/>
      </c>
      <c r="AE438" s="40" t="str">
        <f>IFERROR(__xludf.DUMMYFUNCTION("IF($AC438="""","""",IF($AC438=IFERROR(MAX(FILTER($AC$6:$AC$1000,$C$6:$C$1000=$C438,$AB$6:$AB$1000=1)),),""WINNER"",""""))"),"#ERROR!")</f>
        <v>#ERROR!</v>
      </c>
      <c r="AF438" s="40" t="str">
        <f t="shared" si="5"/>
        <v/>
      </c>
      <c r="AG438" s="40" t="str">
        <f>IF($J438="","",COUNTIF(Assignments!$B:$B,$J438))</f>
        <v/>
      </c>
      <c r="AH438" s="40" t="str">
        <f>IF($J438="","",IF(AND($AG438=0,$N438&lt;$M438),Config!$B$43,0))</f>
        <v/>
      </c>
      <c r="AI438" s="40" t="str">
        <f>IF($J438="","",IF(AND($L438="Elite",$F438&gt;=Config!$B$41,$N438&lt;$M438),Config!$B$42,0))</f>
        <v/>
      </c>
      <c r="AJ438" s="22"/>
      <c r="AK438" s="39">
        <f>IFERROR(VLOOKUP(J438,Grinders!$A:$Q,28,FALSE),0)</f>
        <v>0</v>
      </c>
      <c r="AL438" s="39">
        <f>IF(Config!$B$1003&lt;&gt;"Y",0,IF(IFERROR(VLOOKUP(J438,Grinders!$A:$P,27,FALSE),0)&gt;=3,IF(OR(F438&gt;=Config!$B$1001,ISNUMBER(SEARCH(E438,Config!$B$1002))),1,0),0))</f>
        <v>0</v>
      </c>
      <c r="AM438" s="39">
        <f t="array" ref="AM438">IFERROR(IF(INDEX(Bids!$AE:$AE,MATCH(B438,Bids!$A:$A,0))="Pending",1,0),0)</f>
        <v>0</v>
      </c>
      <c r="AN438" s="39" t="str">
        <f t="array" ref="AN438">IF(C438="","",IFERROR(XLOOKUP(C438,Assignments!$C:$C,Assignments!$AU:$AU,0),0))</f>
        <v/>
      </c>
      <c r="AO438" s="39">
        <f>IF(AND(Config!$B$1006="Y",AN438=1),Config!$B$1007,0)</f>
        <v>0</v>
      </c>
    </row>
    <row r="439" ht="15.75" customHeight="1">
      <c r="A439" s="46" t="str">
        <f t="shared" si="1"/>
        <v/>
      </c>
      <c r="B439" s="40" t="str">
        <f>IF(Bids!$A439="","",Bids!$A439)</f>
        <v/>
      </c>
      <c r="C439" s="40" t="str">
        <f>IF(Bids!$B439="","",Bids!$B439)</f>
        <v/>
      </c>
      <c r="D439" s="40" t="str">
        <f>IF($C439="","",IFERROR(VLOOKUP($C439,Orders!$A:$J,9,FALSE),""))</f>
        <v/>
      </c>
      <c r="E439" s="40" t="str">
        <f>IF($C439="","",IFERROR(VLOOKUP($C439,Orders!$A:$J,3,FALSE),""))</f>
        <v/>
      </c>
      <c r="F439" s="40" t="str">
        <f>IF($C439="","",IFERROR(VLOOKUP($C439,Orders!$A:$J,4,FALSE),""))</f>
        <v/>
      </c>
      <c r="G439" s="40" t="str">
        <f>IF($C439="","",IFERROR(VLOOKUP($C439,Orders!$A:$J,5,FALSE),""))</f>
        <v/>
      </c>
      <c r="H439" s="40" t="str">
        <f>IF($C439="","",IFERROR(VLOOKUP($C439,Orders!$A:$J,6,FALSE),""))</f>
        <v/>
      </c>
      <c r="I439" s="40" t="str">
        <f>IF($C439="","",IFERROR(VLOOKUP($C439,Orders!$A:$J,7,FALSE),""))</f>
        <v/>
      </c>
      <c r="J439" s="40" t="str">
        <f>IF(Bids!$C439="","",Bids!$C439)</f>
        <v/>
      </c>
      <c r="K439" s="40" t="str">
        <f>IF($J439="","",IFERROR(VLOOKUP($J439,Grinders!$A:$N,2,FALSE),""))</f>
        <v/>
      </c>
      <c r="L439" s="40" t="str">
        <f>IF($J439="","",IFERROR(VLOOKUP($J439,Grinders!$A:$N,3,FALSE),""))</f>
        <v/>
      </c>
      <c r="M439" s="40" t="str">
        <f>IF($J439="","",IFERROR(VLOOKUP($J439,Grinders!$A:$N,4,FALSE),""))</f>
        <v/>
      </c>
      <c r="N439" s="40" t="str">
        <f>IF($J439="","",IFERROR(VLOOKUP($J439,Grinders!$A:$N,5,FALSE),""))</f>
        <v/>
      </c>
      <c r="O439" s="40" t="str">
        <f t="shared" si="2"/>
        <v/>
      </c>
      <c r="P439" s="40" t="str">
        <f>IF($J439="","",IFERROR(VLOOKUP($J439,Grinders!$A:$N,6,FALSE),""))</f>
        <v/>
      </c>
      <c r="Q439" s="40" t="str">
        <f>IF($J439="","",IFERROR(VLOOKUP($J439,Grinders!$A:$N,8,FALSE),""))</f>
        <v/>
      </c>
      <c r="R439" s="40" t="str">
        <f>IFERROR(IF($J439="","",IF($L439="Elite",MAX(50,MIN(100,Config!$B$27*MAX(0,MIN(100,(1-IF($O439="",0,$O439))*100)) + Config!$B$28*MAX(0,MIN(100,(1-MIN(1,IF(Config!$B$30=0,1,$P439/Config!$B$30)))*100)) + Config!$B$29*MAX(0,MIN(100,MIN(1,IF($Q439="",0,$Q439)/Config!$B$23)*100)))),MIN(100,Config!$B$27*MAX(0,MIN(100,(1-IF($O439="",0,$O439))*100)) + Config!$B$28*MAX(0,MIN(100,(1-MIN(1,IF(Config!$B$30=0,1,$P439/Config!$B$30)))*100)) + Config!$B$29*MAX(0,MIN(100,MIN(1,IF($Q439="",0,$Q439)/Config!$B$23)*100))))),"")
</f>
        <v/>
      </c>
      <c r="S439" s="40" t="str">
        <f>IF(Bids!$AC439="","",Bids!$AC439)</f>
        <v/>
      </c>
      <c r="T439" s="40" t="str">
        <f>IF(Bids!$F439="","",Bids!$F439)</f>
        <v/>
      </c>
      <c r="U439" s="40" t="str">
        <f t="shared" si="3"/>
        <v/>
      </c>
      <c r="V439" s="40" t="str">
        <f>IF($U439="","",IF(Config!$B$17=Config!$B$16,IF($U439&gt;=Config!$B$17,100,0),MAX(0,MIN(100,($U439-Config!$B$16)/(Config!$B$17-Config!$B$16)*100))))</f>
        <v/>
      </c>
      <c r="W439" s="40">
        <f>IF($L439="Elite",Config!$B$21,0)</f>
        <v>0</v>
      </c>
      <c r="X439" s="40" t="str">
        <f>IFERROR(IF(OR($T439="",$G439=""),"",IF($T439&gt;$G439,
  MAX(0, 60-(($T439-$G439)*24/Config!$B$19)*60),
  MEDIAN(60, 100, 60+(($G439-$T439)*24/Config!$B$20)*40)
)),"")
</f>
        <v/>
      </c>
      <c r="Y439" s="40" t="str">
        <f>IF($J439="","",IFERROR(VLOOKUP($J439,Grinders!$A:$N,10,FALSE),""))</f>
        <v/>
      </c>
      <c r="Z439" s="40" t="str">
        <f>IF($J439="","",IFERROR(VLOOKUP($J439,Grinders!$A:$N,11,FALSE),""))</f>
        <v/>
      </c>
      <c r="AA439" s="40" t="str">
        <f>IF($J439="","",IFERROR(VLOOKUP($J439,Grinders!$A:$N,12,FALSE),""))</f>
        <v/>
      </c>
      <c r="AB439" s="40" t="str">
        <f>IF(OR(AL439=1,AM439=1),0,=IFERROR(IF(OR($C439="",$J439=""),0,IF($D439&lt;&gt;"Open",0,IF(COUNTIFS(GrinderServices!$A:$A,$J439,GrinderServices!$B:$B,$E439,GrinderServices!$D:$D,"Y")=0,0,IF($U439&lt;Config!$B$16,0,IF(Config!$B$18=1,IF($N439&gt;=$M439,0,1),1))))),""))</f>
        <v>#ERROR!</v>
      </c>
      <c r="AC439" s="40" t="str">
        <f>IFERROR((IF(OR(AL439=1,AM439=1),"",=IFERROR((IFERROR(IF($AB439=0,"",((Config!$B$6*$V439 + Config!$B$7*$R439 + Config!$B$8*$W439 + Config!$B$9*$X439 + Config!$B$10*$Y439 + Config!$B$11*$Z439 - Config!$B$12*$AA439)/Config!$B$13)+$AH439+$AI439),""))*(1-IFERROR(VLOOKUP(J439,Grinders!$A:$AB, 28, FALSE),0)),"")))*(1+AO439),"")</f>
        <v>#ERROR!</v>
      </c>
      <c r="AD439" s="40" t="str">
        <f t="shared" si="4"/>
        <v/>
      </c>
      <c r="AE439" s="40" t="str">
        <f>IFERROR(__xludf.DUMMYFUNCTION("IF($AC439="""","""",IF($AC439=IFERROR(MAX(FILTER($AC$6:$AC$1000,$C$6:$C$1000=$C439,$AB$6:$AB$1000=1)),),""WINNER"",""""))"),"#ERROR!")</f>
        <v>#ERROR!</v>
      </c>
      <c r="AF439" s="40" t="str">
        <f t="shared" si="5"/>
        <v/>
      </c>
      <c r="AG439" s="40" t="str">
        <f>IF($J439="","",COUNTIF(Assignments!$B:$B,$J439))</f>
        <v/>
      </c>
      <c r="AH439" s="40" t="str">
        <f>IF($J439="","",IF(AND($AG439=0,$N439&lt;$M439),Config!$B$43,0))</f>
        <v/>
      </c>
      <c r="AI439" s="40" t="str">
        <f>IF($J439="","",IF(AND($L439="Elite",$F439&gt;=Config!$B$41,$N439&lt;$M439),Config!$B$42,0))</f>
        <v/>
      </c>
      <c r="AJ439" s="22"/>
      <c r="AK439" s="39">
        <f>IFERROR(VLOOKUP(J439,Grinders!$A:$Q,28,FALSE),0)</f>
        <v>0</v>
      </c>
      <c r="AL439" s="39">
        <f>IF(Config!$B$1003&lt;&gt;"Y",0,IF(IFERROR(VLOOKUP(J439,Grinders!$A:$P,27,FALSE),0)&gt;=3,IF(OR(F439&gt;=Config!$B$1001,ISNUMBER(SEARCH(E439,Config!$B$1002))),1,0),0))</f>
        <v>0</v>
      </c>
      <c r="AM439" s="39">
        <f t="array" ref="AM439">IFERROR(IF(INDEX(Bids!$AE:$AE,MATCH(B439,Bids!$A:$A,0))="Pending",1,0),0)</f>
        <v>0</v>
      </c>
      <c r="AN439" s="39" t="str">
        <f t="array" ref="AN439">IF(C439="","",IFERROR(XLOOKUP(C439,Assignments!$C:$C,Assignments!$AU:$AU,0),0))</f>
        <v/>
      </c>
      <c r="AO439" s="39">
        <f>IF(AND(Config!$B$1006="Y",AN439=1),Config!$B$1007,0)</f>
        <v>0</v>
      </c>
    </row>
    <row r="440" ht="15.75" customHeight="1">
      <c r="A440" s="46" t="str">
        <f t="shared" si="1"/>
        <v/>
      </c>
      <c r="B440" s="40" t="str">
        <f>IF(Bids!$A440="","",Bids!$A440)</f>
        <v/>
      </c>
      <c r="C440" s="40" t="str">
        <f>IF(Bids!$B440="","",Bids!$B440)</f>
        <v/>
      </c>
      <c r="D440" s="40" t="str">
        <f>IF($C440="","",IFERROR(VLOOKUP($C440,Orders!$A:$J,9,FALSE),""))</f>
        <v/>
      </c>
      <c r="E440" s="40" t="str">
        <f>IF($C440="","",IFERROR(VLOOKUP($C440,Orders!$A:$J,3,FALSE),""))</f>
        <v/>
      </c>
      <c r="F440" s="40" t="str">
        <f>IF($C440="","",IFERROR(VLOOKUP($C440,Orders!$A:$J,4,FALSE),""))</f>
        <v/>
      </c>
      <c r="G440" s="40" t="str">
        <f>IF($C440="","",IFERROR(VLOOKUP($C440,Orders!$A:$J,5,FALSE),""))</f>
        <v/>
      </c>
      <c r="H440" s="40" t="str">
        <f>IF($C440="","",IFERROR(VLOOKUP($C440,Orders!$A:$J,6,FALSE),""))</f>
        <v/>
      </c>
      <c r="I440" s="40" t="str">
        <f>IF($C440="","",IFERROR(VLOOKUP($C440,Orders!$A:$J,7,FALSE),""))</f>
        <v/>
      </c>
      <c r="J440" s="40" t="str">
        <f>IF(Bids!$C440="","",Bids!$C440)</f>
        <v/>
      </c>
      <c r="K440" s="40" t="str">
        <f>IF($J440="","",IFERROR(VLOOKUP($J440,Grinders!$A:$N,2,FALSE),""))</f>
        <v/>
      </c>
      <c r="L440" s="40" t="str">
        <f>IF($J440="","",IFERROR(VLOOKUP($J440,Grinders!$A:$N,3,FALSE),""))</f>
        <v/>
      </c>
      <c r="M440" s="40" t="str">
        <f>IF($J440="","",IFERROR(VLOOKUP($J440,Grinders!$A:$N,4,FALSE),""))</f>
        <v/>
      </c>
      <c r="N440" s="40" t="str">
        <f>IF($J440="","",IFERROR(VLOOKUP($J440,Grinders!$A:$N,5,FALSE),""))</f>
        <v/>
      </c>
      <c r="O440" s="40" t="str">
        <f t="shared" si="2"/>
        <v/>
      </c>
      <c r="P440" s="40" t="str">
        <f>IF($J440="","",IFERROR(VLOOKUP($J440,Grinders!$A:$N,6,FALSE),""))</f>
        <v/>
      </c>
      <c r="Q440" s="40" t="str">
        <f>IF($J440="","",IFERROR(VLOOKUP($J440,Grinders!$A:$N,8,FALSE),""))</f>
        <v/>
      </c>
      <c r="R440" s="40" t="str">
        <f>IFERROR(IF($J440="","",IF($L440="Elite",MAX(50,MIN(100,Config!$B$27*MAX(0,MIN(100,(1-IF($O440="",0,$O440))*100)) + Config!$B$28*MAX(0,MIN(100,(1-MIN(1,IF(Config!$B$30=0,1,$P440/Config!$B$30)))*100)) + Config!$B$29*MAX(0,MIN(100,MIN(1,IF($Q440="",0,$Q440)/Config!$B$23)*100)))),MIN(100,Config!$B$27*MAX(0,MIN(100,(1-IF($O440="",0,$O440))*100)) + Config!$B$28*MAX(0,MIN(100,(1-MIN(1,IF(Config!$B$30=0,1,$P440/Config!$B$30)))*100)) + Config!$B$29*MAX(0,MIN(100,MIN(1,IF($Q440="",0,$Q440)/Config!$B$23)*100))))),"")
</f>
        <v/>
      </c>
      <c r="S440" s="40" t="str">
        <f>IF(Bids!$AC440="","",Bids!$AC440)</f>
        <v/>
      </c>
      <c r="T440" s="40" t="str">
        <f>IF(Bids!$F440="","",Bids!$F440)</f>
        <v/>
      </c>
      <c r="U440" s="40" t="str">
        <f t="shared" si="3"/>
        <v/>
      </c>
      <c r="V440" s="40" t="str">
        <f>IF($U440="","",IF(Config!$B$17=Config!$B$16,IF($U440&gt;=Config!$B$17,100,0),MAX(0,MIN(100,($U440-Config!$B$16)/(Config!$B$17-Config!$B$16)*100))))</f>
        <v/>
      </c>
      <c r="W440" s="40">
        <f>IF($L440="Elite",Config!$B$21,0)</f>
        <v>0</v>
      </c>
      <c r="X440" s="40" t="str">
        <f>IFERROR(IF(OR($T440="",$G440=""),"",IF($T440&gt;$G440,
  MAX(0, 60-(($T440-$G440)*24/Config!$B$19)*60),
  MEDIAN(60, 100, 60+(($G440-$T440)*24/Config!$B$20)*40)
)),"")
</f>
        <v/>
      </c>
      <c r="Y440" s="40" t="str">
        <f>IF($J440="","",IFERROR(VLOOKUP($J440,Grinders!$A:$N,10,FALSE),""))</f>
        <v/>
      </c>
      <c r="Z440" s="40" t="str">
        <f>IF($J440="","",IFERROR(VLOOKUP($J440,Grinders!$A:$N,11,FALSE),""))</f>
        <v/>
      </c>
      <c r="AA440" s="40" t="str">
        <f>IF($J440="","",IFERROR(VLOOKUP($J440,Grinders!$A:$N,12,FALSE),""))</f>
        <v/>
      </c>
      <c r="AB440" s="40" t="str">
        <f>IF(OR(AL440=1,AM440=1),0,=IFERROR(IF(OR($C440="",$J440=""),0,IF($D440&lt;&gt;"Open",0,IF(COUNTIFS(GrinderServices!$A:$A,$J440,GrinderServices!$B:$B,$E440,GrinderServices!$D:$D,"Y")=0,0,IF($U440&lt;Config!$B$16,0,IF(Config!$B$18=1,IF($N440&gt;=$M440,0,1),1))))),""))</f>
        <v>#ERROR!</v>
      </c>
      <c r="AC440" s="40" t="str">
        <f>IFERROR((IF(OR(AL440=1,AM440=1),"",=IFERROR((IFERROR(IF($AB440=0,"",((Config!$B$6*$V440 + Config!$B$7*$R440 + Config!$B$8*$W440 + Config!$B$9*$X440 + Config!$B$10*$Y440 + Config!$B$11*$Z440 - Config!$B$12*$AA440)/Config!$B$13)+$AH440+$AI440),""))*(1-IFERROR(VLOOKUP(J440,Grinders!$A:$AB, 28, FALSE),0)),"")))*(1+AO440),"")</f>
        <v>#ERROR!</v>
      </c>
      <c r="AD440" s="40" t="str">
        <f t="shared" si="4"/>
        <v/>
      </c>
      <c r="AE440" s="40" t="str">
        <f>IFERROR(__xludf.DUMMYFUNCTION("IF($AC440="""","""",IF($AC440=IFERROR(MAX(FILTER($AC$6:$AC$1000,$C$6:$C$1000=$C440,$AB$6:$AB$1000=1)),),""WINNER"",""""))"),"#ERROR!")</f>
        <v>#ERROR!</v>
      </c>
      <c r="AF440" s="40" t="str">
        <f t="shared" si="5"/>
        <v/>
      </c>
      <c r="AG440" s="40" t="str">
        <f>IF($J440="","",COUNTIF(Assignments!$B:$B,$J440))</f>
        <v/>
      </c>
      <c r="AH440" s="40" t="str">
        <f>IF($J440="","",IF(AND($AG440=0,$N440&lt;$M440),Config!$B$43,0))</f>
        <v/>
      </c>
      <c r="AI440" s="40" t="str">
        <f>IF($J440="","",IF(AND($L440="Elite",$F440&gt;=Config!$B$41,$N440&lt;$M440),Config!$B$42,0))</f>
        <v/>
      </c>
      <c r="AJ440" s="22"/>
      <c r="AK440" s="39">
        <f>IFERROR(VLOOKUP(J440,Grinders!$A:$Q,28,FALSE),0)</f>
        <v>0</v>
      </c>
      <c r="AL440" s="39">
        <f>IF(Config!$B$1003&lt;&gt;"Y",0,IF(IFERROR(VLOOKUP(J440,Grinders!$A:$P,27,FALSE),0)&gt;=3,IF(OR(F440&gt;=Config!$B$1001,ISNUMBER(SEARCH(E440,Config!$B$1002))),1,0),0))</f>
        <v>0</v>
      </c>
      <c r="AM440" s="39">
        <f t="array" ref="AM440">IFERROR(IF(INDEX(Bids!$AE:$AE,MATCH(B440,Bids!$A:$A,0))="Pending",1,0),0)</f>
        <v>0</v>
      </c>
      <c r="AN440" s="39" t="str">
        <f t="array" ref="AN440">IF(C440="","",IFERROR(XLOOKUP(C440,Assignments!$C:$C,Assignments!$AU:$AU,0),0))</f>
        <v/>
      </c>
      <c r="AO440" s="39">
        <f>IF(AND(Config!$B$1006="Y",AN440=1),Config!$B$1007,0)</f>
        <v>0</v>
      </c>
    </row>
    <row r="441" ht="15.75" customHeight="1">
      <c r="A441" s="46" t="str">
        <f t="shared" si="1"/>
        <v/>
      </c>
      <c r="B441" s="40" t="str">
        <f>IF(Bids!$A441="","",Bids!$A441)</f>
        <v/>
      </c>
      <c r="C441" s="40" t="str">
        <f>IF(Bids!$B441="","",Bids!$B441)</f>
        <v/>
      </c>
      <c r="D441" s="40" t="str">
        <f>IF($C441="","",IFERROR(VLOOKUP($C441,Orders!$A:$J,9,FALSE),""))</f>
        <v/>
      </c>
      <c r="E441" s="40" t="str">
        <f>IF($C441="","",IFERROR(VLOOKUP($C441,Orders!$A:$J,3,FALSE),""))</f>
        <v/>
      </c>
      <c r="F441" s="40" t="str">
        <f>IF($C441="","",IFERROR(VLOOKUP($C441,Orders!$A:$J,4,FALSE),""))</f>
        <v/>
      </c>
      <c r="G441" s="40" t="str">
        <f>IF($C441="","",IFERROR(VLOOKUP($C441,Orders!$A:$J,5,FALSE),""))</f>
        <v/>
      </c>
      <c r="H441" s="40" t="str">
        <f>IF($C441="","",IFERROR(VLOOKUP($C441,Orders!$A:$J,6,FALSE),""))</f>
        <v/>
      </c>
      <c r="I441" s="40" t="str">
        <f>IF($C441="","",IFERROR(VLOOKUP($C441,Orders!$A:$J,7,FALSE),""))</f>
        <v/>
      </c>
      <c r="J441" s="40" t="str">
        <f>IF(Bids!$C441="","",Bids!$C441)</f>
        <v/>
      </c>
      <c r="K441" s="40" t="str">
        <f>IF($J441="","",IFERROR(VLOOKUP($J441,Grinders!$A:$N,2,FALSE),""))</f>
        <v/>
      </c>
      <c r="L441" s="40" t="str">
        <f>IF($J441="","",IFERROR(VLOOKUP($J441,Grinders!$A:$N,3,FALSE),""))</f>
        <v/>
      </c>
      <c r="M441" s="40" t="str">
        <f>IF($J441="","",IFERROR(VLOOKUP($J441,Grinders!$A:$N,4,FALSE),""))</f>
        <v/>
      </c>
      <c r="N441" s="40" t="str">
        <f>IF($J441="","",IFERROR(VLOOKUP($J441,Grinders!$A:$N,5,FALSE),""))</f>
        <v/>
      </c>
      <c r="O441" s="40" t="str">
        <f t="shared" si="2"/>
        <v/>
      </c>
      <c r="P441" s="40" t="str">
        <f>IF($J441="","",IFERROR(VLOOKUP($J441,Grinders!$A:$N,6,FALSE),""))</f>
        <v/>
      </c>
      <c r="Q441" s="40" t="str">
        <f>IF($J441="","",IFERROR(VLOOKUP($J441,Grinders!$A:$N,8,FALSE),""))</f>
        <v/>
      </c>
      <c r="R441" s="40" t="str">
        <f>IFERROR(IF($J441="","",IF($L441="Elite",MAX(50,MIN(100,Config!$B$27*MAX(0,MIN(100,(1-IF($O441="",0,$O441))*100)) + Config!$B$28*MAX(0,MIN(100,(1-MIN(1,IF(Config!$B$30=0,1,$P441/Config!$B$30)))*100)) + Config!$B$29*MAX(0,MIN(100,MIN(1,IF($Q441="",0,$Q441)/Config!$B$23)*100)))),MIN(100,Config!$B$27*MAX(0,MIN(100,(1-IF($O441="",0,$O441))*100)) + Config!$B$28*MAX(0,MIN(100,(1-MIN(1,IF(Config!$B$30=0,1,$P441/Config!$B$30)))*100)) + Config!$B$29*MAX(0,MIN(100,MIN(1,IF($Q441="",0,$Q441)/Config!$B$23)*100))))),"")
</f>
        <v/>
      </c>
      <c r="S441" s="40" t="str">
        <f>IF(Bids!$AC441="","",Bids!$AC441)</f>
        <v/>
      </c>
      <c r="T441" s="40" t="str">
        <f>IF(Bids!$F441="","",Bids!$F441)</f>
        <v/>
      </c>
      <c r="U441" s="40" t="str">
        <f t="shared" si="3"/>
        <v/>
      </c>
      <c r="V441" s="40" t="str">
        <f>IF($U441="","",IF(Config!$B$17=Config!$B$16,IF($U441&gt;=Config!$B$17,100,0),MAX(0,MIN(100,($U441-Config!$B$16)/(Config!$B$17-Config!$B$16)*100))))</f>
        <v/>
      </c>
      <c r="W441" s="40">
        <f>IF($L441="Elite",Config!$B$21,0)</f>
        <v>0</v>
      </c>
      <c r="X441" s="40" t="str">
        <f>IFERROR(IF(OR($T441="",$G441=""),"",IF($T441&gt;$G441,
  MAX(0, 60-(($T441-$G441)*24/Config!$B$19)*60),
  MEDIAN(60, 100, 60+(($G441-$T441)*24/Config!$B$20)*40)
)),"")
</f>
        <v/>
      </c>
      <c r="Y441" s="40" t="str">
        <f>IF($J441="","",IFERROR(VLOOKUP($J441,Grinders!$A:$N,10,FALSE),""))</f>
        <v/>
      </c>
      <c r="Z441" s="40" t="str">
        <f>IF($J441="","",IFERROR(VLOOKUP($J441,Grinders!$A:$N,11,FALSE),""))</f>
        <v/>
      </c>
      <c r="AA441" s="40" t="str">
        <f>IF($J441="","",IFERROR(VLOOKUP($J441,Grinders!$A:$N,12,FALSE),""))</f>
        <v/>
      </c>
      <c r="AB441" s="40" t="str">
        <f>IF(OR(AL441=1,AM441=1),0,=IFERROR(IF(OR($C441="",$J441=""),0,IF($D441&lt;&gt;"Open",0,IF(COUNTIFS(GrinderServices!$A:$A,$J441,GrinderServices!$B:$B,$E441,GrinderServices!$D:$D,"Y")=0,0,IF($U441&lt;Config!$B$16,0,IF(Config!$B$18=1,IF($N441&gt;=$M441,0,1),1))))),""))</f>
        <v>#ERROR!</v>
      </c>
      <c r="AC441" s="40" t="str">
        <f>IFERROR((IF(OR(AL441=1,AM441=1),"",=IFERROR((IFERROR(IF($AB441=0,"",((Config!$B$6*$V441 + Config!$B$7*$R441 + Config!$B$8*$W441 + Config!$B$9*$X441 + Config!$B$10*$Y441 + Config!$B$11*$Z441 - Config!$B$12*$AA441)/Config!$B$13)+$AH441+$AI441),""))*(1-IFERROR(VLOOKUP(J441,Grinders!$A:$AB, 28, FALSE),0)),"")))*(1+AO441),"")</f>
        <v>#ERROR!</v>
      </c>
      <c r="AD441" s="40" t="str">
        <f t="shared" si="4"/>
        <v/>
      </c>
      <c r="AE441" s="40" t="str">
        <f>IFERROR(__xludf.DUMMYFUNCTION("IF($AC441="""","""",IF($AC441=IFERROR(MAX(FILTER($AC$6:$AC$1000,$C$6:$C$1000=$C441,$AB$6:$AB$1000=1)),),""WINNER"",""""))"),"#ERROR!")</f>
        <v>#ERROR!</v>
      </c>
      <c r="AF441" s="40" t="str">
        <f t="shared" si="5"/>
        <v/>
      </c>
      <c r="AG441" s="40" t="str">
        <f>IF($J441="","",COUNTIF(Assignments!$B:$B,$J441))</f>
        <v/>
      </c>
      <c r="AH441" s="40" t="str">
        <f>IF($J441="","",IF(AND($AG441=0,$N441&lt;$M441),Config!$B$43,0))</f>
        <v/>
      </c>
      <c r="AI441" s="40" t="str">
        <f>IF($J441="","",IF(AND($L441="Elite",$F441&gt;=Config!$B$41,$N441&lt;$M441),Config!$B$42,0))</f>
        <v/>
      </c>
      <c r="AJ441" s="22"/>
      <c r="AK441" s="39">
        <f>IFERROR(VLOOKUP(J441,Grinders!$A:$Q,28,FALSE),0)</f>
        <v>0</v>
      </c>
      <c r="AL441" s="39">
        <f>IF(Config!$B$1003&lt;&gt;"Y",0,IF(IFERROR(VLOOKUP(J441,Grinders!$A:$P,27,FALSE),0)&gt;=3,IF(OR(F441&gt;=Config!$B$1001,ISNUMBER(SEARCH(E441,Config!$B$1002))),1,0),0))</f>
        <v>0</v>
      </c>
      <c r="AM441" s="39">
        <f t="array" ref="AM441">IFERROR(IF(INDEX(Bids!$AE:$AE,MATCH(B441,Bids!$A:$A,0))="Pending",1,0),0)</f>
        <v>0</v>
      </c>
      <c r="AN441" s="39" t="str">
        <f t="array" ref="AN441">IF(C441="","",IFERROR(XLOOKUP(C441,Assignments!$C:$C,Assignments!$AU:$AU,0),0))</f>
        <v/>
      </c>
      <c r="AO441" s="39">
        <f>IF(AND(Config!$B$1006="Y",AN441=1),Config!$B$1007,0)</f>
        <v>0</v>
      </c>
    </row>
    <row r="442" ht="15.75" customHeight="1">
      <c r="A442" s="46" t="str">
        <f t="shared" si="1"/>
        <v/>
      </c>
      <c r="B442" s="40" t="str">
        <f>IF(Bids!$A442="","",Bids!$A442)</f>
        <v/>
      </c>
      <c r="C442" s="40" t="str">
        <f>IF(Bids!$B442="","",Bids!$B442)</f>
        <v/>
      </c>
      <c r="D442" s="40" t="str">
        <f>IF($C442="","",IFERROR(VLOOKUP($C442,Orders!$A:$J,9,FALSE),""))</f>
        <v/>
      </c>
      <c r="E442" s="40" t="str">
        <f>IF($C442="","",IFERROR(VLOOKUP($C442,Orders!$A:$J,3,FALSE),""))</f>
        <v/>
      </c>
      <c r="F442" s="40" t="str">
        <f>IF($C442="","",IFERROR(VLOOKUP($C442,Orders!$A:$J,4,FALSE),""))</f>
        <v/>
      </c>
      <c r="G442" s="40" t="str">
        <f>IF($C442="","",IFERROR(VLOOKUP($C442,Orders!$A:$J,5,FALSE),""))</f>
        <v/>
      </c>
      <c r="H442" s="40" t="str">
        <f>IF($C442="","",IFERROR(VLOOKUP($C442,Orders!$A:$J,6,FALSE),""))</f>
        <v/>
      </c>
      <c r="I442" s="40" t="str">
        <f>IF($C442="","",IFERROR(VLOOKUP($C442,Orders!$A:$J,7,FALSE),""))</f>
        <v/>
      </c>
      <c r="J442" s="40" t="str">
        <f>IF(Bids!$C442="","",Bids!$C442)</f>
        <v/>
      </c>
      <c r="K442" s="40" t="str">
        <f>IF($J442="","",IFERROR(VLOOKUP($J442,Grinders!$A:$N,2,FALSE),""))</f>
        <v/>
      </c>
      <c r="L442" s="40" t="str">
        <f>IF($J442="","",IFERROR(VLOOKUP($J442,Grinders!$A:$N,3,FALSE),""))</f>
        <v/>
      </c>
      <c r="M442" s="40" t="str">
        <f>IF($J442="","",IFERROR(VLOOKUP($J442,Grinders!$A:$N,4,FALSE),""))</f>
        <v/>
      </c>
      <c r="N442" s="40" t="str">
        <f>IF($J442="","",IFERROR(VLOOKUP($J442,Grinders!$A:$N,5,FALSE),""))</f>
        <v/>
      </c>
      <c r="O442" s="40" t="str">
        <f t="shared" si="2"/>
        <v/>
      </c>
      <c r="P442" s="40" t="str">
        <f>IF($J442="","",IFERROR(VLOOKUP($J442,Grinders!$A:$N,6,FALSE),""))</f>
        <v/>
      </c>
      <c r="Q442" s="40" t="str">
        <f>IF($J442="","",IFERROR(VLOOKUP($J442,Grinders!$A:$N,8,FALSE),""))</f>
        <v/>
      </c>
      <c r="R442" s="40" t="str">
        <f>IFERROR(IF($J442="","",IF($L442="Elite",MAX(50,MIN(100,Config!$B$27*MAX(0,MIN(100,(1-IF($O442="",0,$O442))*100)) + Config!$B$28*MAX(0,MIN(100,(1-MIN(1,IF(Config!$B$30=0,1,$P442/Config!$B$30)))*100)) + Config!$B$29*MAX(0,MIN(100,MIN(1,IF($Q442="",0,$Q442)/Config!$B$23)*100)))),MIN(100,Config!$B$27*MAX(0,MIN(100,(1-IF($O442="",0,$O442))*100)) + Config!$B$28*MAX(0,MIN(100,(1-MIN(1,IF(Config!$B$30=0,1,$P442/Config!$B$30)))*100)) + Config!$B$29*MAX(0,MIN(100,MIN(1,IF($Q442="",0,$Q442)/Config!$B$23)*100))))),"")
</f>
        <v/>
      </c>
      <c r="S442" s="40" t="str">
        <f>IF(Bids!$AC442="","",Bids!$AC442)</f>
        <v/>
      </c>
      <c r="T442" s="40" t="str">
        <f>IF(Bids!$F442="","",Bids!$F442)</f>
        <v/>
      </c>
      <c r="U442" s="40" t="str">
        <f t="shared" si="3"/>
        <v/>
      </c>
      <c r="V442" s="40" t="str">
        <f>IF($U442="","",IF(Config!$B$17=Config!$B$16,IF($U442&gt;=Config!$B$17,100,0),MAX(0,MIN(100,($U442-Config!$B$16)/(Config!$B$17-Config!$B$16)*100))))</f>
        <v/>
      </c>
      <c r="W442" s="40">
        <f>IF($L442="Elite",Config!$B$21,0)</f>
        <v>0</v>
      </c>
      <c r="X442" s="40" t="str">
        <f>IFERROR(IF(OR($T442="",$G442=""),"",IF($T442&gt;$G442,
  MAX(0, 60-(($T442-$G442)*24/Config!$B$19)*60),
  MEDIAN(60, 100, 60+(($G442-$T442)*24/Config!$B$20)*40)
)),"")
</f>
        <v/>
      </c>
      <c r="Y442" s="40" t="str">
        <f>IF($J442="","",IFERROR(VLOOKUP($J442,Grinders!$A:$N,10,FALSE),""))</f>
        <v/>
      </c>
      <c r="Z442" s="40" t="str">
        <f>IF($J442="","",IFERROR(VLOOKUP($J442,Grinders!$A:$N,11,FALSE),""))</f>
        <v/>
      </c>
      <c r="AA442" s="40" t="str">
        <f>IF($J442="","",IFERROR(VLOOKUP($J442,Grinders!$A:$N,12,FALSE),""))</f>
        <v/>
      </c>
      <c r="AB442" s="40" t="str">
        <f>IF(OR(AL442=1,AM442=1),0,=IFERROR(IF(OR($C442="",$J442=""),0,IF($D442&lt;&gt;"Open",0,IF(COUNTIFS(GrinderServices!$A:$A,$J442,GrinderServices!$B:$B,$E442,GrinderServices!$D:$D,"Y")=0,0,IF($U442&lt;Config!$B$16,0,IF(Config!$B$18=1,IF($N442&gt;=$M442,0,1),1))))),""))</f>
        <v>#ERROR!</v>
      </c>
      <c r="AC442" s="40" t="str">
        <f>IFERROR((IF(OR(AL442=1,AM442=1),"",=IFERROR((IFERROR(IF($AB442=0,"",((Config!$B$6*$V442 + Config!$B$7*$R442 + Config!$B$8*$W442 + Config!$B$9*$X442 + Config!$B$10*$Y442 + Config!$B$11*$Z442 - Config!$B$12*$AA442)/Config!$B$13)+$AH442+$AI442),""))*(1-IFERROR(VLOOKUP(J442,Grinders!$A:$AB, 28, FALSE),0)),"")))*(1+AO442),"")</f>
        <v>#ERROR!</v>
      </c>
      <c r="AD442" s="40" t="str">
        <f t="shared" si="4"/>
        <v/>
      </c>
      <c r="AE442" s="40" t="str">
        <f>IFERROR(__xludf.DUMMYFUNCTION("IF($AC442="""","""",IF($AC442=IFERROR(MAX(FILTER($AC$6:$AC$1000,$C$6:$C$1000=$C442,$AB$6:$AB$1000=1)),),""WINNER"",""""))"),"#ERROR!")</f>
        <v>#ERROR!</v>
      </c>
      <c r="AF442" s="40" t="str">
        <f t="shared" si="5"/>
        <v/>
      </c>
      <c r="AG442" s="40" t="str">
        <f>IF($J442="","",COUNTIF(Assignments!$B:$B,$J442))</f>
        <v/>
      </c>
      <c r="AH442" s="40" t="str">
        <f>IF($J442="","",IF(AND($AG442=0,$N442&lt;$M442),Config!$B$43,0))</f>
        <v/>
      </c>
      <c r="AI442" s="40" t="str">
        <f>IF($J442="","",IF(AND($L442="Elite",$F442&gt;=Config!$B$41,$N442&lt;$M442),Config!$B$42,0))</f>
        <v/>
      </c>
      <c r="AJ442" s="22"/>
      <c r="AK442" s="39">
        <f>IFERROR(VLOOKUP(J442,Grinders!$A:$Q,28,FALSE),0)</f>
        <v>0</v>
      </c>
      <c r="AL442" s="39">
        <f>IF(Config!$B$1003&lt;&gt;"Y",0,IF(IFERROR(VLOOKUP(J442,Grinders!$A:$P,27,FALSE),0)&gt;=3,IF(OR(F442&gt;=Config!$B$1001,ISNUMBER(SEARCH(E442,Config!$B$1002))),1,0),0))</f>
        <v>0</v>
      </c>
      <c r="AM442" s="39">
        <f t="array" ref="AM442">IFERROR(IF(INDEX(Bids!$AE:$AE,MATCH(B442,Bids!$A:$A,0))="Pending",1,0),0)</f>
        <v>0</v>
      </c>
      <c r="AN442" s="39" t="str">
        <f t="array" ref="AN442">IF(C442="","",IFERROR(XLOOKUP(C442,Assignments!$C:$C,Assignments!$AU:$AU,0),0))</f>
        <v/>
      </c>
      <c r="AO442" s="39">
        <f>IF(AND(Config!$B$1006="Y",AN442=1),Config!$B$1007,0)</f>
        <v>0</v>
      </c>
    </row>
    <row r="443" ht="15.75" customHeight="1">
      <c r="A443" s="46" t="str">
        <f t="shared" si="1"/>
        <v/>
      </c>
      <c r="B443" s="40" t="str">
        <f>IF(Bids!$A443="","",Bids!$A443)</f>
        <v/>
      </c>
      <c r="C443" s="40" t="str">
        <f>IF(Bids!$B443="","",Bids!$B443)</f>
        <v/>
      </c>
      <c r="D443" s="40" t="str">
        <f>IF($C443="","",IFERROR(VLOOKUP($C443,Orders!$A:$J,9,FALSE),""))</f>
        <v/>
      </c>
      <c r="E443" s="40" t="str">
        <f>IF($C443="","",IFERROR(VLOOKUP($C443,Orders!$A:$J,3,FALSE),""))</f>
        <v/>
      </c>
      <c r="F443" s="40" t="str">
        <f>IF($C443="","",IFERROR(VLOOKUP($C443,Orders!$A:$J,4,FALSE),""))</f>
        <v/>
      </c>
      <c r="G443" s="40" t="str">
        <f>IF($C443="","",IFERROR(VLOOKUP($C443,Orders!$A:$J,5,FALSE),""))</f>
        <v/>
      </c>
      <c r="H443" s="40" t="str">
        <f>IF($C443="","",IFERROR(VLOOKUP($C443,Orders!$A:$J,6,FALSE),""))</f>
        <v/>
      </c>
      <c r="I443" s="40" t="str">
        <f>IF($C443="","",IFERROR(VLOOKUP($C443,Orders!$A:$J,7,FALSE),""))</f>
        <v/>
      </c>
      <c r="J443" s="40" t="str">
        <f>IF(Bids!$C443="","",Bids!$C443)</f>
        <v/>
      </c>
      <c r="K443" s="40" t="str">
        <f>IF($J443="","",IFERROR(VLOOKUP($J443,Grinders!$A:$N,2,FALSE),""))</f>
        <v/>
      </c>
      <c r="L443" s="40" t="str">
        <f>IF($J443="","",IFERROR(VLOOKUP($J443,Grinders!$A:$N,3,FALSE),""))</f>
        <v/>
      </c>
      <c r="M443" s="40" t="str">
        <f>IF($J443="","",IFERROR(VLOOKUP($J443,Grinders!$A:$N,4,FALSE),""))</f>
        <v/>
      </c>
      <c r="N443" s="40" t="str">
        <f>IF($J443="","",IFERROR(VLOOKUP($J443,Grinders!$A:$N,5,FALSE),""))</f>
        <v/>
      </c>
      <c r="O443" s="40" t="str">
        <f t="shared" si="2"/>
        <v/>
      </c>
      <c r="P443" s="40" t="str">
        <f>IF($J443="","",IFERROR(VLOOKUP($J443,Grinders!$A:$N,6,FALSE),""))</f>
        <v/>
      </c>
      <c r="Q443" s="40" t="str">
        <f>IF($J443="","",IFERROR(VLOOKUP($J443,Grinders!$A:$N,8,FALSE),""))</f>
        <v/>
      </c>
      <c r="R443" s="40" t="str">
        <f>IFERROR(IF($J443="","",IF($L443="Elite",MAX(50,MIN(100,Config!$B$27*MAX(0,MIN(100,(1-IF($O443="",0,$O443))*100)) + Config!$B$28*MAX(0,MIN(100,(1-MIN(1,IF(Config!$B$30=0,1,$P443/Config!$B$30)))*100)) + Config!$B$29*MAX(0,MIN(100,MIN(1,IF($Q443="",0,$Q443)/Config!$B$23)*100)))),MIN(100,Config!$B$27*MAX(0,MIN(100,(1-IF($O443="",0,$O443))*100)) + Config!$B$28*MAX(0,MIN(100,(1-MIN(1,IF(Config!$B$30=0,1,$P443/Config!$B$30)))*100)) + Config!$B$29*MAX(0,MIN(100,MIN(1,IF($Q443="",0,$Q443)/Config!$B$23)*100))))),"")
</f>
        <v/>
      </c>
      <c r="S443" s="40" t="str">
        <f>IF(Bids!$AC443="","",Bids!$AC443)</f>
        <v/>
      </c>
      <c r="T443" s="40" t="str">
        <f>IF(Bids!$F443="","",Bids!$F443)</f>
        <v/>
      </c>
      <c r="U443" s="40" t="str">
        <f t="shared" si="3"/>
        <v/>
      </c>
      <c r="V443" s="40" t="str">
        <f>IF($U443="","",IF(Config!$B$17=Config!$B$16,IF($U443&gt;=Config!$B$17,100,0),MAX(0,MIN(100,($U443-Config!$B$16)/(Config!$B$17-Config!$B$16)*100))))</f>
        <v/>
      </c>
      <c r="W443" s="40">
        <f>IF($L443="Elite",Config!$B$21,0)</f>
        <v>0</v>
      </c>
      <c r="X443" s="40" t="str">
        <f>IFERROR(IF(OR($T443="",$G443=""),"",IF($T443&gt;$G443,
  MAX(0, 60-(($T443-$G443)*24/Config!$B$19)*60),
  MEDIAN(60, 100, 60+(($G443-$T443)*24/Config!$B$20)*40)
)),"")
</f>
        <v/>
      </c>
      <c r="Y443" s="40" t="str">
        <f>IF($J443="","",IFERROR(VLOOKUP($J443,Grinders!$A:$N,10,FALSE),""))</f>
        <v/>
      </c>
      <c r="Z443" s="40" t="str">
        <f>IF($J443="","",IFERROR(VLOOKUP($J443,Grinders!$A:$N,11,FALSE),""))</f>
        <v/>
      </c>
      <c r="AA443" s="40" t="str">
        <f>IF($J443="","",IFERROR(VLOOKUP($J443,Grinders!$A:$N,12,FALSE),""))</f>
        <v/>
      </c>
      <c r="AB443" s="40" t="str">
        <f>IF(OR(AL443=1,AM443=1),0,=IFERROR(IF(OR($C443="",$J443=""),0,IF($D443&lt;&gt;"Open",0,IF(COUNTIFS(GrinderServices!$A:$A,$J443,GrinderServices!$B:$B,$E443,GrinderServices!$D:$D,"Y")=0,0,IF($U443&lt;Config!$B$16,0,IF(Config!$B$18=1,IF($N443&gt;=$M443,0,1),1))))),""))</f>
        <v>#ERROR!</v>
      </c>
      <c r="AC443" s="40" t="str">
        <f>IFERROR((IF(OR(AL443=1,AM443=1),"",=IFERROR((IFERROR(IF($AB443=0,"",((Config!$B$6*$V443 + Config!$B$7*$R443 + Config!$B$8*$W443 + Config!$B$9*$X443 + Config!$B$10*$Y443 + Config!$B$11*$Z443 - Config!$B$12*$AA443)/Config!$B$13)+$AH443+$AI443),""))*(1-IFERROR(VLOOKUP(J443,Grinders!$A:$AB, 28, FALSE),0)),"")))*(1+AO443),"")</f>
        <v>#ERROR!</v>
      </c>
      <c r="AD443" s="40" t="str">
        <f t="shared" si="4"/>
        <v/>
      </c>
      <c r="AE443" s="40" t="str">
        <f>IFERROR(__xludf.DUMMYFUNCTION("IF($AC443="""","""",IF($AC443=IFERROR(MAX(FILTER($AC$6:$AC$1000,$C$6:$C$1000=$C443,$AB$6:$AB$1000=1)),),""WINNER"",""""))"),"#ERROR!")</f>
        <v>#ERROR!</v>
      </c>
      <c r="AF443" s="40" t="str">
        <f t="shared" si="5"/>
        <v/>
      </c>
      <c r="AG443" s="40" t="str">
        <f>IF($J443="","",COUNTIF(Assignments!$B:$B,$J443))</f>
        <v/>
      </c>
      <c r="AH443" s="40" t="str">
        <f>IF($J443="","",IF(AND($AG443=0,$N443&lt;$M443),Config!$B$43,0))</f>
        <v/>
      </c>
      <c r="AI443" s="40" t="str">
        <f>IF($J443="","",IF(AND($L443="Elite",$F443&gt;=Config!$B$41,$N443&lt;$M443),Config!$B$42,0))</f>
        <v/>
      </c>
      <c r="AJ443" s="22"/>
      <c r="AK443" s="39">
        <f>IFERROR(VLOOKUP(J443,Grinders!$A:$Q,28,FALSE),0)</f>
        <v>0</v>
      </c>
      <c r="AL443" s="39">
        <f>IF(Config!$B$1003&lt;&gt;"Y",0,IF(IFERROR(VLOOKUP(J443,Grinders!$A:$P,27,FALSE),0)&gt;=3,IF(OR(F443&gt;=Config!$B$1001,ISNUMBER(SEARCH(E443,Config!$B$1002))),1,0),0))</f>
        <v>0</v>
      </c>
      <c r="AM443" s="39">
        <f t="array" ref="AM443">IFERROR(IF(INDEX(Bids!$AE:$AE,MATCH(B443,Bids!$A:$A,0))="Pending",1,0),0)</f>
        <v>0</v>
      </c>
      <c r="AN443" s="39" t="str">
        <f t="array" ref="AN443">IF(C443="","",IFERROR(XLOOKUP(C443,Assignments!$C:$C,Assignments!$AU:$AU,0),0))</f>
        <v/>
      </c>
      <c r="AO443" s="39">
        <f>IF(AND(Config!$B$1006="Y",AN443=1),Config!$B$1007,0)</f>
        <v>0</v>
      </c>
    </row>
    <row r="444" ht="15.75" customHeight="1">
      <c r="A444" s="46" t="str">
        <f t="shared" si="1"/>
        <v/>
      </c>
      <c r="B444" s="40" t="str">
        <f>IF(Bids!$A444="","",Bids!$A444)</f>
        <v/>
      </c>
      <c r="C444" s="40" t="str">
        <f>IF(Bids!$B444="","",Bids!$B444)</f>
        <v/>
      </c>
      <c r="D444" s="40" t="str">
        <f>IF($C444="","",IFERROR(VLOOKUP($C444,Orders!$A:$J,9,FALSE),""))</f>
        <v/>
      </c>
      <c r="E444" s="40" t="str">
        <f>IF($C444="","",IFERROR(VLOOKUP($C444,Orders!$A:$J,3,FALSE),""))</f>
        <v/>
      </c>
      <c r="F444" s="40" t="str">
        <f>IF($C444="","",IFERROR(VLOOKUP($C444,Orders!$A:$J,4,FALSE),""))</f>
        <v/>
      </c>
      <c r="G444" s="40" t="str">
        <f>IF($C444="","",IFERROR(VLOOKUP($C444,Orders!$A:$J,5,FALSE),""))</f>
        <v/>
      </c>
      <c r="H444" s="40" t="str">
        <f>IF($C444="","",IFERROR(VLOOKUP($C444,Orders!$A:$J,6,FALSE),""))</f>
        <v/>
      </c>
      <c r="I444" s="40" t="str">
        <f>IF($C444="","",IFERROR(VLOOKUP($C444,Orders!$A:$J,7,FALSE),""))</f>
        <v/>
      </c>
      <c r="J444" s="40" t="str">
        <f>IF(Bids!$C444="","",Bids!$C444)</f>
        <v/>
      </c>
      <c r="K444" s="40" t="str">
        <f>IF($J444="","",IFERROR(VLOOKUP($J444,Grinders!$A:$N,2,FALSE),""))</f>
        <v/>
      </c>
      <c r="L444" s="40" t="str">
        <f>IF($J444="","",IFERROR(VLOOKUP($J444,Grinders!$A:$N,3,FALSE),""))</f>
        <v/>
      </c>
      <c r="M444" s="40" t="str">
        <f>IF($J444="","",IFERROR(VLOOKUP($J444,Grinders!$A:$N,4,FALSE),""))</f>
        <v/>
      </c>
      <c r="N444" s="40" t="str">
        <f>IF($J444="","",IFERROR(VLOOKUP($J444,Grinders!$A:$N,5,FALSE),""))</f>
        <v/>
      </c>
      <c r="O444" s="40" t="str">
        <f t="shared" si="2"/>
        <v/>
      </c>
      <c r="P444" s="40" t="str">
        <f>IF($J444="","",IFERROR(VLOOKUP($J444,Grinders!$A:$N,6,FALSE),""))</f>
        <v/>
      </c>
      <c r="Q444" s="40" t="str">
        <f>IF($J444="","",IFERROR(VLOOKUP($J444,Grinders!$A:$N,8,FALSE),""))</f>
        <v/>
      </c>
      <c r="R444" s="40" t="str">
        <f>IFERROR(IF($J444="","",IF($L444="Elite",MAX(50,MIN(100,Config!$B$27*MAX(0,MIN(100,(1-IF($O444="",0,$O444))*100)) + Config!$B$28*MAX(0,MIN(100,(1-MIN(1,IF(Config!$B$30=0,1,$P444/Config!$B$30)))*100)) + Config!$B$29*MAX(0,MIN(100,MIN(1,IF($Q444="",0,$Q444)/Config!$B$23)*100)))),MIN(100,Config!$B$27*MAX(0,MIN(100,(1-IF($O444="",0,$O444))*100)) + Config!$B$28*MAX(0,MIN(100,(1-MIN(1,IF(Config!$B$30=0,1,$P444/Config!$B$30)))*100)) + Config!$B$29*MAX(0,MIN(100,MIN(1,IF($Q444="",0,$Q444)/Config!$B$23)*100))))),"")
</f>
        <v/>
      </c>
      <c r="S444" s="40" t="str">
        <f>IF(Bids!$AC444="","",Bids!$AC444)</f>
        <v/>
      </c>
      <c r="T444" s="40" t="str">
        <f>IF(Bids!$F444="","",Bids!$F444)</f>
        <v/>
      </c>
      <c r="U444" s="40" t="str">
        <f t="shared" si="3"/>
        <v/>
      </c>
      <c r="V444" s="40" t="str">
        <f>IF($U444="","",IF(Config!$B$17=Config!$B$16,IF($U444&gt;=Config!$B$17,100,0),MAX(0,MIN(100,($U444-Config!$B$16)/(Config!$B$17-Config!$B$16)*100))))</f>
        <v/>
      </c>
      <c r="W444" s="40">
        <f>IF($L444="Elite",Config!$B$21,0)</f>
        <v>0</v>
      </c>
      <c r="X444" s="40" t="str">
        <f>IFERROR(IF(OR($T444="",$G444=""),"",IF($T444&gt;$G444,
  MAX(0, 60-(($T444-$G444)*24/Config!$B$19)*60),
  MEDIAN(60, 100, 60+(($G444-$T444)*24/Config!$B$20)*40)
)),"")
</f>
        <v/>
      </c>
      <c r="Y444" s="40" t="str">
        <f>IF($J444="","",IFERROR(VLOOKUP($J444,Grinders!$A:$N,10,FALSE),""))</f>
        <v/>
      </c>
      <c r="Z444" s="40" t="str">
        <f>IF($J444="","",IFERROR(VLOOKUP($J444,Grinders!$A:$N,11,FALSE),""))</f>
        <v/>
      </c>
      <c r="AA444" s="40" t="str">
        <f>IF($J444="","",IFERROR(VLOOKUP($J444,Grinders!$A:$N,12,FALSE),""))</f>
        <v/>
      </c>
      <c r="AB444" s="40" t="str">
        <f>IF(OR(AL444=1,AM444=1),0,=IFERROR(IF(OR($C444="",$J444=""),0,IF($D444&lt;&gt;"Open",0,IF(COUNTIFS(GrinderServices!$A:$A,$J444,GrinderServices!$B:$B,$E444,GrinderServices!$D:$D,"Y")=0,0,IF($U444&lt;Config!$B$16,0,IF(Config!$B$18=1,IF($N444&gt;=$M444,0,1),1))))),""))</f>
        <v>#ERROR!</v>
      </c>
      <c r="AC444" s="40" t="str">
        <f>IFERROR((IF(OR(AL444=1,AM444=1),"",=IFERROR((IFERROR(IF($AB444=0,"",((Config!$B$6*$V444 + Config!$B$7*$R444 + Config!$B$8*$W444 + Config!$B$9*$X444 + Config!$B$10*$Y444 + Config!$B$11*$Z444 - Config!$B$12*$AA444)/Config!$B$13)+$AH444+$AI444),""))*(1-IFERROR(VLOOKUP(J444,Grinders!$A:$AB, 28, FALSE),0)),"")))*(1+AO444),"")</f>
        <v>#ERROR!</v>
      </c>
      <c r="AD444" s="40" t="str">
        <f t="shared" si="4"/>
        <v/>
      </c>
      <c r="AE444" s="40" t="str">
        <f>IFERROR(__xludf.DUMMYFUNCTION("IF($AC444="""","""",IF($AC444=IFERROR(MAX(FILTER($AC$6:$AC$1000,$C$6:$C$1000=$C444,$AB$6:$AB$1000=1)),),""WINNER"",""""))"),"#ERROR!")</f>
        <v>#ERROR!</v>
      </c>
      <c r="AF444" s="40" t="str">
        <f t="shared" si="5"/>
        <v/>
      </c>
      <c r="AG444" s="40" t="str">
        <f>IF($J444="","",COUNTIF(Assignments!$B:$B,$J444))</f>
        <v/>
      </c>
      <c r="AH444" s="40" t="str">
        <f>IF($J444="","",IF(AND($AG444=0,$N444&lt;$M444),Config!$B$43,0))</f>
        <v/>
      </c>
      <c r="AI444" s="40" t="str">
        <f>IF($J444="","",IF(AND($L444="Elite",$F444&gt;=Config!$B$41,$N444&lt;$M444),Config!$B$42,0))</f>
        <v/>
      </c>
      <c r="AJ444" s="22"/>
      <c r="AK444" s="39">
        <f>IFERROR(VLOOKUP(J444,Grinders!$A:$Q,28,FALSE),0)</f>
        <v>0</v>
      </c>
      <c r="AL444" s="39">
        <f>IF(Config!$B$1003&lt;&gt;"Y",0,IF(IFERROR(VLOOKUP(J444,Grinders!$A:$P,27,FALSE),0)&gt;=3,IF(OR(F444&gt;=Config!$B$1001,ISNUMBER(SEARCH(E444,Config!$B$1002))),1,0),0))</f>
        <v>0</v>
      </c>
      <c r="AM444" s="39">
        <f t="array" ref="AM444">IFERROR(IF(INDEX(Bids!$AE:$AE,MATCH(B444,Bids!$A:$A,0))="Pending",1,0),0)</f>
        <v>0</v>
      </c>
      <c r="AN444" s="39" t="str">
        <f t="array" ref="AN444">IF(C444="","",IFERROR(XLOOKUP(C444,Assignments!$C:$C,Assignments!$AU:$AU,0),0))</f>
        <v/>
      </c>
      <c r="AO444" s="39">
        <f>IF(AND(Config!$B$1006="Y",AN444=1),Config!$B$1007,0)</f>
        <v>0</v>
      </c>
    </row>
    <row r="445" ht="15.75" customHeight="1">
      <c r="A445" s="46" t="str">
        <f t="shared" si="1"/>
        <v/>
      </c>
      <c r="B445" s="40" t="str">
        <f>IF(Bids!$A445="","",Bids!$A445)</f>
        <v/>
      </c>
      <c r="C445" s="40" t="str">
        <f>IF(Bids!$B445="","",Bids!$B445)</f>
        <v/>
      </c>
      <c r="D445" s="40" t="str">
        <f>IF($C445="","",IFERROR(VLOOKUP($C445,Orders!$A:$J,9,FALSE),""))</f>
        <v/>
      </c>
      <c r="E445" s="40" t="str">
        <f>IF($C445="","",IFERROR(VLOOKUP($C445,Orders!$A:$J,3,FALSE),""))</f>
        <v/>
      </c>
      <c r="F445" s="40" t="str">
        <f>IF($C445="","",IFERROR(VLOOKUP($C445,Orders!$A:$J,4,FALSE),""))</f>
        <v/>
      </c>
      <c r="G445" s="40" t="str">
        <f>IF($C445="","",IFERROR(VLOOKUP($C445,Orders!$A:$J,5,FALSE),""))</f>
        <v/>
      </c>
      <c r="H445" s="40" t="str">
        <f>IF($C445="","",IFERROR(VLOOKUP($C445,Orders!$A:$J,6,FALSE),""))</f>
        <v/>
      </c>
      <c r="I445" s="40" t="str">
        <f>IF($C445="","",IFERROR(VLOOKUP($C445,Orders!$A:$J,7,FALSE),""))</f>
        <v/>
      </c>
      <c r="J445" s="40" t="str">
        <f>IF(Bids!$C445="","",Bids!$C445)</f>
        <v/>
      </c>
      <c r="K445" s="40" t="str">
        <f>IF($J445="","",IFERROR(VLOOKUP($J445,Grinders!$A:$N,2,FALSE),""))</f>
        <v/>
      </c>
      <c r="L445" s="40" t="str">
        <f>IF($J445="","",IFERROR(VLOOKUP($J445,Grinders!$A:$N,3,FALSE),""))</f>
        <v/>
      </c>
      <c r="M445" s="40" t="str">
        <f>IF($J445="","",IFERROR(VLOOKUP($J445,Grinders!$A:$N,4,FALSE),""))</f>
        <v/>
      </c>
      <c r="N445" s="40" t="str">
        <f>IF($J445="","",IFERROR(VLOOKUP($J445,Grinders!$A:$N,5,FALSE),""))</f>
        <v/>
      </c>
      <c r="O445" s="40" t="str">
        <f t="shared" si="2"/>
        <v/>
      </c>
      <c r="P445" s="40" t="str">
        <f>IF($J445="","",IFERROR(VLOOKUP($J445,Grinders!$A:$N,6,FALSE),""))</f>
        <v/>
      </c>
      <c r="Q445" s="40" t="str">
        <f>IF($J445="","",IFERROR(VLOOKUP($J445,Grinders!$A:$N,8,FALSE),""))</f>
        <v/>
      </c>
      <c r="R445" s="40" t="str">
        <f>IFERROR(IF($J445="","",IF($L445="Elite",MAX(50,MIN(100,Config!$B$27*MAX(0,MIN(100,(1-IF($O445="",0,$O445))*100)) + Config!$B$28*MAX(0,MIN(100,(1-MIN(1,IF(Config!$B$30=0,1,$P445/Config!$B$30)))*100)) + Config!$B$29*MAX(0,MIN(100,MIN(1,IF($Q445="",0,$Q445)/Config!$B$23)*100)))),MIN(100,Config!$B$27*MAX(0,MIN(100,(1-IF($O445="",0,$O445))*100)) + Config!$B$28*MAX(0,MIN(100,(1-MIN(1,IF(Config!$B$30=0,1,$P445/Config!$B$30)))*100)) + Config!$B$29*MAX(0,MIN(100,MIN(1,IF($Q445="",0,$Q445)/Config!$B$23)*100))))),"")
</f>
        <v/>
      </c>
      <c r="S445" s="40" t="str">
        <f>IF(Bids!$AC445="","",Bids!$AC445)</f>
        <v/>
      </c>
      <c r="T445" s="40" t="str">
        <f>IF(Bids!$F445="","",Bids!$F445)</f>
        <v/>
      </c>
      <c r="U445" s="40" t="str">
        <f t="shared" si="3"/>
        <v/>
      </c>
      <c r="V445" s="40" t="str">
        <f>IF($U445="","",IF(Config!$B$17=Config!$B$16,IF($U445&gt;=Config!$B$17,100,0),MAX(0,MIN(100,($U445-Config!$B$16)/(Config!$B$17-Config!$B$16)*100))))</f>
        <v/>
      </c>
      <c r="W445" s="40">
        <f>IF($L445="Elite",Config!$B$21,0)</f>
        <v>0</v>
      </c>
      <c r="X445" s="40" t="str">
        <f>IFERROR(IF(OR($T445="",$G445=""),"",IF($T445&gt;$G445,
  MAX(0, 60-(($T445-$G445)*24/Config!$B$19)*60),
  MEDIAN(60, 100, 60+(($G445-$T445)*24/Config!$B$20)*40)
)),"")
</f>
        <v/>
      </c>
      <c r="Y445" s="40" t="str">
        <f>IF($J445="","",IFERROR(VLOOKUP($J445,Grinders!$A:$N,10,FALSE),""))</f>
        <v/>
      </c>
      <c r="Z445" s="40" t="str">
        <f>IF($J445="","",IFERROR(VLOOKUP($J445,Grinders!$A:$N,11,FALSE),""))</f>
        <v/>
      </c>
      <c r="AA445" s="40" t="str">
        <f>IF($J445="","",IFERROR(VLOOKUP($J445,Grinders!$A:$N,12,FALSE),""))</f>
        <v/>
      </c>
      <c r="AB445" s="40" t="str">
        <f>IF(OR(AL445=1,AM445=1),0,=IFERROR(IF(OR($C445="",$J445=""),0,IF($D445&lt;&gt;"Open",0,IF(COUNTIFS(GrinderServices!$A:$A,$J445,GrinderServices!$B:$B,$E445,GrinderServices!$D:$D,"Y")=0,0,IF($U445&lt;Config!$B$16,0,IF(Config!$B$18=1,IF($N445&gt;=$M445,0,1),1))))),""))</f>
        <v>#ERROR!</v>
      </c>
      <c r="AC445" s="40" t="str">
        <f>IFERROR((IF(OR(AL445=1,AM445=1),"",=IFERROR((IFERROR(IF($AB445=0,"",((Config!$B$6*$V445 + Config!$B$7*$R445 + Config!$B$8*$W445 + Config!$B$9*$X445 + Config!$B$10*$Y445 + Config!$B$11*$Z445 - Config!$B$12*$AA445)/Config!$B$13)+$AH445+$AI445),""))*(1-IFERROR(VLOOKUP(J445,Grinders!$A:$AB, 28, FALSE),0)),"")))*(1+AO445),"")</f>
        <v>#ERROR!</v>
      </c>
      <c r="AD445" s="40" t="str">
        <f t="shared" si="4"/>
        <v/>
      </c>
      <c r="AE445" s="40" t="str">
        <f>IFERROR(__xludf.DUMMYFUNCTION("IF($AC445="""","""",IF($AC445=IFERROR(MAX(FILTER($AC$6:$AC$1000,$C$6:$C$1000=$C445,$AB$6:$AB$1000=1)),),""WINNER"",""""))"),"#ERROR!")</f>
        <v>#ERROR!</v>
      </c>
      <c r="AF445" s="40" t="str">
        <f t="shared" si="5"/>
        <v/>
      </c>
      <c r="AG445" s="40" t="str">
        <f>IF($J445="","",COUNTIF(Assignments!$B:$B,$J445))</f>
        <v/>
      </c>
      <c r="AH445" s="40" t="str">
        <f>IF($J445="","",IF(AND($AG445=0,$N445&lt;$M445),Config!$B$43,0))</f>
        <v/>
      </c>
      <c r="AI445" s="40" t="str">
        <f>IF($J445="","",IF(AND($L445="Elite",$F445&gt;=Config!$B$41,$N445&lt;$M445),Config!$B$42,0))</f>
        <v/>
      </c>
      <c r="AJ445" s="22"/>
      <c r="AK445" s="39">
        <f>IFERROR(VLOOKUP(J445,Grinders!$A:$Q,28,FALSE),0)</f>
        <v>0</v>
      </c>
      <c r="AL445" s="39">
        <f>IF(Config!$B$1003&lt;&gt;"Y",0,IF(IFERROR(VLOOKUP(J445,Grinders!$A:$P,27,FALSE),0)&gt;=3,IF(OR(F445&gt;=Config!$B$1001,ISNUMBER(SEARCH(E445,Config!$B$1002))),1,0),0))</f>
        <v>0</v>
      </c>
      <c r="AM445" s="39">
        <f t="array" ref="AM445">IFERROR(IF(INDEX(Bids!$AE:$AE,MATCH(B445,Bids!$A:$A,0))="Pending",1,0),0)</f>
        <v>0</v>
      </c>
      <c r="AN445" s="39" t="str">
        <f t="array" ref="AN445">IF(C445="","",IFERROR(XLOOKUP(C445,Assignments!$C:$C,Assignments!$AU:$AU,0),0))</f>
        <v/>
      </c>
      <c r="AO445" s="39">
        <f>IF(AND(Config!$B$1006="Y",AN445=1),Config!$B$1007,0)</f>
        <v>0</v>
      </c>
    </row>
    <row r="446" ht="15.75" customHeight="1">
      <c r="A446" s="46" t="str">
        <f t="shared" si="1"/>
        <v/>
      </c>
      <c r="B446" s="40" t="str">
        <f>IF(Bids!$A446="","",Bids!$A446)</f>
        <v/>
      </c>
      <c r="C446" s="40" t="str">
        <f>IF(Bids!$B446="","",Bids!$B446)</f>
        <v/>
      </c>
      <c r="D446" s="40" t="str">
        <f>IF($C446="","",IFERROR(VLOOKUP($C446,Orders!$A:$J,9,FALSE),""))</f>
        <v/>
      </c>
      <c r="E446" s="40" t="str">
        <f>IF($C446="","",IFERROR(VLOOKUP($C446,Orders!$A:$J,3,FALSE),""))</f>
        <v/>
      </c>
      <c r="F446" s="40" t="str">
        <f>IF($C446="","",IFERROR(VLOOKUP($C446,Orders!$A:$J,4,FALSE),""))</f>
        <v/>
      </c>
      <c r="G446" s="40" t="str">
        <f>IF($C446="","",IFERROR(VLOOKUP($C446,Orders!$A:$J,5,FALSE),""))</f>
        <v/>
      </c>
      <c r="H446" s="40" t="str">
        <f>IF($C446="","",IFERROR(VLOOKUP($C446,Orders!$A:$J,6,FALSE),""))</f>
        <v/>
      </c>
      <c r="I446" s="40" t="str">
        <f>IF($C446="","",IFERROR(VLOOKUP($C446,Orders!$A:$J,7,FALSE),""))</f>
        <v/>
      </c>
      <c r="J446" s="40" t="str">
        <f>IF(Bids!$C446="","",Bids!$C446)</f>
        <v/>
      </c>
      <c r="K446" s="40" t="str">
        <f>IF($J446="","",IFERROR(VLOOKUP($J446,Grinders!$A:$N,2,FALSE),""))</f>
        <v/>
      </c>
      <c r="L446" s="40" t="str">
        <f>IF($J446="","",IFERROR(VLOOKUP($J446,Grinders!$A:$N,3,FALSE),""))</f>
        <v/>
      </c>
      <c r="M446" s="40" t="str">
        <f>IF($J446="","",IFERROR(VLOOKUP($J446,Grinders!$A:$N,4,FALSE),""))</f>
        <v/>
      </c>
      <c r="N446" s="40" t="str">
        <f>IF($J446="","",IFERROR(VLOOKUP($J446,Grinders!$A:$N,5,FALSE),""))</f>
        <v/>
      </c>
      <c r="O446" s="40" t="str">
        <f t="shared" si="2"/>
        <v/>
      </c>
      <c r="P446" s="40" t="str">
        <f>IF($J446="","",IFERROR(VLOOKUP($J446,Grinders!$A:$N,6,FALSE),""))</f>
        <v/>
      </c>
      <c r="Q446" s="40" t="str">
        <f>IF($J446="","",IFERROR(VLOOKUP($J446,Grinders!$A:$N,8,FALSE),""))</f>
        <v/>
      </c>
      <c r="R446" s="40" t="str">
        <f>IFERROR(IF($J446="","",IF($L446="Elite",MAX(50,MIN(100,Config!$B$27*MAX(0,MIN(100,(1-IF($O446="",0,$O446))*100)) + Config!$B$28*MAX(0,MIN(100,(1-MIN(1,IF(Config!$B$30=0,1,$P446/Config!$B$30)))*100)) + Config!$B$29*MAX(0,MIN(100,MIN(1,IF($Q446="",0,$Q446)/Config!$B$23)*100)))),MIN(100,Config!$B$27*MAX(0,MIN(100,(1-IF($O446="",0,$O446))*100)) + Config!$B$28*MAX(0,MIN(100,(1-MIN(1,IF(Config!$B$30=0,1,$P446/Config!$B$30)))*100)) + Config!$B$29*MAX(0,MIN(100,MIN(1,IF($Q446="",0,$Q446)/Config!$B$23)*100))))),"")
</f>
        <v/>
      </c>
      <c r="S446" s="40" t="str">
        <f>IF(Bids!$AC446="","",Bids!$AC446)</f>
        <v/>
      </c>
      <c r="T446" s="40" t="str">
        <f>IF(Bids!$F446="","",Bids!$F446)</f>
        <v/>
      </c>
      <c r="U446" s="40" t="str">
        <f t="shared" si="3"/>
        <v/>
      </c>
      <c r="V446" s="40" t="str">
        <f>IF($U446="","",IF(Config!$B$17=Config!$B$16,IF($U446&gt;=Config!$B$17,100,0),MAX(0,MIN(100,($U446-Config!$B$16)/(Config!$B$17-Config!$B$16)*100))))</f>
        <v/>
      </c>
      <c r="W446" s="40">
        <f>IF($L446="Elite",Config!$B$21,0)</f>
        <v>0</v>
      </c>
      <c r="X446" s="40" t="str">
        <f>IFERROR(IF(OR($T446="",$G446=""),"",IF($T446&gt;$G446,
  MAX(0, 60-(($T446-$G446)*24/Config!$B$19)*60),
  MEDIAN(60, 100, 60+(($G446-$T446)*24/Config!$B$20)*40)
)),"")
</f>
        <v/>
      </c>
      <c r="Y446" s="40" t="str">
        <f>IF($J446="","",IFERROR(VLOOKUP($J446,Grinders!$A:$N,10,FALSE),""))</f>
        <v/>
      </c>
      <c r="Z446" s="40" t="str">
        <f>IF($J446="","",IFERROR(VLOOKUP($J446,Grinders!$A:$N,11,FALSE),""))</f>
        <v/>
      </c>
      <c r="AA446" s="40" t="str">
        <f>IF($J446="","",IFERROR(VLOOKUP($J446,Grinders!$A:$N,12,FALSE),""))</f>
        <v/>
      </c>
      <c r="AB446" s="40" t="str">
        <f>IF(OR(AL446=1,AM446=1),0,=IFERROR(IF(OR($C446="",$J446=""),0,IF($D446&lt;&gt;"Open",0,IF(COUNTIFS(GrinderServices!$A:$A,$J446,GrinderServices!$B:$B,$E446,GrinderServices!$D:$D,"Y")=0,0,IF($U446&lt;Config!$B$16,0,IF(Config!$B$18=1,IF($N446&gt;=$M446,0,1),1))))),""))</f>
        <v>#ERROR!</v>
      </c>
      <c r="AC446" s="40" t="str">
        <f>IFERROR((IF(OR(AL446=1,AM446=1),"",=IFERROR((IFERROR(IF($AB446=0,"",((Config!$B$6*$V446 + Config!$B$7*$R446 + Config!$B$8*$W446 + Config!$B$9*$X446 + Config!$B$10*$Y446 + Config!$B$11*$Z446 - Config!$B$12*$AA446)/Config!$B$13)+$AH446+$AI446),""))*(1-IFERROR(VLOOKUP(J446,Grinders!$A:$AB, 28, FALSE),0)),"")))*(1+AO446),"")</f>
        <v>#ERROR!</v>
      </c>
      <c r="AD446" s="40" t="str">
        <f t="shared" si="4"/>
        <v/>
      </c>
      <c r="AE446" s="40" t="str">
        <f>IFERROR(__xludf.DUMMYFUNCTION("IF($AC446="""","""",IF($AC446=IFERROR(MAX(FILTER($AC$6:$AC$1000,$C$6:$C$1000=$C446,$AB$6:$AB$1000=1)),),""WINNER"",""""))"),"#ERROR!")</f>
        <v>#ERROR!</v>
      </c>
      <c r="AF446" s="40" t="str">
        <f t="shared" si="5"/>
        <v/>
      </c>
      <c r="AG446" s="40" t="str">
        <f>IF($J446="","",COUNTIF(Assignments!$B:$B,$J446))</f>
        <v/>
      </c>
      <c r="AH446" s="40" t="str">
        <f>IF($J446="","",IF(AND($AG446=0,$N446&lt;$M446),Config!$B$43,0))</f>
        <v/>
      </c>
      <c r="AI446" s="40" t="str">
        <f>IF($J446="","",IF(AND($L446="Elite",$F446&gt;=Config!$B$41,$N446&lt;$M446),Config!$B$42,0))</f>
        <v/>
      </c>
      <c r="AJ446" s="22"/>
      <c r="AK446" s="39">
        <f>IFERROR(VLOOKUP(J446,Grinders!$A:$Q,28,FALSE),0)</f>
        <v>0</v>
      </c>
      <c r="AL446" s="39">
        <f>IF(Config!$B$1003&lt;&gt;"Y",0,IF(IFERROR(VLOOKUP(J446,Grinders!$A:$P,27,FALSE),0)&gt;=3,IF(OR(F446&gt;=Config!$B$1001,ISNUMBER(SEARCH(E446,Config!$B$1002))),1,0),0))</f>
        <v>0</v>
      </c>
      <c r="AM446" s="39">
        <f t="array" ref="AM446">IFERROR(IF(INDEX(Bids!$AE:$AE,MATCH(B446,Bids!$A:$A,0))="Pending",1,0),0)</f>
        <v>0</v>
      </c>
      <c r="AN446" s="39" t="str">
        <f t="array" ref="AN446">IF(C446="","",IFERROR(XLOOKUP(C446,Assignments!$C:$C,Assignments!$AU:$AU,0),0))</f>
        <v/>
      </c>
      <c r="AO446" s="39">
        <f>IF(AND(Config!$B$1006="Y",AN446=1),Config!$B$1007,0)</f>
        <v>0</v>
      </c>
    </row>
    <row r="447" ht="15.75" customHeight="1">
      <c r="A447" s="46" t="str">
        <f t="shared" si="1"/>
        <v/>
      </c>
      <c r="B447" s="40" t="str">
        <f>IF(Bids!$A447="","",Bids!$A447)</f>
        <v/>
      </c>
      <c r="C447" s="40" t="str">
        <f>IF(Bids!$B447="","",Bids!$B447)</f>
        <v/>
      </c>
      <c r="D447" s="40" t="str">
        <f>IF($C447="","",IFERROR(VLOOKUP($C447,Orders!$A:$J,9,FALSE),""))</f>
        <v/>
      </c>
      <c r="E447" s="40" t="str">
        <f>IF($C447="","",IFERROR(VLOOKUP($C447,Orders!$A:$J,3,FALSE),""))</f>
        <v/>
      </c>
      <c r="F447" s="40" t="str">
        <f>IF($C447="","",IFERROR(VLOOKUP($C447,Orders!$A:$J,4,FALSE),""))</f>
        <v/>
      </c>
      <c r="G447" s="40" t="str">
        <f>IF($C447="","",IFERROR(VLOOKUP($C447,Orders!$A:$J,5,FALSE),""))</f>
        <v/>
      </c>
      <c r="H447" s="40" t="str">
        <f>IF($C447="","",IFERROR(VLOOKUP($C447,Orders!$A:$J,6,FALSE),""))</f>
        <v/>
      </c>
      <c r="I447" s="40" t="str">
        <f>IF($C447="","",IFERROR(VLOOKUP($C447,Orders!$A:$J,7,FALSE),""))</f>
        <v/>
      </c>
      <c r="J447" s="40" t="str">
        <f>IF(Bids!$C447="","",Bids!$C447)</f>
        <v/>
      </c>
      <c r="K447" s="40" t="str">
        <f>IF($J447="","",IFERROR(VLOOKUP($J447,Grinders!$A:$N,2,FALSE),""))</f>
        <v/>
      </c>
      <c r="L447" s="40" t="str">
        <f>IF($J447="","",IFERROR(VLOOKUP($J447,Grinders!$A:$N,3,FALSE),""))</f>
        <v/>
      </c>
      <c r="M447" s="40" t="str">
        <f>IF($J447="","",IFERROR(VLOOKUP($J447,Grinders!$A:$N,4,FALSE),""))</f>
        <v/>
      </c>
      <c r="N447" s="40" t="str">
        <f>IF($J447="","",IFERROR(VLOOKUP($J447,Grinders!$A:$N,5,FALSE),""))</f>
        <v/>
      </c>
      <c r="O447" s="40" t="str">
        <f t="shared" si="2"/>
        <v/>
      </c>
      <c r="P447" s="40" t="str">
        <f>IF($J447="","",IFERROR(VLOOKUP($J447,Grinders!$A:$N,6,FALSE),""))</f>
        <v/>
      </c>
      <c r="Q447" s="40" t="str">
        <f>IF($J447="","",IFERROR(VLOOKUP($J447,Grinders!$A:$N,8,FALSE),""))</f>
        <v/>
      </c>
      <c r="R447" s="40" t="str">
        <f>IFERROR(IF($J447="","",IF($L447="Elite",MAX(50,MIN(100,Config!$B$27*MAX(0,MIN(100,(1-IF($O447="",0,$O447))*100)) + Config!$B$28*MAX(0,MIN(100,(1-MIN(1,IF(Config!$B$30=0,1,$P447/Config!$B$30)))*100)) + Config!$B$29*MAX(0,MIN(100,MIN(1,IF($Q447="",0,$Q447)/Config!$B$23)*100)))),MIN(100,Config!$B$27*MAX(0,MIN(100,(1-IF($O447="",0,$O447))*100)) + Config!$B$28*MAX(0,MIN(100,(1-MIN(1,IF(Config!$B$30=0,1,$P447/Config!$B$30)))*100)) + Config!$B$29*MAX(0,MIN(100,MIN(1,IF($Q447="",0,$Q447)/Config!$B$23)*100))))),"")
</f>
        <v/>
      </c>
      <c r="S447" s="40" t="str">
        <f>IF(Bids!$AC447="","",Bids!$AC447)</f>
        <v/>
      </c>
      <c r="T447" s="40" t="str">
        <f>IF(Bids!$F447="","",Bids!$F447)</f>
        <v/>
      </c>
      <c r="U447" s="40" t="str">
        <f t="shared" si="3"/>
        <v/>
      </c>
      <c r="V447" s="40" t="str">
        <f>IF($U447="","",IF(Config!$B$17=Config!$B$16,IF($U447&gt;=Config!$B$17,100,0),MAX(0,MIN(100,($U447-Config!$B$16)/(Config!$B$17-Config!$B$16)*100))))</f>
        <v/>
      </c>
      <c r="W447" s="40">
        <f>IF($L447="Elite",Config!$B$21,0)</f>
        <v>0</v>
      </c>
      <c r="X447" s="40" t="str">
        <f>IFERROR(IF(OR($T447="",$G447=""),"",IF($T447&gt;$G447,
  MAX(0, 60-(($T447-$G447)*24/Config!$B$19)*60),
  MEDIAN(60, 100, 60+(($G447-$T447)*24/Config!$B$20)*40)
)),"")
</f>
        <v/>
      </c>
      <c r="Y447" s="40" t="str">
        <f>IF($J447="","",IFERROR(VLOOKUP($J447,Grinders!$A:$N,10,FALSE),""))</f>
        <v/>
      </c>
      <c r="Z447" s="40" t="str">
        <f>IF($J447="","",IFERROR(VLOOKUP($J447,Grinders!$A:$N,11,FALSE),""))</f>
        <v/>
      </c>
      <c r="AA447" s="40" t="str">
        <f>IF($J447="","",IFERROR(VLOOKUP($J447,Grinders!$A:$N,12,FALSE),""))</f>
        <v/>
      </c>
      <c r="AB447" s="40" t="str">
        <f>IF(OR(AL447=1,AM447=1),0,=IFERROR(IF(OR($C447="",$J447=""),0,IF($D447&lt;&gt;"Open",0,IF(COUNTIFS(GrinderServices!$A:$A,$J447,GrinderServices!$B:$B,$E447,GrinderServices!$D:$D,"Y")=0,0,IF($U447&lt;Config!$B$16,0,IF(Config!$B$18=1,IF($N447&gt;=$M447,0,1),1))))),""))</f>
        <v>#ERROR!</v>
      </c>
      <c r="AC447" s="40" t="str">
        <f>IFERROR((IF(OR(AL447=1,AM447=1),"",=IFERROR((IFERROR(IF($AB447=0,"",((Config!$B$6*$V447 + Config!$B$7*$R447 + Config!$B$8*$W447 + Config!$B$9*$X447 + Config!$B$10*$Y447 + Config!$B$11*$Z447 - Config!$B$12*$AA447)/Config!$B$13)+$AH447+$AI447),""))*(1-IFERROR(VLOOKUP(J447,Grinders!$A:$AB, 28, FALSE),0)),"")))*(1+AO447),"")</f>
        <v>#ERROR!</v>
      </c>
      <c r="AD447" s="40" t="str">
        <f t="shared" si="4"/>
        <v/>
      </c>
      <c r="AE447" s="40" t="str">
        <f>IFERROR(__xludf.DUMMYFUNCTION("IF($AC447="""","""",IF($AC447=IFERROR(MAX(FILTER($AC$6:$AC$1000,$C$6:$C$1000=$C447,$AB$6:$AB$1000=1)),),""WINNER"",""""))"),"#ERROR!")</f>
        <v>#ERROR!</v>
      </c>
      <c r="AF447" s="40" t="str">
        <f t="shared" si="5"/>
        <v/>
      </c>
      <c r="AG447" s="40" t="str">
        <f>IF($J447="","",COUNTIF(Assignments!$B:$B,$J447))</f>
        <v/>
      </c>
      <c r="AH447" s="40" t="str">
        <f>IF($J447="","",IF(AND($AG447=0,$N447&lt;$M447),Config!$B$43,0))</f>
        <v/>
      </c>
      <c r="AI447" s="40" t="str">
        <f>IF($J447="","",IF(AND($L447="Elite",$F447&gt;=Config!$B$41,$N447&lt;$M447),Config!$B$42,0))</f>
        <v/>
      </c>
      <c r="AJ447" s="22"/>
      <c r="AK447" s="39">
        <f>IFERROR(VLOOKUP(J447,Grinders!$A:$Q,28,FALSE),0)</f>
        <v>0</v>
      </c>
      <c r="AL447" s="39">
        <f>IF(Config!$B$1003&lt;&gt;"Y",0,IF(IFERROR(VLOOKUP(J447,Grinders!$A:$P,27,FALSE),0)&gt;=3,IF(OR(F447&gt;=Config!$B$1001,ISNUMBER(SEARCH(E447,Config!$B$1002))),1,0),0))</f>
        <v>0</v>
      </c>
      <c r="AM447" s="39">
        <f t="array" ref="AM447">IFERROR(IF(INDEX(Bids!$AE:$AE,MATCH(B447,Bids!$A:$A,0))="Pending",1,0),0)</f>
        <v>0</v>
      </c>
      <c r="AN447" s="39" t="str">
        <f t="array" ref="AN447">IF(C447="","",IFERROR(XLOOKUP(C447,Assignments!$C:$C,Assignments!$AU:$AU,0),0))</f>
        <v/>
      </c>
      <c r="AO447" s="39">
        <f>IF(AND(Config!$B$1006="Y",AN447=1),Config!$B$1007,0)</f>
        <v>0</v>
      </c>
    </row>
    <row r="448" ht="15.75" customHeight="1">
      <c r="A448" s="46" t="str">
        <f t="shared" si="1"/>
        <v/>
      </c>
      <c r="B448" s="40" t="str">
        <f>IF(Bids!$A448="","",Bids!$A448)</f>
        <v/>
      </c>
      <c r="C448" s="40" t="str">
        <f>IF(Bids!$B448="","",Bids!$B448)</f>
        <v/>
      </c>
      <c r="D448" s="40" t="str">
        <f>IF($C448="","",IFERROR(VLOOKUP($C448,Orders!$A:$J,9,FALSE),""))</f>
        <v/>
      </c>
      <c r="E448" s="40" t="str">
        <f>IF($C448="","",IFERROR(VLOOKUP($C448,Orders!$A:$J,3,FALSE),""))</f>
        <v/>
      </c>
      <c r="F448" s="40" t="str">
        <f>IF($C448="","",IFERROR(VLOOKUP($C448,Orders!$A:$J,4,FALSE),""))</f>
        <v/>
      </c>
      <c r="G448" s="40" t="str">
        <f>IF($C448="","",IFERROR(VLOOKUP($C448,Orders!$A:$J,5,FALSE),""))</f>
        <v/>
      </c>
      <c r="H448" s="40" t="str">
        <f>IF($C448="","",IFERROR(VLOOKUP($C448,Orders!$A:$J,6,FALSE),""))</f>
        <v/>
      </c>
      <c r="I448" s="40" t="str">
        <f>IF($C448="","",IFERROR(VLOOKUP($C448,Orders!$A:$J,7,FALSE),""))</f>
        <v/>
      </c>
      <c r="J448" s="40" t="str">
        <f>IF(Bids!$C448="","",Bids!$C448)</f>
        <v/>
      </c>
      <c r="K448" s="40" t="str">
        <f>IF($J448="","",IFERROR(VLOOKUP($J448,Grinders!$A:$N,2,FALSE),""))</f>
        <v/>
      </c>
      <c r="L448" s="40" t="str">
        <f>IF($J448="","",IFERROR(VLOOKUP($J448,Grinders!$A:$N,3,FALSE),""))</f>
        <v/>
      </c>
      <c r="M448" s="40" t="str">
        <f>IF($J448="","",IFERROR(VLOOKUP($J448,Grinders!$A:$N,4,FALSE),""))</f>
        <v/>
      </c>
      <c r="N448" s="40" t="str">
        <f>IF($J448="","",IFERROR(VLOOKUP($J448,Grinders!$A:$N,5,FALSE),""))</f>
        <v/>
      </c>
      <c r="O448" s="40" t="str">
        <f t="shared" si="2"/>
        <v/>
      </c>
      <c r="P448" s="40" t="str">
        <f>IF($J448="","",IFERROR(VLOOKUP($J448,Grinders!$A:$N,6,FALSE),""))</f>
        <v/>
      </c>
      <c r="Q448" s="40" t="str">
        <f>IF($J448="","",IFERROR(VLOOKUP($J448,Grinders!$A:$N,8,FALSE),""))</f>
        <v/>
      </c>
      <c r="R448" s="40" t="str">
        <f>IFERROR(IF($J448="","",IF($L448="Elite",MAX(50,MIN(100,Config!$B$27*MAX(0,MIN(100,(1-IF($O448="",0,$O448))*100)) + Config!$B$28*MAX(0,MIN(100,(1-MIN(1,IF(Config!$B$30=0,1,$P448/Config!$B$30)))*100)) + Config!$B$29*MAX(0,MIN(100,MIN(1,IF($Q448="",0,$Q448)/Config!$B$23)*100)))),MIN(100,Config!$B$27*MAX(0,MIN(100,(1-IF($O448="",0,$O448))*100)) + Config!$B$28*MAX(0,MIN(100,(1-MIN(1,IF(Config!$B$30=0,1,$P448/Config!$B$30)))*100)) + Config!$B$29*MAX(0,MIN(100,MIN(1,IF($Q448="",0,$Q448)/Config!$B$23)*100))))),"")
</f>
        <v/>
      </c>
      <c r="S448" s="40" t="str">
        <f>IF(Bids!$AC448="","",Bids!$AC448)</f>
        <v/>
      </c>
      <c r="T448" s="40" t="str">
        <f>IF(Bids!$F448="","",Bids!$F448)</f>
        <v/>
      </c>
      <c r="U448" s="40" t="str">
        <f t="shared" si="3"/>
        <v/>
      </c>
      <c r="V448" s="40" t="str">
        <f>IF($U448="","",IF(Config!$B$17=Config!$B$16,IF($U448&gt;=Config!$B$17,100,0),MAX(0,MIN(100,($U448-Config!$B$16)/(Config!$B$17-Config!$B$16)*100))))</f>
        <v/>
      </c>
      <c r="W448" s="40">
        <f>IF($L448="Elite",Config!$B$21,0)</f>
        <v>0</v>
      </c>
      <c r="X448" s="40" t="str">
        <f>IFERROR(IF(OR($T448="",$G448=""),"",IF($T448&gt;$G448,
  MAX(0, 60-(($T448-$G448)*24/Config!$B$19)*60),
  MEDIAN(60, 100, 60+(($G448-$T448)*24/Config!$B$20)*40)
)),"")
</f>
        <v/>
      </c>
      <c r="Y448" s="40" t="str">
        <f>IF($J448="","",IFERROR(VLOOKUP($J448,Grinders!$A:$N,10,FALSE),""))</f>
        <v/>
      </c>
      <c r="Z448" s="40" t="str">
        <f>IF($J448="","",IFERROR(VLOOKUP($J448,Grinders!$A:$N,11,FALSE),""))</f>
        <v/>
      </c>
      <c r="AA448" s="40" t="str">
        <f>IF($J448="","",IFERROR(VLOOKUP($J448,Grinders!$A:$N,12,FALSE),""))</f>
        <v/>
      </c>
      <c r="AB448" s="40" t="str">
        <f>IF(OR(AL448=1,AM448=1),0,=IFERROR(IF(OR($C448="",$J448=""),0,IF($D448&lt;&gt;"Open",0,IF(COUNTIFS(GrinderServices!$A:$A,$J448,GrinderServices!$B:$B,$E448,GrinderServices!$D:$D,"Y")=0,0,IF($U448&lt;Config!$B$16,0,IF(Config!$B$18=1,IF($N448&gt;=$M448,0,1),1))))),""))</f>
        <v>#ERROR!</v>
      </c>
      <c r="AC448" s="40" t="str">
        <f>IFERROR((IF(OR(AL448=1,AM448=1),"",=IFERROR((IFERROR(IF($AB448=0,"",((Config!$B$6*$V448 + Config!$B$7*$R448 + Config!$B$8*$W448 + Config!$B$9*$X448 + Config!$B$10*$Y448 + Config!$B$11*$Z448 - Config!$B$12*$AA448)/Config!$B$13)+$AH448+$AI448),""))*(1-IFERROR(VLOOKUP(J448,Grinders!$A:$AB, 28, FALSE),0)),"")))*(1+AO448),"")</f>
        <v>#ERROR!</v>
      </c>
      <c r="AD448" s="40" t="str">
        <f t="shared" si="4"/>
        <v/>
      </c>
      <c r="AE448" s="40" t="str">
        <f>IFERROR(__xludf.DUMMYFUNCTION("IF($AC448="""","""",IF($AC448=IFERROR(MAX(FILTER($AC$6:$AC$1000,$C$6:$C$1000=$C448,$AB$6:$AB$1000=1)),),""WINNER"",""""))"),"#ERROR!")</f>
        <v>#ERROR!</v>
      </c>
      <c r="AF448" s="40" t="str">
        <f t="shared" si="5"/>
        <v/>
      </c>
      <c r="AG448" s="40" t="str">
        <f>IF($J448="","",COUNTIF(Assignments!$B:$B,$J448))</f>
        <v/>
      </c>
      <c r="AH448" s="40" t="str">
        <f>IF($J448="","",IF(AND($AG448=0,$N448&lt;$M448),Config!$B$43,0))</f>
        <v/>
      </c>
      <c r="AI448" s="40" t="str">
        <f>IF($J448="","",IF(AND($L448="Elite",$F448&gt;=Config!$B$41,$N448&lt;$M448),Config!$B$42,0))</f>
        <v/>
      </c>
      <c r="AJ448" s="22"/>
      <c r="AK448" s="39">
        <f>IFERROR(VLOOKUP(J448,Grinders!$A:$Q,28,FALSE),0)</f>
        <v>0</v>
      </c>
      <c r="AL448" s="39">
        <f>IF(Config!$B$1003&lt;&gt;"Y",0,IF(IFERROR(VLOOKUP(J448,Grinders!$A:$P,27,FALSE),0)&gt;=3,IF(OR(F448&gt;=Config!$B$1001,ISNUMBER(SEARCH(E448,Config!$B$1002))),1,0),0))</f>
        <v>0</v>
      </c>
      <c r="AM448" s="39">
        <f t="array" ref="AM448">IFERROR(IF(INDEX(Bids!$AE:$AE,MATCH(B448,Bids!$A:$A,0))="Pending",1,0),0)</f>
        <v>0</v>
      </c>
      <c r="AN448" s="39" t="str">
        <f t="array" ref="AN448">IF(C448="","",IFERROR(XLOOKUP(C448,Assignments!$C:$C,Assignments!$AU:$AU,0),0))</f>
        <v/>
      </c>
      <c r="AO448" s="39">
        <f>IF(AND(Config!$B$1006="Y",AN448=1),Config!$B$1007,0)</f>
        <v>0</v>
      </c>
    </row>
    <row r="449" ht="15.75" customHeight="1">
      <c r="A449" s="46" t="str">
        <f t="shared" si="1"/>
        <v/>
      </c>
      <c r="B449" s="40" t="str">
        <f>IF(Bids!$A449="","",Bids!$A449)</f>
        <v/>
      </c>
      <c r="C449" s="40" t="str">
        <f>IF(Bids!$B449="","",Bids!$B449)</f>
        <v/>
      </c>
      <c r="D449" s="40" t="str">
        <f>IF($C449="","",IFERROR(VLOOKUP($C449,Orders!$A:$J,9,FALSE),""))</f>
        <v/>
      </c>
      <c r="E449" s="40" t="str">
        <f>IF($C449="","",IFERROR(VLOOKUP($C449,Orders!$A:$J,3,FALSE),""))</f>
        <v/>
      </c>
      <c r="F449" s="40" t="str">
        <f>IF($C449="","",IFERROR(VLOOKUP($C449,Orders!$A:$J,4,FALSE),""))</f>
        <v/>
      </c>
      <c r="G449" s="40" t="str">
        <f>IF($C449="","",IFERROR(VLOOKUP($C449,Orders!$A:$J,5,FALSE),""))</f>
        <v/>
      </c>
      <c r="H449" s="40" t="str">
        <f>IF($C449="","",IFERROR(VLOOKUP($C449,Orders!$A:$J,6,FALSE),""))</f>
        <v/>
      </c>
      <c r="I449" s="40" t="str">
        <f>IF($C449="","",IFERROR(VLOOKUP($C449,Orders!$A:$J,7,FALSE),""))</f>
        <v/>
      </c>
      <c r="J449" s="40" t="str">
        <f>IF(Bids!$C449="","",Bids!$C449)</f>
        <v/>
      </c>
      <c r="K449" s="40" t="str">
        <f>IF($J449="","",IFERROR(VLOOKUP($J449,Grinders!$A:$N,2,FALSE),""))</f>
        <v/>
      </c>
      <c r="L449" s="40" t="str">
        <f>IF($J449="","",IFERROR(VLOOKUP($J449,Grinders!$A:$N,3,FALSE),""))</f>
        <v/>
      </c>
      <c r="M449" s="40" t="str">
        <f>IF($J449="","",IFERROR(VLOOKUP($J449,Grinders!$A:$N,4,FALSE),""))</f>
        <v/>
      </c>
      <c r="N449" s="40" t="str">
        <f>IF($J449="","",IFERROR(VLOOKUP($J449,Grinders!$A:$N,5,FALSE),""))</f>
        <v/>
      </c>
      <c r="O449" s="40" t="str">
        <f t="shared" si="2"/>
        <v/>
      </c>
      <c r="P449" s="40" t="str">
        <f>IF($J449="","",IFERROR(VLOOKUP($J449,Grinders!$A:$N,6,FALSE),""))</f>
        <v/>
      </c>
      <c r="Q449" s="40" t="str">
        <f>IF($J449="","",IFERROR(VLOOKUP($J449,Grinders!$A:$N,8,FALSE),""))</f>
        <v/>
      </c>
      <c r="R449" s="40" t="str">
        <f>IFERROR(IF($J449="","",IF($L449="Elite",MAX(50,MIN(100,Config!$B$27*MAX(0,MIN(100,(1-IF($O449="",0,$O449))*100)) + Config!$B$28*MAX(0,MIN(100,(1-MIN(1,IF(Config!$B$30=0,1,$P449/Config!$B$30)))*100)) + Config!$B$29*MAX(0,MIN(100,MIN(1,IF($Q449="",0,$Q449)/Config!$B$23)*100)))),MIN(100,Config!$B$27*MAX(0,MIN(100,(1-IF($O449="",0,$O449))*100)) + Config!$B$28*MAX(0,MIN(100,(1-MIN(1,IF(Config!$B$30=0,1,$P449/Config!$B$30)))*100)) + Config!$B$29*MAX(0,MIN(100,MIN(1,IF($Q449="",0,$Q449)/Config!$B$23)*100))))),"")
</f>
        <v/>
      </c>
      <c r="S449" s="40" t="str">
        <f>IF(Bids!$AC449="","",Bids!$AC449)</f>
        <v/>
      </c>
      <c r="T449" s="40" t="str">
        <f>IF(Bids!$F449="","",Bids!$F449)</f>
        <v/>
      </c>
      <c r="U449" s="40" t="str">
        <f t="shared" si="3"/>
        <v/>
      </c>
      <c r="V449" s="40" t="str">
        <f>IF($U449="","",IF(Config!$B$17=Config!$B$16,IF($U449&gt;=Config!$B$17,100,0),MAX(0,MIN(100,($U449-Config!$B$16)/(Config!$B$17-Config!$B$16)*100))))</f>
        <v/>
      </c>
      <c r="W449" s="40">
        <f>IF($L449="Elite",Config!$B$21,0)</f>
        <v>0</v>
      </c>
      <c r="X449" s="40" t="str">
        <f>IFERROR(IF(OR($T449="",$G449=""),"",IF($T449&gt;$G449,
  MAX(0, 60-(($T449-$G449)*24/Config!$B$19)*60),
  MEDIAN(60, 100, 60+(($G449-$T449)*24/Config!$B$20)*40)
)),"")
</f>
        <v/>
      </c>
      <c r="Y449" s="40" t="str">
        <f>IF($J449="","",IFERROR(VLOOKUP($J449,Grinders!$A:$N,10,FALSE),""))</f>
        <v/>
      </c>
      <c r="Z449" s="40" t="str">
        <f>IF($J449="","",IFERROR(VLOOKUP($J449,Grinders!$A:$N,11,FALSE),""))</f>
        <v/>
      </c>
      <c r="AA449" s="40" t="str">
        <f>IF($J449="","",IFERROR(VLOOKUP($J449,Grinders!$A:$N,12,FALSE),""))</f>
        <v/>
      </c>
      <c r="AB449" s="40" t="str">
        <f>IF(OR(AL449=1,AM449=1),0,=IFERROR(IF(OR($C449="",$J449=""),0,IF($D449&lt;&gt;"Open",0,IF(COUNTIFS(GrinderServices!$A:$A,$J449,GrinderServices!$B:$B,$E449,GrinderServices!$D:$D,"Y")=0,0,IF($U449&lt;Config!$B$16,0,IF(Config!$B$18=1,IF($N449&gt;=$M449,0,1),1))))),""))</f>
        <v>#ERROR!</v>
      </c>
      <c r="AC449" s="40" t="str">
        <f>IFERROR((IF(OR(AL449=1,AM449=1),"",=IFERROR((IFERROR(IF($AB449=0,"",((Config!$B$6*$V449 + Config!$B$7*$R449 + Config!$B$8*$W449 + Config!$B$9*$X449 + Config!$B$10*$Y449 + Config!$B$11*$Z449 - Config!$B$12*$AA449)/Config!$B$13)+$AH449+$AI449),""))*(1-IFERROR(VLOOKUP(J449,Grinders!$A:$AB, 28, FALSE),0)),"")))*(1+AO449),"")</f>
        <v>#ERROR!</v>
      </c>
      <c r="AD449" s="40" t="str">
        <f t="shared" si="4"/>
        <v/>
      </c>
      <c r="AE449" s="40" t="str">
        <f>IFERROR(__xludf.DUMMYFUNCTION("IF($AC449="""","""",IF($AC449=IFERROR(MAX(FILTER($AC$6:$AC$1000,$C$6:$C$1000=$C449,$AB$6:$AB$1000=1)),),""WINNER"",""""))"),"#ERROR!")</f>
        <v>#ERROR!</v>
      </c>
      <c r="AF449" s="40" t="str">
        <f t="shared" si="5"/>
        <v/>
      </c>
      <c r="AG449" s="40" t="str">
        <f>IF($J449="","",COUNTIF(Assignments!$B:$B,$J449))</f>
        <v/>
      </c>
      <c r="AH449" s="40" t="str">
        <f>IF($J449="","",IF(AND($AG449=0,$N449&lt;$M449),Config!$B$43,0))</f>
        <v/>
      </c>
      <c r="AI449" s="40" t="str">
        <f>IF($J449="","",IF(AND($L449="Elite",$F449&gt;=Config!$B$41,$N449&lt;$M449),Config!$B$42,0))</f>
        <v/>
      </c>
      <c r="AJ449" s="22"/>
      <c r="AK449" s="39">
        <f>IFERROR(VLOOKUP(J449,Grinders!$A:$Q,28,FALSE),0)</f>
        <v>0</v>
      </c>
      <c r="AL449" s="39">
        <f>IF(Config!$B$1003&lt;&gt;"Y",0,IF(IFERROR(VLOOKUP(J449,Grinders!$A:$P,27,FALSE),0)&gt;=3,IF(OR(F449&gt;=Config!$B$1001,ISNUMBER(SEARCH(E449,Config!$B$1002))),1,0),0))</f>
        <v>0</v>
      </c>
      <c r="AM449" s="39">
        <f t="array" ref="AM449">IFERROR(IF(INDEX(Bids!$AE:$AE,MATCH(B449,Bids!$A:$A,0))="Pending",1,0),0)</f>
        <v>0</v>
      </c>
      <c r="AN449" s="39" t="str">
        <f t="array" ref="AN449">IF(C449="","",IFERROR(XLOOKUP(C449,Assignments!$C:$C,Assignments!$AU:$AU,0),0))</f>
        <v/>
      </c>
      <c r="AO449" s="39">
        <f>IF(AND(Config!$B$1006="Y",AN449=1),Config!$B$1007,0)</f>
        <v>0</v>
      </c>
    </row>
    <row r="450" ht="15.75" customHeight="1">
      <c r="A450" s="46" t="str">
        <f t="shared" si="1"/>
        <v/>
      </c>
      <c r="B450" s="40" t="str">
        <f>IF(Bids!$A450="","",Bids!$A450)</f>
        <v/>
      </c>
      <c r="C450" s="40" t="str">
        <f>IF(Bids!$B450="","",Bids!$B450)</f>
        <v/>
      </c>
      <c r="D450" s="40" t="str">
        <f>IF($C450="","",IFERROR(VLOOKUP($C450,Orders!$A:$J,9,FALSE),""))</f>
        <v/>
      </c>
      <c r="E450" s="40" t="str">
        <f>IF($C450="","",IFERROR(VLOOKUP($C450,Orders!$A:$J,3,FALSE),""))</f>
        <v/>
      </c>
      <c r="F450" s="40" t="str">
        <f>IF($C450="","",IFERROR(VLOOKUP($C450,Orders!$A:$J,4,FALSE),""))</f>
        <v/>
      </c>
      <c r="G450" s="40" t="str">
        <f>IF($C450="","",IFERROR(VLOOKUP($C450,Orders!$A:$J,5,FALSE),""))</f>
        <v/>
      </c>
      <c r="H450" s="40" t="str">
        <f>IF($C450="","",IFERROR(VLOOKUP($C450,Orders!$A:$J,6,FALSE),""))</f>
        <v/>
      </c>
      <c r="I450" s="40" t="str">
        <f>IF($C450="","",IFERROR(VLOOKUP($C450,Orders!$A:$J,7,FALSE),""))</f>
        <v/>
      </c>
      <c r="J450" s="40" t="str">
        <f>IF(Bids!$C450="","",Bids!$C450)</f>
        <v/>
      </c>
      <c r="K450" s="40" t="str">
        <f>IF($J450="","",IFERROR(VLOOKUP($J450,Grinders!$A:$N,2,FALSE),""))</f>
        <v/>
      </c>
      <c r="L450" s="40" t="str">
        <f>IF($J450="","",IFERROR(VLOOKUP($J450,Grinders!$A:$N,3,FALSE),""))</f>
        <v/>
      </c>
      <c r="M450" s="40" t="str">
        <f>IF($J450="","",IFERROR(VLOOKUP($J450,Grinders!$A:$N,4,FALSE),""))</f>
        <v/>
      </c>
      <c r="N450" s="40" t="str">
        <f>IF($J450="","",IFERROR(VLOOKUP($J450,Grinders!$A:$N,5,FALSE),""))</f>
        <v/>
      </c>
      <c r="O450" s="40" t="str">
        <f t="shared" si="2"/>
        <v/>
      </c>
      <c r="P450" s="40" t="str">
        <f>IF($J450="","",IFERROR(VLOOKUP($J450,Grinders!$A:$N,6,FALSE),""))</f>
        <v/>
      </c>
      <c r="Q450" s="40" t="str">
        <f>IF($J450="","",IFERROR(VLOOKUP($J450,Grinders!$A:$N,8,FALSE),""))</f>
        <v/>
      </c>
      <c r="R450" s="40" t="str">
        <f>IFERROR(IF($J450="","",IF($L450="Elite",MAX(50,MIN(100,Config!$B$27*MAX(0,MIN(100,(1-IF($O450="",0,$O450))*100)) + Config!$B$28*MAX(0,MIN(100,(1-MIN(1,IF(Config!$B$30=0,1,$P450/Config!$B$30)))*100)) + Config!$B$29*MAX(0,MIN(100,MIN(1,IF($Q450="",0,$Q450)/Config!$B$23)*100)))),MIN(100,Config!$B$27*MAX(0,MIN(100,(1-IF($O450="",0,$O450))*100)) + Config!$B$28*MAX(0,MIN(100,(1-MIN(1,IF(Config!$B$30=0,1,$P450/Config!$B$30)))*100)) + Config!$B$29*MAX(0,MIN(100,MIN(1,IF($Q450="",0,$Q450)/Config!$B$23)*100))))),"")
</f>
        <v/>
      </c>
      <c r="S450" s="40" t="str">
        <f>IF(Bids!$AC450="","",Bids!$AC450)</f>
        <v/>
      </c>
      <c r="T450" s="40" t="str">
        <f>IF(Bids!$F450="","",Bids!$F450)</f>
        <v/>
      </c>
      <c r="U450" s="40" t="str">
        <f t="shared" si="3"/>
        <v/>
      </c>
      <c r="V450" s="40" t="str">
        <f>IF($U450="","",IF(Config!$B$17=Config!$B$16,IF($U450&gt;=Config!$B$17,100,0),MAX(0,MIN(100,($U450-Config!$B$16)/(Config!$B$17-Config!$B$16)*100))))</f>
        <v/>
      </c>
      <c r="W450" s="40">
        <f>IF($L450="Elite",Config!$B$21,0)</f>
        <v>0</v>
      </c>
      <c r="X450" s="40" t="str">
        <f>IFERROR(IF(OR($T450="",$G450=""),"",IF($T450&gt;$G450,
  MAX(0, 60-(($T450-$G450)*24/Config!$B$19)*60),
  MEDIAN(60, 100, 60+(($G450-$T450)*24/Config!$B$20)*40)
)),"")
</f>
        <v/>
      </c>
      <c r="Y450" s="40" t="str">
        <f>IF($J450="","",IFERROR(VLOOKUP($J450,Grinders!$A:$N,10,FALSE),""))</f>
        <v/>
      </c>
      <c r="Z450" s="40" t="str">
        <f>IF($J450="","",IFERROR(VLOOKUP($J450,Grinders!$A:$N,11,FALSE),""))</f>
        <v/>
      </c>
      <c r="AA450" s="40" t="str">
        <f>IF($J450="","",IFERROR(VLOOKUP($J450,Grinders!$A:$N,12,FALSE),""))</f>
        <v/>
      </c>
      <c r="AB450" s="40" t="str">
        <f>IF(OR(AL450=1,AM450=1),0,=IFERROR(IF(OR($C450="",$J450=""),0,IF($D450&lt;&gt;"Open",0,IF(COUNTIFS(GrinderServices!$A:$A,$J450,GrinderServices!$B:$B,$E450,GrinderServices!$D:$D,"Y")=0,0,IF($U450&lt;Config!$B$16,0,IF(Config!$B$18=1,IF($N450&gt;=$M450,0,1),1))))),""))</f>
        <v>#ERROR!</v>
      </c>
      <c r="AC450" s="40" t="str">
        <f>IFERROR((IF(OR(AL450=1,AM450=1),"",=IFERROR((IFERROR(IF($AB450=0,"",((Config!$B$6*$V450 + Config!$B$7*$R450 + Config!$B$8*$W450 + Config!$B$9*$X450 + Config!$B$10*$Y450 + Config!$B$11*$Z450 - Config!$B$12*$AA450)/Config!$B$13)+$AH450+$AI450),""))*(1-IFERROR(VLOOKUP(J450,Grinders!$A:$AB, 28, FALSE),0)),"")))*(1+AO450),"")</f>
        <v>#ERROR!</v>
      </c>
      <c r="AD450" s="40" t="str">
        <f t="shared" si="4"/>
        <v/>
      </c>
      <c r="AE450" s="40" t="str">
        <f>IFERROR(__xludf.DUMMYFUNCTION("IF($AC450="""","""",IF($AC450=IFERROR(MAX(FILTER($AC$6:$AC$1000,$C$6:$C$1000=$C450,$AB$6:$AB$1000=1)),),""WINNER"",""""))"),"#ERROR!")</f>
        <v>#ERROR!</v>
      </c>
      <c r="AF450" s="40" t="str">
        <f t="shared" si="5"/>
        <v/>
      </c>
      <c r="AG450" s="40" t="str">
        <f>IF($J450="","",COUNTIF(Assignments!$B:$B,$J450))</f>
        <v/>
      </c>
      <c r="AH450" s="40" t="str">
        <f>IF($J450="","",IF(AND($AG450=0,$N450&lt;$M450),Config!$B$43,0))</f>
        <v/>
      </c>
      <c r="AI450" s="40" t="str">
        <f>IF($J450="","",IF(AND($L450="Elite",$F450&gt;=Config!$B$41,$N450&lt;$M450),Config!$B$42,0))</f>
        <v/>
      </c>
      <c r="AJ450" s="22"/>
      <c r="AK450" s="39">
        <f>IFERROR(VLOOKUP(J450,Grinders!$A:$Q,28,FALSE),0)</f>
        <v>0</v>
      </c>
      <c r="AL450" s="39">
        <f>IF(Config!$B$1003&lt;&gt;"Y",0,IF(IFERROR(VLOOKUP(J450,Grinders!$A:$P,27,FALSE),0)&gt;=3,IF(OR(F450&gt;=Config!$B$1001,ISNUMBER(SEARCH(E450,Config!$B$1002))),1,0),0))</f>
        <v>0</v>
      </c>
      <c r="AM450" s="39">
        <f t="array" ref="AM450">IFERROR(IF(INDEX(Bids!$AE:$AE,MATCH(B450,Bids!$A:$A,0))="Pending",1,0),0)</f>
        <v>0</v>
      </c>
      <c r="AN450" s="39" t="str">
        <f t="array" ref="AN450">IF(C450="","",IFERROR(XLOOKUP(C450,Assignments!$C:$C,Assignments!$AU:$AU,0),0))</f>
        <v/>
      </c>
      <c r="AO450" s="39">
        <f>IF(AND(Config!$B$1006="Y",AN450=1),Config!$B$1007,0)</f>
        <v>0</v>
      </c>
    </row>
    <row r="451" ht="15.75" customHeight="1">
      <c r="A451" s="46" t="str">
        <f t="shared" si="1"/>
        <v/>
      </c>
      <c r="B451" s="40" t="str">
        <f>IF(Bids!$A451="","",Bids!$A451)</f>
        <v/>
      </c>
      <c r="C451" s="40" t="str">
        <f>IF(Bids!$B451="","",Bids!$B451)</f>
        <v/>
      </c>
      <c r="D451" s="40" t="str">
        <f>IF($C451="","",IFERROR(VLOOKUP($C451,Orders!$A:$J,9,FALSE),""))</f>
        <v/>
      </c>
      <c r="E451" s="40" t="str">
        <f>IF($C451="","",IFERROR(VLOOKUP($C451,Orders!$A:$J,3,FALSE),""))</f>
        <v/>
      </c>
      <c r="F451" s="40" t="str">
        <f>IF($C451="","",IFERROR(VLOOKUP($C451,Orders!$A:$J,4,FALSE),""))</f>
        <v/>
      </c>
      <c r="G451" s="40" t="str">
        <f>IF($C451="","",IFERROR(VLOOKUP($C451,Orders!$A:$J,5,FALSE),""))</f>
        <v/>
      </c>
      <c r="H451" s="40" t="str">
        <f>IF($C451="","",IFERROR(VLOOKUP($C451,Orders!$A:$J,6,FALSE),""))</f>
        <v/>
      </c>
      <c r="I451" s="40" t="str">
        <f>IF($C451="","",IFERROR(VLOOKUP($C451,Orders!$A:$J,7,FALSE),""))</f>
        <v/>
      </c>
      <c r="J451" s="40" t="str">
        <f>IF(Bids!$C451="","",Bids!$C451)</f>
        <v/>
      </c>
      <c r="K451" s="40" t="str">
        <f>IF($J451="","",IFERROR(VLOOKUP($J451,Grinders!$A:$N,2,FALSE),""))</f>
        <v/>
      </c>
      <c r="L451" s="40" t="str">
        <f>IF($J451="","",IFERROR(VLOOKUP($J451,Grinders!$A:$N,3,FALSE),""))</f>
        <v/>
      </c>
      <c r="M451" s="40" t="str">
        <f>IF($J451="","",IFERROR(VLOOKUP($J451,Grinders!$A:$N,4,FALSE),""))</f>
        <v/>
      </c>
      <c r="N451" s="40" t="str">
        <f>IF($J451="","",IFERROR(VLOOKUP($J451,Grinders!$A:$N,5,FALSE),""))</f>
        <v/>
      </c>
      <c r="O451" s="40" t="str">
        <f t="shared" si="2"/>
        <v/>
      </c>
      <c r="P451" s="40" t="str">
        <f>IF($J451="","",IFERROR(VLOOKUP($J451,Grinders!$A:$N,6,FALSE),""))</f>
        <v/>
      </c>
      <c r="Q451" s="40" t="str">
        <f>IF($J451="","",IFERROR(VLOOKUP($J451,Grinders!$A:$N,8,FALSE),""))</f>
        <v/>
      </c>
      <c r="R451" s="40" t="str">
        <f>IFERROR(IF($J451="","",IF($L451="Elite",MAX(50,MIN(100,Config!$B$27*MAX(0,MIN(100,(1-IF($O451="",0,$O451))*100)) + Config!$B$28*MAX(0,MIN(100,(1-MIN(1,IF(Config!$B$30=0,1,$P451/Config!$B$30)))*100)) + Config!$B$29*MAX(0,MIN(100,MIN(1,IF($Q451="",0,$Q451)/Config!$B$23)*100)))),MIN(100,Config!$B$27*MAX(0,MIN(100,(1-IF($O451="",0,$O451))*100)) + Config!$B$28*MAX(0,MIN(100,(1-MIN(1,IF(Config!$B$30=0,1,$P451/Config!$B$30)))*100)) + Config!$B$29*MAX(0,MIN(100,MIN(1,IF($Q451="",0,$Q451)/Config!$B$23)*100))))),"")
</f>
        <v/>
      </c>
      <c r="S451" s="40" t="str">
        <f>IF(Bids!$AC451="","",Bids!$AC451)</f>
        <v/>
      </c>
      <c r="T451" s="40" t="str">
        <f>IF(Bids!$F451="","",Bids!$F451)</f>
        <v/>
      </c>
      <c r="U451" s="40" t="str">
        <f t="shared" si="3"/>
        <v/>
      </c>
      <c r="V451" s="40" t="str">
        <f>IF($U451="","",IF(Config!$B$17=Config!$B$16,IF($U451&gt;=Config!$B$17,100,0),MAX(0,MIN(100,($U451-Config!$B$16)/(Config!$B$17-Config!$B$16)*100))))</f>
        <v/>
      </c>
      <c r="W451" s="40">
        <f>IF($L451="Elite",Config!$B$21,0)</f>
        <v>0</v>
      </c>
      <c r="X451" s="40" t="str">
        <f>IFERROR(IF(OR($T451="",$G451=""),"",IF($T451&gt;$G451,
  MAX(0, 60-(($T451-$G451)*24/Config!$B$19)*60),
  MEDIAN(60, 100, 60+(($G451-$T451)*24/Config!$B$20)*40)
)),"")
</f>
        <v/>
      </c>
      <c r="Y451" s="40" t="str">
        <f>IF($J451="","",IFERROR(VLOOKUP($J451,Grinders!$A:$N,10,FALSE),""))</f>
        <v/>
      </c>
      <c r="Z451" s="40" t="str">
        <f>IF($J451="","",IFERROR(VLOOKUP($J451,Grinders!$A:$N,11,FALSE),""))</f>
        <v/>
      </c>
      <c r="AA451" s="40" t="str">
        <f>IF($J451="","",IFERROR(VLOOKUP($J451,Grinders!$A:$N,12,FALSE),""))</f>
        <v/>
      </c>
      <c r="AB451" s="40" t="str">
        <f>IF(OR(AL451=1,AM451=1),0,=IFERROR(IF(OR($C451="",$J451=""),0,IF($D451&lt;&gt;"Open",0,IF(COUNTIFS(GrinderServices!$A:$A,$J451,GrinderServices!$B:$B,$E451,GrinderServices!$D:$D,"Y")=0,0,IF($U451&lt;Config!$B$16,0,IF(Config!$B$18=1,IF($N451&gt;=$M451,0,1),1))))),""))</f>
        <v>#ERROR!</v>
      </c>
      <c r="AC451" s="40" t="str">
        <f>IFERROR((IF(OR(AL451=1,AM451=1),"",=IFERROR((IFERROR(IF($AB451=0,"",((Config!$B$6*$V451 + Config!$B$7*$R451 + Config!$B$8*$W451 + Config!$B$9*$X451 + Config!$B$10*$Y451 + Config!$B$11*$Z451 - Config!$B$12*$AA451)/Config!$B$13)+$AH451+$AI451),""))*(1-IFERROR(VLOOKUP(J451,Grinders!$A:$AB, 28, FALSE),0)),"")))*(1+AO451),"")</f>
        <v>#ERROR!</v>
      </c>
      <c r="AD451" s="40" t="str">
        <f t="shared" si="4"/>
        <v/>
      </c>
      <c r="AE451" s="40" t="str">
        <f>IFERROR(__xludf.DUMMYFUNCTION("IF($AC451="""","""",IF($AC451=IFERROR(MAX(FILTER($AC$6:$AC$1000,$C$6:$C$1000=$C451,$AB$6:$AB$1000=1)),),""WINNER"",""""))"),"#ERROR!")</f>
        <v>#ERROR!</v>
      </c>
      <c r="AF451" s="40" t="str">
        <f t="shared" si="5"/>
        <v/>
      </c>
      <c r="AG451" s="40" t="str">
        <f>IF($J451="","",COUNTIF(Assignments!$B:$B,$J451))</f>
        <v/>
      </c>
      <c r="AH451" s="40" t="str">
        <f>IF($J451="","",IF(AND($AG451=0,$N451&lt;$M451),Config!$B$43,0))</f>
        <v/>
      </c>
      <c r="AI451" s="40" t="str">
        <f>IF($J451="","",IF(AND($L451="Elite",$F451&gt;=Config!$B$41,$N451&lt;$M451),Config!$B$42,0))</f>
        <v/>
      </c>
      <c r="AJ451" s="22"/>
      <c r="AK451" s="39">
        <f>IFERROR(VLOOKUP(J451,Grinders!$A:$Q,28,FALSE),0)</f>
        <v>0</v>
      </c>
      <c r="AL451" s="39">
        <f>IF(Config!$B$1003&lt;&gt;"Y",0,IF(IFERROR(VLOOKUP(J451,Grinders!$A:$P,27,FALSE),0)&gt;=3,IF(OR(F451&gt;=Config!$B$1001,ISNUMBER(SEARCH(E451,Config!$B$1002))),1,0),0))</f>
        <v>0</v>
      </c>
      <c r="AM451" s="39">
        <f t="array" ref="AM451">IFERROR(IF(INDEX(Bids!$AE:$AE,MATCH(B451,Bids!$A:$A,0))="Pending",1,0),0)</f>
        <v>0</v>
      </c>
      <c r="AN451" s="39" t="str">
        <f t="array" ref="AN451">IF(C451="","",IFERROR(XLOOKUP(C451,Assignments!$C:$C,Assignments!$AU:$AU,0),0))</f>
        <v/>
      </c>
      <c r="AO451" s="39">
        <f>IF(AND(Config!$B$1006="Y",AN451=1),Config!$B$1007,0)</f>
        <v>0</v>
      </c>
    </row>
    <row r="452" ht="15.75" customHeight="1">
      <c r="A452" s="46" t="str">
        <f t="shared" si="1"/>
        <v/>
      </c>
      <c r="B452" s="40" t="str">
        <f>IF(Bids!$A452="","",Bids!$A452)</f>
        <v/>
      </c>
      <c r="C452" s="40" t="str">
        <f>IF(Bids!$B452="","",Bids!$B452)</f>
        <v/>
      </c>
      <c r="D452" s="40" t="str">
        <f>IF($C452="","",IFERROR(VLOOKUP($C452,Orders!$A:$J,9,FALSE),""))</f>
        <v/>
      </c>
      <c r="E452" s="40" t="str">
        <f>IF($C452="","",IFERROR(VLOOKUP($C452,Orders!$A:$J,3,FALSE),""))</f>
        <v/>
      </c>
      <c r="F452" s="40" t="str">
        <f>IF($C452="","",IFERROR(VLOOKUP($C452,Orders!$A:$J,4,FALSE),""))</f>
        <v/>
      </c>
      <c r="G452" s="40" t="str">
        <f>IF($C452="","",IFERROR(VLOOKUP($C452,Orders!$A:$J,5,FALSE),""))</f>
        <v/>
      </c>
      <c r="H452" s="40" t="str">
        <f>IF($C452="","",IFERROR(VLOOKUP($C452,Orders!$A:$J,6,FALSE),""))</f>
        <v/>
      </c>
      <c r="I452" s="40" t="str">
        <f>IF($C452="","",IFERROR(VLOOKUP($C452,Orders!$A:$J,7,FALSE),""))</f>
        <v/>
      </c>
      <c r="J452" s="40" t="str">
        <f>IF(Bids!$C452="","",Bids!$C452)</f>
        <v/>
      </c>
      <c r="K452" s="40" t="str">
        <f>IF($J452="","",IFERROR(VLOOKUP($J452,Grinders!$A:$N,2,FALSE),""))</f>
        <v/>
      </c>
      <c r="L452" s="40" t="str">
        <f>IF($J452="","",IFERROR(VLOOKUP($J452,Grinders!$A:$N,3,FALSE),""))</f>
        <v/>
      </c>
      <c r="M452" s="40" t="str">
        <f>IF($J452="","",IFERROR(VLOOKUP($J452,Grinders!$A:$N,4,FALSE),""))</f>
        <v/>
      </c>
      <c r="N452" s="40" t="str">
        <f>IF($J452="","",IFERROR(VLOOKUP($J452,Grinders!$A:$N,5,FALSE),""))</f>
        <v/>
      </c>
      <c r="O452" s="40" t="str">
        <f t="shared" si="2"/>
        <v/>
      </c>
      <c r="P452" s="40" t="str">
        <f>IF($J452="","",IFERROR(VLOOKUP($J452,Grinders!$A:$N,6,FALSE),""))</f>
        <v/>
      </c>
      <c r="Q452" s="40" t="str">
        <f>IF($J452="","",IFERROR(VLOOKUP($J452,Grinders!$A:$N,8,FALSE),""))</f>
        <v/>
      </c>
      <c r="R452" s="40" t="str">
        <f>IFERROR(IF($J452="","",IF($L452="Elite",MAX(50,MIN(100,Config!$B$27*MAX(0,MIN(100,(1-IF($O452="",0,$O452))*100)) + Config!$B$28*MAX(0,MIN(100,(1-MIN(1,IF(Config!$B$30=0,1,$P452/Config!$B$30)))*100)) + Config!$B$29*MAX(0,MIN(100,MIN(1,IF($Q452="",0,$Q452)/Config!$B$23)*100)))),MIN(100,Config!$B$27*MAX(0,MIN(100,(1-IF($O452="",0,$O452))*100)) + Config!$B$28*MAX(0,MIN(100,(1-MIN(1,IF(Config!$B$30=0,1,$P452/Config!$B$30)))*100)) + Config!$B$29*MAX(0,MIN(100,MIN(1,IF($Q452="",0,$Q452)/Config!$B$23)*100))))),"")
</f>
        <v/>
      </c>
      <c r="S452" s="40" t="str">
        <f>IF(Bids!$AC452="","",Bids!$AC452)</f>
        <v/>
      </c>
      <c r="T452" s="40" t="str">
        <f>IF(Bids!$F452="","",Bids!$F452)</f>
        <v/>
      </c>
      <c r="U452" s="40" t="str">
        <f t="shared" si="3"/>
        <v/>
      </c>
      <c r="V452" s="40" t="str">
        <f>IF($U452="","",IF(Config!$B$17=Config!$B$16,IF($U452&gt;=Config!$B$17,100,0),MAX(0,MIN(100,($U452-Config!$B$16)/(Config!$B$17-Config!$B$16)*100))))</f>
        <v/>
      </c>
      <c r="W452" s="40">
        <f>IF($L452="Elite",Config!$B$21,0)</f>
        <v>0</v>
      </c>
      <c r="X452" s="40" t="str">
        <f>IFERROR(IF(OR($T452="",$G452=""),"",IF($T452&gt;$G452,
  MAX(0, 60-(($T452-$G452)*24/Config!$B$19)*60),
  MEDIAN(60, 100, 60+(($G452-$T452)*24/Config!$B$20)*40)
)),"")
</f>
        <v/>
      </c>
      <c r="Y452" s="40" t="str">
        <f>IF($J452="","",IFERROR(VLOOKUP($J452,Grinders!$A:$N,10,FALSE),""))</f>
        <v/>
      </c>
      <c r="Z452" s="40" t="str">
        <f>IF($J452="","",IFERROR(VLOOKUP($J452,Grinders!$A:$N,11,FALSE),""))</f>
        <v/>
      </c>
      <c r="AA452" s="40" t="str">
        <f>IF($J452="","",IFERROR(VLOOKUP($J452,Grinders!$A:$N,12,FALSE),""))</f>
        <v/>
      </c>
      <c r="AB452" s="40" t="str">
        <f>IF(OR(AL452=1,AM452=1),0,=IFERROR(IF(OR($C452="",$J452=""),0,IF($D452&lt;&gt;"Open",0,IF(COUNTIFS(GrinderServices!$A:$A,$J452,GrinderServices!$B:$B,$E452,GrinderServices!$D:$D,"Y")=0,0,IF($U452&lt;Config!$B$16,0,IF(Config!$B$18=1,IF($N452&gt;=$M452,0,1),1))))),""))</f>
        <v>#ERROR!</v>
      </c>
      <c r="AC452" s="40" t="str">
        <f>IFERROR((IF(OR(AL452=1,AM452=1),"",=IFERROR((IFERROR(IF($AB452=0,"",((Config!$B$6*$V452 + Config!$B$7*$R452 + Config!$B$8*$W452 + Config!$B$9*$X452 + Config!$B$10*$Y452 + Config!$B$11*$Z452 - Config!$B$12*$AA452)/Config!$B$13)+$AH452+$AI452),""))*(1-IFERROR(VLOOKUP(J452,Grinders!$A:$AB, 28, FALSE),0)),"")))*(1+AO452),"")</f>
        <v>#ERROR!</v>
      </c>
      <c r="AD452" s="40" t="str">
        <f t="shared" si="4"/>
        <v/>
      </c>
      <c r="AE452" s="40" t="str">
        <f>IFERROR(__xludf.DUMMYFUNCTION("IF($AC452="""","""",IF($AC452=IFERROR(MAX(FILTER($AC$6:$AC$1000,$C$6:$C$1000=$C452,$AB$6:$AB$1000=1)),),""WINNER"",""""))"),"#ERROR!")</f>
        <v>#ERROR!</v>
      </c>
      <c r="AF452" s="40" t="str">
        <f t="shared" si="5"/>
        <v/>
      </c>
      <c r="AG452" s="40" t="str">
        <f>IF($J452="","",COUNTIF(Assignments!$B:$B,$J452))</f>
        <v/>
      </c>
      <c r="AH452" s="40" t="str">
        <f>IF($J452="","",IF(AND($AG452=0,$N452&lt;$M452),Config!$B$43,0))</f>
        <v/>
      </c>
      <c r="AI452" s="40" t="str">
        <f>IF($J452="","",IF(AND($L452="Elite",$F452&gt;=Config!$B$41,$N452&lt;$M452),Config!$B$42,0))</f>
        <v/>
      </c>
      <c r="AJ452" s="22"/>
      <c r="AK452" s="39">
        <f>IFERROR(VLOOKUP(J452,Grinders!$A:$Q,28,FALSE),0)</f>
        <v>0</v>
      </c>
      <c r="AL452" s="39">
        <f>IF(Config!$B$1003&lt;&gt;"Y",0,IF(IFERROR(VLOOKUP(J452,Grinders!$A:$P,27,FALSE),0)&gt;=3,IF(OR(F452&gt;=Config!$B$1001,ISNUMBER(SEARCH(E452,Config!$B$1002))),1,0),0))</f>
        <v>0</v>
      </c>
      <c r="AM452" s="39">
        <f t="array" ref="AM452">IFERROR(IF(INDEX(Bids!$AE:$AE,MATCH(B452,Bids!$A:$A,0))="Pending",1,0),0)</f>
        <v>0</v>
      </c>
      <c r="AN452" s="39" t="str">
        <f t="array" ref="AN452">IF(C452="","",IFERROR(XLOOKUP(C452,Assignments!$C:$C,Assignments!$AU:$AU,0),0))</f>
        <v/>
      </c>
      <c r="AO452" s="39">
        <f>IF(AND(Config!$B$1006="Y",AN452=1),Config!$B$1007,0)</f>
        <v>0</v>
      </c>
    </row>
    <row r="453" ht="15.75" customHeight="1">
      <c r="A453" s="46" t="str">
        <f t="shared" si="1"/>
        <v/>
      </c>
      <c r="B453" s="40" t="str">
        <f>IF(Bids!$A453="","",Bids!$A453)</f>
        <v/>
      </c>
      <c r="C453" s="40" t="str">
        <f>IF(Bids!$B453="","",Bids!$B453)</f>
        <v/>
      </c>
      <c r="D453" s="40" t="str">
        <f>IF($C453="","",IFERROR(VLOOKUP($C453,Orders!$A:$J,9,FALSE),""))</f>
        <v/>
      </c>
      <c r="E453" s="40" t="str">
        <f>IF($C453="","",IFERROR(VLOOKUP($C453,Orders!$A:$J,3,FALSE),""))</f>
        <v/>
      </c>
      <c r="F453" s="40" t="str">
        <f>IF($C453="","",IFERROR(VLOOKUP($C453,Orders!$A:$J,4,FALSE),""))</f>
        <v/>
      </c>
      <c r="G453" s="40" t="str">
        <f>IF($C453="","",IFERROR(VLOOKUP($C453,Orders!$A:$J,5,FALSE),""))</f>
        <v/>
      </c>
      <c r="H453" s="40" t="str">
        <f>IF($C453="","",IFERROR(VLOOKUP($C453,Orders!$A:$J,6,FALSE),""))</f>
        <v/>
      </c>
      <c r="I453" s="40" t="str">
        <f>IF($C453="","",IFERROR(VLOOKUP($C453,Orders!$A:$J,7,FALSE),""))</f>
        <v/>
      </c>
      <c r="J453" s="40" t="str">
        <f>IF(Bids!$C453="","",Bids!$C453)</f>
        <v/>
      </c>
      <c r="K453" s="40" t="str">
        <f>IF($J453="","",IFERROR(VLOOKUP($J453,Grinders!$A:$N,2,FALSE),""))</f>
        <v/>
      </c>
      <c r="L453" s="40" t="str">
        <f>IF($J453="","",IFERROR(VLOOKUP($J453,Grinders!$A:$N,3,FALSE),""))</f>
        <v/>
      </c>
      <c r="M453" s="40" t="str">
        <f>IF($J453="","",IFERROR(VLOOKUP($J453,Grinders!$A:$N,4,FALSE),""))</f>
        <v/>
      </c>
      <c r="N453" s="40" t="str">
        <f>IF($J453="","",IFERROR(VLOOKUP($J453,Grinders!$A:$N,5,FALSE),""))</f>
        <v/>
      </c>
      <c r="O453" s="40" t="str">
        <f t="shared" si="2"/>
        <v/>
      </c>
      <c r="P453" s="40" t="str">
        <f>IF($J453="","",IFERROR(VLOOKUP($J453,Grinders!$A:$N,6,FALSE),""))</f>
        <v/>
      </c>
      <c r="Q453" s="40" t="str">
        <f>IF($J453="","",IFERROR(VLOOKUP($J453,Grinders!$A:$N,8,FALSE),""))</f>
        <v/>
      </c>
      <c r="R453" s="40" t="str">
        <f>IFERROR(IF($J453="","",IF($L453="Elite",MAX(50,MIN(100,Config!$B$27*MAX(0,MIN(100,(1-IF($O453="",0,$O453))*100)) + Config!$B$28*MAX(0,MIN(100,(1-MIN(1,IF(Config!$B$30=0,1,$P453/Config!$B$30)))*100)) + Config!$B$29*MAX(0,MIN(100,MIN(1,IF($Q453="",0,$Q453)/Config!$B$23)*100)))),MIN(100,Config!$B$27*MAX(0,MIN(100,(1-IF($O453="",0,$O453))*100)) + Config!$B$28*MAX(0,MIN(100,(1-MIN(1,IF(Config!$B$30=0,1,$P453/Config!$B$30)))*100)) + Config!$B$29*MAX(0,MIN(100,MIN(1,IF($Q453="",0,$Q453)/Config!$B$23)*100))))),"")
</f>
        <v/>
      </c>
      <c r="S453" s="40" t="str">
        <f>IF(Bids!$AC453="","",Bids!$AC453)</f>
        <v/>
      </c>
      <c r="T453" s="40" t="str">
        <f>IF(Bids!$F453="","",Bids!$F453)</f>
        <v/>
      </c>
      <c r="U453" s="40" t="str">
        <f t="shared" si="3"/>
        <v/>
      </c>
      <c r="V453" s="40" t="str">
        <f>IF($U453="","",IF(Config!$B$17=Config!$B$16,IF($U453&gt;=Config!$B$17,100,0),MAX(0,MIN(100,($U453-Config!$B$16)/(Config!$B$17-Config!$B$16)*100))))</f>
        <v/>
      </c>
      <c r="W453" s="40">
        <f>IF($L453="Elite",Config!$B$21,0)</f>
        <v>0</v>
      </c>
      <c r="X453" s="40" t="str">
        <f>IFERROR(IF(OR($T453="",$G453=""),"",IF($T453&gt;$G453,
  MAX(0, 60-(($T453-$G453)*24/Config!$B$19)*60),
  MEDIAN(60, 100, 60+(($G453-$T453)*24/Config!$B$20)*40)
)),"")
</f>
        <v/>
      </c>
      <c r="Y453" s="40" t="str">
        <f>IF($J453="","",IFERROR(VLOOKUP($J453,Grinders!$A:$N,10,FALSE),""))</f>
        <v/>
      </c>
      <c r="Z453" s="40" t="str">
        <f>IF($J453="","",IFERROR(VLOOKUP($J453,Grinders!$A:$N,11,FALSE),""))</f>
        <v/>
      </c>
      <c r="AA453" s="40" t="str">
        <f>IF($J453="","",IFERROR(VLOOKUP($J453,Grinders!$A:$N,12,FALSE),""))</f>
        <v/>
      </c>
      <c r="AB453" s="40" t="str">
        <f>IF(OR(AL453=1,AM453=1),0,=IFERROR(IF(OR($C453="",$J453=""),0,IF($D453&lt;&gt;"Open",0,IF(COUNTIFS(GrinderServices!$A:$A,$J453,GrinderServices!$B:$B,$E453,GrinderServices!$D:$D,"Y")=0,0,IF($U453&lt;Config!$B$16,0,IF(Config!$B$18=1,IF($N453&gt;=$M453,0,1),1))))),""))</f>
        <v>#ERROR!</v>
      </c>
      <c r="AC453" s="40" t="str">
        <f>IFERROR((IF(OR(AL453=1,AM453=1),"",=IFERROR((IFERROR(IF($AB453=0,"",((Config!$B$6*$V453 + Config!$B$7*$R453 + Config!$B$8*$W453 + Config!$B$9*$X453 + Config!$B$10*$Y453 + Config!$B$11*$Z453 - Config!$B$12*$AA453)/Config!$B$13)+$AH453+$AI453),""))*(1-IFERROR(VLOOKUP(J453,Grinders!$A:$AB, 28, FALSE),0)),"")))*(1+AO453),"")</f>
        <v>#ERROR!</v>
      </c>
      <c r="AD453" s="40" t="str">
        <f t="shared" si="4"/>
        <v/>
      </c>
      <c r="AE453" s="40" t="str">
        <f>IFERROR(__xludf.DUMMYFUNCTION("IF($AC453="""","""",IF($AC453=IFERROR(MAX(FILTER($AC$6:$AC$1000,$C$6:$C$1000=$C453,$AB$6:$AB$1000=1)),),""WINNER"",""""))"),"#ERROR!")</f>
        <v>#ERROR!</v>
      </c>
      <c r="AF453" s="40" t="str">
        <f t="shared" si="5"/>
        <v/>
      </c>
      <c r="AG453" s="40" t="str">
        <f>IF($J453="","",COUNTIF(Assignments!$B:$B,$J453))</f>
        <v/>
      </c>
      <c r="AH453" s="40" t="str">
        <f>IF($J453="","",IF(AND($AG453=0,$N453&lt;$M453),Config!$B$43,0))</f>
        <v/>
      </c>
      <c r="AI453" s="40" t="str">
        <f>IF($J453="","",IF(AND($L453="Elite",$F453&gt;=Config!$B$41,$N453&lt;$M453),Config!$B$42,0))</f>
        <v/>
      </c>
      <c r="AJ453" s="22"/>
      <c r="AK453" s="39">
        <f>IFERROR(VLOOKUP(J453,Grinders!$A:$Q,28,FALSE),0)</f>
        <v>0</v>
      </c>
      <c r="AL453" s="39">
        <f>IF(Config!$B$1003&lt;&gt;"Y",0,IF(IFERROR(VLOOKUP(J453,Grinders!$A:$P,27,FALSE),0)&gt;=3,IF(OR(F453&gt;=Config!$B$1001,ISNUMBER(SEARCH(E453,Config!$B$1002))),1,0),0))</f>
        <v>0</v>
      </c>
      <c r="AM453" s="39">
        <f t="array" ref="AM453">IFERROR(IF(INDEX(Bids!$AE:$AE,MATCH(B453,Bids!$A:$A,0))="Pending",1,0),0)</f>
        <v>0</v>
      </c>
      <c r="AN453" s="39" t="str">
        <f t="array" ref="AN453">IF(C453="","",IFERROR(XLOOKUP(C453,Assignments!$C:$C,Assignments!$AU:$AU,0),0))</f>
        <v/>
      </c>
      <c r="AO453" s="39">
        <f>IF(AND(Config!$B$1006="Y",AN453=1),Config!$B$1007,0)</f>
        <v>0</v>
      </c>
    </row>
    <row r="454" ht="15.75" customHeight="1">
      <c r="A454" s="46" t="str">
        <f t="shared" si="1"/>
        <v/>
      </c>
      <c r="B454" s="40" t="str">
        <f>IF(Bids!$A454="","",Bids!$A454)</f>
        <v/>
      </c>
      <c r="C454" s="40" t="str">
        <f>IF(Bids!$B454="","",Bids!$B454)</f>
        <v/>
      </c>
      <c r="D454" s="40" t="str">
        <f>IF($C454="","",IFERROR(VLOOKUP($C454,Orders!$A:$J,9,FALSE),""))</f>
        <v/>
      </c>
      <c r="E454" s="40" t="str">
        <f>IF($C454="","",IFERROR(VLOOKUP($C454,Orders!$A:$J,3,FALSE),""))</f>
        <v/>
      </c>
      <c r="F454" s="40" t="str">
        <f>IF($C454="","",IFERROR(VLOOKUP($C454,Orders!$A:$J,4,FALSE),""))</f>
        <v/>
      </c>
      <c r="G454" s="40" t="str">
        <f>IF($C454="","",IFERROR(VLOOKUP($C454,Orders!$A:$J,5,FALSE),""))</f>
        <v/>
      </c>
      <c r="H454" s="40" t="str">
        <f>IF($C454="","",IFERROR(VLOOKUP($C454,Orders!$A:$J,6,FALSE),""))</f>
        <v/>
      </c>
      <c r="I454" s="40" t="str">
        <f>IF($C454="","",IFERROR(VLOOKUP($C454,Orders!$A:$J,7,FALSE),""))</f>
        <v/>
      </c>
      <c r="J454" s="40" t="str">
        <f>IF(Bids!$C454="","",Bids!$C454)</f>
        <v/>
      </c>
      <c r="K454" s="40" t="str">
        <f>IF($J454="","",IFERROR(VLOOKUP($J454,Grinders!$A:$N,2,FALSE),""))</f>
        <v/>
      </c>
      <c r="L454" s="40" t="str">
        <f>IF($J454="","",IFERROR(VLOOKUP($J454,Grinders!$A:$N,3,FALSE),""))</f>
        <v/>
      </c>
      <c r="M454" s="40" t="str">
        <f>IF($J454="","",IFERROR(VLOOKUP($J454,Grinders!$A:$N,4,FALSE),""))</f>
        <v/>
      </c>
      <c r="N454" s="40" t="str">
        <f>IF($J454="","",IFERROR(VLOOKUP($J454,Grinders!$A:$N,5,FALSE),""))</f>
        <v/>
      </c>
      <c r="O454" s="40" t="str">
        <f t="shared" si="2"/>
        <v/>
      </c>
      <c r="P454" s="40" t="str">
        <f>IF($J454="","",IFERROR(VLOOKUP($J454,Grinders!$A:$N,6,FALSE),""))</f>
        <v/>
      </c>
      <c r="Q454" s="40" t="str">
        <f>IF($J454="","",IFERROR(VLOOKUP($J454,Grinders!$A:$N,8,FALSE),""))</f>
        <v/>
      </c>
      <c r="R454" s="40" t="str">
        <f>IFERROR(IF($J454="","",IF($L454="Elite",MAX(50,MIN(100,Config!$B$27*MAX(0,MIN(100,(1-IF($O454="",0,$O454))*100)) + Config!$B$28*MAX(0,MIN(100,(1-MIN(1,IF(Config!$B$30=0,1,$P454/Config!$B$30)))*100)) + Config!$B$29*MAX(0,MIN(100,MIN(1,IF($Q454="",0,$Q454)/Config!$B$23)*100)))),MIN(100,Config!$B$27*MAX(0,MIN(100,(1-IF($O454="",0,$O454))*100)) + Config!$B$28*MAX(0,MIN(100,(1-MIN(1,IF(Config!$B$30=0,1,$P454/Config!$B$30)))*100)) + Config!$B$29*MAX(0,MIN(100,MIN(1,IF($Q454="",0,$Q454)/Config!$B$23)*100))))),"")
</f>
        <v/>
      </c>
      <c r="S454" s="40" t="str">
        <f>IF(Bids!$AC454="","",Bids!$AC454)</f>
        <v/>
      </c>
      <c r="T454" s="40" t="str">
        <f>IF(Bids!$F454="","",Bids!$F454)</f>
        <v/>
      </c>
      <c r="U454" s="40" t="str">
        <f t="shared" si="3"/>
        <v/>
      </c>
      <c r="V454" s="40" t="str">
        <f>IF($U454="","",IF(Config!$B$17=Config!$B$16,IF($U454&gt;=Config!$B$17,100,0),MAX(0,MIN(100,($U454-Config!$B$16)/(Config!$B$17-Config!$B$16)*100))))</f>
        <v/>
      </c>
      <c r="W454" s="40">
        <f>IF($L454="Elite",Config!$B$21,0)</f>
        <v>0</v>
      </c>
      <c r="X454" s="40" t="str">
        <f>IFERROR(IF(OR($T454="",$G454=""),"",IF($T454&gt;$G454,
  MAX(0, 60-(($T454-$G454)*24/Config!$B$19)*60),
  MEDIAN(60, 100, 60+(($G454-$T454)*24/Config!$B$20)*40)
)),"")
</f>
        <v/>
      </c>
      <c r="Y454" s="40" t="str">
        <f>IF($J454="","",IFERROR(VLOOKUP($J454,Grinders!$A:$N,10,FALSE),""))</f>
        <v/>
      </c>
      <c r="Z454" s="40" t="str">
        <f>IF($J454="","",IFERROR(VLOOKUP($J454,Grinders!$A:$N,11,FALSE),""))</f>
        <v/>
      </c>
      <c r="AA454" s="40" t="str">
        <f>IF($J454="","",IFERROR(VLOOKUP($J454,Grinders!$A:$N,12,FALSE),""))</f>
        <v/>
      </c>
      <c r="AB454" s="40" t="str">
        <f>IF(OR(AL454=1,AM454=1),0,=IFERROR(IF(OR($C454="",$J454=""),0,IF($D454&lt;&gt;"Open",0,IF(COUNTIFS(GrinderServices!$A:$A,$J454,GrinderServices!$B:$B,$E454,GrinderServices!$D:$D,"Y")=0,0,IF($U454&lt;Config!$B$16,0,IF(Config!$B$18=1,IF($N454&gt;=$M454,0,1),1))))),""))</f>
        <v>#ERROR!</v>
      </c>
      <c r="AC454" s="40" t="str">
        <f>IFERROR((IF(OR(AL454=1,AM454=1),"",=IFERROR((IFERROR(IF($AB454=0,"",((Config!$B$6*$V454 + Config!$B$7*$R454 + Config!$B$8*$W454 + Config!$B$9*$X454 + Config!$B$10*$Y454 + Config!$B$11*$Z454 - Config!$B$12*$AA454)/Config!$B$13)+$AH454+$AI454),""))*(1-IFERROR(VLOOKUP(J454,Grinders!$A:$AB, 28, FALSE),0)),"")))*(1+AO454),"")</f>
        <v>#ERROR!</v>
      </c>
      <c r="AD454" s="40" t="str">
        <f t="shared" si="4"/>
        <v/>
      </c>
      <c r="AE454" s="40" t="str">
        <f>IFERROR(__xludf.DUMMYFUNCTION("IF($AC454="""","""",IF($AC454=IFERROR(MAX(FILTER($AC$6:$AC$1000,$C$6:$C$1000=$C454,$AB$6:$AB$1000=1)),),""WINNER"",""""))"),"#ERROR!")</f>
        <v>#ERROR!</v>
      </c>
      <c r="AF454" s="40" t="str">
        <f t="shared" si="5"/>
        <v/>
      </c>
      <c r="AG454" s="40" t="str">
        <f>IF($J454="","",COUNTIF(Assignments!$B:$B,$J454))</f>
        <v/>
      </c>
      <c r="AH454" s="40" t="str">
        <f>IF($J454="","",IF(AND($AG454=0,$N454&lt;$M454),Config!$B$43,0))</f>
        <v/>
      </c>
      <c r="AI454" s="40" t="str">
        <f>IF($J454="","",IF(AND($L454="Elite",$F454&gt;=Config!$B$41,$N454&lt;$M454),Config!$B$42,0))</f>
        <v/>
      </c>
      <c r="AJ454" s="22"/>
      <c r="AK454" s="39">
        <f>IFERROR(VLOOKUP(J454,Grinders!$A:$Q,28,FALSE),0)</f>
        <v>0</v>
      </c>
      <c r="AL454" s="39">
        <f>IF(Config!$B$1003&lt;&gt;"Y",0,IF(IFERROR(VLOOKUP(J454,Grinders!$A:$P,27,FALSE),0)&gt;=3,IF(OR(F454&gt;=Config!$B$1001,ISNUMBER(SEARCH(E454,Config!$B$1002))),1,0),0))</f>
        <v>0</v>
      </c>
      <c r="AM454" s="39">
        <f t="array" ref="AM454">IFERROR(IF(INDEX(Bids!$AE:$AE,MATCH(B454,Bids!$A:$A,0))="Pending",1,0),0)</f>
        <v>0</v>
      </c>
      <c r="AN454" s="39" t="str">
        <f t="array" ref="AN454">IF(C454="","",IFERROR(XLOOKUP(C454,Assignments!$C:$C,Assignments!$AU:$AU,0),0))</f>
        <v/>
      </c>
      <c r="AO454" s="39">
        <f>IF(AND(Config!$B$1006="Y",AN454=1),Config!$B$1007,0)</f>
        <v>0</v>
      </c>
    </row>
    <row r="455" ht="15.75" customHeight="1">
      <c r="A455" s="46" t="str">
        <f t="shared" si="1"/>
        <v/>
      </c>
      <c r="B455" s="40" t="str">
        <f>IF(Bids!$A455="","",Bids!$A455)</f>
        <v/>
      </c>
      <c r="C455" s="40" t="str">
        <f>IF(Bids!$B455="","",Bids!$B455)</f>
        <v/>
      </c>
      <c r="D455" s="40" t="str">
        <f>IF($C455="","",IFERROR(VLOOKUP($C455,Orders!$A:$J,9,FALSE),""))</f>
        <v/>
      </c>
      <c r="E455" s="40" t="str">
        <f>IF($C455="","",IFERROR(VLOOKUP($C455,Orders!$A:$J,3,FALSE),""))</f>
        <v/>
      </c>
      <c r="F455" s="40" t="str">
        <f>IF($C455="","",IFERROR(VLOOKUP($C455,Orders!$A:$J,4,FALSE),""))</f>
        <v/>
      </c>
      <c r="G455" s="40" t="str">
        <f>IF($C455="","",IFERROR(VLOOKUP($C455,Orders!$A:$J,5,FALSE),""))</f>
        <v/>
      </c>
      <c r="H455" s="40" t="str">
        <f>IF($C455="","",IFERROR(VLOOKUP($C455,Orders!$A:$J,6,FALSE),""))</f>
        <v/>
      </c>
      <c r="I455" s="40" t="str">
        <f>IF($C455="","",IFERROR(VLOOKUP($C455,Orders!$A:$J,7,FALSE),""))</f>
        <v/>
      </c>
      <c r="J455" s="40" t="str">
        <f>IF(Bids!$C455="","",Bids!$C455)</f>
        <v/>
      </c>
      <c r="K455" s="40" t="str">
        <f>IF($J455="","",IFERROR(VLOOKUP($J455,Grinders!$A:$N,2,FALSE),""))</f>
        <v/>
      </c>
      <c r="L455" s="40" t="str">
        <f>IF($J455="","",IFERROR(VLOOKUP($J455,Grinders!$A:$N,3,FALSE),""))</f>
        <v/>
      </c>
      <c r="M455" s="40" t="str">
        <f>IF($J455="","",IFERROR(VLOOKUP($J455,Grinders!$A:$N,4,FALSE),""))</f>
        <v/>
      </c>
      <c r="N455" s="40" t="str">
        <f>IF($J455="","",IFERROR(VLOOKUP($J455,Grinders!$A:$N,5,FALSE),""))</f>
        <v/>
      </c>
      <c r="O455" s="40" t="str">
        <f t="shared" si="2"/>
        <v/>
      </c>
      <c r="P455" s="40" t="str">
        <f>IF($J455="","",IFERROR(VLOOKUP($J455,Grinders!$A:$N,6,FALSE),""))</f>
        <v/>
      </c>
      <c r="Q455" s="40" t="str">
        <f>IF($J455="","",IFERROR(VLOOKUP($J455,Grinders!$A:$N,8,FALSE),""))</f>
        <v/>
      </c>
      <c r="R455" s="40" t="str">
        <f>IFERROR(IF($J455="","",IF($L455="Elite",MAX(50,MIN(100,Config!$B$27*MAX(0,MIN(100,(1-IF($O455="",0,$O455))*100)) + Config!$B$28*MAX(0,MIN(100,(1-MIN(1,IF(Config!$B$30=0,1,$P455/Config!$B$30)))*100)) + Config!$B$29*MAX(0,MIN(100,MIN(1,IF($Q455="",0,$Q455)/Config!$B$23)*100)))),MIN(100,Config!$B$27*MAX(0,MIN(100,(1-IF($O455="",0,$O455))*100)) + Config!$B$28*MAX(0,MIN(100,(1-MIN(1,IF(Config!$B$30=0,1,$P455/Config!$B$30)))*100)) + Config!$B$29*MAX(0,MIN(100,MIN(1,IF($Q455="",0,$Q455)/Config!$B$23)*100))))),"")
</f>
        <v/>
      </c>
      <c r="S455" s="40" t="str">
        <f>IF(Bids!$AC455="","",Bids!$AC455)</f>
        <v/>
      </c>
      <c r="T455" s="40" t="str">
        <f>IF(Bids!$F455="","",Bids!$F455)</f>
        <v/>
      </c>
      <c r="U455" s="40" t="str">
        <f t="shared" si="3"/>
        <v/>
      </c>
      <c r="V455" s="40" t="str">
        <f>IF($U455="","",IF(Config!$B$17=Config!$B$16,IF($U455&gt;=Config!$B$17,100,0),MAX(0,MIN(100,($U455-Config!$B$16)/(Config!$B$17-Config!$B$16)*100))))</f>
        <v/>
      </c>
      <c r="W455" s="40">
        <f>IF($L455="Elite",Config!$B$21,0)</f>
        <v>0</v>
      </c>
      <c r="X455" s="40" t="str">
        <f>IFERROR(IF(OR($T455="",$G455=""),"",IF($T455&gt;$G455,
  MAX(0, 60-(($T455-$G455)*24/Config!$B$19)*60),
  MEDIAN(60, 100, 60+(($G455-$T455)*24/Config!$B$20)*40)
)),"")
</f>
        <v/>
      </c>
      <c r="Y455" s="40" t="str">
        <f>IF($J455="","",IFERROR(VLOOKUP($J455,Grinders!$A:$N,10,FALSE),""))</f>
        <v/>
      </c>
      <c r="Z455" s="40" t="str">
        <f>IF($J455="","",IFERROR(VLOOKUP($J455,Grinders!$A:$N,11,FALSE),""))</f>
        <v/>
      </c>
      <c r="AA455" s="40" t="str">
        <f>IF($J455="","",IFERROR(VLOOKUP($J455,Grinders!$A:$N,12,FALSE),""))</f>
        <v/>
      </c>
      <c r="AB455" s="40" t="str">
        <f>IF(OR(AL455=1,AM455=1),0,=IFERROR(IF(OR($C455="",$J455=""),0,IF($D455&lt;&gt;"Open",0,IF(COUNTIFS(GrinderServices!$A:$A,$J455,GrinderServices!$B:$B,$E455,GrinderServices!$D:$D,"Y")=0,0,IF($U455&lt;Config!$B$16,0,IF(Config!$B$18=1,IF($N455&gt;=$M455,0,1),1))))),""))</f>
        <v>#ERROR!</v>
      </c>
      <c r="AC455" s="40" t="str">
        <f>IFERROR((IF(OR(AL455=1,AM455=1),"",=IFERROR((IFERROR(IF($AB455=0,"",((Config!$B$6*$V455 + Config!$B$7*$R455 + Config!$B$8*$W455 + Config!$B$9*$X455 + Config!$B$10*$Y455 + Config!$B$11*$Z455 - Config!$B$12*$AA455)/Config!$B$13)+$AH455+$AI455),""))*(1-IFERROR(VLOOKUP(J455,Grinders!$A:$AB, 28, FALSE),0)),"")))*(1+AO455),"")</f>
        <v>#ERROR!</v>
      </c>
      <c r="AD455" s="40" t="str">
        <f t="shared" si="4"/>
        <v/>
      </c>
      <c r="AE455" s="40" t="str">
        <f>IFERROR(__xludf.DUMMYFUNCTION("IF($AC455="""","""",IF($AC455=IFERROR(MAX(FILTER($AC$6:$AC$1000,$C$6:$C$1000=$C455,$AB$6:$AB$1000=1)),),""WINNER"",""""))"),"#ERROR!")</f>
        <v>#ERROR!</v>
      </c>
      <c r="AF455" s="40" t="str">
        <f t="shared" si="5"/>
        <v/>
      </c>
      <c r="AG455" s="40" t="str">
        <f>IF($J455="","",COUNTIF(Assignments!$B:$B,$J455))</f>
        <v/>
      </c>
      <c r="AH455" s="40" t="str">
        <f>IF($J455="","",IF(AND($AG455=0,$N455&lt;$M455),Config!$B$43,0))</f>
        <v/>
      </c>
      <c r="AI455" s="40" t="str">
        <f>IF($J455="","",IF(AND($L455="Elite",$F455&gt;=Config!$B$41,$N455&lt;$M455),Config!$B$42,0))</f>
        <v/>
      </c>
      <c r="AJ455" s="22"/>
      <c r="AK455" s="39">
        <f>IFERROR(VLOOKUP(J455,Grinders!$A:$Q,28,FALSE),0)</f>
        <v>0</v>
      </c>
      <c r="AL455" s="39">
        <f>IF(Config!$B$1003&lt;&gt;"Y",0,IF(IFERROR(VLOOKUP(J455,Grinders!$A:$P,27,FALSE),0)&gt;=3,IF(OR(F455&gt;=Config!$B$1001,ISNUMBER(SEARCH(E455,Config!$B$1002))),1,0),0))</f>
        <v>0</v>
      </c>
      <c r="AM455" s="39">
        <f t="array" ref="AM455">IFERROR(IF(INDEX(Bids!$AE:$AE,MATCH(B455,Bids!$A:$A,0))="Pending",1,0),0)</f>
        <v>0</v>
      </c>
      <c r="AN455" s="39" t="str">
        <f t="array" ref="AN455">IF(C455="","",IFERROR(XLOOKUP(C455,Assignments!$C:$C,Assignments!$AU:$AU,0),0))</f>
        <v/>
      </c>
      <c r="AO455" s="39">
        <f>IF(AND(Config!$B$1006="Y",AN455=1),Config!$B$1007,0)</f>
        <v>0</v>
      </c>
    </row>
    <row r="456" ht="15.75" customHeight="1">
      <c r="A456" s="46" t="str">
        <f t="shared" si="1"/>
        <v/>
      </c>
      <c r="B456" s="40" t="str">
        <f>IF(Bids!$A456="","",Bids!$A456)</f>
        <v/>
      </c>
      <c r="C456" s="40" t="str">
        <f>IF(Bids!$B456="","",Bids!$B456)</f>
        <v/>
      </c>
      <c r="D456" s="40" t="str">
        <f>IF($C456="","",IFERROR(VLOOKUP($C456,Orders!$A:$J,9,FALSE),""))</f>
        <v/>
      </c>
      <c r="E456" s="40" t="str">
        <f>IF($C456="","",IFERROR(VLOOKUP($C456,Orders!$A:$J,3,FALSE),""))</f>
        <v/>
      </c>
      <c r="F456" s="40" t="str">
        <f>IF($C456="","",IFERROR(VLOOKUP($C456,Orders!$A:$J,4,FALSE),""))</f>
        <v/>
      </c>
      <c r="G456" s="40" t="str">
        <f>IF($C456="","",IFERROR(VLOOKUP($C456,Orders!$A:$J,5,FALSE),""))</f>
        <v/>
      </c>
      <c r="H456" s="40" t="str">
        <f>IF($C456="","",IFERROR(VLOOKUP($C456,Orders!$A:$J,6,FALSE),""))</f>
        <v/>
      </c>
      <c r="I456" s="40" t="str">
        <f>IF($C456="","",IFERROR(VLOOKUP($C456,Orders!$A:$J,7,FALSE),""))</f>
        <v/>
      </c>
      <c r="J456" s="40" t="str">
        <f>IF(Bids!$C456="","",Bids!$C456)</f>
        <v/>
      </c>
      <c r="K456" s="40" t="str">
        <f>IF($J456="","",IFERROR(VLOOKUP($J456,Grinders!$A:$N,2,FALSE),""))</f>
        <v/>
      </c>
      <c r="L456" s="40" t="str">
        <f>IF($J456="","",IFERROR(VLOOKUP($J456,Grinders!$A:$N,3,FALSE),""))</f>
        <v/>
      </c>
      <c r="M456" s="40" t="str">
        <f>IF($J456="","",IFERROR(VLOOKUP($J456,Grinders!$A:$N,4,FALSE),""))</f>
        <v/>
      </c>
      <c r="N456" s="40" t="str">
        <f>IF($J456="","",IFERROR(VLOOKUP($J456,Grinders!$A:$N,5,FALSE),""))</f>
        <v/>
      </c>
      <c r="O456" s="40" t="str">
        <f t="shared" si="2"/>
        <v/>
      </c>
      <c r="P456" s="40" t="str">
        <f>IF($J456="","",IFERROR(VLOOKUP($J456,Grinders!$A:$N,6,FALSE),""))</f>
        <v/>
      </c>
      <c r="Q456" s="40" t="str">
        <f>IF($J456="","",IFERROR(VLOOKUP($J456,Grinders!$A:$N,8,FALSE),""))</f>
        <v/>
      </c>
      <c r="R456" s="40" t="str">
        <f>IFERROR(IF($J456="","",IF($L456="Elite",MAX(50,MIN(100,Config!$B$27*MAX(0,MIN(100,(1-IF($O456="",0,$O456))*100)) + Config!$B$28*MAX(0,MIN(100,(1-MIN(1,IF(Config!$B$30=0,1,$P456/Config!$B$30)))*100)) + Config!$B$29*MAX(0,MIN(100,MIN(1,IF($Q456="",0,$Q456)/Config!$B$23)*100)))),MIN(100,Config!$B$27*MAX(0,MIN(100,(1-IF($O456="",0,$O456))*100)) + Config!$B$28*MAX(0,MIN(100,(1-MIN(1,IF(Config!$B$30=0,1,$P456/Config!$B$30)))*100)) + Config!$B$29*MAX(0,MIN(100,MIN(1,IF($Q456="",0,$Q456)/Config!$B$23)*100))))),"")
</f>
        <v/>
      </c>
      <c r="S456" s="40" t="str">
        <f>IF(Bids!$AC456="","",Bids!$AC456)</f>
        <v/>
      </c>
      <c r="T456" s="40" t="str">
        <f>IF(Bids!$F456="","",Bids!$F456)</f>
        <v/>
      </c>
      <c r="U456" s="40" t="str">
        <f t="shared" si="3"/>
        <v/>
      </c>
      <c r="V456" s="40" t="str">
        <f>IF($U456="","",IF(Config!$B$17=Config!$B$16,IF($U456&gt;=Config!$B$17,100,0),MAX(0,MIN(100,($U456-Config!$B$16)/(Config!$B$17-Config!$B$16)*100))))</f>
        <v/>
      </c>
      <c r="W456" s="40">
        <f>IF($L456="Elite",Config!$B$21,0)</f>
        <v>0</v>
      </c>
      <c r="X456" s="40" t="str">
        <f>IFERROR(IF(OR($T456="",$G456=""),"",IF($T456&gt;$G456,
  MAX(0, 60-(($T456-$G456)*24/Config!$B$19)*60),
  MEDIAN(60, 100, 60+(($G456-$T456)*24/Config!$B$20)*40)
)),"")
</f>
        <v/>
      </c>
      <c r="Y456" s="40" t="str">
        <f>IF($J456="","",IFERROR(VLOOKUP($J456,Grinders!$A:$N,10,FALSE),""))</f>
        <v/>
      </c>
      <c r="Z456" s="40" t="str">
        <f>IF($J456="","",IFERROR(VLOOKUP($J456,Grinders!$A:$N,11,FALSE),""))</f>
        <v/>
      </c>
      <c r="AA456" s="40" t="str">
        <f>IF($J456="","",IFERROR(VLOOKUP($J456,Grinders!$A:$N,12,FALSE),""))</f>
        <v/>
      </c>
      <c r="AB456" s="40" t="str">
        <f>IF(OR(AL456=1,AM456=1),0,=IFERROR(IF(OR($C456="",$J456=""),0,IF($D456&lt;&gt;"Open",0,IF(COUNTIFS(GrinderServices!$A:$A,$J456,GrinderServices!$B:$B,$E456,GrinderServices!$D:$D,"Y")=0,0,IF($U456&lt;Config!$B$16,0,IF(Config!$B$18=1,IF($N456&gt;=$M456,0,1),1))))),""))</f>
        <v>#ERROR!</v>
      </c>
      <c r="AC456" s="40" t="str">
        <f>IFERROR((IF(OR(AL456=1,AM456=1),"",=IFERROR((IFERROR(IF($AB456=0,"",((Config!$B$6*$V456 + Config!$B$7*$R456 + Config!$B$8*$W456 + Config!$B$9*$X456 + Config!$B$10*$Y456 + Config!$B$11*$Z456 - Config!$B$12*$AA456)/Config!$B$13)+$AH456+$AI456),""))*(1-IFERROR(VLOOKUP(J456,Grinders!$A:$AB, 28, FALSE),0)),"")))*(1+AO456),"")</f>
        <v>#ERROR!</v>
      </c>
      <c r="AD456" s="40" t="str">
        <f t="shared" si="4"/>
        <v/>
      </c>
      <c r="AE456" s="40" t="str">
        <f>IFERROR(__xludf.DUMMYFUNCTION("IF($AC456="""","""",IF($AC456=IFERROR(MAX(FILTER($AC$6:$AC$1000,$C$6:$C$1000=$C456,$AB$6:$AB$1000=1)),),""WINNER"",""""))"),"#ERROR!")</f>
        <v>#ERROR!</v>
      </c>
      <c r="AF456" s="40" t="str">
        <f t="shared" si="5"/>
        <v/>
      </c>
      <c r="AG456" s="40" t="str">
        <f>IF($J456="","",COUNTIF(Assignments!$B:$B,$J456))</f>
        <v/>
      </c>
      <c r="AH456" s="40" t="str">
        <f>IF($J456="","",IF(AND($AG456=0,$N456&lt;$M456),Config!$B$43,0))</f>
        <v/>
      </c>
      <c r="AI456" s="40" t="str">
        <f>IF($J456="","",IF(AND($L456="Elite",$F456&gt;=Config!$B$41,$N456&lt;$M456),Config!$B$42,0))</f>
        <v/>
      </c>
      <c r="AJ456" s="22"/>
      <c r="AK456" s="39">
        <f>IFERROR(VLOOKUP(J456,Grinders!$A:$Q,28,FALSE),0)</f>
        <v>0</v>
      </c>
      <c r="AL456" s="39">
        <f>IF(Config!$B$1003&lt;&gt;"Y",0,IF(IFERROR(VLOOKUP(J456,Grinders!$A:$P,27,FALSE),0)&gt;=3,IF(OR(F456&gt;=Config!$B$1001,ISNUMBER(SEARCH(E456,Config!$B$1002))),1,0),0))</f>
        <v>0</v>
      </c>
      <c r="AM456" s="39">
        <f t="array" ref="AM456">IFERROR(IF(INDEX(Bids!$AE:$AE,MATCH(B456,Bids!$A:$A,0))="Pending",1,0),0)</f>
        <v>0</v>
      </c>
      <c r="AN456" s="39" t="str">
        <f t="array" ref="AN456">IF(C456="","",IFERROR(XLOOKUP(C456,Assignments!$C:$C,Assignments!$AU:$AU,0),0))</f>
        <v/>
      </c>
      <c r="AO456" s="39">
        <f>IF(AND(Config!$B$1006="Y",AN456=1),Config!$B$1007,0)</f>
        <v>0</v>
      </c>
    </row>
    <row r="457" ht="15.75" customHeight="1">
      <c r="A457" s="46" t="str">
        <f t="shared" si="1"/>
        <v/>
      </c>
      <c r="B457" s="40" t="str">
        <f>IF(Bids!$A457="","",Bids!$A457)</f>
        <v/>
      </c>
      <c r="C457" s="40" t="str">
        <f>IF(Bids!$B457="","",Bids!$B457)</f>
        <v/>
      </c>
      <c r="D457" s="40" t="str">
        <f>IF($C457="","",IFERROR(VLOOKUP($C457,Orders!$A:$J,9,FALSE),""))</f>
        <v/>
      </c>
      <c r="E457" s="40" t="str">
        <f>IF($C457="","",IFERROR(VLOOKUP($C457,Orders!$A:$J,3,FALSE),""))</f>
        <v/>
      </c>
      <c r="F457" s="40" t="str">
        <f>IF($C457="","",IFERROR(VLOOKUP($C457,Orders!$A:$J,4,FALSE),""))</f>
        <v/>
      </c>
      <c r="G457" s="40" t="str">
        <f>IF($C457="","",IFERROR(VLOOKUP($C457,Orders!$A:$J,5,FALSE),""))</f>
        <v/>
      </c>
      <c r="H457" s="40" t="str">
        <f>IF($C457="","",IFERROR(VLOOKUP($C457,Orders!$A:$J,6,FALSE),""))</f>
        <v/>
      </c>
      <c r="I457" s="40" t="str">
        <f>IF($C457="","",IFERROR(VLOOKUP($C457,Orders!$A:$J,7,FALSE),""))</f>
        <v/>
      </c>
      <c r="J457" s="40" t="str">
        <f>IF(Bids!$C457="","",Bids!$C457)</f>
        <v/>
      </c>
      <c r="K457" s="40" t="str">
        <f>IF($J457="","",IFERROR(VLOOKUP($J457,Grinders!$A:$N,2,FALSE),""))</f>
        <v/>
      </c>
      <c r="L457" s="40" t="str">
        <f>IF($J457="","",IFERROR(VLOOKUP($J457,Grinders!$A:$N,3,FALSE),""))</f>
        <v/>
      </c>
      <c r="M457" s="40" t="str">
        <f>IF($J457="","",IFERROR(VLOOKUP($J457,Grinders!$A:$N,4,FALSE),""))</f>
        <v/>
      </c>
      <c r="N457" s="40" t="str">
        <f>IF($J457="","",IFERROR(VLOOKUP($J457,Grinders!$A:$N,5,FALSE),""))</f>
        <v/>
      </c>
      <c r="O457" s="40" t="str">
        <f t="shared" si="2"/>
        <v/>
      </c>
      <c r="P457" s="40" t="str">
        <f>IF($J457="","",IFERROR(VLOOKUP($J457,Grinders!$A:$N,6,FALSE),""))</f>
        <v/>
      </c>
      <c r="Q457" s="40" t="str">
        <f>IF($J457="","",IFERROR(VLOOKUP($J457,Grinders!$A:$N,8,FALSE),""))</f>
        <v/>
      </c>
      <c r="R457" s="40" t="str">
        <f>IFERROR(IF($J457="","",IF($L457="Elite",MAX(50,MIN(100,Config!$B$27*MAX(0,MIN(100,(1-IF($O457="",0,$O457))*100)) + Config!$B$28*MAX(0,MIN(100,(1-MIN(1,IF(Config!$B$30=0,1,$P457/Config!$B$30)))*100)) + Config!$B$29*MAX(0,MIN(100,MIN(1,IF($Q457="",0,$Q457)/Config!$B$23)*100)))),MIN(100,Config!$B$27*MAX(0,MIN(100,(1-IF($O457="",0,$O457))*100)) + Config!$B$28*MAX(0,MIN(100,(1-MIN(1,IF(Config!$B$30=0,1,$P457/Config!$B$30)))*100)) + Config!$B$29*MAX(0,MIN(100,MIN(1,IF($Q457="",0,$Q457)/Config!$B$23)*100))))),"")
</f>
        <v/>
      </c>
      <c r="S457" s="40" t="str">
        <f>IF(Bids!$AC457="","",Bids!$AC457)</f>
        <v/>
      </c>
      <c r="T457" s="40" t="str">
        <f>IF(Bids!$F457="","",Bids!$F457)</f>
        <v/>
      </c>
      <c r="U457" s="40" t="str">
        <f t="shared" si="3"/>
        <v/>
      </c>
      <c r="V457" s="40" t="str">
        <f>IF($U457="","",IF(Config!$B$17=Config!$B$16,IF($U457&gt;=Config!$B$17,100,0),MAX(0,MIN(100,($U457-Config!$B$16)/(Config!$B$17-Config!$B$16)*100))))</f>
        <v/>
      </c>
      <c r="W457" s="40">
        <f>IF($L457="Elite",Config!$B$21,0)</f>
        <v>0</v>
      </c>
      <c r="X457" s="40" t="str">
        <f>IFERROR(IF(OR($T457="",$G457=""),"",IF($T457&gt;$G457,
  MAX(0, 60-(($T457-$G457)*24/Config!$B$19)*60),
  MEDIAN(60, 100, 60+(($G457-$T457)*24/Config!$B$20)*40)
)),"")
</f>
        <v/>
      </c>
      <c r="Y457" s="40" t="str">
        <f>IF($J457="","",IFERROR(VLOOKUP($J457,Grinders!$A:$N,10,FALSE),""))</f>
        <v/>
      </c>
      <c r="Z457" s="40" t="str">
        <f>IF($J457="","",IFERROR(VLOOKUP($J457,Grinders!$A:$N,11,FALSE),""))</f>
        <v/>
      </c>
      <c r="AA457" s="40" t="str">
        <f>IF($J457="","",IFERROR(VLOOKUP($J457,Grinders!$A:$N,12,FALSE),""))</f>
        <v/>
      </c>
      <c r="AB457" s="40" t="str">
        <f>IF(OR(AL457=1,AM457=1),0,=IFERROR(IF(OR($C457="",$J457=""),0,IF($D457&lt;&gt;"Open",0,IF(COUNTIFS(GrinderServices!$A:$A,$J457,GrinderServices!$B:$B,$E457,GrinderServices!$D:$D,"Y")=0,0,IF($U457&lt;Config!$B$16,0,IF(Config!$B$18=1,IF($N457&gt;=$M457,0,1),1))))),""))</f>
        <v>#ERROR!</v>
      </c>
      <c r="AC457" s="40" t="str">
        <f>IFERROR((IF(OR(AL457=1,AM457=1),"",=IFERROR((IFERROR(IF($AB457=0,"",((Config!$B$6*$V457 + Config!$B$7*$R457 + Config!$B$8*$W457 + Config!$B$9*$X457 + Config!$B$10*$Y457 + Config!$B$11*$Z457 - Config!$B$12*$AA457)/Config!$B$13)+$AH457+$AI457),""))*(1-IFERROR(VLOOKUP(J457,Grinders!$A:$AB, 28, FALSE),0)),"")))*(1+AO457),"")</f>
        <v>#ERROR!</v>
      </c>
      <c r="AD457" s="40" t="str">
        <f t="shared" si="4"/>
        <v/>
      </c>
      <c r="AE457" s="40" t="str">
        <f>IFERROR(__xludf.DUMMYFUNCTION("IF($AC457="""","""",IF($AC457=IFERROR(MAX(FILTER($AC$6:$AC$1000,$C$6:$C$1000=$C457,$AB$6:$AB$1000=1)),),""WINNER"",""""))"),"#ERROR!")</f>
        <v>#ERROR!</v>
      </c>
      <c r="AF457" s="40" t="str">
        <f t="shared" si="5"/>
        <v/>
      </c>
      <c r="AG457" s="40" t="str">
        <f>IF($J457="","",COUNTIF(Assignments!$B:$B,$J457))</f>
        <v/>
      </c>
      <c r="AH457" s="40" t="str">
        <f>IF($J457="","",IF(AND($AG457=0,$N457&lt;$M457),Config!$B$43,0))</f>
        <v/>
      </c>
      <c r="AI457" s="40" t="str">
        <f>IF($J457="","",IF(AND($L457="Elite",$F457&gt;=Config!$B$41,$N457&lt;$M457),Config!$B$42,0))</f>
        <v/>
      </c>
      <c r="AJ457" s="22"/>
      <c r="AK457" s="39">
        <f>IFERROR(VLOOKUP(J457,Grinders!$A:$Q,28,FALSE),0)</f>
        <v>0</v>
      </c>
      <c r="AL457" s="39">
        <f>IF(Config!$B$1003&lt;&gt;"Y",0,IF(IFERROR(VLOOKUP(J457,Grinders!$A:$P,27,FALSE),0)&gt;=3,IF(OR(F457&gt;=Config!$B$1001,ISNUMBER(SEARCH(E457,Config!$B$1002))),1,0),0))</f>
        <v>0</v>
      </c>
      <c r="AM457" s="39">
        <f t="array" ref="AM457">IFERROR(IF(INDEX(Bids!$AE:$AE,MATCH(B457,Bids!$A:$A,0))="Pending",1,0),0)</f>
        <v>0</v>
      </c>
      <c r="AN457" s="39" t="str">
        <f t="array" ref="AN457">IF(C457="","",IFERROR(XLOOKUP(C457,Assignments!$C:$C,Assignments!$AU:$AU,0),0))</f>
        <v/>
      </c>
      <c r="AO457" s="39">
        <f>IF(AND(Config!$B$1006="Y",AN457=1),Config!$B$1007,0)</f>
        <v>0</v>
      </c>
    </row>
    <row r="458" ht="15.75" customHeight="1">
      <c r="A458" s="46" t="str">
        <f t="shared" si="1"/>
        <v/>
      </c>
      <c r="B458" s="40" t="str">
        <f>IF(Bids!$A458="","",Bids!$A458)</f>
        <v/>
      </c>
      <c r="C458" s="40" t="str">
        <f>IF(Bids!$B458="","",Bids!$B458)</f>
        <v/>
      </c>
      <c r="D458" s="40" t="str">
        <f>IF($C458="","",IFERROR(VLOOKUP($C458,Orders!$A:$J,9,FALSE),""))</f>
        <v/>
      </c>
      <c r="E458" s="40" t="str">
        <f>IF($C458="","",IFERROR(VLOOKUP($C458,Orders!$A:$J,3,FALSE),""))</f>
        <v/>
      </c>
      <c r="F458" s="40" t="str">
        <f>IF($C458="","",IFERROR(VLOOKUP($C458,Orders!$A:$J,4,FALSE),""))</f>
        <v/>
      </c>
      <c r="G458" s="40" t="str">
        <f>IF($C458="","",IFERROR(VLOOKUP($C458,Orders!$A:$J,5,FALSE),""))</f>
        <v/>
      </c>
      <c r="H458" s="40" t="str">
        <f>IF($C458="","",IFERROR(VLOOKUP($C458,Orders!$A:$J,6,FALSE),""))</f>
        <v/>
      </c>
      <c r="I458" s="40" t="str">
        <f>IF($C458="","",IFERROR(VLOOKUP($C458,Orders!$A:$J,7,FALSE),""))</f>
        <v/>
      </c>
      <c r="J458" s="40" t="str">
        <f>IF(Bids!$C458="","",Bids!$C458)</f>
        <v/>
      </c>
      <c r="K458" s="40" t="str">
        <f>IF($J458="","",IFERROR(VLOOKUP($J458,Grinders!$A:$N,2,FALSE),""))</f>
        <v/>
      </c>
      <c r="L458" s="40" t="str">
        <f>IF($J458="","",IFERROR(VLOOKUP($J458,Grinders!$A:$N,3,FALSE),""))</f>
        <v/>
      </c>
      <c r="M458" s="40" t="str">
        <f>IF($J458="","",IFERROR(VLOOKUP($J458,Grinders!$A:$N,4,FALSE),""))</f>
        <v/>
      </c>
      <c r="N458" s="40" t="str">
        <f>IF($J458="","",IFERROR(VLOOKUP($J458,Grinders!$A:$N,5,FALSE),""))</f>
        <v/>
      </c>
      <c r="O458" s="40" t="str">
        <f t="shared" si="2"/>
        <v/>
      </c>
      <c r="P458" s="40" t="str">
        <f>IF($J458="","",IFERROR(VLOOKUP($J458,Grinders!$A:$N,6,FALSE),""))</f>
        <v/>
      </c>
      <c r="Q458" s="40" t="str">
        <f>IF($J458="","",IFERROR(VLOOKUP($J458,Grinders!$A:$N,8,FALSE),""))</f>
        <v/>
      </c>
      <c r="R458" s="40" t="str">
        <f>IFERROR(IF($J458="","",IF($L458="Elite",MAX(50,MIN(100,Config!$B$27*MAX(0,MIN(100,(1-IF($O458="",0,$O458))*100)) + Config!$B$28*MAX(0,MIN(100,(1-MIN(1,IF(Config!$B$30=0,1,$P458/Config!$B$30)))*100)) + Config!$B$29*MAX(0,MIN(100,MIN(1,IF($Q458="",0,$Q458)/Config!$B$23)*100)))),MIN(100,Config!$B$27*MAX(0,MIN(100,(1-IF($O458="",0,$O458))*100)) + Config!$B$28*MAX(0,MIN(100,(1-MIN(1,IF(Config!$B$30=0,1,$P458/Config!$B$30)))*100)) + Config!$B$29*MAX(0,MIN(100,MIN(1,IF($Q458="",0,$Q458)/Config!$B$23)*100))))),"")
</f>
        <v/>
      </c>
      <c r="S458" s="40" t="str">
        <f>IF(Bids!$AC458="","",Bids!$AC458)</f>
        <v/>
      </c>
      <c r="T458" s="40" t="str">
        <f>IF(Bids!$F458="","",Bids!$F458)</f>
        <v/>
      </c>
      <c r="U458" s="40" t="str">
        <f t="shared" si="3"/>
        <v/>
      </c>
      <c r="V458" s="40" t="str">
        <f>IF($U458="","",IF(Config!$B$17=Config!$B$16,IF($U458&gt;=Config!$B$17,100,0),MAX(0,MIN(100,($U458-Config!$B$16)/(Config!$B$17-Config!$B$16)*100))))</f>
        <v/>
      </c>
      <c r="W458" s="40">
        <f>IF($L458="Elite",Config!$B$21,0)</f>
        <v>0</v>
      </c>
      <c r="X458" s="40" t="str">
        <f>IFERROR(IF(OR($T458="",$G458=""),"",IF($T458&gt;$G458,
  MAX(0, 60-(($T458-$G458)*24/Config!$B$19)*60),
  MEDIAN(60, 100, 60+(($G458-$T458)*24/Config!$B$20)*40)
)),"")
</f>
        <v/>
      </c>
      <c r="Y458" s="40" t="str">
        <f>IF($J458="","",IFERROR(VLOOKUP($J458,Grinders!$A:$N,10,FALSE),""))</f>
        <v/>
      </c>
      <c r="Z458" s="40" t="str">
        <f>IF($J458="","",IFERROR(VLOOKUP($J458,Grinders!$A:$N,11,FALSE),""))</f>
        <v/>
      </c>
      <c r="AA458" s="40" t="str">
        <f>IF($J458="","",IFERROR(VLOOKUP($J458,Grinders!$A:$N,12,FALSE),""))</f>
        <v/>
      </c>
      <c r="AB458" s="40" t="str">
        <f>IF(OR(AL458=1,AM458=1),0,=IFERROR(IF(OR($C458="",$J458=""),0,IF($D458&lt;&gt;"Open",0,IF(COUNTIFS(GrinderServices!$A:$A,$J458,GrinderServices!$B:$B,$E458,GrinderServices!$D:$D,"Y")=0,0,IF($U458&lt;Config!$B$16,0,IF(Config!$B$18=1,IF($N458&gt;=$M458,0,1),1))))),""))</f>
        <v>#ERROR!</v>
      </c>
      <c r="AC458" s="40" t="str">
        <f>IFERROR((IF(OR(AL458=1,AM458=1),"",=IFERROR((IFERROR(IF($AB458=0,"",((Config!$B$6*$V458 + Config!$B$7*$R458 + Config!$B$8*$W458 + Config!$B$9*$X458 + Config!$B$10*$Y458 + Config!$B$11*$Z458 - Config!$B$12*$AA458)/Config!$B$13)+$AH458+$AI458),""))*(1-IFERROR(VLOOKUP(J458,Grinders!$A:$AB, 28, FALSE),0)),"")))*(1+AO458),"")</f>
        <v>#ERROR!</v>
      </c>
      <c r="AD458" s="40" t="str">
        <f t="shared" si="4"/>
        <v/>
      </c>
      <c r="AE458" s="40" t="str">
        <f>IFERROR(__xludf.DUMMYFUNCTION("IF($AC458="""","""",IF($AC458=IFERROR(MAX(FILTER($AC$6:$AC$1000,$C$6:$C$1000=$C458,$AB$6:$AB$1000=1)),),""WINNER"",""""))"),"#ERROR!")</f>
        <v>#ERROR!</v>
      </c>
      <c r="AF458" s="40" t="str">
        <f t="shared" si="5"/>
        <v/>
      </c>
      <c r="AG458" s="40" t="str">
        <f>IF($J458="","",COUNTIF(Assignments!$B:$B,$J458))</f>
        <v/>
      </c>
      <c r="AH458" s="40" t="str">
        <f>IF($J458="","",IF(AND($AG458=0,$N458&lt;$M458),Config!$B$43,0))</f>
        <v/>
      </c>
      <c r="AI458" s="40" t="str">
        <f>IF($J458="","",IF(AND($L458="Elite",$F458&gt;=Config!$B$41,$N458&lt;$M458),Config!$B$42,0))</f>
        <v/>
      </c>
      <c r="AJ458" s="22"/>
      <c r="AK458" s="39">
        <f>IFERROR(VLOOKUP(J458,Grinders!$A:$Q,28,FALSE),0)</f>
        <v>0</v>
      </c>
      <c r="AL458" s="39">
        <f>IF(Config!$B$1003&lt;&gt;"Y",0,IF(IFERROR(VLOOKUP(J458,Grinders!$A:$P,27,FALSE),0)&gt;=3,IF(OR(F458&gt;=Config!$B$1001,ISNUMBER(SEARCH(E458,Config!$B$1002))),1,0),0))</f>
        <v>0</v>
      </c>
      <c r="AM458" s="39">
        <f t="array" ref="AM458">IFERROR(IF(INDEX(Bids!$AE:$AE,MATCH(B458,Bids!$A:$A,0))="Pending",1,0),0)</f>
        <v>0</v>
      </c>
      <c r="AN458" s="39" t="str">
        <f t="array" ref="AN458">IF(C458="","",IFERROR(XLOOKUP(C458,Assignments!$C:$C,Assignments!$AU:$AU,0),0))</f>
        <v/>
      </c>
      <c r="AO458" s="39">
        <f>IF(AND(Config!$B$1006="Y",AN458=1),Config!$B$1007,0)</f>
        <v>0</v>
      </c>
    </row>
    <row r="459" ht="15.75" customHeight="1">
      <c r="A459" s="46" t="str">
        <f t="shared" si="1"/>
        <v/>
      </c>
      <c r="B459" s="40" t="str">
        <f>IF(Bids!$A459="","",Bids!$A459)</f>
        <v/>
      </c>
      <c r="C459" s="40" t="str">
        <f>IF(Bids!$B459="","",Bids!$B459)</f>
        <v/>
      </c>
      <c r="D459" s="40" t="str">
        <f>IF($C459="","",IFERROR(VLOOKUP($C459,Orders!$A:$J,9,FALSE),""))</f>
        <v/>
      </c>
      <c r="E459" s="40" t="str">
        <f>IF($C459="","",IFERROR(VLOOKUP($C459,Orders!$A:$J,3,FALSE),""))</f>
        <v/>
      </c>
      <c r="F459" s="40" t="str">
        <f>IF($C459="","",IFERROR(VLOOKUP($C459,Orders!$A:$J,4,FALSE),""))</f>
        <v/>
      </c>
      <c r="G459" s="40" t="str">
        <f>IF($C459="","",IFERROR(VLOOKUP($C459,Orders!$A:$J,5,FALSE),""))</f>
        <v/>
      </c>
      <c r="H459" s="40" t="str">
        <f>IF($C459="","",IFERROR(VLOOKUP($C459,Orders!$A:$J,6,FALSE),""))</f>
        <v/>
      </c>
      <c r="I459" s="40" t="str">
        <f>IF($C459="","",IFERROR(VLOOKUP($C459,Orders!$A:$J,7,FALSE),""))</f>
        <v/>
      </c>
      <c r="J459" s="40" t="str">
        <f>IF(Bids!$C459="","",Bids!$C459)</f>
        <v/>
      </c>
      <c r="K459" s="40" t="str">
        <f>IF($J459="","",IFERROR(VLOOKUP($J459,Grinders!$A:$N,2,FALSE),""))</f>
        <v/>
      </c>
      <c r="L459" s="40" t="str">
        <f>IF($J459="","",IFERROR(VLOOKUP($J459,Grinders!$A:$N,3,FALSE),""))</f>
        <v/>
      </c>
      <c r="M459" s="40" t="str">
        <f>IF($J459="","",IFERROR(VLOOKUP($J459,Grinders!$A:$N,4,FALSE),""))</f>
        <v/>
      </c>
      <c r="N459" s="40" t="str">
        <f>IF($J459="","",IFERROR(VLOOKUP($J459,Grinders!$A:$N,5,FALSE),""))</f>
        <v/>
      </c>
      <c r="O459" s="40" t="str">
        <f t="shared" si="2"/>
        <v/>
      </c>
      <c r="P459" s="40" t="str">
        <f>IF($J459="","",IFERROR(VLOOKUP($J459,Grinders!$A:$N,6,FALSE),""))</f>
        <v/>
      </c>
      <c r="Q459" s="40" t="str">
        <f>IF($J459="","",IFERROR(VLOOKUP($J459,Grinders!$A:$N,8,FALSE),""))</f>
        <v/>
      </c>
      <c r="R459" s="40" t="str">
        <f>IFERROR(IF($J459="","",IF($L459="Elite",MAX(50,MIN(100,Config!$B$27*MAX(0,MIN(100,(1-IF($O459="",0,$O459))*100)) + Config!$B$28*MAX(0,MIN(100,(1-MIN(1,IF(Config!$B$30=0,1,$P459/Config!$B$30)))*100)) + Config!$B$29*MAX(0,MIN(100,MIN(1,IF($Q459="",0,$Q459)/Config!$B$23)*100)))),MIN(100,Config!$B$27*MAX(0,MIN(100,(1-IF($O459="",0,$O459))*100)) + Config!$B$28*MAX(0,MIN(100,(1-MIN(1,IF(Config!$B$30=0,1,$P459/Config!$B$30)))*100)) + Config!$B$29*MAX(0,MIN(100,MIN(1,IF($Q459="",0,$Q459)/Config!$B$23)*100))))),"")
</f>
        <v/>
      </c>
      <c r="S459" s="40" t="str">
        <f>IF(Bids!$AC459="","",Bids!$AC459)</f>
        <v/>
      </c>
      <c r="T459" s="40" t="str">
        <f>IF(Bids!$F459="","",Bids!$F459)</f>
        <v/>
      </c>
      <c r="U459" s="40" t="str">
        <f t="shared" si="3"/>
        <v/>
      </c>
      <c r="V459" s="40" t="str">
        <f>IF($U459="","",IF(Config!$B$17=Config!$B$16,IF($U459&gt;=Config!$B$17,100,0),MAX(0,MIN(100,($U459-Config!$B$16)/(Config!$B$17-Config!$B$16)*100))))</f>
        <v/>
      </c>
      <c r="W459" s="40">
        <f>IF($L459="Elite",Config!$B$21,0)</f>
        <v>0</v>
      </c>
      <c r="X459" s="40" t="str">
        <f>IFERROR(IF(OR($T459="",$G459=""),"",IF($T459&gt;$G459,
  MAX(0, 60-(($T459-$G459)*24/Config!$B$19)*60),
  MEDIAN(60, 100, 60+(($G459-$T459)*24/Config!$B$20)*40)
)),"")
</f>
        <v/>
      </c>
      <c r="Y459" s="40" t="str">
        <f>IF($J459="","",IFERROR(VLOOKUP($J459,Grinders!$A:$N,10,FALSE),""))</f>
        <v/>
      </c>
      <c r="Z459" s="40" t="str">
        <f>IF($J459="","",IFERROR(VLOOKUP($J459,Grinders!$A:$N,11,FALSE),""))</f>
        <v/>
      </c>
      <c r="AA459" s="40" t="str">
        <f>IF($J459="","",IFERROR(VLOOKUP($J459,Grinders!$A:$N,12,FALSE),""))</f>
        <v/>
      </c>
      <c r="AB459" s="40" t="str">
        <f>IF(OR(AL459=1,AM459=1),0,=IFERROR(IF(OR($C459="",$J459=""),0,IF($D459&lt;&gt;"Open",0,IF(COUNTIFS(GrinderServices!$A:$A,$J459,GrinderServices!$B:$B,$E459,GrinderServices!$D:$D,"Y")=0,0,IF($U459&lt;Config!$B$16,0,IF(Config!$B$18=1,IF($N459&gt;=$M459,0,1),1))))),""))</f>
        <v>#ERROR!</v>
      </c>
      <c r="AC459" s="40" t="str">
        <f>IFERROR((IF(OR(AL459=1,AM459=1),"",=IFERROR((IFERROR(IF($AB459=0,"",((Config!$B$6*$V459 + Config!$B$7*$R459 + Config!$B$8*$W459 + Config!$B$9*$X459 + Config!$B$10*$Y459 + Config!$B$11*$Z459 - Config!$B$12*$AA459)/Config!$B$13)+$AH459+$AI459),""))*(1-IFERROR(VLOOKUP(J459,Grinders!$A:$AB, 28, FALSE),0)),"")))*(1+AO459),"")</f>
        <v>#ERROR!</v>
      </c>
      <c r="AD459" s="40" t="str">
        <f t="shared" si="4"/>
        <v/>
      </c>
      <c r="AE459" s="40" t="str">
        <f>IFERROR(__xludf.DUMMYFUNCTION("IF($AC459="""","""",IF($AC459=IFERROR(MAX(FILTER($AC$6:$AC$1000,$C$6:$C$1000=$C459,$AB$6:$AB$1000=1)),),""WINNER"",""""))"),"#ERROR!")</f>
        <v>#ERROR!</v>
      </c>
      <c r="AF459" s="40" t="str">
        <f t="shared" si="5"/>
        <v/>
      </c>
      <c r="AG459" s="40" t="str">
        <f>IF($J459="","",COUNTIF(Assignments!$B:$B,$J459))</f>
        <v/>
      </c>
      <c r="AH459" s="40" t="str">
        <f>IF($J459="","",IF(AND($AG459=0,$N459&lt;$M459),Config!$B$43,0))</f>
        <v/>
      </c>
      <c r="AI459" s="40" t="str">
        <f>IF($J459="","",IF(AND($L459="Elite",$F459&gt;=Config!$B$41,$N459&lt;$M459),Config!$B$42,0))</f>
        <v/>
      </c>
      <c r="AJ459" s="22"/>
      <c r="AK459" s="39">
        <f>IFERROR(VLOOKUP(J459,Grinders!$A:$Q,28,FALSE),0)</f>
        <v>0</v>
      </c>
      <c r="AL459" s="39">
        <f>IF(Config!$B$1003&lt;&gt;"Y",0,IF(IFERROR(VLOOKUP(J459,Grinders!$A:$P,27,FALSE),0)&gt;=3,IF(OR(F459&gt;=Config!$B$1001,ISNUMBER(SEARCH(E459,Config!$B$1002))),1,0),0))</f>
        <v>0</v>
      </c>
      <c r="AM459" s="39">
        <f t="array" ref="AM459">IFERROR(IF(INDEX(Bids!$AE:$AE,MATCH(B459,Bids!$A:$A,0))="Pending",1,0),0)</f>
        <v>0</v>
      </c>
      <c r="AN459" s="39" t="str">
        <f t="array" ref="AN459">IF(C459="","",IFERROR(XLOOKUP(C459,Assignments!$C:$C,Assignments!$AU:$AU,0),0))</f>
        <v/>
      </c>
      <c r="AO459" s="39">
        <f>IF(AND(Config!$B$1006="Y",AN459=1),Config!$B$1007,0)</f>
        <v>0</v>
      </c>
    </row>
    <row r="460" ht="15.75" customHeight="1">
      <c r="A460" s="46" t="str">
        <f t="shared" si="1"/>
        <v/>
      </c>
      <c r="B460" s="40" t="str">
        <f>IF(Bids!$A460="","",Bids!$A460)</f>
        <v/>
      </c>
      <c r="C460" s="40" t="str">
        <f>IF(Bids!$B460="","",Bids!$B460)</f>
        <v/>
      </c>
      <c r="D460" s="40" t="str">
        <f>IF($C460="","",IFERROR(VLOOKUP($C460,Orders!$A:$J,9,FALSE),""))</f>
        <v/>
      </c>
      <c r="E460" s="40" t="str">
        <f>IF($C460="","",IFERROR(VLOOKUP($C460,Orders!$A:$J,3,FALSE),""))</f>
        <v/>
      </c>
      <c r="F460" s="40" t="str">
        <f>IF($C460="","",IFERROR(VLOOKUP($C460,Orders!$A:$J,4,FALSE),""))</f>
        <v/>
      </c>
      <c r="G460" s="40" t="str">
        <f>IF($C460="","",IFERROR(VLOOKUP($C460,Orders!$A:$J,5,FALSE),""))</f>
        <v/>
      </c>
      <c r="H460" s="40" t="str">
        <f>IF($C460="","",IFERROR(VLOOKUP($C460,Orders!$A:$J,6,FALSE),""))</f>
        <v/>
      </c>
      <c r="I460" s="40" t="str">
        <f>IF($C460="","",IFERROR(VLOOKUP($C460,Orders!$A:$J,7,FALSE),""))</f>
        <v/>
      </c>
      <c r="J460" s="40" t="str">
        <f>IF(Bids!$C460="","",Bids!$C460)</f>
        <v/>
      </c>
      <c r="K460" s="40" t="str">
        <f>IF($J460="","",IFERROR(VLOOKUP($J460,Grinders!$A:$N,2,FALSE),""))</f>
        <v/>
      </c>
      <c r="L460" s="40" t="str">
        <f>IF($J460="","",IFERROR(VLOOKUP($J460,Grinders!$A:$N,3,FALSE),""))</f>
        <v/>
      </c>
      <c r="M460" s="40" t="str">
        <f>IF($J460="","",IFERROR(VLOOKUP($J460,Grinders!$A:$N,4,FALSE),""))</f>
        <v/>
      </c>
      <c r="N460" s="40" t="str">
        <f>IF($J460="","",IFERROR(VLOOKUP($J460,Grinders!$A:$N,5,FALSE),""))</f>
        <v/>
      </c>
      <c r="O460" s="40" t="str">
        <f t="shared" si="2"/>
        <v/>
      </c>
      <c r="P460" s="40" t="str">
        <f>IF($J460="","",IFERROR(VLOOKUP($J460,Grinders!$A:$N,6,FALSE),""))</f>
        <v/>
      </c>
      <c r="Q460" s="40" t="str">
        <f>IF($J460="","",IFERROR(VLOOKUP($J460,Grinders!$A:$N,8,FALSE),""))</f>
        <v/>
      </c>
      <c r="R460" s="40" t="str">
        <f>IFERROR(IF($J460="","",IF($L460="Elite",MAX(50,MIN(100,Config!$B$27*MAX(0,MIN(100,(1-IF($O460="",0,$O460))*100)) + Config!$B$28*MAX(0,MIN(100,(1-MIN(1,IF(Config!$B$30=0,1,$P460/Config!$B$30)))*100)) + Config!$B$29*MAX(0,MIN(100,MIN(1,IF($Q460="",0,$Q460)/Config!$B$23)*100)))),MIN(100,Config!$B$27*MAX(0,MIN(100,(1-IF($O460="",0,$O460))*100)) + Config!$B$28*MAX(0,MIN(100,(1-MIN(1,IF(Config!$B$30=0,1,$P460/Config!$B$30)))*100)) + Config!$B$29*MAX(0,MIN(100,MIN(1,IF($Q460="",0,$Q460)/Config!$B$23)*100))))),"")
</f>
        <v/>
      </c>
      <c r="S460" s="40" t="str">
        <f>IF(Bids!$AC460="","",Bids!$AC460)</f>
        <v/>
      </c>
      <c r="T460" s="40" t="str">
        <f>IF(Bids!$F460="","",Bids!$F460)</f>
        <v/>
      </c>
      <c r="U460" s="40" t="str">
        <f t="shared" si="3"/>
        <v/>
      </c>
      <c r="V460" s="40" t="str">
        <f>IF($U460="","",IF(Config!$B$17=Config!$B$16,IF($U460&gt;=Config!$B$17,100,0),MAX(0,MIN(100,($U460-Config!$B$16)/(Config!$B$17-Config!$B$16)*100))))</f>
        <v/>
      </c>
      <c r="W460" s="40">
        <f>IF($L460="Elite",Config!$B$21,0)</f>
        <v>0</v>
      </c>
      <c r="X460" s="40" t="str">
        <f>IFERROR(IF(OR($T460="",$G460=""),"",IF($T460&gt;$G460,
  MAX(0, 60-(($T460-$G460)*24/Config!$B$19)*60),
  MEDIAN(60, 100, 60+(($G460-$T460)*24/Config!$B$20)*40)
)),"")
</f>
        <v/>
      </c>
      <c r="Y460" s="40" t="str">
        <f>IF($J460="","",IFERROR(VLOOKUP($J460,Grinders!$A:$N,10,FALSE),""))</f>
        <v/>
      </c>
      <c r="Z460" s="40" t="str">
        <f>IF($J460="","",IFERROR(VLOOKUP($J460,Grinders!$A:$N,11,FALSE),""))</f>
        <v/>
      </c>
      <c r="AA460" s="40" t="str">
        <f>IF($J460="","",IFERROR(VLOOKUP($J460,Grinders!$A:$N,12,FALSE),""))</f>
        <v/>
      </c>
      <c r="AB460" s="40" t="str">
        <f>IF(OR(AL460=1,AM460=1),0,=IFERROR(IF(OR($C460="",$J460=""),0,IF($D460&lt;&gt;"Open",0,IF(COUNTIFS(GrinderServices!$A:$A,$J460,GrinderServices!$B:$B,$E460,GrinderServices!$D:$D,"Y")=0,0,IF($U460&lt;Config!$B$16,0,IF(Config!$B$18=1,IF($N460&gt;=$M460,0,1),1))))),""))</f>
        <v>#ERROR!</v>
      </c>
      <c r="AC460" s="40" t="str">
        <f>IFERROR((IF(OR(AL460=1,AM460=1),"",=IFERROR((IFERROR(IF($AB460=0,"",((Config!$B$6*$V460 + Config!$B$7*$R460 + Config!$B$8*$W460 + Config!$B$9*$X460 + Config!$B$10*$Y460 + Config!$B$11*$Z460 - Config!$B$12*$AA460)/Config!$B$13)+$AH460+$AI460),""))*(1-IFERROR(VLOOKUP(J460,Grinders!$A:$AB, 28, FALSE),0)),"")))*(1+AO460),"")</f>
        <v>#ERROR!</v>
      </c>
      <c r="AD460" s="40" t="str">
        <f t="shared" si="4"/>
        <v/>
      </c>
      <c r="AE460" s="40" t="str">
        <f>IFERROR(__xludf.DUMMYFUNCTION("IF($AC460="""","""",IF($AC460=IFERROR(MAX(FILTER($AC$6:$AC$1000,$C$6:$C$1000=$C460,$AB$6:$AB$1000=1)),),""WINNER"",""""))"),"#ERROR!")</f>
        <v>#ERROR!</v>
      </c>
      <c r="AF460" s="40" t="str">
        <f t="shared" si="5"/>
        <v/>
      </c>
      <c r="AG460" s="40" t="str">
        <f>IF($J460="","",COUNTIF(Assignments!$B:$B,$J460))</f>
        <v/>
      </c>
      <c r="AH460" s="40" t="str">
        <f>IF($J460="","",IF(AND($AG460=0,$N460&lt;$M460),Config!$B$43,0))</f>
        <v/>
      </c>
      <c r="AI460" s="40" t="str">
        <f>IF($J460="","",IF(AND($L460="Elite",$F460&gt;=Config!$B$41,$N460&lt;$M460),Config!$B$42,0))</f>
        <v/>
      </c>
      <c r="AJ460" s="22"/>
      <c r="AK460" s="39">
        <f>IFERROR(VLOOKUP(J460,Grinders!$A:$Q,28,FALSE),0)</f>
        <v>0</v>
      </c>
      <c r="AL460" s="39">
        <f>IF(Config!$B$1003&lt;&gt;"Y",0,IF(IFERROR(VLOOKUP(J460,Grinders!$A:$P,27,FALSE),0)&gt;=3,IF(OR(F460&gt;=Config!$B$1001,ISNUMBER(SEARCH(E460,Config!$B$1002))),1,0),0))</f>
        <v>0</v>
      </c>
      <c r="AM460" s="39">
        <f t="array" ref="AM460">IFERROR(IF(INDEX(Bids!$AE:$AE,MATCH(B460,Bids!$A:$A,0))="Pending",1,0),0)</f>
        <v>0</v>
      </c>
      <c r="AN460" s="39" t="str">
        <f t="array" ref="AN460">IF(C460="","",IFERROR(XLOOKUP(C460,Assignments!$C:$C,Assignments!$AU:$AU,0),0))</f>
        <v/>
      </c>
      <c r="AO460" s="39">
        <f>IF(AND(Config!$B$1006="Y",AN460=1),Config!$B$1007,0)</f>
        <v>0</v>
      </c>
    </row>
    <row r="461" ht="15.75" customHeight="1">
      <c r="A461" s="46" t="str">
        <f t="shared" si="1"/>
        <v/>
      </c>
      <c r="B461" s="40" t="str">
        <f>IF(Bids!$A461="","",Bids!$A461)</f>
        <v/>
      </c>
      <c r="C461" s="40" t="str">
        <f>IF(Bids!$B461="","",Bids!$B461)</f>
        <v/>
      </c>
      <c r="D461" s="40" t="str">
        <f>IF($C461="","",IFERROR(VLOOKUP($C461,Orders!$A:$J,9,FALSE),""))</f>
        <v/>
      </c>
      <c r="E461" s="40" t="str">
        <f>IF($C461="","",IFERROR(VLOOKUP($C461,Orders!$A:$J,3,FALSE),""))</f>
        <v/>
      </c>
      <c r="F461" s="40" t="str">
        <f>IF($C461="","",IFERROR(VLOOKUP($C461,Orders!$A:$J,4,FALSE),""))</f>
        <v/>
      </c>
      <c r="G461" s="40" t="str">
        <f>IF($C461="","",IFERROR(VLOOKUP($C461,Orders!$A:$J,5,FALSE),""))</f>
        <v/>
      </c>
      <c r="H461" s="40" t="str">
        <f>IF($C461="","",IFERROR(VLOOKUP($C461,Orders!$A:$J,6,FALSE),""))</f>
        <v/>
      </c>
      <c r="I461" s="40" t="str">
        <f>IF($C461="","",IFERROR(VLOOKUP($C461,Orders!$A:$J,7,FALSE),""))</f>
        <v/>
      </c>
      <c r="J461" s="40" t="str">
        <f>IF(Bids!$C461="","",Bids!$C461)</f>
        <v/>
      </c>
      <c r="K461" s="40" t="str">
        <f>IF($J461="","",IFERROR(VLOOKUP($J461,Grinders!$A:$N,2,FALSE),""))</f>
        <v/>
      </c>
      <c r="L461" s="40" t="str">
        <f>IF($J461="","",IFERROR(VLOOKUP($J461,Grinders!$A:$N,3,FALSE),""))</f>
        <v/>
      </c>
      <c r="M461" s="40" t="str">
        <f>IF($J461="","",IFERROR(VLOOKUP($J461,Grinders!$A:$N,4,FALSE),""))</f>
        <v/>
      </c>
      <c r="N461" s="40" t="str">
        <f>IF($J461="","",IFERROR(VLOOKUP($J461,Grinders!$A:$N,5,FALSE),""))</f>
        <v/>
      </c>
      <c r="O461" s="40" t="str">
        <f t="shared" si="2"/>
        <v/>
      </c>
      <c r="P461" s="40" t="str">
        <f>IF($J461="","",IFERROR(VLOOKUP($J461,Grinders!$A:$N,6,FALSE),""))</f>
        <v/>
      </c>
      <c r="Q461" s="40" t="str">
        <f>IF($J461="","",IFERROR(VLOOKUP($J461,Grinders!$A:$N,8,FALSE),""))</f>
        <v/>
      </c>
      <c r="R461" s="40" t="str">
        <f>IFERROR(IF($J461="","",IF($L461="Elite",MAX(50,MIN(100,Config!$B$27*MAX(0,MIN(100,(1-IF($O461="",0,$O461))*100)) + Config!$B$28*MAX(0,MIN(100,(1-MIN(1,IF(Config!$B$30=0,1,$P461/Config!$B$30)))*100)) + Config!$B$29*MAX(0,MIN(100,MIN(1,IF($Q461="",0,$Q461)/Config!$B$23)*100)))),MIN(100,Config!$B$27*MAX(0,MIN(100,(1-IF($O461="",0,$O461))*100)) + Config!$B$28*MAX(0,MIN(100,(1-MIN(1,IF(Config!$B$30=0,1,$P461/Config!$B$30)))*100)) + Config!$B$29*MAX(0,MIN(100,MIN(1,IF($Q461="",0,$Q461)/Config!$B$23)*100))))),"")
</f>
        <v/>
      </c>
      <c r="S461" s="40" t="str">
        <f>IF(Bids!$AC461="","",Bids!$AC461)</f>
        <v/>
      </c>
      <c r="T461" s="40" t="str">
        <f>IF(Bids!$F461="","",Bids!$F461)</f>
        <v/>
      </c>
      <c r="U461" s="40" t="str">
        <f t="shared" si="3"/>
        <v/>
      </c>
      <c r="V461" s="40" t="str">
        <f>IF($U461="","",IF(Config!$B$17=Config!$B$16,IF($U461&gt;=Config!$B$17,100,0),MAX(0,MIN(100,($U461-Config!$B$16)/(Config!$B$17-Config!$B$16)*100))))</f>
        <v/>
      </c>
      <c r="W461" s="40">
        <f>IF($L461="Elite",Config!$B$21,0)</f>
        <v>0</v>
      </c>
      <c r="X461" s="40" t="str">
        <f>IFERROR(IF(OR($T461="",$G461=""),"",IF($T461&gt;$G461,
  MAX(0, 60-(($T461-$G461)*24/Config!$B$19)*60),
  MEDIAN(60, 100, 60+(($G461-$T461)*24/Config!$B$20)*40)
)),"")
</f>
        <v/>
      </c>
      <c r="Y461" s="40" t="str">
        <f>IF($J461="","",IFERROR(VLOOKUP($J461,Grinders!$A:$N,10,FALSE),""))</f>
        <v/>
      </c>
      <c r="Z461" s="40" t="str">
        <f>IF($J461="","",IFERROR(VLOOKUP($J461,Grinders!$A:$N,11,FALSE),""))</f>
        <v/>
      </c>
      <c r="AA461" s="40" t="str">
        <f>IF($J461="","",IFERROR(VLOOKUP($J461,Grinders!$A:$N,12,FALSE),""))</f>
        <v/>
      </c>
      <c r="AB461" s="40" t="str">
        <f>IF(OR(AL461=1,AM461=1),0,=IFERROR(IF(OR($C461="",$J461=""),0,IF($D461&lt;&gt;"Open",0,IF(COUNTIFS(GrinderServices!$A:$A,$J461,GrinderServices!$B:$B,$E461,GrinderServices!$D:$D,"Y")=0,0,IF($U461&lt;Config!$B$16,0,IF(Config!$B$18=1,IF($N461&gt;=$M461,0,1),1))))),""))</f>
        <v>#ERROR!</v>
      </c>
      <c r="AC461" s="40" t="str">
        <f>IFERROR((IF(OR(AL461=1,AM461=1),"",=IFERROR((IFERROR(IF($AB461=0,"",((Config!$B$6*$V461 + Config!$B$7*$R461 + Config!$B$8*$W461 + Config!$B$9*$X461 + Config!$B$10*$Y461 + Config!$B$11*$Z461 - Config!$B$12*$AA461)/Config!$B$13)+$AH461+$AI461),""))*(1-IFERROR(VLOOKUP(J461,Grinders!$A:$AB, 28, FALSE),0)),"")))*(1+AO461),"")</f>
        <v>#ERROR!</v>
      </c>
      <c r="AD461" s="40" t="str">
        <f t="shared" si="4"/>
        <v/>
      </c>
      <c r="AE461" s="40" t="str">
        <f>IFERROR(__xludf.DUMMYFUNCTION("IF($AC461="""","""",IF($AC461=IFERROR(MAX(FILTER($AC$6:$AC$1000,$C$6:$C$1000=$C461,$AB$6:$AB$1000=1)),),""WINNER"",""""))"),"#ERROR!")</f>
        <v>#ERROR!</v>
      </c>
      <c r="AF461" s="40" t="str">
        <f t="shared" si="5"/>
        <v/>
      </c>
      <c r="AG461" s="40" t="str">
        <f>IF($J461="","",COUNTIF(Assignments!$B:$B,$J461))</f>
        <v/>
      </c>
      <c r="AH461" s="40" t="str">
        <f>IF($J461="","",IF(AND($AG461=0,$N461&lt;$M461),Config!$B$43,0))</f>
        <v/>
      </c>
      <c r="AI461" s="40" t="str">
        <f>IF($J461="","",IF(AND($L461="Elite",$F461&gt;=Config!$B$41,$N461&lt;$M461),Config!$B$42,0))</f>
        <v/>
      </c>
      <c r="AJ461" s="22"/>
      <c r="AK461" s="39">
        <f>IFERROR(VLOOKUP(J461,Grinders!$A:$Q,28,FALSE),0)</f>
        <v>0</v>
      </c>
      <c r="AL461" s="39">
        <f>IF(Config!$B$1003&lt;&gt;"Y",0,IF(IFERROR(VLOOKUP(J461,Grinders!$A:$P,27,FALSE),0)&gt;=3,IF(OR(F461&gt;=Config!$B$1001,ISNUMBER(SEARCH(E461,Config!$B$1002))),1,0),0))</f>
        <v>0</v>
      </c>
      <c r="AM461" s="39">
        <f t="array" ref="AM461">IFERROR(IF(INDEX(Bids!$AE:$AE,MATCH(B461,Bids!$A:$A,0))="Pending",1,0),0)</f>
        <v>0</v>
      </c>
      <c r="AN461" s="39" t="str">
        <f t="array" ref="AN461">IF(C461="","",IFERROR(XLOOKUP(C461,Assignments!$C:$C,Assignments!$AU:$AU,0),0))</f>
        <v/>
      </c>
      <c r="AO461" s="39">
        <f>IF(AND(Config!$B$1006="Y",AN461=1),Config!$B$1007,0)</f>
        <v>0</v>
      </c>
    </row>
    <row r="462" ht="15.75" customHeight="1">
      <c r="A462" s="46" t="str">
        <f t="shared" si="1"/>
        <v/>
      </c>
      <c r="B462" s="40" t="str">
        <f>IF(Bids!$A462="","",Bids!$A462)</f>
        <v/>
      </c>
      <c r="C462" s="40" t="str">
        <f>IF(Bids!$B462="","",Bids!$B462)</f>
        <v/>
      </c>
      <c r="D462" s="40" t="str">
        <f>IF($C462="","",IFERROR(VLOOKUP($C462,Orders!$A:$J,9,FALSE),""))</f>
        <v/>
      </c>
      <c r="E462" s="40" t="str">
        <f>IF($C462="","",IFERROR(VLOOKUP($C462,Orders!$A:$J,3,FALSE),""))</f>
        <v/>
      </c>
      <c r="F462" s="40" t="str">
        <f>IF($C462="","",IFERROR(VLOOKUP($C462,Orders!$A:$J,4,FALSE),""))</f>
        <v/>
      </c>
      <c r="G462" s="40" t="str">
        <f>IF($C462="","",IFERROR(VLOOKUP($C462,Orders!$A:$J,5,FALSE),""))</f>
        <v/>
      </c>
      <c r="H462" s="40" t="str">
        <f>IF($C462="","",IFERROR(VLOOKUP($C462,Orders!$A:$J,6,FALSE),""))</f>
        <v/>
      </c>
      <c r="I462" s="40" t="str">
        <f>IF($C462="","",IFERROR(VLOOKUP($C462,Orders!$A:$J,7,FALSE),""))</f>
        <v/>
      </c>
      <c r="J462" s="40" t="str">
        <f>IF(Bids!$C462="","",Bids!$C462)</f>
        <v/>
      </c>
      <c r="K462" s="40" t="str">
        <f>IF($J462="","",IFERROR(VLOOKUP($J462,Grinders!$A:$N,2,FALSE),""))</f>
        <v/>
      </c>
      <c r="L462" s="40" t="str">
        <f>IF($J462="","",IFERROR(VLOOKUP($J462,Grinders!$A:$N,3,FALSE),""))</f>
        <v/>
      </c>
      <c r="M462" s="40" t="str">
        <f>IF($J462="","",IFERROR(VLOOKUP($J462,Grinders!$A:$N,4,FALSE),""))</f>
        <v/>
      </c>
      <c r="N462" s="40" t="str">
        <f>IF($J462="","",IFERROR(VLOOKUP($J462,Grinders!$A:$N,5,FALSE),""))</f>
        <v/>
      </c>
      <c r="O462" s="40" t="str">
        <f t="shared" si="2"/>
        <v/>
      </c>
      <c r="P462" s="40" t="str">
        <f>IF($J462="","",IFERROR(VLOOKUP($J462,Grinders!$A:$N,6,FALSE),""))</f>
        <v/>
      </c>
      <c r="Q462" s="40" t="str">
        <f>IF($J462="","",IFERROR(VLOOKUP($J462,Grinders!$A:$N,8,FALSE),""))</f>
        <v/>
      </c>
      <c r="R462" s="40" t="str">
        <f>IFERROR(IF($J462="","",IF($L462="Elite",MAX(50,MIN(100,Config!$B$27*MAX(0,MIN(100,(1-IF($O462="",0,$O462))*100)) + Config!$B$28*MAX(0,MIN(100,(1-MIN(1,IF(Config!$B$30=0,1,$P462/Config!$B$30)))*100)) + Config!$B$29*MAX(0,MIN(100,MIN(1,IF($Q462="",0,$Q462)/Config!$B$23)*100)))),MIN(100,Config!$B$27*MAX(0,MIN(100,(1-IF($O462="",0,$O462))*100)) + Config!$B$28*MAX(0,MIN(100,(1-MIN(1,IF(Config!$B$30=0,1,$P462/Config!$B$30)))*100)) + Config!$B$29*MAX(0,MIN(100,MIN(1,IF($Q462="",0,$Q462)/Config!$B$23)*100))))),"")
</f>
        <v/>
      </c>
      <c r="S462" s="40" t="str">
        <f>IF(Bids!$AC462="","",Bids!$AC462)</f>
        <v/>
      </c>
      <c r="T462" s="40" t="str">
        <f>IF(Bids!$F462="","",Bids!$F462)</f>
        <v/>
      </c>
      <c r="U462" s="40" t="str">
        <f t="shared" si="3"/>
        <v/>
      </c>
      <c r="V462" s="40" t="str">
        <f>IF($U462="","",IF(Config!$B$17=Config!$B$16,IF($U462&gt;=Config!$B$17,100,0),MAX(0,MIN(100,($U462-Config!$B$16)/(Config!$B$17-Config!$B$16)*100))))</f>
        <v/>
      </c>
      <c r="W462" s="40">
        <f>IF($L462="Elite",Config!$B$21,0)</f>
        <v>0</v>
      </c>
      <c r="X462" s="40" t="str">
        <f>IFERROR(IF(OR($T462="",$G462=""),"",IF($T462&gt;$G462,
  MAX(0, 60-(($T462-$G462)*24/Config!$B$19)*60),
  MEDIAN(60, 100, 60+(($G462-$T462)*24/Config!$B$20)*40)
)),"")
</f>
        <v/>
      </c>
      <c r="Y462" s="40" t="str">
        <f>IF($J462="","",IFERROR(VLOOKUP($J462,Grinders!$A:$N,10,FALSE),""))</f>
        <v/>
      </c>
      <c r="Z462" s="40" t="str">
        <f>IF($J462="","",IFERROR(VLOOKUP($J462,Grinders!$A:$N,11,FALSE),""))</f>
        <v/>
      </c>
      <c r="AA462" s="40" t="str">
        <f>IF($J462="","",IFERROR(VLOOKUP($J462,Grinders!$A:$N,12,FALSE),""))</f>
        <v/>
      </c>
      <c r="AB462" s="40" t="str">
        <f>IF(OR(AL462=1,AM462=1),0,=IFERROR(IF(OR($C462="",$J462=""),0,IF($D462&lt;&gt;"Open",0,IF(COUNTIFS(GrinderServices!$A:$A,$J462,GrinderServices!$B:$B,$E462,GrinderServices!$D:$D,"Y")=0,0,IF($U462&lt;Config!$B$16,0,IF(Config!$B$18=1,IF($N462&gt;=$M462,0,1),1))))),""))</f>
        <v>#ERROR!</v>
      </c>
      <c r="AC462" s="40" t="str">
        <f>IFERROR((IF(OR(AL462=1,AM462=1),"",=IFERROR((IFERROR(IF($AB462=0,"",((Config!$B$6*$V462 + Config!$B$7*$R462 + Config!$B$8*$W462 + Config!$B$9*$X462 + Config!$B$10*$Y462 + Config!$B$11*$Z462 - Config!$B$12*$AA462)/Config!$B$13)+$AH462+$AI462),""))*(1-IFERROR(VLOOKUP(J462,Grinders!$A:$AB, 28, FALSE),0)),"")))*(1+AO462),"")</f>
        <v>#ERROR!</v>
      </c>
      <c r="AD462" s="40" t="str">
        <f t="shared" si="4"/>
        <v/>
      </c>
      <c r="AE462" s="40" t="str">
        <f>IFERROR(__xludf.DUMMYFUNCTION("IF($AC462="""","""",IF($AC462=IFERROR(MAX(FILTER($AC$6:$AC$1000,$C$6:$C$1000=$C462,$AB$6:$AB$1000=1)),),""WINNER"",""""))"),"#ERROR!")</f>
        <v>#ERROR!</v>
      </c>
      <c r="AF462" s="40" t="str">
        <f t="shared" si="5"/>
        <v/>
      </c>
      <c r="AG462" s="40" t="str">
        <f>IF($J462="","",COUNTIF(Assignments!$B:$B,$J462))</f>
        <v/>
      </c>
      <c r="AH462" s="40" t="str">
        <f>IF($J462="","",IF(AND($AG462=0,$N462&lt;$M462),Config!$B$43,0))</f>
        <v/>
      </c>
      <c r="AI462" s="40" t="str">
        <f>IF($J462="","",IF(AND($L462="Elite",$F462&gt;=Config!$B$41,$N462&lt;$M462),Config!$B$42,0))</f>
        <v/>
      </c>
      <c r="AJ462" s="22"/>
      <c r="AK462" s="39">
        <f>IFERROR(VLOOKUP(J462,Grinders!$A:$Q,28,FALSE),0)</f>
        <v>0</v>
      </c>
      <c r="AL462" s="39">
        <f>IF(Config!$B$1003&lt;&gt;"Y",0,IF(IFERROR(VLOOKUP(J462,Grinders!$A:$P,27,FALSE),0)&gt;=3,IF(OR(F462&gt;=Config!$B$1001,ISNUMBER(SEARCH(E462,Config!$B$1002))),1,0),0))</f>
        <v>0</v>
      </c>
      <c r="AM462" s="39">
        <f t="array" ref="AM462">IFERROR(IF(INDEX(Bids!$AE:$AE,MATCH(B462,Bids!$A:$A,0))="Pending",1,0),0)</f>
        <v>0</v>
      </c>
      <c r="AN462" s="39" t="str">
        <f t="array" ref="AN462">IF(C462="","",IFERROR(XLOOKUP(C462,Assignments!$C:$C,Assignments!$AU:$AU,0),0))</f>
        <v/>
      </c>
      <c r="AO462" s="39">
        <f>IF(AND(Config!$B$1006="Y",AN462=1),Config!$B$1007,0)</f>
        <v>0</v>
      </c>
    </row>
    <row r="463" ht="15.75" customHeight="1">
      <c r="A463" s="46" t="str">
        <f t="shared" si="1"/>
        <v/>
      </c>
      <c r="B463" s="40" t="str">
        <f>IF(Bids!$A463="","",Bids!$A463)</f>
        <v/>
      </c>
      <c r="C463" s="40" t="str">
        <f>IF(Bids!$B463="","",Bids!$B463)</f>
        <v/>
      </c>
      <c r="D463" s="40" t="str">
        <f>IF($C463="","",IFERROR(VLOOKUP($C463,Orders!$A:$J,9,FALSE),""))</f>
        <v/>
      </c>
      <c r="E463" s="40" t="str">
        <f>IF($C463="","",IFERROR(VLOOKUP($C463,Orders!$A:$J,3,FALSE),""))</f>
        <v/>
      </c>
      <c r="F463" s="40" t="str">
        <f>IF($C463="","",IFERROR(VLOOKUP($C463,Orders!$A:$J,4,FALSE),""))</f>
        <v/>
      </c>
      <c r="G463" s="40" t="str">
        <f>IF($C463="","",IFERROR(VLOOKUP($C463,Orders!$A:$J,5,FALSE),""))</f>
        <v/>
      </c>
      <c r="H463" s="40" t="str">
        <f>IF($C463="","",IFERROR(VLOOKUP($C463,Orders!$A:$J,6,FALSE),""))</f>
        <v/>
      </c>
      <c r="I463" s="40" t="str">
        <f>IF($C463="","",IFERROR(VLOOKUP($C463,Orders!$A:$J,7,FALSE),""))</f>
        <v/>
      </c>
      <c r="J463" s="40" t="str">
        <f>IF(Bids!$C463="","",Bids!$C463)</f>
        <v/>
      </c>
      <c r="K463" s="40" t="str">
        <f>IF($J463="","",IFERROR(VLOOKUP($J463,Grinders!$A:$N,2,FALSE),""))</f>
        <v/>
      </c>
      <c r="L463" s="40" t="str">
        <f>IF($J463="","",IFERROR(VLOOKUP($J463,Grinders!$A:$N,3,FALSE),""))</f>
        <v/>
      </c>
      <c r="M463" s="40" t="str">
        <f>IF($J463="","",IFERROR(VLOOKUP($J463,Grinders!$A:$N,4,FALSE),""))</f>
        <v/>
      </c>
      <c r="N463" s="40" t="str">
        <f>IF($J463="","",IFERROR(VLOOKUP($J463,Grinders!$A:$N,5,FALSE),""))</f>
        <v/>
      </c>
      <c r="O463" s="40" t="str">
        <f t="shared" si="2"/>
        <v/>
      </c>
      <c r="P463" s="40" t="str">
        <f>IF($J463="","",IFERROR(VLOOKUP($J463,Grinders!$A:$N,6,FALSE),""))</f>
        <v/>
      </c>
      <c r="Q463" s="40" t="str">
        <f>IF($J463="","",IFERROR(VLOOKUP($J463,Grinders!$A:$N,8,FALSE),""))</f>
        <v/>
      </c>
      <c r="R463" s="40" t="str">
        <f>IFERROR(IF($J463="","",IF($L463="Elite",MAX(50,MIN(100,Config!$B$27*MAX(0,MIN(100,(1-IF($O463="",0,$O463))*100)) + Config!$B$28*MAX(0,MIN(100,(1-MIN(1,IF(Config!$B$30=0,1,$P463/Config!$B$30)))*100)) + Config!$B$29*MAX(0,MIN(100,MIN(1,IF($Q463="",0,$Q463)/Config!$B$23)*100)))),MIN(100,Config!$B$27*MAX(0,MIN(100,(1-IF($O463="",0,$O463))*100)) + Config!$B$28*MAX(0,MIN(100,(1-MIN(1,IF(Config!$B$30=0,1,$P463/Config!$B$30)))*100)) + Config!$B$29*MAX(0,MIN(100,MIN(1,IF($Q463="",0,$Q463)/Config!$B$23)*100))))),"")
</f>
        <v/>
      </c>
      <c r="S463" s="40" t="str">
        <f>IF(Bids!$AC463="","",Bids!$AC463)</f>
        <v/>
      </c>
      <c r="T463" s="40" t="str">
        <f>IF(Bids!$F463="","",Bids!$F463)</f>
        <v/>
      </c>
      <c r="U463" s="40" t="str">
        <f t="shared" si="3"/>
        <v/>
      </c>
      <c r="V463" s="40" t="str">
        <f>IF($U463="","",IF(Config!$B$17=Config!$B$16,IF($U463&gt;=Config!$B$17,100,0),MAX(0,MIN(100,($U463-Config!$B$16)/(Config!$B$17-Config!$B$16)*100))))</f>
        <v/>
      </c>
      <c r="W463" s="40">
        <f>IF($L463="Elite",Config!$B$21,0)</f>
        <v>0</v>
      </c>
      <c r="X463" s="40" t="str">
        <f>IFERROR(IF(OR($T463="",$G463=""),"",IF($T463&gt;$G463,
  MAX(0, 60-(($T463-$G463)*24/Config!$B$19)*60),
  MEDIAN(60, 100, 60+(($G463-$T463)*24/Config!$B$20)*40)
)),"")
</f>
        <v/>
      </c>
      <c r="Y463" s="40" t="str">
        <f>IF($J463="","",IFERROR(VLOOKUP($J463,Grinders!$A:$N,10,FALSE),""))</f>
        <v/>
      </c>
      <c r="Z463" s="40" t="str">
        <f>IF($J463="","",IFERROR(VLOOKUP($J463,Grinders!$A:$N,11,FALSE),""))</f>
        <v/>
      </c>
      <c r="AA463" s="40" t="str">
        <f>IF($J463="","",IFERROR(VLOOKUP($J463,Grinders!$A:$N,12,FALSE),""))</f>
        <v/>
      </c>
      <c r="AB463" s="40" t="str">
        <f>IF(OR(AL463=1,AM463=1),0,=IFERROR(IF(OR($C463="",$J463=""),0,IF($D463&lt;&gt;"Open",0,IF(COUNTIFS(GrinderServices!$A:$A,$J463,GrinderServices!$B:$B,$E463,GrinderServices!$D:$D,"Y")=0,0,IF($U463&lt;Config!$B$16,0,IF(Config!$B$18=1,IF($N463&gt;=$M463,0,1),1))))),""))</f>
        <v>#ERROR!</v>
      </c>
      <c r="AC463" s="40" t="str">
        <f>IFERROR((IF(OR(AL463=1,AM463=1),"",=IFERROR((IFERROR(IF($AB463=0,"",((Config!$B$6*$V463 + Config!$B$7*$R463 + Config!$B$8*$W463 + Config!$B$9*$X463 + Config!$B$10*$Y463 + Config!$B$11*$Z463 - Config!$B$12*$AA463)/Config!$B$13)+$AH463+$AI463),""))*(1-IFERROR(VLOOKUP(J463,Grinders!$A:$AB, 28, FALSE),0)),"")))*(1+AO463),"")</f>
        <v>#ERROR!</v>
      </c>
      <c r="AD463" s="40" t="str">
        <f t="shared" si="4"/>
        <v/>
      </c>
      <c r="AE463" s="40" t="str">
        <f>IFERROR(__xludf.DUMMYFUNCTION("IF($AC463="""","""",IF($AC463=IFERROR(MAX(FILTER($AC$6:$AC$1000,$C$6:$C$1000=$C463,$AB$6:$AB$1000=1)),),""WINNER"",""""))"),"#ERROR!")</f>
        <v>#ERROR!</v>
      </c>
      <c r="AF463" s="40" t="str">
        <f t="shared" si="5"/>
        <v/>
      </c>
      <c r="AG463" s="40" t="str">
        <f>IF($J463="","",COUNTIF(Assignments!$B:$B,$J463))</f>
        <v/>
      </c>
      <c r="AH463" s="40" t="str">
        <f>IF($J463="","",IF(AND($AG463=0,$N463&lt;$M463),Config!$B$43,0))</f>
        <v/>
      </c>
      <c r="AI463" s="40" t="str">
        <f>IF($J463="","",IF(AND($L463="Elite",$F463&gt;=Config!$B$41,$N463&lt;$M463),Config!$B$42,0))</f>
        <v/>
      </c>
      <c r="AJ463" s="22"/>
      <c r="AK463" s="39">
        <f>IFERROR(VLOOKUP(J463,Grinders!$A:$Q,28,FALSE),0)</f>
        <v>0</v>
      </c>
      <c r="AL463" s="39">
        <f>IF(Config!$B$1003&lt;&gt;"Y",0,IF(IFERROR(VLOOKUP(J463,Grinders!$A:$P,27,FALSE),0)&gt;=3,IF(OR(F463&gt;=Config!$B$1001,ISNUMBER(SEARCH(E463,Config!$B$1002))),1,0),0))</f>
        <v>0</v>
      </c>
      <c r="AM463" s="39">
        <f t="array" ref="AM463">IFERROR(IF(INDEX(Bids!$AE:$AE,MATCH(B463,Bids!$A:$A,0))="Pending",1,0),0)</f>
        <v>0</v>
      </c>
      <c r="AN463" s="39" t="str">
        <f t="array" ref="AN463">IF(C463="","",IFERROR(XLOOKUP(C463,Assignments!$C:$C,Assignments!$AU:$AU,0),0))</f>
        <v/>
      </c>
      <c r="AO463" s="39">
        <f>IF(AND(Config!$B$1006="Y",AN463=1),Config!$B$1007,0)</f>
        <v>0</v>
      </c>
    </row>
    <row r="464" ht="15.75" customHeight="1">
      <c r="A464" s="46" t="str">
        <f t="shared" si="1"/>
        <v/>
      </c>
      <c r="B464" s="40" t="str">
        <f>IF(Bids!$A464="","",Bids!$A464)</f>
        <v/>
      </c>
      <c r="C464" s="40" t="str">
        <f>IF(Bids!$B464="","",Bids!$B464)</f>
        <v/>
      </c>
      <c r="D464" s="40" t="str">
        <f>IF($C464="","",IFERROR(VLOOKUP($C464,Orders!$A:$J,9,FALSE),""))</f>
        <v/>
      </c>
      <c r="E464" s="40" t="str">
        <f>IF($C464="","",IFERROR(VLOOKUP($C464,Orders!$A:$J,3,FALSE),""))</f>
        <v/>
      </c>
      <c r="F464" s="40" t="str">
        <f>IF($C464="","",IFERROR(VLOOKUP($C464,Orders!$A:$J,4,FALSE),""))</f>
        <v/>
      </c>
      <c r="G464" s="40" t="str">
        <f>IF($C464="","",IFERROR(VLOOKUP($C464,Orders!$A:$J,5,FALSE),""))</f>
        <v/>
      </c>
      <c r="H464" s="40" t="str">
        <f>IF($C464="","",IFERROR(VLOOKUP($C464,Orders!$A:$J,6,FALSE),""))</f>
        <v/>
      </c>
      <c r="I464" s="40" t="str">
        <f>IF($C464="","",IFERROR(VLOOKUP($C464,Orders!$A:$J,7,FALSE),""))</f>
        <v/>
      </c>
      <c r="J464" s="40" t="str">
        <f>IF(Bids!$C464="","",Bids!$C464)</f>
        <v/>
      </c>
      <c r="K464" s="40" t="str">
        <f>IF($J464="","",IFERROR(VLOOKUP($J464,Grinders!$A:$N,2,FALSE),""))</f>
        <v/>
      </c>
      <c r="L464" s="40" t="str">
        <f>IF($J464="","",IFERROR(VLOOKUP($J464,Grinders!$A:$N,3,FALSE),""))</f>
        <v/>
      </c>
      <c r="M464" s="40" t="str">
        <f>IF($J464="","",IFERROR(VLOOKUP($J464,Grinders!$A:$N,4,FALSE),""))</f>
        <v/>
      </c>
      <c r="N464" s="40" t="str">
        <f>IF($J464="","",IFERROR(VLOOKUP($J464,Grinders!$A:$N,5,FALSE),""))</f>
        <v/>
      </c>
      <c r="O464" s="40" t="str">
        <f t="shared" si="2"/>
        <v/>
      </c>
      <c r="P464" s="40" t="str">
        <f>IF($J464="","",IFERROR(VLOOKUP($J464,Grinders!$A:$N,6,FALSE),""))</f>
        <v/>
      </c>
      <c r="Q464" s="40" t="str">
        <f>IF($J464="","",IFERROR(VLOOKUP($J464,Grinders!$A:$N,8,FALSE),""))</f>
        <v/>
      </c>
      <c r="R464" s="40" t="str">
        <f>IFERROR(IF($J464="","",IF($L464="Elite",MAX(50,MIN(100,Config!$B$27*MAX(0,MIN(100,(1-IF($O464="",0,$O464))*100)) + Config!$B$28*MAX(0,MIN(100,(1-MIN(1,IF(Config!$B$30=0,1,$P464/Config!$B$30)))*100)) + Config!$B$29*MAX(0,MIN(100,MIN(1,IF($Q464="",0,$Q464)/Config!$B$23)*100)))),MIN(100,Config!$B$27*MAX(0,MIN(100,(1-IF($O464="",0,$O464))*100)) + Config!$B$28*MAX(0,MIN(100,(1-MIN(1,IF(Config!$B$30=0,1,$P464/Config!$B$30)))*100)) + Config!$B$29*MAX(0,MIN(100,MIN(1,IF($Q464="",0,$Q464)/Config!$B$23)*100))))),"")
</f>
        <v/>
      </c>
      <c r="S464" s="40" t="str">
        <f>IF(Bids!$AC464="","",Bids!$AC464)</f>
        <v/>
      </c>
      <c r="T464" s="40" t="str">
        <f>IF(Bids!$F464="","",Bids!$F464)</f>
        <v/>
      </c>
      <c r="U464" s="40" t="str">
        <f t="shared" si="3"/>
        <v/>
      </c>
      <c r="V464" s="40" t="str">
        <f>IF($U464="","",IF(Config!$B$17=Config!$B$16,IF($U464&gt;=Config!$B$17,100,0),MAX(0,MIN(100,($U464-Config!$B$16)/(Config!$B$17-Config!$B$16)*100))))</f>
        <v/>
      </c>
      <c r="W464" s="40">
        <f>IF($L464="Elite",Config!$B$21,0)</f>
        <v>0</v>
      </c>
      <c r="X464" s="40" t="str">
        <f>IFERROR(IF(OR($T464="",$G464=""),"",IF($T464&gt;$G464,
  MAX(0, 60-(($T464-$G464)*24/Config!$B$19)*60),
  MEDIAN(60, 100, 60+(($G464-$T464)*24/Config!$B$20)*40)
)),"")
</f>
        <v/>
      </c>
      <c r="Y464" s="40" t="str">
        <f>IF($J464="","",IFERROR(VLOOKUP($J464,Grinders!$A:$N,10,FALSE),""))</f>
        <v/>
      </c>
      <c r="Z464" s="40" t="str">
        <f>IF($J464="","",IFERROR(VLOOKUP($J464,Grinders!$A:$N,11,FALSE),""))</f>
        <v/>
      </c>
      <c r="AA464" s="40" t="str">
        <f>IF($J464="","",IFERROR(VLOOKUP($J464,Grinders!$A:$N,12,FALSE),""))</f>
        <v/>
      </c>
      <c r="AB464" s="40" t="str">
        <f>IF(OR(AL464=1,AM464=1),0,=IFERROR(IF(OR($C464="",$J464=""),0,IF($D464&lt;&gt;"Open",0,IF(COUNTIFS(GrinderServices!$A:$A,$J464,GrinderServices!$B:$B,$E464,GrinderServices!$D:$D,"Y")=0,0,IF($U464&lt;Config!$B$16,0,IF(Config!$B$18=1,IF($N464&gt;=$M464,0,1),1))))),""))</f>
        <v>#ERROR!</v>
      </c>
      <c r="AC464" s="40" t="str">
        <f>IFERROR((IF(OR(AL464=1,AM464=1),"",=IFERROR((IFERROR(IF($AB464=0,"",((Config!$B$6*$V464 + Config!$B$7*$R464 + Config!$B$8*$W464 + Config!$B$9*$X464 + Config!$B$10*$Y464 + Config!$B$11*$Z464 - Config!$B$12*$AA464)/Config!$B$13)+$AH464+$AI464),""))*(1-IFERROR(VLOOKUP(J464,Grinders!$A:$AB, 28, FALSE),0)),"")))*(1+AO464),"")</f>
        <v>#ERROR!</v>
      </c>
      <c r="AD464" s="40" t="str">
        <f t="shared" si="4"/>
        <v/>
      </c>
      <c r="AE464" s="40" t="str">
        <f>IFERROR(__xludf.DUMMYFUNCTION("IF($AC464="""","""",IF($AC464=IFERROR(MAX(FILTER($AC$6:$AC$1000,$C$6:$C$1000=$C464,$AB$6:$AB$1000=1)),),""WINNER"",""""))"),"#ERROR!")</f>
        <v>#ERROR!</v>
      </c>
      <c r="AF464" s="40" t="str">
        <f t="shared" si="5"/>
        <v/>
      </c>
      <c r="AG464" s="40" t="str">
        <f>IF($J464="","",COUNTIF(Assignments!$B:$B,$J464))</f>
        <v/>
      </c>
      <c r="AH464" s="40" t="str">
        <f>IF($J464="","",IF(AND($AG464=0,$N464&lt;$M464),Config!$B$43,0))</f>
        <v/>
      </c>
      <c r="AI464" s="40" t="str">
        <f>IF($J464="","",IF(AND($L464="Elite",$F464&gt;=Config!$B$41,$N464&lt;$M464),Config!$B$42,0))</f>
        <v/>
      </c>
      <c r="AJ464" s="22"/>
      <c r="AK464" s="39">
        <f>IFERROR(VLOOKUP(J464,Grinders!$A:$Q,28,FALSE),0)</f>
        <v>0</v>
      </c>
      <c r="AL464" s="39">
        <f>IF(Config!$B$1003&lt;&gt;"Y",0,IF(IFERROR(VLOOKUP(J464,Grinders!$A:$P,27,FALSE),0)&gt;=3,IF(OR(F464&gt;=Config!$B$1001,ISNUMBER(SEARCH(E464,Config!$B$1002))),1,0),0))</f>
        <v>0</v>
      </c>
      <c r="AM464" s="39">
        <f t="array" ref="AM464">IFERROR(IF(INDEX(Bids!$AE:$AE,MATCH(B464,Bids!$A:$A,0))="Pending",1,0),0)</f>
        <v>0</v>
      </c>
      <c r="AN464" s="39" t="str">
        <f t="array" ref="AN464">IF(C464="","",IFERROR(XLOOKUP(C464,Assignments!$C:$C,Assignments!$AU:$AU,0),0))</f>
        <v/>
      </c>
      <c r="AO464" s="39">
        <f>IF(AND(Config!$B$1006="Y",AN464=1),Config!$B$1007,0)</f>
        <v>0</v>
      </c>
    </row>
    <row r="465" ht="15.75" customHeight="1">
      <c r="A465" s="46" t="str">
        <f t="shared" si="1"/>
        <v/>
      </c>
      <c r="B465" s="40" t="str">
        <f>IF(Bids!$A465="","",Bids!$A465)</f>
        <v/>
      </c>
      <c r="C465" s="40" t="str">
        <f>IF(Bids!$B465="","",Bids!$B465)</f>
        <v/>
      </c>
      <c r="D465" s="40" t="str">
        <f>IF($C465="","",IFERROR(VLOOKUP($C465,Orders!$A:$J,9,FALSE),""))</f>
        <v/>
      </c>
      <c r="E465" s="40" t="str">
        <f>IF($C465="","",IFERROR(VLOOKUP($C465,Orders!$A:$J,3,FALSE),""))</f>
        <v/>
      </c>
      <c r="F465" s="40" t="str">
        <f>IF($C465="","",IFERROR(VLOOKUP($C465,Orders!$A:$J,4,FALSE),""))</f>
        <v/>
      </c>
      <c r="G465" s="40" t="str">
        <f>IF($C465="","",IFERROR(VLOOKUP($C465,Orders!$A:$J,5,FALSE),""))</f>
        <v/>
      </c>
      <c r="H465" s="40" t="str">
        <f>IF($C465="","",IFERROR(VLOOKUP($C465,Orders!$A:$J,6,FALSE),""))</f>
        <v/>
      </c>
      <c r="I465" s="40" t="str">
        <f>IF($C465="","",IFERROR(VLOOKUP($C465,Orders!$A:$J,7,FALSE),""))</f>
        <v/>
      </c>
      <c r="J465" s="40" t="str">
        <f>IF(Bids!$C465="","",Bids!$C465)</f>
        <v/>
      </c>
      <c r="K465" s="40" t="str">
        <f>IF($J465="","",IFERROR(VLOOKUP($J465,Grinders!$A:$N,2,FALSE),""))</f>
        <v/>
      </c>
      <c r="L465" s="40" t="str">
        <f>IF($J465="","",IFERROR(VLOOKUP($J465,Grinders!$A:$N,3,FALSE),""))</f>
        <v/>
      </c>
      <c r="M465" s="40" t="str">
        <f>IF($J465="","",IFERROR(VLOOKUP($J465,Grinders!$A:$N,4,FALSE),""))</f>
        <v/>
      </c>
      <c r="N465" s="40" t="str">
        <f>IF($J465="","",IFERROR(VLOOKUP($J465,Grinders!$A:$N,5,FALSE),""))</f>
        <v/>
      </c>
      <c r="O465" s="40" t="str">
        <f t="shared" si="2"/>
        <v/>
      </c>
      <c r="P465" s="40" t="str">
        <f>IF($J465="","",IFERROR(VLOOKUP($J465,Grinders!$A:$N,6,FALSE),""))</f>
        <v/>
      </c>
      <c r="Q465" s="40" t="str">
        <f>IF($J465="","",IFERROR(VLOOKUP($J465,Grinders!$A:$N,8,FALSE),""))</f>
        <v/>
      </c>
      <c r="R465" s="40" t="str">
        <f>IFERROR(IF($J465="","",IF($L465="Elite",MAX(50,MIN(100,Config!$B$27*MAX(0,MIN(100,(1-IF($O465="",0,$O465))*100)) + Config!$B$28*MAX(0,MIN(100,(1-MIN(1,IF(Config!$B$30=0,1,$P465/Config!$B$30)))*100)) + Config!$B$29*MAX(0,MIN(100,MIN(1,IF($Q465="",0,$Q465)/Config!$B$23)*100)))),MIN(100,Config!$B$27*MAX(0,MIN(100,(1-IF($O465="",0,$O465))*100)) + Config!$B$28*MAX(0,MIN(100,(1-MIN(1,IF(Config!$B$30=0,1,$P465/Config!$B$30)))*100)) + Config!$B$29*MAX(0,MIN(100,MIN(1,IF($Q465="",0,$Q465)/Config!$B$23)*100))))),"")
</f>
        <v/>
      </c>
      <c r="S465" s="40" t="str">
        <f>IF(Bids!$AC465="","",Bids!$AC465)</f>
        <v/>
      </c>
      <c r="T465" s="40" t="str">
        <f>IF(Bids!$F465="","",Bids!$F465)</f>
        <v/>
      </c>
      <c r="U465" s="40" t="str">
        <f t="shared" si="3"/>
        <v/>
      </c>
      <c r="V465" s="40" t="str">
        <f>IF($U465="","",IF(Config!$B$17=Config!$B$16,IF($U465&gt;=Config!$B$17,100,0),MAX(0,MIN(100,($U465-Config!$B$16)/(Config!$B$17-Config!$B$16)*100))))</f>
        <v/>
      </c>
      <c r="W465" s="40">
        <f>IF($L465="Elite",Config!$B$21,0)</f>
        <v>0</v>
      </c>
      <c r="X465" s="40" t="str">
        <f>IFERROR(IF(OR($T465="",$G465=""),"",IF($T465&gt;$G465,
  MAX(0, 60-(($T465-$G465)*24/Config!$B$19)*60),
  MEDIAN(60, 100, 60+(($G465-$T465)*24/Config!$B$20)*40)
)),"")
</f>
        <v/>
      </c>
      <c r="Y465" s="40" t="str">
        <f>IF($J465="","",IFERROR(VLOOKUP($J465,Grinders!$A:$N,10,FALSE),""))</f>
        <v/>
      </c>
      <c r="Z465" s="40" t="str">
        <f>IF($J465="","",IFERROR(VLOOKUP($J465,Grinders!$A:$N,11,FALSE),""))</f>
        <v/>
      </c>
      <c r="AA465" s="40" t="str">
        <f>IF($J465="","",IFERROR(VLOOKUP($J465,Grinders!$A:$N,12,FALSE),""))</f>
        <v/>
      </c>
      <c r="AB465" s="40" t="str">
        <f>IF(OR(AL465=1,AM465=1),0,=IFERROR(IF(OR($C465="",$J465=""),0,IF($D465&lt;&gt;"Open",0,IF(COUNTIFS(GrinderServices!$A:$A,$J465,GrinderServices!$B:$B,$E465,GrinderServices!$D:$D,"Y")=0,0,IF($U465&lt;Config!$B$16,0,IF(Config!$B$18=1,IF($N465&gt;=$M465,0,1),1))))),""))</f>
        <v>#ERROR!</v>
      </c>
      <c r="AC465" s="40" t="str">
        <f>IFERROR((IF(OR(AL465=1,AM465=1),"",=IFERROR((IFERROR(IF($AB465=0,"",((Config!$B$6*$V465 + Config!$B$7*$R465 + Config!$B$8*$W465 + Config!$B$9*$X465 + Config!$B$10*$Y465 + Config!$B$11*$Z465 - Config!$B$12*$AA465)/Config!$B$13)+$AH465+$AI465),""))*(1-IFERROR(VLOOKUP(J465,Grinders!$A:$AB, 28, FALSE),0)),"")))*(1+AO465),"")</f>
        <v>#ERROR!</v>
      </c>
      <c r="AD465" s="40" t="str">
        <f t="shared" si="4"/>
        <v/>
      </c>
      <c r="AE465" s="40" t="str">
        <f>IFERROR(__xludf.DUMMYFUNCTION("IF($AC465="""","""",IF($AC465=IFERROR(MAX(FILTER($AC$6:$AC$1000,$C$6:$C$1000=$C465,$AB$6:$AB$1000=1)),),""WINNER"",""""))"),"#ERROR!")</f>
        <v>#ERROR!</v>
      </c>
      <c r="AF465" s="40" t="str">
        <f t="shared" si="5"/>
        <v/>
      </c>
      <c r="AG465" s="40" t="str">
        <f>IF($J465="","",COUNTIF(Assignments!$B:$B,$J465))</f>
        <v/>
      </c>
      <c r="AH465" s="40" t="str">
        <f>IF($J465="","",IF(AND($AG465=0,$N465&lt;$M465),Config!$B$43,0))</f>
        <v/>
      </c>
      <c r="AI465" s="40" t="str">
        <f>IF($J465="","",IF(AND($L465="Elite",$F465&gt;=Config!$B$41,$N465&lt;$M465),Config!$B$42,0))</f>
        <v/>
      </c>
      <c r="AJ465" s="22"/>
      <c r="AK465" s="39">
        <f>IFERROR(VLOOKUP(J465,Grinders!$A:$Q,28,FALSE),0)</f>
        <v>0</v>
      </c>
      <c r="AL465" s="39">
        <f>IF(Config!$B$1003&lt;&gt;"Y",0,IF(IFERROR(VLOOKUP(J465,Grinders!$A:$P,27,FALSE),0)&gt;=3,IF(OR(F465&gt;=Config!$B$1001,ISNUMBER(SEARCH(E465,Config!$B$1002))),1,0),0))</f>
        <v>0</v>
      </c>
      <c r="AM465" s="39">
        <f t="array" ref="AM465">IFERROR(IF(INDEX(Bids!$AE:$AE,MATCH(B465,Bids!$A:$A,0))="Pending",1,0),0)</f>
        <v>0</v>
      </c>
      <c r="AN465" s="39" t="str">
        <f t="array" ref="AN465">IF(C465="","",IFERROR(XLOOKUP(C465,Assignments!$C:$C,Assignments!$AU:$AU,0),0))</f>
        <v/>
      </c>
      <c r="AO465" s="39">
        <f>IF(AND(Config!$B$1006="Y",AN465=1),Config!$B$1007,0)</f>
        <v>0</v>
      </c>
    </row>
    <row r="466" ht="15.75" customHeight="1">
      <c r="A466" s="46" t="str">
        <f t="shared" si="1"/>
        <v/>
      </c>
      <c r="B466" s="40" t="str">
        <f>IF(Bids!$A466="","",Bids!$A466)</f>
        <v/>
      </c>
      <c r="C466" s="40" t="str">
        <f>IF(Bids!$B466="","",Bids!$B466)</f>
        <v/>
      </c>
      <c r="D466" s="40" t="str">
        <f>IF($C466="","",IFERROR(VLOOKUP($C466,Orders!$A:$J,9,FALSE),""))</f>
        <v/>
      </c>
      <c r="E466" s="40" t="str">
        <f>IF($C466="","",IFERROR(VLOOKUP($C466,Orders!$A:$J,3,FALSE),""))</f>
        <v/>
      </c>
      <c r="F466" s="40" t="str">
        <f>IF($C466="","",IFERROR(VLOOKUP($C466,Orders!$A:$J,4,FALSE),""))</f>
        <v/>
      </c>
      <c r="G466" s="40" t="str">
        <f>IF($C466="","",IFERROR(VLOOKUP($C466,Orders!$A:$J,5,FALSE),""))</f>
        <v/>
      </c>
      <c r="H466" s="40" t="str">
        <f>IF($C466="","",IFERROR(VLOOKUP($C466,Orders!$A:$J,6,FALSE),""))</f>
        <v/>
      </c>
      <c r="I466" s="40" t="str">
        <f>IF($C466="","",IFERROR(VLOOKUP($C466,Orders!$A:$J,7,FALSE),""))</f>
        <v/>
      </c>
      <c r="J466" s="40" t="str">
        <f>IF(Bids!$C466="","",Bids!$C466)</f>
        <v/>
      </c>
      <c r="K466" s="40" t="str">
        <f>IF($J466="","",IFERROR(VLOOKUP($J466,Grinders!$A:$N,2,FALSE),""))</f>
        <v/>
      </c>
      <c r="L466" s="40" t="str">
        <f>IF($J466="","",IFERROR(VLOOKUP($J466,Grinders!$A:$N,3,FALSE),""))</f>
        <v/>
      </c>
      <c r="M466" s="40" t="str">
        <f>IF($J466="","",IFERROR(VLOOKUP($J466,Grinders!$A:$N,4,FALSE),""))</f>
        <v/>
      </c>
      <c r="N466" s="40" t="str">
        <f>IF($J466="","",IFERROR(VLOOKUP($J466,Grinders!$A:$N,5,FALSE),""))</f>
        <v/>
      </c>
      <c r="O466" s="40" t="str">
        <f t="shared" si="2"/>
        <v/>
      </c>
      <c r="P466" s="40" t="str">
        <f>IF($J466="","",IFERROR(VLOOKUP($J466,Grinders!$A:$N,6,FALSE),""))</f>
        <v/>
      </c>
      <c r="Q466" s="40" t="str">
        <f>IF($J466="","",IFERROR(VLOOKUP($J466,Grinders!$A:$N,8,FALSE),""))</f>
        <v/>
      </c>
      <c r="R466" s="40" t="str">
        <f>IFERROR(IF($J466="","",IF($L466="Elite",MAX(50,MIN(100,Config!$B$27*MAX(0,MIN(100,(1-IF($O466="",0,$O466))*100)) + Config!$B$28*MAX(0,MIN(100,(1-MIN(1,IF(Config!$B$30=0,1,$P466/Config!$B$30)))*100)) + Config!$B$29*MAX(0,MIN(100,MIN(1,IF($Q466="",0,$Q466)/Config!$B$23)*100)))),MIN(100,Config!$B$27*MAX(0,MIN(100,(1-IF($O466="",0,$O466))*100)) + Config!$B$28*MAX(0,MIN(100,(1-MIN(1,IF(Config!$B$30=0,1,$P466/Config!$B$30)))*100)) + Config!$B$29*MAX(0,MIN(100,MIN(1,IF($Q466="",0,$Q466)/Config!$B$23)*100))))),"")
</f>
        <v/>
      </c>
      <c r="S466" s="40" t="str">
        <f>IF(Bids!$AC466="","",Bids!$AC466)</f>
        <v/>
      </c>
      <c r="T466" s="40" t="str">
        <f>IF(Bids!$F466="","",Bids!$F466)</f>
        <v/>
      </c>
      <c r="U466" s="40" t="str">
        <f t="shared" si="3"/>
        <v/>
      </c>
      <c r="V466" s="40" t="str">
        <f>IF($U466="","",IF(Config!$B$17=Config!$B$16,IF($U466&gt;=Config!$B$17,100,0),MAX(0,MIN(100,($U466-Config!$B$16)/(Config!$B$17-Config!$B$16)*100))))</f>
        <v/>
      </c>
      <c r="W466" s="40">
        <f>IF($L466="Elite",Config!$B$21,0)</f>
        <v>0</v>
      </c>
      <c r="X466" s="40" t="str">
        <f>IFERROR(IF(OR($T466="",$G466=""),"",IF($T466&gt;$G466,
  MAX(0, 60-(($T466-$G466)*24/Config!$B$19)*60),
  MEDIAN(60, 100, 60+(($G466-$T466)*24/Config!$B$20)*40)
)),"")
</f>
        <v/>
      </c>
      <c r="Y466" s="40" t="str">
        <f>IF($J466="","",IFERROR(VLOOKUP($J466,Grinders!$A:$N,10,FALSE),""))</f>
        <v/>
      </c>
      <c r="Z466" s="40" t="str">
        <f>IF($J466="","",IFERROR(VLOOKUP($J466,Grinders!$A:$N,11,FALSE),""))</f>
        <v/>
      </c>
      <c r="AA466" s="40" t="str">
        <f>IF($J466="","",IFERROR(VLOOKUP($J466,Grinders!$A:$N,12,FALSE),""))</f>
        <v/>
      </c>
      <c r="AB466" s="40" t="str">
        <f>IF(OR(AL466=1,AM466=1),0,=IFERROR(IF(OR($C466="",$J466=""),0,IF($D466&lt;&gt;"Open",0,IF(COUNTIFS(GrinderServices!$A:$A,$J466,GrinderServices!$B:$B,$E466,GrinderServices!$D:$D,"Y")=0,0,IF($U466&lt;Config!$B$16,0,IF(Config!$B$18=1,IF($N466&gt;=$M466,0,1),1))))),""))</f>
        <v>#ERROR!</v>
      </c>
      <c r="AC466" s="40" t="str">
        <f>IFERROR((IF(OR(AL466=1,AM466=1),"",=IFERROR((IFERROR(IF($AB466=0,"",((Config!$B$6*$V466 + Config!$B$7*$R466 + Config!$B$8*$W466 + Config!$B$9*$X466 + Config!$B$10*$Y466 + Config!$B$11*$Z466 - Config!$B$12*$AA466)/Config!$B$13)+$AH466+$AI466),""))*(1-IFERROR(VLOOKUP(J466,Grinders!$A:$AB, 28, FALSE),0)),"")))*(1+AO466),"")</f>
        <v>#ERROR!</v>
      </c>
      <c r="AD466" s="40" t="str">
        <f t="shared" si="4"/>
        <v/>
      </c>
      <c r="AE466" s="40" t="str">
        <f>IFERROR(__xludf.DUMMYFUNCTION("IF($AC466="""","""",IF($AC466=IFERROR(MAX(FILTER($AC$6:$AC$1000,$C$6:$C$1000=$C466,$AB$6:$AB$1000=1)),),""WINNER"",""""))"),"#ERROR!")</f>
        <v>#ERROR!</v>
      </c>
      <c r="AF466" s="40" t="str">
        <f t="shared" si="5"/>
        <v/>
      </c>
      <c r="AG466" s="40" t="str">
        <f>IF($J466="","",COUNTIF(Assignments!$B:$B,$J466))</f>
        <v/>
      </c>
      <c r="AH466" s="40" t="str">
        <f>IF($J466="","",IF(AND($AG466=0,$N466&lt;$M466),Config!$B$43,0))</f>
        <v/>
      </c>
      <c r="AI466" s="40" t="str">
        <f>IF($J466="","",IF(AND($L466="Elite",$F466&gt;=Config!$B$41,$N466&lt;$M466),Config!$B$42,0))</f>
        <v/>
      </c>
      <c r="AJ466" s="22"/>
      <c r="AK466" s="39">
        <f>IFERROR(VLOOKUP(J466,Grinders!$A:$Q,28,FALSE),0)</f>
        <v>0</v>
      </c>
      <c r="AL466" s="39">
        <f>IF(Config!$B$1003&lt;&gt;"Y",0,IF(IFERROR(VLOOKUP(J466,Grinders!$A:$P,27,FALSE),0)&gt;=3,IF(OR(F466&gt;=Config!$B$1001,ISNUMBER(SEARCH(E466,Config!$B$1002))),1,0),0))</f>
        <v>0</v>
      </c>
      <c r="AM466" s="39">
        <f t="array" ref="AM466">IFERROR(IF(INDEX(Bids!$AE:$AE,MATCH(B466,Bids!$A:$A,0))="Pending",1,0),0)</f>
        <v>0</v>
      </c>
      <c r="AN466" s="39" t="str">
        <f t="array" ref="AN466">IF(C466="","",IFERROR(XLOOKUP(C466,Assignments!$C:$C,Assignments!$AU:$AU,0),0))</f>
        <v/>
      </c>
      <c r="AO466" s="39">
        <f>IF(AND(Config!$B$1006="Y",AN466=1),Config!$B$1007,0)</f>
        <v>0</v>
      </c>
    </row>
    <row r="467" ht="15.75" customHeight="1">
      <c r="A467" s="46" t="str">
        <f t="shared" si="1"/>
        <v/>
      </c>
      <c r="B467" s="40" t="str">
        <f>IF(Bids!$A467="","",Bids!$A467)</f>
        <v/>
      </c>
      <c r="C467" s="40" t="str">
        <f>IF(Bids!$B467="","",Bids!$B467)</f>
        <v/>
      </c>
      <c r="D467" s="40" t="str">
        <f>IF($C467="","",IFERROR(VLOOKUP($C467,Orders!$A:$J,9,FALSE),""))</f>
        <v/>
      </c>
      <c r="E467" s="40" t="str">
        <f>IF($C467="","",IFERROR(VLOOKUP($C467,Orders!$A:$J,3,FALSE),""))</f>
        <v/>
      </c>
      <c r="F467" s="40" t="str">
        <f>IF($C467="","",IFERROR(VLOOKUP($C467,Orders!$A:$J,4,FALSE),""))</f>
        <v/>
      </c>
      <c r="G467" s="40" t="str">
        <f>IF($C467="","",IFERROR(VLOOKUP($C467,Orders!$A:$J,5,FALSE),""))</f>
        <v/>
      </c>
      <c r="H467" s="40" t="str">
        <f>IF($C467="","",IFERROR(VLOOKUP($C467,Orders!$A:$J,6,FALSE),""))</f>
        <v/>
      </c>
      <c r="I467" s="40" t="str">
        <f>IF($C467="","",IFERROR(VLOOKUP($C467,Orders!$A:$J,7,FALSE),""))</f>
        <v/>
      </c>
      <c r="J467" s="40" t="str">
        <f>IF(Bids!$C467="","",Bids!$C467)</f>
        <v/>
      </c>
      <c r="K467" s="40" t="str">
        <f>IF($J467="","",IFERROR(VLOOKUP($J467,Grinders!$A:$N,2,FALSE),""))</f>
        <v/>
      </c>
      <c r="L467" s="40" t="str">
        <f>IF($J467="","",IFERROR(VLOOKUP($J467,Grinders!$A:$N,3,FALSE),""))</f>
        <v/>
      </c>
      <c r="M467" s="40" t="str">
        <f>IF($J467="","",IFERROR(VLOOKUP($J467,Grinders!$A:$N,4,FALSE),""))</f>
        <v/>
      </c>
      <c r="N467" s="40" t="str">
        <f>IF($J467="","",IFERROR(VLOOKUP($J467,Grinders!$A:$N,5,FALSE),""))</f>
        <v/>
      </c>
      <c r="O467" s="40" t="str">
        <f t="shared" si="2"/>
        <v/>
      </c>
      <c r="P467" s="40" t="str">
        <f>IF($J467="","",IFERROR(VLOOKUP($J467,Grinders!$A:$N,6,FALSE),""))</f>
        <v/>
      </c>
      <c r="Q467" s="40" t="str">
        <f>IF($J467="","",IFERROR(VLOOKUP($J467,Grinders!$A:$N,8,FALSE),""))</f>
        <v/>
      </c>
      <c r="R467" s="40" t="str">
        <f>IFERROR(IF($J467="","",IF($L467="Elite",MAX(50,MIN(100,Config!$B$27*MAX(0,MIN(100,(1-IF($O467="",0,$O467))*100)) + Config!$B$28*MAX(0,MIN(100,(1-MIN(1,IF(Config!$B$30=0,1,$P467/Config!$B$30)))*100)) + Config!$B$29*MAX(0,MIN(100,MIN(1,IF($Q467="",0,$Q467)/Config!$B$23)*100)))),MIN(100,Config!$B$27*MAX(0,MIN(100,(1-IF($O467="",0,$O467))*100)) + Config!$B$28*MAX(0,MIN(100,(1-MIN(1,IF(Config!$B$30=0,1,$P467/Config!$B$30)))*100)) + Config!$B$29*MAX(0,MIN(100,MIN(1,IF($Q467="",0,$Q467)/Config!$B$23)*100))))),"")
</f>
        <v/>
      </c>
      <c r="S467" s="40" t="str">
        <f>IF(Bids!$AC467="","",Bids!$AC467)</f>
        <v/>
      </c>
      <c r="T467" s="40" t="str">
        <f>IF(Bids!$F467="","",Bids!$F467)</f>
        <v/>
      </c>
      <c r="U467" s="40" t="str">
        <f t="shared" si="3"/>
        <v/>
      </c>
      <c r="V467" s="40" t="str">
        <f>IF($U467="","",IF(Config!$B$17=Config!$B$16,IF($U467&gt;=Config!$B$17,100,0),MAX(0,MIN(100,($U467-Config!$B$16)/(Config!$B$17-Config!$B$16)*100))))</f>
        <v/>
      </c>
      <c r="W467" s="40">
        <f>IF($L467="Elite",Config!$B$21,0)</f>
        <v>0</v>
      </c>
      <c r="X467" s="40" t="str">
        <f>IFERROR(IF(OR($T467="",$G467=""),"",IF($T467&gt;$G467,
  MAX(0, 60-(($T467-$G467)*24/Config!$B$19)*60),
  MEDIAN(60, 100, 60+(($G467-$T467)*24/Config!$B$20)*40)
)),"")
</f>
        <v/>
      </c>
      <c r="Y467" s="40" t="str">
        <f>IF($J467="","",IFERROR(VLOOKUP($J467,Grinders!$A:$N,10,FALSE),""))</f>
        <v/>
      </c>
      <c r="Z467" s="40" t="str">
        <f>IF($J467="","",IFERROR(VLOOKUP($J467,Grinders!$A:$N,11,FALSE),""))</f>
        <v/>
      </c>
      <c r="AA467" s="40" t="str">
        <f>IF($J467="","",IFERROR(VLOOKUP($J467,Grinders!$A:$N,12,FALSE),""))</f>
        <v/>
      </c>
      <c r="AB467" s="40" t="str">
        <f>IF(OR(AL467=1,AM467=1),0,=IFERROR(IF(OR($C467="",$J467=""),0,IF($D467&lt;&gt;"Open",0,IF(COUNTIFS(GrinderServices!$A:$A,$J467,GrinderServices!$B:$B,$E467,GrinderServices!$D:$D,"Y")=0,0,IF($U467&lt;Config!$B$16,0,IF(Config!$B$18=1,IF($N467&gt;=$M467,0,1),1))))),""))</f>
        <v>#ERROR!</v>
      </c>
      <c r="AC467" s="40" t="str">
        <f>IFERROR((IF(OR(AL467=1,AM467=1),"",=IFERROR((IFERROR(IF($AB467=0,"",((Config!$B$6*$V467 + Config!$B$7*$R467 + Config!$B$8*$W467 + Config!$B$9*$X467 + Config!$B$10*$Y467 + Config!$B$11*$Z467 - Config!$B$12*$AA467)/Config!$B$13)+$AH467+$AI467),""))*(1-IFERROR(VLOOKUP(J467,Grinders!$A:$AB, 28, FALSE),0)),"")))*(1+AO467),"")</f>
        <v>#ERROR!</v>
      </c>
      <c r="AD467" s="40" t="str">
        <f t="shared" si="4"/>
        <v/>
      </c>
      <c r="AE467" s="40" t="str">
        <f>IFERROR(__xludf.DUMMYFUNCTION("IF($AC467="""","""",IF($AC467=IFERROR(MAX(FILTER($AC$6:$AC$1000,$C$6:$C$1000=$C467,$AB$6:$AB$1000=1)),),""WINNER"",""""))"),"#ERROR!")</f>
        <v>#ERROR!</v>
      </c>
      <c r="AF467" s="40" t="str">
        <f t="shared" si="5"/>
        <v/>
      </c>
      <c r="AG467" s="40" t="str">
        <f>IF($J467="","",COUNTIF(Assignments!$B:$B,$J467))</f>
        <v/>
      </c>
      <c r="AH467" s="40" t="str">
        <f>IF($J467="","",IF(AND($AG467=0,$N467&lt;$M467),Config!$B$43,0))</f>
        <v/>
      </c>
      <c r="AI467" s="40" t="str">
        <f>IF($J467="","",IF(AND($L467="Elite",$F467&gt;=Config!$B$41,$N467&lt;$M467),Config!$B$42,0))</f>
        <v/>
      </c>
      <c r="AJ467" s="22"/>
      <c r="AK467" s="39">
        <f>IFERROR(VLOOKUP(J467,Grinders!$A:$Q,28,FALSE),0)</f>
        <v>0</v>
      </c>
      <c r="AL467" s="39">
        <f>IF(Config!$B$1003&lt;&gt;"Y",0,IF(IFERROR(VLOOKUP(J467,Grinders!$A:$P,27,FALSE),0)&gt;=3,IF(OR(F467&gt;=Config!$B$1001,ISNUMBER(SEARCH(E467,Config!$B$1002))),1,0),0))</f>
        <v>0</v>
      </c>
      <c r="AM467" s="39">
        <f t="array" ref="AM467">IFERROR(IF(INDEX(Bids!$AE:$AE,MATCH(B467,Bids!$A:$A,0))="Pending",1,0),0)</f>
        <v>0</v>
      </c>
      <c r="AN467" s="39" t="str">
        <f t="array" ref="AN467">IF(C467="","",IFERROR(XLOOKUP(C467,Assignments!$C:$C,Assignments!$AU:$AU,0),0))</f>
        <v/>
      </c>
      <c r="AO467" s="39">
        <f>IF(AND(Config!$B$1006="Y",AN467=1),Config!$B$1007,0)</f>
        <v>0</v>
      </c>
    </row>
    <row r="468" ht="15.75" customHeight="1">
      <c r="A468" s="46" t="str">
        <f t="shared" si="1"/>
        <v/>
      </c>
      <c r="B468" s="40" t="str">
        <f>IF(Bids!$A468="","",Bids!$A468)</f>
        <v/>
      </c>
      <c r="C468" s="40" t="str">
        <f>IF(Bids!$B468="","",Bids!$B468)</f>
        <v/>
      </c>
      <c r="D468" s="40" t="str">
        <f>IF($C468="","",IFERROR(VLOOKUP($C468,Orders!$A:$J,9,FALSE),""))</f>
        <v/>
      </c>
      <c r="E468" s="40" t="str">
        <f>IF($C468="","",IFERROR(VLOOKUP($C468,Orders!$A:$J,3,FALSE),""))</f>
        <v/>
      </c>
      <c r="F468" s="40" t="str">
        <f>IF($C468="","",IFERROR(VLOOKUP($C468,Orders!$A:$J,4,FALSE),""))</f>
        <v/>
      </c>
      <c r="G468" s="40" t="str">
        <f>IF($C468="","",IFERROR(VLOOKUP($C468,Orders!$A:$J,5,FALSE),""))</f>
        <v/>
      </c>
      <c r="H468" s="40" t="str">
        <f>IF($C468="","",IFERROR(VLOOKUP($C468,Orders!$A:$J,6,FALSE),""))</f>
        <v/>
      </c>
      <c r="I468" s="40" t="str">
        <f>IF($C468="","",IFERROR(VLOOKUP($C468,Orders!$A:$J,7,FALSE),""))</f>
        <v/>
      </c>
      <c r="J468" s="40" t="str">
        <f>IF(Bids!$C468="","",Bids!$C468)</f>
        <v/>
      </c>
      <c r="K468" s="40" t="str">
        <f>IF($J468="","",IFERROR(VLOOKUP($J468,Grinders!$A:$N,2,FALSE),""))</f>
        <v/>
      </c>
      <c r="L468" s="40" t="str">
        <f>IF($J468="","",IFERROR(VLOOKUP($J468,Grinders!$A:$N,3,FALSE),""))</f>
        <v/>
      </c>
      <c r="M468" s="40" t="str">
        <f>IF($J468="","",IFERROR(VLOOKUP($J468,Grinders!$A:$N,4,FALSE),""))</f>
        <v/>
      </c>
      <c r="N468" s="40" t="str">
        <f>IF($J468="","",IFERROR(VLOOKUP($J468,Grinders!$A:$N,5,FALSE),""))</f>
        <v/>
      </c>
      <c r="O468" s="40" t="str">
        <f t="shared" si="2"/>
        <v/>
      </c>
      <c r="P468" s="40" t="str">
        <f>IF($J468="","",IFERROR(VLOOKUP($J468,Grinders!$A:$N,6,FALSE),""))</f>
        <v/>
      </c>
      <c r="Q468" s="40" t="str">
        <f>IF($J468="","",IFERROR(VLOOKUP($J468,Grinders!$A:$N,8,FALSE),""))</f>
        <v/>
      </c>
      <c r="R468" s="40" t="str">
        <f>IFERROR(IF($J468="","",IF($L468="Elite",MAX(50,MIN(100,Config!$B$27*MAX(0,MIN(100,(1-IF($O468="",0,$O468))*100)) + Config!$B$28*MAX(0,MIN(100,(1-MIN(1,IF(Config!$B$30=0,1,$P468/Config!$B$30)))*100)) + Config!$B$29*MAX(0,MIN(100,MIN(1,IF($Q468="",0,$Q468)/Config!$B$23)*100)))),MIN(100,Config!$B$27*MAX(0,MIN(100,(1-IF($O468="",0,$O468))*100)) + Config!$B$28*MAX(0,MIN(100,(1-MIN(1,IF(Config!$B$30=0,1,$P468/Config!$B$30)))*100)) + Config!$B$29*MAX(0,MIN(100,MIN(1,IF($Q468="",0,$Q468)/Config!$B$23)*100))))),"")
</f>
        <v/>
      </c>
      <c r="S468" s="40" t="str">
        <f>IF(Bids!$AC468="","",Bids!$AC468)</f>
        <v/>
      </c>
      <c r="T468" s="40" t="str">
        <f>IF(Bids!$F468="","",Bids!$F468)</f>
        <v/>
      </c>
      <c r="U468" s="40" t="str">
        <f t="shared" si="3"/>
        <v/>
      </c>
      <c r="V468" s="40" t="str">
        <f>IF($U468="","",IF(Config!$B$17=Config!$B$16,IF($U468&gt;=Config!$B$17,100,0),MAX(0,MIN(100,($U468-Config!$B$16)/(Config!$B$17-Config!$B$16)*100))))</f>
        <v/>
      </c>
      <c r="W468" s="40">
        <f>IF($L468="Elite",Config!$B$21,0)</f>
        <v>0</v>
      </c>
      <c r="X468" s="40" t="str">
        <f>IFERROR(IF(OR($T468="",$G468=""),"",IF($T468&gt;$G468,
  MAX(0, 60-(($T468-$G468)*24/Config!$B$19)*60),
  MEDIAN(60, 100, 60+(($G468-$T468)*24/Config!$B$20)*40)
)),"")
</f>
        <v/>
      </c>
      <c r="Y468" s="40" t="str">
        <f>IF($J468="","",IFERROR(VLOOKUP($J468,Grinders!$A:$N,10,FALSE),""))</f>
        <v/>
      </c>
      <c r="Z468" s="40" t="str">
        <f>IF($J468="","",IFERROR(VLOOKUP($J468,Grinders!$A:$N,11,FALSE),""))</f>
        <v/>
      </c>
      <c r="AA468" s="40" t="str">
        <f>IF($J468="","",IFERROR(VLOOKUP($J468,Grinders!$A:$N,12,FALSE),""))</f>
        <v/>
      </c>
      <c r="AB468" s="40" t="str">
        <f>IF(OR(AL468=1,AM468=1),0,=IFERROR(IF(OR($C468="",$J468=""),0,IF($D468&lt;&gt;"Open",0,IF(COUNTIFS(GrinderServices!$A:$A,$J468,GrinderServices!$B:$B,$E468,GrinderServices!$D:$D,"Y")=0,0,IF($U468&lt;Config!$B$16,0,IF(Config!$B$18=1,IF($N468&gt;=$M468,0,1),1))))),""))</f>
        <v>#ERROR!</v>
      </c>
      <c r="AC468" s="40" t="str">
        <f>IFERROR((IF(OR(AL468=1,AM468=1),"",=IFERROR((IFERROR(IF($AB468=0,"",((Config!$B$6*$V468 + Config!$B$7*$R468 + Config!$B$8*$W468 + Config!$B$9*$X468 + Config!$B$10*$Y468 + Config!$B$11*$Z468 - Config!$B$12*$AA468)/Config!$B$13)+$AH468+$AI468),""))*(1-IFERROR(VLOOKUP(J468,Grinders!$A:$AB, 28, FALSE),0)),"")))*(1+AO468),"")</f>
        <v>#ERROR!</v>
      </c>
      <c r="AD468" s="40" t="str">
        <f t="shared" si="4"/>
        <v/>
      </c>
      <c r="AE468" s="40" t="str">
        <f>IFERROR(__xludf.DUMMYFUNCTION("IF($AC468="""","""",IF($AC468=IFERROR(MAX(FILTER($AC$6:$AC$1000,$C$6:$C$1000=$C468,$AB$6:$AB$1000=1)),),""WINNER"",""""))"),"#ERROR!")</f>
        <v>#ERROR!</v>
      </c>
      <c r="AF468" s="40" t="str">
        <f t="shared" si="5"/>
        <v/>
      </c>
      <c r="AG468" s="40" t="str">
        <f>IF($J468="","",COUNTIF(Assignments!$B:$B,$J468))</f>
        <v/>
      </c>
      <c r="AH468" s="40" t="str">
        <f>IF($J468="","",IF(AND($AG468=0,$N468&lt;$M468),Config!$B$43,0))</f>
        <v/>
      </c>
      <c r="AI468" s="40" t="str">
        <f>IF($J468="","",IF(AND($L468="Elite",$F468&gt;=Config!$B$41,$N468&lt;$M468),Config!$B$42,0))</f>
        <v/>
      </c>
      <c r="AJ468" s="22"/>
      <c r="AK468" s="39">
        <f>IFERROR(VLOOKUP(J468,Grinders!$A:$Q,28,FALSE),0)</f>
        <v>0</v>
      </c>
      <c r="AL468" s="39">
        <f>IF(Config!$B$1003&lt;&gt;"Y",0,IF(IFERROR(VLOOKUP(J468,Grinders!$A:$P,27,FALSE),0)&gt;=3,IF(OR(F468&gt;=Config!$B$1001,ISNUMBER(SEARCH(E468,Config!$B$1002))),1,0),0))</f>
        <v>0</v>
      </c>
      <c r="AM468" s="39">
        <f t="array" ref="AM468">IFERROR(IF(INDEX(Bids!$AE:$AE,MATCH(B468,Bids!$A:$A,0))="Pending",1,0),0)</f>
        <v>0</v>
      </c>
      <c r="AN468" s="39" t="str">
        <f t="array" ref="AN468">IF(C468="","",IFERROR(XLOOKUP(C468,Assignments!$C:$C,Assignments!$AU:$AU,0),0))</f>
        <v/>
      </c>
      <c r="AO468" s="39">
        <f>IF(AND(Config!$B$1006="Y",AN468=1),Config!$B$1007,0)</f>
        <v>0</v>
      </c>
    </row>
    <row r="469" ht="15.75" customHeight="1">
      <c r="A469" s="46" t="str">
        <f t="shared" si="1"/>
        <v/>
      </c>
      <c r="B469" s="40" t="str">
        <f>IF(Bids!$A469="","",Bids!$A469)</f>
        <v/>
      </c>
      <c r="C469" s="40" t="str">
        <f>IF(Bids!$B469="","",Bids!$B469)</f>
        <v/>
      </c>
      <c r="D469" s="40" t="str">
        <f>IF($C469="","",IFERROR(VLOOKUP($C469,Orders!$A:$J,9,FALSE),""))</f>
        <v/>
      </c>
      <c r="E469" s="40" t="str">
        <f>IF($C469="","",IFERROR(VLOOKUP($C469,Orders!$A:$J,3,FALSE),""))</f>
        <v/>
      </c>
      <c r="F469" s="40" t="str">
        <f>IF($C469="","",IFERROR(VLOOKUP($C469,Orders!$A:$J,4,FALSE),""))</f>
        <v/>
      </c>
      <c r="G469" s="40" t="str">
        <f>IF($C469="","",IFERROR(VLOOKUP($C469,Orders!$A:$J,5,FALSE),""))</f>
        <v/>
      </c>
      <c r="H469" s="40" t="str">
        <f>IF($C469="","",IFERROR(VLOOKUP($C469,Orders!$A:$J,6,FALSE),""))</f>
        <v/>
      </c>
      <c r="I469" s="40" t="str">
        <f>IF($C469="","",IFERROR(VLOOKUP($C469,Orders!$A:$J,7,FALSE),""))</f>
        <v/>
      </c>
      <c r="J469" s="40" t="str">
        <f>IF(Bids!$C469="","",Bids!$C469)</f>
        <v/>
      </c>
      <c r="K469" s="40" t="str">
        <f>IF($J469="","",IFERROR(VLOOKUP($J469,Grinders!$A:$N,2,FALSE),""))</f>
        <v/>
      </c>
      <c r="L469" s="40" t="str">
        <f>IF($J469="","",IFERROR(VLOOKUP($J469,Grinders!$A:$N,3,FALSE),""))</f>
        <v/>
      </c>
      <c r="M469" s="40" t="str">
        <f>IF($J469="","",IFERROR(VLOOKUP($J469,Grinders!$A:$N,4,FALSE),""))</f>
        <v/>
      </c>
      <c r="N469" s="40" t="str">
        <f>IF($J469="","",IFERROR(VLOOKUP($J469,Grinders!$A:$N,5,FALSE),""))</f>
        <v/>
      </c>
      <c r="O469" s="40" t="str">
        <f t="shared" si="2"/>
        <v/>
      </c>
      <c r="P469" s="40" t="str">
        <f>IF($J469="","",IFERROR(VLOOKUP($J469,Grinders!$A:$N,6,FALSE),""))</f>
        <v/>
      </c>
      <c r="Q469" s="40" t="str">
        <f>IF($J469="","",IFERROR(VLOOKUP($J469,Grinders!$A:$N,8,FALSE),""))</f>
        <v/>
      </c>
      <c r="R469" s="40" t="str">
        <f>IFERROR(IF($J469="","",IF($L469="Elite",MAX(50,MIN(100,Config!$B$27*MAX(0,MIN(100,(1-IF($O469="",0,$O469))*100)) + Config!$B$28*MAX(0,MIN(100,(1-MIN(1,IF(Config!$B$30=0,1,$P469/Config!$B$30)))*100)) + Config!$B$29*MAX(0,MIN(100,MIN(1,IF($Q469="",0,$Q469)/Config!$B$23)*100)))),MIN(100,Config!$B$27*MAX(0,MIN(100,(1-IF($O469="",0,$O469))*100)) + Config!$B$28*MAX(0,MIN(100,(1-MIN(1,IF(Config!$B$30=0,1,$P469/Config!$B$30)))*100)) + Config!$B$29*MAX(0,MIN(100,MIN(1,IF($Q469="",0,$Q469)/Config!$B$23)*100))))),"")
</f>
        <v/>
      </c>
      <c r="S469" s="40" t="str">
        <f>IF(Bids!$AC469="","",Bids!$AC469)</f>
        <v/>
      </c>
      <c r="T469" s="40" t="str">
        <f>IF(Bids!$F469="","",Bids!$F469)</f>
        <v/>
      </c>
      <c r="U469" s="40" t="str">
        <f t="shared" si="3"/>
        <v/>
      </c>
      <c r="V469" s="40" t="str">
        <f>IF($U469="","",IF(Config!$B$17=Config!$B$16,IF($U469&gt;=Config!$B$17,100,0),MAX(0,MIN(100,($U469-Config!$B$16)/(Config!$B$17-Config!$B$16)*100))))</f>
        <v/>
      </c>
      <c r="W469" s="40">
        <f>IF($L469="Elite",Config!$B$21,0)</f>
        <v>0</v>
      </c>
      <c r="X469" s="40" t="str">
        <f>IFERROR(IF(OR($T469="",$G469=""),"",IF($T469&gt;$G469,
  MAX(0, 60-(($T469-$G469)*24/Config!$B$19)*60),
  MEDIAN(60, 100, 60+(($G469-$T469)*24/Config!$B$20)*40)
)),"")
</f>
        <v/>
      </c>
      <c r="Y469" s="40" t="str">
        <f>IF($J469="","",IFERROR(VLOOKUP($J469,Grinders!$A:$N,10,FALSE),""))</f>
        <v/>
      </c>
      <c r="Z469" s="40" t="str">
        <f>IF($J469="","",IFERROR(VLOOKUP($J469,Grinders!$A:$N,11,FALSE),""))</f>
        <v/>
      </c>
      <c r="AA469" s="40" t="str">
        <f>IF($J469="","",IFERROR(VLOOKUP($J469,Grinders!$A:$N,12,FALSE),""))</f>
        <v/>
      </c>
      <c r="AB469" s="40" t="str">
        <f>IF(OR(AL469=1,AM469=1),0,=IFERROR(IF(OR($C469="",$J469=""),0,IF($D469&lt;&gt;"Open",0,IF(COUNTIFS(GrinderServices!$A:$A,$J469,GrinderServices!$B:$B,$E469,GrinderServices!$D:$D,"Y")=0,0,IF($U469&lt;Config!$B$16,0,IF(Config!$B$18=1,IF($N469&gt;=$M469,0,1),1))))),""))</f>
        <v>#ERROR!</v>
      </c>
      <c r="AC469" s="40" t="str">
        <f>IFERROR((IF(OR(AL469=1,AM469=1),"",=IFERROR((IFERROR(IF($AB469=0,"",((Config!$B$6*$V469 + Config!$B$7*$R469 + Config!$B$8*$W469 + Config!$B$9*$X469 + Config!$B$10*$Y469 + Config!$B$11*$Z469 - Config!$B$12*$AA469)/Config!$B$13)+$AH469+$AI469),""))*(1-IFERROR(VLOOKUP(J469,Grinders!$A:$AB, 28, FALSE),0)),"")))*(1+AO469),"")</f>
        <v>#ERROR!</v>
      </c>
      <c r="AD469" s="40" t="str">
        <f t="shared" si="4"/>
        <v/>
      </c>
      <c r="AE469" s="40" t="str">
        <f>IFERROR(__xludf.DUMMYFUNCTION("IF($AC469="""","""",IF($AC469=IFERROR(MAX(FILTER($AC$6:$AC$1000,$C$6:$C$1000=$C469,$AB$6:$AB$1000=1)),),""WINNER"",""""))"),"#ERROR!")</f>
        <v>#ERROR!</v>
      </c>
      <c r="AF469" s="40" t="str">
        <f t="shared" si="5"/>
        <v/>
      </c>
      <c r="AG469" s="40" t="str">
        <f>IF($J469="","",COUNTIF(Assignments!$B:$B,$J469))</f>
        <v/>
      </c>
      <c r="AH469" s="40" t="str">
        <f>IF($J469="","",IF(AND($AG469=0,$N469&lt;$M469),Config!$B$43,0))</f>
        <v/>
      </c>
      <c r="AI469" s="40" t="str">
        <f>IF($J469="","",IF(AND($L469="Elite",$F469&gt;=Config!$B$41,$N469&lt;$M469),Config!$B$42,0))</f>
        <v/>
      </c>
      <c r="AJ469" s="22"/>
      <c r="AK469" s="39">
        <f>IFERROR(VLOOKUP(J469,Grinders!$A:$Q,28,FALSE),0)</f>
        <v>0</v>
      </c>
      <c r="AL469" s="39">
        <f>IF(Config!$B$1003&lt;&gt;"Y",0,IF(IFERROR(VLOOKUP(J469,Grinders!$A:$P,27,FALSE),0)&gt;=3,IF(OR(F469&gt;=Config!$B$1001,ISNUMBER(SEARCH(E469,Config!$B$1002))),1,0),0))</f>
        <v>0</v>
      </c>
      <c r="AM469" s="39">
        <f t="array" ref="AM469">IFERROR(IF(INDEX(Bids!$AE:$AE,MATCH(B469,Bids!$A:$A,0))="Pending",1,0),0)</f>
        <v>0</v>
      </c>
      <c r="AN469" s="39" t="str">
        <f t="array" ref="AN469">IF(C469="","",IFERROR(XLOOKUP(C469,Assignments!$C:$C,Assignments!$AU:$AU,0),0))</f>
        <v/>
      </c>
      <c r="AO469" s="39">
        <f>IF(AND(Config!$B$1006="Y",AN469=1),Config!$B$1007,0)</f>
        <v>0</v>
      </c>
    </row>
    <row r="470" ht="15.75" customHeight="1">
      <c r="A470" s="46" t="str">
        <f t="shared" si="1"/>
        <v/>
      </c>
      <c r="B470" s="40" t="str">
        <f>IF(Bids!$A470="","",Bids!$A470)</f>
        <v/>
      </c>
      <c r="C470" s="40" t="str">
        <f>IF(Bids!$B470="","",Bids!$B470)</f>
        <v/>
      </c>
      <c r="D470" s="40" t="str">
        <f>IF($C470="","",IFERROR(VLOOKUP($C470,Orders!$A:$J,9,FALSE),""))</f>
        <v/>
      </c>
      <c r="E470" s="40" t="str">
        <f>IF($C470="","",IFERROR(VLOOKUP($C470,Orders!$A:$J,3,FALSE),""))</f>
        <v/>
      </c>
      <c r="F470" s="40" t="str">
        <f>IF($C470="","",IFERROR(VLOOKUP($C470,Orders!$A:$J,4,FALSE),""))</f>
        <v/>
      </c>
      <c r="G470" s="40" t="str">
        <f>IF($C470="","",IFERROR(VLOOKUP($C470,Orders!$A:$J,5,FALSE),""))</f>
        <v/>
      </c>
      <c r="H470" s="40" t="str">
        <f>IF($C470="","",IFERROR(VLOOKUP($C470,Orders!$A:$J,6,FALSE),""))</f>
        <v/>
      </c>
      <c r="I470" s="40" t="str">
        <f>IF($C470="","",IFERROR(VLOOKUP($C470,Orders!$A:$J,7,FALSE),""))</f>
        <v/>
      </c>
      <c r="J470" s="40" t="str">
        <f>IF(Bids!$C470="","",Bids!$C470)</f>
        <v/>
      </c>
      <c r="K470" s="40" t="str">
        <f>IF($J470="","",IFERROR(VLOOKUP($J470,Grinders!$A:$N,2,FALSE),""))</f>
        <v/>
      </c>
      <c r="L470" s="40" t="str">
        <f>IF($J470="","",IFERROR(VLOOKUP($J470,Grinders!$A:$N,3,FALSE),""))</f>
        <v/>
      </c>
      <c r="M470" s="40" t="str">
        <f>IF($J470="","",IFERROR(VLOOKUP($J470,Grinders!$A:$N,4,FALSE),""))</f>
        <v/>
      </c>
      <c r="N470" s="40" t="str">
        <f>IF($J470="","",IFERROR(VLOOKUP($J470,Grinders!$A:$N,5,FALSE),""))</f>
        <v/>
      </c>
      <c r="O470" s="40" t="str">
        <f t="shared" si="2"/>
        <v/>
      </c>
      <c r="P470" s="40" t="str">
        <f>IF($J470="","",IFERROR(VLOOKUP($J470,Grinders!$A:$N,6,FALSE),""))</f>
        <v/>
      </c>
      <c r="Q470" s="40" t="str">
        <f>IF($J470="","",IFERROR(VLOOKUP($J470,Grinders!$A:$N,8,FALSE),""))</f>
        <v/>
      </c>
      <c r="R470" s="40" t="str">
        <f>IFERROR(IF($J470="","",IF($L470="Elite",MAX(50,MIN(100,Config!$B$27*MAX(0,MIN(100,(1-IF($O470="",0,$O470))*100)) + Config!$B$28*MAX(0,MIN(100,(1-MIN(1,IF(Config!$B$30=0,1,$P470/Config!$B$30)))*100)) + Config!$B$29*MAX(0,MIN(100,MIN(1,IF($Q470="",0,$Q470)/Config!$B$23)*100)))),MIN(100,Config!$B$27*MAX(0,MIN(100,(1-IF($O470="",0,$O470))*100)) + Config!$B$28*MAX(0,MIN(100,(1-MIN(1,IF(Config!$B$30=0,1,$P470/Config!$B$30)))*100)) + Config!$B$29*MAX(0,MIN(100,MIN(1,IF($Q470="",0,$Q470)/Config!$B$23)*100))))),"")
</f>
        <v/>
      </c>
      <c r="S470" s="40" t="str">
        <f>IF(Bids!$AC470="","",Bids!$AC470)</f>
        <v/>
      </c>
      <c r="T470" s="40" t="str">
        <f>IF(Bids!$F470="","",Bids!$F470)</f>
        <v/>
      </c>
      <c r="U470" s="40" t="str">
        <f t="shared" si="3"/>
        <v/>
      </c>
      <c r="V470" s="40" t="str">
        <f>IF($U470="","",IF(Config!$B$17=Config!$B$16,IF($U470&gt;=Config!$B$17,100,0),MAX(0,MIN(100,($U470-Config!$B$16)/(Config!$B$17-Config!$B$16)*100))))</f>
        <v/>
      </c>
      <c r="W470" s="40">
        <f>IF($L470="Elite",Config!$B$21,0)</f>
        <v>0</v>
      </c>
      <c r="X470" s="40" t="str">
        <f>IFERROR(IF(OR($T470="",$G470=""),"",IF($T470&gt;$G470,
  MAX(0, 60-(($T470-$G470)*24/Config!$B$19)*60),
  MEDIAN(60, 100, 60+(($G470-$T470)*24/Config!$B$20)*40)
)),"")
</f>
        <v/>
      </c>
      <c r="Y470" s="40" t="str">
        <f>IF($J470="","",IFERROR(VLOOKUP($J470,Grinders!$A:$N,10,FALSE),""))</f>
        <v/>
      </c>
      <c r="Z470" s="40" t="str">
        <f>IF($J470="","",IFERROR(VLOOKUP($J470,Grinders!$A:$N,11,FALSE),""))</f>
        <v/>
      </c>
      <c r="AA470" s="40" t="str">
        <f>IF($J470="","",IFERROR(VLOOKUP($J470,Grinders!$A:$N,12,FALSE),""))</f>
        <v/>
      </c>
      <c r="AB470" s="40" t="str">
        <f>IF(OR(AL470=1,AM470=1),0,=IFERROR(IF(OR($C470="",$J470=""),0,IF($D470&lt;&gt;"Open",0,IF(COUNTIFS(GrinderServices!$A:$A,$J470,GrinderServices!$B:$B,$E470,GrinderServices!$D:$D,"Y")=0,0,IF($U470&lt;Config!$B$16,0,IF(Config!$B$18=1,IF($N470&gt;=$M470,0,1),1))))),""))</f>
        <v>#ERROR!</v>
      </c>
      <c r="AC470" s="40" t="str">
        <f>IFERROR((IF(OR(AL470=1,AM470=1),"",=IFERROR((IFERROR(IF($AB470=0,"",((Config!$B$6*$V470 + Config!$B$7*$R470 + Config!$B$8*$W470 + Config!$B$9*$X470 + Config!$B$10*$Y470 + Config!$B$11*$Z470 - Config!$B$12*$AA470)/Config!$B$13)+$AH470+$AI470),""))*(1-IFERROR(VLOOKUP(J470,Grinders!$A:$AB, 28, FALSE),0)),"")))*(1+AO470),"")</f>
        <v>#ERROR!</v>
      </c>
      <c r="AD470" s="40" t="str">
        <f t="shared" si="4"/>
        <v/>
      </c>
      <c r="AE470" s="40" t="str">
        <f>IFERROR(__xludf.DUMMYFUNCTION("IF($AC470="""","""",IF($AC470=IFERROR(MAX(FILTER($AC$6:$AC$1000,$C$6:$C$1000=$C470,$AB$6:$AB$1000=1)),),""WINNER"",""""))"),"#ERROR!")</f>
        <v>#ERROR!</v>
      </c>
      <c r="AF470" s="40" t="str">
        <f t="shared" si="5"/>
        <v/>
      </c>
      <c r="AG470" s="40" t="str">
        <f>IF($J470="","",COUNTIF(Assignments!$B:$B,$J470))</f>
        <v/>
      </c>
      <c r="AH470" s="40" t="str">
        <f>IF($J470="","",IF(AND($AG470=0,$N470&lt;$M470),Config!$B$43,0))</f>
        <v/>
      </c>
      <c r="AI470" s="40" t="str">
        <f>IF($J470="","",IF(AND($L470="Elite",$F470&gt;=Config!$B$41,$N470&lt;$M470),Config!$B$42,0))</f>
        <v/>
      </c>
      <c r="AJ470" s="22"/>
      <c r="AK470" s="39">
        <f>IFERROR(VLOOKUP(J470,Grinders!$A:$Q,28,FALSE),0)</f>
        <v>0</v>
      </c>
      <c r="AL470" s="39">
        <f>IF(Config!$B$1003&lt;&gt;"Y",0,IF(IFERROR(VLOOKUP(J470,Grinders!$A:$P,27,FALSE),0)&gt;=3,IF(OR(F470&gt;=Config!$B$1001,ISNUMBER(SEARCH(E470,Config!$B$1002))),1,0),0))</f>
        <v>0</v>
      </c>
      <c r="AM470" s="39">
        <f t="array" ref="AM470">IFERROR(IF(INDEX(Bids!$AE:$AE,MATCH(B470,Bids!$A:$A,0))="Pending",1,0),0)</f>
        <v>0</v>
      </c>
      <c r="AN470" s="39" t="str">
        <f t="array" ref="AN470">IF(C470="","",IFERROR(XLOOKUP(C470,Assignments!$C:$C,Assignments!$AU:$AU,0),0))</f>
        <v/>
      </c>
      <c r="AO470" s="39">
        <f>IF(AND(Config!$B$1006="Y",AN470=1),Config!$B$1007,0)</f>
        <v>0</v>
      </c>
    </row>
    <row r="471" ht="15.75" customHeight="1">
      <c r="A471" s="46" t="str">
        <f t="shared" si="1"/>
        <v/>
      </c>
      <c r="B471" s="40" t="str">
        <f>IF(Bids!$A471="","",Bids!$A471)</f>
        <v/>
      </c>
      <c r="C471" s="40" t="str">
        <f>IF(Bids!$B471="","",Bids!$B471)</f>
        <v/>
      </c>
      <c r="D471" s="40" t="str">
        <f>IF($C471="","",IFERROR(VLOOKUP($C471,Orders!$A:$J,9,FALSE),""))</f>
        <v/>
      </c>
      <c r="E471" s="40" t="str">
        <f>IF($C471="","",IFERROR(VLOOKUP($C471,Orders!$A:$J,3,FALSE),""))</f>
        <v/>
      </c>
      <c r="F471" s="40" t="str">
        <f>IF($C471="","",IFERROR(VLOOKUP($C471,Orders!$A:$J,4,FALSE),""))</f>
        <v/>
      </c>
      <c r="G471" s="40" t="str">
        <f>IF($C471="","",IFERROR(VLOOKUP($C471,Orders!$A:$J,5,FALSE),""))</f>
        <v/>
      </c>
      <c r="H471" s="40" t="str">
        <f>IF($C471="","",IFERROR(VLOOKUP($C471,Orders!$A:$J,6,FALSE),""))</f>
        <v/>
      </c>
      <c r="I471" s="40" t="str">
        <f>IF($C471="","",IFERROR(VLOOKUP($C471,Orders!$A:$J,7,FALSE),""))</f>
        <v/>
      </c>
      <c r="J471" s="40" t="str">
        <f>IF(Bids!$C471="","",Bids!$C471)</f>
        <v/>
      </c>
      <c r="K471" s="40" t="str">
        <f>IF($J471="","",IFERROR(VLOOKUP($J471,Grinders!$A:$N,2,FALSE),""))</f>
        <v/>
      </c>
      <c r="L471" s="40" t="str">
        <f>IF($J471="","",IFERROR(VLOOKUP($J471,Grinders!$A:$N,3,FALSE),""))</f>
        <v/>
      </c>
      <c r="M471" s="40" t="str">
        <f>IF($J471="","",IFERROR(VLOOKUP($J471,Grinders!$A:$N,4,FALSE),""))</f>
        <v/>
      </c>
      <c r="N471" s="40" t="str">
        <f>IF($J471="","",IFERROR(VLOOKUP($J471,Grinders!$A:$N,5,FALSE),""))</f>
        <v/>
      </c>
      <c r="O471" s="40" t="str">
        <f t="shared" si="2"/>
        <v/>
      </c>
      <c r="P471" s="40" t="str">
        <f>IF($J471="","",IFERROR(VLOOKUP($J471,Grinders!$A:$N,6,FALSE),""))</f>
        <v/>
      </c>
      <c r="Q471" s="40" t="str">
        <f>IF($J471="","",IFERROR(VLOOKUP($J471,Grinders!$A:$N,8,FALSE),""))</f>
        <v/>
      </c>
      <c r="R471" s="40" t="str">
        <f>IFERROR(IF($J471="","",IF($L471="Elite",MAX(50,MIN(100,Config!$B$27*MAX(0,MIN(100,(1-IF($O471="",0,$O471))*100)) + Config!$B$28*MAX(0,MIN(100,(1-MIN(1,IF(Config!$B$30=0,1,$P471/Config!$B$30)))*100)) + Config!$B$29*MAX(0,MIN(100,MIN(1,IF($Q471="",0,$Q471)/Config!$B$23)*100)))),MIN(100,Config!$B$27*MAX(0,MIN(100,(1-IF($O471="",0,$O471))*100)) + Config!$B$28*MAX(0,MIN(100,(1-MIN(1,IF(Config!$B$30=0,1,$P471/Config!$B$30)))*100)) + Config!$B$29*MAX(0,MIN(100,MIN(1,IF($Q471="",0,$Q471)/Config!$B$23)*100))))),"")
</f>
        <v/>
      </c>
      <c r="S471" s="40" t="str">
        <f>IF(Bids!$AC471="","",Bids!$AC471)</f>
        <v/>
      </c>
      <c r="T471" s="40" t="str">
        <f>IF(Bids!$F471="","",Bids!$F471)</f>
        <v/>
      </c>
      <c r="U471" s="40" t="str">
        <f t="shared" si="3"/>
        <v/>
      </c>
      <c r="V471" s="40" t="str">
        <f>IF($U471="","",IF(Config!$B$17=Config!$B$16,IF($U471&gt;=Config!$B$17,100,0),MAX(0,MIN(100,($U471-Config!$B$16)/(Config!$B$17-Config!$B$16)*100))))</f>
        <v/>
      </c>
      <c r="W471" s="40">
        <f>IF($L471="Elite",Config!$B$21,0)</f>
        <v>0</v>
      </c>
      <c r="X471" s="40" t="str">
        <f>IFERROR(IF(OR($T471="",$G471=""),"",IF($T471&gt;$G471,
  MAX(0, 60-(($T471-$G471)*24/Config!$B$19)*60),
  MEDIAN(60, 100, 60+(($G471-$T471)*24/Config!$B$20)*40)
)),"")
</f>
        <v/>
      </c>
      <c r="Y471" s="40" t="str">
        <f>IF($J471="","",IFERROR(VLOOKUP($J471,Grinders!$A:$N,10,FALSE),""))</f>
        <v/>
      </c>
      <c r="Z471" s="40" t="str">
        <f>IF($J471="","",IFERROR(VLOOKUP($J471,Grinders!$A:$N,11,FALSE),""))</f>
        <v/>
      </c>
      <c r="AA471" s="40" t="str">
        <f>IF($J471="","",IFERROR(VLOOKUP($J471,Grinders!$A:$N,12,FALSE),""))</f>
        <v/>
      </c>
      <c r="AB471" s="40" t="str">
        <f>IF(OR(AL471=1,AM471=1),0,=IFERROR(IF(OR($C471="",$J471=""),0,IF($D471&lt;&gt;"Open",0,IF(COUNTIFS(GrinderServices!$A:$A,$J471,GrinderServices!$B:$B,$E471,GrinderServices!$D:$D,"Y")=0,0,IF($U471&lt;Config!$B$16,0,IF(Config!$B$18=1,IF($N471&gt;=$M471,0,1),1))))),""))</f>
        <v>#ERROR!</v>
      </c>
      <c r="AC471" s="40" t="str">
        <f>IFERROR((IF(OR(AL471=1,AM471=1),"",=IFERROR((IFERROR(IF($AB471=0,"",((Config!$B$6*$V471 + Config!$B$7*$R471 + Config!$B$8*$W471 + Config!$B$9*$X471 + Config!$B$10*$Y471 + Config!$B$11*$Z471 - Config!$B$12*$AA471)/Config!$B$13)+$AH471+$AI471),""))*(1-IFERROR(VLOOKUP(J471,Grinders!$A:$AB, 28, FALSE),0)),"")))*(1+AO471),"")</f>
        <v>#ERROR!</v>
      </c>
      <c r="AD471" s="40" t="str">
        <f t="shared" si="4"/>
        <v/>
      </c>
      <c r="AE471" s="40" t="str">
        <f>IFERROR(__xludf.DUMMYFUNCTION("IF($AC471="""","""",IF($AC471=IFERROR(MAX(FILTER($AC$6:$AC$1000,$C$6:$C$1000=$C471,$AB$6:$AB$1000=1)),),""WINNER"",""""))"),"#ERROR!")</f>
        <v>#ERROR!</v>
      </c>
      <c r="AF471" s="40" t="str">
        <f t="shared" si="5"/>
        <v/>
      </c>
      <c r="AG471" s="40" t="str">
        <f>IF($J471="","",COUNTIF(Assignments!$B:$B,$J471))</f>
        <v/>
      </c>
      <c r="AH471" s="40" t="str">
        <f>IF($J471="","",IF(AND($AG471=0,$N471&lt;$M471),Config!$B$43,0))</f>
        <v/>
      </c>
      <c r="AI471" s="40" t="str">
        <f>IF($J471="","",IF(AND($L471="Elite",$F471&gt;=Config!$B$41,$N471&lt;$M471),Config!$B$42,0))</f>
        <v/>
      </c>
      <c r="AJ471" s="22"/>
      <c r="AK471" s="39">
        <f>IFERROR(VLOOKUP(J471,Grinders!$A:$Q,28,FALSE),0)</f>
        <v>0</v>
      </c>
      <c r="AL471" s="39">
        <f>IF(Config!$B$1003&lt;&gt;"Y",0,IF(IFERROR(VLOOKUP(J471,Grinders!$A:$P,27,FALSE),0)&gt;=3,IF(OR(F471&gt;=Config!$B$1001,ISNUMBER(SEARCH(E471,Config!$B$1002))),1,0),0))</f>
        <v>0</v>
      </c>
      <c r="AM471" s="39">
        <f t="array" ref="AM471">IFERROR(IF(INDEX(Bids!$AE:$AE,MATCH(B471,Bids!$A:$A,0))="Pending",1,0),0)</f>
        <v>0</v>
      </c>
      <c r="AN471" s="39" t="str">
        <f t="array" ref="AN471">IF(C471="","",IFERROR(XLOOKUP(C471,Assignments!$C:$C,Assignments!$AU:$AU,0),0))</f>
        <v/>
      </c>
      <c r="AO471" s="39">
        <f>IF(AND(Config!$B$1006="Y",AN471=1),Config!$B$1007,0)</f>
        <v>0</v>
      </c>
    </row>
    <row r="472" ht="15.75" customHeight="1">
      <c r="A472" s="46" t="str">
        <f t="shared" si="1"/>
        <v/>
      </c>
      <c r="B472" s="40" t="str">
        <f>IF(Bids!$A472="","",Bids!$A472)</f>
        <v/>
      </c>
      <c r="C472" s="40" t="str">
        <f>IF(Bids!$B472="","",Bids!$B472)</f>
        <v/>
      </c>
      <c r="D472" s="40" t="str">
        <f>IF($C472="","",IFERROR(VLOOKUP($C472,Orders!$A:$J,9,FALSE),""))</f>
        <v/>
      </c>
      <c r="E472" s="40" t="str">
        <f>IF($C472="","",IFERROR(VLOOKUP($C472,Orders!$A:$J,3,FALSE),""))</f>
        <v/>
      </c>
      <c r="F472" s="40" t="str">
        <f>IF($C472="","",IFERROR(VLOOKUP($C472,Orders!$A:$J,4,FALSE),""))</f>
        <v/>
      </c>
      <c r="G472" s="40" t="str">
        <f>IF($C472="","",IFERROR(VLOOKUP($C472,Orders!$A:$J,5,FALSE),""))</f>
        <v/>
      </c>
      <c r="H472" s="40" t="str">
        <f>IF($C472="","",IFERROR(VLOOKUP($C472,Orders!$A:$J,6,FALSE),""))</f>
        <v/>
      </c>
      <c r="I472" s="40" t="str">
        <f>IF($C472="","",IFERROR(VLOOKUP($C472,Orders!$A:$J,7,FALSE),""))</f>
        <v/>
      </c>
      <c r="J472" s="40" t="str">
        <f>IF(Bids!$C472="","",Bids!$C472)</f>
        <v/>
      </c>
      <c r="K472" s="40" t="str">
        <f>IF($J472="","",IFERROR(VLOOKUP($J472,Grinders!$A:$N,2,FALSE),""))</f>
        <v/>
      </c>
      <c r="L472" s="40" t="str">
        <f>IF($J472="","",IFERROR(VLOOKUP($J472,Grinders!$A:$N,3,FALSE),""))</f>
        <v/>
      </c>
      <c r="M472" s="40" t="str">
        <f>IF($J472="","",IFERROR(VLOOKUP($J472,Grinders!$A:$N,4,FALSE),""))</f>
        <v/>
      </c>
      <c r="N472" s="40" t="str">
        <f>IF($J472="","",IFERROR(VLOOKUP($J472,Grinders!$A:$N,5,FALSE),""))</f>
        <v/>
      </c>
      <c r="O472" s="40" t="str">
        <f t="shared" si="2"/>
        <v/>
      </c>
      <c r="P472" s="40" t="str">
        <f>IF($J472="","",IFERROR(VLOOKUP($J472,Grinders!$A:$N,6,FALSE),""))</f>
        <v/>
      </c>
      <c r="Q472" s="40" t="str">
        <f>IF($J472="","",IFERROR(VLOOKUP($J472,Grinders!$A:$N,8,FALSE),""))</f>
        <v/>
      </c>
      <c r="R472" s="40" t="str">
        <f>IFERROR(IF($J472="","",IF($L472="Elite",MAX(50,MIN(100,Config!$B$27*MAX(0,MIN(100,(1-IF($O472="",0,$O472))*100)) + Config!$B$28*MAX(0,MIN(100,(1-MIN(1,IF(Config!$B$30=0,1,$P472/Config!$B$30)))*100)) + Config!$B$29*MAX(0,MIN(100,MIN(1,IF($Q472="",0,$Q472)/Config!$B$23)*100)))),MIN(100,Config!$B$27*MAX(0,MIN(100,(1-IF($O472="",0,$O472))*100)) + Config!$B$28*MAX(0,MIN(100,(1-MIN(1,IF(Config!$B$30=0,1,$P472/Config!$B$30)))*100)) + Config!$B$29*MAX(0,MIN(100,MIN(1,IF($Q472="",0,$Q472)/Config!$B$23)*100))))),"")
</f>
        <v/>
      </c>
      <c r="S472" s="40" t="str">
        <f>IF(Bids!$AC472="","",Bids!$AC472)</f>
        <v/>
      </c>
      <c r="T472" s="40" t="str">
        <f>IF(Bids!$F472="","",Bids!$F472)</f>
        <v/>
      </c>
      <c r="U472" s="40" t="str">
        <f t="shared" si="3"/>
        <v/>
      </c>
      <c r="V472" s="40" t="str">
        <f>IF($U472="","",IF(Config!$B$17=Config!$B$16,IF($U472&gt;=Config!$B$17,100,0),MAX(0,MIN(100,($U472-Config!$B$16)/(Config!$B$17-Config!$B$16)*100))))</f>
        <v/>
      </c>
      <c r="W472" s="40">
        <f>IF($L472="Elite",Config!$B$21,0)</f>
        <v>0</v>
      </c>
      <c r="X472" s="40" t="str">
        <f>IFERROR(IF(OR($T472="",$G472=""),"",IF($T472&gt;$G472,
  MAX(0, 60-(($T472-$G472)*24/Config!$B$19)*60),
  MEDIAN(60, 100, 60+(($G472-$T472)*24/Config!$B$20)*40)
)),"")
</f>
        <v/>
      </c>
      <c r="Y472" s="40" t="str">
        <f>IF($J472="","",IFERROR(VLOOKUP($J472,Grinders!$A:$N,10,FALSE),""))</f>
        <v/>
      </c>
      <c r="Z472" s="40" t="str">
        <f>IF($J472="","",IFERROR(VLOOKUP($J472,Grinders!$A:$N,11,FALSE),""))</f>
        <v/>
      </c>
      <c r="AA472" s="40" t="str">
        <f>IF($J472="","",IFERROR(VLOOKUP($J472,Grinders!$A:$N,12,FALSE),""))</f>
        <v/>
      </c>
      <c r="AB472" s="40" t="str">
        <f>IF(OR(AL472=1,AM472=1),0,=IFERROR(IF(OR($C472="",$J472=""),0,IF($D472&lt;&gt;"Open",0,IF(COUNTIFS(GrinderServices!$A:$A,$J472,GrinderServices!$B:$B,$E472,GrinderServices!$D:$D,"Y")=0,0,IF($U472&lt;Config!$B$16,0,IF(Config!$B$18=1,IF($N472&gt;=$M472,0,1),1))))),""))</f>
        <v>#ERROR!</v>
      </c>
      <c r="AC472" s="40" t="str">
        <f>IFERROR((IF(OR(AL472=1,AM472=1),"",=IFERROR((IFERROR(IF($AB472=0,"",((Config!$B$6*$V472 + Config!$B$7*$R472 + Config!$B$8*$W472 + Config!$B$9*$X472 + Config!$B$10*$Y472 + Config!$B$11*$Z472 - Config!$B$12*$AA472)/Config!$B$13)+$AH472+$AI472),""))*(1-IFERROR(VLOOKUP(J472,Grinders!$A:$AB, 28, FALSE),0)),"")))*(1+AO472),"")</f>
        <v>#ERROR!</v>
      </c>
      <c r="AD472" s="40" t="str">
        <f t="shared" si="4"/>
        <v/>
      </c>
      <c r="AE472" s="40" t="str">
        <f>IFERROR(__xludf.DUMMYFUNCTION("IF($AC472="""","""",IF($AC472=IFERROR(MAX(FILTER($AC$6:$AC$1000,$C$6:$C$1000=$C472,$AB$6:$AB$1000=1)),),""WINNER"",""""))"),"#ERROR!")</f>
        <v>#ERROR!</v>
      </c>
      <c r="AF472" s="40" t="str">
        <f t="shared" si="5"/>
        <v/>
      </c>
      <c r="AG472" s="40" t="str">
        <f>IF($J472="","",COUNTIF(Assignments!$B:$B,$J472))</f>
        <v/>
      </c>
      <c r="AH472" s="40" t="str">
        <f>IF($J472="","",IF(AND($AG472=0,$N472&lt;$M472),Config!$B$43,0))</f>
        <v/>
      </c>
      <c r="AI472" s="40" t="str">
        <f>IF($J472="","",IF(AND($L472="Elite",$F472&gt;=Config!$B$41,$N472&lt;$M472),Config!$B$42,0))</f>
        <v/>
      </c>
      <c r="AJ472" s="22"/>
      <c r="AK472" s="39">
        <f>IFERROR(VLOOKUP(J472,Grinders!$A:$Q,28,FALSE),0)</f>
        <v>0</v>
      </c>
      <c r="AL472" s="39">
        <f>IF(Config!$B$1003&lt;&gt;"Y",0,IF(IFERROR(VLOOKUP(J472,Grinders!$A:$P,27,FALSE),0)&gt;=3,IF(OR(F472&gt;=Config!$B$1001,ISNUMBER(SEARCH(E472,Config!$B$1002))),1,0),0))</f>
        <v>0</v>
      </c>
      <c r="AM472" s="39">
        <f t="array" ref="AM472">IFERROR(IF(INDEX(Bids!$AE:$AE,MATCH(B472,Bids!$A:$A,0))="Pending",1,0),0)</f>
        <v>0</v>
      </c>
      <c r="AN472" s="39" t="str">
        <f t="array" ref="AN472">IF(C472="","",IFERROR(XLOOKUP(C472,Assignments!$C:$C,Assignments!$AU:$AU,0),0))</f>
        <v/>
      </c>
      <c r="AO472" s="39">
        <f>IF(AND(Config!$B$1006="Y",AN472=1),Config!$B$1007,0)</f>
        <v>0</v>
      </c>
    </row>
    <row r="473" ht="15.75" customHeight="1">
      <c r="A473" s="46" t="str">
        <f t="shared" si="1"/>
        <v/>
      </c>
      <c r="B473" s="40" t="str">
        <f>IF(Bids!$A473="","",Bids!$A473)</f>
        <v/>
      </c>
      <c r="C473" s="40" t="str">
        <f>IF(Bids!$B473="","",Bids!$B473)</f>
        <v/>
      </c>
      <c r="D473" s="40" t="str">
        <f>IF($C473="","",IFERROR(VLOOKUP($C473,Orders!$A:$J,9,FALSE),""))</f>
        <v/>
      </c>
      <c r="E473" s="40" t="str">
        <f>IF($C473="","",IFERROR(VLOOKUP($C473,Orders!$A:$J,3,FALSE),""))</f>
        <v/>
      </c>
      <c r="F473" s="40" t="str">
        <f>IF($C473="","",IFERROR(VLOOKUP($C473,Orders!$A:$J,4,FALSE),""))</f>
        <v/>
      </c>
      <c r="G473" s="40" t="str">
        <f>IF($C473="","",IFERROR(VLOOKUP($C473,Orders!$A:$J,5,FALSE),""))</f>
        <v/>
      </c>
      <c r="H473" s="40" t="str">
        <f>IF($C473="","",IFERROR(VLOOKUP($C473,Orders!$A:$J,6,FALSE),""))</f>
        <v/>
      </c>
      <c r="I473" s="40" t="str">
        <f>IF($C473="","",IFERROR(VLOOKUP($C473,Orders!$A:$J,7,FALSE),""))</f>
        <v/>
      </c>
      <c r="J473" s="40" t="str">
        <f>IF(Bids!$C473="","",Bids!$C473)</f>
        <v/>
      </c>
      <c r="K473" s="40" t="str">
        <f>IF($J473="","",IFERROR(VLOOKUP($J473,Grinders!$A:$N,2,FALSE),""))</f>
        <v/>
      </c>
      <c r="L473" s="40" t="str">
        <f>IF($J473="","",IFERROR(VLOOKUP($J473,Grinders!$A:$N,3,FALSE),""))</f>
        <v/>
      </c>
      <c r="M473" s="40" t="str">
        <f>IF($J473="","",IFERROR(VLOOKUP($J473,Grinders!$A:$N,4,FALSE),""))</f>
        <v/>
      </c>
      <c r="N473" s="40" t="str">
        <f>IF($J473="","",IFERROR(VLOOKUP($J473,Grinders!$A:$N,5,FALSE),""))</f>
        <v/>
      </c>
      <c r="O473" s="40" t="str">
        <f t="shared" si="2"/>
        <v/>
      </c>
      <c r="P473" s="40" t="str">
        <f>IF($J473="","",IFERROR(VLOOKUP($J473,Grinders!$A:$N,6,FALSE),""))</f>
        <v/>
      </c>
      <c r="Q473" s="40" t="str">
        <f>IF($J473="","",IFERROR(VLOOKUP($J473,Grinders!$A:$N,8,FALSE),""))</f>
        <v/>
      </c>
      <c r="R473" s="40" t="str">
        <f>IFERROR(IF($J473="","",IF($L473="Elite",MAX(50,MIN(100,Config!$B$27*MAX(0,MIN(100,(1-IF($O473="",0,$O473))*100)) + Config!$B$28*MAX(0,MIN(100,(1-MIN(1,IF(Config!$B$30=0,1,$P473/Config!$B$30)))*100)) + Config!$B$29*MAX(0,MIN(100,MIN(1,IF($Q473="",0,$Q473)/Config!$B$23)*100)))),MIN(100,Config!$B$27*MAX(0,MIN(100,(1-IF($O473="",0,$O473))*100)) + Config!$B$28*MAX(0,MIN(100,(1-MIN(1,IF(Config!$B$30=0,1,$P473/Config!$B$30)))*100)) + Config!$B$29*MAX(0,MIN(100,MIN(1,IF($Q473="",0,$Q473)/Config!$B$23)*100))))),"")
</f>
        <v/>
      </c>
      <c r="S473" s="40" t="str">
        <f>IF(Bids!$AC473="","",Bids!$AC473)</f>
        <v/>
      </c>
      <c r="T473" s="40" t="str">
        <f>IF(Bids!$F473="","",Bids!$F473)</f>
        <v/>
      </c>
      <c r="U473" s="40" t="str">
        <f t="shared" si="3"/>
        <v/>
      </c>
      <c r="V473" s="40" t="str">
        <f>IF($U473="","",IF(Config!$B$17=Config!$B$16,IF($U473&gt;=Config!$B$17,100,0),MAX(0,MIN(100,($U473-Config!$B$16)/(Config!$B$17-Config!$B$16)*100))))</f>
        <v/>
      </c>
      <c r="W473" s="40">
        <f>IF($L473="Elite",Config!$B$21,0)</f>
        <v>0</v>
      </c>
      <c r="X473" s="40" t="str">
        <f>IFERROR(IF(OR($T473="",$G473=""),"",IF($T473&gt;$G473,
  MAX(0, 60-(($T473-$G473)*24/Config!$B$19)*60),
  MEDIAN(60, 100, 60+(($G473-$T473)*24/Config!$B$20)*40)
)),"")
</f>
        <v/>
      </c>
      <c r="Y473" s="40" t="str">
        <f>IF($J473="","",IFERROR(VLOOKUP($J473,Grinders!$A:$N,10,FALSE),""))</f>
        <v/>
      </c>
      <c r="Z473" s="40" t="str">
        <f>IF($J473="","",IFERROR(VLOOKUP($J473,Grinders!$A:$N,11,FALSE),""))</f>
        <v/>
      </c>
      <c r="AA473" s="40" t="str">
        <f>IF($J473="","",IFERROR(VLOOKUP($J473,Grinders!$A:$N,12,FALSE),""))</f>
        <v/>
      </c>
      <c r="AB473" s="40" t="str">
        <f>IF(OR(AL473=1,AM473=1),0,=IFERROR(IF(OR($C473="",$J473=""),0,IF($D473&lt;&gt;"Open",0,IF(COUNTIFS(GrinderServices!$A:$A,$J473,GrinderServices!$B:$B,$E473,GrinderServices!$D:$D,"Y")=0,0,IF($U473&lt;Config!$B$16,0,IF(Config!$B$18=1,IF($N473&gt;=$M473,0,1),1))))),""))</f>
        <v>#ERROR!</v>
      </c>
      <c r="AC473" s="40" t="str">
        <f>IFERROR((IF(OR(AL473=1,AM473=1),"",=IFERROR((IFERROR(IF($AB473=0,"",((Config!$B$6*$V473 + Config!$B$7*$R473 + Config!$B$8*$W473 + Config!$B$9*$X473 + Config!$B$10*$Y473 + Config!$B$11*$Z473 - Config!$B$12*$AA473)/Config!$B$13)+$AH473+$AI473),""))*(1-IFERROR(VLOOKUP(J473,Grinders!$A:$AB, 28, FALSE),0)),"")))*(1+AO473),"")</f>
        <v>#ERROR!</v>
      </c>
      <c r="AD473" s="40" t="str">
        <f t="shared" si="4"/>
        <v/>
      </c>
      <c r="AE473" s="40" t="str">
        <f>IFERROR(__xludf.DUMMYFUNCTION("IF($AC473="""","""",IF($AC473=IFERROR(MAX(FILTER($AC$6:$AC$1000,$C$6:$C$1000=$C473,$AB$6:$AB$1000=1)),),""WINNER"",""""))"),"#ERROR!")</f>
        <v>#ERROR!</v>
      </c>
      <c r="AF473" s="40" t="str">
        <f t="shared" si="5"/>
        <v/>
      </c>
      <c r="AG473" s="40" t="str">
        <f>IF($J473="","",COUNTIF(Assignments!$B:$B,$J473))</f>
        <v/>
      </c>
      <c r="AH473" s="40" t="str">
        <f>IF($J473="","",IF(AND($AG473=0,$N473&lt;$M473),Config!$B$43,0))</f>
        <v/>
      </c>
      <c r="AI473" s="40" t="str">
        <f>IF($J473="","",IF(AND($L473="Elite",$F473&gt;=Config!$B$41,$N473&lt;$M473),Config!$B$42,0))</f>
        <v/>
      </c>
      <c r="AJ473" s="22"/>
      <c r="AK473" s="39">
        <f>IFERROR(VLOOKUP(J473,Grinders!$A:$Q,28,FALSE),0)</f>
        <v>0</v>
      </c>
      <c r="AL473" s="39">
        <f>IF(Config!$B$1003&lt;&gt;"Y",0,IF(IFERROR(VLOOKUP(J473,Grinders!$A:$P,27,FALSE),0)&gt;=3,IF(OR(F473&gt;=Config!$B$1001,ISNUMBER(SEARCH(E473,Config!$B$1002))),1,0),0))</f>
        <v>0</v>
      </c>
      <c r="AM473" s="39">
        <f t="array" ref="AM473">IFERROR(IF(INDEX(Bids!$AE:$AE,MATCH(B473,Bids!$A:$A,0))="Pending",1,0),0)</f>
        <v>0</v>
      </c>
      <c r="AN473" s="39" t="str">
        <f t="array" ref="AN473">IF(C473="","",IFERROR(XLOOKUP(C473,Assignments!$C:$C,Assignments!$AU:$AU,0),0))</f>
        <v/>
      </c>
      <c r="AO473" s="39">
        <f>IF(AND(Config!$B$1006="Y",AN473=1),Config!$B$1007,0)</f>
        <v>0</v>
      </c>
    </row>
    <row r="474" ht="15.75" customHeight="1">
      <c r="A474" s="46" t="str">
        <f t="shared" si="1"/>
        <v/>
      </c>
      <c r="B474" s="40" t="str">
        <f>IF(Bids!$A474="","",Bids!$A474)</f>
        <v/>
      </c>
      <c r="C474" s="40" t="str">
        <f>IF(Bids!$B474="","",Bids!$B474)</f>
        <v/>
      </c>
      <c r="D474" s="40" t="str">
        <f>IF($C474="","",IFERROR(VLOOKUP($C474,Orders!$A:$J,9,FALSE),""))</f>
        <v/>
      </c>
      <c r="E474" s="40" t="str">
        <f>IF($C474="","",IFERROR(VLOOKUP($C474,Orders!$A:$J,3,FALSE),""))</f>
        <v/>
      </c>
      <c r="F474" s="40" t="str">
        <f>IF($C474="","",IFERROR(VLOOKUP($C474,Orders!$A:$J,4,FALSE),""))</f>
        <v/>
      </c>
      <c r="G474" s="40" t="str">
        <f>IF($C474="","",IFERROR(VLOOKUP($C474,Orders!$A:$J,5,FALSE),""))</f>
        <v/>
      </c>
      <c r="H474" s="40" t="str">
        <f>IF($C474="","",IFERROR(VLOOKUP($C474,Orders!$A:$J,6,FALSE),""))</f>
        <v/>
      </c>
      <c r="I474" s="40" t="str">
        <f>IF($C474="","",IFERROR(VLOOKUP($C474,Orders!$A:$J,7,FALSE),""))</f>
        <v/>
      </c>
      <c r="J474" s="40" t="str">
        <f>IF(Bids!$C474="","",Bids!$C474)</f>
        <v/>
      </c>
      <c r="K474" s="40" t="str">
        <f>IF($J474="","",IFERROR(VLOOKUP($J474,Grinders!$A:$N,2,FALSE),""))</f>
        <v/>
      </c>
      <c r="L474" s="40" t="str">
        <f>IF($J474="","",IFERROR(VLOOKUP($J474,Grinders!$A:$N,3,FALSE),""))</f>
        <v/>
      </c>
      <c r="M474" s="40" t="str">
        <f>IF($J474="","",IFERROR(VLOOKUP($J474,Grinders!$A:$N,4,FALSE),""))</f>
        <v/>
      </c>
      <c r="N474" s="40" t="str">
        <f>IF($J474="","",IFERROR(VLOOKUP($J474,Grinders!$A:$N,5,FALSE),""))</f>
        <v/>
      </c>
      <c r="O474" s="40" t="str">
        <f t="shared" si="2"/>
        <v/>
      </c>
      <c r="P474" s="40" t="str">
        <f>IF($J474="","",IFERROR(VLOOKUP($J474,Grinders!$A:$N,6,FALSE),""))</f>
        <v/>
      </c>
      <c r="Q474" s="40" t="str">
        <f>IF($J474="","",IFERROR(VLOOKUP($J474,Grinders!$A:$N,8,FALSE),""))</f>
        <v/>
      </c>
      <c r="R474" s="40" t="str">
        <f>IFERROR(IF($J474="","",IF($L474="Elite",MAX(50,MIN(100,Config!$B$27*MAX(0,MIN(100,(1-IF($O474="",0,$O474))*100)) + Config!$B$28*MAX(0,MIN(100,(1-MIN(1,IF(Config!$B$30=0,1,$P474/Config!$B$30)))*100)) + Config!$B$29*MAX(0,MIN(100,MIN(1,IF($Q474="",0,$Q474)/Config!$B$23)*100)))),MIN(100,Config!$B$27*MAX(0,MIN(100,(1-IF($O474="",0,$O474))*100)) + Config!$B$28*MAX(0,MIN(100,(1-MIN(1,IF(Config!$B$30=0,1,$P474/Config!$B$30)))*100)) + Config!$B$29*MAX(0,MIN(100,MIN(1,IF($Q474="",0,$Q474)/Config!$B$23)*100))))),"")
</f>
        <v/>
      </c>
      <c r="S474" s="40" t="str">
        <f>IF(Bids!$AC474="","",Bids!$AC474)</f>
        <v/>
      </c>
      <c r="T474" s="40" t="str">
        <f>IF(Bids!$F474="","",Bids!$F474)</f>
        <v/>
      </c>
      <c r="U474" s="40" t="str">
        <f t="shared" si="3"/>
        <v/>
      </c>
      <c r="V474" s="40" t="str">
        <f>IF($U474="","",IF(Config!$B$17=Config!$B$16,IF($U474&gt;=Config!$B$17,100,0),MAX(0,MIN(100,($U474-Config!$B$16)/(Config!$B$17-Config!$B$16)*100))))</f>
        <v/>
      </c>
      <c r="W474" s="40">
        <f>IF($L474="Elite",Config!$B$21,0)</f>
        <v>0</v>
      </c>
      <c r="X474" s="40" t="str">
        <f>IFERROR(IF(OR($T474="",$G474=""),"",IF($T474&gt;$G474,
  MAX(0, 60-(($T474-$G474)*24/Config!$B$19)*60),
  MEDIAN(60, 100, 60+(($G474-$T474)*24/Config!$B$20)*40)
)),"")
</f>
        <v/>
      </c>
      <c r="Y474" s="40" t="str">
        <f>IF($J474="","",IFERROR(VLOOKUP($J474,Grinders!$A:$N,10,FALSE),""))</f>
        <v/>
      </c>
      <c r="Z474" s="40" t="str">
        <f>IF($J474="","",IFERROR(VLOOKUP($J474,Grinders!$A:$N,11,FALSE),""))</f>
        <v/>
      </c>
      <c r="AA474" s="40" t="str">
        <f>IF($J474="","",IFERROR(VLOOKUP($J474,Grinders!$A:$N,12,FALSE),""))</f>
        <v/>
      </c>
      <c r="AB474" s="40" t="str">
        <f>IF(OR(AL474=1,AM474=1),0,=IFERROR(IF(OR($C474="",$J474=""),0,IF($D474&lt;&gt;"Open",0,IF(COUNTIFS(GrinderServices!$A:$A,$J474,GrinderServices!$B:$B,$E474,GrinderServices!$D:$D,"Y")=0,0,IF($U474&lt;Config!$B$16,0,IF(Config!$B$18=1,IF($N474&gt;=$M474,0,1),1))))),""))</f>
        <v>#ERROR!</v>
      </c>
      <c r="AC474" s="40" t="str">
        <f>IFERROR((IF(OR(AL474=1,AM474=1),"",=IFERROR((IFERROR(IF($AB474=0,"",((Config!$B$6*$V474 + Config!$B$7*$R474 + Config!$B$8*$W474 + Config!$B$9*$X474 + Config!$B$10*$Y474 + Config!$B$11*$Z474 - Config!$B$12*$AA474)/Config!$B$13)+$AH474+$AI474),""))*(1-IFERROR(VLOOKUP(J474,Grinders!$A:$AB, 28, FALSE),0)),"")))*(1+AO474),"")</f>
        <v>#ERROR!</v>
      </c>
      <c r="AD474" s="40" t="str">
        <f t="shared" si="4"/>
        <v/>
      </c>
      <c r="AE474" s="40" t="str">
        <f>IFERROR(__xludf.DUMMYFUNCTION("IF($AC474="""","""",IF($AC474=IFERROR(MAX(FILTER($AC$6:$AC$1000,$C$6:$C$1000=$C474,$AB$6:$AB$1000=1)),),""WINNER"",""""))"),"#ERROR!")</f>
        <v>#ERROR!</v>
      </c>
      <c r="AF474" s="40" t="str">
        <f t="shared" si="5"/>
        <v/>
      </c>
      <c r="AG474" s="40" t="str">
        <f>IF($J474="","",COUNTIF(Assignments!$B:$B,$J474))</f>
        <v/>
      </c>
      <c r="AH474" s="40" t="str">
        <f>IF($J474="","",IF(AND($AG474=0,$N474&lt;$M474),Config!$B$43,0))</f>
        <v/>
      </c>
      <c r="AI474" s="40" t="str">
        <f>IF($J474="","",IF(AND($L474="Elite",$F474&gt;=Config!$B$41,$N474&lt;$M474),Config!$B$42,0))</f>
        <v/>
      </c>
      <c r="AJ474" s="22"/>
      <c r="AK474" s="39">
        <f>IFERROR(VLOOKUP(J474,Grinders!$A:$Q,28,FALSE),0)</f>
        <v>0</v>
      </c>
      <c r="AL474" s="39">
        <f>IF(Config!$B$1003&lt;&gt;"Y",0,IF(IFERROR(VLOOKUP(J474,Grinders!$A:$P,27,FALSE),0)&gt;=3,IF(OR(F474&gt;=Config!$B$1001,ISNUMBER(SEARCH(E474,Config!$B$1002))),1,0),0))</f>
        <v>0</v>
      </c>
      <c r="AM474" s="39">
        <f t="array" ref="AM474">IFERROR(IF(INDEX(Bids!$AE:$AE,MATCH(B474,Bids!$A:$A,0))="Pending",1,0),0)</f>
        <v>0</v>
      </c>
      <c r="AN474" s="39" t="str">
        <f t="array" ref="AN474">IF(C474="","",IFERROR(XLOOKUP(C474,Assignments!$C:$C,Assignments!$AU:$AU,0),0))</f>
        <v/>
      </c>
      <c r="AO474" s="39">
        <f>IF(AND(Config!$B$1006="Y",AN474=1),Config!$B$1007,0)</f>
        <v>0</v>
      </c>
    </row>
    <row r="475" ht="15.75" customHeight="1">
      <c r="A475" s="46" t="str">
        <f t="shared" si="1"/>
        <v/>
      </c>
      <c r="B475" s="40" t="str">
        <f>IF(Bids!$A475="","",Bids!$A475)</f>
        <v/>
      </c>
      <c r="C475" s="40" t="str">
        <f>IF(Bids!$B475="","",Bids!$B475)</f>
        <v/>
      </c>
      <c r="D475" s="40" t="str">
        <f>IF($C475="","",IFERROR(VLOOKUP($C475,Orders!$A:$J,9,FALSE),""))</f>
        <v/>
      </c>
      <c r="E475" s="40" t="str">
        <f>IF($C475="","",IFERROR(VLOOKUP($C475,Orders!$A:$J,3,FALSE),""))</f>
        <v/>
      </c>
      <c r="F475" s="40" t="str">
        <f>IF($C475="","",IFERROR(VLOOKUP($C475,Orders!$A:$J,4,FALSE),""))</f>
        <v/>
      </c>
      <c r="G475" s="40" t="str">
        <f>IF($C475="","",IFERROR(VLOOKUP($C475,Orders!$A:$J,5,FALSE),""))</f>
        <v/>
      </c>
      <c r="H475" s="40" t="str">
        <f>IF($C475="","",IFERROR(VLOOKUP($C475,Orders!$A:$J,6,FALSE),""))</f>
        <v/>
      </c>
      <c r="I475" s="40" t="str">
        <f>IF($C475="","",IFERROR(VLOOKUP($C475,Orders!$A:$J,7,FALSE),""))</f>
        <v/>
      </c>
      <c r="J475" s="40" t="str">
        <f>IF(Bids!$C475="","",Bids!$C475)</f>
        <v/>
      </c>
      <c r="K475" s="40" t="str">
        <f>IF($J475="","",IFERROR(VLOOKUP($J475,Grinders!$A:$N,2,FALSE),""))</f>
        <v/>
      </c>
      <c r="L475" s="40" t="str">
        <f>IF($J475="","",IFERROR(VLOOKUP($J475,Grinders!$A:$N,3,FALSE),""))</f>
        <v/>
      </c>
      <c r="M475" s="40" t="str">
        <f>IF($J475="","",IFERROR(VLOOKUP($J475,Grinders!$A:$N,4,FALSE),""))</f>
        <v/>
      </c>
      <c r="N475" s="40" t="str">
        <f>IF($J475="","",IFERROR(VLOOKUP($J475,Grinders!$A:$N,5,FALSE),""))</f>
        <v/>
      </c>
      <c r="O475" s="40" t="str">
        <f t="shared" si="2"/>
        <v/>
      </c>
      <c r="P475" s="40" t="str">
        <f>IF($J475="","",IFERROR(VLOOKUP($J475,Grinders!$A:$N,6,FALSE),""))</f>
        <v/>
      </c>
      <c r="Q475" s="40" t="str">
        <f>IF($J475="","",IFERROR(VLOOKUP($J475,Grinders!$A:$N,8,FALSE),""))</f>
        <v/>
      </c>
      <c r="R475" s="40" t="str">
        <f>IFERROR(IF($J475="","",IF($L475="Elite",MAX(50,MIN(100,Config!$B$27*MAX(0,MIN(100,(1-IF($O475="",0,$O475))*100)) + Config!$B$28*MAX(0,MIN(100,(1-MIN(1,IF(Config!$B$30=0,1,$P475/Config!$B$30)))*100)) + Config!$B$29*MAX(0,MIN(100,MIN(1,IF($Q475="",0,$Q475)/Config!$B$23)*100)))),MIN(100,Config!$B$27*MAX(0,MIN(100,(1-IF($O475="",0,$O475))*100)) + Config!$B$28*MAX(0,MIN(100,(1-MIN(1,IF(Config!$B$30=0,1,$P475/Config!$B$30)))*100)) + Config!$B$29*MAX(0,MIN(100,MIN(1,IF($Q475="",0,$Q475)/Config!$B$23)*100))))),"")
</f>
        <v/>
      </c>
      <c r="S475" s="40" t="str">
        <f>IF(Bids!$AC475="","",Bids!$AC475)</f>
        <v/>
      </c>
      <c r="T475" s="40" t="str">
        <f>IF(Bids!$F475="","",Bids!$F475)</f>
        <v/>
      </c>
      <c r="U475" s="40" t="str">
        <f t="shared" si="3"/>
        <v/>
      </c>
      <c r="V475" s="40" t="str">
        <f>IF($U475="","",IF(Config!$B$17=Config!$B$16,IF($U475&gt;=Config!$B$17,100,0),MAX(0,MIN(100,($U475-Config!$B$16)/(Config!$B$17-Config!$B$16)*100))))</f>
        <v/>
      </c>
      <c r="W475" s="40">
        <f>IF($L475="Elite",Config!$B$21,0)</f>
        <v>0</v>
      </c>
      <c r="X475" s="40" t="str">
        <f>IFERROR(IF(OR($T475="",$G475=""),"",IF($T475&gt;$G475,
  MAX(0, 60-(($T475-$G475)*24/Config!$B$19)*60),
  MEDIAN(60, 100, 60+(($G475-$T475)*24/Config!$B$20)*40)
)),"")
</f>
        <v/>
      </c>
      <c r="Y475" s="40" t="str">
        <f>IF($J475="","",IFERROR(VLOOKUP($J475,Grinders!$A:$N,10,FALSE),""))</f>
        <v/>
      </c>
      <c r="Z475" s="40" t="str">
        <f>IF($J475="","",IFERROR(VLOOKUP($J475,Grinders!$A:$N,11,FALSE),""))</f>
        <v/>
      </c>
      <c r="AA475" s="40" t="str">
        <f>IF($J475="","",IFERROR(VLOOKUP($J475,Grinders!$A:$N,12,FALSE),""))</f>
        <v/>
      </c>
      <c r="AB475" s="40" t="str">
        <f>IF(OR(AL475=1,AM475=1),0,=IFERROR(IF(OR($C475="",$J475=""),0,IF($D475&lt;&gt;"Open",0,IF(COUNTIFS(GrinderServices!$A:$A,$J475,GrinderServices!$B:$B,$E475,GrinderServices!$D:$D,"Y")=0,0,IF($U475&lt;Config!$B$16,0,IF(Config!$B$18=1,IF($N475&gt;=$M475,0,1),1))))),""))</f>
        <v>#ERROR!</v>
      </c>
      <c r="AC475" s="40" t="str">
        <f>IFERROR((IF(OR(AL475=1,AM475=1),"",=IFERROR((IFERROR(IF($AB475=0,"",((Config!$B$6*$V475 + Config!$B$7*$R475 + Config!$B$8*$W475 + Config!$B$9*$X475 + Config!$B$10*$Y475 + Config!$B$11*$Z475 - Config!$B$12*$AA475)/Config!$B$13)+$AH475+$AI475),""))*(1-IFERROR(VLOOKUP(J475,Grinders!$A:$AB, 28, FALSE),0)),"")))*(1+AO475),"")</f>
        <v>#ERROR!</v>
      </c>
      <c r="AD475" s="40" t="str">
        <f t="shared" si="4"/>
        <v/>
      </c>
      <c r="AE475" s="40" t="str">
        <f>IFERROR(__xludf.DUMMYFUNCTION("IF($AC475="""","""",IF($AC475=IFERROR(MAX(FILTER($AC$6:$AC$1000,$C$6:$C$1000=$C475,$AB$6:$AB$1000=1)),),""WINNER"",""""))"),"#ERROR!")</f>
        <v>#ERROR!</v>
      </c>
      <c r="AF475" s="40" t="str">
        <f t="shared" si="5"/>
        <v/>
      </c>
      <c r="AG475" s="40" t="str">
        <f>IF($J475="","",COUNTIF(Assignments!$B:$B,$J475))</f>
        <v/>
      </c>
      <c r="AH475" s="40" t="str">
        <f>IF($J475="","",IF(AND($AG475=0,$N475&lt;$M475),Config!$B$43,0))</f>
        <v/>
      </c>
      <c r="AI475" s="40" t="str">
        <f>IF($J475="","",IF(AND($L475="Elite",$F475&gt;=Config!$B$41,$N475&lt;$M475),Config!$B$42,0))</f>
        <v/>
      </c>
      <c r="AJ475" s="22"/>
      <c r="AK475" s="39">
        <f>IFERROR(VLOOKUP(J475,Grinders!$A:$Q,28,FALSE),0)</f>
        <v>0</v>
      </c>
      <c r="AL475" s="39">
        <f>IF(Config!$B$1003&lt;&gt;"Y",0,IF(IFERROR(VLOOKUP(J475,Grinders!$A:$P,27,FALSE),0)&gt;=3,IF(OR(F475&gt;=Config!$B$1001,ISNUMBER(SEARCH(E475,Config!$B$1002))),1,0),0))</f>
        <v>0</v>
      </c>
      <c r="AM475" s="39">
        <f t="array" ref="AM475">IFERROR(IF(INDEX(Bids!$AE:$AE,MATCH(B475,Bids!$A:$A,0))="Pending",1,0),0)</f>
        <v>0</v>
      </c>
      <c r="AN475" s="39" t="str">
        <f t="array" ref="AN475">IF(C475="","",IFERROR(XLOOKUP(C475,Assignments!$C:$C,Assignments!$AU:$AU,0),0))</f>
        <v/>
      </c>
      <c r="AO475" s="39">
        <f>IF(AND(Config!$B$1006="Y",AN475=1),Config!$B$1007,0)</f>
        <v>0</v>
      </c>
    </row>
    <row r="476" ht="15.75" customHeight="1">
      <c r="A476" s="46" t="str">
        <f t="shared" si="1"/>
        <v/>
      </c>
      <c r="B476" s="40" t="str">
        <f>IF(Bids!$A476="","",Bids!$A476)</f>
        <v/>
      </c>
      <c r="C476" s="40" t="str">
        <f>IF(Bids!$B476="","",Bids!$B476)</f>
        <v/>
      </c>
      <c r="D476" s="40" t="str">
        <f>IF($C476="","",IFERROR(VLOOKUP($C476,Orders!$A:$J,9,FALSE),""))</f>
        <v/>
      </c>
      <c r="E476" s="40" t="str">
        <f>IF($C476="","",IFERROR(VLOOKUP($C476,Orders!$A:$J,3,FALSE),""))</f>
        <v/>
      </c>
      <c r="F476" s="40" t="str">
        <f>IF($C476="","",IFERROR(VLOOKUP($C476,Orders!$A:$J,4,FALSE),""))</f>
        <v/>
      </c>
      <c r="G476" s="40" t="str">
        <f>IF($C476="","",IFERROR(VLOOKUP($C476,Orders!$A:$J,5,FALSE),""))</f>
        <v/>
      </c>
      <c r="H476" s="40" t="str">
        <f>IF($C476="","",IFERROR(VLOOKUP($C476,Orders!$A:$J,6,FALSE),""))</f>
        <v/>
      </c>
      <c r="I476" s="40" t="str">
        <f>IF($C476="","",IFERROR(VLOOKUP($C476,Orders!$A:$J,7,FALSE),""))</f>
        <v/>
      </c>
      <c r="J476" s="40" t="str">
        <f>IF(Bids!$C476="","",Bids!$C476)</f>
        <v/>
      </c>
      <c r="K476" s="40" t="str">
        <f>IF($J476="","",IFERROR(VLOOKUP($J476,Grinders!$A:$N,2,FALSE),""))</f>
        <v/>
      </c>
      <c r="L476" s="40" t="str">
        <f>IF($J476="","",IFERROR(VLOOKUP($J476,Grinders!$A:$N,3,FALSE),""))</f>
        <v/>
      </c>
      <c r="M476" s="40" t="str">
        <f>IF($J476="","",IFERROR(VLOOKUP($J476,Grinders!$A:$N,4,FALSE),""))</f>
        <v/>
      </c>
      <c r="N476" s="40" t="str">
        <f>IF($J476="","",IFERROR(VLOOKUP($J476,Grinders!$A:$N,5,FALSE),""))</f>
        <v/>
      </c>
      <c r="O476" s="40" t="str">
        <f t="shared" si="2"/>
        <v/>
      </c>
      <c r="P476" s="40" t="str">
        <f>IF($J476="","",IFERROR(VLOOKUP($J476,Grinders!$A:$N,6,FALSE),""))</f>
        <v/>
      </c>
      <c r="Q476" s="40" t="str">
        <f>IF($J476="","",IFERROR(VLOOKUP($J476,Grinders!$A:$N,8,FALSE),""))</f>
        <v/>
      </c>
      <c r="R476" s="40" t="str">
        <f>IFERROR(IF($J476="","",IF($L476="Elite",MAX(50,MIN(100,Config!$B$27*MAX(0,MIN(100,(1-IF($O476="",0,$O476))*100)) + Config!$B$28*MAX(0,MIN(100,(1-MIN(1,IF(Config!$B$30=0,1,$P476/Config!$B$30)))*100)) + Config!$B$29*MAX(0,MIN(100,MIN(1,IF($Q476="",0,$Q476)/Config!$B$23)*100)))),MIN(100,Config!$B$27*MAX(0,MIN(100,(1-IF($O476="",0,$O476))*100)) + Config!$B$28*MAX(0,MIN(100,(1-MIN(1,IF(Config!$B$30=0,1,$P476/Config!$B$30)))*100)) + Config!$B$29*MAX(0,MIN(100,MIN(1,IF($Q476="",0,$Q476)/Config!$B$23)*100))))),"")
</f>
        <v/>
      </c>
      <c r="S476" s="40" t="str">
        <f>IF(Bids!$AC476="","",Bids!$AC476)</f>
        <v/>
      </c>
      <c r="T476" s="40" t="str">
        <f>IF(Bids!$F476="","",Bids!$F476)</f>
        <v/>
      </c>
      <c r="U476" s="40" t="str">
        <f t="shared" si="3"/>
        <v/>
      </c>
      <c r="V476" s="40" t="str">
        <f>IF($U476="","",IF(Config!$B$17=Config!$B$16,IF($U476&gt;=Config!$B$17,100,0),MAX(0,MIN(100,($U476-Config!$B$16)/(Config!$B$17-Config!$B$16)*100))))</f>
        <v/>
      </c>
      <c r="W476" s="40">
        <f>IF($L476="Elite",Config!$B$21,0)</f>
        <v>0</v>
      </c>
      <c r="X476" s="40" t="str">
        <f>IFERROR(IF(OR($T476="",$G476=""),"",IF($T476&gt;$G476,
  MAX(0, 60-(($T476-$G476)*24/Config!$B$19)*60),
  MEDIAN(60, 100, 60+(($G476-$T476)*24/Config!$B$20)*40)
)),"")
</f>
        <v/>
      </c>
      <c r="Y476" s="40" t="str">
        <f>IF($J476="","",IFERROR(VLOOKUP($J476,Grinders!$A:$N,10,FALSE),""))</f>
        <v/>
      </c>
      <c r="Z476" s="40" t="str">
        <f>IF($J476="","",IFERROR(VLOOKUP($J476,Grinders!$A:$N,11,FALSE),""))</f>
        <v/>
      </c>
      <c r="AA476" s="40" t="str">
        <f>IF($J476="","",IFERROR(VLOOKUP($J476,Grinders!$A:$N,12,FALSE),""))</f>
        <v/>
      </c>
      <c r="AB476" s="40" t="str">
        <f>IF(OR(AL476=1,AM476=1),0,=IFERROR(IF(OR($C476="",$J476=""),0,IF($D476&lt;&gt;"Open",0,IF(COUNTIFS(GrinderServices!$A:$A,$J476,GrinderServices!$B:$B,$E476,GrinderServices!$D:$D,"Y")=0,0,IF($U476&lt;Config!$B$16,0,IF(Config!$B$18=1,IF($N476&gt;=$M476,0,1),1))))),""))</f>
        <v>#ERROR!</v>
      </c>
      <c r="AC476" s="40" t="str">
        <f>IFERROR((IF(OR(AL476=1,AM476=1),"",=IFERROR((IFERROR(IF($AB476=0,"",((Config!$B$6*$V476 + Config!$B$7*$R476 + Config!$B$8*$W476 + Config!$B$9*$X476 + Config!$B$10*$Y476 + Config!$B$11*$Z476 - Config!$B$12*$AA476)/Config!$B$13)+$AH476+$AI476),""))*(1-IFERROR(VLOOKUP(J476,Grinders!$A:$AB, 28, FALSE),0)),"")))*(1+AO476),"")</f>
        <v>#ERROR!</v>
      </c>
      <c r="AD476" s="40" t="str">
        <f t="shared" si="4"/>
        <v/>
      </c>
      <c r="AE476" s="40" t="str">
        <f>IFERROR(__xludf.DUMMYFUNCTION("IF($AC476="""","""",IF($AC476=IFERROR(MAX(FILTER($AC$6:$AC$1000,$C$6:$C$1000=$C476,$AB$6:$AB$1000=1)),),""WINNER"",""""))"),"#ERROR!")</f>
        <v>#ERROR!</v>
      </c>
      <c r="AF476" s="40" t="str">
        <f t="shared" si="5"/>
        <v/>
      </c>
      <c r="AG476" s="40" t="str">
        <f>IF($J476="","",COUNTIF(Assignments!$B:$B,$J476))</f>
        <v/>
      </c>
      <c r="AH476" s="40" t="str">
        <f>IF($J476="","",IF(AND($AG476=0,$N476&lt;$M476),Config!$B$43,0))</f>
        <v/>
      </c>
      <c r="AI476" s="40" t="str">
        <f>IF($J476="","",IF(AND($L476="Elite",$F476&gt;=Config!$B$41,$N476&lt;$M476),Config!$B$42,0))</f>
        <v/>
      </c>
      <c r="AJ476" s="22"/>
      <c r="AK476" s="39">
        <f>IFERROR(VLOOKUP(J476,Grinders!$A:$Q,28,FALSE),0)</f>
        <v>0</v>
      </c>
      <c r="AL476" s="39">
        <f>IF(Config!$B$1003&lt;&gt;"Y",0,IF(IFERROR(VLOOKUP(J476,Grinders!$A:$P,27,FALSE),0)&gt;=3,IF(OR(F476&gt;=Config!$B$1001,ISNUMBER(SEARCH(E476,Config!$B$1002))),1,0),0))</f>
        <v>0</v>
      </c>
      <c r="AM476" s="39">
        <f t="array" ref="AM476">IFERROR(IF(INDEX(Bids!$AE:$AE,MATCH(B476,Bids!$A:$A,0))="Pending",1,0),0)</f>
        <v>0</v>
      </c>
      <c r="AN476" s="39" t="str">
        <f t="array" ref="AN476">IF(C476="","",IFERROR(XLOOKUP(C476,Assignments!$C:$C,Assignments!$AU:$AU,0),0))</f>
        <v/>
      </c>
      <c r="AO476" s="39">
        <f>IF(AND(Config!$B$1006="Y",AN476=1),Config!$B$1007,0)</f>
        <v>0</v>
      </c>
    </row>
    <row r="477" ht="15.75" customHeight="1">
      <c r="A477" s="46" t="str">
        <f t="shared" si="1"/>
        <v/>
      </c>
      <c r="B477" s="40" t="str">
        <f>IF(Bids!$A477="","",Bids!$A477)</f>
        <v/>
      </c>
      <c r="C477" s="40" t="str">
        <f>IF(Bids!$B477="","",Bids!$B477)</f>
        <v/>
      </c>
      <c r="D477" s="40" t="str">
        <f>IF($C477="","",IFERROR(VLOOKUP($C477,Orders!$A:$J,9,FALSE),""))</f>
        <v/>
      </c>
      <c r="E477" s="40" t="str">
        <f>IF($C477="","",IFERROR(VLOOKUP($C477,Orders!$A:$J,3,FALSE),""))</f>
        <v/>
      </c>
      <c r="F477" s="40" t="str">
        <f>IF($C477="","",IFERROR(VLOOKUP($C477,Orders!$A:$J,4,FALSE),""))</f>
        <v/>
      </c>
      <c r="G477" s="40" t="str">
        <f>IF($C477="","",IFERROR(VLOOKUP($C477,Orders!$A:$J,5,FALSE),""))</f>
        <v/>
      </c>
      <c r="H477" s="40" t="str">
        <f>IF($C477="","",IFERROR(VLOOKUP($C477,Orders!$A:$J,6,FALSE),""))</f>
        <v/>
      </c>
      <c r="I477" s="40" t="str">
        <f>IF($C477="","",IFERROR(VLOOKUP($C477,Orders!$A:$J,7,FALSE),""))</f>
        <v/>
      </c>
      <c r="J477" s="40" t="str">
        <f>IF(Bids!$C477="","",Bids!$C477)</f>
        <v/>
      </c>
      <c r="K477" s="40" t="str">
        <f>IF($J477="","",IFERROR(VLOOKUP($J477,Grinders!$A:$N,2,FALSE),""))</f>
        <v/>
      </c>
      <c r="L477" s="40" t="str">
        <f>IF($J477="","",IFERROR(VLOOKUP($J477,Grinders!$A:$N,3,FALSE),""))</f>
        <v/>
      </c>
      <c r="M477" s="40" t="str">
        <f>IF($J477="","",IFERROR(VLOOKUP($J477,Grinders!$A:$N,4,FALSE),""))</f>
        <v/>
      </c>
      <c r="N477" s="40" t="str">
        <f>IF($J477="","",IFERROR(VLOOKUP($J477,Grinders!$A:$N,5,FALSE),""))</f>
        <v/>
      </c>
      <c r="O477" s="40" t="str">
        <f t="shared" si="2"/>
        <v/>
      </c>
      <c r="P477" s="40" t="str">
        <f>IF($J477="","",IFERROR(VLOOKUP($J477,Grinders!$A:$N,6,FALSE),""))</f>
        <v/>
      </c>
      <c r="Q477" s="40" t="str">
        <f>IF($J477="","",IFERROR(VLOOKUP($J477,Grinders!$A:$N,8,FALSE),""))</f>
        <v/>
      </c>
      <c r="R477" s="40" t="str">
        <f>IFERROR(IF($J477="","",IF($L477="Elite",MAX(50,MIN(100,Config!$B$27*MAX(0,MIN(100,(1-IF($O477="",0,$O477))*100)) + Config!$B$28*MAX(0,MIN(100,(1-MIN(1,IF(Config!$B$30=0,1,$P477/Config!$B$30)))*100)) + Config!$B$29*MAX(0,MIN(100,MIN(1,IF($Q477="",0,$Q477)/Config!$B$23)*100)))),MIN(100,Config!$B$27*MAX(0,MIN(100,(1-IF($O477="",0,$O477))*100)) + Config!$B$28*MAX(0,MIN(100,(1-MIN(1,IF(Config!$B$30=0,1,$P477/Config!$B$30)))*100)) + Config!$B$29*MAX(0,MIN(100,MIN(1,IF($Q477="",0,$Q477)/Config!$B$23)*100))))),"")
</f>
        <v/>
      </c>
      <c r="S477" s="40" t="str">
        <f>IF(Bids!$AC477="","",Bids!$AC477)</f>
        <v/>
      </c>
      <c r="T477" s="40" t="str">
        <f>IF(Bids!$F477="","",Bids!$F477)</f>
        <v/>
      </c>
      <c r="U477" s="40" t="str">
        <f t="shared" si="3"/>
        <v/>
      </c>
      <c r="V477" s="40" t="str">
        <f>IF($U477="","",IF(Config!$B$17=Config!$B$16,IF($U477&gt;=Config!$B$17,100,0),MAX(0,MIN(100,($U477-Config!$B$16)/(Config!$B$17-Config!$B$16)*100))))</f>
        <v/>
      </c>
      <c r="W477" s="40">
        <f>IF($L477="Elite",Config!$B$21,0)</f>
        <v>0</v>
      </c>
      <c r="X477" s="40" t="str">
        <f>IFERROR(IF(OR($T477="",$G477=""),"",IF($T477&gt;$G477,
  MAX(0, 60-(($T477-$G477)*24/Config!$B$19)*60),
  MEDIAN(60, 100, 60+(($G477-$T477)*24/Config!$B$20)*40)
)),"")
</f>
        <v/>
      </c>
      <c r="Y477" s="40" t="str">
        <f>IF($J477="","",IFERROR(VLOOKUP($J477,Grinders!$A:$N,10,FALSE),""))</f>
        <v/>
      </c>
      <c r="Z477" s="40" t="str">
        <f>IF($J477="","",IFERROR(VLOOKUP($J477,Grinders!$A:$N,11,FALSE),""))</f>
        <v/>
      </c>
      <c r="AA477" s="40" t="str">
        <f>IF($J477="","",IFERROR(VLOOKUP($J477,Grinders!$A:$N,12,FALSE),""))</f>
        <v/>
      </c>
      <c r="AB477" s="40" t="str">
        <f>IF(OR(AL477=1,AM477=1),0,=IFERROR(IF(OR($C477="",$J477=""),0,IF($D477&lt;&gt;"Open",0,IF(COUNTIFS(GrinderServices!$A:$A,$J477,GrinderServices!$B:$B,$E477,GrinderServices!$D:$D,"Y")=0,0,IF($U477&lt;Config!$B$16,0,IF(Config!$B$18=1,IF($N477&gt;=$M477,0,1),1))))),""))</f>
        <v>#ERROR!</v>
      </c>
      <c r="AC477" s="40" t="str">
        <f>IFERROR((IF(OR(AL477=1,AM477=1),"",=IFERROR((IFERROR(IF($AB477=0,"",((Config!$B$6*$V477 + Config!$B$7*$R477 + Config!$B$8*$W477 + Config!$B$9*$X477 + Config!$B$10*$Y477 + Config!$B$11*$Z477 - Config!$B$12*$AA477)/Config!$B$13)+$AH477+$AI477),""))*(1-IFERROR(VLOOKUP(J477,Grinders!$A:$AB, 28, FALSE),0)),"")))*(1+AO477),"")</f>
        <v>#ERROR!</v>
      </c>
      <c r="AD477" s="40" t="str">
        <f t="shared" si="4"/>
        <v/>
      </c>
      <c r="AE477" s="40" t="str">
        <f>IFERROR(__xludf.DUMMYFUNCTION("IF($AC477="""","""",IF($AC477=IFERROR(MAX(FILTER($AC$6:$AC$1000,$C$6:$C$1000=$C477,$AB$6:$AB$1000=1)),),""WINNER"",""""))"),"#ERROR!")</f>
        <v>#ERROR!</v>
      </c>
      <c r="AF477" s="40" t="str">
        <f t="shared" si="5"/>
        <v/>
      </c>
      <c r="AG477" s="40" t="str">
        <f>IF($J477="","",COUNTIF(Assignments!$B:$B,$J477))</f>
        <v/>
      </c>
      <c r="AH477" s="40" t="str">
        <f>IF($J477="","",IF(AND($AG477=0,$N477&lt;$M477),Config!$B$43,0))</f>
        <v/>
      </c>
      <c r="AI477" s="40" t="str">
        <f>IF($J477="","",IF(AND($L477="Elite",$F477&gt;=Config!$B$41,$N477&lt;$M477),Config!$B$42,0))</f>
        <v/>
      </c>
      <c r="AJ477" s="22"/>
      <c r="AK477" s="39">
        <f>IFERROR(VLOOKUP(J477,Grinders!$A:$Q,28,FALSE),0)</f>
        <v>0</v>
      </c>
      <c r="AL477" s="39">
        <f>IF(Config!$B$1003&lt;&gt;"Y",0,IF(IFERROR(VLOOKUP(J477,Grinders!$A:$P,27,FALSE),0)&gt;=3,IF(OR(F477&gt;=Config!$B$1001,ISNUMBER(SEARCH(E477,Config!$B$1002))),1,0),0))</f>
        <v>0</v>
      </c>
      <c r="AM477" s="39">
        <f t="array" ref="AM477">IFERROR(IF(INDEX(Bids!$AE:$AE,MATCH(B477,Bids!$A:$A,0))="Pending",1,0),0)</f>
        <v>0</v>
      </c>
      <c r="AN477" s="39" t="str">
        <f t="array" ref="AN477">IF(C477="","",IFERROR(XLOOKUP(C477,Assignments!$C:$C,Assignments!$AU:$AU,0),0))</f>
        <v/>
      </c>
      <c r="AO477" s="39">
        <f>IF(AND(Config!$B$1006="Y",AN477=1),Config!$B$1007,0)</f>
        <v>0</v>
      </c>
    </row>
    <row r="478" ht="15.75" customHeight="1">
      <c r="A478" s="46" t="str">
        <f t="shared" si="1"/>
        <v/>
      </c>
      <c r="B478" s="40" t="str">
        <f>IF(Bids!$A478="","",Bids!$A478)</f>
        <v/>
      </c>
      <c r="C478" s="40" t="str">
        <f>IF(Bids!$B478="","",Bids!$B478)</f>
        <v/>
      </c>
      <c r="D478" s="40" t="str">
        <f>IF($C478="","",IFERROR(VLOOKUP($C478,Orders!$A:$J,9,FALSE),""))</f>
        <v/>
      </c>
      <c r="E478" s="40" t="str">
        <f>IF($C478="","",IFERROR(VLOOKUP($C478,Orders!$A:$J,3,FALSE),""))</f>
        <v/>
      </c>
      <c r="F478" s="40" t="str">
        <f>IF($C478="","",IFERROR(VLOOKUP($C478,Orders!$A:$J,4,FALSE),""))</f>
        <v/>
      </c>
      <c r="G478" s="40" t="str">
        <f>IF($C478="","",IFERROR(VLOOKUP($C478,Orders!$A:$J,5,FALSE),""))</f>
        <v/>
      </c>
      <c r="H478" s="40" t="str">
        <f>IF($C478="","",IFERROR(VLOOKUP($C478,Orders!$A:$J,6,FALSE),""))</f>
        <v/>
      </c>
      <c r="I478" s="40" t="str">
        <f>IF($C478="","",IFERROR(VLOOKUP($C478,Orders!$A:$J,7,FALSE),""))</f>
        <v/>
      </c>
      <c r="J478" s="40" t="str">
        <f>IF(Bids!$C478="","",Bids!$C478)</f>
        <v/>
      </c>
      <c r="K478" s="40" t="str">
        <f>IF($J478="","",IFERROR(VLOOKUP($J478,Grinders!$A:$N,2,FALSE),""))</f>
        <v/>
      </c>
      <c r="L478" s="40" t="str">
        <f>IF($J478="","",IFERROR(VLOOKUP($J478,Grinders!$A:$N,3,FALSE),""))</f>
        <v/>
      </c>
      <c r="M478" s="40" t="str">
        <f>IF($J478="","",IFERROR(VLOOKUP($J478,Grinders!$A:$N,4,FALSE),""))</f>
        <v/>
      </c>
      <c r="N478" s="40" t="str">
        <f>IF($J478="","",IFERROR(VLOOKUP($J478,Grinders!$A:$N,5,FALSE),""))</f>
        <v/>
      </c>
      <c r="O478" s="40" t="str">
        <f t="shared" si="2"/>
        <v/>
      </c>
      <c r="P478" s="40" t="str">
        <f>IF($J478="","",IFERROR(VLOOKUP($J478,Grinders!$A:$N,6,FALSE),""))</f>
        <v/>
      </c>
      <c r="Q478" s="40" t="str">
        <f>IF($J478="","",IFERROR(VLOOKUP($J478,Grinders!$A:$N,8,FALSE),""))</f>
        <v/>
      </c>
      <c r="R478" s="40" t="str">
        <f>IFERROR(IF($J478="","",IF($L478="Elite",MAX(50,MIN(100,Config!$B$27*MAX(0,MIN(100,(1-IF($O478="",0,$O478))*100)) + Config!$B$28*MAX(0,MIN(100,(1-MIN(1,IF(Config!$B$30=0,1,$P478/Config!$B$30)))*100)) + Config!$B$29*MAX(0,MIN(100,MIN(1,IF($Q478="",0,$Q478)/Config!$B$23)*100)))),MIN(100,Config!$B$27*MAX(0,MIN(100,(1-IF($O478="",0,$O478))*100)) + Config!$B$28*MAX(0,MIN(100,(1-MIN(1,IF(Config!$B$30=0,1,$P478/Config!$B$30)))*100)) + Config!$B$29*MAX(0,MIN(100,MIN(1,IF($Q478="",0,$Q478)/Config!$B$23)*100))))),"")
</f>
        <v/>
      </c>
      <c r="S478" s="40" t="str">
        <f>IF(Bids!$AC478="","",Bids!$AC478)</f>
        <v/>
      </c>
      <c r="T478" s="40" t="str">
        <f>IF(Bids!$F478="","",Bids!$F478)</f>
        <v/>
      </c>
      <c r="U478" s="40" t="str">
        <f t="shared" si="3"/>
        <v/>
      </c>
      <c r="V478" s="40" t="str">
        <f>IF($U478="","",IF(Config!$B$17=Config!$B$16,IF($U478&gt;=Config!$B$17,100,0),MAX(0,MIN(100,($U478-Config!$B$16)/(Config!$B$17-Config!$B$16)*100))))</f>
        <v/>
      </c>
      <c r="W478" s="40">
        <f>IF($L478="Elite",Config!$B$21,0)</f>
        <v>0</v>
      </c>
      <c r="X478" s="40" t="str">
        <f>IFERROR(IF(OR($T478="",$G478=""),"",IF($T478&gt;$G478,
  MAX(0, 60-(($T478-$G478)*24/Config!$B$19)*60),
  MEDIAN(60, 100, 60+(($G478-$T478)*24/Config!$B$20)*40)
)),"")
</f>
        <v/>
      </c>
      <c r="Y478" s="40" t="str">
        <f>IF($J478="","",IFERROR(VLOOKUP($J478,Grinders!$A:$N,10,FALSE),""))</f>
        <v/>
      </c>
      <c r="Z478" s="40" t="str">
        <f>IF($J478="","",IFERROR(VLOOKUP($J478,Grinders!$A:$N,11,FALSE),""))</f>
        <v/>
      </c>
      <c r="AA478" s="40" t="str">
        <f>IF($J478="","",IFERROR(VLOOKUP($J478,Grinders!$A:$N,12,FALSE),""))</f>
        <v/>
      </c>
      <c r="AB478" s="40" t="str">
        <f>IF(OR(AL478=1,AM478=1),0,=IFERROR(IF(OR($C478="",$J478=""),0,IF($D478&lt;&gt;"Open",0,IF(COUNTIFS(GrinderServices!$A:$A,$J478,GrinderServices!$B:$B,$E478,GrinderServices!$D:$D,"Y")=0,0,IF($U478&lt;Config!$B$16,0,IF(Config!$B$18=1,IF($N478&gt;=$M478,0,1),1))))),""))</f>
        <v>#ERROR!</v>
      </c>
      <c r="AC478" s="40" t="str">
        <f>IFERROR((IF(OR(AL478=1,AM478=1),"",=IFERROR((IFERROR(IF($AB478=0,"",((Config!$B$6*$V478 + Config!$B$7*$R478 + Config!$B$8*$W478 + Config!$B$9*$X478 + Config!$B$10*$Y478 + Config!$B$11*$Z478 - Config!$B$12*$AA478)/Config!$B$13)+$AH478+$AI478),""))*(1-IFERROR(VLOOKUP(J478,Grinders!$A:$AB, 28, FALSE),0)),"")))*(1+AO478),"")</f>
        <v>#ERROR!</v>
      </c>
      <c r="AD478" s="40" t="str">
        <f t="shared" si="4"/>
        <v/>
      </c>
      <c r="AE478" s="40" t="str">
        <f>IFERROR(__xludf.DUMMYFUNCTION("IF($AC478="""","""",IF($AC478=IFERROR(MAX(FILTER($AC$6:$AC$1000,$C$6:$C$1000=$C478,$AB$6:$AB$1000=1)),),""WINNER"",""""))"),"#ERROR!")</f>
        <v>#ERROR!</v>
      </c>
      <c r="AF478" s="40" t="str">
        <f t="shared" si="5"/>
        <v/>
      </c>
      <c r="AG478" s="40" t="str">
        <f>IF($J478="","",COUNTIF(Assignments!$B:$B,$J478))</f>
        <v/>
      </c>
      <c r="AH478" s="40" t="str">
        <f>IF($J478="","",IF(AND($AG478=0,$N478&lt;$M478),Config!$B$43,0))</f>
        <v/>
      </c>
      <c r="AI478" s="40" t="str">
        <f>IF($J478="","",IF(AND($L478="Elite",$F478&gt;=Config!$B$41,$N478&lt;$M478),Config!$B$42,0))</f>
        <v/>
      </c>
      <c r="AJ478" s="22"/>
      <c r="AK478" s="39">
        <f>IFERROR(VLOOKUP(J478,Grinders!$A:$Q,28,FALSE),0)</f>
        <v>0</v>
      </c>
      <c r="AL478" s="39">
        <f>IF(Config!$B$1003&lt;&gt;"Y",0,IF(IFERROR(VLOOKUP(J478,Grinders!$A:$P,27,FALSE),0)&gt;=3,IF(OR(F478&gt;=Config!$B$1001,ISNUMBER(SEARCH(E478,Config!$B$1002))),1,0),0))</f>
        <v>0</v>
      </c>
      <c r="AM478" s="39">
        <f t="array" ref="AM478">IFERROR(IF(INDEX(Bids!$AE:$AE,MATCH(B478,Bids!$A:$A,0))="Pending",1,0),0)</f>
        <v>0</v>
      </c>
      <c r="AN478" s="39" t="str">
        <f t="array" ref="AN478">IF(C478="","",IFERROR(XLOOKUP(C478,Assignments!$C:$C,Assignments!$AU:$AU,0),0))</f>
        <v/>
      </c>
      <c r="AO478" s="39">
        <f>IF(AND(Config!$B$1006="Y",AN478=1),Config!$B$1007,0)</f>
        <v>0</v>
      </c>
    </row>
    <row r="479" ht="15.75" customHeight="1">
      <c r="A479" s="46" t="str">
        <f t="shared" si="1"/>
        <v/>
      </c>
      <c r="B479" s="40" t="str">
        <f>IF(Bids!$A479="","",Bids!$A479)</f>
        <v/>
      </c>
      <c r="C479" s="40" t="str">
        <f>IF(Bids!$B479="","",Bids!$B479)</f>
        <v/>
      </c>
      <c r="D479" s="40" t="str">
        <f>IF($C479="","",IFERROR(VLOOKUP($C479,Orders!$A:$J,9,FALSE),""))</f>
        <v/>
      </c>
      <c r="E479" s="40" t="str">
        <f>IF($C479="","",IFERROR(VLOOKUP($C479,Orders!$A:$J,3,FALSE),""))</f>
        <v/>
      </c>
      <c r="F479" s="40" t="str">
        <f>IF($C479="","",IFERROR(VLOOKUP($C479,Orders!$A:$J,4,FALSE),""))</f>
        <v/>
      </c>
      <c r="G479" s="40" t="str">
        <f>IF($C479="","",IFERROR(VLOOKUP($C479,Orders!$A:$J,5,FALSE),""))</f>
        <v/>
      </c>
      <c r="H479" s="40" t="str">
        <f>IF($C479="","",IFERROR(VLOOKUP($C479,Orders!$A:$J,6,FALSE),""))</f>
        <v/>
      </c>
      <c r="I479" s="40" t="str">
        <f>IF($C479="","",IFERROR(VLOOKUP($C479,Orders!$A:$J,7,FALSE),""))</f>
        <v/>
      </c>
      <c r="J479" s="40" t="str">
        <f>IF(Bids!$C479="","",Bids!$C479)</f>
        <v/>
      </c>
      <c r="K479" s="40" t="str">
        <f>IF($J479="","",IFERROR(VLOOKUP($J479,Grinders!$A:$N,2,FALSE),""))</f>
        <v/>
      </c>
      <c r="L479" s="40" t="str">
        <f>IF($J479="","",IFERROR(VLOOKUP($J479,Grinders!$A:$N,3,FALSE),""))</f>
        <v/>
      </c>
      <c r="M479" s="40" t="str">
        <f>IF($J479="","",IFERROR(VLOOKUP($J479,Grinders!$A:$N,4,FALSE),""))</f>
        <v/>
      </c>
      <c r="N479" s="40" t="str">
        <f>IF($J479="","",IFERROR(VLOOKUP($J479,Grinders!$A:$N,5,FALSE),""))</f>
        <v/>
      </c>
      <c r="O479" s="40" t="str">
        <f t="shared" si="2"/>
        <v/>
      </c>
      <c r="P479" s="40" t="str">
        <f>IF($J479="","",IFERROR(VLOOKUP($J479,Grinders!$A:$N,6,FALSE),""))</f>
        <v/>
      </c>
      <c r="Q479" s="40" t="str">
        <f>IF($J479="","",IFERROR(VLOOKUP($J479,Grinders!$A:$N,8,FALSE),""))</f>
        <v/>
      </c>
      <c r="R479" s="40" t="str">
        <f>IFERROR(IF($J479="","",IF($L479="Elite",MAX(50,MIN(100,Config!$B$27*MAX(0,MIN(100,(1-IF($O479="",0,$O479))*100)) + Config!$B$28*MAX(0,MIN(100,(1-MIN(1,IF(Config!$B$30=0,1,$P479/Config!$B$30)))*100)) + Config!$B$29*MAX(0,MIN(100,MIN(1,IF($Q479="",0,$Q479)/Config!$B$23)*100)))),MIN(100,Config!$B$27*MAX(0,MIN(100,(1-IF($O479="",0,$O479))*100)) + Config!$B$28*MAX(0,MIN(100,(1-MIN(1,IF(Config!$B$30=0,1,$P479/Config!$B$30)))*100)) + Config!$B$29*MAX(0,MIN(100,MIN(1,IF($Q479="",0,$Q479)/Config!$B$23)*100))))),"")
</f>
        <v/>
      </c>
      <c r="S479" s="40" t="str">
        <f>IF(Bids!$AC479="","",Bids!$AC479)</f>
        <v/>
      </c>
      <c r="T479" s="40" t="str">
        <f>IF(Bids!$F479="","",Bids!$F479)</f>
        <v/>
      </c>
      <c r="U479" s="40" t="str">
        <f t="shared" si="3"/>
        <v/>
      </c>
      <c r="V479" s="40" t="str">
        <f>IF($U479="","",IF(Config!$B$17=Config!$B$16,IF($U479&gt;=Config!$B$17,100,0),MAX(0,MIN(100,($U479-Config!$B$16)/(Config!$B$17-Config!$B$16)*100))))</f>
        <v/>
      </c>
      <c r="W479" s="40">
        <f>IF($L479="Elite",Config!$B$21,0)</f>
        <v>0</v>
      </c>
      <c r="X479" s="40" t="str">
        <f>IFERROR(IF(OR($T479="",$G479=""),"",IF($T479&gt;$G479,
  MAX(0, 60-(($T479-$G479)*24/Config!$B$19)*60),
  MEDIAN(60, 100, 60+(($G479-$T479)*24/Config!$B$20)*40)
)),"")
</f>
        <v/>
      </c>
      <c r="Y479" s="40" t="str">
        <f>IF($J479="","",IFERROR(VLOOKUP($J479,Grinders!$A:$N,10,FALSE),""))</f>
        <v/>
      </c>
      <c r="Z479" s="40" t="str">
        <f>IF($J479="","",IFERROR(VLOOKUP($J479,Grinders!$A:$N,11,FALSE),""))</f>
        <v/>
      </c>
      <c r="AA479" s="40" t="str">
        <f>IF($J479="","",IFERROR(VLOOKUP($J479,Grinders!$A:$N,12,FALSE),""))</f>
        <v/>
      </c>
      <c r="AB479" s="40" t="str">
        <f>IF(OR(AL479=1,AM479=1),0,=IFERROR(IF(OR($C479="",$J479=""),0,IF($D479&lt;&gt;"Open",0,IF(COUNTIFS(GrinderServices!$A:$A,$J479,GrinderServices!$B:$B,$E479,GrinderServices!$D:$D,"Y")=0,0,IF($U479&lt;Config!$B$16,0,IF(Config!$B$18=1,IF($N479&gt;=$M479,0,1),1))))),""))</f>
        <v>#ERROR!</v>
      </c>
      <c r="AC479" s="40" t="str">
        <f>IFERROR((IF(OR(AL479=1,AM479=1),"",=IFERROR((IFERROR(IF($AB479=0,"",((Config!$B$6*$V479 + Config!$B$7*$R479 + Config!$B$8*$W479 + Config!$B$9*$X479 + Config!$B$10*$Y479 + Config!$B$11*$Z479 - Config!$B$12*$AA479)/Config!$B$13)+$AH479+$AI479),""))*(1-IFERROR(VLOOKUP(J479,Grinders!$A:$AB, 28, FALSE),0)),"")))*(1+AO479),"")</f>
        <v>#ERROR!</v>
      </c>
      <c r="AD479" s="40" t="str">
        <f t="shared" si="4"/>
        <v/>
      </c>
      <c r="AE479" s="40" t="str">
        <f>IFERROR(__xludf.DUMMYFUNCTION("IF($AC479="""","""",IF($AC479=IFERROR(MAX(FILTER($AC$6:$AC$1000,$C$6:$C$1000=$C479,$AB$6:$AB$1000=1)),),""WINNER"",""""))"),"#ERROR!")</f>
        <v>#ERROR!</v>
      </c>
      <c r="AF479" s="40" t="str">
        <f t="shared" si="5"/>
        <v/>
      </c>
      <c r="AG479" s="40" t="str">
        <f>IF($J479="","",COUNTIF(Assignments!$B:$B,$J479))</f>
        <v/>
      </c>
      <c r="AH479" s="40" t="str">
        <f>IF($J479="","",IF(AND($AG479=0,$N479&lt;$M479),Config!$B$43,0))</f>
        <v/>
      </c>
      <c r="AI479" s="40" t="str">
        <f>IF($J479="","",IF(AND($L479="Elite",$F479&gt;=Config!$B$41,$N479&lt;$M479),Config!$B$42,0))</f>
        <v/>
      </c>
      <c r="AJ479" s="22"/>
      <c r="AK479" s="39">
        <f>IFERROR(VLOOKUP(J479,Grinders!$A:$Q,28,FALSE),0)</f>
        <v>0</v>
      </c>
      <c r="AL479" s="39">
        <f>IF(Config!$B$1003&lt;&gt;"Y",0,IF(IFERROR(VLOOKUP(J479,Grinders!$A:$P,27,FALSE),0)&gt;=3,IF(OR(F479&gt;=Config!$B$1001,ISNUMBER(SEARCH(E479,Config!$B$1002))),1,0),0))</f>
        <v>0</v>
      </c>
      <c r="AM479" s="39">
        <f t="array" ref="AM479">IFERROR(IF(INDEX(Bids!$AE:$AE,MATCH(B479,Bids!$A:$A,0))="Pending",1,0),0)</f>
        <v>0</v>
      </c>
      <c r="AN479" s="39" t="str">
        <f t="array" ref="AN479">IF(C479="","",IFERROR(XLOOKUP(C479,Assignments!$C:$C,Assignments!$AU:$AU,0),0))</f>
        <v/>
      </c>
      <c r="AO479" s="39">
        <f>IF(AND(Config!$B$1006="Y",AN479=1),Config!$B$1007,0)</f>
        <v>0</v>
      </c>
    </row>
    <row r="480" ht="15.75" customHeight="1">
      <c r="A480" s="46" t="str">
        <f t="shared" si="1"/>
        <v/>
      </c>
      <c r="B480" s="40" t="str">
        <f>IF(Bids!$A480="","",Bids!$A480)</f>
        <v/>
      </c>
      <c r="C480" s="40" t="str">
        <f>IF(Bids!$B480="","",Bids!$B480)</f>
        <v/>
      </c>
      <c r="D480" s="40" t="str">
        <f>IF($C480="","",IFERROR(VLOOKUP($C480,Orders!$A:$J,9,FALSE),""))</f>
        <v/>
      </c>
      <c r="E480" s="40" t="str">
        <f>IF($C480="","",IFERROR(VLOOKUP($C480,Orders!$A:$J,3,FALSE),""))</f>
        <v/>
      </c>
      <c r="F480" s="40" t="str">
        <f>IF($C480="","",IFERROR(VLOOKUP($C480,Orders!$A:$J,4,FALSE),""))</f>
        <v/>
      </c>
      <c r="G480" s="40" t="str">
        <f>IF($C480="","",IFERROR(VLOOKUP($C480,Orders!$A:$J,5,FALSE),""))</f>
        <v/>
      </c>
      <c r="H480" s="40" t="str">
        <f>IF($C480="","",IFERROR(VLOOKUP($C480,Orders!$A:$J,6,FALSE),""))</f>
        <v/>
      </c>
      <c r="I480" s="40" t="str">
        <f>IF($C480="","",IFERROR(VLOOKUP($C480,Orders!$A:$J,7,FALSE),""))</f>
        <v/>
      </c>
      <c r="J480" s="40" t="str">
        <f>IF(Bids!$C480="","",Bids!$C480)</f>
        <v/>
      </c>
      <c r="K480" s="40" t="str">
        <f>IF($J480="","",IFERROR(VLOOKUP($J480,Grinders!$A:$N,2,FALSE),""))</f>
        <v/>
      </c>
      <c r="L480" s="40" t="str">
        <f>IF($J480="","",IFERROR(VLOOKUP($J480,Grinders!$A:$N,3,FALSE),""))</f>
        <v/>
      </c>
      <c r="M480" s="40" t="str">
        <f>IF($J480="","",IFERROR(VLOOKUP($J480,Grinders!$A:$N,4,FALSE),""))</f>
        <v/>
      </c>
      <c r="N480" s="40" t="str">
        <f>IF($J480="","",IFERROR(VLOOKUP($J480,Grinders!$A:$N,5,FALSE),""))</f>
        <v/>
      </c>
      <c r="O480" s="40" t="str">
        <f t="shared" si="2"/>
        <v/>
      </c>
      <c r="P480" s="40" t="str">
        <f>IF($J480="","",IFERROR(VLOOKUP($J480,Grinders!$A:$N,6,FALSE),""))</f>
        <v/>
      </c>
      <c r="Q480" s="40" t="str">
        <f>IF($J480="","",IFERROR(VLOOKUP($J480,Grinders!$A:$N,8,FALSE),""))</f>
        <v/>
      </c>
      <c r="R480" s="40" t="str">
        <f>IFERROR(IF($J480="","",IF($L480="Elite",MAX(50,MIN(100,Config!$B$27*MAX(0,MIN(100,(1-IF($O480="",0,$O480))*100)) + Config!$B$28*MAX(0,MIN(100,(1-MIN(1,IF(Config!$B$30=0,1,$P480/Config!$B$30)))*100)) + Config!$B$29*MAX(0,MIN(100,MIN(1,IF($Q480="",0,$Q480)/Config!$B$23)*100)))),MIN(100,Config!$B$27*MAX(0,MIN(100,(1-IF($O480="",0,$O480))*100)) + Config!$B$28*MAX(0,MIN(100,(1-MIN(1,IF(Config!$B$30=0,1,$P480/Config!$B$30)))*100)) + Config!$B$29*MAX(0,MIN(100,MIN(1,IF($Q480="",0,$Q480)/Config!$B$23)*100))))),"")
</f>
        <v/>
      </c>
      <c r="S480" s="40" t="str">
        <f>IF(Bids!$AC480="","",Bids!$AC480)</f>
        <v/>
      </c>
      <c r="T480" s="40" t="str">
        <f>IF(Bids!$F480="","",Bids!$F480)</f>
        <v/>
      </c>
      <c r="U480" s="40" t="str">
        <f t="shared" si="3"/>
        <v/>
      </c>
      <c r="V480" s="40" t="str">
        <f>IF($U480="","",IF(Config!$B$17=Config!$B$16,IF($U480&gt;=Config!$B$17,100,0),MAX(0,MIN(100,($U480-Config!$B$16)/(Config!$B$17-Config!$B$16)*100))))</f>
        <v/>
      </c>
      <c r="W480" s="40">
        <f>IF($L480="Elite",Config!$B$21,0)</f>
        <v>0</v>
      </c>
      <c r="X480" s="40" t="str">
        <f>IFERROR(IF(OR($T480="",$G480=""),"",IF($T480&gt;$G480,
  MAX(0, 60-(($T480-$G480)*24/Config!$B$19)*60),
  MEDIAN(60, 100, 60+(($G480-$T480)*24/Config!$B$20)*40)
)),"")
</f>
        <v/>
      </c>
      <c r="Y480" s="40" t="str">
        <f>IF($J480="","",IFERROR(VLOOKUP($J480,Grinders!$A:$N,10,FALSE),""))</f>
        <v/>
      </c>
      <c r="Z480" s="40" t="str">
        <f>IF($J480="","",IFERROR(VLOOKUP($J480,Grinders!$A:$N,11,FALSE),""))</f>
        <v/>
      </c>
      <c r="AA480" s="40" t="str">
        <f>IF($J480="","",IFERROR(VLOOKUP($J480,Grinders!$A:$N,12,FALSE),""))</f>
        <v/>
      </c>
      <c r="AB480" s="40" t="str">
        <f>IF(OR(AL480=1,AM480=1),0,=IFERROR(IF(OR($C480="",$J480=""),0,IF($D480&lt;&gt;"Open",0,IF(COUNTIFS(GrinderServices!$A:$A,$J480,GrinderServices!$B:$B,$E480,GrinderServices!$D:$D,"Y")=0,0,IF($U480&lt;Config!$B$16,0,IF(Config!$B$18=1,IF($N480&gt;=$M480,0,1),1))))),""))</f>
        <v>#ERROR!</v>
      </c>
      <c r="AC480" s="40" t="str">
        <f>IFERROR((IF(OR(AL480=1,AM480=1),"",=IFERROR((IFERROR(IF($AB480=0,"",((Config!$B$6*$V480 + Config!$B$7*$R480 + Config!$B$8*$W480 + Config!$B$9*$X480 + Config!$B$10*$Y480 + Config!$B$11*$Z480 - Config!$B$12*$AA480)/Config!$B$13)+$AH480+$AI480),""))*(1-IFERROR(VLOOKUP(J480,Grinders!$A:$AB, 28, FALSE),0)),"")))*(1+AO480),"")</f>
        <v>#ERROR!</v>
      </c>
      <c r="AD480" s="40" t="str">
        <f t="shared" si="4"/>
        <v/>
      </c>
      <c r="AE480" s="40" t="str">
        <f>IFERROR(__xludf.DUMMYFUNCTION("IF($AC480="""","""",IF($AC480=IFERROR(MAX(FILTER($AC$6:$AC$1000,$C$6:$C$1000=$C480,$AB$6:$AB$1000=1)),),""WINNER"",""""))"),"#ERROR!")</f>
        <v>#ERROR!</v>
      </c>
      <c r="AF480" s="40" t="str">
        <f t="shared" si="5"/>
        <v/>
      </c>
      <c r="AG480" s="40" t="str">
        <f>IF($J480="","",COUNTIF(Assignments!$B:$B,$J480))</f>
        <v/>
      </c>
      <c r="AH480" s="40" t="str">
        <f>IF($J480="","",IF(AND($AG480=0,$N480&lt;$M480),Config!$B$43,0))</f>
        <v/>
      </c>
      <c r="AI480" s="40" t="str">
        <f>IF($J480="","",IF(AND($L480="Elite",$F480&gt;=Config!$B$41,$N480&lt;$M480),Config!$B$42,0))</f>
        <v/>
      </c>
      <c r="AJ480" s="22"/>
      <c r="AK480" s="39">
        <f>IFERROR(VLOOKUP(J480,Grinders!$A:$Q,28,FALSE),0)</f>
        <v>0</v>
      </c>
      <c r="AL480" s="39">
        <f>IF(Config!$B$1003&lt;&gt;"Y",0,IF(IFERROR(VLOOKUP(J480,Grinders!$A:$P,27,FALSE),0)&gt;=3,IF(OR(F480&gt;=Config!$B$1001,ISNUMBER(SEARCH(E480,Config!$B$1002))),1,0),0))</f>
        <v>0</v>
      </c>
      <c r="AM480" s="39">
        <f t="array" ref="AM480">IFERROR(IF(INDEX(Bids!$AE:$AE,MATCH(B480,Bids!$A:$A,0))="Pending",1,0),0)</f>
        <v>0</v>
      </c>
      <c r="AN480" s="39" t="str">
        <f t="array" ref="AN480">IF(C480="","",IFERROR(XLOOKUP(C480,Assignments!$C:$C,Assignments!$AU:$AU,0),0))</f>
        <v/>
      </c>
      <c r="AO480" s="39">
        <f>IF(AND(Config!$B$1006="Y",AN480=1),Config!$B$1007,0)</f>
        <v>0</v>
      </c>
    </row>
    <row r="481" ht="15.75" customHeight="1">
      <c r="A481" s="46" t="str">
        <f t="shared" si="1"/>
        <v/>
      </c>
      <c r="B481" s="40" t="str">
        <f>IF(Bids!$A481="","",Bids!$A481)</f>
        <v/>
      </c>
      <c r="C481" s="40" t="str">
        <f>IF(Bids!$B481="","",Bids!$B481)</f>
        <v/>
      </c>
      <c r="D481" s="40" t="str">
        <f>IF($C481="","",IFERROR(VLOOKUP($C481,Orders!$A:$J,9,FALSE),""))</f>
        <v/>
      </c>
      <c r="E481" s="40" t="str">
        <f>IF($C481="","",IFERROR(VLOOKUP($C481,Orders!$A:$J,3,FALSE),""))</f>
        <v/>
      </c>
      <c r="F481" s="40" t="str">
        <f>IF($C481="","",IFERROR(VLOOKUP($C481,Orders!$A:$J,4,FALSE),""))</f>
        <v/>
      </c>
      <c r="G481" s="40" t="str">
        <f>IF($C481="","",IFERROR(VLOOKUP($C481,Orders!$A:$J,5,FALSE),""))</f>
        <v/>
      </c>
      <c r="H481" s="40" t="str">
        <f>IF($C481="","",IFERROR(VLOOKUP($C481,Orders!$A:$J,6,FALSE),""))</f>
        <v/>
      </c>
      <c r="I481" s="40" t="str">
        <f>IF($C481="","",IFERROR(VLOOKUP($C481,Orders!$A:$J,7,FALSE),""))</f>
        <v/>
      </c>
      <c r="J481" s="40" t="str">
        <f>IF(Bids!$C481="","",Bids!$C481)</f>
        <v/>
      </c>
      <c r="K481" s="40" t="str">
        <f>IF($J481="","",IFERROR(VLOOKUP($J481,Grinders!$A:$N,2,FALSE),""))</f>
        <v/>
      </c>
      <c r="L481" s="40" t="str">
        <f>IF($J481="","",IFERROR(VLOOKUP($J481,Grinders!$A:$N,3,FALSE),""))</f>
        <v/>
      </c>
      <c r="M481" s="40" t="str">
        <f>IF($J481="","",IFERROR(VLOOKUP($J481,Grinders!$A:$N,4,FALSE),""))</f>
        <v/>
      </c>
      <c r="N481" s="40" t="str">
        <f>IF($J481="","",IFERROR(VLOOKUP($J481,Grinders!$A:$N,5,FALSE),""))</f>
        <v/>
      </c>
      <c r="O481" s="40" t="str">
        <f t="shared" si="2"/>
        <v/>
      </c>
      <c r="P481" s="40" t="str">
        <f>IF($J481="","",IFERROR(VLOOKUP($J481,Grinders!$A:$N,6,FALSE),""))</f>
        <v/>
      </c>
      <c r="Q481" s="40" t="str">
        <f>IF($J481="","",IFERROR(VLOOKUP($J481,Grinders!$A:$N,8,FALSE),""))</f>
        <v/>
      </c>
      <c r="R481" s="40" t="str">
        <f>IFERROR(IF($J481="","",IF($L481="Elite",MAX(50,MIN(100,Config!$B$27*MAX(0,MIN(100,(1-IF($O481="",0,$O481))*100)) + Config!$B$28*MAX(0,MIN(100,(1-MIN(1,IF(Config!$B$30=0,1,$P481/Config!$B$30)))*100)) + Config!$B$29*MAX(0,MIN(100,MIN(1,IF($Q481="",0,$Q481)/Config!$B$23)*100)))),MIN(100,Config!$B$27*MAX(0,MIN(100,(1-IF($O481="",0,$O481))*100)) + Config!$B$28*MAX(0,MIN(100,(1-MIN(1,IF(Config!$B$30=0,1,$P481/Config!$B$30)))*100)) + Config!$B$29*MAX(0,MIN(100,MIN(1,IF($Q481="",0,$Q481)/Config!$B$23)*100))))),"")
</f>
        <v/>
      </c>
      <c r="S481" s="40" t="str">
        <f>IF(Bids!$AC481="","",Bids!$AC481)</f>
        <v/>
      </c>
      <c r="T481" s="40" t="str">
        <f>IF(Bids!$F481="","",Bids!$F481)</f>
        <v/>
      </c>
      <c r="U481" s="40" t="str">
        <f t="shared" si="3"/>
        <v/>
      </c>
      <c r="V481" s="40" t="str">
        <f>IF($U481="","",IF(Config!$B$17=Config!$B$16,IF($U481&gt;=Config!$B$17,100,0),MAX(0,MIN(100,($U481-Config!$B$16)/(Config!$B$17-Config!$B$16)*100))))</f>
        <v/>
      </c>
      <c r="W481" s="40">
        <f>IF($L481="Elite",Config!$B$21,0)</f>
        <v>0</v>
      </c>
      <c r="X481" s="40" t="str">
        <f>IFERROR(IF(OR($T481="",$G481=""),"",IF($T481&gt;$G481,
  MAX(0, 60-(($T481-$G481)*24/Config!$B$19)*60),
  MEDIAN(60, 100, 60+(($G481-$T481)*24/Config!$B$20)*40)
)),"")
</f>
        <v/>
      </c>
      <c r="Y481" s="40" t="str">
        <f>IF($J481="","",IFERROR(VLOOKUP($J481,Grinders!$A:$N,10,FALSE),""))</f>
        <v/>
      </c>
      <c r="Z481" s="40" t="str">
        <f>IF($J481="","",IFERROR(VLOOKUP($J481,Grinders!$A:$N,11,FALSE),""))</f>
        <v/>
      </c>
      <c r="AA481" s="40" t="str">
        <f>IF($J481="","",IFERROR(VLOOKUP($J481,Grinders!$A:$N,12,FALSE),""))</f>
        <v/>
      </c>
      <c r="AB481" s="40" t="str">
        <f>IF(OR(AL481=1,AM481=1),0,=IFERROR(IF(OR($C481="",$J481=""),0,IF($D481&lt;&gt;"Open",0,IF(COUNTIFS(GrinderServices!$A:$A,$J481,GrinderServices!$B:$B,$E481,GrinderServices!$D:$D,"Y")=0,0,IF($U481&lt;Config!$B$16,0,IF(Config!$B$18=1,IF($N481&gt;=$M481,0,1),1))))),""))</f>
        <v>#ERROR!</v>
      </c>
      <c r="AC481" s="40" t="str">
        <f>IFERROR((IF(OR(AL481=1,AM481=1),"",=IFERROR((IFERROR(IF($AB481=0,"",((Config!$B$6*$V481 + Config!$B$7*$R481 + Config!$B$8*$W481 + Config!$B$9*$X481 + Config!$B$10*$Y481 + Config!$B$11*$Z481 - Config!$B$12*$AA481)/Config!$B$13)+$AH481+$AI481),""))*(1-IFERROR(VLOOKUP(J481,Grinders!$A:$AB, 28, FALSE),0)),"")))*(1+AO481),"")</f>
        <v>#ERROR!</v>
      </c>
      <c r="AD481" s="40" t="str">
        <f t="shared" si="4"/>
        <v/>
      </c>
      <c r="AE481" s="40" t="str">
        <f>IFERROR(__xludf.DUMMYFUNCTION("IF($AC481="""","""",IF($AC481=IFERROR(MAX(FILTER($AC$6:$AC$1000,$C$6:$C$1000=$C481,$AB$6:$AB$1000=1)),),""WINNER"",""""))"),"#ERROR!")</f>
        <v>#ERROR!</v>
      </c>
      <c r="AF481" s="40" t="str">
        <f t="shared" si="5"/>
        <v/>
      </c>
      <c r="AG481" s="40" t="str">
        <f>IF($J481="","",COUNTIF(Assignments!$B:$B,$J481))</f>
        <v/>
      </c>
      <c r="AH481" s="40" t="str">
        <f>IF($J481="","",IF(AND($AG481=0,$N481&lt;$M481),Config!$B$43,0))</f>
        <v/>
      </c>
      <c r="AI481" s="40" t="str">
        <f>IF($J481="","",IF(AND($L481="Elite",$F481&gt;=Config!$B$41,$N481&lt;$M481),Config!$B$42,0))</f>
        <v/>
      </c>
      <c r="AJ481" s="22"/>
      <c r="AK481" s="39">
        <f>IFERROR(VLOOKUP(J481,Grinders!$A:$Q,28,FALSE),0)</f>
        <v>0</v>
      </c>
      <c r="AL481" s="39">
        <f>IF(Config!$B$1003&lt;&gt;"Y",0,IF(IFERROR(VLOOKUP(J481,Grinders!$A:$P,27,FALSE),0)&gt;=3,IF(OR(F481&gt;=Config!$B$1001,ISNUMBER(SEARCH(E481,Config!$B$1002))),1,0),0))</f>
        <v>0</v>
      </c>
      <c r="AM481" s="39">
        <f t="array" ref="AM481">IFERROR(IF(INDEX(Bids!$AE:$AE,MATCH(B481,Bids!$A:$A,0))="Pending",1,0),0)</f>
        <v>0</v>
      </c>
      <c r="AN481" s="39" t="str">
        <f t="array" ref="AN481">IF(C481="","",IFERROR(XLOOKUP(C481,Assignments!$C:$C,Assignments!$AU:$AU,0),0))</f>
        <v/>
      </c>
      <c r="AO481" s="39">
        <f>IF(AND(Config!$B$1006="Y",AN481=1),Config!$B$1007,0)</f>
        <v>0</v>
      </c>
    </row>
    <row r="482" ht="15.75" customHeight="1">
      <c r="A482" s="46" t="str">
        <f t="shared" si="1"/>
        <v/>
      </c>
      <c r="B482" s="40" t="str">
        <f>IF(Bids!$A482="","",Bids!$A482)</f>
        <v/>
      </c>
      <c r="C482" s="40" t="str">
        <f>IF(Bids!$B482="","",Bids!$B482)</f>
        <v/>
      </c>
      <c r="D482" s="40" t="str">
        <f>IF($C482="","",IFERROR(VLOOKUP($C482,Orders!$A:$J,9,FALSE),""))</f>
        <v/>
      </c>
      <c r="E482" s="40" t="str">
        <f>IF($C482="","",IFERROR(VLOOKUP($C482,Orders!$A:$J,3,FALSE),""))</f>
        <v/>
      </c>
      <c r="F482" s="40" t="str">
        <f>IF($C482="","",IFERROR(VLOOKUP($C482,Orders!$A:$J,4,FALSE),""))</f>
        <v/>
      </c>
      <c r="G482" s="40" t="str">
        <f>IF($C482="","",IFERROR(VLOOKUP($C482,Orders!$A:$J,5,FALSE),""))</f>
        <v/>
      </c>
      <c r="H482" s="40" t="str">
        <f>IF($C482="","",IFERROR(VLOOKUP($C482,Orders!$A:$J,6,FALSE),""))</f>
        <v/>
      </c>
      <c r="I482" s="40" t="str">
        <f>IF($C482="","",IFERROR(VLOOKUP($C482,Orders!$A:$J,7,FALSE),""))</f>
        <v/>
      </c>
      <c r="J482" s="40" t="str">
        <f>IF(Bids!$C482="","",Bids!$C482)</f>
        <v/>
      </c>
      <c r="K482" s="40" t="str">
        <f>IF($J482="","",IFERROR(VLOOKUP($J482,Grinders!$A:$N,2,FALSE),""))</f>
        <v/>
      </c>
      <c r="L482" s="40" t="str">
        <f>IF($J482="","",IFERROR(VLOOKUP($J482,Grinders!$A:$N,3,FALSE),""))</f>
        <v/>
      </c>
      <c r="M482" s="40" t="str">
        <f>IF($J482="","",IFERROR(VLOOKUP($J482,Grinders!$A:$N,4,FALSE),""))</f>
        <v/>
      </c>
      <c r="N482" s="40" t="str">
        <f>IF($J482="","",IFERROR(VLOOKUP($J482,Grinders!$A:$N,5,FALSE),""))</f>
        <v/>
      </c>
      <c r="O482" s="40" t="str">
        <f t="shared" si="2"/>
        <v/>
      </c>
      <c r="P482" s="40" t="str">
        <f>IF($J482="","",IFERROR(VLOOKUP($J482,Grinders!$A:$N,6,FALSE),""))</f>
        <v/>
      </c>
      <c r="Q482" s="40" t="str">
        <f>IF($J482="","",IFERROR(VLOOKUP($J482,Grinders!$A:$N,8,FALSE),""))</f>
        <v/>
      </c>
      <c r="R482" s="40" t="str">
        <f>IFERROR(IF($J482="","",IF($L482="Elite",MAX(50,MIN(100,Config!$B$27*MAX(0,MIN(100,(1-IF($O482="",0,$O482))*100)) + Config!$B$28*MAX(0,MIN(100,(1-MIN(1,IF(Config!$B$30=0,1,$P482/Config!$B$30)))*100)) + Config!$B$29*MAX(0,MIN(100,MIN(1,IF($Q482="",0,$Q482)/Config!$B$23)*100)))),MIN(100,Config!$B$27*MAX(0,MIN(100,(1-IF($O482="",0,$O482))*100)) + Config!$B$28*MAX(0,MIN(100,(1-MIN(1,IF(Config!$B$30=0,1,$P482/Config!$B$30)))*100)) + Config!$B$29*MAX(0,MIN(100,MIN(1,IF($Q482="",0,$Q482)/Config!$B$23)*100))))),"")
</f>
        <v/>
      </c>
      <c r="S482" s="40" t="str">
        <f>IF(Bids!$AC482="","",Bids!$AC482)</f>
        <v/>
      </c>
      <c r="T482" s="40" t="str">
        <f>IF(Bids!$F482="","",Bids!$F482)</f>
        <v/>
      </c>
      <c r="U482" s="40" t="str">
        <f t="shared" si="3"/>
        <v/>
      </c>
      <c r="V482" s="40" t="str">
        <f>IF($U482="","",IF(Config!$B$17=Config!$B$16,IF($U482&gt;=Config!$B$17,100,0),MAX(0,MIN(100,($U482-Config!$B$16)/(Config!$B$17-Config!$B$16)*100))))</f>
        <v/>
      </c>
      <c r="W482" s="40">
        <f>IF($L482="Elite",Config!$B$21,0)</f>
        <v>0</v>
      </c>
      <c r="X482" s="40" t="str">
        <f>IFERROR(IF(OR($T482="",$G482=""),"",IF($T482&gt;$G482,
  MAX(0, 60-(($T482-$G482)*24/Config!$B$19)*60),
  MEDIAN(60, 100, 60+(($G482-$T482)*24/Config!$B$20)*40)
)),"")
</f>
        <v/>
      </c>
      <c r="Y482" s="40" t="str">
        <f>IF($J482="","",IFERROR(VLOOKUP($J482,Grinders!$A:$N,10,FALSE),""))</f>
        <v/>
      </c>
      <c r="Z482" s="40" t="str">
        <f>IF($J482="","",IFERROR(VLOOKUP($J482,Grinders!$A:$N,11,FALSE),""))</f>
        <v/>
      </c>
      <c r="AA482" s="40" t="str">
        <f>IF($J482="","",IFERROR(VLOOKUP($J482,Grinders!$A:$N,12,FALSE),""))</f>
        <v/>
      </c>
      <c r="AB482" s="40" t="str">
        <f>IF(OR(AL482=1,AM482=1),0,=IFERROR(IF(OR($C482="",$J482=""),0,IF($D482&lt;&gt;"Open",0,IF(COUNTIFS(GrinderServices!$A:$A,$J482,GrinderServices!$B:$B,$E482,GrinderServices!$D:$D,"Y")=0,0,IF($U482&lt;Config!$B$16,0,IF(Config!$B$18=1,IF($N482&gt;=$M482,0,1),1))))),""))</f>
        <v>#ERROR!</v>
      </c>
      <c r="AC482" s="40" t="str">
        <f>IFERROR((IF(OR(AL482=1,AM482=1),"",=IFERROR((IFERROR(IF($AB482=0,"",((Config!$B$6*$V482 + Config!$B$7*$R482 + Config!$B$8*$W482 + Config!$B$9*$X482 + Config!$B$10*$Y482 + Config!$B$11*$Z482 - Config!$B$12*$AA482)/Config!$B$13)+$AH482+$AI482),""))*(1-IFERROR(VLOOKUP(J482,Grinders!$A:$AB, 28, FALSE),0)),"")))*(1+AO482),"")</f>
        <v>#ERROR!</v>
      </c>
      <c r="AD482" s="40" t="str">
        <f t="shared" si="4"/>
        <v/>
      </c>
      <c r="AE482" s="40" t="str">
        <f>IFERROR(__xludf.DUMMYFUNCTION("IF($AC482="""","""",IF($AC482=IFERROR(MAX(FILTER($AC$6:$AC$1000,$C$6:$C$1000=$C482,$AB$6:$AB$1000=1)),),""WINNER"",""""))"),"#ERROR!")</f>
        <v>#ERROR!</v>
      </c>
      <c r="AF482" s="40" t="str">
        <f t="shared" si="5"/>
        <v/>
      </c>
      <c r="AG482" s="40" t="str">
        <f>IF($J482="","",COUNTIF(Assignments!$B:$B,$J482))</f>
        <v/>
      </c>
      <c r="AH482" s="40" t="str">
        <f>IF($J482="","",IF(AND($AG482=0,$N482&lt;$M482),Config!$B$43,0))</f>
        <v/>
      </c>
      <c r="AI482" s="40" t="str">
        <f>IF($J482="","",IF(AND($L482="Elite",$F482&gt;=Config!$B$41,$N482&lt;$M482),Config!$B$42,0))</f>
        <v/>
      </c>
      <c r="AJ482" s="22"/>
      <c r="AK482" s="39">
        <f>IFERROR(VLOOKUP(J482,Grinders!$A:$Q,28,FALSE),0)</f>
        <v>0</v>
      </c>
      <c r="AL482" s="39">
        <f>IF(Config!$B$1003&lt;&gt;"Y",0,IF(IFERROR(VLOOKUP(J482,Grinders!$A:$P,27,FALSE),0)&gt;=3,IF(OR(F482&gt;=Config!$B$1001,ISNUMBER(SEARCH(E482,Config!$B$1002))),1,0),0))</f>
        <v>0</v>
      </c>
      <c r="AM482" s="39">
        <f t="array" ref="AM482">IFERROR(IF(INDEX(Bids!$AE:$AE,MATCH(B482,Bids!$A:$A,0))="Pending",1,0),0)</f>
        <v>0</v>
      </c>
      <c r="AN482" s="39" t="str">
        <f t="array" ref="AN482">IF(C482="","",IFERROR(XLOOKUP(C482,Assignments!$C:$C,Assignments!$AU:$AU,0),0))</f>
        <v/>
      </c>
      <c r="AO482" s="39">
        <f>IF(AND(Config!$B$1006="Y",AN482=1),Config!$B$1007,0)</f>
        <v>0</v>
      </c>
    </row>
    <row r="483" ht="15.75" customHeight="1">
      <c r="A483" s="46" t="str">
        <f t="shared" si="1"/>
        <v/>
      </c>
      <c r="B483" s="40" t="str">
        <f>IF(Bids!$A483="","",Bids!$A483)</f>
        <v/>
      </c>
      <c r="C483" s="40" t="str">
        <f>IF(Bids!$B483="","",Bids!$B483)</f>
        <v/>
      </c>
      <c r="D483" s="40" t="str">
        <f>IF($C483="","",IFERROR(VLOOKUP($C483,Orders!$A:$J,9,FALSE),""))</f>
        <v/>
      </c>
      <c r="E483" s="40" t="str">
        <f>IF($C483="","",IFERROR(VLOOKUP($C483,Orders!$A:$J,3,FALSE),""))</f>
        <v/>
      </c>
      <c r="F483" s="40" t="str">
        <f>IF($C483="","",IFERROR(VLOOKUP($C483,Orders!$A:$J,4,FALSE),""))</f>
        <v/>
      </c>
      <c r="G483" s="40" t="str">
        <f>IF($C483="","",IFERROR(VLOOKUP($C483,Orders!$A:$J,5,FALSE),""))</f>
        <v/>
      </c>
      <c r="H483" s="40" t="str">
        <f>IF($C483="","",IFERROR(VLOOKUP($C483,Orders!$A:$J,6,FALSE),""))</f>
        <v/>
      </c>
      <c r="I483" s="40" t="str">
        <f>IF($C483="","",IFERROR(VLOOKUP($C483,Orders!$A:$J,7,FALSE),""))</f>
        <v/>
      </c>
      <c r="J483" s="40" t="str">
        <f>IF(Bids!$C483="","",Bids!$C483)</f>
        <v/>
      </c>
      <c r="K483" s="40" t="str">
        <f>IF($J483="","",IFERROR(VLOOKUP($J483,Grinders!$A:$N,2,FALSE),""))</f>
        <v/>
      </c>
      <c r="L483" s="40" t="str">
        <f>IF($J483="","",IFERROR(VLOOKUP($J483,Grinders!$A:$N,3,FALSE),""))</f>
        <v/>
      </c>
      <c r="M483" s="40" t="str">
        <f>IF($J483="","",IFERROR(VLOOKUP($J483,Grinders!$A:$N,4,FALSE),""))</f>
        <v/>
      </c>
      <c r="N483" s="40" t="str">
        <f>IF($J483="","",IFERROR(VLOOKUP($J483,Grinders!$A:$N,5,FALSE),""))</f>
        <v/>
      </c>
      <c r="O483" s="40" t="str">
        <f t="shared" si="2"/>
        <v/>
      </c>
      <c r="P483" s="40" t="str">
        <f>IF($J483="","",IFERROR(VLOOKUP($J483,Grinders!$A:$N,6,FALSE),""))</f>
        <v/>
      </c>
      <c r="Q483" s="40" t="str">
        <f>IF($J483="","",IFERROR(VLOOKUP($J483,Grinders!$A:$N,8,FALSE),""))</f>
        <v/>
      </c>
      <c r="R483" s="40" t="str">
        <f>IFERROR(IF($J483="","",IF($L483="Elite",MAX(50,MIN(100,Config!$B$27*MAX(0,MIN(100,(1-IF($O483="",0,$O483))*100)) + Config!$B$28*MAX(0,MIN(100,(1-MIN(1,IF(Config!$B$30=0,1,$P483/Config!$B$30)))*100)) + Config!$B$29*MAX(0,MIN(100,MIN(1,IF($Q483="",0,$Q483)/Config!$B$23)*100)))),MIN(100,Config!$B$27*MAX(0,MIN(100,(1-IF($O483="",0,$O483))*100)) + Config!$B$28*MAX(0,MIN(100,(1-MIN(1,IF(Config!$B$30=0,1,$P483/Config!$B$30)))*100)) + Config!$B$29*MAX(0,MIN(100,MIN(1,IF($Q483="",0,$Q483)/Config!$B$23)*100))))),"")
</f>
        <v/>
      </c>
      <c r="S483" s="40" t="str">
        <f>IF(Bids!$AC483="","",Bids!$AC483)</f>
        <v/>
      </c>
      <c r="T483" s="40" t="str">
        <f>IF(Bids!$F483="","",Bids!$F483)</f>
        <v/>
      </c>
      <c r="U483" s="40" t="str">
        <f t="shared" si="3"/>
        <v/>
      </c>
      <c r="V483" s="40" t="str">
        <f>IF($U483="","",IF(Config!$B$17=Config!$B$16,IF($U483&gt;=Config!$B$17,100,0),MAX(0,MIN(100,($U483-Config!$B$16)/(Config!$B$17-Config!$B$16)*100))))</f>
        <v/>
      </c>
      <c r="W483" s="40">
        <f>IF($L483="Elite",Config!$B$21,0)</f>
        <v>0</v>
      </c>
      <c r="X483" s="40" t="str">
        <f>IFERROR(IF(OR($T483="",$G483=""),"",IF($T483&gt;$G483,
  MAX(0, 60-(($T483-$G483)*24/Config!$B$19)*60),
  MEDIAN(60, 100, 60+(($G483-$T483)*24/Config!$B$20)*40)
)),"")
</f>
        <v/>
      </c>
      <c r="Y483" s="40" t="str">
        <f>IF($J483="","",IFERROR(VLOOKUP($J483,Grinders!$A:$N,10,FALSE),""))</f>
        <v/>
      </c>
      <c r="Z483" s="40" t="str">
        <f>IF($J483="","",IFERROR(VLOOKUP($J483,Grinders!$A:$N,11,FALSE),""))</f>
        <v/>
      </c>
      <c r="AA483" s="40" t="str">
        <f>IF($J483="","",IFERROR(VLOOKUP($J483,Grinders!$A:$N,12,FALSE),""))</f>
        <v/>
      </c>
      <c r="AB483" s="40" t="str">
        <f>IF(OR(AL483=1,AM483=1),0,=IFERROR(IF(OR($C483="",$J483=""),0,IF($D483&lt;&gt;"Open",0,IF(COUNTIFS(GrinderServices!$A:$A,$J483,GrinderServices!$B:$B,$E483,GrinderServices!$D:$D,"Y")=0,0,IF($U483&lt;Config!$B$16,0,IF(Config!$B$18=1,IF($N483&gt;=$M483,0,1),1))))),""))</f>
        <v>#ERROR!</v>
      </c>
      <c r="AC483" s="40" t="str">
        <f>IFERROR((IF(OR(AL483=1,AM483=1),"",=IFERROR((IFERROR(IF($AB483=0,"",((Config!$B$6*$V483 + Config!$B$7*$R483 + Config!$B$8*$W483 + Config!$B$9*$X483 + Config!$B$10*$Y483 + Config!$B$11*$Z483 - Config!$B$12*$AA483)/Config!$B$13)+$AH483+$AI483),""))*(1-IFERROR(VLOOKUP(J483,Grinders!$A:$AB, 28, FALSE),0)),"")))*(1+AO483),"")</f>
        <v>#ERROR!</v>
      </c>
      <c r="AD483" s="40" t="str">
        <f t="shared" si="4"/>
        <v/>
      </c>
      <c r="AE483" s="40" t="str">
        <f>IFERROR(__xludf.DUMMYFUNCTION("IF($AC483="""","""",IF($AC483=IFERROR(MAX(FILTER($AC$6:$AC$1000,$C$6:$C$1000=$C483,$AB$6:$AB$1000=1)),),""WINNER"",""""))"),"#ERROR!")</f>
        <v>#ERROR!</v>
      </c>
      <c r="AF483" s="40" t="str">
        <f t="shared" si="5"/>
        <v/>
      </c>
      <c r="AG483" s="40" t="str">
        <f>IF($J483="","",COUNTIF(Assignments!$B:$B,$J483))</f>
        <v/>
      </c>
      <c r="AH483" s="40" t="str">
        <f>IF($J483="","",IF(AND($AG483=0,$N483&lt;$M483),Config!$B$43,0))</f>
        <v/>
      </c>
      <c r="AI483" s="40" t="str">
        <f>IF($J483="","",IF(AND($L483="Elite",$F483&gt;=Config!$B$41,$N483&lt;$M483),Config!$B$42,0))</f>
        <v/>
      </c>
      <c r="AJ483" s="22"/>
      <c r="AK483" s="39">
        <f>IFERROR(VLOOKUP(J483,Grinders!$A:$Q,28,FALSE),0)</f>
        <v>0</v>
      </c>
      <c r="AL483" s="39">
        <f>IF(Config!$B$1003&lt;&gt;"Y",0,IF(IFERROR(VLOOKUP(J483,Grinders!$A:$P,27,FALSE),0)&gt;=3,IF(OR(F483&gt;=Config!$B$1001,ISNUMBER(SEARCH(E483,Config!$B$1002))),1,0),0))</f>
        <v>0</v>
      </c>
      <c r="AM483" s="39">
        <f t="array" ref="AM483">IFERROR(IF(INDEX(Bids!$AE:$AE,MATCH(B483,Bids!$A:$A,0))="Pending",1,0),0)</f>
        <v>0</v>
      </c>
      <c r="AN483" s="39" t="str">
        <f t="array" ref="AN483">IF(C483="","",IFERROR(XLOOKUP(C483,Assignments!$C:$C,Assignments!$AU:$AU,0),0))</f>
        <v/>
      </c>
      <c r="AO483" s="39">
        <f>IF(AND(Config!$B$1006="Y",AN483=1),Config!$B$1007,0)</f>
        <v>0</v>
      </c>
    </row>
    <row r="484" ht="15.75" customHeight="1">
      <c r="A484" s="46" t="str">
        <f t="shared" si="1"/>
        <v/>
      </c>
      <c r="B484" s="40" t="str">
        <f>IF(Bids!$A484="","",Bids!$A484)</f>
        <v/>
      </c>
      <c r="C484" s="40" t="str">
        <f>IF(Bids!$B484="","",Bids!$B484)</f>
        <v/>
      </c>
      <c r="D484" s="40" t="str">
        <f>IF($C484="","",IFERROR(VLOOKUP($C484,Orders!$A:$J,9,FALSE),""))</f>
        <v/>
      </c>
      <c r="E484" s="40" t="str">
        <f>IF($C484="","",IFERROR(VLOOKUP($C484,Orders!$A:$J,3,FALSE),""))</f>
        <v/>
      </c>
      <c r="F484" s="40" t="str">
        <f>IF($C484="","",IFERROR(VLOOKUP($C484,Orders!$A:$J,4,FALSE),""))</f>
        <v/>
      </c>
      <c r="G484" s="40" t="str">
        <f>IF($C484="","",IFERROR(VLOOKUP($C484,Orders!$A:$J,5,FALSE),""))</f>
        <v/>
      </c>
      <c r="H484" s="40" t="str">
        <f>IF($C484="","",IFERROR(VLOOKUP($C484,Orders!$A:$J,6,FALSE),""))</f>
        <v/>
      </c>
      <c r="I484" s="40" t="str">
        <f>IF($C484="","",IFERROR(VLOOKUP($C484,Orders!$A:$J,7,FALSE),""))</f>
        <v/>
      </c>
      <c r="J484" s="40" t="str">
        <f>IF(Bids!$C484="","",Bids!$C484)</f>
        <v/>
      </c>
      <c r="K484" s="40" t="str">
        <f>IF($J484="","",IFERROR(VLOOKUP($J484,Grinders!$A:$N,2,FALSE),""))</f>
        <v/>
      </c>
      <c r="L484" s="40" t="str">
        <f>IF($J484="","",IFERROR(VLOOKUP($J484,Grinders!$A:$N,3,FALSE),""))</f>
        <v/>
      </c>
      <c r="M484" s="40" t="str">
        <f>IF($J484="","",IFERROR(VLOOKUP($J484,Grinders!$A:$N,4,FALSE),""))</f>
        <v/>
      </c>
      <c r="N484" s="40" t="str">
        <f>IF($J484="","",IFERROR(VLOOKUP($J484,Grinders!$A:$N,5,FALSE),""))</f>
        <v/>
      </c>
      <c r="O484" s="40" t="str">
        <f t="shared" si="2"/>
        <v/>
      </c>
      <c r="P484" s="40" t="str">
        <f>IF($J484="","",IFERROR(VLOOKUP($J484,Grinders!$A:$N,6,FALSE),""))</f>
        <v/>
      </c>
      <c r="Q484" s="40" t="str">
        <f>IF($J484="","",IFERROR(VLOOKUP($J484,Grinders!$A:$N,8,FALSE),""))</f>
        <v/>
      </c>
      <c r="R484" s="40" t="str">
        <f>IFERROR(IF($J484="","",IF($L484="Elite",MAX(50,MIN(100,Config!$B$27*MAX(0,MIN(100,(1-IF($O484="",0,$O484))*100)) + Config!$B$28*MAX(0,MIN(100,(1-MIN(1,IF(Config!$B$30=0,1,$P484/Config!$B$30)))*100)) + Config!$B$29*MAX(0,MIN(100,MIN(1,IF($Q484="",0,$Q484)/Config!$B$23)*100)))),MIN(100,Config!$B$27*MAX(0,MIN(100,(1-IF($O484="",0,$O484))*100)) + Config!$B$28*MAX(0,MIN(100,(1-MIN(1,IF(Config!$B$30=0,1,$P484/Config!$B$30)))*100)) + Config!$B$29*MAX(0,MIN(100,MIN(1,IF($Q484="",0,$Q484)/Config!$B$23)*100))))),"")
</f>
        <v/>
      </c>
      <c r="S484" s="40" t="str">
        <f>IF(Bids!$AC484="","",Bids!$AC484)</f>
        <v/>
      </c>
      <c r="T484" s="40" t="str">
        <f>IF(Bids!$F484="","",Bids!$F484)</f>
        <v/>
      </c>
      <c r="U484" s="40" t="str">
        <f t="shared" si="3"/>
        <v/>
      </c>
      <c r="V484" s="40" t="str">
        <f>IF($U484="","",IF(Config!$B$17=Config!$B$16,IF($U484&gt;=Config!$B$17,100,0),MAX(0,MIN(100,($U484-Config!$B$16)/(Config!$B$17-Config!$B$16)*100))))</f>
        <v/>
      </c>
      <c r="W484" s="40">
        <f>IF($L484="Elite",Config!$B$21,0)</f>
        <v>0</v>
      </c>
      <c r="X484" s="40" t="str">
        <f>IFERROR(IF(OR($T484="",$G484=""),"",IF($T484&gt;$G484,
  MAX(0, 60-(($T484-$G484)*24/Config!$B$19)*60),
  MEDIAN(60, 100, 60+(($G484-$T484)*24/Config!$B$20)*40)
)),"")
</f>
        <v/>
      </c>
      <c r="Y484" s="40" t="str">
        <f>IF($J484="","",IFERROR(VLOOKUP($J484,Grinders!$A:$N,10,FALSE),""))</f>
        <v/>
      </c>
      <c r="Z484" s="40" t="str">
        <f>IF($J484="","",IFERROR(VLOOKUP($J484,Grinders!$A:$N,11,FALSE),""))</f>
        <v/>
      </c>
      <c r="AA484" s="40" t="str">
        <f>IF($J484="","",IFERROR(VLOOKUP($J484,Grinders!$A:$N,12,FALSE),""))</f>
        <v/>
      </c>
      <c r="AB484" s="40" t="str">
        <f>IF(OR(AL484=1,AM484=1),0,=IFERROR(IF(OR($C484="",$J484=""),0,IF($D484&lt;&gt;"Open",0,IF(COUNTIFS(GrinderServices!$A:$A,$J484,GrinderServices!$B:$B,$E484,GrinderServices!$D:$D,"Y")=0,0,IF($U484&lt;Config!$B$16,0,IF(Config!$B$18=1,IF($N484&gt;=$M484,0,1),1))))),""))</f>
        <v>#ERROR!</v>
      </c>
      <c r="AC484" s="40" t="str">
        <f>IFERROR((IF(OR(AL484=1,AM484=1),"",=IFERROR((IFERROR(IF($AB484=0,"",((Config!$B$6*$V484 + Config!$B$7*$R484 + Config!$B$8*$W484 + Config!$B$9*$X484 + Config!$B$10*$Y484 + Config!$B$11*$Z484 - Config!$B$12*$AA484)/Config!$B$13)+$AH484+$AI484),""))*(1-IFERROR(VLOOKUP(J484,Grinders!$A:$AB, 28, FALSE),0)),"")))*(1+AO484),"")</f>
        <v>#ERROR!</v>
      </c>
      <c r="AD484" s="40" t="str">
        <f t="shared" si="4"/>
        <v/>
      </c>
      <c r="AE484" s="40" t="str">
        <f>IFERROR(__xludf.DUMMYFUNCTION("IF($AC484="""","""",IF($AC484=IFERROR(MAX(FILTER($AC$6:$AC$1000,$C$6:$C$1000=$C484,$AB$6:$AB$1000=1)),),""WINNER"",""""))"),"#ERROR!")</f>
        <v>#ERROR!</v>
      </c>
      <c r="AF484" s="40" t="str">
        <f t="shared" si="5"/>
        <v/>
      </c>
      <c r="AG484" s="40" t="str">
        <f>IF($J484="","",COUNTIF(Assignments!$B:$B,$J484))</f>
        <v/>
      </c>
      <c r="AH484" s="40" t="str">
        <f>IF($J484="","",IF(AND($AG484=0,$N484&lt;$M484),Config!$B$43,0))</f>
        <v/>
      </c>
      <c r="AI484" s="40" t="str">
        <f>IF($J484="","",IF(AND($L484="Elite",$F484&gt;=Config!$B$41,$N484&lt;$M484),Config!$B$42,0))</f>
        <v/>
      </c>
      <c r="AJ484" s="22"/>
      <c r="AK484" s="39">
        <f>IFERROR(VLOOKUP(J484,Grinders!$A:$Q,28,FALSE),0)</f>
        <v>0</v>
      </c>
      <c r="AL484" s="39">
        <f>IF(Config!$B$1003&lt;&gt;"Y",0,IF(IFERROR(VLOOKUP(J484,Grinders!$A:$P,27,FALSE),0)&gt;=3,IF(OR(F484&gt;=Config!$B$1001,ISNUMBER(SEARCH(E484,Config!$B$1002))),1,0),0))</f>
        <v>0</v>
      </c>
      <c r="AM484" s="39">
        <f t="array" ref="AM484">IFERROR(IF(INDEX(Bids!$AE:$AE,MATCH(B484,Bids!$A:$A,0))="Pending",1,0),0)</f>
        <v>0</v>
      </c>
      <c r="AN484" s="39" t="str">
        <f t="array" ref="AN484">IF(C484="","",IFERROR(XLOOKUP(C484,Assignments!$C:$C,Assignments!$AU:$AU,0),0))</f>
        <v/>
      </c>
      <c r="AO484" s="39">
        <f>IF(AND(Config!$B$1006="Y",AN484=1),Config!$B$1007,0)</f>
        <v>0</v>
      </c>
    </row>
    <row r="485" ht="15.75" customHeight="1">
      <c r="A485" s="46" t="str">
        <f t="shared" si="1"/>
        <v/>
      </c>
      <c r="B485" s="40" t="str">
        <f>IF(Bids!$A485="","",Bids!$A485)</f>
        <v/>
      </c>
      <c r="C485" s="40" t="str">
        <f>IF(Bids!$B485="","",Bids!$B485)</f>
        <v/>
      </c>
      <c r="D485" s="40" t="str">
        <f>IF($C485="","",IFERROR(VLOOKUP($C485,Orders!$A:$J,9,FALSE),""))</f>
        <v/>
      </c>
      <c r="E485" s="40" t="str">
        <f>IF($C485="","",IFERROR(VLOOKUP($C485,Orders!$A:$J,3,FALSE),""))</f>
        <v/>
      </c>
      <c r="F485" s="40" t="str">
        <f>IF($C485="","",IFERROR(VLOOKUP($C485,Orders!$A:$J,4,FALSE),""))</f>
        <v/>
      </c>
      <c r="G485" s="40" t="str">
        <f>IF($C485="","",IFERROR(VLOOKUP($C485,Orders!$A:$J,5,FALSE),""))</f>
        <v/>
      </c>
      <c r="H485" s="40" t="str">
        <f>IF($C485="","",IFERROR(VLOOKUP($C485,Orders!$A:$J,6,FALSE),""))</f>
        <v/>
      </c>
      <c r="I485" s="40" t="str">
        <f>IF($C485="","",IFERROR(VLOOKUP($C485,Orders!$A:$J,7,FALSE),""))</f>
        <v/>
      </c>
      <c r="J485" s="40" t="str">
        <f>IF(Bids!$C485="","",Bids!$C485)</f>
        <v/>
      </c>
      <c r="K485" s="40" t="str">
        <f>IF($J485="","",IFERROR(VLOOKUP($J485,Grinders!$A:$N,2,FALSE),""))</f>
        <v/>
      </c>
      <c r="L485" s="40" t="str">
        <f>IF($J485="","",IFERROR(VLOOKUP($J485,Grinders!$A:$N,3,FALSE),""))</f>
        <v/>
      </c>
      <c r="M485" s="40" t="str">
        <f>IF($J485="","",IFERROR(VLOOKUP($J485,Grinders!$A:$N,4,FALSE),""))</f>
        <v/>
      </c>
      <c r="N485" s="40" t="str">
        <f>IF($J485="","",IFERROR(VLOOKUP($J485,Grinders!$A:$N,5,FALSE),""))</f>
        <v/>
      </c>
      <c r="O485" s="40" t="str">
        <f t="shared" si="2"/>
        <v/>
      </c>
      <c r="P485" s="40" t="str">
        <f>IF($J485="","",IFERROR(VLOOKUP($J485,Grinders!$A:$N,6,FALSE),""))</f>
        <v/>
      </c>
      <c r="Q485" s="40" t="str">
        <f>IF($J485="","",IFERROR(VLOOKUP($J485,Grinders!$A:$N,8,FALSE),""))</f>
        <v/>
      </c>
      <c r="R485" s="40" t="str">
        <f>IFERROR(IF($J485="","",IF($L485="Elite",MAX(50,MIN(100,Config!$B$27*MAX(0,MIN(100,(1-IF($O485="",0,$O485))*100)) + Config!$B$28*MAX(0,MIN(100,(1-MIN(1,IF(Config!$B$30=0,1,$P485/Config!$B$30)))*100)) + Config!$B$29*MAX(0,MIN(100,MIN(1,IF($Q485="",0,$Q485)/Config!$B$23)*100)))),MIN(100,Config!$B$27*MAX(0,MIN(100,(1-IF($O485="",0,$O485))*100)) + Config!$B$28*MAX(0,MIN(100,(1-MIN(1,IF(Config!$B$30=0,1,$P485/Config!$B$30)))*100)) + Config!$B$29*MAX(0,MIN(100,MIN(1,IF($Q485="",0,$Q485)/Config!$B$23)*100))))),"")
</f>
        <v/>
      </c>
      <c r="S485" s="40" t="str">
        <f>IF(Bids!$AC485="","",Bids!$AC485)</f>
        <v/>
      </c>
      <c r="T485" s="40" t="str">
        <f>IF(Bids!$F485="","",Bids!$F485)</f>
        <v/>
      </c>
      <c r="U485" s="40" t="str">
        <f t="shared" si="3"/>
        <v/>
      </c>
      <c r="V485" s="40" t="str">
        <f>IF($U485="","",IF(Config!$B$17=Config!$B$16,IF($U485&gt;=Config!$B$17,100,0),MAX(0,MIN(100,($U485-Config!$B$16)/(Config!$B$17-Config!$B$16)*100))))</f>
        <v/>
      </c>
      <c r="W485" s="40">
        <f>IF($L485="Elite",Config!$B$21,0)</f>
        <v>0</v>
      </c>
      <c r="X485" s="40" t="str">
        <f>IFERROR(IF(OR($T485="",$G485=""),"",IF($T485&gt;$G485,
  MAX(0, 60-(($T485-$G485)*24/Config!$B$19)*60),
  MEDIAN(60, 100, 60+(($G485-$T485)*24/Config!$B$20)*40)
)),"")
</f>
        <v/>
      </c>
      <c r="Y485" s="40" t="str">
        <f>IF($J485="","",IFERROR(VLOOKUP($J485,Grinders!$A:$N,10,FALSE),""))</f>
        <v/>
      </c>
      <c r="Z485" s="40" t="str">
        <f>IF($J485="","",IFERROR(VLOOKUP($J485,Grinders!$A:$N,11,FALSE),""))</f>
        <v/>
      </c>
      <c r="AA485" s="40" t="str">
        <f>IF($J485="","",IFERROR(VLOOKUP($J485,Grinders!$A:$N,12,FALSE),""))</f>
        <v/>
      </c>
      <c r="AB485" s="40" t="str">
        <f>IF(OR(AL485=1,AM485=1),0,=IFERROR(IF(OR($C485="",$J485=""),0,IF($D485&lt;&gt;"Open",0,IF(COUNTIFS(GrinderServices!$A:$A,$J485,GrinderServices!$B:$B,$E485,GrinderServices!$D:$D,"Y")=0,0,IF($U485&lt;Config!$B$16,0,IF(Config!$B$18=1,IF($N485&gt;=$M485,0,1),1))))),""))</f>
        <v>#ERROR!</v>
      </c>
      <c r="AC485" s="40" t="str">
        <f>IFERROR((IF(OR(AL485=1,AM485=1),"",=IFERROR((IFERROR(IF($AB485=0,"",((Config!$B$6*$V485 + Config!$B$7*$R485 + Config!$B$8*$W485 + Config!$B$9*$X485 + Config!$B$10*$Y485 + Config!$B$11*$Z485 - Config!$B$12*$AA485)/Config!$B$13)+$AH485+$AI485),""))*(1-IFERROR(VLOOKUP(J485,Grinders!$A:$AB, 28, FALSE),0)),"")))*(1+AO485),"")</f>
        <v>#ERROR!</v>
      </c>
      <c r="AD485" s="40" t="str">
        <f t="shared" si="4"/>
        <v/>
      </c>
      <c r="AE485" s="40" t="str">
        <f>IFERROR(__xludf.DUMMYFUNCTION("IF($AC485="""","""",IF($AC485=IFERROR(MAX(FILTER($AC$6:$AC$1000,$C$6:$C$1000=$C485,$AB$6:$AB$1000=1)),),""WINNER"",""""))"),"#ERROR!")</f>
        <v>#ERROR!</v>
      </c>
      <c r="AF485" s="40" t="str">
        <f t="shared" si="5"/>
        <v/>
      </c>
      <c r="AG485" s="40" t="str">
        <f>IF($J485="","",COUNTIF(Assignments!$B:$B,$J485))</f>
        <v/>
      </c>
      <c r="AH485" s="40" t="str">
        <f>IF($J485="","",IF(AND($AG485=0,$N485&lt;$M485),Config!$B$43,0))</f>
        <v/>
      </c>
      <c r="AI485" s="40" t="str">
        <f>IF($J485="","",IF(AND($L485="Elite",$F485&gt;=Config!$B$41,$N485&lt;$M485),Config!$B$42,0))</f>
        <v/>
      </c>
      <c r="AJ485" s="22"/>
      <c r="AK485" s="39">
        <f>IFERROR(VLOOKUP(J485,Grinders!$A:$Q,28,FALSE),0)</f>
        <v>0</v>
      </c>
      <c r="AL485" s="39">
        <f>IF(Config!$B$1003&lt;&gt;"Y",0,IF(IFERROR(VLOOKUP(J485,Grinders!$A:$P,27,FALSE),0)&gt;=3,IF(OR(F485&gt;=Config!$B$1001,ISNUMBER(SEARCH(E485,Config!$B$1002))),1,0),0))</f>
        <v>0</v>
      </c>
      <c r="AM485" s="39">
        <f t="array" ref="AM485">IFERROR(IF(INDEX(Bids!$AE:$AE,MATCH(B485,Bids!$A:$A,0))="Pending",1,0),0)</f>
        <v>0</v>
      </c>
      <c r="AN485" s="39" t="str">
        <f t="array" ref="AN485">IF(C485="","",IFERROR(XLOOKUP(C485,Assignments!$C:$C,Assignments!$AU:$AU,0),0))</f>
        <v/>
      </c>
      <c r="AO485" s="39">
        <f>IF(AND(Config!$B$1006="Y",AN485=1),Config!$B$1007,0)</f>
        <v>0</v>
      </c>
    </row>
    <row r="486" ht="15.75" customHeight="1">
      <c r="A486" s="46" t="str">
        <f t="shared" si="1"/>
        <v/>
      </c>
      <c r="B486" s="40" t="str">
        <f>IF(Bids!$A486="","",Bids!$A486)</f>
        <v/>
      </c>
      <c r="C486" s="40" t="str">
        <f>IF(Bids!$B486="","",Bids!$B486)</f>
        <v/>
      </c>
      <c r="D486" s="40" t="str">
        <f>IF($C486="","",IFERROR(VLOOKUP($C486,Orders!$A:$J,9,FALSE),""))</f>
        <v/>
      </c>
      <c r="E486" s="40" t="str">
        <f>IF($C486="","",IFERROR(VLOOKUP($C486,Orders!$A:$J,3,FALSE),""))</f>
        <v/>
      </c>
      <c r="F486" s="40" t="str">
        <f>IF($C486="","",IFERROR(VLOOKUP($C486,Orders!$A:$J,4,FALSE),""))</f>
        <v/>
      </c>
      <c r="G486" s="40" t="str">
        <f>IF($C486="","",IFERROR(VLOOKUP($C486,Orders!$A:$J,5,FALSE),""))</f>
        <v/>
      </c>
      <c r="H486" s="40" t="str">
        <f>IF($C486="","",IFERROR(VLOOKUP($C486,Orders!$A:$J,6,FALSE),""))</f>
        <v/>
      </c>
      <c r="I486" s="40" t="str">
        <f>IF($C486="","",IFERROR(VLOOKUP($C486,Orders!$A:$J,7,FALSE),""))</f>
        <v/>
      </c>
      <c r="J486" s="40" t="str">
        <f>IF(Bids!$C486="","",Bids!$C486)</f>
        <v/>
      </c>
      <c r="K486" s="40" t="str">
        <f>IF($J486="","",IFERROR(VLOOKUP($J486,Grinders!$A:$N,2,FALSE),""))</f>
        <v/>
      </c>
      <c r="L486" s="40" t="str">
        <f>IF($J486="","",IFERROR(VLOOKUP($J486,Grinders!$A:$N,3,FALSE),""))</f>
        <v/>
      </c>
      <c r="M486" s="40" t="str">
        <f>IF($J486="","",IFERROR(VLOOKUP($J486,Grinders!$A:$N,4,FALSE),""))</f>
        <v/>
      </c>
      <c r="N486" s="40" t="str">
        <f>IF($J486="","",IFERROR(VLOOKUP($J486,Grinders!$A:$N,5,FALSE),""))</f>
        <v/>
      </c>
      <c r="O486" s="40" t="str">
        <f t="shared" si="2"/>
        <v/>
      </c>
      <c r="P486" s="40" t="str">
        <f>IF($J486="","",IFERROR(VLOOKUP($J486,Grinders!$A:$N,6,FALSE),""))</f>
        <v/>
      </c>
      <c r="Q486" s="40" t="str">
        <f>IF($J486="","",IFERROR(VLOOKUP($J486,Grinders!$A:$N,8,FALSE),""))</f>
        <v/>
      </c>
      <c r="R486" s="40" t="str">
        <f>IFERROR(IF($J486="","",IF($L486="Elite",MAX(50,MIN(100,Config!$B$27*MAX(0,MIN(100,(1-IF($O486="",0,$O486))*100)) + Config!$B$28*MAX(0,MIN(100,(1-MIN(1,IF(Config!$B$30=0,1,$P486/Config!$B$30)))*100)) + Config!$B$29*MAX(0,MIN(100,MIN(1,IF($Q486="",0,$Q486)/Config!$B$23)*100)))),MIN(100,Config!$B$27*MAX(0,MIN(100,(1-IF($O486="",0,$O486))*100)) + Config!$B$28*MAX(0,MIN(100,(1-MIN(1,IF(Config!$B$30=0,1,$P486/Config!$B$30)))*100)) + Config!$B$29*MAX(0,MIN(100,MIN(1,IF($Q486="",0,$Q486)/Config!$B$23)*100))))),"")
</f>
        <v/>
      </c>
      <c r="S486" s="40" t="str">
        <f>IF(Bids!$AC486="","",Bids!$AC486)</f>
        <v/>
      </c>
      <c r="T486" s="40" t="str">
        <f>IF(Bids!$F486="","",Bids!$F486)</f>
        <v/>
      </c>
      <c r="U486" s="40" t="str">
        <f t="shared" si="3"/>
        <v/>
      </c>
      <c r="V486" s="40" t="str">
        <f>IF($U486="","",IF(Config!$B$17=Config!$B$16,IF($U486&gt;=Config!$B$17,100,0),MAX(0,MIN(100,($U486-Config!$B$16)/(Config!$B$17-Config!$B$16)*100))))</f>
        <v/>
      </c>
      <c r="W486" s="40">
        <f>IF($L486="Elite",Config!$B$21,0)</f>
        <v>0</v>
      </c>
      <c r="X486" s="40" t="str">
        <f>IFERROR(IF(OR($T486="",$G486=""),"",IF($T486&gt;$G486,
  MAX(0, 60-(($T486-$G486)*24/Config!$B$19)*60),
  MEDIAN(60, 100, 60+(($G486-$T486)*24/Config!$B$20)*40)
)),"")
</f>
        <v/>
      </c>
      <c r="Y486" s="40" t="str">
        <f>IF($J486="","",IFERROR(VLOOKUP($J486,Grinders!$A:$N,10,FALSE),""))</f>
        <v/>
      </c>
      <c r="Z486" s="40" t="str">
        <f>IF($J486="","",IFERROR(VLOOKUP($J486,Grinders!$A:$N,11,FALSE),""))</f>
        <v/>
      </c>
      <c r="AA486" s="40" t="str">
        <f>IF($J486="","",IFERROR(VLOOKUP($J486,Grinders!$A:$N,12,FALSE),""))</f>
        <v/>
      </c>
      <c r="AB486" s="40" t="str">
        <f>IF(OR(AL486=1,AM486=1),0,=IFERROR(IF(OR($C486="",$J486=""),0,IF($D486&lt;&gt;"Open",0,IF(COUNTIFS(GrinderServices!$A:$A,$J486,GrinderServices!$B:$B,$E486,GrinderServices!$D:$D,"Y")=0,0,IF($U486&lt;Config!$B$16,0,IF(Config!$B$18=1,IF($N486&gt;=$M486,0,1),1))))),""))</f>
        <v>#ERROR!</v>
      </c>
      <c r="AC486" s="40" t="str">
        <f>IFERROR((IF(OR(AL486=1,AM486=1),"",=IFERROR((IFERROR(IF($AB486=0,"",((Config!$B$6*$V486 + Config!$B$7*$R486 + Config!$B$8*$W486 + Config!$B$9*$X486 + Config!$B$10*$Y486 + Config!$B$11*$Z486 - Config!$B$12*$AA486)/Config!$B$13)+$AH486+$AI486),""))*(1-IFERROR(VLOOKUP(J486,Grinders!$A:$AB, 28, FALSE),0)),"")))*(1+AO486),"")</f>
        <v>#ERROR!</v>
      </c>
      <c r="AD486" s="40" t="str">
        <f t="shared" si="4"/>
        <v/>
      </c>
      <c r="AE486" s="40" t="str">
        <f>IFERROR(__xludf.DUMMYFUNCTION("IF($AC486="""","""",IF($AC486=IFERROR(MAX(FILTER($AC$6:$AC$1000,$C$6:$C$1000=$C486,$AB$6:$AB$1000=1)),),""WINNER"",""""))"),"#ERROR!")</f>
        <v>#ERROR!</v>
      </c>
      <c r="AF486" s="40" t="str">
        <f t="shared" si="5"/>
        <v/>
      </c>
      <c r="AG486" s="40" t="str">
        <f>IF($J486="","",COUNTIF(Assignments!$B:$B,$J486))</f>
        <v/>
      </c>
      <c r="AH486" s="40" t="str">
        <f>IF($J486="","",IF(AND($AG486=0,$N486&lt;$M486),Config!$B$43,0))</f>
        <v/>
      </c>
      <c r="AI486" s="40" t="str">
        <f>IF($J486="","",IF(AND($L486="Elite",$F486&gt;=Config!$B$41,$N486&lt;$M486),Config!$B$42,0))</f>
        <v/>
      </c>
      <c r="AJ486" s="22"/>
      <c r="AK486" s="39">
        <f>IFERROR(VLOOKUP(J486,Grinders!$A:$Q,28,FALSE),0)</f>
        <v>0</v>
      </c>
      <c r="AL486" s="39">
        <f>IF(Config!$B$1003&lt;&gt;"Y",0,IF(IFERROR(VLOOKUP(J486,Grinders!$A:$P,27,FALSE),0)&gt;=3,IF(OR(F486&gt;=Config!$B$1001,ISNUMBER(SEARCH(E486,Config!$B$1002))),1,0),0))</f>
        <v>0</v>
      </c>
      <c r="AM486" s="39">
        <f t="array" ref="AM486">IFERROR(IF(INDEX(Bids!$AE:$AE,MATCH(B486,Bids!$A:$A,0))="Pending",1,0),0)</f>
        <v>0</v>
      </c>
      <c r="AN486" s="39" t="str">
        <f t="array" ref="AN486">IF(C486="","",IFERROR(XLOOKUP(C486,Assignments!$C:$C,Assignments!$AU:$AU,0),0))</f>
        <v/>
      </c>
      <c r="AO486" s="39">
        <f>IF(AND(Config!$B$1006="Y",AN486=1),Config!$B$1007,0)</f>
        <v>0</v>
      </c>
    </row>
    <row r="487" ht="15.75" customHeight="1">
      <c r="A487" s="46" t="str">
        <f t="shared" si="1"/>
        <v/>
      </c>
      <c r="B487" s="40" t="str">
        <f>IF(Bids!$A487="","",Bids!$A487)</f>
        <v/>
      </c>
      <c r="C487" s="40" t="str">
        <f>IF(Bids!$B487="","",Bids!$B487)</f>
        <v/>
      </c>
      <c r="D487" s="40" t="str">
        <f>IF($C487="","",IFERROR(VLOOKUP($C487,Orders!$A:$J,9,FALSE),""))</f>
        <v/>
      </c>
      <c r="E487" s="40" t="str">
        <f>IF($C487="","",IFERROR(VLOOKUP($C487,Orders!$A:$J,3,FALSE),""))</f>
        <v/>
      </c>
      <c r="F487" s="40" t="str">
        <f>IF($C487="","",IFERROR(VLOOKUP($C487,Orders!$A:$J,4,FALSE),""))</f>
        <v/>
      </c>
      <c r="G487" s="40" t="str">
        <f>IF($C487="","",IFERROR(VLOOKUP($C487,Orders!$A:$J,5,FALSE),""))</f>
        <v/>
      </c>
      <c r="H487" s="40" t="str">
        <f>IF($C487="","",IFERROR(VLOOKUP($C487,Orders!$A:$J,6,FALSE),""))</f>
        <v/>
      </c>
      <c r="I487" s="40" t="str">
        <f>IF($C487="","",IFERROR(VLOOKUP($C487,Orders!$A:$J,7,FALSE),""))</f>
        <v/>
      </c>
      <c r="J487" s="40" t="str">
        <f>IF(Bids!$C487="","",Bids!$C487)</f>
        <v/>
      </c>
      <c r="K487" s="40" t="str">
        <f>IF($J487="","",IFERROR(VLOOKUP($J487,Grinders!$A:$N,2,FALSE),""))</f>
        <v/>
      </c>
      <c r="L487" s="40" t="str">
        <f>IF($J487="","",IFERROR(VLOOKUP($J487,Grinders!$A:$N,3,FALSE),""))</f>
        <v/>
      </c>
      <c r="M487" s="40" t="str">
        <f>IF($J487="","",IFERROR(VLOOKUP($J487,Grinders!$A:$N,4,FALSE),""))</f>
        <v/>
      </c>
      <c r="N487" s="40" t="str">
        <f>IF($J487="","",IFERROR(VLOOKUP($J487,Grinders!$A:$N,5,FALSE),""))</f>
        <v/>
      </c>
      <c r="O487" s="40" t="str">
        <f t="shared" si="2"/>
        <v/>
      </c>
      <c r="P487" s="40" t="str">
        <f>IF($J487="","",IFERROR(VLOOKUP($J487,Grinders!$A:$N,6,FALSE),""))</f>
        <v/>
      </c>
      <c r="Q487" s="40" t="str">
        <f>IF($J487="","",IFERROR(VLOOKUP($J487,Grinders!$A:$N,8,FALSE),""))</f>
        <v/>
      </c>
      <c r="R487" s="40" t="str">
        <f>IFERROR(IF($J487="","",IF($L487="Elite",MAX(50,MIN(100,Config!$B$27*MAX(0,MIN(100,(1-IF($O487="",0,$O487))*100)) + Config!$B$28*MAX(0,MIN(100,(1-MIN(1,IF(Config!$B$30=0,1,$P487/Config!$B$30)))*100)) + Config!$B$29*MAX(0,MIN(100,MIN(1,IF($Q487="",0,$Q487)/Config!$B$23)*100)))),MIN(100,Config!$B$27*MAX(0,MIN(100,(1-IF($O487="",0,$O487))*100)) + Config!$B$28*MAX(0,MIN(100,(1-MIN(1,IF(Config!$B$30=0,1,$P487/Config!$B$30)))*100)) + Config!$B$29*MAX(0,MIN(100,MIN(1,IF($Q487="",0,$Q487)/Config!$B$23)*100))))),"")
</f>
        <v/>
      </c>
      <c r="S487" s="40" t="str">
        <f>IF(Bids!$AC487="","",Bids!$AC487)</f>
        <v/>
      </c>
      <c r="T487" s="40" t="str">
        <f>IF(Bids!$F487="","",Bids!$F487)</f>
        <v/>
      </c>
      <c r="U487" s="40" t="str">
        <f t="shared" si="3"/>
        <v/>
      </c>
      <c r="V487" s="40" t="str">
        <f>IF($U487="","",IF(Config!$B$17=Config!$B$16,IF($U487&gt;=Config!$B$17,100,0),MAX(0,MIN(100,($U487-Config!$B$16)/(Config!$B$17-Config!$B$16)*100))))</f>
        <v/>
      </c>
      <c r="W487" s="40">
        <f>IF($L487="Elite",Config!$B$21,0)</f>
        <v>0</v>
      </c>
      <c r="X487" s="40" t="str">
        <f>IFERROR(IF(OR($T487="",$G487=""),"",IF($T487&gt;$G487,
  MAX(0, 60-(($T487-$G487)*24/Config!$B$19)*60),
  MEDIAN(60, 100, 60+(($G487-$T487)*24/Config!$B$20)*40)
)),"")
</f>
        <v/>
      </c>
      <c r="Y487" s="40" t="str">
        <f>IF($J487="","",IFERROR(VLOOKUP($J487,Grinders!$A:$N,10,FALSE),""))</f>
        <v/>
      </c>
      <c r="Z487" s="40" t="str">
        <f>IF($J487="","",IFERROR(VLOOKUP($J487,Grinders!$A:$N,11,FALSE),""))</f>
        <v/>
      </c>
      <c r="AA487" s="40" t="str">
        <f>IF($J487="","",IFERROR(VLOOKUP($J487,Grinders!$A:$N,12,FALSE),""))</f>
        <v/>
      </c>
      <c r="AB487" s="40" t="str">
        <f>IF(OR(AL487=1,AM487=1),0,=IFERROR(IF(OR($C487="",$J487=""),0,IF($D487&lt;&gt;"Open",0,IF(COUNTIFS(GrinderServices!$A:$A,$J487,GrinderServices!$B:$B,$E487,GrinderServices!$D:$D,"Y")=0,0,IF($U487&lt;Config!$B$16,0,IF(Config!$B$18=1,IF($N487&gt;=$M487,0,1),1))))),""))</f>
        <v>#ERROR!</v>
      </c>
      <c r="AC487" s="40" t="str">
        <f>IFERROR((IF(OR(AL487=1,AM487=1),"",=IFERROR((IFERROR(IF($AB487=0,"",((Config!$B$6*$V487 + Config!$B$7*$R487 + Config!$B$8*$W487 + Config!$B$9*$X487 + Config!$B$10*$Y487 + Config!$B$11*$Z487 - Config!$B$12*$AA487)/Config!$B$13)+$AH487+$AI487),""))*(1-IFERROR(VLOOKUP(J487,Grinders!$A:$AB, 28, FALSE),0)),"")))*(1+AO487),"")</f>
        <v>#ERROR!</v>
      </c>
      <c r="AD487" s="40" t="str">
        <f t="shared" si="4"/>
        <v/>
      </c>
      <c r="AE487" s="40" t="str">
        <f>IFERROR(__xludf.DUMMYFUNCTION("IF($AC487="""","""",IF($AC487=IFERROR(MAX(FILTER($AC$6:$AC$1000,$C$6:$C$1000=$C487,$AB$6:$AB$1000=1)),),""WINNER"",""""))"),"#ERROR!")</f>
        <v>#ERROR!</v>
      </c>
      <c r="AF487" s="40" t="str">
        <f t="shared" si="5"/>
        <v/>
      </c>
      <c r="AG487" s="40" t="str">
        <f>IF($J487="","",COUNTIF(Assignments!$B:$B,$J487))</f>
        <v/>
      </c>
      <c r="AH487" s="40" t="str">
        <f>IF($J487="","",IF(AND($AG487=0,$N487&lt;$M487),Config!$B$43,0))</f>
        <v/>
      </c>
      <c r="AI487" s="40" t="str">
        <f>IF($J487="","",IF(AND($L487="Elite",$F487&gt;=Config!$B$41,$N487&lt;$M487),Config!$B$42,0))</f>
        <v/>
      </c>
      <c r="AJ487" s="22"/>
      <c r="AK487" s="39">
        <f>IFERROR(VLOOKUP(J487,Grinders!$A:$Q,28,FALSE),0)</f>
        <v>0</v>
      </c>
      <c r="AL487" s="39">
        <f>IF(Config!$B$1003&lt;&gt;"Y",0,IF(IFERROR(VLOOKUP(J487,Grinders!$A:$P,27,FALSE),0)&gt;=3,IF(OR(F487&gt;=Config!$B$1001,ISNUMBER(SEARCH(E487,Config!$B$1002))),1,0),0))</f>
        <v>0</v>
      </c>
      <c r="AM487" s="39">
        <f t="array" ref="AM487">IFERROR(IF(INDEX(Bids!$AE:$AE,MATCH(B487,Bids!$A:$A,0))="Pending",1,0),0)</f>
        <v>0</v>
      </c>
      <c r="AN487" s="39" t="str">
        <f t="array" ref="AN487">IF(C487="","",IFERROR(XLOOKUP(C487,Assignments!$C:$C,Assignments!$AU:$AU,0),0))</f>
        <v/>
      </c>
      <c r="AO487" s="39">
        <f>IF(AND(Config!$B$1006="Y",AN487=1),Config!$B$1007,0)</f>
        <v>0</v>
      </c>
    </row>
    <row r="488" ht="15.75" customHeight="1">
      <c r="A488" s="46" t="str">
        <f t="shared" si="1"/>
        <v/>
      </c>
      <c r="B488" s="40" t="str">
        <f>IF(Bids!$A488="","",Bids!$A488)</f>
        <v/>
      </c>
      <c r="C488" s="40" t="str">
        <f>IF(Bids!$B488="","",Bids!$B488)</f>
        <v/>
      </c>
      <c r="D488" s="40" t="str">
        <f>IF($C488="","",IFERROR(VLOOKUP($C488,Orders!$A:$J,9,FALSE),""))</f>
        <v/>
      </c>
      <c r="E488" s="40" t="str">
        <f>IF($C488="","",IFERROR(VLOOKUP($C488,Orders!$A:$J,3,FALSE),""))</f>
        <v/>
      </c>
      <c r="F488" s="40" t="str">
        <f>IF($C488="","",IFERROR(VLOOKUP($C488,Orders!$A:$J,4,FALSE),""))</f>
        <v/>
      </c>
      <c r="G488" s="40" t="str">
        <f>IF($C488="","",IFERROR(VLOOKUP($C488,Orders!$A:$J,5,FALSE),""))</f>
        <v/>
      </c>
      <c r="H488" s="40" t="str">
        <f>IF($C488="","",IFERROR(VLOOKUP($C488,Orders!$A:$J,6,FALSE),""))</f>
        <v/>
      </c>
      <c r="I488" s="40" t="str">
        <f>IF($C488="","",IFERROR(VLOOKUP($C488,Orders!$A:$J,7,FALSE),""))</f>
        <v/>
      </c>
      <c r="J488" s="40" t="str">
        <f>IF(Bids!$C488="","",Bids!$C488)</f>
        <v/>
      </c>
      <c r="K488" s="40" t="str">
        <f>IF($J488="","",IFERROR(VLOOKUP($J488,Grinders!$A:$N,2,FALSE),""))</f>
        <v/>
      </c>
      <c r="L488" s="40" t="str">
        <f>IF($J488="","",IFERROR(VLOOKUP($J488,Grinders!$A:$N,3,FALSE),""))</f>
        <v/>
      </c>
      <c r="M488" s="40" t="str">
        <f>IF($J488="","",IFERROR(VLOOKUP($J488,Grinders!$A:$N,4,FALSE),""))</f>
        <v/>
      </c>
      <c r="N488" s="40" t="str">
        <f>IF($J488="","",IFERROR(VLOOKUP($J488,Grinders!$A:$N,5,FALSE),""))</f>
        <v/>
      </c>
      <c r="O488" s="40" t="str">
        <f t="shared" si="2"/>
        <v/>
      </c>
      <c r="P488" s="40" t="str">
        <f>IF($J488="","",IFERROR(VLOOKUP($J488,Grinders!$A:$N,6,FALSE),""))</f>
        <v/>
      </c>
      <c r="Q488" s="40" t="str">
        <f>IF($J488="","",IFERROR(VLOOKUP($J488,Grinders!$A:$N,8,FALSE),""))</f>
        <v/>
      </c>
      <c r="R488" s="40" t="str">
        <f>IFERROR(IF($J488="","",IF($L488="Elite",MAX(50,MIN(100,Config!$B$27*MAX(0,MIN(100,(1-IF($O488="",0,$O488))*100)) + Config!$B$28*MAX(0,MIN(100,(1-MIN(1,IF(Config!$B$30=0,1,$P488/Config!$B$30)))*100)) + Config!$B$29*MAX(0,MIN(100,MIN(1,IF($Q488="",0,$Q488)/Config!$B$23)*100)))),MIN(100,Config!$B$27*MAX(0,MIN(100,(1-IF($O488="",0,$O488))*100)) + Config!$B$28*MAX(0,MIN(100,(1-MIN(1,IF(Config!$B$30=0,1,$P488/Config!$B$30)))*100)) + Config!$B$29*MAX(0,MIN(100,MIN(1,IF($Q488="",0,$Q488)/Config!$B$23)*100))))),"")
</f>
        <v/>
      </c>
      <c r="S488" s="40" t="str">
        <f>IF(Bids!$AC488="","",Bids!$AC488)</f>
        <v/>
      </c>
      <c r="T488" s="40" t="str">
        <f>IF(Bids!$F488="","",Bids!$F488)</f>
        <v/>
      </c>
      <c r="U488" s="40" t="str">
        <f t="shared" si="3"/>
        <v/>
      </c>
      <c r="V488" s="40" t="str">
        <f>IF($U488="","",IF(Config!$B$17=Config!$B$16,IF($U488&gt;=Config!$B$17,100,0),MAX(0,MIN(100,($U488-Config!$B$16)/(Config!$B$17-Config!$B$16)*100))))</f>
        <v/>
      </c>
      <c r="W488" s="40">
        <f>IF($L488="Elite",Config!$B$21,0)</f>
        <v>0</v>
      </c>
      <c r="X488" s="40" t="str">
        <f>IFERROR(IF(OR($T488="",$G488=""),"",IF($T488&gt;$G488,
  MAX(0, 60-(($T488-$G488)*24/Config!$B$19)*60),
  MEDIAN(60, 100, 60+(($G488-$T488)*24/Config!$B$20)*40)
)),"")
</f>
        <v/>
      </c>
      <c r="Y488" s="40" t="str">
        <f>IF($J488="","",IFERROR(VLOOKUP($J488,Grinders!$A:$N,10,FALSE),""))</f>
        <v/>
      </c>
      <c r="Z488" s="40" t="str">
        <f>IF($J488="","",IFERROR(VLOOKUP($J488,Grinders!$A:$N,11,FALSE),""))</f>
        <v/>
      </c>
      <c r="AA488" s="40" t="str">
        <f>IF($J488="","",IFERROR(VLOOKUP($J488,Grinders!$A:$N,12,FALSE),""))</f>
        <v/>
      </c>
      <c r="AB488" s="40" t="str">
        <f>IF(OR(AL488=1,AM488=1),0,=IFERROR(IF(OR($C488="",$J488=""),0,IF($D488&lt;&gt;"Open",0,IF(COUNTIFS(GrinderServices!$A:$A,$J488,GrinderServices!$B:$B,$E488,GrinderServices!$D:$D,"Y")=0,0,IF($U488&lt;Config!$B$16,0,IF(Config!$B$18=1,IF($N488&gt;=$M488,0,1),1))))),""))</f>
        <v>#ERROR!</v>
      </c>
      <c r="AC488" s="40" t="str">
        <f>IFERROR((IF(OR(AL488=1,AM488=1),"",=IFERROR((IFERROR(IF($AB488=0,"",((Config!$B$6*$V488 + Config!$B$7*$R488 + Config!$B$8*$W488 + Config!$B$9*$X488 + Config!$B$10*$Y488 + Config!$B$11*$Z488 - Config!$B$12*$AA488)/Config!$B$13)+$AH488+$AI488),""))*(1-IFERROR(VLOOKUP(J488,Grinders!$A:$AB, 28, FALSE),0)),"")))*(1+AO488),"")</f>
        <v>#ERROR!</v>
      </c>
      <c r="AD488" s="40" t="str">
        <f t="shared" si="4"/>
        <v/>
      </c>
      <c r="AE488" s="40" t="str">
        <f>IFERROR(__xludf.DUMMYFUNCTION("IF($AC488="""","""",IF($AC488=IFERROR(MAX(FILTER($AC$6:$AC$1000,$C$6:$C$1000=$C488,$AB$6:$AB$1000=1)),),""WINNER"",""""))"),"#ERROR!")</f>
        <v>#ERROR!</v>
      </c>
      <c r="AF488" s="40" t="str">
        <f t="shared" si="5"/>
        <v/>
      </c>
      <c r="AG488" s="40" t="str">
        <f>IF($J488="","",COUNTIF(Assignments!$B:$B,$J488))</f>
        <v/>
      </c>
      <c r="AH488" s="40" t="str">
        <f>IF($J488="","",IF(AND($AG488=0,$N488&lt;$M488),Config!$B$43,0))</f>
        <v/>
      </c>
      <c r="AI488" s="40" t="str">
        <f>IF($J488="","",IF(AND($L488="Elite",$F488&gt;=Config!$B$41,$N488&lt;$M488),Config!$B$42,0))</f>
        <v/>
      </c>
      <c r="AJ488" s="22"/>
      <c r="AK488" s="39">
        <f>IFERROR(VLOOKUP(J488,Grinders!$A:$Q,28,FALSE),0)</f>
        <v>0</v>
      </c>
      <c r="AL488" s="39">
        <f>IF(Config!$B$1003&lt;&gt;"Y",0,IF(IFERROR(VLOOKUP(J488,Grinders!$A:$P,27,FALSE),0)&gt;=3,IF(OR(F488&gt;=Config!$B$1001,ISNUMBER(SEARCH(E488,Config!$B$1002))),1,0),0))</f>
        <v>0</v>
      </c>
      <c r="AM488" s="39">
        <f t="array" ref="AM488">IFERROR(IF(INDEX(Bids!$AE:$AE,MATCH(B488,Bids!$A:$A,0))="Pending",1,0),0)</f>
        <v>0</v>
      </c>
      <c r="AN488" s="39" t="str">
        <f t="array" ref="AN488">IF(C488="","",IFERROR(XLOOKUP(C488,Assignments!$C:$C,Assignments!$AU:$AU,0),0))</f>
        <v/>
      </c>
      <c r="AO488" s="39">
        <f>IF(AND(Config!$B$1006="Y",AN488=1),Config!$B$1007,0)</f>
        <v>0</v>
      </c>
    </row>
    <row r="489" ht="15.75" customHeight="1">
      <c r="A489" s="46" t="str">
        <f t="shared" si="1"/>
        <v/>
      </c>
      <c r="B489" s="40" t="str">
        <f>IF(Bids!$A489="","",Bids!$A489)</f>
        <v/>
      </c>
      <c r="C489" s="40" t="str">
        <f>IF(Bids!$B489="","",Bids!$B489)</f>
        <v/>
      </c>
      <c r="D489" s="40" t="str">
        <f>IF($C489="","",IFERROR(VLOOKUP($C489,Orders!$A:$J,9,FALSE),""))</f>
        <v/>
      </c>
      <c r="E489" s="40" t="str">
        <f>IF($C489="","",IFERROR(VLOOKUP($C489,Orders!$A:$J,3,FALSE),""))</f>
        <v/>
      </c>
      <c r="F489" s="40" t="str">
        <f>IF($C489="","",IFERROR(VLOOKUP($C489,Orders!$A:$J,4,FALSE),""))</f>
        <v/>
      </c>
      <c r="G489" s="40" t="str">
        <f>IF($C489="","",IFERROR(VLOOKUP($C489,Orders!$A:$J,5,FALSE),""))</f>
        <v/>
      </c>
      <c r="H489" s="40" t="str">
        <f>IF($C489="","",IFERROR(VLOOKUP($C489,Orders!$A:$J,6,FALSE),""))</f>
        <v/>
      </c>
      <c r="I489" s="40" t="str">
        <f>IF($C489="","",IFERROR(VLOOKUP($C489,Orders!$A:$J,7,FALSE),""))</f>
        <v/>
      </c>
      <c r="J489" s="40" t="str">
        <f>IF(Bids!$C489="","",Bids!$C489)</f>
        <v/>
      </c>
      <c r="K489" s="40" t="str">
        <f>IF($J489="","",IFERROR(VLOOKUP($J489,Grinders!$A:$N,2,FALSE),""))</f>
        <v/>
      </c>
      <c r="L489" s="40" t="str">
        <f>IF($J489="","",IFERROR(VLOOKUP($J489,Grinders!$A:$N,3,FALSE),""))</f>
        <v/>
      </c>
      <c r="M489" s="40" t="str">
        <f>IF($J489="","",IFERROR(VLOOKUP($J489,Grinders!$A:$N,4,FALSE),""))</f>
        <v/>
      </c>
      <c r="N489" s="40" t="str">
        <f>IF($J489="","",IFERROR(VLOOKUP($J489,Grinders!$A:$N,5,FALSE),""))</f>
        <v/>
      </c>
      <c r="O489" s="40" t="str">
        <f t="shared" si="2"/>
        <v/>
      </c>
      <c r="P489" s="40" t="str">
        <f>IF($J489="","",IFERROR(VLOOKUP($J489,Grinders!$A:$N,6,FALSE),""))</f>
        <v/>
      </c>
      <c r="Q489" s="40" t="str">
        <f>IF($J489="","",IFERROR(VLOOKUP($J489,Grinders!$A:$N,8,FALSE),""))</f>
        <v/>
      </c>
      <c r="R489" s="40" t="str">
        <f>IFERROR(IF($J489="","",IF($L489="Elite",MAX(50,MIN(100,Config!$B$27*MAX(0,MIN(100,(1-IF($O489="",0,$O489))*100)) + Config!$B$28*MAX(0,MIN(100,(1-MIN(1,IF(Config!$B$30=0,1,$P489/Config!$B$30)))*100)) + Config!$B$29*MAX(0,MIN(100,MIN(1,IF($Q489="",0,$Q489)/Config!$B$23)*100)))),MIN(100,Config!$B$27*MAX(0,MIN(100,(1-IF($O489="",0,$O489))*100)) + Config!$B$28*MAX(0,MIN(100,(1-MIN(1,IF(Config!$B$30=0,1,$P489/Config!$B$30)))*100)) + Config!$B$29*MAX(0,MIN(100,MIN(1,IF($Q489="",0,$Q489)/Config!$B$23)*100))))),"")
</f>
        <v/>
      </c>
      <c r="S489" s="40" t="str">
        <f>IF(Bids!$AC489="","",Bids!$AC489)</f>
        <v/>
      </c>
      <c r="T489" s="40" t="str">
        <f>IF(Bids!$F489="","",Bids!$F489)</f>
        <v/>
      </c>
      <c r="U489" s="40" t="str">
        <f t="shared" si="3"/>
        <v/>
      </c>
      <c r="V489" s="40" t="str">
        <f>IF($U489="","",IF(Config!$B$17=Config!$B$16,IF($U489&gt;=Config!$B$17,100,0),MAX(0,MIN(100,($U489-Config!$B$16)/(Config!$B$17-Config!$B$16)*100))))</f>
        <v/>
      </c>
      <c r="W489" s="40">
        <f>IF($L489="Elite",Config!$B$21,0)</f>
        <v>0</v>
      </c>
      <c r="X489" s="40" t="str">
        <f>IFERROR(IF(OR($T489="",$G489=""),"",IF($T489&gt;$G489,
  MAX(0, 60-(($T489-$G489)*24/Config!$B$19)*60),
  MEDIAN(60, 100, 60+(($G489-$T489)*24/Config!$B$20)*40)
)),"")
</f>
        <v/>
      </c>
      <c r="Y489" s="40" t="str">
        <f>IF($J489="","",IFERROR(VLOOKUP($J489,Grinders!$A:$N,10,FALSE),""))</f>
        <v/>
      </c>
      <c r="Z489" s="40" t="str">
        <f>IF($J489="","",IFERROR(VLOOKUP($J489,Grinders!$A:$N,11,FALSE),""))</f>
        <v/>
      </c>
      <c r="AA489" s="40" t="str">
        <f>IF($J489="","",IFERROR(VLOOKUP($J489,Grinders!$A:$N,12,FALSE),""))</f>
        <v/>
      </c>
      <c r="AB489" s="40" t="str">
        <f>IF(OR(AL489=1,AM489=1),0,=IFERROR(IF(OR($C489="",$J489=""),0,IF($D489&lt;&gt;"Open",0,IF(COUNTIFS(GrinderServices!$A:$A,$J489,GrinderServices!$B:$B,$E489,GrinderServices!$D:$D,"Y")=0,0,IF($U489&lt;Config!$B$16,0,IF(Config!$B$18=1,IF($N489&gt;=$M489,0,1),1))))),""))</f>
        <v>#ERROR!</v>
      </c>
      <c r="AC489" s="40" t="str">
        <f>IFERROR((IF(OR(AL489=1,AM489=1),"",=IFERROR((IFERROR(IF($AB489=0,"",((Config!$B$6*$V489 + Config!$B$7*$R489 + Config!$B$8*$W489 + Config!$B$9*$X489 + Config!$B$10*$Y489 + Config!$B$11*$Z489 - Config!$B$12*$AA489)/Config!$B$13)+$AH489+$AI489),""))*(1-IFERROR(VLOOKUP(J489,Grinders!$A:$AB, 28, FALSE),0)),"")))*(1+AO489),"")</f>
        <v>#ERROR!</v>
      </c>
      <c r="AD489" s="40" t="str">
        <f t="shared" si="4"/>
        <v/>
      </c>
      <c r="AE489" s="40" t="str">
        <f>IFERROR(__xludf.DUMMYFUNCTION("IF($AC489="""","""",IF($AC489=IFERROR(MAX(FILTER($AC$6:$AC$1000,$C$6:$C$1000=$C489,$AB$6:$AB$1000=1)),),""WINNER"",""""))"),"#ERROR!")</f>
        <v>#ERROR!</v>
      </c>
      <c r="AF489" s="40" t="str">
        <f t="shared" si="5"/>
        <v/>
      </c>
      <c r="AG489" s="40" t="str">
        <f>IF($J489="","",COUNTIF(Assignments!$B:$B,$J489))</f>
        <v/>
      </c>
      <c r="AH489" s="40" t="str">
        <f>IF($J489="","",IF(AND($AG489=0,$N489&lt;$M489),Config!$B$43,0))</f>
        <v/>
      </c>
      <c r="AI489" s="40" t="str">
        <f>IF($J489="","",IF(AND($L489="Elite",$F489&gt;=Config!$B$41,$N489&lt;$M489),Config!$B$42,0))</f>
        <v/>
      </c>
      <c r="AJ489" s="22"/>
      <c r="AK489" s="39">
        <f>IFERROR(VLOOKUP(J489,Grinders!$A:$Q,28,FALSE),0)</f>
        <v>0</v>
      </c>
      <c r="AL489" s="39">
        <f>IF(Config!$B$1003&lt;&gt;"Y",0,IF(IFERROR(VLOOKUP(J489,Grinders!$A:$P,27,FALSE),0)&gt;=3,IF(OR(F489&gt;=Config!$B$1001,ISNUMBER(SEARCH(E489,Config!$B$1002))),1,0),0))</f>
        <v>0</v>
      </c>
      <c r="AM489" s="39">
        <f t="array" ref="AM489">IFERROR(IF(INDEX(Bids!$AE:$AE,MATCH(B489,Bids!$A:$A,0))="Pending",1,0),0)</f>
        <v>0</v>
      </c>
      <c r="AN489" s="39" t="str">
        <f t="array" ref="AN489">IF(C489="","",IFERROR(XLOOKUP(C489,Assignments!$C:$C,Assignments!$AU:$AU,0),0))</f>
        <v/>
      </c>
      <c r="AO489" s="39">
        <f>IF(AND(Config!$B$1006="Y",AN489=1),Config!$B$1007,0)</f>
        <v>0</v>
      </c>
    </row>
    <row r="490" ht="15.75" customHeight="1">
      <c r="A490" s="46" t="str">
        <f t="shared" si="1"/>
        <v/>
      </c>
      <c r="B490" s="40" t="str">
        <f>IF(Bids!$A490="","",Bids!$A490)</f>
        <v/>
      </c>
      <c r="C490" s="40" t="str">
        <f>IF(Bids!$B490="","",Bids!$B490)</f>
        <v/>
      </c>
      <c r="D490" s="40" t="str">
        <f>IF($C490="","",IFERROR(VLOOKUP($C490,Orders!$A:$J,9,FALSE),""))</f>
        <v/>
      </c>
      <c r="E490" s="40" t="str">
        <f>IF($C490="","",IFERROR(VLOOKUP($C490,Orders!$A:$J,3,FALSE),""))</f>
        <v/>
      </c>
      <c r="F490" s="40" t="str">
        <f>IF($C490="","",IFERROR(VLOOKUP($C490,Orders!$A:$J,4,FALSE),""))</f>
        <v/>
      </c>
      <c r="G490" s="40" t="str">
        <f>IF($C490="","",IFERROR(VLOOKUP($C490,Orders!$A:$J,5,FALSE),""))</f>
        <v/>
      </c>
      <c r="H490" s="40" t="str">
        <f>IF($C490="","",IFERROR(VLOOKUP($C490,Orders!$A:$J,6,FALSE),""))</f>
        <v/>
      </c>
      <c r="I490" s="40" t="str">
        <f>IF($C490="","",IFERROR(VLOOKUP($C490,Orders!$A:$J,7,FALSE),""))</f>
        <v/>
      </c>
      <c r="J490" s="40" t="str">
        <f>IF(Bids!$C490="","",Bids!$C490)</f>
        <v/>
      </c>
      <c r="K490" s="40" t="str">
        <f>IF($J490="","",IFERROR(VLOOKUP($J490,Grinders!$A:$N,2,FALSE),""))</f>
        <v/>
      </c>
      <c r="L490" s="40" t="str">
        <f>IF($J490="","",IFERROR(VLOOKUP($J490,Grinders!$A:$N,3,FALSE),""))</f>
        <v/>
      </c>
      <c r="M490" s="40" t="str">
        <f>IF($J490="","",IFERROR(VLOOKUP($J490,Grinders!$A:$N,4,FALSE),""))</f>
        <v/>
      </c>
      <c r="N490" s="40" t="str">
        <f>IF($J490="","",IFERROR(VLOOKUP($J490,Grinders!$A:$N,5,FALSE),""))</f>
        <v/>
      </c>
      <c r="O490" s="40" t="str">
        <f t="shared" si="2"/>
        <v/>
      </c>
      <c r="P490" s="40" t="str">
        <f>IF($J490="","",IFERROR(VLOOKUP($J490,Grinders!$A:$N,6,FALSE),""))</f>
        <v/>
      </c>
      <c r="Q490" s="40" t="str">
        <f>IF($J490="","",IFERROR(VLOOKUP($J490,Grinders!$A:$N,8,FALSE),""))</f>
        <v/>
      </c>
      <c r="R490" s="40" t="str">
        <f>IFERROR(IF($J490="","",IF($L490="Elite",MAX(50,MIN(100,Config!$B$27*MAX(0,MIN(100,(1-IF($O490="",0,$O490))*100)) + Config!$B$28*MAX(0,MIN(100,(1-MIN(1,IF(Config!$B$30=0,1,$P490/Config!$B$30)))*100)) + Config!$B$29*MAX(0,MIN(100,MIN(1,IF($Q490="",0,$Q490)/Config!$B$23)*100)))),MIN(100,Config!$B$27*MAX(0,MIN(100,(1-IF($O490="",0,$O490))*100)) + Config!$B$28*MAX(0,MIN(100,(1-MIN(1,IF(Config!$B$30=0,1,$P490/Config!$B$30)))*100)) + Config!$B$29*MAX(0,MIN(100,MIN(1,IF($Q490="",0,$Q490)/Config!$B$23)*100))))),"")
</f>
        <v/>
      </c>
      <c r="S490" s="40" t="str">
        <f>IF(Bids!$AC490="","",Bids!$AC490)</f>
        <v/>
      </c>
      <c r="T490" s="40" t="str">
        <f>IF(Bids!$F490="","",Bids!$F490)</f>
        <v/>
      </c>
      <c r="U490" s="40" t="str">
        <f t="shared" si="3"/>
        <v/>
      </c>
      <c r="V490" s="40" t="str">
        <f>IF($U490="","",IF(Config!$B$17=Config!$B$16,IF($U490&gt;=Config!$B$17,100,0),MAX(0,MIN(100,($U490-Config!$B$16)/(Config!$B$17-Config!$B$16)*100))))</f>
        <v/>
      </c>
      <c r="W490" s="40">
        <f>IF($L490="Elite",Config!$B$21,0)</f>
        <v>0</v>
      </c>
      <c r="X490" s="40" t="str">
        <f>IFERROR(IF(OR($T490="",$G490=""),"",IF($T490&gt;$G490,
  MAX(0, 60-(($T490-$G490)*24/Config!$B$19)*60),
  MEDIAN(60, 100, 60+(($G490-$T490)*24/Config!$B$20)*40)
)),"")
</f>
        <v/>
      </c>
      <c r="Y490" s="40" t="str">
        <f>IF($J490="","",IFERROR(VLOOKUP($J490,Grinders!$A:$N,10,FALSE),""))</f>
        <v/>
      </c>
      <c r="Z490" s="40" t="str">
        <f>IF($J490="","",IFERROR(VLOOKUP($J490,Grinders!$A:$N,11,FALSE),""))</f>
        <v/>
      </c>
      <c r="AA490" s="40" t="str">
        <f>IF($J490="","",IFERROR(VLOOKUP($J490,Grinders!$A:$N,12,FALSE),""))</f>
        <v/>
      </c>
      <c r="AB490" s="40" t="str">
        <f>IF(OR(AL490=1,AM490=1),0,=IFERROR(IF(OR($C490="",$J490=""),0,IF($D490&lt;&gt;"Open",0,IF(COUNTIFS(GrinderServices!$A:$A,$J490,GrinderServices!$B:$B,$E490,GrinderServices!$D:$D,"Y")=0,0,IF($U490&lt;Config!$B$16,0,IF(Config!$B$18=1,IF($N490&gt;=$M490,0,1),1))))),""))</f>
        <v>#ERROR!</v>
      </c>
      <c r="AC490" s="40" t="str">
        <f>IFERROR((IF(OR(AL490=1,AM490=1),"",=IFERROR((IFERROR(IF($AB490=0,"",((Config!$B$6*$V490 + Config!$B$7*$R490 + Config!$B$8*$W490 + Config!$B$9*$X490 + Config!$B$10*$Y490 + Config!$B$11*$Z490 - Config!$B$12*$AA490)/Config!$B$13)+$AH490+$AI490),""))*(1-IFERROR(VLOOKUP(J490,Grinders!$A:$AB, 28, FALSE),0)),"")))*(1+AO490),"")</f>
        <v>#ERROR!</v>
      </c>
      <c r="AD490" s="40" t="str">
        <f t="shared" si="4"/>
        <v/>
      </c>
      <c r="AE490" s="40" t="str">
        <f>IFERROR(__xludf.DUMMYFUNCTION("IF($AC490="""","""",IF($AC490=IFERROR(MAX(FILTER($AC$6:$AC$1000,$C$6:$C$1000=$C490,$AB$6:$AB$1000=1)),),""WINNER"",""""))"),"#ERROR!")</f>
        <v>#ERROR!</v>
      </c>
      <c r="AF490" s="40" t="str">
        <f t="shared" si="5"/>
        <v/>
      </c>
      <c r="AG490" s="40" t="str">
        <f>IF($J490="","",COUNTIF(Assignments!$B:$B,$J490))</f>
        <v/>
      </c>
      <c r="AH490" s="40" t="str">
        <f>IF($J490="","",IF(AND($AG490=0,$N490&lt;$M490),Config!$B$43,0))</f>
        <v/>
      </c>
      <c r="AI490" s="40" t="str">
        <f>IF($J490="","",IF(AND($L490="Elite",$F490&gt;=Config!$B$41,$N490&lt;$M490),Config!$B$42,0))</f>
        <v/>
      </c>
      <c r="AJ490" s="22"/>
      <c r="AK490" s="39">
        <f>IFERROR(VLOOKUP(J490,Grinders!$A:$Q,28,FALSE),0)</f>
        <v>0</v>
      </c>
      <c r="AL490" s="39">
        <f>IF(Config!$B$1003&lt;&gt;"Y",0,IF(IFERROR(VLOOKUP(J490,Grinders!$A:$P,27,FALSE),0)&gt;=3,IF(OR(F490&gt;=Config!$B$1001,ISNUMBER(SEARCH(E490,Config!$B$1002))),1,0),0))</f>
        <v>0</v>
      </c>
      <c r="AM490" s="39">
        <f t="array" ref="AM490">IFERROR(IF(INDEX(Bids!$AE:$AE,MATCH(B490,Bids!$A:$A,0))="Pending",1,0),0)</f>
        <v>0</v>
      </c>
      <c r="AN490" s="39" t="str">
        <f t="array" ref="AN490">IF(C490="","",IFERROR(XLOOKUP(C490,Assignments!$C:$C,Assignments!$AU:$AU,0),0))</f>
        <v/>
      </c>
      <c r="AO490" s="39">
        <f>IF(AND(Config!$B$1006="Y",AN490=1),Config!$B$1007,0)</f>
        <v>0</v>
      </c>
    </row>
    <row r="491" ht="15.75" customHeight="1">
      <c r="A491" s="46" t="str">
        <f t="shared" si="1"/>
        <v/>
      </c>
      <c r="B491" s="40" t="str">
        <f>IF(Bids!$A491="","",Bids!$A491)</f>
        <v/>
      </c>
      <c r="C491" s="40" t="str">
        <f>IF(Bids!$B491="","",Bids!$B491)</f>
        <v/>
      </c>
      <c r="D491" s="40" t="str">
        <f>IF($C491="","",IFERROR(VLOOKUP($C491,Orders!$A:$J,9,FALSE),""))</f>
        <v/>
      </c>
      <c r="E491" s="40" t="str">
        <f>IF($C491="","",IFERROR(VLOOKUP($C491,Orders!$A:$J,3,FALSE),""))</f>
        <v/>
      </c>
      <c r="F491" s="40" t="str">
        <f>IF($C491="","",IFERROR(VLOOKUP($C491,Orders!$A:$J,4,FALSE),""))</f>
        <v/>
      </c>
      <c r="G491" s="40" t="str">
        <f>IF($C491="","",IFERROR(VLOOKUP($C491,Orders!$A:$J,5,FALSE),""))</f>
        <v/>
      </c>
      <c r="H491" s="40" t="str">
        <f>IF($C491="","",IFERROR(VLOOKUP($C491,Orders!$A:$J,6,FALSE),""))</f>
        <v/>
      </c>
      <c r="I491" s="40" t="str">
        <f>IF($C491="","",IFERROR(VLOOKUP($C491,Orders!$A:$J,7,FALSE),""))</f>
        <v/>
      </c>
      <c r="J491" s="40" t="str">
        <f>IF(Bids!$C491="","",Bids!$C491)</f>
        <v/>
      </c>
      <c r="K491" s="40" t="str">
        <f>IF($J491="","",IFERROR(VLOOKUP($J491,Grinders!$A:$N,2,FALSE),""))</f>
        <v/>
      </c>
      <c r="L491" s="40" t="str">
        <f>IF($J491="","",IFERROR(VLOOKUP($J491,Grinders!$A:$N,3,FALSE),""))</f>
        <v/>
      </c>
      <c r="M491" s="40" t="str">
        <f>IF($J491="","",IFERROR(VLOOKUP($J491,Grinders!$A:$N,4,FALSE),""))</f>
        <v/>
      </c>
      <c r="N491" s="40" t="str">
        <f>IF($J491="","",IFERROR(VLOOKUP($J491,Grinders!$A:$N,5,FALSE),""))</f>
        <v/>
      </c>
      <c r="O491" s="40" t="str">
        <f t="shared" si="2"/>
        <v/>
      </c>
      <c r="P491" s="40" t="str">
        <f>IF($J491="","",IFERROR(VLOOKUP($J491,Grinders!$A:$N,6,FALSE),""))</f>
        <v/>
      </c>
      <c r="Q491" s="40" t="str">
        <f>IF($J491="","",IFERROR(VLOOKUP($J491,Grinders!$A:$N,8,FALSE),""))</f>
        <v/>
      </c>
      <c r="R491" s="40" t="str">
        <f>IFERROR(IF($J491="","",IF($L491="Elite",MAX(50,MIN(100,Config!$B$27*MAX(0,MIN(100,(1-IF($O491="",0,$O491))*100)) + Config!$B$28*MAX(0,MIN(100,(1-MIN(1,IF(Config!$B$30=0,1,$P491/Config!$B$30)))*100)) + Config!$B$29*MAX(0,MIN(100,MIN(1,IF($Q491="",0,$Q491)/Config!$B$23)*100)))),MIN(100,Config!$B$27*MAX(0,MIN(100,(1-IF($O491="",0,$O491))*100)) + Config!$B$28*MAX(0,MIN(100,(1-MIN(1,IF(Config!$B$30=0,1,$P491/Config!$B$30)))*100)) + Config!$B$29*MAX(0,MIN(100,MIN(1,IF($Q491="",0,$Q491)/Config!$B$23)*100))))),"")
</f>
        <v/>
      </c>
      <c r="S491" s="40" t="str">
        <f>IF(Bids!$AC491="","",Bids!$AC491)</f>
        <v/>
      </c>
      <c r="T491" s="40" t="str">
        <f>IF(Bids!$F491="","",Bids!$F491)</f>
        <v/>
      </c>
      <c r="U491" s="40" t="str">
        <f t="shared" si="3"/>
        <v/>
      </c>
      <c r="V491" s="40" t="str">
        <f>IF($U491="","",IF(Config!$B$17=Config!$B$16,IF($U491&gt;=Config!$B$17,100,0),MAX(0,MIN(100,($U491-Config!$B$16)/(Config!$B$17-Config!$B$16)*100))))</f>
        <v/>
      </c>
      <c r="W491" s="40">
        <f>IF($L491="Elite",Config!$B$21,0)</f>
        <v>0</v>
      </c>
      <c r="X491" s="40" t="str">
        <f>IFERROR(IF(OR($T491="",$G491=""),"",IF($T491&gt;$G491,
  MAX(0, 60-(($T491-$G491)*24/Config!$B$19)*60),
  MEDIAN(60, 100, 60+(($G491-$T491)*24/Config!$B$20)*40)
)),"")
</f>
        <v/>
      </c>
      <c r="Y491" s="40" t="str">
        <f>IF($J491="","",IFERROR(VLOOKUP($J491,Grinders!$A:$N,10,FALSE),""))</f>
        <v/>
      </c>
      <c r="Z491" s="40" t="str">
        <f>IF($J491="","",IFERROR(VLOOKUP($J491,Grinders!$A:$N,11,FALSE),""))</f>
        <v/>
      </c>
      <c r="AA491" s="40" t="str">
        <f>IF($J491="","",IFERROR(VLOOKUP($J491,Grinders!$A:$N,12,FALSE),""))</f>
        <v/>
      </c>
      <c r="AB491" s="40" t="str">
        <f>IF(OR(AL491=1,AM491=1),0,=IFERROR(IF(OR($C491="",$J491=""),0,IF($D491&lt;&gt;"Open",0,IF(COUNTIFS(GrinderServices!$A:$A,$J491,GrinderServices!$B:$B,$E491,GrinderServices!$D:$D,"Y")=0,0,IF($U491&lt;Config!$B$16,0,IF(Config!$B$18=1,IF($N491&gt;=$M491,0,1),1))))),""))</f>
        <v>#ERROR!</v>
      </c>
      <c r="AC491" s="40" t="str">
        <f>IFERROR((IF(OR(AL491=1,AM491=1),"",=IFERROR((IFERROR(IF($AB491=0,"",((Config!$B$6*$V491 + Config!$B$7*$R491 + Config!$B$8*$W491 + Config!$B$9*$X491 + Config!$B$10*$Y491 + Config!$B$11*$Z491 - Config!$B$12*$AA491)/Config!$B$13)+$AH491+$AI491),""))*(1-IFERROR(VLOOKUP(J491,Grinders!$A:$AB, 28, FALSE),0)),"")))*(1+AO491),"")</f>
        <v>#ERROR!</v>
      </c>
      <c r="AD491" s="40" t="str">
        <f t="shared" si="4"/>
        <v/>
      </c>
      <c r="AE491" s="40" t="str">
        <f>IFERROR(__xludf.DUMMYFUNCTION("IF($AC491="""","""",IF($AC491=IFERROR(MAX(FILTER($AC$6:$AC$1000,$C$6:$C$1000=$C491,$AB$6:$AB$1000=1)),),""WINNER"",""""))"),"#ERROR!")</f>
        <v>#ERROR!</v>
      </c>
      <c r="AF491" s="40" t="str">
        <f t="shared" si="5"/>
        <v/>
      </c>
      <c r="AG491" s="40" t="str">
        <f>IF($J491="","",COUNTIF(Assignments!$B:$B,$J491))</f>
        <v/>
      </c>
      <c r="AH491" s="40" t="str">
        <f>IF($J491="","",IF(AND($AG491=0,$N491&lt;$M491),Config!$B$43,0))</f>
        <v/>
      </c>
      <c r="AI491" s="40" t="str">
        <f>IF($J491="","",IF(AND($L491="Elite",$F491&gt;=Config!$B$41,$N491&lt;$M491),Config!$B$42,0))</f>
        <v/>
      </c>
      <c r="AJ491" s="22"/>
      <c r="AK491" s="39">
        <f>IFERROR(VLOOKUP(J491,Grinders!$A:$Q,28,FALSE),0)</f>
        <v>0</v>
      </c>
      <c r="AL491" s="39">
        <f>IF(Config!$B$1003&lt;&gt;"Y",0,IF(IFERROR(VLOOKUP(J491,Grinders!$A:$P,27,FALSE),0)&gt;=3,IF(OR(F491&gt;=Config!$B$1001,ISNUMBER(SEARCH(E491,Config!$B$1002))),1,0),0))</f>
        <v>0</v>
      </c>
      <c r="AM491" s="39">
        <f t="array" ref="AM491">IFERROR(IF(INDEX(Bids!$AE:$AE,MATCH(B491,Bids!$A:$A,0))="Pending",1,0),0)</f>
        <v>0</v>
      </c>
      <c r="AN491" s="39" t="str">
        <f t="array" ref="AN491">IF(C491="","",IFERROR(XLOOKUP(C491,Assignments!$C:$C,Assignments!$AU:$AU,0),0))</f>
        <v/>
      </c>
      <c r="AO491" s="39">
        <f>IF(AND(Config!$B$1006="Y",AN491=1),Config!$B$1007,0)</f>
        <v>0</v>
      </c>
    </row>
    <row r="492" ht="15.75" customHeight="1">
      <c r="A492" s="46" t="str">
        <f t="shared" si="1"/>
        <v/>
      </c>
      <c r="B492" s="40" t="str">
        <f>IF(Bids!$A492="","",Bids!$A492)</f>
        <v/>
      </c>
      <c r="C492" s="40" t="str">
        <f>IF(Bids!$B492="","",Bids!$B492)</f>
        <v/>
      </c>
      <c r="D492" s="40" t="str">
        <f>IF($C492="","",IFERROR(VLOOKUP($C492,Orders!$A:$J,9,FALSE),""))</f>
        <v/>
      </c>
      <c r="E492" s="40" t="str">
        <f>IF($C492="","",IFERROR(VLOOKUP($C492,Orders!$A:$J,3,FALSE),""))</f>
        <v/>
      </c>
      <c r="F492" s="40" t="str">
        <f>IF($C492="","",IFERROR(VLOOKUP($C492,Orders!$A:$J,4,FALSE),""))</f>
        <v/>
      </c>
      <c r="G492" s="40" t="str">
        <f>IF($C492="","",IFERROR(VLOOKUP($C492,Orders!$A:$J,5,FALSE),""))</f>
        <v/>
      </c>
      <c r="H492" s="40" t="str">
        <f>IF($C492="","",IFERROR(VLOOKUP($C492,Orders!$A:$J,6,FALSE),""))</f>
        <v/>
      </c>
      <c r="I492" s="40" t="str">
        <f>IF($C492="","",IFERROR(VLOOKUP($C492,Orders!$A:$J,7,FALSE),""))</f>
        <v/>
      </c>
      <c r="J492" s="40" t="str">
        <f>IF(Bids!$C492="","",Bids!$C492)</f>
        <v/>
      </c>
      <c r="K492" s="40" t="str">
        <f>IF($J492="","",IFERROR(VLOOKUP($J492,Grinders!$A:$N,2,FALSE),""))</f>
        <v/>
      </c>
      <c r="L492" s="40" t="str">
        <f>IF($J492="","",IFERROR(VLOOKUP($J492,Grinders!$A:$N,3,FALSE),""))</f>
        <v/>
      </c>
      <c r="M492" s="40" t="str">
        <f>IF($J492="","",IFERROR(VLOOKUP($J492,Grinders!$A:$N,4,FALSE),""))</f>
        <v/>
      </c>
      <c r="N492" s="40" t="str">
        <f>IF($J492="","",IFERROR(VLOOKUP($J492,Grinders!$A:$N,5,FALSE),""))</f>
        <v/>
      </c>
      <c r="O492" s="40" t="str">
        <f t="shared" si="2"/>
        <v/>
      </c>
      <c r="P492" s="40" t="str">
        <f>IF($J492="","",IFERROR(VLOOKUP($J492,Grinders!$A:$N,6,FALSE),""))</f>
        <v/>
      </c>
      <c r="Q492" s="40" t="str">
        <f>IF($J492="","",IFERROR(VLOOKUP($J492,Grinders!$A:$N,8,FALSE),""))</f>
        <v/>
      </c>
      <c r="R492" s="40" t="str">
        <f>IFERROR(IF($J492="","",IF($L492="Elite",MAX(50,MIN(100,Config!$B$27*MAX(0,MIN(100,(1-IF($O492="",0,$O492))*100)) + Config!$B$28*MAX(0,MIN(100,(1-MIN(1,IF(Config!$B$30=0,1,$P492/Config!$B$30)))*100)) + Config!$B$29*MAX(0,MIN(100,MIN(1,IF($Q492="",0,$Q492)/Config!$B$23)*100)))),MIN(100,Config!$B$27*MAX(0,MIN(100,(1-IF($O492="",0,$O492))*100)) + Config!$B$28*MAX(0,MIN(100,(1-MIN(1,IF(Config!$B$30=0,1,$P492/Config!$B$30)))*100)) + Config!$B$29*MAX(0,MIN(100,MIN(1,IF($Q492="",0,$Q492)/Config!$B$23)*100))))),"")
</f>
        <v/>
      </c>
      <c r="S492" s="40" t="str">
        <f>IF(Bids!$AC492="","",Bids!$AC492)</f>
        <v/>
      </c>
      <c r="T492" s="40" t="str">
        <f>IF(Bids!$F492="","",Bids!$F492)</f>
        <v/>
      </c>
      <c r="U492" s="40" t="str">
        <f t="shared" si="3"/>
        <v/>
      </c>
      <c r="V492" s="40" t="str">
        <f>IF($U492="","",IF(Config!$B$17=Config!$B$16,IF($U492&gt;=Config!$B$17,100,0),MAX(0,MIN(100,($U492-Config!$B$16)/(Config!$B$17-Config!$B$16)*100))))</f>
        <v/>
      </c>
      <c r="W492" s="40">
        <f>IF($L492="Elite",Config!$B$21,0)</f>
        <v>0</v>
      </c>
      <c r="X492" s="40" t="str">
        <f>IFERROR(IF(OR($T492="",$G492=""),"",IF($T492&gt;$G492,
  MAX(0, 60-(($T492-$G492)*24/Config!$B$19)*60),
  MEDIAN(60, 100, 60+(($G492-$T492)*24/Config!$B$20)*40)
)),"")
</f>
        <v/>
      </c>
      <c r="Y492" s="40" t="str">
        <f>IF($J492="","",IFERROR(VLOOKUP($J492,Grinders!$A:$N,10,FALSE),""))</f>
        <v/>
      </c>
      <c r="Z492" s="40" t="str">
        <f>IF($J492="","",IFERROR(VLOOKUP($J492,Grinders!$A:$N,11,FALSE),""))</f>
        <v/>
      </c>
      <c r="AA492" s="40" t="str">
        <f>IF($J492="","",IFERROR(VLOOKUP($J492,Grinders!$A:$N,12,FALSE),""))</f>
        <v/>
      </c>
      <c r="AB492" s="40" t="str">
        <f>IF(OR(AL492=1,AM492=1),0,=IFERROR(IF(OR($C492="",$J492=""),0,IF($D492&lt;&gt;"Open",0,IF(COUNTIFS(GrinderServices!$A:$A,$J492,GrinderServices!$B:$B,$E492,GrinderServices!$D:$D,"Y")=0,0,IF($U492&lt;Config!$B$16,0,IF(Config!$B$18=1,IF($N492&gt;=$M492,0,1),1))))),""))</f>
        <v>#ERROR!</v>
      </c>
      <c r="AC492" s="40" t="str">
        <f>IFERROR((IF(OR(AL492=1,AM492=1),"",=IFERROR((IFERROR(IF($AB492=0,"",((Config!$B$6*$V492 + Config!$B$7*$R492 + Config!$B$8*$W492 + Config!$B$9*$X492 + Config!$B$10*$Y492 + Config!$B$11*$Z492 - Config!$B$12*$AA492)/Config!$B$13)+$AH492+$AI492),""))*(1-IFERROR(VLOOKUP(J492,Grinders!$A:$AB, 28, FALSE),0)),"")))*(1+AO492),"")</f>
        <v>#ERROR!</v>
      </c>
      <c r="AD492" s="40" t="str">
        <f t="shared" si="4"/>
        <v/>
      </c>
      <c r="AE492" s="40" t="str">
        <f>IFERROR(__xludf.DUMMYFUNCTION("IF($AC492="""","""",IF($AC492=IFERROR(MAX(FILTER($AC$6:$AC$1000,$C$6:$C$1000=$C492,$AB$6:$AB$1000=1)),),""WINNER"",""""))"),"#ERROR!")</f>
        <v>#ERROR!</v>
      </c>
      <c r="AF492" s="40" t="str">
        <f t="shared" si="5"/>
        <v/>
      </c>
      <c r="AG492" s="40" t="str">
        <f>IF($J492="","",COUNTIF(Assignments!$B:$B,$J492))</f>
        <v/>
      </c>
      <c r="AH492" s="40" t="str">
        <f>IF($J492="","",IF(AND($AG492=0,$N492&lt;$M492),Config!$B$43,0))</f>
        <v/>
      </c>
      <c r="AI492" s="40" t="str">
        <f>IF($J492="","",IF(AND($L492="Elite",$F492&gt;=Config!$B$41,$N492&lt;$M492),Config!$B$42,0))</f>
        <v/>
      </c>
      <c r="AJ492" s="22"/>
      <c r="AK492" s="39">
        <f>IFERROR(VLOOKUP(J492,Grinders!$A:$Q,28,FALSE),0)</f>
        <v>0</v>
      </c>
      <c r="AL492" s="39">
        <f>IF(Config!$B$1003&lt;&gt;"Y",0,IF(IFERROR(VLOOKUP(J492,Grinders!$A:$P,27,FALSE),0)&gt;=3,IF(OR(F492&gt;=Config!$B$1001,ISNUMBER(SEARCH(E492,Config!$B$1002))),1,0),0))</f>
        <v>0</v>
      </c>
      <c r="AM492" s="39">
        <f t="array" ref="AM492">IFERROR(IF(INDEX(Bids!$AE:$AE,MATCH(B492,Bids!$A:$A,0))="Pending",1,0),0)</f>
        <v>0</v>
      </c>
      <c r="AN492" s="39" t="str">
        <f t="array" ref="AN492">IF(C492="","",IFERROR(XLOOKUP(C492,Assignments!$C:$C,Assignments!$AU:$AU,0),0))</f>
        <v/>
      </c>
      <c r="AO492" s="39">
        <f>IF(AND(Config!$B$1006="Y",AN492=1),Config!$B$1007,0)</f>
        <v>0</v>
      </c>
    </row>
    <row r="493" ht="15.75" customHeight="1">
      <c r="A493" s="46" t="str">
        <f t="shared" si="1"/>
        <v/>
      </c>
      <c r="B493" s="40" t="str">
        <f>IF(Bids!$A493="","",Bids!$A493)</f>
        <v/>
      </c>
      <c r="C493" s="40" t="str">
        <f>IF(Bids!$B493="","",Bids!$B493)</f>
        <v/>
      </c>
      <c r="D493" s="40" t="str">
        <f>IF($C493="","",IFERROR(VLOOKUP($C493,Orders!$A:$J,9,FALSE),""))</f>
        <v/>
      </c>
      <c r="E493" s="40" t="str">
        <f>IF($C493="","",IFERROR(VLOOKUP($C493,Orders!$A:$J,3,FALSE),""))</f>
        <v/>
      </c>
      <c r="F493" s="40" t="str">
        <f>IF($C493="","",IFERROR(VLOOKUP($C493,Orders!$A:$J,4,FALSE),""))</f>
        <v/>
      </c>
      <c r="G493" s="40" t="str">
        <f>IF($C493="","",IFERROR(VLOOKUP($C493,Orders!$A:$J,5,FALSE),""))</f>
        <v/>
      </c>
      <c r="H493" s="40" t="str">
        <f>IF($C493="","",IFERROR(VLOOKUP($C493,Orders!$A:$J,6,FALSE),""))</f>
        <v/>
      </c>
      <c r="I493" s="40" t="str">
        <f>IF($C493="","",IFERROR(VLOOKUP($C493,Orders!$A:$J,7,FALSE),""))</f>
        <v/>
      </c>
      <c r="J493" s="40" t="str">
        <f>IF(Bids!$C493="","",Bids!$C493)</f>
        <v/>
      </c>
      <c r="K493" s="40" t="str">
        <f>IF($J493="","",IFERROR(VLOOKUP($J493,Grinders!$A:$N,2,FALSE),""))</f>
        <v/>
      </c>
      <c r="L493" s="40" t="str">
        <f>IF($J493="","",IFERROR(VLOOKUP($J493,Grinders!$A:$N,3,FALSE),""))</f>
        <v/>
      </c>
      <c r="M493" s="40" t="str">
        <f>IF($J493="","",IFERROR(VLOOKUP($J493,Grinders!$A:$N,4,FALSE),""))</f>
        <v/>
      </c>
      <c r="N493" s="40" t="str">
        <f>IF($J493="","",IFERROR(VLOOKUP($J493,Grinders!$A:$N,5,FALSE),""))</f>
        <v/>
      </c>
      <c r="O493" s="40" t="str">
        <f t="shared" si="2"/>
        <v/>
      </c>
      <c r="P493" s="40" t="str">
        <f>IF($J493="","",IFERROR(VLOOKUP($J493,Grinders!$A:$N,6,FALSE),""))</f>
        <v/>
      </c>
      <c r="Q493" s="40" t="str">
        <f>IF($J493="","",IFERROR(VLOOKUP($J493,Grinders!$A:$N,8,FALSE),""))</f>
        <v/>
      </c>
      <c r="R493" s="40" t="str">
        <f>IFERROR(IF($J493="","",IF($L493="Elite",MAX(50,MIN(100,Config!$B$27*MAX(0,MIN(100,(1-IF($O493="",0,$O493))*100)) + Config!$B$28*MAX(0,MIN(100,(1-MIN(1,IF(Config!$B$30=0,1,$P493/Config!$B$30)))*100)) + Config!$B$29*MAX(0,MIN(100,MIN(1,IF($Q493="",0,$Q493)/Config!$B$23)*100)))),MIN(100,Config!$B$27*MAX(0,MIN(100,(1-IF($O493="",0,$O493))*100)) + Config!$B$28*MAX(0,MIN(100,(1-MIN(1,IF(Config!$B$30=0,1,$P493/Config!$B$30)))*100)) + Config!$B$29*MAX(0,MIN(100,MIN(1,IF($Q493="",0,$Q493)/Config!$B$23)*100))))),"")
</f>
        <v/>
      </c>
      <c r="S493" s="40" t="str">
        <f>IF(Bids!$AC493="","",Bids!$AC493)</f>
        <v/>
      </c>
      <c r="T493" s="40" t="str">
        <f>IF(Bids!$F493="","",Bids!$F493)</f>
        <v/>
      </c>
      <c r="U493" s="40" t="str">
        <f t="shared" si="3"/>
        <v/>
      </c>
      <c r="V493" s="40" t="str">
        <f>IF($U493="","",IF(Config!$B$17=Config!$B$16,IF($U493&gt;=Config!$B$17,100,0),MAX(0,MIN(100,($U493-Config!$B$16)/(Config!$B$17-Config!$B$16)*100))))</f>
        <v/>
      </c>
      <c r="W493" s="40">
        <f>IF($L493="Elite",Config!$B$21,0)</f>
        <v>0</v>
      </c>
      <c r="X493" s="40" t="str">
        <f>IFERROR(IF(OR($T493="",$G493=""),"",IF($T493&gt;$G493,
  MAX(0, 60-(($T493-$G493)*24/Config!$B$19)*60),
  MEDIAN(60, 100, 60+(($G493-$T493)*24/Config!$B$20)*40)
)),"")
</f>
        <v/>
      </c>
      <c r="Y493" s="40" t="str">
        <f>IF($J493="","",IFERROR(VLOOKUP($J493,Grinders!$A:$N,10,FALSE),""))</f>
        <v/>
      </c>
      <c r="Z493" s="40" t="str">
        <f>IF($J493="","",IFERROR(VLOOKUP($J493,Grinders!$A:$N,11,FALSE),""))</f>
        <v/>
      </c>
      <c r="AA493" s="40" t="str">
        <f>IF($J493="","",IFERROR(VLOOKUP($J493,Grinders!$A:$N,12,FALSE),""))</f>
        <v/>
      </c>
      <c r="AB493" s="40" t="str">
        <f>IF(OR(AL493=1,AM493=1),0,=IFERROR(IF(OR($C493="",$J493=""),0,IF($D493&lt;&gt;"Open",0,IF(COUNTIFS(GrinderServices!$A:$A,$J493,GrinderServices!$B:$B,$E493,GrinderServices!$D:$D,"Y")=0,0,IF($U493&lt;Config!$B$16,0,IF(Config!$B$18=1,IF($N493&gt;=$M493,0,1),1))))),""))</f>
        <v>#ERROR!</v>
      </c>
      <c r="AC493" s="40" t="str">
        <f>IFERROR((IF(OR(AL493=1,AM493=1),"",=IFERROR((IFERROR(IF($AB493=0,"",((Config!$B$6*$V493 + Config!$B$7*$R493 + Config!$B$8*$W493 + Config!$B$9*$X493 + Config!$B$10*$Y493 + Config!$B$11*$Z493 - Config!$B$12*$AA493)/Config!$B$13)+$AH493+$AI493),""))*(1-IFERROR(VLOOKUP(J493,Grinders!$A:$AB, 28, FALSE),0)),"")))*(1+AO493),"")</f>
        <v>#ERROR!</v>
      </c>
      <c r="AD493" s="40" t="str">
        <f t="shared" si="4"/>
        <v/>
      </c>
      <c r="AE493" s="40" t="str">
        <f>IFERROR(__xludf.DUMMYFUNCTION("IF($AC493="""","""",IF($AC493=IFERROR(MAX(FILTER($AC$6:$AC$1000,$C$6:$C$1000=$C493,$AB$6:$AB$1000=1)),),""WINNER"",""""))"),"#ERROR!")</f>
        <v>#ERROR!</v>
      </c>
      <c r="AF493" s="40" t="str">
        <f t="shared" si="5"/>
        <v/>
      </c>
      <c r="AG493" s="40" t="str">
        <f>IF($J493="","",COUNTIF(Assignments!$B:$B,$J493))</f>
        <v/>
      </c>
      <c r="AH493" s="40" t="str">
        <f>IF($J493="","",IF(AND($AG493=0,$N493&lt;$M493),Config!$B$43,0))</f>
        <v/>
      </c>
      <c r="AI493" s="40" t="str">
        <f>IF($J493="","",IF(AND($L493="Elite",$F493&gt;=Config!$B$41,$N493&lt;$M493),Config!$B$42,0))</f>
        <v/>
      </c>
      <c r="AJ493" s="22"/>
      <c r="AK493" s="39">
        <f>IFERROR(VLOOKUP(J493,Grinders!$A:$Q,28,FALSE),0)</f>
        <v>0</v>
      </c>
      <c r="AL493" s="39">
        <f>IF(Config!$B$1003&lt;&gt;"Y",0,IF(IFERROR(VLOOKUP(J493,Grinders!$A:$P,27,FALSE),0)&gt;=3,IF(OR(F493&gt;=Config!$B$1001,ISNUMBER(SEARCH(E493,Config!$B$1002))),1,0),0))</f>
        <v>0</v>
      </c>
      <c r="AM493" s="39">
        <f t="array" ref="AM493">IFERROR(IF(INDEX(Bids!$AE:$AE,MATCH(B493,Bids!$A:$A,0))="Pending",1,0),0)</f>
        <v>0</v>
      </c>
      <c r="AN493" s="39" t="str">
        <f t="array" ref="AN493">IF(C493="","",IFERROR(XLOOKUP(C493,Assignments!$C:$C,Assignments!$AU:$AU,0),0))</f>
        <v/>
      </c>
      <c r="AO493" s="39">
        <f>IF(AND(Config!$B$1006="Y",AN493=1),Config!$B$1007,0)</f>
        <v>0</v>
      </c>
    </row>
    <row r="494" ht="15.75" customHeight="1">
      <c r="A494" s="46" t="str">
        <f t="shared" si="1"/>
        <v/>
      </c>
      <c r="B494" s="40" t="str">
        <f>IF(Bids!$A494="","",Bids!$A494)</f>
        <v/>
      </c>
      <c r="C494" s="40" t="str">
        <f>IF(Bids!$B494="","",Bids!$B494)</f>
        <v/>
      </c>
      <c r="D494" s="40" t="str">
        <f>IF($C494="","",IFERROR(VLOOKUP($C494,Orders!$A:$J,9,FALSE),""))</f>
        <v/>
      </c>
      <c r="E494" s="40" t="str">
        <f>IF($C494="","",IFERROR(VLOOKUP($C494,Orders!$A:$J,3,FALSE),""))</f>
        <v/>
      </c>
      <c r="F494" s="40" t="str">
        <f>IF($C494="","",IFERROR(VLOOKUP($C494,Orders!$A:$J,4,FALSE),""))</f>
        <v/>
      </c>
      <c r="G494" s="40" t="str">
        <f>IF($C494="","",IFERROR(VLOOKUP($C494,Orders!$A:$J,5,FALSE),""))</f>
        <v/>
      </c>
      <c r="H494" s="40" t="str">
        <f>IF($C494="","",IFERROR(VLOOKUP($C494,Orders!$A:$J,6,FALSE),""))</f>
        <v/>
      </c>
      <c r="I494" s="40" t="str">
        <f>IF($C494="","",IFERROR(VLOOKUP($C494,Orders!$A:$J,7,FALSE),""))</f>
        <v/>
      </c>
      <c r="J494" s="40" t="str">
        <f>IF(Bids!$C494="","",Bids!$C494)</f>
        <v/>
      </c>
      <c r="K494" s="40" t="str">
        <f>IF($J494="","",IFERROR(VLOOKUP($J494,Grinders!$A:$N,2,FALSE),""))</f>
        <v/>
      </c>
      <c r="L494" s="40" t="str">
        <f>IF($J494="","",IFERROR(VLOOKUP($J494,Grinders!$A:$N,3,FALSE),""))</f>
        <v/>
      </c>
      <c r="M494" s="40" t="str">
        <f>IF($J494="","",IFERROR(VLOOKUP($J494,Grinders!$A:$N,4,FALSE),""))</f>
        <v/>
      </c>
      <c r="N494" s="40" t="str">
        <f>IF($J494="","",IFERROR(VLOOKUP($J494,Grinders!$A:$N,5,FALSE),""))</f>
        <v/>
      </c>
      <c r="O494" s="40" t="str">
        <f t="shared" si="2"/>
        <v/>
      </c>
      <c r="P494" s="40" t="str">
        <f>IF($J494="","",IFERROR(VLOOKUP($J494,Grinders!$A:$N,6,FALSE),""))</f>
        <v/>
      </c>
      <c r="Q494" s="40" t="str">
        <f>IF($J494="","",IFERROR(VLOOKUP($J494,Grinders!$A:$N,8,FALSE),""))</f>
        <v/>
      </c>
      <c r="R494" s="40" t="str">
        <f>IFERROR(IF($J494="","",IF($L494="Elite",MAX(50,MIN(100,Config!$B$27*MAX(0,MIN(100,(1-IF($O494="",0,$O494))*100)) + Config!$B$28*MAX(0,MIN(100,(1-MIN(1,IF(Config!$B$30=0,1,$P494/Config!$B$30)))*100)) + Config!$B$29*MAX(0,MIN(100,MIN(1,IF($Q494="",0,$Q494)/Config!$B$23)*100)))),MIN(100,Config!$B$27*MAX(0,MIN(100,(1-IF($O494="",0,$O494))*100)) + Config!$B$28*MAX(0,MIN(100,(1-MIN(1,IF(Config!$B$30=0,1,$P494/Config!$B$30)))*100)) + Config!$B$29*MAX(0,MIN(100,MIN(1,IF($Q494="",0,$Q494)/Config!$B$23)*100))))),"")
</f>
        <v/>
      </c>
      <c r="S494" s="40" t="str">
        <f>IF(Bids!$AC494="","",Bids!$AC494)</f>
        <v/>
      </c>
      <c r="T494" s="40" t="str">
        <f>IF(Bids!$F494="","",Bids!$F494)</f>
        <v/>
      </c>
      <c r="U494" s="40" t="str">
        <f t="shared" si="3"/>
        <v/>
      </c>
      <c r="V494" s="40" t="str">
        <f>IF($U494="","",IF(Config!$B$17=Config!$B$16,IF($U494&gt;=Config!$B$17,100,0),MAX(0,MIN(100,($U494-Config!$B$16)/(Config!$B$17-Config!$B$16)*100))))</f>
        <v/>
      </c>
      <c r="W494" s="40">
        <f>IF($L494="Elite",Config!$B$21,0)</f>
        <v>0</v>
      </c>
      <c r="X494" s="40" t="str">
        <f>IFERROR(IF(OR($T494="",$G494=""),"",IF($T494&gt;$G494,
  MAX(0, 60-(($T494-$G494)*24/Config!$B$19)*60),
  MEDIAN(60, 100, 60+(($G494-$T494)*24/Config!$B$20)*40)
)),"")
</f>
        <v/>
      </c>
      <c r="Y494" s="40" t="str">
        <f>IF($J494="","",IFERROR(VLOOKUP($J494,Grinders!$A:$N,10,FALSE),""))</f>
        <v/>
      </c>
      <c r="Z494" s="40" t="str">
        <f>IF($J494="","",IFERROR(VLOOKUP($J494,Grinders!$A:$N,11,FALSE),""))</f>
        <v/>
      </c>
      <c r="AA494" s="40" t="str">
        <f>IF($J494="","",IFERROR(VLOOKUP($J494,Grinders!$A:$N,12,FALSE),""))</f>
        <v/>
      </c>
      <c r="AB494" s="40" t="str">
        <f>IF(OR(AL494=1,AM494=1),0,=IFERROR(IF(OR($C494="",$J494=""),0,IF($D494&lt;&gt;"Open",0,IF(COUNTIFS(GrinderServices!$A:$A,$J494,GrinderServices!$B:$B,$E494,GrinderServices!$D:$D,"Y")=0,0,IF($U494&lt;Config!$B$16,0,IF(Config!$B$18=1,IF($N494&gt;=$M494,0,1),1))))),""))</f>
        <v>#ERROR!</v>
      </c>
      <c r="AC494" s="40" t="str">
        <f>IFERROR((IF(OR(AL494=1,AM494=1),"",=IFERROR((IFERROR(IF($AB494=0,"",((Config!$B$6*$V494 + Config!$B$7*$R494 + Config!$B$8*$W494 + Config!$B$9*$X494 + Config!$B$10*$Y494 + Config!$B$11*$Z494 - Config!$B$12*$AA494)/Config!$B$13)+$AH494+$AI494),""))*(1-IFERROR(VLOOKUP(J494,Grinders!$A:$AB, 28, FALSE),0)),"")))*(1+AO494),"")</f>
        <v>#ERROR!</v>
      </c>
      <c r="AD494" s="40" t="str">
        <f t="shared" si="4"/>
        <v/>
      </c>
      <c r="AE494" s="40" t="str">
        <f>IFERROR(__xludf.DUMMYFUNCTION("IF($AC494="""","""",IF($AC494=IFERROR(MAX(FILTER($AC$6:$AC$1000,$C$6:$C$1000=$C494,$AB$6:$AB$1000=1)),),""WINNER"",""""))"),"#ERROR!")</f>
        <v>#ERROR!</v>
      </c>
      <c r="AF494" s="40" t="str">
        <f t="shared" si="5"/>
        <v/>
      </c>
      <c r="AG494" s="40" t="str">
        <f>IF($J494="","",COUNTIF(Assignments!$B:$B,$J494))</f>
        <v/>
      </c>
      <c r="AH494" s="40" t="str">
        <f>IF($J494="","",IF(AND($AG494=0,$N494&lt;$M494),Config!$B$43,0))</f>
        <v/>
      </c>
      <c r="AI494" s="40" t="str">
        <f>IF($J494="","",IF(AND($L494="Elite",$F494&gt;=Config!$B$41,$N494&lt;$M494),Config!$B$42,0))</f>
        <v/>
      </c>
      <c r="AJ494" s="22"/>
      <c r="AK494" s="39">
        <f>IFERROR(VLOOKUP(J494,Grinders!$A:$Q,28,FALSE),0)</f>
        <v>0</v>
      </c>
      <c r="AL494" s="39">
        <f>IF(Config!$B$1003&lt;&gt;"Y",0,IF(IFERROR(VLOOKUP(J494,Grinders!$A:$P,27,FALSE),0)&gt;=3,IF(OR(F494&gt;=Config!$B$1001,ISNUMBER(SEARCH(E494,Config!$B$1002))),1,0),0))</f>
        <v>0</v>
      </c>
      <c r="AM494" s="39">
        <f t="array" ref="AM494">IFERROR(IF(INDEX(Bids!$AE:$AE,MATCH(B494,Bids!$A:$A,0))="Pending",1,0),0)</f>
        <v>0</v>
      </c>
      <c r="AN494" s="39" t="str">
        <f t="array" ref="AN494">IF(C494="","",IFERROR(XLOOKUP(C494,Assignments!$C:$C,Assignments!$AU:$AU,0),0))</f>
        <v/>
      </c>
      <c r="AO494" s="39">
        <f>IF(AND(Config!$B$1006="Y",AN494=1),Config!$B$1007,0)</f>
        <v>0</v>
      </c>
    </row>
    <row r="495" ht="15.75" customHeight="1">
      <c r="A495" s="46" t="str">
        <f t="shared" si="1"/>
        <v/>
      </c>
      <c r="B495" s="40" t="str">
        <f>IF(Bids!$A495="","",Bids!$A495)</f>
        <v/>
      </c>
      <c r="C495" s="40" t="str">
        <f>IF(Bids!$B495="","",Bids!$B495)</f>
        <v/>
      </c>
      <c r="D495" s="40" t="str">
        <f>IF($C495="","",IFERROR(VLOOKUP($C495,Orders!$A:$J,9,FALSE),""))</f>
        <v/>
      </c>
      <c r="E495" s="40" t="str">
        <f>IF($C495="","",IFERROR(VLOOKUP($C495,Orders!$A:$J,3,FALSE),""))</f>
        <v/>
      </c>
      <c r="F495" s="40" t="str">
        <f>IF($C495="","",IFERROR(VLOOKUP($C495,Orders!$A:$J,4,FALSE),""))</f>
        <v/>
      </c>
      <c r="G495" s="40" t="str">
        <f>IF($C495="","",IFERROR(VLOOKUP($C495,Orders!$A:$J,5,FALSE),""))</f>
        <v/>
      </c>
      <c r="H495" s="40" t="str">
        <f>IF($C495="","",IFERROR(VLOOKUP($C495,Orders!$A:$J,6,FALSE),""))</f>
        <v/>
      </c>
      <c r="I495" s="40" t="str">
        <f>IF($C495="","",IFERROR(VLOOKUP($C495,Orders!$A:$J,7,FALSE),""))</f>
        <v/>
      </c>
      <c r="J495" s="40" t="str">
        <f>IF(Bids!$C495="","",Bids!$C495)</f>
        <v/>
      </c>
      <c r="K495" s="40" t="str">
        <f>IF($J495="","",IFERROR(VLOOKUP($J495,Grinders!$A:$N,2,FALSE),""))</f>
        <v/>
      </c>
      <c r="L495" s="40" t="str">
        <f>IF($J495="","",IFERROR(VLOOKUP($J495,Grinders!$A:$N,3,FALSE),""))</f>
        <v/>
      </c>
      <c r="M495" s="40" t="str">
        <f>IF($J495="","",IFERROR(VLOOKUP($J495,Grinders!$A:$N,4,FALSE),""))</f>
        <v/>
      </c>
      <c r="N495" s="40" t="str">
        <f>IF($J495="","",IFERROR(VLOOKUP($J495,Grinders!$A:$N,5,FALSE),""))</f>
        <v/>
      </c>
      <c r="O495" s="40" t="str">
        <f t="shared" si="2"/>
        <v/>
      </c>
      <c r="P495" s="40" t="str">
        <f>IF($J495="","",IFERROR(VLOOKUP($J495,Grinders!$A:$N,6,FALSE),""))</f>
        <v/>
      </c>
      <c r="Q495" s="40" t="str">
        <f>IF($J495="","",IFERROR(VLOOKUP($J495,Grinders!$A:$N,8,FALSE),""))</f>
        <v/>
      </c>
      <c r="R495" s="40" t="str">
        <f>IFERROR(IF($J495="","",IF($L495="Elite",MAX(50,MIN(100,Config!$B$27*MAX(0,MIN(100,(1-IF($O495="",0,$O495))*100)) + Config!$B$28*MAX(0,MIN(100,(1-MIN(1,IF(Config!$B$30=0,1,$P495/Config!$B$30)))*100)) + Config!$B$29*MAX(0,MIN(100,MIN(1,IF($Q495="",0,$Q495)/Config!$B$23)*100)))),MIN(100,Config!$B$27*MAX(0,MIN(100,(1-IF($O495="",0,$O495))*100)) + Config!$B$28*MAX(0,MIN(100,(1-MIN(1,IF(Config!$B$30=0,1,$P495/Config!$B$30)))*100)) + Config!$B$29*MAX(0,MIN(100,MIN(1,IF($Q495="",0,$Q495)/Config!$B$23)*100))))),"")
</f>
        <v/>
      </c>
      <c r="S495" s="40" t="str">
        <f>IF(Bids!$AC495="","",Bids!$AC495)</f>
        <v/>
      </c>
      <c r="T495" s="40" t="str">
        <f>IF(Bids!$F495="","",Bids!$F495)</f>
        <v/>
      </c>
      <c r="U495" s="40" t="str">
        <f t="shared" si="3"/>
        <v/>
      </c>
      <c r="V495" s="40" t="str">
        <f>IF($U495="","",IF(Config!$B$17=Config!$B$16,IF($U495&gt;=Config!$B$17,100,0),MAX(0,MIN(100,($U495-Config!$B$16)/(Config!$B$17-Config!$B$16)*100))))</f>
        <v/>
      </c>
      <c r="W495" s="40">
        <f>IF($L495="Elite",Config!$B$21,0)</f>
        <v>0</v>
      </c>
      <c r="X495" s="40" t="str">
        <f>IFERROR(IF(OR($T495="",$G495=""),"",IF($T495&gt;$G495,
  MAX(0, 60-(($T495-$G495)*24/Config!$B$19)*60),
  MEDIAN(60, 100, 60+(($G495-$T495)*24/Config!$B$20)*40)
)),"")
</f>
        <v/>
      </c>
      <c r="Y495" s="40" t="str">
        <f>IF($J495="","",IFERROR(VLOOKUP($J495,Grinders!$A:$N,10,FALSE),""))</f>
        <v/>
      </c>
      <c r="Z495" s="40" t="str">
        <f>IF($J495="","",IFERROR(VLOOKUP($J495,Grinders!$A:$N,11,FALSE),""))</f>
        <v/>
      </c>
      <c r="AA495" s="40" t="str">
        <f>IF($J495="","",IFERROR(VLOOKUP($J495,Grinders!$A:$N,12,FALSE),""))</f>
        <v/>
      </c>
      <c r="AB495" s="40" t="str">
        <f>IF(OR(AL495=1,AM495=1),0,=IFERROR(IF(OR($C495="",$J495=""),0,IF($D495&lt;&gt;"Open",0,IF(COUNTIFS(GrinderServices!$A:$A,$J495,GrinderServices!$B:$B,$E495,GrinderServices!$D:$D,"Y")=0,0,IF($U495&lt;Config!$B$16,0,IF(Config!$B$18=1,IF($N495&gt;=$M495,0,1),1))))),""))</f>
        <v>#ERROR!</v>
      </c>
      <c r="AC495" s="40" t="str">
        <f>IFERROR((IF(OR(AL495=1,AM495=1),"",=IFERROR((IFERROR(IF($AB495=0,"",((Config!$B$6*$V495 + Config!$B$7*$R495 + Config!$B$8*$W495 + Config!$B$9*$X495 + Config!$B$10*$Y495 + Config!$B$11*$Z495 - Config!$B$12*$AA495)/Config!$B$13)+$AH495+$AI495),""))*(1-IFERROR(VLOOKUP(J495,Grinders!$A:$AB, 28, FALSE),0)),"")))*(1+AO495),"")</f>
        <v>#ERROR!</v>
      </c>
      <c r="AD495" s="40" t="str">
        <f t="shared" si="4"/>
        <v/>
      </c>
      <c r="AE495" s="40" t="str">
        <f>IFERROR(__xludf.DUMMYFUNCTION("IF($AC495="""","""",IF($AC495=IFERROR(MAX(FILTER($AC$6:$AC$1000,$C$6:$C$1000=$C495,$AB$6:$AB$1000=1)),),""WINNER"",""""))"),"#ERROR!")</f>
        <v>#ERROR!</v>
      </c>
      <c r="AF495" s="40" t="str">
        <f t="shared" si="5"/>
        <v/>
      </c>
      <c r="AG495" s="40" t="str">
        <f>IF($J495="","",COUNTIF(Assignments!$B:$B,$J495))</f>
        <v/>
      </c>
      <c r="AH495" s="40" t="str">
        <f>IF($J495="","",IF(AND($AG495=0,$N495&lt;$M495),Config!$B$43,0))</f>
        <v/>
      </c>
      <c r="AI495" s="40" t="str">
        <f>IF($J495="","",IF(AND($L495="Elite",$F495&gt;=Config!$B$41,$N495&lt;$M495),Config!$B$42,0))</f>
        <v/>
      </c>
      <c r="AJ495" s="22"/>
      <c r="AK495" s="39">
        <f>IFERROR(VLOOKUP(J495,Grinders!$A:$Q,28,FALSE),0)</f>
        <v>0</v>
      </c>
      <c r="AL495" s="39">
        <f>IF(Config!$B$1003&lt;&gt;"Y",0,IF(IFERROR(VLOOKUP(J495,Grinders!$A:$P,27,FALSE),0)&gt;=3,IF(OR(F495&gt;=Config!$B$1001,ISNUMBER(SEARCH(E495,Config!$B$1002))),1,0),0))</f>
        <v>0</v>
      </c>
      <c r="AM495" s="39">
        <f t="array" ref="AM495">IFERROR(IF(INDEX(Bids!$AE:$AE,MATCH(B495,Bids!$A:$A,0))="Pending",1,0),0)</f>
        <v>0</v>
      </c>
      <c r="AN495" s="39" t="str">
        <f t="array" ref="AN495">IF(C495="","",IFERROR(XLOOKUP(C495,Assignments!$C:$C,Assignments!$AU:$AU,0),0))</f>
        <v/>
      </c>
      <c r="AO495" s="39">
        <f>IF(AND(Config!$B$1006="Y",AN495=1),Config!$B$1007,0)</f>
        <v>0</v>
      </c>
    </row>
    <row r="496" ht="15.75" customHeight="1">
      <c r="A496" s="46" t="str">
        <f t="shared" si="1"/>
        <v/>
      </c>
      <c r="B496" s="40" t="str">
        <f>IF(Bids!$A496="","",Bids!$A496)</f>
        <v/>
      </c>
      <c r="C496" s="40" t="str">
        <f>IF(Bids!$B496="","",Bids!$B496)</f>
        <v/>
      </c>
      <c r="D496" s="40" t="str">
        <f>IF($C496="","",IFERROR(VLOOKUP($C496,Orders!$A:$J,9,FALSE),""))</f>
        <v/>
      </c>
      <c r="E496" s="40" t="str">
        <f>IF($C496="","",IFERROR(VLOOKUP($C496,Orders!$A:$J,3,FALSE),""))</f>
        <v/>
      </c>
      <c r="F496" s="40" t="str">
        <f>IF($C496="","",IFERROR(VLOOKUP($C496,Orders!$A:$J,4,FALSE),""))</f>
        <v/>
      </c>
      <c r="G496" s="40" t="str">
        <f>IF($C496="","",IFERROR(VLOOKUP($C496,Orders!$A:$J,5,FALSE),""))</f>
        <v/>
      </c>
      <c r="H496" s="40" t="str">
        <f>IF($C496="","",IFERROR(VLOOKUP($C496,Orders!$A:$J,6,FALSE),""))</f>
        <v/>
      </c>
      <c r="I496" s="40" t="str">
        <f>IF($C496="","",IFERROR(VLOOKUP($C496,Orders!$A:$J,7,FALSE),""))</f>
        <v/>
      </c>
      <c r="J496" s="40" t="str">
        <f>IF(Bids!$C496="","",Bids!$C496)</f>
        <v/>
      </c>
      <c r="K496" s="40" t="str">
        <f>IF($J496="","",IFERROR(VLOOKUP($J496,Grinders!$A:$N,2,FALSE),""))</f>
        <v/>
      </c>
      <c r="L496" s="40" t="str">
        <f>IF($J496="","",IFERROR(VLOOKUP($J496,Grinders!$A:$N,3,FALSE),""))</f>
        <v/>
      </c>
      <c r="M496" s="40" t="str">
        <f>IF($J496="","",IFERROR(VLOOKUP($J496,Grinders!$A:$N,4,FALSE),""))</f>
        <v/>
      </c>
      <c r="N496" s="40" t="str">
        <f>IF($J496="","",IFERROR(VLOOKUP($J496,Grinders!$A:$N,5,FALSE),""))</f>
        <v/>
      </c>
      <c r="O496" s="40" t="str">
        <f t="shared" si="2"/>
        <v/>
      </c>
      <c r="P496" s="40" t="str">
        <f>IF($J496="","",IFERROR(VLOOKUP($J496,Grinders!$A:$N,6,FALSE),""))</f>
        <v/>
      </c>
      <c r="Q496" s="40" t="str">
        <f>IF($J496="","",IFERROR(VLOOKUP($J496,Grinders!$A:$N,8,FALSE),""))</f>
        <v/>
      </c>
      <c r="R496" s="40" t="str">
        <f>IFERROR(IF($J496="","",IF($L496="Elite",MAX(50,MIN(100,Config!$B$27*MAX(0,MIN(100,(1-IF($O496="",0,$O496))*100)) + Config!$B$28*MAX(0,MIN(100,(1-MIN(1,IF(Config!$B$30=0,1,$P496/Config!$B$30)))*100)) + Config!$B$29*MAX(0,MIN(100,MIN(1,IF($Q496="",0,$Q496)/Config!$B$23)*100)))),MIN(100,Config!$B$27*MAX(0,MIN(100,(1-IF($O496="",0,$O496))*100)) + Config!$B$28*MAX(0,MIN(100,(1-MIN(1,IF(Config!$B$30=0,1,$P496/Config!$B$30)))*100)) + Config!$B$29*MAX(0,MIN(100,MIN(1,IF($Q496="",0,$Q496)/Config!$B$23)*100))))),"")
</f>
        <v/>
      </c>
      <c r="S496" s="40" t="str">
        <f>IF(Bids!$AC496="","",Bids!$AC496)</f>
        <v/>
      </c>
      <c r="T496" s="40" t="str">
        <f>IF(Bids!$F496="","",Bids!$F496)</f>
        <v/>
      </c>
      <c r="U496" s="40" t="str">
        <f t="shared" si="3"/>
        <v/>
      </c>
      <c r="V496" s="40" t="str">
        <f>IF($U496="","",IF(Config!$B$17=Config!$B$16,IF($U496&gt;=Config!$B$17,100,0),MAX(0,MIN(100,($U496-Config!$B$16)/(Config!$B$17-Config!$B$16)*100))))</f>
        <v/>
      </c>
      <c r="W496" s="40">
        <f>IF($L496="Elite",Config!$B$21,0)</f>
        <v>0</v>
      </c>
      <c r="X496" s="40" t="str">
        <f>IFERROR(IF(OR($T496="",$G496=""),"",IF($T496&gt;$G496,
  MAX(0, 60-(($T496-$G496)*24/Config!$B$19)*60),
  MEDIAN(60, 100, 60+(($G496-$T496)*24/Config!$B$20)*40)
)),"")
</f>
        <v/>
      </c>
      <c r="Y496" s="40" t="str">
        <f>IF($J496="","",IFERROR(VLOOKUP($J496,Grinders!$A:$N,10,FALSE),""))</f>
        <v/>
      </c>
      <c r="Z496" s="40" t="str">
        <f>IF($J496="","",IFERROR(VLOOKUP($J496,Grinders!$A:$N,11,FALSE),""))</f>
        <v/>
      </c>
      <c r="AA496" s="40" t="str">
        <f>IF($J496="","",IFERROR(VLOOKUP($J496,Grinders!$A:$N,12,FALSE),""))</f>
        <v/>
      </c>
      <c r="AB496" s="40" t="str">
        <f>IF(OR(AL496=1,AM496=1),0,=IFERROR(IF(OR($C496="",$J496=""),0,IF($D496&lt;&gt;"Open",0,IF(COUNTIFS(GrinderServices!$A:$A,$J496,GrinderServices!$B:$B,$E496,GrinderServices!$D:$D,"Y")=0,0,IF($U496&lt;Config!$B$16,0,IF(Config!$B$18=1,IF($N496&gt;=$M496,0,1),1))))),""))</f>
        <v>#ERROR!</v>
      </c>
      <c r="AC496" s="40" t="str">
        <f>IFERROR((IF(OR(AL496=1,AM496=1),"",=IFERROR((IFERROR(IF($AB496=0,"",((Config!$B$6*$V496 + Config!$B$7*$R496 + Config!$B$8*$W496 + Config!$B$9*$X496 + Config!$B$10*$Y496 + Config!$B$11*$Z496 - Config!$B$12*$AA496)/Config!$B$13)+$AH496+$AI496),""))*(1-IFERROR(VLOOKUP(J496,Grinders!$A:$AB, 28, FALSE),0)),"")))*(1+AO496),"")</f>
        <v>#ERROR!</v>
      </c>
      <c r="AD496" s="40" t="str">
        <f t="shared" si="4"/>
        <v/>
      </c>
      <c r="AE496" s="40" t="str">
        <f>IFERROR(__xludf.DUMMYFUNCTION("IF($AC496="""","""",IF($AC496=IFERROR(MAX(FILTER($AC$6:$AC$1000,$C$6:$C$1000=$C496,$AB$6:$AB$1000=1)),),""WINNER"",""""))"),"#ERROR!")</f>
        <v>#ERROR!</v>
      </c>
      <c r="AF496" s="40" t="str">
        <f t="shared" si="5"/>
        <v/>
      </c>
      <c r="AG496" s="40" t="str">
        <f>IF($J496="","",COUNTIF(Assignments!$B:$B,$J496))</f>
        <v/>
      </c>
      <c r="AH496" s="40" t="str">
        <f>IF($J496="","",IF(AND($AG496=0,$N496&lt;$M496),Config!$B$43,0))</f>
        <v/>
      </c>
      <c r="AI496" s="40" t="str">
        <f>IF($J496="","",IF(AND($L496="Elite",$F496&gt;=Config!$B$41,$N496&lt;$M496),Config!$B$42,0))</f>
        <v/>
      </c>
      <c r="AJ496" s="22"/>
      <c r="AK496" s="39">
        <f>IFERROR(VLOOKUP(J496,Grinders!$A:$Q,28,FALSE),0)</f>
        <v>0</v>
      </c>
      <c r="AL496" s="39">
        <f>IF(Config!$B$1003&lt;&gt;"Y",0,IF(IFERROR(VLOOKUP(J496,Grinders!$A:$P,27,FALSE),0)&gt;=3,IF(OR(F496&gt;=Config!$B$1001,ISNUMBER(SEARCH(E496,Config!$B$1002))),1,0),0))</f>
        <v>0</v>
      </c>
      <c r="AM496" s="39">
        <f t="array" ref="AM496">IFERROR(IF(INDEX(Bids!$AE:$AE,MATCH(B496,Bids!$A:$A,0))="Pending",1,0),0)</f>
        <v>0</v>
      </c>
      <c r="AN496" s="39" t="str">
        <f t="array" ref="AN496">IF(C496="","",IFERROR(XLOOKUP(C496,Assignments!$C:$C,Assignments!$AU:$AU,0),0))</f>
        <v/>
      </c>
      <c r="AO496" s="39">
        <f>IF(AND(Config!$B$1006="Y",AN496=1),Config!$B$1007,0)</f>
        <v>0</v>
      </c>
    </row>
    <row r="497" ht="15.75" customHeight="1">
      <c r="A497" s="46" t="str">
        <f t="shared" si="1"/>
        <v/>
      </c>
      <c r="B497" s="40" t="str">
        <f>IF(Bids!$A497="","",Bids!$A497)</f>
        <v/>
      </c>
      <c r="C497" s="40" t="str">
        <f>IF(Bids!$B497="","",Bids!$B497)</f>
        <v/>
      </c>
      <c r="D497" s="40" t="str">
        <f>IF($C497="","",IFERROR(VLOOKUP($C497,Orders!$A:$J,9,FALSE),""))</f>
        <v/>
      </c>
      <c r="E497" s="40" t="str">
        <f>IF($C497="","",IFERROR(VLOOKUP($C497,Orders!$A:$J,3,FALSE),""))</f>
        <v/>
      </c>
      <c r="F497" s="40" t="str">
        <f>IF($C497="","",IFERROR(VLOOKUP($C497,Orders!$A:$J,4,FALSE),""))</f>
        <v/>
      </c>
      <c r="G497" s="40" t="str">
        <f>IF($C497="","",IFERROR(VLOOKUP($C497,Orders!$A:$J,5,FALSE),""))</f>
        <v/>
      </c>
      <c r="H497" s="40" t="str">
        <f>IF($C497="","",IFERROR(VLOOKUP($C497,Orders!$A:$J,6,FALSE),""))</f>
        <v/>
      </c>
      <c r="I497" s="40" t="str">
        <f>IF($C497="","",IFERROR(VLOOKUP($C497,Orders!$A:$J,7,FALSE),""))</f>
        <v/>
      </c>
      <c r="J497" s="40" t="str">
        <f>IF(Bids!$C497="","",Bids!$C497)</f>
        <v/>
      </c>
      <c r="K497" s="40" t="str">
        <f>IF($J497="","",IFERROR(VLOOKUP($J497,Grinders!$A:$N,2,FALSE),""))</f>
        <v/>
      </c>
      <c r="L497" s="40" t="str">
        <f>IF($J497="","",IFERROR(VLOOKUP($J497,Grinders!$A:$N,3,FALSE),""))</f>
        <v/>
      </c>
      <c r="M497" s="40" t="str">
        <f>IF($J497="","",IFERROR(VLOOKUP($J497,Grinders!$A:$N,4,FALSE),""))</f>
        <v/>
      </c>
      <c r="N497" s="40" t="str">
        <f>IF($J497="","",IFERROR(VLOOKUP($J497,Grinders!$A:$N,5,FALSE),""))</f>
        <v/>
      </c>
      <c r="O497" s="40" t="str">
        <f t="shared" si="2"/>
        <v/>
      </c>
      <c r="P497" s="40" t="str">
        <f>IF($J497="","",IFERROR(VLOOKUP($J497,Grinders!$A:$N,6,FALSE),""))</f>
        <v/>
      </c>
      <c r="Q497" s="40" t="str">
        <f>IF($J497="","",IFERROR(VLOOKUP($J497,Grinders!$A:$N,8,FALSE),""))</f>
        <v/>
      </c>
      <c r="R497" s="40" t="str">
        <f>IFERROR(IF($J497="","",IF($L497="Elite",MAX(50,MIN(100,Config!$B$27*MAX(0,MIN(100,(1-IF($O497="",0,$O497))*100)) + Config!$B$28*MAX(0,MIN(100,(1-MIN(1,IF(Config!$B$30=0,1,$P497/Config!$B$30)))*100)) + Config!$B$29*MAX(0,MIN(100,MIN(1,IF($Q497="",0,$Q497)/Config!$B$23)*100)))),MIN(100,Config!$B$27*MAX(0,MIN(100,(1-IF($O497="",0,$O497))*100)) + Config!$B$28*MAX(0,MIN(100,(1-MIN(1,IF(Config!$B$30=0,1,$P497/Config!$B$30)))*100)) + Config!$B$29*MAX(0,MIN(100,MIN(1,IF($Q497="",0,$Q497)/Config!$B$23)*100))))),"")
</f>
        <v/>
      </c>
      <c r="S497" s="40" t="str">
        <f>IF(Bids!$AC497="","",Bids!$AC497)</f>
        <v/>
      </c>
      <c r="T497" s="40" t="str">
        <f>IF(Bids!$F497="","",Bids!$F497)</f>
        <v/>
      </c>
      <c r="U497" s="40" t="str">
        <f t="shared" si="3"/>
        <v/>
      </c>
      <c r="V497" s="40" t="str">
        <f>IF($U497="","",IF(Config!$B$17=Config!$B$16,IF($U497&gt;=Config!$B$17,100,0),MAX(0,MIN(100,($U497-Config!$B$16)/(Config!$B$17-Config!$B$16)*100))))</f>
        <v/>
      </c>
      <c r="W497" s="40">
        <f>IF($L497="Elite",Config!$B$21,0)</f>
        <v>0</v>
      </c>
      <c r="X497" s="40" t="str">
        <f>IFERROR(IF(OR($T497="",$G497=""),"",IF($T497&gt;$G497,
  MAX(0, 60-(($T497-$G497)*24/Config!$B$19)*60),
  MEDIAN(60, 100, 60+(($G497-$T497)*24/Config!$B$20)*40)
)),"")
</f>
        <v/>
      </c>
      <c r="Y497" s="40" t="str">
        <f>IF($J497="","",IFERROR(VLOOKUP($J497,Grinders!$A:$N,10,FALSE),""))</f>
        <v/>
      </c>
      <c r="Z497" s="40" t="str">
        <f>IF($J497="","",IFERROR(VLOOKUP($J497,Grinders!$A:$N,11,FALSE),""))</f>
        <v/>
      </c>
      <c r="AA497" s="40" t="str">
        <f>IF($J497="","",IFERROR(VLOOKUP($J497,Grinders!$A:$N,12,FALSE),""))</f>
        <v/>
      </c>
      <c r="AB497" s="40" t="str">
        <f>IF(OR(AL497=1,AM497=1),0,=IFERROR(IF(OR($C497="",$J497=""),0,IF($D497&lt;&gt;"Open",0,IF(COUNTIFS(GrinderServices!$A:$A,$J497,GrinderServices!$B:$B,$E497,GrinderServices!$D:$D,"Y")=0,0,IF($U497&lt;Config!$B$16,0,IF(Config!$B$18=1,IF($N497&gt;=$M497,0,1),1))))),""))</f>
        <v>#ERROR!</v>
      </c>
      <c r="AC497" s="40" t="str">
        <f>IFERROR((IF(OR(AL497=1,AM497=1),"",=IFERROR((IFERROR(IF($AB497=0,"",((Config!$B$6*$V497 + Config!$B$7*$R497 + Config!$B$8*$W497 + Config!$B$9*$X497 + Config!$B$10*$Y497 + Config!$B$11*$Z497 - Config!$B$12*$AA497)/Config!$B$13)+$AH497+$AI497),""))*(1-IFERROR(VLOOKUP(J497,Grinders!$A:$AB, 28, FALSE),0)),"")))*(1+AO497),"")</f>
        <v>#ERROR!</v>
      </c>
      <c r="AD497" s="40" t="str">
        <f t="shared" si="4"/>
        <v/>
      </c>
      <c r="AE497" s="40" t="str">
        <f>IFERROR(__xludf.DUMMYFUNCTION("IF($AC497="""","""",IF($AC497=IFERROR(MAX(FILTER($AC$6:$AC$1000,$C$6:$C$1000=$C497,$AB$6:$AB$1000=1)),),""WINNER"",""""))"),"#ERROR!")</f>
        <v>#ERROR!</v>
      </c>
      <c r="AF497" s="40" t="str">
        <f t="shared" si="5"/>
        <v/>
      </c>
      <c r="AG497" s="40" t="str">
        <f>IF($J497="","",COUNTIF(Assignments!$B:$B,$J497))</f>
        <v/>
      </c>
      <c r="AH497" s="40" t="str">
        <f>IF($J497="","",IF(AND($AG497=0,$N497&lt;$M497),Config!$B$43,0))</f>
        <v/>
      </c>
      <c r="AI497" s="40" t="str">
        <f>IF($J497="","",IF(AND($L497="Elite",$F497&gt;=Config!$B$41,$N497&lt;$M497),Config!$B$42,0))</f>
        <v/>
      </c>
      <c r="AJ497" s="22"/>
      <c r="AK497" s="39">
        <f>IFERROR(VLOOKUP(J497,Grinders!$A:$Q,28,FALSE),0)</f>
        <v>0</v>
      </c>
      <c r="AL497" s="39">
        <f>IF(Config!$B$1003&lt;&gt;"Y",0,IF(IFERROR(VLOOKUP(J497,Grinders!$A:$P,27,FALSE),0)&gt;=3,IF(OR(F497&gt;=Config!$B$1001,ISNUMBER(SEARCH(E497,Config!$B$1002))),1,0),0))</f>
        <v>0</v>
      </c>
      <c r="AM497" s="39">
        <f t="array" ref="AM497">IFERROR(IF(INDEX(Bids!$AE:$AE,MATCH(B497,Bids!$A:$A,0))="Pending",1,0),0)</f>
        <v>0</v>
      </c>
      <c r="AN497" s="39" t="str">
        <f t="array" ref="AN497">IF(C497="","",IFERROR(XLOOKUP(C497,Assignments!$C:$C,Assignments!$AU:$AU,0),0))</f>
        <v/>
      </c>
      <c r="AO497" s="39">
        <f>IF(AND(Config!$B$1006="Y",AN497=1),Config!$B$1007,0)</f>
        <v>0</v>
      </c>
    </row>
    <row r="498" ht="15.75" customHeight="1">
      <c r="A498" s="46" t="str">
        <f t="shared" si="1"/>
        <v/>
      </c>
      <c r="B498" s="40" t="str">
        <f>IF(Bids!$A498="","",Bids!$A498)</f>
        <v/>
      </c>
      <c r="C498" s="40" t="str">
        <f>IF(Bids!$B498="","",Bids!$B498)</f>
        <v/>
      </c>
      <c r="D498" s="40" t="str">
        <f>IF($C498="","",IFERROR(VLOOKUP($C498,Orders!$A:$J,9,FALSE),""))</f>
        <v/>
      </c>
      <c r="E498" s="40" t="str">
        <f>IF($C498="","",IFERROR(VLOOKUP($C498,Orders!$A:$J,3,FALSE),""))</f>
        <v/>
      </c>
      <c r="F498" s="40" t="str">
        <f>IF($C498="","",IFERROR(VLOOKUP($C498,Orders!$A:$J,4,FALSE),""))</f>
        <v/>
      </c>
      <c r="G498" s="40" t="str">
        <f>IF($C498="","",IFERROR(VLOOKUP($C498,Orders!$A:$J,5,FALSE),""))</f>
        <v/>
      </c>
      <c r="H498" s="40" t="str">
        <f>IF($C498="","",IFERROR(VLOOKUP($C498,Orders!$A:$J,6,FALSE),""))</f>
        <v/>
      </c>
      <c r="I498" s="40" t="str">
        <f>IF($C498="","",IFERROR(VLOOKUP($C498,Orders!$A:$J,7,FALSE),""))</f>
        <v/>
      </c>
      <c r="J498" s="40" t="str">
        <f>IF(Bids!$C498="","",Bids!$C498)</f>
        <v/>
      </c>
      <c r="K498" s="40" t="str">
        <f>IF($J498="","",IFERROR(VLOOKUP($J498,Grinders!$A:$N,2,FALSE),""))</f>
        <v/>
      </c>
      <c r="L498" s="40" t="str">
        <f>IF($J498="","",IFERROR(VLOOKUP($J498,Grinders!$A:$N,3,FALSE),""))</f>
        <v/>
      </c>
      <c r="M498" s="40" t="str">
        <f>IF($J498="","",IFERROR(VLOOKUP($J498,Grinders!$A:$N,4,FALSE),""))</f>
        <v/>
      </c>
      <c r="N498" s="40" t="str">
        <f>IF($J498="","",IFERROR(VLOOKUP($J498,Grinders!$A:$N,5,FALSE),""))</f>
        <v/>
      </c>
      <c r="O498" s="40" t="str">
        <f t="shared" si="2"/>
        <v/>
      </c>
      <c r="P498" s="40" t="str">
        <f>IF($J498="","",IFERROR(VLOOKUP($J498,Grinders!$A:$N,6,FALSE),""))</f>
        <v/>
      </c>
      <c r="Q498" s="40" t="str">
        <f>IF($J498="","",IFERROR(VLOOKUP($J498,Grinders!$A:$N,8,FALSE),""))</f>
        <v/>
      </c>
      <c r="R498" s="40" t="str">
        <f>IFERROR(IF($J498="","",IF($L498="Elite",MAX(50,MIN(100,Config!$B$27*MAX(0,MIN(100,(1-IF($O498="",0,$O498))*100)) + Config!$B$28*MAX(0,MIN(100,(1-MIN(1,IF(Config!$B$30=0,1,$P498/Config!$B$30)))*100)) + Config!$B$29*MAX(0,MIN(100,MIN(1,IF($Q498="",0,$Q498)/Config!$B$23)*100)))),MIN(100,Config!$B$27*MAX(0,MIN(100,(1-IF($O498="",0,$O498))*100)) + Config!$B$28*MAX(0,MIN(100,(1-MIN(1,IF(Config!$B$30=0,1,$P498/Config!$B$30)))*100)) + Config!$B$29*MAX(0,MIN(100,MIN(1,IF($Q498="",0,$Q498)/Config!$B$23)*100))))),"")
</f>
        <v/>
      </c>
      <c r="S498" s="40" t="str">
        <f>IF(Bids!$AC498="","",Bids!$AC498)</f>
        <v/>
      </c>
      <c r="T498" s="40" t="str">
        <f>IF(Bids!$F498="","",Bids!$F498)</f>
        <v/>
      </c>
      <c r="U498" s="40" t="str">
        <f t="shared" si="3"/>
        <v/>
      </c>
      <c r="V498" s="40" t="str">
        <f>IF($U498="","",IF(Config!$B$17=Config!$B$16,IF($U498&gt;=Config!$B$17,100,0),MAX(0,MIN(100,($U498-Config!$B$16)/(Config!$B$17-Config!$B$16)*100))))</f>
        <v/>
      </c>
      <c r="W498" s="40">
        <f>IF($L498="Elite",Config!$B$21,0)</f>
        <v>0</v>
      </c>
      <c r="X498" s="40" t="str">
        <f>IFERROR(IF(OR($T498="",$G498=""),"",IF($T498&gt;$G498,
  MAX(0, 60-(($T498-$G498)*24/Config!$B$19)*60),
  MEDIAN(60, 100, 60+(($G498-$T498)*24/Config!$B$20)*40)
)),"")
</f>
        <v/>
      </c>
      <c r="Y498" s="40" t="str">
        <f>IF($J498="","",IFERROR(VLOOKUP($J498,Grinders!$A:$N,10,FALSE),""))</f>
        <v/>
      </c>
      <c r="Z498" s="40" t="str">
        <f>IF($J498="","",IFERROR(VLOOKUP($J498,Grinders!$A:$N,11,FALSE),""))</f>
        <v/>
      </c>
      <c r="AA498" s="40" t="str">
        <f>IF($J498="","",IFERROR(VLOOKUP($J498,Grinders!$A:$N,12,FALSE),""))</f>
        <v/>
      </c>
      <c r="AB498" s="40" t="str">
        <f>IF(OR(AL498=1,AM498=1),0,=IFERROR(IF(OR($C498="",$J498=""),0,IF($D498&lt;&gt;"Open",0,IF(COUNTIFS(GrinderServices!$A:$A,$J498,GrinderServices!$B:$B,$E498,GrinderServices!$D:$D,"Y")=0,0,IF($U498&lt;Config!$B$16,0,IF(Config!$B$18=1,IF($N498&gt;=$M498,0,1),1))))),""))</f>
        <v>#ERROR!</v>
      </c>
      <c r="AC498" s="40" t="str">
        <f>IFERROR((IF(OR(AL498=1,AM498=1),"",=IFERROR((IFERROR(IF($AB498=0,"",((Config!$B$6*$V498 + Config!$B$7*$R498 + Config!$B$8*$W498 + Config!$B$9*$X498 + Config!$B$10*$Y498 + Config!$B$11*$Z498 - Config!$B$12*$AA498)/Config!$B$13)+$AH498+$AI498),""))*(1-IFERROR(VLOOKUP(J498,Grinders!$A:$AB, 28, FALSE),0)),"")))*(1+AO498),"")</f>
        <v>#ERROR!</v>
      </c>
      <c r="AD498" s="40" t="str">
        <f t="shared" si="4"/>
        <v/>
      </c>
      <c r="AE498" s="40" t="str">
        <f>IFERROR(__xludf.DUMMYFUNCTION("IF($AC498="""","""",IF($AC498=IFERROR(MAX(FILTER($AC$6:$AC$1000,$C$6:$C$1000=$C498,$AB$6:$AB$1000=1)),),""WINNER"",""""))"),"#ERROR!")</f>
        <v>#ERROR!</v>
      </c>
      <c r="AF498" s="40" t="str">
        <f t="shared" si="5"/>
        <v/>
      </c>
      <c r="AG498" s="40" t="str">
        <f>IF($J498="","",COUNTIF(Assignments!$B:$B,$J498))</f>
        <v/>
      </c>
      <c r="AH498" s="40" t="str">
        <f>IF($J498="","",IF(AND($AG498=0,$N498&lt;$M498),Config!$B$43,0))</f>
        <v/>
      </c>
      <c r="AI498" s="40" t="str">
        <f>IF($J498="","",IF(AND($L498="Elite",$F498&gt;=Config!$B$41,$N498&lt;$M498),Config!$B$42,0))</f>
        <v/>
      </c>
      <c r="AJ498" s="22"/>
      <c r="AK498" s="39">
        <f>IFERROR(VLOOKUP(J498,Grinders!$A:$Q,28,FALSE),0)</f>
        <v>0</v>
      </c>
      <c r="AL498" s="39">
        <f>IF(Config!$B$1003&lt;&gt;"Y",0,IF(IFERROR(VLOOKUP(J498,Grinders!$A:$P,27,FALSE),0)&gt;=3,IF(OR(F498&gt;=Config!$B$1001,ISNUMBER(SEARCH(E498,Config!$B$1002))),1,0),0))</f>
        <v>0</v>
      </c>
      <c r="AM498" s="39">
        <f t="array" ref="AM498">IFERROR(IF(INDEX(Bids!$AE:$AE,MATCH(B498,Bids!$A:$A,0))="Pending",1,0),0)</f>
        <v>0</v>
      </c>
      <c r="AN498" s="39" t="str">
        <f t="array" ref="AN498">IF(C498="","",IFERROR(XLOOKUP(C498,Assignments!$C:$C,Assignments!$AU:$AU,0),0))</f>
        <v/>
      </c>
      <c r="AO498" s="39">
        <f>IF(AND(Config!$B$1006="Y",AN498=1),Config!$B$1007,0)</f>
        <v>0</v>
      </c>
    </row>
    <row r="499" ht="15.75" customHeight="1">
      <c r="A499" s="46" t="str">
        <f t="shared" si="1"/>
        <v/>
      </c>
      <c r="B499" s="40" t="str">
        <f>IF(Bids!$A499="","",Bids!$A499)</f>
        <v/>
      </c>
      <c r="C499" s="40" t="str">
        <f>IF(Bids!$B499="","",Bids!$B499)</f>
        <v/>
      </c>
      <c r="D499" s="40" t="str">
        <f>IF($C499="","",IFERROR(VLOOKUP($C499,Orders!$A:$J,9,FALSE),""))</f>
        <v/>
      </c>
      <c r="E499" s="40" t="str">
        <f>IF($C499="","",IFERROR(VLOOKUP($C499,Orders!$A:$J,3,FALSE),""))</f>
        <v/>
      </c>
      <c r="F499" s="40" t="str">
        <f>IF($C499="","",IFERROR(VLOOKUP($C499,Orders!$A:$J,4,FALSE),""))</f>
        <v/>
      </c>
      <c r="G499" s="40" t="str">
        <f>IF($C499="","",IFERROR(VLOOKUP($C499,Orders!$A:$J,5,FALSE),""))</f>
        <v/>
      </c>
      <c r="H499" s="40" t="str">
        <f>IF($C499="","",IFERROR(VLOOKUP($C499,Orders!$A:$J,6,FALSE),""))</f>
        <v/>
      </c>
      <c r="I499" s="40" t="str">
        <f>IF($C499="","",IFERROR(VLOOKUP($C499,Orders!$A:$J,7,FALSE),""))</f>
        <v/>
      </c>
      <c r="J499" s="40" t="str">
        <f>IF(Bids!$C499="","",Bids!$C499)</f>
        <v/>
      </c>
      <c r="K499" s="40" t="str">
        <f>IF($J499="","",IFERROR(VLOOKUP($J499,Grinders!$A:$N,2,FALSE),""))</f>
        <v/>
      </c>
      <c r="L499" s="40" t="str">
        <f>IF($J499="","",IFERROR(VLOOKUP($J499,Grinders!$A:$N,3,FALSE),""))</f>
        <v/>
      </c>
      <c r="M499" s="40" t="str">
        <f>IF($J499="","",IFERROR(VLOOKUP($J499,Grinders!$A:$N,4,FALSE),""))</f>
        <v/>
      </c>
      <c r="N499" s="40" t="str">
        <f>IF($J499="","",IFERROR(VLOOKUP($J499,Grinders!$A:$N,5,FALSE),""))</f>
        <v/>
      </c>
      <c r="O499" s="40" t="str">
        <f t="shared" si="2"/>
        <v/>
      </c>
      <c r="P499" s="40" t="str">
        <f>IF($J499="","",IFERROR(VLOOKUP($J499,Grinders!$A:$N,6,FALSE),""))</f>
        <v/>
      </c>
      <c r="Q499" s="40" t="str">
        <f>IF($J499="","",IFERROR(VLOOKUP($J499,Grinders!$A:$N,8,FALSE),""))</f>
        <v/>
      </c>
      <c r="R499" s="40" t="str">
        <f>IFERROR(IF($J499="","",IF($L499="Elite",MAX(50,MIN(100,Config!$B$27*MAX(0,MIN(100,(1-IF($O499="",0,$O499))*100)) + Config!$B$28*MAX(0,MIN(100,(1-MIN(1,IF(Config!$B$30=0,1,$P499/Config!$B$30)))*100)) + Config!$B$29*MAX(0,MIN(100,MIN(1,IF($Q499="",0,$Q499)/Config!$B$23)*100)))),MIN(100,Config!$B$27*MAX(0,MIN(100,(1-IF($O499="",0,$O499))*100)) + Config!$B$28*MAX(0,MIN(100,(1-MIN(1,IF(Config!$B$30=0,1,$P499/Config!$B$30)))*100)) + Config!$B$29*MAX(0,MIN(100,MIN(1,IF($Q499="",0,$Q499)/Config!$B$23)*100))))),"")
</f>
        <v/>
      </c>
      <c r="S499" s="40" t="str">
        <f>IF(Bids!$AC499="","",Bids!$AC499)</f>
        <v/>
      </c>
      <c r="T499" s="40" t="str">
        <f>IF(Bids!$F499="","",Bids!$F499)</f>
        <v/>
      </c>
      <c r="U499" s="40" t="str">
        <f t="shared" si="3"/>
        <v/>
      </c>
      <c r="V499" s="40" t="str">
        <f>IF($U499="","",IF(Config!$B$17=Config!$B$16,IF($U499&gt;=Config!$B$17,100,0),MAX(0,MIN(100,($U499-Config!$B$16)/(Config!$B$17-Config!$B$16)*100))))</f>
        <v/>
      </c>
      <c r="W499" s="40">
        <f>IF($L499="Elite",Config!$B$21,0)</f>
        <v>0</v>
      </c>
      <c r="X499" s="40" t="str">
        <f>IFERROR(IF(OR($T499="",$G499=""),"",IF($T499&gt;$G499,
  MAX(0, 60-(($T499-$G499)*24/Config!$B$19)*60),
  MEDIAN(60, 100, 60+(($G499-$T499)*24/Config!$B$20)*40)
)),"")
</f>
        <v/>
      </c>
      <c r="Y499" s="40" t="str">
        <f>IF($J499="","",IFERROR(VLOOKUP($J499,Grinders!$A:$N,10,FALSE),""))</f>
        <v/>
      </c>
      <c r="Z499" s="40" t="str">
        <f>IF($J499="","",IFERROR(VLOOKUP($J499,Grinders!$A:$N,11,FALSE),""))</f>
        <v/>
      </c>
      <c r="AA499" s="40" t="str">
        <f>IF($J499="","",IFERROR(VLOOKUP($J499,Grinders!$A:$N,12,FALSE),""))</f>
        <v/>
      </c>
      <c r="AB499" s="40" t="str">
        <f>IF(OR(AL499=1,AM499=1),0,=IFERROR(IF(OR($C499="",$J499=""),0,IF($D499&lt;&gt;"Open",0,IF(COUNTIFS(GrinderServices!$A:$A,$J499,GrinderServices!$B:$B,$E499,GrinderServices!$D:$D,"Y")=0,0,IF($U499&lt;Config!$B$16,0,IF(Config!$B$18=1,IF($N499&gt;=$M499,0,1),1))))),""))</f>
        <v>#ERROR!</v>
      </c>
      <c r="AC499" s="40" t="str">
        <f>IFERROR((IF(OR(AL499=1,AM499=1),"",=IFERROR((IFERROR(IF($AB499=0,"",((Config!$B$6*$V499 + Config!$B$7*$R499 + Config!$B$8*$W499 + Config!$B$9*$X499 + Config!$B$10*$Y499 + Config!$B$11*$Z499 - Config!$B$12*$AA499)/Config!$B$13)+$AH499+$AI499),""))*(1-IFERROR(VLOOKUP(J499,Grinders!$A:$AB, 28, FALSE),0)),"")))*(1+AO499),"")</f>
        <v>#ERROR!</v>
      </c>
      <c r="AD499" s="40" t="str">
        <f t="shared" si="4"/>
        <v/>
      </c>
      <c r="AE499" s="40" t="str">
        <f>IFERROR(__xludf.DUMMYFUNCTION("IF($AC499="""","""",IF($AC499=IFERROR(MAX(FILTER($AC$6:$AC$1000,$C$6:$C$1000=$C499,$AB$6:$AB$1000=1)),),""WINNER"",""""))"),"#ERROR!")</f>
        <v>#ERROR!</v>
      </c>
      <c r="AF499" s="40" t="str">
        <f t="shared" si="5"/>
        <v/>
      </c>
      <c r="AG499" s="40" t="str">
        <f>IF($J499="","",COUNTIF(Assignments!$B:$B,$J499))</f>
        <v/>
      </c>
      <c r="AH499" s="40" t="str">
        <f>IF($J499="","",IF(AND($AG499=0,$N499&lt;$M499),Config!$B$43,0))</f>
        <v/>
      </c>
      <c r="AI499" s="40" t="str">
        <f>IF($J499="","",IF(AND($L499="Elite",$F499&gt;=Config!$B$41,$N499&lt;$M499),Config!$B$42,0))</f>
        <v/>
      </c>
      <c r="AJ499" s="22"/>
      <c r="AK499" s="39">
        <f>IFERROR(VLOOKUP(J499,Grinders!$A:$Q,28,FALSE),0)</f>
        <v>0</v>
      </c>
      <c r="AL499" s="39">
        <f>IF(Config!$B$1003&lt;&gt;"Y",0,IF(IFERROR(VLOOKUP(J499,Grinders!$A:$P,27,FALSE),0)&gt;=3,IF(OR(F499&gt;=Config!$B$1001,ISNUMBER(SEARCH(E499,Config!$B$1002))),1,0),0))</f>
        <v>0</v>
      </c>
      <c r="AM499" s="39">
        <f t="array" ref="AM499">IFERROR(IF(INDEX(Bids!$AE:$AE,MATCH(B499,Bids!$A:$A,0))="Pending",1,0),0)</f>
        <v>0</v>
      </c>
      <c r="AN499" s="39" t="str">
        <f t="array" ref="AN499">IF(C499="","",IFERROR(XLOOKUP(C499,Assignments!$C:$C,Assignments!$AU:$AU,0),0))</f>
        <v/>
      </c>
      <c r="AO499" s="39">
        <f>IF(AND(Config!$B$1006="Y",AN499=1),Config!$B$1007,0)</f>
        <v>0</v>
      </c>
    </row>
    <row r="500" ht="15.75" customHeight="1">
      <c r="A500" s="40" t="str">
        <f t="shared" si="1"/>
        <v/>
      </c>
      <c r="B500" s="40" t="str">
        <f>IF(Bids!$A500="","",Bids!$A500)</f>
        <v/>
      </c>
      <c r="C500" s="40" t="str">
        <f>IF(Bids!$B500="","",Bids!$B500)</f>
        <v/>
      </c>
      <c r="D500" s="40" t="str">
        <f>IF($C500="","",IFERROR(VLOOKUP($C500,Orders!$A:$J,9,FALSE),""))</f>
        <v/>
      </c>
      <c r="E500" s="40" t="str">
        <f>IF($C500="","",IFERROR(VLOOKUP($C500,Orders!$A:$J,3,FALSE),""))</f>
        <v/>
      </c>
      <c r="F500" s="40" t="str">
        <f>IF($C500="","",IFERROR(VLOOKUP($C500,Orders!$A:$J,4,FALSE),""))</f>
        <v/>
      </c>
      <c r="G500" s="40" t="str">
        <f>IF($C500="","",IFERROR(VLOOKUP($C500,Orders!$A:$J,5,FALSE),""))</f>
        <v/>
      </c>
      <c r="H500" s="40" t="str">
        <f>IF($C500="","",IFERROR(VLOOKUP($C500,Orders!$A:$J,6,FALSE),""))</f>
        <v/>
      </c>
      <c r="I500" s="40" t="str">
        <f>IF($C500="","",IFERROR(VLOOKUP($C500,Orders!$A:$J,7,FALSE),""))</f>
        <v/>
      </c>
      <c r="J500" s="40" t="str">
        <f>IF(Bids!$C500="","",Bids!$C500)</f>
        <v/>
      </c>
      <c r="K500" s="40" t="str">
        <f>IF($J500="","",IFERROR(VLOOKUP($J500,Grinders!$A:$N,2,FALSE),""))</f>
        <v/>
      </c>
      <c r="L500" s="40" t="str">
        <f>IF($J500="","",IFERROR(VLOOKUP($J500,Grinders!$A:$N,3,FALSE),""))</f>
        <v/>
      </c>
      <c r="M500" s="40" t="str">
        <f>IF($J500="","",IFERROR(VLOOKUP($J500,Grinders!$A:$N,4,FALSE),""))</f>
        <v/>
      </c>
      <c r="N500" s="40" t="str">
        <f>IF($J500="","",IFERROR(VLOOKUP($J500,Grinders!$A:$N,5,FALSE),""))</f>
        <v/>
      </c>
      <c r="O500" s="40" t="str">
        <f t="shared" si="2"/>
        <v/>
      </c>
      <c r="P500" s="40" t="str">
        <f>IF($J500="","",IFERROR(VLOOKUP($J500,Grinders!$A:$N,6,FALSE),""))</f>
        <v/>
      </c>
      <c r="Q500" s="40" t="str">
        <f>IF($J500="","",IFERROR(VLOOKUP($J500,Grinders!$A:$N,8,FALSE),""))</f>
        <v/>
      </c>
      <c r="R500" s="40" t="str">
        <f>IFERROR(IF($J500="","",IF($L500="Elite",MAX(50,MIN(100,Config!$B$27*MAX(0,MIN(100,(1-IF($O500="",0,$O500))*100)) + Config!$B$28*MAX(0,MIN(100,(1-MIN(1,IF(Config!$B$30=0,1,$P500/Config!$B$30)))*100)) + Config!$B$29*MAX(0,MIN(100,MIN(1,IF($Q500="",0,$Q500)/Config!$B$23)*100)))),MIN(100,Config!$B$27*MAX(0,MIN(100,(1-IF($O500="",0,$O500))*100)) + Config!$B$28*MAX(0,MIN(100,(1-MIN(1,IF(Config!$B$30=0,1,$P500/Config!$B$30)))*100)) + Config!$B$29*MAX(0,MIN(100,MIN(1,IF($Q500="",0,$Q500)/Config!$B$23)*100))))),"")
</f>
        <v/>
      </c>
      <c r="S500" s="40" t="str">
        <f>IF(Bids!$AC500="","",Bids!$AC500)</f>
        <v/>
      </c>
      <c r="T500" s="40" t="str">
        <f>IF(Bids!$F500="","",Bids!$F500)</f>
        <v/>
      </c>
      <c r="U500" s="40" t="str">
        <f t="shared" si="3"/>
        <v/>
      </c>
      <c r="V500" s="40" t="str">
        <f>IF($U500="","",IF(Config!$B$17=Config!$B$16,IF($U500&gt;=Config!$B$17,100,0),MAX(0,MIN(100,($U500-Config!$B$16)/(Config!$B$17-Config!$B$16)*100))))</f>
        <v/>
      </c>
      <c r="W500" s="40">
        <f>IF($L500="Elite",Config!$B$21,0)</f>
        <v>0</v>
      </c>
      <c r="X500" s="40" t="str">
        <f>IFERROR(IF(OR($T500="",$G500=""),"",IF($T500&gt;$G500,
  MAX(0, 60-(($T500-$G500)*24/Config!$B$19)*60),
  MEDIAN(60, 100, 60+(($G500-$T500)*24/Config!$B$20)*40)
)),"")
</f>
        <v/>
      </c>
      <c r="Y500" s="40" t="str">
        <f>IF($J500="","",IFERROR(VLOOKUP($J500,Grinders!$A:$N,10,FALSE),""))</f>
        <v/>
      </c>
      <c r="Z500" s="40" t="str">
        <f>IF($J500="","",IFERROR(VLOOKUP($J500,Grinders!$A:$N,11,FALSE),""))</f>
        <v/>
      </c>
      <c r="AA500" s="40" t="str">
        <f>IF($J500="","",IFERROR(VLOOKUP($J500,Grinders!$A:$N,12,FALSE),""))</f>
        <v/>
      </c>
      <c r="AB500" s="40" t="str">
        <f>IF(OR(AL500=1,AM500=1),0,=IFERROR(IF(OR($C500="",$J500=""),0,IF($D500&lt;&gt;"Open",0,IF(COUNTIFS(GrinderServices!$A:$A,$J500,GrinderServices!$B:$B,$E500,GrinderServices!$D:$D,"Y")=0,0,IF($U500&lt;Config!$B$16,0,IF(Config!$B$18=1,IF($N500&gt;=$M500,0,1),1))))),""))</f>
        <v>#ERROR!</v>
      </c>
      <c r="AC500" s="40" t="str">
        <f>IFERROR((IF(OR(AL500=1,AM500=1),"",=IFERROR((IFERROR(IF($AB500=0,"",((Config!$B$6*$V500 + Config!$B$7*$R500 + Config!$B$8*$W500 + Config!$B$9*$X500 + Config!$B$10*$Y500 + Config!$B$11*$Z500 - Config!$B$12*$AA500)/Config!$B$13)+$AH500+$AI500),""))*(1-IFERROR(VLOOKUP(J500,Grinders!$A:$AB, 28, FALSE),0)),"")))*(1+AO500),"")</f>
        <v>#ERROR!</v>
      </c>
      <c r="AD500" s="40" t="str">
        <f t="shared" si="4"/>
        <v/>
      </c>
      <c r="AE500" s="40" t="str">
        <f>IFERROR(__xludf.DUMMYFUNCTION("IF($AC500="""","""",IF($AC500=IFERROR(MAX(FILTER($AC$6:$AC$1000,$C$6:$C$1000=$C500,$AB$6:$AB$1000=1)),),""WINNER"",""""))"),"#ERROR!")</f>
        <v>#ERROR!</v>
      </c>
      <c r="AF500" s="40" t="str">
        <f t="shared" si="5"/>
        <v/>
      </c>
      <c r="AG500" s="40" t="str">
        <f>IF($J500="","",COUNTIF(Assignments!$B:$B,$J500))</f>
        <v/>
      </c>
      <c r="AH500" s="40" t="str">
        <f>IF($J500="","",IF(AND($AG500=0,$N500&lt;$M500),Config!$B$43,0))</f>
        <v/>
      </c>
      <c r="AI500" s="40" t="str">
        <f>IF($J500="","",IF(AND($L500="Elite",$F500&gt;=Config!$B$41,$N500&lt;$M500),Config!$B$42,0))</f>
        <v/>
      </c>
      <c r="AJ500" s="22"/>
      <c r="AK500" s="39">
        <f>IFERROR(VLOOKUP(J500,Grinders!$A:$Q,28,FALSE),0)</f>
        <v>0</v>
      </c>
      <c r="AL500" s="39">
        <f>IF(Config!$B$1003&lt;&gt;"Y",0,IF(IFERROR(VLOOKUP(J500,Grinders!$A:$P,27,FALSE),0)&gt;=3,IF(OR(F500&gt;=Config!$B$1001,ISNUMBER(SEARCH(E500,Config!$B$1002))),1,0),0))</f>
        <v>0</v>
      </c>
      <c r="AM500" s="39">
        <f t="array" ref="AM500">IFERROR(IF(INDEX(Bids!$AE:$AE,MATCH(B500,Bids!$A:$A,0))="Pending",1,0),0)</f>
        <v>0</v>
      </c>
      <c r="AN500" s="39" t="str">
        <f t="array" ref="AN500">IF(C500="","",IFERROR(XLOOKUP(C500,Assignments!$C:$C,Assignments!$AU:$AU,0),0))</f>
        <v/>
      </c>
      <c r="AO500" s="39">
        <f>IF(AND(Config!$B$1006="Y",AN500=1),Config!$B$1007,0)</f>
        <v>0</v>
      </c>
    </row>
    <row r="501" ht="15.75" customHeight="1">
      <c r="A501" s="40" t="str">
        <f t="shared" si="1"/>
        <v/>
      </c>
      <c r="B501" s="40" t="str">
        <f>IF(Bids!$A501="","",Bids!$A501)</f>
        <v/>
      </c>
      <c r="C501" s="40" t="str">
        <f>IF(Bids!$B501="","",Bids!$B501)</f>
        <v/>
      </c>
      <c r="D501" s="40" t="str">
        <f>IF($C501="","",IFERROR(VLOOKUP($C501,Orders!$A:$J,9,FALSE),""))</f>
        <v/>
      </c>
      <c r="E501" s="40" t="str">
        <f>IF($C501="","",IFERROR(VLOOKUP($C501,Orders!$A:$J,3,FALSE),""))</f>
        <v/>
      </c>
      <c r="F501" s="40" t="str">
        <f>IF($C501="","",IFERROR(VLOOKUP($C501,Orders!$A:$J,4,FALSE),""))</f>
        <v/>
      </c>
      <c r="G501" s="40" t="str">
        <f>IF($C501="","",IFERROR(VLOOKUP($C501,Orders!$A:$J,5,FALSE),""))</f>
        <v/>
      </c>
      <c r="H501" s="40" t="str">
        <f>IF($C501="","",IFERROR(VLOOKUP($C501,Orders!$A:$J,6,FALSE),""))</f>
        <v/>
      </c>
      <c r="I501" s="40" t="str">
        <f>IF($C501="","",IFERROR(VLOOKUP($C501,Orders!$A:$J,7,FALSE),""))</f>
        <v/>
      </c>
      <c r="J501" s="40" t="str">
        <f>IF(Bids!$C501="","",Bids!$C501)</f>
        <v/>
      </c>
      <c r="K501" s="40" t="str">
        <f>IF($J501="","",IFERROR(VLOOKUP($J501,Grinders!$A:$N,2,FALSE),""))</f>
        <v/>
      </c>
      <c r="L501" s="40" t="str">
        <f>IF($J501="","",IFERROR(VLOOKUP($J501,Grinders!$A:$N,3,FALSE),""))</f>
        <v/>
      </c>
      <c r="M501" s="40" t="str">
        <f>IF($J501="","",IFERROR(VLOOKUP($J501,Grinders!$A:$N,4,FALSE),""))</f>
        <v/>
      </c>
      <c r="N501" s="40" t="str">
        <f>IF($J501="","",IFERROR(VLOOKUP($J501,Grinders!$A:$N,5,FALSE),""))</f>
        <v/>
      </c>
      <c r="O501" s="40" t="str">
        <f t="shared" si="2"/>
        <v/>
      </c>
      <c r="P501" s="40" t="str">
        <f>IF($J501="","",IFERROR(VLOOKUP($J501,Grinders!$A:$N,6,FALSE),""))</f>
        <v/>
      </c>
      <c r="Q501" s="40" t="str">
        <f>IF($J501="","",IFERROR(VLOOKUP($J501,Grinders!$A:$N,8,FALSE),""))</f>
        <v/>
      </c>
      <c r="R501" s="40" t="str">
        <f>IFERROR(IF($J501="","",IF($L501="Elite",MAX(50,MIN(100,Config!$B$27*MAX(0,MIN(100,(1-IF($O501="",0,$O501))*100)) + Config!$B$28*MAX(0,MIN(100,(1-MIN(1,IF(Config!$B$30=0,1,$P501/Config!$B$30)))*100)) + Config!$B$29*MAX(0,MIN(100,MIN(1,IF($Q501="",0,$Q501)/Config!$B$23)*100)))),MIN(100,Config!$B$27*MAX(0,MIN(100,(1-IF($O501="",0,$O501))*100)) + Config!$B$28*MAX(0,MIN(100,(1-MIN(1,IF(Config!$B$30=0,1,$P501/Config!$B$30)))*100)) + Config!$B$29*MAX(0,MIN(100,MIN(1,IF($Q501="",0,$Q501)/Config!$B$23)*100))))),"")
</f>
        <v/>
      </c>
      <c r="S501" s="40" t="str">
        <f>IF(Bids!$AC501="","",Bids!$AC501)</f>
        <v/>
      </c>
      <c r="T501" s="40" t="str">
        <f>IF(Bids!$F501="","",Bids!$F501)</f>
        <v/>
      </c>
      <c r="U501" s="40" t="str">
        <f t="shared" si="3"/>
        <v/>
      </c>
      <c r="V501" s="40" t="str">
        <f>IF($U501="","",IF(Config!$B$17=Config!$B$16,IF($U501&gt;=Config!$B$17,100,0),MAX(0,MIN(100,($U501-Config!$B$16)/(Config!$B$17-Config!$B$16)*100))))</f>
        <v/>
      </c>
      <c r="W501" s="40">
        <f>IF($L501="Elite",Config!$B$21,0)</f>
        <v>0</v>
      </c>
      <c r="X501" s="40" t="str">
        <f>IFERROR(IF(OR($T501="",$G501=""),"",IF($T501&gt;$G501,
  MAX(0, 60-(($T501-$G501)*24/Config!$B$19)*60),
  MEDIAN(60, 100, 60+(($G501-$T501)*24/Config!$B$20)*40)
)),"")
</f>
        <v/>
      </c>
      <c r="Y501" s="40" t="str">
        <f>IF($J501="","",IFERROR(VLOOKUP($J501,Grinders!$A:$N,10,FALSE),""))</f>
        <v/>
      </c>
      <c r="Z501" s="40" t="str">
        <f>IF($J501="","",IFERROR(VLOOKUP($J501,Grinders!$A:$N,11,FALSE),""))</f>
        <v/>
      </c>
      <c r="AA501" s="40" t="str">
        <f>IF($J501="","",IFERROR(VLOOKUP($J501,Grinders!$A:$N,12,FALSE),""))</f>
        <v/>
      </c>
      <c r="AB501" s="40" t="str">
        <f>IF(OR(AL501=1,AM501=1),0,=IFERROR(IF(OR($C501="",$J501=""),0,IF($D501&lt;&gt;"Open",0,IF(COUNTIFS(GrinderServices!$A:$A,$J501,GrinderServices!$B:$B,$E501,GrinderServices!$D:$D,"Y")=0,0,IF($U501&lt;Config!$B$16,0,IF(Config!$B$18=1,IF($N501&gt;=$M501,0,1),1))))),""))</f>
        <v>#ERROR!</v>
      </c>
      <c r="AC501" s="40" t="str">
        <f>IFERROR((IF(OR(AL501=1,AM501=1),"",=IFERROR((IFERROR(IF($AB501=0,"",((Config!$B$6*$V501 + Config!$B$7*$R501 + Config!$B$8*$W501 + Config!$B$9*$X501 + Config!$B$10*$Y501 + Config!$B$11*$Z501 - Config!$B$12*$AA501)/Config!$B$13)+$AH501+$AI501),""))*(1-IFERROR(VLOOKUP(J501,Grinders!$A:$AB, 28, FALSE),0)),"")))*(1+AO501),"")</f>
        <v>#ERROR!</v>
      </c>
      <c r="AD501" s="40" t="str">
        <f t="shared" si="4"/>
        <v/>
      </c>
      <c r="AE501" s="40" t="str">
        <f>IFERROR(__xludf.DUMMYFUNCTION("IF($AC501="""","""",IF($AC501=IFERROR(MAX(FILTER($AC$6:$AC$1000,$C$6:$C$1000=$C501,$AB$6:$AB$1000=1)),),""WINNER"",""""))"),"#ERROR!")</f>
        <v>#ERROR!</v>
      </c>
      <c r="AF501" s="40" t="str">
        <f t="shared" si="5"/>
        <v/>
      </c>
      <c r="AG501" s="40" t="str">
        <f>IF($J501="","",COUNTIF(Assignments!$B:$B,$J501))</f>
        <v/>
      </c>
      <c r="AH501" s="40" t="str">
        <f>IF($J501="","",IF(AND($AG501=0,$N501&lt;$M501),Config!$B$43,0))</f>
        <v/>
      </c>
      <c r="AI501" s="40" t="str">
        <f>IF($J501="","",IF(AND($L501="Elite",$F501&gt;=Config!$B$41,$N501&lt;$M501),Config!$B$42,0))</f>
        <v/>
      </c>
      <c r="AJ501" s="22"/>
      <c r="AK501" s="39">
        <f>IFERROR(VLOOKUP(J501,Grinders!$A:$Q,28,FALSE),0)</f>
        <v>0</v>
      </c>
      <c r="AL501" s="39">
        <f>IF(Config!$B$1003&lt;&gt;"Y",0,IF(IFERROR(VLOOKUP(J501,Grinders!$A:$P,27,FALSE),0)&gt;=3,IF(OR(F501&gt;=Config!$B$1001,ISNUMBER(SEARCH(E501,Config!$B$1002))),1,0),0))</f>
        <v>0</v>
      </c>
      <c r="AM501" s="39">
        <f t="array" ref="AM501">IFERROR(IF(INDEX(Bids!$AE:$AE,MATCH(B501,Bids!$A:$A,0))="Pending",1,0),0)</f>
        <v>0</v>
      </c>
      <c r="AN501" s="39" t="str">
        <f t="array" ref="AN501">IF(C501="","",IFERROR(XLOOKUP(C501,Assignments!$C:$C,Assignments!$AU:$AU,0),0))</f>
        <v/>
      </c>
      <c r="AO501" s="39">
        <f>IF(AND(Config!$B$1006="Y",AN501=1),Config!$B$1007,0)</f>
        <v>0</v>
      </c>
    </row>
    <row r="502" ht="15.75" customHeight="1">
      <c r="A502" s="40" t="str">
        <f t="shared" si="1"/>
        <v/>
      </c>
      <c r="B502" s="40" t="str">
        <f>IF(Bids!$A502="","",Bids!$A502)</f>
        <v/>
      </c>
      <c r="C502" s="40" t="str">
        <f>IF(Bids!$B502="","",Bids!$B502)</f>
        <v/>
      </c>
      <c r="D502" s="40" t="str">
        <f>IF($C502="","",IFERROR(VLOOKUP($C502,Orders!$A:$J,9,FALSE),""))</f>
        <v/>
      </c>
      <c r="E502" s="40" t="str">
        <f>IF($C502="","",IFERROR(VLOOKUP($C502,Orders!$A:$J,3,FALSE),""))</f>
        <v/>
      </c>
      <c r="F502" s="40" t="str">
        <f>IF($C502="","",IFERROR(VLOOKUP($C502,Orders!$A:$J,4,FALSE),""))</f>
        <v/>
      </c>
      <c r="G502" s="40" t="str">
        <f>IF($C502="","",IFERROR(VLOOKUP($C502,Orders!$A:$J,5,FALSE),""))</f>
        <v/>
      </c>
      <c r="H502" s="40" t="str">
        <f>IF($C502="","",IFERROR(VLOOKUP($C502,Orders!$A:$J,6,FALSE),""))</f>
        <v/>
      </c>
      <c r="I502" s="40" t="str">
        <f>IF($C502="","",IFERROR(VLOOKUP($C502,Orders!$A:$J,7,FALSE),""))</f>
        <v/>
      </c>
      <c r="J502" s="40" t="str">
        <f>IF(Bids!$C502="","",Bids!$C502)</f>
        <v/>
      </c>
      <c r="K502" s="40" t="str">
        <f>IF($J502="","",IFERROR(VLOOKUP($J502,Grinders!$A:$N,2,FALSE),""))</f>
        <v/>
      </c>
      <c r="L502" s="40" t="str">
        <f>IF($J502="","",IFERROR(VLOOKUP($J502,Grinders!$A:$N,3,FALSE),""))</f>
        <v/>
      </c>
      <c r="M502" s="40" t="str">
        <f>IF($J502="","",IFERROR(VLOOKUP($J502,Grinders!$A:$N,4,FALSE),""))</f>
        <v/>
      </c>
      <c r="N502" s="40" t="str">
        <f>IF($J502="","",IFERROR(VLOOKUP($J502,Grinders!$A:$N,5,FALSE),""))</f>
        <v/>
      </c>
      <c r="O502" s="40" t="str">
        <f t="shared" si="2"/>
        <v/>
      </c>
      <c r="P502" s="40" t="str">
        <f>IF($J502="","",IFERROR(VLOOKUP($J502,Grinders!$A:$N,6,FALSE),""))</f>
        <v/>
      </c>
      <c r="Q502" s="40" t="str">
        <f>IF($J502="","",IFERROR(VLOOKUP($J502,Grinders!$A:$N,8,FALSE),""))</f>
        <v/>
      </c>
      <c r="R502" s="40" t="str">
        <f>IFERROR(IF($J502="","",IF($L502="Elite",MAX(50,MIN(100,Config!$B$27*MAX(0,MIN(100,(1-IF($O502="",0,$O502))*100)) + Config!$B$28*MAX(0,MIN(100,(1-MIN(1,IF(Config!$B$30=0,1,$P502/Config!$B$30)))*100)) + Config!$B$29*MAX(0,MIN(100,MIN(1,IF($Q502="",0,$Q502)/Config!$B$23)*100)))),MIN(100,Config!$B$27*MAX(0,MIN(100,(1-IF($O502="",0,$O502))*100)) + Config!$B$28*MAX(0,MIN(100,(1-MIN(1,IF(Config!$B$30=0,1,$P502/Config!$B$30)))*100)) + Config!$B$29*MAX(0,MIN(100,MIN(1,IF($Q502="",0,$Q502)/Config!$B$23)*100))))),"")
</f>
        <v/>
      </c>
      <c r="S502" s="40" t="str">
        <f>IF(Bids!$AC502="","",Bids!$AC502)</f>
        <v/>
      </c>
      <c r="T502" s="40" t="str">
        <f>IF(Bids!$F502="","",Bids!$F502)</f>
        <v/>
      </c>
      <c r="U502" s="40" t="str">
        <f t="shared" si="3"/>
        <v/>
      </c>
      <c r="V502" s="40" t="str">
        <f>IF($U502="","",IF(Config!$B$17=Config!$B$16,IF($U502&gt;=Config!$B$17,100,0),MAX(0,MIN(100,($U502-Config!$B$16)/(Config!$B$17-Config!$B$16)*100))))</f>
        <v/>
      </c>
      <c r="W502" s="40">
        <f>IF($L502="Elite",Config!$B$21,0)</f>
        <v>0</v>
      </c>
      <c r="X502" s="40" t="str">
        <f>IFERROR(IF(OR($T502="",$G502=""),"",IF($T502&gt;$G502,
  MAX(0, 60-(($T502-$G502)*24/Config!$B$19)*60),
  MEDIAN(60, 100, 60+(($G502-$T502)*24/Config!$B$20)*40)
)),"")
</f>
        <v/>
      </c>
      <c r="Y502" s="40" t="str">
        <f>IF($J502="","",IFERROR(VLOOKUP($J502,Grinders!$A:$N,10,FALSE),""))</f>
        <v/>
      </c>
      <c r="Z502" s="40" t="str">
        <f>IF($J502="","",IFERROR(VLOOKUP($J502,Grinders!$A:$N,11,FALSE),""))</f>
        <v/>
      </c>
      <c r="AA502" s="40" t="str">
        <f>IF($J502="","",IFERROR(VLOOKUP($J502,Grinders!$A:$N,12,FALSE),""))</f>
        <v/>
      </c>
      <c r="AB502" s="40" t="str">
        <f>IF(OR(AL502=1,AM502=1),0,=IFERROR(IF(OR($C502="",$J502=""),0,IF($D502&lt;&gt;"Open",0,IF(COUNTIFS(GrinderServices!$A:$A,$J502,GrinderServices!$B:$B,$E502,GrinderServices!$D:$D,"Y")=0,0,IF($U502&lt;Config!$B$16,0,IF(Config!$B$18=1,IF($N502&gt;=$M502,0,1),1))))),""))</f>
        <v>#ERROR!</v>
      </c>
      <c r="AC502" s="40" t="str">
        <f>IFERROR((IF(OR(AL502=1,AM502=1),"",=IFERROR((IFERROR(IF($AB502=0,"",((Config!$B$6*$V502 + Config!$B$7*$R502 + Config!$B$8*$W502 + Config!$B$9*$X502 + Config!$B$10*$Y502 + Config!$B$11*$Z502 - Config!$B$12*$AA502)/Config!$B$13)+$AH502+$AI502),""))*(1-IFERROR(VLOOKUP(J502,Grinders!$A:$AB, 28, FALSE),0)),"")))*(1+AO502),"")</f>
        <v>#ERROR!</v>
      </c>
      <c r="AD502" s="40" t="str">
        <f t="shared" si="4"/>
        <v/>
      </c>
      <c r="AE502" s="40" t="str">
        <f>IFERROR(__xludf.DUMMYFUNCTION("IF($AC502="""","""",IF($AC502=IFERROR(MAX(FILTER($AC$6:$AC$1000,$C$6:$C$1000=$C502,$AB$6:$AB$1000=1)),),""WINNER"",""""))"),"#ERROR!")</f>
        <v>#ERROR!</v>
      </c>
      <c r="AF502" s="40" t="str">
        <f t="shared" si="5"/>
        <v/>
      </c>
      <c r="AG502" s="40" t="str">
        <f>IF($J502="","",COUNTIF(Assignments!$B:$B,$J502))</f>
        <v/>
      </c>
      <c r="AH502" s="40" t="str">
        <f>IF($J502="","",IF(AND($AG502=0,$N502&lt;$M502),Config!$B$43,0))</f>
        <v/>
      </c>
      <c r="AI502" s="40" t="str">
        <f>IF($J502="","",IF(AND($L502="Elite",$F502&gt;=Config!$B$41,$N502&lt;$M502),Config!$B$42,0))</f>
        <v/>
      </c>
      <c r="AJ502" s="22"/>
      <c r="AK502" s="39">
        <f>IFERROR(VLOOKUP(J502,Grinders!$A:$Q,28,FALSE),0)</f>
        <v>0</v>
      </c>
      <c r="AL502" s="39">
        <f>IF(Config!$B$1003&lt;&gt;"Y",0,IF(IFERROR(VLOOKUP(J502,Grinders!$A:$P,27,FALSE),0)&gt;=3,IF(OR(F502&gt;=Config!$B$1001,ISNUMBER(SEARCH(E502,Config!$B$1002))),1,0),0))</f>
        <v>0</v>
      </c>
      <c r="AM502" s="39">
        <f t="array" ref="AM502">IFERROR(IF(INDEX(Bids!$AE:$AE,MATCH(B502,Bids!$A:$A,0))="Pending",1,0),0)</f>
        <v>0</v>
      </c>
      <c r="AN502" s="39" t="str">
        <f t="array" ref="AN502">IF(C502="","",IFERROR(XLOOKUP(C502,Assignments!$C:$C,Assignments!$AU:$AU,0),0))</f>
        <v/>
      </c>
      <c r="AO502" s="39">
        <f>IF(AND(Config!$B$1006="Y",AN502=1),Config!$B$1007,0)</f>
        <v>0</v>
      </c>
    </row>
    <row r="503" ht="15.75" customHeight="1">
      <c r="A503" s="40" t="str">
        <f t="shared" si="1"/>
        <v/>
      </c>
      <c r="B503" s="40" t="str">
        <f>IF(Bids!$A503="","",Bids!$A503)</f>
        <v/>
      </c>
      <c r="C503" s="40" t="str">
        <f>IF(Bids!$B503="","",Bids!$B503)</f>
        <v/>
      </c>
      <c r="D503" s="40" t="str">
        <f>IF($C503="","",IFERROR(VLOOKUP($C503,Orders!$A:$J,9,FALSE),""))</f>
        <v/>
      </c>
      <c r="E503" s="40" t="str">
        <f>IF($C503="","",IFERROR(VLOOKUP($C503,Orders!$A:$J,3,FALSE),""))</f>
        <v/>
      </c>
      <c r="F503" s="40" t="str">
        <f>IF($C503="","",IFERROR(VLOOKUP($C503,Orders!$A:$J,4,FALSE),""))</f>
        <v/>
      </c>
      <c r="G503" s="40" t="str">
        <f>IF($C503="","",IFERROR(VLOOKUP($C503,Orders!$A:$J,5,FALSE),""))</f>
        <v/>
      </c>
      <c r="H503" s="40" t="str">
        <f>IF($C503="","",IFERROR(VLOOKUP($C503,Orders!$A:$J,6,FALSE),""))</f>
        <v/>
      </c>
      <c r="I503" s="40" t="str">
        <f>IF($C503="","",IFERROR(VLOOKUP($C503,Orders!$A:$J,7,FALSE),""))</f>
        <v/>
      </c>
      <c r="J503" s="40" t="str">
        <f>IF(Bids!$C503="","",Bids!$C503)</f>
        <v/>
      </c>
      <c r="K503" s="40" t="str">
        <f>IF($J503="","",IFERROR(VLOOKUP($J503,Grinders!$A:$N,2,FALSE),""))</f>
        <v/>
      </c>
      <c r="L503" s="40" t="str">
        <f>IF($J503="","",IFERROR(VLOOKUP($J503,Grinders!$A:$N,3,FALSE),""))</f>
        <v/>
      </c>
      <c r="M503" s="40" t="str">
        <f>IF($J503="","",IFERROR(VLOOKUP($J503,Grinders!$A:$N,4,FALSE),""))</f>
        <v/>
      </c>
      <c r="N503" s="40" t="str">
        <f>IF($J503="","",IFERROR(VLOOKUP($J503,Grinders!$A:$N,5,FALSE),""))</f>
        <v/>
      </c>
      <c r="O503" s="40" t="str">
        <f t="shared" si="2"/>
        <v/>
      </c>
      <c r="P503" s="40" t="str">
        <f>IF($J503="","",IFERROR(VLOOKUP($J503,Grinders!$A:$N,6,FALSE),""))</f>
        <v/>
      </c>
      <c r="Q503" s="40" t="str">
        <f>IF($J503="","",IFERROR(VLOOKUP($J503,Grinders!$A:$N,8,FALSE),""))</f>
        <v/>
      </c>
      <c r="R503" s="40" t="str">
        <f>IFERROR(IF($J503="","",IF($L503="Elite",MAX(50,MIN(100,Config!$B$27*MAX(0,MIN(100,(1-IF($O503="",0,$O503))*100)) + Config!$B$28*MAX(0,MIN(100,(1-MIN(1,IF(Config!$B$30=0,1,$P503/Config!$B$30)))*100)) + Config!$B$29*MAX(0,MIN(100,MIN(1,IF($Q503="",0,$Q503)/Config!$B$23)*100)))),MIN(100,Config!$B$27*MAX(0,MIN(100,(1-IF($O503="",0,$O503))*100)) + Config!$B$28*MAX(0,MIN(100,(1-MIN(1,IF(Config!$B$30=0,1,$P503/Config!$B$30)))*100)) + Config!$B$29*MAX(0,MIN(100,MIN(1,IF($Q503="",0,$Q503)/Config!$B$23)*100))))),"")
</f>
        <v/>
      </c>
      <c r="S503" s="40" t="str">
        <f>IF(Bids!$AC503="","",Bids!$AC503)</f>
        <v/>
      </c>
      <c r="T503" s="40" t="str">
        <f>IF(Bids!$F503="","",Bids!$F503)</f>
        <v/>
      </c>
      <c r="U503" s="40" t="str">
        <f t="shared" si="3"/>
        <v/>
      </c>
      <c r="V503" s="40" t="str">
        <f>IF($U503="","",IF(Config!$B$17=Config!$B$16,IF($U503&gt;=Config!$B$17,100,0),MAX(0,MIN(100,($U503-Config!$B$16)/(Config!$B$17-Config!$B$16)*100))))</f>
        <v/>
      </c>
      <c r="W503" s="40">
        <f>IF($L503="Elite",Config!$B$21,0)</f>
        <v>0</v>
      </c>
      <c r="X503" s="40" t="str">
        <f>IFERROR(IF(OR($T503="",$G503=""),"",IF($T503&gt;$G503,
  MAX(0, 60-(($T503-$G503)*24/Config!$B$19)*60),
  MEDIAN(60, 100, 60+(($G503-$T503)*24/Config!$B$20)*40)
)),"")
</f>
        <v/>
      </c>
      <c r="Y503" s="40" t="str">
        <f>IF($J503="","",IFERROR(VLOOKUP($J503,Grinders!$A:$N,10,FALSE),""))</f>
        <v/>
      </c>
      <c r="Z503" s="40" t="str">
        <f>IF($J503="","",IFERROR(VLOOKUP($J503,Grinders!$A:$N,11,FALSE),""))</f>
        <v/>
      </c>
      <c r="AA503" s="40" t="str">
        <f>IF($J503="","",IFERROR(VLOOKUP($J503,Grinders!$A:$N,12,FALSE),""))</f>
        <v/>
      </c>
      <c r="AB503" s="40" t="str">
        <f>IF(OR(AL503=1,AM503=1),0,=IFERROR(IF(OR($C503="",$J503=""),0,IF($D503&lt;&gt;"Open",0,IF(COUNTIFS(GrinderServices!$A:$A,$J503,GrinderServices!$B:$B,$E503,GrinderServices!$D:$D,"Y")=0,0,IF($U503&lt;Config!$B$16,0,IF(Config!$B$18=1,IF($N503&gt;=$M503,0,1),1))))),""))</f>
        <v>#ERROR!</v>
      </c>
      <c r="AC503" s="40" t="str">
        <f>IFERROR((IF(OR(AL503=1,AM503=1),"",=IFERROR((IFERROR(IF($AB503=0,"",((Config!$B$6*$V503 + Config!$B$7*$R503 + Config!$B$8*$W503 + Config!$B$9*$X503 + Config!$B$10*$Y503 + Config!$B$11*$Z503 - Config!$B$12*$AA503)/Config!$B$13)+$AH503+$AI503),""))*(1-IFERROR(VLOOKUP(J503,Grinders!$A:$AB, 28, FALSE),0)),"")))*(1+AO503),"")</f>
        <v>#ERROR!</v>
      </c>
      <c r="AD503" s="40" t="str">
        <f t="shared" si="4"/>
        <v/>
      </c>
      <c r="AE503" s="40" t="str">
        <f>IFERROR(__xludf.DUMMYFUNCTION("IF($AC503="""","""",IF($AC503=IFERROR(MAX(FILTER($AC$6:$AC$1000,$C$6:$C$1000=$C503,$AB$6:$AB$1000=1)),),""WINNER"",""""))"),"#ERROR!")</f>
        <v>#ERROR!</v>
      </c>
      <c r="AF503" s="40" t="str">
        <f t="shared" si="5"/>
        <v/>
      </c>
      <c r="AG503" s="40" t="str">
        <f>IF($J503="","",COUNTIF(Assignments!$B:$B,$J503))</f>
        <v/>
      </c>
      <c r="AH503" s="40" t="str">
        <f>IF($J503="","",IF(AND($AG503=0,$N503&lt;$M503),Config!$B$43,0))</f>
        <v/>
      </c>
      <c r="AI503" s="40" t="str">
        <f>IF($J503="","",IF(AND($L503="Elite",$F503&gt;=Config!$B$41,$N503&lt;$M503),Config!$B$42,0))</f>
        <v/>
      </c>
      <c r="AJ503" s="22"/>
      <c r="AK503" s="39">
        <f>IFERROR(VLOOKUP(J503,Grinders!$A:$Q,28,FALSE),0)</f>
        <v>0</v>
      </c>
      <c r="AL503" s="39">
        <f>IF(Config!$B$1003&lt;&gt;"Y",0,IF(IFERROR(VLOOKUP(J503,Grinders!$A:$P,27,FALSE),0)&gt;=3,IF(OR(F503&gt;=Config!$B$1001,ISNUMBER(SEARCH(E503,Config!$B$1002))),1,0),0))</f>
        <v>0</v>
      </c>
      <c r="AM503" s="39">
        <f t="array" ref="AM503">IFERROR(IF(INDEX(Bids!$AE:$AE,MATCH(B503,Bids!$A:$A,0))="Pending",1,0),0)</f>
        <v>0</v>
      </c>
      <c r="AN503" s="39" t="str">
        <f t="array" ref="AN503">IF(C503="","",IFERROR(XLOOKUP(C503,Assignments!$C:$C,Assignments!$AU:$AU,0),0))</f>
        <v/>
      </c>
      <c r="AO503" s="39">
        <f>IF(AND(Config!$B$1006="Y",AN503=1),Config!$B$1007,0)</f>
        <v>0</v>
      </c>
    </row>
    <row r="504" ht="15.75" customHeight="1">
      <c r="A504" s="40" t="str">
        <f t="shared" si="1"/>
        <v/>
      </c>
      <c r="B504" s="40" t="str">
        <f>IF(Bids!$A504="","",Bids!$A504)</f>
        <v/>
      </c>
      <c r="C504" s="40" t="str">
        <f>IF(Bids!$B504="","",Bids!$B504)</f>
        <v/>
      </c>
      <c r="D504" s="40" t="str">
        <f>IF($C504="","",IFERROR(VLOOKUP($C504,Orders!$A:$J,9,FALSE),""))</f>
        <v/>
      </c>
      <c r="E504" s="40" t="str">
        <f>IF($C504="","",IFERROR(VLOOKUP($C504,Orders!$A:$J,3,FALSE),""))</f>
        <v/>
      </c>
      <c r="F504" s="40" t="str">
        <f>IF($C504="","",IFERROR(VLOOKUP($C504,Orders!$A:$J,4,FALSE),""))</f>
        <v/>
      </c>
      <c r="G504" s="40" t="str">
        <f>IF($C504="","",IFERROR(VLOOKUP($C504,Orders!$A:$J,5,FALSE),""))</f>
        <v/>
      </c>
      <c r="H504" s="40" t="str">
        <f>IF($C504="","",IFERROR(VLOOKUP($C504,Orders!$A:$J,6,FALSE),""))</f>
        <v/>
      </c>
      <c r="I504" s="40" t="str">
        <f>IF($C504="","",IFERROR(VLOOKUP($C504,Orders!$A:$J,7,FALSE),""))</f>
        <v/>
      </c>
      <c r="J504" s="40" t="str">
        <f>IF(Bids!$C504="","",Bids!$C504)</f>
        <v/>
      </c>
      <c r="K504" s="40" t="str">
        <f>IF($J504="","",IFERROR(VLOOKUP($J504,Grinders!$A:$N,2,FALSE),""))</f>
        <v/>
      </c>
      <c r="L504" s="40" t="str">
        <f>IF($J504="","",IFERROR(VLOOKUP($J504,Grinders!$A:$N,3,FALSE),""))</f>
        <v/>
      </c>
      <c r="M504" s="40" t="str">
        <f>IF($J504="","",IFERROR(VLOOKUP($J504,Grinders!$A:$N,4,FALSE),""))</f>
        <v/>
      </c>
      <c r="N504" s="40" t="str">
        <f>IF($J504="","",IFERROR(VLOOKUP($J504,Grinders!$A:$N,5,FALSE),""))</f>
        <v/>
      </c>
      <c r="O504" s="40" t="str">
        <f t="shared" si="2"/>
        <v/>
      </c>
      <c r="P504" s="40" t="str">
        <f>IF($J504="","",IFERROR(VLOOKUP($J504,Grinders!$A:$N,6,FALSE),""))</f>
        <v/>
      </c>
      <c r="Q504" s="40" t="str">
        <f>IF($J504="","",IFERROR(VLOOKUP($J504,Grinders!$A:$N,8,FALSE),""))</f>
        <v/>
      </c>
      <c r="R504" s="40" t="str">
        <f>IFERROR(IF($J504="","",IF($L504="Elite",MAX(50,MIN(100,Config!$B$27*MAX(0,MIN(100,(1-IF($O504="",0,$O504))*100)) + Config!$B$28*MAX(0,MIN(100,(1-MIN(1,IF(Config!$B$30=0,1,$P504/Config!$B$30)))*100)) + Config!$B$29*MAX(0,MIN(100,MIN(1,IF($Q504="",0,$Q504)/Config!$B$23)*100)))),MIN(100,Config!$B$27*MAX(0,MIN(100,(1-IF($O504="",0,$O504))*100)) + Config!$B$28*MAX(0,MIN(100,(1-MIN(1,IF(Config!$B$30=0,1,$P504/Config!$B$30)))*100)) + Config!$B$29*MAX(0,MIN(100,MIN(1,IF($Q504="",0,$Q504)/Config!$B$23)*100))))),"")
</f>
        <v/>
      </c>
      <c r="S504" s="40" t="str">
        <f>IF(Bids!$AC504="","",Bids!$AC504)</f>
        <v/>
      </c>
      <c r="T504" s="40" t="str">
        <f>IF(Bids!$F504="","",Bids!$F504)</f>
        <v/>
      </c>
      <c r="U504" s="40" t="str">
        <f t="shared" si="3"/>
        <v/>
      </c>
      <c r="V504" s="40" t="str">
        <f>IF($U504="","",IF(Config!$B$17=Config!$B$16,IF($U504&gt;=Config!$B$17,100,0),MAX(0,MIN(100,($U504-Config!$B$16)/(Config!$B$17-Config!$B$16)*100))))</f>
        <v/>
      </c>
      <c r="W504" s="40">
        <f>IF($L504="Elite",Config!$B$21,0)</f>
        <v>0</v>
      </c>
      <c r="X504" s="40" t="str">
        <f>IFERROR(IF(OR($T504="",$G504=""),"",IF($T504&gt;$G504,
  MAX(0, 60-(($T504-$G504)*24/Config!$B$19)*60),
  MEDIAN(60, 100, 60+(($G504-$T504)*24/Config!$B$20)*40)
)),"")
</f>
        <v/>
      </c>
      <c r="Y504" s="40" t="str">
        <f>IF($J504="","",IFERROR(VLOOKUP($J504,Grinders!$A:$N,10,FALSE),""))</f>
        <v/>
      </c>
      <c r="Z504" s="40" t="str">
        <f>IF($J504="","",IFERROR(VLOOKUP($J504,Grinders!$A:$N,11,FALSE),""))</f>
        <v/>
      </c>
      <c r="AA504" s="40" t="str">
        <f>IF($J504="","",IFERROR(VLOOKUP($J504,Grinders!$A:$N,12,FALSE),""))</f>
        <v/>
      </c>
      <c r="AB504" s="40" t="str">
        <f>IF(OR(AL504=1,AM504=1),0,=IFERROR(IF(OR($C504="",$J504=""),0,IF($D504&lt;&gt;"Open",0,IF(COUNTIFS(GrinderServices!$A:$A,$J504,GrinderServices!$B:$B,$E504,GrinderServices!$D:$D,"Y")=0,0,IF($U504&lt;Config!$B$16,0,IF(Config!$B$18=1,IF($N504&gt;=$M504,0,1),1))))),""))</f>
        <v>#ERROR!</v>
      </c>
      <c r="AC504" s="40" t="str">
        <f>IFERROR((IF(OR(AL504=1,AM504=1),"",=IFERROR((IFERROR(IF($AB504=0,"",((Config!$B$6*$V504 + Config!$B$7*$R504 + Config!$B$8*$W504 + Config!$B$9*$X504 + Config!$B$10*$Y504 + Config!$B$11*$Z504 - Config!$B$12*$AA504)/Config!$B$13)+$AH504+$AI504),""))*(1-IFERROR(VLOOKUP(J504,Grinders!$A:$AB, 28, FALSE),0)),"")))*(1+AO504),"")</f>
        <v>#ERROR!</v>
      </c>
      <c r="AD504" s="40" t="str">
        <f t="shared" si="4"/>
        <v/>
      </c>
      <c r="AE504" s="40" t="str">
        <f>IFERROR(__xludf.DUMMYFUNCTION("IF($AC504="""","""",IF($AC504=IFERROR(MAX(FILTER($AC$6:$AC$1000,$C$6:$C$1000=$C504,$AB$6:$AB$1000=1)),),""WINNER"",""""))"),"#ERROR!")</f>
        <v>#ERROR!</v>
      </c>
      <c r="AF504" s="40" t="str">
        <f t="shared" si="5"/>
        <v/>
      </c>
      <c r="AG504" s="40" t="str">
        <f>IF($J504="","",COUNTIF(Assignments!$B:$B,$J504))</f>
        <v/>
      </c>
      <c r="AH504" s="40" t="str">
        <f>IF($J504="","",IF(AND($AG504=0,$N504&lt;$M504),Config!$B$43,0))</f>
        <v/>
      </c>
      <c r="AI504" s="40" t="str">
        <f>IF($J504="","",IF(AND($L504="Elite",$F504&gt;=Config!$B$41,$N504&lt;$M504),Config!$B$42,0))</f>
        <v/>
      </c>
      <c r="AJ504" s="22"/>
      <c r="AK504" s="39">
        <f>IFERROR(VLOOKUP(J504,Grinders!$A:$Q,28,FALSE),0)</f>
        <v>0</v>
      </c>
      <c r="AL504" s="39">
        <f>IF(Config!$B$1003&lt;&gt;"Y",0,IF(IFERROR(VLOOKUP(J504,Grinders!$A:$P,27,FALSE),0)&gt;=3,IF(OR(F504&gt;=Config!$B$1001,ISNUMBER(SEARCH(E504,Config!$B$1002))),1,0),0))</f>
        <v>0</v>
      </c>
      <c r="AM504" s="39">
        <f t="array" ref="AM504">IFERROR(IF(INDEX(Bids!$AE:$AE,MATCH(B504,Bids!$A:$A,0))="Pending",1,0),0)</f>
        <v>0</v>
      </c>
      <c r="AN504" s="39" t="str">
        <f t="array" ref="AN504">IF(C504="","",IFERROR(XLOOKUP(C504,Assignments!$C:$C,Assignments!$AU:$AU,0),0))</f>
        <v/>
      </c>
      <c r="AO504" s="39">
        <f>IF(AND(Config!$B$1006="Y",AN504=1),Config!$B$1007,0)</f>
        <v>0</v>
      </c>
    </row>
    <row r="505" ht="15.75" customHeight="1">
      <c r="A505" s="40" t="str">
        <f t="shared" si="1"/>
        <v/>
      </c>
      <c r="B505" s="40" t="str">
        <f>IF(Bids!$A505="","",Bids!$A505)</f>
        <v/>
      </c>
      <c r="C505" s="40" t="str">
        <f>IF(Bids!$B505="","",Bids!$B505)</f>
        <v/>
      </c>
      <c r="D505" s="40" t="str">
        <f>IF($C505="","",IFERROR(VLOOKUP($C505,Orders!$A:$J,9,FALSE),""))</f>
        <v/>
      </c>
      <c r="E505" s="40" t="str">
        <f>IF($C505="","",IFERROR(VLOOKUP($C505,Orders!$A:$J,3,FALSE),""))</f>
        <v/>
      </c>
      <c r="F505" s="40" t="str">
        <f>IF($C505="","",IFERROR(VLOOKUP($C505,Orders!$A:$J,4,FALSE),""))</f>
        <v/>
      </c>
      <c r="G505" s="40" t="str">
        <f>IF($C505="","",IFERROR(VLOOKUP($C505,Orders!$A:$J,5,FALSE),""))</f>
        <v/>
      </c>
      <c r="H505" s="40" t="str">
        <f>IF($C505="","",IFERROR(VLOOKUP($C505,Orders!$A:$J,6,FALSE),""))</f>
        <v/>
      </c>
      <c r="I505" s="40" t="str">
        <f>IF($C505="","",IFERROR(VLOOKUP($C505,Orders!$A:$J,7,FALSE),""))</f>
        <v/>
      </c>
      <c r="J505" s="40" t="str">
        <f>IF(Bids!$C505="","",Bids!$C505)</f>
        <v/>
      </c>
      <c r="K505" s="40" t="str">
        <f>IF($J505="","",IFERROR(VLOOKUP($J505,Grinders!$A:$N,2,FALSE),""))</f>
        <v/>
      </c>
      <c r="L505" s="40" t="str">
        <f>IF($J505="","",IFERROR(VLOOKUP($J505,Grinders!$A:$N,3,FALSE),""))</f>
        <v/>
      </c>
      <c r="M505" s="40" t="str">
        <f>IF($J505="","",IFERROR(VLOOKUP($J505,Grinders!$A:$N,4,FALSE),""))</f>
        <v/>
      </c>
      <c r="N505" s="40" t="str">
        <f>IF($J505="","",IFERROR(VLOOKUP($J505,Grinders!$A:$N,5,FALSE),""))</f>
        <v/>
      </c>
      <c r="O505" s="40" t="str">
        <f t="shared" si="2"/>
        <v/>
      </c>
      <c r="P505" s="40" t="str">
        <f>IF($J505="","",IFERROR(VLOOKUP($J505,Grinders!$A:$N,6,FALSE),""))</f>
        <v/>
      </c>
      <c r="Q505" s="40" t="str">
        <f>IF($J505="","",IFERROR(VLOOKUP($J505,Grinders!$A:$N,8,FALSE),""))</f>
        <v/>
      </c>
      <c r="R505" s="40" t="str">
        <f>IFERROR(IF($J505="","",IF($L505="Elite",MAX(50,MIN(100,Config!$B$27*MAX(0,MIN(100,(1-IF($O505="",0,$O505))*100)) + Config!$B$28*MAX(0,MIN(100,(1-MIN(1,IF(Config!$B$30=0,1,$P505/Config!$B$30)))*100)) + Config!$B$29*MAX(0,MIN(100,MIN(1,IF($Q505="",0,$Q505)/Config!$B$23)*100)))),MIN(100,Config!$B$27*MAX(0,MIN(100,(1-IF($O505="",0,$O505))*100)) + Config!$B$28*MAX(0,MIN(100,(1-MIN(1,IF(Config!$B$30=0,1,$P505/Config!$B$30)))*100)) + Config!$B$29*MAX(0,MIN(100,MIN(1,IF($Q505="",0,$Q505)/Config!$B$23)*100))))),"")
</f>
        <v/>
      </c>
      <c r="S505" s="40" t="str">
        <f>IF(Bids!$D505="","",Bids!$D505)</f>
        <v/>
      </c>
      <c r="T505" s="40" t="str">
        <f>IF(Bids!$F505="","",Bids!$F505)</f>
        <v/>
      </c>
      <c r="U505" s="40" t="str">
        <f t="shared" si="3"/>
        <v/>
      </c>
      <c r="V505" s="40" t="str">
        <f>IF($U505="","",IF(Config!$B$17=Config!$B$16,IF($U505&gt;=Config!$B$17,100,0),MAX(0,MIN(100,($U505-Config!$B$16)/(Config!$B$17-Config!$B$16)*100))))</f>
        <v/>
      </c>
      <c r="W505" s="40">
        <f>IF($L505="Elite",Config!$B$21,0)</f>
        <v>0</v>
      </c>
      <c r="X505" s="40" t="str">
        <f>IFERROR(IF(OR($T505="",$G505=""),"",IF($T505&gt;$G505,
  MAX(0, 60-(($T505-$G505)*24/Config!$B$19)*60),
  MEDIAN(60, 100, 60+(($G505-$T505)*24/Config!$B$20)*40)
)),"")
</f>
        <v/>
      </c>
      <c r="Y505" s="40" t="str">
        <f>IF($J505="","",IFERROR(VLOOKUP($J505,Grinders!$A:$N,10,FALSE),""))</f>
        <v/>
      </c>
      <c r="Z505" s="40" t="str">
        <f>IF($J505="","",IFERROR(VLOOKUP($J505,Grinders!$A:$N,11,FALSE),""))</f>
        <v/>
      </c>
      <c r="AA505" s="40" t="str">
        <f>IF($J505="","",IFERROR(VLOOKUP($J505,Grinders!$A:$N,12,FALSE),""))</f>
        <v/>
      </c>
      <c r="AB505" s="40" t="str">
        <f>IF(OR(AL505=1,AM505=1),0,=IFERROR(IF(OR($C505="",$J505=""),0,IF($D505&lt;&gt;"Open",0,IF(COUNTIFS(GrinderServices!$A:$A,$J505,GrinderServices!$B:$B,$E505,GrinderServices!$D:$D,"Y")=0,0,IF($U505&lt;Config!$B$16,0,IF(Config!$B$18=1,IF($N505&gt;=$M505,0,1),1))))),""))</f>
        <v>#ERROR!</v>
      </c>
      <c r="AC505" s="40" t="str">
        <f>IFERROR((IF(OR(AL505=1,AM505=1),"",=IFERROR(IF($AB505=0,"",((Config!$B$6*$V505 + Config!$B$7*$R505 + Config!$B$8*$W505 + Config!$B$9*$X505 + Config!$B$10*$Y505 + Config!$B$11*$Z505 - Config!$B$12*$AA505)/Config!$B$13)+$AH505+$AI505),"")))*(1+AO505),"")</f>
        <v>#ERROR!</v>
      </c>
      <c r="AD505" s="40" t="str">
        <f t="shared" si="4"/>
        <v/>
      </c>
      <c r="AE505" s="40" t="str">
        <f>IFERROR(__xludf.DUMMYFUNCTION("IF($AC505="""","""",IF($AC505=IFERROR(MAX(FILTER($AC$6:$AC$1000,$C$6:$C$1000=$C505,$AB$6:$AB$1000=1)),),""WINNER"",""""))"),"#ERROR!")</f>
        <v>#ERROR!</v>
      </c>
      <c r="AF505" s="40" t="str">
        <f t="shared" si="5"/>
        <v/>
      </c>
      <c r="AG505" s="40" t="str">
        <f>IF($J505="","",COUNTIF(Assignments!$B:$B,$J505))</f>
        <v/>
      </c>
      <c r="AH505" s="40" t="str">
        <f>IF($J505="","",IF(AND($AG505=0,$N505&lt;$M505),Config!$B$43,0))</f>
        <v/>
      </c>
      <c r="AI505" s="40" t="str">
        <f>IF($J505="","",IF(AND($L505="Elite",$F505&gt;=Config!$B$41,$N505&lt;$M505),Config!$B$42,0))</f>
        <v/>
      </c>
      <c r="AJ505" s="22"/>
      <c r="AK505" s="39">
        <f>IFERROR(VLOOKUP(J505,Grinders!$A:$Q,28,FALSE),0)</f>
        <v>0</v>
      </c>
      <c r="AL505" s="39">
        <f>IF(Config!$B$1003&lt;&gt;"Y",0,IF(IFERROR(VLOOKUP(J505,Grinders!$A:$P,27,FALSE),0)&gt;=3,IF(OR(F505&gt;=Config!$B$1001,ISNUMBER(SEARCH(E505,Config!$B$1002))),1,0),0))</f>
        <v>0</v>
      </c>
      <c r="AM505" s="39">
        <f t="array" ref="AM505">IFERROR(IF(INDEX(Bids!$AE:$AE,MATCH(B505,Bids!$A:$A,0))="Pending",1,0),0)</f>
        <v>0</v>
      </c>
      <c r="AN505" s="39" t="str">
        <f t="array" ref="AN505">IF(C505="","",IFERROR(XLOOKUP(C505,Assignments!$C:$C,Assignments!$AU:$AU,0),0))</f>
        <v/>
      </c>
      <c r="AO505" s="39">
        <f>IF(AND(Config!$B$1006="Y",AN505=1),Config!$B$1007,0)</f>
        <v>0</v>
      </c>
    </row>
    <row r="506" ht="15.75" customHeight="1">
      <c r="A506" s="40" t="str">
        <f t="shared" si="1"/>
        <v/>
      </c>
      <c r="B506" s="40" t="str">
        <f>IF(Bids!$A506="","",Bids!$A506)</f>
        <v/>
      </c>
      <c r="C506" s="40" t="str">
        <f>IF(Bids!$B506="","",Bids!$B506)</f>
        <v/>
      </c>
      <c r="D506" s="40" t="str">
        <f>IF($C506="","",IFERROR(VLOOKUP($C506,Orders!$A:$J,9,FALSE),""))</f>
        <v/>
      </c>
      <c r="E506" s="40" t="str">
        <f>IF($C506="","",IFERROR(VLOOKUP($C506,Orders!$A:$J,3,FALSE),""))</f>
        <v/>
      </c>
      <c r="F506" s="40" t="str">
        <f>IF($C506="","",IFERROR(VLOOKUP($C506,Orders!$A:$J,4,FALSE),""))</f>
        <v/>
      </c>
      <c r="G506" s="40" t="str">
        <f>IF($C506="","",IFERROR(VLOOKUP($C506,Orders!$A:$J,5,FALSE),""))</f>
        <v/>
      </c>
      <c r="H506" s="40" t="str">
        <f>IF($C506="","",IFERROR(VLOOKUP($C506,Orders!$A:$J,6,FALSE),""))</f>
        <v/>
      </c>
      <c r="I506" s="40" t="str">
        <f>IF($C506="","",IFERROR(VLOOKUP($C506,Orders!$A:$J,7,FALSE),""))</f>
        <v/>
      </c>
      <c r="J506" s="40" t="str">
        <f>IF(Bids!$C506="","",Bids!$C506)</f>
        <v/>
      </c>
      <c r="K506" s="40" t="str">
        <f>IF($J506="","",IFERROR(VLOOKUP($J506,Grinders!$A:$N,2,FALSE),""))</f>
        <v/>
      </c>
      <c r="L506" s="40" t="str">
        <f>IF($J506="","",IFERROR(VLOOKUP($J506,Grinders!$A:$N,3,FALSE),""))</f>
        <v/>
      </c>
      <c r="M506" s="40" t="str">
        <f>IF($J506="","",IFERROR(VLOOKUP($J506,Grinders!$A:$N,4,FALSE),""))</f>
        <v/>
      </c>
      <c r="N506" s="40" t="str">
        <f>IF($J506="","",IFERROR(VLOOKUP($J506,Grinders!$A:$N,5,FALSE),""))</f>
        <v/>
      </c>
      <c r="O506" s="40" t="str">
        <f t="shared" si="2"/>
        <v/>
      </c>
      <c r="P506" s="40" t="str">
        <f>IF($J506="","",IFERROR(VLOOKUP($J506,Grinders!$A:$N,6,FALSE),""))</f>
        <v/>
      </c>
      <c r="Q506" s="40" t="str">
        <f>IF($J506="","",IFERROR(VLOOKUP($J506,Grinders!$A:$N,8,FALSE),""))</f>
        <v/>
      </c>
      <c r="R506" s="40" t="str">
        <f>IFERROR(IF($J506="","",IF($L506="Elite",MAX(50,MIN(100,Config!$B$27*MAX(0,MIN(100,(1-IF($O506="",0,$O506))*100)) + Config!$B$28*MAX(0,MIN(100,(1-MIN(1,IF(Config!$B$30=0,1,$P506/Config!$B$30)))*100)) + Config!$B$29*MAX(0,MIN(100,MIN(1,IF($Q506="",0,$Q506)/Config!$B$23)*100)))),MIN(100,Config!$B$27*MAX(0,MIN(100,(1-IF($O506="",0,$O506))*100)) + Config!$B$28*MAX(0,MIN(100,(1-MIN(1,IF(Config!$B$30=0,1,$P506/Config!$B$30)))*100)) + Config!$B$29*MAX(0,MIN(100,MIN(1,IF($Q506="",0,$Q506)/Config!$B$23)*100))))),"")
</f>
        <v/>
      </c>
      <c r="S506" s="40" t="str">
        <f>IF(Bids!$D506="","",Bids!$D506)</f>
        <v/>
      </c>
      <c r="T506" s="40" t="str">
        <f>IF(Bids!$F506="","",Bids!$F506)</f>
        <v/>
      </c>
      <c r="U506" s="40" t="str">
        <f t="shared" si="3"/>
        <v/>
      </c>
      <c r="V506" s="40" t="str">
        <f>IF($U506="","",IF(Config!$B$17=Config!$B$16,IF($U506&gt;=Config!$B$17,100,0),MAX(0,MIN(100,($U506-Config!$B$16)/(Config!$B$17-Config!$B$16)*100))))</f>
        <v/>
      </c>
      <c r="W506" s="40">
        <f>IF($L506="Elite",Config!$B$21,0)</f>
        <v>0</v>
      </c>
      <c r="X506" s="40" t="str">
        <f>IFERROR(IF(OR($T506="",$G506=""),"",IF($T506&gt;$G506,
  MAX(0, 60-(($T506-$G506)*24/Config!$B$19)*60),
  MEDIAN(60, 100, 60+(($G506-$T506)*24/Config!$B$20)*40)
)),"")
</f>
        <v/>
      </c>
      <c r="Y506" s="40" t="str">
        <f>IF($J506="","",IFERROR(VLOOKUP($J506,Grinders!$A:$N,10,FALSE),""))</f>
        <v/>
      </c>
      <c r="Z506" s="40" t="str">
        <f>IF($J506="","",IFERROR(VLOOKUP($J506,Grinders!$A:$N,11,FALSE),""))</f>
        <v/>
      </c>
      <c r="AA506" s="40" t="str">
        <f>IF($J506="","",IFERROR(VLOOKUP($J506,Grinders!$A:$N,12,FALSE),""))</f>
        <v/>
      </c>
      <c r="AB506" s="40">
        <f>IFERROR(IF(OR($C506="",$J506=""),0,IF($D506&lt;&gt;"Open",0,IF(COUNTIFS(GrinderServices!$B:$B,$J506,GrinderServices!$C:$C,$E506,GrinderServices!$E:$E,"Y")=0,0,IF($U506&lt;Config!$B$16,0,IF(Config!$B$18=1,IF($N506&gt;=$M506,0,1),1))))),"")</f>
        <v>0</v>
      </c>
      <c r="AC506" s="40" t="str">
        <f>IFERROR(IF($AB506=0,"",((Config!$B$6*$V506 + Config!$B$7*$R506 + Config!$B$8*$W506 + Config!$B$9*$X506 + Config!$B$10*$Y506 + Config!$B$11*$Z506 - Config!$B$12*$AA506)/Config!$B$13)+$AH506+$AI506),"")</f>
        <v/>
      </c>
      <c r="AD506" s="40" t="str">
        <f t="shared" si="4"/>
        <v/>
      </c>
      <c r="AE506" s="40" t="str">
        <f>IFERROR(__xludf.DUMMYFUNCTION("IF($AC506="""","""",IF($AC506=IFERROR(MAX(FILTER($AC$6:$AC$1000,$C$6:$C$1000=$C506,$AB$6:$AB$1000=1)),),""WINNER"",""""))"),"")</f>
        <v/>
      </c>
      <c r="AF506" s="40" t="str">
        <f t="shared" si="5"/>
        <v/>
      </c>
      <c r="AG506" s="40" t="str">
        <f>IF($J506="","",COUNTIF(Assignments!$B:$B,$J506))</f>
        <v/>
      </c>
      <c r="AH506" s="40" t="str">
        <f>IF($J506="","",IF(AND($AG506=0,$N506&lt;$M506),Config!$B$43,0))</f>
        <v/>
      </c>
      <c r="AI506" s="40" t="str">
        <f>IF($J506="","",IF(AND($L506="Elite",$F506&gt;=Config!$B$41,$N506&lt;$M506),Config!$B$42,0))</f>
        <v/>
      </c>
      <c r="AJ506" s="22"/>
    </row>
    <row r="507" ht="15.75" customHeight="1">
      <c r="A507" s="40" t="str">
        <f t="shared" si="1"/>
        <v/>
      </c>
      <c r="B507" s="40" t="str">
        <f>IF(Bids!$A507="","",Bids!$A507)</f>
        <v/>
      </c>
      <c r="C507" s="40" t="str">
        <f>IF(Bids!$B507="","",Bids!$B507)</f>
        <v/>
      </c>
      <c r="D507" s="40" t="str">
        <f>IF($C507="","",IFERROR(VLOOKUP($C507,Orders!$A:$J,9,FALSE),""))</f>
        <v/>
      </c>
      <c r="E507" s="40" t="str">
        <f>IF($C507="","",IFERROR(VLOOKUP($C507,Orders!$A:$J,3,FALSE),""))</f>
        <v/>
      </c>
      <c r="F507" s="40" t="str">
        <f>IF($C507="","",IFERROR(VLOOKUP($C507,Orders!$A:$J,4,FALSE),""))</f>
        <v/>
      </c>
      <c r="G507" s="40" t="str">
        <f>IF($C507="","",IFERROR(VLOOKUP($C507,Orders!$A:$J,5,FALSE),""))</f>
        <v/>
      </c>
      <c r="H507" s="40" t="str">
        <f>IF($C507="","",IFERROR(VLOOKUP($C507,Orders!$A:$J,6,FALSE),""))</f>
        <v/>
      </c>
      <c r="I507" s="40" t="str">
        <f>IF($C507="","",IFERROR(VLOOKUP($C507,Orders!$A:$J,7,FALSE),""))</f>
        <v/>
      </c>
      <c r="J507" s="40" t="str">
        <f>IF(Bids!$C507="","",Bids!$C507)</f>
        <v/>
      </c>
      <c r="K507" s="40" t="str">
        <f>IF($J507="","",IFERROR(VLOOKUP($J507,Grinders!$A:$N,2,FALSE),""))</f>
        <v/>
      </c>
      <c r="L507" s="40" t="str">
        <f>IF($J507="","",IFERROR(VLOOKUP($J507,Grinders!$A:$N,3,FALSE),""))</f>
        <v/>
      </c>
      <c r="M507" s="40" t="str">
        <f>IF($J507="","",IFERROR(VLOOKUP($J507,Grinders!$A:$N,4,FALSE),""))</f>
        <v/>
      </c>
      <c r="N507" s="40" t="str">
        <f>IF($J507="","",IFERROR(VLOOKUP($J507,Grinders!$A:$N,5,FALSE),""))</f>
        <v/>
      </c>
      <c r="O507" s="40" t="str">
        <f t="shared" si="2"/>
        <v/>
      </c>
      <c r="P507" s="40" t="str">
        <f>IF($J507="","",IFERROR(VLOOKUP($J507,Grinders!$A:$N,6,FALSE),""))</f>
        <v/>
      </c>
      <c r="Q507" s="40" t="str">
        <f>IF($J507="","",IFERROR(VLOOKUP($J507,Grinders!$A:$N,8,FALSE),""))</f>
        <v/>
      </c>
      <c r="R507" s="40" t="str">
        <f>IFERROR(IF($J507="","",IF($L507="Elite",MAX(50,MIN(100,Config!$B$27*MAX(0,MIN(100,(1-IF($O507="",0,$O507))*100)) + Config!$B$28*MAX(0,MIN(100,(1-MIN(1,IF(Config!$B$30=0,1,$P507/Config!$B$30)))*100)) + Config!$B$29*MAX(0,MIN(100,MIN(1,IF($Q507="",0,$Q507)/Config!$B$23)*100)))),MIN(100,Config!$B$27*MAX(0,MIN(100,(1-IF($O507="",0,$O507))*100)) + Config!$B$28*MAX(0,MIN(100,(1-MIN(1,IF(Config!$B$30=0,1,$P507/Config!$B$30)))*100)) + Config!$B$29*MAX(0,MIN(100,MIN(1,IF($Q507="",0,$Q507)/Config!$B$23)*100))))),"")
</f>
        <v/>
      </c>
      <c r="S507" s="40" t="str">
        <f>IF(Bids!$D507="","",Bids!$D507)</f>
        <v/>
      </c>
      <c r="T507" s="40" t="str">
        <f>IF(Bids!$F507="","",Bids!$F507)</f>
        <v/>
      </c>
      <c r="U507" s="40" t="str">
        <f t="shared" si="3"/>
        <v/>
      </c>
      <c r="V507" s="40" t="str">
        <f>IF($U507="","",IF(Config!$B$17=Config!$B$16,IF($U507&gt;=Config!$B$17,100,0),MAX(0,MIN(100,($U507-Config!$B$16)/(Config!$B$17-Config!$B$16)*100))))</f>
        <v/>
      </c>
      <c r="W507" s="40">
        <f>IF($L507="Elite",Config!$B$21,0)</f>
        <v>0</v>
      </c>
      <c r="X507" s="40" t="str">
        <f>IFERROR(IF(OR($T507="",$G507=""),"",IF($T507&gt;$G507,
  MAX(0, 60-(($T507-$G507)*24/Config!$B$19)*60),
  MEDIAN(60, 100, 60+(($G507-$T507)*24/Config!$B$20)*40)
)),"")
</f>
        <v/>
      </c>
      <c r="Y507" s="40" t="str">
        <f>IF($J507="","",IFERROR(VLOOKUP($J507,Grinders!$A:$N,10,FALSE),""))</f>
        <v/>
      </c>
      <c r="Z507" s="40" t="str">
        <f>IF($J507="","",IFERROR(VLOOKUP($J507,Grinders!$A:$N,11,FALSE),""))</f>
        <v/>
      </c>
      <c r="AA507" s="40" t="str">
        <f>IF($J507="","",IFERROR(VLOOKUP($J507,Grinders!$A:$N,12,FALSE),""))</f>
        <v/>
      </c>
      <c r="AB507" s="40">
        <f>IFERROR(IF(OR($C507="",$J507=""),0,IF($D507&lt;&gt;"Open",0,IF(COUNTIFS(GrinderServices!$B:$B,$J507,GrinderServices!$C:$C,$E507,GrinderServices!$E:$E,"Y")=0,0,IF($U507&lt;Config!$B$16,0,IF(Config!$B$18=1,IF($N507&gt;=$M507,0,1),1))))),"")</f>
        <v>0</v>
      </c>
      <c r="AC507" s="40" t="str">
        <f>IFERROR(IF($AB507=0,"",((Config!$B$6*$V507 + Config!$B$7*$R507 + Config!$B$8*$W507 + Config!$B$9*$X507 + Config!$B$10*$Y507 + Config!$B$11*$Z507 - Config!$B$12*$AA507)/Config!$B$13)+$AH507+$AI507),"")</f>
        <v/>
      </c>
      <c r="AD507" s="40" t="str">
        <f t="shared" si="4"/>
        <v/>
      </c>
      <c r="AE507" s="40" t="str">
        <f>IFERROR(__xludf.DUMMYFUNCTION("IF($AC507="""","""",IF($AC507=IFERROR(MAX(FILTER($AC$6:$AC$1000,$C$6:$C$1000=$C507,$AB$6:$AB$1000=1)),),""WINNER"",""""))"),"")</f>
        <v/>
      </c>
      <c r="AF507" s="40" t="str">
        <f t="shared" si="5"/>
        <v/>
      </c>
      <c r="AG507" s="40" t="str">
        <f>IF($J507="","",COUNTIF(Assignments!$B:$B,$J507))</f>
        <v/>
      </c>
      <c r="AH507" s="40" t="str">
        <f>IF($J507="","",IF(AND($AG507=0,$N507&lt;$M507),Config!$B$43,0))</f>
        <v/>
      </c>
      <c r="AI507" s="40" t="str">
        <f>IF($J507="","",IF(AND($L507="Elite",$F507&gt;=Config!$B$41,$N507&lt;$M507),Config!$B$42,0))</f>
        <v/>
      </c>
      <c r="AJ507" s="22"/>
    </row>
    <row r="508" ht="15.75" customHeight="1">
      <c r="A508" s="40" t="str">
        <f t="shared" si="1"/>
        <v/>
      </c>
      <c r="B508" s="40" t="str">
        <f>IF(Bids!$A508="","",Bids!$A508)</f>
        <v/>
      </c>
      <c r="C508" s="40" t="str">
        <f>IF(Bids!$B508="","",Bids!$B508)</f>
        <v/>
      </c>
      <c r="D508" s="40" t="str">
        <f>IF($C508="","",IFERROR(VLOOKUP($C508,Orders!$A:$J,9,FALSE),""))</f>
        <v/>
      </c>
      <c r="E508" s="40" t="str">
        <f>IF($C508="","",IFERROR(VLOOKUP($C508,Orders!$A:$J,3,FALSE),""))</f>
        <v/>
      </c>
      <c r="F508" s="40" t="str">
        <f>IF($C508="","",IFERROR(VLOOKUP($C508,Orders!$A:$J,4,FALSE),""))</f>
        <v/>
      </c>
      <c r="G508" s="40" t="str">
        <f>IF($C508="","",IFERROR(VLOOKUP($C508,Orders!$A:$J,5,FALSE),""))</f>
        <v/>
      </c>
      <c r="H508" s="40" t="str">
        <f>IF($C508="","",IFERROR(VLOOKUP($C508,Orders!$A:$J,6,FALSE),""))</f>
        <v/>
      </c>
      <c r="I508" s="40" t="str">
        <f>IF($C508="","",IFERROR(VLOOKUP($C508,Orders!$A:$J,7,FALSE),""))</f>
        <v/>
      </c>
      <c r="J508" s="40" t="str">
        <f>IF(Bids!$C508="","",Bids!$C508)</f>
        <v/>
      </c>
      <c r="K508" s="40" t="str">
        <f>IF($J508="","",IFERROR(VLOOKUP($J508,Grinders!$A:$N,2,FALSE),""))</f>
        <v/>
      </c>
      <c r="L508" s="40" t="str">
        <f>IF($J508="","",IFERROR(VLOOKUP($J508,Grinders!$A:$N,3,FALSE),""))</f>
        <v/>
      </c>
      <c r="M508" s="40" t="str">
        <f>IF($J508="","",IFERROR(VLOOKUP($J508,Grinders!$A:$N,4,FALSE),""))</f>
        <v/>
      </c>
      <c r="N508" s="40" t="str">
        <f>IF($J508="","",IFERROR(VLOOKUP($J508,Grinders!$A:$N,5,FALSE),""))</f>
        <v/>
      </c>
      <c r="O508" s="40" t="str">
        <f t="shared" si="2"/>
        <v/>
      </c>
      <c r="P508" s="40" t="str">
        <f>IF($J508="","",IFERROR(VLOOKUP($J508,Grinders!$A:$N,6,FALSE),""))</f>
        <v/>
      </c>
      <c r="Q508" s="40" t="str">
        <f>IF($J508="","",IFERROR(VLOOKUP($J508,Grinders!$A:$N,8,FALSE),""))</f>
        <v/>
      </c>
      <c r="R508" s="40" t="str">
        <f>IFERROR(IF($J508="","",IF($L508="Elite",MAX(50,MIN(100,Config!$B$27*MAX(0,MIN(100,(1-IF($O508="",0,$O508))*100)) + Config!$B$28*MAX(0,MIN(100,(1-MIN(1,IF(Config!$B$30=0,1,$P508/Config!$B$30)))*100)) + Config!$B$29*MAX(0,MIN(100,MIN(1,IF($Q508="",0,$Q508)/Config!$B$23)*100)))),MIN(100,Config!$B$27*MAX(0,MIN(100,(1-IF($O508="",0,$O508))*100)) + Config!$B$28*MAX(0,MIN(100,(1-MIN(1,IF(Config!$B$30=0,1,$P508/Config!$B$30)))*100)) + Config!$B$29*MAX(0,MIN(100,MIN(1,IF($Q508="",0,$Q508)/Config!$B$23)*100))))),"")
</f>
        <v/>
      </c>
      <c r="S508" s="40" t="str">
        <f>IF(Bids!$D508="","",Bids!$D508)</f>
        <v/>
      </c>
      <c r="T508" s="40" t="str">
        <f>IF(Bids!$F508="","",Bids!$F508)</f>
        <v/>
      </c>
      <c r="U508" s="40" t="str">
        <f t="shared" si="3"/>
        <v/>
      </c>
      <c r="V508" s="40" t="str">
        <f>IF($U508="","",IF(Config!$B$17=Config!$B$16,IF($U508&gt;=Config!$B$17,100,0),MAX(0,MIN(100,($U508-Config!$B$16)/(Config!$B$17-Config!$B$16)*100))))</f>
        <v/>
      </c>
      <c r="W508" s="40">
        <f>IF($L508="Elite",Config!$B$21,0)</f>
        <v>0</v>
      </c>
      <c r="X508" s="40" t="str">
        <f>IFERROR(IF(OR($T508="",$G508=""),"",IF($T508&gt;$G508,
  MAX(0, 60-(($T508-$G508)*24/Config!$B$19)*60),
  MEDIAN(60, 100, 60+(($G508-$T508)*24/Config!$B$20)*40)
)),"")
</f>
        <v/>
      </c>
      <c r="Y508" s="40" t="str">
        <f>IF($J508="","",IFERROR(VLOOKUP($J508,Grinders!$A:$N,10,FALSE),""))</f>
        <v/>
      </c>
      <c r="Z508" s="40" t="str">
        <f>IF($J508="","",IFERROR(VLOOKUP($J508,Grinders!$A:$N,11,FALSE),""))</f>
        <v/>
      </c>
      <c r="AA508" s="40" t="str">
        <f>IF($J508="","",IFERROR(VLOOKUP($J508,Grinders!$A:$N,12,FALSE),""))</f>
        <v/>
      </c>
      <c r="AB508" s="40">
        <f>IFERROR(IF(OR($C508="",$J508=""),0,IF($D508&lt;&gt;"Open",0,IF(COUNTIFS(GrinderServices!$B:$B,$J508,GrinderServices!$C:$C,$E508,GrinderServices!$E:$E,"Y")=0,0,IF($U508&lt;Config!$B$16,0,IF(Config!$B$18=1,IF($N508&gt;=$M508,0,1),1))))),"")</f>
        <v>0</v>
      </c>
      <c r="AC508" s="40" t="str">
        <f>IFERROR(IF($AB508=0,"",((Config!$B$6*$V508 + Config!$B$7*$R508 + Config!$B$8*$W508 + Config!$B$9*$X508 + Config!$B$10*$Y508 + Config!$B$11*$Z508 - Config!$B$12*$AA508)/Config!$B$13)+$AH508+$AI508),"")</f>
        <v/>
      </c>
      <c r="AD508" s="40" t="str">
        <f t="shared" si="4"/>
        <v/>
      </c>
      <c r="AE508" s="40" t="str">
        <f>IFERROR(__xludf.DUMMYFUNCTION("IF($AC508="""","""",IF($AC508=IFERROR(MAX(FILTER($AC$6:$AC$1000,$C$6:$C$1000=$C508,$AB$6:$AB$1000=1)),),""WINNER"",""""))"),"")</f>
        <v/>
      </c>
      <c r="AF508" s="40" t="str">
        <f t="shared" si="5"/>
        <v/>
      </c>
      <c r="AG508" s="40" t="str">
        <f>IF($J508="","",COUNTIF(Assignments!$B:$B,$J508))</f>
        <v/>
      </c>
      <c r="AH508" s="40" t="str">
        <f>IF($J508="","",IF(AND($AG508=0,$N508&lt;$M508),Config!$B$43,0))</f>
        <v/>
      </c>
      <c r="AI508" s="40" t="str">
        <f>IF($J508="","",IF(AND($L508="Elite",$F508&gt;=Config!$B$41,$N508&lt;$M508),Config!$B$42,0))</f>
        <v/>
      </c>
      <c r="AJ508" s="22"/>
    </row>
    <row r="509" ht="15.75" customHeight="1">
      <c r="A509" s="40" t="str">
        <f t="shared" si="1"/>
        <v/>
      </c>
      <c r="B509" s="40" t="str">
        <f>IF(Bids!$A509="","",Bids!$A509)</f>
        <v/>
      </c>
      <c r="C509" s="40" t="str">
        <f>IF(Bids!$B509="","",Bids!$B509)</f>
        <v/>
      </c>
      <c r="D509" s="40" t="str">
        <f>IF($C509="","",IFERROR(VLOOKUP($C509,Orders!$A:$J,9,FALSE),""))</f>
        <v/>
      </c>
      <c r="E509" s="40" t="str">
        <f>IF($C509="","",IFERROR(VLOOKUP($C509,Orders!$A:$J,3,FALSE),""))</f>
        <v/>
      </c>
      <c r="F509" s="40" t="str">
        <f>IF($C509="","",IFERROR(VLOOKUP($C509,Orders!$A:$J,4,FALSE),""))</f>
        <v/>
      </c>
      <c r="G509" s="40" t="str">
        <f>IF($C509="","",IFERROR(VLOOKUP($C509,Orders!$A:$J,5,FALSE),""))</f>
        <v/>
      </c>
      <c r="H509" s="40" t="str">
        <f>IF($C509="","",IFERROR(VLOOKUP($C509,Orders!$A:$J,6,FALSE),""))</f>
        <v/>
      </c>
      <c r="I509" s="40" t="str">
        <f>IF($C509="","",IFERROR(VLOOKUP($C509,Orders!$A:$J,7,FALSE),""))</f>
        <v/>
      </c>
      <c r="J509" s="40" t="str">
        <f>IF(Bids!$C509="","",Bids!$C509)</f>
        <v/>
      </c>
      <c r="K509" s="40" t="str">
        <f>IF($J509="","",IFERROR(VLOOKUP($J509,Grinders!$A:$N,2,FALSE),""))</f>
        <v/>
      </c>
      <c r="L509" s="40" t="str">
        <f>IF($J509="","",IFERROR(VLOOKUP($J509,Grinders!$A:$N,3,FALSE),""))</f>
        <v/>
      </c>
      <c r="M509" s="40" t="str">
        <f>IF($J509="","",IFERROR(VLOOKUP($J509,Grinders!$A:$N,4,FALSE),""))</f>
        <v/>
      </c>
      <c r="N509" s="40" t="str">
        <f>IF($J509="","",IFERROR(VLOOKUP($J509,Grinders!$A:$N,5,FALSE),""))</f>
        <v/>
      </c>
      <c r="O509" s="40" t="str">
        <f t="shared" si="2"/>
        <v/>
      </c>
      <c r="P509" s="40" t="str">
        <f>IF($J509="","",IFERROR(VLOOKUP($J509,Grinders!$A:$N,6,FALSE),""))</f>
        <v/>
      </c>
      <c r="Q509" s="40" t="str">
        <f>IF($J509="","",IFERROR(VLOOKUP($J509,Grinders!$A:$N,8,FALSE),""))</f>
        <v/>
      </c>
      <c r="R509" s="40" t="str">
        <f>IFERROR(IF($J509="","",IF($L509="Elite",MAX(50,MIN(100,Config!$B$27*MAX(0,MIN(100,(1-IF($O509="",0,$O509))*100)) + Config!$B$28*MAX(0,MIN(100,(1-MIN(1,IF(Config!$B$30=0,1,$P509/Config!$B$30)))*100)) + Config!$B$29*MAX(0,MIN(100,MIN(1,IF($Q509="",0,$Q509)/Config!$B$23)*100)))),MIN(100,Config!$B$27*MAX(0,MIN(100,(1-IF($O509="",0,$O509))*100)) + Config!$B$28*MAX(0,MIN(100,(1-MIN(1,IF(Config!$B$30=0,1,$P509/Config!$B$30)))*100)) + Config!$B$29*MAX(0,MIN(100,MIN(1,IF($Q509="",0,$Q509)/Config!$B$23)*100))))),"")
</f>
        <v/>
      </c>
      <c r="S509" s="40" t="str">
        <f>IF(Bids!$D509="","",Bids!$D509)</f>
        <v/>
      </c>
      <c r="T509" s="40" t="str">
        <f>IF(Bids!$F509="","",Bids!$F509)</f>
        <v/>
      </c>
      <c r="U509" s="40" t="str">
        <f t="shared" si="3"/>
        <v/>
      </c>
      <c r="V509" s="40" t="str">
        <f>IF($U509="","",IF(Config!$B$17=Config!$B$16,IF($U509&gt;=Config!$B$17,100,0),MAX(0,MIN(100,($U509-Config!$B$16)/(Config!$B$17-Config!$B$16)*100))))</f>
        <v/>
      </c>
      <c r="W509" s="40">
        <f>IF($L509="Elite",Config!$B$21,0)</f>
        <v>0</v>
      </c>
      <c r="X509" s="40" t="str">
        <f>IFERROR(IF(OR($T509="",$G509=""),"",IF($T509&gt;$G509,
  MAX(0, 60-(($T509-$G509)*24/Config!$B$19)*60),
  MEDIAN(60, 100, 60+(($G509-$T509)*24/Config!$B$20)*40)
)),"")
</f>
        <v/>
      </c>
      <c r="Y509" s="40" t="str">
        <f>IF($J509="","",IFERROR(VLOOKUP($J509,Grinders!$A:$N,10,FALSE),""))</f>
        <v/>
      </c>
      <c r="Z509" s="40" t="str">
        <f>IF($J509="","",IFERROR(VLOOKUP($J509,Grinders!$A:$N,11,FALSE),""))</f>
        <v/>
      </c>
      <c r="AA509" s="40" t="str">
        <f>IF($J509="","",IFERROR(VLOOKUP($J509,Grinders!$A:$N,12,FALSE),""))</f>
        <v/>
      </c>
      <c r="AB509" s="40">
        <f>IFERROR(IF(OR($C509="",$J509=""),0,IF($D509&lt;&gt;"Open",0,IF(COUNTIFS(GrinderServices!$B:$B,$J509,GrinderServices!$C:$C,$E509,GrinderServices!$E:$E,"Y")=0,0,IF($U509&lt;Config!$B$16,0,IF(Config!$B$18=1,IF($N509&gt;=$M509,0,1),1))))),"")</f>
        <v>0</v>
      </c>
      <c r="AC509" s="40" t="str">
        <f>IFERROR(IF($AB509=0,"",((Config!$B$6*$V509 + Config!$B$7*$R509 + Config!$B$8*$W509 + Config!$B$9*$X509 + Config!$B$10*$Y509 + Config!$B$11*$Z509 - Config!$B$12*$AA509)/Config!$B$13)+$AH509+$AI509),"")</f>
        <v/>
      </c>
      <c r="AD509" s="40" t="str">
        <f t="shared" si="4"/>
        <v/>
      </c>
      <c r="AE509" s="40" t="str">
        <f>IFERROR(__xludf.DUMMYFUNCTION("IF($AC509="""","""",IF($AC509=IFERROR(MAX(FILTER($AC$6:$AC$1000,$C$6:$C$1000=$C509,$AB$6:$AB$1000=1)),),""WINNER"",""""))"),"")</f>
        <v/>
      </c>
      <c r="AF509" s="40" t="str">
        <f t="shared" si="5"/>
        <v/>
      </c>
      <c r="AG509" s="40" t="str">
        <f>IF($J509="","",COUNTIF(Assignments!$B:$B,$J509))</f>
        <v/>
      </c>
      <c r="AH509" s="40" t="str">
        <f>IF($J509="","",IF(AND($AG509=0,$N509&lt;$M509),Config!$B$43,0))</f>
        <v/>
      </c>
      <c r="AI509" s="40" t="str">
        <f>IF($J509="","",IF(AND($L509="Elite",$F509&gt;=Config!$B$41,$N509&lt;$M509),Config!$B$42,0))</f>
        <v/>
      </c>
      <c r="AJ509" s="22"/>
    </row>
    <row r="510" ht="15.75" customHeight="1">
      <c r="A510" s="40" t="str">
        <f t="shared" si="1"/>
        <v/>
      </c>
      <c r="B510" s="40" t="str">
        <f>IF(Bids!$A510="","",Bids!$A510)</f>
        <v/>
      </c>
      <c r="C510" s="40" t="str">
        <f>IF(Bids!$B510="","",Bids!$B510)</f>
        <v/>
      </c>
      <c r="D510" s="40" t="str">
        <f>IF($C510="","",IFERROR(VLOOKUP($C510,Orders!$A:$J,9,FALSE),""))</f>
        <v/>
      </c>
      <c r="E510" s="40" t="str">
        <f>IF($C510="","",IFERROR(VLOOKUP($C510,Orders!$A:$J,3,FALSE),""))</f>
        <v/>
      </c>
      <c r="F510" s="40" t="str">
        <f>IF($C510="","",IFERROR(VLOOKUP($C510,Orders!$A:$J,4,FALSE),""))</f>
        <v/>
      </c>
      <c r="G510" s="40" t="str">
        <f>IF($C510="","",IFERROR(VLOOKUP($C510,Orders!$A:$J,5,FALSE),""))</f>
        <v/>
      </c>
      <c r="H510" s="40" t="str">
        <f>IF($C510="","",IFERROR(VLOOKUP($C510,Orders!$A:$J,6,FALSE),""))</f>
        <v/>
      </c>
      <c r="I510" s="40" t="str">
        <f>IF($C510="","",IFERROR(VLOOKUP($C510,Orders!$A:$J,7,FALSE),""))</f>
        <v/>
      </c>
      <c r="J510" s="40" t="str">
        <f>IF(Bids!$C510="","",Bids!$C510)</f>
        <v/>
      </c>
      <c r="K510" s="40" t="str">
        <f>IF($J510="","",IFERROR(VLOOKUP($J510,Grinders!$A:$N,2,FALSE),""))</f>
        <v/>
      </c>
      <c r="L510" s="40" t="str">
        <f>IF($J510="","",IFERROR(VLOOKUP($J510,Grinders!$A:$N,3,FALSE),""))</f>
        <v/>
      </c>
      <c r="M510" s="40" t="str">
        <f>IF($J510="","",IFERROR(VLOOKUP($J510,Grinders!$A:$N,4,FALSE),""))</f>
        <v/>
      </c>
      <c r="N510" s="40" t="str">
        <f>IF($J510="","",IFERROR(VLOOKUP($J510,Grinders!$A:$N,5,FALSE),""))</f>
        <v/>
      </c>
      <c r="O510" s="40" t="str">
        <f t="shared" si="2"/>
        <v/>
      </c>
      <c r="P510" s="40" t="str">
        <f>IF($J510="","",IFERROR(VLOOKUP($J510,Grinders!$A:$N,6,FALSE),""))</f>
        <v/>
      </c>
      <c r="Q510" s="40" t="str">
        <f>IF($J510="","",IFERROR(VLOOKUP($J510,Grinders!$A:$N,8,FALSE),""))</f>
        <v/>
      </c>
      <c r="R510" s="40" t="str">
        <f>IFERROR(IF($J510="","",IF($L510="Elite",MAX(50,MIN(100,Config!$B$27*MAX(0,MIN(100,(1-IF($O510="",0,$O510))*100)) + Config!$B$28*MAX(0,MIN(100,(1-MIN(1,IF(Config!$B$30=0,1,$P510/Config!$B$30)))*100)) + Config!$B$29*MAX(0,MIN(100,MIN(1,IF($Q510="",0,$Q510)/Config!$B$23)*100)))),MIN(100,Config!$B$27*MAX(0,MIN(100,(1-IF($O510="",0,$O510))*100)) + Config!$B$28*MAX(0,MIN(100,(1-MIN(1,IF(Config!$B$30=0,1,$P510/Config!$B$30)))*100)) + Config!$B$29*MAX(0,MIN(100,MIN(1,IF($Q510="",0,$Q510)/Config!$B$23)*100))))),"")
</f>
        <v/>
      </c>
      <c r="S510" s="40" t="str">
        <f>IF(Bids!$D510="","",Bids!$D510)</f>
        <v/>
      </c>
      <c r="T510" s="40" t="str">
        <f>IF(Bids!$F510="","",Bids!$F510)</f>
        <v/>
      </c>
      <c r="U510" s="40" t="str">
        <f t="shared" si="3"/>
        <v/>
      </c>
      <c r="V510" s="40" t="str">
        <f>IF($U510="","",IF(Config!$B$17=Config!$B$16,IF($U510&gt;=Config!$B$17,100,0),MAX(0,MIN(100,($U510-Config!$B$16)/(Config!$B$17-Config!$B$16)*100))))</f>
        <v/>
      </c>
      <c r="W510" s="40">
        <f>IF($L510="Elite",Config!$B$21,0)</f>
        <v>0</v>
      </c>
      <c r="X510" s="40" t="str">
        <f>IFERROR(IF(OR($T510="",$G510=""),"",IF($T510&gt;$G510,
  MAX(0, 60-(($T510-$G510)*24/Config!$B$19)*60),
  MEDIAN(60, 100, 60+(($G510-$T510)*24/Config!$B$20)*40)
)),"")
</f>
        <v/>
      </c>
      <c r="Y510" s="40" t="str">
        <f>IF($J510="","",IFERROR(VLOOKUP($J510,Grinders!$A:$N,10,FALSE),""))</f>
        <v/>
      </c>
      <c r="Z510" s="40" t="str">
        <f>IF($J510="","",IFERROR(VLOOKUP($J510,Grinders!$A:$N,11,FALSE),""))</f>
        <v/>
      </c>
      <c r="AA510" s="40" t="str">
        <f>IF($J510="","",IFERROR(VLOOKUP($J510,Grinders!$A:$N,12,FALSE),""))</f>
        <v/>
      </c>
      <c r="AB510" s="40">
        <f>IFERROR(IF(OR($C510="",$J510=""),0,IF($D510&lt;&gt;"Open",0,IF(COUNTIFS(GrinderServices!$B:$B,$J510,GrinderServices!$C:$C,$E510,GrinderServices!$E:$E,"Y")=0,0,IF($U510&lt;Config!$B$16,0,IF(Config!$B$18=1,IF($N510&gt;=$M510,0,1),1))))),"")</f>
        <v>0</v>
      </c>
      <c r="AC510" s="40" t="str">
        <f>IFERROR(IF($AB510=0,"",((Config!$B$6*$V510 + Config!$B$7*$R510 + Config!$B$8*$W510 + Config!$B$9*$X510 + Config!$B$10*$Y510 + Config!$B$11*$Z510 - Config!$B$12*$AA510)/Config!$B$13)+$AH510+$AI510),"")</f>
        <v/>
      </c>
      <c r="AD510" s="40" t="str">
        <f t="shared" si="4"/>
        <v/>
      </c>
      <c r="AE510" s="40" t="str">
        <f>IFERROR(__xludf.DUMMYFUNCTION("IF($AC510="""","""",IF($AC510=IFERROR(MAX(FILTER($AC$6:$AC$1000,$C$6:$C$1000=$C510,$AB$6:$AB$1000=1)),),""WINNER"",""""))"),"")</f>
        <v/>
      </c>
      <c r="AF510" s="40" t="str">
        <f t="shared" si="5"/>
        <v/>
      </c>
      <c r="AG510" s="40" t="str">
        <f>IF($J510="","",COUNTIF(Assignments!$B:$B,$J510))</f>
        <v/>
      </c>
      <c r="AH510" s="40" t="str">
        <f>IF($J510="","",IF(AND($AG510=0,$N510&lt;$M510),Config!$B$43,0))</f>
        <v/>
      </c>
      <c r="AI510" s="40" t="str">
        <f>IF($J510="","",IF(AND($L510="Elite",$F510&gt;=Config!$B$41,$N510&lt;$M510),Config!$B$42,0))</f>
        <v/>
      </c>
      <c r="AJ510" s="22"/>
    </row>
    <row r="511" ht="15.75" customHeight="1">
      <c r="A511" s="40" t="str">
        <f t="shared" si="1"/>
        <v/>
      </c>
      <c r="B511" s="40" t="str">
        <f>IF(Bids!$A511="","",Bids!$A511)</f>
        <v/>
      </c>
      <c r="C511" s="40" t="str">
        <f>IF(Bids!$B511="","",Bids!$B511)</f>
        <v/>
      </c>
      <c r="D511" s="40" t="str">
        <f>IF($C511="","",IFERROR(VLOOKUP($C511,Orders!$A:$J,9,FALSE),""))</f>
        <v/>
      </c>
      <c r="E511" s="40" t="str">
        <f>IF($C511="","",IFERROR(VLOOKUP($C511,Orders!$A:$J,3,FALSE),""))</f>
        <v/>
      </c>
      <c r="F511" s="40" t="str">
        <f>IF($C511="","",IFERROR(VLOOKUP($C511,Orders!$A:$J,4,FALSE),""))</f>
        <v/>
      </c>
      <c r="G511" s="40" t="str">
        <f>IF($C511="","",IFERROR(VLOOKUP($C511,Orders!$A:$J,5,FALSE),""))</f>
        <v/>
      </c>
      <c r="H511" s="40" t="str">
        <f>IF($C511="","",IFERROR(VLOOKUP($C511,Orders!$A:$J,6,FALSE),""))</f>
        <v/>
      </c>
      <c r="I511" s="40" t="str">
        <f>IF($C511="","",IFERROR(VLOOKUP($C511,Orders!$A:$J,7,FALSE),""))</f>
        <v/>
      </c>
      <c r="J511" s="40" t="str">
        <f>IF(Bids!$C511="","",Bids!$C511)</f>
        <v/>
      </c>
      <c r="K511" s="40" t="str">
        <f>IF($J511="","",IFERROR(VLOOKUP($J511,Grinders!$A:$N,2,FALSE),""))</f>
        <v/>
      </c>
      <c r="L511" s="40" t="str">
        <f>IF($J511="","",IFERROR(VLOOKUP($J511,Grinders!$A:$N,3,FALSE),""))</f>
        <v/>
      </c>
      <c r="M511" s="40" t="str">
        <f>IF($J511="","",IFERROR(VLOOKUP($J511,Grinders!$A:$N,4,FALSE),""))</f>
        <v/>
      </c>
      <c r="N511" s="40" t="str">
        <f>IF($J511="","",IFERROR(VLOOKUP($J511,Grinders!$A:$N,5,FALSE),""))</f>
        <v/>
      </c>
      <c r="O511" s="40" t="str">
        <f t="shared" si="2"/>
        <v/>
      </c>
      <c r="P511" s="40" t="str">
        <f>IF($J511="","",IFERROR(VLOOKUP($J511,Grinders!$A:$N,6,FALSE),""))</f>
        <v/>
      </c>
      <c r="Q511" s="40" t="str">
        <f>IF($J511="","",IFERROR(VLOOKUP($J511,Grinders!$A:$N,8,FALSE),""))</f>
        <v/>
      </c>
      <c r="R511" s="40" t="str">
        <f>IFERROR(IF($J511="","",IF($L511="Elite",MAX(50,MIN(100,Config!$B$27*MAX(0,MIN(100,(1-IF($O511="",0,$O511))*100)) + Config!$B$28*MAX(0,MIN(100,(1-MIN(1,IF(Config!$B$30=0,1,$P511/Config!$B$30)))*100)) + Config!$B$29*MAX(0,MIN(100,MIN(1,IF($Q511="",0,$Q511)/Config!$B$23)*100)))),MIN(100,Config!$B$27*MAX(0,MIN(100,(1-IF($O511="",0,$O511))*100)) + Config!$B$28*MAX(0,MIN(100,(1-MIN(1,IF(Config!$B$30=0,1,$P511/Config!$B$30)))*100)) + Config!$B$29*MAX(0,MIN(100,MIN(1,IF($Q511="",0,$Q511)/Config!$B$23)*100))))),"")
</f>
        <v/>
      </c>
      <c r="S511" s="40" t="str">
        <f>IF(Bids!$D511="","",Bids!$D511)</f>
        <v/>
      </c>
      <c r="T511" s="40" t="str">
        <f>IF(Bids!$F511="","",Bids!$F511)</f>
        <v/>
      </c>
      <c r="U511" s="40" t="str">
        <f t="shared" si="3"/>
        <v/>
      </c>
      <c r="V511" s="40" t="str">
        <f>IF($U511="","",IF(Config!$B$17=Config!$B$16,IF($U511&gt;=Config!$B$17,100,0),MAX(0,MIN(100,($U511-Config!$B$16)/(Config!$B$17-Config!$B$16)*100))))</f>
        <v/>
      </c>
      <c r="W511" s="40">
        <f>IF($L511="Elite",Config!$B$21,0)</f>
        <v>0</v>
      </c>
      <c r="X511" s="40" t="str">
        <f>IFERROR(IF(OR($T511="",$G511=""),"",IF($T511&gt;$G511,
  MAX(0, 60-(($T511-$G511)*24/Config!$B$19)*60),
  MEDIAN(60, 100, 60+(($G511-$T511)*24/Config!$B$20)*40)
)),"")
</f>
        <v/>
      </c>
      <c r="Y511" s="40" t="str">
        <f>IF($J511="","",IFERROR(VLOOKUP($J511,Grinders!$A:$N,10,FALSE),""))</f>
        <v/>
      </c>
      <c r="Z511" s="40" t="str">
        <f>IF($J511="","",IFERROR(VLOOKUP($J511,Grinders!$A:$N,11,FALSE),""))</f>
        <v/>
      </c>
      <c r="AA511" s="40" t="str">
        <f>IF($J511="","",IFERROR(VLOOKUP($J511,Grinders!$A:$N,12,FALSE),""))</f>
        <v/>
      </c>
      <c r="AB511" s="40">
        <f>IFERROR(IF(OR($C511="",$J511=""),0,IF($D511&lt;&gt;"Open",0,IF(COUNTIFS(GrinderServices!$B:$B,$J511,GrinderServices!$C:$C,$E511,GrinderServices!$E:$E,"Y")=0,0,IF($U511&lt;Config!$B$16,0,IF(Config!$B$18=1,IF($N511&gt;=$M511,0,1),1))))),"")</f>
        <v>0</v>
      </c>
      <c r="AC511" s="40" t="str">
        <f>IFERROR(IF($AB511=0,"",((Config!$B$6*$V511 + Config!$B$7*$R511 + Config!$B$8*$W511 + Config!$B$9*$X511 + Config!$B$10*$Y511 + Config!$B$11*$Z511 - Config!$B$12*$AA511)/Config!$B$13)+$AH511+$AI511),"")</f>
        <v/>
      </c>
      <c r="AD511" s="40" t="str">
        <f t="shared" si="4"/>
        <v/>
      </c>
      <c r="AE511" s="40" t="str">
        <f>IFERROR(__xludf.DUMMYFUNCTION("IF($AC511="""","""",IF($AC511=IFERROR(MAX(FILTER($AC$6:$AC$1000,$C$6:$C$1000=$C511,$AB$6:$AB$1000=1)),),""WINNER"",""""))"),"")</f>
        <v/>
      </c>
      <c r="AF511" s="40" t="str">
        <f t="shared" si="5"/>
        <v/>
      </c>
      <c r="AG511" s="40" t="str">
        <f>IF($J511="","",COUNTIF(Assignments!$B:$B,$J511))</f>
        <v/>
      </c>
      <c r="AH511" s="40" t="str">
        <f>IF($J511="","",IF(AND($AG511=0,$N511&lt;$M511),Config!$B$43,0))</f>
        <v/>
      </c>
      <c r="AI511" s="40" t="str">
        <f>IF($J511="","",IF(AND($L511="Elite",$F511&gt;=Config!$B$41,$N511&lt;$M511),Config!$B$42,0))</f>
        <v/>
      </c>
      <c r="AJ511" s="22"/>
    </row>
    <row r="512" ht="15.75" customHeight="1">
      <c r="A512" s="40" t="str">
        <f t="shared" si="1"/>
        <v/>
      </c>
      <c r="B512" s="40" t="str">
        <f>IF(Bids!$A512="","",Bids!$A512)</f>
        <v/>
      </c>
      <c r="C512" s="40" t="str">
        <f>IF(Bids!$B512="","",Bids!$B512)</f>
        <v/>
      </c>
      <c r="D512" s="40" t="str">
        <f>IF($C512="","",IFERROR(VLOOKUP($C512,Orders!$A:$J,9,FALSE),""))</f>
        <v/>
      </c>
      <c r="E512" s="40" t="str">
        <f>IF($C512="","",IFERROR(VLOOKUP($C512,Orders!$A:$J,3,FALSE),""))</f>
        <v/>
      </c>
      <c r="F512" s="40" t="str">
        <f>IF($C512="","",IFERROR(VLOOKUP($C512,Orders!$A:$J,4,FALSE),""))</f>
        <v/>
      </c>
      <c r="G512" s="40" t="str">
        <f>IF($C512="","",IFERROR(VLOOKUP($C512,Orders!$A:$J,5,FALSE),""))</f>
        <v/>
      </c>
      <c r="H512" s="40" t="str">
        <f>IF($C512="","",IFERROR(VLOOKUP($C512,Orders!$A:$J,6,FALSE),""))</f>
        <v/>
      </c>
      <c r="I512" s="40" t="str">
        <f>IF($C512="","",IFERROR(VLOOKUP($C512,Orders!$A:$J,7,FALSE),""))</f>
        <v/>
      </c>
      <c r="J512" s="40" t="str">
        <f>IF(Bids!$C512="","",Bids!$C512)</f>
        <v/>
      </c>
      <c r="K512" s="40" t="str">
        <f>IF($J512="","",IFERROR(VLOOKUP($J512,Grinders!$A:$N,2,FALSE),""))</f>
        <v/>
      </c>
      <c r="L512" s="40" t="str">
        <f>IF($J512="","",IFERROR(VLOOKUP($J512,Grinders!$A:$N,3,FALSE),""))</f>
        <v/>
      </c>
      <c r="M512" s="40" t="str">
        <f>IF($J512="","",IFERROR(VLOOKUP($J512,Grinders!$A:$N,4,FALSE),""))</f>
        <v/>
      </c>
      <c r="N512" s="40" t="str">
        <f>IF($J512="","",IFERROR(VLOOKUP($J512,Grinders!$A:$N,5,FALSE),""))</f>
        <v/>
      </c>
      <c r="O512" s="40" t="str">
        <f t="shared" si="2"/>
        <v/>
      </c>
      <c r="P512" s="40" t="str">
        <f>IF($J512="","",IFERROR(VLOOKUP($J512,Grinders!$A:$N,6,FALSE),""))</f>
        <v/>
      </c>
      <c r="Q512" s="40" t="str">
        <f>IF($J512="","",IFERROR(VLOOKUP($J512,Grinders!$A:$N,8,FALSE),""))</f>
        <v/>
      </c>
      <c r="R512" s="40" t="str">
        <f>IFERROR(IF($J512="","",IF($L512="Elite",MAX(50,MIN(100,Config!$B$27*MAX(0,MIN(100,(1-IF($O512="",0,$O512))*100)) + Config!$B$28*MAX(0,MIN(100,(1-MIN(1,IF(Config!$B$30=0,1,$P512/Config!$B$30)))*100)) + Config!$B$29*MAX(0,MIN(100,MIN(1,IF($Q512="",0,$Q512)/Config!$B$23)*100)))),MIN(100,Config!$B$27*MAX(0,MIN(100,(1-IF($O512="",0,$O512))*100)) + Config!$B$28*MAX(0,MIN(100,(1-MIN(1,IF(Config!$B$30=0,1,$P512/Config!$B$30)))*100)) + Config!$B$29*MAX(0,MIN(100,MIN(1,IF($Q512="",0,$Q512)/Config!$B$23)*100))))),"")
</f>
        <v/>
      </c>
      <c r="S512" s="40" t="str">
        <f>IF(Bids!$D512="","",Bids!$D512)</f>
        <v/>
      </c>
      <c r="T512" s="40" t="str">
        <f>IF(Bids!$F512="","",Bids!$F512)</f>
        <v/>
      </c>
      <c r="U512" s="40" t="str">
        <f t="shared" si="3"/>
        <v/>
      </c>
      <c r="V512" s="40" t="str">
        <f>IF($U512="","",IF(Config!$B$17=Config!$B$16,IF($U512&gt;=Config!$B$17,100,0),MAX(0,MIN(100,($U512-Config!$B$16)/(Config!$B$17-Config!$B$16)*100))))</f>
        <v/>
      </c>
      <c r="W512" s="40">
        <f>IF($L512="Elite",Config!$B$21,0)</f>
        <v>0</v>
      </c>
      <c r="X512" s="40" t="str">
        <f>IFERROR(IF(OR($T512="",$G512=""),"",IF($T512&gt;$G512,
  MAX(0, 60-(($T512-$G512)*24/Config!$B$19)*60),
  MEDIAN(60, 100, 60+(($G512-$T512)*24/Config!$B$20)*40)
)),"")
</f>
        <v/>
      </c>
      <c r="Y512" s="40" t="str">
        <f>IF($J512="","",IFERROR(VLOOKUP($J512,Grinders!$A:$N,10,FALSE),""))</f>
        <v/>
      </c>
      <c r="Z512" s="40" t="str">
        <f>IF($J512="","",IFERROR(VLOOKUP($J512,Grinders!$A:$N,11,FALSE),""))</f>
        <v/>
      </c>
      <c r="AA512" s="40" t="str">
        <f>IF($J512="","",IFERROR(VLOOKUP($J512,Grinders!$A:$N,12,FALSE),""))</f>
        <v/>
      </c>
      <c r="AB512" s="40">
        <f>IFERROR(IF(OR($C512="",$J512=""),0,IF($D512&lt;&gt;"Open",0,IF(COUNTIFS(GrinderServices!$B:$B,$J512,GrinderServices!$C:$C,$E512,GrinderServices!$E:$E,"Y")=0,0,IF($U512&lt;Config!$B$16,0,IF(Config!$B$18=1,IF($N512&gt;=$M512,0,1),1))))),"")</f>
        <v>0</v>
      </c>
      <c r="AC512" s="40" t="str">
        <f>IFERROR(IF($AB512=0,"",((Config!$B$6*$V512 + Config!$B$7*$R512 + Config!$B$8*$W512 + Config!$B$9*$X512 + Config!$B$10*$Y512 + Config!$B$11*$Z512 - Config!$B$12*$AA512)/Config!$B$13)+$AH512+$AI512),"")</f>
        <v/>
      </c>
      <c r="AD512" s="40" t="str">
        <f t="shared" si="4"/>
        <v/>
      </c>
      <c r="AE512" s="40" t="str">
        <f>IFERROR(__xludf.DUMMYFUNCTION("IF($AC512="""","""",IF($AC512=IFERROR(MAX(FILTER($AC$6:$AC$1000,$C$6:$C$1000=$C512,$AB$6:$AB$1000=1)),),""WINNER"",""""))"),"")</f>
        <v/>
      </c>
      <c r="AF512" s="40" t="str">
        <f t="shared" si="5"/>
        <v/>
      </c>
      <c r="AG512" s="40" t="str">
        <f>IF($J512="","",COUNTIF(Assignments!$B:$B,$J512))</f>
        <v/>
      </c>
      <c r="AH512" s="40" t="str">
        <f>IF($J512="","",IF(AND($AG512=0,$N512&lt;$M512),Config!$B$43,0))</f>
        <v/>
      </c>
      <c r="AI512" s="40" t="str">
        <f>IF($J512="","",IF(AND($L512="Elite",$F512&gt;=Config!$B$41,$N512&lt;$M512),Config!$B$42,0))</f>
        <v/>
      </c>
      <c r="AJ512" s="22"/>
    </row>
    <row r="513" ht="15.75" customHeight="1">
      <c r="A513" s="40" t="str">
        <f t="shared" si="1"/>
        <v/>
      </c>
      <c r="B513" s="40" t="str">
        <f>IF(Bids!$A513="","",Bids!$A513)</f>
        <v/>
      </c>
      <c r="C513" s="40" t="str">
        <f>IF(Bids!$B513="","",Bids!$B513)</f>
        <v/>
      </c>
      <c r="D513" s="40" t="str">
        <f>IF($C513="","",IFERROR(VLOOKUP($C513,Orders!$A:$J,9,FALSE),""))</f>
        <v/>
      </c>
      <c r="E513" s="40" t="str">
        <f>IF($C513="","",IFERROR(VLOOKUP($C513,Orders!$A:$J,3,FALSE),""))</f>
        <v/>
      </c>
      <c r="F513" s="40" t="str">
        <f>IF($C513="","",IFERROR(VLOOKUP($C513,Orders!$A:$J,4,FALSE),""))</f>
        <v/>
      </c>
      <c r="G513" s="40" t="str">
        <f>IF($C513="","",IFERROR(VLOOKUP($C513,Orders!$A:$J,5,FALSE),""))</f>
        <v/>
      </c>
      <c r="H513" s="40" t="str">
        <f>IF($C513="","",IFERROR(VLOOKUP($C513,Orders!$A:$J,6,FALSE),""))</f>
        <v/>
      </c>
      <c r="I513" s="40" t="str">
        <f>IF($C513="","",IFERROR(VLOOKUP($C513,Orders!$A:$J,7,FALSE),""))</f>
        <v/>
      </c>
      <c r="J513" s="40" t="str">
        <f>IF(Bids!$C513="","",Bids!$C513)</f>
        <v/>
      </c>
      <c r="K513" s="40" t="str">
        <f>IF($J513="","",IFERROR(VLOOKUP($J513,Grinders!$A:$N,2,FALSE),""))</f>
        <v/>
      </c>
      <c r="L513" s="40" t="str">
        <f>IF($J513="","",IFERROR(VLOOKUP($J513,Grinders!$A:$N,3,FALSE),""))</f>
        <v/>
      </c>
      <c r="M513" s="40" t="str">
        <f>IF($J513="","",IFERROR(VLOOKUP($J513,Grinders!$A:$N,4,FALSE),""))</f>
        <v/>
      </c>
      <c r="N513" s="40" t="str">
        <f>IF($J513="","",IFERROR(VLOOKUP($J513,Grinders!$A:$N,5,FALSE),""))</f>
        <v/>
      </c>
      <c r="O513" s="40" t="str">
        <f t="shared" si="2"/>
        <v/>
      </c>
      <c r="P513" s="40" t="str">
        <f>IF($J513="","",IFERROR(VLOOKUP($J513,Grinders!$A:$N,6,FALSE),""))</f>
        <v/>
      </c>
      <c r="Q513" s="40" t="str">
        <f>IF($J513="","",IFERROR(VLOOKUP($J513,Grinders!$A:$N,8,FALSE),""))</f>
        <v/>
      </c>
      <c r="R513" s="40" t="str">
        <f>IFERROR(IF($J513="","",IF($L513="Elite",MAX(50,MIN(100,Config!$B$27*MAX(0,MIN(100,(1-IF($O513="",0,$O513))*100)) + Config!$B$28*MAX(0,MIN(100,(1-MIN(1,IF(Config!$B$30=0,1,$P513/Config!$B$30)))*100)) + Config!$B$29*MAX(0,MIN(100,MIN(1,IF($Q513="",0,$Q513)/Config!$B$23)*100)))),MIN(100,Config!$B$27*MAX(0,MIN(100,(1-IF($O513="",0,$O513))*100)) + Config!$B$28*MAX(0,MIN(100,(1-MIN(1,IF(Config!$B$30=0,1,$P513/Config!$B$30)))*100)) + Config!$B$29*MAX(0,MIN(100,MIN(1,IF($Q513="",0,$Q513)/Config!$B$23)*100))))),"")
</f>
        <v/>
      </c>
      <c r="S513" s="40" t="str">
        <f>IF(Bids!$D513="","",Bids!$D513)</f>
        <v/>
      </c>
      <c r="T513" s="40" t="str">
        <f>IF(Bids!$F513="","",Bids!$F513)</f>
        <v/>
      </c>
      <c r="U513" s="40" t="str">
        <f t="shared" si="3"/>
        <v/>
      </c>
      <c r="V513" s="40" t="str">
        <f>IF($U513="","",IF(Config!$B$17=Config!$B$16,IF($U513&gt;=Config!$B$17,100,0),MAX(0,MIN(100,($U513-Config!$B$16)/(Config!$B$17-Config!$B$16)*100))))</f>
        <v/>
      </c>
      <c r="W513" s="40">
        <f>IF($L513="Elite",Config!$B$21,0)</f>
        <v>0</v>
      </c>
      <c r="X513" s="40" t="str">
        <f>IFERROR(IF(OR($T513="",$G513=""),"",IF($T513&gt;$G513,
  MAX(0, 60-(($T513-$G513)*24/Config!$B$19)*60),
  MEDIAN(60, 100, 60+(($G513-$T513)*24/Config!$B$20)*40)
)),"")
</f>
        <v/>
      </c>
      <c r="Y513" s="40" t="str">
        <f>IF($J513="","",IFERROR(VLOOKUP($J513,Grinders!$A:$N,10,FALSE),""))</f>
        <v/>
      </c>
      <c r="Z513" s="40" t="str">
        <f>IF($J513="","",IFERROR(VLOOKUP($J513,Grinders!$A:$N,11,FALSE),""))</f>
        <v/>
      </c>
      <c r="AA513" s="40" t="str">
        <f>IF($J513="","",IFERROR(VLOOKUP($J513,Grinders!$A:$N,12,FALSE),""))</f>
        <v/>
      </c>
      <c r="AB513" s="40">
        <f>IFERROR(IF(OR($C513="",$J513=""),0,IF($D513&lt;&gt;"Open",0,IF(COUNTIFS(GrinderServices!$B:$B,$J513,GrinderServices!$C:$C,$E513,GrinderServices!$E:$E,"Y")=0,0,IF($U513&lt;Config!$B$16,0,IF(Config!$B$18=1,IF($N513&gt;=$M513,0,1),1))))),"")</f>
        <v>0</v>
      </c>
      <c r="AC513" s="40" t="str">
        <f>IFERROR(IF($AB513=0,"",((Config!$B$6*$V513 + Config!$B$7*$R513 + Config!$B$8*$W513 + Config!$B$9*$X513 + Config!$B$10*$Y513 + Config!$B$11*$Z513 - Config!$B$12*$AA513)/Config!$B$13)+$AH513+$AI513),"")</f>
        <v/>
      </c>
      <c r="AD513" s="40" t="str">
        <f t="shared" si="4"/>
        <v/>
      </c>
      <c r="AE513" s="40" t="str">
        <f>IFERROR(__xludf.DUMMYFUNCTION("IF($AC513="""","""",IF($AC513=IFERROR(MAX(FILTER($AC$6:$AC$1000,$C$6:$C$1000=$C513,$AB$6:$AB$1000=1)),),""WINNER"",""""))"),"")</f>
        <v/>
      </c>
      <c r="AF513" s="40" t="str">
        <f t="shared" si="5"/>
        <v/>
      </c>
      <c r="AG513" s="40" t="str">
        <f>IF($J513="","",COUNTIF(Assignments!$B:$B,$J513))</f>
        <v/>
      </c>
      <c r="AH513" s="40" t="str">
        <f>IF($J513="","",IF(AND($AG513=0,$N513&lt;$M513),Config!$B$43,0))</f>
        <v/>
      </c>
      <c r="AI513" s="40" t="str">
        <f>IF($J513="","",IF(AND($L513="Elite",$F513&gt;=Config!$B$41,$N513&lt;$M513),Config!$B$42,0))</f>
        <v/>
      </c>
      <c r="AJ513" s="22"/>
    </row>
    <row r="514" ht="15.75" customHeight="1">
      <c r="A514" s="40" t="str">
        <f t="shared" si="1"/>
        <v/>
      </c>
      <c r="B514" s="40" t="str">
        <f>IF(Bids!$A514="","",Bids!$A514)</f>
        <v/>
      </c>
      <c r="C514" s="40" t="str">
        <f>IF(Bids!$B514="","",Bids!$B514)</f>
        <v/>
      </c>
      <c r="D514" s="40" t="str">
        <f>IF($C514="","",IFERROR(VLOOKUP($C514,Orders!$A:$J,9,FALSE),""))</f>
        <v/>
      </c>
      <c r="E514" s="40" t="str">
        <f>IF($C514="","",IFERROR(VLOOKUP($C514,Orders!$A:$J,3,FALSE),""))</f>
        <v/>
      </c>
      <c r="F514" s="40" t="str">
        <f>IF($C514="","",IFERROR(VLOOKUP($C514,Orders!$A:$J,4,FALSE),""))</f>
        <v/>
      </c>
      <c r="G514" s="40" t="str">
        <f>IF($C514="","",IFERROR(VLOOKUP($C514,Orders!$A:$J,5,FALSE),""))</f>
        <v/>
      </c>
      <c r="H514" s="40" t="str">
        <f>IF($C514="","",IFERROR(VLOOKUP($C514,Orders!$A:$J,6,FALSE),""))</f>
        <v/>
      </c>
      <c r="I514" s="40" t="str">
        <f>IF($C514="","",IFERROR(VLOOKUP($C514,Orders!$A:$J,7,FALSE),""))</f>
        <v/>
      </c>
      <c r="J514" s="40" t="str">
        <f>IF(Bids!$C514="","",Bids!$C514)</f>
        <v/>
      </c>
      <c r="K514" s="40" t="str">
        <f>IF($J514="","",IFERROR(VLOOKUP($J514,Grinders!$A:$N,2,FALSE),""))</f>
        <v/>
      </c>
      <c r="L514" s="40" t="str">
        <f>IF($J514="","",IFERROR(VLOOKUP($J514,Grinders!$A:$N,3,FALSE),""))</f>
        <v/>
      </c>
      <c r="M514" s="40" t="str">
        <f>IF($J514="","",IFERROR(VLOOKUP($J514,Grinders!$A:$N,4,FALSE),""))</f>
        <v/>
      </c>
      <c r="N514" s="40" t="str">
        <f>IF($J514="","",IFERROR(VLOOKUP($J514,Grinders!$A:$N,5,FALSE),""))</f>
        <v/>
      </c>
      <c r="O514" s="40" t="str">
        <f t="shared" si="2"/>
        <v/>
      </c>
      <c r="P514" s="40" t="str">
        <f>IF($J514="","",IFERROR(VLOOKUP($J514,Grinders!$A:$N,6,FALSE),""))</f>
        <v/>
      </c>
      <c r="Q514" s="40" t="str">
        <f>IF($J514="","",IFERROR(VLOOKUP($J514,Grinders!$A:$N,8,FALSE),""))</f>
        <v/>
      </c>
      <c r="R514" s="40" t="str">
        <f>IFERROR(IF($J514="","",IF($L514="Elite",MAX(50,MIN(100,Config!$B$27*MAX(0,MIN(100,(1-IF($O514="",0,$O514))*100)) + Config!$B$28*MAX(0,MIN(100,(1-MIN(1,IF(Config!$B$30=0,1,$P514/Config!$B$30)))*100)) + Config!$B$29*MAX(0,MIN(100,MIN(1,IF($Q514="",0,$Q514)/Config!$B$23)*100)))),MIN(100,Config!$B$27*MAX(0,MIN(100,(1-IF($O514="",0,$O514))*100)) + Config!$B$28*MAX(0,MIN(100,(1-MIN(1,IF(Config!$B$30=0,1,$P514/Config!$B$30)))*100)) + Config!$B$29*MAX(0,MIN(100,MIN(1,IF($Q514="",0,$Q514)/Config!$B$23)*100))))),"")
</f>
        <v/>
      </c>
      <c r="S514" s="40" t="str">
        <f>IF(Bids!$D514="","",Bids!$D514)</f>
        <v/>
      </c>
      <c r="T514" s="40" t="str">
        <f>IF(Bids!$F514="","",Bids!$F514)</f>
        <v/>
      </c>
      <c r="U514" s="40" t="str">
        <f t="shared" si="3"/>
        <v/>
      </c>
      <c r="V514" s="40" t="str">
        <f>IF($U514="","",IF(Config!$B$17=Config!$B$16,IF($U514&gt;=Config!$B$17,100,0),MAX(0,MIN(100,($U514-Config!$B$16)/(Config!$B$17-Config!$B$16)*100))))</f>
        <v/>
      </c>
      <c r="W514" s="40">
        <f>IF($L514="Elite",Config!$B$21,0)</f>
        <v>0</v>
      </c>
      <c r="X514" s="40" t="str">
        <f>IFERROR(IF(OR($T514="",$G514=""),"",IF($T514&gt;$G514,
  MAX(0, 60-(($T514-$G514)*24/Config!$B$19)*60),
  MEDIAN(60, 100, 60+(($G514-$T514)*24/Config!$B$20)*40)
)),"")
</f>
        <v/>
      </c>
      <c r="Y514" s="40" t="str">
        <f>IF($J514="","",IFERROR(VLOOKUP($J514,Grinders!$A:$N,10,FALSE),""))</f>
        <v/>
      </c>
      <c r="Z514" s="40" t="str">
        <f>IF($J514="","",IFERROR(VLOOKUP($J514,Grinders!$A:$N,11,FALSE),""))</f>
        <v/>
      </c>
      <c r="AA514" s="40" t="str">
        <f>IF($J514="","",IFERROR(VLOOKUP($J514,Grinders!$A:$N,12,FALSE),""))</f>
        <v/>
      </c>
      <c r="AB514" s="40">
        <f>IFERROR(IF(OR($C514="",$J514=""),0,IF($D514&lt;&gt;"Open",0,IF(COUNTIFS(GrinderServices!$B:$B,$J514,GrinderServices!$C:$C,$E514,GrinderServices!$E:$E,"Y")=0,0,IF($U514&lt;Config!$B$16,0,IF(Config!$B$18=1,IF($N514&gt;=$M514,0,1),1))))),"")</f>
        <v>0</v>
      </c>
      <c r="AC514" s="40" t="str">
        <f>IFERROR(IF($AB514=0,"",((Config!$B$6*$V514 + Config!$B$7*$R514 + Config!$B$8*$W514 + Config!$B$9*$X514 + Config!$B$10*$Y514 + Config!$B$11*$Z514 - Config!$B$12*$AA514)/Config!$B$13)+$AH514+$AI514),"")</f>
        <v/>
      </c>
      <c r="AD514" s="40" t="str">
        <f t="shared" si="4"/>
        <v/>
      </c>
      <c r="AE514" s="40" t="str">
        <f>IFERROR(__xludf.DUMMYFUNCTION("IF($AC514="""","""",IF($AC514=IFERROR(MAX(FILTER($AC$6:$AC$1000,$C$6:$C$1000=$C514,$AB$6:$AB$1000=1)),),""WINNER"",""""))"),"")</f>
        <v/>
      </c>
      <c r="AF514" s="40" t="str">
        <f t="shared" si="5"/>
        <v/>
      </c>
      <c r="AG514" s="40" t="str">
        <f>IF($J514="","",COUNTIF(Assignments!$B:$B,$J514))</f>
        <v/>
      </c>
      <c r="AH514" s="40" t="str">
        <f>IF($J514="","",IF(AND($AG514=0,$N514&lt;$M514),Config!$B$43,0))</f>
        <v/>
      </c>
      <c r="AI514" s="40" t="str">
        <f>IF($J514="","",IF(AND($L514="Elite",$F514&gt;=Config!$B$41,$N514&lt;$M514),Config!$B$42,0))</f>
        <v/>
      </c>
      <c r="AJ514" s="22"/>
    </row>
    <row r="515" ht="15.75" customHeight="1">
      <c r="A515" s="40" t="str">
        <f t="shared" si="1"/>
        <v/>
      </c>
      <c r="B515" s="40" t="str">
        <f>IF(Bids!$A515="","",Bids!$A515)</f>
        <v/>
      </c>
      <c r="C515" s="40" t="str">
        <f>IF(Bids!$B515="","",Bids!$B515)</f>
        <v/>
      </c>
      <c r="D515" s="40" t="str">
        <f>IF($C515="","",IFERROR(VLOOKUP($C515,Orders!$A:$J,9,FALSE),""))</f>
        <v/>
      </c>
      <c r="E515" s="40" t="str">
        <f>IF($C515="","",IFERROR(VLOOKUP($C515,Orders!$A:$J,3,FALSE),""))</f>
        <v/>
      </c>
      <c r="F515" s="40" t="str">
        <f>IF($C515="","",IFERROR(VLOOKUP($C515,Orders!$A:$J,4,FALSE),""))</f>
        <v/>
      </c>
      <c r="G515" s="40" t="str">
        <f>IF($C515="","",IFERROR(VLOOKUP($C515,Orders!$A:$J,5,FALSE),""))</f>
        <v/>
      </c>
      <c r="H515" s="40" t="str">
        <f>IF($C515="","",IFERROR(VLOOKUP($C515,Orders!$A:$J,6,FALSE),""))</f>
        <v/>
      </c>
      <c r="I515" s="40" t="str">
        <f>IF($C515="","",IFERROR(VLOOKUP($C515,Orders!$A:$J,7,FALSE),""))</f>
        <v/>
      </c>
      <c r="J515" s="40" t="str">
        <f>IF(Bids!$C515="","",Bids!$C515)</f>
        <v/>
      </c>
      <c r="K515" s="40" t="str">
        <f>IF($J515="","",IFERROR(VLOOKUP($J515,Grinders!$A:$N,2,FALSE),""))</f>
        <v/>
      </c>
      <c r="L515" s="40" t="str">
        <f>IF($J515="","",IFERROR(VLOOKUP($J515,Grinders!$A:$N,3,FALSE),""))</f>
        <v/>
      </c>
      <c r="M515" s="40" t="str">
        <f>IF($J515="","",IFERROR(VLOOKUP($J515,Grinders!$A:$N,4,FALSE),""))</f>
        <v/>
      </c>
      <c r="N515" s="40" t="str">
        <f>IF($J515="","",IFERROR(VLOOKUP($J515,Grinders!$A:$N,5,FALSE),""))</f>
        <v/>
      </c>
      <c r="O515" s="40" t="str">
        <f t="shared" si="2"/>
        <v/>
      </c>
      <c r="P515" s="40" t="str">
        <f>IF($J515="","",IFERROR(VLOOKUP($J515,Grinders!$A:$N,6,FALSE),""))</f>
        <v/>
      </c>
      <c r="Q515" s="40" t="str">
        <f>IF($J515="","",IFERROR(VLOOKUP($J515,Grinders!$A:$N,8,FALSE),""))</f>
        <v/>
      </c>
      <c r="R515" s="40" t="str">
        <f>IFERROR(IF($J515="","",IF($L515="Elite",MAX(50,MIN(100,Config!$B$27*MAX(0,MIN(100,(1-IF($O515="",0,$O515))*100)) + Config!$B$28*MAX(0,MIN(100,(1-MIN(1,IF(Config!$B$30=0,1,$P515/Config!$B$30)))*100)) + Config!$B$29*MAX(0,MIN(100,MIN(1,IF($Q515="",0,$Q515)/Config!$B$23)*100)))),MIN(100,Config!$B$27*MAX(0,MIN(100,(1-IF($O515="",0,$O515))*100)) + Config!$B$28*MAX(0,MIN(100,(1-MIN(1,IF(Config!$B$30=0,1,$P515/Config!$B$30)))*100)) + Config!$B$29*MAX(0,MIN(100,MIN(1,IF($Q515="",0,$Q515)/Config!$B$23)*100))))),"")
</f>
        <v/>
      </c>
      <c r="S515" s="40" t="str">
        <f>IF(Bids!$D515="","",Bids!$D515)</f>
        <v/>
      </c>
      <c r="T515" s="40" t="str">
        <f>IF(Bids!$F515="","",Bids!$F515)</f>
        <v/>
      </c>
      <c r="U515" s="40" t="str">
        <f t="shared" si="3"/>
        <v/>
      </c>
      <c r="V515" s="40" t="str">
        <f>IF($U515="","",IF(Config!$B$17=Config!$B$16,IF($U515&gt;=Config!$B$17,100,0),MAX(0,MIN(100,($U515-Config!$B$16)/(Config!$B$17-Config!$B$16)*100))))</f>
        <v/>
      </c>
      <c r="W515" s="40">
        <f>IF($L515="Elite",Config!$B$21,0)</f>
        <v>0</v>
      </c>
      <c r="X515" s="40" t="str">
        <f>IFERROR(IF(OR($T515="",$G515=""),"",IF($T515&gt;$G515,
  MAX(0, 60-(($T515-$G515)*24/Config!$B$19)*60),
  MEDIAN(60, 100, 60+(($G515-$T515)*24/Config!$B$20)*40)
)),"")
</f>
        <v/>
      </c>
      <c r="Y515" s="40" t="str">
        <f>IF($J515="","",IFERROR(VLOOKUP($J515,Grinders!$A:$N,10,FALSE),""))</f>
        <v/>
      </c>
      <c r="Z515" s="40" t="str">
        <f>IF($J515="","",IFERROR(VLOOKUP($J515,Grinders!$A:$N,11,FALSE),""))</f>
        <v/>
      </c>
      <c r="AA515" s="40" t="str">
        <f>IF($J515="","",IFERROR(VLOOKUP($J515,Grinders!$A:$N,12,FALSE),""))</f>
        <v/>
      </c>
      <c r="AB515" s="40">
        <f>IFERROR(IF(OR($C515="",$J515=""),0,IF($D515&lt;&gt;"Open",0,IF(COUNTIFS(GrinderServices!$B:$B,$J515,GrinderServices!$C:$C,$E515,GrinderServices!$E:$E,"Y")=0,0,IF($U515&lt;Config!$B$16,0,IF(Config!$B$18=1,IF($N515&gt;=$M515,0,1),1))))),"")</f>
        <v>0</v>
      </c>
      <c r="AC515" s="40" t="str">
        <f>IFERROR(IF($AB515=0,"",((Config!$B$6*$V515 + Config!$B$7*$R515 + Config!$B$8*$W515 + Config!$B$9*$X515 + Config!$B$10*$Y515 + Config!$B$11*$Z515 - Config!$B$12*$AA515)/Config!$B$13)+$AH515+$AI515),"")</f>
        <v/>
      </c>
      <c r="AD515" s="40" t="str">
        <f t="shared" si="4"/>
        <v/>
      </c>
      <c r="AE515" s="40" t="str">
        <f>IFERROR(__xludf.DUMMYFUNCTION("IF($AC515="""","""",IF($AC515=IFERROR(MAX(FILTER($AC$6:$AC$1000,$C$6:$C$1000=$C515,$AB$6:$AB$1000=1)),),""WINNER"",""""))"),"")</f>
        <v/>
      </c>
      <c r="AF515" s="40" t="str">
        <f t="shared" si="5"/>
        <v/>
      </c>
      <c r="AG515" s="40" t="str">
        <f>IF($J515="","",COUNTIF(Assignments!$B:$B,$J515))</f>
        <v/>
      </c>
      <c r="AH515" s="40" t="str">
        <f>IF($J515="","",IF(AND($AG515=0,$N515&lt;$M515),Config!$B$43,0))</f>
        <v/>
      </c>
      <c r="AI515" s="40" t="str">
        <f>IF($J515="","",IF(AND($L515="Elite",$F515&gt;=Config!$B$41,$N515&lt;$M515),Config!$B$42,0))</f>
        <v/>
      </c>
      <c r="AJ515" s="22"/>
    </row>
    <row r="516" ht="15.75" customHeight="1">
      <c r="A516" s="40" t="str">
        <f t="shared" si="1"/>
        <v/>
      </c>
      <c r="B516" s="40" t="str">
        <f>IF(Bids!$A516="","",Bids!$A516)</f>
        <v/>
      </c>
      <c r="C516" s="40" t="str">
        <f>IF(Bids!$B516="","",Bids!$B516)</f>
        <v/>
      </c>
      <c r="D516" s="40" t="str">
        <f>IF($C516="","",IFERROR(VLOOKUP($C516,Orders!$A:$J,9,FALSE),""))</f>
        <v/>
      </c>
      <c r="E516" s="40" t="str">
        <f>IF($C516="","",IFERROR(VLOOKUP($C516,Orders!$A:$J,3,FALSE),""))</f>
        <v/>
      </c>
      <c r="F516" s="40" t="str">
        <f>IF($C516="","",IFERROR(VLOOKUP($C516,Orders!$A:$J,4,FALSE),""))</f>
        <v/>
      </c>
      <c r="G516" s="40" t="str">
        <f>IF($C516="","",IFERROR(VLOOKUP($C516,Orders!$A:$J,5,FALSE),""))</f>
        <v/>
      </c>
      <c r="H516" s="40" t="str">
        <f>IF($C516="","",IFERROR(VLOOKUP($C516,Orders!$A:$J,6,FALSE),""))</f>
        <v/>
      </c>
      <c r="I516" s="40" t="str">
        <f>IF($C516="","",IFERROR(VLOOKUP($C516,Orders!$A:$J,7,FALSE),""))</f>
        <v/>
      </c>
      <c r="J516" s="40" t="str">
        <f>IF(Bids!$C516="","",Bids!$C516)</f>
        <v/>
      </c>
      <c r="K516" s="40" t="str">
        <f>IF($J516="","",IFERROR(VLOOKUP($J516,Grinders!$A:$N,2,FALSE),""))</f>
        <v/>
      </c>
      <c r="L516" s="40" t="str">
        <f>IF($J516="","",IFERROR(VLOOKUP($J516,Grinders!$A:$N,3,FALSE),""))</f>
        <v/>
      </c>
      <c r="M516" s="40" t="str">
        <f>IF($J516="","",IFERROR(VLOOKUP($J516,Grinders!$A:$N,4,FALSE),""))</f>
        <v/>
      </c>
      <c r="N516" s="40" t="str">
        <f>IF($J516="","",IFERROR(VLOOKUP($J516,Grinders!$A:$N,5,FALSE),""))</f>
        <v/>
      </c>
      <c r="O516" s="40" t="str">
        <f t="shared" si="2"/>
        <v/>
      </c>
      <c r="P516" s="40" t="str">
        <f>IF($J516="","",IFERROR(VLOOKUP($J516,Grinders!$A:$N,6,FALSE),""))</f>
        <v/>
      </c>
      <c r="Q516" s="40" t="str">
        <f>IF($J516="","",IFERROR(VLOOKUP($J516,Grinders!$A:$N,8,FALSE),""))</f>
        <v/>
      </c>
      <c r="R516" s="40" t="str">
        <f>IFERROR(IF($J516="","",IF($L516="Elite",MAX(50,MIN(100,Config!$B$27*MAX(0,MIN(100,(1-IF($O516="",0,$O516))*100)) + Config!$B$28*MAX(0,MIN(100,(1-MIN(1,IF(Config!$B$30=0,1,$P516/Config!$B$30)))*100)) + Config!$B$29*MAX(0,MIN(100,MIN(1,IF($Q516="",0,$Q516)/Config!$B$23)*100)))),MIN(100,Config!$B$27*MAX(0,MIN(100,(1-IF($O516="",0,$O516))*100)) + Config!$B$28*MAX(0,MIN(100,(1-MIN(1,IF(Config!$B$30=0,1,$P516/Config!$B$30)))*100)) + Config!$B$29*MAX(0,MIN(100,MIN(1,IF($Q516="",0,$Q516)/Config!$B$23)*100))))),"")
</f>
        <v/>
      </c>
      <c r="S516" s="40" t="str">
        <f>IF(Bids!$D516="","",Bids!$D516)</f>
        <v/>
      </c>
      <c r="T516" s="40" t="str">
        <f>IF(Bids!$F516="","",Bids!$F516)</f>
        <v/>
      </c>
      <c r="U516" s="40" t="str">
        <f t="shared" si="3"/>
        <v/>
      </c>
      <c r="V516" s="40" t="str">
        <f>IF($U516="","",IF(Config!$B$17=Config!$B$16,IF($U516&gt;=Config!$B$17,100,0),MAX(0,MIN(100,($U516-Config!$B$16)/(Config!$B$17-Config!$B$16)*100))))</f>
        <v/>
      </c>
      <c r="W516" s="40">
        <f>IF($L516="Elite",Config!$B$21,0)</f>
        <v>0</v>
      </c>
      <c r="X516" s="40" t="str">
        <f>IFERROR(IF(OR($T516="",$G516=""),"",IF($T516&gt;$G516,
  MAX(0, 60-(($T516-$G516)*24/Config!$B$19)*60),
  MEDIAN(60, 100, 60+(($G516-$T516)*24/Config!$B$20)*40)
)),"")
</f>
        <v/>
      </c>
      <c r="Y516" s="40" t="str">
        <f>IF($J516="","",IFERROR(VLOOKUP($J516,Grinders!$A:$N,10,FALSE),""))</f>
        <v/>
      </c>
      <c r="Z516" s="40" t="str">
        <f>IF($J516="","",IFERROR(VLOOKUP($J516,Grinders!$A:$N,11,FALSE),""))</f>
        <v/>
      </c>
      <c r="AA516" s="40" t="str">
        <f>IF($J516="","",IFERROR(VLOOKUP($J516,Grinders!$A:$N,12,FALSE),""))</f>
        <v/>
      </c>
      <c r="AB516" s="40">
        <f>IFERROR(IF(OR($C516="",$J516=""),0,IF($D516&lt;&gt;"Open",0,IF(COUNTIFS(GrinderServices!$B:$B,$J516,GrinderServices!$C:$C,$E516,GrinderServices!$E:$E,"Y")=0,0,IF($U516&lt;Config!$B$16,0,IF(Config!$B$18=1,IF($N516&gt;=$M516,0,1),1))))),"")</f>
        <v>0</v>
      </c>
      <c r="AC516" s="40" t="str">
        <f>IFERROR(IF($AB516=0,"",((Config!$B$6*$V516 + Config!$B$7*$R516 + Config!$B$8*$W516 + Config!$B$9*$X516 + Config!$B$10*$Y516 + Config!$B$11*$Z516 - Config!$B$12*$AA516)/Config!$B$13)+$AH516+$AI516),"")</f>
        <v/>
      </c>
      <c r="AD516" s="40" t="str">
        <f t="shared" si="4"/>
        <v/>
      </c>
      <c r="AE516" s="40" t="str">
        <f>IFERROR(__xludf.DUMMYFUNCTION("IF($AC516="""","""",IF($AC516=IFERROR(MAX(FILTER($AC$6:$AC$1000,$C$6:$C$1000=$C516,$AB$6:$AB$1000=1)),),""WINNER"",""""))"),"")</f>
        <v/>
      </c>
      <c r="AF516" s="40" t="str">
        <f t="shared" si="5"/>
        <v/>
      </c>
      <c r="AG516" s="40" t="str">
        <f>IF($J516="","",COUNTIF(Assignments!$B:$B,$J516))</f>
        <v/>
      </c>
      <c r="AH516" s="40" t="str">
        <f>IF($J516="","",IF(AND($AG516=0,$N516&lt;$M516),Config!$B$43,0))</f>
        <v/>
      </c>
      <c r="AI516" s="40" t="str">
        <f>IF($J516="","",IF(AND($L516="Elite",$F516&gt;=Config!$B$41,$N516&lt;$M516),Config!$B$42,0))</f>
        <v/>
      </c>
      <c r="AJ516" s="22"/>
    </row>
    <row r="517" ht="15.75" customHeight="1">
      <c r="A517" s="40" t="str">
        <f t="shared" si="1"/>
        <v/>
      </c>
      <c r="B517" s="40" t="str">
        <f>IF(Bids!$A517="","",Bids!$A517)</f>
        <v/>
      </c>
      <c r="C517" s="40" t="str">
        <f>IF(Bids!$B517="","",Bids!$B517)</f>
        <v/>
      </c>
      <c r="D517" s="40" t="str">
        <f>IF($C517="","",IFERROR(VLOOKUP($C517,Orders!$A:$J,9,FALSE),""))</f>
        <v/>
      </c>
      <c r="E517" s="40" t="str">
        <f>IF($C517="","",IFERROR(VLOOKUP($C517,Orders!$A:$J,3,FALSE),""))</f>
        <v/>
      </c>
      <c r="F517" s="40" t="str">
        <f>IF($C517="","",IFERROR(VLOOKUP($C517,Orders!$A:$J,4,FALSE),""))</f>
        <v/>
      </c>
      <c r="G517" s="40" t="str">
        <f>IF($C517="","",IFERROR(VLOOKUP($C517,Orders!$A:$J,5,FALSE),""))</f>
        <v/>
      </c>
      <c r="H517" s="40" t="str">
        <f>IF($C517="","",IFERROR(VLOOKUP($C517,Orders!$A:$J,6,FALSE),""))</f>
        <v/>
      </c>
      <c r="I517" s="40" t="str">
        <f>IF($C517="","",IFERROR(VLOOKUP($C517,Orders!$A:$J,7,FALSE),""))</f>
        <v/>
      </c>
      <c r="J517" s="40" t="str">
        <f>IF(Bids!$C517="","",Bids!$C517)</f>
        <v/>
      </c>
      <c r="K517" s="40" t="str">
        <f>IF($J517="","",IFERROR(VLOOKUP($J517,Grinders!$A:$N,2,FALSE),""))</f>
        <v/>
      </c>
      <c r="L517" s="40" t="str">
        <f>IF($J517="","",IFERROR(VLOOKUP($J517,Grinders!$A:$N,3,FALSE),""))</f>
        <v/>
      </c>
      <c r="M517" s="40" t="str">
        <f>IF($J517="","",IFERROR(VLOOKUP($J517,Grinders!$A:$N,4,FALSE),""))</f>
        <v/>
      </c>
      <c r="N517" s="40" t="str">
        <f>IF($J517="","",IFERROR(VLOOKUP($J517,Grinders!$A:$N,5,FALSE),""))</f>
        <v/>
      </c>
      <c r="O517" s="40" t="str">
        <f t="shared" si="2"/>
        <v/>
      </c>
      <c r="P517" s="40" t="str">
        <f>IF($J517="","",IFERROR(VLOOKUP($J517,Grinders!$A:$N,6,FALSE),""))</f>
        <v/>
      </c>
      <c r="Q517" s="40" t="str">
        <f>IF($J517="","",IFERROR(VLOOKUP($J517,Grinders!$A:$N,8,FALSE),""))</f>
        <v/>
      </c>
      <c r="R517" s="40" t="str">
        <f>IFERROR(IF($J517="","",IF($L517="Elite",MAX(50,MIN(100,Config!$B$27*MAX(0,MIN(100,(1-IF($O517="",0,$O517))*100)) + Config!$B$28*MAX(0,MIN(100,(1-MIN(1,IF(Config!$B$30=0,1,$P517/Config!$B$30)))*100)) + Config!$B$29*MAX(0,MIN(100,MIN(1,IF($Q517="",0,$Q517)/Config!$B$23)*100)))),MIN(100,Config!$B$27*MAX(0,MIN(100,(1-IF($O517="",0,$O517))*100)) + Config!$B$28*MAX(0,MIN(100,(1-MIN(1,IF(Config!$B$30=0,1,$P517/Config!$B$30)))*100)) + Config!$B$29*MAX(0,MIN(100,MIN(1,IF($Q517="",0,$Q517)/Config!$B$23)*100))))),"")
</f>
        <v/>
      </c>
      <c r="S517" s="40" t="str">
        <f>IF(Bids!$D517="","",Bids!$D517)</f>
        <v/>
      </c>
      <c r="T517" s="40" t="str">
        <f>IF(Bids!$F517="","",Bids!$F517)</f>
        <v/>
      </c>
      <c r="U517" s="40" t="str">
        <f t="shared" si="3"/>
        <v/>
      </c>
      <c r="V517" s="40" t="str">
        <f>IF($U517="","",IF(Config!$B$17=Config!$B$16,IF($U517&gt;=Config!$B$17,100,0),MAX(0,MIN(100,($U517-Config!$B$16)/(Config!$B$17-Config!$B$16)*100))))</f>
        <v/>
      </c>
      <c r="W517" s="40">
        <f>IF($L517="Elite",Config!$B$21,0)</f>
        <v>0</v>
      </c>
      <c r="X517" s="40" t="str">
        <f>IFERROR(IF(OR($T517="",$G517=""),"",IF($T517&gt;$G517,
  MAX(0, 60-(($T517-$G517)*24/Config!$B$19)*60),
  MEDIAN(60, 100, 60+(($G517-$T517)*24/Config!$B$20)*40)
)),"")
</f>
        <v/>
      </c>
      <c r="Y517" s="40" t="str">
        <f>IF($J517="","",IFERROR(VLOOKUP($J517,Grinders!$A:$N,10,FALSE),""))</f>
        <v/>
      </c>
      <c r="Z517" s="40" t="str">
        <f>IF($J517="","",IFERROR(VLOOKUP($J517,Grinders!$A:$N,11,FALSE),""))</f>
        <v/>
      </c>
      <c r="AA517" s="40" t="str">
        <f>IF($J517="","",IFERROR(VLOOKUP($J517,Grinders!$A:$N,12,FALSE),""))</f>
        <v/>
      </c>
      <c r="AB517" s="40">
        <f>IFERROR(IF(OR($C517="",$J517=""),0,IF($D517&lt;&gt;"Open",0,IF(COUNTIFS(GrinderServices!$B:$B,$J517,GrinderServices!$C:$C,$E517,GrinderServices!$E:$E,"Y")=0,0,IF($U517&lt;Config!$B$16,0,IF(Config!$B$18=1,IF($N517&gt;=$M517,0,1),1))))),"")</f>
        <v>0</v>
      </c>
      <c r="AC517" s="40" t="str">
        <f>IFERROR(IF($AB517=0,"",((Config!$B$6*$V517 + Config!$B$7*$R517 + Config!$B$8*$W517 + Config!$B$9*$X517 + Config!$B$10*$Y517 + Config!$B$11*$Z517 - Config!$B$12*$AA517)/Config!$B$13)+$AH517+$AI517),"")</f>
        <v/>
      </c>
      <c r="AD517" s="40" t="str">
        <f t="shared" si="4"/>
        <v/>
      </c>
      <c r="AE517" s="40" t="str">
        <f>IFERROR(__xludf.DUMMYFUNCTION("IF($AC517="""","""",IF($AC517=IFERROR(MAX(FILTER($AC$6:$AC$1000,$C$6:$C$1000=$C517,$AB$6:$AB$1000=1)),),""WINNER"",""""))"),"")</f>
        <v/>
      </c>
      <c r="AF517" s="40" t="str">
        <f t="shared" si="5"/>
        <v/>
      </c>
      <c r="AG517" s="40" t="str">
        <f>IF($J517="","",COUNTIF(Assignments!$B:$B,$J517))</f>
        <v/>
      </c>
      <c r="AH517" s="40" t="str">
        <f>IF($J517="","",IF(AND($AG517=0,$N517&lt;$M517),Config!$B$43,0))</f>
        <v/>
      </c>
      <c r="AI517" s="40" t="str">
        <f>IF($J517="","",IF(AND($L517="Elite",$F517&gt;=Config!$B$41,$N517&lt;$M517),Config!$B$42,0))</f>
        <v/>
      </c>
      <c r="AJ517" s="22"/>
    </row>
    <row r="518" ht="15.75" customHeight="1">
      <c r="A518" s="40" t="str">
        <f t="shared" si="1"/>
        <v/>
      </c>
      <c r="B518" s="40" t="str">
        <f>IF(Bids!$A518="","",Bids!$A518)</f>
        <v/>
      </c>
      <c r="C518" s="40" t="str">
        <f>IF(Bids!$B518="","",Bids!$B518)</f>
        <v/>
      </c>
      <c r="D518" s="40" t="str">
        <f>IF($C518="","",IFERROR(VLOOKUP($C518,Orders!$A:$J,9,FALSE),""))</f>
        <v/>
      </c>
      <c r="E518" s="40" t="str">
        <f>IF($C518="","",IFERROR(VLOOKUP($C518,Orders!$A:$J,3,FALSE),""))</f>
        <v/>
      </c>
      <c r="F518" s="40" t="str">
        <f>IF($C518="","",IFERROR(VLOOKUP($C518,Orders!$A:$J,4,FALSE),""))</f>
        <v/>
      </c>
      <c r="G518" s="40" t="str">
        <f>IF($C518="","",IFERROR(VLOOKUP($C518,Orders!$A:$J,5,FALSE),""))</f>
        <v/>
      </c>
      <c r="H518" s="40" t="str">
        <f>IF($C518="","",IFERROR(VLOOKUP($C518,Orders!$A:$J,6,FALSE),""))</f>
        <v/>
      </c>
      <c r="I518" s="40" t="str">
        <f>IF($C518="","",IFERROR(VLOOKUP($C518,Orders!$A:$J,7,FALSE),""))</f>
        <v/>
      </c>
      <c r="J518" s="40" t="str">
        <f>IF(Bids!$C518="","",Bids!$C518)</f>
        <v/>
      </c>
      <c r="K518" s="40" t="str">
        <f>IF($J518="","",IFERROR(VLOOKUP($J518,Grinders!$A:$N,2,FALSE),""))</f>
        <v/>
      </c>
      <c r="L518" s="40" t="str">
        <f>IF($J518="","",IFERROR(VLOOKUP($J518,Grinders!$A:$N,3,FALSE),""))</f>
        <v/>
      </c>
      <c r="M518" s="40" t="str">
        <f>IF($J518="","",IFERROR(VLOOKUP($J518,Grinders!$A:$N,4,FALSE),""))</f>
        <v/>
      </c>
      <c r="N518" s="40" t="str">
        <f>IF($J518="","",IFERROR(VLOOKUP($J518,Grinders!$A:$N,5,FALSE),""))</f>
        <v/>
      </c>
      <c r="O518" s="40" t="str">
        <f t="shared" si="2"/>
        <v/>
      </c>
      <c r="P518" s="40" t="str">
        <f>IF($J518="","",IFERROR(VLOOKUP($J518,Grinders!$A:$N,6,FALSE),""))</f>
        <v/>
      </c>
      <c r="Q518" s="40" t="str">
        <f>IF($J518="","",IFERROR(VLOOKUP($J518,Grinders!$A:$N,8,FALSE),""))</f>
        <v/>
      </c>
      <c r="R518" s="40" t="str">
        <f>IFERROR(IF($J518="","",IF($L518="Elite",MAX(50,MIN(100,Config!$B$27*MAX(0,MIN(100,(1-IF($O518="",0,$O518))*100)) + Config!$B$28*MAX(0,MIN(100,(1-MIN(1,IF(Config!$B$30=0,1,$P518/Config!$B$30)))*100)) + Config!$B$29*MAX(0,MIN(100,MIN(1,IF($Q518="",0,$Q518)/Config!$B$23)*100)))),MIN(100,Config!$B$27*MAX(0,MIN(100,(1-IF($O518="",0,$O518))*100)) + Config!$B$28*MAX(0,MIN(100,(1-MIN(1,IF(Config!$B$30=0,1,$P518/Config!$B$30)))*100)) + Config!$B$29*MAX(0,MIN(100,MIN(1,IF($Q518="",0,$Q518)/Config!$B$23)*100))))),"")
</f>
        <v/>
      </c>
      <c r="S518" s="40" t="str">
        <f>IF(Bids!$D518="","",Bids!$D518)</f>
        <v/>
      </c>
      <c r="T518" s="40" t="str">
        <f>IF(Bids!$F518="","",Bids!$F518)</f>
        <v/>
      </c>
      <c r="U518" s="40" t="str">
        <f t="shared" si="3"/>
        <v/>
      </c>
      <c r="V518" s="40" t="str">
        <f>IF($U518="","",IF(Config!$B$17=Config!$B$16,IF($U518&gt;=Config!$B$17,100,0),MAX(0,MIN(100,($U518-Config!$B$16)/(Config!$B$17-Config!$B$16)*100))))</f>
        <v/>
      </c>
      <c r="W518" s="40">
        <f>IF($L518="Elite",Config!$B$21,0)</f>
        <v>0</v>
      </c>
      <c r="X518" s="40" t="str">
        <f>IFERROR(IF(OR($T518="",$G518=""),"",IF($T518&gt;$G518,
  MAX(0, 60-(($T518-$G518)*24/Config!$B$19)*60),
  MEDIAN(60, 100, 60+(($G518-$T518)*24/Config!$B$20)*40)
)),"")
</f>
        <v/>
      </c>
      <c r="Y518" s="40" t="str">
        <f>IF($J518="","",IFERROR(VLOOKUP($J518,Grinders!$A:$N,10,FALSE),""))</f>
        <v/>
      </c>
      <c r="Z518" s="40" t="str">
        <f>IF($J518="","",IFERROR(VLOOKUP($J518,Grinders!$A:$N,11,FALSE),""))</f>
        <v/>
      </c>
      <c r="AA518" s="40" t="str">
        <f>IF($J518="","",IFERROR(VLOOKUP($J518,Grinders!$A:$N,12,FALSE),""))</f>
        <v/>
      </c>
      <c r="AB518" s="40">
        <f>IFERROR(IF(OR($C518="",$J518=""),0,IF($D518&lt;&gt;"Open",0,IF(COUNTIFS(GrinderServices!$B:$B,$J518,GrinderServices!$C:$C,$E518,GrinderServices!$E:$E,"Y")=0,0,IF($U518&lt;Config!$B$16,0,IF(Config!$B$18=1,IF($N518&gt;=$M518,0,1),1))))),"")</f>
        <v>0</v>
      </c>
      <c r="AC518" s="40" t="str">
        <f>IFERROR(IF($AB518=0,"",((Config!$B$6*$V518 + Config!$B$7*$R518 + Config!$B$8*$W518 + Config!$B$9*$X518 + Config!$B$10*$Y518 + Config!$B$11*$Z518 - Config!$B$12*$AA518)/Config!$B$13)+$AH518+$AI518),"")</f>
        <v/>
      </c>
      <c r="AD518" s="40" t="str">
        <f t="shared" si="4"/>
        <v/>
      </c>
      <c r="AE518" s="40" t="str">
        <f>IFERROR(__xludf.DUMMYFUNCTION("IF($AC518="""","""",IF($AC518=IFERROR(MAX(FILTER($AC$6:$AC$1000,$C$6:$C$1000=$C518,$AB$6:$AB$1000=1)),),""WINNER"",""""))"),"")</f>
        <v/>
      </c>
      <c r="AF518" s="40" t="str">
        <f t="shared" si="5"/>
        <v/>
      </c>
      <c r="AG518" s="40" t="str">
        <f>IF($J518="","",COUNTIF(Assignments!$B:$B,$J518))</f>
        <v/>
      </c>
      <c r="AH518" s="40" t="str">
        <f>IF($J518="","",IF(AND($AG518=0,$N518&lt;$M518),Config!$B$43,0))</f>
        <v/>
      </c>
      <c r="AI518" s="40" t="str">
        <f>IF($J518="","",IF(AND($L518="Elite",$F518&gt;=Config!$B$41,$N518&lt;$M518),Config!$B$42,0))</f>
        <v/>
      </c>
      <c r="AJ518" s="22"/>
    </row>
    <row r="519" ht="15.75" customHeight="1">
      <c r="A519" s="40" t="str">
        <f t="shared" si="1"/>
        <v/>
      </c>
      <c r="B519" s="40" t="str">
        <f>IF(Bids!$A519="","",Bids!$A519)</f>
        <v/>
      </c>
      <c r="C519" s="40" t="str">
        <f>IF(Bids!$B519="","",Bids!$B519)</f>
        <v/>
      </c>
      <c r="D519" s="40" t="str">
        <f>IF($C519="","",IFERROR(VLOOKUP($C519,Orders!$A:$J,9,FALSE),""))</f>
        <v/>
      </c>
      <c r="E519" s="40" t="str">
        <f>IF($C519="","",IFERROR(VLOOKUP($C519,Orders!$A:$J,3,FALSE),""))</f>
        <v/>
      </c>
      <c r="F519" s="40" t="str">
        <f>IF($C519="","",IFERROR(VLOOKUP($C519,Orders!$A:$J,4,FALSE),""))</f>
        <v/>
      </c>
      <c r="G519" s="40" t="str">
        <f>IF($C519="","",IFERROR(VLOOKUP($C519,Orders!$A:$J,5,FALSE),""))</f>
        <v/>
      </c>
      <c r="H519" s="40" t="str">
        <f>IF($C519="","",IFERROR(VLOOKUP($C519,Orders!$A:$J,6,FALSE),""))</f>
        <v/>
      </c>
      <c r="I519" s="40" t="str">
        <f>IF($C519="","",IFERROR(VLOOKUP($C519,Orders!$A:$J,7,FALSE),""))</f>
        <v/>
      </c>
      <c r="J519" s="40" t="str">
        <f>IF(Bids!$C519="","",Bids!$C519)</f>
        <v/>
      </c>
      <c r="K519" s="40" t="str">
        <f>IF($J519="","",IFERROR(VLOOKUP($J519,Grinders!$A:$N,2,FALSE),""))</f>
        <v/>
      </c>
      <c r="L519" s="40" t="str">
        <f>IF($J519="","",IFERROR(VLOOKUP($J519,Grinders!$A:$N,3,FALSE),""))</f>
        <v/>
      </c>
      <c r="M519" s="40" t="str">
        <f>IF($J519="","",IFERROR(VLOOKUP($J519,Grinders!$A:$N,4,FALSE),""))</f>
        <v/>
      </c>
      <c r="N519" s="40" t="str">
        <f>IF($J519="","",IFERROR(VLOOKUP($J519,Grinders!$A:$N,5,FALSE),""))</f>
        <v/>
      </c>
      <c r="O519" s="40" t="str">
        <f t="shared" si="2"/>
        <v/>
      </c>
      <c r="P519" s="40" t="str">
        <f>IF($J519="","",IFERROR(VLOOKUP($J519,Grinders!$A:$N,6,FALSE),""))</f>
        <v/>
      </c>
      <c r="Q519" s="40" t="str">
        <f>IF($J519="","",IFERROR(VLOOKUP($J519,Grinders!$A:$N,8,FALSE),""))</f>
        <v/>
      </c>
      <c r="R519" s="40" t="str">
        <f>IFERROR(IF($J519="","",IF($L519="Elite",MAX(50,MIN(100,Config!$B$27*MAX(0,MIN(100,(1-IF($O519="",0,$O519))*100)) + Config!$B$28*MAX(0,MIN(100,(1-MIN(1,IF(Config!$B$30=0,1,$P519/Config!$B$30)))*100)) + Config!$B$29*MAX(0,MIN(100,MIN(1,IF($Q519="",0,$Q519)/Config!$B$23)*100)))),MIN(100,Config!$B$27*MAX(0,MIN(100,(1-IF($O519="",0,$O519))*100)) + Config!$B$28*MAX(0,MIN(100,(1-MIN(1,IF(Config!$B$30=0,1,$P519/Config!$B$30)))*100)) + Config!$B$29*MAX(0,MIN(100,MIN(1,IF($Q519="",0,$Q519)/Config!$B$23)*100))))),"")
</f>
        <v/>
      </c>
      <c r="S519" s="40" t="str">
        <f>IF(Bids!$D519="","",Bids!$D519)</f>
        <v/>
      </c>
      <c r="T519" s="40" t="str">
        <f>IF(Bids!$F519="","",Bids!$F519)</f>
        <v/>
      </c>
      <c r="U519" s="40" t="str">
        <f t="shared" si="3"/>
        <v/>
      </c>
      <c r="V519" s="40" t="str">
        <f>IF($U519="","",IF(Config!$B$17=Config!$B$16,IF($U519&gt;=Config!$B$17,100,0),MAX(0,MIN(100,($U519-Config!$B$16)/(Config!$B$17-Config!$B$16)*100))))</f>
        <v/>
      </c>
      <c r="W519" s="40">
        <f>IF($L519="Elite",Config!$B$21,0)</f>
        <v>0</v>
      </c>
      <c r="X519" s="40" t="str">
        <f>IFERROR(IF(OR($T519="",$G519=""),"",IF($T519&gt;$G519,
  MAX(0, 60-(($T519-$G519)*24/Config!$B$19)*60),
  MEDIAN(60, 100, 60+(($G519-$T519)*24/Config!$B$20)*40)
)),"")
</f>
        <v/>
      </c>
      <c r="Y519" s="40" t="str">
        <f>IF($J519="","",IFERROR(VLOOKUP($J519,Grinders!$A:$N,10,FALSE),""))</f>
        <v/>
      </c>
      <c r="Z519" s="40" t="str">
        <f>IF($J519="","",IFERROR(VLOOKUP($J519,Grinders!$A:$N,11,FALSE),""))</f>
        <v/>
      </c>
      <c r="AA519" s="40" t="str">
        <f>IF($J519="","",IFERROR(VLOOKUP($J519,Grinders!$A:$N,12,FALSE),""))</f>
        <v/>
      </c>
      <c r="AB519" s="40">
        <f>IFERROR(IF(OR($C519="",$J519=""),0,IF($D519&lt;&gt;"Open",0,IF(COUNTIFS(GrinderServices!$B:$B,$J519,GrinderServices!$C:$C,$E519,GrinderServices!$E:$E,"Y")=0,0,IF($U519&lt;Config!$B$16,0,IF(Config!$B$18=1,IF($N519&gt;=$M519,0,1),1))))),"")</f>
        <v>0</v>
      </c>
      <c r="AC519" s="40" t="str">
        <f>IFERROR(IF($AB519=0,"",((Config!$B$6*$V519 + Config!$B$7*$R519 + Config!$B$8*$W519 + Config!$B$9*$X519 + Config!$B$10*$Y519 + Config!$B$11*$Z519 - Config!$B$12*$AA519)/Config!$B$13)+$AH519+$AI519),"")</f>
        <v/>
      </c>
      <c r="AD519" s="40" t="str">
        <f t="shared" si="4"/>
        <v/>
      </c>
      <c r="AE519" s="40" t="str">
        <f>IFERROR(__xludf.DUMMYFUNCTION("IF($AC519="""","""",IF($AC519=IFERROR(MAX(FILTER($AC$6:$AC$1000,$C$6:$C$1000=$C519,$AB$6:$AB$1000=1)),),""WINNER"",""""))"),"")</f>
        <v/>
      </c>
      <c r="AF519" s="40" t="str">
        <f t="shared" si="5"/>
        <v/>
      </c>
      <c r="AG519" s="40" t="str">
        <f>IF($J519="","",COUNTIF(Assignments!$B:$B,$J519))</f>
        <v/>
      </c>
      <c r="AH519" s="40" t="str">
        <f>IF($J519="","",IF(AND($AG519=0,$N519&lt;$M519),Config!$B$43,0))</f>
        <v/>
      </c>
      <c r="AI519" s="40" t="str">
        <f>IF($J519="","",IF(AND($L519="Elite",$F519&gt;=Config!$B$41,$N519&lt;$M519),Config!$B$42,0))</f>
        <v/>
      </c>
      <c r="AJ519" s="22"/>
    </row>
    <row r="520" ht="15.75" customHeight="1">
      <c r="A520" s="40" t="str">
        <f t="shared" si="1"/>
        <v/>
      </c>
      <c r="B520" s="40" t="str">
        <f>IF(Bids!$A520="","",Bids!$A520)</f>
        <v/>
      </c>
      <c r="C520" s="40" t="str">
        <f>IF(Bids!$B520="","",Bids!$B520)</f>
        <v/>
      </c>
      <c r="D520" s="40" t="str">
        <f>IF($C520="","",IFERROR(VLOOKUP($C520,Orders!$A:$J,9,FALSE),""))</f>
        <v/>
      </c>
      <c r="E520" s="40" t="str">
        <f>IF($C520="","",IFERROR(VLOOKUP($C520,Orders!$A:$J,3,FALSE),""))</f>
        <v/>
      </c>
      <c r="F520" s="40" t="str">
        <f>IF($C520="","",IFERROR(VLOOKUP($C520,Orders!$A:$J,4,FALSE),""))</f>
        <v/>
      </c>
      <c r="G520" s="40" t="str">
        <f>IF($C520="","",IFERROR(VLOOKUP($C520,Orders!$A:$J,5,FALSE),""))</f>
        <v/>
      </c>
      <c r="H520" s="40" t="str">
        <f>IF($C520="","",IFERROR(VLOOKUP($C520,Orders!$A:$J,6,FALSE),""))</f>
        <v/>
      </c>
      <c r="I520" s="40" t="str">
        <f>IF($C520="","",IFERROR(VLOOKUP($C520,Orders!$A:$J,7,FALSE),""))</f>
        <v/>
      </c>
      <c r="J520" s="40" t="str">
        <f>IF(Bids!$C520="","",Bids!$C520)</f>
        <v/>
      </c>
      <c r="K520" s="40" t="str">
        <f>IF($J520="","",IFERROR(VLOOKUP($J520,Grinders!$A:$N,2,FALSE),""))</f>
        <v/>
      </c>
      <c r="L520" s="40" t="str">
        <f>IF($J520="","",IFERROR(VLOOKUP($J520,Grinders!$A:$N,3,FALSE),""))</f>
        <v/>
      </c>
      <c r="M520" s="40" t="str">
        <f>IF($J520="","",IFERROR(VLOOKUP($J520,Grinders!$A:$N,4,FALSE),""))</f>
        <v/>
      </c>
      <c r="N520" s="40" t="str">
        <f>IF($J520="","",IFERROR(VLOOKUP($J520,Grinders!$A:$N,5,FALSE),""))</f>
        <v/>
      </c>
      <c r="O520" s="40" t="str">
        <f t="shared" si="2"/>
        <v/>
      </c>
      <c r="P520" s="40" t="str">
        <f>IF($J520="","",IFERROR(VLOOKUP($J520,Grinders!$A:$N,6,FALSE),""))</f>
        <v/>
      </c>
      <c r="Q520" s="40" t="str">
        <f>IF($J520="","",IFERROR(VLOOKUP($J520,Grinders!$A:$N,8,FALSE),""))</f>
        <v/>
      </c>
      <c r="R520" s="40" t="str">
        <f>IFERROR(IF($J520="","",IF($L520="Elite",MAX(50,MIN(100,Config!$B$27*MAX(0,MIN(100,(1-IF($O520="",0,$O520))*100)) + Config!$B$28*MAX(0,MIN(100,(1-MIN(1,IF(Config!$B$30=0,1,$P520/Config!$B$30)))*100)) + Config!$B$29*MAX(0,MIN(100,MIN(1,IF($Q520="",0,$Q520)/Config!$B$23)*100)))),MIN(100,Config!$B$27*MAX(0,MIN(100,(1-IF($O520="",0,$O520))*100)) + Config!$B$28*MAX(0,MIN(100,(1-MIN(1,IF(Config!$B$30=0,1,$P520/Config!$B$30)))*100)) + Config!$B$29*MAX(0,MIN(100,MIN(1,IF($Q520="",0,$Q520)/Config!$B$23)*100))))),"")
</f>
        <v/>
      </c>
      <c r="S520" s="40" t="str">
        <f>IF(Bids!$D520="","",Bids!$D520)</f>
        <v/>
      </c>
      <c r="T520" s="40" t="str">
        <f>IF(Bids!$F520="","",Bids!$F520)</f>
        <v/>
      </c>
      <c r="U520" s="40" t="str">
        <f t="shared" si="3"/>
        <v/>
      </c>
      <c r="V520" s="40" t="str">
        <f>IF($U520="","",IF(Config!$B$17=Config!$B$16,IF($U520&gt;=Config!$B$17,100,0),MAX(0,MIN(100,($U520-Config!$B$16)/(Config!$B$17-Config!$B$16)*100))))</f>
        <v/>
      </c>
      <c r="W520" s="40">
        <f>IF($L520="Elite",Config!$B$21,0)</f>
        <v>0</v>
      </c>
      <c r="X520" s="40" t="str">
        <f>IFERROR(IF(OR($T520="",$G520=""),"",IF($T520&gt;$G520,
  MAX(0, 60-(($T520-$G520)*24/Config!$B$19)*60),
  MEDIAN(60, 100, 60+(($G520-$T520)*24/Config!$B$20)*40)
)),"")
</f>
        <v/>
      </c>
      <c r="Y520" s="40" t="str">
        <f>IF($J520="","",IFERROR(VLOOKUP($J520,Grinders!$A:$N,10,FALSE),""))</f>
        <v/>
      </c>
      <c r="Z520" s="40" t="str">
        <f>IF($J520="","",IFERROR(VLOOKUP($J520,Grinders!$A:$N,11,FALSE),""))</f>
        <v/>
      </c>
      <c r="AA520" s="40" t="str">
        <f>IF($J520="","",IFERROR(VLOOKUP($J520,Grinders!$A:$N,12,FALSE),""))</f>
        <v/>
      </c>
      <c r="AB520" s="40">
        <f>IFERROR(IF(OR($C520="",$J520=""),0,IF($D520&lt;&gt;"Open",0,IF(COUNTIFS(GrinderServices!$B:$B,$J520,GrinderServices!$C:$C,$E520,GrinderServices!$E:$E,"Y")=0,0,IF($U520&lt;Config!$B$16,0,IF(Config!$B$18=1,IF($N520&gt;=$M520,0,1),1))))),"")</f>
        <v>0</v>
      </c>
      <c r="AC520" s="40" t="str">
        <f>IFERROR(IF($AB520=0,"",((Config!$B$6*$V520 + Config!$B$7*$R520 + Config!$B$8*$W520 + Config!$B$9*$X520 + Config!$B$10*$Y520 + Config!$B$11*$Z520 - Config!$B$12*$AA520)/Config!$B$13)+$AH520+$AI520),"")</f>
        <v/>
      </c>
      <c r="AD520" s="40" t="str">
        <f t="shared" si="4"/>
        <v/>
      </c>
      <c r="AE520" s="40" t="str">
        <f>IFERROR(__xludf.DUMMYFUNCTION("IF($AC520="""","""",IF($AC520=IFERROR(MAX(FILTER($AC$6:$AC$1000,$C$6:$C$1000=$C520,$AB$6:$AB$1000=1)),),""WINNER"",""""))"),"")</f>
        <v/>
      </c>
      <c r="AF520" s="40" t="str">
        <f t="shared" si="5"/>
        <v/>
      </c>
      <c r="AG520" s="40" t="str">
        <f>IF($J520="","",COUNTIF(Assignments!$B:$B,$J520))</f>
        <v/>
      </c>
      <c r="AH520" s="40" t="str">
        <f>IF($J520="","",IF(AND($AG520=0,$N520&lt;$M520),Config!$B$43,0))</f>
        <v/>
      </c>
      <c r="AI520" s="40" t="str">
        <f>IF($J520="","",IF(AND($L520="Elite",$F520&gt;=Config!$B$41,$N520&lt;$M520),Config!$B$42,0))</f>
        <v/>
      </c>
      <c r="AJ520" s="22"/>
    </row>
    <row r="521" ht="15.75" customHeight="1">
      <c r="A521" s="40" t="str">
        <f t="shared" si="1"/>
        <v/>
      </c>
      <c r="B521" s="40" t="str">
        <f>IF(Bids!$A521="","",Bids!$A521)</f>
        <v/>
      </c>
      <c r="C521" s="40" t="str">
        <f>IF(Bids!$B521="","",Bids!$B521)</f>
        <v/>
      </c>
      <c r="D521" s="40" t="str">
        <f>IF($C521="","",IFERROR(VLOOKUP($C521,Orders!$A:$J,9,FALSE),""))</f>
        <v/>
      </c>
      <c r="E521" s="40" t="str">
        <f>IF($C521="","",IFERROR(VLOOKUP($C521,Orders!$A:$J,3,FALSE),""))</f>
        <v/>
      </c>
      <c r="F521" s="40" t="str">
        <f>IF($C521="","",IFERROR(VLOOKUP($C521,Orders!$A:$J,4,FALSE),""))</f>
        <v/>
      </c>
      <c r="G521" s="40" t="str">
        <f>IF($C521="","",IFERROR(VLOOKUP($C521,Orders!$A:$J,5,FALSE),""))</f>
        <v/>
      </c>
      <c r="H521" s="40" t="str">
        <f>IF($C521="","",IFERROR(VLOOKUP($C521,Orders!$A:$J,6,FALSE),""))</f>
        <v/>
      </c>
      <c r="I521" s="40" t="str">
        <f>IF($C521="","",IFERROR(VLOOKUP($C521,Orders!$A:$J,7,FALSE),""))</f>
        <v/>
      </c>
      <c r="J521" s="40" t="str">
        <f>IF(Bids!$C521="","",Bids!$C521)</f>
        <v/>
      </c>
      <c r="K521" s="40" t="str">
        <f>IF($J521="","",IFERROR(VLOOKUP($J521,Grinders!$A:$N,2,FALSE),""))</f>
        <v/>
      </c>
      <c r="L521" s="40" t="str">
        <f>IF($J521="","",IFERROR(VLOOKUP($J521,Grinders!$A:$N,3,FALSE),""))</f>
        <v/>
      </c>
      <c r="M521" s="40" t="str">
        <f>IF($J521="","",IFERROR(VLOOKUP($J521,Grinders!$A:$N,4,FALSE),""))</f>
        <v/>
      </c>
      <c r="N521" s="40" t="str">
        <f>IF($J521="","",IFERROR(VLOOKUP($J521,Grinders!$A:$N,5,FALSE),""))</f>
        <v/>
      </c>
      <c r="O521" s="40" t="str">
        <f t="shared" si="2"/>
        <v/>
      </c>
      <c r="P521" s="40" t="str">
        <f>IF($J521="","",IFERROR(VLOOKUP($J521,Grinders!$A:$N,6,FALSE),""))</f>
        <v/>
      </c>
      <c r="Q521" s="40" t="str">
        <f>IF($J521="","",IFERROR(VLOOKUP($J521,Grinders!$A:$N,8,FALSE),""))</f>
        <v/>
      </c>
      <c r="R521" s="40" t="str">
        <f>IFERROR(IF($J521="","",IF($L521="Elite",MAX(50,MIN(100,Config!$B$27*MAX(0,MIN(100,(1-IF($O521="",0,$O521))*100)) + Config!$B$28*MAX(0,MIN(100,(1-MIN(1,IF(Config!$B$30=0,1,$P521/Config!$B$30)))*100)) + Config!$B$29*MAX(0,MIN(100,MIN(1,IF($Q521="",0,$Q521)/Config!$B$23)*100)))),MIN(100,Config!$B$27*MAX(0,MIN(100,(1-IF($O521="",0,$O521))*100)) + Config!$B$28*MAX(0,MIN(100,(1-MIN(1,IF(Config!$B$30=0,1,$P521/Config!$B$30)))*100)) + Config!$B$29*MAX(0,MIN(100,MIN(1,IF($Q521="",0,$Q521)/Config!$B$23)*100))))),"")
</f>
        <v/>
      </c>
      <c r="S521" s="40" t="str">
        <f>IF(Bids!$D521="","",Bids!$D521)</f>
        <v/>
      </c>
      <c r="T521" s="40" t="str">
        <f>IF(Bids!$F521="","",Bids!$F521)</f>
        <v/>
      </c>
      <c r="U521" s="40" t="str">
        <f t="shared" si="3"/>
        <v/>
      </c>
      <c r="V521" s="40" t="str">
        <f>IF($U521="","",IF(Config!$B$17=Config!$B$16,IF($U521&gt;=Config!$B$17,100,0),MAX(0,MIN(100,($U521-Config!$B$16)/(Config!$B$17-Config!$B$16)*100))))</f>
        <v/>
      </c>
      <c r="W521" s="40">
        <f>IF($L521="Elite",Config!$B$21,0)</f>
        <v>0</v>
      </c>
      <c r="X521" s="40" t="str">
        <f>IFERROR(IF(OR($T521="",$G521=""),"",IF($T521&gt;$G521,
  MAX(0, 60-(($T521-$G521)*24/Config!$B$19)*60),
  MEDIAN(60, 100, 60+(($G521-$T521)*24/Config!$B$20)*40)
)),"")
</f>
        <v/>
      </c>
      <c r="Y521" s="40" t="str">
        <f>IF($J521="","",IFERROR(VLOOKUP($J521,Grinders!$A:$N,10,FALSE),""))</f>
        <v/>
      </c>
      <c r="Z521" s="40" t="str">
        <f>IF($J521="","",IFERROR(VLOOKUP($J521,Grinders!$A:$N,11,FALSE),""))</f>
        <v/>
      </c>
      <c r="AA521" s="40" t="str">
        <f>IF($J521="","",IFERROR(VLOOKUP($J521,Grinders!$A:$N,12,FALSE),""))</f>
        <v/>
      </c>
      <c r="AB521" s="40">
        <f>IFERROR(IF(OR($C521="",$J521=""),0,IF($D521&lt;&gt;"Open",0,IF(COUNTIFS(GrinderServices!$B:$B,$J521,GrinderServices!$C:$C,$E521,GrinderServices!$E:$E,"Y")=0,0,IF($U521&lt;Config!$B$16,0,IF(Config!$B$18=1,IF($N521&gt;=$M521,0,1),1))))),"")</f>
        <v>0</v>
      </c>
      <c r="AC521" s="40" t="str">
        <f>IFERROR(IF($AB521=0,"",((Config!$B$6*$V521 + Config!$B$7*$R521 + Config!$B$8*$W521 + Config!$B$9*$X521 + Config!$B$10*$Y521 + Config!$B$11*$Z521 - Config!$B$12*$AA521)/Config!$B$13)+$AH521+$AI521),"")</f>
        <v/>
      </c>
      <c r="AD521" s="40" t="str">
        <f t="shared" si="4"/>
        <v/>
      </c>
      <c r="AE521" s="40" t="str">
        <f>IFERROR(__xludf.DUMMYFUNCTION("IF($AC521="""","""",IF($AC521=IFERROR(MAX(FILTER($AC$6:$AC$1000,$C$6:$C$1000=$C521,$AB$6:$AB$1000=1)),),""WINNER"",""""))"),"")</f>
        <v/>
      </c>
      <c r="AF521" s="40" t="str">
        <f t="shared" si="5"/>
        <v/>
      </c>
      <c r="AG521" s="40" t="str">
        <f>IF($J521="","",COUNTIF(Assignments!$B:$B,$J521))</f>
        <v/>
      </c>
      <c r="AH521" s="40" t="str">
        <f>IF($J521="","",IF(AND($AG521=0,$N521&lt;$M521),Config!$B$43,0))</f>
        <v/>
      </c>
      <c r="AI521" s="40" t="str">
        <f>IF($J521="","",IF(AND($L521="Elite",$F521&gt;=Config!$B$41,$N521&lt;$M521),Config!$B$42,0))</f>
        <v/>
      </c>
      <c r="AJ521" s="22"/>
    </row>
    <row r="522" ht="15.75" customHeight="1">
      <c r="A522" s="40" t="str">
        <f t="shared" si="1"/>
        <v/>
      </c>
      <c r="B522" s="40" t="str">
        <f>IF(Bids!$A522="","",Bids!$A522)</f>
        <v/>
      </c>
      <c r="C522" s="40" t="str">
        <f>IF(Bids!$B522="","",Bids!$B522)</f>
        <v/>
      </c>
      <c r="D522" s="40" t="str">
        <f>IF($C522="","",IFERROR(VLOOKUP($C522,Orders!$A:$J,9,FALSE),""))</f>
        <v/>
      </c>
      <c r="E522" s="40" t="str">
        <f>IF($C522="","",IFERROR(VLOOKUP($C522,Orders!$A:$J,3,FALSE),""))</f>
        <v/>
      </c>
      <c r="F522" s="40" t="str">
        <f>IF($C522="","",IFERROR(VLOOKUP($C522,Orders!$A:$J,4,FALSE),""))</f>
        <v/>
      </c>
      <c r="G522" s="40" t="str">
        <f>IF($C522="","",IFERROR(VLOOKUP($C522,Orders!$A:$J,5,FALSE),""))</f>
        <v/>
      </c>
      <c r="H522" s="40" t="str">
        <f>IF($C522="","",IFERROR(VLOOKUP($C522,Orders!$A:$J,6,FALSE),""))</f>
        <v/>
      </c>
      <c r="I522" s="40" t="str">
        <f>IF($C522="","",IFERROR(VLOOKUP($C522,Orders!$A:$J,7,FALSE),""))</f>
        <v/>
      </c>
      <c r="J522" s="40" t="str">
        <f>IF(Bids!$C522="","",Bids!$C522)</f>
        <v/>
      </c>
      <c r="K522" s="40" t="str">
        <f>IF($J522="","",IFERROR(VLOOKUP($J522,Grinders!$A:$N,2,FALSE),""))</f>
        <v/>
      </c>
      <c r="L522" s="40" t="str">
        <f>IF($J522="","",IFERROR(VLOOKUP($J522,Grinders!$A:$N,3,FALSE),""))</f>
        <v/>
      </c>
      <c r="M522" s="40" t="str">
        <f>IF($J522="","",IFERROR(VLOOKUP($J522,Grinders!$A:$N,4,FALSE),""))</f>
        <v/>
      </c>
      <c r="N522" s="40" t="str">
        <f>IF($J522="","",IFERROR(VLOOKUP($J522,Grinders!$A:$N,5,FALSE),""))</f>
        <v/>
      </c>
      <c r="O522" s="40" t="str">
        <f t="shared" si="2"/>
        <v/>
      </c>
      <c r="P522" s="40" t="str">
        <f>IF($J522="","",IFERROR(VLOOKUP($J522,Grinders!$A:$N,6,FALSE),""))</f>
        <v/>
      </c>
      <c r="Q522" s="40" t="str">
        <f>IF($J522="","",IFERROR(VLOOKUP($J522,Grinders!$A:$N,8,FALSE),""))</f>
        <v/>
      </c>
      <c r="R522" s="40" t="str">
        <f>IFERROR(IF($J522="","",IF($L522="Elite",MAX(50,MIN(100,Config!$B$27*MAX(0,MIN(100,(1-IF($O522="",0,$O522))*100)) + Config!$B$28*MAX(0,MIN(100,(1-MIN(1,IF(Config!$B$30=0,1,$P522/Config!$B$30)))*100)) + Config!$B$29*MAX(0,MIN(100,MIN(1,IF($Q522="",0,$Q522)/Config!$B$23)*100)))),MIN(100,Config!$B$27*MAX(0,MIN(100,(1-IF($O522="",0,$O522))*100)) + Config!$B$28*MAX(0,MIN(100,(1-MIN(1,IF(Config!$B$30=0,1,$P522/Config!$B$30)))*100)) + Config!$B$29*MAX(0,MIN(100,MIN(1,IF($Q522="",0,$Q522)/Config!$B$23)*100))))),"")
</f>
        <v/>
      </c>
      <c r="S522" s="40" t="str">
        <f>IF(Bids!$D522="","",Bids!$D522)</f>
        <v/>
      </c>
      <c r="T522" s="40" t="str">
        <f>IF(Bids!$F522="","",Bids!$F522)</f>
        <v/>
      </c>
      <c r="U522" s="40" t="str">
        <f t="shared" si="3"/>
        <v/>
      </c>
      <c r="V522" s="40" t="str">
        <f>IF($U522="","",IF(Config!$B$17=Config!$B$16,IF($U522&gt;=Config!$B$17,100,0),MAX(0,MIN(100,($U522-Config!$B$16)/(Config!$B$17-Config!$B$16)*100))))</f>
        <v/>
      </c>
      <c r="W522" s="40">
        <f>IF($L522="Elite",Config!$B$21,0)</f>
        <v>0</v>
      </c>
      <c r="X522" s="40" t="str">
        <f>IFERROR(IF(OR($T522="",$G522=""),"",IF($T522&gt;$G522,
  MAX(0, 60-(($T522-$G522)*24/Config!$B$19)*60),
  MEDIAN(60, 100, 60+(($G522-$T522)*24/Config!$B$20)*40)
)),"")
</f>
        <v/>
      </c>
      <c r="Y522" s="40" t="str">
        <f>IF($J522="","",IFERROR(VLOOKUP($J522,Grinders!$A:$N,10,FALSE),""))</f>
        <v/>
      </c>
      <c r="Z522" s="40" t="str">
        <f>IF($J522="","",IFERROR(VLOOKUP($J522,Grinders!$A:$N,11,FALSE),""))</f>
        <v/>
      </c>
      <c r="AA522" s="40" t="str">
        <f>IF($J522="","",IFERROR(VLOOKUP($J522,Grinders!$A:$N,12,FALSE),""))</f>
        <v/>
      </c>
      <c r="AB522" s="40">
        <f>IFERROR(IF(OR($C522="",$J522=""),0,IF($D522&lt;&gt;"Open",0,IF(COUNTIFS(GrinderServices!$B:$B,$J522,GrinderServices!$C:$C,$E522,GrinderServices!$E:$E,"Y")=0,0,IF($U522&lt;Config!$B$16,0,IF(Config!$B$18=1,IF($N522&gt;=$M522,0,1),1))))),"")</f>
        <v>0</v>
      </c>
      <c r="AC522" s="40" t="str">
        <f>IFERROR(IF($AB522=0,"",((Config!$B$6*$V522 + Config!$B$7*$R522 + Config!$B$8*$W522 + Config!$B$9*$X522 + Config!$B$10*$Y522 + Config!$B$11*$Z522 - Config!$B$12*$AA522)/Config!$B$13)+$AH522+$AI522),"")</f>
        <v/>
      </c>
      <c r="AD522" s="40" t="str">
        <f t="shared" si="4"/>
        <v/>
      </c>
      <c r="AE522" s="40" t="str">
        <f>IFERROR(__xludf.DUMMYFUNCTION("IF($AC522="""","""",IF($AC522=IFERROR(MAX(FILTER($AC$6:$AC$1000,$C$6:$C$1000=$C522,$AB$6:$AB$1000=1)),),""WINNER"",""""))"),"")</f>
        <v/>
      </c>
      <c r="AF522" s="40" t="str">
        <f t="shared" si="5"/>
        <v/>
      </c>
      <c r="AG522" s="40" t="str">
        <f>IF($J522="","",COUNTIF(Assignments!$B:$B,$J522))</f>
        <v/>
      </c>
      <c r="AH522" s="40" t="str">
        <f>IF($J522="","",IF(AND($AG522=0,$N522&lt;$M522),Config!$B$43,0))</f>
        <v/>
      </c>
      <c r="AI522" s="40" t="str">
        <f>IF($J522="","",IF(AND($L522="Elite",$F522&gt;=Config!$B$41,$N522&lt;$M522),Config!$B$42,0))</f>
        <v/>
      </c>
      <c r="AJ522" s="22"/>
    </row>
    <row r="523" ht="15.75" customHeight="1">
      <c r="A523" s="40" t="str">
        <f t="shared" si="1"/>
        <v/>
      </c>
      <c r="B523" s="40" t="str">
        <f>IF(Bids!$A523="","",Bids!$A523)</f>
        <v/>
      </c>
      <c r="C523" s="40" t="str">
        <f>IF(Bids!$B523="","",Bids!$B523)</f>
        <v/>
      </c>
      <c r="D523" s="40" t="str">
        <f>IF($C523="","",IFERROR(VLOOKUP($C523,Orders!$A:$J,9,FALSE),""))</f>
        <v/>
      </c>
      <c r="E523" s="40" t="str">
        <f>IF($C523="","",IFERROR(VLOOKUP($C523,Orders!$A:$J,3,FALSE),""))</f>
        <v/>
      </c>
      <c r="F523" s="40" t="str">
        <f>IF($C523="","",IFERROR(VLOOKUP($C523,Orders!$A:$J,4,FALSE),""))</f>
        <v/>
      </c>
      <c r="G523" s="40" t="str">
        <f>IF($C523="","",IFERROR(VLOOKUP($C523,Orders!$A:$J,5,FALSE),""))</f>
        <v/>
      </c>
      <c r="H523" s="40" t="str">
        <f>IF($C523="","",IFERROR(VLOOKUP($C523,Orders!$A:$J,6,FALSE),""))</f>
        <v/>
      </c>
      <c r="I523" s="40" t="str">
        <f>IF($C523="","",IFERROR(VLOOKUP($C523,Orders!$A:$J,7,FALSE),""))</f>
        <v/>
      </c>
      <c r="J523" s="40" t="str">
        <f>IF(Bids!$C523="","",Bids!$C523)</f>
        <v/>
      </c>
      <c r="K523" s="40" t="str">
        <f>IF($J523="","",IFERROR(VLOOKUP($J523,Grinders!$A:$N,2,FALSE),""))</f>
        <v/>
      </c>
      <c r="L523" s="40" t="str">
        <f>IF($J523="","",IFERROR(VLOOKUP($J523,Grinders!$A:$N,3,FALSE),""))</f>
        <v/>
      </c>
      <c r="M523" s="40" t="str">
        <f>IF($J523="","",IFERROR(VLOOKUP($J523,Grinders!$A:$N,4,FALSE),""))</f>
        <v/>
      </c>
      <c r="N523" s="40" t="str">
        <f>IF($J523="","",IFERROR(VLOOKUP($J523,Grinders!$A:$N,5,FALSE),""))</f>
        <v/>
      </c>
      <c r="O523" s="40" t="str">
        <f t="shared" si="2"/>
        <v/>
      </c>
      <c r="P523" s="40" t="str">
        <f>IF($J523="","",IFERROR(VLOOKUP($J523,Grinders!$A:$N,6,FALSE),""))</f>
        <v/>
      </c>
      <c r="Q523" s="40" t="str">
        <f>IF($J523="","",IFERROR(VLOOKUP($J523,Grinders!$A:$N,8,FALSE),""))</f>
        <v/>
      </c>
      <c r="R523" s="40" t="str">
        <f>IFERROR(IF($J523="","",IF($L523="Elite",MAX(50,MIN(100,Config!$B$27*MAX(0,MIN(100,(1-IF($O523="",0,$O523))*100)) + Config!$B$28*MAX(0,MIN(100,(1-MIN(1,IF(Config!$B$30=0,1,$P523/Config!$B$30)))*100)) + Config!$B$29*MAX(0,MIN(100,MIN(1,IF($Q523="",0,$Q523)/Config!$B$23)*100)))),MIN(100,Config!$B$27*MAX(0,MIN(100,(1-IF($O523="",0,$O523))*100)) + Config!$B$28*MAX(0,MIN(100,(1-MIN(1,IF(Config!$B$30=0,1,$P523/Config!$B$30)))*100)) + Config!$B$29*MAX(0,MIN(100,MIN(1,IF($Q523="",0,$Q523)/Config!$B$23)*100))))),"")
</f>
        <v/>
      </c>
      <c r="S523" s="40" t="str">
        <f>IF(Bids!$D523="","",Bids!$D523)</f>
        <v/>
      </c>
      <c r="T523" s="40" t="str">
        <f>IF(Bids!$F523="","",Bids!$F523)</f>
        <v/>
      </c>
      <c r="U523" s="40" t="str">
        <f t="shared" si="3"/>
        <v/>
      </c>
      <c r="V523" s="40" t="str">
        <f>IF($U523="","",IF(Config!$B$17=Config!$B$16,IF($U523&gt;=Config!$B$17,100,0),MAX(0,MIN(100,($U523-Config!$B$16)/(Config!$B$17-Config!$B$16)*100))))</f>
        <v/>
      </c>
      <c r="W523" s="40">
        <f>IF($L523="Elite",Config!$B$21,0)</f>
        <v>0</v>
      </c>
      <c r="X523" s="40" t="str">
        <f>IFERROR(IF(OR($T523="",$G523=""),"",IF($T523&gt;$G523,
  MAX(0, 60-(($T523-$G523)*24/Config!$B$19)*60),
  MEDIAN(60, 100, 60+(($G523-$T523)*24/Config!$B$20)*40)
)),"")
</f>
        <v/>
      </c>
      <c r="Y523" s="40" t="str">
        <f>IF($J523="","",IFERROR(VLOOKUP($J523,Grinders!$A:$N,10,FALSE),""))</f>
        <v/>
      </c>
      <c r="Z523" s="40" t="str">
        <f>IF($J523="","",IFERROR(VLOOKUP($J523,Grinders!$A:$N,11,FALSE),""))</f>
        <v/>
      </c>
      <c r="AA523" s="40" t="str">
        <f>IF($J523="","",IFERROR(VLOOKUP($J523,Grinders!$A:$N,12,FALSE),""))</f>
        <v/>
      </c>
      <c r="AB523" s="40">
        <f>IFERROR(IF(OR($C523="",$J523=""),0,IF($D523&lt;&gt;"Open",0,IF(COUNTIFS(GrinderServices!$B:$B,$J523,GrinderServices!$C:$C,$E523,GrinderServices!$E:$E,"Y")=0,0,IF($U523&lt;Config!$B$16,0,IF(Config!$B$18=1,IF($N523&gt;=$M523,0,1),1))))),"")</f>
        <v>0</v>
      </c>
      <c r="AC523" s="40" t="str">
        <f>IFERROR(IF($AB523=0,"",((Config!$B$6*$V523 + Config!$B$7*$R523 + Config!$B$8*$W523 + Config!$B$9*$X523 + Config!$B$10*$Y523 + Config!$B$11*$Z523 - Config!$B$12*$AA523)/Config!$B$13)+$AH523+$AI523),"")</f>
        <v/>
      </c>
      <c r="AD523" s="40" t="str">
        <f t="shared" si="4"/>
        <v/>
      </c>
      <c r="AE523" s="40" t="str">
        <f>IFERROR(__xludf.DUMMYFUNCTION("IF($AC523="""","""",IF($AC523=IFERROR(MAX(FILTER($AC$6:$AC$1000,$C$6:$C$1000=$C523,$AB$6:$AB$1000=1)),),""WINNER"",""""))"),"")</f>
        <v/>
      </c>
      <c r="AF523" s="40" t="str">
        <f t="shared" si="5"/>
        <v/>
      </c>
      <c r="AG523" s="40" t="str">
        <f>IF($J523="","",COUNTIF(Assignments!$B:$B,$J523))</f>
        <v/>
      </c>
      <c r="AH523" s="40" t="str">
        <f>IF($J523="","",IF(AND($AG523=0,$N523&lt;$M523),Config!$B$43,0))</f>
        <v/>
      </c>
      <c r="AI523" s="40" t="str">
        <f>IF($J523="","",IF(AND($L523="Elite",$F523&gt;=Config!$B$41,$N523&lt;$M523),Config!$B$42,0))</f>
        <v/>
      </c>
      <c r="AJ523" s="22"/>
    </row>
    <row r="524" ht="15.75" customHeight="1">
      <c r="A524" s="40" t="str">
        <f t="shared" si="1"/>
        <v/>
      </c>
      <c r="B524" s="40" t="str">
        <f>IF(Bids!$A524="","",Bids!$A524)</f>
        <v/>
      </c>
      <c r="C524" s="40" t="str">
        <f>IF(Bids!$B524="","",Bids!$B524)</f>
        <v/>
      </c>
      <c r="D524" s="40" t="str">
        <f>IF($C524="","",IFERROR(VLOOKUP($C524,Orders!$A:$J,9,FALSE),""))</f>
        <v/>
      </c>
      <c r="E524" s="40" t="str">
        <f>IF($C524="","",IFERROR(VLOOKUP($C524,Orders!$A:$J,3,FALSE),""))</f>
        <v/>
      </c>
      <c r="F524" s="40" t="str">
        <f>IF($C524="","",IFERROR(VLOOKUP($C524,Orders!$A:$J,4,FALSE),""))</f>
        <v/>
      </c>
      <c r="G524" s="40" t="str">
        <f>IF($C524="","",IFERROR(VLOOKUP($C524,Orders!$A:$J,5,FALSE),""))</f>
        <v/>
      </c>
      <c r="H524" s="40" t="str">
        <f>IF($C524="","",IFERROR(VLOOKUP($C524,Orders!$A:$J,6,FALSE),""))</f>
        <v/>
      </c>
      <c r="I524" s="40" t="str">
        <f>IF($C524="","",IFERROR(VLOOKUP($C524,Orders!$A:$J,7,FALSE),""))</f>
        <v/>
      </c>
      <c r="J524" s="40" t="str">
        <f>IF(Bids!$C524="","",Bids!$C524)</f>
        <v/>
      </c>
      <c r="K524" s="40" t="str">
        <f>IF($J524="","",IFERROR(VLOOKUP($J524,Grinders!$A:$N,2,FALSE),""))</f>
        <v/>
      </c>
      <c r="L524" s="40" t="str">
        <f>IF($J524="","",IFERROR(VLOOKUP($J524,Grinders!$A:$N,3,FALSE),""))</f>
        <v/>
      </c>
      <c r="M524" s="40" t="str">
        <f>IF($J524="","",IFERROR(VLOOKUP($J524,Grinders!$A:$N,4,FALSE),""))</f>
        <v/>
      </c>
      <c r="N524" s="40" t="str">
        <f>IF($J524="","",IFERROR(VLOOKUP($J524,Grinders!$A:$N,5,FALSE),""))</f>
        <v/>
      </c>
      <c r="O524" s="40" t="str">
        <f t="shared" si="2"/>
        <v/>
      </c>
      <c r="P524" s="40" t="str">
        <f>IF($J524="","",IFERROR(VLOOKUP($J524,Grinders!$A:$N,6,FALSE),""))</f>
        <v/>
      </c>
      <c r="Q524" s="40" t="str">
        <f>IF($J524="","",IFERROR(VLOOKUP($J524,Grinders!$A:$N,8,FALSE),""))</f>
        <v/>
      </c>
      <c r="R524" s="40" t="str">
        <f>IFERROR(IF($J524="","",IF($L524="Elite",MAX(50,MIN(100,Config!$B$27*MAX(0,MIN(100,(1-IF($O524="",0,$O524))*100)) + Config!$B$28*MAX(0,MIN(100,(1-MIN(1,IF(Config!$B$30=0,1,$P524/Config!$B$30)))*100)) + Config!$B$29*MAX(0,MIN(100,MIN(1,IF($Q524="",0,$Q524)/Config!$B$23)*100)))),MIN(100,Config!$B$27*MAX(0,MIN(100,(1-IF($O524="",0,$O524))*100)) + Config!$B$28*MAX(0,MIN(100,(1-MIN(1,IF(Config!$B$30=0,1,$P524/Config!$B$30)))*100)) + Config!$B$29*MAX(0,MIN(100,MIN(1,IF($Q524="",0,$Q524)/Config!$B$23)*100))))),"")
</f>
        <v/>
      </c>
      <c r="S524" s="40" t="str">
        <f>IF(Bids!$D524="","",Bids!$D524)</f>
        <v/>
      </c>
      <c r="T524" s="40" t="str">
        <f>IF(Bids!$F524="","",Bids!$F524)</f>
        <v/>
      </c>
      <c r="U524" s="40" t="str">
        <f t="shared" si="3"/>
        <v/>
      </c>
      <c r="V524" s="40" t="str">
        <f>IF($U524="","",IF(Config!$B$17=Config!$B$16,IF($U524&gt;=Config!$B$17,100,0),MAX(0,MIN(100,($U524-Config!$B$16)/(Config!$B$17-Config!$B$16)*100))))</f>
        <v/>
      </c>
      <c r="W524" s="40">
        <f>IF($L524="Elite",Config!$B$21,0)</f>
        <v>0</v>
      </c>
      <c r="X524" s="40" t="str">
        <f>IFERROR(IF(OR($T524="",$G524=""),"",IF($T524&gt;$G524,
  MAX(0, 60-(($T524-$G524)*24/Config!$B$19)*60),
  MEDIAN(60, 100, 60+(($G524-$T524)*24/Config!$B$20)*40)
)),"")
</f>
        <v/>
      </c>
      <c r="Y524" s="40" t="str">
        <f>IF($J524="","",IFERROR(VLOOKUP($J524,Grinders!$A:$N,10,FALSE),""))</f>
        <v/>
      </c>
      <c r="Z524" s="40" t="str">
        <f>IF($J524="","",IFERROR(VLOOKUP($J524,Grinders!$A:$N,11,FALSE),""))</f>
        <v/>
      </c>
      <c r="AA524" s="40" t="str">
        <f>IF($J524="","",IFERROR(VLOOKUP($J524,Grinders!$A:$N,12,FALSE),""))</f>
        <v/>
      </c>
      <c r="AB524" s="40">
        <f>IFERROR(IF(OR($C524="",$J524=""),0,IF($D524&lt;&gt;"Open",0,IF(COUNTIFS(GrinderServices!$B:$B,$J524,GrinderServices!$C:$C,$E524,GrinderServices!$E:$E,"Y")=0,0,IF($U524&lt;Config!$B$16,0,IF(Config!$B$18=1,IF($N524&gt;=$M524,0,1),1))))),"")</f>
        <v>0</v>
      </c>
      <c r="AC524" s="40" t="str">
        <f>IFERROR(IF($AB524=0,"",((Config!$B$6*$V524 + Config!$B$7*$R524 + Config!$B$8*$W524 + Config!$B$9*$X524 + Config!$B$10*$Y524 + Config!$B$11*$Z524 - Config!$B$12*$AA524)/Config!$B$13)+$AH524+$AI524),"")</f>
        <v/>
      </c>
      <c r="AD524" s="40" t="str">
        <f t="shared" si="4"/>
        <v/>
      </c>
      <c r="AE524" s="40" t="str">
        <f>IFERROR(__xludf.DUMMYFUNCTION("IF($AC524="""","""",IF($AC524=IFERROR(MAX(FILTER($AC$6:$AC$1000,$C$6:$C$1000=$C524,$AB$6:$AB$1000=1)),),""WINNER"",""""))"),"")</f>
        <v/>
      </c>
      <c r="AF524" s="40" t="str">
        <f t="shared" si="5"/>
        <v/>
      </c>
      <c r="AG524" s="40" t="str">
        <f>IF($J524="","",COUNTIF(Assignments!$B:$B,$J524))</f>
        <v/>
      </c>
      <c r="AH524" s="40" t="str">
        <f>IF($J524="","",IF(AND($AG524=0,$N524&lt;$M524),Config!$B$43,0))</f>
        <v/>
      </c>
      <c r="AI524" s="40" t="str">
        <f>IF($J524="","",IF(AND($L524="Elite",$F524&gt;=Config!$B$41,$N524&lt;$M524),Config!$B$42,0))</f>
        <v/>
      </c>
      <c r="AJ524" s="22"/>
    </row>
    <row r="525" ht="15.75" customHeight="1">
      <c r="A525" s="40" t="str">
        <f t="shared" si="1"/>
        <v/>
      </c>
      <c r="B525" s="40" t="str">
        <f>IF(Bids!$A525="","",Bids!$A525)</f>
        <v/>
      </c>
      <c r="C525" s="40" t="str">
        <f>IF(Bids!$B525="","",Bids!$B525)</f>
        <v/>
      </c>
      <c r="D525" s="40" t="str">
        <f>IF($C525="","",IFERROR(VLOOKUP($C525,Orders!$A:$J,9,FALSE),""))</f>
        <v/>
      </c>
      <c r="E525" s="40" t="str">
        <f>IF($C525="","",IFERROR(VLOOKUP($C525,Orders!$A:$J,3,FALSE),""))</f>
        <v/>
      </c>
      <c r="F525" s="40" t="str">
        <f>IF($C525="","",IFERROR(VLOOKUP($C525,Orders!$A:$J,4,FALSE),""))</f>
        <v/>
      </c>
      <c r="G525" s="40" t="str">
        <f>IF($C525="","",IFERROR(VLOOKUP($C525,Orders!$A:$J,5,FALSE),""))</f>
        <v/>
      </c>
      <c r="H525" s="40" t="str">
        <f>IF($C525="","",IFERROR(VLOOKUP($C525,Orders!$A:$J,6,FALSE),""))</f>
        <v/>
      </c>
      <c r="I525" s="40" t="str">
        <f>IF($C525="","",IFERROR(VLOOKUP($C525,Orders!$A:$J,7,FALSE),""))</f>
        <v/>
      </c>
      <c r="J525" s="40" t="str">
        <f>IF(Bids!$C525="","",Bids!$C525)</f>
        <v/>
      </c>
      <c r="K525" s="40" t="str">
        <f>IF($J525="","",IFERROR(VLOOKUP($J525,Grinders!$A:$N,2,FALSE),""))</f>
        <v/>
      </c>
      <c r="L525" s="40" t="str">
        <f>IF($J525="","",IFERROR(VLOOKUP($J525,Grinders!$A:$N,3,FALSE),""))</f>
        <v/>
      </c>
      <c r="M525" s="40" t="str">
        <f>IF($J525="","",IFERROR(VLOOKUP($J525,Grinders!$A:$N,4,FALSE),""))</f>
        <v/>
      </c>
      <c r="N525" s="40" t="str">
        <f>IF($J525="","",IFERROR(VLOOKUP($J525,Grinders!$A:$N,5,FALSE),""))</f>
        <v/>
      </c>
      <c r="O525" s="40" t="str">
        <f t="shared" si="2"/>
        <v/>
      </c>
      <c r="P525" s="40" t="str">
        <f>IF($J525="","",IFERROR(VLOOKUP($J525,Grinders!$A:$N,6,FALSE),""))</f>
        <v/>
      </c>
      <c r="Q525" s="40" t="str">
        <f>IF($J525="","",IFERROR(VLOOKUP($J525,Grinders!$A:$N,8,FALSE),""))</f>
        <v/>
      </c>
      <c r="R525" s="40" t="str">
        <f>IFERROR(IF($J525="","",IF($L525="Elite",MAX(50,MIN(100,Config!$B$27*MAX(0,MIN(100,(1-IF($O525="",0,$O525))*100)) + Config!$B$28*MAX(0,MIN(100,(1-MIN(1,IF(Config!$B$30=0,1,$P525/Config!$B$30)))*100)) + Config!$B$29*MAX(0,MIN(100,MIN(1,IF($Q525="",0,$Q525)/Config!$B$23)*100)))),MIN(100,Config!$B$27*MAX(0,MIN(100,(1-IF($O525="",0,$O525))*100)) + Config!$B$28*MAX(0,MIN(100,(1-MIN(1,IF(Config!$B$30=0,1,$P525/Config!$B$30)))*100)) + Config!$B$29*MAX(0,MIN(100,MIN(1,IF($Q525="",0,$Q525)/Config!$B$23)*100))))),"")
</f>
        <v/>
      </c>
      <c r="S525" s="40" t="str">
        <f>IF(Bids!$D525="","",Bids!$D525)</f>
        <v/>
      </c>
      <c r="T525" s="40" t="str">
        <f>IF(Bids!$F525="","",Bids!$F525)</f>
        <v/>
      </c>
      <c r="U525" s="40" t="str">
        <f t="shared" si="3"/>
        <v/>
      </c>
      <c r="V525" s="40" t="str">
        <f>IF($U525="","",IF(Config!$B$17=Config!$B$16,IF($U525&gt;=Config!$B$17,100,0),MAX(0,MIN(100,($U525-Config!$B$16)/(Config!$B$17-Config!$B$16)*100))))</f>
        <v/>
      </c>
      <c r="W525" s="40">
        <f>IF($L525="Elite",Config!$B$21,0)</f>
        <v>0</v>
      </c>
      <c r="X525" s="40" t="str">
        <f>IFERROR(IF(OR($T525="",$G525=""),"",IF($T525&gt;$G525,
  MAX(0, 60-(($T525-$G525)*24/Config!$B$19)*60),
  MEDIAN(60, 100, 60+(($G525-$T525)*24/Config!$B$20)*40)
)),"")
</f>
        <v/>
      </c>
      <c r="Y525" s="40" t="str">
        <f>IF($J525="","",IFERROR(VLOOKUP($J525,Grinders!$A:$N,10,FALSE),""))</f>
        <v/>
      </c>
      <c r="Z525" s="40" t="str">
        <f>IF($J525="","",IFERROR(VLOOKUP($J525,Grinders!$A:$N,11,FALSE),""))</f>
        <v/>
      </c>
      <c r="AA525" s="40" t="str">
        <f>IF($J525="","",IFERROR(VLOOKUP($J525,Grinders!$A:$N,12,FALSE),""))</f>
        <v/>
      </c>
      <c r="AB525" s="40">
        <f>IFERROR(IF(OR($C525="",$J525=""),0,IF($D525&lt;&gt;"Open",0,IF(COUNTIFS(GrinderServices!$B:$B,$J525,GrinderServices!$C:$C,$E525,GrinderServices!$E:$E,"Y")=0,0,IF($U525&lt;Config!$B$16,0,IF(Config!$B$18=1,IF($N525&gt;=$M525,0,1),1))))),"")</f>
        <v>0</v>
      </c>
      <c r="AC525" s="40" t="str">
        <f>IFERROR(IF($AB525=0,"",((Config!$B$6*$V525 + Config!$B$7*$R525 + Config!$B$8*$W525 + Config!$B$9*$X525 + Config!$B$10*$Y525 + Config!$B$11*$Z525 - Config!$B$12*$AA525)/Config!$B$13)+$AH525+$AI525),"")</f>
        <v/>
      </c>
      <c r="AD525" s="40" t="str">
        <f t="shared" si="4"/>
        <v/>
      </c>
      <c r="AE525" s="40" t="str">
        <f>IFERROR(__xludf.DUMMYFUNCTION("IF($AC525="""","""",IF($AC525=IFERROR(MAX(FILTER($AC$6:$AC$1000,$C$6:$C$1000=$C525,$AB$6:$AB$1000=1)),),""WINNER"",""""))"),"")</f>
        <v/>
      </c>
      <c r="AF525" s="40" t="str">
        <f t="shared" si="5"/>
        <v/>
      </c>
      <c r="AG525" s="40" t="str">
        <f>IF($J525="","",COUNTIF(Assignments!$B:$B,$J525))</f>
        <v/>
      </c>
      <c r="AH525" s="40" t="str">
        <f>IF($J525="","",IF(AND($AG525=0,$N525&lt;$M525),Config!$B$43,0))</f>
        <v/>
      </c>
      <c r="AI525" s="40" t="str">
        <f>IF($J525="","",IF(AND($L525="Elite",$F525&gt;=Config!$B$41,$N525&lt;$M525),Config!$B$42,0))</f>
        <v/>
      </c>
      <c r="AJ525" s="22"/>
    </row>
    <row r="526" ht="15.75" customHeight="1">
      <c r="A526" s="40" t="str">
        <f t="shared" si="1"/>
        <v/>
      </c>
      <c r="B526" s="40" t="str">
        <f>IF(Bids!$A526="","",Bids!$A526)</f>
        <v/>
      </c>
      <c r="C526" s="40" t="str">
        <f>IF(Bids!$B526="","",Bids!$B526)</f>
        <v/>
      </c>
      <c r="D526" s="40" t="str">
        <f>IF($C526="","",IFERROR(VLOOKUP($C526,Orders!$A:$J,9,FALSE),""))</f>
        <v/>
      </c>
      <c r="E526" s="40" t="str">
        <f>IF($C526="","",IFERROR(VLOOKUP($C526,Orders!$A:$J,3,FALSE),""))</f>
        <v/>
      </c>
      <c r="F526" s="40" t="str">
        <f>IF($C526="","",IFERROR(VLOOKUP($C526,Orders!$A:$J,4,FALSE),""))</f>
        <v/>
      </c>
      <c r="G526" s="40" t="str">
        <f>IF($C526="","",IFERROR(VLOOKUP($C526,Orders!$A:$J,5,FALSE),""))</f>
        <v/>
      </c>
      <c r="H526" s="40" t="str">
        <f>IF($C526="","",IFERROR(VLOOKUP($C526,Orders!$A:$J,6,FALSE),""))</f>
        <v/>
      </c>
      <c r="I526" s="40" t="str">
        <f>IF($C526="","",IFERROR(VLOOKUP($C526,Orders!$A:$J,7,FALSE),""))</f>
        <v/>
      </c>
      <c r="J526" s="40" t="str">
        <f>IF(Bids!$C526="","",Bids!$C526)</f>
        <v/>
      </c>
      <c r="K526" s="40" t="str">
        <f>IF($J526="","",IFERROR(VLOOKUP($J526,Grinders!$A:$N,2,FALSE),""))</f>
        <v/>
      </c>
      <c r="L526" s="40" t="str">
        <f>IF($J526="","",IFERROR(VLOOKUP($J526,Grinders!$A:$N,3,FALSE),""))</f>
        <v/>
      </c>
      <c r="M526" s="40" t="str">
        <f>IF($J526="","",IFERROR(VLOOKUP($J526,Grinders!$A:$N,4,FALSE),""))</f>
        <v/>
      </c>
      <c r="N526" s="40" t="str">
        <f>IF($J526="","",IFERROR(VLOOKUP($J526,Grinders!$A:$N,5,FALSE),""))</f>
        <v/>
      </c>
      <c r="O526" s="40" t="str">
        <f t="shared" si="2"/>
        <v/>
      </c>
      <c r="P526" s="40" t="str">
        <f>IF($J526="","",IFERROR(VLOOKUP($J526,Grinders!$A:$N,6,FALSE),""))</f>
        <v/>
      </c>
      <c r="Q526" s="40" t="str">
        <f>IF($J526="","",IFERROR(VLOOKUP($J526,Grinders!$A:$N,8,FALSE),""))</f>
        <v/>
      </c>
      <c r="R526" s="40" t="str">
        <f>IFERROR(IF($J526="","",IF($L526="Elite",MAX(50,MIN(100,Config!$B$27*MAX(0,MIN(100,(1-IF($O526="",0,$O526))*100)) + Config!$B$28*MAX(0,MIN(100,(1-MIN(1,IF(Config!$B$30=0,1,$P526/Config!$B$30)))*100)) + Config!$B$29*MAX(0,MIN(100,MIN(1,IF($Q526="",0,$Q526)/Config!$B$23)*100)))),MIN(100,Config!$B$27*MAX(0,MIN(100,(1-IF($O526="",0,$O526))*100)) + Config!$B$28*MAX(0,MIN(100,(1-MIN(1,IF(Config!$B$30=0,1,$P526/Config!$B$30)))*100)) + Config!$B$29*MAX(0,MIN(100,MIN(1,IF($Q526="",0,$Q526)/Config!$B$23)*100))))),"")
</f>
        <v/>
      </c>
      <c r="S526" s="40" t="str">
        <f>IF(Bids!$D526="","",Bids!$D526)</f>
        <v/>
      </c>
      <c r="T526" s="40" t="str">
        <f>IF(Bids!$F526="","",Bids!$F526)</f>
        <v/>
      </c>
      <c r="U526" s="40" t="str">
        <f t="shared" si="3"/>
        <v/>
      </c>
      <c r="V526" s="40" t="str">
        <f>IF($U526="","",IF(Config!$B$17=Config!$B$16,IF($U526&gt;=Config!$B$17,100,0),MAX(0,MIN(100,($U526-Config!$B$16)/(Config!$B$17-Config!$B$16)*100))))</f>
        <v/>
      </c>
      <c r="W526" s="40">
        <f>IF($L526="Elite",Config!$B$21,0)</f>
        <v>0</v>
      </c>
      <c r="X526" s="40" t="str">
        <f>IFERROR(IF(OR($T526="",$G526=""),"",IF($T526&gt;$G526,
  MAX(0, 60-(($T526-$G526)*24/Config!$B$19)*60),
  MEDIAN(60, 100, 60+(($G526-$T526)*24/Config!$B$20)*40)
)),"")
</f>
        <v/>
      </c>
      <c r="Y526" s="40" t="str">
        <f>IF($J526="","",IFERROR(VLOOKUP($J526,Grinders!$A:$N,10,FALSE),""))</f>
        <v/>
      </c>
      <c r="Z526" s="40" t="str">
        <f>IF($J526="","",IFERROR(VLOOKUP($J526,Grinders!$A:$N,11,FALSE),""))</f>
        <v/>
      </c>
      <c r="AA526" s="40" t="str">
        <f>IF($J526="","",IFERROR(VLOOKUP($J526,Grinders!$A:$N,12,FALSE),""))</f>
        <v/>
      </c>
      <c r="AB526" s="40">
        <f>IFERROR(IF(OR($C526="",$J526=""),0,IF($D526&lt;&gt;"Open",0,IF(COUNTIFS(GrinderServices!$B:$B,$J526,GrinderServices!$C:$C,$E526,GrinderServices!$E:$E,"Y")=0,0,IF($U526&lt;Config!$B$16,0,IF(Config!$B$18=1,IF($N526&gt;=$M526,0,1),1))))),"")</f>
        <v>0</v>
      </c>
      <c r="AC526" s="40" t="str">
        <f>IFERROR(IF($AB526=0,"",((Config!$B$6*$V526 + Config!$B$7*$R526 + Config!$B$8*$W526 + Config!$B$9*$X526 + Config!$B$10*$Y526 + Config!$B$11*$Z526 - Config!$B$12*$AA526)/Config!$B$13)+$AH526+$AI526),"")</f>
        <v/>
      </c>
      <c r="AD526" s="40" t="str">
        <f t="shared" si="4"/>
        <v/>
      </c>
      <c r="AE526" s="40" t="str">
        <f>IFERROR(__xludf.DUMMYFUNCTION("IF($AC526="""","""",IF($AC526=IFERROR(MAX(FILTER($AC$6:$AC$1000,$C$6:$C$1000=$C526,$AB$6:$AB$1000=1)),),""WINNER"",""""))"),"")</f>
        <v/>
      </c>
      <c r="AF526" s="40" t="str">
        <f t="shared" si="5"/>
        <v/>
      </c>
      <c r="AG526" s="40" t="str">
        <f>IF($J526="","",COUNTIF(Assignments!$B:$B,$J526))</f>
        <v/>
      </c>
      <c r="AH526" s="40" t="str">
        <f>IF($J526="","",IF(AND($AG526=0,$N526&lt;$M526),Config!$B$43,0))</f>
        <v/>
      </c>
      <c r="AI526" s="40" t="str">
        <f>IF($J526="","",IF(AND($L526="Elite",$F526&gt;=Config!$B$41,$N526&lt;$M526),Config!$B$42,0))</f>
        <v/>
      </c>
      <c r="AJ526" s="22"/>
    </row>
    <row r="527" ht="15.75" customHeight="1">
      <c r="A527" s="40" t="str">
        <f t="shared" si="1"/>
        <v/>
      </c>
      <c r="B527" s="40" t="str">
        <f>IF(Bids!$A527="","",Bids!$A527)</f>
        <v/>
      </c>
      <c r="C527" s="40" t="str">
        <f>IF(Bids!$B527="","",Bids!$B527)</f>
        <v/>
      </c>
      <c r="D527" s="40" t="str">
        <f>IF($C527="","",IFERROR(VLOOKUP($C527,Orders!$A:$J,9,FALSE),""))</f>
        <v/>
      </c>
      <c r="E527" s="40" t="str">
        <f>IF($C527="","",IFERROR(VLOOKUP($C527,Orders!$A:$J,3,FALSE),""))</f>
        <v/>
      </c>
      <c r="F527" s="40" t="str">
        <f>IF($C527="","",IFERROR(VLOOKUP($C527,Orders!$A:$J,4,FALSE),""))</f>
        <v/>
      </c>
      <c r="G527" s="40" t="str">
        <f>IF($C527="","",IFERROR(VLOOKUP($C527,Orders!$A:$J,5,FALSE),""))</f>
        <v/>
      </c>
      <c r="H527" s="40" t="str">
        <f>IF($C527="","",IFERROR(VLOOKUP($C527,Orders!$A:$J,6,FALSE),""))</f>
        <v/>
      </c>
      <c r="I527" s="40" t="str">
        <f>IF($C527="","",IFERROR(VLOOKUP($C527,Orders!$A:$J,7,FALSE),""))</f>
        <v/>
      </c>
      <c r="J527" s="40" t="str">
        <f>IF(Bids!$C527="","",Bids!$C527)</f>
        <v/>
      </c>
      <c r="K527" s="40" t="str">
        <f>IF($J527="","",IFERROR(VLOOKUP($J527,Grinders!$A:$N,2,FALSE),""))</f>
        <v/>
      </c>
      <c r="L527" s="40" t="str">
        <f>IF($J527="","",IFERROR(VLOOKUP($J527,Grinders!$A:$N,3,FALSE),""))</f>
        <v/>
      </c>
      <c r="M527" s="40" t="str">
        <f>IF($J527="","",IFERROR(VLOOKUP($J527,Grinders!$A:$N,4,FALSE),""))</f>
        <v/>
      </c>
      <c r="N527" s="40" t="str">
        <f>IF($J527="","",IFERROR(VLOOKUP($J527,Grinders!$A:$N,5,FALSE),""))</f>
        <v/>
      </c>
      <c r="O527" s="40" t="str">
        <f t="shared" si="2"/>
        <v/>
      </c>
      <c r="P527" s="40" t="str">
        <f>IF($J527="","",IFERROR(VLOOKUP($J527,Grinders!$A:$N,6,FALSE),""))</f>
        <v/>
      </c>
      <c r="Q527" s="40" t="str">
        <f>IF($J527="","",IFERROR(VLOOKUP($J527,Grinders!$A:$N,8,FALSE),""))</f>
        <v/>
      </c>
      <c r="R527" s="40" t="str">
        <f>IFERROR(IF($J527="","",IF($L527="Elite",MAX(50,MIN(100,Config!$B$27*MAX(0,MIN(100,(1-IF($O527="",0,$O527))*100)) + Config!$B$28*MAX(0,MIN(100,(1-MIN(1,IF(Config!$B$30=0,1,$P527/Config!$B$30)))*100)) + Config!$B$29*MAX(0,MIN(100,MIN(1,IF($Q527="",0,$Q527)/Config!$B$23)*100)))),MIN(100,Config!$B$27*MAX(0,MIN(100,(1-IF($O527="",0,$O527))*100)) + Config!$B$28*MAX(0,MIN(100,(1-MIN(1,IF(Config!$B$30=0,1,$P527/Config!$B$30)))*100)) + Config!$B$29*MAX(0,MIN(100,MIN(1,IF($Q527="",0,$Q527)/Config!$B$23)*100))))),"")
</f>
        <v/>
      </c>
      <c r="S527" s="40" t="str">
        <f>IF(Bids!$D527="","",Bids!$D527)</f>
        <v/>
      </c>
      <c r="T527" s="40" t="str">
        <f>IF(Bids!$F527="","",Bids!$F527)</f>
        <v/>
      </c>
      <c r="U527" s="40" t="str">
        <f t="shared" si="3"/>
        <v/>
      </c>
      <c r="V527" s="40" t="str">
        <f>IF($U527="","",IF(Config!$B$17=Config!$B$16,IF($U527&gt;=Config!$B$17,100,0),MAX(0,MIN(100,($U527-Config!$B$16)/(Config!$B$17-Config!$B$16)*100))))</f>
        <v/>
      </c>
      <c r="W527" s="40">
        <f>IF($L527="Elite",Config!$B$21,0)</f>
        <v>0</v>
      </c>
      <c r="X527" s="40" t="str">
        <f>IFERROR(IF(OR($T527="",$G527=""),"",IF($T527&gt;$G527,
  MAX(0, 60-(($T527-$G527)*24/Config!$B$19)*60),
  MEDIAN(60, 100, 60+(($G527-$T527)*24/Config!$B$20)*40)
)),"")
</f>
        <v/>
      </c>
      <c r="Y527" s="40" t="str">
        <f>IF($J527="","",IFERROR(VLOOKUP($J527,Grinders!$A:$N,10,FALSE),""))</f>
        <v/>
      </c>
      <c r="Z527" s="40" t="str">
        <f>IF($J527="","",IFERROR(VLOOKUP($J527,Grinders!$A:$N,11,FALSE),""))</f>
        <v/>
      </c>
      <c r="AA527" s="40" t="str">
        <f>IF($J527="","",IFERROR(VLOOKUP($J527,Grinders!$A:$N,12,FALSE),""))</f>
        <v/>
      </c>
      <c r="AB527" s="40">
        <f>IFERROR(IF(OR($C527="",$J527=""),0,IF($D527&lt;&gt;"Open",0,IF(COUNTIFS(GrinderServices!$B:$B,$J527,GrinderServices!$C:$C,$E527,GrinderServices!$E:$E,"Y")=0,0,IF($U527&lt;Config!$B$16,0,IF(Config!$B$18=1,IF($N527&gt;=$M527,0,1),1))))),"")</f>
        <v>0</v>
      </c>
      <c r="AC527" s="40" t="str">
        <f>IFERROR(IF($AB527=0,"",((Config!$B$6*$V527 + Config!$B$7*$R527 + Config!$B$8*$W527 + Config!$B$9*$X527 + Config!$B$10*$Y527 + Config!$B$11*$Z527 - Config!$B$12*$AA527)/Config!$B$13)+$AH527+$AI527),"")</f>
        <v/>
      </c>
      <c r="AD527" s="40" t="str">
        <f t="shared" si="4"/>
        <v/>
      </c>
      <c r="AE527" s="40" t="str">
        <f>IFERROR(__xludf.DUMMYFUNCTION("IF($AC527="""","""",IF($AC527=IFERROR(MAX(FILTER($AC$6:$AC$1000,$C$6:$C$1000=$C527,$AB$6:$AB$1000=1)),),""WINNER"",""""))"),"")</f>
        <v/>
      </c>
      <c r="AF527" s="40" t="str">
        <f t="shared" si="5"/>
        <v/>
      </c>
      <c r="AG527" s="40" t="str">
        <f>IF($J527="","",COUNTIF(Assignments!$B:$B,$J527))</f>
        <v/>
      </c>
      <c r="AH527" s="40" t="str">
        <f>IF($J527="","",IF(AND($AG527=0,$N527&lt;$M527),Config!$B$43,0))</f>
        <v/>
      </c>
      <c r="AI527" s="40" t="str">
        <f>IF($J527="","",IF(AND($L527="Elite",$F527&gt;=Config!$B$41,$N527&lt;$M527),Config!$B$42,0))</f>
        <v/>
      </c>
      <c r="AJ527" s="22"/>
    </row>
    <row r="528" ht="15.75" customHeight="1">
      <c r="A528" s="40" t="str">
        <f t="shared" si="1"/>
        <v/>
      </c>
      <c r="B528" s="40" t="str">
        <f>IF(Bids!$A528="","",Bids!$A528)</f>
        <v/>
      </c>
      <c r="C528" s="40" t="str">
        <f>IF(Bids!$B528="","",Bids!$B528)</f>
        <v/>
      </c>
      <c r="D528" s="40" t="str">
        <f>IF($C528="","",IFERROR(VLOOKUP($C528,Orders!$A:$J,9,FALSE),""))</f>
        <v/>
      </c>
      <c r="E528" s="40" t="str">
        <f>IF($C528="","",IFERROR(VLOOKUP($C528,Orders!$A:$J,3,FALSE),""))</f>
        <v/>
      </c>
      <c r="F528" s="40" t="str">
        <f>IF($C528="","",IFERROR(VLOOKUP($C528,Orders!$A:$J,4,FALSE),""))</f>
        <v/>
      </c>
      <c r="G528" s="40" t="str">
        <f>IF($C528="","",IFERROR(VLOOKUP($C528,Orders!$A:$J,5,FALSE),""))</f>
        <v/>
      </c>
      <c r="H528" s="40" t="str">
        <f>IF($C528="","",IFERROR(VLOOKUP($C528,Orders!$A:$J,6,FALSE),""))</f>
        <v/>
      </c>
      <c r="I528" s="40" t="str">
        <f>IF($C528="","",IFERROR(VLOOKUP($C528,Orders!$A:$J,7,FALSE),""))</f>
        <v/>
      </c>
      <c r="J528" s="40" t="str">
        <f>IF(Bids!$C528="","",Bids!$C528)</f>
        <v/>
      </c>
      <c r="K528" s="40" t="str">
        <f>IF($J528="","",IFERROR(VLOOKUP($J528,Grinders!$A:$N,2,FALSE),""))</f>
        <v/>
      </c>
      <c r="L528" s="40" t="str">
        <f>IF($J528="","",IFERROR(VLOOKUP($J528,Grinders!$A:$N,3,FALSE),""))</f>
        <v/>
      </c>
      <c r="M528" s="40" t="str">
        <f>IF($J528="","",IFERROR(VLOOKUP($J528,Grinders!$A:$N,4,FALSE),""))</f>
        <v/>
      </c>
      <c r="N528" s="40" t="str">
        <f>IF($J528="","",IFERROR(VLOOKUP($J528,Grinders!$A:$N,5,FALSE),""))</f>
        <v/>
      </c>
      <c r="O528" s="40" t="str">
        <f t="shared" si="2"/>
        <v/>
      </c>
      <c r="P528" s="40" t="str">
        <f>IF($J528="","",IFERROR(VLOOKUP($J528,Grinders!$A:$N,6,FALSE),""))</f>
        <v/>
      </c>
      <c r="Q528" s="40" t="str">
        <f>IF($J528="","",IFERROR(VLOOKUP($J528,Grinders!$A:$N,8,FALSE),""))</f>
        <v/>
      </c>
      <c r="R528" s="40" t="str">
        <f>IFERROR(IF($J528="","",IF($L528="Elite",MAX(50,MIN(100,Config!$B$27*MAX(0,MIN(100,(1-IF($O528="",0,$O528))*100)) + Config!$B$28*MAX(0,MIN(100,(1-MIN(1,IF(Config!$B$30=0,1,$P528/Config!$B$30)))*100)) + Config!$B$29*MAX(0,MIN(100,MIN(1,IF($Q528="",0,$Q528)/Config!$B$23)*100)))),MIN(100,Config!$B$27*MAX(0,MIN(100,(1-IF($O528="",0,$O528))*100)) + Config!$B$28*MAX(0,MIN(100,(1-MIN(1,IF(Config!$B$30=0,1,$P528/Config!$B$30)))*100)) + Config!$B$29*MAX(0,MIN(100,MIN(1,IF($Q528="",0,$Q528)/Config!$B$23)*100))))),"")
</f>
        <v/>
      </c>
      <c r="S528" s="40" t="str">
        <f>IF(Bids!$D528="","",Bids!$D528)</f>
        <v/>
      </c>
      <c r="T528" s="40" t="str">
        <f>IF(Bids!$F528="","",Bids!$F528)</f>
        <v/>
      </c>
      <c r="U528" s="40" t="str">
        <f t="shared" si="3"/>
        <v/>
      </c>
      <c r="V528" s="40" t="str">
        <f>IF($U528="","",IF(Config!$B$17=Config!$B$16,IF($U528&gt;=Config!$B$17,100,0),MAX(0,MIN(100,($U528-Config!$B$16)/(Config!$B$17-Config!$B$16)*100))))</f>
        <v/>
      </c>
      <c r="W528" s="40">
        <f>IF($L528="Elite",Config!$B$21,0)</f>
        <v>0</v>
      </c>
      <c r="X528" s="40" t="str">
        <f>IFERROR(IF(OR($T528="",$G528=""),"",IF($T528&gt;$G528,
  MAX(0, 60-(($T528-$G528)*24/Config!$B$19)*60),
  MEDIAN(60, 100, 60+(($G528-$T528)*24/Config!$B$20)*40)
)),"")
</f>
        <v/>
      </c>
      <c r="Y528" s="40" t="str">
        <f>IF($J528="","",IFERROR(VLOOKUP($J528,Grinders!$A:$N,10,FALSE),""))</f>
        <v/>
      </c>
      <c r="Z528" s="40" t="str">
        <f>IF($J528="","",IFERROR(VLOOKUP($J528,Grinders!$A:$N,11,FALSE),""))</f>
        <v/>
      </c>
      <c r="AA528" s="40" t="str">
        <f>IF($J528="","",IFERROR(VLOOKUP($J528,Grinders!$A:$N,12,FALSE),""))</f>
        <v/>
      </c>
      <c r="AB528" s="40">
        <f>IFERROR(IF(OR($C528="",$J528=""),0,IF($D528&lt;&gt;"Open",0,IF(COUNTIFS(GrinderServices!$B:$B,$J528,GrinderServices!$C:$C,$E528,GrinderServices!$E:$E,"Y")=0,0,IF($U528&lt;Config!$B$16,0,IF(Config!$B$18=1,IF($N528&gt;=$M528,0,1),1))))),"")</f>
        <v>0</v>
      </c>
      <c r="AC528" s="40" t="str">
        <f>IFERROR(IF($AB528=0,"",((Config!$B$6*$V528 + Config!$B$7*$R528 + Config!$B$8*$W528 + Config!$B$9*$X528 + Config!$B$10*$Y528 + Config!$B$11*$Z528 - Config!$B$12*$AA528)/Config!$B$13)+$AH528+$AI528),"")</f>
        <v/>
      </c>
      <c r="AD528" s="40" t="str">
        <f t="shared" si="4"/>
        <v/>
      </c>
      <c r="AE528" s="40" t="str">
        <f>IFERROR(__xludf.DUMMYFUNCTION("IF($AC528="""","""",IF($AC528=IFERROR(MAX(FILTER($AC$6:$AC$1000,$C$6:$C$1000=$C528,$AB$6:$AB$1000=1)),),""WINNER"",""""))"),"")</f>
        <v/>
      </c>
      <c r="AF528" s="40" t="str">
        <f t="shared" si="5"/>
        <v/>
      </c>
      <c r="AG528" s="40" t="str">
        <f>IF($J528="","",COUNTIF(Assignments!$B:$B,$J528))</f>
        <v/>
      </c>
      <c r="AH528" s="40" t="str">
        <f>IF($J528="","",IF(AND($AG528=0,$N528&lt;$M528),Config!$B$43,0))</f>
        <v/>
      </c>
      <c r="AI528" s="40" t="str">
        <f>IF($J528="","",IF(AND($L528="Elite",$F528&gt;=Config!$B$41,$N528&lt;$M528),Config!$B$42,0))</f>
        <v/>
      </c>
      <c r="AJ528" s="22"/>
    </row>
    <row r="529" ht="15.75" customHeight="1">
      <c r="A529" s="40" t="str">
        <f t="shared" si="1"/>
        <v/>
      </c>
      <c r="B529" s="40" t="str">
        <f>IF(Bids!$A529="","",Bids!$A529)</f>
        <v/>
      </c>
      <c r="C529" s="40" t="str">
        <f>IF(Bids!$B529="","",Bids!$B529)</f>
        <v/>
      </c>
      <c r="D529" s="40" t="str">
        <f>IF($C529="","",IFERROR(VLOOKUP($C529,Orders!$A:$J,9,FALSE),""))</f>
        <v/>
      </c>
      <c r="E529" s="40" t="str">
        <f>IF($C529="","",IFERROR(VLOOKUP($C529,Orders!$A:$J,3,FALSE),""))</f>
        <v/>
      </c>
      <c r="F529" s="40" t="str">
        <f>IF($C529="","",IFERROR(VLOOKUP($C529,Orders!$A:$J,4,FALSE),""))</f>
        <v/>
      </c>
      <c r="G529" s="40" t="str">
        <f>IF($C529="","",IFERROR(VLOOKUP($C529,Orders!$A:$J,5,FALSE),""))</f>
        <v/>
      </c>
      <c r="H529" s="40" t="str">
        <f>IF($C529="","",IFERROR(VLOOKUP($C529,Orders!$A:$J,6,FALSE),""))</f>
        <v/>
      </c>
      <c r="I529" s="40" t="str">
        <f>IF($C529="","",IFERROR(VLOOKUP($C529,Orders!$A:$J,7,FALSE),""))</f>
        <v/>
      </c>
      <c r="J529" s="40" t="str">
        <f>IF(Bids!$C529="","",Bids!$C529)</f>
        <v/>
      </c>
      <c r="K529" s="40" t="str">
        <f>IF($J529="","",IFERROR(VLOOKUP($J529,Grinders!$A:$N,2,FALSE),""))</f>
        <v/>
      </c>
      <c r="L529" s="40" t="str">
        <f>IF($J529="","",IFERROR(VLOOKUP($J529,Grinders!$A:$N,3,FALSE),""))</f>
        <v/>
      </c>
      <c r="M529" s="40" t="str">
        <f>IF($J529="","",IFERROR(VLOOKUP($J529,Grinders!$A:$N,4,FALSE),""))</f>
        <v/>
      </c>
      <c r="N529" s="40" t="str">
        <f>IF($J529="","",IFERROR(VLOOKUP($J529,Grinders!$A:$N,5,FALSE),""))</f>
        <v/>
      </c>
      <c r="O529" s="40" t="str">
        <f t="shared" si="2"/>
        <v/>
      </c>
      <c r="P529" s="40" t="str">
        <f>IF($J529="","",IFERROR(VLOOKUP($J529,Grinders!$A:$N,6,FALSE),""))</f>
        <v/>
      </c>
      <c r="Q529" s="40" t="str">
        <f>IF($J529="","",IFERROR(VLOOKUP($J529,Grinders!$A:$N,8,FALSE),""))</f>
        <v/>
      </c>
      <c r="R529" s="40" t="str">
        <f>IFERROR(IF($J529="","",IF($L529="Elite",MAX(50,MIN(100,Config!$B$27*MAX(0,MIN(100,(1-IF($O529="",0,$O529))*100)) + Config!$B$28*MAX(0,MIN(100,(1-MIN(1,IF(Config!$B$30=0,1,$P529/Config!$B$30)))*100)) + Config!$B$29*MAX(0,MIN(100,MIN(1,IF($Q529="",0,$Q529)/Config!$B$23)*100)))),MIN(100,Config!$B$27*MAX(0,MIN(100,(1-IF($O529="",0,$O529))*100)) + Config!$B$28*MAX(0,MIN(100,(1-MIN(1,IF(Config!$B$30=0,1,$P529/Config!$B$30)))*100)) + Config!$B$29*MAX(0,MIN(100,MIN(1,IF($Q529="",0,$Q529)/Config!$B$23)*100))))),"")
</f>
        <v/>
      </c>
      <c r="S529" s="40" t="str">
        <f>IF(Bids!$D529="","",Bids!$D529)</f>
        <v/>
      </c>
      <c r="T529" s="40" t="str">
        <f>IF(Bids!$F529="","",Bids!$F529)</f>
        <v/>
      </c>
      <c r="U529" s="40" t="str">
        <f t="shared" si="3"/>
        <v/>
      </c>
      <c r="V529" s="40" t="str">
        <f>IF($U529="","",IF(Config!$B$17=Config!$B$16,IF($U529&gt;=Config!$B$17,100,0),MAX(0,MIN(100,($U529-Config!$B$16)/(Config!$B$17-Config!$B$16)*100))))</f>
        <v/>
      </c>
      <c r="W529" s="40">
        <f>IF($L529="Elite",Config!$B$21,0)</f>
        <v>0</v>
      </c>
      <c r="X529" s="40" t="str">
        <f>IFERROR(IF(OR($T529="",$G529=""),"",IF($T529&gt;$G529,
  MAX(0, 60-(($T529-$G529)*24/Config!$B$19)*60),
  MEDIAN(60, 100, 60+(($G529-$T529)*24/Config!$B$20)*40)
)),"")
</f>
        <v/>
      </c>
      <c r="Y529" s="40" t="str">
        <f>IF($J529="","",IFERROR(VLOOKUP($J529,Grinders!$A:$N,10,FALSE),""))</f>
        <v/>
      </c>
      <c r="Z529" s="40" t="str">
        <f>IF($J529="","",IFERROR(VLOOKUP($J529,Grinders!$A:$N,11,FALSE),""))</f>
        <v/>
      </c>
      <c r="AA529" s="40" t="str">
        <f>IF($J529="","",IFERROR(VLOOKUP($J529,Grinders!$A:$N,12,FALSE),""))</f>
        <v/>
      </c>
      <c r="AB529" s="40">
        <f>IFERROR(IF(OR($C529="",$J529=""),0,IF($D529&lt;&gt;"Open",0,IF(COUNTIFS(GrinderServices!$B:$B,$J529,GrinderServices!$C:$C,$E529,GrinderServices!$E:$E,"Y")=0,0,IF($U529&lt;Config!$B$16,0,IF(Config!$B$18=1,IF($N529&gt;=$M529,0,1),1))))),"")</f>
        <v>0</v>
      </c>
      <c r="AC529" s="40" t="str">
        <f>IFERROR(IF($AB529=0,"",((Config!$B$6*$V529 + Config!$B$7*$R529 + Config!$B$8*$W529 + Config!$B$9*$X529 + Config!$B$10*$Y529 + Config!$B$11*$Z529 - Config!$B$12*$AA529)/Config!$B$13)+$AH529+$AI529),"")</f>
        <v/>
      </c>
      <c r="AD529" s="40" t="str">
        <f t="shared" si="4"/>
        <v/>
      </c>
      <c r="AE529" s="40" t="str">
        <f>IFERROR(__xludf.DUMMYFUNCTION("IF($AC529="""","""",IF($AC529=IFERROR(MAX(FILTER($AC$6:$AC$1000,$C$6:$C$1000=$C529,$AB$6:$AB$1000=1)),),""WINNER"",""""))"),"")</f>
        <v/>
      </c>
      <c r="AF529" s="40" t="str">
        <f t="shared" si="5"/>
        <v/>
      </c>
      <c r="AG529" s="40" t="str">
        <f>IF($J529="","",COUNTIF(Assignments!$B:$B,$J529))</f>
        <v/>
      </c>
      <c r="AH529" s="40" t="str">
        <f>IF($J529="","",IF(AND($AG529=0,$N529&lt;$M529),Config!$B$43,0))</f>
        <v/>
      </c>
      <c r="AI529" s="40" t="str">
        <f>IF($J529="","",IF(AND($L529="Elite",$F529&gt;=Config!$B$41,$N529&lt;$M529),Config!$B$42,0))</f>
        <v/>
      </c>
      <c r="AJ529" s="22"/>
    </row>
    <row r="530" ht="15.75" customHeight="1">
      <c r="A530" s="40" t="str">
        <f t="shared" si="1"/>
        <v/>
      </c>
      <c r="B530" s="40" t="str">
        <f>IF(Bids!$A530="","",Bids!$A530)</f>
        <v/>
      </c>
      <c r="C530" s="40" t="str">
        <f>IF(Bids!$B530="","",Bids!$B530)</f>
        <v/>
      </c>
      <c r="D530" s="40" t="str">
        <f>IF($C530="","",IFERROR(VLOOKUP($C530,Orders!$A:$J,9,FALSE),""))</f>
        <v/>
      </c>
      <c r="E530" s="40" t="str">
        <f>IF($C530="","",IFERROR(VLOOKUP($C530,Orders!$A:$J,3,FALSE),""))</f>
        <v/>
      </c>
      <c r="F530" s="40" t="str">
        <f>IF($C530="","",IFERROR(VLOOKUP($C530,Orders!$A:$J,4,FALSE),""))</f>
        <v/>
      </c>
      <c r="G530" s="40" t="str">
        <f>IF($C530="","",IFERROR(VLOOKUP($C530,Orders!$A:$J,5,FALSE),""))</f>
        <v/>
      </c>
      <c r="H530" s="40" t="str">
        <f>IF($C530="","",IFERROR(VLOOKUP($C530,Orders!$A:$J,6,FALSE),""))</f>
        <v/>
      </c>
      <c r="I530" s="40" t="str">
        <f>IF($C530="","",IFERROR(VLOOKUP($C530,Orders!$A:$J,7,FALSE),""))</f>
        <v/>
      </c>
      <c r="J530" s="40" t="str">
        <f>IF(Bids!$C530="","",Bids!$C530)</f>
        <v/>
      </c>
      <c r="K530" s="40" t="str">
        <f>IF($J530="","",IFERROR(VLOOKUP($J530,Grinders!$A:$N,2,FALSE),""))</f>
        <v/>
      </c>
      <c r="L530" s="40" t="str">
        <f>IF($J530="","",IFERROR(VLOOKUP($J530,Grinders!$A:$N,3,FALSE),""))</f>
        <v/>
      </c>
      <c r="M530" s="40" t="str">
        <f>IF($J530="","",IFERROR(VLOOKUP($J530,Grinders!$A:$N,4,FALSE),""))</f>
        <v/>
      </c>
      <c r="N530" s="40" t="str">
        <f>IF($J530="","",IFERROR(VLOOKUP($J530,Grinders!$A:$N,5,FALSE),""))</f>
        <v/>
      </c>
      <c r="O530" s="40" t="str">
        <f t="shared" si="2"/>
        <v/>
      </c>
      <c r="P530" s="40" t="str">
        <f>IF($J530="","",IFERROR(VLOOKUP($J530,Grinders!$A:$N,6,FALSE),""))</f>
        <v/>
      </c>
      <c r="Q530" s="40" t="str">
        <f>IF($J530="","",IFERROR(VLOOKUP($J530,Grinders!$A:$N,8,FALSE),""))</f>
        <v/>
      </c>
      <c r="R530" s="40" t="str">
        <f>IFERROR(IF($J530="","",IF($L530="Elite",MAX(50,MIN(100,Config!$B$27*MAX(0,MIN(100,(1-IF($O530="",0,$O530))*100)) + Config!$B$28*MAX(0,MIN(100,(1-MIN(1,IF(Config!$B$30=0,1,$P530/Config!$B$30)))*100)) + Config!$B$29*MAX(0,MIN(100,MIN(1,IF($Q530="",0,$Q530)/Config!$B$23)*100)))),MIN(100,Config!$B$27*MAX(0,MIN(100,(1-IF($O530="",0,$O530))*100)) + Config!$B$28*MAX(0,MIN(100,(1-MIN(1,IF(Config!$B$30=0,1,$P530/Config!$B$30)))*100)) + Config!$B$29*MAX(0,MIN(100,MIN(1,IF($Q530="",0,$Q530)/Config!$B$23)*100))))),"")
</f>
        <v/>
      </c>
      <c r="S530" s="40" t="str">
        <f>IF(Bids!$D530="","",Bids!$D530)</f>
        <v/>
      </c>
      <c r="T530" s="40" t="str">
        <f>IF(Bids!$F530="","",Bids!$F530)</f>
        <v/>
      </c>
      <c r="U530" s="40" t="str">
        <f t="shared" si="3"/>
        <v/>
      </c>
      <c r="V530" s="40" t="str">
        <f>IF($U530="","",IF(Config!$B$17=Config!$B$16,IF($U530&gt;=Config!$B$17,100,0),MAX(0,MIN(100,($U530-Config!$B$16)/(Config!$B$17-Config!$B$16)*100))))</f>
        <v/>
      </c>
      <c r="W530" s="40">
        <f>IF($L530="Elite",Config!$B$21,0)</f>
        <v>0</v>
      </c>
      <c r="X530" s="40" t="str">
        <f>IFERROR(IF(OR($T530="",$G530=""),"",IF($T530&gt;$G530,
  MAX(0, 60-(($T530-$G530)*24/Config!$B$19)*60),
  MEDIAN(60, 100, 60+(($G530-$T530)*24/Config!$B$20)*40)
)),"")
</f>
        <v/>
      </c>
      <c r="Y530" s="40" t="str">
        <f>IF($J530="","",IFERROR(VLOOKUP($J530,Grinders!$A:$N,10,FALSE),""))</f>
        <v/>
      </c>
      <c r="Z530" s="40" t="str">
        <f>IF($J530="","",IFERROR(VLOOKUP($J530,Grinders!$A:$N,11,FALSE),""))</f>
        <v/>
      </c>
      <c r="AA530" s="40" t="str">
        <f>IF($J530="","",IFERROR(VLOOKUP($J530,Grinders!$A:$N,12,FALSE),""))</f>
        <v/>
      </c>
      <c r="AB530" s="40">
        <f>IFERROR(IF(OR($C530="",$J530=""),0,IF($D530&lt;&gt;"Open",0,IF(COUNTIFS(GrinderServices!$B:$B,$J530,GrinderServices!$C:$C,$E530,GrinderServices!$E:$E,"Y")=0,0,IF($U530&lt;Config!$B$16,0,IF(Config!$B$18=1,IF($N530&gt;=$M530,0,1),1))))),"")</f>
        <v>0</v>
      </c>
      <c r="AC530" s="40" t="str">
        <f>IFERROR(IF($AB530=0,"",((Config!$B$6*$V530 + Config!$B$7*$R530 + Config!$B$8*$W530 + Config!$B$9*$X530 + Config!$B$10*$Y530 + Config!$B$11*$Z530 - Config!$B$12*$AA530)/Config!$B$13)+$AH530+$AI530),"")</f>
        <v/>
      </c>
      <c r="AD530" s="40" t="str">
        <f t="shared" si="4"/>
        <v/>
      </c>
      <c r="AE530" s="40" t="str">
        <f>IFERROR(__xludf.DUMMYFUNCTION("IF($AC530="""","""",IF($AC530=IFERROR(MAX(FILTER($AC$6:$AC$1000,$C$6:$C$1000=$C530,$AB$6:$AB$1000=1)),),""WINNER"",""""))"),"")</f>
        <v/>
      </c>
      <c r="AF530" s="40" t="str">
        <f t="shared" si="5"/>
        <v/>
      </c>
      <c r="AG530" s="40" t="str">
        <f>IF($J530="","",COUNTIF(Assignments!$B:$B,$J530))</f>
        <v/>
      </c>
      <c r="AH530" s="40" t="str">
        <f>IF($J530="","",IF(AND($AG530=0,$N530&lt;$M530),Config!$B$43,0))</f>
        <v/>
      </c>
      <c r="AI530" s="40" t="str">
        <f>IF($J530="","",IF(AND($L530="Elite",$F530&gt;=Config!$B$41,$N530&lt;$M530),Config!$B$42,0))</f>
        <v/>
      </c>
      <c r="AJ530" s="22"/>
    </row>
    <row r="531" ht="15.75" customHeight="1">
      <c r="A531" s="40" t="str">
        <f t="shared" si="1"/>
        <v/>
      </c>
      <c r="B531" s="40" t="str">
        <f>IF(Bids!$A531="","",Bids!$A531)</f>
        <v/>
      </c>
      <c r="C531" s="40" t="str">
        <f>IF(Bids!$B531="","",Bids!$B531)</f>
        <v/>
      </c>
      <c r="D531" s="40" t="str">
        <f>IF($C531="","",IFERROR(VLOOKUP($C531,Orders!$A:$J,9,FALSE),""))</f>
        <v/>
      </c>
      <c r="E531" s="40" t="str">
        <f>IF($C531="","",IFERROR(VLOOKUP($C531,Orders!$A:$J,3,FALSE),""))</f>
        <v/>
      </c>
      <c r="F531" s="40" t="str">
        <f>IF($C531="","",IFERROR(VLOOKUP($C531,Orders!$A:$J,4,FALSE),""))</f>
        <v/>
      </c>
      <c r="G531" s="40" t="str">
        <f>IF($C531="","",IFERROR(VLOOKUP($C531,Orders!$A:$J,5,FALSE),""))</f>
        <v/>
      </c>
      <c r="H531" s="40" t="str">
        <f>IF($C531="","",IFERROR(VLOOKUP($C531,Orders!$A:$J,6,FALSE),""))</f>
        <v/>
      </c>
      <c r="I531" s="40" t="str">
        <f>IF($C531="","",IFERROR(VLOOKUP($C531,Orders!$A:$J,7,FALSE),""))</f>
        <v/>
      </c>
      <c r="J531" s="40" t="str">
        <f>IF(Bids!$C531="","",Bids!$C531)</f>
        <v/>
      </c>
      <c r="K531" s="40" t="str">
        <f>IF($J531="","",IFERROR(VLOOKUP($J531,Grinders!$A:$N,2,FALSE),""))</f>
        <v/>
      </c>
      <c r="L531" s="40" t="str">
        <f>IF($J531="","",IFERROR(VLOOKUP($J531,Grinders!$A:$N,3,FALSE),""))</f>
        <v/>
      </c>
      <c r="M531" s="40" t="str">
        <f>IF($J531="","",IFERROR(VLOOKUP($J531,Grinders!$A:$N,4,FALSE),""))</f>
        <v/>
      </c>
      <c r="N531" s="40" t="str">
        <f>IF($J531="","",IFERROR(VLOOKUP($J531,Grinders!$A:$N,5,FALSE),""))</f>
        <v/>
      </c>
      <c r="O531" s="40" t="str">
        <f t="shared" si="2"/>
        <v/>
      </c>
      <c r="P531" s="40" t="str">
        <f>IF($J531="","",IFERROR(VLOOKUP($J531,Grinders!$A:$N,6,FALSE),""))</f>
        <v/>
      </c>
      <c r="Q531" s="40" t="str">
        <f>IF($J531="","",IFERROR(VLOOKUP($J531,Grinders!$A:$N,8,FALSE),""))</f>
        <v/>
      </c>
      <c r="R531" s="40" t="str">
        <f>IFERROR(IF($J531="","",IF($L531="Elite",MAX(50,MIN(100,Config!$B$27*MAX(0,MIN(100,(1-IF($O531="",0,$O531))*100)) + Config!$B$28*MAX(0,MIN(100,(1-MIN(1,IF(Config!$B$30=0,1,$P531/Config!$B$30)))*100)) + Config!$B$29*MAX(0,MIN(100,MIN(1,IF($Q531="",0,$Q531)/Config!$B$23)*100)))),MIN(100,Config!$B$27*MAX(0,MIN(100,(1-IF($O531="",0,$O531))*100)) + Config!$B$28*MAX(0,MIN(100,(1-MIN(1,IF(Config!$B$30=0,1,$P531/Config!$B$30)))*100)) + Config!$B$29*MAX(0,MIN(100,MIN(1,IF($Q531="",0,$Q531)/Config!$B$23)*100))))),"")
</f>
        <v/>
      </c>
      <c r="S531" s="40" t="str">
        <f>IF(Bids!$D531="","",Bids!$D531)</f>
        <v/>
      </c>
      <c r="T531" s="40" t="str">
        <f>IF(Bids!$F531="","",Bids!$F531)</f>
        <v/>
      </c>
      <c r="U531" s="40" t="str">
        <f t="shared" si="3"/>
        <v/>
      </c>
      <c r="V531" s="40" t="str">
        <f>IF($U531="","",IF(Config!$B$17=Config!$B$16,IF($U531&gt;=Config!$B$17,100,0),MAX(0,MIN(100,($U531-Config!$B$16)/(Config!$B$17-Config!$B$16)*100))))</f>
        <v/>
      </c>
      <c r="W531" s="40">
        <f>IF($L531="Elite",Config!$B$21,0)</f>
        <v>0</v>
      </c>
      <c r="X531" s="40" t="str">
        <f>IFERROR(IF(OR($T531="",$G531=""),"",IF($T531&gt;$G531,
  MAX(0, 60-(($T531-$G531)*24/Config!$B$19)*60),
  MEDIAN(60, 100, 60+(($G531-$T531)*24/Config!$B$20)*40)
)),"")
</f>
        <v/>
      </c>
      <c r="Y531" s="40" t="str">
        <f>IF($J531="","",IFERROR(VLOOKUP($J531,Grinders!$A:$N,10,FALSE),""))</f>
        <v/>
      </c>
      <c r="Z531" s="40" t="str">
        <f>IF($J531="","",IFERROR(VLOOKUP($J531,Grinders!$A:$N,11,FALSE),""))</f>
        <v/>
      </c>
      <c r="AA531" s="40" t="str">
        <f>IF($J531="","",IFERROR(VLOOKUP($J531,Grinders!$A:$N,12,FALSE),""))</f>
        <v/>
      </c>
      <c r="AB531" s="40">
        <f>IFERROR(IF(OR($C531="",$J531=""),0,IF($D531&lt;&gt;"Open",0,IF(COUNTIFS(GrinderServices!$B:$B,$J531,GrinderServices!$C:$C,$E531,GrinderServices!$E:$E,"Y")=0,0,IF($U531&lt;Config!$B$16,0,IF(Config!$B$18=1,IF($N531&gt;=$M531,0,1),1))))),"")</f>
        <v>0</v>
      </c>
      <c r="AC531" s="40" t="str">
        <f>IFERROR(IF($AB531=0,"",((Config!$B$6*$V531 + Config!$B$7*$R531 + Config!$B$8*$W531 + Config!$B$9*$X531 + Config!$B$10*$Y531 + Config!$B$11*$Z531 - Config!$B$12*$AA531)/Config!$B$13)+$AH531+$AI531),"")</f>
        <v/>
      </c>
      <c r="AD531" s="40" t="str">
        <f t="shared" si="4"/>
        <v/>
      </c>
      <c r="AE531" s="40" t="str">
        <f>IFERROR(__xludf.DUMMYFUNCTION("IF($AC531="""","""",IF($AC531=IFERROR(MAX(FILTER($AC$6:$AC$1000,$C$6:$C$1000=$C531,$AB$6:$AB$1000=1)),),""WINNER"",""""))"),"")</f>
        <v/>
      </c>
      <c r="AF531" s="40" t="str">
        <f t="shared" si="5"/>
        <v/>
      </c>
      <c r="AG531" s="40" t="str">
        <f>IF($J531="","",COUNTIF(Assignments!$B:$B,$J531))</f>
        <v/>
      </c>
      <c r="AH531" s="40" t="str">
        <f>IF($J531="","",IF(AND($AG531=0,$N531&lt;$M531),Config!$B$43,0))</f>
        <v/>
      </c>
      <c r="AI531" s="40" t="str">
        <f>IF($J531="","",IF(AND($L531="Elite",$F531&gt;=Config!$B$41,$N531&lt;$M531),Config!$B$42,0))</f>
        <v/>
      </c>
      <c r="AJ531" s="22"/>
    </row>
    <row r="532" ht="15.75" customHeight="1">
      <c r="A532" s="40" t="str">
        <f t="shared" si="1"/>
        <v/>
      </c>
      <c r="B532" s="40" t="str">
        <f>IF(Bids!$A532="","",Bids!$A532)</f>
        <v/>
      </c>
      <c r="C532" s="40" t="str">
        <f>IF(Bids!$B532="","",Bids!$B532)</f>
        <v/>
      </c>
      <c r="D532" s="40" t="str">
        <f>IF($C532="","",IFERROR(VLOOKUP($C532,Orders!$A:$J,9,FALSE),""))</f>
        <v/>
      </c>
      <c r="E532" s="40" t="str">
        <f>IF($C532="","",IFERROR(VLOOKUP($C532,Orders!$A:$J,3,FALSE),""))</f>
        <v/>
      </c>
      <c r="F532" s="40" t="str">
        <f>IF($C532="","",IFERROR(VLOOKUP($C532,Orders!$A:$J,4,FALSE),""))</f>
        <v/>
      </c>
      <c r="G532" s="40" t="str">
        <f>IF($C532="","",IFERROR(VLOOKUP($C532,Orders!$A:$J,5,FALSE),""))</f>
        <v/>
      </c>
      <c r="H532" s="40" t="str">
        <f>IF($C532="","",IFERROR(VLOOKUP($C532,Orders!$A:$J,6,FALSE),""))</f>
        <v/>
      </c>
      <c r="I532" s="40" t="str">
        <f>IF($C532="","",IFERROR(VLOOKUP($C532,Orders!$A:$J,7,FALSE),""))</f>
        <v/>
      </c>
      <c r="J532" s="40" t="str">
        <f>IF(Bids!$C532="","",Bids!$C532)</f>
        <v/>
      </c>
      <c r="K532" s="40" t="str">
        <f>IF($J532="","",IFERROR(VLOOKUP($J532,Grinders!$A:$N,2,FALSE),""))</f>
        <v/>
      </c>
      <c r="L532" s="40" t="str">
        <f>IF($J532="","",IFERROR(VLOOKUP($J532,Grinders!$A:$N,3,FALSE),""))</f>
        <v/>
      </c>
      <c r="M532" s="40" t="str">
        <f>IF($J532="","",IFERROR(VLOOKUP($J532,Grinders!$A:$N,4,FALSE),""))</f>
        <v/>
      </c>
      <c r="N532" s="40" t="str">
        <f>IF($J532="","",IFERROR(VLOOKUP($J532,Grinders!$A:$N,5,FALSE),""))</f>
        <v/>
      </c>
      <c r="O532" s="40" t="str">
        <f t="shared" si="2"/>
        <v/>
      </c>
      <c r="P532" s="40" t="str">
        <f>IF($J532="","",IFERROR(VLOOKUP($J532,Grinders!$A:$N,6,FALSE),""))</f>
        <v/>
      </c>
      <c r="Q532" s="40" t="str">
        <f>IF($J532="","",IFERROR(VLOOKUP($J532,Grinders!$A:$N,8,FALSE),""))</f>
        <v/>
      </c>
      <c r="R532" s="40" t="str">
        <f>IFERROR(IF($J532="","",IF($L532="Elite",MAX(50,MIN(100,Config!$B$27*MAX(0,MIN(100,(1-IF($O532="",0,$O532))*100)) + Config!$B$28*MAX(0,MIN(100,(1-MIN(1,IF(Config!$B$30=0,1,$P532/Config!$B$30)))*100)) + Config!$B$29*MAX(0,MIN(100,MIN(1,IF($Q532="",0,$Q532)/Config!$B$23)*100)))),MIN(100,Config!$B$27*MAX(0,MIN(100,(1-IF($O532="",0,$O532))*100)) + Config!$B$28*MAX(0,MIN(100,(1-MIN(1,IF(Config!$B$30=0,1,$P532/Config!$B$30)))*100)) + Config!$B$29*MAX(0,MIN(100,MIN(1,IF($Q532="",0,$Q532)/Config!$B$23)*100))))),"")
</f>
        <v/>
      </c>
      <c r="S532" s="40" t="str">
        <f>IF(Bids!$D532="","",Bids!$D532)</f>
        <v/>
      </c>
      <c r="T532" s="40" t="str">
        <f>IF(Bids!$F532="","",Bids!$F532)</f>
        <v/>
      </c>
      <c r="U532" s="40" t="str">
        <f t="shared" si="3"/>
        <v/>
      </c>
      <c r="V532" s="40" t="str">
        <f>IF($U532="","",IF(Config!$B$17=Config!$B$16,IF($U532&gt;=Config!$B$17,100,0),MAX(0,MIN(100,($U532-Config!$B$16)/(Config!$B$17-Config!$B$16)*100))))</f>
        <v/>
      </c>
      <c r="W532" s="40">
        <f>IF($L532="Elite",Config!$B$21,0)</f>
        <v>0</v>
      </c>
      <c r="X532" s="40" t="str">
        <f>IFERROR(IF(OR($T532="",$G532=""),"",IF($T532&gt;$G532,
  MAX(0, 60-(($T532-$G532)*24/Config!$B$19)*60),
  MEDIAN(60, 100, 60+(($G532-$T532)*24/Config!$B$20)*40)
)),"")
</f>
        <v/>
      </c>
      <c r="Y532" s="40" t="str">
        <f>IF($J532="","",IFERROR(VLOOKUP($J532,Grinders!$A:$N,10,FALSE),""))</f>
        <v/>
      </c>
      <c r="Z532" s="40" t="str">
        <f>IF($J532="","",IFERROR(VLOOKUP($J532,Grinders!$A:$N,11,FALSE),""))</f>
        <v/>
      </c>
      <c r="AA532" s="40" t="str">
        <f>IF($J532="","",IFERROR(VLOOKUP($J532,Grinders!$A:$N,12,FALSE),""))</f>
        <v/>
      </c>
      <c r="AB532" s="40">
        <f>IFERROR(IF(OR($C532="",$J532=""),0,IF($D532&lt;&gt;"Open",0,IF(COUNTIFS(GrinderServices!$B:$B,$J532,GrinderServices!$C:$C,$E532,GrinderServices!$E:$E,"Y")=0,0,IF($U532&lt;Config!$B$16,0,IF(Config!$B$18=1,IF($N532&gt;=$M532,0,1),1))))),"")</f>
        <v>0</v>
      </c>
      <c r="AC532" s="40" t="str">
        <f>IFERROR(IF($AB532=0,"",((Config!$B$6*$V532 + Config!$B$7*$R532 + Config!$B$8*$W532 + Config!$B$9*$X532 + Config!$B$10*$Y532 + Config!$B$11*$Z532 - Config!$B$12*$AA532)/Config!$B$13)+$AH532+$AI532),"")</f>
        <v/>
      </c>
      <c r="AD532" s="40" t="str">
        <f t="shared" si="4"/>
        <v/>
      </c>
      <c r="AE532" s="40" t="str">
        <f>IFERROR(__xludf.DUMMYFUNCTION("IF($AC532="""","""",IF($AC532=IFERROR(MAX(FILTER($AC$6:$AC$1000,$C$6:$C$1000=$C532,$AB$6:$AB$1000=1)),),""WINNER"",""""))"),"")</f>
        <v/>
      </c>
      <c r="AF532" s="40" t="str">
        <f t="shared" si="5"/>
        <v/>
      </c>
      <c r="AG532" s="40" t="str">
        <f>IF($J532="","",COUNTIF(Assignments!$B:$B,$J532))</f>
        <v/>
      </c>
      <c r="AH532" s="40" t="str">
        <f>IF($J532="","",IF(AND($AG532=0,$N532&lt;$M532),Config!$B$43,0))</f>
        <v/>
      </c>
      <c r="AI532" s="40" t="str">
        <f>IF($J532="","",IF(AND($L532="Elite",$F532&gt;=Config!$B$41,$N532&lt;$M532),Config!$B$42,0))</f>
        <v/>
      </c>
      <c r="AJ532" s="22"/>
    </row>
    <row r="533" ht="15.75" customHeight="1">
      <c r="A533" s="40" t="str">
        <f t="shared" si="1"/>
        <v/>
      </c>
      <c r="B533" s="40" t="str">
        <f>IF(Bids!$A533="","",Bids!$A533)</f>
        <v/>
      </c>
      <c r="C533" s="40" t="str">
        <f>IF(Bids!$B533="","",Bids!$B533)</f>
        <v/>
      </c>
      <c r="D533" s="40" t="str">
        <f>IF($C533="","",IFERROR(VLOOKUP($C533,Orders!$A:$J,9,FALSE),""))</f>
        <v/>
      </c>
      <c r="E533" s="40" t="str">
        <f>IF($C533="","",IFERROR(VLOOKUP($C533,Orders!$A:$J,3,FALSE),""))</f>
        <v/>
      </c>
      <c r="F533" s="40" t="str">
        <f>IF($C533="","",IFERROR(VLOOKUP($C533,Orders!$A:$J,4,FALSE),""))</f>
        <v/>
      </c>
      <c r="G533" s="40" t="str">
        <f>IF($C533="","",IFERROR(VLOOKUP($C533,Orders!$A:$J,5,FALSE),""))</f>
        <v/>
      </c>
      <c r="H533" s="40" t="str">
        <f>IF($C533="","",IFERROR(VLOOKUP($C533,Orders!$A:$J,6,FALSE),""))</f>
        <v/>
      </c>
      <c r="I533" s="40" t="str">
        <f>IF($C533="","",IFERROR(VLOOKUP($C533,Orders!$A:$J,7,FALSE),""))</f>
        <v/>
      </c>
      <c r="J533" s="40" t="str">
        <f>IF(Bids!$C533="","",Bids!$C533)</f>
        <v/>
      </c>
      <c r="K533" s="40" t="str">
        <f>IF($J533="","",IFERROR(VLOOKUP($J533,Grinders!$A:$N,2,FALSE),""))</f>
        <v/>
      </c>
      <c r="L533" s="40" t="str">
        <f>IF($J533="","",IFERROR(VLOOKUP($J533,Grinders!$A:$N,3,FALSE),""))</f>
        <v/>
      </c>
      <c r="M533" s="40" t="str">
        <f>IF($J533="","",IFERROR(VLOOKUP($J533,Grinders!$A:$N,4,FALSE),""))</f>
        <v/>
      </c>
      <c r="N533" s="40" t="str">
        <f>IF($J533="","",IFERROR(VLOOKUP($J533,Grinders!$A:$N,5,FALSE),""))</f>
        <v/>
      </c>
      <c r="O533" s="40" t="str">
        <f t="shared" si="2"/>
        <v/>
      </c>
      <c r="P533" s="40" t="str">
        <f>IF($J533="","",IFERROR(VLOOKUP($J533,Grinders!$A:$N,6,FALSE),""))</f>
        <v/>
      </c>
      <c r="Q533" s="40" t="str">
        <f>IF($J533="","",IFERROR(VLOOKUP($J533,Grinders!$A:$N,8,FALSE),""))</f>
        <v/>
      </c>
      <c r="R533" s="40" t="str">
        <f>IFERROR(IF($J533="","",IF($L533="Elite",MAX(50,MIN(100,Config!$B$27*MAX(0,MIN(100,(1-IF($O533="",0,$O533))*100)) + Config!$B$28*MAX(0,MIN(100,(1-MIN(1,IF(Config!$B$30=0,1,$P533/Config!$B$30)))*100)) + Config!$B$29*MAX(0,MIN(100,MIN(1,IF($Q533="",0,$Q533)/Config!$B$23)*100)))),MIN(100,Config!$B$27*MAX(0,MIN(100,(1-IF($O533="",0,$O533))*100)) + Config!$B$28*MAX(0,MIN(100,(1-MIN(1,IF(Config!$B$30=0,1,$P533/Config!$B$30)))*100)) + Config!$B$29*MAX(0,MIN(100,MIN(1,IF($Q533="",0,$Q533)/Config!$B$23)*100))))),"")
</f>
        <v/>
      </c>
      <c r="S533" s="40" t="str">
        <f>IF(Bids!$D533="","",Bids!$D533)</f>
        <v/>
      </c>
      <c r="T533" s="40" t="str">
        <f>IF(Bids!$F533="","",Bids!$F533)</f>
        <v/>
      </c>
      <c r="U533" s="40" t="str">
        <f t="shared" si="3"/>
        <v/>
      </c>
      <c r="V533" s="40" t="str">
        <f>IF($U533="","",IF(Config!$B$17=Config!$B$16,IF($U533&gt;=Config!$B$17,100,0),MAX(0,MIN(100,($U533-Config!$B$16)/(Config!$B$17-Config!$B$16)*100))))</f>
        <v/>
      </c>
      <c r="W533" s="40">
        <f>IF($L533="Elite",Config!$B$21,0)</f>
        <v>0</v>
      </c>
      <c r="X533" s="40" t="str">
        <f>IFERROR(IF(OR($T533="",$G533=""),"",IF($T533&gt;$G533,
  MAX(0, 60-(($T533-$G533)*24/Config!$B$19)*60),
  MEDIAN(60, 100, 60+(($G533-$T533)*24/Config!$B$20)*40)
)),"")
</f>
        <v/>
      </c>
      <c r="Y533" s="40" t="str">
        <f>IF($J533="","",IFERROR(VLOOKUP($J533,Grinders!$A:$N,10,FALSE),""))</f>
        <v/>
      </c>
      <c r="Z533" s="40" t="str">
        <f>IF($J533="","",IFERROR(VLOOKUP($J533,Grinders!$A:$N,11,FALSE),""))</f>
        <v/>
      </c>
      <c r="AA533" s="40" t="str">
        <f>IF($J533="","",IFERROR(VLOOKUP($J533,Grinders!$A:$N,12,FALSE),""))</f>
        <v/>
      </c>
      <c r="AB533" s="40">
        <f>IFERROR(IF(OR($C533="",$J533=""),0,IF($D533&lt;&gt;"Open",0,IF(COUNTIFS(GrinderServices!$B:$B,$J533,GrinderServices!$C:$C,$E533,GrinderServices!$E:$E,"Y")=0,0,IF($U533&lt;Config!$B$16,0,IF(Config!$B$18=1,IF($N533&gt;=$M533,0,1),1))))),"")</f>
        <v>0</v>
      </c>
      <c r="AC533" s="40" t="str">
        <f>IFERROR(IF($AB533=0,"",((Config!$B$6*$V533 + Config!$B$7*$R533 + Config!$B$8*$W533 + Config!$B$9*$X533 + Config!$B$10*$Y533 + Config!$B$11*$Z533 - Config!$B$12*$AA533)/Config!$B$13)+$AH533+$AI533),"")</f>
        <v/>
      </c>
      <c r="AD533" s="40" t="str">
        <f t="shared" si="4"/>
        <v/>
      </c>
      <c r="AE533" s="40" t="str">
        <f>IFERROR(__xludf.DUMMYFUNCTION("IF($AC533="""","""",IF($AC533=IFERROR(MAX(FILTER($AC$6:$AC$1000,$C$6:$C$1000=$C533,$AB$6:$AB$1000=1)),),""WINNER"",""""))"),"")</f>
        <v/>
      </c>
      <c r="AF533" s="40" t="str">
        <f t="shared" si="5"/>
        <v/>
      </c>
      <c r="AG533" s="40" t="str">
        <f>IF($J533="","",COUNTIF(Assignments!$B:$B,$J533))</f>
        <v/>
      </c>
      <c r="AH533" s="40" t="str">
        <f>IF($J533="","",IF(AND($AG533=0,$N533&lt;$M533),Config!$B$43,0))</f>
        <v/>
      </c>
      <c r="AI533" s="40" t="str">
        <f>IF($J533="","",IF(AND($L533="Elite",$F533&gt;=Config!$B$41,$N533&lt;$M533),Config!$B$42,0))</f>
        <v/>
      </c>
      <c r="AJ533" s="22"/>
    </row>
    <row r="534" ht="15.75" customHeight="1">
      <c r="A534" s="40" t="str">
        <f t="shared" si="1"/>
        <v/>
      </c>
      <c r="B534" s="40" t="str">
        <f>IF(Bids!$A534="","",Bids!$A534)</f>
        <v/>
      </c>
      <c r="C534" s="40" t="str">
        <f>IF(Bids!$B534="","",Bids!$B534)</f>
        <v/>
      </c>
      <c r="D534" s="40" t="str">
        <f>IF($C534="","",IFERROR(VLOOKUP($C534,Orders!$A:$J,9,FALSE),""))</f>
        <v/>
      </c>
      <c r="E534" s="40" t="str">
        <f>IF($C534="","",IFERROR(VLOOKUP($C534,Orders!$A:$J,3,FALSE),""))</f>
        <v/>
      </c>
      <c r="F534" s="40" t="str">
        <f>IF($C534="","",IFERROR(VLOOKUP($C534,Orders!$A:$J,4,FALSE),""))</f>
        <v/>
      </c>
      <c r="G534" s="40" t="str">
        <f>IF($C534="","",IFERROR(VLOOKUP($C534,Orders!$A:$J,5,FALSE),""))</f>
        <v/>
      </c>
      <c r="H534" s="40" t="str">
        <f>IF($C534="","",IFERROR(VLOOKUP($C534,Orders!$A:$J,6,FALSE),""))</f>
        <v/>
      </c>
      <c r="I534" s="40" t="str">
        <f>IF($C534="","",IFERROR(VLOOKUP($C534,Orders!$A:$J,7,FALSE),""))</f>
        <v/>
      </c>
      <c r="J534" s="40" t="str">
        <f>IF(Bids!$C534="","",Bids!$C534)</f>
        <v/>
      </c>
      <c r="K534" s="40" t="str">
        <f>IF($J534="","",IFERROR(VLOOKUP($J534,Grinders!$A:$N,2,FALSE),""))</f>
        <v/>
      </c>
      <c r="L534" s="40" t="str">
        <f>IF($J534="","",IFERROR(VLOOKUP($J534,Grinders!$A:$N,3,FALSE),""))</f>
        <v/>
      </c>
      <c r="M534" s="40" t="str">
        <f>IF($J534="","",IFERROR(VLOOKUP($J534,Grinders!$A:$N,4,FALSE),""))</f>
        <v/>
      </c>
      <c r="N534" s="40" t="str">
        <f>IF($J534="","",IFERROR(VLOOKUP($J534,Grinders!$A:$N,5,FALSE),""))</f>
        <v/>
      </c>
      <c r="O534" s="40" t="str">
        <f t="shared" si="2"/>
        <v/>
      </c>
      <c r="P534" s="40" t="str">
        <f>IF($J534="","",IFERROR(VLOOKUP($J534,Grinders!$A:$N,6,FALSE),""))</f>
        <v/>
      </c>
      <c r="Q534" s="40" t="str">
        <f>IF($J534="","",IFERROR(VLOOKUP($J534,Grinders!$A:$N,8,FALSE),""))</f>
        <v/>
      </c>
      <c r="R534" s="40" t="str">
        <f>IFERROR(IF($J534="","",IF($L534="Elite",MAX(50,MIN(100,Config!$B$27*MAX(0,MIN(100,(1-IF($O534="",0,$O534))*100)) + Config!$B$28*MAX(0,MIN(100,(1-MIN(1,IF(Config!$B$30=0,1,$P534/Config!$B$30)))*100)) + Config!$B$29*MAX(0,MIN(100,MIN(1,IF($Q534="",0,$Q534)/Config!$B$23)*100)))),MIN(100,Config!$B$27*MAX(0,MIN(100,(1-IF($O534="",0,$O534))*100)) + Config!$B$28*MAX(0,MIN(100,(1-MIN(1,IF(Config!$B$30=0,1,$P534/Config!$B$30)))*100)) + Config!$B$29*MAX(0,MIN(100,MIN(1,IF($Q534="",0,$Q534)/Config!$B$23)*100))))),"")
</f>
        <v/>
      </c>
      <c r="S534" s="40" t="str">
        <f>IF(Bids!$D534="","",Bids!$D534)</f>
        <v/>
      </c>
      <c r="T534" s="40" t="str">
        <f>IF(Bids!$F534="","",Bids!$F534)</f>
        <v/>
      </c>
      <c r="U534" s="40" t="str">
        <f t="shared" si="3"/>
        <v/>
      </c>
      <c r="V534" s="40" t="str">
        <f>IF($U534="","",IF(Config!$B$17=Config!$B$16,IF($U534&gt;=Config!$B$17,100,0),MAX(0,MIN(100,($U534-Config!$B$16)/(Config!$B$17-Config!$B$16)*100))))</f>
        <v/>
      </c>
      <c r="W534" s="40">
        <f>IF($L534="Elite",Config!$B$21,0)</f>
        <v>0</v>
      </c>
      <c r="X534" s="40" t="str">
        <f>IFERROR(IF(OR($T534="",$G534=""),"",IF($T534&gt;$G534,
  MAX(0, 60-(($T534-$G534)*24/Config!$B$19)*60),
  MEDIAN(60, 100, 60+(($G534-$T534)*24/Config!$B$20)*40)
)),"")
</f>
        <v/>
      </c>
      <c r="Y534" s="40" t="str">
        <f>IF($J534="","",IFERROR(VLOOKUP($J534,Grinders!$A:$N,10,FALSE),""))</f>
        <v/>
      </c>
      <c r="Z534" s="40" t="str">
        <f>IF($J534="","",IFERROR(VLOOKUP($J534,Grinders!$A:$N,11,FALSE),""))</f>
        <v/>
      </c>
      <c r="AA534" s="40" t="str">
        <f>IF($J534="","",IFERROR(VLOOKUP($J534,Grinders!$A:$N,12,FALSE),""))</f>
        <v/>
      </c>
      <c r="AB534" s="40">
        <f>IFERROR(IF(OR($C534="",$J534=""),0,IF($D534&lt;&gt;"Open",0,IF(COUNTIFS(GrinderServices!$B:$B,$J534,GrinderServices!$C:$C,$E534,GrinderServices!$E:$E,"Y")=0,0,IF($U534&lt;Config!$B$16,0,IF(Config!$B$18=1,IF($N534&gt;=$M534,0,1),1))))),"")</f>
        <v>0</v>
      </c>
      <c r="AC534" s="40" t="str">
        <f>IFERROR(IF($AB534=0,"",((Config!$B$6*$V534 + Config!$B$7*$R534 + Config!$B$8*$W534 + Config!$B$9*$X534 + Config!$B$10*$Y534 + Config!$B$11*$Z534 - Config!$B$12*$AA534)/Config!$B$13)+$AH534+$AI534),"")</f>
        <v/>
      </c>
      <c r="AD534" s="40" t="str">
        <f t="shared" si="4"/>
        <v/>
      </c>
      <c r="AE534" s="40" t="str">
        <f>IFERROR(__xludf.DUMMYFUNCTION("IF($AC534="""","""",IF($AC534=IFERROR(MAX(FILTER($AC$6:$AC$1000,$C$6:$C$1000=$C534,$AB$6:$AB$1000=1)),),""WINNER"",""""))"),"")</f>
        <v/>
      </c>
      <c r="AF534" s="40" t="str">
        <f t="shared" si="5"/>
        <v/>
      </c>
      <c r="AG534" s="40" t="str">
        <f>IF($J534="","",COUNTIF(Assignments!$B:$B,$J534))</f>
        <v/>
      </c>
      <c r="AH534" s="40" t="str">
        <f>IF($J534="","",IF(AND($AG534=0,$N534&lt;$M534),Config!$B$43,0))</f>
        <v/>
      </c>
      <c r="AI534" s="40" t="str">
        <f>IF($J534="","",IF(AND($L534="Elite",$F534&gt;=Config!$B$41,$N534&lt;$M534),Config!$B$42,0))</f>
        <v/>
      </c>
      <c r="AJ534" s="22"/>
    </row>
    <row r="535" ht="15.75" customHeight="1">
      <c r="A535" s="40" t="str">
        <f t="shared" si="1"/>
        <v/>
      </c>
      <c r="B535" s="40" t="str">
        <f>IF(Bids!$A535="","",Bids!$A535)</f>
        <v/>
      </c>
      <c r="C535" s="40" t="str">
        <f>IF(Bids!$B535="","",Bids!$B535)</f>
        <v/>
      </c>
      <c r="D535" s="40" t="str">
        <f>IF($C535="","",IFERROR(VLOOKUP($C535,Orders!$A:$J,9,FALSE),""))</f>
        <v/>
      </c>
      <c r="E535" s="40" t="str">
        <f>IF($C535="","",IFERROR(VLOOKUP($C535,Orders!$A:$J,3,FALSE),""))</f>
        <v/>
      </c>
      <c r="F535" s="40" t="str">
        <f>IF($C535="","",IFERROR(VLOOKUP($C535,Orders!$A:$J,4,FALSE),""))</f>
        <v/>
      </c>
      <c r="G535" s="40" t="str">
        <f>IF($C535="","",IFERROR(VLOOKUP($C535,Orders!$A:$J,5,FALSE),""))</f>
        <v/>
      </c>
      <c r="H535" s="40" t="str">
        <f>IF($C535="","",IFERROR(VLOOKUP($C535,Orders!$A:$J,6,FALSE),""))</f>
        <v/>
      </c>
      <c r="I535" s="40" t="str">
        <f>IF($C535="","",IFERROR(VLOOKUP($C535,Orders!$A:$J,7,FALSE),""))</f>
        <v/>
      </c>
      <c r="J535" s="40" t="str">
        <f>IF(Bids!$C535="","",Bids!$C535)</f>
        <v/>
      </c>
      <c r="K535" s="40" t="str">
        <f>IF($J535="","",IFERROR(VLOOKUP($J535,Grinders!$A:$N,2,FALSE),""))</f>
        <v/>
      </c>
      <c r="L535" s="40" t="str">
        <f>IF($J535="","",IFERROR(VLOOKUP($J535,Grinders!$A:$N,3,FALSE),""))</f>
        <v/>
      </c>
      <c r="M535" s="40" t="str">
        <f>IF($J535="","",IFERROR(VLOOKUP($J535,Grinders!$A:$N,4,FALSE),""))</f>
        <v/>
      </c>
      <c r="N535" s="40" t="str">
        <f>IF($J535="","",IFERROR(VLOOKUP($J535,Grinders!$A:$N,5,FALSE),""))</f>
        <v/>
      </c>
      <c r="O535" s="40" t="str">
        <f t="shared" si="2"/>
        <v/>
      </c>
      <c r="P535" s="40" t="str">
        <f>IF($J535="","",IFERROR(VLOOKUP($J535,Grinders!$A:$N,6,FALSE),""))</f>
        <v/>
      </c>
      <c r="Q535" s="40" t="str">
        <f>IF($J535="","",IFERROR(VLOOKUP($J535,Grinders!$A:$N,8,FALSE),""))</f>
        <v/>
      </c>
      <c r="R535" s="40" t="str">
        <f>IFERROR(IF($J535="","",IF($L535="Elite",MAX(50,MIN(100,Config!$B$27*MAX(0,MIN(100,(1-IF($O535="",0,$O535))*100)) + Config!$B$28*MAX(0,MIN(100,(1-MIN(1,IF(Config!$B$30=0,1,$P535/Config!$B$30)))*100)) + Config!$B$29*MAX(0,MIN(100,MIN(1,IF($Q535="",0,$Q535)/Config!$B$23)*100)))),MIN(100,Config!$B$27*MAX(0,MIN(100,(1-IF($O535="",0,$O535))*100)) + Config!$B$28*MAX(0,MIN(100,(1-MIN(1,IF(Config!$B$30=0,1,$P535/Config!$B$30)))*100)) + Config!$B$29*MAX(0,MIN(100,MIN(1,IF($Q535="",0,$Q535)/Config!$B$23)*100))))),"")
</f>
        <v/>
      </c>
      <c r="S535" s="40" t="str">
        <f>IF(Bids!$D535="","",Bids!$D535)</f>
        <v/>
      </c>
      <c r="T535" s="40" t="str">
        <f>IF(Bids!$F535="","",Bids!$F535)</f>
        <v/>
      </c>
      <c r="U535" s="40" t="str">
        <f t="shared" si="3"/>
        <v/>
      </c>
      <c r="V535" s="40" t="str">
        <f>IF($U535="","",IF(Config!$B$17=Config!$B$16,IF($U535&gt;=Config!$B$17,100,0),MAX(0,MIN(100,($U535-Config!$B$16)/(Config!$B$17-Config!$B$16)*100))))</f>
        <v/>
      </c>
      <c r="W535" s="40">
        <f>IF($L535="Elite",Config!$B$21,0)</f>
        <v>0</v>
      </c>
      <c r="X535" s="40" t="str">
        <f>IFERROR(IF(OR($T535="",$G535=""),"",IF($T535&gt;$G535,
  MAX(0, 60-(($T535-$G535)*24/Config!$B$19)*60),
  MEDIAN(60, 100, 60+(($G535-$T535)*24/Config!$B$20)*40)
)),"")
</f>
        <v/>
      </c>
      <c r="Y535" s="40" t="str">
        <f>IF($J535="","",IFERROR(VLOOKUP($J535,Grinders!$A:$N,10,FALSE),""))</f>
        <v/>
      </c>
      <c r="Z535" s="40" t="str">
        <f>IF($J535="","",IFERROR(VLOOKUP($J535,Grinders!$A:$N,11,FALSE),""))</f>
        <v/>
      </c>
      <c r="AA535" s="40" t="str">
        <f>IF($J535="","",IFERROR(VLOOKUP($J535,Grinders!$A:$N,12,FALSE),""))</f>
        <v/>
      </c>
      <c r="AB535" s="40">
        <f>IFERROR(IF(OR($C535="",$J535=""),0,IF($D535&lt;&gt;"Open",0,IF(COUNTIFS(GrinderServices!$B:$B,$J535,GrinderServices!$C:$C,$E535,GrinderServices!$E:$E,"Y")=0,0,IF($U535&lt;Config!$B$16,0,IF(Config!$B$18=1,IF($N535&gt;=$M535,0,1),1))))),"")</f>
        <v>0</v>
      </c>
      <c r="AC535" s="40" t="str">
        <f>IFERROR(IF($AB535=0,"",((Config!$B$6*$V535 + Config!$B$7*$R535 + Config!$B$8*$W535 + Config!$B$9*$X535 + Config!$B$10*$Y535 + Config!$B$11*$Z535 - Config!$B$12*$AA535)/Config!$B$13)+$AH535+$AI535),"")</f>
        <v/>
      </c>
      <c r="AD535" s="40" t="str">
        <f t="shared" si="4"/>
        <v/>
      </c>
      <c r="AE535" s="40" t="str">
        <f>IFERROR(__xludf.DUMMYFUNCTION("IF($AC535="""","""",IF($AC535=IFERROR(MAX(FILTER($AC$6:$AC$1000,$C$6:$C$1000=$C535,$AB$6:$AB$1000=1)),),""WINNER"",""""))"),"")</f>
        <v/>
      </c>
      <c r="AF535" s="40" t="str">
        <f t="shared" si="5"/>
        <v/>
      </c>
      <c r="AG535" s="40" t="str">
        <f>IF($J535="","",COUNTIF(Assignments!$B:$B,$J535))</f>
        <v/>
      </c>
      <c r="AH535" s="40" t="str">
        <f>IF($J535="","",IF(AND($AG535=0,$N535&lt;$M535),Config!$B$43,0))</f>
        <v/>
      </c>
      <c r="AI535" s="40" t="str">
        <f>IF($J535="","",IF(AND($L535="Elite",$F535&gt;=Config!$B$41,$N535&lt;$M535),Config!$B$42,0))</f>
        <v/>
      </c>
      <c r="AJ535" s="22"/>
    </row>
    <row r="536" ht="15.75" customHeight="1">
      <c r="A536" s="40" t="str">
        <f t="shared" si="1"/>
        <v/>
      </c>
      <c r="B536" s="40" t="str">
        <f>IF(Bids!$A536="","",Bids!$A536)</f>
        <v/>
      </c>
      <c r="C536" s="40" t="str">
        <f>IF(Bids!$B536="","",Bids!$B536)</f>
        <v/>
      </c>
      <c r="D536" s="40" t="str">
        <f>IF($C536="","",IFERROR(VLOOKUP($C536,Orders!$A:$J,9,FALSE),""))</f>
        <v/>
      </c>
      <c r="E536" s="40" t="str">
        <f>IF($C536="","",IFERROR(VLOOKUP($C536,Orders!$A:$J,3,FALSE),""))</f>
        <v/>
      </c>
      <c r="F536" s="40" t="str">
        <f>IF($C536="","",IFERROR(VLOOKUP($C536,Orders!$A:$J,4,FALSE),""))</f>
        <v/>
      </c>
      <c r="G536" s="40" t="str">
        <f>IF($C536="","",IFERROR(VLOOKUP($C536,Orders!$A:$J,5,FALSE),""))</f>
        <v/>
      </c>
      <c r="H536" s="40" t="str">
        <f>IF($C536="","",IFERROR(VLOOKUP($C536,Orders!$A:$J,6,FALSE),""))</f>
        <v/>
      </c>
      <c r="I536" s="40" t="str">
        <f>IF($C536="","",IFERROR(VLOOKUP($C536,Orders!$A:$J,7,FALSE),""))</f>
        <v/>
      </c>
      <c r="J536" s="40" t="str">
        <f>IF(Bids!$C536="","",Bids!$C536)</f>
        <v/>
      </c>
      <c r="K536" s="40" t="str">
        <f>IF($J536="","",IFERROR(VLOOKUP($J536,Grinders!$A:$N,2,FALSE),""))</f>
        <v/>
      </c>
      <c r="L536" s="40" t="str">
        <f>IF($J536="","",IFERROR(VLOOKUP($J536,Grinders!$A:$N,3,FALSE),""))</f>
        <v/>
      </c>
      <c r="M536" s="40" t="str">
        <f>IF($J536="","",IFERROR(VLOOKUP($J536,Grinders!$A:$N,4,FALSE),""))</f>
        <v/>
      </c>
      <c r="N536" s="40" t="str">
        <f>IF($J536="","",IFERROR(VLOOKUP($J536,Grinders!$A:$N,5,FALSE),""))</f>
        <v/>
      </c>
      <c r="O536" s="40" t="str">
        <f t="shared" si="2"/>
        <v/>
      </c>
      <c r="P536" s="40" t="str">
        <f>IF($J536="","",IFERROR(VLOOKUP($J536,Grinders!$A:$N,6,FALSE),""))</f>
        <v/>
      </c>
      <c r="Q536" s="40" t="str">
        <f>IF($J536="","",IFERROR(VLOOKUP($J536,Grinders!$A:$N,8,FALSE),""))</f>
        <v/>
      </c>
      <c r="R536" s="40" t="str">
        <f>IFERROR(IF($J536="","",IF($L536="Elite",MAX(50,MIN(100,Config!$B$27*MAX(0,MIN(100,(1-IF($O536="",0,$O536))*100)) + Config!$B$28*MAX(0,MIN(100,(1-MIN(1,IF(Config!$B$30=0,1,$P536/Config!$B$30)))*100)) + Config!$B$29*MAX(0,MIN(100,MIN(1,IF($Q536="",0,$Q536)/Config!$B$23)*100)))),MIN(100,Config!$B$27*MAX(0,MIN(100,(1-IF($O536="",0,$O536))*100)) + Config!$B$28*MAX(0,MIN(100,(1-MIN(1,IF(Config!$B$30=0,1,$P536/Config!$B$30)))*100)) + Config!$B$29*MAX(0,MIN(100,MIN(1,IF($Q536="",0,$Q536)/Config!$B$23)*100))))),"")
</f>
        <v/>
      </c>
      <c r="S536" s="40" t="str">
        <f>IF(Bids!$D536="","",Bids!$D536)</f>
        <v/>
      </c>
      <c r="T536" s="40" t="str">
        <f>IF(Bids!$F536="","",Bids!$F536)</f>
        <v/>
      </c>
      <c r="U536" s="40" t="str">
        <f t="shared" si="3"/>
        <v/>
      </c>
      <c r="V536" s="40" t="str">
        <f>IF($U536="","",IF(Config!$B$17=Config!$B$16,IF($U536&gt;=Config!$B$17,100,0),MAX(0,MIN(100,($U536-Config!$B$16)/(Config!$B$17-Config!$B$16)*100))))</f>
        <v/>
      </c>
      <c r="W536" s="40">
        <f>IF($L536="Elite",Config!$B$21,0)</f>
        <v>0</v>
      </c>
      <c r="X536" s="40" t="str">
        <f>IFERROR(IF(OR($T536="",$G536=""),"",IF($T536&gt;$G536,
  MAX(0, 60-(($T536-$G536)*24/Config!$B$19)*60),
  MEDIAN(60, 100, 60+(($G536-$T536)*24/Config!$B$20)*40)
)),"")
</f>
        <v/>
      </c>
      <c r="Y536" s="40" t="str">
        <f>IF($J536="","",IFERROR(VLOOKUP($J536,Grinders!$A:$N,10,FALSE),""))</f>
        <v/>
      </c>
      <c r="Z536" s="40" t="str">
        <f>IF($J536="","",IFERROR(VLOOKUP($J536,Grinders!$A:$N,11,FALSE),""))</f>
        <v/>
      </c>
      <c r="AA536" s="40" t="str">
        <f>IF($J536="","",IFERROR(VLOOKUP($J536,Grinders!$A:$N,12,FALSE),""))</f>
        <v/>
      </c>
      <c r="AB536" s="40">
        <f>IFERROR(IF(OR($C536="",$J536=""),0,IF($D536&lt;&gt;"Open",0,IF(COUNTIFS(GrinderServices!$B:$B,$J536,GrinderServices!$C:$C,$E536,GrinderServices!$E:$E,"Y")=0,0,IF($U536&lt;Config!$B$16,0,IF(Config!$B$18=1,IF($N536&gt;=$M536,0,1),1))))),"")</f>
        <v>0</v>
      </c>
      <c r="AC536" s="40" t="str">
        <f>IFERROR(IF($AB536=0,"",((Config!$B$6*$V536 + Config!$B$7*$R536 + Config!$B$8*$W536 + Config!$B$9*$X536 + Config!$B$10*$Y536 + Config!$B$11*$Z536 - Config!$B$12*$AA536)/Config!$B$13)+$AH536+$AI536),"")</f>
        <v/>
      </c>
      <c r="AD536" s="40" t="str">
        <f t="shared" si="4"/>
        <v/>
      </c>
      <c r="AE536" s="40" t="str">
        <f>IFERROR(__xludf.DUMMYFUNCTION("IF($AC536="""","""",IF($AC536=IFERROR(MAX(FILTER($AC$6:$AC$1000,$C$6:$C$1000=$C536,$AB$6:$AB$1000=1)),),""WINNER"",""""))"),"")</f>
        <v/>
      </c>
      <c r="AF536" s="40" t="str">
        <f t="shared" si="5"/>
        <v/>
      </c>
      <c r="AG536" s="40" t="str">
        <f>IF($J536="","",COUNTIF(Assignments!$B:$B,$J536))</f>
        <v/>
      </c>
      <c r="AH536" s="40" t="str">
        <f>IF($J536="","",IF(AND($AG536=0,$N536&lt;$M536),Config!$B$43,0))</f>
        <v/>
      </c>
      <c r="AI536" s="40" t="str">
        <f>IF($J536="","",IF(AND($L536="Elite",$F536&gt;=Config!$B$41,$N536&lt;$M536),Config!$B$42,0))</f>
        <v/>
      </c>
      <c r="AJ536" s="22"/>
    </row>
    <row r="537" ht="15.75" customHeight="1">
      <c r="A537" s="40" t="str">
        <f t="shared" si="1"/>
        <v/>
      </c>
      <c r="B537" s="40" t="str">
        <f>IF(Bids!$A537="","",Bids!$A537)</f>
        <v/>
      </c>
      <c r="C537" s="40" t="str">
        <f>IF(Bids!$B537="","",Bids!$B537)</f>
        <v/>
      </c>
      <c r="D537" s="40" t="str">
        <f>IF($C537="","",IFERROR(VLOOKUP($C537,Orders!$A:$J,9,FALSE),""))</f>
        <v/>
      </c>
      <c r="E537" s="40" t="str">
        <f>IF($C537="","",IFERROR(VLOOKUP($C537,Orders!$A:$J,3,FALSE),""))</f>
        <v/>
      </c>
      <c r="F537" s="40" t="str">
        <f>IF($C537="","",IFERROR(VLOOKUP($C537,Orders!$A:$J,4,FALSE),""))</f>
        <v/>
      </c>
      <c r="G537" s="40" t="str">
        <f>IF($C537="","",IFERROR(VLOOKUP($C537,Orders!$A:$J,5,FALSE),""))</f>
        <v/>
      </c>
      <c r="H537" s="40" t="str">
        <f>IF($C537="","",IFERROR(VLOOKUP($C537,Orders!$A:$J,6,FALSE),""))</f>
        <v/>
      </c>
      <c r="I537" s="40" t="str">
        <f>IF($C537="","",IFERROR(VLOOKUP($C537,Orders!$A:$J,7,FALSE),""))</f>
        <v/>
      </c>
      <c r="J537" s="40" t="str">
        <f>IF(Bids!$C537="","",Bids!$C537)</f>
        <v/>
      </c>
      <c r="K537" s="40" t="str">
        <f>IF($J537="","",IFERROR(VLOOKUP($J537,Grinders!$A:$N,2,FALSE),""))</f>
        <v/>
      </c>
      <c r="L537" s="40" t="str">
        <f>IF($J537="","",IFERROR(VLOOKUP($J537,Grinders!$A:$N,3,FALSE),""))</f>
        <v/>
      </c>
      <c r="M537" s="40" t="str">
        <f>IF($J537="","",IFERROR(VLOOKUP($J537,Grinders!$A:$N,4,FALSE),""))</f>
        <v/>
      </c>
      <c r="N537" s="40" t="str">
        <f>IF($J537="","",IFERROR(VLOOKUP($J537,Grinders!$A:$N,5,FALSE),""))</f>
        <v/>
      </c>
      <c r="O537" s="40" t="str">
        <f t="shared" si="2"/>
        <v/>
      </c>
      <c r="P537" s="40" t="str">
        <f>IF($J537="","",IFERROR(VLOOKUP($J537,Grinders!$A:$N,6,FALSE),""))</f>
        <v/>
      </c>
      <c r="Q537" s="40" t="str">
        <f>IF($J537="","",IFERROR(VLOOKUP($J537,Grinders!$A:$N,8,FALSE),""))</f>
        <v/>
      </c>
      <c r="R537" s="40" t="str">
        <f>IFERROR(IF($J537="","",IF($L537="Elite",MAX(50,MIN(100,Config!$B$27*MAX(0,MIN(100,(1-IF($O537="",0,$O537))*100)) + Config!$B$28*MAX(0,MIN(100,(1-MIN(1,IF(Config!$B$30=0,1,$P537/Config!$B$30)))*100)) + Config!$B$29*MAX(0,MIN(100,MIN(1,IF($Q537="",0,$Q537)/Config!$B$23)*100)))),MIN(100,Config!$B$27*MAX(0,MIN(100,(1-IF($O537="",0,$O537))*100)) + Config!$B$28*MAX(0,MIN(100,(1-MIN(1,IF(Config!$B$30=0,1,$P537/Config!$B$30)))*100)) + Config!$B$29*MAX(0,MIN(100,MIN(1,IF($Q537="",0,$Q537)/Config!$B$23)*100))))),"")
</f>
        <v/>
      </c>
      <c r="S537" s="40" t="str">
        <f>IF(Bids!$D537="","",Bids!$D537)</f>
        <v/>
      </c>
      <c r="T537" s="40" t="str">
        <f>IF(Bids!$F537="","",Bids!$F537)</f>
        <v/>
      </c>
      <c r="U537" s="40" t="str">
        <f t="shared" si="3"/>
        <v/>
      </c>
      <c r="V537" s="40" t="str">
        <f>IF($U537="","",IF(Config!$B$17=Config!$B$16,IF($U537&gt;=Config!$B$17,100,0),MAX(0,MIN(100,($U537-Config!$B$16)/(Config!$B$17-Config!$B$16)*100))))</f>
        <v/>
      </c>
      <c r="W537" s="40">
        <f>IF($L537="Elite",Config!$B$21,0)</f>
        <v>0</v>
      </c>
      <c r="X537" s="40" t="str">
        <f>IFERROR(IF(OR($T537="",$G537=""),"",IF($T537&gt;$G537,
  MAX(0, 60-(($T537-$G537)*24/Config!$B$19)*60),
  MEDIAN(60, 100, 60+(($G537-$T537)*24/Config!$B$20)*40)
)),"")
</f>
        <v/>
      </c>
      <c r="Y537" s="40" t="str">
        <f>IF($J537="","",IFERROR(VLOOKUP($J537,Grinders!$A:$N,10,FALSE),""))</f>
        <v/>
      </c>
      <c r="Z537" s="40" t="str">
        <f>IF($J537="","",IFERROR(VLOOKUP($J537,Grinders!$A:$N,11,FALSE),""))</f>
        <v/>
      </c>
      <c r="AA537" s="40" t="str">
        <f>IF($J537="","",IFERROR(VLOOKUP($J537,Grinders!$A:$N,12,FALSE),""))</f>
        <v/>
      </c>
      <c r="AB537" s="40">
        <f>IFERROR(IF(OR($C537="",$J537=""),0,IF($D537&lt;&gt;"Open",0,IF(COUNTIFS(GrinderServices!$B:$B,$J537,GrinderServices!$C:$C,$E537,GrinderServices!$E:$E,"Y")=0,0,IF($U537&lt;Config!$B$16,0,IF(Config!$B$18=1,IF($N537&gt;=$M537,0,1),1))))),"")</f>
        <v>0</v>
      </c>
      <c r="AC537" s="40" t="str">
        <f>IFERROR(IF($AB537=0,"",((Config!$B$6*$V537 + Config!$B$7*$R537 + Config!$B$8*$W537 + Config!$B$9*$X537 + Config!$B$10*$Y537 + Config!$B$11*$Z537 - Config!$B$12*$AA537)/Config!$B$13)+$AH537+$AI537),"")</f>
        <v/>
      </c>
      <c r="AD537" s="40" t="str">
        <f t="shared" si="4"/>
        <v/>
      </c>
      <c r="AE537" s="40" t="str">
        <f>IFERROR(__xludf.DUMMYFUNCTION("IF($AC537="""","""",IF($AC537=IFERROR(MAX(FILTER($AC$6:$AC$1000,$C$6:$C$1000=$C537,$AB$6:$AB$1000=1)),),""WINNER"",""""))"),"")</f>
        <v/>
      </c>
      <c r="AF537" s="40" t="str">
        <f t="shared" si="5"/>
        <v/>
      </c>
      <c r="AG537" s="40" t="str">
        <f>IF($J537="","",COUNTIF(Assignments!$B:$B,$J537))</f>
        <v/>
      </c>
      <c r="AH537" s="40" t="str">
        <f>IF($J537="","",IF(AND($AG537=0,$N537&lt;$M537),Config!$B$43,0))</f>
        <v/>
      </c>
      <c r="AI537" s="40" t="str">
        <f>IF($J537="","",IF(AND($L537="Elite",$F537&gt;=Config!$B$41,$N537&lt;$M537),Config!$B$42,0))</f>
        <v/>
      </c>
      <c r="AJ537" s="22"/>
    </row>
    <row r="538" ht="15.75" customHeight="1">
      <c r="A538" s="40" t="str">
        <f t="shared" si="1"/>
        <v/>
      </c>
      <c r="B538" s="40" t="str">
        <f>IF(Bids!$A538="","",Bids!$A538)</f>
        <v/>
      </c>
      <c r="C538" s="40" t="str">
        <f>IF(Bids!$B538="","",Bids!$B538)</f>
        <v/>
      </c>
      <c r="D538" s="40" t="str">
        <f>IF($C538="","",IFERROR(VLOOKUP($C538,Orders!$A:$J,9,FALSE),""))</f>
        <v/>
      </c>
      <c r="E538" s="40" t="str">
        <f>IF($C538="","",IFERROR(VLOOKUP($C538,Orders!$A:$J,3,FALSE),""))</f>
        <v/>
      </c>
      <c r="F538" s="40" t="str">
        <f>IF($C538="","",IFERROR(VLOOKUP($C538,Orders!$A:$J,4,FALSE),""))</f>
        <v/>
      </c>
      <c r="G538" s="40" t="str">
        <f>IF($C538="","",IFERROR(VLOOKUP($C538,Orders!$A:$J,5,FALSE),""))</f>
        <v/>
      </c>
      <c r="H538" s="40" t="str">
        <f>IF($C538="","",IFERROR(VLOOKUP($C538,Orders!$A:$J,6,FALSE),""))</f>
        <v/>
      </c>
      <c r="I538" s="40" t="str">
        <f>IF($C538="","",IFERROR(VLOOKUP($C538,Orders!$A:$J,7,FALSE),""))</f>
        <v/>
      </c>
      <c r="J538" s="40" t="str">
        <f>IF(Bids!$C538="","",Bids!$C538)</f>
        <v/>
      </c>
      <c r="K538" s="40" t="str">
        <f>IF($J538="","",IFERROR(VLOOKUP($J538,Grinders!$A:$N,2,FALSE),""))</f>
        <v/>
      </c>
      <c r="L538" s="40" t="str">
        <f>IF($J538="","",IFERROR(VLOOKUP($J538,Grinders!$A:$N,3,FALSE),""))</f>
        <v/>
      </c>
      <c r="M538" s="40" t="str">
        <f>IF($J538="","",IFERROR(VLOOKUP($J538,Grinders!$A:$N,4,FALSE),""))</f>
        <v/>
      </c>
      <c r="N538" s="40" t="str">
        <f>IF($J538="","",IFERROR(VLOOKUP($J538,Grinders!$A:$N,5,FALSE),""))</f>
        <v/>
      </c>
      <c r="O538" s="40" t="str">
        <f t="shared" si="2"/>
        <v/>
      </c>
      <c r="P538" s="40" t="str">
        <f>IF($J538="","",IFERROR(VLOOKUP($J538,Grinders!$A:$N,6,FALSE),""))</f>
        <v/>
      </c>
      <c r="Q538" s="40" t="str">
        <f>IF($J538="","",IFERROR(VLOOKUP($J538,Grinders!$A:$N,8,FALSE),""))</f>
        <v/>
      </c>
      <c r="R538" s="40" t="str">
        <f>IFERROR(IF($J538="","",IF($L538="Elite",MAX(50,MIN(100,Config!$B$27*MAX(0,MIN(100,(1-IF($O538="",0,$O538))*100)) + Config!$B$28*MAX(0,MIN(100,(1-MIN(1,IF(Config!$B$30=0,1,$P538/Config!$B$30)))*100)) + Config!$B$29*MAX(0,MIN(100,MIN(1,IF($Q538="",0,$Q538)/Config!$B$23)*100)))),MIN(100,Config!$B$27*MAX(0,MIN(100,(1-IF($O538="",0,$O538))*100)) + Config!$B$28*MAX(0,MIN(100,(1-MIN(1,IF(Config!$B$30=0,1,$P538/Config!$B$30)))*100)) + Config!$B$29*MAX(0,MIN(100,MIN(1,IF($Q538="",0,$Q538)/Config!$B$23)*100))))),"")
</f>
        <v/>
      </c>
      <c r="S538" s="40" t="str">
        <f>IF(Bids!$D538="","",Bids!$D538)</f>
        <v/>
      </c>
      <c r="T538" s="40" t="str">
        <f>IF(Bids!$F538="","",Bids!$F538)</f>
        <v/>
      </c>
      <c r="U538" s="40" t="str">
        <f t="shared" si="3"/>
        <v/>
      </c>
      <c r="V538" s="40" t="str">
        <f>IF($U538="","",IF(Config!$B$17=Config!$B$16,IF($U538&gt;=Config!$B$17,100,0),MAX(0,MIN(100,($U538-Config!$B$16)/(Config!$B$17-Config!$B$16)*100))))</f>
        <v/>
      </c>
      <c r="W538" s="40">
        <f>IF($L538="Elite",Config!$B$21,0)</f>
        <v>0</v>
      </c>
      <c r="X538" s="40" t="str">
        <f>IFERROR(IF(OR($T538="",$G538=""),"",IF($T538&gt;$G538,
  MAX(0, 60-(($T538-$G538)*24/Config!$B$19)*60),
  MEDIAN(60, 100, 60+(($G538-$T538)*24/Config!$B$20)*40)
)),"")
</f>
        <v/>
      </c>
      <c r="Y538" s="40" t="str">
        <f>IF($J538="","",IFERROR(VLOOKUP($J538,Grinders!$A:$N,10,FALSE),""))</f>
        <v/>
      </c>
      <c r="Z538" s="40" t="str">
        <f>IF($J538="","",IFERROR(VLOOKUP($J538,Grinders!$A:$N,11,FALSE),""))</f>
        <v/>
      </c>
      <c r="AA538" s="40" t="str">
        <f>IF($J538="","",IFERROR(VLOOKUP($J538,Grinders!$A:$N,12,FALSE),""))</f>
        <v/>
      </c>
      <c r="AB538" s="40">
        <f>IFERROR(IF(OR($C538="",$J538=""),0,IF($D538&lt;&gt;"Open",0,IF(COUNTIFS(GrinderServices!$B:$B,$J538,GrinderServices!$C:$C,$E538,GrinderServices!$E:$E,"Y")=0,0,IF($U538&lt;Config!$B$16,0,IF(Config!$B$18=1,IF($N538&gt;=$M538,0,1),1))))),"")</f>
        <v>0</v>
      </c>
      <c r="AC538" s="40" t="str">
        <f>IFERROR(IF($AB538=0,"",((Config!$B$6*$V538 + Config!$B$7*$R538 + Config!$B$8*$W538 + Config!$B$9*$X538 + Config!$B$10*$Y538 + Config!$B$11*$Z538 - Config!$B$12*$AA538)/Config!$B$13)+$AH538+$AI538),"")</f>
        <v/>
      </c>
      <c r="AD538" s="40" t="str">
        <f t="shared" si="4"/>
        <v/>
      </c>
      <c r="AE538" s="40" t="str">
        <f>IFERROR(__xludf.DUMMYFUNCTION("IF($AC538="""","""",IF($AC538=IFERROR(MAX(FILTER($AC$6:$AC$1000,$C$6:$C$1000=$C538,$AB$6:$AB$1000=1)),),""WINNER"",""""))"),"")</f>
        <v/>
      </c>
      <c r="AF538" s="40" t="str">
        <f t="shared" si="5"/>
        <v/>
      </c>
      <c r="AG538" s="40" t="str">
        <f>IF($J538="","",COUNTIF(Assignments!$B:$B,$J538))</f>
        <v/>
      </c>
      <c r="AH538" s="40" t="str">
        <f>IF($J538="","",IF(AND($AG538=0,$N538&lt;$M538),Config!$B$43,0))</f>
        <v/>
      </c>
      <c r="AI538" s="40" t="str">
        <f>IF($J538="","",IF(AND($L538="Elite",$F538&gt;=Config!$B$41,$N538&lt;$M538),Config!$B$42,0))</f>
        <v/>
      </c>
      <c r="AJ538" s="22"/>
    </row>
    <row r="539" ht="15.75" customHeight="1">
      <c r="A539" s="40" t="str">
        <f t="shared" si="1"/>
        <v/>
      </c>
      <c r="B539" s="40" t="str">
        <f>IF(Bids!$A539="","",Bids!$A539)</f>
        <v/>
      </c>
      <c r="C539" s="40" t="str">
        <f>IF(Bids!$B539="","",Bids!$B539)</f>
        <v/>
      </c>
      <c r="D539" s="40" t="str">
        <f>IF($C539="","",IFERROR(VLOOKUP($C539,Orders!$A:$J,9,FALSE),""))</f>
        <v/>
      </c>
      <c r="E539" s="40" t="str">
        <f>IF($C539="","",IFERROR(VLOOKUP($C539,Orders!$A:$J,3,FALSE),""))</f>
        <v/>
      </c>
      <c r="F539" s="40" t="str">
        <f>IF($C539="","",IFERROR(VLOOKUP($C539,Orders!$A:$J,4,FALSE),""))</f>
        <v/>
      </c>
      <c r="G539" s="40" t="str">
        <f>IF($C539="","",IFERROR(VLOOKUP($C539,Orders!$A:$J,5,FALSE),""))</f>
        <v/>
      </c>
      <c r="H539" s="40" t="str">
        <f>IF($C539="","",IFERROR(VLOOKUP($C539,Orders!$A:$J,6,FALSE),""))</f>
        <v/>
      </c>
      <c r="I539" s="40" t="str">
        <f>IF($C539="","",IFERROR(VLOOKUP($C539,Orders!$A:$J,7,FALSE),""))</f>
        <v/>
      </c>
      <c r="J539" s="40" t="str">
        <f>IF(Bids!$C539="","",Bids!$C539)</f>
        <v/>
      </c>
      <c r="K539" s="40" t="str">
        <f>IF($J539="","",IFERROR(VLOOKUP($J539,Grinders!$A:$N,2,FALSE),""))</f>
        <v/>
      </c>
      <c r="L539" s="40" t="str">
        <f>IF($J539="","",IFERROR(VLOOKUP($J539,Grinders!$A:$N,3,FALSE),""))</f>
        <v/>
      </c>
      <c r="M539" s="40" t="str">
        <f>IF($J539="","",IFERROR(VLOOKUP($J539,Grinders!$A:$N,4,FALSE),""))</f>
        <v/>
      </c>
      <c r="N539" s="40" t="str">
        <f>IF($J539="","",IFERROR(VLOOKUP($J539,Grinders!$A:$N,5,FALSE),""))</f>
        <v/>
      </c>
      <c r="O539" s="40" t="str">
        <f t="shared" si="2"/>
        <v/>
      </c>
      <c r="P539" s="40" t="str">
        <f>IF($J539="","",IFERROR(VLOOKUP($J539,Grinders!$A:$N,6,FALSE),""))</f>
        <v/>
      </c>
      <c r="Q539" s="40" t="str">
        <f>IF($J539="","",IFERROR(VLOOKUP($J539,Grinders!$A:$N,8,FALSE),""))</f>
        <v/>
      </c>
      <c r="R539" s="40" t="str">
        <f>IFERROR(IF($J539="","",IF($L539="Elite",MAX(50,MIN(100,Config!$B$27*MAX(0,MIN(100,(1-IF($O539="",0,$O539))*100)) + Config!$B$28*MAX(0,MIN(100,(1-MIN(1,IF(Config!$B$30=0,1,$P539/Config!$B$30)))*100)) + Config!$B$29*MAX(0,MIN(100,MIN(1,IF($Q539="",0,$Q539)/Config!$B$23)*100)))),MIN(100,Config!$B$27*MAX(0,MIN(100,(1-IF($O539="",0,$O539))*100)) + Config!$B$28*MAX(0,MIN(100,(1-MIN(1,IF(Config!$B$30=0,1,$P539/Config!$B$30)))*100)) + Config!$B$29*MAX(0,MIN(100,MIN(1,IF($Q539="",0,$Q539)/Config!$B$23)*100))))),"")
</f>
        <v/>
      </c>
      <c r="S539" s="40" t="str">
        <f>IF(Bids!$D539="","",Bids!$D539)</f>
        <v/>
      </c>
      <c r="T539" s="40" t="str">
        <f>IF(Bids!$F539="","",Bids!$F539)</f>
        <v/>
      </c>
      <c r="U539" s="40" t="str">
        <f t="shared" si="3"/>
        <v/>
      </c>
      <c r="V539" s="40" t="str">
        <f>IF($U539="","",IF(Config!$B$17=Config!$B$16,IF($U539&gt;=Config!$B$17,100,0),MAX(0,MIN(100,($U539-Config!$B$16)/(Config!$B$17-Config!$B$16)*100))))</f>
        <v/>
      </c>
      <c r="W539" s="40">
        <f>IF($L539="Elite",Config!$B$21,0)</f>
        <v>0</v>
      </c>
      <c r="X539" s="40" t="str">
        <f>IFERROR(IF(OR($T539="",$G539=""),"",IF($T539&gt;$G539,
  MAX(0, 60-(($T539-$G539)*24/Config!$B$19)*60),
  MEDIAN(60, 100, 60+(($G539-$T539)*24/Config!$B$20)*40)
)),"")
</f>
        <v/>
      </c>
      <c r="Y539" s="40" t="str">
        <f>IF($J539="","",IFERROR(VLOOKUP($J539,Grinders!$A:$N,10,FALSE),""))</f>
        <v/>
      </c>
      <c r="Z539" s="40" t="str">
        <f>IF($J539="","",IFERROR(VLOOKUP($J539,Grinders!$A:$N,11,FALSE),""))</f>
        <v/>
      </c>
      <c r="AA539" s="40" t="str">
        <f>IF($J539="","",IFERROR(VLOOKUP($J539,Grinders!$A:$N,12,FALSE),""))</f>
        <v/>
      </c>
      <c r="AB539" s="40">
        <f>IFERROR(IF(OR($C539="",$J539=""),0,IF($D539&lt;&gt;"Open",0,IF(COUNTIFS(GrinderServices!$B:$B,$J539,GrinderServices!$C:$C,$E539,GrinderServices!$E:$E,"Y")=0,0,IF($U539&lt;Config!$B$16,0,IF(Config!$B$18=1,IF($N539&gt;=$M539,0,1),1))))),"")</f>
        <v>0</v>
      </c>
      <c r="AC539" s="40" t="str">
        <f>IFERROR(IF($AB539=0,"",((Config!$B$6*$V539 + Config!$B$7*$R539 + Config!$B$8*$W539 + Config!$B$9*$X539 + Config!$B$10*$Y539 + Config!$B$11*$Z539 - Config!$B$12*$AA539)/Config!$B$13)+$AH539+$AI539),"")</f>
        <v/>
      </c>
      <c r="AD539" s="40" t="str">
        <f t="shared" si="4"/>
        <v/>
      </c>
      <c r="AE539" s="40" t="str">
        <f>IFERROR(__xludf.DUMMYFUNCTION("IF($AC539="""","""",IF($AC539=IFERROR(MAX(FILTER($AC$6:$AC$1000,$C$6:$C$1000=$C539,$AB$6:$AB$1000=1)),),""WINNER"",""""))"),"")</f>
        <v/>
      </c>
      <c r="AF539" s="40" t="str">
        <f t="shared" si="5"/>
        <v/>
      </c>
      <c r="AG539" s="40" t="str">
        <f>IF($J539="","",COUNTIF(Assignments!$B:$B,$J539))</f>
        <v/>
      </c>
      <c r="AH539" s="40" t="str">
        <f>IF($J539="","",IF(AND($AG539=0,$N539&lt;$M539),Config!$B$43,0))</f>
        <v/>
      </c>
      <c r="AI539" s="40" t="str">
        <f>IF($J539="","",IF(AND($L539="Elite",$F539&gt;=Config!$B$41,$N539&lt;$M539),Config!$B$42,0))</f>
        <v/>
      </c>
      <c r="AJ539" s="22"/>
    </row>
    <row r="540" ht="15.75" customHeight="1">
      <c r="A540" s="40" t="str">
        <f t="shared" si="1"/>
        <v/>
      </c>
      <c r="B540" s="40" t="str">
        <f>IF(Bids!$A540="","",Bids!$A540)</f>
        <v/>
      </c>
      <c r="C540" s="40" t="str">
        <f>IF(Bids!$B540="","",Bids!$B540)</f>
        <v/>
      </c>
      <c r="D540" s="40" t="str">
        <f>IF($C540="","",IFERROR(VLOOKUP($C540,Orders!$A:$J,9,FALSE),""))</f>
        <v/>
      </c>
      <c r="E540" s="40" t="str">
        <f>IF($C540="","",IFERROR(VLOOKUP($C540,Orders!$A:$J,3,FALSE),""))</f>
        <v/>
      </c>
      <c r="F540" s="40" t="str">
        <f>IF($C540="","",IFERROR(VLOOKUP($C540,Orders!$A:$J,4,FALSE),""))</f>
        <v/>
      </c>
      <c r="G540" s="40" t="str">
        <f>IF($C540="","",IFERROR(VLOOKUP($C540,Orders!$A:$J,5,FALSE),""))</f>
        <v/>
      </c>
      <c r="H540" s="40" t="str">
        <f>IF($C540="","",IFERROR(VLOOKUP($C540,Orders!$A:$J,6,FALSE),""))</f>
        <v/>
      </c>
      <c r="I540" s="40" t="str">
        <f>IF($C540="","",IFERROR(VLOOKUP($C540,Orders!$A:$J,7,FALSE),""))</f>
        <v/>
      </c>
      <c r="J540" s="40" t="str">
        <f>IF(Bids!$C540="","",Bids!$C540)</f>
        <v/>
      </c>
      <c r="K540" s="40" t="str">
        <f>IF($J540="","",IFERROR(VLOOKUP($J540,Grinders!$A:$N,2,FALSE),""))</f>
        <v/>
      </c>
      <c r="L540" s="40" t="str">
        <f>IF($J540="","",IFERROR(VLOOKUP($J540,Grinders!$A:$N,3,FALSE),""))</f>
        <v/>
      </c>
      <c r="M540" s="40" t="str">
        <f>IF($J540="","",IFERROR(VLOOKUP($J540,Grinders!$A:$N,4,FALSE),""))</f>
        <v/>
      </c>
      <c r="N540" s="40" t="str">
        <f>IF($J540="","",IFERROR(VLOOKUP($J540,Grinders!$A:$N,5,FALSE),""))</f>
        <v/>
      </c>
      <c r="O540" s="40" t="str">
        <f t="shared" si="2"/>
        <v/>
      </c>
      <c r="P540" s="40" t="str">
        <f>IF($J540="","",IFERROR(VLOOKUP($J540,Grinders!$A:$N,6,FALSE),""))</f>
        <v/>
      </c>
      <c r="Q540" s="40" t="str">
        <f>IF($J540="","",IFERROR(VLOOKUP($J540,Grinders!$A:$N,8,FALSE),""))</f>
        <v/>
      </c>
      <c r="R540" s="40" t="str">
        <f>IFERROR(IF($J540="","",IF($L540="Elite",MAX(50,MIN(100,Config!$B$27*MAX(0,MIN(100,(1-IF($O540="",0,$O540))*100)) + Config!$B$28*MAX(0,MIN(100,(1-MIN(1,IF(Config!$B$30=0,1,$P540/Config!$B$30)))*100)) + Config!$B$29*MAX(0,MIN(100,MIN(1,IF($Q540="",0,$Q540)/Config!$B$23)*100)))),MIN(100,Config!$B$27*MAX(0,MIN(100,(1-IF($O540="",0,$O540))*100)) + Config!$B$28*MAX(0,MIN(100,(1-MIN(1,IF(Config!$B$30=0,1,$P540/Config!$B$30)))*100)) + Config!$B$29*MAX(0,MIN(100,MIN(1,IF($Q540="",0,$Q540)/Config!$B$23)*100))))),"")
</f>
        <v/>
      </c>
      <c r="S540" s="40" t="str">
        <f>IF(Bids!$D540="","",Bids!$D540)</f>
        <v/>
      </c>
      <c r="T540" s="40" t="str">
        <f>IF(Bids!$F540="","",Bids!$F540)</f>
        <v/>
      </c>
      <c r="U540" s="40" t="str">
        <f t="shared" si="3"/>
        <v/>
      </c>
      <c r="V540" s="40" t="str">
        <f>IF($U540="","",IF(Config!$B$17=Config!$B$16,IF($U540&gt;=Config!$B$17,100,0),MAX(0,MIN(100,($U540-Config!$B$16)/(Config!$B$17-Config!$B$16)*100))))</f>
        <v/>
      </c>
      <c r="W540" s="40">
        <f>IF($L540="Elite",Config!$B$21,0)</f>
        <v>0</v>
      </c>
      <c r="X540" s="40" t="str">
        <f>IFERROR(IF(OR($T540="",$G540=""),"",IF($T540&gt;$G540,
  MAX(0, 60-(($T540-$G540)*24/Config!$B$19)*60),
  MEDIAN(60, 100, 60+(($G540-$T540)*24/Config!$B$20)*40)
)),"")
</f>
        <v/>
      </c>
      <c r="Y540" s="40" t="str">
        <f>IF($J540="","",IFERROR(VLOOKUP($J540,Grinders!$A:$N,10,FALSE),""))</f>
        <v/>
      </c>
      <c r="Z540" s="40" t="str">
        <f>IF($J540="","",IFERROR(VLOOKUP($J540,Grinders!$A:$N,11,FALSE),""))</f>
        <v/>
      </c>
      <c r="AA540" s="40" t="str">
        <f>IF($J540="","",IFERROR(VLOOKUP($J540,Grinders!$A:$N,12,FALSE),""))</f>
        <v/>
      </c>
      <c r="AB540" s="40">
        <f>IFERROR(IF(OR($C540="",$J540=""),0,IF($D540&lt;&gt;"Open",0,IF(COUNTIFS(GrinderServices!$B:$B,$J540,GrinderServices!$C:$C,$E540,GrinderServices!$E:$E,"Y")=0,0,IF($U540&lt;Config!$B$16,0,IF(Config!$B$18=1,IF($N540&gt;=$M540,0,1),1))))),"")</f>
        <v>0</v>
      </c>
      <c r="AC540" s="40" t="str">
        <f>IFERROR(IF($AB540=0,"",((Config!$B$6*$V540 + Config!$B$7*$R540 + Config!$B$8*$W540 + Config!$B$9*$X540 + Config!$B$10*$Y540 + Config!$B$11*$Z540 - Config!$B$12*$AA540)/Config!$B$13)+$AH540+$AI540),"")</f>
        <v/>
      </c>
      <c r="AD540" s="40" t="str">
        <f t="shared" si="4"/>
        <v/>
      </c>
      <c r="AE540" s="40" t="str">
        <f>IFERROR(__xludf.DUMMYFUNCTION("IF($AC540="""","""",IF($AC540=IFERROR(MAX(FILTER($AC$6:$AC$1000,$C$6:$C$1000=$C540,$AB$6:$AB$1000=1)),),""WINNER"",""""))"),"")</f>
        <v/>
      </c>
      <c r="AF540" s="40" t="str">
        <f t="shared" si="5"/>
        <v/>
      </c>
      <c r="AG540" s="40" t="str">
        <f>IF($J540="","",COUNTIF(Assignments!$B:$B,$J540))</f>
        <v/>
      </c>
      <c r="AH540" s="40" t="str">
        <f>IF($J540="","",IF(AND($AG540=0,$N540&lt;$M540),Config!$B$43,0))</f>
        <v/>
      </c>
      <c r="AI540" s="40" t="str">
        <f>IF($J540="","",IF(AND($L540="Elite",$F540&gt;=Config!$B$41,$N540&lt;$M540),Config!$B$42,0))</f>
        <v/>
      </c>
      <c r="AJ540" s="22"/>
    </row>
    <row r="541" ht="15.75" customHeight="1">
      <c r="A541" s="40" t="str">
        <f t="shared" si="1"/>
        <v/>
      </c>
      <c r="B541" s="40" t="str">
        <f>IF(Bids!$A541="","",Bids!$A541)</f>
        <v/>
      </c>
      <c r="C541" s="40" t="str">
        <f>IF(Bids!$B541="","",Bids!$B541)</f>
        <v/>
      </c>
      <c r="D541" s="40" t="str">
        <f>IF($C541="","",IFERROR(VLOOKUP($C541,Orders!$A:$J,9,FALSE),""))</f>
        <v/>
      </c>
      <c r="E541" s="40" t="str">
        <f>IF($C541="","",IFERROR(VLOOKUP($C541,Orders!$A:$J,3,FALSE),""))</f>
        <v/>
      </c>
      <c r="F541" s="40" t="str">
        <f>IF($C541="","",IFERROR(VLOOKUP($C541,Orders!$A:$J,4,FALSE),""))</f>
        <v/>
      </c>
      <c r="G541" s="40" t="str">
        <f>IF($C541="","",IFERROR(VLOOKUP($C541,Orders!$A:$J,5,FALSE),""))</f>
        <v/>
      </c>
      <c r="H541" s="40" t="str">
        <f>IF($C541="","",IFERROR(VLOOKUP($C541,Orders!$A:$J,6,FALSE),""))</f>
        <v/>
      </c>
      <c r="I541" s="40" t="str">
        <f>IF($C541="","",IFERROR(VLOOKUP($C541,Orders!$A:$J,7,FALSE),""))</f>
        <v/>
      </c>
      <c r="J541" s="40" t="str">
        <f>IF(Bids!$C541="","",Bids!$C541)</f>
        <v/>
      </c>
      <c r="K541" s="40" t="str">
        <f>IF($J541="","",IFERROR(VLOOKUP($J541,Grinders!$A:$N,2,FALSE),""))</f>
        <v/>
      </c>
      <c r="L541" s="40" t="str">
        <f>IF($J541="","",IFERROR(VLOOKUP($J541,Grinders!$A:$N,3,FALSE),""))</f>
        <v/>
      </c>
      <c r="M541" s="40" t="str">
        <f>IF($J541="","",IFERROR(VLOOKUP($J541,Grinders!$A:$N,4,FALSE),""))</f>
        <v/>
      </c>
      <c r="N541" s="40" t="str">
        <f>IF($J541="","",IFERROR(VLOOKUP($J541,Grinders!$A:$N,5,FALSE),""))</f>
        <v/>
      </c>
      <c r="O541" s="40" t="str">
        <f t="shared" si="2"/>
        <v/>
      </c>
      <c r="P541" s="40" t="str">
        <f>IF($J541="","",IFERROR(VLOOKUP($J541,Grinders!$A:$N,6,FALSE),""))</f>
        <v/>
      </c>
      <c r="Q541" s="40" t="str">
        <f>IF($J541="","",IFERROR(VLOOKUP($J541,Grinders!$A:$N,8,FALSE),""))</f>
        <v/>
      </c>
      <c r="R541" s="40" t="str">
        <f>IFERROR(IF($J541="","",IF($L541="Elite",MAX(50,MIN(100,Config!$B$27*MAX(0,MIN(100,(1-IF($O541="",0,$O541))*100)) + Config!$B$28*MAX(0,MIN(100,(1-MIN(1,IF(Config!$B$30=0,1,$P541/Config!$B$30)))*100)) + Config!$B$29*MAX(0,MIN(100,MIN(1,IF($Q541="",0,$Q541)/Config!$B$23)*100)))),MIN(100,Config!$B$27*MAX(0,MIN(100,(1-IF($O541="",0,$O541))*100)) + Config!$B$28*MAX(0,MIN(100,(1-MIN(1,IF(Config!$B$30=0,1,$P541/Config!$B$30)))*100)) + Config!$B$29*MAX(0,MIN(100,MIN(1,IF($Q541="",0,$Q541)/Config!$B$23)*100))))),"")
</f>
        <v/>
      </c>
      <c r="S541" s="40" t="str">
        <f>IF(Bids!$D541="","",Bids!$D541)</f>
        <v/>
      </c>
      <c r="T541" s="40" t="str">
        <f>IF(Bids!$F541="","",Bids!$F541)</f>
        <v/>
      </c>
      <c r="U541" s="40" t="str">
        <f t="shared" si="3"/>
        <v/>
      </c>
      <c r="V541" s="40" t="str">
        <f>IF($U541="","",IF(Config!$B$17=Config!$B$16,IF($U541&gt;=Config!$B$17,100,0),MAX(0,MIN(100,($U541-Config!$B$16)/(Config!$B$17-Config!$B$16)*100))))</f>
        <v/>
      </c>
      <c r="W541" s="40">
        <f>IF($L541="Elite",Config!$B$21,0)</f>
        <v>0</v>
      </c>
      <c r="X541" s="40" t="str">
        <f>IFERROR(IF(OR($T541="",$G541=""),"",IF($T541&gt;$G541,
  MAX(0, 60-(($T541-$G541)*24/Config!$B$19)*60),
  MEDIAN(60, 100, 60+(($G541-$T541)*24/Config!$B$20)*40)
)),"")
</f>
        <v/>
      </c>
      <c r="Y541" s="40" t="str">
        <f>IF($J541="","",IFERROR(VLOOKUP($J541,Grinders!$A:$N,10,FALSE),""))</f>
        <v/>
      </c>
      <c r="Z541" s="40" t="str">
        <f>IF($J541="","",IFERROR(VLOOKUP($J541,Grinders!$A:$N,11,FALSE),""))</f>
        <v/>
      </c>
      <c r="AA541" s="40" t="str">
        <f>IF($J541="","",IFERROR(VLOOKUP($J541,Grinders!$A:$N,12,FALSE),""))</f>
        <v/>
      </c>
      <c r="AB541" s="40">
        <f>IFERROR(IF(OR($C541="",$J541=""),0,IF($D541&lt;&gt;"Open",0,IF(COUNTIFS(GrinderServices!$B:$B,$J541,GrinderServices!$C:$C,$E541,GrinderServices!$E:$E,"Y")=0,0,IF($U541&lt;Config!$B$16,0,IF(Config!$B$18=1,IF($N541&gt;=$M541,0,1),1))))),"")</f>
        <v>0</v>
      </c>
      <c r="AC541" s="40" t="str">
        <f>IFERROR(IF($AB541=0,"",((Config!$B$6*$V541 + Config!$B$7*$R541 + Config!$B$8*$W541 + Config!$B$9*$X541 + Config!$B$10*$Y541 + Config!$B$11*$Z541 - Config!$B$12*$AA541)/Config!$B$13)+$AH541+$AI541),"")</f>
        <v/>
      </c>
      <c r="AD541" s="40" t="str">
        <f t="shared" si="4"/>
        <v/>
      </c>
      <c r="AE541" s="40" t="str">
        <f>IFERROR(__xludf.DUMMYFUNCTION("IF($AC541="""","""",IF($AC541=IFERROR(MAX(FILTER($AC$6:$AC$1000,$C$6:$C$1000=$C541,$AB$6:$AB$1000=1)),),""WINNER"",""""))"),"")</f>
        <v/>
      </c>
      <c r="AF541" s="40" t="str">
        <f t="shared" si="5"/>
        <v/>
      </c>
      <c r="AG541" s="40" t="str">
        <f>IF($J541="","",COUNTIF(Assignments!$B:$B,$J541))</f>
        <v/>
      </c>
      <c r="AH541" s="40" t="str">
        <f>IF($J541="","",IF(AND($AG541=0,$N541&lt;$M541),Config!$B$43,0))</f>
        <v/>
      </c>
      <c r="AI541" s="40" t="str">
        <f>IF($J541="","",IF(AND($L541="Elite",$F541&gt;=Config!$B$41,$N541&lt;$M541),Config!$B$42,0))</f>
        <v/>
      </c>
      <c r="AJ541" s="22"/>
    </row>
    <row r="542" ht="15.75" customHeight="1">
      <c r="A542" s="40" t="str">
        <f t="shared" si="1"/>
        <v/>
      </c>
      <c r="B542" s="40" t="str">
        <f>IF(Bids!$A542="","",Bids!$A542)</f>
        <v/>
      </c>
      <c r="C542" s="40" t="str">
        <f>IF(Bids!$B542="","",Bids!$B542)</f>
        <v/>
      </c>
      <c r="D542" s="40" t="str">
        <f>IF($C542="","",IFERROR(VLOOKUP($C542,Orders!$A:$J,9,FALSE),""))</f>
        <v/>
      </c>
      <c r="E542" s="40" t="str">
        <f>IF($C542="","",IFERROR(VLOOKUP($C542,Orders!$A:$J,3,FALSE),""))</f>
        <v/>
      </c>
      <c r="F542" s="40" t="str">
        <f>IF($C542="","",IFERROR(VLOOKUP($C542,Orders!$A:$J,4,FALSE),""))</f>
        <v/>
      </c>
      <c r="G542" s="40" t="str">
        <f>IF($C542="","",IFERROR(VLOOKUP($C542,Orders!$A:$J,5,FALSE),""))</f>
        <v/>
      </c>
      <c r="H542" s="40" t="str">
        <f>IF($C542="","",IFERROR(VLOOKUP($C542,Orders!$A:$J,6,FALSE),""))</f>
        <v/>
      </c>
      <c r="I542" s="40" t="str">
        <f>IF($C542="","",IFERROR(VLOOKUP($C542,Orders!$A:$J,7,FALSE),""))</f>
        <v/>
      </c>
      <c r="J542" s="40" t="str">
        <f>IF(Bids!$C542="","",Bids!$C542)</f>
        <v/>
      </c>
      <c r="K542" s="40" t="str">
        <f>IF($J542="","",IFERROR(VLOOKUP($J542,Grinders!$A:$N,2,FALSE),""))</f>
        <v/>
      </c>
      <c r="L542" s="40" t="str">
        <f>IF($J542="","",IFERROR(VLOOKUP($J542,Grinders!$A:$N,3,FALSE),""))</f>
        <v/>
      </c>
      <c r="M542" s="40" t="str">
        <f>IF($J542="","",IFERROR(VLOOKUP($J542,Grinders!$A:$N,4,FALSE),""))</f>
        <v/>
      </c>
      <c r="N542" s="40" t="str">
        <f>IF($J542="","",IFERROR(VLOOKUP($J542,Grinders!$A:$N,5,FALSE),""))</f>
        <v/>
      </c>
      <c r="O542" s="40" t="str">
        <f t="shared" si="2"/>
        <v/>
      </c>
      <c r="P542" s="40" t="str">
        <f>IF($J542="","",IFERROR(VLOOKUP($J542,Grinders!$A:$N,6,FALSE),""))</f>
        <v/>
      </c>
      <c r="Q542" s="40" t="str">
        <f>IF($J542="","",IFERROR(VLOOKUP($J542,Grinders!$A:$N,8,FALSE),""))</f>
        <v/>
      </c>
      <c r="R542" s="40" t="str">
        <f>IFERROR(IF($J542="","",IF($L542="Elite",MAX(50,MIN(100,Config!$B$27*MAX(0,MIN(100,(1-IF($O542="",0,$O542))*100)) + Config!$B$28*MAX(0,MIN(100,(1-MIN(1,IF(Config!$B$30=0,1,$P542/Config!$B$30)))*100)) + Config!$B$29*MAX(0,MIN(100,MIN(1,IF($Q542="",0,$Q542)/Config!$B$23)*100)))),MIN(100,Config!$B$27*MAX(0,MIN(100,(1-IF($O542="",0,$O542))*100)) + Config!$B$28*MAX(0,MIN(100,(1-MIN(1,IF(Config!$B$30=0,1,$P542/Config!$B$30)))*100)) + Config!$B$29*MAX(0,MIN(100,MIN(1,IF($Q542="",0,$Q542)/Config!$B$23)*100))))),"")
</f>
        <v/>
      </c>
      <c r="S542" s="40" t="str">
        <f>IF(Bids!$D542="","",Bids!$D542)</f>
        <v/>
      </c>
      <c r="T542" s="40" t="str">
        <f>IF(Bids!$F542="","",Bids!$F542)</f>
        <v/>
      </c>
      <c r="U542" s="40" t="str">
        <f t="shared" si="3"/>
        <v/>
      </c>
      <c r="V542" s="40" t="str">
        <f>IF($U542="","",IF(Config!$B$17=Config!$B$16,IF($U542&gt;=Config!$B$17,100,0),MAX(0,MIN(100,($U542-Config!$B$16)/(Config!$B$17-Config!$B$16)*100))))</f>
        <v/>
      </c>
      <c r="W542" s="40">
        <f>IF($L542="Elite",Config!$B$21,0)</f>
        <v>0</v>
      </c>
      <c r="X542" s="40" t="str">
        <f>IFERROR(IF(OR($T542="",$G542=""),"",IF($T542&gt;$G542,
  MAX(0, 60-(($T542-$G542)*24/Config!$B$19)*60),
  MEDIAN(60, 100, 60+(($G542-$T542)*24/Config!$B$20)*40)
)),"")
</f>
        <v/>
      </c>
      <c r="Y542" s="40" t="str">
        <f>IF($J542="","",IFERROR(VLOOKUP($J542,Grinders!$A:$N,10,FALSE),""))</f>
        <v/>
      </c>
      <c r="Z542" s="40" t="str">
        <f>IF($J542="","",IFERROR(VLOOKUP($J542,Grinders!$A:$N,11,FALSE),""))</f>
        <v/>
      </c>
      <c r="AA542" s="40" t="str">
        <f>IF($J542="","",IFERROR(VLOOKUP($J542,Grinders!$A:$N,12,FALSE),""))</f>
        <v/>
      </c>
      <c r="AB542" s="40">
        <f>IFERROR(IF(OR($C542="",$J542=""),0,IF($D542&lt;&gt;"Open",0,IF(COUNTIFS(GrinderServices!$B:$B,$J542,GrinderServices!$C:$C,$E542,GrinderServices!$E:$E,"Y")=0,0,IF($U542&lt;Config!$B$16,0,IF(Config!$B$18=1,IF($N542&gt;=$M542,0,1),1))))),"")</f>
        <v>0</v>
      </c>
      <c r="AC542" s="40" t="str">
        <f>IFERROR(IF($AB542=0,"",((Config!$B$6*$V542 + Config!$B$7*$R542 + Config!$B$8*$W542 + Config!$B$9*$X542 + Config!$B$10*$Y542 + Config!$B$11*$Z542 - Config!$B$12*$AA542)/Config!$B$13)+$AH542+$AI542),"")</f>
        <v/>
      </c>
      <c r="AD542" s="40" t="str">
        <f t="shared" si="4"/>
        <v/>
      </c>
      <c r="AE542" s="40" t="str">
        <f>IFERROR(__xludf.DUMMYFUNCTION("IF($AC542="""","""",IF($AC542=IFERROR(MAX(FILTER($AC$6:$AC$1000,$C$6:$C$1000=$C542,$AB$6:$AB$1000=1)),),""WINNER"",""""))"),"")</f>
        <v/>
      </c>
      <c r="AF542" s="40" t="str">
        <f t="shared" si="5"/>
        <v/>
      </c>
      <c r="AG542" s="40" t="str">
        <f>IF($J542="","",COUNTIF(Assignments!$B:$B,$J542))</f>
        <v/>
      </c>
      <c r="AH542" s="40" t="str">
        <f>IF($J542="","",IF(AND($AG542=0,$N542&lt;$M542),Config!$B$43,0))</f>
        <v/>
      </c>
      <c r="AI542" s="40" t="str">
        <f>IF($J542="","",IF(AND($L542="Elite",$F542&gt;=Config!$B$41,$N542&lt;$M542),Config!$B$42,0))</f>
        <v/>
      </c>
      <c r="AJ542" s="22"/>
    </row>
    <row r="543" ht="15.75" customHeight="1">
      <c r="A543" s="40" t="str">
        <f t="shared" si="1"/>
        <v/>
      </c>
      <c r="B543" s="40" t="str">
        <f>IF(Bids!$A543="","",Bids!$A543)</f>
        <v/>
      </c>
      <c r="C543" s="40" t="str">
        <f>IF(Bids!$B543="","",Bids!$B543)</f>
        <v/>
      </c>
      <c r="D543" s="40" t="str">
        <f>IF($C543="","",IFERROR(VLOOKUP($C543,Orders!$A:$J,9,FALSE),""))</f>
        <v/>
      </c>
      <c r="E543" s="40" t="str">
        <f>IF($C543="","",IFERROR(VLOOKUP($C543,Orders!$A:$J,3,FALSE),""))</f>
        <v/>
      </c>
      <c r="F543" s="40" t="str">
        <f>IF($C543="","",IFERROR(VLOOKUP($C543,Orders!$A:$J,4,FALSE),""))</f>
        <v/>
      </c>
      <c r="G543" s="40" t="str">
        <f>IF($C543="","",IFERROR(VLOOKUP($C543,Orders!$A:$J,5,FALSE),""))</f>
        <v/>
      </c>
      <c r="H543" s="40" t="str">
        <f>IF($C543="","",IFERROR(VLOOKUP($C543,Orders!$A:$J,6,FALSE),""))</f>
        <v/>
      </c>
      <c r="I543" s="40" t="str">
        <f>IF($C543="","",IFERROR(VLOOKUP($C543,Orders!$A:$J,7,FALSE),""))</f>
        <v/>
      </c>
      <c r="J543" s="40" t="str">
        <f>IF(Bids!$C543="","",Bids!$C543)</f>
        <v/>
      </c>
      <c r="K543" s="40" t="str">
        <f>IF($J543="","",IFERROR(VLOOKUP($J543,Grinders!$A:$N,2,FALSE),""))</f>
        <v/>
      </c>
      <c r="L543" s="40" t="str">
        <f>IF($J543="","",IFERROR(VLOOKUP($J543,Grinders!$A:$N,3,FALSE),""))</f>
        <v/>
      </c>
      <c r="M543" s="40" t="str">
        <f>IF($J543="","",IFERROR(VLOOKUP($J543,Grinders!$A:$N,4,FALSE),""))</f>
        <v/>
      </c>
      <c r="N543" s="40" t="str">
        <f>IF($J543="","",IFERROR(VLOOKUP($J543,Grinders!$A:$N,5,FALSE),""))</f>
        <v/>
      </c>
      <c r="O543" s="40" t="str">
        <f t="shared" si="2"/>
        <v/>
      </c>
      <c r="P543" s="40" t="str">
        <f>IF($J543="","",IFERROR(VLOOKUP($J543,Grinders!$A:$N,6,FALSE),""))</f>
        <v/>
      </c>
      <c r="Q543" s="40" t="str">
        <f>IF($J543="","",IFERROR(VLOOKUP($J543,Grinders!$A:$N,8,FALSE),""))</f>
        <v/>
      </c>
      <c r="R543" s="40" t="str">
        <f>IFERROR(IF($J543="","",IF($L543="Elite",MAX(50,MIN(100,Config!$B$27*MAX(0,MIN(100,(1-IF($O543="",0,$O543))*100)) + Config!$B$28*MAX(0,MIN(100,(1-MIN(1,IF(Config!$B$30=0,1,$P543/Config!$B$30)))*100)) + Config!$B$29*MAX(0,MIN(100,MIN(1,IF($Q543="",0,$Q543)/Config!$B$23)*100)))),MIN(100,Config!$B$27*MAX(0,MIN(100,(1-IF($O543="",0,$O543))*100)) + Config!$B$28*MAX(0,MIN(100,(1-MIN(1,IF(Config!$B$30=0,1,$P543/Config!$B$30)))*100)) + Config!$B$29*MAX(0,MIN(100,MIN(1,IF($Q543="",0,$Q543)/Config!$B$23)*100))))),"")
</f>
        <v/>
      </c>
      <c r="S543" s="40" t="str">
        <f>IF(Bids!$D543="","",Bids!$D543)</f>
        <v/>
      </c>
      <c r="T543" s="40" t="str">
        <f>IF(Bids!$F543="","",Bids!$F543)</f>
        <v/>
      </c>
      <c r="U543" s="40" t="str">
        <f t="shared" si="3"/>
        <v/>
      </c>
      <c r="V543" s="40" t="str">
        <f>IF($U543="","",IF(Config!$B$17=Config!$B$16,IF($U543&gt;=Config!$B$17,100,0),MAX(0,MIN(100,($U543-Config!$B$16)/(Config!$B$17-Config!$B$16)*100))))</f>
        <v/>
      </c>
      <c r="W543" s="40">
        <f>IF($L543="Elite",Config!$B$21,0)</f>
        <v>0</v>
      </c>
      <c r="X543" s="40" t="str">
        <f>IFERROR(IF(OR($T543="",$G543=""),"",IF($T543&gt;$G543,
  MAX(0, 60-(($T543-$G543)*24/Config!$B$19)*60),
  MEDIAN(60, 100, 60+(($G543-$T543)*24/Config!$B$20)*40)
)),"")
</f>
        <v/>
      </c>
      <c r="Y543" s="40" t="str">
        <f>IF($J543="","",IFERROR(VLOOKUP($J543,Grinders!$A:$N,10,FALSE),""))</f>
        <v/>
      </c>
      <c r="Z543" s="40" t="str">
        <f>IF($J543="","",IFERROR(VLOOKUP($J543,Grinders!$A:$N,11,FALSE),""))</f>
        <v/>
      </c>
      <c r="AA543" s="40" t="str">
        <f>IF($J543="","",IFERROR(VLOOKUP($J543,Grinders!$A:$N,12,FALSE),""))</f>
        <v/>
      </c>
      <c r="AB543" s="40">
        <f>IFERROR(IF(OR($C543="",$J543=""),0,IF($D543&lt;&gt;"Open",0,IF(COUNTIFS(GrinderServices!$B:$B,$J543,GrinderServices!$C:$C,$E543,GrinderServices!$E:$E,"Y")=0,0,IF($U543&lt;Config!$B$16,0,IF(Config!$B$18=1,IF($N543&gt;=$M543,0,1),1))))),"")</f>
        <v>0</v>
      </c>
      <c r="AC543" s="40" t="str">
        <f>IFERROR(IF($AB543=0,"",((Config!$B$6*$V543 + Config!$B$7*$R543 + Config!$B$8*$W543 + Config!$B$9*$X543 + Config!$B$10*$Y543 + Config!$B$11*$Z543 - Config!$B$12*$AA543)/Config!$B$13)+$AH543+$AI543),"")</f>
        <v/>
      </c>
      <c r="AD543" s="40" t="str">
        <f t="shared" si="4"/>
        <v/>
      </c>
      <c r="AE543" s="40" t="str">
        <f>IFERROR(__xludf.DUMMYFUNCTION("IF($AC543="""","""",IF($AC543=IFERROR(MAX(FILTER($AC$6:$AC$1000,$C$6:$C$1000=$C543,$AB$6:$AB$1000=1)),),""WINNER"",""""))"),"")</f>
        <v/>
      </c>
      <c r="AF543" s="40" t="str">
        <f t="shared" si="5"/>
        <v/>
      </c>
      <c r="AG543" s="40" t="str">
        <f>IF($J543="","",COUNTIF(Assignments!$B:$B,$J543))</f>
        <v/>
      </c>
      <c r="AH543" s="40" t="str">
        <f>IF($J543="","",IF(AND($AG543=0,$N543&lt;$M543),Config!$B$43,0))</f>
        <v/>
      </c>
      <c r="AI543" s="40" t="str">
        <f>IF($J543="","",IF(AND($L543="Elite",$F543&gt;=Config!$B$41,$N543&lt;$M543),Config!$B$42,0))</f>
        <v/>
      </c>
      <c r="AJ543" s="22"/>
    </row>
    <row r="544" ht="15.75" customHeight="1">
      <c r="A544" s="40" t="str">
        <f t="shared" si="1"/>
        <v/>
      </c>
      <c r="B544" s="40" t="str">
        <f>IF(Bids!$A544="","",Bids!$A544)</f>
        <v/>
      </c>
      <c r="C544" s="40" t="str">
        <f>IF(Bids!$B544="","",Bids!$B544)</f>
        <v/>
      </c>
      <c r="D544" s="40" t="str">
        <f>IF($C544="","",IFERROR(VLOOKUP($C544,Orders!$A:$J,9,FALSE),""))</f>
        <v/>
      </c>
      <c r="E544" s="40" t="str">
        <f>IF($C544="","",IFERROR(VLOOKUP($C544,Orders!$A:$J,3,FALSE),""))</f>
        <v/>
      </c>
      <c r="F544" s="40" t="str">
        <f>IF($C544="","",IFERROR(VLOOKUP($C544,Orders!$A:$J,4,FALSE),""))</f>
        <v/>
      </c>
      <c r="G544" s="40" t="str">
        <f>IF($C544="","",IFERROR(VLOOKUP($C544,Orders!$A:$J,5,FALSE),""))</f>
        <v/>
      </c>
      <c r="H544" s="40" t="str">
        <f>IF($C544="","",IFERROR(VLOOKUP($C544,Orders!$A:$J,6,FALSE),""))</f>
        <v/>
      </c>
      <c r="I544" s="40" t="str">
        <f>IF($C544="","",IFERROR(VLOOKUP($C544,Orders!$A:$J,7,FALSE),""))</f>
        <v/>
      </c>
      <c r="J544" s="40" t="str">
        <f>IF(Bids!$C544="","",Bids!$C544)</f>
        <v/>
      </c>
      <c r="K544" s="40" t="str">
        <f>IF($J544="","",IFERROR(VLOOKUP($J544,Grinders!$A:$N,2,FALSE),""))</f>
        <v/>
      </c>
      <c r="L544" s="40" t="str">
        <f>IF($J544="","",IFERROR(VLOOKUP($J544,Grinders!$A:$N,3,FALSE),""))</f>
        <v/>
      </c>
      <c r="M544" s="40" t="str">
        <f>IF($J544="","",IFERROR(VLOOKUP($J544,Grinders!$A:$N,4,FALSE),""))</f>
        <v/>
      </c>
      <c r="N544" s="40" t="str">
        <f>IF($J544="","",IFERROR(VLOOKUP($J544,Grinders!$A:$N,5,FALSE),""))</f>
        <v/>
      </c>
      <c r="O544" s="40" t="str">
        <f t="shared" si="2"/>
        <v/>
      </c>
      <c r="P544" s="40" t="str">
        <f>IF($J544="","",IFERROR(VLOOKUP($J544,Grinders!$A:$N,6,FALSE),""))</f>
        <v/>
      </c>
      <c r="Q544" s="40" t="str">
        <f>IF($J544="","",IFERROR(VLOOKUP($J544,Grinders!$A:$N,8,FALSE),""))</f>
        <v/>
      </c>
      <c r="R544" s="40" t="str">
        <f>IFERROR(IF($J544="","",IF($L544="Elite",MAX(50,MIN(100,Config!$B$27*MAX(0,MIN(100,(1-IF($O544="",0,$O544))*100)) + Config!$B$28*MAX(0,MIN(100,(1-MIN(1,IF(Config!$B$30=0,1,$P544/Config!$B$30)))*100)) + Config!$B$29*MAX(0,MIN(100,MIN(1,IF($Q544="",0,$Q544)/Config!$B$23)*100)))),MIN(100,Config!$B$27*MAX(0,MIN(100,(1-IF($O544="",0,$O544))*100)) + Config!$B$28*MAX(0,MIN(100,(1-MIN(1,IF(Config!$B$30=0,1,$P544/Config!$B$30)))*100)) + Config!$B$29*MAX(0,MIN(100,MIN(1,IF($Q544="",0,$Q544)/Config!$B$23)*100))))),"")
</f>
        <v/>
      </c>
      <c r="S544" s="40" t="str">
        <f>IF(Bids!$D544="","",Bids!$D544)</f>
        <v/>
      </c>
      <c r="T544" s="40" t="str">
        <f>IF(Bids!$F544="","",Bids!$F544)</f>
        <v/>
      </c>
      <c r="U544" s="40" t="str">
        <f t="shared" si="3"/>
        <v/>
      </c>
      <c r="V544" s="40" t="str">
        <f>IF($U544="","",IF(Config!$B$17=Config!$B$16,IF($U544&gt;=Config!$B$17,100,0),MAX(0,MIN(100,($U544-Config!$B$16)/(Config!$B$17-Config!$B$16)*100))))</f>
        <v/>
      </c>
      <c r="W544" s="40">
        <f>IF($L544="Elite",Config!$B$21,0)</f>
        <v>0</v>
      </c>
      <c r="X544" s="40" t="str">
        <f>IFERROR(IF(OR($T544="",$G544=""),"",IF($T544&gt;$G544,
  MAX(0, 60-(($T544-$G544)*24/Config!$B$19)*60),
  MEDIAN(60, 100, 60+(($G544-$T544)*24/Config!$B$20)*40)
)),"")
</f>
        <v/>
      </c>
      <c r="Y544" s="40" t="str">
        <f>IF($J544="","",IFERROR(VLOOKUP($J544,Grinders!$A:$N,10,FALSE),""))</f>
        <v/>
      </c>
      <c r="Z544" s="40" t="str">
        <f>IF($J544="","",IFERROR(VLOOKUP($J544,Grinders!$A:$N,11,FALSE),""))</f>
        <v/>
      </c>
      <c r="AA544" s="40" t="str">
        <f>IF($J544="","",IFERROR(VLOOKUP($J544,Grinders!$A:$N,12,FALSE),""))</f>
        <v/>
      </c>
      <c r="AB544" s="40">
        <f>IFERROR(IF(OR($C544="",$J544=""),0,IF($D544&lt;&gt;"Open",0,IF(COUNTIFS(GrinderServices!$B:$B,$J544,GrinderServices!$C:$C,$E544,GrinderServices!$E:$E,"Y")=0,0,IF($U544&lt;Config!$B$16,0,IF(Config!$B$18=1,IF($N544&gt;=$M544,0,1),1))))),"")</f>
        <v>0</v>
      </c>
      <c r="AC544" s="40" t="str">
        <f>IFERROR(IF($AB544=0,"",((Config!$B$6*$V544 + Config!$B$7*$R544 + Config!$B$8*$W544 + Config!$B$9*$X544 + Config!$B$10*$Y544 + Config!$B$11*$Z544 - Config!$B$12*$AA544)/Config!$B$13)+$AH544+$AI544),"")</f>
        <v/>
      </c>
      <c r="AD544" s="40" t="str">
        <f t="shared" si="4"/>
        <v/>
      </c>
      <c r="AE544" s="40" t="str">
        <f>IFERROR(__xludf.DUMMYFUNCTION("IF($AC544="""","""",IF($AC544=IFERROR(MAX(FILTER($AC$6:$AC$1000,$C$6:$C$1000=$C544,$AB$6:$AB$1000=1)),),""WINNER"",""""))"),"")</f>
        <v/>
      </c>
      <c r="AF544" s="40" t="str">
        <f t="shared" si="5"/>
        <v/>
      </c>
      <c r="AG544" s="40" t="str">
        <f>IF($J544="","",COUNTIF(Assignments!$B:$B,$J544))</f>
        <v/>
      </c>
      <c r="AH544" s="40" t="str">
        <f>IF($J544="","",IF(AND($AG544=0,$N544&lt;$M544),Config!$B$43,0))</f>
        <v/>
      </c>
      <c r="AI544" s="40" t="str">
        <f>IF($J544="","",IF(AND($L544="Elite",$F544&gt;=Config!$B$41,$N544&lt;$M544),Config!$B$42,0))</f>
        <v/>
      </c>
      <c r="AJ544" s="22"/>
    </row>
    <row r="545" ht="15.75" customHeight="1">
      <c r="A545" s="40" t="str">
        <f t="shared" si="1"/>
        <v/>
      </c>
      <c r="B545" s="40" t="str">
        <f>IF(Bids!$A545="","",Bids!$A545)</f>
        <v/>
      </c>
      <c r="C545" s="40" t="str">
        <f>IF(Bids!$B545="","",Bids!$B545)</f>
        <v/>
      </c>
      <c r="D545" s="40" t="str">
        <f>IF($C545="","",IFERROR(VLOOKUP($C545,Orders!$A:$J,9,FALSE),""))</f>
        <v/>
      </c>
      <c r="E545" s="40" t="str">
        <f>IF($C545="","",IFERROR(VLOOKUP($C545,Orders!$A:$J,3,FALSE),""))</f>
        <v/>
      </c>
      <c r="F545" s="40" t="str">
        <f>IF($C545="","",IFERROR(VLOOKUP($C545,Orders!$A:$J,4,FALSE),""))</f>
        <v/>
      </c>
      <c r="G545" s="40" t="str">
        <f>IF($C545="","",IFERROR(VLOOKUP($C545,Orders!$A:$J,5,FALSE),""))</f>
        <v/>
      </c>
      <c r="H545" s="40" t="str">
        <f>IF($C545="","",IFERROR(VLOOKUP($C545,Orders!$A:$J,6,FALSE),""))</f>
        <v/>
      </c>
      <c r="I545" s="40" t="str">
        <f>IF($C545="","",IFERROR(VLOOKUP($C545,Orders!$A:$J,7,FALSE),""))</f>
        <v/>
      </c>
      <c r="J545" s="40" t="str">
        <f>IF(Bids!$C545="","",Bids!$C545)</f>
        <v/>
      </c>
      <c r="K545" s="40" t="str">
        <f>IF($J545="","",IFERROR(VLOOKUP($J545,Grinders!$A:$N,2,FALSE),""))</f>
        <v/>
      </c>
      <c r="L545" s="40" t="str">
        <f>IF($J545="","",IFERROR(VLOOKUP($J545,Grinders!$A:$N,3,FALSE),""))</f>
        <v/>
      </c>
      <c r="M545" s="40" t="str">
        <f>IF($J545="","",IFERROR(VLOOKUP($J545,Grinders!$A:$N,4,FALSE),""))</f>
        <v/>
      </c>
      <c r="N545" s="40" t="str">
        <f>IF($J545="","",IFERROR(VLOOKUP($J545,Grinders!$A:$N,5,FALSE),""))</f>
        <v/>
      </c>
      <c r="O545" s="40" t="str">
        <f t="shared" si="2"/>
        <v/>
      </c>
      <c r="P545" s="40" t="str">
        <f>IF($J545="","",IFERROR(VLOOKUP($J545,Grinders!$A:$N,6,FALSE),""))</f>
        <v/>
      </c>
      <c r="Q545" s="40" t="str">
        <f>IF($J545="","",IFERROR(VLOOKUP($J545,Grinders!$A:$N,8,FALSE),""))</f>
        <v/>
      </c>
      <c r="R545" s="40" t="str">
        <f>IFERROR(IF($J545="","",IF($L545="Elite",MAX(50,MIN(100,Config!$B$27*MAX(0,MIN(100,(1-IF($O545="",0,$O545))*100)) + Config!$B$28*MAX(0,MIN(100,(1-MIN(1,IF(Config!$B$30=0,1,$P545/Config!$B$30)))*100)) + Config!$B$29*MAX(0,MIN(100,MIN(1,IF($Q545="",0,$Q545)/Config!$B$23)*100)))),MIN(100,Config!$B$27*MAX(0,MIN(100,(1-IF($O545="",0,$O545))*100)) + Config!$B$28*MAX(0,MIN(100,(1-MIN(1,IF(Config!$B$30=0,1,$P545/Config!$B$30)))*100)) + Config!$B$29*MAX(0,MIN(100,MIN(1,IF($Q545="",0,$Q545)/Config!$B$23)*100))))),"")
</f>
        <v/>
      </c>
      <c r="S545" s="40" t="str">
        <f>IF(Bids!$D545="","",Bids!$D545)</f>
        <v/>
      </c>
      <c r="T545" s="40" t="str">
        <f>IF(Bids!$F545="","",Bids!$F545)</f>
        <v/>
      </c>
      <c r="U545" s="40" t="str">
        <f t="shared" si="3"/>
        <v/>
      </c>
      <c r="V545" s="40" t="str">
        <f>IF($U545="","",IF(Config!$B$17=Config!$B$16,IF($U545&gt;=Config!$B$17,100,0),MAX(0,MIN(100,($U545-Config!$B$16)/(Config!$B$17-Config!$B$16)*100))))</f>
        <v/>
      </c>
      <c r="W545" s="40">
        <f>IF($L545="Elite",Config!$B$21,0)</f>
        <v>0</v>
      </c>
      <c r="X545" s="40" t="str">
        <f>IFERROR(IF(OR($T545="",$G545=""),"",IF($T545&gt;$G545,
  MAX(0, 60-(($T545-$G545)*24/Config!$B$19)*60),
  MEDIAN(60, 100, 60+(($G545-$T545)*24/Config!$B$20)*40)
)),"")
</f>
        <v/>
      </c>
      <c r="Y545" s="40" t="str">
        <f>IF($J545="","",IFERROR(VLOOKUP($J545,Grinders!$A:$N,10,FALSE),""))</f>
        <v/>
      </c>
      <c r="Z545" s="40" t="str">
        <f>IF($J545="","",IFERROR(VLOOKUP($J545,Grinders!$A:$N,11,FALSE),""))</f>
        <v/>
      </c>
      <c r="AA545" s="40" t="str">
        <f>IF($J545="","",IFERROR(VLOOKUP($J545,Grinders!$A:$N,12,FALSE),""))</f>
        <v/>
      </c>
      <c r="AB545" s="40">
        <f>IFERROR(IF(OR($C545="",$J545=""),0,IF($D545&lt;&gt;"Open",0,IF(COUNTIFS(GrinderServices!$B:$B,$J545,GrinderServices!$C:$C,$E545,GrinderServices!$E:$E,"Y")=0,0,IF($U545&lt;Config!$B$16,0,IF(Config!$B$18=1,IF($N545&gt;=$M545,0,1),1))))),"")</f>
        <v>0</v>
      </c>
      <c r="AC545" s="40" t="str">
        <f>IFERROR(IF($AB545=0,"",((Config!$B$6*$V545 + Config!$B$7*$R545 + Config!$B$8*$W545 + Config!$B$9*$X545 + Config!$B$10*$Y545 + Config!$B$11*$Z545 - Config!$B$12*$AA545)/Config!$B$13)+$AH545+$AI545),"")</f>
        <v/>
      </c>
      <c r="AD545" s="40" t="str">
        <f t="shared" si="4"/>
        <v/>
      </c>
      <c r="AE545" s="40" t="str">
        <f>IFERROR(__xludf.DUMMYFUNCTION("IF($AC545="""","""",IF($AC545=IFERROR(MAX(FILTER($AC$6:$AC$1000,$C$6:$C$1000=$C545,$AB$6:$AB$1000=1)),),""WINNER"",""""))"),"")</f>
        <v/>
      </c>
      <c r="AF545" s="40" t="str">
        <f t="shared" si="5"/>
        <v/>
      </c>
      <c r="AG545" s="40" t="str">
        <f>IF($J545="","",COUNTIF(Assignments!$B:$B,$J545))</f>
        <v/>
      </c>
      <c r="AH545" s="40" t="str">
        <f>IF($J545="","",IF(AND($AG545=0,$N545&lt;$M545),Config!$B$43,0))</f>
        <v/>
      </c>
      <c r="AI545" s="40" t="str">
        <f>IF($J545="","",IF(AND($L545="Elite",$F545&gt;=Config!$B$41,$N545&lt;$M545),Config!$B$42,0))</f>
        <v/>
      </c>
      <c r="AJ545" s="22"/>
    </row>
    <row r="546" ht="15.75" customHeight="1">
      <c r="A546" s="40" t="str">
        <f t="shared" si="1"/>
        <v/>
      </c>
      <c r="B546" s="40" t="str">
        <f>IF(Bids!$A546="","",Bids!$A546)</f>
        <v/>
      </c>
      <c r="C546" s="40" t="str">
        <f>IF(Bids!$B546="","",Bids!$B546)</f>
        <v/>
      </c>
      <c r="D546" s="40" t="str">
        <f>IF($C546="","",IFERROR(VLOOKUP($C546,Orders!$A:$J,9,FALSE),""))</f>
        <v/>
      </c>
      <c r="E546" s="40" t="str">
        <f>IF($C546="","",IFERROR(VLOOKUP($C546,Orders!$A:$J,3,FALSE),""))</f>
        <v/>
      </c>
      <c r="F546" s="40" t="str">
        <f>IF($C546="","",IFERROR(VLOOKUP($C546,Orders!$A:$J,4,FALSE),""))</f>
        <v/>
      </c>
      <c r="G546" s="40" t="str">
        <f>IF($C546="","",IFERROR(VLOOKUP($C546,Orders!$A:$J,5,FALSE),""))</f>
        <v/>
      </c>
      <c r="H546" s="40" t="str">
        <f>IF($C546="","",IFERROR(VLOOKUP($C546,Orders!$A:$J,6,FALSE),""))</f>
        <v/>
      </c>
      <c r="I546" s="40" t="str">
        <f>IF($C546="","",IFERROR(VLOOKUP($C546,Orders!$A:$J,7,FALSE),""))</f>
        <v/>
      </c>
      <c r="J546" s="40" t="str">
        <f>IF(Bids!$C546="","",Bids!$C546)</f>
        <v/>
      </c>
      <c r="K546" s="40" t="str">
        <f>IF($J546="","",IFERROR(VLOOKUP($J546,Grinders!$A:$N,2,FALSE),""))</f>
        <v/>
      </c>
      <c r="L546" s="40" t="str">
        <f>IF($J546="","",IFERROR(VLOOKUP($J546,Grinders!$A:$N,3,FALSE),""))</f>
        <v/>
      </c>
      <c r="M546" s="40" t="str">
        <f>IF($J546="","",IFERROR(VLOOKUP($J546,Grinders!$A:$N,4,FALSE),""))</f>
        <v/>
      </c>
      <c r="N546" s="40" t="str">
        <f>IF($J546="","",IFERROR(VLOOKUP($J546,Grinders!$A:$N,5,FALSE),""))</f>
        <v/>
      </c>
      <c r="O546" s="40" t="str">
        <f t="shared" si="2"/>
        <v/>
      </c>
      <c r="P546" s="40" t="str">
        <f>IF($J546="","",IFERROR(VLOOKUP($J546,Grinders!$A:$N,6,FALSE),""))</f>
        <v/>
      </c>
      <c r="Q546" s="40" t="str">
        <f>IF($J546="","",IFERROR(VLOOKUP($J546,Grinders!$A:$N,8,FALSE),""))</f>
        <v/>
      </c>
      <c r="R546" s="40" t="str">
        <f>IFERROR(IF($J546="","",IF($L546="Elite",MAX(50,MIN(100,Config!$B$27*MAX(0,MIN(100,(1-IF($O546="",0,$O546))*100)) + Config!$B$28*MAX(0,MIN(100,(1-MIN(1,IF(Config!$B$30=0,1,$P546/Config!$B$30)))*100)) + Config!$B$29*MAX(0,MIN(100,MIN(1,IF($Q546="",0,$Q546)/Config!$B$23)*100)))),MIN(100,Config!$B$27*MAX(0,MIN(100,(1-IF($O546="",0,$O546))*100)) + Config!$B$28*MAX(0,MIN(100,(1-MIN(1,IF(Config!$B$30=0,1,$P546/Config!$B$30)))*100)) + Config!$B$29*MAX(0,MIN(100,MIN(1,IF($Q546="",0,$Q546)/Config!$B$23)*100))))),"")
</f>
        <v/>
      </c>
      <c r="S546" s="40" t="str">
        <f>IF(Bids!$D546="","",Bids!$D546)</f>
        <v/>
      </c>
      <c r="T546" s="40" t="str">
        <f>IF(Bids!$F546="","",Bids!$F546)</f>
        <v/>
      </c>
      <c r="U546" s="40" t="str">
        <f t="shared" si="3"/>
        <v/>
      </c>
      <c r="V546" s="40" t="str">
        <f>IF($U546="","",IF(Config!$B$17=Config!$B$16,IF($U546&gt;=Config!$B$17,100,0),MAX(0,MIN(100,($U546-Config!$B$16)/(Config!$B$17-Config!$B$16)*100))))</f>
        <v/>
      </c>
      <c r="W546" s="40">
        <f>IF($L546="Elite",Config!$B$21,0)</f>
        <v>0</v>
      </c>
      <c r="X546" s="40" t="str">
        <f>IFERROR(IF(OR($T546="",$G546=""),"",IF($T546&gt;$G546,
  MAX(0, 60-(($T546-$G546)*24/Config!$B$19)*60),
  MEDIAN(60, 100, 60+(($G546-$T546)*24/Config!$B$20)*40)
)),"")
</f>
        <v/>
      </c>
      <c r="Y546" s="40" t="str">
        <f>IF($J546="","",IFERROR(VLOOKUP($J546,Grinders!$A:$N,10,FALSE),""))</f>
        <v/>
      </c>
      <c r="Z546" s="40" t="str">
        <f>IF($J546="","",IFERROR(VLOOKUP($J546,Grinders!$A:$N,11,FALSE),""))</f>
        <v/>
      </c>
      <c r="AA546" s="40" t="str">
        <f>IF($J546="","",IFERROR(VLOOKUP($J546,Grinders!$A:$N,12,FALSE),""))</f>
        <v/>
      </c>
      <c r="AB546" s="40">
        <f>IFERROR(IF(OR($C546="",$J546=""),0,IF($D546&lt;&gt;"Open",0,IF(COUNTIFS(GrinderServices!$B:$B,$J546,GrinderServices!$C:$C,$E546,GrinderServices!$E:$E,"Y")=0,0,IF($U546&lt;Config!$B$16,0,IF(Config!$B$18=1,IF($N546&gt;=$M546,0,1),1))))),"")</f>
        <v>0</v>
      </c>
      <c r="AC546" s="40" t="str">
        <f>IFERROR(IF($AB546=0,"",((Config!$B$6*$V546 + Config!$B$7*$R546 + Config!$B$8*$W546 + Config!$B$9*$X546 + Config!$B$10*$Y546 + Config!$B$11*$Z546 - Config!$B$12*$AA546)/Config!$B$13)+$AH546+$AI546),"")</f>
        <v/>
      </c>
      <c r="AD546" s="40" t="str">
        <f t="shared" si="4"/>
        <v/>
      </c>
      <c r="AE546" s="40" t="str">
        <f>IFERROR(__xludf.DUMMYFUNCTION("IF($AC546="""","""",IF($AC546=IFERROR(MAX(FILTER($AC$6:$AC$1000,$C$6:$C$1000=$C546,$AB$6:$AB$1000=1)),),""WINNER"",""""))"),"")</f>
        <v/>
      </c>
      <c r="AF546" s="40" t="str">
        <f t="shared" si="5"/>
        <v/>
      </c>
      <c r="AG546" s="40" t="str">
        <f>IF($J546="","",COUNTIF(Assignments!$B:$B,$J546))</f>
        <v/>
      </c>
      <c r="AH546" s="40" t="str">
        <f>IF($J546="","",IF(AND($AG546=0,$N546&lt;$M546),Config!$B$43,0))</f>
        <v/>
      </c>
      <c r="AI546" s="40" t="str">
        <f>IF($J546="","",IF(AND($L546="Elite",$F546&gt;=Config!$B$41,$N546&lt;$M546),Config!$B$42,0))</f>
        <v/>
      </c>
      <c r="AJ546" s="22"/>
    </row>
    <row r="547" ht="15.75" customHeight="1">
      <c r="A547" s="40" t="str">
        <f t="shared" si="1"/>
        <v/>
      </c>
      <c r="B547" s="40" t="str">
        <f>IF(Bids!$A547="","",Bids!$A547)</f>
        <v/>
      </c>
      <c r="C547" s="40" t="str">
        <f>IF(Bids!$B547="","",Bids!$B547)</f>
        <v/>
      </c>
      <c r="D547" s="40" t="str">
        <f>IF($C547="","",IFERROR(VLOOKUP($C547,Orders!$A:$J,9,FALSE),""))</f>
        <v/>
      </c>
      <c r="E547" s="40" t="str">
        <f>IF($C547="","",IFERROR(VLOOKUP($C547,Orders!$A:$J,3,FALSE),""))</f>
        <v/>
      </c>
      <c r="F547" s="40" t="str">
        <f>IF($C547="","",IFERROR(VLOOKUP($C547,Orders!$A:$J,4,FALSE),""))</f>
        <v/>
      </c>
      <c r="G547" s="40" t="str">
        <f>IF($C547="","",IFERROR(VLOOKUP($C547,Orders!$A:$J,5,FALSE),""))</f>
        <v/>
      </c>
      <c r="H547" s="40" t="str">
        <f>IF($C547="","",IFERROR(VLOOKUP($C547,Orders!$A:$J,6,FALSE),""))</f>
        <v/>
      </c>
      <c r="I547" s="40" t="str">
        <f>IF($C547="","",IFERROR(VLOOKUP($C547,Orders!$A:$J,7,FALSE),""))</f>
        <v/>
      </c>
      <c r="J547" s="40" t="str">
        <f>IF(Bids!$C547="","",Bids!$C547)</f>
        <v/>
      </c>
      <c r="K547" s="40" t="str">
        <f>IF($J547="","",IFERROR(VLOOKUP($J547,Grinders!$A:$N,2,FALSE),""))</f>
        <v/>
      </c>
      <c r="L547" s="40" t="str">
        <f>IF($J547="","",IFERROR(VLOOKUP($J547,Grinders!$A:$N,3,FALSE),""))</f>
        <v/>
      </c>
      <c r="M547" s="40" t="str">
        <f>IF($J547="","",IFERROR(VLOOKUP($J547,Grinders!$A:$N,4,FALSE),""))</f>
        <v/>
      </c>
      <c r="N547" s="40" t="str">
        <f>IF($J547="","",IFERROR(VLOOKUP($J547,Grinders!$A:$N,5,FALSE),""))</f>
        <v/>
      </c>
      <c r="O547" s="40" t="str">
        <f t="shared" si="2"/>
        <v/>
      </c>
      <c r="P547" s="40" t="str">
        <f>IF($J547="","",IFERROR(VLOOKUP($J547,Grinders!$A:$N,6,FALSE),""))</f>
        <v/>
      </c>
      <c r="Q547" s="40" t="str">
        <f>IF($J547="","",IFERROR(VLOOKUP($J547,Grinders!$A:$N,8,FALSE),""))</f>
        <v/>
      </c>
      <c r="R547" s="40" t="str">
        <f>IFERROR(IF($J547="","",IF($L547="Elite",MAX(50,MIN(100,Config!$B$27*MAX(0,MIN(100,(1-IF($O547="",0,$O547))*100)) + Config!$B$28*MAX(0,MIN(100,(1-MIN(1,IF(Config!$B$30=0,1,$P547/Config!$B$30)))*100)) + Config!$B$29*MAX(0,MIN(100,MIN(1,IF($Q547="",0,$Q547)/Config!$B$23)*100)))),MIN(100,Config!$B$27*MAX(0,MIN(100,(1-IF($O547="",0,$O547))*100)) + Config!$B$28*MAX(0,MIN(100,(1-MIN(1,IF(Config!$B$30=0,1,$P547/Config!$B$30)))*100)) + Config!$B$29*MAX(0,MIN(100,MIN(1,IF($Q547="",0,$Q547)/Config!$B$23)*100))))),"")
</f>
        <v/>
      </c>
      <c r="S547" s="40" t="str">
        <f>IF(Bids!$D547="","",Bids!$D547)</f>
        <v/>
      </c>
      <c r="T547" s="40" t="str">
        <f>IF(Bids!$F547="","",Bids!$F547)</f>
        <v/>
      </c>
      <c r="U547" s="40" t="str">
        <f t="shared" si="3"/>
        <v/>
      </c>
      <c r="V547" s="40" t="str">
        <f>IF($U547="","",IF(Config!$B$17=Config!$B$16,IF($U547&gt;=Config!$B$17,100,0),MAX(0,MIN(100,($U547-Config!$B$16)/(Config!$B$17-Config!$B$16)*100))))</f>
        <v/>
      </c>
      <c r="W547" s="40">
        <f>IF($L547="Elite",Config!$B$21,0)</f>
        <v>0</v>
      </c>
      <c r="X547" s="40" t="str">
        <f>IFERROR(IF(OR($T547="",$G547=""),"",IF($T547&gt;$G547,
  MAX(0, 60-(($T547-$G547)*24/Config!$B$19)*60),
  MEDIAN(60, 100, 60+(($G547-$T547)*24/Config!$B$20)*40)
)),"")
</f>
        <v/>
      </c>
      <c r="Y547" s="40" t="str">
        <f>IF($J547="","",IFERROR(VLOOKUP($J547,Grinders!$A:$N,10,FALSE),""))</f>
        <v/>
      </c>
      <c r="Z547" s="40" t="str">
        <f>IF($J547="","",IFERROR(VLOOKUP($J547,Grinders!$A:$N,11,FALSE),""))</f>
        <v/>
      </c>
      <c r="AA547" s="40" t="str">
        <f>IF($J547="","",IFERROR(VLOOKUP($J547,Grinders!$A:$N,12,FALSE),""))</f>
        <v/>
      </c>
      <c r="AB547" s="40">
        <f>IFERROR(IF(OR($C547="",$J547=""),0,IF($D547&lt;&gt;"Open",0,IF(COUNTIFS(GrinderServices!$B:$B,$J547,GrinderServices!$C:$C,$E547,GrinderServices!$E:$E,"Y")=0,0,IF($U547&lt;Config!$B$16,0,IF(Config!$B$18=1,IF($N547&gt;=$M547,0,1),1))))),"")</f>
        <v>0</v>
      </c>
      <c r="AC547" s="40" t="str">
        <f>IFERROR(IF($AB547=0,"",((Config!$B$6*$V547 + Config!$B$7*$R547 + Config!$B$8*$W547 + Config!$B$9*$X547 + Config!$B$10*$Y547 + Config!$B$11*$Z547 - Config!$B$12*$AA547)/Config!$B$13)+$AH547+$AI547),"")</f>
        <v/>
      </c>
      <c r="AD547" s="40" t="str">
        <f t="shared" si="4"/>
        <v/>
      </c>
      <c r="AE547" s="40" t="str">
        <f>IFERROR(__xludf.DUMMYFUNCTION("IF($AC547="""","""",IF($AC547=IFERROR(MAX(FILTER($AC$6:$AC$1000,$C$6:$C$1000=$C547,$AB$6:$AB$1000=1)),),""WINNER"",""""))"),"")</f>
        <v/>
      </c>
      <c r="AF547" s="40" t="str">
        <f t="shared" si="5"/>
        <v/>
      </c>
      <c r="AG547" s="40" t="str">
        <f>IF($J547="","",COUNTIF(Assignments!$B:$B,$J547))</f>
        <v/>
      </c>
      <c r="AH547" s="40" t="str">
        <f>IF($J547="","",IF(AND($AG547=0,$N547&lt;$M547),Config!$B$43,0))</f>
        <v/>
      </c>
      <c r="AI547" s="40" t="str">
        <f>IF($J547="","",IF(AND($L547="Elite",$F547&gt;=Config!$B$41,$N547&lt;$M547),Config!$B$42,0))</f>
        <v/>
      </c>
      <c r="AJ547" s="22"/>
    </row>
    <row r="548" ht="15.75" customHeight="1">
      <c r="A548" s="40" t="str">
        <f t="shared" si="1"/>
        <v/>
      </c>
      <c r="B548" s="40" t="str">
        <f>IF(Bids!$A548="","",Bids!$A548)</f>
        <v/>
      </c>
      <c r="C548" s="40" t="str">
        <f>IF(Bids!$B548="","",Bids!$B548)</f>
        <v/>
      </c>
      <c r="D548" s="40" t="str">
        <f>IF($C548="","",IFERROR(VLOOKUP($C548,Orders!$A:$J,9,FALSE),""))</f>
        <v/>
      </c>
      <c r="E548" s="40" t="str">
        <f>IF($C548="","",IFERROR(VLOOKUP($C548,Orders!$A:$J,3,FALSE),""))</f>
        <v/>
      </c>
      <c r="F548" s="40" t="str">
        <f>IF($C548="","",IFERROR(VLOOKUP($C548,Orders!$A:$J,4,FALSE),""))</f>
        <v/>
      </c>
      <c r="G548" s="40" t="str">
        <f>IF($C548="","",IFERROR(VLOOKUP($C548,Orders!$A:$J,5,FALSE),""))</f>
        <v/>
      </c>
      <c r="H548" s="40" t="str">
        <f>IF($C548="","",IFERROR(VLOOKUP($C548,Orders!$A:$J,6,FALSE),""))</f>
        <v/>
      </c>
      <c r="I548" s="40" t="str">
        <f>IF($C548="","",IFERROR(VLOOKUP($C548,Orders!$A:$J,7,FALSE),""))</f>
        <v/>
      </c>
      <c r="J548" s="40" t="str">
        <f>IF(Bids!$C548="","",Bids!$C548)</f>
        <v/>
      </c>
      <c r="K548" s="40" t="str">
        <f>IF($J548="","",IFERROR(VLOOKUP($J548,Grinders!$A:$N,2,FALSE),""))</f>
        <v/>
      </c>
      <c r="L548" s="40" t="str">
        <f>IF($J548="","",IFERROR(VLOOKUP($J548,Grinders!$A:$N,3,FALSE),""))</f>
        <v/>
      </c>
      <c r="M548" s="40" t="str">
        <f>IF($J548="","",IFERROR(VLOOKUP($J548,Grinders!$A:$N,4,FALSE),""))</f>
        <v/>
      </c>
      <c r="N548" s="40" t="str">
        <f>IF($J548="","",IFERROR(VLOOKUP($J548,Grinders!$A:$N,5,FALSE),""))</f>
        <v/>
      </c>
      <c r="O548" s="40" t="str">
        <f t="shared" si="2"/>
        <v/>
      </c>
      <c r="P548" s="40" t="str">
        <f>IF($J548="","",IFERROR(VLOOKUP($J548,Grinders!$A:$N,6,FALSE),""))</f>
        <v/>
      </c>
      <c r="Q548" s="40" t="str">
        <f>IF($J548="","",IFERROR(VLOOKUP($J548,Grinders!$A:$N,8,FALSE),""))</f>
        <v/>
      </c>
      <c r="R548" s="40" t="str">
        <f>IFERROR(IF($J548="","",IF($L548="Elite",MAX(50,MIN(100,Config!$B$27*MAX(0,MIN(100,(1-IF($O548="",0,$O548))*100)) + Config!$B$28*MAX(0,MIN(100,(1-MIN(1,IF(Config!$B$30=0,1,$P548/Config!$B$30)))*100)) + Config!$B$29*MAX(0,MIN(100,MIN(1,IF($Q548="",0,$Q548)/Config!$B$23)*100)))),MIN(100,Config!$B$27*MAX(0,MIN(100,(1-IF($O548="",0,$O548))*100)) + Config!$B$28*MAX(0,MIN(100,(1-MIN(1,IF(Config!$B$30=0,1,$P548/Config!$B$30)))*100)) + Config!$B$29*MAX(0,MIN(100,MIN(1,IF($Q548="",0,$Q548)/Config!$B$23)*100))))),"")
</f>
        <v/>
      </c>
      <c r="S548" s="40" t="str">
        <f>IF(Bids!$D548="","",Bids!$D548)</f>
        <v/>
      </c>
      <c r="T548" s="40" t="str">
        <f>IF(Bids!$F548="","",Bids!$F548)</f>
        <v/>
      </c>
      <c r="U548" s="40" t="str">
        <f t="shared" si="3"/>
        <v/>
      </c>
      <c r="V548" s="40" t="str">
        <f>IF($U548="","",IF(Config!$B$17=Config!$B$16,IF($U548&gt;=Config!$B$17,100,0),MAX(0,MIN(100,($U548-Config!$B$16)/(Config!$B$17-Config!$B$16)*100))))</f>
        <v/>
      </c>
      <c r="W548" s="40">
        <f>IF($L548="Elite",Config!$B$21,0)</f>
        <v>0</v>
      </c>
      <c r="X548" s="40" t="str">
        <f>IFERROR(IF(OR($T548="",$G548=""),"",IF($T548&gt;$G548,
  MAX(0, 60-(($T548-$G548)*24/Config!$B$19)*60),
  MEDIAN(60, 100, 60+(($G548-$T548)*24/Config!$B$20)*40)
)),"")
</f>
        <v/>
      </c>
      <c r="Y548" s="40" t="str">
        <f>IF($J548="","",IFERROR(VLOOKUP($J548,Grinders!$A:$N,10,FALSE),""))</f>
        <v/>
      </c>
      <c r="Z548" s="40" t="str">
        <f>IF($J548="","",IFERROR(VLOOKUP($J548,Grinders!$A:$N,11,FALSE),""))</f>
        <v/>
      </c>
      <c r="AA548" s="40" t="str">
        <f>IF($J548="","",IFERROR(VLOOKUP($J548,Grinders!$A:$N,12,FALSE),""))</f>
        <v/>
      </c>
      <c r="AB548" s="40">
        <f>IFERROR(IF(OR($C548="",$J548=""),0,IF($D548&lt;&gt;"Open",0,IF(COUNTIFS(GrinderServices!$B:$B,$J548,GrinderServices!$C:$C,$E548,GrinderServices!$E:$E,"Y")=0,0,IF($U548&lt;Config!$B$16,0,IF(Config!$B$18=1,IF($N548&gt;=$M548,0,1),1))))),"")</f>
        <v>0</v>
      </c>
      <c r="AC548" s="40" t="str">
        <f>IFERROR(IF($AB548=0,"",((Config!$B$6*$V548 + Config!$B$7*$R548 + Config!$B$8*$W548 + Config!$B$9*$X548 + Config!$B$10*$Y548 + Config!$B$11*$Z548 - Config!$B$12*$AA548)/Config!$B$13)+$AH548+$AI548),"")</f>
        <v/>
      </c>
      <c r="AD548" s="40" t="str">
        <f t="shared" si="4"/>
        <v/>
      </c>
      <c r="AE548" s="40" t="str">
        <f>IFERROR(__xludf.DUMMYFUNCTION("IF($AC548="""","""",IF($AC548=IFERROR(MAX(FILTER($AC$6:$AC$1000,$C$6:$C$1000=$C548,$AB$6:$AB$1000=1)),),""WINNER"",""""))"),"")</f>
        <v/>
      </c>
      <c r="AF548" s="40" t="str">
        <f t="shared" si="5"/>
        <v/>
      </c>
      <c r="AG548" s="40" t="str">
        <f>IF($J548="","",COUNTIF(Assignments!$B:$B,$J548))</f>
        <v/>
      </c>
      <c r="AH548" s="40" t="str">
        <f>IF($J548="","",IF(AND($AG548=0,$N548&lt;$M548),Config!$B$43,0))</f>
        <v/>
      </c>
      <c r="AI548" s="40" t="str">
        <f>IF($J548="","",IF(AND($L548="Elite",$F548&gt;=Config!$B$41,$N548&lt;$M548),Config!$B$42,0))</f>
        <v/>
      </c>
      <c r="AJ548" s="22"/>
    </row>
    <row r="549" ht="15.75" customHeight="1">
      <c r="A549" s="40" t="str">
        <f t="shared" si="1"/>
        <v/>
      </c>
      <c r="B549" s="40" t="str">
        <f>IF(Bids!$A549="","",Bids!$A549)</f>
        <v/>
      </c>
      <c r="C549" s="40" t="str">
        <f>IF(Bids!$B549="","",Bids!$B549)</f>
        <v/>
      </c>
      <c r="D549" s="40" t="str">
        <f>IF($C549="","",IFERROR(VLOOKUP($C549,Orders!$A:$J,9,FALSE),""))</f>
        <v/>
      </c>
      <c r="E549" s="40" t="str">
        <f>IF($C549="","",IFERROR(VLOOKUP($C549,Orders!$A:$J,3,FALSE),""))</f>
        <v/>
      </c>
      <c r="F549" s="40" t="str">
        <f>IF($C549="","",IFERROR(VLOOKUP($C549,Orders!$A:$J,4,FALSE),""))</f>
        <v/>
      </c>
      <c r="G549" s="40" t="str">
        <f>IF($C549="","",IFERROR(VLOOKUP($C549,Orders!$A:$J,5,FALSE),""))</f>
        <v/>
      </c>
      <c r="H549" s="40" t="str">
        <f>IF($C549="","",IFERROR(VLOOKUP($C549,Orders!$A:$J,6,FALSE),""))</f>
        <v/>
      </c>
      <c r="I549" s="40" t="str">
        <f>IF($C549="","",IFERROR(VLOOKUP($C549,Orders!$A:$J,7,FALSE),""))</f>
        <v/>
      </c>
      <c r="J549" s="40" t="str">
        <f>IF(Bids!$C549="","",Bids!$C549)</f>
        <v/>
      </c>
      <c r="K549" s="40" t="str">
        <f>IF($J549="","",IFERROR(VLOOKUP($J549,Grinders!$A:$N,2,FALSE),""))</f>
        <v/>
      </c>
      <c r="L549" s="40" t="str">
        <f>IF($J549="","",IFERROR(VLOOKUP($J549,Grinders!$A:$N,3,FALSE),""))</f>
        <v/>
      </c>
      <c r="M549" s="40" t="str">
        <f>IF($J549="","",IFERROR(VLOOKUP($J549,Grinders!$A:$N,4,FALSE),""))</f>
        <v/>
      </c>
      <c r="N549" s="40" t="str">
        <f>IF($J549="","",IFERROR(VLOOKUP($J549,Grinders!$A:$N,5,FALSE),""))</f>
        <v/>
      </c>
      <c r="O549" s="40" t="str">
        <f t="shared" si="2"/>
        <v/>
      </c>
      <c r="P549" s="40" t="str">
        <f>IF($J549="","",IFERROR(VLOOKUP($J549,Grinders!$A:$N,6,FALSE),""))</f>
        <v/>
      </c>
      <c r="Q549" s="40" t="str">
        <f>IF($J549="","",IFERROR(VLOOKUP($J549,Grinders!$A:$N,8,FALSE),""))</f>
        <v/>
      </c>
      <c r="R549" s="40" t="str">
        <f>IFERROR(IF($J549="","",IF($L549="Elite",MAX(50,MIN(100,Config!$B$27*MAX(0,MIN(100,(1-IF($O549="",0,$O549))*100)) + Config!$B$28*MAX(0,MIN(100,(1-MIN(1,IF(Config!$B$30=0,1,$P549/Config!$B$30)))*100)) + Config!$B$29*MAX(0,MIN(100,MIN(1,IF($Q549="",0,$Q549)/Config!$B$23)*100)))),MIN(100,Config!$B$27*MAX(0,MIN(100,(1-IF($O549="",0,$O549))*100)) + Config!$B$28*MAX(0,MIN(100,(1-MIN(1,IF(Config!$B$30=0,1,$P549/Config!$B$30)))*100)) + Config!$B$29*MAX(0,MIN(100,MIN(1,IF($Q549="",0,$Q549)/Config!$B$23)*100))))),"")
</f>
        <v/>
      </c>
      <c r="S549" s="40" t="str">
        <f>IF(Bids!$D549="","",Bids!$D549)</f>
        <v/>
      </c>
      <c r="T549" s="40" t="str">
        <f>IF(Bids!$F549="","",Bids!$F549)</f>
        <v/>
      </c>
      <c r="U549" s="40" t="str">
        <f t="shared" si="3"/>
        <v/>
      </c>
      <c r="V549" s="40" t="str">
        <f>IF($U549="","",IF(Config!$B$17=Config!$B$16,IF($U549&gt;=Config!$B$17,100,0),MAX(0,MIN(100,($U549-Config!$B$16)/(Config!$B$17-Config!$B$16)*100))))</f>
        <v/>
      </c>
      <c r="W549" s="40">
        <f>IF($L549="Elite",Config!$B$21,0)</f>
        <v>0</v>
      </c>
      <c r="X549" s="40" t="str">
        <f>IFERROR(IF(OR($T549="",$G549=""),"",IF($T549&gt;$G549,
  MAX(0, 60-(($T549-$G549)*24/Config!$B$19)*60),
  MEDIAN(60, 100, 60+(($G549-$T549)*24/Config!$B$20)*40)
)),"")
</f>
        <v/>
      </c>
      <c r="Y549" s="40" t="str">
        <f>IF($J549="","",IFERROR(VLOOKUP($J549,Grinders!$A:$N,10,FALSE),""))</f>
        <v/>
      </c>
      <c r="Z549" s="40" t="str">
        <f>IF($J549="","",IFERROR(VLOOKUP($J549,Grinders!$A:$N,11,FALSE),""))</f>
        <v/>
      </c>
      <c r="AA549" s="40" t="str">
        <f>IF($J549="","",IFERROR(VLOOKUP($J549,Grinders!$A:$N,12,FALSE),""))</f>
        <v/>
      </c>
      <c r="AB549" s="40">
        <f>IFERROR(IF(OR($C549="",$J549=""),0,IF($D549&lt;&gt;"Open",0,IF(COUNTIFS(GrinderServices!$B:$B,$J549,GrinderServices!$C:$C,$E549,GrinderServices!$E:$E,"Y")=0,0,IF($U549&lt;Config!$B$16,0,IF(Config!$B$18=1,IF($N549&gt;=$M549,0,1),1))))),"")</f>
        <v>0</v>
      </c>
      <c r="AC549" s="40" t="str">
        <f>IFERROR(IF($AB549=0,"",((Config!$B$6*$V549 + Config!$B$7*$R549 + Config!$B$8*$W549 + Config!$B$9*$X549 + Config!$B$10*$Y549 + Config!$B$11*$Z549 - Config!$B$12*$AA549)/Config!$B$13)+$AH549+$AI549),"")</f>
        <v/>
      </c>
      <c r="AD549" s="40" t="str">
        <f t="shared" si="4"/>
        <v/>
      </c>
      <c r="AE549" s="40" t="str">
        <f>IFERROR(__xludf.DUMMYFUNCTION("IF($AC549="""","""",IF($AC549=IFERROR(MAX(FILTER($AC$6:$AC$1000,$C$6:$C$1000=$C549,$AB$6:$AB$1000=1)),),""WINNER"",""""))"),"")</f>
        <v/>
      </c>
      <c r="AF549" s="40" t="str">
        <f t="shared" si="5"/>
        <v/>
      </c>
      <c r="AG549" s="40" t="str">
        <f>IF($J549="","",COUNTIF(Assignments!$B:$B,$J549))</f>
        <v/>
      </c>
      <c r="AH549" s="40" t="str">
        <f>IF($J549="","",IF(AND($AG549=0,$N549&lt;$M549),Config!$B$43,0))</f>
        <v/>
      </c>
      <c r="AI549" s="40" t="str">
        <f>IF($J549="","",IF(AND($L549="Elite",$F549&gt;=Config!$B$41,$N549&lt;$M549),Config!$B$42,0))</f>
        <v/>
      </c>
      <c r="AJ549" s="22"/>
    </row>
    <row r="550" ht="15.75" customHeight="1">
      <c r="A550" s="40" t="str">
        <f t="shared" si="1"/>
        <v/>
      </c>
      <c r="B550" s="40" t="str">
        <f>IF(Bids!$A550="","",Bids!$A550)</f>
        <v/>
      </c>
      <c r="C550" s="40" t="str">
        <f>IF(Bids!$B550="","",Bids!$B550)</f>
        <v/>
      </c>
      <c r="D550" s="40" t="str">
        <f>IF($C550="","",IFERROR(VLOOKUP($C550,Orders!$A:$J,9,FALSE),""))</f>
        <v/>
      </c>
      <c r="E550" s="40" t="str">
        <f>IF($C550="","",IFERROR(VLOOKUP($C550,Orders!$A:$J,3,FALSE),""))</f>
        <v/>
      </c>
      <c r="F550" s="40" t="str">
        <f>IF($C550="","",IFERROR(VLOOKUP($C550,Orders!$A:$J,4,FALSE),""))</f>
        <v/>
      </c>
      <c r="G550" s="40" t="str">
        <f>IF($C550="","",IFERROR(VLOOKUP($C550,Orders!$A:$J,5,FALSE),""))</f>
        <v/>
      </c>
      <c r="H550" s="40" t="str">
        <f>IF($C550="","",IFERROR(VLOOKUP($C550,Orders!$A:$J,6,FALSE),""))</f>
        <v/>
      </c>
      <c r="I550" s="40" t="str">
        <f>IF($C550="","",IFERROR(VLOOKUP($C550,Orders!$A:$J,7,FALSE),""))</f>
        <v/>
      </c>
      <c r="J550" s="40" t="str">
        <f>IF(Bids!$C550="","",Bids!$C550)</f>
        <v/>
      </c>
      <c r="K550" s="40" t="str">
        <f>IF($J550="","",IFERROR(VLOOKUP($J550,Grinders!$A:$N,2,FALSE),""))</f>
        <v/>
      </c>
      <c r="L550" s="40" t="str">
        <f>IF($J550="","",IFERROR(VLOOKUP($J550,Grinders!$A:$N,3,FALSE),""))</f>
        <v/>
      </c>
      <c r="M550" s="40" t="str">
        <f>IF($J550="","",IFERROR(VLOOKUP($J550,Grinders!$A:$N,4,FALSE),""))</f>
        <v/>
      </c>
      <c r="N550" s="40" t="str">
        <f>IF($J550="","",IFERROR(VLOOKUP($J550,Grinders!$A:$N,5,FALSE),""))</f>
        <v/>
      </c>
      <c r="O550" s="40" t="str">
        <f t="shared" si="2"/>
        <v/>
      </c>
      <c r="P550" s="40" t="str">
        <f>IF($J550="","",IFERROR(VLOOKUP($J550,Grinders!$A:$N,6,FALSE),""))</f>
        <v/>
      </c>
      <c r="Q550" s="40" t="str">
        <f>IF($J550="","",IFERROR(VLOOKUP($J550,Grinders!$A:$N,8,FALSE),""))</f>
        <v/>
      </c>
      <c r="R550" s="40" t="str">
        <f>IFERROR(IF($J550="","",IF($L550="Elite",MAX(50,MIN(100,Config!$B$27*MAX(0,MIN(100,(1-IF($O550="",0,$O550))*100)) + Config!$B$28*MAX(0,MIN(100,(1-MIN(1,IF(Config!$B$30=0,1,$P550/Config!$B$30)))*100)) + Config!$B$29*MAX(0,MIN(100,MIN(1,IF($Q550="",0,$Q550)/Config!$B$23)*100)))),MIN(100,Config!$B$27*MAX(0,MIN(100,(1-IF($O550="",0,$O550))*100)) + Config!$B$28*MAX(0,MIN(100,(1-MIN(1,IF(Config!$B$30=0,1,$P550/Config!$B$30)))*100)) + Config!$B$29*MAX(0,MIN(100,MIN(1,IF($Q550="",0,$Q550)/Config!$B$23)*100))))),"")
</f>
        <v/>
      </c>
      <c r="S550" s="40" t="str">
        <f>IF(Bids!$D550="","",Bids!$D550)</f>
        <v/>
      </c>
      <c r="T550" s="40" t="str">
        <f>IF(Bids!$F550="","",Bids!$F550)</f>
        <v/>
      </c>
      <c r="U550" s="40" t="str">
        <f t="shared" si="3"/>
        <v/>
      </c>
      <c r="V550" s="40" t="str">
        <f>IF($U550="","",IF(Config!$B$17=Config!$B$16,IF($U550&gt;=Config!$B$17,100,0),MAX(0,MIN(100,($U550-Config!$B$16)/(Config!$B$17-Config!$B$16)*100))))</f>
        <v/>
      </c>
      <c r="W550" s="40">
        <f>IF($L550="Elite",Config!$B$21,0)</f>
        <v>0</v>
      </c>
      <c r="X550" s="40" t="str">
        <f>IFERROR(IF(OR($T550="",$G550=""),"",IF($T550&gt;$G550,
  MAX(0, 60-(($T550-$G550)*24/Config!$B$19)*60),
  MEDIAN(60, 100, 60+(($G550-$T550)*24/Config!$B$20)*40)
)),"")
</f>
        <v/>
      </c>
      <c r="Y550" s="40" t="str">
        <f>IF($J550="","",IFERROR(VLOOKUP($J550,Grinders!$A:$N,10,FALSE),""))</f>
        <v/>
      </c>
      <c r="Z550" s="40" t="str">
        <f>IF($J550="","",IFERROR(VLOOKUP($J550,Grinders!$A:$N,11,FALSE),""))</f>
        <v/>
      </c>
      <c r="AA550" s="40" t="str">
        <f>IF($J550="","",IFERROR(VLOOKUP($J550,Grinders!$A:$N,12,FALSE),""))</f>
        <v/>
      </c>
      <c r="AB550" s="40">
        <f>IFERROR(IF(OR($C550="",$J550=""),0,IF($D550&lt;&gt;"Open",0,IF(COUNTIFS(GrinderServices!$B:$B,$J550,GrinderServices!$C:$C,$E550,GrinderServices!$E:$E,"Y")=0,0,IF($U550&lt;Config!$B$16,0,IF(Config!$B$18=1,IF($N550&gt;=$M550,0,1),1))))),"")</f>
        <v>0</v>
      </c>
      <c r="AC550" s="40" t="str">
        <f>IFERROR(IF($AB550=0,"",((Config!$B$6*$V550 + Config!$B$7*$R550 + Config!$B$8*$W550 + Config!$B$9*$X550 + Config!$B$10*$Y550 + Config!$B$11*$Z550 - Config!$B$12*$AA550)/Config!$B$13)+$AH550+$AI550),"")</f>
        <v/>
      </c>
      <c r="AD550" s="40" t="str">
        <f t="shared" si="4"/>
        <v/>
      </c>
      <c r="AE550" s="40" t="str">
        <f>IFERROR(__xludf.DUMMYFUNCTION("IF($AC550="""","""",IF($AC550=IFERROR(MAX(FILTER($AC$6:$AC$1000,$C$6:$C$1000=$C550,$AB$6:$AB$1000=1)),),""WINNER"",""""))"),"")</f>
        <v/>
      </c>
      <c r="AF550" s="40" t="str">
        <f t="shared" si="5"/>
        <v/>
      </c>
      <c r="AG550" s="40" t="str">
        <f>IF($J550="","",COUNTIF(Assignments!$B:$B,$J550))</f>
        <v/>
      </c>
      <c r="AH550" s="40" t="str">
        <f>IF($J550="","",IF(AND($AG550=0,$N550&lt;$M550),Config!$B$43,0))</f>
        <v/>
      </c>
      <c r="AI550" s="40" t="str">
        <f>IF($J550="","",IF(AND($L550="Elite",$F550&gt;=Config!$B$41,$N550&lt;$M550),Config!$B$42,0))</f>
        <v/>
      </c>
      <c r="AJ550" s="22"/>
    </row>
    <row r="551" ht="15.75" customHeight="1">
      <c r="A551" s="40" t="str">
        <f t="shared" si="1"/>
        <v/>
      </c>
      <c r="B551" s="40" t="str">
        <f>IF(Bids!$A551="","",Bids!$A551)</f>
        <v/>
      </c>
      <c r="C551" s="40" t="str">
        <f>IF(Bids!$B551="","",Bids!$B551)</f>
        <v/>
      </c>
      <c r="D551" s="40" t="str">
        <f>IF($C551="","",IFERROR(VLOOKUP($C551,Orders!$A:$J,9,FALSE),""))</f>
        <v/>
      </c>
      <c r="E551" s="40" t="str">
        <f>IF($C551="","",IFERROR(VLOOKUP($C551,Orders!$A:$J,3,FALSE),""))</f>
        <v/>
      </c>
      <c r="F551" s="40" t="str">
        <f>IF($C551="","",IFERROR(VLOOKUP($C551,Orders!$A:$J,4,FALSE),""))</f>
        <v/>
      </c>
      <c r="G551" s="40" t="str">
        <f>IF($C551="","",IFERROR(VLOOKUP($C551,Orders!$A:$J,5,FALSE),""))</f>
        <v/>
      </c>
      <c r="H551" s="40" t="str">
        <f>IF($C551="","",IFERROR(VLOOKUP($C551,Orders!$A:$J,6,FALSE),""))</f>
        <v/>
      </c>
      <c r="I551" s="40" t="str">
        <f>IF($C551="","",IFERROR(VLOOKUP($C551,Orders!$A:$J,7,FALSE),""))</f>
        <v/>
      </c>
      <c r="J551" s="40" t="str">
        <f>IF(Bids!$C551="","",Bids!$C551)</f>
        <v/>
      </c>
      <c r="K551" s="40" t="str">
        <f>IF($J551="","",IFERROR(VLOOKUP($J551,Grinders!$A:$N,2,FALSE),""))</f>
        <v/>
      </c>
      <c r="L551" s="40" t="str">
        <f>IF($J551="","",IFERROR(VLOOKUP($J551,Grinders!$A:$N,3,FALSE),""))</f>
        <v/>
      </c>
      <c r="M551" s="40" t="str">
        <f>IF($J551="","",IFERROR(VLOOKUP($J551,Grinders!$A:$N,4,FALSE),""))</f>
        <v/>
      </c>
      <c r="N551" s="40" t="str">
        <f>IF($J551="","",IFERROR(VLOOKUP($J551,Grinders!$A:$N,5,FALSE),""))</f>
        <v/>
      </c>
      <c r="O551" s="40" t="str">
        <f t="shared" si="2"/>
        <v/>
      </c>
      <c r="P551" s="40" t="str">
        <f>IF($J551="","",IFERROR(VLOOKUP($J551,Grinders!$A:$N,6,FALSE),""))</f>
        <v/>
      </c>
      <c r="Q551" s="40" t="str">
        <f>IF($J551="","",IFERROR(VLOOKUP($J551,Grinders!$A:$N,8,FALSE),""))</f>
        <v/>
      </c>
      <c r="R551" s="40" t="str">
        <f>IFERROR(IF($J551="","",IF($L551="Elite",MAX(50,MIN(100,Config!$B$27*MAX(0,MIN(100,(1-IF($O551="",0,$O551))*100)) + Config!$B$28*MAX(0,MIN(100,(1-MIN(1,IF(Config!$B$30=0,1,$P551/Config!$B$30)))*100)) + Config!$B$29*MAX(0,MIN(100,MIN(1,IF($Q551="",0,$Q551)/Config!$B$23)*100)))),MIN(100,Config!$B$27*MAX(0,MIN(100,(1-IF($O551="",0,$O551))*100)) + Config!$B$28*MAX(0,MIN(100,(1-MIN(1,IF(Config!$B$30=0,1,$P551/Config!$B$30)))*100)) + Config!$B$29*MAX(0,MIN(100,MIN(1,IF($Q551="",0,$Q551)/Config!$B$23)*100))))),"")
</f>
        <v/>
      </c>
      <c r="S551" s="40" t="str">
        <f>IF(Bids!$D551="","",Bids!$D551)</f>
        <v/>
      </c>
      <c r="T551" s="40" t="str">
        <f>IF(Bids!$F551="","",Bids!$F551)</f>
        <v/>
      </c>
      <c r="U551" s="40" t="str">
        <f t="shared" si="3"/>
        <v/>
      </c>
      <c r="V551" s="40" t="str">
        <f>IF($U551="","",IF(Config!$B$17=Config!$B$16,IF($U551&gt;=Config!$B$17,100,0),MAX(0,MIN(100,($U551-Config!$B$16)/(Config!$B$17-Config!$B$16)*100))))</f>
        <v/>
      </c>
      <c r="W551" s="40">
        <f>IF($L551="Elite",Config!$B$21,0)</f>
        <v>0</v>
      </c>
      <c r="X551" s="40" t="str">
        <f>IFERROR(IF(OR($T551="",$G551=""),"",IF($T551&gt;$G551,
  MAX(0, 60-(($T551-$G551)*24/Config!$B$19)*60),
  MEDIAN(60, 100, 60+(($G551-$T551)*24/Config!$B$20)*40)
)),"")
</f>
        <v/>
      </c>
      <c r="Y551" s="40" t="str">
        <f>IF($J551="","",IFERROR(VLOOKUP($J551,Grinders!$A:$N,10,FALSE),""))</f>
        <v/>
      </c>
      <c r="Z551" s="40" t="str">
        <f>IF($J551="","",IFERROR(VLOOKUP($J551,Grinders!$A:$N,11,FALSE),""))</f>
        <v/>
      </c>
      <c r="AA551" s="40" t="str">
        <f>IF($J551="","",IFERROR(VLOOKUP($J551,Grinders!$A:$N,12,FALSE),""))</f>
        <v/>
      </c>
      <c r="AB551" s="40">
        <f>IFERROR(IF(OR($C551="",$J551=""),0,IF($D551&lt;&gt;"Open",0,IF(COUNTIFS(GrinderServices!$B:$B,$J551,GrinderServices!$C:$C,$E551,GrinderServices!$E:$E,"Y")=0,0,IF($U551&lt;Config!$B$16,0,IF(Config!$B$18=1,IF($N551&gt;=$M551,0,1),1))))),"")</f>
        <v>0</v>
      </c>
      <c r="AC551" s="40" t="str">
        <f>IFERROR(IF($AB551=0,"",((Config!$B$6*$V551 + Config!$B$7*$R551 + Config!$B$8*$W551 + Config!$B$9*$X551 + Config!$B$10*$Y551 + Config!$B$11*$Z551 - Config!$B$12*$AA551)/Config!$B$13)+$AH551+$AI551),"")</f>
        <v/>
      </c>
      <c r="AD551" s="40" t="str">
        <f t="shared" si="4"/>
        <v/>
      </c>
      <c r="AE551" s="40" t="str">
        <f>IFERROR(__xludf.DUMMYFUNCTION("IF($AC551="""","""",IF($AC551=IFERROR(MAX(FILTER($AC$6:$AC$1000,$C$6:$C$1000=$C551,$AB$6:$AB$1000=1)),),""WINNER"",""""))"),"")</f>
        <v/>
      </c>
      <c r="AF551" s="40" t="str">
        <f t="shared" si="5"/>
        <v/>
      </c>
      <c r="AG551" s="40" t="str">
        <f>IF($J551="","",COUNTIF(Assignments!$B:$B,$J551))</f>
        <v/>
      </c>
      <c r="AH551" s="40" t="str">
        <f>IF($J551="","",IF(AND($AG551=0,$N551&lt;$M551),Config!$B$43,0))</f>
        <v/>
      </c>
      <c r="AI551" s="40" t="str">
        <f>IF($J551="","",IF(AND($L551="Elite",$F551&gt;=Config!$B$41,$N551&lt;$M551),Config!$B$42,0))</f>
        <v/>
      </c>
      <c r="AJ551" s="22"/>
    </row>
    <row r="552" ht="15.75" customHeight="1">
      <c r="A552" s="40" t="str">
        <f t="shared" si="1"/>
        <v/>
      </c>
      <c r="B552" s="40" t="str">
        <f>IF(Bids!$A552="","",Bids!$A552)</f>
        <v/>
      </c>
      <c r="C552" s="40" t="str">
        <f>IF(Bids!$B552="","",Bids!$B552)</f>
        <v/>
      </c>
      <c r="D552" s="40" t="str">
        <f>IF($C552="","",IFERROR(VLOOKUP($C552,Orders!$A:$J,9,FALSE),""))</f>
        <v/>
      </c>
      <c r="E552" s="40" t="str">
        <f>IF($C552="","",IFERROR(VLOOKUP($C552,Orders!$A:$J,3,FALSE),""))</f>
        <v/>
      </c>
      <c r="F552" s="40" t="str">
        <f>IF($C552="","",IFERROR(VLOOKUP($C552,Orders!$A:$J,4,FALSE),""))</f>
        <v/>
      </c>
      <c r="G552" s="40" t="str">
        <f>IF($C552="","",IFERROR(VLOOKUP($C552,Orders!$A:$J,5,FALSE),""))</f>
        <v/>
      </c>
      <c r="H552" s="40" t="str">
        <f>IF($C552="","",IFERROR(VLOOKUP($C552,Orders!$A:$J,6,FALSE),""))</f>
        <v/>
      </c>
      <c r="I552" s="40" t="str">
        <f>IF($C552="","",IFERROR(VLOOKUP($C552,Orders!$A:$J,7,FALSE),""))</f>
        <v/>
      </c>
      <c r="J552" s="40" t="str">
        <f>IF(Bids!$C552="","",Bids!$C552)</f>
        <v/>
      </c>
      <c r="K552" s="40" t="str">
        <f>IF($J552="","",IFERROR(VLOOKUP($J552,Grinders!$A:$N,2,FALSE),""))</f>
        <v/>
      </c>
      <c r="L552" s="40" t="str">
        <f>IF($J552="","",IFERROR(VLOOKUP($J552,Grinders!$A:$N,3,FALSE),""))</f>
        <v/>
      </c>
      <c r="M552" s="40" t="str">
        <f>IF($J552="","",IFERROR(VLOOKUP($J552,Grinders!$A:$N,4,FALSE),""))</f>
        <v/>
      </c>
      <c r="N552" s="40" t="str">
        <f>IF($J552="","",IFERROR(VLOOKUP($J552,Grinders!$A:$N,5,FALSE),""))</f>
        <v/>
      </c>
      <c r="O552" s="40" t="str">
        <f t="shared" si="2"/>
        <v/>
      </c>
      <c r="P552" s="40" t="str">
        <f>IF($J552="","",IFERROR(VLOOKUP($J552,Grinders!$A:$N,6,FALSE),""))</f>
        <v/>
      </c>
      <c r="Q552" s="40" t="str">
        <f>IF($J552="","",IFERROR(VLOOKUP($J552,Grinders!$A:$N,8,FALSE),""))</f>
        <v/>
      </c>
      <c r="R552" s="40" t="str">
        <f>IFERROR(IF($J552="","",IF($L552="Elite",MAX(50,MIN(100,Config!$B$27*MAX(0,MIN(100,(1-IF($O552="",0,$O552))*100)) + Config!$B$28*MAX(0,MIN(100,(1-MIN(1,IF(Config!$B$30=0,1,$P552/Config!$B$30)))*100)) + Config!$B$29*MAX(0,MIN(100,MIN(1,IF($Q552="",0,$Q552)/Config!$B$23)*100)))),MIN(100,Config!$B$27*MAX(0,MIN(100,(1-IF($O552="",0,$O552))*100)) + Config!$B$28*MAX(0,MIN(100,(1-MIN(1,IF(Config!$B$30=0,1,$P552/Config!$B$30)))*100)) + Config!$B$29*MAX(0,MIN(100,MIN(1,IF($Q552="",0,$Q552)/Config!$B$23)*100))))),"")
</f>
        <v/>
      </c>
      <c r="S552" s="40" t="str">
        <f>IF(Bids!$D552="","",Bids!$D552)</f>
        <v/>
      </c>
      <c r="T552" s="40" t="str">
        <f>IF(Bids!$F552="","",Bids!$F552)</f>
        <v/>
      </c>
      <c r="U552" s="40" t="str">
        <f t="shared" si="3"/>
        <v/>
      </c>
      <c r="V552" s="40" t="str">
        <f>IF($U552="","",IF(Config!$B$17=Config!$B$16,IF($U552&gt;=Config!$B$17,100,0),MAX(0,MIN(100,($U552-Config!$B$16)/(Config!$B$17-Config!$B$16)*100))))</f>
        <v/>
      </c>
      <c r="W552" s="40">
        <f>IF($L552="Elite",Config!$B$21,0)</f>
        <v>0</v>
      </c>
      <c r="X552" s="40" t="str">
        <f>IFERROR(IF(OR($T552="",$G552=""),"",IF($T552&gt;$G552,
  MAX(0, 60-(($T552-$G552)*24/Config!$B$19)*60),
  MEDIAN(60, 100, 60+(($G552-$T552)*24/Config!$B$20)*40)
)),"")
</f>
        <v/>
      </c>
      <c r="Y552" s="40" t="str">
        <f>IF($J552="","",IFERROR(VLOOKUP($J552,Grinders!$A:$N,10,FALSE),""))</f>
        <v/>
      </c>
      <c r="Z552" s="40" t="str">
        <f>IF($J552="","",IFERROR(VLOOKUP($J552,Grinders!$A:$N,11,FALSE),""))</f>
        <v/>
      </c>
      <c r="AA552" s="40" t="str">
        <f>IF($J552="","",IFERROR(VLOOKUP($J552,Grinders!$A:$N,12,FALSE),""))</f>
        <v/>
      </c>
      <c r="AB552" s="40">
        <f>IFERROR(IF(OR($C552="",$J552=""),0,IF($D552&lt;&gt;"Open",0,IF(COUNTIFS(GrinderServices!$B:$B,$J552,GrinderServices!$C:$C,$E552,GrinderServices!$E:$E,"Y")=0,0,IF($U552&lt;Config!$B$16,0,IF(Config!$B$18=1,IF($N552&gt;=$M552,0,1),1))))),"")</f>
        <v>0</v>
      </c>
      <c r="AC552" s="40" t="str">
        <f>IFERROR(IF($AB552=0,"",((Config!$B$6*$V552 + Config!$B$7*$R552 + Config!$B$8*$W552 + Config!$B$9*$X552 + Config!$B$10*$Y552 + Config!$B$11*$Z552 - Config!$B$12*$AA552)/Config!$B$13)+$AH552+$AI552),"")</f>
        <v/>
      </c>
      <c r="AD552" s="40" t="str">
        <f t="shared" si="4"/>
        <v/>
      </c>
      <c r="AE552" s="40" t="str">
        <f>IFERROR(__xludf.DUMMYFUNCTION("IF($AC552="""","""",IF($AC552=IFERROR(MAX(FILTER($AC$6:$AC$1000,$C$6:$C$1000=$C552,$AB$6:$AB$1000=1)),),""WINNER"",""""))"),"")</f>
        <v/>
      </c>
      <c r="AF552" s="40" t="str">
        <f t="shared" si="5"/>
        <v/>
      </c>
      <c r="AG552" s="40" t="str">
        <f>IF($J552="","",COUNTIF(Assignments!$B:$B,$J552))</f>
        <v/>
      </c>
      <c r="AH552" s="40" t="str">
        <f>IF($J552="","",IF(AND($AG552=0,$N552&lt;$M552),Config!$B$43,0))</f>
        <v/>
      </c>
      <c r="AI552" s="40" t="str">
        <f>IF($J552="","",IF(AND($L552="Elite",$F552&gt;=Config!$B$41,$N552&lt;$M552),Config!$B$42,0))</f>
        <v/>
      </c>
      <c r="AJ552" s="22"/>
    </row>
    <row r="553" ht="15.75" customHeight="1">
      <c r="A553" s="40" t="str">
        <f t="shared" si="1"/>
        <v/>
      </c>
      <c r="B553" s="40" t="str">
        <f>IF(Bids!$A553="","",Bids!$A553)</f>
        <v/>
      </c>
      <c r="C553" s="40" t="str">
        <f>IF(Bids!$B553="","",Bids!$B553)</f>
        <v/>
      </c>
      <c r="D553" s="40" t="str">
        <f>IF($C553="","",IFERROR(VLOOKUP($C553,Orders!$A:$J,9,FALSE),""))</f>
        <v/>
      </c>
      <c r="E553" s="40" t="str">
        <f>IF($C553="","",IFERROR(VLOOKUP($C553,Orders!$A:$J,3,FALSE),""))</f>
        <v/>
      </c>
      <c r="F553" s="40" t="str">
        <f>IF($C553="","",IFERROR(VLOOKUP($C553,Orders!$A:$J,4,FALSE),""))</f>
        <v/>
      </c>
      <c r="G553" s="40" t="str">
        <f>IF($C553="","",IFERROR(VLOOKUP($C553,Orders!$A:$J,5,FALSE),""))</f>
        <v/>
      </c>
      <c r="H553" s="40" t="str">
        <f>IF($C553="","",IFERROR(VLOOKUP($C553,Orders!$A:$J,6,FALSE),""))</f>
        <v/>
      </c>
      <c r="I553" s="40" t="str">
        <f>IF($C553="","",IFERROR(VLOOKUP($C553,Orders!$A:$J,7,FALSE),""))</f>
        <v/>
      </c>
      <c r="J553" s="40" t="str">
        <f>IF(Bids!$C553="","",Bids!$C553)</f>
        <v/>
      </c>
      <c r="K553" s="40" t="str">
        <f>IF($J553="","",IFERROR(VLOOKUP($J553,Grinders!$A:$N,2,FALSE),""))</f>
        <v/>
      </c>
      <c r="L553" s="40" t="str">
        <f>IF($J553="","",IFERROR(VLOOKUP($J553,Grinders!$A:$N,3,FALSE),""))</f>
        <v/>
      </c>
      <c r="M553" s="40" t="str">
        <f>IF($J553="","",IFERROR(VLOOKUP($J553,Grinders!$A:$N,4,FALSE),""))</f>
        <v/>
      </c>
      <c r="N553" s="40" t="str">
        <f>IF($J553="","",IFERROR(VLOOKUP($J553,Grinders!$A:$N,5,FALSE),""))</f>
        <v/>
      </c>
      <c r="O553" s="40" t="str">
        <f t="shared" si="2"/>
        <v/>
      </c>
      <c r="P553" s="40" t="str">
        <f>IF($J553="","",IFERROR(VLOOKUP($J553,Grinders!$A:$N,6,FALSE),""))</f>
        <v/>
      </c>
      <c r="Q553" s="40" t="str">
        <f>IF($J553="","",IFERROR(VLOOKUP($J553,Grinders!$A:$N,8,FALSE),""))</f>
        <v/>
      </c>
      <c r="R553" s="40" t="str">
        <f>IFERROR(IF($J553="","",IF($L553="Elite",MAX(50,MIN(100,Config!$B$27*MAX(0,MIN(100,(1-IF($O553="",0,$O553))*100)) + Config!$B$28*MAX(0,MIN(100,(1-MIN(1,IF(Config!$B$30=0,1,$P553/Config!$B$30)))*100)) + Config!$B$29*MAX(0,MIN(100,MIN(1,IF($Q553="",0,$Q553)/Config!$B$23)*100)))),MIN(100,Config!$B$27*MAX(0,MIN(100,(1-IF($O553="",0,$O553))*100)) + Config!$B$28*MAX(0,MIN(100,(1-MIN(1,IF(Config!$B$30=0,1,$P553/Config!$B$30)))*100)) + Config!$B$29*MAX(0,MIN(100,MIN(1,IF($Q553="",0,$Q553)/Config!$B$23)*100))))),"")
</f>
        <v/>
      </c>
      <c r="S553" s="40" t="str">
        <f>IF(Bids!$D553="","",Bids!$D553)</f>
        <v/>
      </c>
      <c r="T553" s="40" t="str">
        <f>IF(Bids!$F553="","",Bids!$F553)</f>
        <v/>
      </c>
      <c r="U553" s="40" t="str">
        <f t="shared" si="3"/>
        <v/>
      </c>
      <c r="V553" s="40" t="str">
        <f>IF($U553="","",IF(Config!$B$17=Config!$B$16,IF($U553&gt;=Config!$B$17,100,0),MAX(0,MIN(100,($U553-Config!$B$16)/(Config!$B$17-Config!$B$16)*100))))</f>
        <v/>
      </c>
      <c r="W553" s="40">
        <f>IF($L553="Elite",Config!$B$21,0)</f>
        <v>0</v>
      </c>
      <c r="X553" s="40" t="str">
        <f>IFERROR(IF(OR($T553="",$G553=""),"",IF($T553&gt;$G553,
  MAX(0, 60-(($T553-$G553)*24/Config!$B$19)*60),
  MEDIAN(60, 100, 60+(($G553-$T553)*24/Config!$B$20)*40)
)),"")
</f>
        <v/>
      </c>
      <c r="Y553" s="40" t="str">
        <f>IF($J553="","",IFERROR(VLOOKUP($J553,Grinders!$A:$N,10,FALSE),""))</f>
        <v/>
      </c>
      <c r="Z553" s="40" t="str">
        <f>IF($J553="","",IFERROR(VLOOKUP($J553,Grinders!$A:$N,11,FALSE),""))</f>
        <v/>
      </c>
      <c r="AA553" s="40" t="str">
        <f>IF($J553="","",IFERROR(VLOOKUP($J553,Grinders!$A:$N,12,FALSE),""))</f>
        <v/>
      </c>
      <c r="AB553" s="40">
        <f>IFERROR(IF(OR($C553="",$J553=""),0,IF($D553&lt;&gt;"Open",0,IF(COUNTIFS(GrinderServices!$B:$B,$J553,GrinderServices!$C:$C,$E553,GrinderServices!$E:$E,"Y")=0,0,IF($U553&lt;Config!$B$16,0,IF(Config!$B$18=1,IF($N553&gt;=$M553,0,1),1))))),"")</f>
        <v>0</v>
      </c>
      <c r="AC553" s="40" t="str">
        <f>IFERROR(IF($AB553=0,"",((Config!$B$6*$V553 + Config!$B$7*$R553 + Config!$B$8*$W553 + Config!$B$9*$X553 + Config!$B$10*$Y553 + Config!$B$11*$Z553 - Config!$B$12*$AA553)/Config!$B$13)+$AH553+$AI553),"")</f>
        <v/>
      </c>
      <c r="AD553" s="40" t="str">
        <f t="shared" si="4"/>
        <v/>
      </c>
      <c r="AE553" s="40" t="str">
        <f>IFERROR(__xludf.DUMMYFUNCTION("IF($AC553="""","""",IF($AC553=IFERROR(MAX(FILTER($AC$6:$AC$1000,$C$6:$C$1000=$C553,$AB$6:$AB$1000=1)),),""WINNER"",""""))"),"")</f>
        <v/>
      </c>
      <c r="AF553" s="40" t="str">
        <f t="shared" si="5"/>
        <v/>
      </c>
      <c r="AG553" s="40" t="str">
        <f>IF($J553="","",COUNTIF(Assignments!$B:$B,$J553))</f>
        <v/>
      </c>
      <c r="AH553" s="40" t="str">
        <f>IF($J553="","",IF(AND($AG553=0,$N553&lt;$M553),Config!$B$43,0))</f>
        <v/>
      </c>
      <c r="AI553" s="40" t="str">
        <f>IF($J553="","",IF(AND($L553="Elite",$F553&gt;=Config!$B$41,$N553&lt;$M553),Config!$B$42,0))</f>
        <v/>
      </c>
      <c r="AJ553" s="22"/>
    </row>
    <row r="554" ht="15.75" customHeight="1">
      <c r="A554" s="40" t="str">
        <f t="shared" si="1"/>
        <v/>
      </c>
      <c r="B554" s="40" t="str">
        <f>IF(Bids!$A554="","",Bids!$A554)</f>
        <v/>
      </c>
      <c r="C554" s="40" t="str">
        <f>IF(Bids!$B554="","",Bids!$B554)</f>
        <v/>
      </c>
      <c r="D554" s="40" t="str">
        <f>IF($C554="","",IFERROR(VLOOKUP($C554,Orders!$A:$J,9,FALSE),""))</f>
        <v/>
      </c>
      <c r="E554" s="40" t="str">
        <f>IF($C554="","",IFERROR(VLOOKUP($C554,Orders!$A:$J,3,FALSE),""))</f>
        <v/>
      </c>
      <c r="F554" s="40" t="str">
        <f>IF($C554="","",IFERROR(VLOOKUP($C554,Orders!$A:$J,4,FALSE),""))</f>
        <v/>
      </c>
      <c r="G554" s="40" t="str">
        <f>IF($C554="","",IFERROR(VLOOKUP($C554,Orders!$A:$J,5,FALSE),""))</f>
        <v/>
      </c>
      <c r="H554" s="40" t="str">
        <f>IF($C554="","",IFERROR(VLOOKUP($C554,Orders!$A:$J,6,FALSE),""))</f>
        <v/>
      </c>
      <c r="I554" s="40" t="str">
        <f>IF($C554="","",IFERROR(VLOOKUP($C554,Orders!$A:$J,7,FALSE),""))</f>
        <v/>
      </c>
      <c r="J554" s="40" t="str">
        <f>IF(Bids!$C554="","",Bids!$C554)</f>
        <v/>
      </c>
      <c r="K554" s="40" t="str">
        <f>IF($J554="","",IFERROR(VLOOKUP($J554,Grinders!$A:$N,2,FALSE),""))</f>
        <v/>
      </c>
      <c r="L554" s="40" t="str">
        <f>IF($J554="","",IFERROR(VLOOKUP($J554,Grinders!$A:$N,3,FALSE),""))</f>
        <v/>
      </c>
      <c r="M554" s="40" t="str">
        <f>IF($J554="","",IFERROR(VLOOKUP($J554,Grinders!$A:$N,4,FALSE),""))</f>
        <v/>
      </c>
      <c r="N554" s="40" t="str">
        <f>IF($J554="","",IFERROR(VLOOKUP($J554,Grinders!$A:$N,5,FALSE),""))</f>
        <v/>
      </c>
      <c r="O554" s="40" t="str">
        <f t="shared" si="2"/>
        <v/>
      </c>
      <c r="P554" s="40" t="str">
        <f>IF($J554="","",IFERROR(VLOOKUP($J554,Grinders!$A:$N,6,FALSE),""))</f>
        <v/>
      </c>
      <c r="Q554" s="40" t="str">
        <f>IF($J554="","",IFERROR(VLOOKUP($J554,Grinders!$A:$N,8,FALSE),""))</f>
        <v/>
      </c>
      <c r="R554" s="40" t="str">
        <f>IFERROR(IF($J554="","",IF($L554="Elite",MAX(50,MIN(100,Config!$B$27*MAX(0,MIN(100,(1-IF($O554="",0,$O554))*100)) + Config!$B$28*MAX(0,MIN(100,(1-MIN(1,IF(Config!$B$30=0,1,$P554/Config!$B$30)))*100)) + Config!$B$29*MAX(0,MIN(100,MIN(1,IF($Q554="",0,$Q554)/Config!$B$23)*100)))),MIN(100,Config!$B$27*MAX(0,MIN(100,(1-IF($O554="",0,$O554))*100)) + Config!$B$28*MAX(0,MIN(100,(1-MIN(1,IF(Config!$B$30=0,1,$P554/Config!$B$30)))*100)) + Config!$B$29*MAX(0,MIN(100,MIN(1,IF($Q554="",0,$Q554)/Config!$B$23)*100))))),"")
</f>
        <v/>
      </c>
      <c r="S554" s="40" t="str">
        <f>IF(Bids!$D554="","",Bids!$D554)</f>
        <v/>
      </c>
      <c r="T554" s="40" t="str">
        <f>IF(Bids!$F554="","",Bids!$F554)</f>
        <v/>
      </c>
      <c r="U554" s="40" t="str">
        <f t="shared" si="3"/>
        <v/>
      </c>
      <c r="V554" s="40" t="str">
        <f>IF($U554="","",IF(Config!$B$17=Config!$B$16,IF($U554&gt;=Config!$B$17,100,0),MAX(0,MIN(100,($U554-Config!$B$16)/(Config!$B$17-Config!$B$16)*100))))</f>
        <v/>
      </c>
      <c r="W554" s="40">
        <f>IF($L554="Elite",Config!$B$21,0)</f>
        <v>0</v>
      </c>
      <c r="X554" s="40" t="str">
        <f>IFERROR(IF(OR($T554="",$G554=""),"",IF($T554&gt;$G554,
  MAX(0, 60-(($T554-$G554)*24/Config!$B$19)*60),
  MEDIAN(60, 100, 60+(($G554-$T554)*24/Config!$B$20)*40)
)),"")
</f>
        <v/>
      </c>
      <c r="Y554" s="40" t="str">
        <f>IF($J554="","",IFERROR(VLOOKUP($J554,Grinders!$A:$N,10,FALSE),""))</f>
        <v/>
      </c>
      <c r="Z554" s="40" t="str">
        <f>IF($J554="","",IFERROR(VLOOKUP($J554,Grinders!$A:$N,11,FALSE),""))</f>
        <v/>
      </c>
      <c r="AA554" s="40" t="str">
        <f>IF($J554="","",IFERROR(VLOOKUP($J554,Grinders!$A:$N,12,FALSE),""))</f>
        <v/>
      </c>
      <c r="AB554" s="40">
        <f>IFERROR(IF(OR($C554="",$J554=""),0,IF($D554&lt;&gt;"Open",0,IF(COUNTIFS(GrinderServices!$B:$B,$J554,GrinderServices!$C:$C,$E554,GrinderServices!$E:$E,"Y")=0,0,IF($U554&lt;Config!$B$16,0,IF(Config!$B$18=1,IF($N554&gt;=$M554,0,1),1))))),"")</f>
        <v>0</v>
      </c>
      <c r="AC554" s="40" t="str">
        <f>IFERROR(IF($AB554=0,"",((Config!$B$6*$V554 + Config!$B$7*$R554 + Config!$B$8*$W554 + Config!$B$9*$X554 + Config!$B$10*$Y554 + Config!$B$11*$Z554 - Config!$B$12*$AA554)/Config!$B$13)+$AH554+$AI554),"")</f>
        <v/>
      </c>
      <c r="AD554" s="40" t="str">
        <f t="shared" si="4"/>
        <v/>
      </c>
      <c r="AE554" s="40" t="str">
        <f>IFERROR(__xludf.DUMMYFUNCTION("IF($AC554="""","""",IF($AC554=IFERROR(MAX(FILTER($AC$6:$AC$1000,$C$6:$C$1000=$C554,$AB$6:$AB$1000=1)),),""WINNER"",""""))"),"")</f>
        <v/>
      </c>
      <c r="AF554" s="40" t="str">
        <f t="shared" si="5"/>
        <v/>
      </c>
      <c r="AG554" s="40" t="str">
        <f>IF($J554="","",COUNTIF(Assignments!$B:$B,$J554))</f>
        <v/>
      </c>
      <c r="AH554" s="40" t="str">
        <f>IF($J554="","",IF(AND($AG554=0,$N554&lt;$M554),Config!$B$43,0))</f>
        <v/>
      </c>
      <c r="AI554" s="40" t="str">
        <f>IF($J554="","",IF(AND($L554="Elite",$F554&gt;=Config!$B$41,$N554&lt;$M554),Config!$B$42,0))</f>
        <v/>
      </c>
      <c r="AJ554" s="22"/>
    </row>
    <row r="555" ht="15.75" customHeight="1">
      <c r="A555" s="40" t="str">
        <f t="shared" si="1"/>
        <v/>
      </c>
      <c r="B555" s="40" t="str">
        <f>IF(Bids!$A555="","",Bids!$A555)</f>
        <v/>
      </c>
      <c r="C555" s="40" t="str">
        <f>IF(Bids!$B555="","",Bids!$B555)</f>
        <v/>
      </c>
      <c r="D555" s="40" t="str">
        <f>IF($C555="","",IFERROR(VLOOKUP($C555,Orders!$A:$J,9,FALSE),""))</f>
        <v/>
      </c>
      <c r="E555" s="40" t="str">
        <f>IF($C555="","",IFERROR(VLOOKUP($C555,Orders!$A:$J,3,FALSE),""))</f>
        <v/>
      </c>
      <c r="F555" s="40" t="str">
        <f>IF($C555="","",IFERROR(VLOOKUP($C555,Orders!$A:$J,4,FALSE),""))</f>
        <v/>
      </c>
      <c r="G555" s="40" t="str">
        <f>IF($C555="","",IFERROR(VLOOKUP($C555,Orders!$A:$J,5,FALSE),""))</f>
        <v/>
      </c>
      <c r="H555" s="40" t="str">
        <f>IF($C555="","",IFERROR(VLOOKUP($C555,Orders!$A:$J,6,FALSE),""))</f>
        <v/>
      </c>
      <c r="I555" s="40" t="str">
        <f>IF($C555="","",IFERROR(VLOOKUP($C555,Orders!$A:$J,7,FALSE),""))</f>
        <v/>
      </c>
      <c r="J555" s="40" t="str">
        <f>IF(Bids!$C555="","",Bids!$C555)</f>
        <v/>
      </c>
      <c r="K555" s="40" t="str">
        <f>IF($J555="","",IFERROR(VLOOKUP($J555,Grinders!$A:$N,2,FALSE),""))</f>
        <v/>
      </c>
      <c r="L555" s="40" t="str">
        <f>IF($J555="","",IFERROR(VLOOKUP($J555,Grinders!$A:$N,3,FALSE),""))</f>
        <v/>
      </c>
      <c r="M555" s="40" t="str">
        <f>IF($J555="","",IFERROR(VLOOKUP($J555,Grinders!$A:$N,4,FALSE),""))</f>
        <v/>
      </c>
      <c r="N555" s="40" t="str">
        <f>IF($J555="","",IFERROR(VLOOKUP($J555,Grinders!$A:$N,5,FALSE),""))</f>
        <v/>
      </c>
      <c r="O555" s="40" t="str">
        <f t="shared" si="2"/>
        <v/>
      </c>
      <c r="P555" s="40" t="str">
        <f>IF($J555="","",IFERROR(VLOOKUP($J555,Grinders!$A:$N,6,FALSE),""))</f>
        <v/>
      </c>
      <c r="Q555" s="40" t="str">
        <f>IF($J555="","",IFERROR(VLOOKUP($J555,Grinders!$A:$N,8,FALSE),""))</f>
        <v/>
      </c>
      <c r="R555" s="40" t="str">
        <f>IFERROR(IF($J555="","",IF($L555="Elite",MAX(50,MIN(100,Config!$B$27*MAX(0,MIN(100,(1-IF($O555="",0,$O555))*100)) + Config!$B$28*MAX(0,MIN(100,(1-MIN(1,IF(Config!$B$30=0,1,$P555/Config!$B$30)))*100)) + Config!$B$29*MAX(0,MIN(100,MIN(1,IF($Q555="",0,$Q555)/Config!$B$23)*100)))),MIN(100,Config!$B$27*MAX(0,MIN(100,(1-IF($O555="",0,$O555))*100)) + Config!$B$28*MAX(0,MIN(100,(1-MIN(1,IF(Config!$B$30=0,1,$P555/Config!$B$30)))*100)) + Config!$B$29*MAX(0,MIN(100,MIN(1,IF($Q555="",0,$Q555)/Config!$B$23)*100))))),"")
</f>
        <v/>
      </c>
      <c r="S555" s="40" t="str">
        <f>IF(Bids!$D555="","",Bids!$D555)</f>
        <v/>
      </c>
      <c r="T555" s="40" t="str">
        <f>IF(Bids!$F555="","",Bids!$F555)</f>
        <v/>
      </c>
      <c r="U555" s="40" t="str">
        <f t="shared" si="3"/>
        <v/>
      </c>
      <c r="V555" s="40" t="str">
        <f>IF($U555="","",IF(Config!$B$17=Config!$B$16,IF($U555&gt;=Config!$B$17,100,0),MAX(0,MIN(100,($U555-Config!$B$16)/(Config!$B$17-Config!$B$16)*100))))</f>
        <v/>
      </c>
      <c r="W555" s="40">
        <f>IF($L555="Elite",Config!$B$21,0)</f>
        <v>0</v>
      </c>
      <c r="X555" s="40" t="str">
        <f>IFERROR(IF(OR($T555="",$G555=""),"",IF($T555&gt;$G555,
  MAX(0, 60-(($T555-$G555)*24/Config!$B$19)*60),
  MEDIAN(60, 100, 60+(($G555-$T555)*24/Config!$B$20)*40)
)),"")
</f>
        <v/>
      </c>
      <c r="Y555" s="40" t="str">
        <f>IF($J555="","",IFERROR(VLOOKUP($J555,Grinders!$A:$N,10,FALSE),""))</f>
        <v/>
      </c>
      <c r="Z555" s="40" t="str">
        <f>IF($J555="","",IFERROR(VLOOKUP($J555,Grinders!$A:$N,11,FALSE),""))</f>
        <v/>
      </c>
      <c r="AA555" s="40" t="str">
        <f>IF($J555="","",IFERROR(VLOOKUP($J555,Grinders!$A:$N,12,FALSE),""))</f>
        <v/>
      </c>
      <c r="AB555" s="40">
        <f>IFERROR(IF(OR($C555="",$J555=""),0,IF($D555&lt;&gt;"Open",0,IF(COUNTIFS(GrinderServices!$B:$B,$J555,GrinderServices!$C:$C,$E555,GrinderServices!$E:$E,"Y")=0,0,IF($U555&lt;Config!$B$16,0,IF(Config!$B$18=1,IF($N555&gt;=$M555,0,1),1))))),"")</f>
        <v>0</v>
      </c>
      <c r="AC555" s="40" t="str">
        <f>IFERROR(IF($AB555=0,"",((Config!$B$6*$V555 + Config!$B$7*$R555 + Config!$B$8*$W555 + Config!$B$9*$X555 + Config!$B$10*$Y555 + Config!$B$11*$Z555 - Config!$B$12*$AA555)/Config!$B$13)+$AH555+$AI555),"")</f>
        <v/>
      </c>
      <c r="AD555" s="40" t="str">
        <f t="shared" si="4"/>
        <v/>
      </c>
      <c r="AE555" s="40" t="str">
        <f>IFERROR(__xludf.DUMMYFUNCTION("IF($AC555="""","""",IF($AC555=IFERROR(MAX(FILTER($AC$6:$AC$1000,$C$6:$C$1000=$C555,$AB$6:$AB$1000=1)),),""WINNER"",""""))"),"")</f>
        <v/>
      </c>
      <c r="AF555" s="40" t="str">
        <f t="shared" si="5"/>
        <v/>
      </c>
      <c r="AG555" s="40" t="str">
        <f>IF($J555="","",COUNTIF(Assignments!$B:$B,$J555))</f>
        <v/>
      </c>
      <c r="AH555" s="40" t="str">
        <f>IF($J555="","",IF(AND($AG555=0,$N555&lt;$M555),Config!$B$43,0))</f>
        <v/>
      </c>
      <c r="AI555" s="40" t="str">
        <f>IF($J555="","",IF(AND($L555="Elite",$F555&gt;=Config!$B$41,$N555&lt;$M555),Config!$B$42,0))</f>
        <v/>
      </c>
      <c r="AJ555" s="22"/>
    </row>
    <row r="556" ht="15.75" customHeight="1">
      <c r="A556" s="40" t="str">
        <f t="shared" si="1"/>
        <v/>
      </c>
      <c r="B556" s="40" t="str">
        <f>IF(Bids!$A556="","",Bids!$A556)</f>
        <v/>
      </c>
      <c r="C556" s="40" t="str">
        <f>IF(Bids!$B556="","",Bids!$B556)</f>
        <v/>
      </c>
      <c r="D556" s="40" t="str">
        <f>IF($C556="","",IFERROR(VLOOKUP($C556,Orders!$A:$J,9,FALSE),""))</f>
        <v/>
      </c>
      <c r="E556" s="40" t="str">
        <f>IF($C556="","",IFERROR(VLOOKUP($C556,Orders!$A:$J,3,FALSE),""))</f>
        <v/>
      </c>
      <c r="F556" s="40" t="str">
        <f>IF($C556="","",IFERROR(VLOOKUP($C556,Orders!$A:$J,4,FALSE),""))</f>
        <v/>
      </c>
      <c r="G556" s="40" t="str">
        <f>IF($C556="","",IFERROR(VLOOKUP($C556,Orders!$A:$J,5,FALSE),""))</f>
        <v/>
      </c>
      <c r="H556" s="40" t="str">
        <f>IF($C556="","",IFERROR(VLOOKUP($C556,Orders!$A:$J,6,FALSE),""))</f>
        <v/>
      </c>
      <c r="I556" s="40" t="str">
        <f>IF($C556="","",IFERROR(VLOOKUP($C556,Orders!$A:$J,7,FALSE),""))</f>
        <v/>
      </c>
      <c r="J556" s="40" t="str">
        <f>IF(Bids!$C556="","",Bids!$C556)</f>
        <v/>
      </c>
      <c r="K556" s="40" t="str">
        <f>IF($J556="","",IFERROR(VLOOKUP($J556,Grinders!$A:$N,2,FALSE),""))</f>
        <v/>
      </c>
      <c r="L556" s="40" t="str">
        <f>IF($J556="","",IFERROR(VLOOKUP($J556,Grinders!$A:$N,3,FALSE),""))</f>
        <v/>
      </c>
      <c r="M556" s="40" t="str">
        <f>IF($J556="","",IFERROR(VLOOKUP($J556,Grinders!$A:$N,4,FALSE),""))</f>
        <v/>
      </c>
      <c r="N556" s="40" t="str">
        <f>IF($J556="","",IFERROR(VLOOKUP($J556,Grinders!$A:$N,5,FALSE),""))</f>
        <v/>
      </c>
      <c r="O556" s="40" t="str">
        <f t="shared" si="2"/>
        <v/>
      </c>
      <c r="P556" s="40" t="str">
        <f>IF($J556="","",IFERROR(VLOOKUP($J556,Grinders!$A:$N,6,FALSE),""))</f>
        <v/>
      </c>
      <c r="Q556" s="40" t="str">
        <f>IF($J556="","",IFERROR(VLOOKUP($J556,Grinders!$A:$N,8,FALSE),""))</f>
        <v/>
      </c>
      <c r="R556" s="40" t="str">
        <f>IFERROR(IF($J556="","",IF($L556="Elite",MAX(50,MIN(100,Config!$B$27*MAX(0,MIN(100,(1-IF($O556="",0,$O556))*100)) + Config!$B$28*MAX(0,MIN(100,(1-MIN(1,IF(Config!$B$30=0,1,$P556/Config!$B$30)))*100)) + Config!$B$29*MAX(0,MIN(100,MIN(1,IF($Q556="",0,$Q556)/Config!$B$23)*100)))),MIN(100,Config!$B$27*MAX(0,MIN(100,(1-IF($O556="",0,$O556))*100)) + Config!$B$28*MAX(0,MIN(100,(1-MIN(1,IF(Config!$B$30=0,1,$P556/Config!$B$30)))*100)) + Config!$B$29*MAX(0,MIN(100,MIN(1,IF($Q556="",0,$Q556)/Config!$B$23)*100))))),"")
</f>
        <v/>
      </c>
      <c r="S556" s="40" t="str">
        <f>IF(Bids!$D556="","",Bids!$D556)</f>
        <v/>
      </c>
      <c r="T556" s="40" t="str">
        <f>IF(Bids!$F556="","",Bids!$F556)</f>
        <v/>
      </c>
      <c r="U556" s="40" t="str">
        <f t="shared" si="3"/>
        <v/>
      </c>
      <c r="V556" s="40" t="str">
        <f>IF($U556="","",IF(Config!$B$17=Config!$B$16,IF($U556&gt;=Config!$B$17,100,0),MAX(0,MIN(100,($U556-Config!$B$16)/(Config!$B$17-Config!$B$16)*100))))</f>
        <v/>
      </c>
      <c r="W556" s="40">
        <f>IF($L556="Elite",Config!$B$21,0)</f>
        <v>0</v>
      </c>
      <c r="X556" s="40" t="str">
        <f>IFERROR(IF(OR($T556="",$G556=""),"",IF($T556&gt;$G556,
  MAX(0, 60-(($T556-$G556)*24/Config!$B$19)*60),
  MEDIAN(60, 100, 60+(($G556-$T556)*24/Config!$B$20)*40)
)),"")
</f>
        <v/>
      </c>
      <c r="Y556" s="40" t="str">
        <f>IF($J556="","",IFERROR(VLOOKUP($J556,Grinders!$A:$N,10,FALSE),""))</f>
        <v/>
      </c>
      <c r="Z556" s="40" t="str">
        <f>IF($J556="","",IFERROR(VLOOKUP($J556,Grinders!$A:$N,11,FALSE),""))</f>
        <v/>
      </c>
      <c r="AA556" s="40" t="str">
        <f>IF($J556="","",IFERROR(VLOOKUP($J556,Grinders!$A:$N,12,FALSE),""))</f>
        <v/>
      </c>
      <c r="AB556" s="40">
        <f>IFERROR(IF(OR($C556="",$J556=""),0,IF($D556&lt;&gt;"Open",0,IF(COUNTIFS(GrinderServices!$B:$B,$J556,GrinderServices!$C:$C,$E556,GrinderServices!$E:$E,"Y")=0,0,IF($U556&lt;Config!$B$16,0,IF(Config!$B$18=1,IF($N556&gt;=$M556,0,1),1))))),"")</f>
        <v>0</v>
      </c>
      <c r="AC556" s="40" t="str">
        <f>IFERROR(IF($AB556=0,"",((Config!$B$6*$V556 + Config!$B$7*$R556 + Config!$B$8*$W556 + Config!$B$9*$X556 + Config!$B$10*$Y556 + Config!$B$11*$Z556 - Config!$B$12*$AA556)/Config!$B$13)+$AH556+$AI556),"")</f>
        <v/>
      </c>
      <c r="AD556" s="40" t="str">
        <f t="shared" si="4"/>
        <v/>
      </c>
      <c r="AE556" s="40" t="str">
        <f>IFERROR(__xludf.DUMMYFUNCTION("IF($AC556="""","""",IF($AC556=IFERROR(MAX(FILTER($AC$6:$AC$1000,$C$6:$C$1000=$C556,$AB$6:$AB$1000=1)),),""WINNER"",""""))"),"")</f>
        <v/>
      </c>
      <c r="AF556" s="40" t="str">
        <f t="shared" si="5"/>
        <v/>
      </c>
      <c r="AG556" s="40" t="str">
        <f>IF($J556="","",COUNTIF(Assignments!$B:$B,$J556))</f>
        <v/>
      </c>
      <c r="AH556" s="40" t="str">
        <f>IF($J556="","",IF(AND($AG556=0,$N556&lt;$M556),Config!$B$43,0))</f>
        <v/>
      </c>
      <c r="AI556" s="40" t="str">
        <f>IF($J556="","",IF(AND($L556="Elite",$F556&gt;=Config!$B$41,$N556&lt;$M556),Config!$B$42,0))</f>
        <v/>
      </c>
      <c r="AJ556" s="22"/>
    </row>
    <row r="557" ht="15.75" customHeight="1">
      <c r="A557" s="40" t="str">
        <f t="shared" si="1"/>
        <v/>
      </c>
      <c r="B557" s="40" t="str">
        <f>IF(Bids!$A557="","",Bids!$A557)</f>
        <v/>
      </c>
      <c r="C557" s="40" t="str">
        <f>IF(Bids!$B557="","",Bids!$B557)</f>
        <v/>
      </c>
      <c r="D557" s="40" t="str">
        <f>IF($C557="","",IFERROR(VLOOKUP($C557,Orders!$A:$J,9,FALSE),""))</f>
        <v/>
      </c>
      <c r="E557" s="40" t="str">
        <f>IF($C557="","",IFERROR(VLOOKUP($C557,Orders!$A:$J,3,FALSE),""))</f>
        <v/>
      </c>
      <c r="F557" s="40" t="str">
        <f>IF($C557="","",IFERROR(VLOOKUP($C557,Orders!$A:$J,4,FALSE),""))</f>
        <v/>
      </c>
      <c r="G557" s="40" t="str">
        <f>IF($C557="","",IFERROR(VLOOKUP($C557,Orders!$A:$J,5,FALSE),""))</f>
        <v/>
      </c>
      <c r="H557" s="40" t="str">
        <f>IF($C557="","",IFERROR(VLOOKUP($C557,Orders!$A:$J,6,FALSE),""))</f>
        <v/>
      </c>
      <c r="I557" s="40" t="str">
        <f>IF($C557="","",IFERROR(VLOOKUP($C557,Orders!$A:$J,7,FALSE),""))</f>
        <v/>
      </c>
      <c r="J557" s="40" t="str">
        <f>IF(Bids!$C557="","",Bids!$C557)</f>
        <v/>
      </c>
      <c r="K557" s="40" t="str">
        <f>IF($J557="","",IFERROR(VLOOKUP($J557,Grinders!$A:$N,2,FALSE),""))</f>
        <v/>
      </c>
      <c r="L557" s="40" t="str">
        <f>IF($J557="","",IFERROR(VLOOKUP($J557,Grinders!$A:$N,3,FALSE),""))</f>
        <v/>
      </c>
      <c r="M557" s="40" t="str">
        <f>IF($J557="","",IFERROR(VLOOKUP($J557,Grinders!$A:$N,4,FALSE),""))</f>
        <v/>
      </c>
      <c r="N557" s="40" t="str">
        <f>IF($J557="","",IFERROR(VLOOKUP($J557,Grinders!$A:$N,5,FALSE),""))</f>
        <v/>
      </c>
      <c r="O557" s="40" t="str">
        <f t="shared" si="2"/>
        <v/>
      </c>
      <c r="P557" s="40" t="str">
        <f>IF($J557="","",IFERROR(VLOOKUP($J557,Grinders!$A:$N,6,FALSE),""))</f>
        <v/>
      </c>
      <c r="Q557" s="40" t="str">
        <f>IF($J557="","",IFERROR(VLOOKUP($J557,Grinders!$A:$N,8,FALSE),""))</f>
        <v/>
      </c>
      <c r="R557" s="40" t="str">
        <f>IFERROR(IF($J557="","",IF($L557="Elite",MAX(50,MIN(100,Config!$B$27*MAX(0,MIN(100,(1-IF($O557="",0,$O557))*100)) + Config!$B$28*MAX(0,MIN(100,(1-MIN(1,IF(Config!$B$30=0,1,$P557/Config!$B$30)))*100)) + Config!$B$29*MAX(0,MIN(100,MIN(1,IF($Q557="",0,$Q557)/Config!$B$23)*100)))),MIN(100,Config!$B$27*MAX(0,MIN(100,(1-IF($O557="",0,$O557))*100)) + Config!$B$28*MAX(0,MIN(100,(1-MIN(1,IF(Config!$B$30=0,1,$P557/Config!$B$30)))*100)) + Config!$B$29*MAX(0,MIN(100,MIN(1,IF($Q557="",0,$Q557)/Config!$B$23)*100))))),"")
</f>
        <v/>
      </c>
      <c r="S557" s="40" t="str">
        <f>IF(Bids!$D557="","",Bids!$D557)</f>
        <v/>
      </c>
      <c r="T557" s="40" t="str">
        <f>IF(Bids!$F557="","",Bids!$F557)</f>
        <v/>
      </c>
      <c r="U557" s="40" t="str">
        <f t="shared" si="3"/>
        <v/>
      </c>
      <c r="V557" s="40" t="str">
        <f>IF($U557="","",IF(Config!$B$17=Config!$B$16,IF($U557&gt;=Config!$B$17,100,0),MAX(0,MIN(100,($U557-Config!$B$16)/(Config!$B$17-Config!$B$16)*100))))</f>
        <v/>
      </c>
      <c r="W557" s="40">
        <f>IF($L557="Elite",Config!$B$21,0)</f>
        <v>0</v>
      </c>
      <c r="X557" s="40" t="str">
        <f>IFERROR(IF(OR($T557="",$G557=""),"",IF($T557&gt;$G557,
  MAX(0, 60-(($T557-$G557)*24/Config!$B$19)*60),
  MEDIAN(60, 100, 60+(($G557-$T557)*24/Config!$B$20)*40)
)),"")
</f>
        <v/>
      </c>
      <c r="Y557" s="40" t="str">
        <f>IF($J557="","",IFERROR(VLOOKUP($J557,Grinders!$A:$N,10,FALSE),""))</f>
        <v/>
      </c>
      <c r="Z557" s="40" t="str">
        <f>IF($J557="","",IFERROR(VLOOKUP($J557,Grinders!$A:$N,11,FALSE),""))</f>
        <v/>
      </c>
      <c r="AA557" s="40" t="str">
        <f>IF($J557="","",IFERROR(VLOOKUP($J557,Grinders!$A:$N,12,FALSE),""))</f>
        <v/>
      </c>
      <c r="AB557" s="40">
        <f>IFERROR(IF(OR($C557="",$J557=""),0,IF($D557&lt;&gt;"Open",0,IF(COUNTIFS(GrinderServices!$B:$B,$J557,GrinderServices!$C:$C,$E557,GrinderServices!$E:$E,"Y")=0,0,IF($U557&lt;Config!$B$16,0,IF(Config!$B$18=1,IF($N557&gt;=$M557,0,1),1))))),"")</f>
        <v>0</v>
      </c>
      <c r="AC557" s="40" t="str">
        <f>IFERROR(IF($AB557=0,"",((Config!$B$6*$V557 + Config!$B$7*$R557 + Config!$B$8*$W557 + Config!$B$9*$X557 + Config!$B$10*$Y557 + Config!$B$11*$Z557 - Config!$B$12*$AA557)/Config!$B$13)+$AH557+$AI557),"")</f>
        <v/>
      </c>
      <c r="AD557" s="40" t="str">
        <f t="shared" si="4"/>
        <v/>
      </c>
      <c r="AE557" s="40" t="str">
        <f>IFERROR(__xludf.DUMMYFUNCTION("IF($AC557="""","""",IF($AC557=IFERROR(MAX(FILTER($AC$6:$AC$1000,$C$6:$C$1000=$C557,$AB$6:$AB$1000=1)),),""WINNER"",""""))"),"")</f>
        <v/>
      </c>
      <c r="AF557" s="40" t="str">
        <f t="shared" si="5"/>
        <v/>
      </c>
      <c r="AG557" s="40" t="str">
        <f>IF($J557="","",COUNTIF(Assignments!$B:$B,$J557))</f>
        <v/>
      </c>
      <c r="AH557" s="40" t="str">
        <f>IF($J557="","",IF(AND($AG557=0,$N557&lt;$M557),Config!$B$43,0))</f>
        <v/>
      </c>
      <c r="AI557" s="40" t="str">
        <f>IF($J557="","",IF(AND($L557="Elite",$F557&gt;=Config!$B$41,$N557&lt;$M557),Config!$B$42,0))</f>
        <v/>
      </c>
      <c r="AJ557" s="22"/>
    </row>
    <row r="558" ht="15.75" customHeight="1">
      <c r="A558" s="40" t="str">
        <f t="shared" si="1"/>
        <v/>
      </c>
      <c r="B558" s="40" t="str">
        <f>IF(Bids!$A558="","",Bids!$A558)</f>
        <v/>
      </c>
      <c r="C558" s="40" t="str">
        <f>IF(Bids!$B558="","",Bids!$B558)</f>
        <v/>
      </c>
      <c r="D558" s="40" t="str">
        <f>IF($C558="","",IFERROR(VLOOKUP($C558,Orders!$A:$J,9,FALSE),""))</f>
        <v/>
      </c>
      <c r="E558" s="40" t="str">
        <f>IF($C558="","",IFERROR(VLOOKUP($C558,Orders!$A:$J,3,FALSE),""))</f>
        <v/>
      </c>
      <c r="F558" s="40" t="str">
        <f>IF($C558="","",IFERROR(VLOOKUP($C558,Orders!$A:$J,4,FALSE),""))</f>
        <v/>
      </c>
      <c r="G558" s="40" t="str">
        <f>IF($C558="","",IFERROR(VLOOKUP($C558,Orders!$A:$J,5,FALSE),""))</f>
        <v/>
      </c>
      <c r="H558" s="40" t="str">
        <f>IF($C558="","",IFERROR(VLOOKUP($C558,Orders!$A:$J,6,FALSE),""))</f>
        <v/>
      </c>
      <c r="I558" s="40" t="str">
        <f>IF($C558="","",IFERROR(VLOOKUP($C558,Orders!$A:$J,7,FALSE),""))</f>
        <v/>
      </c>
      <c r="J558" s="40" t="str">
        <f>IF(Bids!$C558="","",Bids!$C558)</f>
        <v/>
      </c>
      <c r="K558" s="40" t="str">
        <f>IF($J558="","",IFERROR(VLOOKUP($J558,Grinders!$A:$N,2,FALSE),""))</f>
        <v/>
      </c>
      <c r="L558" s="40" t="str">
        <f>IF($J558="","",IFERROR(VLOOKUP($J558,Grinders!$A:$N,3,FALSE),""))</f>
        <v/>
      </c>
      <c r="M558" s="40" t="str">
        <f>IF($J558="","",IFERROR(VLOOKUP($J558,Grinders!$A:$N,4,FALSE),""))</f>
        <v/>
      </c>
      <c r="N558" s="40" t="str">
        <f>IF($J558="","",IFERROR(VLOOKUP($J558,Grinders!$A:$N,5,FALSE),""))</f>
        <v/>
      </c>
      <c r="O558" s="40" t="str">
        <f t="shared" si="2"/>
        <v/>
      </c>
      <c r="P558" s="40" t="str">
        <f>IF($J558="","",IFERROR(VLOOKUP($J558,Grinders!$A:$N,6,FALSE),""))</f>
        <v/>
      </c>
      <c r="Q558" s="40" t="str">
        <f>IF($J558="","",IFERROR(VLOOKUP($J558,Grinders!$A:$N,8,FALSE),""))</f>
        <v/>
      </c>
      <c r="R558" s="40" t="str">
        <f>IFERROR(IF($J558="","",IF($L558="Elite",MAX(50,MIN(100,Config!$B$27*MAX(0,MIN(100,(1-IF($O558="",0,$O558))*100)) + Config!$B$28*MAX(0,MIN(100,(1-MIN(1,IF(Config!$B$30=0,1,$P558/Config!$B$30)))*100)) + Config!$B$29*MAX(0,MIN(100,MIN(1,IF($Q558="",0,$Q558)/Config!$B$23)*100)))),MIN(100,Config!$B$27*MAX(0,MIN(100,(1-IF($O558="",0,$O558))*100)) + Config!$B$28*MAX(0,MIN(100,(1-MIN(1,IF(Config!$B$30=0,1,$P558/Config!$B$30)))*100)) + Config!$B$29*MAX(0,MIN(100,MIN(1,IF($Q558="",0,$Q558)/Config!$B$23)*100))))),"")
</f>
        <v/>
      </c>
      <c r="S558" s="40" t="str">
        <f>IF(Bids!$D558="","",Bids!$D558)</f>
        <v/>
      </c>
      <c r="T558" s="40" t="str">
        <f>IF(Bids!$F558="","",Bids!$F558)</f>
        <v/>
      </c>
      <c r="U558" s="40" t="str">
        <f t="shared" si="3"/>
        <v/>
      </c>
      <c r="V558" s="40" t="str">
        <f>IF($U558="","",IF(Config!$B$17=Config!$B$16,IF($U558&gt;=Config!$B$17,100,0),MAX(0,MIN(100,($U558-Config!$B$16)/(Config!$B$17-Config!$B$16)*100))))</f>
        <v/>
      </c>
      <c r="W558" s="40">
        <f>IF($L558="Elite",Config!$B$21,0)</f>
        <v>0</v>
      </c>
      <c r="X558" s="40" t="str">
        <f>IFERROR(IF(OR($T558="",$G558=""),"",IF($T558&gt;$G558,
  MAX(0, 60-(($T558-$G558)*24/Config!$B$19)*60),
  MEDIAN(60, 100, 60+(($G558-$T558)*24/Config!$B$20)*40)
)),"")
</f>
        <v/>
      </c>
      <c r="Y558" s="40" t="str">
        <f>IF($J558="","",IFERROR(VLOOKUP($J558,Grinders!$A:$N,10,FALSE),""))</f>
        <v/>
      </c>
      <c r="Z558" s="40" t="str">
        <f>IF($J558="","",IFERROR(VLOOKUP($J558,Grinders!$A:$N,11,FALSE),""))</f>
        <v/>
      </c>
      <c r="AA558" s="40" t="str">
        <f>IF($J558="","",IFERROR(VLOOKUP($J558,Grinders!$A:$N,12,FALSE),""))</f>
        <v/>
      </c>
      <c r="AB558" s="40">
        <f>IFERROR(IF(OR($C558="",$J558=""),0,IF($D558&lt;&gt;"Open",0,IF(COUNTIFS(GrinderServices!$B:$B,$J558,GrinderServices!$C:$C,$E558,GrinderServices!$E:$E,"Y")=0,0,IF($U558&lt;Config!$B$16,0,IF(Config!$B$18=1,IF($N558&gt;=$M558,0,1),1))))),"")</f>
        <v>0</v>
      </c>
      <c r="AC558" s="40" t="str">
        <f>IFERROR(IF($AB558=0,"",((Config!$B$6*$V558 + Config!$B$7*$R558 + Config!$B$8*$W558 + Config!$B$9*$X558 + Config!$B$10*$Y558 + Config!$B$11*$Z558 - Config!$B$12*$AA558)/Config!$B$13)+$AH558+$AI558),"")</f>
        <v/>
      </c>
      <c r="AD558" s="40" t="str">
        <f t="shared" si="4"/>
        <v/>
      </c>
      <c r="AE558" s="40" t="str">
        <f>IFERROR(__xludf.DUMMYFUNCTION("IF($AC558="""","""",IF($AC558=IFERROR(MAX(FILTER($AC$6:$AC$1000,$C$6:$C$1000=$C558,$AB$6:$AB$1000=1)),),""WINNER"",""""))"),"")</f>
        <v/>
      </c>
      <c r="AF558" s="40" t="str">
        <f t="shared" si="5"/>
        <v/>
      </c>
      <c r="AG558" s="40" t="str">
        <f>IF($J558="","",COUNTIF(Assignments!$B:$B,$J558))</f>
        <v/>
      </c>
      <c r="AH558" s="40" t="str">
        <f>IF($J558="","",IF(AND($AG558=0,$N558&lt;$M558),Config!$B$43,0))</f>
        <v/>
      </c>
      <c r="AI558" s="40" t="str">
        <f>IF($J558="","",IF(AND($L558="Elite",$F558&gt;=Config!$B$41,$N558&lt;$M558),Config!$B$42,0))</f>
        <v/>
      </c>
      <c r="AJ558" s="22"/>
    </row>
    <row r="559" ht="15.75" customHeight="1">
      <c r="A559" s="40" t="str">
        <f t="shared" si="1"/>
        <v/>
      </c>
      <c r="B559" s="40" t="str">
        <f>IF(Bids!$A559="","",Bids!$A559)</f>
        <v/>
      </c>
      <c r="C559" s="40" t="str">
        <f>IF(Bids!$B559="","",Bids!$B559)</f>
        <v/>
      </c>
      <c r="D559" s="40" t="str">
        <f>IF($C559="","",IFERROR(VLOOKUP($C559,Orders!$A:$J,9,FALSE),""))</f>
        <v/>
      </c>
      <c r="E559" s="40" t="str">
        <f>IF($C559="","",IFERROR(VLOOKUP($C559,Orders!$A:$J,3,FALSE),""))</f>
        <v/>
      </c>
      <c r="F559" s="40" t="str">
        <f>IF($C559="","",IFERROR(VLOOKUP($C559,Orders!$A:$J,4,FALSE),""))</f>
        <v/>
      </c>
      <c r="G559" s="40" t="str">
        <f>IF($C559="","",IFERROR(VLOOKUP($C559,Orders!$A:$J,5,FALSE),""))</f>
        <v/>
      </c>
      <c r="H559" s="40" t="str">
        <f>IF($C559="","",IFERROR(VLOOKUP($C559,Orders!$A:$J,6,FALSE),""))</f>
        <v/>
      </c>
      <c r="I559" s="40" t="str">
        <f>IF($C559="","",IFERROR(VLOOKUP($C559,Orders!$A:$J,7,FALSE),""))</f>
        <v/>
      </c>
      <c r="J559" s="40" t="str">
        <f>IF(Bids!$C559="","",Bids!$C559)</f>
        <v/>
      </c>
      <c r="K559" s="40" t="str">
        <f>IF($J559="","",IFERROR(VLOOKUP($J559,Grinders!$A:$N,2,FALSE),""))</f>
        <v/>
      </c>
      <c r="L559" s="40" t="str">
        <f>IF($J559="","",IFERROR(VLOOKUP($J559,Grinders!$A:$N,3,FALSE),""))</f>
        <v/>
      </c>
      <c r="M559" s="40" t="str">
        <f>IF($J559="","",IFERROR(VLOOKUP($J559,Grinders!$A:$N,4,FALSE),""))</f>
        <v/>
      </c>
      <c r="N559" s="40" t="str">
        <f>IF($J559="","",IFERROR(VLOOKUP($J559,Grinders!$A:$N,5,FALSE),""))</f>
        <v/>
      </c>
      <c r="O559" s="40" t="str">
        <f t="shared" si="2"/>
        <v/>
      </c>
      <c r="P559" s="40" t="str">
        <f>IF($J559="","",IFERROR(VLOOKUP($J559,Grinders!$A:$N,6,FALSE),""))</f>
        <v/>
      </c>
      <c r="Q559" s="40" t="str">
        <f>IF($J559="","",IFERROR(VLOOKUP($J559,Grinders!$A:$N,8,FALSE),""))</f>
        <v/>
      </c>
      <c r="R559" s="40" t="str">
        <f>IFERROR(IF($J559="","",IF($L559="Elite",MAX(50,MIN(100,Config!$B$27*MAX(0,MIN(100,(1-IF($O559="",0,$O559))*100)) + Config!$B$28*MAX(0,MIN(100,(1-MIN(1,IF(Config!$B$30=0,1,$P559/Config!$B$30)))*100)) + Config!$B$29*MAX(0,MIN(100,MIN(1,IF($Q559="",0,$Q559)/Config!$B$23)*100)))),MIN(100,Config!$B$27*MAX(0,MIN(100,(1-IF($O559="",0,$O559))*100)) + Config!$B$28*MAX(0,MIN(100,(1-MIN(1,IF(Config!$B$30=0,1,$P559/Config!$B$30)))*100)) + Config!$B$29*MAX(0,MIN(100,MIN(1,IF($Q559="",0,$Q559)/Config!$B$23)*100))))),"")
</f>
        <v/>
      </c>
      <c r="S559" s="40" t="str">
        <f>IF(Bids!$D559="","",Bids!$D559)</f>
        <v/>
      </c>
      <c r="T559" s="40" t="str">
        <f>IF(Bids!$F559="","",Bids!$F559)</f>
        <v/>
      </c>
      <c r="U559" s="40" t="str">
        <f t="shared" si="3"/>
        <v/>
      </c>
      <c r="V559" s="40" t="str">
        <f>IF($U559="","",IF(Config!$B$17=Config!$B$16,IF($U559&gt;=Config!$B$17,100,0),MAX(0,MIN(100,($U559-Config!$B$16)/(Config!$B$17-Config!$B$16)*100))))</f>
        <v/>
      </c>
      <c r="W559" s="40">
        <f>IF($L559="Elite",Config!$B$21,0)</f>
        <v>0</v>
      </c>
      <c r="X559" s="40" t="str">
        <f>IFERROR(IF(OR($T559="",$G559=""),"",IF($T559&gt;$G559,
  MAX(0, 60-(($T559-$G559)*24/Config!$B$19)*60),
  MEDIAN(60, 100, 60+(($G559-$T559)*24/Config!$B$20)*40)
)),"")
</f>
        <v/>
      </c>
      <c r="Y559" s="40" t="str">
        <f>IF($J559="","",IFERROR(VLOOKUP($J559,Grinders!$A:$N,10,FALSE),""))</f>
        <v/>
      </c>
      <c r="Z559" s="40" t="str">
        <f>IF($J559="","",IFERROR(VLOOKUP($J559,Grinders!$A:$N,11,FALSE),""))</f>
        <v/>
      </c>
      <c r="AA559" s="40" t="str">
        <f>IF($J559="","",IFERROR(VLOOKUP($J559,Grinders!$A:$N,12,FALSE),""))</f>
        <v/>
      </c>
      <c r="AB559" s="40">
        <f>IFERROR(IF(OR($C559="",$J559=""),0,IF($D559&lt;&gt;"Open",0,IF(COUNTIFS(GrinderServices!$B:$B,$J559,GrinderServices!$C:$C,$E559,GrinderServices!$E:$E,"Y")=0,0,IF($U559&lt;Config!$B$16,0,IF(Config!$B$18=1,IF($N559&gt;=$M559,0,1),1))))),"")</f>
        <v>0</v>
      </c>
      <c r="AC559" s="40" t="str">
        <f>IFERROR(IF($AB559=0,"",((Config!$B$6*$V559 + Config!$B$7*$R559 + Config!$B$8*$W559 + Config!$B$9*$X559 + Config!$B$10*$Y559 + Config!$B$11*$Z559 - Config!$B$12*$AA559)/Config!$B$13)+$AH559+$AI559),"")</f>
        <v/>
      </c>
      <c r="AD559" s="40" t="str">
        <f t="shared" si="4"/>
        <v/>
      </c>
      <c r="AE559" s="40" t="str">
        <f>IFERROR(__xludf.DUMMYFUNCTION("IF($AC559="""","""",IF($AC559=IFERROR(MAX(FILTER($AC$6:$AC$1000,$C$6:$C$1000=$C559,$AB$6:$AB$1000=1)),),""WINNER"",""""))"),"")</f>
        <v/>
      </c>
      <c r="AF559" s="40" t="str">
        <f t="shared" si="5"/>
        <v/>
      </c>
      <c r="AG559" s="40" t="str">
        <f>IF($J559="","",COUNTIF(Assignments!$B:$B,$J559))</f>
        <v/>
      </c>
      <c r="AH559" s="40" t="str">
        <f>IF($J559="","",IF(AND($AG559=0,$N559&lt;$M559),Config!$B$43,0))</f>
        <v/>
      </c>
      <c r="AI559" s="40" t="str">
        <f>IF($J559="","",IF(AND($L559="Elite",$F559&gt;=Config!$B$41,$N559&lt;$M559),Config!$B$42,0))</f>
        <v/>
      </c>
      <c r="AJ559" s="22"/>
    </row>
    <row r="560" ht="15.75" customHeight="1">
      <c r="A560" s="40" t="str">
        <f t="shared" si="1"/>
        <v/>
      </c>
      <c r="B560" s="40" t="str">
        <f>IF(Bids!$A560="","",Bids!$A560)</f>
        <v/>
      </c>
      <c r="C560" s="40" t="str">
        <f>IF(Bids!$B560="","",Bids!$B560)</f>
        <v/>
      </c>
      <c r="D560" s="40" t="str">
        <f>IF($C560="","",IFERROR(VLOOKUP($C560,Orders!$A:$J,9,FALSE),""))</f>
        <v/>
      </c>
      <c r="E560" s="40" t="str">
        <f>IF($C560="","",IFERROR(VLOOKUP($C560,Orders!$A:$J,3,FALSE),""))</f>
        <v/>
      </c>
      <c r="F560" s="40" t="str">
        <f>IF($C560="","",IFERROR(VLOOKUP($C560,Orders!$A:$J,4,FALSE),""))</f>
        <v/>
      </c>
      <c r="G560" s="40" t="str">
        <f>IF($C560="","",IFERROR(VLOOKUP($C560,Orders!$A:$J,5,FALSE),""))</f>
        <v/>
      </c>
      <c r="H560" s="40" t="str">
        <f>IF($C560="","",IFERROR(VLOOKUP($C560,Orders!$A:$J,6,FALSE),""))</f>
        <v/>
      </c>
      <c r="I560" s="40" t="str">
        <f>IF($C560="","",IFERROR(VLOOKUP($C560,Orders!$A:$J,7,FALSE),""))</f>
        <v/>
      </c>
      <c r="J560" s="40" t="str">
        <f>IF(Bids!$C560="","",Bids!$C560)</f>
        <v/>
      </c>
      <c r="K560" s="40" t="str">
        <f>IF($J560="","",IFERROR(VLOOKUP($J560,Grinders!$A:$N,2,FALSE),""))</f>
        <v/>
      </c>
      <c r="L560" s="40" t="str">
        <f>IF($J560="","",IFERROR(VLOOKUP($J560,Grinders!$A:$N,3,FALSE),""))</f>
        <v/>
      </c>
      <c r="M560" s="40" t="str">
        <f>IF($J560="","",IFERROR(VLOOKUP($J560,Grinders!$A:$N,4,FALSE),""))</f>
        <v/>
      </c>
      <c r="N560" s="40" t="str">
        <f>IF($J560="","",IFERROR(VLOOKUP($J560,Grinders!$A:$N,5,FALSE),""))</f>
        <v/>
      </c>
      <c r="O560" s="40" t="str">
        <f t="shared" si="2"/>
        <v/>
      </c>
      <c r="P560" s="40" t="str">
        <f>IF($J560="","",IFERROR(VLOOKUP($J560,Grinders!$A:$N,6,FALSE),""))</f>
        <v/>
      </c>
      <c r="Q560" s="40" t="str">
        <f>IF($J560="","",IFERROR(VLOOKUP($J560,Grinders!$A:$N,8,FALSE),""))</f>
        <v/>
      </c>
      <c r="R560" s="40" t="str">
        <f>IFERROR(IF($J560="","",IF($L560="Elite",MAX(50,MIN(100,Config!$B$27*MAX(0,MIN(100,(1-IF($O560="",0,$O560))*100)) + Config!$B$28*MAX(0,MIN(100,(1-MIN(1,IF(Config!$B$30=0,1,$P560/Config!$B$30)))*100)) + Config!$B$29*MAX(0,MIN(100,MIN(1,IF($Q560="",0,$Q560)/Config!$B$23)*100)))),MIN(100,Config!$B$27*MAX(0,MIN(100,(1-IF($O560="",0,$O560))*100)) + Config!$B$28*MAX(0,MIN(100,(1-MIN(1,IF(Config!$B$30=0,1,$P560/Config!$B$30)))*100)) + Config!$B$29*MAX(0,MIN(100,MIN(1,IF($Q560="",0,$Q560)/Config!$B$23)*100))))),"")
</f>
        <v/>
      </c>
      <c r="S560" s="40" t="str">
        <f>IF(Bids!$D560="","",Bids!$D560)</f>
        <v/>
      </c>
      <c r="T560" s="40" t="str">
        <f>IF(Bids!$F560="","",Bids!$F560)</f>
        <v/>
      </c>
      <c r="U560" s="40" t="str">
        <f t="shared" si="3"/>
        <v/>
      </c>
      <c r="V560" s="40" t="str">
        <f>IF($U560="","",IF(Config!$B$17=Config!$B$16,IF($U560&gt;=Config!$B$17,100,0),MAX(0,MIN(100,($U560-Config!$B$16)/(Config!$B$17-Config!$B$16)*100))))</f>
        <v/>
      </c>
      <c r="W560" s="40">
        <f>IF($L560="Elite",Config!$B$21,0)</f>
        <v>0</v>
      </c>
      <c r="X560" s="40" t="str">
        <f>IFERROR(IF(OR($T560="",$G560=""),"",IF($T560&gt;$G560,
  MAX(0, 60-(($T560-$G560)*24/Config!$B$19)*60),
  MEDIAN(60, 100, 60+(($G560-$T560)*24/Config!$B$20)*40)
)),"")
</f>
        <v/>
      </c>
      <c r="Y560" s="40" t="str">
        <f>IF($J560="","",IFERROR(VLOOKUP($J560,Grinders!$A:$N,10,FALSE),""))</f>
        <v/>
      </c>
      <c r="Z560" s="40" t="str">
        <f>IF($J560="","",IFERROR(VLOOKUP($J560,Grinders!$A:$N,11,FALSE),""))</f>
        <v/>
      </c>
      <c r="AA560" s="40" t="str">
        <f>IF($J560="","",IFERROR(VLOOKUP($J560,Grinders!$A:$N,12,FALSE),""))</f>
        <v/>
      </c>
      <c r="AB560" s="40">
        <f>IFERROR(IF(OR($C560="",$J560=""),0,IF($D560&lt;&gt;"Open",0,IF(COUNTIFS(GrinderServices!$B:$B,$J560,GrinderServices!$C:$C,$E560,GrinderServices!$E:$E,"Y")=0,0,IF($U560&lt;Config!$B$16,0,IF(Config!$B$18=1,IF($N560&gt;=$M560,0,1),1))))),"")</f>
        <v>0</v>
      </c>
      <c r="AC560" s="40" t="str">
        <f>IFERROR(IF($AB560=0,"",((Config!$B$6*$V560 + Config!$B$7*$R560 + Config!$B$8*$W560 + Config!$B$9*$X560 + Config!$B$10*$Y560 + Config!$B$11*$Z560 - Config!$B$12*$AA560)/Config!$B$13)+$AH560+$AI560),"")</f>
        <v/>
      </c>
      <c r="AD560" s="40" t="str">
        <f t="shared" si="4"/>
        <v/>
      </c>
      <c r="AE560" s="40" t="str">
        <f>IFERROR(__xludf.DUMMYFUNCTION("IF($AC560="""","""",IF($AC560=IFERROR(MAX(FILTER($AC$6:$AC$1000,$C$6:$C$1000=$C560,$AB$6:$AB$1000=1)),),""WINNER"",""""))"),"")</f>
        <v/>
      </c>
      <c r="AF560" s="40" t="str">
        <f t="shared" si="5"/>
        <v/>
      </c>
      <c r="AG560" s="40" t="str">
        <f>IF($J560="","",COUNTIF(Assignments!$B:$B,$J560))</f>
        <v/>
      </c>
      <c r="AH560" s="40" t="str">
        <f>IF($J560="","",IF(AND($AG560=0,$N560&lt;$M560),Config!$B$43,0))</f>
        <v/>
      </c>
      <c r="AI560" s="40" t="str">
        <f>IF($J560="","",IF(AND($L560="Elite",$F560&gt;=Config!$B$41,$N560&lt;$M560),Config!$B$42,0))</f>
        <v/>
      </c>
      <c r="AJ560" s="22"/>
    </row>
    <row r="561" ht="15.75" customHeight="1">
      <c r="A561" s="40" t="str">
        <f t="shared" si="1"/>
        <v/>
      </c>
      <c r="B561" s="40" t="str">
        <f>IF(Bids!$A561="","",Bids!$A561)</f>
        <v/>
      </c>
      <c r="C561" s="40" t="str">
        <f>IF(Bids!$B561="","",Bids!$B561)</f>
        <v/>
      </c>
      <c r="D561" s="40" t="str">
        <f>IF($C561="","",IFERROR(VLOOKUP($C561,Orders!$A:$J,9,FALSE),""))</f>
        <v/>
      </c>
      <c r="E561" s="40" t="str">
        <f>IF($C561="","",IFERROR(VLOOKUP($C561,Orders!$A:$J,3,FALSE),""))</f>
        <v/>
      </c>
      <c r="F561" s="40" t="str">
        <f>IF($C561="","",IFERROR(VLOOKUP($C561,Orders!$A:$J,4,FALSE),""))</f>
        <v/>
      </c>
      <c r="G561" s="40" t="str">
        <f>IF($C561="","",IFERROR(VLOOKUP($C561,Orders!$A:$J,5,FALSE),""))</f>
        <v/>
      </c>
      <c r="H561" s="40" t="str">
        <f>IF($C561="","",IFERROR(VLOOKUP($C561,Orders!$A:$J,6,FALSE),""))</f>
        <v/>
      </c>
      <c r="I561" s="40" t="str">
        <f>IF($C561="","",IFERROR(VLOOKUP($C561,Orders!$A:$J,7,FALSE),""))</f>
        <v/>
      </c>
      <c r="J561" s="40" t="str">
        <f>IF(Bids!$C561="","",Bids!$C561)</f>
        <v/>
      </c>
      <c r="K561" s="40" t="str">
        <f>IF($J561="","",IFERROR(VLOOKUP($J561,Grinders!$A:$N,2,FALSE),""))</f>
        <v/>
      </c>
      <c r="L561" s="40" t="str">
        <f>IF($J561="","",IFERROR(VLOOKUP($J561,Grinders!$A:$N,3,FALSE),""))</f>
        <v/>
      </c>
      <c r="M561" s="40" t="str">
        <f>IF($J561="","",IFERROR(VLOOKUP($J561,Grinders!$A:$N,4,FALSE),""))</f>
        <v/>
      </c>
      <c r="N561" s="40" t="str">
        <f>IF($J561="","",IFERROR(VLOOKUP($J561,Grinders!$A:$N,5,FALSE),""))</f>
        <v/>
      </c>
      <c r="O561" s="40" t="str">
        <f t="shared" si="2"/>
        <v/>
      </c>
      <c r="P561" s="40" t="str">
        <f>IF($J561="","",IFERROR(VLOOKUP($J561,Grinders!$A:$N,6,FALSE),""))</f>
        <v/>
      </c>
      <c r="Q561" s="40" t="str">
        <f>IF($J561="","",IFERROR(VLOOKUP($J561,Grinders!$A:$N,8,FALSE),""))</f>
        <v/>
      </c>
      <c r="R561" s="40" t="str">
        <f>IFERROR(IF($J561="","",IF($L561="Elite",MAX(50,MIN(100,Config!$B$27*MAX(0,MIN(100,(1-IF($O561="",0,$O561))*100)) + Config!$B$28*MAX(0,MIN(100,(1-MIN(1,IF(Config!$B$30=0,1,$P561/Config!$B$30)))*100)) + Config!$B$29*MAX(0,MIN(100,MIN(1,IF($Q561="",0,$Q561)/Config!$B$23)*100)))),MIN(100,Config!$B$27*MAX(0,MIN(100,(1-IF($O561="",0,$O561))*100)) + Config!$B$28*MAX(0,MIN(100,(1-MIN(1,IF(Config!$B$30=0,1,$P561/Config!$B$30)))*100)) + Config!$B$29*MAX(0,MIN(100,MIN(1,IF($Q561="",0,$Q561)/Config!$B$23)*100))))),"")
</f>
        <v/>
      </c>
      <c r="S561" s="40" t="str">
        <f>IF(Bids!$D561="","",Bids!$D561)</f>
        <v/>
      </c>
      <c r="T561" s="40" t="str">
        <f>IF(Bids!$F561="","",Bids!$F561)</f>
        <v/>
      </c>
      <c r="U561" s="40" t="str">
        <f t="shared" si="3"/>
        <v/>
      </c>
      <c r="V561" s="40" t="str">
        <f>IF($U561="","",IF(Config!$B$17=Config!$B$16,IF($U561&gt;=Config!$B$17,100,0),MAX(0,MIN(100,($U561-Config!$B$16)/(Config!$B$17-Config!$B$16)*100))))</f>
        <v/>
      </c>
      <c r="W561" s="40">
        <f>IF($L561="Elite",Config!$B$21,0)</f>
        <v>0</v>
      </c>
      <c r="X561" s="40" t="str">
        <f>IFERROR(IF(OR($T561="",$G561=""),"",IF($T561&gt;$G561,
  MAX(0, 60-(($T561-$G561)*24/Config!$B$19)*60),
  MEDIAN(60, 100, 60+(($G561-$T561)*24/Config!$B$20)*40)
)),"")
</f>
        <v/>
      </c>
      <c r="Y561" s="40" t="str">
        <f>IF($J561="","",IFERROR(VLOOKUP($J561,Grinders!$A:$N,10,FALSE),""))</f>
        <v/>
      </c>
      <c r="Z561" s="40" t="str">
        <f>IF($J561="","",IFERROR(VLOOKUP($J561,Grinders!$A:$N,11,FALSE),""))</f>
        <v/>
      </c>
      <c r="AA561" s="40" t="str">
        <f>IF($J561="","",IFERROR(VLOOKUP($J561,Grinders!$A:$N,12,FALSE),""))</f>
        <v/>
      </c>
      <c r="AB561" s="40">
        <f>IFERROR(IF(OR($C561="",$J561=""),0,IF($D561&lt;&gt;"Open",0,IF(COUNTIFS(GrinderServices!$B:$B,$J561,GrinderServices!$C:$C,$E561,GrinderServices!$E:$E,"Y")=0,0,IF($U561&lt;Config!$B$16,0,IF(Config!$B$18=1,IF($N561&gt;=$M561,0,1),1))))),"")</f>
        <v>0</v>
      </c>
      <c r="AC561" s="40" t="str">
        <f>IFERROR(IF($AB561=0,"",((Config!$B$6*$V561 + Config!$B$7*$R561 + Config!$B$8*$W561 + Config!$B$9*$X561 + Config!$B$10*$Y561 + Config!$B$11*$Z561 - Config!$B$12*$AA561)/Config!$B$13)+$AH561+$AI561),"")</f>
        <v/>
      </c>
      <c r="AD561" s="40" t="str">
        <f t="shared" si="4"/>
        <v/>
      </c>
      <c r="AE561" s="40" t="str">
        <f>IFERROR(__xludf.DUMMYFUNCTION("IF($AC561="""","""",IF($AC561=IFERROR(MAX(FILTER($AC$6:$AC$1000,$C$6:$C$1000=$C561,$AB$6:$AB$1000=1)),),""WINNER"",""""))"),"")</f>
        <v/>
      </c>
      <c r="AF561" s="40" t="str">
        <f t="shared" si="5"/>
        <v/>
      </c>
      <c r="AG561" s="40" t="str">
        <f>IF($J561="","",COUNTIF(Assignments!$B:$B,$J561))</f>
        <v/>
      </c>
      <c r="AH561" s="40" t="str">
        <f>IF($J561="","",IF(AND($AG561=0,$N561&lt;$M561),Config!$B$43,0))</f>
        <v/>
      </c>
      <c r="AI561" s="40" t="str">
        <f>IF($J561="","",IF(AND($L561="Elite",$F561&gt;=Config!$B$41,$N561&lt;$M561),Config!$B$42,0))</f>
        <v/>
      </c>
      <c r="AJ561" s="22"/>
    </row>
    <row r="562" ht="15.75" customHeight="1">
      <c r="A562" s="40" t="str">
        <f t="shared" si="1"/>
        <v/>
      </c>
      <c r="B562" s="40" t="str">
        <f>IF(Bids!$A562="","",Bids!$A562)</f>
        <v/>
      </c>
      <c r="C562" s="40" t="str">
        <f>IF(Bids!$B562="","",Bids!$B562)</f>
        <v/>
      </c>
      <c r="D562" s="40" t="str">
        <f>IF($C562="","",IFERROR(VLOOKUP($C562,Orders!$A:$J,9,FALSE),""))</f>
        <v/>
      </c>
      <c r="E562" s="40" t="str">
        <f>IF($C562="","",IFERROR(VLOOKUP($C562,Orders!$A:$J,3,FALSE),""))</f>
        <v/>
      </c>
      <c r="F562" s="40" t="str">
        <f>IF($C562="","",IFERROR(VLOOKUP($C562,Orders!$A:$J,4,FALSE),""))</f>
        <v/>
      </c>
      <c r="G562" s="40" t="str">
        <f>IF($C562="","",IFERROR(VLOOKUP($C562,Orders!$A:$J,5,FALSE),""))</f>
        <v/>
      </c>
      <c r="H562" s="40" t="str">
        <f>IF($C562="","",IFERROR(VLOOKUP($C562,Orders!$A:$J,6,FALSE),""))</f>
        <v/>
      </c>
      <c r="I562" s="40" t="str">
        <f>IF($C562="","",IFERROR(VLOOKUP($C562,Orders!$A:$J,7,FALSE),""))</f>
        <v/>
      </c>
      <c r="J562" s="40" t="str">
        <f>IF(Bids!$C562="","",Bids!$C562)</f>
        <v/>
      </c>
      <c r="K562" s="40" t="str">
        <f>IF($J562="","",IFERROR(VLOOKUP($J562,Grinders!$A:$N,2,FALSE),""))</f>
        <v/>
      </c>
      <c r="L562" s="40" t="str">
        <f>IF($J562="","",IFERROR(VLOOKUP($J562,Grinders!$A:$N,3,FALSE),""))</f>
        <v/>
      </c>
      <c r="M562" s="40" t="str">
        <f>IF($J562="","",IFERROR(VLOOKUP($J562,Grinders!$A:$N,4,FALSE),""))</f>
        <v/>
      </c>
      <c r="N562" s="40" t="str">
        <f>IF($J562="","",IFERROR(VLOOKUP($J562,Grinders!$A:$N,5,FALSE),""))</f>
        <v/>
      </c>
      <c r="O562" s="40" t="str">
        <f t="shared" si="2"/>
        <v/>
      </c>
      <c r="P562" s="40" t="str">
        <f>IF($J562="","",IFERROR(VLOOKUP($J562,Grinders!$A:$N,6,FALSE),""))</f>
        <v/>
      </c>
      <c r="Q562" s="40" t="str">
        <f>IF($J562="","",IFERROR(VLOOKUP($J562,Grinders!$A:$N,8,FALSE),""))</f>
        <v/>
      </c>
      <c r="R562" s="40" t="str">
        <f>IFERROR(IF($J562="","",IF($L562="Elite",MAX(50,MIN(100,Config!$B$27*MAX(0,MIN(100,(1-IF($O562="",0,$O562))*100)) + Config!$B$28*MAX(0,MIN(100,(1-MIN(1,IF(Config!$B$30=0,1,$P562/Config!$B$30)))*100)) + Config!$B$29*MAX(0,MIN(100,MIN(1,IF($Q562="",0,$Q562)/Config!$B$23)*100)))),MIN(100,Config!$B$27*MAX(0,MIN(100,(1-IF($O562="",0,$O562))*100)) + Config!$B$28*MAX(0,MIN(100,(1-MIN(1,IF(Config!$B$30=0,1,$P562/Config!$B$30)))*100)) + Config!$B$29*MAX(0,MIN(100,MIN(1,IF($Q562="",0,$Q562)/Config!$B$23)*100))))),"")
</f>
        <v/>
      </c>
      <c r="S562" s="40" t="str">
        <f>IF(Bids!$D562="","",Bids!$D562)</f>
        <v/>
      </c>
      <c r="T562" s="40" t="str">
        <f>IF(Bids!$F562="","",Bids!$F562)</f>
        <v/>
      </c>
      <c r="U562" s="40" t="str">
        <f t="shared" si="3"/>
        <v/>
      </c>
      <c r="V562" s="40" t="str">
        <f>IF($U562="","",IF(Config!$B$17=Config!$B$16,IF($U562&gt;=Config!$B$17,100,0),MAX(0,MIN(100,($U562-Config!$B$16)/(Config!$B$17-Config!$B$16)*100))))</f>
        <v/>
      </c>
      <c r="W562" s="40">
        <f>IF($L562="Elite",Config!$B$21,0)</f>
        <v>0</v>
      </c>
      <c r="X562" s="40" t="str">
        <f>IFERROR(IF(OR($T562="",$G562=""),"",IF($T562&gt;$G562,
  MAX(0, 60-(($T562-$G562)*24/Config!$B$19)*60),
  MEDIAN(60, 100, 60+(($G562-$T562)*24/Config!$B$20)*40)
)),"")
</f>
        <v/>
      </c>
      <c r="Y562" s="40" t="str">
        <f>IF($J562="","",IFERROR(VLOOKUP($J562,Grinders!$A:$N,10,FALSE),""))</f>
        <v/>
      </c>
      <c r="Z562" s="40" t="str">
        <f>IF($J562="","",IFERROR(VLOOKUP($J562,Grinders!$A:$N,11,FALSE),""))</f>
        <v/>
      </c>
      <c r="AA562" s="40" t="str">
        <f>IF($J562="","",IFERROR(VLOOKUP($J562,Grinders!$A:$N,12,FALSE),""))</f>
        <v/>
      </c>
      <c r="AB562" s="40">
        <f>IFERROR(IF(OR($C562="",$J562=""),0,IF($D562&lt;&gt;"Open",0,IF(COUNTIFS(GrinderServices!$B:$B,$J562,GrinderServices!$C:$C,$E562,GrinderServices!$E:$E,"Y")=0,0,IF($U562&lt;Config!$B$16,0,IF(Config!$B$18=1,IF($N562&gt;=$M562,0,1),1))))),"")</f>
        <v>0</v>
      </c>
      <c r="AC562" s="40" t="str">
        <f>IFERROR(IF($AB562=0,"",((Config!$B$6*$V562 + Config!$B$7*$R562 + Config!$B$8*$W562 + Config!$B$9*$X562 + Config!$B$10*$Y562 + Config!$B$11*$Z562 - Config!$B$12*$AA562)/Config!$B$13)+$AH562+$AI562),"")</f>
        <v/>
      </c>
      <c r="AD562" s="40" t="str">
        <f t="shared" si="4"/>
        <v/>
      </c>
      <c r="AE562" s="40" t="str">
        <f>IFERROR(__xludf.DUMMYFUNCTION("IF($AC562="""","""",IF($AC562=IFERROR(MAX(FILTER($AC$6:$AC$1000,$C$6:$C$1000=$C562,$AB$6:$AB$1000=1)),),""WINNER"",""""))"),"")</f>
        <v/>
      </c>
      <c r="AF562" s="40" t="str">
        <f t="shared" si="5"/>
        <v/>
      </c>
      <c r="AG562" s="40" t="str">
        <f>IF($J562="","",COUNTIF(Assignments!$B:$B,$J562))</f>
        <v/>
      </c>
      <c r="AH562" s="40" t="str">
        <f>IF($J562="","",IF(AND($AG562=0,$N562&lt;$M562),Config!$B$43,0))</f>
        <v/>
      </c>
      <c r="AI562" s="40" t="str">
        <f>IF($J562="","",IF(AND($L562="Elite",$F562&gt;=Config!$B$41,$N562&lt;$M562),Config!$B$42,0))</f>
        <v/>
      </c>
      <c r="AJ562" s="22"/>
    </row>
    <row r="563" ht="15.75" customHeight="1">
      <c r="A563" s="40" t="str">
        <f t="shared" si="1"/>
        <v/>
      </c>
      <c r="B563" s="40" t="str">
        <f>IF(Bids!$A563="","",Bids!$A563)</f>
        <v/>
      </c>
      <c r="C563" s="40" t="str">
        <f>IF(Bids!$B563="","",Bids!$B563)</f>
        <v/>
      </c>
      <c r="D563" s="40" t="str">
        <f>IF($C563="","",IFERROR(VLOOKUP($C563,Orders!$A:$J,9,FALSE),""))</f>
        <v/>
      </c>
      <c r="E563" s="40" t="str">
        <f>IF($C563="","",IFERROR(VLOOKUP($C563,Orders!$A:$J,3,FALSE),""))</f>
        <v/>
      </c>
      <c r="F563" s="40" t="str">
        <f>IF($C563="","",IFERROR(VLOOKUP($C563,Orders!$A:$J,4,FALSE),""))</f>
        <v/>
      </c>
      <c r="G563" s="40" t="str">
        <f>IF($C563="","",IFERROR(VLOOKUP($C563,Orders!$A:$J,5,FALSE),""))</f>
        <v/>
      </c>
      <c r="H563" s="40" t="str">
        <f>IF($C563="","",IFERROR(VLOOKUP($C563,Orders!$A:$J,6,FALSE),""))</f>
        <v/>
      </c>
      <c r="I563" s="40" t="str">
        <f>IF($C563="","",IFERROR(VLOOKUP($C563,Orders!$A:$J,7,FALSE),""))</f>
        <v/>
      </c>
      <c r="J563" s="40" t="str">
        <f>IF(Bids!$C563="","",Bids!$C563)</f>
        <v/>
      </c>
      <c r="K563" s="40" t="str">
        <f>IF($J563="","",IFERROR(VLOOKUP($J563,Grinders!$A:$N,2,FALSE),""))</f>
        <v/>
      </c>
      <c r="L563" s="40" t="str">
        <f>IF($J563="","",IFERROR(VLOOKUP($J563,Grinders!$A:$N,3,FALSE),""))</f>
        <v/>
      </c>
      <c r="M563" s="40" t="str">
        <f>IF($J563="","",IFERROR(VLOOKUP($J563,Grinders!$A:$N,4,FALSE),""))</f>
        <v/>
      </c>
      <c r="N563" s="40" t="str">
        <f>IF($J563="","",IFERROR(VLOOKUP($J563,Grinders!$A:$N,5,FALSE),""))</f>
        <v/>
      </c>
      <c r="O563" s="40" t="str">
        <f t="shared" si="2"/>
        <v/>
      </c>
      <c r="P563" s="40" t="str">
        <f>IF($J563="","",IFERROR(VLOOKUP($J563,Grinders!$A:$N,6,FALSE),""))</f>
        <v/>
      </c>
      <c r="Q563" s="40" t="str">
        <f>IF($J563="","",IFERROR(VLOOKUP($J563,Grinders!$A:$N,8,FALSE),""))</f>
        <v/>
      </c>
      <c r="R563" s="40" t="str">
        <f>IFERROR(IF($J563="","",IF($L563="Elite",MAX(50,MIN(100,Config!$B$27*MAX(0,MIN(100,(1-IF($O563="",0,$O563))*100)) + Config!$B$28*MAX(0,MIN(100,(1-MIN(1,IF(Config!$B$30=0,1,$P563/Config!$B$30)))*100)) + Config!$B$29*MAX(0,MIN(100,MIN(1,IF($Q563="",0,$Q563)/Config!$B$23)*100)))),MIN(100,Config!$B$27*MAX(0,MIN(100,(1-IF($O563="",0,$O563))*100)) + Config!$B$28*MAX(0,MIN(100,(1-MIN(1,IF(Config!$B$30=0,1,$P563/Config!$B$30)))*100)) + Config!$B$29*MAX(0,MIN(100,MIN(1,IF($Q563="",0,$Q563)/Config!$B$23)*100))))),"")
</f>
        <v/>
      </c>
      <c r="S563" s="40" t="str">
        <f>IF(Bids!$D563="","",Bids!$D563)</f>
        <v/>
      </c>
      <c r="T563" s="40" t="str">
        <f>IF(Bids!$F563="","",Bids!$F563)</f>
        <v/>
      </c>
      <c r="U563" s="40" t="str">
        <f t="shared" si="3"/>
        <v/>
      </c>
      <c r="V563" s="40" t="str">
        <f>IF($U563="","",IF(Config!$B$17=Config!$B$16,IF($U563&gt;=Config!$B$17,100,0),MAX(0,MIN(100,($U563-Config!$B$16)/(Config!$B$17-Config!$B$16)*100))))</f>
        <v/>
      </c>
      <c r="W563" s="40">
        <f>IF($L563="Elite",Config!$B$21,0)</f>
        <v>0</v>
      </c>
      <c r="X563" s="40" t="str">
        <f>IFERROR(IF(OR($T563="",$G563=""),"",IF($T563&gt;$G563,
  MAX(0, 60-(($T563-$G563)*24/Config!$B$19)*60),
  MEDIAN(60, 100, 60+(($G563-$T563)*24/Config!$B$20)*40)
)),"")
</f>
        <v/>
      </c>
      <c r="Y563" s="40" t="str">
        <f>IF($J563="","",IFERROR(VLOOKUP($J563,Grinders!$A:$N,10,FALSE),""))</f>
        <v/>
      </c>
      <c r="Z563" s="40" t="str">
        <f>IF($J563="","",IFERROR(VLOOKUP($J563,Grinders!$A:$N,11,FALSE),""))</f>
        <v/>
      </c>
      <c r="AA563" s="40" t="str">
        <f>IF($J563="","",IFERROR(VLOOKUP($J563,Grinders!$A:$N,12,FALSE),""))</f>
        <v/>
      </c>
      <c r="AB563" s="40">
        <f>IFERROR(IF(OR($C563="",$J563=""),0,IF($D563&lt;&gt;"Open",0,IF(COUNTIFS(GrinderServices!$B:$B,$J563,GrinderServices!$C:$C,$E563,GrinderServices!$E:$E,"Y")=0,0,IF($U563&lt;Config!$B$16,0,IF(Config!$B$18=1,IF($N563&gt;=$M563,0,1),1))))),"")</f>
        <v>0</v>
      </c>
      <c r="AC563" s="40" t="str">
        <f>IFERROR(IF($AB563=0,"",((Config!$B$6*$V563 + Config!$B$7*$R563 + Config!$B$8*$W563 + Config!$B$9*$X563 + Config!$B$10*$Y563 + Config!$B$11*$Z563 - Config!$B$12*$AA563)/Config!$B$13)+$AH563+$AI563),"")</f>
        <v/>
      </c>
      <c r="AD563" s="40" t="str">
        <f t="shared" si="4"/>
        <v/>
      </c>
      <c r="AE563" s="40" t="str">
        <f>IFERROR(__xludf.DUMMYFUNCTION("IF($AC563="""","""",IF($AC563=IFERROR(MAX(FILTER($AC$6:$AC$1000,$C$6:$C$1000=$C563,$AB$6:$AB$1000=1)),),""WINNER"",""""))"),"")</f>
        <v/>
      </c>
      <c r="AF563" s="40" t="str">
        <f t="shared" si="5"/>
        <v/>
      </c>
      <c r="AG563" s="40" t="str">
        <f>IF($J563="","",COUNTIF(Assignments!$B:$B,$J563))</f>
        <v/>
      </c>
      <c r="AH563" s="40" t="str">
        <f>IF($J563="","",IF(AND($AG563=0,$N563&lt;$M563),Config!$B$43,0))</f>
        <v/>
      </c>
      <c r="AI563" s="40" t="str">
        <f>IF($J563="","",IF(AND($L563="Elite",$F563&gt;=Config!$B$41,$N563&lt;$M563),Config!$B$42,0))</f>
        <v/>
      </c>
      <c r="AJ563" s="22"/>
    </row>
    <row r="564" ht="15.75" customHeight="1">
      <c r="A564" s="40" t="str">
        <f t="shared" si="1"/>
        <v/>
      </c>
      <c r="B564" s="40" t="str">
        <f>IF(Bids!$A564="","",Bids!$A564)</f>
        <v/>
      </c>
      <c r="C564" s="40" t="str">
        <f>IF(Bids!$B564="","",Bids!$B564)</f>
        <v/>
      </c>
      <c r="D564" s="40" t="str">
        <f>IF($C564="","",IFERROR(VLOOKUP($C564,Orders!$A:$J,9,FALSE),""))</f>
        <v/>
      </c>
      <c r="E564" s="40" t="str">
        <f>IF($C564="","",IFERROR(VLOOKUP($C564,Orders!$A:$J,3,FALSE),""))</f>
        <v/>
      </c>
      <c r="F564" s="40" t="str">
        <f>IF($C564="","",IFERROR(VLOOKUP($C564,Orders!$A:$J,4,FALSE),""))</f>
        <v/>
      </c>
      <c r="G564" s="40" t="str">
        <f>IF($C564="","",IFERROR(VLOOKUP($C564,Orders!$A:$J,5,FALSE),""))</f>
        <v/>
      </c>
      <c r="H564" s="40" t="str">
        <f>IF($C564="","",IFERROR(VLOOKUP($C564,Orders!$A:$J,6,FALSE),""))</f>
        <v/>
      </c>
      <c r="I564" s="40" t="str">
        <f>IF($C564="","",IFERROR(VLOOKUP($C564,Orders!$A:$J,7,FALSE),""))</f>
        <v/>
      </c>
      <c r="J564" s="40" t="str">
        <f>IF(Bids!$C564="","",Bids!$C564)</f>
        <v/>
      </c>
      <c r="K564" s="40" t="str">
        <f>IF($J564="","",IFERROR(VLOOKUP($J564,Grinders!$A:$N,2,FALSE),""))</f>
        <v/>
      </c>
      <c r="L564" s="40" t="str">
        <f>IF($J564="","",IFERROR(VLOOKUP($J564,Grinders!$A:$N,3,FALSE),""))</f>
        <v/>
      </c>
      <c r="M564" s="40" t="str">
        <f>IF($J564="","",IFERROR(VLOOKUP($J564,Grinders!$A:$N,4,FALSE),""))</f>
        <v/>
      </c>
      <c r="N564" s="40" t="str">
        <f>IF($J564="","",IFERROR(VLOOKUP($J564,Grinders!$A:$N,5,FALSE),""))</f>
        <v/>
      </c>
      <c r="O564" s="40" t="str">
        <f t="shared" si="2"/>
        <v/>
      </c>
      <c r="P564" s="40" t="str">
        <f>IF($J564="","",IFERROR(VLOOKUP($J564,Grinders!$A:$N,6,FALSE),""))</f>
        <v/>
      </c>
      <c r="Q564" s="40" t="str">
        <f>IF($J564="","",IFERROR(VLOOKUP($J564,Grinders!$A:$N,8,FALSE),""))</f>
        <v/>
      </c>
      <c r="R564" s="40" t="str">
        <f>IFERROR(IF($J564="","",IF($L564="Elite",MAX(50,MIN(100,Config!$B$27*MAX(0,MIN(100,(1-IF($O564="",0,$O564))*100)) + Config!$B$28*MAX(0,MIN(100,(1-MIN(1,IF(Config!$B$30=0,1,$P564/Config!$B$30)))*100)) + Config!$B$29*MAX(0,MIN(100,MIN(1,IF($Q564="",0,$Q564)/Config!$B$23)*100)))),MIN(100,Config!$B$27*MAX(0,MIN(100,(1-IF($O564="",0,$O564))*100)) + Config!$B$28*MAX(0,MIN(100,(1-MIN(1,IF(Config!$B$30=0,1,$P564/Config!$B$30)))*100)) + Config!$B$29*MAX(0,MIN(100,MIN(1,IF($Q564="",0,$Q564)/Config!$B$23)*100))))),"")
</f>
        <v/>
      </c>
      <c r="S564" s="40" t="str">
        <f>IF(Bids!$D564="","",Bids!$D564)</f>
        <v/>
      </c>
      <c r="T564" s="40" t="str">
        <f>IF(Bids!$F564="","",Bids!$F564)</f>
        <v/>
      </c>
      <c r="U564" s="40" t="str">
        <f t="shared" si="3"/>
        <v/>
      </c>
      <c r="V564" s="40" t="str">
        <f>IF($U564="","",IF(Config!$B$17=Config!$B$16,IF($U564&gt;=Config!$B$17,100,0),MAX(0,MIN(100,($U564-Config!$B$16)/(Config!$B$17-Config!$B$16)*100))))</f>
        <v/>
      </c>
      <c r="W564" s="40">
        <f>IF($L564="Elite",Config!$B$21,0)</f>
        <v>0</v>
      </c>
      <c r="X564" s="40" t="str">
        <f>IFERROR(IF(OR($T564="",$G564=""),"",IF($T564&gt;$G564,
  MAX(0, 60-(($T564-$G564)*24/Config!$B$19)*60),
  MEDIAN(60, 100, 60+(($G564-$T564)*24/Config!$B$20)*40)
)),"")
</f>
        <v/>
      </c>
      <c r="Y564" s="40" t="str">
        <f>IF($J564="","",IFERROR(VLOOKUP($J564,Grinders!$A:$N,10,FALSE),""))</f>
        <v/>
      </c>
      <c r="Z564" s="40" t="str">
        <f>IF($J564="","",IFERROR(VLOOKUP($J564,Grinders!$A:$N,11,FALSE),""))</f>
        <v/>
      </c>
      <c r="AA564" s="40" t="str">
        <f>IF($J564="","",IFERROR(VLOOKUP($J564,Grinders!$A:$N,12,FALSE),""))</f>
        <v/>
      </c>
      <c r="AB564" s="40">
        <f>IFERROR(IF(OR($C564="",$J564=""),0,IF($D564&lt;&gt;"Open",0,IF(COUNTIFS(GrinderServices!$B:$B,$J564,GrinderServices!$C:$C,$E564,GrinderServices!$E:$E,"Y")=0,0,IF($U564&lt;Config!$B$16,0,IF(Config!$B$18=1,IF($N564&gt;=$M564,0,1),1))))),"")</f>
        <v>0</v>
      </c>
      <c r="AC564" s="40" t="str">
        <f>IFERROR(IF($AB564=0,"",((Config!$B$6*$V564 + Config!$B$7*$R564 + Config!$B$8*$W564 + Config!$B$9*$X564 + Config!$B$10*$Y564 + Config!$B$11*$Z564 - Config!$B$12*$AA564)/Config!$B$13)+$AH564+$AI564),"")</f>
        <v/>
      </c>
      <c r="AD564" s="40" t="str">
        <f t="shared" si="4"/>
        <v/>
      </c>
      <c r="AE564" s="40" t="str">
        <f>IFERROR(__xludf.DUMMYFUNCTION("IF($AC564="""","""",IF($AC564=IFERROR(MAX(FILTER($AC$6:$AC$1000,$C$6:$C$1000=$C564,$AB$6:$AB$1000=1)),),""WINNER"",""""))"),"")</f>
        <v/>
      </c>
      <c r="AF564" s="40" t="str">
        <f t="shared" si="5"/>
        <v/>
      </c>
      <c r="AG564" s="40" t="str">
        <f>IF($J564="","",COUNTIF(Assignments!$B:$B,$J564))</f>
        <v/>
      </c>
      <c r="AH564" s="40" t="str">
        <f>IF($J564="","",IF(AND($AG564=0,$N564&lt;$M564),Config!$B$43,0))</f>
        <v/>
      </c>
      <c r="AI564" s="40" t="str">
        <f>IF($J564="","",IF(AND($L564="Elite",$F564&gt;=Config!$B$41,$N564&lt;$M564),Config!$B$42,0))</f>
        <v/>
      </c>
      <c r="AJ564" s="22"/>
    </row>
    <row r="565" ht="15.75" customHeight="1">
      <c r="A565" s="40" t="str">
        <f t="shared" si="1"/>
        <v/>
      </c>
      <c r="B565" s="40" t="str">
        <f>IF(Bids!$A565="","",Bids!$A565)</f>
        <v/>
      </c>
      <c r="C565" s="40" t="str">
        <f>IF(Bids!$B565="","",Bids!$B565)</f>
        <v/>
      </c>
      <c r="D565" s="40" t="str">
        <f>IF($C565="","",IFERROR(VLOOKUP($C565,Orders!$A:$J,9,FALSE),""))</f>
        <v/>
      </c>
      <c r="E565" s="40" t="str">
        <f>IF($C565="","",IFERROR(VLOOKUP($C565,Orders!$A:$J,3,FALSE),""))</f>
        <v/>
      </c>
      <c r="F565" s="40" t="str">
        <f>IF($C565="","",IFERROR(VLOOKUP($C565,Orders!$A:$J,4,FALSE),""))</f>
        <v/>
      </c>
      <c r="G565" s="40" t="str">
        <f>IF($C565="","",IFERROR(VLOOKUP($C565,Orders!$A:$J,5,FALSE),""))</f>
        <v/>
      </c>
      <c r="H565" s="40" t="str">
        <f>IF($C565="","",IFERROR(VLOOKUP($C565,Orders!$A:$J,6,FALSE),""))</f>
        <v/>
      </c>
      <c r="I565" s="40" t="str">
        <f>IF($C565="","",IFERROR(VLOOKUP($C565,Orders!$A:$J,7,FALSE),""))</f>
        <v/>
      </c>
      <c r="J565" s="40" t="str">
        <f>IF(Bids!$C565="","",Bids!$C565)</f>
        <v/>
      </c>
      <c r="K565" s="40" t="str">
        <f>IF($J565="","",IFERROR(VLOOKUP($J565,Grinders!$A:$N,2,FALSE),""))</f>
        <v/>
      </c>
      <c r="L565" s="40" t="str">
        <f>IF($J565="","",IFERROR(VLOOKUP($J565,Grinders!$A:$N,3,FALSE),""))</f>
        <v/>
      </c>
      <c r="M565" s="40" t="str">
        <f>IF($J565="","",IFERROR(VLOOKUP($J565,Grinders!$A:$N,4,FALSE),""))</f>
        <v/>
      </c>
      <c r="N565" s="40" t="str">
        <f>IF($J565="","",IFERROR(VLOOKUP($J565,Grinders!$A:$N,5,FALSE),""))</f>
        <v/>
      </c>
      <c r="O565" s="40" t="str">
        <f t="shared" si="2"/>
        <v/>
      </c>
      <c r="P565" s="40" t="str">
        <f>IF($J565="","",IFERROR(VLOOKUP($J565,Grinders!$A:$N,6,FALSE),""))</f>
        <v/>
      </c>
      <c r="Q565" s="40" t="str">
        <f>IF($J565="","",IFERROR(VLOOKUP($J565,Grinders!$A:$N,8,FALSE),""))</f>
        <v/>
      </c>
      <c r="R565" s="40" t="str">
        <f>IFERROR(IF($J565="","",IF($L565="Elite",MAX(50,MIN(100,Config!$B$27*MAX(0,MIN(100,(1-IF($O565="",0,$O565))*100)) + Config!$B$28*MAX(0,MIN(100,(1-MIN(1,IF(Config!$B$30=0,1,$P565/Config!$B$30)))*100)) + Config!$B$29*MAX(0,MIN(100,MIN(1,IF($Q565="",0,$Q565)/Config!$B$23)*100)))),MIN(100,Config!$B$27*MAX(0,MIN(100,(1-IF($O565="",0,$O565))*100)) + Config!$B$28*MAX(0,MIN(100,(1-MIN(1,IF(Config!$B$30=0,1,$P565/Config!$B$30)))*100)) + Config!$B$29*MAX(0,MIN(100,MIN(1,IF($Q565="",0,$Q565)/Config!$B$23)*100))))),"")
</f>
        <v/>
      </c>
      <c r="S565" s="40" t="str">
        <f>IF(Bids!$D565="","",Bids!$D565)</f>
        <v/>
      </c>
      <c r="T565" s="40" t="str">
        <f>IF(Bids!$F565="","",Bids!$F565)</f>
        <v/>
      </c>
      <c r="U565" s="40" t="str">
        <f t="shared" si="3"/>
        <v/>
      </c>
      <c r="V565" s="40" t="str">
        <f>IF($U565="","",IF(Config!$B$17=Config!$B$16,IF($U565&gt;=Config!$B$17,100,0),MAX(0,MIN(100,($U565-Config!$B$16)/(Config!$B$17-Config!$B$16)*100))))</f>
        <v/>
      </c>
      <c r="W565" s="40">
        <f>IF($L565="Elite",Config!$B$21,0)</f>
        <v>0</v>
      </c>
      <c r="X565" s="40" t="str">
        <f>IFERROR(IF(OR($T565="",$G565=""),"",IF($T565&gt;$G565,
  MAX(0, 60-(($T565-$G565)*24/Config!$B$19)*60),
  MEDIAN(60, 100, 60+(($G565-$T565)*24/Config!$B$20)*40)
)),"")
</f>
        <v/>
      </c>
      <c r="Y565" s="40" t="str">
        <f>IF($J565="","",IFERROR(VLOOKUP($J565,Grinders!$A:$N,10,FALSE),""))</f>
        <v/>
      </c>
      <c r="Z565" s="40" t="str">
        <f>IF($J565="","",IFERROR(VLOOKUP($J565,Grinders!$A:$N,11,FALSE),""))</f>
        <v/>
      </c>
      <c r="AA565" s="40" t="str">
        <f>IF($J565="","",IFERROR(VLOOKUP($J565,Grinders!$A:$N,12,FALSE),""))</f>
        <v/>
      </c>
      <c r="AB565" s="40">
        <f>IFERROR(IF(OR($C565="",$J565=""),0,IF($D565&lt;&gt;"Open",0,IF(COUNTIFS(GrinderServices!$B:$B,$J565,GrinderServices!$C:$C,$E565,GrinderServices!$E:$E,"Y")=0,0,IF($U565&lt;Config!$B$16,0,IF(Config!$B$18=1,IF($N565&gt;=$M565,0,1),1))))),"")</f>
        <v>0</v>
      </c>
      <c r="AC565" s="40" t="str">
        <f>IFERROR(IF($AB565=0,"",((Config!$B$6*$V565 + Config!$B$7*$R565 + Config!$B$8*$W565 + Config!$B$9*$X565 + Config!$B$10*$Y565 + Config!$B$11*$Z565 - Config!$B$12*$AA565)/Config!$B$13)+$AH565+$AI565),"")</f>
        <v/>
      </c>
      <c r="AD565" s="40" t="str">
        <f t="shared" si="4"/>
        <v/>
      </c>
      <c r="AE565" s="40" t="str">
        <f>IFERROR(__xludf.DUMMYFUNCTION("IF($AC565="""","""",IF($AC565=IFERROR(MAX(FILTER($AC$6:$AC$1000,$C$6:$C$1000=$C565,$AB$6:$AB$1000=1)),),""WINNER"",""""))"),"")</f>
        <v/>
      </c>
      <c r="AF565" s="40" t="str">
        <f t="shared" si="5"/>
        <v/>
      </c>
      <c r="AG565" s="40" t="str">
        <f>IF($J565="","",COUNTIF(Assignments!$B:$B,$J565))</f>
        <v/>
      </c>
      <c r="AH565" s="40" t="str">
        <f>IF($J565="","",IF(AND($AG565=0,$N565&lt;$M565),Config!$B$43,0))</f>
        <v/>
      </c>
      <c r="AI565" s="40" t="str">
        <f>IF($J565="","",IF(AND($L565="Elite",$F565&gt;=Config!$B$41,$N565&lt;$M565),Config!$B$42,0))</f>
        <v/>
      </c>
      <c r="AJ565" s="22"/>
    </row>
    <row r="566" ht="15.75" customHeight="1">
      <c r="A566" s="40" t="str">
        <f t="shared" si="1"/>
        <v/>
      </c>
      <c r="B566" s="40" t="str">
        <f>IF(Bids!$A566="","",Bids!$A566)</f>
        <v/>
      </c>
      <c r="C566" s="40" t="str">
        <f>IF(Bids!$B566="","",Bids!$B566)</f>
        <v/>
      </c>
      <c r="D566" s="40" t="str">
        <f>IF($C566="","",IFERROR(VLOOKUP($C566,Orders!$A:$J,9,FALSE),""))</f>
        <v/>
      </c>
      <c r="E566" s="40" t="str">
        <f>IF($C566="","",IFERROR(VLOOKUP($C566,Orders!$A:$J,3,FALSE),""))</f>
        <v/>
      </c>
      <c r="F566" s="40" t="str">
        <f>IF($C566="","",IFERROR(VLOOKUP($C566,Orders!$A:$J,4,FALSE),""))</f>
        <v/>
      </c>
      <c r="G566" s="40" t="str">
        <f>IF($C566="","",IFERROR(VLOOKUP($C566,Orders!$A:$J,5,FALSE),""))</f>
        <v/>
      </c>
      <c r="H566" s="40" t="str">
        <f>IF($C566="","",IFERROR(VLOOKUP($C566,Orders!$A:$J,6,FALSE),""))</f>
        <v/>
      </c>
      <c r="I566" s="40" t="str">
        <f>IF($C566="","",IFERROR(VLOOKUP($C566,Orders!$A:$J,7,FALSE),""))</f>
        <v/>
      </c>
      <c r="J566" s="40" t="str">
        <f>IF(Bids!$C566="","",Bids!$C566)</f>
        <v/>
      </c>
      <c r="K566" s="40" t="str">
        <f>IF($J566="","",IFERROR(VLOOKUP($J566,Grinders!$A:$N,2,FALSE),""))</f>
        <v/>
      </c>
      <c r="L566" s="40" t="str">
        <f>IF($J566="","",IFERROR(VLOOKUP($J566,Grinders!$A:$N,3,FALSE),""))</f>
        <v/>
      </c>
      <c r="M566" s="40" t="str">
        <f>IF($J566="","",IFERROR(VLOOKUP($J566,Grinders!$A:$N,4,FALSE),""))</f>
        <v/>
      </c>
      <c r="N566" s="40" t="str">
        <f>IF($J566="","",IFERROR(VLOOKUP($J566,Grinders!$A:$N,5,FALSE),""))</f>
        <v/>
      </c>
      <c r="O566" s="40" t="str">
        <f t="shared" si="2"/>
        <v/>
      </c>
      <c r="P566" s="40" t="str">
        <f>IF($J566="","",IFERROR(VLOOKUP($J566,Grinders!$A:$N,6,FALSE),""))</f>
        <v/>
      </c>
      <c r="Q566" s="40" t="str">
        <f>IF($J566="","",IFERROR(VLOOKUP($J566,Grinders!$A:$N,8,FALSE),""))</f>
        <v/>
      </c>
      <c r="R566" s="40" t="str">
        <f>IFERROR(IF($J566="","",IF($L566="Elite",MAX(50,MIN(100,Config!$B$27*MAX(0,MIN(100,(1-IF($O566="",0,$O566))*100)) + Config!$B$28*MAX(0,MIN(100,(1-MIN(1,IF(Config!$B$30=0,1,$P566/Config!$B$30)))*100)) + Config!$B$29*MAX(0,MIN(100,MIN(1,IF($Q566="",0,$Q566)/Config!$B$23)*100)))),MIN(100,Config!$B$27*MAX(0,MIN(100,(1-IF($O566="",0,$O566))*100)) + Config!$B$28*MAX(0,MIN(100,(1-MIN(1,IF(Config!$B$30=0,1,$P566/Config!$B$30)))*100)) + Config!$B$29*MAX(0,MIN(100,MIN(1,IF($Q566="",0,$Q566)/Config!$B$23)*100))))),"")
</f>
        <v/>
      </c>
      <c r="S566" s="40" t="str">
        <f>IF(Bids!$D566="","",Bids!$D566)</f>
        <v/>
      </c>
      <c r="T566" s="40" t="str">
        <f>IF(Bids!$F566="","",Bids!$F566)</f>
        <v/>
      </c>
      <c r="U566" s="40" t="str">
        <f t="shared" si="3"/>
        <v/>
      </c>
      <c r="V566" s="40" t="str">
        <f>IF($U566="","",IF(Config!$B$17=Config!$B$16,IF($U566&gt;=Config!$B$17,100,0),MAX(0,MIN(100,($U566-Config!$B$16)/(Config!$B$17-Config!$B$16)*100))))</f>
        <v/>
      </c>
      <c r="W566" s="40">
        <f>IF($L566="Elite",Config!$B$21,0)</f>
        <v>0</v>
      </c>
      <c r="X566" s="40" t="str">
        <f>IFERROR(IF(OR($T566="",$G566=""),"",IF($T566&gt;$G566,
  MAX(0, 60-(($T566-$G566)*24/Config!$B$19)*60),
  MEDIAN(60, 100, 60+(($G566-$T566)*24/Config!$B$20)*40)
)),"")
</f>
        <v/>
      </c>
      <c r="Y566" s="40" t="str">
        <f>IF($J566="","",IFERROR(VLOOKUP($J566,Grinders!$A:$N,10,FALSE),""))</f>
        <v/>
      </c>
      <c r="Z566" s="40" t="str">
        <f>IF($J566="","",IFERROR(VLOOKUP($J566,Grinders!$A:$N,11,FALSE),""))</f>
        <v/>
      </c>
      <c r="AA566" s="40" t="str">
        <f>IF($J566="","",IFERROR(VLOOKUP($J566,Grinders!$A:$N,12,FALSE),""))</f>
        <v/>
      </c>
      <c r="AB566" s="40">
        <f>IFERROR(IF(OR($C566="",$J566=""),0,IF($D566&lt;&gt;"Open",0,IF(COUNTIFS(GrinderServices!$B:$B,$J566,GrinderServices!$C:$C,$E566,GrinderServices!$E:$E,"Y")=0,0,IF($U566&lt;Config!$B$16,0,IF(Config!$B$18=1,IF($N566&gt;=$M566,0,1),1))))),"")</f>
        <v>0</v>
      </c>
      <c r="AC566" s="40" t="str">
        <f>IFERROR(IF($AB566=0,"",((Config!$B$6*$V566 + Config!$B$7*$R566 + Config!$B$8*$W566 + Config!$B$9*$X566 + Config!$B$10*$Y566 + Config!$B$11*$Z566 - Config!$B$12*$AA566)/Config!$B$13)+$AH566+$AI566),"")</f>
        <v/>
      </c>
      <c r="AD566" s="40" t="str">
        <f t="shared" si="4"/>
        <v/>
      </c>
      <c r="AE566" s="40" t="str">
        <f>IFERROR(__xludf.DUMMYFUNCTION("IF($AC566="""","""",IF($AC566=IFERROR(MAX(FILTER($AC$6:$AC$1000,$C$6:$C$1000=$C566,$AB$6:$AB$1000=1)),),""WINNER"",""""))"),"")</f>
        <v/>
      </c>
      <c r="AF566" s="40" t="str">
        <f t="shared" si="5"/>
        <v/>
      </c>
      <c r="AG566" s="40" t="str">
        <f>IF($J566="","",COUNTIF(Assignments!$B:$B,$J566))</f>
        <v/>
      </c>
      <c r="AH566" s="40" t="str">
        <f>IF($J566="","",IF(AND($AG566=0,$N566&lt;$M566),Config!$B$43,0))</f>
        <v/>
      </c>
      <c r="AI566" s="40" t="str">
        <f>IF($J566="","",IF(AND($L566="Elite",$F566&gt;=Config!$B$41,$N566&lt;$M566),Config!$B$42,0))</f>
        <v/>
      </c>
      <c r="AJ566" s="22"/>
    </row>
    <row r="567" ht="15.75" customHeight="1">
      <c r="A567" s="40" t="str">
        <f t="shared" si="1"/>
        <v/>
      </c>
      <c r="B567" s="40" t="str">
        <f>IF(Bids!$A567="","",Bids!$A567)</f>
        <v/>
      </c>
      <c r="C567" s="40" t="str">
        <f>IF(Bids!$B567="","",Bids!$B567)</f>
        <v/>
      </c>
      <c r="D567" s="40" t="str">
        <f>IF($C567="","",IFERROR(VLOOKUP($C567,Orders!$A:$J,9,FALSE),""))</f>
        <v/>
      </c>
      <c r="E567" s="40" t="str">
        <f>IF($C567="","",IFERROR(VLOOKUP($C567,Orders!$A:$J,3,FALSE),""))</f>
        <v/>
      </c>
      <c r="F567" s="40" t="str">
        <f>IF($C567="","",IFERROR(VLOOKUP($C567,Orders!$A:$J,4,FALSE),""))</f>
        <v/>
      </c>
      <c r="G567" s="40" t="str">
        <f>IF($C567="","",IFERROR(VLOOKUP($C567,Orders!$A:$J,5,FALSE),""))</f>
        <v/>
      </c>
      <c r="H567" s="40" t="str">
        <f>IF($C567="","",IFERROR(VLOOKUP($C567,Orders!$A:$J,6,FALSE),""))</f>
        <v/>
      </c>
      <c r="I567" s="40" t="str">
        <f>IF($C567="","",IFERROR(VLOOKUP($C567,Orders!$A:$J,7,FALSE),""))</f>
        <v/>
      </c>
      <c r="J567" s="40" t="str">
        <f>IF(Bids!$C567="","",Bids!$C567)</f>
        <v/>
      </c>
      <c r="K567" s="40" t="str">
        <f>IF($J567="","",IFERROR(VLOOKUP($J567,Grinders!$A:$N,2,FALSE),""))</f>
        <v/>
      </c>
      <c r="L567" s="40" t="str">
        <f>IF($J567="","",IFERROR(VLOOKUP($J567,Grinders!$A:$N,3,FALSE),""))</f>
        <v/>
      </c>
      <c r="M567" s="40" t="str">
        <f>IF($J567="","",IFERROR(VLOOKUP($J567,Grinders!$A:$N,4,FALSE),""))</f>
        <v/>
      </c>
      <c r="N567" s="40" t="str">
        <f>IF($J567="","",IFERROR(VLOOKUP($J567,Grinders!$A:$N,5,FALSE),""))</f>
        <v/>
      </c>
      <c r="O567" s="40" t="str">
        <f t="shared" si="2"/>
        <v/>
      </c>
      <c r="P567" s="40" t="str">
        <f>IF($J567="","",IFERROR(VLOOKUP($J567,Grinders!$A:$N,6,FALSE),""))</f>
        <v/>
      </c>
      <c r="Q567" s="40" t="str">
        <f>IF($J567="","",IFERROR(VLOOKUP($J567,Grinders!$A:$N,8,FALSE),""))</f>
        <v/>
      </c>
      <c r="R567" s="40" t="str">
        <f>IFERROR(IF($J567="","",IF($L567="Elite",MAX(50,MIN(100,Config!$B$27*MAX(0,MIN(100,(1-IF($O567="",0,$O567))*100)) + Config!$B$28*MAX(0,MIN(100,(1-MIN(1,IF(Config!$B$30=0,1,$P567/Config!$B$30)))*100)) + Config!$B$29*MAX(0,MIN(100,MIN(1,IF($Q567="",0,$Q567)/Config!$B$23)*100)))),MIN(100,Config!$B$27*MAX(0,MIN(100,(1-IF($O567="",0,$O567))*100)) + Config!$B$28*MAX(0,MIN(100,(1-MIN(1,IF(Config!$B$30=0,1,$P567/Config!$B$30)))*100)) + Config!$B$29*MAX(0,MIN(100,MIN(1,IF($Q567="",0,$Q567)/Config!$B$23)*100))))),"")
</f>
        <v/>
      </c>
      <c r="S567" s="40" t="str">
        <f>IF(Bids!$D567="","",Bids!$D567)</f>
        <v/>
      </c>
      <c r="T567" s="40" t="str">
        <f>IF(Bids!$F567="","",Bids!$F567)</f>
        <v/>
      </c>
      <c r="U567" s="40" t="str">
        <f t="shared" si="3"/>
        <v/>
      </c>
      <c r="V567" s="40" t="str">
        <f>IF($U567="","",IF(Config!$B$17=Config!$B$16,IF($U567&gt;=Config!$B$17,100,0),MAX(0,MIN(100,($U567-Config!$B$16)/(Config!$B$17-Config!$B$16)*100))))</f>
        <v/>
      </c>
      <c r="W567" s="40">
        <f>IF($L567="Elite",Config!$B$21,0)</f>
        <v>0</v>
      </c>
      <c r="X567" s="40" t="str">
        <f>IFERROR(IF(OR($T567="",$G567=""),"",IF($T567&gt;$G567,
  MAX(0, 60-(($T567-$G567)*24/Config!$B$19)*60),
  MEDIAN(60, 100, 60+(($G567-$T567)*24/Config!$B$20)*40)
)),"")
</f>
        <v/>
      </c>
      <c r="Y567" s="40" t="str">
        <f>IF($J567="","",IFERROR(VLOOKUP($J567,Grinders!$A:$N,10,FALSE),""))</f>
        <v/>
      </c>
      <c r="Z567" s="40" t="str">
        <f>IF($J567="","",IFERROR(VLOOKUP($J567,Grinders!$A:$N,11,FALSE),""))</f>
        <v/>
      </c>
      <c r="AA567" s="40" t="str">
        <f>IF($J567="","",IFERROR(VLOOKUP($J567,Grinders!$A:$N,12,FALSE),""))</f>
        <v/>
      </c>
      <c r="AB567" s="40">
        <f>IFERROR(IF(OR($C567="",$J567=""),0,IF($D567&lt;&gt;"Open",0,IF(COUNTIFS(GrinderServices!$B:$B,$J567,GrinderServices!$C:$C,$E567,GrinderServices!$E:$E,"Y")=0,0,IF($U567&lt;Config!$B$16,0,IF(Config!$B$18=1,IF($N567&gt;=$M567,0,1),1))))),"")</f>
        <v>0</v>
      </c>
      <c r="AC567" s="40" t="str">
        <f>IFERROR(IF($AB567=0,"",((Config!$B$6*$V567 + Config!$B$7*$R567 + Config!$B$8*$W567 + Config!$B$9*$X567 + Config!$B$10*$Y567 + Config!$B$11*$Z567 - Config!$B$12*$AA567)/Config!$B$13)+$AH567+$AI567),"")</f>
        <v/>
      </c>
      <c r="AD567" s="40" t="str">
        <f t="shared" si="4"/>
        <v/>
      </c>
      <c r="AE567" s="40" t="str">
        <f>IFERROR(__xludf.DUMMYFUNCTION("IF($AC567="""","""",IF($AC567=IFERROR(MAX(FILTER($AC$6:$AC$1000,$C$6:$C$1000=$C567,$AB$6:$AB$1000=1)),),""WINNER"",""""))"),"")</f>
        <v/>
      </c>
      <c r="AF567" s="40" t="str">
        <f t="shared" si="5"/>
        <v/>
      </c>
      <c r="AG567" s="40" t="str">
        <f>IF($J567="","",COUNTIF(Assignments!$B:$B,$J567))</f>
        <v/>
      </c>
      <c r="AH567" s="40" t="str">
        <f>IF($J567="","",IF(AND($AG567=0,$N567&lt;$M567),Config!$B$43,0))</f>
        <v/>
      </c>
      <c r="AI567" s="40" t="str">
        <f>IF($J567="","",IF(AND($L567="Elite",$F567&gt;=Config!$B$41,$N567&lt;$M567),Config!$B$42,0))</f>
        <v/>
      </c>
      <c r="AJ567" s="22"/>
    </row>
    <row r="568" ht="15.75" customHeight="1">
      <c r="A568" s="40" t="str">
        <f t="shared" si="1"/>
        <v/>
      </c>
      <c r="B568" s="40" t="str">
        <f>IF(Bids!$A568="","",Bids!$A568)</f>
        <v/>
      </c>
      <c r="C568" s="40" t="str">
        <f>IF(Bids!$B568="","",Bids!$B568)</f>
        <v/>
      </c>
      <c r="D568" s="40" t="str">
        <f>IF($C568="","",IFERROR(VLOOKUP($C568,Orders!$A:$J,9,FALSE),""))</f>
        <v/>
      </c>
      <c r="E568" s="40" t="str">
        <f>IF($C568="","",IFERROR(VLOOKUP($C568,Orders!$A:$J,3,FALSE),""))</f>
        <v/>
      </c>
      <c r="F568" s="40" t="str">
        <f>IF($C568="","",IFERROR(VLOOKUP($C568,Orders!$A:$J,4,FALSE),""))</f>
        <v/>
      </c>
      <c r="G568" s="40" t="str">
        <f>IF($C568="","",IFERROR(VLOOKUP($C568,Orders!$A:$J,5,FALSE),""))</f>
        <v/>
      </c>
      <c r="H568" s="40" t="str">
        <f>IF($C568="","",IFERROR(VLOOKUP($C568,Orders!$A:$J,6,FALSE),""))</f>
        <v/>
      </c>
      <c r="I568" s="40" t="str">
        <f>IF($C568="","",IFERROR(VLOOKUP($C568,Orders!$A:$J,7,FALSE),""))</f>
        <v/>
      </c>
      <c r="J568" s="40" t="str">
        <f>IF(Bids!$C568="","",Bids!$C568)</f>
        <v/>
      </c>
      <c r="K568" s="40" t="str">
        <f>IF($J568="","",IFERROR(VLOOKUP($J568,Grinders!$A:$N,2,FALSE),""))</f>
        <v/>
      </c>
      <c r="L568" s="40" t="str">
        <f>IF($J568="","",IFERROR(VLOOKUP($J568,Grinders!$A:$N,3,FALSE),""))</f>
        <v/>
      </c>
      <c r="M568" s="40" t="str">
        <f>IF($J568="","",IFERROR(VLOOKUP($J568,Grinders!$A:$N,4,FALSE),""))</f>
        <v/>
      </c>
      <c r="N568" s="40" t="str">
        <f>IF($J568="","",IFERROR(VLOOKUP($J568,Grinders!$A:$N,5,FALSE),""))</f>
        <v/>
      </c>
      <c r="O568" s="40" t="str">
        <f t="shared" si="2"/>
        <v/>
      </c>
      <c r="P568" s="40" t="str">
        <f>IF($J568="","",IFERROR(VLOOKUP($J568,Grinders!$A:$N,6,FALSE),""))</f>
        <v/>
      </c>
      <c r="Q568" s="40" t="str">
        <f>IF($J568="","",IFERROR(VLOOKUP($J568,Grinders!$A:$N,8,FALSE),""))</f>
        <v/>
      </c>
      <c r="R568" s="40" t="str">
        <f>IFERROR(IF($J568="","",IF($L568="Elite",MAX(50,MIN(100,Config!$B$27*MAX(0,MIN(100,(1-IF($O568="",0,$O568))*100)) + Config!$B$28*MAX(0,MIN(100,(1-MIN(1,IF(Config!$B$30=0,1,$P568/Config!$B$30)))*100)) + Config!$B$29*MAX(0,MIN(100,MIN(1,IF($Q568="",0,$Q568)/Config!$B$23)*100)))),MIN(100,Config!$B$27*MAX(0,MIN(100,(1-IF($O568="",0,$O568))*100)) + Config!$B$28*MAX(0,MIN(100,(1-MIN(1,IF(Config!$B$30=0,1,$P568/Config!$B$30)))*100)) + Config!$B$29*MAX(0,MIN(100,MIN(1,IF($Q568="",0,$Q568)/Config!$B$23)*100))))),"")
</f>
        <v/>
      </c>
      <c r="S568" s="40" t="str">
        <f>IF(Bids!$D568="","",Bids!$D568)</f>
        <v/>
      </c>
      <c r="T568" s="40" t="str">
        <f>IF(Bids!$F568="","",Bids!$F568)</f>
        <v/>
      </c>
      <c r="U568" s="40" t="str">
        <f t="shared" si="3"/>
        <v/>
      </c>
      <c r="V568" s="40" t="str">
        <f>IF($U568="","",IF(Config!$B$17=Config!$B$16,IF($U568&gt;=Config!$B$17,100,0),MAX(0,MIN(100,($U568-Config!$B$16)/(Config!$B$17-Config!$B$16)*100))))</f>
        <v/>
      </c>
      <c r="W568" s="40">
        <f>IF($L568="Elite",Config!$B$21,0)</f>
        <v>0</v>
      </c>
      <c r="X568" s="40" t="str">
        <f>IFERROR(IF(OR($T568="",$G568=""),"",IF($T568&gt;$G568,
  MAX(0, 60-(($T568-$G568)*24/Config!$B$19)*60),
  MEDIAN(60, 100, 60+(($G568-$T568)*24/Config!$B$20)*40)
)),"")
</f>
        <v/>
      </c>
      <c r="Y568" s="40" t="str">
        <f>IF($J568="","",IFERROR(VLOOKUP($J568,Grinders!$A:$N,10,FALSE),""))</f>
        <v/>
      </c>
      <c r="Z568" s="40" t="str">
        <f>IF($J568="","",IFERROR(VLOOKUP($J568,Grinders!$A:$N,11,FALSE),""))</f>
        <v/>
      </c>
      <c r="AA568" s="40" t="str">
        <f>IF($J568="","",IFERROR(VLOOKUP($J568,Grinders!$A:$N,12,FALSE),""))</f>
        <v/>
      </c>
      <c r="AB568" s="40">
        <f>IFERROR(IF(OR($C568="",$J568=""),0,IF($D568&lt;&gt;"Open",0,IF(COUNTIFS(GrinderServices!$B:$B,$J568,GrinderServices!$C:$C,$E568,GrinderServices!$E:$E,"Y")=0,0,IF($U568&lt;Config!$B$16,0,IF(Config!$B$18=1,IF($N568&gt;=$M568,0,1),1))))),"")</f>
        <v>0</v>
      </c>
      <c r="AC568" s="40" t="str">
        <f>IFERROR(IF($AB568=0,"",((Config!$B$6*$V568 + Config!$B$7*$R568 + Config!$B$8*$W568 + Config!$B$9*$X568 + Config!$B$10*$Y568 + Config!$B$11*$Z568 - Config!$B$12*$AA568)/Config!$B$13)+$AH568+$AI568),"")</f>
        <v/>
      </c>
      <c r="AD568" s="40" t="str">
        <f t="shared" si="4"/>
        <v/>
      </c>
      <c r="AE568" s="40" t="str">
        <f>IFERROR(__xludf.DUMMYFUNCTION("IF($AC568="""","""",IF($AC568=IFERROR(MAX(FILTER($AC$6:$AC$1000,$C$6:$C$1000=$C568,$AB$6:$AB$1000=1)),),""WINNER"",""""))"),"")</f>
        <v/>
      </c>
      <c r="AF568" s="40" t="str">
        <f t="shared" si="5"/>
        <v/>
      </c>
      <c r="AG568" s="40" t="str">
        <f>IF($J568="","",COUNTIF(Assignments!$B:$B,$J568))</f>
        <v/>
      </c>
      <c r="AH568" s="40" t="str">
        <f>IF($J568="","",IF(AND($AG568=0,$N568&lt;$M568),Config!$B$43,0))</f>
        <v/>
      </c>
      <c r="AI568" s="40" t="str">
        <f>IF($J568="","",IF(AND($L568="Elite",$F568&gt;=Config!$B$41,$N568&lt;$M568),Config!$B$42,0))</f>
        <v/>
      </c>
      <c r="AJ568" s="22"/>
    </row>
    <row r="569" ht="15.75" customHeight="1">
      <c r="A569" s="40" t="str">
        <f t="shared" si="1"/>
        <v/>
      </c>
      <c r="B569" s="40" t="str">
        <f>IF(Bids!$A569="","",Bids!$A569)</f>
        <v/>
      </c>
      <c r="C569" s="40" t="str">
        <f>IF(Bids!$B569="","",Bids!$B569)</f>
        <v/>
      </c>
      <c r="D569" s="40" t="str">
        <f>IF($C569="","",IFERROR(VLOOKUP($C569,Orders!$A:$J,9,FALSE),""))</f>
        <v/>
      </c>
      <c r="E569" s="40" t="str">
        <f>IF($C569="","",IFERROR(VLOOKUP($C569,Orders!$A:$J,3,FALSE),""))</f>
        <v/>
      </c>
      <c r="F569" s="40" t="str">
        <f>IF($C569="","",IFERROR(VLOOKUP($C569,Orders!$A:$J,4,FALSE),""))</f>
        <v/>
      </c>
      <c r="G569" s="40" t="str">
        <f>IF($C569="","",IFERROR(VLOOKUP($C569,Orders!$A:$J,5,FALSE),""))</f>
        <v/>
      </c>
      <c r="H569" s="40" t="str">
        <f>IF($C569="","",IFERROR(VLOOKUP($C569,Orders!$A:$J,6,FALSE),""))</f>
        <v/>
      </c>
      <c r="I569" s="40" t="str">
        <f>IF($C569="","",IFERROR(VLOOKUP($C569,Orders!$A:$J,7,FALSE),""))</f>
        <v/>
      </c>
      <c r="J569" s="40" t="str">
        <f>IF(Bids!$C569="","",Bids!$C569)</f>
        <v/>
      </c>
      <c r="K569" s="40" t="str">
        <f>IF($J569="","",IFERROR(VLOOKUP($J569,Grinders!$A:$N,2,FALSE),""))</f>
        <v/>
      </c>
      <c r="L569" s="40" t="str">
        <f>IF($J569="","",IFERROR(VLOOKUP($J569,Grinders!$A:$N,3,FALSE),""))</f>
        <v/>
      </c>
      <c r="M569" s="40" t="str">
        <f>IF($J569="","",IFERROR(VLOOKUP($J569,Grinders!$A:$N,4,FALSE),""))</f>
        <v/>
      </c>
      <c r="N569" s="40" t="str">
        <f>IF($J569="","",IFERROR(VLOOKUP($J569,Grinders!$A:$N,5,FALSE),""))</f>
        <v/>
      </c>
      <c r="O569" s="40" t="str">
        <f t="shared" si="2"/>
        <v/>
      </c>
      <c r="P569" s="40" t="str">
        <f>IF($J569="","",IFERROR(VLOOKUP($J569,Grinders!$A:$N,6,FALSE),""))</f>
        <v/>
      </c>
      <c r="Q569" s="40" t="str">
        <f>IF($J569="","",IFERROR(VLOOKUP($J569,Grinders!$A:$N,8,FALSE),""))</f>
        <v/>
      </c>
      <c r="R569" s="40" t="str">
        <f>IFERROR(IF($J569="","",IF($L569="Elite",MAX(50,MIN(100,Config!$B$27*MAX(0,MIN(100,(1-IF($O569="",0,$O569))*100)) + Config!$B$28*MAX(0,MIN(100,(1-MIN(1,IF(Config!$B$30=0,1,$P569/Config!$B$30)))*100)) + Config!$B$29*MAX(0,MIN(100,MIN(1,IF($Q569="",0,$Q569)/Config!$B$23)*100)))),MIN(100,Config!$B$27*MAX(0,MIN(100,(1-IF($O569="",0,$O569))*100)) + Config!$B$28*MAX(0,MIN(100,(1-MIN(1,IF(Config!$B$30=0,1,$P569/Config!$B$30)))*100)) + Config!$B$29*MAX(0,MIN(100,MIN(1,IF($Q569="",0,$Q569)/Config!$B$23)*100))))),"")
</f>
        <v/>
      </c>
      <c r="S569" s="40" t="str">
        <f>IF(Bids!$D569="","",Bids!$D569)</f>
        <v/>
      </c>
      <c r="T569" s="40" t="str">
        <f>IF(Bids!$F569="","",Bids!$F569)</f>
        <v/>
      </c>
      <c r="U569" s="40" t="str">
        <f t="shared" si="3"/>
        <v/>
      </c>
      <c r="V569" s="40" t="str">
        <f>IF($U569="","",IF(Config!$B$17=Config!$B$16,IF($U569&gt;=Config!$B$17,100,0),MAX(0,MIN(100,($U569-Config!$B$16)/(Config!$B$17-Config!$B$16)*100))))</f>
        <v/>
      </c>
      <c r="W569" s="40">
        <f>IF($L569="Elite",Config!$B$21,0)</f>
        <v>0</v>
      </c>
      <c r="X569" s="40" t="str">
        <f>IFERROR(IF(OR($T569="",$G569=""),"",IF($T569&gt;$G569,
  MAX(0, 60-(($T569-$G569)*24/Config!$B$19)*60),
  MEDIAN(60, 100, 60+(($G569-$T569)*24/Config!$B$20)*40)
)),"")
</f>
        <v/>
      </c>
      <c r="Y569" s="40" t="str">
        <f>IF($J569="","",IFERROR(VLOOKUP($J569,Grinders!$A:$N,10,FALSE),""))</f>
        <v/>
      </c>
      <c r="Z569" s="40" t="str">
        <f>IF($J569="","",IFERROR(VLOOKUP($J569,Grinders!$A:$N,11,FALSE),""))</f>
        <v/>
      </c>
      <c r="AA569" s="40" t="str">
        <f>IF($J569="","",IFERROR(VLOOKUP($J569,Grinders!$A:$N,12,FALSE),""))</f>
        <v/>
      </c>
      <c r="AB569" s="40">
        <f>IFERROR(IF(OR($C569="",$J569=""),0,IF($D569&lt;&gt;"Open",0,IF(COUNTIFS(GrinderServices!$B:$B,$J569,GrinderServices!$C:$C,$E569,GrinderServices!$E:$E,"Y")=0,0,IF($U569&lt;Config!$B$16,0,IF(Config!$B$18=1,IF($N569&gt;=$M569,0,1),1))))),"")</f>
        <v>0</v>
      </c>
      <c r="AC569" s="40" t="str">
        <f>IFERROR(IF($AB569=0,"",((Config!$B$6*$V569 + Config!$B$7*$R569 + Config!$B$8*$W569 + Config!$B$9*$X569 + Config!$B$10*$Y569 + Config!$B$11*$Z569 - Config!$B$12*$AA569)/Config!$B$13)+$AH569+$AI569),"")</f>
        <v/>
      </c>
      <c r="AD569" s="40" t="str">
        <f t="shared" si="4"/>
        <v/>
      </c>
      <c r="AE569" s="40" t="str">
        <f>IFERROR(__xludf.DUMMYFUNCTION("IF($AC569="""","""",IF($AC569=IFERROR(MAX(FILTER($AC$6:$AC$1000,$C$6:$C$1000=$C569,$AB$6:$AB$1000=1)),),""WINNER"",""""))"),"")</f>
        <v/>
      </c>
      <c r="AF569" s="40" t="str">
        <f t="shared" si="5"/>
        <v/>
      </c>
      <c r="AG569" s="40" t="str">
        <f>IF($J569="","",COUNTIF(Assignments!$B:$B,$J569))</f>
        <v/>
      </c>
      <c r="AH569" s="40" t="str">
        <f>IF($J569="","",IF(AND($AG569=0,$N569&lt;$M569),Config!$B$43,0))</f>
        <v/>
      </c>
      <c r="AI569" s="40" t="str">
        <f>IF($J569="","",IF(AND($L569="Elite",$F569&gt;=Config!$B$41,$N569&lt;$M569),Config!$B$42,0))</f>
        <v/>
      </c>
      <c r="AJ569" s="22"/>
    </row>
    <row r="570" ht="15.75" customHeight="1">
      <c r="A570" s="40" t="str">
        <f t="shared" si="1"/>
        <v/>
      </c>
      <c r="B570" s="40" t="str">
        <f>IF(Bids!$A570="","",Bids!$A570)</f>
        <v/>
      </c>
      <c r="C570" s="40" t="str">
        <f>IF(Bids!$B570="","",Bids!$B570)</f>
        <v/>
      </c>
      <c r="D570" s="40" t="str">
        <f>IF($C570="","",IFERROR(VLOOKUP($C570,Orders!$A:$J,9,FALSE),""))</f>
        <v/>
      </c>
      <c r="E570" s="40" t="str">
        <f>IF($C570="","",IFERROR(VLOOKUP($C570,Orders!$A:$J,3,FALSE),""))</f>
        <v/>
      </c>
      <c r="F570" s="40" t="str">
        <f>IF($C570="","",IFERROR(VLOOKUP($C570,Orders!$A:$J,4,FALSE),""))</f>
        <v/>
      </c>
      <c r="G570" s="40" t="str">
        <f>IF($C570="","",IFERROR(VLOOKUP($C570,Orders!$A:$J,5,FALSE),""))</f>
        <v/>
      </c>
      <c r="H570" s="40" t="str">
        <f>IF($C570="","",IFERROR(VLOOKUP($C570,Orders!$A:$J,6,FALSE),""))</f>
        <v/>
      </c>
      <c r="I570" s="40" t="str">
        <f>IF($C570="","",IFERROR(VLOOKUP($C570,Orders!$A:$J,7,FALSE),""))</f>
        <v/>
      </c>
      <c r="J570" s="40" t="str">
        <f>IF(Bids!$C570="","",Bids!$C570)</f>
        <v/>
      </c>
      <c r="K570" s="40" t="str">
        <f>IF($J570="","",IFERROR(VLOOKUP($J570,Grinders!$A:$N,2,FALSE),""))</f>
        <v/>
      </c>
      <c r="L570" s="40" t="str">
        <f>IF($J570="","",IFERROR(VLOOKUP($J570,Grinders!$A:$N,3,FALSE),""))</f>
        <v/>
      </c>
      <c r="M570" s="40" t="str">
        <f>IF($J570="","",IFERROR(VLOOKUP($J570,Grinders!$A:$N,4,FALSE),""))</f>
        <v/>
      </c>
      <c r="N570" s="40" t="str">
        <f>IF($J570="","",IFERROR(VLOOKUP($J570,Grinders!$A:$N,5,FALSE),""))</f>
        <v/>
      </c>
      <c r="O570" s="40" t="str">
        <f t="shared" si="2"/>
        <v/>
      </c>
      <c r="P570" s="40" t="str">
        <f>IF($J570="","",IFERROR(VLOOKUP($J570,Grinders!$A:$N,6,FALSE),""))</f>
        <v/>
      </c>
      <c r="Q570" s="40" t="str">
        <f>IF($J570="","",IFERROR(VLOOKUP($J570,Grinders!$A:$N,8,FALSE),""))</f>
        <v/>
      </c>
      <c r="R570" s="40" t="str">
        <f>IFERROR(IF($J570="","",IF($L570="Elite",MAX(50,MIN(100,Config!$B$27*MAX(0,MIN(100,(1-IF($O570="",0,$O570))*100)) + Config!$B$28*MAX(0,MIN(100,(1-MIN(1,IF(Config!$B$30=0,1,$P570/Config!$B$30)))*100)) + Config!$B$29*MAX(0,MIN(100,MIN(1,IF($Q570="",0,$Q570)/Config!$B$23)*100)))),MIN(100,Config!$B$27*MAX(0,MIN(100,(1-IF($O570="",0,$O570))*100)) + Config!$B$28*MAX(0,MIN(100,(1-MIN(1,IF(Config!$B$30=0,1,$P570/Config!$B$30)))*100)) + Config!$B$29*MAX(0,MIN(100,MIN(1,IF($Q570="",0,$Q570)/Config!$B$23)*100))))),"")
</f>
        <v/>
      </c>
      <c r="S570" s="40" t="str">
        <f>IF(Bids!$D570="","",Bids!$D570)</f>
        <v/>
      </c>
      <c r="T570" s="40" t="str">
        <f>IF(Bids!$F570="","",Bids!$F570)</f>
        <v/>
      </c>
      <c r="U570" s="40" t="str">
        <f t="shared" si="3"/>
        <v/>
      </c>
      <c r="V570" s="40" t="str">
        <f>IF($U570="","",IF(Config!$B$17=Config!$B$16,IF($U570&gt;=Config!$B$17,100,0),MAX(0,MIN(100,($U570-Config!$B$16)/(Config!$B$17-Config!$B$16)*100))))</f>
        <v/>
      </c>
      <c r="W570" s="40">
        <f>IF($L570="Elite",Config!$B$21,0)</f>
        <v>0</v>
      </c>
      <c r="X570" s="40" t="str">
        <f>IFERROR(IF(OR($T570="",$G570=""),"",IF($T570&gt;$G570,
  MAX(0, 60-(($T570-$G570)*24/Config!$B$19)*60),
  MEDIAN(60, 100, 60+(($G570-$T570)*24/Config!$B$20)*40)
)),"")
</f>
        <v/>
      </c>
      <c r="Y570" s="40" t="str">
        <f>IF($J570="","",IFERROR(VLOOKUP($J570,Grinders!$A:$N,10,FALSE),""))</f>
        <v/>
      </c>
      <c r="Z570" s="40" t="str">
        <f>IF($J570="","",IFERROR(VLOOKUP($J570,Grinders!$A:$N,11,FALSE),""))</f>
        <v/>
      </c>
      <c r="AA570" s="40" t="str">
        <f>IF($J570="","",IFERROR(VLOOKUP($J570,Grinders!$A:$N,12,FALSE),""))</f>
        <v/>
      </c>
      <c r="AB570" s="40">
        <f>IFERROR(IF(OR($C570="",$J570=""),0,IF($D570&lt;&gt;"Open",0,IF(COUNTIFS(GrinderServices!$B:$B,$J570,GrinderServices!$C:$C,$E570,GrinderServices!$E:$E,"Y")=0,0,IF($U570&lt;Config!$B$16,0,IF(Config!$B$18=1,IF($N570&gt;=$M570,0,1),1))))),"")</f>
        <v>0</v>
      </c>
      <c r="AC570" s="40" t="str">
        <f>IFERROR(IF($AB570=0,"",((Config!$B$6*$V570 + Config!$B$7*$R570 + Config!$B$8*$W570 + Config!$B$9*$X570 + Config!$B$10*$Y570 + Config!$B$11*$Z570 - Config!$B$12*$AA570)/Config!$B$13)+$AH570+$AI570),"")</f>
        <v/>
      </c>
      <c r="AD570" s="40" t="str">
        <f t="shared" si="4"/>
        <v/>
      </c>
      <c r="AE570" s="40" t="str">
        <f>IFERROR(__xludf.DUMMYFUNCTION("IF($AC570="""","""",IF($AC570=IFERROR(MAX(FILTER($AC$6:$AC$1000,$C$6:$C$1000=$C570,$AB$6:$AB$1000=1)),),""WINNER"",""""))"),"")</f>
        <v/>
      </c>
      <c r="AF570" s="40" t="str">
        <f t="shared" si="5"/>
        <v/>
      </c>
      <c r="AG570" s="40" t="str">
        <f>IF($J570="","",COUNTIF(Assignments!$B:$B,$J570))</f>
        <v/>
      </c>
      <c r="AH570" s="40" t="str">
        <f>IF($J570="","",IF(AND($AG570=0,$N570&lt;$M570),Config!$B$43,0))</f>
        <v/>
      </c>
      <c r="AI570" s="40" t="str">
        <f>IF($J570="","",IF(AND($L570="Elite",$F570&gt;=Config!$B$41,$N570&lt;$M570),Config!$B$42,0))</f>
        <v/>
      </c>
      <c r="AJ570" s="22"/>
    </row>
    <row r="571" ht="15.75" customHeight="1">
      <c r="A571" s="40" t="str">
        <f t="shared" si="1"/>
        <v/>
      </c>
      <c r="B571" s="40" t="str">
        <f>IF(Bids!$A571="","",Bids!$A571)</f>
        <v/>
      </c>
      <c r="C571" s="40" t="str">
        <f>IF(Bids!$B571="","",Bids!$B571)</f>
        <v/>
      </c>
      <c r="D571" s="40" t="str">
        <f>IF($C571="","",IFERROR(VLOOKUP($C571,Orders!$A:$J,9,FALSE),""))</f>
        <v/>
      </c>
      <c r="E571" s="40" t="str">
        <f>IF($C571="","",IFERROR(VLOOKUP($C571,Orders!$A:$J,3,FALSE),""))</f>
        <v/>
      </c>
      <c r="F571" s="40" t="str">
        <f>IF($C571="","",IFERROR(VLOOKUP($C571,Orders!$A:$J,4,FALSE),""))</f>
        <v/>
      </c>
      <c r="G571" s="40" t="str">
        <f>IF($C571="","",IFERROR(VLOOKUP($C571,Orders!$A:$J,5,FALSE),""))</f>
        <v/>
      </c>
      <c r="H571" s="40" t="str">
        <f>IF($C571="","",IFERROR(VLOOKUP($C571,Orders!$A:$J,6,FALSE),""))</f>
        <v/>
      </c>
      <c r="I571" s="40" t="str">
        <f>IF($C571="","",IFERROR(VLOOKUP($C571,Orders!$A:$J,7,FALSE),""))</f>
        <v/>
      </c>
      <c r="J571" s="40" t="str">
        <f>IF(Bids!$C571="","",Bids!$C571)</f>
        <v/>
      </c>
      <c r="K571" s="40" t="str">
        <f>IF($J571="","",IFERROR(VLOOKUP($J571,Grinders!$A:$N,2,FALSE),""))</f>
        <v/>
      </c>
      <c r="L571" s="40" t="str">
        <f>IF($J571="","",IFERROR(VLOOKUP($J571,Grinders!$A:$N,3,FALSE),""))</f>
        <v/>
      </c>
      <c r="M571" s="40" t="str">
        <f>IF($J571="","",IFERROR(VLOOKUP($J571,Grinders!$A:$N,4,FALSE),""))</f>
        <v/>
      </c>
      <c r="N571" s="40" t="str">
        <f>IF($J571="","",IFERROR(VLOOKUP($J571,Grinders!$A:$N,5,FALSE),""))</f>
        <v/>
      </c>
      <c r="O571" s="40" t="str">
        <f t="shared" si="2"/>
        <v/>
      </c>
      <c r="P571" s="40" t="str">
        <f>IF($J571="","",IFERROR(VLOOKUP($J571,Grinders!$A:$N,6,FALSE),""))</f>
        <v/>
      </c>
      <c r="Q571" s="40" t="str">
        <f>IF($J571="","",IFERROR(VLOOKUP($J571,Grinders!$A:$N,8,FALSE),""))</f>
        <v/>
      </c>
      <c r="R571" s="40" t="str">
        <f>IFERROR(IF($J571="","",IF($L571="Elite",MAX(50,MIN(100,Config!$B$27*MAX(0,MIN(100,(1-IF($O571="",0,$O571))*100)) + Config!$B$28*MAX(0,MIN(100,(1-MIN(1,IF(Config!$B$30=0,1,$P571/Config!$B$30)))*100)) + Config!$B$29*MAX(0,MIN(100,MIN(1,IF($Q571="",0,$Q571)/Config!$B$23)*100)))),MIN(100,Config!$B$27*MAX(0,MIN(100,(1-IF($O571="",0,$O571))*100)) + Config!$B$28*MAX(0,MIN(100,(1-MIN(1,IF(Config!$B$30=0,1,$P571/Config!$B$30)))*100)) + Config!$B$29*MAX(0,MIN(100,MIN(1,IF($Q571="",0,$Q571)/Config!$B$23)*100))))),"")
</f>
        <v/>
      </c>
      <c r="S571" s="40" t="str">
        <f>IF(Bids!$D571="","",Bids!$D571)</f>
        <v/>
      </c>
      <c r="T571" s="40" t="str">
        <f>IF(Bids!$F571="","",Bids!$F571)</f>
        <v/>
      </c>
      <c r="U571" s="40" t="str">
        <f t="shared" si="3"/>
        <v/>
      </c>
      <c r="V571" s="40" t="str">
        <f>IF($U571="","",IF(Config!$B$17=Config!$B$16,IF($U571&gt;=Config!$B$17,100,0),MAX(0,MIN(100,($U571-Config!$B$16)/(Config!$B$17-Config!$B$16)*100))))</f>
        <v/>
      </c>
      <c r="W571" s="40">
        <f>IF($L571="Elite",Config!$B$21,0)</f>
        <v>0</v>
      </c>
      <c r="X571" s="40" t="str">
        <f>IFERROR(IF(OR($T571="",$G571=""),"",IF($T571&gt;$G571,
  MAX(0, 60-(($T571-$G571)*24/Config!$B$19)*60),
  MEDIAN(60, 100, 60+(($G571-$T571)*24/Config!$B$20)*40)
)),"")
</f>
        <v/>
      </c>
      <c r="Y571" s="40" t="str">
        <f>IF($J571="","",IFERROR(VLOOKUP($J571,Grinders!$A:$N,10,FALSE),""))</f>
        <v/>
      </c>
      <c r="Z571" s="40" t="str">
        <f>IF($J571="","",IFERROR(VLOOKUP($J571,Grinders!$A:$N,11,FALSE),""))</f>
        <v/>
      </c>
      <c r="AA571" s="40" t="str">
        <f>IF($J571="","",IFERROR(VLOOKUP($J571,Grinders!$A:$N,12,FALSE),""))</f>
        <v/>
      </c>
      <c r="AB571" s="40">
        <f>IFERROR(IF(OR($C571="",$J571=""),0,IF($D571&lt;&gt;"Open",0,IF(COUNTIFS(GrinderServices!$B:$B,$J571,GrinderServices!$C:$C,$E571,GrinderServices!$E:$E,"Y")=0,0,IF($U571&lt;Config!$B$16,0,IF(Config!$B$18=1,IF($N571&gt;=$M571,0,1),1))))),"")</f>
        <v>0</v>
      </c>
      <c r="AC571" s="40" t="str">
        <f>IFERROR(IF($AB571=0,"",((Config!$B$6*$V571 + Config!$B$7*$R571 + Config!$B$8*$W571 + Config!$B$9*$X571 + Config!$B$10*$Y571 + Config!$B$11*$Z571 - Config!$B$12*$AA571)/Config!$B$13)+$AH571+$AI571),"")</f>
        <v/>
      </c>
      <c r="AD571" s="40" t="str">
        <f t="shared" si="4"/>
        <v/>
      </c>
      <c r="AE571" s="40" t="str">
        <f>IFERROR(__xludf.DUMMYFUNCTION("IF($AC571="""","""",IF($AC571=IFERROR(MAX(FILTER($AC$6:$AC$1000,$C$6:$C$1000=$C571,$AB$6:$AB$1000=1)),),""WINNER"",""""))"),"")</f>
        <v/>
      </c>
      <c r="AF571" s="40" t="str">
        <f t="shared" si="5"/>
        <v/>
      </c>
      <c r="AG571" s="40" t="str">
        <f>IF($J571="","",COUNTIF(Assignments!$B:$B,$J571))</f>
        <v/>
      </c>
      <c r="AH571" s="40" t="str">
        <f>IF($J571="","",IF(AND($AG571=0,$N571&lt;$M571),Config!$B$43,0))</f>
        <v/>
      </c>
      <c r="AI571" s="40" t="str">
        <f>IF($J571="","",IF(AND($L571="Elite",$F571&gt;=Config!$B$41,$N571&lt;$M571),Config!$B$42,0))</f>
        <v/>
      </c>
      <c r="AJ571" s="22"/>
    </row>
    <row r="572" ht="15.75" customHeight="1">
      <c r="A572" s="40" t="str">
        <f t="shared" si="1"/>
        <v/>
      </c>
      <c r="B572" s="40" t="str">
        <f>IF(Bids!$A572="","",Bids!$A572)</f>
        <v/>
      </c>
      <c r="C572" s="40" t="str">
        <f>IF(Bids!$B572="","",Bids!$B572)</f>
        <v/>
      </c>
      <c r="D572" s="40" t="str">
        <f>IF($C572="","",IFERROR(VLOOKUP($C572,Orders!$A:$J,9,FALSE),""))</f>
        <v/>
      </c>
      <c r="E572" s="40" t="str">
        <f>IF($C572="","",IFERROR(VLOOKUP($C572,Orders!$A:$J,3,FALSE),""))</f>
        <v/>
      </c>
      <c r="F572" s="40" t="str">
        <f>IF($C572="","",IFERROR(VLOOKUP($C572,Orders!$A:$J,4,FALSE),""))</f>
        <v/>
      </c>
      <c r="G572" s="40" t="str">
        <f>IF($C572="","",IFERROR(VLOOKUP($C572,Orders!$A:$J,5,FALSE),""))</f>
        <v/>
      </c>
      <c r="H572" s="40" t="str">
        <f>IF($C572="","",IFERROR(VLOOKUP($C572,Orders!$A:$J,6,FALSE),""))</f>
        <v/>
      </c>
      <c r="I572" s="40" t="str">
        <f>IF($C572="","",IFERROR(VLOOKUP($C572,Orders!$A:$J,7,FALSE),""))</f>
        <v/>
      </c>
      <c r="J572" s="40" t="str">
        <f>IF(Bids!$C572="","",Bids!$C572)</f>
        <v/>
      </c>
      <c r="K572" s="40" t="str">
        <f>IF($J572="","",IFERROR(VLOOKUP($J572,Grinders!$A:$N,2,FALSE),""))</f>
        <v/>
      </c>
      <c r="L572" s="40" t="str">
        <f>IF($J572="","",IFERROR(VLOOKUP($J572,Grinders!$A:$N,3,FALSE),""))</f>
        <v/>
      </c>
      <c r="M572" s="40" t="str">
        <f>IF($J572="","",IFERROR(VLOOKUP($J572,Grinders!$A:$N,4,FALSE),""))</f>
        <v/>
      </c>
      <c r="N572" s="40" t="str">
        <f>IF($J572="","",IFERROR(VLOOKUP($J572,Grinders!$A:$N,5,FALSE),""))</f>
        <v/>
      </c>
      <c r="O572" s="40" t="str">
        <f t="shared" si="2"/>
        <v/>
      </c>
      <c r="P572" s="40" t="str">
        <f>IF($J572="","",IFERROR(VLOOKUP($J572,Grinders!$A:$N,6,FALSE),""))</f>
        <v/>
      </c>
      <c r="Q572" s="40" t="str">
        <f>IF($J572="","",IFERROR(VLOOKUP($J572,Grinders!$A:$N,8,FALSE),""))</f>
        <v/>
      </c>
      <c r="R572" s="40" t="str">
        <f>IFERROR(IF($J572="","",IF($L572="Elite",MAX(50,MIN(100,Config!$B$27*MAX(0,MIN(100,(1-IF($O572="",0,$O572))*100)) + Config!$B$28*MAX(0,MIN(100,(1-MIN(1,IF(Config!$B$30=0,1,$P572/Config!$B$30)))*100)) + Config!$B$29*MAX(0,MIN(100,MIN(1,IF($Q572="",0,$Q572)/Config!$B$23)*100)))),MIN(100,Config!$B$27*MAX(0,MIN(100,(1-IF($O572="",0,$O572))*100)) + Config!$B$28*MAX(0,MIN(100,(1-MIN(1,IF(Config!$B$30=0,1,$P572/Config!$B$30)))*100)) + Config!$B$29*MAX(0,MIN(100,MIN(1,IF($Q572="",0,$Q572)/Config!$B$23)*100))))),"")
</f>
        <v/>
      </c>
      <c r="S572" s="40" t="str">
        <f>IF(Bids!$D572="","",Bids!$D572)</f>
        <v/>
      </c>
      <c r="T572" s="40" t="str">
        <f>IF(Bids!$F572="","",Bids!$F572)</f>
        <v/>
      </c>
      <c r="U572" s="40" t="str">
        <f t="shared" si="3"/>
        <v/>
      </c>
      <c r="V572" s="40" t="str">
        <f>IF($U572="","",IF(Config!$B$17=Config!$B$16,IF($U572&gt;=Config!$B$17,100,0),MAX(0,MIN(100,($U572-Config!$B$16)/(Config!$B$17-Config!$B$16)*100))))</f>
        <v/>
      </c>
      <c r="W572" s="40">
        <f>IF($L572="Elite",Config!$B$21,0)</f>
        <v>0</v>
      </c>
      <c r="X572" s="40" t="str">
        <f>IFERROR(IF(OR($T572="",$G572=""),"",IF($T572&gt;$G572,
  MAX(0, 60-(($T572-$G572)*24/Config!$B$19)*60),
  MEDIAN(60, 100, 60+(($G572-$T572)*24/Config!$B$20)*40)
)),"")
</f>
        <v/>
      </c>
      <c r="Y572" s="40" t="str">
        <f>IF($J572="","",IFERROR(VLOOKUP($J572,Grinders!$A:$N,10,FALSE),""))</f>
        <v/>
      </c>
      <c r="Z572" s="40" t="str">
        <f>IF($J572="","",IFERROR(VLOOKUP($J572,Grinders!$A:$N,11,FALSE),""))</f>
        <v/>
      </c>
      <c r="AA572" s="40" t="str">
        <f>IF($J572="","",IFERROR(VLOOKUP($J572,Grinders!$A:$N,12,FALSE),""))</f>
        <v/>
      </c>
      <c r="AB572" s="40">
        <f>IFERROR(IF(OR($C572="",$J572=""),0,IF($D572&lt;&gt;"Open",0,IF(COUNTIFS(GrinderServices!$B:$B,$J572,GrinderServices!$C:$C,$E572,GrinderServices!$E:$E,"Y")=0,0,IF($U572&lt;Config!$B$16,0,IF(Config!$B$18=1,IF($N572&gt;=$M572,0,1),1))))),"")</f>
        <v>0</v>
      </c>
      <c r="AC572" s="40" t="str">
        <f>IFERROR(IF($AB572=0,"",((Config!$B$6*$V572 + Config!$B$7*$R572 + Config!$B$8*$W572 + Config!$B$9*$X572 + Config!$B$10*$Y572 + Config!$B$11*$Z572 - Config!$B$12*$AA572)/Config!$B$13)+$AH572+$AI572),"")</f>
        <v/>
      </c>
      <c r="AD572" s="40" t="str">
        <f t="shared" si="4"/>
        <v/>
      </c>
      <c r="AE572" s="40" t="str">
        <f>IFERROR(__xludf.DUMMYFUNCTION("IF($AC572="""","""",IF($AC572=IFERROR(MAX(FILTER($AC$6:$AC$1000,$C$6:$C$1000=$C572,$AB$6:$AB$1000=1)),),""WINNER"",""""))"),"")</f>
        <v/>
      </c>
      <c r="AF572" s="40" t="str">
        <f t="shared" si="5"/>
        <v/>
      </c>
      <c r="AG572" s="40" t="str">
        <f>IF($J572="","",COUNTIF(Assignments!$B:$B,$J572))</f>
        <v/>
      </c>
      <c r="AH572" s="40" t="str">
        <f>IF($J572="","",IF(AND($AG572=0,$N572&lt;$M572),Config!$B$43,0))</f>
        <v/>
      </c>
      <c r="AI572" s="40" t="str">
        <f>IF($J572="","",IF(AND($L572="Elite",$F572&gt;=Config!$B$41,$N572&lt;$M572),Config!$B$42,0))</f>
        <v/>
      </c>
      <c r="AJ572" s="22"/>
    </row>
    <row r="573" ht="15.75" customHeight="1">
      <c r="A573" s="40" t="str">
        <f t="shared" si="1"/>
        <v/>
      </c>
      <c r="B573" s="40" t="str">
        <f>IF(Bids!$A573="","",Bids!$A573)</f>
        <v/>
      </c>
      <c r="C573" s="40" t="str">
        <f>IF(Bids!$B573="","",Bids!$B573)</f>
        <v/>
      </c>
      <c r="D573" s="40" t="str">
        <f>IF($C573="","",IFERROR(VLOOKUP($C573,Orders!$A:$J,9,FALSE),""))</f>
        <v/>
      </c>
      <c r="E573" s="40" t="str">
        <f>IF($C573="","",IFERROR(VLOOKUP($C573,Orders!$A:$J,3,FALSE),""))</f>
        <v/>
      </c>
      <c r="F573" s="40" t="str">
        <f>IF($C573="","",IFERROR(VLOOKUP($C573,Orders!$A:$J,4,FALSE),""))</f>
        <v/>
      </c>
      <c r="G573" s="40" t="str">
        <f>IF($C573="","",IFERROR(VLOOKUP($C573,Orders!$A:$J,5,FALSE),""))</f>
        <v/>
      </c>
      <c r="H573" s="40" t="str">
        <f>IF($C573="","",IFERROR(VLOOKUP($C573,Orders!$A:$J,6,FALSE),""))</f>
        <v/>
      </c>
      <c r="I573" s="40" t="str">
        <f>IF($C573="","",IFERROR(VLOOKUP($C573,Orders!$A:$J,7,FALSE),""))</f>
        <v/>
      </c>
      <c r="J573" s="40" t="str">
        <f>IF(Bids!$C573="","",Bids!$C573)</f>
        <v/>
      </c>
      <c r="K573" s="40" t="str">
        <f>IF($J573="","",IFERROR(VLOOKUP($J573,Grinders!$A:$N,2,FALSE),""))</f>
        <v/>
      </c>
      <c r="L573" s="40" t="str">
        <f>IF($J573="","",IFERROR(VLOOKUP($J573,Grinders!$A:$N,3,FALSE),""))</f>
        <v/>
      </c>
      <c r="M573" s="40" t="str">
        <f>IF($J573="","",IFERROR(VLOOKUP($J573,Grinders!$A:$N,4,FALSE),""))</f>
        <v/>
      </c>
      <c r="N573" s="40" t="str">
        <f>IF($J573="","",IFERROR(VLOOKUP($J573,Grinders!$A:$N,5,FALSE),""))</f>
        <v/>
      </c>
      <c r="O573" s="40" t="str">
        <f t="shared" si="2"/>
        <v/>
      </c>
      <c r="P573" s="40" t="str">
        <f>IF($J573="","",IFERROR(VLOOKUP($J573,Grinders!$A:$N,6,FALSE),""))</f>
        <v/>
      </c>
      <c r="Q573" s="40" t="str">
        <f>IF($J573="","",IFERROR(VLOOKUP($J573,Grinders!$A:$N,8,FALSE),""))</f>
        <v/>
      </c>
      <c r="R573" s="40" t="str">
        <f>IFERROR(IF($J573="","",IF($L573="Elite",MAX(50,MIN(100,Config!$B$27*MAX(0,MIN(100,(1-IF($O573="",0,$O573))*100)) + Config!$B$28*MAX(0,MIN(100,(1-MIN(1,IF(Config!$B$30=0,1,$P573/Config!$B$30)))*100)) + Config!$B$29*MAX(0,MIN(100,MIN(1,IF($Q573="",0,$Q573)/Config!$B$23)*100)))),MIN(100,Config!$B$27*MAX(0,MIN(100,(1-IF($O573="",0,$O573))*100)) + Config!$B$28*MAX(0,MIN(100,(1-MIN(1,IF(Config!$B$30=0,1,$P573/Config!$B$30)))*100)) + Config!$B$29*MAX(0,MIN(100,MIN(1,IF($Q573="",0,$Q573)/Config!$B$23)*100))))),"")
</f>
        <v/>
      </c>
      <c r="S573" s="40" t="str">
        <f>IF(Bids!$D573="","",Bids!$D573)</f>
        <v/>
      </c>
      <c r="T573" s="40" t="str">
        <f>IF(Bids!$F573="","",Bids!$F573)</f>
        <v/>
      </c>
      <c r="U573" s="40" t="str">
        <f t="shared" si="3"/>
        <v/>
      </c>
      <c r="V573" s="40" t="str">
        <f>IF($U573="","",IF(Config!$B$17=Config!$B$16,IF($U573&gt;=Config!$B$17,100,0),MAX(0,MIN(100,($U573-Config!$B$16)/(Config!$B$17-Config!$B$16)*100))))</f>
        <v/>
      </c>
      <c r="W573" s="40">
        <f>IF($L573="Elite",Config!$B$21,0)</f>
        <v>0</v>
      </c>
      <c r="X573" s="40" t="str">
        <f>IFERROR(IF(OR($T573="",$G573=""),"",IF($T573&gt;$G573,
  MAX(0, 60-(($T573-$G573)*24/Config!$B$19)*60),
  MEDIAN(60, 100, 60+(($G573-$T573)*24/Config!$B$20)*40)
)),"")
</f>
        <v/>
      </c>
      <c r="Y573" s="40" t="str">
        <f>IF($J573="","",IFERROR(VLOOKUP($J573,Grinders!$A:$N,10,FALSE),""))</f>
        <v/>
      </c>
      <c r="Z573" s="40" t="str">
        <f>IF($J573="","",IFERROR(VLOOKUP($J573,Grinders!$A:$N,11,FALSE),""))</f>
        <v/>
      </c>
      <c r="AA573" s="40" t="str">
        <f>IF($J573="","",IFERROR(VLOOKUP($J573,Grinders!$A:$N,12,FALSE),""))</f>
        <v/>
      </c>
      <c r="AB573" s="40">
        <f>IFERROR(IF(OR($C573="",$J573=""),0,IF($D573&lt;&gt;"Open",0,IF(COUNTIFS(GrinderServices!$B:$B,$J573,GrinderServices!$C:$C,$E573,GrinderServices!$E:$E,"Y")=0,0,IF($U573&lt;Config!$B$16,0,IF(Config!$B$18=1,IF($N573&gt;=$M573,0,1),1))))),"")</f>
        <v>0</v>
      </c>
      <c r="AC573" s="40" t="str">
        <f>IFERROR(IF($AB573=0,"",((Config!$B$6*$V573 + Config!$B$7*$R573 + Config!$B$8*$W573 + Config!$B$9*$X573 + Config!$B$10*$Y573 + Config!$B$11*$Z573 - Config!$B$12*$AA573)/Config!$B$13)+$AH573+$AI573),"")</f>
        <v/>
      </c>
      <c r="AD573" s="40" t="str">
        <f t="shared" si="4"/>
        <v/>
      </c>
      <c r="AE573" s="40" t="str">
        <f>IFERROR(__xludf.DUMMYFUNCTION("IF($AC573="""","""",IF($AC573=IFERROR(MAX(FILTER($AC$6:$AC$1000,$C$6:$C$1000=$C573,$AB$6:$AB$1000=1)),),""WINNER"",""""))"),"")</f>
        <v/>
      </c>
      <c r="AF573" s="40" t="str">
        <f t="shared" si="5"/>
        <v/>
      </c>
      <c r="AG573" s="40" t="str">
        <f>IF($J573="","",COUNTIF(Assignments!$B:$B,$J573))</f>
        <v/>
      </c>
      <c r="AH573" s="40" t="str">
        <f>IF($J573="","",IF(AND($AG573=0,$N573&lt;$M573),Config!$B$43,0))</f>
        <v/>
      </c>
      <c r="AI573" s="40" t="str">
        <f>IF($J573="","",IF(AND($L573="Elite",$F573&gt;=Config!$B$41,$N573&lt;$M573),Config!$B$42,0))</f>
        <v/>
      </c>
      <c r="AJ573" s="22"/>
    </row>
    <row r="574" ht="15.75" customHeight="1">
      <c r="A574" s="40" t="str">
        <f t="shared" si="1"/>
        <v/>
      </c>
      <c r="B574" s="40" t="str">
        <f>IF(Bids!$A574="","",Bids!$A574)</f>
        <v/>
      </c>
      <c r="C574" s="40" t="str">
        <f>IF(Bids!$B574="","",Bids!$B574)</f>
        <v/>
      </c>
      <c r="D574" s="40" t="str">
        <f>IF($C574="","",IFERROR(VLOOKUP($C574,Orders!$A:$J,9,FALSE),""))</f>
        <v/>
      </c>
      <c r="E574" s="40" t="str">
        <f>IF($C574="","",IFERROR(VLOOKUP($C574,Orders!$A:$J,3,FALSE),""))</f>
        <v/>
      </c>
      <c r="F574" s="40" t="str">
        <f>IF($C574="","",IFERROR(VLOOKUP($C574,Orders!$A:$J,4,FALSE),""))</f>
        <v/>
      </c>
      <c r="G574" s="40" t="str">
        <f>IF($C574="","",IFERROR(VLOOKUP($C574,Orders!$A:$J,5,FALSE),""))</f>
        <v/>
      </c>
      <c r="H574" s="40" t="str">
        <f>IF($C574="","",IFERROR(VLOOKUP($C574,Orders!$A:$J,6,FALSE),""))</f>
        <v/>
      </c>
      <c r="I574" s="40" t="str">
        <f>IF($C574="","",IFERROR(VLOOKUP($C574,Orders!$A:$J,7,FALSE),""))</f>
        <v/>
      </c>
      <c r="J574" s="40" t="str">
        <f>IF(Bids!$C574="","",Bids!$C574)</f>
        <v/>
      </c>
      <c r="K574" s="40" t="str">
        <f>IF($J574="","",IFERROR(VLOOKUP($J574,Grinders!$A:$N,2,FALSE),""))</f>
        <v/>
      </c>
      <c r="L574" s="40" t="str">
        <f>IF($J574="","",IFERROR(VLOOKUP($J574,Grinders!$A:$N,3,FALSE),""))</f>
        <v/>
      </c>
      <c r="M574" s="40" t="str">
        <f>IF($J574="","",IFERROR(VLOOKUP($J574,Grinders!$A:$N,4,FALSE),""))</f>
        <v/>
      </c>
      <c r="N574" s="40" t="str">
        <f>IF($J574="","",IFERROR(VLOOKUP($J574,Grinders!$A:$N,5,FALSE),""))</f>
        <v/>
      </c>
      <c r="O574" s="40" t="str">
        <f t="shared" si="2"/>
        <v/>
      </c>
      <c r="P574" s="40" t="str">
        <f>IF($J574="","",IFERROR(VLOOKUP($J574,Grinders!$A:$N,6,FALSE),""))</f>
        <v/>
      </c>
      <c r="Q574" s="40" t="str">
        <f>IF($J574="","",IFERROR(VLOOKUP($J574,Grinders!$A:$N,8,FALSE),""))</f>
        <v/>
      </c>
      <c r="R574" s="40" t="str">
        <f>IFERROR(IF($J574="","",IF($L574="Elite",MAX(50,MIN(100,Config!$B$27*MAX(0,MIN(100,(1-IF($O574="",0,$O574))*100)) + Config!$B$28*MAX(0,MIN(100,(1-MIN(1,IF(Config!$B$30=0,1,$P574/Config!$B$30)))*100)) + Config!$B$29*MAX(0,MIN(100,MIN(1,IF($Q574="",0,$Q574)/Config!$B$23)*100)))),MIN(100,Config!$B$27*MAX(0,MIN(100,(1-IF($O574="",0,$O574))*100)) + Config!$B$28*MAX(0,MIN(100,(1-MIN(1,IF(Config!$B$30=0,1,$P574/Config!$B$30)))*100)) + Config!$B$29*MAX(0,MIN(100,MIN(1,IF($Q574="",0,$Q574)/Config!$B$23)*100))))),"")
</f>
        <v/>
      </c>
      <c r="S574" s="40" t="str">
        <f>IF(Bids!$D574="","",Bids!$D574)</f>
        <v/>
      </c>
      <c r="T574" s="40" t="str">
        <f>IF(Bids!$F574="","",Bids!$F574)</f>
        <v/>
      </c>
      <c r="U574" s="40" t="str">
        <f t="shared" si="3"/>
        <v/>
      </c>
      <c r="V574" s="40" t="str">
        <f>IF($U574="","",IF(Config!$B$17=Config!$B$16,IF($U574&gt;=Config!$B$17,100,0),MAX(0,MIN(100,($U574-Config!$B$16)/(Config!$B$17-Config!$B$16)*100))))</f>
        <v/>
      </c>
      <c r="W574" s="40">
        <f>IF($L574="Elite",Config!$B$21,0)</f>
        <v>0</v>
      </c>
      <c r="X574" s="40" t="str">
        <f>IFERROR(IF(OR($T574="",$G574=""),"",IF($T574&gt;$G574,
  MAX(0, 60-(($T574-$G574)*24/Config!$B$19)*60),
  MEDIAN(60, 100, 60+(($G574-$T574)*24/Config!$B$20)*40)
)),"")
</f>
        <v/>
      </c>
      <c r="Y574" s="40" t="str">
        <f>IF($J574="","",IFERROR(VLOOKUP($J574,Grinders!$A:$N,10,FALSE),""))</f>
        <v/>
      </c>
      <c r="Z574" s="40" t="str">
        <f>IF($J574="","",IFERROR(VLOOKUP($J574,Grinders!$A:$N,11,FALSE),""))</f>
        <v/>
      </c>
      <c r="AA574" s="40" t="str">
        <f>IF($J574="","",IFERROR(VLOOKUP($J574,Grinders!$A:$N,12,FALSE),""))</f>
        <v/>
      </c>
      <c r="AB574" s="40">
        <f>IFERROR(IF(OR($C574="",$J574=""),0,IF($D574&lt;&gt;"Open",0,IF(COUNTIFS(GrinderServices!$B:$B,$J574,GrinderServices!$C:$C,$E574,GrinderServices!$E:$E,"Y")=0,0,IF($U574&lt;Config!$B$16,0,IF(Config!$B$18=1,IF($N574&gt;=$M574,0,1),1))))),"")</f>
        <v>0</v>
      </c>
      <c r="AC574" s="40" t="str">
        <f>IFERROR(IF($AB574=0,"",((Config!$B$6*$V574 + Config!$B$7*$R574 + Config!$B$8*$W574 + Config!$B$9*$X574 + Config!$B$10*$Y574 + Config!$B$11*$Z574 - Config!$B$12*$AA574)/Config!$B$13)+$AH574+$AI574),"")</f>
        <v/>
      </c>
      <c r="AD574" s="40" t="str">
        <f t="shared" si="4"/>
        <v/>
      </c>
      <c r="AE574" s="40" t="str">
        <f>IFERROR(__xludf.DUMMYFUNCTION("IF($AC574="""","""",IF($AC574=IFERROR(MAX(FILTER($AC$6:$AC$1000,$C$6:$C$1000=$C574,$AB$6:$AB$1000=1)),),""WINNER"",""""))"),"")</f>
        <v/>
      </c>
      <c r="AF574" s="40" t="str">
        <f t="shared" si="5"/>
        <v/>
      </c>
      <c r="AG574" s="40" t="str">
        <f>IF($J574="","",COUNTIF(Assignments!$B:$B,$J574))</f>
        <v/>
      </c>
      <c r="AH574" s="40" t="str">
        <f>IF($J574="","",IF(AND($AG574=0,$N574&lt;$M574),Config!$B$43,0))</f>
        <v/>
      </c>
      <c r="AI574" s="40" t="str">
        <f>IF($J574="","",IF(AND($L574="Elite",$F574&gt;=Config!$B$41,$N574&lt;$M574),Config!$B$42,0))</f>
        <v/>
      </c>
      <c r="AJ574" s="22"/>
    </row>
    <row r="575" ht="15.75" customHeight="1">
      <c r="A575" s="40" t="str">
        <f t="shared" si="1"/>
        <v/>
      </c>
      <c r="B575" s="40" t="str">
        <f>IF(Bids!$A575="","",Bids!$A575)</f>
        <v/>
      </c>
      <c r="C575" s="40" t="str">
        <f>IF(Bids!$B575="","",Bids!$B575)</f>
        <v/>
      </c>
      <c r="D575" s="40" t="str">
        <f>IF($C575="","",IFERROR(VLOOKUP($C575,Orders!$A:$J,9,FALSE),""))</f>
        <v/>
      </c>
      <c r="E575" s="40" t="str">
        <f>IF($C575="","",IFERROR(VLOOKUP($C575,Orders!$A:$J,3,FALSE),""))</f>
        <v/>
      </c>
      <c r="F575" s="40" t="str">
        <f>IF($C575="","",IFERROR(VLOOKUP($C575,Orders!$A:$J,4,FALSE),""))</f>
        <v/>
      </c>
      <c r="G575" s="40" t="str">
        <f>IF($C575="","",IFERROR(VLOOKUP($C575,Orders!$A:$J,5,FALSE),""))</f>
        <v/>
      </c>
      <c r="H575" s="40" t="str">
        <f>IF($C575="","",IFERROR(VLOOKUP($C575,Orders!$A:$J,6,FALSE),""))</f>
        <v/>
      </c>
      <c r="I575" s="40" t="str">
        <f>IF($C575="","",IFERROR(VLOOKUP($C575,Orders!$A:$J,7,FALSE),""))</f>
        <v/>
      </c>
      <c r="J575" s="40" t="str">
        <f>IF(Bids!$C575="","",Bids!$C575)</f>
        <v/>
      </c>
      <c r="K575" s="40" t="str">
        <f>IF($J575="","",IFERROR(VLOOKUP($J575,Grinders!$A:$N,2,FALSE),""))</f>
        <v/>
      </c>
      <c r="L575" s="40" t="str">
        <f>IF($J575="","",IFERROR(VLOOKUP($J575,Grinders!$A:$N,3,FALSE),""))</f>
        <v/>
      </c>
      <c r="M575" s="40" t="str">
        <f>IF($J575="","",IFERROR(VLOOKUP($J575,Grinders!$A:$N,4,FALSE),""))</f>
        <v/>
      </c>
      <c r="N575" s="40" t="str">
        <f>IF($J575="","",IFERROR(VLOOKUP($J575,Grinders!$A:$N,5,FALSE),""))</f>
        <v/>
      </c>
      <c r="O575" s="40" t="str">
        <f t="shared" si="2"/>
        <v/>
      </c>
      <c r="P575" s="40" t="str">
        <f>IF($J575="","",IFERROR(VLOOKUP($J575,Grinders!$A:$N,6,FALSE),""))</f>
        <v/>
      </c>
      <c r="Q575" s="40" t="str">
        <f>IF($J575="","",IFERROR(VLOOKUP($J575,Grinders!$A:$N,8,FALSE),""))</f>
        <v/>
      </c>
      <c r="R575" s="40" t="str">
        <f>IFERROR(IF($J575="","",IF($L575="Elite",MAX(50,MIN(100,Config!$B$27*MAX(0,MIN(100,(1-IF($O575="",0,$O575))*100)) + Config!$B$28*MAX(0,MIN(100,(1-MIN(1,IF(Config!$B$30=0,1,$P575/Config!$B$30)))*100)) + Config!$B$29*MAX(0,MIN(100,MIN(1,IF($Q575="",0,$Q575)/Config!$B$23)*100)))),MIN(100,Config!$B$27*MAX(0,MIN(100,(1-IF($O575="",0,$O575))*100)) + Config!$B$28*MAX(0,MIN(100,(1-MIN(1,IF(Config!$B$30=0,1,$P575/Config!$B$30)))*100)) + Config!$B$29*MAX(0,MIN(100,MIN(1,IF($Q575="",0,$Q575)/Config!$B$23)*100))))),"")
</f>
        <v/>
      </c>
      <c r="S575" s="40" t="str">
        <f>IF(Bids!$D575="","",Bids!$D575)</f>
        <v/>
      </c>
      <c r="T575" s="40" t="str">
        <f>IF(Bids!$F575="","",Bids!$F575)</f>
        <v/>
      </c>
      <c r="U575" s="40" t="str">
        <f t="shared" si="3"/>
        <v/>
      </c>
      <c r="V575" s="40" t="str">
        <f>IF($U575="","",IF(Config!$B$17=Config!$B$16,IF($U575&gt;=Config!$B$17,100,0),MAX(0,MIN(100,($U575-Config!$B$16)/(Config!$B$17-Config!$B$16)*100))))</f>
        <v/>
      </c>
      <c r="W575" s="40">
        <f>IF($L575="Elite",Config!$B$21,0)</f>
        <v>0</v>
      </c>
      <c r="X575" s="40" t="str">
        <f>IFERROR(IF(OR($T575="",$G575=""),"",IF($T575&gt;$G575,
  MAX(0, 60-(($T575-$G575)*24/Config!$B$19)*60),
  MEDIAN(60, 100, 60+(($G575-$T575)*24/Config!$B$20)*40)
)),"")
</f>
        <v/>
      </c>
      <c r="Y575" s="40" t="str">
        <f>IF($J575="","",IFERROR(VLOOKUP($J575,Grinders!$A:$N,10,FALSE),""))</f>
        <v/>
      </c>
      <c r="Z575" s="40" t="str">
        <f>IF($J575="","",IFERROR(VLOOKUP($J575,Grinders!$A:$N,11,FALSE),""))</f>
        <v/>
      </c>
      <c r="AA575" s="40" t="str">
        <f>IF($J575="","",IFERROR(VLOOKUP($J575,Grinders!$A:$N,12,FALSE),""))</f>
        <v/>
      </c>
      <c r="AB575" s="40">
        <f>IFERROR(IF(OR($C575="",$J575=""),0,IF($D575&lt;&gt;"Open",0,IF(COUNTIFS(GrinderServices!$B:$B,$J575,GrinderServices!$C:$C,$E575,GrinderServices!$E:$E,"Y")=0,0,IF($U575&lt;Config!$B$16,0,IF(Config!$B$18=1,IF($N575&gt;=$M575,0,1),1))))),"")</f>
        <v>0</v>
      </c>
      <c r="AC575" s="40" t="str">
        <f>IFERROR(IF($AB575=0,"",((Config!$B$6*$V575 + Config!$B$7*$R575 + Config!$B$8*$W575 + Config!$B$9*$X575 + Config!$B$10*$Y575 + Config!$B$11*$Z575 - Config!$B$12*$AA575)/Config!$B$13)+$AH575+$AI575),"")</f>
        <v/>
      </c>
      <c r="AD575" s="40" t="str">
        <f t="shared" si="4"/>
        <v/>
      </c>
      <c r="AE575" s="40" t="str">
        <f>IFERROR(__xludf.DUMMYFUNCTION("IF($AC575="""","""",IF($AC575=IFERROR(MAX(FILTER($AC$6:$AC$1000,$C$6:$C$1000=$C575,$AB$6:$AB$1000=1)),),""WINNER"",""""))"),"")</f>
        <v/>
      </c>
      <c r="AF575" s="40" t="str">
        <f t="shared" si="5"/>
        <v/>
      </c>
      <c r="AG575" s="40" t="str">
        <f>IF($J575="","",COUNTIF(Assignments!$B:$B,$J575))</f>
        <v/>
      </c>
      <c r="AH575" s="40" t="str">
        <f>IF($J575="","",IF(AND($AG575=0,$N575&lt;$M575),Config!$B$43,0))</f>
        <v/>
      </c>
      <c r="AI575" s="40" t="str">
        <f>IF($J575="","",IF(AND($L575="Elite",$F575&gt;=Config!$B$41,$N575&lt;$M575),Config!$B$42,0))</f>
        <v/>
      </c>
      <c r="AJ575" s="22"/>
    </row>
    <row r="576" ht="15.75" customHeight="1">
      <c r="A576" s="40" t="str">
        <f t="shared" si="1"/>
        <v/>
      </c>
      <c r="B576" s="40" t="str">
        <f>IF(Bids!$A576="","",Bids!$A576)</f>
        <v/>
      </c>
      <c r="C576" s="40" t="str">
        <f>IF(Bids!$B576="","",Bids!$B576)</f>
        <v/>
      </c>
      <c r="D576" s="40" t="str">
        <f>IF($C576="","",IFERROR(VLOOKUP($C576,Orders!$A:$J,9,FALSE),""))</f>
        <v/>
      </c>
      <c r="E576" s="40" t="str">
        <f>IF($C576="","",IFERROR(VLOOKUP($C576,Orders!$A:$J,3,FALSE),""))</f>
        <v/>
      </c>
      <c r="F576" s="40" t="str">
        <f>IF($C576="","",IFERROR(VLOOKUP($C576,Orders!$A:$J,4,FALSE),""))</f>
        <v/>
      </c>
      <c r="G576" s="40" t="str">
        <f>IF($C576="","",IFERROR(VLOOKUP($C576,Orders!$A:$J,5,FALSE),""))</f>
        <v/>
      </c>
      <c r="H576" s="40" t="str">
        <f>IF($C576="","",IFERROR(VLOOKUP($C576,Orders!$A:$J,6,FALSE),""))</f>
        <v/>
      </c>
      <c r="I576" s="40" t="str">
        <f>IF($C576="","",IFERROR(VLOOKUP($C576,Orders!$A:$J,7,FALSE),""))</f>
        <v/>
      </c>
      <c r="J576" s="40" t="str">
        <f>IF(Bids!$C576="","",Bids!$C576)</f>
        <v/>
      </c>
      <c r="K576" s="40" t="str">
        <f>IF($J576="","",IFERROR(VLOOKUP($J576,Grinders!$A:$N,2,FALSE),""))</f>
        <v/>
      </c>
      <c r="L576" s="40" t="str">
        <f>IF($J576="","",IFERROR(VLOOKUP($J576,Grinders!$A:$N,3,FALSE),""))</f>
        <v/>
      </c>
      <c r="M576" s="40" t="str">
        <f>IF($J576="","",IFERROR(VLOOKUP($J576,Grinders!$A:$N,4,FALSE),""))</f>
        <v/>
      </c>
      <c r="N576" s="40" t="str">
        <f>IF($J576="","",IFERROR(VLOOKUP($J576,Grinders!$A:$N,5,FALSE),""))</f>
        <v/>
      </c>
      <c r="O576" s="40" t="str">
        <f t="shared" si="2"/>
        <v/>
      </c>
      <c r="P576" s="40" t="str">
        <f>IF($J576="","",IFERROR(VLOOKUP($J576,Grinders!$A:$N,6,FALSE),""))</f>
        <v/>
      </c>
      <c r="Q576" s="40" t="str">
        <f>IF($J576="","",IFERROR(VLOOKUP($J576,Grinders!$A:$N,8,FALSE),""))</f>
        <v/>
      </c>
      <c r="R576" s="40" t="str">
        <f>IFERROR(IF($J576="","",IF($L576="Elite",MAX(50,MIN(100,Config!$B$27*MAX(0,MIN(100,(1-IF($O576="",0,$O576))*100)) + Config!$B$28*MAX(0,MIN(100,(1-MIN(1,IF(Config!$B$30=0,1,$P576/Config!$B$30)))*100)) + Config!$B$29*MAX(0,MIN(100,MIN(1,IF($Q576="",0,$Q576)/Config!$B$23)*100)))),MIN(100,Config!$B$27*MAX(0,MIN(100,(1-IF($O576="",0,$O576))*100)) + Config!$B$28*MAX(0,MIN(100,(1-MIN(1,IF(Config!$B$30=0,1,$P576/Config!$B$30)))*100)) + Config!$B$29*MAX(0,MIN(100,MIN(1,IF($Q576="",0,$Q576)/Config!$B$23)*100))))),"")
</f>
        <v/>
      </c>
      <c r="S576" s="40" t="str">
        <f>IF(Bids!$D576="","",Bids!$D576)</f>
        <v/>
      </c>
      <c r="T576" s="40" t="str">
        <f>IF(Bids!$F576="","",Bids!$F576)</f>
        <v/>
      </c>
      <c r="U576" s="40" t="str">
        <f t="shared" si="3"/>
        <v/>
      </c>
      <c r="V576" s="40" t="str">
        <f>IF($U576="","",IF(Config!$B$17=Config!$B$16,IF($U576&gt;=Config!$B$17,100,0),MAX(0,MIN(100,($U576-Config!$B$16)/(Config!$B$17-Config!$B$16)*100))))</f>
        <v/>
      </c>
      <c r="W576" s="40">
        <f>IF($L576="Elite",Config!$B$21,0)</f>
        <v>0</v>
      </c>
      <c r="X576" s="40" t="str">
        <f>IFERROR(IF(OR($T576="",$G576=""),"",IF($T576&gt;$G576,
  MAX(0, 60-(($T576-$G576)*24/Config!$B$19)*60),
  MEDIAN(60, 100, 60+(($G576-$T576)*24/Config!$B$20)*40)
)),"")
</f>
        <v/>
      </c>
      <c r="Y576" s="40" t="str">
        <f>IF($J576="","",IFERROR(VLOOKUP($J576,Grinders!$A:$N,10,FALSE),""))</f>
        <v/>
      </c>
      <c r="Z576" s="40" t="str">
        <f>IF($J576="","",IFERROR(VLOOKUP($J576,Grinders!$A:$N,11,FALSE),""))</f>
        <v/>
      </c>
      <c r="AA576" s="40" t="str">
        <f>IF($J576="","",IFERROR(VLOOKUP($J576,Grinders!$A:$N,12,FALSE),""))</f>
        <v/>
      </c>
      <c r="AB576" s="40">
        <f>IFERROR(IF(OR($C576="",$J576=""),0,IF($D576&lt;&gt;"Open",0,IF(COUNTIFS(GrinderServices!$B:$B,$J576,GrinderServices!$C:$C,$E576,GrinderServices!$E:$E,"Y")=0,0,IF($U576&lt;Config!$B$16,0,IF(Config!$B$18=1,IF($N576&gt;=$M576,0,1),1))))),"")</f>
        <v>0</v>
      </c>
      <c r="AC576" s="40" t="str">
        <f>IFERROR(IF($AB576=0,"",((Config!$B$6*$V576 + Config!$B$7*$R576 + Config!$B$8*$W576 + Config!$B$9*$X576 + Config!$B$10*$Y576 + Config!$B$11*$Z576 - Config!$B$12*$AA576)/Config!$B$13)+$AH576+$AI576),"")</f>
        <v/>
      </c>
      <c r="AD576" s="40" t="str">
        <f t="shared" si="4"/>
        <v/>
      </c>
      <c r="AE576" s="40" t="str">
        <f>IFERROR(__xludf.DUMMYFUNCTION("IF($AC576="""","""",IF($AC576=IFERROR(MAX(FILTER($AC$6:$AC$1000,$C$6:$C$1000=$C576,$AB$6:$AB$1000=1)),),""WINNER"",""""))"),"")</f>
        <v/>
      </c>
      <c r="AF576" s="40" t="str">
        <f t="shared" si="5"/>
        <v/>
      </c>
      <c r="AG576" s="40" t="str">
        <f>IF($J576="","",COUNTIF(Assignments!$B:$B,$J576))</f>
        <v/>
      </c>
      <c r="AH576" s="40" t="str">
        <f>IF($J576="","",IF(AND($AG576=0,$N576&lt;$M576),Config!$B$43,0))</f>
        <v/>
      </c>
      <c r="AI576" s="40" t="str">
        <f>IF($J576="","",IF(AND($L576="Elite",$F576&gt;=Config!$B$41,$N576&lt;$M576),Config!$B$42,0))</f>
        <v/>
      </c>
      <c r="AJ576" s="22"/>
    </row>
    <row r="577" ht="15.75" customHeight="1">
      <c r="A577" s="40" t="str">
        <f t="shared" si="1"/>
        <v/>
      </c>
      <c r="B577" s="40" t="str">
        <f>IF(Bids!$A577="","",Bids!$A577)</f>
        <v/>
      </c>
      <c r="C577" s="40" t="str">
        <f>IF(Bids!$B577="","",Bids!$B577)</f>
        <v/>
      </c>
      <c r="D577" s="40" t="str">
        <f>IF($C577="","",IFERROR(VLOOKUP($C577,Orders!$A:$J,9,FALSE),""))</f>
        <v/>
      </c>
      <c r="E577" s="40" t="str">
        <f>IF($C577="","",IFERROR(VLOOKUP($C577,Orders!$A:$J,3,FALSE),""))</f>
        <v/>
      </c>
      <c r="F577" s="40" t="str">
        <f>IF($C577="","",IFERROR(VLOOKUP($C577,Orders!$A:$J,4,FALSE),""))</f>
        <v/>
      </c>
      <c r="G577" s="40" t="str">
        <f>IF($C577="","",IFERROR(VLOOKUP($C577,Orders!$A:$J,5,FALSE),""))</f>
        <v/>
      </c>
      <c r="H577" s="40" t="str">
        <f>IF($C577="","",IFERROR(VLOOKUP($C577,Orders!$A:$J,6,FALSE),""))</f>
        <v/>
      </c>
      <c r="I577" s="40" t="str">
        <f>IF($C577="","",IFERROR(VLOOKUP($C577,Orders!$A:$J,7,FALSE),""))</f>
        <v/>
      </c>
      <c r="J577" s="40" t="str">
        <f>IF(Bids!$C577="","",Bids!$C577)</f>
        <v/>
      </c>
      <c r="K577" s="40" t="str">
        <f>IF($J577="","",IFERROR(VLOOKUP($J577,Grinders!$A:$N,2,FALSE),""))</f>
        <v/>
      </c>
      <c r="L577" s="40" t="str">
        <f>IF($J577="","",IFERROR(VLOOKUP($J577,Grinders!$A:$N,3,FALSE),""))</f>
        <v/>
      </c>
      <c r="M577" s="40" t="str">
        <f>IF($J577="","",IFERROR(VLOOKUP($J577,Grinders!$A:$N,4,FALSE),""))</f>
        <v/>
      </c>
      <c r="N577" s="40" t="str">
        <f>IF($J577="","",IFERROR(VLOOKUP($J577,Grinders!$A:$N,5,FALSE),""))</f>
        <v/>
      </c>
      <c r="O577" s="40" t="str">
        <f t="shared" si="2"/>
        <v/>
      </c>
      <c r="P577" s="40" t="str">
        <f>IF($J577="","",IFERROR(VLOOKUP($J577,Grinders!$A:$N,6,FALSE),""))</f>
        <v/>
      </c>
      <c r="Q577" s="40" t="str">
        <f>IF($J577="","",IFERROR(VLOOKUP($J577,Grinders!$A:$N,8,FALSE),""))</f>
        <v/>
      </c>
      <c r="R577" s="40" t="str">
        <f>IFERROR(IF($J577="","",IF($L577="Elite",MAX(50,MIN(100,Config!$B$27*MAX(0,MIN(100,(1-IF($O577="",0,$O577))*100)) + Config!$B$28*MAX(0,MIN(100,(1-MIN(1,IF(Config!$B$30=0,1,$P577/Config!$B$30)))*100)) + Config!$B$29*MAX(0,MIN(100,MIN(1,IF($Q577="",0,$Q577)/Config!$B$23)*100)))),MIN(100,Config!$B$27*MAX(0,MIN(100,(1-IF($O577="",0,$O577))*100)) + Config!$B$28*MAX(0,MIN(100,(1-MIN(1,IF(Config!$B$30=0,1,$P577/Config!$B$30)))*100)) + Config!$B$29*MAX(0,MIN(100,MIN(1,IF($Q577="",0,$Q577)/Config!$B$23)*100))))),"")
</f>
        <v/>
      </c>
      <c r="S577" s="40" t="str">
        <f>IF(Bids!$D577="","",Bids!$D577)</f>
        <v/>
      </c>
      <c r="T577" s="40" t="str">
        <f>IF(Bids!$F577="","",Bids!$F577)</f>
        <v/>
      </c>
      <c r="U577" s="40" t="str">
        <f t="shared" si="3"/>
        <v/>
      </c>
      <c r="V577" s="40" t="str">
        <f>IF($U577="","",IF(Config!$B$17=Config!$B$16,IF($U577&gt;=Config!$B$17,100,0),MAX(0,MIN(100,($U577-Config!$B$16)/(Config!$B$17-Config!$B$16)*100))))</f>
        <v/>
      </c>
      <c r="W577" s="40">
        <f>IF($L577="Elite",Config!$B$21,0)</f>
        <v>0</v>
      </c>
      <c r="X577" s="40" t="str">
        <f>IFERROR(IF(OR($T577="",$G577=""),"",IF($T577&gt;$G577,
  MAX(0, 60-(($T577-$G577)*24/Config!$B$19)*60),
  MEDIAN(60, 100, 60+(($G577-$T577)*24/Config!$B$20)*40)
)),"")
</f>
        <v/>
      </c>
      <c r="Y577" s="40" t="str">
        <f>IF($J577="","",IFERROR(VLOOKUP($J577,Grinders!$A:$N,10,FALSE),""))</f>
        <v/>
      </c>
      <c r="Z577" s="40" t="str">
        <f>IF($J577="","",IFERROR(VLOOKUP($J577,Grinders!$A:$N,11,FALSE),""))</f>
        <v/>
      </c>
      <c r="AA577" s="40" t="str">
        <f>IF($J577="","",IFERROR(VLOOKUP($J577,Grinders!$A:$N,12,FALSE),""))</f>
        <v/>
      </c>
      <c r="AB577" s="40">
        <f>IFERROR(IF(OR($C577="",$J577=""),0,IF($D577&lt;&gt;"Open",0,IF(COUNTIFS(GrinderServices!$B:$B,$J577,GrinderServices!$C:$C,$E577,GrinderServices!$E:$E,"Y")=0,0,IF($U577&lt;Config!$B$16,0,IF(Config!$B$18=1,IF($N577&gt;=$M577,0,1),1))))),"")</f>
        <v>0</v>
      </c>
      <c r="AC577" s="40" t="str">
        <f>IFERROR(IF($AB577=0,"",((Config!$B$6*$V577 + Config!$B$7*$R577 + Config!$B$8*$W577 + Config!$B$9*$X577 + Config!$B$10*$Y577 + Config!$B$11*$Z577 - Config!$B$12*$AA577)/Config!$B$13)+$AH577+$AI577),"")</f>
        <v/>
      </c>
      <c r="AD577" s="40" t="str">
        <f t="shared" si="4"/>
        <v/>
      </c>
      <c r="AE577" s="40" t="str">
        <f>IFERROR(__xludf.DUMMYFUNCTION("IF($AC577="""","""",IF($AC577=IFERROR(MAX(FILTER($AC$6:$AC$1000,$C$6:$C$1000=$C577,$AB$6:$AB$1000=1)),),""WINNER"",""""))"),"")</f>
        <v/>
      </c>
      <c r="AF577" s="40" t="str">
        <f t="shared" si="5"/>
        <v/>
      </c>
      <c r="AG577" s="40" t="str">
        <f>IF($J577="","",COUNTIF(Assignments!$B:$B,$J577))</f>
        <v/>
      </c>
      <c r="AH577" s="40" t="str">
        <f>IF($J577="","",IF(AND($AG577=0,$N577&lt;$M577),Config!$B$43,0))</f>
        <v/>
      </c>
      <c r="AI577" s="40" t="str">
        <f>IF($J577="","",IF(AND($L577="Elite",$F577&gt;=Config!$B$41,$N577&lt;$M577),Config!$B$42,0))</f>
        <v/>
      </c>
      <c r="AJ577" s="22"/>
    </row>
    <row r="578" ht="15.75" customHeight="1">
      <c r="A578" s="40" t="str">
        <f t="shared" si="1"/>
        <v/>
      </c>
      <c r="B578" s="40" t="str">
        <f>IF(Bids!$A578="","",Bids!$A578)</f>
        <v/>
      </c>
      <c r="C578" s="40" t="str">
        <f>IF(Bids!$B578="","",Bids!$B578)</f>
        <v/>
      </c>
      <c r="D578" s="40" t="str">
        <f>IF($C578="","",IFERROR(VLOOKUP($C578,Orders!$A:$J,9,FALSE),""))</f>
        <v/>
      </c>
      <c r="E578" s="40" t="str">
        <f>IF($C578="","",IFERROR(VLOOKUP($C578,Orders!$A:$J,3,FALSE),""))</f>
        <v/>
      </c>
      <c r="F578" s="40" t="str">
        <f>IF($C578="","",IFERROR(VLOOKUP($C578,Orders!$A:$J,4,FALSE),""))</f>
        <v/>
      </c>
      <c r="G578" s="40" t="str">
        <f>IF($C578="","",IFERROR(VLOOKUP($C578,Orders!$A:$J,5,FALSE),""))</f>
        <v/>
      </c>
      <c r="H578" s="40" t="str">
        <f>IF($C578="","",IFERROR(VLOOKUP($C578,Orders!$A:$J,6,FALSE),""))</f>
        <v/>
      </c>
      <c r="I578" s="40" t="str">
        <f>IF($C578="","",IFERROR(VLOOKUP($C578,Orders!$A:$J,7,FALSE),""))</f>
        <v/>
      </c>
      <c r="J578" s="40" t="str">
        <f>IF(Bids!$C578="","",Bids!$C578)</f>
        <v/>
      </c>
      <c r="K578" s="40" t="str">
        <f>IF($J578="","",IFERROR(VLOOKUP($J578,Grinders!$A:$N,2,FALSE),""))</f>
        <v/>
      </c>
      <c r="L578" s="40" t="str">
        <f>IF($J578="","",IFERROR(VLOOKUP($J578,Grinders!$A:$N,3,FALSE),""))</f>
        <v/>
      </c>
      <c r="M578" s="40" t="str">
        <f>IF($J578="","",IFERROR(VLOOKUP($J578,Grinders!$A:$N,4,FALSE),""))</f>
        <v/>
      </c>
      <c r="N578" s="40" t="str">
        <f>IF($J578="","",IFERROR(VLOOKUP($J578,Grinders!$A:$N,5,FALSE),""))</f>
        <v/>
      </c>
      <c r="O578" s="40" t="str">
        <f t="shared" si="2"/>
        <v/>
      </c>
      <c r="P578" s="40" t="str">
        <f>IF($J578="","",IFERROR(VLOOKUP($J578,Grinders!$A:$N,6,FALSE),""))</f>
        <v/>
      </c>
      <c r="Q578" s="40" t="str">
        <f>IF($J578="","",IFERROR(VLOOKUP($J578,Grinders!$A:$N,8,FALSE),""))</f>
        <v/>
      </c>
      <c r="R578" s="40" t="str">
        <f>IFERROR(IF($J578="","",IF($L578="Elite",MAX(50,MIN(100,Config!$B$27*MAX(0,MIN(100,(1-IF($O578="",0,$O578))*100)) + Config!$B$28*MAX(0,MIN(100,(1-MIN(1,IF(Config!$B$30=0,1,$P578/Config!$B$30)))*100)) + Config!$B$29*MAX(0,MIN(100,MIN(1,IF($Q578="",0,$Q578)/Config!$B$23)*100)))),MIN(100,Config!$B$27*MAX(0,MIN(100,(1-IF($O578="",0,$O578))*100)) + Config!$B$28*MAX(0,MIN(100,(1-MIN(1,IF(Config!$B$30=0,1,$P578/Config!$B$30)))*100)) + Config!$B$29*MAX(0,MIN(100,MIN(1,IF($Q578="",0,$Q578)/Config!$B$23)*100))))),"")
</f>
        <v/>
      </c>
      <c r="S578" s="40" t="str">
        <f>IF(Bids!$D578="","",Bids!$D578)</f>
        <v/>
      </c>
      <c r="T578" s="40" t="str">
        <f>IF(Bids!$F578="","",Bids!$F578)</f>
        <v/>
      </c>
      <c r="U578" s="40" t="str">
        <f t="shared" si="3"/>
        <v/>
      </c>
      <c r="V578" s="40" t="str">
        <f>IF($U578="","",IF(Config!$B$17=Config!$B$16,IF($U578&gt;=Config!$B$17,100,0),MAX(0,MIN(100,($U578-Config!$B$16)/(Config!$B$17-Config!$B$16)*100))))</f>
        <v/>
      </c>
      <c r="W578" s="40">
        <f>IF($L578="Elite",Config!$B$21,0)</f>
        <v>0</v>
      </c>
      <c r="X578" s="40" t="str">
        <f>IFERROR(IF(OR($T578="",$G578=""),"",IF($T578&gt;$G578,
  MAX(0, 60-(($T578-$G578)*24/Config!$B$19)*60),
  MEDIAN(60, 100, 60+(($G578-$T578)*24/Config!$B$20)*40)
)),"")
</f>
        <v/>
      </c>
      <c r="Y578" s="40" t="str">
        <f>IF($J578="","",IFERROR(VLOOKUP($J578,Grinders!$A:$N,10,FALSE),""))</f>
        <v/>
      </c>
      <c r="Z578" s="40" t="str">
        <f>IF($J578="","",IFERROR(VLOOKUP($J578,Grinders!$A:$N,11,FALSE),""))</f>
        <v/>
      </c>
      <c r="AA578" s="40" t="str">
        <f>IF($J578="","",IFERROR(VLOOKUP($J578,Grinders!$A:$N,12,FALSE),""))</f>
        <v/>
      </c>
      <c r="AB578" s="40">
        <f>IFERROR(IF(OR($C578="",$J578=""),0,IF($D578&lt;&gt;"Open",0,IF(COUNTIFS(GrinderServices!$B:$B,$J578,GrinderServices!$C:$C,$E578,GrinderServices!$E:$E,"Y")=0,0,IF($U578&lt;Config!$B$16,0,IF(Config!$B$18=1,IF($N578&gt;=$M578,0,1),1))))),"")</f>
        <v>0</v>
      </c>
      <c r="AC578" s="40" t="str">
        <f>IFERROR(IF($AB578=0,"",((Config!$B$6*$V578 + Config!$B$7*$R578 + Config!$B$8*$W578 + Config!$B$9*$X578 + Config!$B$10*$Y578 + Config!$B$11*$Z578 - Config!$B$12*$AA578)/Config!$B$13)+$AH578+$AI578),"")</f>
        <v/>
      </c>
      <c r="AD578" s="40" t="str">
        <f t="shared" si="4"/>
        <v/>
      </c>
      <c r="AE578" s="40" t="str">
        <f>IFERROR(__xludf.DUMMYFUNCTION("IF($AC578="""","""",IF($AC578=IFERROR(MAX(FILTER($AC$6:$AC$1000,$C$6:$C$1000=$C578,$AB$6:$AB$1000=1)),),""WINNER"",""""))"),"")</f>
        <v/>
      </c>
      <c r="AF578" s="40" t="str">
        <f t="shared" si="5"/>
        <v/>
      </c>
      <c r="AG578" s="40" t="str">
        <f>IF($J578="","",COUNTIF(Assignments!$B:$B,$J578))</f>
        <v/>
      </c>
      <c r="AH578" s="40" t="str">
        <f>IF($J578="","",IF(AND($AG578=0,$N578&lt;$M578),Config!$B$43,0))</f>
        <v/>
      </c>
      <c r="AI578" s="40" t="str">
        <f>IF($J578="","",IF(AND($L578="Elite",$F578&gt;=Config!$B$41,$N578&lt;$M578),Config!$B$42,0))</f>
        <v/>
      </c>
      <c r="AJ578" s="22"/>
    </row>
    <row r="579" ht="15.75" customHeight="1">
      <c r="A579" s="40" t="str">
        <f t="shared" si="1"/>
        <v/>
      </c>
      <c r="B579" s="40" t="str">
        <f>IF(Bids!$A579="","",Bids!$A579)</f>
        <v/>
      </c>
      <c r="C579" s="40" t="str">
        <f>IF(Bids!$B579="","",Bids!$B579)</f>
        <v/>
      </c>
      <c r="D579" s="40" t="str">
        <f>IF($C579="","",IFERROR(VLOOKUP($C579,Orders!$A:$J,9,FALSE),""))</f>
        <v/>
      </c>
      <c r="E579" s="40" t="str">
        <f>IF($C579="","",IFERROR(VLOOKUP($C579,Orders!$A:$J,3,FALSE),""))</f>
        <v/>
      </c>
      <c r="F579" s="40" t="str">
        <f>IF($C579="","",IFERROR(VLOOKUP($C579,Orders!$A:$J,4,FALSE),""))</f>
        <v/>
      </c>
      <c r="G579" s="40" t="str">
        <f>IF($C579="","",IFERROR(VLOOKUP($C579,Orders!$A:$J,5,FALSE),""))</f>
        <v/>
      </c>
      <c r="H579" s="40" t="str">
        <f>IF($C579="","",IFERROR(VLOOKUP($C579,Orders!$A:$J,6,FALSE),""))</f>
        <v/>
      </c>
      <c r="I579" s="40" t="str">
        <f>IF($C579="","",IFERROR(VLOOKUP($C579,Orders!$A:$J,7,FALSE),""))</f>
        <v/>
      </c>
      <c r="J579" s="40" t="str">
        <f>IF(Bids!$C579="","",Bids!$C579)</f>
        <v/>
      </c>
      <c r="K579" s="40" t="str">
        <f>IF($J579="","",IFERROR(VLOOKUP($J579,Grinders!$A:$N,2,FALSE),""))</f>
        <v/>
      </c>
      <c r="L579" s="40" t="str">
        <f>IF($J579="","",IFERROR(VLOOKUP($J579,Grinders!$A:$N,3,FALSE),""))</f>
        <v/>
      </c>
      <c r="M579" s="40" t="str">
        <f>IF($J579="","",IFERROR(VLOOKUP($J579,Grinders!$A:$N,4,FALSE),""))</f>
        <v/>
      </c>
      <c r="N579" s="40" t="str">
        <f>IF($J579="","",IFERROR(VLOOKUP($J579,Grinders!$A:$N,5,FALSE),""))</f>
        <v/>
      </c>
      <c r="O579" s="40" t="str">
        <f t="shared" si="2"/>
        <v/>
      </c>
      <c r="P579" s="40" t="str">
        <f>IF($J579="","",IFERROR(VLOOKUP($J579,Grinders!$A:$N,6,FALSE),""))</f>
        <v/>
      </c>
      <c r="Q579" s="40" t="str">
        <f>IF($J579="","",IFERROR(VLOOKUP($J579,Grinders!$A:$N,8,FALSE),""))</f>
        <v/>
      </c>
      <c r="R579" s="40" t="str">
        <f>IFERROR(IF($J579="","",IF($L579="Elite",MAX(50,MIN(100,Config!$B$27*MAX(0,MIN(100,(1-IF($O579="",0,$O579))*100)) + Config!$B$28*MAX(0,MIN(100,(1-MIN(1,IF(Config!$B$30=0,1,$P579/Config!$B$30)))*100)) + Config!$B$29*MAX(0,MIN(100,MIN(1,IF($Q579="",0,$Q579)/Config!$B$23)*100)))),MIN(100,Config!$B$27*MAX(0,MIN(100,(1-IF($O579="",0,$O579))*100)) + Config!$B$28*MAX(0,MIN(100,(1-MIN(1,IF(Config!$B$30=0,1,$P579/Config!$B$30)))*100)) + Config!$B$29*MAX(0,MIN(100,MIN(1,IF($Q579="",0,$Q579)/Config!$B$23)*100))))),"")
</f>
        <v/>
      </c>
      <c r="S579" s="40" t="str">
        <f>IF(Bids!$D579="","",Bids!$D579)</f>
        <v/>
      </c>
      <c r="T579" s="40" t="str">
        <f>IF(Bids!$F579="","",Bids!$F579)</f>
        <v/>
      </c>
      <c r="U579" s="40" t="str">
        <f t="shared" si="3"/>
        <v/>
      </c>
      <c r="V579" s="40" t="str">
        <f>IF($U579="","",IF(Config!$B$17=Config!$B$16,IF($U579&gt;=Config!$B$17,100,0),MAX(0,MIN(100,($U579-Config!$B$16)/(Config!$B$17-Config!$B$16)*100))))</f>
        <v/>
      </c>
      <c r="W579" s="40">
        <f>IF($L579="Elite",Config!$B$21,0)</f>
        <v>0</v>
      </c>
      <c r="X579" s="40" t="str">
        <f>IFERROR(IF(OR($T579="",$G579=""),"",IF($T579&gt;$G579,
  MAX(0, 60-(($T579-$G579)*24/Config!$B$19)*60),
  MEDIAN(60, 100, 60+(($G579-$T579)*24/Config!$B$20)*40)
)),"")
</f>
        <v/>
      </c>
      <c r="Y579" s="40" t="str">
        <f>IF($J579="","",IFERROR(VLOOKUP($J579,Grinders!$A:$N,10,FALSE),""))</f>
        <v/>
      </c>
      <c r="Z579" s="40" t="str">
        <f>IF($J579="","",IFERROR(VLOOKUP($J579,Grinders!$A:$N,11,FALSE),""))</f>
        <v/>
      </c>
      <c r="AA579" s="40" t="str">
        <f>IF($J579="","",IFERROR(VLOOKUP($J579,Grinders!$A:$N,12,FALSE),""))</f>
        <v/>
      </c>
      <c r="AB579" s="40">
        <f>IFERROR(IF(OR($C579="",$J579=""),0,IF($D579&lt;&gt;"Open",0,IF(COUNTIFS(GrinderServices!$B:$B,$J579,GrinderServices!$C:$C,$E579,GrinderServices!$E:$E,"Y")=0,0,IF($U579&lt;Config!$B$16,0,IF(Config!$B$18=1,IF($N579&gt;=$M579,0,1),1))))),"")</f>
        <v>0</v>
      </c>
      <c r="AC579" s="40" t="str">
        <f>IFERROR(IF($AB579=0,"",((Config!$B$6*$V579 + Config!$B$7*$R579 + Config!$B$8*$W579 + Config!$B$9*$X579 + Config!$B$10*$Y579 + Config!$B$11*$Z579 - Config!$B$12*$AA579)/Config!$B$13)+$AH579+$AI579),"")</f>
        <v/>
      </c>
      <c r="AD579" s="40" t="str">
        <f t="shared" si="4"/>
        <v/>
      </c>
      <c r="AE579" s="40" t="str">
        <f>IFERROR(__xludf.DUMMYFUNCTION("IF($AC579="""","""",IF($AC579=IFERROR(MAX(FILTER($AC$6:$AC$1000,$C$6:$C$1000=$C579,$AB$6:$AB$1000=1)),),""WINNER"",""""))"),"")</f>
        <v/>
      </c>
      <c r="AF579" s="40" t="str">
        <f t="shared" si="5"/>
        <v/>
      </c>
      <c r="AG579" s="40" t="str">
        <f>IF($J579="","",COUNTIF(Assignments!$B:$B,$J579))</f>
        <v/>
      </c>
      <c r="AH579" s="40" t="str">
        <f>IF($J579="","",IF(AND($AG579=0,$N579&lt;$M579),Config!$B$43,0))</f>
        <v/>
      </c>
      <c r="AI579" s="40" t="str">
        <f>IF($J579="","",IF(AND($L579="Elite",$F579&gt;=Config!$B$41,$N579&lt;$M579),Config!$B$42,0))</f>
        <v/>
      </c>
      <c r="AJ579" s="22"/>
    </row>
    <row r="580" ht="15.75" customHeight="1">
      <c r="A580" s="40" t="str">
        <f t="shared" si="1"/>
        <v/>
      </c>
      <c r="B580" s="40" t="str">
        <f>IF(Bids!$A580="","",Bids!$A580)</f>
        <v/>
      </c>
      <c r="C580" s="40" t="str">
        <f>IF(Bids!$B580="","",Bids!$B580)</f>
        <v/>
      </c>
      <c r="D580" s="40" t="str">
        <f>IF($C580="","",IFERROR(VLOOKUP($C580,Orders!$A:$J,9,FALSE),""))</f>
        <v/>
      </c>
      <c r="E580" s="40" t="str">
        <f>IF($C580="","",IFERROR(VLOOKUP($C580,Orders!$A:$J,3,FALSE),""))</f>
        <v/>
      </c>
      <c r="F580" s="40" t="str">
        <f>IF($C580="","",IFERROR(VLOOKUP($C580,Orders!$A:$J,4,FALSE),""))</f>
        <v/>
      </c>
      <c r="G580" s="40" t="str">
        <f>IF($C580="","",IFERROR(VLOOKUP($C580,Orders!$A:$J,5,FALSE),""))</f>
        <v/>
      </c>
      <c r="H580" s="40" t="str">
        <f>IF($C580="","",IFERROR(VLOOKUP($C580,Orders!$A:$J,6,FALSE),""))</f>
        <v/>
      </c>
      <c r="I580" s="40" t="str">
        <f>IF($C580="","",IFERROR(VLOOKUP($C580,Orders!$A:$J,7,FALSE),""))</f>
        <v/>
      </c>
      <c r="J580" s="40" t="str">
        <f>IF(Bids!$C580="","",Bids!$C580)</f>
        <v/>
      </c>
      <c r="K580" s="40" t="str">
        <f>IF($J580="","",IFERROR(VLOOKUP($J580,Grinders!$A:$N,2,FALSE),""))</f>
        <v/>
      </c>
      <c r="L580" s="40" t="str">
        <f>IF($J580="","",IFERROR(VLOOKUP($J580,Grinders!$A:$N,3,FALSE),""))</f>
        <v/>
      </c>
      <c r="M580" s="40" t="str">
        <f>IF($J580="","",IFERROR(VLOOKUP($J580,Grinders!$A:$N,4,FALSE),""))</f>
        <v/>
      </c>
      <c r="N580" s="40" t="str">
        <f>IF($J580="","",IFERROR(VLOOKUP($J580,Grinders!$A:$N,5,FALSE),""))</f>
        <v/>
      </c>
      <c r="O580" s="40" t="str">
        <f t="shared" si="2"/>
        <v/>
      </c>
      <c r="P580" s="40" t="str">
        <f>IF($J580="","",IFERROR(VLOOKUP($J580,Grinders!$A:$N,6,FALSE),""))</f>
        <v/>
      </c>
      <c r="Q580" s="40" t="str">
        <f>IF($J580="","",IFERROR(VLOOKUP($J580,Grinders!$A:$N,8,FALSE),""))</f>
        <v/>
      </c>
      <c r="R580" s="40" t="str">
        <f>IFERROR(IF($J580="","",IF($L580="Elite",MAX(50,MIN(100,Config!$B$27*MAX(0,MIN(100,(1-IF($O580="",0,$O580))*100)) + Config!$B$28*MAX(0,MIN(100,(1-MIN(1,IF(Config!$B$30=0,1,$P580/Config!$B$30)))*100)) + Config!$B$29*MAX(0,MIN(100,MIN(1,IF($Q580="",0,$Q580)/Config!$B$23)*100)))),MIN(100,Config!$B$27*MAX(0,MIN(100,(1-IF($O580="",0,$O580))*100)) + Config!$B$28*MAX(0,MIN(100,(1-MIN(1,IF(Config!$B$30=0,1,$P580/Config!$B$30)))*100)) + Config!$B$29*MAX(0,MIN(100,MIN(1,IF($Q580="",0,$Q580)/Config!$B$23)*100))))),"")
</f>
        <v/>
      </c>
      <c r="S580" s="40" t="str">
        <f>IF(Bids!$D580="","",Bids!$D580)</f>
        <v/>
      </c>
      <c r="T580" s="40" t="str">
        <f>IF(Bids!$F580="","",Bids!$F580)</f>
        <v/>
      </c>
      <c r="U580" s="40" t="str">
        <f t="shared" si="3"/>
        <v/>
      </c>
      <c r="V580" s="40" t="str">
        <f>IF($U580="","",IF(Config!$B$17=Config!$B$16,IF($U580&gt;=Config!$B$17,100,0),MAX(0,MIN(100,($U580-Config!$B$16)/(Config!$B$17-Config!$B$16)*100))))</f>
        <v/>
      </c>
      <c r="W580" s="40">
        <f>IF($L580="Elite",Config!$B$21,0)</f>
        <v>0</v>
      </c>
      <c r="X580" s="40" t="str">
        <f>IFERROR(IF(OR($T580="",$G580=""),"",IF($T580&gt;$G580,
  MAX(0, 60-(($T580-$G580)*24/Config!$B$19)*60),
  MEDIAN(60, 100, 60+(($G580-$T580)*24/Config!$B$20)*40)
)),"")
</f>
        <v/>
      </c>
      <c r="Y580" s="40" t="str">
        <f>IF($J580="","",IFERROR(VLOOKUP($J580,Grinders!$A:$N,10,FALSE),""))</f>
        <v/>
      </c>
      <c r="Z580" s="40" t="str">
        <f>IF($J580="","",IFERROR(VLOOKUP($J580,Grinders!$A:$N,11,FALSE),""))</f>
        <v/>
      </c>
      <c r="AA580" s="40" t="str">
        <f>IF($J580="","",IFERROR(VLOOKUP($J580,Grinders!$A:$N,12,FALSE),""))</f>
        <v/>
      </c>
      <c r="AB580" s="40">
        <f>IFERROR(IF(OR($C580="",$J580=""),0,IF($D580&lt;&gt;"Open",0,IF(COUNTIFS(GrinderServices!$B:$B,$J580,GrinderServices!$C:$C,$E580,GrinderServices!$E:$E,"Y")=0,0,IF($U580&lt;Config!$B$16,0,IF(Config!$B$18=1,IF($N580&gt;=$M580,0,1),1))))),"")</f>
        <v>0</v>
      </c>
      <c r="AC580" s="40" t="str">
        <f>IFERROR(IF($AB580=0,"",((Config!$B$6*$V580 + Config!$B$7*$R580 + Config!$B$8*$W580 + Config!$B$9*$X580 + Config!$B$10*$Y580 + Config!$B$11*$Z580 - Config!$B$12*$AA580)/Config!$B$13)+$AH580+$AI580),"")</f>
        <v/>
      </c>
      <c r="AD580" s="40" t="str">
        <f t="shared" si="4"/>
        <v/>
      </c>
      <c r="AE580" s="40" t="str">
        <f>IFERROR(__xludf.DUMMYFUNCTION("IF($AC580="""","""",IF($AC580=IFERROR(MAX(FILTER($AC$6:$AC$1000,$C$6:$C$1000=$C580,$AB$6:$AB$1000=1)),),""WINNER"",""""))"),"")</f>
        <v/>
      </c>
      <c r="AF580" s="40" t="str">
        <f t="shared" si="5"/>
        <v/>
      </c>
      <c r="AG580" s="40" t="str">
        <f>IF($J580="","",COUNTIF(Assignments!$B:$B,$J580))</f>
        <v/>
      </c>
      <c r="AH580" s="40" t="str">
        <f>IF($J580="","",IF(AND($AG580=0,$N580&lt;$M580),Config!$B$43,0))</f>
        <v/>
      </c>
      <c r="AI580" s="40" t="str">
        <f>IF($J580="","",IF(AND($L580="Elite",$F580&gt;=Config!$B$41,$N580&lt;$M580),Config!$B$42,0))</f>
        <v/>
      </c>
      <c r="AJ580" s="22"/>
    </row>
    <row r="581" ht="15.75" customHeight="1">
      <c r="A581" s="40" t="str">
        <f t="shared" si="1"/>
        <v/>
      </c>
      <c r="B581" s="40" t="str">
        <f>IF(Bids!$A581="","",Bids!$A581)</f>
        <v/>
      </c>
      <c r="C581" s="40" t="str">
        <f>IF(Bids!$B581="","",Bids!$B581)</f>
        <v/>
      </c>
      <c r="D581" s="40" t="str">
        <f>IF($C581="","",IFERROR(VLOOKUP($C581,Orders!$A:$J,9,FALSE),""))</f>
        <v/>
      </c>
      <c r="E581" s="40" t="str">
        <f>IF($C581="","",IFERROR(VLOOKUP($C581,Orders!$A:$J,3,FALSE),""))</f>
        <v/>
      </c>
      <c r="F581" s="40" t="str">
        <f>IF($C581="","",IFERROR(VLOOKUP($C581,Orders!$A:$J,4,FALSE),""))</f>
        <v/>
      </c>
      <c r="G581" s="40" t="str">
        <f>IF($C581="","",IFERROR(VLOOKUP($C581,Orders!$A:$J,5,FALSE),""))</f>
        <v/>
      </c>
      <c r="H581" s="40" t="str">
        <f>IF($C581="","",IFERROR(VLOOKUP($C581,Orders!$A:$J,6,FALSE),""))</f>
        <v/>
      </c>
      <c r="I581" s="40" t="str">
        <f>IF($C581="","",IFERROR(VLOOKUP($C581,Orders!$A:$J,7,FALSE),""))</f>
        <v/>
      </c>
      <c r="J581" s="40" t="str">
        <f>IF(Bids!$C581="","",Bids!$C581)</f>
        <v/>
      </c>
      <c r="K581" s="40" t="str">
        <f>IF($J581="","",IFERROR(VLOOKUP($J581,Grinders!$A:$N,2,FALSE),""))</f>
        <v/>
      </c>
      <c r="L581" s="40" t="str">
        <f>IF($J581="","",IFERROR(VLOOKUP($J581,Grinders!$A:$N,3,FALSE),""))</f>
        <v/>
      </c>
      <c r="M581" s="40" t="str">
        <f>IF($J581="","",IFERROR(VLOOKUP($J581,Grinders!$A:$N,4,FALSE),""))</f>
        <v/>
      </c>
      <c r="N581" s="40" t="str">
        <f>IF($J581="","",IFERROR(VLOOKUP($J581,Grinders!$A:$N,5,FALSE),""))</f>
        <v/>
      </c>
      <c r="O581" s="40" t="str">
        <f t="shared" si="2"/>
        <v/>
      </c>
      <c r="P581" s="40" t="str">
        <f>IF($J581="","",IFERROR(VLOOKUP($J581,Grinders!$A:$N,6,FALSE),""))</f>
        <v/>
      </c>
      <c r="Q581" s="40" t="str">
        <f>IF($J581="","",IFERROR(VLOOKUP($J581,Grinders!$A:$N,8,FALSE),""))</f>
        <v/>
      </c>
      <c r="R581" s="40" t="str">
        <f>IFERROR(IF($J581="","",IF($L581="Elite",MAX(50,MIN(100,Config!$B$27*MAX(0,MIN(100,(1-IF($O581="",0,$O581))*100)) + Config!$B$28*MAX(0,MIN(100,(1-MIN(1,IF(Config!$B$30=0,1,$P581/Config!$B$30)))*100)) + Config!$B$29*MAX(0,MIN(100,MIN(1,IF($Q581="",0,$Q581)/Config!$B$23)*100)))),MIN(100,Config!$B$27*MAX(0,MIN(100,(1-IF($O581="",0,$O581))*100)) + Config!$B$28*MAX(0,MIN(100,(1-MIN(1,IF(Config!$B$30=0,1,$P581/Config!$B$30)))*100)) + Config!$B$29*MAX(0,MIN(100,MIN(1,IF($Q581="",0,$Q581)/Config!$B$23)*100))))),"")
</f>
        <v/>
      </c>
      <c r="S581" s="40" t="str">
        <f>IF(Bids!$D581="","",Bids!$D581)</f>
        <v/>
      </c>
      <c r="T581" s="40" t="str">
        <f>IF(Bids!$F581="","",Bids!$F581)</f>
        <v/>
      </c>
      <c r="U581" s="40" t="str">
        <f t="shared" si="3"/>
        <v/>
      </c>
      <c r="V581" s="40" t="str">
        <f>IF($U581="","",IF(Config!$B$17=Config!$B$16,IF($U581&gt;=Config!$B$17,100,0),MAX(0,MIN(100,($U581-Config!$B$16)/(Config!$B$17-Config!$B$16)*100))))</f>
        <v/>
      </c>
      <c r="W581" s="40">
        <f>IF($L581="Elite",Config!$B$21,0)</f>
        <v>0</v>
      </c>
      <c r="X581" s="40" t="str">
        <f>IFERROR(IF(OR($T581="",$G581=""),"",IF($T581&gt;$G581,
  MAX(0, 60-(($T581-$G581)*24/Config!$B$19)*60),
  MEDIAN(60, 100, 60+(($G581-$T581)*24/Config!$B$20)*40)
)),"")
</f>
        <v/>
      </c>
      <c r="Y581" s="40" t="str">
        <f>IF($J581="","",IFERROR(VLOOKUP($J581,Grinders!$A:$N,10,FALSE),""))</f>
        <v/>
      </c>
      <c r="Z581" s="40" t="str">
        <f>IF($J581="","",IFERROR(VLOOKUP($J581,Grinders!$A:$N,11,FALSE),""))</f>
        <v/>
      </c>
      <c r="AA581" s="40" t="str">
        <f>IF($J581="","",IFERROR(VLOOKUP($J581,Grinders!$A:$N,12,FALSE),""))</f>
        <v/>
      </c>
      <c r="AB581" s="40">
        <f>IFERROR(IF(OR($C581="",$J581=""),0,IF($D581&lt;&gt;"Open",0,IF(COUNTIFS(GrinderServices!$B:$B,$J581,GrinderServices!$C:$C,$E581,GrinderServices!$E:$E,"Y")=0,0,IF($U581&lt;Config!$B$16,0,IF(Config!$B$18=1,IF($N581&gt;=$M581,0,1),1))))),"")</f>
        <v>0</v>
      </c>
      <c r="AC581" s="40" t="str">
        <f>IFERROR(IF($AB581=0,"",((Config!$B$6*$V581 + Config!$B$7*$R581 + Config!$B$8*$W581 + Config!$B$9*$X581 + Config!$B$10*$Y581 + Config!$B$11*$Z581 - Config!$B$12*$AA581)/Config!$B$13)+$AH581+$AI581),"")</f>
        <v/>
      </c>
      <c r="AD581" s="40" t="str">
        <f t="shared" si="4"/>
        <v/>
      </c>
      <c r="AE581" s="40" t="str">
        <f>IFERROR(__xludf.DUMMYFUNCTION("IF($AC581="""","""",IF($AC581=IFERROR(MAX(FILTER($AC$6:$AC$1000,$C$6:$C$1000=$C581,$AB$6:$AB$1000=1)),),""WINNER"",""""))"),"")</f>
        <v/>
      </c>
      <c r="AF581" s="40" t="str">
        <f t="shared" si="5"/>
        <v/>
      </c>
      <c r="AG581" s="40" t="str">
        <f>IF($J581="","",COUNTIF(Assignments!$B:$B,$J581))</f>
        <v/>
      </c>
      <c r="AH581" s="40" t="str">
        <f>IF($J581="","",IF(AND($AG581=0,$N581&lt;$M581),Config!$B$43,0))</f>
        <v/>
      </c>
      <c r="AI581" s="40" t="str">
        <f>IF($J581="","",IF(AND($L581="Elite",$F581&gt;=Config!$B$41,$N581&lt;$M581),Config!$B$42,0))</f>
        <v/>
      </c>
      <c r="AJ581" s="22"/>
    </row>
    <row r="582" ht="15.75" customHeight="1">
      <c r="A582" s="40" t="str">
        <f t="shared" si="1"/>
        <v/>
      </c>
      <c r="B582" s="40" t="str">
        <f>IF(Bids!$A582="","",Bids!$A582)</f>
        <v/>
      </c>
      <c r="C582" s="40" t="str">
        <f>IF(Bids!$B582="","",Bids!$B582)</f>
        <v/>
      </c>
      <c r="D582" s="40" t="str">
        <f>IF($C582="","",IFERROR(VLOOKUP($C582,Orders!$A:$J,9,FALSE),""))</f>
        <v/>
      </c>
      <c r="E582" s="40" t="str">
        <f>IF($C582="","",IFERROR(VLOOKUP($C582,Orders!$A:$J,3,FALSE),""))</f>
        <v/>
      </c>
      <c r="F582" s="40" t="str">
        <f>IF($C582="","",IFERROR(VLOOKUP($C582,Orders!$A:$J,4,FALSE),""))</f>
        <v/>
      </c>
      <c r="G582" s="40" t="str">
        <f>IF($C582="","",IFERROR(VLOOKUP($C582,Orders!$A:$J,5,FALSE),""))</f>
        <v/>
      </c>
      <c r="H582" s="40" t="str">
        <f>IF($C582="","",IFERROR(VLOOKUP($C582,Orders!$A:$J,6,FALSE),""))</f>
        <v/>
      </c>
      <c r="I582" s="40" t="str">
        <f>IF($C582="","",IFERROR(VLOOKUP($C582,Orders!$A:$J,7,FALSE),""))</f>
        <v/>
      </c>
      <c r="J582" s="40" t="str">
        <f>IF(Bids!$C582="","",Bids!$C582)</f>
        <v/>
      </c>
      <c r="K582" s="40" t="str">
        <f>IF($J582="","",IFERROR(VLOOKUP($J582,Grinders!$A:$N,2,FALSE),""))</f>
        <v/>
      </c>
      <c r="L582" s="40" t="str">
        <f>IF($J582="","",IFERROR(VLOOKUP($J582,Grinders!$A:$N,3,FALSE),""))</f>
        <v/>
      </c>
      <c r="M582" s="40" t="str">
        <f>IF($J582="","",IFERROR(VLOOKUP($J582,Grinders!$A:$N,4,FALSE),""))</f>
        <v/>
      </c>
      <c r="N582" s="40" t="str">
        <f>IF($J582="","",IFERROR(VLOOKUP($J582,Grinders!$A:$N,5,FALSE),""))</f>
        <v/>
      </c>
      <c r="O582" s="40" t="str">
        <f t="shared" si="2"/>
        <v/>
      </c>
      <c r="P582" s="40" t="str">
        <f>IF($J582="","",IFERROR(VLOOKUP($J582,Grinders!$A:$N,6,FALSE),""))</f>
        <v/>
      </c>
      <c r="Q582" s="40" t="str">
        <f>IF($J582="","",IFERROR(VLOOKUP($J582,Grinders!$A:$N,8,FALSE),""))</f>
        <v/>
      </c>
      <c r="R582" s="40" t="str">
        <f>IFERROR(IF($J582="","",IF($L582="Elite",MAX(50,MIN(100,Config!$B$27*MAX(0,MIN(100,(1-IF($O582="",0,$O582))*100)) + Config!$B$28*MAX(0,MIN(100,(1-MIN(1,IF(Config!$B$30=0,1,$P582/Config!$B$30)))*100)) + Config!$B$29*MAX(0,MIN(100,MIN(1,IF($Q582="",0,$Q582)/Config!$B$23)*100)))),MIN(100,Config!$B$27*MAX(0,MIN(100,(1-IF($O582="",0,$O582))*100)) + Config!$B$28*MAX(0,MIN(100,(1-MIN(1,IF(Config!$B$30=0,1,$P582/Config!$B$30)))*100)) + Config!$B$29*MAX(0,MIN(100,MIN(1,IF($Q582="",0,$Q582)/Config!$B$23)*100))))),"")
</f>
        <v/>
      </c>
      <c r="S582" s="40" t="str">
        <f>IF(Bids!$D582="","",Bids!$D582)</f>
        <v/>
      </c>
      <c r="T582" s="40" t="str">
        <f>IF(Bids!$F582="","",Bids!$F582)</f>
        <v/>
      </c>
      <c r="U582" s="40" t="str">
        <f t="shared" si="3"/>
        <v/>
      </c>
      <c r="V582" s="40" t="str">
        <f>IF($U582="","",IF(Config!$B$17=Config!$B$16,IF($U582&gt;=Config!$B$17,100,0),MAX(0,MIN(100,($U582-Config!$B$16)/(Config!$B$17-Config!$B$16)*100))))</f>
        <v/>
      </c>
      <c r="W582" s="40">
        <f>IF($L582="Elite",Config!$B$21,0)</f>
        <v>0</v>
      </c>
      <c r="X582" s="40" t="str">
        <f>IFERROR(IF(OR($T582="",$G582=""),"",IF($T582&gt;$G582,
  MAX(0, 60-(($T582-$G582)*24/Config!$B$19)*60),
  MEDIAN(60, 100, 60+(($G582-$T582)*24/Config!$B$20)*40)
)),"")
</f>
        <v/>
      </c>
      <c r="Y582" s="40" t="str">
        <f>IF($J582="","",IFERROR(VLOOKUP($J582,Grinders!$A:$N,10,FALSE),""))</f>
        <v/>
      </c>
      <c r="Z582" s="40" t="str">
        <f>IF($J582="","",IFERROR(VLOOKUP($J582,Grinders!$A:$N,11,FALSE),""))</f>
        <v/>
      </c>
      <c r="AA582" s="40" t="str">
        <f>IF($J582="","",IFERROR(VLOOKUP($J582,Grinders!$A:$N,12,FALSE),""))</f>
        <v/>
      </c>
      <c r="AB582" s="40">
        <f>IFERROR(IF(OR($C582="",$J582=""),0,IF($D582&lt;&gt;"Open",0,IF(COUNTIFS(GrinderServices!$B:$B,$J582,GrinderServices!$C:$C,$E582,GrinderServices!$E:$E,"Y")=0,0,IF($U582&lt;Config!$B$16,0,IF(Config!$B$18=1,IF($N582&gt;=$M582,0,1),1))))),"")</f>
        <v>0</v>
      </c>
      <c r="AC582" s="40" t="str">
        <f>IFERROR(IF($AB582=0,"",((Config!$B$6*$V582 + Config!$B$7*$R582 + Config!$B$8*$W582 + Config!$B$9*$X582 + Config!$B$10*$Y582 + Config!$B$11*$Z582 - Config!$B$12*$AA582)/Config!$B$13)+$AH582+$AI582),"")</f>
        <v/>
      </c>
      <c r="AD582" s="40" t="str">
        <f t="shared" si="4"/>
        <v/>
      </c>
      <c r="AE582" s="40" t="str">
        <f>IFERROR(__xludf.DUMMYFUNCTION("IF($AC582="""","""",IF($AC582=IFERROR(MAX(FILTER($AC$6:$AC$1000,$C$6:$C$1000=$C582,$AB$6:$AB$1000=1)),),""WINNER"",""""))"),"")</f>
        <v/>
      </c>
      <c r="AF582" s="40" t="str">
        <f t="shared" si="5"/>
        <v/>
      </c>
      <c r="AG582" s="40" t="str">
        <f>IF($J582="","",COUNTIF(Assignments!$B:$B,$J582))</f>
        <v/>
      </c>
      <c r="AH582" s="40" t="str">
        <f>IF($J582="","",IF(AND($AG582=0,$N582&lt;$M582),Config!$B$43,0))</f>
        <v/>
      </c>
      <c r="AI582" s="40" t="str">
        <f>IF($J582="","",IF(AND($L582="Elite",$F582&gt;=Config!$B$41,$N582&lt;$M582),Config!$B$42,0))</f>
        <v/>
      </c>
      <c r="AJ582" s="22"/>
    </row>
    <row r="583" ht="15.75" customHeight="1">
      <c r="A583" s="40" t="str">
        <f t="shared" si="1"/>
        <v/>
      </c>
      <c r="B583" s="40" t="str">
        <f>IF(Bids!$A583="","",Bids!$A583)</f>
        <v/>
      </c>
      <c r="C583" s="40" t="str">
        <f>IF(Bids!$B583="","",Bids!$B583)</f>
        <v/>
      </c>
      <c r="D583" s="40" t="str">
        <f>IF($C583="","",IFERROR(VLOOKUP($C583,Orders!$A:$J,9,FALSE),""))</f>
        <v/>
      </c>
      <c r="E583" s="40" t="str">
        <f>IF($C583="","",IFERROR(VLOOKUP($C583,Orders!$A:$J,3,FALSE),""))</f>
        <v/>
      </c>
      <c r="F583" s="40" t="str">
        <f>IF($C583="","",IFERROR(VLOOKUP($C583,Orders!$A:$J,4,FALSE),""))</f>
        <v/>
      </c>
      <c r="G583" s="40" t="str">
        <f>IF($C583="","",IFERROR(VLOOKUP($C583,Orders!$A:$J,5,FALSE),""))</f>
        <v/>
      </c>
      <c r="H583" s="40" t="str">
        <f>IF($C583="","",IFERROR(VLOOKUP($C583,Orders!$A:$J,6,FALSE),""))</f>
        <v/>
      </c>
      <c r="I583" s="40" t="str">
        <f>IF($C583="","",IFERROR(VLOOKUP($C583,Orders!$A:$J,7,FALSE),""))</f>
        <v/>
      </c>
      <c r="J583" s="40" t="str">
        <f>IF(Bids!$C583="","",Bids!$C583)</f>
        <v/>
      </c>
      <c r="K583" s="40" t="str">
        <f>IF($J583="","",IFERROR(VLOOKUP($J583,Grinders!$A:$N,2,FALSE),""))</f>
        <v/>
      </c>
      <c r="L583" s="40" t="str">
        <f>IF($J583="","",IFERROR(VLOOKUP($J583,Grinders!$A:$N,3,FALSE),""))</f>
        <v/>
      </c>
      <c r="M583" s="40" t="str">
        <f>IF($J583="","",IFERROR(VLOOKUP($J583,Grinders!$A:$N,4,FALSE),""))</f>
        <v/>
      </c>
      <c r="N583" s="40" t="str">
        <f>IF($J583="","",IFERROR(VLOOKUP($J583,Grinders!$A:$N,5,FALSE),""))</f>
        <v/>
      </c>
      <c r="O583" s="40" t="str">
        <f t="shared" si="2"/>
        <v/>
      </c>
      <c r="P583" s="40" t="str">
        <f>IF($J583="","",IFERROR(VLOOKUP($J583,Grinders!$A:$N,6,FALSE),""))</f>
        <v/>
      </c>
      <c r="Q583" s="40" t="str">
        <f>IF($J583="","",IFERROR(VLOOKUP($J583,Grinders!$A:$N,8,FALSE),""))</f>
        <v/>
      </c>
      <c r="R583" s="40" t="str">
        <f>IFERROR(IF($J583="","",IF($L583="Elite",MAX(50,MIN(100,Config!$B$27*MAX(0,MIN(100,(1-IF($O583="",0,$O583))*100)) + Config!$B$28*MAX(0,MIN(100,(1-MIN(1,IF(Config!$B$30=0,1,$P583/Config!$B$30)))*100)) + Config!$B$29*MAX(0,MIN(100,MIN(1,IF($Q583="",0,$Q583)/Config!$B$23)*100)))),MIN(100,Config!$B$27*MAX(0,MIN(100,(1-IF($O583="",0,$O583))*100)) + Config!$B$28*MAX(0,MIN(100,(1-MIN(1,IF(Config!$B$30=0,1,$P583/Config!$B$30)))*100)) + Config!$B$29*MAX(0,MIN(100,MIN(1,IF($Q583="",0,$Q583)/Config!$B$23)*100))))),"")
</f>
        <v/>
      </c>
      <c r="S583" s="40" t="str">
        <f>IF(Bids!$D583="","",Bids!$D583)</f>
        <v/>
      </c>
      <c r="T583" s="40" t="str">
        <f>IF(Bids!$F583="","",Bids!$F583)</f>
        <v/>
      </c>
      <c r="U583" s="40" t="str">
        <f t="shared" si="3"/>
        <v/>
      </c>
      <c r="V583" s="40" t="str">
        <f>IF($U583="","",IF(Config!$B$17=Config!$B$16,IF($U583&gt;=Config!$B$17,100,0),MAX(0,MIN(100,($U583-Config!$B$16)/(Config!$B$17-Config!$B$16)*100))))</f>
        <v/>
      </c>
      <c r="W583" s="40">
        <f>IF($L583="Elite",Config!$B$21,0)</f>
        <v>0</v>
      </c>
      <c r="X583" s="40" t="str">
        <f>IFERROR(IF(OR($T583="",$G583=""),"",IF($T583&gt;$G583,
  MAX(0, 60-(($T583-$G583)*24/Config!$B$19)*60),
  MEDIAN(60, 100, 60+(($G583-$T583)*24/Config!$B$20)*40)
)),"")
</f>
        <v/>
      </c>
      <c r="Y583" s="40" t="str">
        <f>IF($J583="","",IFERROR(VLOOKUP($J583,Grinders!$A:$N,10,FALSE),""))</f>
        <v/>
      </c>
      <c r="Z583" s="40" t="str">
        <f>IF($J583="","",IFERROR(VLOOKUP($J583,Grinders!$A:$N,11,FALSE),""))</f>
        <v/>
      </c>
      <c r="AA583" s="40" t="str">
        <f>IF($J583="","",IFERROR(VLOOKUP($J583,Grinders!$A:$N,12,FALSE),""))</f>
        <v/>
      </c>
      <c r="AB583" s="40">
        <f>IFERROR(IF(OR($C583="",$J583=""),0,IF($D583&lt;&gt;"Open",0,IF(COUNTIFS(GrinderServices!$B:$B,$J583,GrinderServices!$C:$C,$E583,GrinderServices!$E:$E,"Y")=0,0,IF($U583&lt;Config!$B$16,0,IF(Config!$B$18=1,IF($N583&gt;=$M583,0,1),1))))),"")</f>
        <v>0</v>
      </c>
      <c r="AC583" s="40" t="str">
        <f>IFERROR(IF($AB583=0,"",((Config!$B$6*$V583 + Config!$B$7*$R583 + Config!$B$8*$W583 + Config!$B$9*$X583 + Config!$B$10*$Y583 + Config!$B$11*$Z583 - Config!$B$12*$AA583)/Config!$B$13)+$AH583+$AI583),"")</f>
        <v/>
      </c>
      <c r="AD583" s="40" t="str">
        <f t="shared" si="4"/>
        <v/>
      </c>
      <c r="AE583" s="40" t="str">
        <f>IFERROR(__xludf.DUMMYFUNCTION("IF($AC583="""","""",IF($AC583=IFERROR(MAX(FILTER($AC$6:$AC$1000,$C$6:$C$1000=$C583,$AB$6:$AB$1000=1)),),""WINNER"",""""))"),"")</f>
        <v/>
      </c>
      <c r="AF583" s="40" t="str">
        <f t="shared" si="5"/>
        <v/>
      </c>
      <c r="AG583" s="40" t="str">
        <f>IF($J583="","",COUNTIF(Assignments!$B:$B,$J583))</f>
        <v/>
      </c>
      <c r="AH583" s="40" t="str">
        <f>IF($J583="","",IF(AND($AG583=0,$N583&lt;$M583),Config!$B$43,0))</f>
        <v/>
      </c>
      <c r="AI583" s="40" t="str">
        <f>IF($J583="","",IF(AND($L583="Elite",$F583&gt;=Config!$B$41,$N583&lt;$M583),Config!$B$42,0))</f>
        <v/>
      </c>
      <c r="AJ583" s="22"/>
    </row>
    <row r="584" ht="15.75" customHeight="1">
      <c r="A584" s="40" t="str">
        <f t="shared" si="1"/>
        <v/>
      </c>
      <c r="B584" s="40" t="str">
        <f>IF(Bids!$A584="","",Bids!$A584)</f>
        <v/>
      </c>
      <c r="C584" s="40" t="str">
        <f>IF(Bids!$B584="","",Bids!$B584)</f>
        <v/>
      </c>
      <c r="D584" s="40" t="str">
        <f>IF($C584="","",IFERROR(VLOOKUP($C584,Orders!$A:$J,9,FALSE),""))</f>
        <v/>
      </c>
      <c r="E584" s="40" t="str">
        <f>IF($C584="","",IFERROR(VLOOKUP($C584,Orders!$A:$J,3,FALSE),""))</f>
        <v/>
      </c>
      <c r="F584" s="40" t="str">
        <f>IF($C584="","",IFERROR(VLOOKUP($C584,Orders!$A:$J,4,FALSE),""))</f>
        <v/>
      </c>
      <c r="G584" s="40" t="str">
        <f>IF($C584="","",IFERROR(VLOOKUP($C584,Orders!$A:$J,5,FALSE),""))</f>
        <v/>
      </c>
      <c r="H584" s="40" t="str">
        <f>IF($C584="","",IFERROR(VLOOKUP($C584,Orders!$A:$J,6,FALSE),""))</f>
        <v/>
      </c>
      <c r="I584" s="40" t="str">
        <f>IF($C584="","",IFERROR(VLOOKUP($C584,Orders!$A:$J,7,FALSE),""))</f>
        <v/>
      </c>
      <c r="J584" s="40" t="str">
        <f>IF(Bids!$C584="","",Bids!$C584)</f>
        <v/>
      </c>
      <c r="K584" s="40" t="str">
        <f>IF($J584="","",IFERROR(VLOOKUP($J584,Grinders!$A:$N,2,FALSE),""))</f>
        <v/>
      </c>
      <c r="L584" s="40" t="str">
        <f>IF($J584="","",IFERROR(VLOOKUP($J584,Grinders!$A:$N,3,FALSE),""))</f>
        <v/>
      </c>
      <c r="M584" s="40" t="str">
        <f>IF($J584="","",IFERROR(VLOOKUP($J584,Grinders!$A:$N,4,FALSE),""))</f>
        <v/>
      </c>
      <c r="N584" s="40" t="str">
        <f>IF($J584="","",IFERROR(VLOOKUP($J584,Grinders!$A:$N,5,FALSE),""))</f>
        <v/>
      </c>
      <c r="O584" s="40" t="str">
        <f t="shared" si="2"/>
        <v/>
      </c>
      <c r="P584" s="40" t="str">
        <f>IF($J584="","",IFERROR(VLOOKUP($J584,Grinders!$A:$N,6,FALSE),""))</f>
        <v/>
      </c>
      <c r="Q584" s="40" t="str">
        <f>IF($J584="","",IFERROR(VLOOKUP($J584,Grinders!$A:$N,8,FALSE),""))</f>
        <v/>
      </c>
      <c r="R584" s="40" t="str">
        <f>IFERROR(IF($J584="","",IF($L584="Elite",MAX(50,MIN(100,Config!$B$27*MAX(0,MIN(100,(1-IF($O584="",0,$O584))*100)) + Config!$B$28*MAX(0,MIN(100,(1-MIN(1,IF(Config!$B$30=0,1,$P584/Config!$B$30)))*100)) + Config!$B$29*MAX(0,MIN(100,MIN(1,IF($Q584="",0,$Q584)/Config!$B$23)*100)))),MIN(100,Config!$B$27*MAX(0,MIN(100,(1-IF($O584="",0,$O584))*100)) + Config!$B$28*MAX(0,MIN(100,(1-MIN(1,IF(Config!$B$30=0,1,$P584/Config!$B$30)))*100)) + Config!$B$29*MAX(0,MIN(100,MIN(1,IF($Q584="",0,$Q584)/Config!$B$23)*100))))),"")
</f>
        <v/>
      </c>
      <c r="S584" s="40" t="str">
        <f>IF(Bids!$D584="","",Bids!$D584)</f>
        <v/>
      </c>
      <c r="T584" s="40" t="str">
        <f>IF(Bids!$F584="","",Bids!$F584)</f>
        <v/>
      </c>
      <c r="U584" s="40" t="str">
        <f t="shared" si="3"/>
        <v/>
      </c>
      <c r="V584" s="40" t="str">
        <f>IF($U584="","",IF(Config!$B$17=Config!$B$16,IF($U584&gt;=Config!$B$17,100,0),MAX(0,MIN(100,($U584-Config!$B$16)/(Config!$B$17-Config!$B$16)*100))))</f>
        <v/>
      </c>
      <c r="W584" s="40">
        <f>IF($L584="Elite",Config!$B$21,0)</f>
        <v>0</v>
      </c>
      <c r="X584" s="40" t="str">
        <f>IFERROR(IF(OR($T584="",$G584=""),"",IF($T584&gt;$G584,
  MAX(0, 60-(($T584-$G584)*24/Config!$B$19)*60),
  MEDIAN(60, 100, 60+(($G584-$T584)*24/Config!$B$20)*40)
)),"")
</f>
        <v/>
      </c>
      <c r="Y584" s="40" t="str">
        <f>IF($J584="","",IFERROR(VLOOKUP($J584,Grinders!$A:$N,10,FALSE),""))</f>
        <v/>
      </c>
      <c r="Z584" s="40" t="str">
        <f>IF($J584="","",IFERROR(VLOOKUP($J584,Grinders!$A:$N,11,FALSE),""))</f>
        <v/>
      </c>
      <c r="AA584" s="40" t="str">
        <f>IF($J584="","",IFERROR(VLOOKUP($J584,Grinders!$A:$N,12,FALSE),""))</f>
        <v/>
      </c>
      <c r="AB584" s="40">
        <f>IFERROR(IF(OR($C584="",$J584=""),0,IF($D584&lt;&gt;"Open",0,IF(COUNTIFS(GrinderServices!$B:$B,$J584,GrinderServices!$C:$C,$E584,GrinderServices!$E:$E,"Y")=0,0,IF($U584&lt;Config!$B$16,0,IF(Config!$B$18=1,IF($N584&gt;=$M584,0,1),1))))),"")</f>
        <v>0</v>
      </c>
      <c r="AC584" s="40" t="str">
        <f>IFERROR(IF($AB584=0,"",((Config!$B$6*$V584 + Config!$B$7*$R584 + Config!$B$8*$W584 + Config!$B$9*$X584 + Config!$B$10*$Y584 + Config!$B$11*$Z584 - Config!$B$12*$AA584)/Config!$B$13)+$AH584+$AI584),"")</f>
        <v/>
      </c>
      <c r="AD584" s="40" t="str">
        <f t="shared" si="4"/>
        <v/>
      </c>
      <c r="AE584" s="40" t="str">
        <f>IFERROR(__xludf.DUMMYFUNCTION("IF($AC584="""","""",IF($AC584=IFERROR(MAX(FILTER($AC$6:$AC$1000,$C$6:$C$1000=$C584,$AB$6:$AB$1000=1)),),""WINNER"",""""))"),"")</f>
        <v/>
      </c>
      <c r="AF584" s="40" t="str">
        <f t="shared" si="5"/>
        <v/>
      </c>
      <c r="AG584" s="40" t="str">
        <f>IF($J584="","",COUNTIF(Assignments!$B:$B,$J584))</f>
        <v/>
      </c>
      <c r="AH584" s="40" t="str">
        <f>IF($J584="","",IF(AND($AG584=0,$N584&lt;$M584),Config!$B$43,0))</f>
        <v/>
      </c>
      <c r="AI584" s="40" t="str">
        <f>IF($J584="","",IF(AND($L584="Elite",$F584&gt;=Config!$B$41,$N584&lt;$M584),Config!$B$42,0))</f>
        <v/>
      </c>
      <c r="AJ584" s="22"/>
    </row>
    <row r="585" ht="15.75" customHeight="1">
      <c r="A585" s="40" t="str">
        <f t="shared" si="1"/>
        <v/>
      </c>
      <c r="B585" s="40" t="str">
        <f>IF(Bids!$A585="","",Bids!$A585)</f>
        <v/>
      </c>
      <c r="C585" s="40" t="str">
        <f>IF(Bids!$B585="","",Bids!$B585)</f>
        <v/>
      </c>
      <c r="D585" s="40" t="str">
        <f>IF($C585="","",IFERROR(VLOOKUP($C585,Orders!$A:$J,9,FALSE),""))</f>
        <v/>
      </c>
      <c r="E585" s="40" t="str">
        <f>IF($C585="","",IFERROR(VLOOKUP($C585,Orders!$A:$J,3,FALSE),""))</f>
        <v/>
      </c>
      <c r="F585" s="40" t="str">
        <f>IF($C585="","",IFERROR(VLOOKUP($C585,Orders!$A:$J,4,FALSE),""))</f>
        <v/>
      </c>
      <c r="G585" s="40" t="str">
        <f>IF($C585="","",IFERROR(VLOOKUP($C585,Orders!$A:$J,5,FALSE),""))</f>
        <v/>
      </c>
      <c r="H585" s="40" t="str">
        <f>IF($C585="","",IFERROR(VLOOKUP($C585,Orders!$A:$J,6,FALSE),""))</f>
        <v/>
      </c>
      <c r="I585" s="40" t="str">
        <f>IF($C585="","",IFERROR(VLOOKUP($C585,Orders!$A:$J,7,FALSE),""))</f>
        <v/>
      </c>
      <c r="J585" s="40" t="str">
        <f>IF(Bids!$C585="","",Bids!$C585)</f>
        <v/>
      </c>
      <c r="K585" s="40" t="str">
        <f>IF($J585="","",IFERROR(VLOOKUP($J585,Grinders!$A:$N,2,FALSE),""))</f>
        <v/>
      </c>
      <c r="L585" s="40" t="str">
        <f>IF($J585="","",IFERROR(VLOOKUP($J585,Grinders!$A:$N,3,FALSE),""))</f>
        <v/>
      </c>
      <c r="M585" s="40" t="str">
        <f>IF($J585="","",IFERROR(VLOOKUP($J585,Grinders!$A:$N,4,FALSE),""))</f>
        <v/>
      </c>
      <c r="N585" s="40" t="str">
        <f>IF($J585="","",IFERROR(VLOOKUP($J585,Grinders!$A:$N,5,FALSE),""))</f>
        <v/>
      </c>
      <c r="O585" s="40" t="str">
        <f t="shared" si="2"/>
        <v/>
      </c>
      <c r="P585" s="40" t="str">
        <f>IF($J585="","",IFERROR(VLOOKUP($J585,Grinders!$A:$N,6,FALSE),""))</f>
        <v/>
      </c>
      <c r="Q585" s="40" t="str">
        <f>IF($J585="","",IFERROR(VLOOKUP($J585,Grinders!$A:$N,8,FALSE),""))</f>
        <v/>
      </c>
      <c r="R585" s="40" t="str">
        <f>IFERROR(IF($J585="","",IF($L585="Elite",MAX(50,MIN(100,Config!$B$27*MAX(0,MIN(100,(1-IF($O585="",0,$O585))*100)) + Config!$B$28*MAX(0,MIN(100,(1-MIN(1,IF(Config!$B$30=0,1,$P585/Config!$B$30)))*100)) + Config!$B$29*MAX(0,MIN(100,MIN(1,IF($Q585="",0,$Q585)/Config!$B$23)*100)))),MIN(100,Config!$B$27*MAX(0,MIN(100,(1-IF($O585="",0,$O585))*100)) + Config!$B$28*MAX(0,MIN(100,(1-MIN(1,IF(Config!$B$30=0,1,$P585/Config!$B$30)))*100)) + Config!$B$29*MAX(0,MIN(100,MIN(1,IF($Q585="",0,$Q585)/Config!$B$23)*100))))),"")
</f>
        <v/>
      </c>
      <c r="S585" s="40" t="str">
        <f>IF(Bids!$D585="","",Bids!$D585)</f>
        <v/>
      </c>
      <c r="T585" s="40" t="str">
        <f>IF(Bids!$F585="","",Bids!$F585)</f>
        <v/>
      </c>
      <c r="U585" s="40" t="str">
        <f t="shared" si="3"/>
        <v/>
      </c>
      <c r="V585" s="40" t="str">
        <f>IF($U585="","",IF(Config!$B$17=Config!$B$16,IF($U585&gt;=Config!$B$17,100,0),MAX(0,MIN(100,($U585-Config!$B$16)/(Config!$B$17-Config!$B$16)*100))))</f>
        <v/>
      </c>
      <c r="W585" s="40">
        <f>IF($L585="Elite",Config!$B$21,0)</f>
        <v>0</v>
      </c>
      <c r="X585" s="40" t="str">
        <f>IFERROR(IF(OR($T585="",$G585=""),"",IF($T585&gt;$G585,
  MAX(0, 60-(($T585-$G585)*24/Config!$B$19)*60),
  MEDIAN(60, 100, 60+(($G585-$T585)*24/Config!$B$20)*40)
)),"")
</f>
        <v/>
      </c>
      <c r="Y585" s="40" t="str">
        <f>IF($J585="","",IFERROR(VLOOKUP($J585,Grinders!$A:$N,10,FALSE),""))</f>
        <v/>
      </c>
      <c r="Z585" s="40" t="str">
        <f>IF($J585="","",IFERROR(VLOOKUP($J585,Grinders!$A:$N,11,FALSE),""))</f>
        <v/>
      </c>
      <c r="AA585" s="40" t="str">
        <f>IF($J585="","",IFERROR(VLOOKUP($J585,Grinders!$A:$N,12,FALSE),""))</f>
        <v/>
      </c>
      <c r="AB585" s="40">
        <f>IFERROR(IF(OR($C585="",$J585=""),0,IF($D585&lt;&gt;"Open",0,IF(COUNTIFS(GrinderServices!$B:$B,$J585,GrinderServices!$C:$C,$E585,GrinderServices!$E:$E,"Y")=0,0,IF($U585&lt;Config!$B$16,0,IF(Config!$B$18=1,IF($N585&gt;=$M585,0,1),1))))),"")</f>
        <v>0</v>
      </c>
      <c r="AC585" s="40" t="str">
        <f>IFERROR(IF($AB585=0,"",((Config!$B$6*$V585 + Config!$B$7*$R585 + Config!$B$8*$W585 + Config!$B$9*$X585 + Config!$B$10*$Y585 + Config!$B$11*$Z585 - Config!$B$12*$AA585)/Config!$B$13)+$AH585+$AI585),"")</f>
        <v/>
      </c>
      <c r="AD585" s="40" t="str">
        <f t="shared" si="4"/>
        <v/>
      </c>
      <c r="AE585" s="40" t="str">
        <f>IFERROR(__xludf.DUMMYFUNCTION("IF($AC585="""","""",IF($AC585=IFERROR(MAX(FILTER($AC$6:$AC$1000,$C$6:$C$1000=$C585,$AB$6:$AB$1000=1)),),""WINNER"",""""))"),"")</f>
        <v/>
      </c>
      <c r="AF585" s="40" t="str">
        <f t="shared" si="5"/>
        <v/>
      </c>
      <c r="AG585" s="40" t="str">
        <f>IF($J585="","",COUNTIF(Assignments!$B:$B,$J585))</f>
        <v/>
      </c>
      <c r="AH585" s="40" t="str">
        <f>IF($J585="","",IF(AND($AG585=0,$N585&lt;$M585),Config!$B$43,0))</f>
        <v/>
      </c>
      <c r="AI585" s="40" t="str">
        <f>IF($J585="","",IF(AND($L585="Elite",$F585&gt;=Config!$B$41,$N585&lt;$M585),Config!$B$42,0))</f>
        <v/>
      </c>
      <c r="AJ585" s="22"/>
    </row>
    <row r="586" ht="15.75" customHeight="1">
      <c r="A586" s="40" t="str">
        <f t="shared" si="1"/>
        <v/>
      </c>
      <c r="B586" s="40" t="str">
        <f>IF(Bids!$A586="","",Bids!$A586)</f>
        <v/>
      </c>
      <c r="C586" s="40" t="str">
        <f>IF(Bids!$B586="","",Bids!$B586)</f>
        <v/>
      </c>
      <c r="D586" s="40" t="str">
        <f>IF($C586="","",IFERROR(VLOOKUP($C586,Orders!$A:$J,9,FALSE),""))</f>
        <v/>
      </c>
      <c r="E586" s="40" t="str">
        <f>IF($C586="","",IFERROR(VLOOKUP($C586,Orders!$A:$J,3,FALSE),""))</f>
        <v/>
      </c>
      <c r="F586" s="40" t="str">
        <f>IF($C586="","",IFERROR(VLOOKUP($C586,Orders!$A:$J,4,FALSE),""))</f>
        <v/>
      </c>
      <c r="G586" s="40" t="str">
        <f>IF($C586="","",IFERROR(VLOOKUP($C586,Orders!$A:$J,5,FALSE),""))</f>
        <v/>
      </c>
      <c r="H586" s="40" t="str">
        <f>IF($C586="","",IFERROR(VLOOKUP($C586,Orders!$A:$J,6,FALSE),""))</f>
        <v/>
      </c>
      <c r="I586" s="40" t="str">
        <f>IF($C586="","",IFERROR(VLOOKUP($C586,Orders!$A:$J,7,FALSE),""))</f>
        <v/>
      </c>
      <c r="J586" s="40" t="str">
        <f>IF(Bids!$C586="","",Bids!$C586)</f>
        <v/>
      </c>
      <c r="K586" s="40" t="str">
        <f>IF($J586="","",IFERROR(VLOOKUP($J586,Grinders!$A:$N,2,FALSE),""))</f>
        <v/>
      </c>
      <c r="L586" s="40" t="str">
        <f>IF($J586="","",IFERROR(VLOOKUP($J586,Grinders!$A:$N,3,FALSE),""))</f>
        <v/>
      </c>
      <c r="M586" s="40" t="str">
        <f>IF($J586="","",IFERROR(VLOOKUP($J586,Grinders!$A:$N,4,FALSE),""))</f>
        <v/>
      </c>
      <c r="N586" s="40" t="str">
        <f>IF($J586="","",IFERROR(VLOOKUP($J586,Grinders!$A:$N,5,FALSE),""))</f>
        <v/>
      </c>
      <c r="O586" s="40" t="str">
        <f t="shared" si="2"/>
        <v/>
      </c>
      <c r="P586" s="40" t="str">
        <f>IF($J586="","",IFERROR(VLOOKUP($J586,Grinders!$A:$N,6,FALSE),""))</f>
        <v/>
      </c>
      <c r="Q586" s="40" t="str">
        <f>IF($J586="","",IFERROR(VLOOKUP($J586,Grinders!$A:$N,8,FALSE),""))</f>
        <v/>
      </c>
      <c r="R586" s="40" t="str">
        <f>IFERROR(IF($J586="","",IF($L586="Elite",MAX(50,MIN(100,Config!$B$27*MAX(0,MIN(100,(1-IF($O586="",0,$O586))*100)) + Config!$B$28*MAX(0,MIN(100,(1-MIN(1,IF(Config!$B$30=0,1,$P586/Config!$B$30)))*100)) + Config!$B$29*MAX(0,MIN(100,MIN(1,IF($Q586="",0,$Q586)/Config!$B$23)*100)))),MIN(100,Config!$B$27*MAX(0,MIN(100,(1-IF($O586="",0,$O586))*100)) + Config!$B$28*MAX(0,MIN(100,(1-MIN(1,IF(Config!$B$30=0,1,$P586/Config!$B$30)))*100)) + Config!$B$29*MAX(0,MIN(100,MIN(1,IF($Q586="",0,$Q586)/Config!$B$23)*100))))),"")
</f>
        <v/>
      </c>
      <c r="S586" s="40" t="str">
        <f>IF(Bids!$D586="","",Bids!$D586)</f>
        <v/>
      </c>
      <c r="T586" s="40" t="str">
        <f>IF(Bids!$F586="","",Bids!$F586)</f>
        <v/>
      </c>
      <c r="U586" s="40" t="str">
        <f t="shared" si="3"/>
        <v/>
      </c>
      <c r="V586" s="40" t="str">
        <f>IF($U586="","",IF(Config!$B$17=Config!$B$16,IF($U586&gt;=Config!$B$17,100,0),MAX(0,MIN(100,($U586-Config!$B$16)/(Config!$B$17-Config!$B$16)*100))))</f>
        <v/>
      </c>
      <c r="W586" s="40">
        <f>IF($L586="Elite",Config!$B$21,0)</f>
        <v>0</v>
      </c>
      <c r="X586" s="40" t="str">
        <f>IFERROR(IF(OR($T586="",$G586=""),"",IF($T586&gt;$G586,
  MAX(0, 60-(($T586-$G586)*24/Config!$B$19)*60),
  MEDIAN(60, 100, 60+(($G586-$T586)*24/Config!$B$20)*40)
)),"")
</f>
        <v/>
      </c>
      <c r="Y586" s="40" t="str">
        <f>IF($J586="","",IFERROR(VLOOKUP($J586,Grinders!$A:$N,10,FALSE),""))</f>
        <v/>
      </c>
      <c r="Z586" s="40" t="str">
        <f>IF($J586="","",IFERROR(VLOOKUP($J586,Grinders!$A:$N,11,FALSE),""))</f>
        <v/>
      </c>
      <c r="AA586" s="40" t="str">
        <f>IF($J586="","",IFERROR(VLOOKUP($J586,Grinders!$A:$N,12,FALSE),""))</f>
        <v/>
      </c>
      <c r="AB586" s="40">
        <f>IFERROR(IF(OR($C586="",$J586=""),0,IF($D586&lt;&gt;"Open",0,IF(COUNTIFS(GrinderServices!$B:$B,$J586,GrinderServices!$C:$C,$E586,GrinderServices!$E:$E,"Y")=0,0,IF($U586&lt;Config!$B$16,0,IF(Config!$B$18=1,IF($N586&gt;=$M586,0,1),1))))),"")</f>
        <v>0</v>
      </c>
      <c r="AC586" s="40" t="str">
        <f>IFERROR(IF($AB586=0,"",((Config!$B$6*$V586 + Config!$B$7*$R586 + Config!$B$8*$W586 + Config!$B$9*$X586 + Config!$B$10*$Y586 + Config!$B$11*$Z586 - Config!$B$12*$AA586)/Config!$B$13)+$AH586+$AI586),"")</f>
        <v/>
      </c>
      <c r="AD586" s="40" t="str">
        <f t="shared" si="4"/>
        <v/>
      </c>
      <c r="AE586" s="40" t="str">
        <f>IFERROR(__xludf.DUMMYFUNCTION("IF($AC586="""","""",IF($AC586=IFERROR(MAX(FILTER($AC$6:$AC$1000,$C$6:$C$1000=$C586,$AB$6:$AB$1000=1)),),""WINNER"",""""))"),"")</f>
        <v/>
      </c>
      <c r="AF586" s="40" t="str">
        <f t="shared" si="5"/>
        <v/>
      </c>
      <c r="AG586" s="40" t="str">
        <f>IF($J586="","",COUNTIF(Assignments!$B:$B,$J586))</f>
        <v/>
      </c>
      <c r="AH586" s="40" t="str">
        <f>IF($J586="","",IF(AND($AG586=0,$N586&lt;$M586),Config!$B$43,0))</f>
        <v/>
      </c>
      <c r="AI586" s="40" t="str">
        <f>IF($J586="","",IF(AND($L586="Elite",$F586&gt;=Config!$B$41,$N586&lt;$M586),Config!$B$42,0))</f>
        <v/>
      </c>
      <c r="AJ586" s="22"/>
    </row>
    <row r="587" ht="15.75" customHeight="1">
      <c r="A587" s="40" t="str">
        <f t="shared" si="1"/>
        <v/>
      </c>
      <c r="B587" s="40" t="str">
        <f>IF(Bids!$A587="","",Bids!$A587)</f>
        <v/>
      </c>
      <c r="C587" s="40" t="str">
        <f>IF(Bids!$B587="","",Bids!$B587)</f>
        <v/>
      </c>
      <c r="D587" s="40" t="str">
        <f>IF($C587="","",IFERROR(VLOOKUP($C587,Orders!$A:$J,9,FALSE),""))</f>
        <v/>
      </c>
      <c r="E587" s="40" t="str">
        <f>IF($C587="","",IFERROR(VLOOKUP($C587,Orders!$A:$J,3,FALSE),""))</f>
        <v/>
      </c>
      <c r="F587" s="40" t="str">
        <f>IF($C587="","",IFERROR(VLOOKUP($C587,Orders!$A:$J,4,FALSE),""))</f>
        <v/>
      </c>
      <c r="G587" s="40" t="str">
        <f>IF($C587="","",IFERROR(VLOOKUP($C587,Orders!$A:$J,5,FALSE),""))</f>
        <v/>
      </c>
      <c r="H587" s="40" t="str">
        <f>IF($C587="","",IFERROR(VLOOKUP($C587,Orders!$A:$J,6,FALSE),""))</f>
        <v/>
      </c>
      <c r="I587" s="40" t="str">
        <f>IF($C587="","",IFERROR(VLOOKUP($C587,Orders!$A:$J,7,FALSE),""))</f>
        <v/>
      </c>
      <c r="J587" s="40" t="str">
        <f>IF(Bids!$C587="","",Bids!$C587)</f>
        <v/>
      </c>
      <c r="K587" s="40" t="str">
        <f>IF($J587="","",IFERROR(VLOOKUP($J587,Grinders!$A:$N,2,FALSE),""))</f>
        <v/>
      </c>
      <c r="L587" s="40" t="str">
        <f>IF($J587="","",IFERROR(VLOOKUP($J587,Grinders!$A:$N,3,FALSE),""))</f>
        <v/>
      </c>
      <c r="M587" s="40" t="str">
        <f>IF($J587="","",IFERROR(VLOOKUP($J587,Grinders!$A:$N,4,FALSE),""))</f>
        <v/>
      </c>
      <c r="N587" s="40" t="str">
        <f>IF($J587="","",IFERROR(VLOOKUP($J587,Grinders!$A:$N,5,FALSE),""))</f>
        <v/>
      </c>
      <c r="O587" s="40" t="str">
        <f t="shared" si="2"/>
        <v/>
      </c>
      <c r="P587" s="40" t="str">
        <f>IF($J587="","",IFERROR(VLOOKUP($J587,Grinders!$A:$N,6,FALSE),""))</f>
        <v/>
      </c>
      <c r="Q587" s="40" t="str">
        <f>IF($J587="","",IFERROR(VLOOKUP($J587,Grinders!$A:$N,8,FALSE),""))</f>
        <v/>
      </c>
      <c r="R587" s="40" t="str">
        <f>IFERROR(IF($J587="","",IF($L587="Elite",MAX(50,MIN(100,Config!$B$27*MAX(0,MIN(100,(1-IF($O587="",0,$O587))*100)) + Config!$B$28*MAX(0,MIN(100,(1-MIN(1,IF(Config!$B$30=0,1,$P587/Config!$B$30)))*100)) + Config!$B$29*MAX(0,MIN(100,MIN(1,IF($Q587="",0,$Q587)/Config!$B$23)*100)))),MIN(100,Config!$B$27*MAX(0,MIN(100,(1-IF($O587="",0,$O587))*100)) + Config!$B$28*MAX(0,MIN(100,(1-MIN(1,IF(Config!$B$30=0,1,$P587/Config!$B$30)))*100)) + Config!$B$29*MAX(0,MIN(100,MIN(1,IF($Q587="",0,$Q587)/Config!$B$23)*100))))),"")
</f>
        <v/>
      </c>
      <c r="S587" s="40" t="str">
        <f>IF(Bids!$D587="","",Bids!$D587)</f>
        <v/>
      </c>
      <c r="T587" s="40" t="str">
        <f>IF(Bids!$F587="","",Bids!$F587)</f>
        <v/>
      </c>
      <c r="U587" s="40" t="str">
        <f t="shared" si="3"/>
        <v/>
      </c>
      <c r="V587" s="40" t="str">
        <f>IF($U587="","",IF(Config!$B$17=Config!$B$16,IF($U587&gt;=Config!$B$17,100,0),MAX(0,MIN(100,($U587-Config!$B$16)/(Config!$B$17-Config!$B$16)*100))))</f>
        <v/>
      </c>
      <c r="W587" s="40">
        <f>IF($L587="Elite",Config!$B$21,0)</f>
        <v>0</v>
      </c>
      <c r="X587" s="40" t="str">
        <f>IFERROR(IF(OR($T587="",$G587=""),"",IF($T587&gt;$G587,
  MAX(0, 60-(($T587-$G587)*24/Config!$B$19)*60),
  MEDIAN(60, 100, 60+(($G587-$T587)*24/Config!$B$20)*40)
)),"")
</f>
        <v/>
      </c>
      <c r="Y587" s="40" t="str">
        <f>IF($J587="","",IFERROR(VLOOKUP($J587,Grinders!$A:$N,10,FALSE),""))</f>
        <v/>
      </c>
      <c r="Z587" s="40" t="str">
        <f>IF($J587="","",IFERROR(VLOOKUP($J587,Grinders!$A:$N,11,FALSE),""))</f>
        <v/>
      </c>
      <c r="AA587" s="40" t="str">
        <f>IF($J587="","",IFERROR(VLOOKUP($J587,Grinders!$A:$N,12,FALSE),""))</f>
        <v/>
      </c>
      <c r="AB587" s="40">
        <f>IFERROR(IF(OR($C587="",$J587=""),0,IF($D587&lt;&gt;"Open",0,IF(COUNTIFS(GrinderServices!$B:$B,$J587,GrinderServices!$C:$C,$E587,GrinderServices!$E:$E,"Y")=0,0,IF($U587&lt;Config!$B$16,0,IF(Config!$B$18=1,IF($N587&gt;=$M587,0,1),1))))),"")</f>
        <v>0</v>
      </c>
      <c r="AC587" s="40" t="str">
        <f>IFERROR(IF($AB587=0,"",((Config!$B$6*$V587 + Config!$B$7*$R587 + Config!$B$8*$W587 + Config!$B$9*$X587 + Config!$B$10*$Y587 + Config!$B$11*$Z587 - Config!$B$12*$AA587)/Config!$B$13)+$AH587+$AI587),"")</f>
        <v/>
      </c>
      <c r="AD587" s="40" t="str">
        <f t="shared" si="4"/>
        <v/>
      </c>
      <c r="AE587" s="40" t="str">
        <f>IFERROR(__xludf.DUMMYFUNCTION("IF($AC587="""","""",IF($AC587=IFERROR(MAX(FILTER($AC$6:$AC$1000,$C$6:$C$1000=$C587,$AB$6:$AB$1000=1)),),""WINNER"",""""))"),"")</f>
        <v/>
      </c>
      <c r="AF587" s="40" t="str">
        <f t="shared" si="5"/>
        <v/>
      </c>
      <c r="AG587" s="40" t="str">
        <f>IF($J587="","",COUNTIF(Assignments!$B:$B,$J587))</f>
        <v/>
      </c>
      <c r="AH587" s="40" t="str">
        <f>IF($J587="","",IF(AND($AG587=0,$N587&lt;$M587),Config!$B$43,0))</f>
        <v/>
      </c>
      <c r="AI587" s="40" t="str">
        <f>IF($J587="","",IF(AND($L587="Elite",$F587&gt;=Config!$B$41,$N587&lt;$M587),Config!$B$42,0))</f>
        <v/>
      </c>
      <c r="AJ587" s="22"/>
    </row>
    <row r="588" ht="15.75" customHeight="1">
      <c r="A588" s="40" t="str">
        <f t="shared" si="1"/>
        <v/>
      </c>
      <c r="B588" s="40" t="str">
        <f>IF(Bids!$A588="","",Bids!$A588)</f>
        <v/>
      </c>
      <c r="C588" s="40" t="str">
        <f>IF(Bids!$B588="","",Bids!$B588)</f>
        <v/>
      </c>
      <c r="D588" s="40" t="str">
        <f>IF($C588="","",IFERROR(VLOOKUP($C588,Orders!$A:$J,9,FALSE),""))</f>
        <v/>
      </c>
      <c r="E588" s="40" t="str">
        <f>IF($C588="","",IFERROR(VLOOKUP($C588,Orders!$A:$J,3,FALSE),""))</f>
        <v/>
      </c>
      <c r="F588" s="40" t="str">
        <f>IF($C588="","",IFERROR(VLOOKUP($C588,Orders!$A:$J,4,FALSE),""))</f>
        <v/>
      </c>
      <c r="G588" s="40" t="str">
        <f>IF($C588="","",IFERROR(VLOOKUP($C588,Orders!$A:$J,5,FALSE),""))</f>
        <v/>
      </c>
      <c r="H588" s="40" t="str">
        <f>IF($C588="","",IFERROR(VLOOKUP($C588,Orders!$A:$J,6,FALSE),""))</f>
        <v/>
      </c>
      <c r="I588" s="40" t="str">
        <f>IF($C588="","",IFERROR(VLOOKUP($C588,Orders!$A:$J,7,FALSE),""))</f>
        <v/>
      </c>
      <c r="J588" s="40" t="str">
        <f>IF(Bids!$C588="","",Bids!$C588)</f>
        <v/>
      </c>
      <c r="K588" s="40" t="str">
        <f>IF($J588="","",IFERROR(VLOOKUP($J588,Grinders!$A:$N,2,FALSE),""))</f>
        <v/>
      </c>
      <c r="L588" s="40" t="str">
        <f>IF($J588="","",IFERROR(VLOOKUP($J588,Grinders!$A:$N,3,FALSE),""))</f>
        <v/>
      </c>
      <c r="M588" s="40" t="str">
        <f>IF($J588="","",IFERROR(VLOOKUP($J588,Grinders!$A:$N,4,FALSE),""))</f>
        <v/>
      </c>
      <c r="N588" s="40" t="str">
        <f>IF($J588="","",IFERROR(VLOOKUP($J588,Grinders!$A:$N,5,FALSE),""))</f>
        <v/>
      </c>
      <c r="O588" s="40" t="str">
        <f t="shared" si="2"/>
        <v/>
      </c>
      <c r="P588" s="40" t="str">
        <f>IF($J588="","",IFERROR(VLOOKUP($J588,Grinders!$A:$N,6,FALSE),""))</f>
        <v/>
      </c>
      <c r="Q588" s="40" t="str">
        <f>IF($J588="","",IFERROR(VLOOKUP($J588,Grinders!$A:$N,8,FALSE),""))</f>
        <v/>
      </c>
      <c r="R588" s="40" t="str">
        <f>IFERROR(IF($J588="","",IF($L588="Elite",MAX(50,MIN(100,Config!$B$27*MAX(0,MIN(100,(1-IF($O588="",0,$O588))*100)) + Config!$B$28*MAX(0,MIN(100,(1-MIN(1,IF(Config!$B$30=0,1,$P588/Config!$B$30)))*100)) + Config!$B$29*MAX(0,MIN(100,MIN(1,IF($Q588="",0,$Q588)/Config!$B$23)*100)))),MIN(100,Config!$B$27*MAX(0,MIN(100,(1-IF($O588="",0,$O588))*100)) + Config!$B$28*MAX(0,MIN(100,(1-MIN(1,IF(Config!$B$30=0,1,$P588/Config!$B$30)))*100)) + Config!$B$29*MAX(0,MIN(100,MIN(1,IF($Q588="",0,$Q588)/Config!$B$23)*100))))),"")
</f>
        <v/>
      </c>
      <c r="S588" s="40" t="str">
        <f>IF(Bids!$D588="","",Bids!$D588)</f>
        <v/>
      </c>
      <c r="T588" s="40" t="str">
        <f>IF(Bids!$F588="","",Bids!$F588)</f>
        <v/>
      </c>
      <c r="U588" s="40" t="str">
        <f t="shared" si="3"/>
        <v/>
      </c>
      <c r="V588" s="40" t="str">
        <f>IF($U588="","",IF(Config!$B$17=Config!$B$16,IF($U588&gt;=Config!$B$17,100,0),MAX(0,MIN(100,($U588-Config!$B$16)/(Config!$B$17-Config!$B$16)*100))))</f>
        <v/>
      </c>
      <c r="W588" s="40">
        <f>IF($L588="Elite",Config!$B$21,0)</f>
        <v>0</v>
      </c>
      <c r="X588" s="40" t="str">
        <f>IFERROR(IF(OR($T588="",$G588=""),"",IF($T588&gt;$G588,
  MAX(0, 60-(($T588-$G588)*24/Config!$B$19)*60),
  MEDIAN(60, 100, 60+(($G588-$T588)*24/Config!$B$20)*40)
)),"")
</f>
        <v/>
      </c>
      <c r="Y588" s="40" t="str">
        <f>IF($J588="","",IFERROR(VLOOKUP($J588,Grinders!$A:$N,10,FALSE),""))</f>
        <v/>
      </c>
      <c r="Z588" s="40" t="str">
        <f>IF($J588="","",IFERROR(VLOOKUP($J588,Grinders!$A:$N,11,FALSE),""))</f>
        <v/>
      </c>
      <c r="AA588" s="40" t="str">
        <f>IF($J588="","",IFERROR(VLOOKUP($J588,Grinders!$A:$N,12,FALSE),""))</f>
        <v/>
      </c>
      <c r="AB588" s="40">
        <f>IFERROR(IF(OR($C588="",$J588=""),0,IF($D588&lt;&gt;"Open",0,IF(COUNTIFS(GrinderServices!$B:$B,$J588,GrinderServices!$C:$C,$E588,GrinderServices!$E:$E,"Y")=0,0,IF($U588&lt;Config!$B$16,0,IF(Config!$B$18=1,IF($N588&gt;=$M588,0,1),1))))),"")</f>
        <v>0</v>
      </c>
      <c r="AC588" s="40" t="str">
        <f>IFERROR(IF($AB588=0,"",((Config!$B$6*$V588 + Config!$B$7*$R588 + Config!$B$8*$W588 + Config!$B$9*$X588 + Config!$B$10*$Y588 + Config!$B$11*$Z588 - Config!$B$12*$AA588)/Config!$B$13)+$AH588+$AI588),"")</f>
        <v/>
      </c>
      <c r="AD588" s="40" t="str">
        <f t="shared" si="4"/>
        <v/>
      </c>
      <c r="AE588" s="40" t="str">
        <f>IFERROR(__xludf.DUMMYFUNCTION("IF($AC588="""","""",IF($AC588=IFERROR(MAX(FILTER($AC$6:$AC$1000,$C$6:$C$1000=$C588,$AB$6:$AB$1000=1)),),""WINNER"",""""))"),"")</f>
        <v/>
      </c>
      <c r="AF588" s="40" t="str">
        <f t="shared" si="5"/>
        <v/>
      </c>
      <c r="AG588" s="40" t="str">
        <f>IF($J588="","",COUNTIF(Assignments!$B:$B,$J588))</f>
        <v/>
      </c>
      <c r="AH588" s="40" t="str">
        <f>IF($J588="","",IF(AND($AG588=0,$N588&lt;$M588),Config!$B$43,0))</f>
        <v/>
      </c>
      <c r="AI588" s="40" t="str">
        <f>IF($J588="","",IF(AND($L588="Elite",$F588&gt;=Config!$B$41,$N588&lt;$M588),Config!$B$42,0))</f>
        <v/>
      </c>
      <c r="AJ588" s="22"/>
    </row>
    <row r="589" ht="15.75" customHeight="1">
      <c r="A589" s="40" t="str">
        <f t="shared" si="1"/>
        <v/>
      </c>
      <c r="B589" s="40" t="str">
        <f>IF(Bids!$A589="","",Bids!$A589)</f>
        <v/>
      </c>
      <c r="C589" s="40" t="str">
        <f>IF(Bids!$B589="","",Bids!$B589)</f>
        <v/>
      </c>
      <c r="D589" s="40" t="str">
        <f>IF($C589="","",IFERROR(VLOOKUP($C589,Orders!$A:$J,9,FALSE),""))</f>
        <v/>
      </c>
      <c r="E589" s="40" t="str">
        <f>IF($C589="","",IFERROR(VLOOKUP($C589,Orders!$A:$J,3,FALSE),""))</f>
        <v/>
      </c>
      <c r="F589" s="40" t="str">
        <f>IF($C589="","",IFERROR(VLOOKUP($C589,Orders!$A:$J,4,FALSE),""))</f>
        <v/>
      </c>
      <c r="G589" s="40" t="str">
        <f>IF($C589="","",IFERROR(VLOOKUP($C589,Orders!$A:$J,5,FALSE),""))</f>
        <v/>
      </c>
      <c r="H589" s="40" t="str">
        <f>IF($C589="","",IFERROR(VLOOKUP($C589,Orders!$A:$J,6,FALSE),""))</f>
        <v/>
      </c>
      <c r="I589" s="40" t="str">
        <f>IF($C589="","",IFERROR(VLOOKUP($C589,Orders!$A:$J,7,FALSE),""))</f>
        <v/>
      </c>
      <c r="J589" s="40" t="str">
        <f>IF(Bids!$C589="","",Bids!$C589)</f>
        <v/>
      </c>
      <c r="K589" s="40" t="str">
        <f>IF($J589="","",IFERROR(VLOOKUP($J589,Grinders!$A:$N,2,FALSE),""))</f>
        <v/>
      </c>
      <c r="L589" s="40" t="str">
        <f>IF($J589="","",IFERROR(VLOOKUP($J589,Grinders!$A:$N,3,FALSE),""))</f>
        <v/>
      </c>
      <c r="M589" s="40" t="str">
        <f>IF($J589="","",IFERROR(VLOOKUP($J589,Grinders!$A:$N,4,FALSE),""))</f>
        <v/>
      </c>
      <c r="N589" s="40" t="str">
        <f>IF($J589="","",IFERROR(VLOOKUP($J589,Grinders!$A:$N,5,FALSE),""))</f>
        <v/>
      </c>
      <c r="O589" s="40" t="str">
        <f t="shared" si="2"/>
        <v/>
      </c>
      <c r="P589" s="40" t="str">
        <f>IF($J589="","",IFERROR(VLOOKUP($J589,Grinders!$A:$N,6,FALSE),""))</f>
        <v/>
      </c>
      <c r="Q589" s="40" t="str">
        <f>IF($J589="","",IFERROR(VLOOKUP($J589,Grinders!$A:$N,8,FALSE),""))</f>
        <v/>
      </c>
      <c r="R589" s="40" t="str">
        <f>IFERROR(IF($J589="","",IF($L589="Elite",MAX(50,MIN(100,Config!$B$27*MAX(0,MIN(100,(1-IF($O589="",0,$O589))*100)) + Config!$B$28*MAX(0,MIN(100,(1-MIN(1,IF(Config!$B$30=0,1,$P589/Config!$B$30)))*100)) + Config!$B$29*MAX(0,MIN(100,MIN(1,IF($Q589="",0,$Q589)/Config!$B$23)*100)))),MIN(100,Config!$B$27*MAX(0,MIN(100,(1-IF($O589="",0,$O589))*100)) + Config!$B$28*MAX(0,MIN(100,(1-MIN(1,IF(Config!$B$30=0,1,$P589/Config!$B$30)))*100)) + Config!$B$29*MAX(0,MIN(100,MIN(1,IF($Q589="",0,$Q589)/Config!$B$23)*100))))),"")
</f>
        <v/>
      </c>
      <c r="S589" s="40" t="str">
        <f>IF(Bids!$D589="","",Bids!$D589)</f>
        <v/>
      </c>
      <c r="T589" s="40" t="str">
        <f>IF(Bids!$F589="","",Bids!$F589)</f>
        <v/>
      </c>
      <c r="U589" s="40" t="str">
        <f t="shared" si="3"/>
        <v/>
      </c>
      <c r="V589" s="40" t="str">
        <f>IF($U589="","",IF(Config!$B$17=Config!$B$16,IF($U589&gt;=Config!$B$17,100,0),MAX(0,MIN(100,($U589-Config!$B$16)/(Config!$B$17-Config!$B$16)*100))))</f>
        <v/>
      </c>
      <c r="W589" s="40">
        <f>IF($L589="Elite",Config!$B$21,0)</f>
        <v>0</v>
      </c>
      <c r="X589" s="40" t="str">
        <f>IFERROR(IF(OR($T589="",$G589=""),"",IF($T589&gt;$G589,
  MAX(0, 60-(($T589-$G589)*24/Config!$B$19)*60),
  MEDIAN(60, 100, 60+(($G589-$T589)*24/Config!$B$20)*40)
)),"")
</f>
        <v/>
      </c>
      <c r="Y589" s="40" t="str">
        <f>IF($J589="","",IFERROR(VLOOKUP($J589,Grinders!$A:$N,10,FALSE),""))</f>
        <v/>
      </c>
      <c r="Z589" s="40" t="str">
        <f>IF($J589="","",IFERROR(VLOOKUP($J589,Grinders!$A:$N,11,FALSE),""))</f>
        <v/>
      </c>
      <c r="AA589" s="40" t="str">
        <f>IF($J589="","",IFERROR(VLOOKUP($J589,Grinders!$A:$N,12,FALSE),""))</f>
        <v/>
      </c>
      <c r="AB589" s="40">
        <f>IFERROR(IF(OR($C589="",$J589=""),0,IF($D589&lt;&gt;"Open",0,IF(COUNTIFS(GrinderServices!$B:$B,$J589,GrinderServices!$C:$C,$E589,GrinderServices!$E:$E,"Y")=0,0,IF($U589&lt;Config!$B$16,0,IF(Config!$B$18=1,IF($N589&gt;=$M589,0,1),1))))),"")</f>
        <v>0</v>
      </c>
      <c r="AC589" s="40" t="str">
        <f>IFERROR(IF($AB589=0,"",((Config!$B$6*$V589 + Config!$B$7*$R589 + Config!$B$8*$W589 + Config!$B$9*$X589 + Config!$B$10*$Y589 + Config!$B$11*$Z589 - Config!$B$12*$AA589)/Config!$B$13)+$AH589+$AI589),"")</f>
        <v/>
      </c>
      <c r="AD589" s="40" t="str">
        <f t="shared" si="4"/>
        <v/>
      </c>
      <c r="AE589" s="40" t="str">
        <f>IFERROR(__xludf.DUMMYFUNCTION("IF($AC589="""","""",IF($AC589=IFERROR(MAX(FILTER($AC$6:$AC$1000,$C$6:$C$1000=$C589,$AB$6:$AB$1000=1)),),""WINNER"",""""))"),"")</f>
        <v/>
      </c>
      <c r="AF589" s="40" t="str">
        <f t="shared" si="5"/>
        <v/>
      </c>
      <c r="AG589" s="40" t="str">
        <f>IF($J589="","",COUNTIF(Assignments!$B:$B,$J589))</f>
        <v/>
      </c>
      <c r="AH589" s="40" t="str">
        <f>IF($J589="","",IF(AND($AG589=0,$N589&lt;$M589),Config!$B$43,0))</f>
        <v/>
      </c>
      <c r="AI589" s="40" t="str">
        <f>IF($J589="","",IF(AND($L589="Elite",$F589&gt;=Config!$B$41,$N589&lt;$M589),Config!$B$42,0))</f>
        <v/>
      </c>
      <c r="AJ589" s="22"/>
    </row>
    <row r="590" ht="15.75" customHeight="1">
      <c r="A590" s="40" t="str">
        <f t="shared" si="1"/>
        <v/>
      </c>
      <c r="B590" s="40" t="str">
        <f>IF(Bids!$A590="","",Bids!$A590)</f>
        <v/>
      </c>
      <c r="C590" s="40" t="str">
        <f>IF(Bids!$B590="","",Bids!$B590)</f>
        <v/>
      </c>
      <c r="D590" s="40" t="str">
        <f>IF($C590="","",IFERROR(VLOOKUP($C590,Orders!$A:$J,9,FALSE),""))</f>
        <v/>
      </c>
      <c r="E590" s="40" t="str">
        <f>IF($C590="","",IFERROR(VLOOKUP($C590,Orders!$A:$J,3,FALSE),""))</f>
        <v/>
      </c>
      <c r="F590" s="40" t="str">
        <f>IF($C590="","",IFERROR(VLOOKUP($C590,Orders!$A:$J,4,FALSE),""))</f>
        <v/>
      </c>
      <c r="G590" s="40" t="str">
        <f>IF($C590="","",IFERROR(VLOOKUP($C590,Orders!$A:$J,5,FALSE),""))</f>
        <v/>
      </c>
      <c r="H590" s="40" t="str">
        <f>IF($C590="","",IFERROR(VLOOKUP($C590,Orders!$A:$J,6,FALSE),""))</f>
        <v/>
      </c>
      <c r="I590" s="40" t="str">
        <f>IF($C590="","",IFERROR(VLOOKUP($C590,Orders!$A:$J,7,FALSE),""))</f>
        <v/>
      </c>
      <c r="J590" s="40" t="str">
        <f>IF(Bids!$C590="","",Bids!$C590)</f>
        <v/>
      </c>
      <c r="K590" s="40" t="str">
        <f>IF($J590="","",IFERROR(VLOOKUP($J590,Grinders!$A:$N,2,FALSE),""))</f>
        <v/>
      </c>
      <c r="L590" s="40" t="str">
        <f>IF($J590="","",IFERROR(VLOOKUP($J590,Grinders!$A:$N,3,FALSE),""))</f>
        <v/>
      </c>
      <c r="M590" s="40" t="str">
        <f>IF($J590="","",IFERROR(VLOOKUP($J590,Grinders!$A:$N,4,FALSE),""))</f>
        <v/>
      </c>
      <c r="N590" s="40" t="str">
        <f>IF($J590="","",IFERROR(VLOOKUP($J590,Grinders!$A:$N,5,FALSE),""))</f>
        <v/>
      </c>
      <c r="O590" s="40" t="str">
        <f t="shared" si="2"/>
        <v/>
      </c>
      <c r="P590" s="40" t="str">
        <f>IF($J590="","",IFERROR(VLOOKUP($J590,Grinders!$A:$N,6,FALSE),""))</f>
        <v/>
      </c>
      <c r="Q590" s="40" t="str">
        <f>IF($J590="","",IFERROR(VLOOKUP($J590,Grinders!$A:$N,8,FALSE),""))</f>
        <v/>
      </c>
      <c r="R590" s="40" t="str">
        <f>IFERROR(IF($J590="","",IF($L590="Elite",MAX(50,MIN(100,Config!$B$27*MAX(0,MIN(100,(1-IF($O590="",0,$O590))*100)) + Config!$B$28*MAX(0,MIN(100,(1-MIN(1,IF(Config!$B$30=0,1,$P590/Config!$B$30)))*100)) + Config!$B$29*MAX(0,MIN(100,MIN(1,IF($Q590="",0,$Q590)/Config!$B$23)*100)))),MIN(100,Config!$B$27*MAX(0,MIN(100,(1-IF($O590="",0,$O590))*100)) + Config!$B$28*MAX(0,MIN(100,(1-MIN(1,IF(Config!$B$30=0,1,$P590/Config!$B$30)))*100)) + Config!$B$29*MAX(0,MIN(100,MIN(1,IF($Q590="",0,$Q590)/Config!$B$23)*100))))),"")
</f>
        <v/>
      </c>
      <c r="S590" s="40" t="str">
        <f>IF(Bids!$D590="","",Bids!$D590)</f>
        <v/>
      </c>
      <c r="T590" s="40" t="str">
        <f>IF(Bids!$F590="","",Bids!$F590)</f>
        <v/>
      </c>
      <c r="U590" s="40" t="str">
        <f t="shared" si="3"/>
        <v/>
      </c>
      <c r="V590" s="40" t="str">
        <f>IF($U590="","",IF(Config!$B$17=Config!$B$16,IF($U590&gt;=Config!$B$17,100,0),MAX(0,MIN(100,($U590-Config!$B$16)/(Config!$B$17-Config!$B$16)*100))))</f>
        <v/>
      </c>
      <c r="W590" s="40">
        <f>IF($L590="Elite",Config!$B$21,0)</f>
        <v>0</v>
      </c>
      <c r="X590" s="40" t="str">
        <f>IFERROR(IF(OR($T590="",$G590=""),"",IF($T590&gt;$G590,
  MAX(0, 60-(($T590-$G590)*24/Config!$B$19)*60),
  MEDIAN(60, 100, 60+(($G590-$T590)*24/Config!$B$20)*40)
)),"")
</f>
        <v/>
      </c>
      <c r="Y590" s="40" t="str">
        <f>IF($J590="","",IFERROR(VLOOKUP($J590,Grinders!$A:$N,10,FALSE),""))</f>
        <v/>
      </c>
      <c r="Z590" s="40" t="str">
        <f>IF($J590="","",IFERROR(VLOOKUP($J590,Grinders!$A:$N,11,FALSE),""))</f>
        <v/>
      </c>
      <c r="AA590" s="40" t="str">
        <f>IF($J590="","",IFERROR(VLOOKUP($J590,Grinders!$A:$N,12,FALSE),""))</f>
        <v/>
      </c>
      <c r="AB590" s="40">
        <f>IFERROR(IF(OR($C590="",$J590=""),0,IF($D590&lt;&gt;"Open",0,IF(COUNTIFS(GrinderServices!$B:$B,$J590,GrinderServices!$C:$C,$E590,GrinderServices!$E:$E,"Y")=0,0,IF($U590&lt;Config!$B$16,0,IF(Config!$B$18=1,IF($N590&gt;=$M590,0,1),1))))),"")</f>
        <v>0</v>
      </c>
      <c r="AC590" s="40" t="str">
        <f>IFERROR(IF($AB590=0,"",((Config!$B$6*$V590 + Config!$B$7*$R590 + Config!$B$8*$W590 + Config!$B$9*$X590 + Config!$B$10*$Y590 + Config!$B$11*$Z590 - Config!$B$12*$AA590)/Config!$B$13)+$AH590+$AI590),"")</f>
        <v/>
      </c>
      <c r="AD590" s="40" t="str">
        <f t="shared" si="4"/>
        <v/>
      </c>
      <c r="AE590" s="40" t="str">
        <f>IFERROR(__xludf.DUMMYFUNCTION("IF($AC590="""","""",IF($AC590=IFERROR(MAX(FILTER($AC$6:$AC$1000,$C$6:$C$1000=$C590,$AB$6:$AB$1000=1)),),""WINNER"",""""))"),"")</f>
        <v/>
      </c>
      <c r="AF590" s="40" t="str">
        <f t="shared" si="5"/>
        <v/>
      </c>
      <c r="AG590" s="40" t="str">
        <f>IF($J590="","",COUNTIF(Assignments!$B:$B,$J590))</f>
        <v/>
      </c>
      <c r="AH590" s="40" t="str">
        <f>IF($J590="","",IF(AND($AG590=0,$N590&lt;$M590),Config!$B$43,0))</f>
        <v/>
      </c>
      <c r="AI590" s="40" t="str">
        <f>IF($J590="","",IF(AND($L590="Elite",$F590&gt;=Config!$B$41,$N590&lt;$M590),Config!$B$42,0))</f>
        <v/>
      </c>
      <c r="AJ590" s="22"/>
    </row>
    <row r="591" ht="15.75" customHeight="1">
      <c r="A591" s="40" t="str">
        <f t="shared" si="1"/>
        <v/>
      </c>
      <c r="B591" s="40" t="str">
        <f>IF(Bids!$A591="","",Bids!$A591)</f>
        <v/>
      </c>
      <c r="C591" s="40" t="str">
        <f>IF(Bids!$B591="","",Bids!$B591)</f>
        <v/>
      </c>
      <c r="D591" s="40" t="str">
        <f>IF($C591="","",IFERROR(VLOOKUP($C591,Orders!$A:$J,9,FALSE),""))</f>
        <v/>
      </c>
      <c r="E591" s="40" t="str">
        <f>IF($C591="","",IFERROR(VLOOKUP($C591,Orders!$A:$J,3,FALSE),""))</f>
        <v/>
      </c>
      <c r="F591" s="40" t="str">
        <f>IF($C591="","",IFERROR(VLOOKUP($C591,Orders!$A:$J,4,FALSE),""))</f>
        <v/>
      </c>
      <c r="G591" s="40" t="str">
        <f>IF($C591="","",IFERROR(VLOOKUP($C591,Orders!$A:$J,5,FALSE),""))</f>
        <v/>
      </c>
      <c r="H591" s="40" t="str">
        <f>IF($C591="","",IFERROR(VLOOKUP($C591,Orders!$A:$J,6,FALSE),""))</f>
        <v/>
      </c>
      <c r="I591" s="40" t="str">
        <f>IF($C591="","",IFERROR(VLOOKUP($C591,Orders!$A:$J,7,FALSE),""))</f>
        <v/>
      </c>
      <c r="J591" s="40" t="str">
        <f>IF(Bids!$C591="","",Bids!$C591)</f>
        <v/>
      </c>
      <c r="K591" s="40" t="str">
        <f>IF($J591="","",IFERROR(VLOOKUP($J591,Grinders!$A:$N,2,FALSE),""))</f>
        <v/>
      </c>
      <c r="L591" s="40" t="str">
        <f>IF($J591="","",IFERROR(VLOOKUP($J591,Grinders!$A:$N,3,FALSE),""))</f>
        <v/>
      </c>
      <c r="M591" s="40" t="str">
        <f>IF($J591="","",IFERROR(VLOOKUP($J591,Grinders!$A:$N,4,FALSE),""))</f>
        <v/>
      </c>
      <c r="N591" s="40" t="str">
        <f>IF($J591="","",IFERROR(VLOOKUP($J591,Grinders!$A:$N,5,FALSE),""))</f>
        <v/>
      </c>
      <c r="O591" s="40" t="str">
        <f t="shared" si="2"/>
        <v/>
      </c>
      <c r="P591" s="40" t="str">
        <f>IF($J591="","",IFERROR(VLOOKUP($J591,Grinders!$A:$N,6,FALSE),""))</f>
        <v/>
      </c>
      <c r="Q591" s="40" t="str">
        <f>IF($J591="","",IFERROR(VLOOKUP($J591,Grinders!$A:$N,8,FALSE),""))</f>
        <v/>
      </c>
      <c r="R591" s="40" t="str">
        <f>IFERROR(IF($J591="","",IF($L591="Elite",MAX(50,MIN(100,Config!$B$27*MAX(0,MIN(100,(1-IF($O591="",0,$O591))*100)) + Config!$B$28*MAX(0,MIN(100,(1-MIN(1,IF(Config!$B$30=0,1,$P591/Config!$B$30)))*100)) + Config!$B$29*MAX(0,MIN(100,MIN(1,IF($Q591="",0,$Q591)/Config!$B$23)*100)))),MIN(100,Config!$B$27*MAX(0,MIN(100,(1-IF($O591="",0,$O591))*100)) + Config!$B$28*MAX(0,MIN(100,(1-MIN(1,IF(Config!$B$30=0,1,$P591/Config!$B$30)))*100)) + Config!$B$29*MAX(0,MIN(100,MIN(1,IF($Q591="",0,$Q591)/Config!$B$23)*100))))),"")
</f>
        <v/>
      </c>
      <c r="S591" s="40" t="str">
        <f>IF(Bids!$D591="","",Bids!$D591)</f>
        <v/>
      </c>
      <c r="T591" s="40" t="str">
        <f>IF(Bids!$F591="","",Bids!$F591)</f>
        <v/>
      </c>
      <c r="U591" s="40" t="str">
        <f t="shared" si="3"/>
        <v/>
      </c>
      <c r="V591" s="40" t="str">
        <f>IF($U591="","",IF(Config!$B$17=Config!$B$16,IF($U591&gt;=Config!$B$17,100,0),MAX(0,MIN(100,($U591-Config!$B$16)/(Config!$B$17-Config!$B$16)*100))))</f>
        <v/>
      </c>
      <c r="W591" s="40">
        <f>IF($L591="Elite",Config!$B$21,0)</f>
        <v>0</v>
      </c>
      <c r="X591" s="40" t="str">
        <f>IFERROR(IF(OR($T591="",$G591=""),"",IF($T591&gt;$G591,
  MAX(0, 60-(($T591-$G591)*24/Config!$B$19)*60),
  MEDIAN(60, 100, 60+(($G591-$T591)*24/Config!$B$20)*40)
)),"")
</f>
        <v/>
      </c>
      <c r="Y591" s="40" t="str">
        <f>IF($J591="","",IFERROR(VLOOKUP($J591,Grinders!$A:$N,10,FALSE),""))</f>
        <v/>
      </c>
      <c r="Z591" s="40" t="str">
        <f>IF($J591="","",IFERROR(VLOOKUP($J591,Grinders!$A:$N,11,FALSE),""))</f>
        <v/>
      </c>
      <c r="AA591" s="40" t="str">
        <f>IF($J591="","",IFERROR(VLOOKUP($J591,Grinders!$A:$N,12,FALSE),""))</f>
        <v/>
      </c>
      <c r="AB591" s="40">
        <f>IFERROR(IF(OR($C591="",$J591=""),0,IF($D591&lt;&gt;"Open",0,IF(COUNTIFS(GrinderServices!$B:$B,$J591,GrinderServices!$C:$C,$E591,GrinderServices!$E:$E,"Y")=0,0,IF($U591&lt;Config!$B$16,0,IF(Config!$B$18=1,IF($N591&gt;=$M591,0,1),1))))),"")</f>
        <v>0</v>
      </c>
      <c r="AC591" s="40" t="str">
        <f>IFERROR(IF($AB591=0,"",((Config!$B$6*$V591 + Config!$B$7*$R591 + Config!$B$8*$W591 + Config!$B$9*$X591 + Config!$B$10*$Y591 + Config!$B$11*$Z591 - Config!$B$12*$AA591)/Config!$B$13)+$AH591+$AI591),"")</f>
        <v/>
      </c>
      <c r="AD591" s="40" t="str">
        <f t="shared" si="4"/>
        <v/>
      </c>
      <c r="AE591" s="40" t="str">
        <f>IFERROR(__xludf.DUMMYFUNCTION("IF($AC591="""","""",IF($AC591=IFERROR(MAX(FILTER($AC$6:$AC$1000,$C$6:$C$1000=$C591,$AB$6:$AB$1000=1)),),""WINNER"",""""))"),"")</f>
        <v/>
      </c>
      <c r="AF591" s="40" t="str">
        <f t="shared" si="5"/>
        <v/>
      </c>
      <c r="AG591" s="40" t="str">
        <f>IF($J591="","",COUNTIF(Assignments!$B:$B,$J591))</f>
        <v/>
      </c>
      <c r="AH591" s="40" t="str">
        <f>IF($J591="","",IF(AND($AG591=0,$N591&lt;$M591),Config!$B$43,0))</f>
        <v/>
      </c>
      <c r="AI591" s="40" t="str">
        <f>IF($J591="","",IF(AND($L591="Elite",$F591&gt;=Config!$B$41,$N591&lt;$M591),Config!$B$42,0))</f>
        <v/>
      </c>
      <c r="AJ591" s="22"/>
    </row>
    <row r="592" ht="15.75" customHeight="1">
      <c r="A592" s="40" t="str">
        <f t="shared" si="1"/>
        <v/>
      </c>
      <c r="B592" s="40" t="str">
        <f>IF(Bids!$A592="","",Bids!$A592)</f>
        <v/>
      </c>
      <c r="C592" s="40" t="str">
        <f>IF(Bids!$B592="","",Bids!$B592)</f>
        <v/>
      </c>
      <c r="D592" s="40" t="str">
        <f>IF($C592="","",IFERROR(VLOOKUP($C592,Orders!$A:$J,9,FALSE),""))</f>
        <v/>
      </c>
      <c r="E592" s="40" t="str">
        <f>IF($C592="","",IFERROR(VLOOKUP($C592,Orders!$A:$J,3,FALSE),""))</f>
        <v/>
      </c>
      <c r="F592" s="40" t="str">
        <f>IF($C592="","",IFERROR(VLOOKUP($C592,Orders!$A:$J,4,FALSE),""))</f>
        <v/>
      </c>
      <c r="G592" s="40" t="str">
        <f>IF($C592="","",IFERROR(VLOOKUP($C592,Orders!$A:$J,5,FALSE),""))</f>
        <v/>
      </c>
      <c r="H592" s="40" t="str">
        <f>IF($C592="","",IFERROR(VLOOKUP($C592,Orders!$A:$J,6,FALSE),""))</f>
        <v/>
      </c>
      <c r="I592" s="40" t="str">
        <f>IF($C592="","",IFERROR(VLOOKUP($C592,Orders!$A:$J,7,FALSE),""))</f>
        <v/>
      </c>
      <c r="J592" s="40" t="str">
        <f>IF(Bids!$C592="","",Bids!$C592)</f>
        <v/>
      </c>
      <c r="K592" s="40" t="str">
        <f>IF($J592="","",IFERROR(VLOOKUP($J592,Grinders!$A:$N,2,FALSE),""))</f>
        <v/>
      </c>
      <c r="L592" s="40" t="str">
        <f>IF($J592="","",IFERROR(VLOOKUP($J592,Grinders!$A:$N,3,FALSE),""))</f>
        <v/>
      </c>
      <c r="M592" s="40" t="str">
        <f>IF($J592="","",IFERROR(VLOOKUP($J592,Grinders!$A:$N,4,FALSE),""))</f>
        <v/>
      </c>
      <c r="N592" s="40" t="str">
        <f>IF($J592="","",IFERROR(VLOOKUP($J592,Grinders!$A:$N,5,FALSE),""))</f>
        <v/>
      </c>
      <c r="O592" s="40" t="str">
        <f t="shared" si="2"/>
        <v/>
      </c>
      <c r="P592" s="40" t="str">
        <f>IF($J592="","",IFERROR(VLOOKUP($J592,Grinders!$A:$N,6,FALSE),""))</f>
        <v/>
      </c>
      <c r="Q592" s="40" t="str">
        <f>IF($J592="","",IFERROR(VLOOKUP($J592,Grinders!$A:$N,8,FALSE),""))</f>
        <v/>
      </c>
      <c r="R592" s="40" t="str">
        <f>IFERROR(IF($J592="","",IF($L592="Elite",MAX(50,MIN(100,Config!$B$27*MAX(0,MIN(100,(1-IF($O592="",0,$O592))*100)) + Config!$B$28*MAX(0,MIN(100,(1-MIN(1,IF(Config!$B$30=0,1,$P592/Config!$B$30)))*100)) + Config!$B$29*MAX(0,MIN(100,MIN(1,IF($Q592="",0,$Q592)/Config!$B$23)*100)))),MIN(100,Config!$B$27*MAX(0,MIN(100,(1-IF($O592="",0,$O592))*100)) + Config!$B$28*MAX(0,MIN(100,(1-MIN(1,IF(Config!$B$30=0,1,$P592/Config!$B$30)))*100)) + Config!$B$29*MAX(0,MIN(100,MIN(1,IF($Q592="",0,$Q592)/Config!$B$23)*100))))),"")
</f>
        <v/>
      </c>
      <c r="S592" s="40" t="str">
        <f>IF(Bids!$D592="","",Bids!$D592)</f>
        <v/>
      </c>
      <c r="T592" s="40" t="str">
        <f>IF(Bids!$F592="","",Bids!$F592)</f>
        <v/>
      </c>
      <c r="U592" s="40" t="str">
        <f t="shared" si="3"/>
        <v/>
      </c>
      <c r="V592" s="40" t="str">
        <f>IF($U592="","",IF(Config!$B$17=Config!$B$16,IF($U592&gt;=Config!$B$17,100,0),MAX(0,MIN(100,($U592-Config!$B$16)/(Config!$B$17-Config!$B$16)*100))))</f>
        <v/>
      </c>
      <c r="W592" s="40">
        <f>IF($L592="Elite",Config!$B$21,0)</f>
        <v>0</v>
      </c>
      <c r="X592" s="40" t="str">
        <f>IFERROR(IF(OR($T592="",$G592=""),"",IF($T592&gt;$G592,
  MAX(0, 60-(($T592-$G592)*24/Config!$B$19)*60),
  MEDIAN(60, 100, 60+(($G592-$T592)*24/Config!$B$20)*40)
)),"")
</f>
        <v/>
      </c>
      <c r="Y592" s="40" t="str">
        <f>IF($J592="","",IFERROR(VLOOKUP($J592,Grinders!$A:$N,10,FALSE),""))</f>
        <v/>
      </c>
      <c r="Z592" s="40" t="str">
        <f>IF($J592="","",IFERROR(VLOOKUP($J592,Grinders!$A:$N,11,FALSE),""))</f>
        <v/>
      </c>
      <c r="AA592" s="40" t="str">
        <f>IF($J592="","",IFERROR(VLOOKUP($J592,Grinders!$A:$N,12,FALSE),""))</f>
        <v/>
      </c>
      <c r="AB592" s="40">
        <f>IFERROR(IF(OR($C592="",$J592=""),0,IF($D592&lt;&gt;"Open",0,IF(COUNTIFS(GrinderServices!$B:$B,$J592,GrinderServices!$C:$C,$E592,GrinderServices!$E:$E,"Y")=0,0,IF($U592&lt;Config!$B$16,0,IF(Config!$B$18=1,IF($N592&gt;=$M592,0,1),1))))),"")</f>
        <v>0</v>
      </c>
      <c r="AC592" s="40" t="str">
        <f>IFERROR(IF($AB592=0,"",((Config!$B$6*$V592 + Config!$B$7*$R592 + Config!$B$8*$W592 + Config!$B$9*$X592 + Config!$B$10*$Y592 + Config!$B$11*$Z592 - Config!$B$12*$AA592)/Config!$B$13)+$AH592+$AI592),"")</f>
        <v/>
      </c>
      <c r="AD592" s="40" t="str">
        <f t="shared" si="4"/>
        <v/>
      </c>
      <c r="AE592" s="40" t="str">
        <f>IFERROR(__xludf.DUMMYFUNCTION("IF($AC592="""","""",IF($AC592=IFERROR(MAX(FILTER($AC$6:$AC$1000,$C$6:$C$1000=$C592,$AB$6:$AB$1000=1)),),""WINNER"",""""))"),"")</f>
        <v/>
      </c>
      <c r="AF592" s="40" t="str">
        <f t="shared" si="5"/>
        <v/>
      </c>
      <c r="AG592" s="40" t="str">
        <f>IF($J592="","",COUNTIF(Assignments!$B:$B,$J592))</f>
        <v/>
      </c>
      <c r="AH592" s="40" t="str">
        <f>IF($J592="","",IF(AND($AG592=0,$N592&lt;$M592),Config!$B$43,0))</f>
        <v/>
      </c>
      <c r="AI592" s="40" t="str">
        <f>IF($J592="","",IF(AND($L592="Elite",$F592&gt;=Config!$B$41,$N592&lt;$M592),Config!$B$42,0))</f>
        <v/>
      </c>
      <c r="AJ592" s="22"/>
    </row>
    <row r="593" ht="15.75" customHeight="1">
      <c r="A593" s="40" t="str">
        <f t="shared" si="1"/>
        <v/>
      </c>
      <c r="B593" s="40" t="str">
        <f>IF(Bids!$A593="","",Bids!$A593)</f>
        <v/>
      </c>
      <c r="C593" s="40" t="str">
        <f>IF(Bids!$B593="","",Bids!$B593)</f>
        <v/>
      </c>
      <c r="D593" s="40" t="str">
        <f>IF($C593="","",IFERROR(VLOOKUP($C593,Orders!$A:$J,9,FALSE),""))</f>
        <v/>
      </c>
      <c r="E593" s="40" t="str">
        <f>IF($C593="","",IFERROR(VLOOKUP($C593,Orders!$A:$J,3,FALSE),""))</f>
        <v/>
      </c>
      <c r="F593" s="40" t="str">
        <f>IF($C593="","",IFERROR(VLOOKUP($C593,Orders!$A:$J,4,FALSE),""))</f>
        <v/>
      </c>
      <c r="G593" s="40" t="str">
        <f>IF($C593="","",IFERROR(VLOOKUP($C593,Orders!$A:$J,5,FALSE),""))</f>
        <v/>
      </c>
      <c r="H593" s="40" t="str">
        <f>IF($C593="","",IFERROR(VLOOKUP($C593,Orders!$A:$J,6,FALSE),""))</f>
        <v/>
      </c>
      <c r="I593" s="40" t="str">
        <f>IF($C593="","",IFERROR(VLOOKUP($C593,Orders!$A:$J,7,FALSE),""))</f>
        <v/>
      </c>
      <c r="J593" s="40" t="str">
        <f>IF(Bids!$C593="","",Bids!$C593)</f>
        <v/>
      </c>
      <c r="K593" s="40" t="str">
        <f>IF($J593="","",IFERROR(VLOOKUP($J593,Grinders!$A:$N,2,FALSE),""))</f>
        <v/>
      </c>
      <c r="L593" s="40" t="str">
        <f>IF($J593="","",IFERROR(VLOOKUP($J593,Grinders!$A:$N,3,FALSE),""))</f>
        <v/>
      </c>
      <c r="M593" s="40" t="str">
        <f>IF($J593="","",IFERROR(VLOOKUP($J593,Grinders!$A:$N,4,FALSE),""))</f>
        <v/>
      </c>
      <c r="N593" s="40" t="str">
        <f>IF($J593="","",IFERROR(VLOOKUP($J593,Grinders!$A:$N,5,FALSE),""))</f>
        <v/>
      </c>
      <c r="O593" s="40" t="str">
        <f t="shared" si="2"/>
        <v/>
      </c>
      <c r="P593" s="40" t="str">
        <f>IF($J593="","",IFERROR(VLOOKUP($J593,Grinders!$A:$N,6,FALSE),""))</f>
        <v/>
      </c>
      <c r="Q593" s="40" t="str">
        <f>IF($J593="","",IFERROR(VLOOKUP($J593,Grinders!$A:$N,8,FALSE),""))</f>
        <v/>
      </c>
      <c r="R593" s="40" t="str">
        <f>IFERROR(IF($J593="","",IF($L593="Elite",MAX(50,MIN(100,Config!$B$27*MAX(0,MIN(100,(1-IF($O593="",0,$O593))*100)) + Config!$B$28*MAX(0,MIN(100,(1-MIN(1,IF(Config!$B$30=0,1,$P593/Config!$B$30)))*100)) + Config!$B$29*MAX(0,MIN(100,MIN(1,IF($Q593="",0,$Q593)/Config!$B$23)*100)))),MIN(100,Config!$B$27*MAX(0,MIN(100,(1-IF($O593="",0,$O593))*100)) + Config!$B$28*MAX(0,MIN(100,(1-MIN(1,IF(Config!$B$30=0,1,$P593/Config!$B$30)))*100)) + Config!$B$29*MAX(0,MIN(100,MIN(1,IF($Q593="",0,$Q593)/Config!$B$23)*100))))),"")
</f>
        <v/>
      </c>
      <c r="S593" s="40" t="str">
        <f>IF(Bids!$D593="","",Bids!$D593)</f>
        <v/>
      </c>
      <c r="T593" s="40" t="str">
        <f>IF(Bids!$F593="","",Bids!$F593)</f>
        <v/>
      </c>
      <c r="U593" s="40" t="str">
        <f t="shared" si="3"/>
        <v/>
      </c>
      <c r="V593" s="40" t="str">
        <f>IF($U593="","",IF(Config!$B$17=Config!$B$16,IF($U593&gt;=Config!$B$17,100,0),MAX(0,MIN(100,($U593-Config!$B$16)/(Config!$B$17-Config!$B$16)*100))))</f>
        <v/>
      </c>
      <c r="W593" s="40">
        <f>IF($L593="Elite",Config!$B$21,0)</f>
        <v>0</v>
      </c>
      <c r="X593" s="40" t="str">
        <f>IFERROR(IF(OR($T593="",$G593=""),"",IF($T593&gt;$G593,
  MAX(0, 60-(($T593-$G593)*24/Config!$B$19)*60),
  MEDIAN(60, 100, 60+(($G593-$T593)*24/Config!$B$20)*40)
)),"")
</f>
        <v/>
      </c>
      <c r="Y593" s="40" t="str">
        <f>IF($J593="","",IFERROR(VLOOKUP($J593,Grinders!$A:$N,10,FALSE),""))</f>
        <v/>
      </c>
      <c r="Z593" s="40" t="str">
        <f>IF($J593="","",IFERROR(VLOOKUP($J593,Grinders!$A:$N,11,FALSE),""))</f>
        <v/>
      </c>
      <c r="AA593" s="40" t="str">
        <f>IF($J593="","",IFERROR(VLOOKUP($J593,Grinders!$A:$N,12,FALSE),""))</f>
        <v/>
      </c>
      <c r="AB593" s="40">
        <f>IFERROR(IF(OR($C593="",$J593=""),0,IF($D593&lt;&gt;"Open",0,IF(COUNTIFS(GrinderServices!$B:$B,$J593,GrinderServices!$C:$C,$E593,GrinderServices!$E:$E,"Y")=0,0,IF($U593&lt;Config!$B$16,0,IF(Config!$B$18=1,IF($N593&gt;=$M593,0,1),1))))),"")</f>
        <v>0</v>
      </c>
      <c r="AC593" s="40" t="str">
        <f>IFERROR(IF($AB593=0,"",((Config!$B$6*$V593 + Config!$B$7*$R593 + Config!$B$8*$W593 + Config!$B$9*$X593 + Config!$B$10*$Y593 + Config!$B$11*$Z593 - Config!$B$12*$AA593)/Config!$B$13)+$AH593+$AI593),"")</f>
        <v/>
      </c>
      <c r="AD593" s="40" t="str">
        <f t="shared" si="4"/>
        <v/>
      </c>
      <c r="AE593" s="40" t="str">
        <f>IFERROR(__xludf.DUMMYFUNCTION("IF($AC593="""","""",IF($AC593=IFERROR(MAX(FILTER($AC$6:$AC$1000,$C$6:$C$1000=$C593,$AB$6:$AB$1000=1)),),""WINNER"",""""))"),"")</f>
        <v/>
      </c>
      <c r="AF593" s="40" t="str">
        <f t="shared" si="5"/>
        <v/>
      </c>
      <c r="AG593" s="40" t="str">
        <f>IF($J593="","",COUNTIF(Assignments!$B:$B,$J593))</f>
        <v/>
      </c>
      <c r="AH593" s="40" t="str">
        <f>IF($J593="","",IF(AND($AG593=0,$N593&lt;$M593),Config!$B$43,0))</f>
        <v/>
      </c>
      <c r="AI593" s="40" t="str">
        <f>IF($J593="","",IF(AND($L593="Elite",$F593&gt;=Config!$B$41,$N593&lt;$M593),Config!$B$42,0))</f>
        <v/>
      </c>
      <c r="AJ593" s="22"/>
    </row>
    <row r="594" ht="15.75" customHeight="1">
      <c r="A594" s="40" t="str">
        <f t="shared" si="1"/>
        <v/>
      </c>
      <c r="B594" s="40" t="str">
        <f>IF(Bids!$A594="","",Bids!$A594)</f>
        <v/>
      </c>
      <c r="C594" s="40" t="str">
        <f>IF(Bids!$B594="","",Bids!$B594)</f>
        <v/>
      </c>
      <c r="D594" s="40" t="str">
        <f>IF($C594="","",IFERROR(VLOOKUP($C594,Orders!$A:$J,9,FALSE),""))</f>
        <v/>
      </c>
      <c r="E594" s="40" t="str">
        <f>IF($C594="","",IFERROR(VLOOKUP($C594,Orders!$A:$J,3,FALSE),""))</f>
        <v/>
      </c>
      <c r="F594" s="40" t="str">
        <f>IF($C594="","",IFERROR(VLOOKUP($C594,Orders!$A:$J,4,FALSE),""))</f>
        <v/>
      </c>
      <c r="G594" s="40" t="str">
        <f>IF($C594="","",IFERROR(VLOOKUP($C594,Orders!$A:$J,5,FALSE),""))</f>
        <v/>
      </c>
      <c r="H594" s="40" t="str">
        <f>IF($C594="","",IFERROR(VLOOKUP($C594,Orders!$A:$J,6,FALSE),""))</f>
        <v/>
      </c>
      <c r="I594" s="40" t="str">
        <f>IF($C594="","",IFERROR(VLOOKUP($C594,Orders!$A:$J,7,FALSE),""))</f>
        <v/>
      </c>
      <c r="J594" s="40" t="str">
        <f>IF(Bids!$C594="","",Bids!$C594)</f>
        <v/>
      </c>
      <c r="K594" s="40" t="str">
        <f>IF($J594="","",IFERROR(VLOOKUP($J594,Grinders!$A:$N,2,FALSE),""))</f>
        <v/>
      </c>
      <c r="L594" s="40" t="str">
        <f>IF($J594="","",IFERROR(VLOOKUP($J594,Grinders!$A:$N,3,FALSE),""))</f>
        <v/>
      </c>
      <c r="M594" s="40" t="str">
        <f>IF($J594="","",IFERROR(VLOOKUP($J594,Grinders!$A:$N,4,FALSE),""))</f>
        <v/>
      </c>
      <c r="N594" s="40" t="str">
        <f>IF($J594="","",IFERROR(VLOOKUP($J594,Grinders!$A:$N,5,FALSE),""))</f>
        <v/>
      </c>
      <c r="O594" s="40" t="str">
        <f t="shared" si="2"/>
        <v/>
      </c>
      <c r="P594" s="40" t="str">
        <f>IF($J594="","",IFERROR(VLOOKUP($J594,Grinders!$A:$N,6,FALSE),""))</f>
        <v/>
      </c>
      <c r="Q594" s="40" t="str">
        <f>IF($J594="","",IFERROR(VLOOKUP($J594,Grinders!$A:$N,8,FALSE),""))</f>
        <v/>
      </c>
      <c r="R594" s="40" t="str">
        <f>IFERROR(IF($J594="","",IF($L594="Elite",MAX(50,MIN(100,Config!$B$27*MAX(0,MIN(100,(1-IF($O594="",0,$O594))*100)) + Config!$B$28*MAX(0,MIN(100,(1-MIN(1,IF(Config!$B$30=0,1,$P594/Config!$B$30)))*100)) + Config!$B$29*MAX(0,MIN(100,MIN(1,IF($Q594="",0,$Q594)/Config!$B$23)*100)))),MIN(100,Config!$B$27*MAX(0,MIN(100,(1-IF($O594="",0,$O594))*100)) + Config!$B$28*MAX(0,MIN(100,(1-MIN(1,IF(Config!$B$30=0,1,$P594/Config!$B$30)))*100)) + Config!$B$29*MAX(0,MIN(100,MIN(1,IF($Q594="",0,$Q594)/Config!$B$23)*100))))),"")
</f>
        <v/>
      </c>
      <c r="S594" s="40" t="str">
        <f>IF(Bids!$D594="","",Bids!$D594)</f>
        <v/>
      </c>
      <c r="T594" s="40" t="str">
        <f>IF(Bids!$F594="","",Bids!$F594)</f>
        <v/>
      </c>
      <c r="U594" s="40" t="str">
        <f t="shared" si="3"/>
        <v/>
      </c>
      <c r="V594" s="40" t="str">
        <f>IF($U594="","",IF(Config!$B$17=Config!$B$16,IF($U594&gt;=Config!$B$17,100,0),MAX(0,MIN(100,($U594-Config!$B$16)/(Config!$B$17-Config!$B$16)*100))))</f>
        <v/>
      </c>
      <c r="W594" s="40">
        <f>IF($L594="Elite",Config!$B$21,0)</f>
        <v>0</v>
      </c>
      <c r="X594" s="40" t="str">
        <f>IFERROR(IF(OR($T594="",$G594=""),"",IF($T594&gt;$G594,
  MAX(0, 60-(($T594-$G594)*24/Config!$B$19)*60),
  MEDIAN(60, 100, 60+(($G594-$T594)*24/Config!$B$20)*40)
)),"")
</f>
        <v/>
      </c>
      <c r="Y594" s="40" t="str">
        <f>IF($J594="","",IFERROR(VLOOKUP($J594,Grinders!$A:$N,10,FALSE),""))</f>
        <v/>
      </c>
      <c r="Z594" s="40" t="str">
        <f>IF($J594="","",IFERROR(VLOOKUP($J594,Grinders!$A:$N,11,FALSE),""))</f>
        <v/>
      </c>
      <c r="AA594" s="40" t="str">
        <f>IF($J594="","",IFERROR(VLOOKUP($J594,Grinders!$A:$N,12,FALSE),""))</f>
        <v/>
      </c>
      <c r="AB594" s="40">
        <f>IFERROR(IF(OR($C594="",$J594=""),0,IF($D594&lt;&gt;"Open",0,IF(COUNTIFS(GrinderServices!$B:$B,$J594,GrinderServices!$C:$C,$E594,GrinderServices!$E:$E,"Y")=0,0,IF($U594&lt;Config!$B$16,0,IF(Config!$B$18=1,IF($N594&gt;=$M594,0,1),1))))),"")</f>
        <v>0</v>
      </c>
      <c r="AC594" s="40" t="str">
        <f>IFERROR(IF($AB594=0,"",((Config!$B$6*$V594 + Config!$B$7*$R594 + Config!$B$8*$W594 + Config!$B$9*$X594 + Config!$B$10*$Y594 + Config!$B$11*$Z594 - Config!$B$12*$AA594)/Config!$B$13)+$AH594+$AI594),"")</f>
        <v/>
      </c>
      <c r="AD594" s="40" t="str">
        <f t="shared" si="4"/>
        <v/>
      </c>
      <c r="AE594" s="40" t="str">
        <f>IFERROR(__xludf.DUMMYFUNCTION("IF($AC594="""","""",IF($AC594=IFERROR(MAX(FILTER($AC$6:$AC$1000,$C$6:$C$1000=$C594,$AB$6:$AB$1000=1)),),""WINNER"",""""))"),"")</f>
        <v/>
      </c>
      <c r="AF594" s="40" t="str">
        <f t="shared" si="5"/>
        <v/>
      </c>
      <c r="AG594" s="40" t="str">
        <f>IF($J594="","",COUNTIF(Assignments!$B:$B,$J594))</f>
        <v/>
      </c>
      <c r="AH594" s="40" t="str">
        <f>IF($J594="","",IF(AND($AG594=0,$N594&lt;$M594),Config!$B$43,0))</f>
        <v/>
      </c>
      <c r="AI594" s="40" t="str">
        <f>IF($J594="","",IF(AND($L594="Elite",$F594&gt;=Config!$B$41,$N594&lt;$M594),Config!$B$42,0))</f>
        <v/>
      </c>
      <c r="AJ594" s="22"/>
    </row>
    <row r="595" ht="15.75" customHeight="1">
      <c r="A595" s="40" t="str">
        <f t="shared" si="1"/>
        <v/>
      </c>
      <c r="B595" s="40" t="str">
        <f>IF(Bids!$A595="","",Bids!$A595)</f>
        <v/>
      </c>
      <c r="C595" s="40" t="str">
        <f>IF(Bids!$B595="","",Bids!$B595)</f>
        <v/>
      </c>
      <c r="D595" s="40" t="str">
        <f>IF($C595="","",IFERROR(VLOOKUP($C595,Orders!$A:$J,9,FALSE),""))</f>
        <v/>
      </c>
      <c r="E595" s="40" t="str">
        <f>IF($C595="","",IFERROR(VLOOKUP($C595,Orders!$A:$J,3,FALSE),""))</f>
        <v/>
      </c>
      <c r="F595" s="40" t="str">
        <f>IF($C595="","",IFERROR(VLOOKUP($C595,Orders!$A:$J,4,FALSE),""))</f>
        <v/>
      </c>
      <c r="G595" s="40" t="str">
        <f>IF($C595="","",IFERROR(VLOOKUP($C595,Orders!$A:$J,5,FALSE),""))</f>
        <v/>
      </c>
      <c r="H595" s="40" t="str">
        <f>IF($C595="","",IFERROR(VLOOKUP($C595,Orders!$A:$J,6,FALSE),""))</f>
        <v/>
      </c>
      <c r="I595" s="40" t="str">
        <f>IF($C595="","",IFERROR(VLOOKUP($C595,Orders!$A:$J,7,FALSE),""))</f>
        <v/>
      </c>
      <c r="J595" s="40" t="str">
        <f>IF(Bids!$C595="","",Bids!$C595)</f>
        <v/>
      </c>
      <c r="K595" s="40" t="str">
        <f>IF($J595="","",IFERROR(VLOOKUP($J595,Grinders!$A:$N,2,FALSE),""))</f>
        <v/>
      </c>
      <c r="L595" s="40" t="str">
        <f>IF($J595="","",IFERROR(VLOOKUP($J595,Grinders!$A:$N,3,FALSE),""))</f>
        <v/>
      </c>
      <c r="M595" s="40" t="str">
        <f>IF($J595="","",IFERROR(VLOOKUP($J595,Grinders!$A:$N,4,FALSE),""))</f>
        <v/>
      </c>
      <c r="N595" s="40" t="str">
        <f>IF($J595="","",IFERROR(VLOOKUP($J595,Grinders!$A:$N,5,FALSE),""))</f>
        <v/>
      </c>
      <c r="O595" s="40" t="str">
        <f t="shared" si="2"/>
        <v/>
      </c>
      <c r="P595" s="40" t="str">
        <f>IF($J595="","",IFERROR(VLOOKUP($J595,Grinders!$A:$N,6,FALSE),""))</f>
        <v/>
      </c>
      <c r="Q595" s="40" t="str">
        <f>IF($J595="","",IFERROR(VLOOKUP($J595,Grinders!$A:$N,8,FALSE),""))</f>
        <v/>
      </c>
      <c r="R595" s="40" t="str">
        <f>IFERROR(IF($J595="","",IF($L595="Elite",MAX(50,MIN(100,Config!$B$27*MAX(0,MIN(100,(1-IF($O595="",0,$O595))*100)) + Config!$B$28*MAX(0,MIN(100,(1-MIN(1,IF(Config!$B$30=0,1,$P595/Config!$B$30)))*100)) + Config!$B$29*MAX(0,MIN(100,MIN(1,IF($Q595="",0,$Q595)/Config!$B$23)*100)))),MIN(100,Config!$B$27*MAX(0,MIN(100,(1-IF($O595="",0,$O595))*100)) + Config!$B$28*MAX(0,MIN(100,(1-MIN(1,IF(Config!$B$30=0,1,$P595/Config!$B$30)))*100)) + Config!$B$29*MAX(0,MIN(100,MIN(1,IF($Q595="",0,$Q595)/Config!$B$23)*100))))),"")
</f>
        <v/>
      </c>
      <c r="S595" s="40" t="str">
        <f>IF(Bids!$D595="","",Bids!$D595)</f>
        <v/>
      </c>
      <c r="T595" s="40" t="str">
        <f>IF(Bids!$F595="","",Bids!$F595)</f>
        <v/>
      </c>
      <c r="U595" s="40" t="str">
        <f t="shared" si="3"/>
        <v/>
      </c>
      <c r="V595" s="40" t="str">
        <f>IF($U595="","",IF(Config!$B$17=Config!$B$16,IF($U595&gt;=Config!$B$17,100,0),MAX(0,MIN(100,($U595-Config!$B$16)/(Config!$B$17-Config!$B$16)*100))))</f>
        <v/>
      </c>
      <c r="W595" s="40">
        <f>IF($L595="Elite",Config!$B$21,0)</f>
        <v>0</v>
      </c>
      <c r="X595" s="40" t="str">
        <f>IFERROR(IF(OR($T595="",$G595=""),"",IF($T595&gt;$G595,
  MAX(0, 60-(($T595-$G595)*24/Config!$B$19)*60),
  MEDIAN(60, 100, 60+(($G595-$T595)*24/Config!$B$20)*40)
)),"")
</f>
        <v/>
      </c>
      <c r="Y595" s="40" t="str">
        <f>IF($J595="","",IFERROR(VLOOKUP($J595,Grinders!$A:$N,10,FALSE),""))</f>
        <v/>
      </c>
      <c r="Z595" s="40" t="str">
        <f>IF($J595="","",IFERROR(VLOOKUP($J595,Grinders!$A:$N,11,FALSE),""))</f>
        <v/>
      </c>
      <c r="AA595" s="40" t="str">
        <f>IF($J595="","",IFERROR(VLOOKUP($J595,Grinders!$A:$N,12,FALSE),""))</f>
        <v/>
      </c>
      <c r="AB595" s="40">
        <f>IFERROR(IF(OR($C595="",$J595=""),0,IF($D595&lt;&gt;"Open",0,IF(COUNTIFS(GrinderServices!$B:$B,$J595,GrinderServices!$C:$C,$E595,GrinderServices!$E:$E,"Y")=0,0,IF($U595&lt;Config!$B$16,0,IF(Config!$B$18=1,IF($N595&gt;=$M595,0,1),1))))),"")</f>
        <v>0</v>
      </c>
      <c r="AC595" s="40" t="str">
        <f>IFERROR(IF($AB595=0,"",((Config!$B$6*$V595 + Config!$B$7*$R595 + Config!$B$8*$W595 + Config!$B$9*$X595 + Config!$B$10*$Y595 + Config!$B$11*$Z595 - Config!$B$12*$AA595)/Config!$B$13)+$AH595+$AI595),"")</f>
        <v/>
      </c>
      <c r="AD595" s="40" t="str">
        <f t="shared" si="4"/>
        <v/>
      </c>
      <c r="AE595" s="40" t="str">
        <f>IFERROR(__xludf.DUMMYFUNCTION("IF($AC595="""","""",IF($AC595=IFERROR(MAX(FILTER($AC$6:$AC$1000,$C$6:$C$1000=$C595,$AB$6:$AB$1000=1)),),""WINNER"",""""))"),"")</f>
        <v/>
      </c>
      <c r="AF595" s="40" t="str">
        <f t="shared" si="5"/>
        <v/>
      </c>
      <c r="AG595" s="40" t="str">
        <f>IF($J595="","",COUNTIF(Assignments!$B:$B,$J595))</f>
        <v/>
      </c>
      <c r="AH595" s="40" t="str">
        <f>IF($J595="","",IF(AND($AG595=0,$N595&lt;$M595),Config!$B$43,0))</f>
        <v/>
      </c>
      <c r="AI595" s="40" t="str">
        <f>IF($J595="","",IF(AND($L595="Elite",$F595&gt;=Config!$B$41,$N595&lt;$M595),Config!$B$42,0))</f>
        <v/>
      </c>
      <c r="AJ595" s="22"/>
    </row>
    <row r="596" ht="15.75" customHeight="1">
      <c r="A596" s="40" t="str">
        <f t="shared" si="1"/>
        <v/>
      </c>
      <c r="B596" s="40" t="str">
        <f>IF(Bids!$A596="","",Bids!$A596)</f>
        <v/>
      </c>
      <c r="C596" s="40" t="str">
        <f>IF(Bids!$B596="","",Bids!$B596)</f>
        <v/>
      </c>
      <c r="D596" s="40" t="str">
        <f>IF($C596="","",IFERROR(VLOOKUP($C596,Orders!$A:$J,9,FALSE),""))</f>
        <v/>
      </c>
      <c r="E596" s="40" t="str">
        <f>IF($C596="","",IFERROR(VLOOKUP($C596,Orders!$A:$J,3,FALSE),""))</f>
        <v/>
      </c>
      <c r="F596" s="40" t="str">
        <f>IF($C596="","",IFERROR(VLOOKUP($C596,Orders!$A:$J,4,FALSE),""))</f>
        <v/>
      </c>
      <c r="G596" s="40" t="str">
        <f>IF($C596="","",IFERROR(VLOOKUP($C596,Orders!$A:$J,5,FALSE),""))</f>
        <v/>
      </c>
      <c r="H596" s="40" t="str">
        <f>IF($C596="","",IFERROR(VLOOKUP($C596,Orders!$A:$J,6,FALSE),""))</f>
        <v/>
      </c>
      <c r="I596" s="40" t="str">
        <f>IF($C596="","",IFERROR(VLOOKUP($C596,Orders!$A:$J,7,FALSE),""))</f>
        <v/>
      </c>
      <c r="J596" s="40" t="str">
        <f>IF(Bids!$C596="","",Bids!$C596)</f>
        <v/>
      </c>
      <c r="K596" s="40" t="str">
        <f>IF($J596="","",IFERROR(VLOOKUP($J596,Grinders!$A:$N,2,FALSE),""))</f>
        <v/>
      </c>
      <c r="L596" s="40" t="str">
        <f>IF($J596="","",IFERROR(VLOOKUP($J596,Grinders!$A:$N,3,FALSE),""))</f>
        <v/>
      </c>
      <c r="M596" s="40" t="str">
        <f>IF($J596="","",IFERROR(VLOOKUP($J596,Grinders!$A:$N,4,FALSE),""))</f>
        <v/>
      </c>
      <c r="N596" s="40" t="str">
        <f>IF($J596="","",IFERROR(VLOOKUP($J596,Grinders!$A:$N,5,FALSE),""))</f>
        <v/>
      </c>
      <c r="O596" s="40" t="str">
        <f t="shared" si="2"/>
        <v/>
      </c>
      <c r="P596" s="40" t="str">
        <f>IF($J596="","",IFERROR(VLOOKUP($J596,Grinders!$A:$N,6,FALSE),""))</f>
        <v/>
      </c>
      <c r="Q596" s="40" t="str">
        <f>IF($J596="","",IFERROR(VLOOKUP($J596,Grinders!$A:$N,8,FALSE),""))</f>
        <v/>
      </c>
      <c r="R596" s="40" t="str">
        <f>IFERROR(IF($J596="","",IF($L596="Elite",MAX(50,MIN(100,Config!$B$27*MAX(0,MIN(100,(1-IF($O596="",0,$O596))*100)) + Config!$B$28*MAX(0,MIN(100,(1-MIN(1,IF(Config!$B$30=0,1,$P596/Config!$B$30)))*100)) + Config!$B$29*MAX(0,MIN(100,MIN(1,IF($Q596="",0,$Q596)/Config!$B$23)*100)))),MIN(100,Config!$B$27*MAX(0,MIN(100,(1-IF($O596="",0,$O596))*100)) + Config!$B$28*MAX(0,MIN(100,(1-MIN(1,IF(Config!$B$30=0,1,$P596/Config!$B$30)))*100)) + Config!$B$29*MAX(0,MIN(100,MIN(1,IF($Q596="",0,$Q596)/Config!$B$23)*100))))),"")
</f>
        <v/>
      </c>
      <c r="S596" s="40" t="str">
        <f>IF(Bids!$D596="","",Bids!$D596)</f>
        <v/>
      </c>
      <c r="T596" s="40" t="str">
        <f>IF(Bids!$F596="","",Bids!$F596)</f>
        <v/>
      </c>
      <c r="U596" s="40" t="str">
        <f t="shared" si="3"/>
        <v/>
      </c>
      <c r="V596" s="40" t="str">
        <f>IF($U596="","",IF(Config!$B$17=Config!$B$16,IF($U596&gt;=Config!$B$17,100,0),MAX(0,MIN(100,($U596-Config!$B$16)/(Config!$B$17-Config!$B$16)*100))))</f>
        <v/>
      </c>
      <c r="W596" s="40">
        <f>IF($L596="Elite",Config!$B$21,0)</f>
        <v>0</v>
      </c>
      <c r="X596" s="40" t="str">
        <f>IFERROR(IF(OR($T596="",$G596=""),"",IF($T596&gt;$G596,
  MAX(0, 60-(($T596-$G596)*24/Config!$B$19)*60),
  MEDIAN(60, 100, 60+(($G596-$T596)*24/Config!$B$20)*40)
)),"")
</f>
        <v/>
      </c>
      <c r="Y596" s="40" t="str">
        <f>IF($J596="","",IFERROR(VLOOKUP($J596,Grinders!$A:$N,10,FALSE),""))</f>
        <v/>
      </c>
      <c r="Z596" s="40" t="str">
        <f>IF($J596="","",IFERROR(VLOOKUP($J596,Grinders!$A:$N,11,FALSE),""))</f>
        <v/>
      </c>
      <c r="AA596" s="40" t="str">
        <f>IF($J596="","",IFERROR(VLOOKUP($J596,Grinders!$A:$N,12,FALSE),""))</f>
        <v/>
      </c>
      <c r="AB596" s="40">
        <f>IFERROR(IF(OR($C596="",$J596=""),0,IF($D596&lt;&gt;"Open",0,IF(COUNTIFS(GrinderServices!$B:$B,$J596,GrinderServices!$C:$C,$E596,GrinderServices!$E:$E,"Y")=0,0,IF($U596&lt;Config!$B$16,0,IF(Config!$B$18=1,IF($N596&gt;=$M596,0,1),1))))),"")</f>
        <v>0</v>
      </c>
      <c r="AC596" s="40" t="str">
        <f>IFERROR(IF($AB596=0,"",((Config!$B$6*$V596 + Config!$B$7*$R596 + Config!$B$8*$W596 + Config!$B$9*$X596 + Config!$B$10*$Y596 + Config!$B$11*$Z596 - Config!$B$12*$AA596)/Config!$B$13)+$AH596+$AI596),"")</f>
        <v/>
      </c>
      <c r="AD596" s="40" t="str">
        <f t="shared" si="4"/>
        <v/>
      </c>
      <c r="AE596" s="40" t="str">
        <f>IFERROR(__xludf.DUMMYFUNCTION("IF($AC596="""","""",IF($AC596=IFERROR(MAX(FILTER($AC$6:$AC$1000,$C$6:$C$1000=$C596,$AB$6:$AB$1000=1)),),""WINNER"",""""))"),"")</f>
        <v/>
      </c>
      <c r="AF596" s="40" t="str">
        <f t="shared" si="5"/>
        <v/>
      </c>
      <c r="AG596" s="40" t="str">
        <f>IF($J596="","",COUNTIF(Assignments!$B:$B,$J596))</f>
        <v/>
      </c>
      <c r="AH596" s="40" t="str">
        <f>IF($J596="","",IF(AND($AG596=0,$N596&lt;$M596),Config!$B$43,0))</f>
        <v/>
      </c>
      <c r="AI596" s="40" t="str">
        <f>IF($J596="","",IF(AND($L596="Elite",$F596&gt;=Config!$B$41,$N596&lt;$M596),Config!$B$42,0))</f>
        <v/>
      </c>
      <c r="AJ596" s="22"/>
    </row>
    <row r="597" ht="15.75" customHeight="1">
      <c r="A597" s="40" t="str">
        <f t="shared" si="1"/>
        <v/>
      </c>
      <c r="B597" s="40" t="str">
        <f>IF(Bids!$A597="","",Bids!$A597)</f>
        <v/>
      </c>
      <c r="C597" s="40" t="str">
        <f>IF(Bids!$B597="","",Bids!$B597)</f>
        <v/>
      </c>
      <c r="D597" s="40" t="str">
        <f>IF($C597="","",IFERROR(VLOOKUP($C597,Orders!$A:$J,9,FALSE),""))</f>
        <v/>
      </c>
      <c r="E597" s="40" t="str">
        <f>IF($C597="","",IFERROR(VLOOKUP($C597,Orders!$A:$J,3,FALSE),""))</f>
        <v/>
      </c>
      <c r="F597" s="40" t="str">
        <f>IF($C597="","",IFERROR(VLOOKUP($C597,Orders!$A:$J,4,FALSE),""))</f>
        <v/>
      </c>
      <c r="G597" s="40" t="str">
        <f>IF($C597="","",IFERROR(VLOOKUP($C597,Orders!$A:$J,5,FALSE),""))</f>
        <v/>
      </c>
      <c r="H597" s="40" t="str">
        <f>IF($C597="","",IFERROR(VLOOKUP($C597,Orders!$A:$J,6,FALSE),""))</f>
        <v/>
      </c>
      <c r="I597" s="40" t="str">
        <f>IF($C597="","",IFERROR(VLOOKUP($C597,Orders!$A:$J,7,FALSE),""))</f>
        <v/>
      </c>
      <c r="J597" s="40" t="str">
        <f>IF(Bids!$C597="","",Bids!$C597)</f>
        <v/>
      </c>
      <c r="K597" s="40" t="str">
        <f>IF($J597="","",IFERROR(VLOOKUP($J597,Grinders!$A:$N,2,FALSE),""))</f>
        <v/>
      </c>
      <c r="L597" s="40" t="str">
        <f>IF($J597="","",IFERROR(VLOOKUP($J597,Grinders!$A:$N,3,FALSE),""))</f>
        <v/>
      </c>
      <c r="M597" s="40" t="str">
        <f>IF($J597="","",IFERROR(VLOOKUP($J597,Grinders!$A:$N,4,FALSE),""))</f>
        <v/>
      </c>
      <c r="N597" s="40" t="str">
        <f>IF($J597="","",IFERROR(VLOOKUP($J597,Grinders!$A:$N,5,FALSE),""))</f>
        <v/>
      </c>
      <c r="O597" s="40" t="str">
        <f t="shared" si="2"/>
        <v/>
      </c>
      <c r="P597" s="40" t="str">
        <f>IF($J597="","",IFERROR(VLOOKUP($J597,Grinders!$A:$N,6,FALSE),""))</f>
        <v/>
      </c>
      <c r="Q597" s="40" t="str">
        <f>IF($J597="","",IFERROR(VLOOKUP($J597,Grinders!$A:$N,8,FALSE),""))</f>
        <v/>
      </c>
      <c r="R597" s="40" t="str">
        <f>IFERROR(IF($J597="","",IF($L597="Elite",MAX(50,MIN(100,Config!$B$27*MAX(0,MIN(100,(1-IF($O597="",0,$O597))*100)) + Config!$B$28*MAX(0,MIN(100,(1-MIN(1,IF(Config!$B$30=0,1,$P597/Config!$B$30)))*100)) + Config!$B$29*MAX(0,MIN(100,MIN(1,IF($Q597="",0,$Q597)/Config!$B$23)*100)))),MIN(100,Config!$B$27*MAX(0,MIN(100,(1-IF($O597="",0,$O597))*100)) + Config!$B$28*MAX(0,MIN(100,(1-MIN(1,IF(Config!$B$30=0,1,$P597/Config!$B$30)))*100)) + Config!$B$29*MAX(0,MIN(100,MIN(1,IF($Q597="",0,$Q597)/Config!$B$23)*100))))),"")
</f>
        <v/>
      </c>
      <c r="S597" s="40" t="str">
        <f>IF(Bids!$D597="","",Bids!$D597)</f>
        <v/>
      </c>
      <c r="T597" s="40" t="str">
        <f>IF(Bids!$F597="","",Bids!$F597)</f>
        <v/>
      </c>
      <c r="U597" s="40" t="str">
        <f t="shared" si="3"/>
        <v/>
      </c>
      <c r="V597" s="40" t="str">
        <f>IF($U597="","",IF(Config!$B$17=Config!$B$16,IF($U597&gt;=Config!$B$17,100,0),MAX(0,MIN(100,($U597-Config!$B$16)/(Config!$B$17-Config!$B$16)*100))))</f>
        <v/>
      </c>
      <c r="W597" s="40">
        <f>IF($L597="Elite",Config!$B$21,0)</f>
        <v>0</v>
      </c>
      <c r="X597" s="40" t="str">
        <f>IFERROR(IF(OR($T597="",$G597=""),"",IF($T597&gt;$G597,
  MAX(0, 60-(($T597-$G597)*24/Config!$B$19)*60),
  MEDIAN(60, 100, 60+(($G597-$T597)*24/Config!$B$20)*40)
)),"")
</f>
        <v/>
      </c>
      <c r="Y597" s="40" t="str">
        <f>IF($J597="","",IFERROR(VLOOKUP($J597,Grinders!$A:$N,10,FALSE),""))</f>
        <v/>
      </c>
      <c r="Z597" s="40" t="str">
        <f>IF($J597="","",IFERROR(VLOOKUP($J597,Grinders!$A:$N,11,FALSE),""))</f>
        <v/>
      </c>
      <c r="AA597" s="40" t="str">
        <f>IF($J597="","",IFERROR(VLOOKUP($J597,Grinders!$A:$N,12,FALSE),""))</f>
        <v/>
      </c>
      <c r="AB597" s="40">
        <f>IFERROR(IF(OR($C597="",$J597=""),0,IF($D597&lt;&gt;"Open",0,IF(COUNTIFS(GrinderServices!$B:$B,$J597,GrinderServices!$C:$C,$E597,GrinderServices!$E:$E,"Y")=0,0,IF($U597&lt;Config!$B$16,0,IF(Config!$B$18=1,IF($N597&gt;=$M597,0,1),1))))),"")</f>
        <v>0</v>
      </c>
      <c r="AC597" s="40" t="str">
        <f>IFERROR(IF($AB597=0,"",((Config!$B$6*$V597 + Config!$B$7*$R597 + Config!$B$8*$W597 + Config!$B$9*$X597 + Config!$B$10*$Y597 + Config!$B$11*$Z597 - Config!$B$12*$AA597)/Config!$B$13)+$AH597+$AI597),"")</f>
        <v/>
      </c>
      <c r="AD597" s="40" t="str">
        <f t="shared" si="4"/>
        <v/>
      </c>
      <c r="AE597" s="40" t="str">
        <f>IFERROR(__xludf.DUMMYFUNCTION("IF($AC597="""","""",IF($AC597=IFERROR(MAX(FILTER($AC$6:$AC$1000,$C$6:$C$1000=$C597,$AB$6:$AB$1000=1)),),""WINNER"",""""))"),"")</f>
        <v/>
      </c>
      <c r="AF597" s="40" t="str">
        <f t="shared" si="5"/>
        <v/>
      </c>
      <c r="AG597" s="40" t="str">
        <f>IF($J597="","",COUNTIF(Assignments!$B:$B,$J597))</f>
        <v/>
      </c>
      <c r="AH597" s="40" t="str">
        <f>IF($J597="","",IF(AND($AG597=0,$N597&lt;$M597),Config!$B$43,0))</f>
        <v/>
      </c>
      <c r="AI597" s="40" t="str">
        <f>IF($J597="","",IF(AND($L597="Elite",$F597&gt;=Config!$B$41,$N597&lt;$M597),Config!$B$42,0))</f>
        <v/>
      </c>
      <c r="AJ597" s="22"/>
    </row>
    <row r="598" ht="15.75" customHeight="1">
      <c r="A598" s="40" t="str">
        <f t="shared" si="1"/>
        <v/>
      </c>
      <c r="B598" s="40" t="str">
        <f>IF(Bids!$A598="","",Bids!$A598)</f>
        <v/>
      </c>
      <c r="C598" s="40" t="str">
        <f>IF(Bids!$B598="","",Bids!$B598)</f>
        <v/>
      </c>
      <c r="D598" s="40" t="str">
        <f>IF($C598="","",IFERROR(VLOOKUP($C598,Orders!$A:$J,9,FALSE),""))</f>
        <v/>
      </c>
      <c r="E598" s="40" t="str">
        <f>IF($C598="","",IFERROR(VLOOKUP($C598,Orders!$A:$J,3,FALSE),""))</f>
        <v/>
      </c>
      <c r="F598" s="40" t="str">
        <f>IF($C598="","",IFERROR(VLOOKUP($C598,Orders!$A:$J,4,FALSE),""))</f>
        <v/>
      </c>
      <c r="G598" s="40" t="str">
        <f>IF($C598="","",IFERROR(VLOOKUP($C598,Orders!$A:$J,5,FALSE),""))</f>
        <v/>
      </c>
      <c r="H598" s="40" t="str">
        <f>IF($C598="","",IFERROR(VLOOKUP($C598,Orders!$A:$J,6,FALSE),""))</f>
        <v/>
      </c>
      <c r="I598" s="40" t="str">
        <f>IF($C598="","",IFERROR(VLOOKUP($C598,Orders!$A:$J,7,FALSE),""))</f>
        <v/>
      </c>
      <c r="J598" s="40" t="str">
        <f>IF(Bids!$C598="","",Bids!$C598)</f>
        <v/>
      </c>
      <c r="K598" s="40" t="str">
        <f>IF($J598="","",IFERROR(VLOOKUP($J598,Grinders!$A:$N,2,FALSE),""))</f>
        <v/>
      </c>
      <c r="L598" s="40" t="str">
        <f>IF($J598="","",IFERROR(VLOOKUP($J598,Grinders!$A:$N,3,FALSE),""))</f>
        <v/>
      </c>
      <c r="M598" s="40" t="str">
        <f>IF($J598="","",IFERROR(VLOOKUP($J598,Grinders!$A:$N,4,FALSE),""))</f>
        <v/>
      </c>
      <c r="N598" s="40" t="str">
        <f>IF($J598="","",IFERROR(VLOOKUP($J598,Grinders!$A:$N,5,FALSE),""))</f>
        <v/>
      </c>
      <c r="O598" s="40" t="str">
        <f t="shared" si="2"/>
        <v/>
      </c>
      <c r="P598" s="40" t="str">
        <f>IF($J598="","",IFERROR(VLOOKUP($J598,Grinders!$A:$N,6,FALSE),""))</f>
        <v/>
      </c>
      <c r="Q598" s="40" t="str">
        <f>IF($J598="","",IFERROR(VLOOKUP($J598,Grinders!$A:$N,8,FALSE),""))</f>
        <v/>
      </c>
      <c r="R598" s="40" t="str">
        <f>IFERROR(IF($J598="","",IF($L598="Elite",MAX(50,MIN(100,Config!$B$27*MAX(0,MIN(100,(1-IF($O598="",0,$O598))*100)) + Config!$B$28*MAX(0,MIN(100,(1-MIN(1,IF(Config!$B$30=0,1,$P598/Config!$B$30)))*100)) + Config!$B$29*MAX(0,MIN(100,MIN(1,IF($Q598="",0,$Q598)/Config!$B$23)*100)))),MIN(100,Config!$B$27*MAX(0,MIN(100,(1-IF($O598="",0,$O598))*100)) + Config!$B$28*MAX(0,MIN(100,(1-MIN(1,IF(Config!$B$30=0,1,$P598/Config!$B$30)))*100)) + Config!$B$29*MAX(0,MIN(100,MIN(1,IF($Q598="",0,$Q598)/Config!$B$23)*100))))),"")
</f>
        <v/>
      </c>
      <c r="S598" s="40" t="str">
        <f>IF(Bids!$D598="","",Bids!$D598)</f>
        <v/>
      </c>
      <c r="T598" s="40" t="str">
        <f>IF(Bids!$F598="","",Bids!$F598)</f>
        <v/>
      </c>
      <c r="U598" s="40" t="str">
        <f t="shared" si="3"/>
        <v/>
      </c>
      <c r="V598" s="40" t="str">
        <f>IF($U598="","",IF(Config!$B$17=Config!$B$16,IF($U598&gt;=Config!$B$17,100,0),MAX(0,MIN(100,($U598-Config!$B$16)/(Config!$B$17-Config!$B$16)*100))))</f>
        <v/>
      </c>
      <c r="W598" s="40">
        <f>IF($L598="Elite",Config!$B$21,0)</f>
        <v>0</v>
      </c>
      <c r="X598" s="40" t="str">
        <f>IFERROR(IF(OR($T598="",$G598=""),"",IF($T598&gt;$G598,
  MAX(0, 60-(($T598-$G598)*24/Config!$B$19)*60),
  MEDIAN(60, 100, 60+(($G598-$T598)*24/Config!$B$20)*40)
)),"")
</f>
        <v/>
      </c>
      <c r="Y598" s="40" t="str">
        <f>IF($J598="","",IFERROR(VLOOKUP($J598,Grinders!$A:$N,10,FALSE),""))</f>
        <v/>
      </c>
      <c r="Z598" s="40" t="str">
        <f>IF($J598="","",IFERROR(VLOOKUP($J598,Grinders!$A:$N,11,FALSE),""))</f>
        <v/>
      </c>
      <c r="AA598" s="40" t="str">
        <f>IF($J598="","",IFERROR(VLOOKUP($J598,Grinders!$A:$N,12,FALSE),""))</f>
        <v/>
      </c>
      <c r="AB598" s="40">
        <f>IFERROR(IF(OR($C598="",$J598=""),0,IF($D598&lt;&gt;"Open",0,IF(COUNTIFS(GrinderServices!$B:$B,$J598,GrinderServices!$C:$C,$E598,GrinderServices!$E:$E,"Y")=0,0,IF($U598&lt;Config!$B$16,0,IF(Config!$B$18=1,IF($N598&gt;=$M598,0,1),1))))),"")</f>
        <v>0</v>
      </c>
      <c r="AC598" s="40" t="str">
        <f>IFERROR(IF($AB598=0,"",((Config!$B$6*$V598 + Config!$B$7*$R598 + Config!$B$8*$W598 + Config!$B$9*$X598 + Config!$B$10*$Y598 + Config!$B$11*$Z598 - Config!$B$12*$AA598)/Config!$B$13)+$AH598+$AI598),"")</f>
        <v/>
      </c>
      <c r="AD598" s="40" t="str">
        <f t="shared" si="4"/>
        <v/>
      </c>
      <c r="AE598" s="40" t="str">
        <f>IFERROR(__xludf.DUMMYFUNCTION("IF($AC598="""","""",IF($AC598=IFERROR(MAX(FILTER($AC$6:$AC$1000,$C$6:$C$1000=$C598,$AB$6:$AB$1000=1)),),""WINNER"",""""))"),"")</f>
        <v/>
      </c>
      <c r="AF598" s="40" t="str">
        <f t="shared" si="5"/>
        <v/>
      </c>
      <c r="AG598" s="40" t="str">
        <f>IF($J598="","",COUNTIF(Assignments!$B:$B,$J598))</f>
        <v/>
      </c>
      <c r="AH598" s="40" t="str">
        <f>IF($J598="","",IF(AND($AG598=0,$N598&lt;$M598),Config!$B$43,0))</f>
        <v/>
      </c>
      <c r="AI598" s="40" t="str">
        <f>IF($J598="","",IF(AND($L598="Elite",$F598&gt;=Config!$B$41,$N598&lt;$M598),Config!$B$42,0))</f>
        <v/>
      </c>
      <c r="AJ598" s="22"/>
    </row>
    <row r="599" ht="15.75" customHeight="1">
      <c r="A599" s="40" t="str">
        <f t="shared" si="1"/>
        <v/>
      </c>
      <c r="B599" s="40" t="str">
        <f>IF(Bids!$A599="","",Bids!$A599)</f>
        <v/>
      </c>
      <c r="C599" s="40" t="str">
        <f>IF(Bids!$B599="","",Bids!$B599)</f>
        <v/>
      </c>
      <c r="D599" s="40" t="str">
        <f>IF($C599="","",IFERROR(VLOOKUP($C599,Orders!$A:$J,9,FALSE),""))</f>
        <v/>
      </c>
      <c r="E599" s="40" t="str">
        <f>IF($C599="","",IFERROR(VLOOKUP($C599,Orders!$A:$J,3,FALSE),""))</f>
        <v/>
      </c>
      <c r="F599" s="40" t="str">
        <f>IF($C599="","",IFERROR(VLOOKUP($C599,Orders!$A:$J,4,FALSE),""))</f>
        <v/>
      </c>
      <c r="G599" s="40" t="str">
        <f>IF($C599="","",IFERROR(VLOOKUP($C599,Orders!$A:$J,5,FALSE),""))</f>
        <v/>
      </c>
      <c r="H599" s="40" t="str">
        <f>IF($C599="","",IFERROR(VLOOKUP($C599,Orders!$A:$J,6,FALSE),""))</f>
        <v/>
      </c>
      <c r="I599" s="40" t="str">
        <f>IF($C599="","",IFERROR(VLOOKUP($C599,Orders!$A:$J,7,FALSE),""))</f>
        <v/>
      </c>
      <c r="J599" s="40" t="str">
        <f>IF(Bids!$C599="","",Bids!$C599)</f>
        <v/>
      </c>
      <c r="K599" s="40" t="str">
        <f>IF($J599="","",IFERROR(VLOOKUP($J599,Grinders!$A:$N,2,FALSE),""))</f>
        <v/>
      </c>
      <c r="L599" s="40" t="str">
        <f>IF($J599="","",IFERROR(VLOOKUP($J599,Grinders!$A:$N,3,FALSE),""))</f>
        <v/>
      </c>
      <c r="M599" s="40" t="str">
        <f>IF($J599="","",IFERROR(VLOOKUP($J599,Grinders!$A:$N,4,FALSE),""))</f>
        <v/>
      </c>
      <c r="N599" s="40" t="str">
        <f>IF($J599="","",IFERROR(VLOOKUP($J599,Grinders!$A:$N,5,FALSE),""))</f>
        <v/>
      </c>
      <c r="O599" s="40" t="str">
        <f t="shared" si="2"/>
        <v/>
      </c>
      <c r="P599" s="40" t="str">
        <f>IF($J599="","",IFERROR(VLOOKUP($J599,Grinders!$A:$N,6,FALSE),""))</f>
        <v/>
      </c>
      <c r="Q599" s="40" t="str">
        <f>IF($J599="","",IFERROR(VLOOKUP($J599,Grinders!$A:$N,8,FALSE),""))</f>
        <v/>
      </c>
      <c r="R599" s="40" t="str">
        <f>IFERROR(IF($J599="","",IF($L599="Elite",MAX(50,MIN(100,Config!$B$27*MAX(0,MIN(100,(1-IF($O599="",0,$O599))*100)) + Config!$B$28*MAX(0,MIN(100,(1-MIN(1,IF(Config!$B$30=0,1,$P599/Config!$B$30)))*100)) + Config!$B$29*MAX(0,MIN(100,MIN(1,IF($Q599="",0,$Q599)/Config!$B$23)*100)))),MIN(100,Config!$B$27*MAX(0,MIN(100,(1-IF($O599="",0,$O599))*100)) + Config!$B$28*MAX(0,MIN(100,(1-MIN(1,IF(Config!$B$30=0,1,$P599/Config!$B$30)))*100)) + Config!$B$29*MAX(0,MIN(100,MIN(1,IF($Q599="",0,$Q599)/Config!$B$23)*100))))),"")
</f>
        <v/>
      </c>
      <c r="S599" s="40" t="str">
        <f>IF(Bids!$D599="","",Bids!$D599)</f>
        <v/>
      </c>
      <c r="T599" s="40" t="str">
        <f>IF(Bids!$F599="","",Bids!$F599)</f>
        <v/>
      </c>
      <c r="U599" s="40" t="str">
        <f t="shared" si="3"/>
        <v/>
      </c>
      <c r="V599" s="40" t="str">
        <f>IF($U599="","",IF(Config!$B$17=Config!$B$16,IF($U599&gt;=Config!$B$17,100,0),MAX(0,MIN(100,($U599-Config!$B$16)/(Config!$B$17-Config!$B$16)*100))))</f>
        <v/>
      </c>
      <c r="W599" s="40">
        <f>IF($L599="Elite",Config!$B$21,0)</f>
        <v>0</v>
      </c>
      <c r="X599" s="40" t="str">
        <f>IFERROR(IF(OR($T599="",$G599=""),"",IF($T599&gt;$G599,
  MAX(0, 60-(($T599-$G599)*24/Config!$B$19)*60),
  MEDIAN(60, 100, 60+(($G599-$T599)*24/Config!$B$20)*40)
)),"")
</f>
        <v/>
      </c>
      <c r="Y599" s="40" t="str">
        <f>IF($J599="","",IFERROR(VLOOKUP($J599,Grinders!$A:$N,10,FALSE),""))</f>
        <v/>
      </c>
      <c r="Z599" s="40" t="str">
        <f>IF($J599="","",IFERROR(VLOOKUP($J599,Grinders!$A:$N,11,FALSE),""))</f>
        <v/>
      </c>
      <c r="AA599" s="40" t="str">
        <f>IF($J599="","",IFERROR(VLOOKUP($J599,Grinders!$A:$N,12,FALSE),""))</f>
        <v/>
      </c>
      <c r="AB599" s="40">
        <f>IFERROR(IF(OR($C599="",$J599=""),0,IF($D599&lt;&gt;"Open",0,IF(COUNTIFS(GrinderServices!$B:$B,$J599,GrinderServices!$C:$C,$E599,GrinderServices!$E:$E,"Y")=0,0,IF($U599&lt;Config!$B$16,0,IF(Config!$B$18=1,IF($N599&gt;=$M599,0,1),1))))),"")</f>
        <v>0</v>
      </c>
      <c r="AC599" s="40" t="str">
        <f>IFERROR(IF($AB599=0,"",((Config!$B$6*$V599 + Config!$B$7*$R599 + Config!$B$8*$W599 + Config!$B$9*$X599 + Config!$B$10*$Y599 + Config!$B$11*$Z599 - Config!$B$12*$AA599)/Config!$B$13)+$AH599+$AI599),"")</f>
        <v/>
      </c>
      <c r="AD599" s="40" t="str">
        <f t="shared" si="4"/>
        <v/>
      </c>
      <c r="AE599" s="40" t="str">
        <f>IFERROR(__xludf.DUMMYFUNCTION("IF($AC599="""","""",IF($AC599=IFERROR(MAX(FILTER($AC$6:$AC$1000,$C$6:$C$1000=$C599,$AB$6:$AB$1000=1)),),""WINNER"",""""))"),"")</f>
        <v/>
      </c>
      <c r="AF599" s="40" t="str">
        <f t="shared" si="5"/>
        <v/>
      </c>
      <c r="AG599" s="40" t="str">
        <f>IF($J599="","",COUNTIF(Assignments!$B:$B,$J599))</f>
        <v/>
      </c>
      <c r="AH599" s="40" t="str">
        <f>IF($J599="","",IF(AND($AG599=0,$N599&lt;$M599),Config!$B$43,0))</f>
        <v/>
      </c>
      <c r="AI599" s="40" t="str">
        <f>IF($J599="","",IF(AND($L599="Elite",$F599&gt;=Config!$B$41,$N599&lt;$M599),Config!$B$42,0))</f>
        <v/>
      </c>
      <c r="AJ599" s="22"/>
    </row>
    <row r="600" ht="15.75" customHeight="1">
      <c r="A600" s="40" t="str">
        <f t="shared" si="1"/>
        <v/>
      </c>
      <c r="B600" s="40" t="str">
        <f>IF(Bids!$A600="","",Bids!$A600)</f>
        <v/>
      </c>
      <c r="C600" s="40" t="str">
        <f>IF(Bids!$B600="","",Bids!$B600)</f>
        <v/>
      </c>
      <c r="D600" s="40" t="str">
        <f>IF($C600="","",IFERROR(VLOOKUP($C600,Orders!$A:$J,9,FALSE),""))</f>
        <v/>
      </c>
      <c r="E600" s="40" t="str">
        <f>IF($C600="","",IFERROR(VLOOKUP($C600,Orders!$A:$J,3,FALSE),""))</f>
        <v/>
      </c>
      <c r="F600" s="40" t="str">
        <f>IF($C600="","",IFERROR(VLOOKUP($C600,Orders!$A:$J,4,FALSE),""))</f>
        <v/>
      </c>
      <c r="G600" s="40" t="str">
        <f>IF($C600="","",IFERROR(VLOOKUP($C600,Orders!$A:$J,5,FALSE),""))</f>
        <v/>
      </c>
      <c r="H600" s="40" t="str">
        <f>IF($C600="","",IFERROR(VLOOKUP($C600,Orders!$A:$J,6,FALSE),""))</f>
        <v/>
      </c>
      <c r="I600" s="40" t="str">
        <f>IF($C600="","",IFERROR(VLOOKUP($C600,Orders!$A:$J,7,FALSE),""))</f>
        <v/>
      </c>
      <c r="J600" s="40" t="str">
        <f>IF(Bids!$C600="","",Bids!$C600)</f>
        <v/>
      </c>
      <c r="K600" s="40" t="str">
        <f>IF($J600="","",IFERROR(VLOOKUP($J600,Grinders!$A:$N,2,FALSE),""))</f>
        <v/>
      </c>
      <c r="L600" s="40" t="str">
        <f>IF($J600="","",IFERROR(VLOOKUP($J600,Grinders!$A:$N,3,FALSE),""))</f>
        <v/>
      </c>
      <c r="M600" s="40" t="str">
        <f>IF($J600="","",IFERROR(VLOOKUP($J600,Grinders!$A:$N,4,FALSE),""))</f>
        <v/>
      </c>
      <c r="N600" s="40" t="str">
        <f>IF($J600="","",IFERROR(VLOOKUP($J600,Grinders!$A:$N,5,FALSE),""))</f>
        <v/>
      </c>
      <c r="O600" s="40" t="str">
        <f t="shared" si="2"/>
        <v/>
      </c>
      <c r="P600" s="40" t="str">
        <f>IF($J600="","",IFERROR(VLOOKUP($J600,Grinders!$A:$N,6,FALSE),""))</f>
        <v/>
      </c>
      <c r="Q600" s="40" t="str">
        <f>IF($J600="","",IFERROR(VLOOKUP($J600,Grinders!$A:$N,8,FALSE),""))</f>
        <v/>
      </c>
      <c r="R600" s="40" t="str">
        <f>IFERROR(IF($J600="","",IF($L600="Elite",MAX(50,MIN(100,Config!$B$27*MAX(0,MIN(100,(1-IF($O600="",0,$O600))*100)) + Config!$B$28*MAX(0,MIN(100,(1-MIN(1,IF(Config!$B$30=0,1,$P600/Config!$B$30)))*100)) + Config!$B$29*MAX(0,MIN(100,MIN(1,IF($Q600="",0,$Q600)/Config!$B$23)*100)))),MIN(100,Config!$B$27*MAX(0,MIN(100,(1-IF($O600="",0,$O600))*100)) + Config!$B$28*MAX(0,MIN(100,(1-MIN(1,IF(Config!$B$30=0,1,$P600/Config!$B$30)))*100)) + Config!$B$29*MAX(0,MIN(100,MIN(1,IF($Q600="",0,$Q600)/Config!$B$23)*100))))),"")
</f>
        <v/>
      </c>
      <c r="S600" s="40" t="str">
        <f>IF(Bids!$D600="","",Bids!$D600)</f>
        <v/>
      </c>
      <c r="T600" s="40" t="str">
        <f>IF(Bids!$F600="","",Bids!$F600)</f>
        <v/>
      </c>
      <c r="U600" s="40" t="str">
        <f t="shared" si="3"/>
        <v/>
      </c>
      <c r="V600" s="40" t="str">
        <f>IF($U600="","",IF(Config!$B$17=Config!$B$16,IF($U600&gt;=Config!$B$17,100,0),MAX(0,MIN(100,($U600-Config!$B$16)/(Config!$B$17-Config!$B$16)*100))))</f>
        <v/>
      </c>
      <c r="W600" s="40">
        <f>IF($L600="Elite",Config!$B$21,0)</f>
        <v>0</v>
      </c>
      <c r="X600" s="40" t="str">
        <f>IFERROR(IF(OR($T600="",$G600=""),"",IF($T600&gt;$G600,
  MAX(0, 60-(($T600-$G600)*24/Config!$B$19)*60),
  MEDIAN(60, 100, 60+(($G600-$T600)*24/Config!$B$20)*40)
)),"")
</f>
        <v/>
      </c>
      <c r="Y600" s="40" t="str">
        <f>IF($J600="","",IFERROR(VLOOKUP($J600,Grinders!$A:$N,10,FALSE),""))</f>
        <v/>
      </c>
      <c r="Z600" s="40" t="str">
        <f>IF($J600="","",IFERROR(VLOOKUP($J600,Grinders!$A:$N,11,FALSE),""))</f>
        <v/>
      </c>
      <c r="AA600" s="40" t="str">
        <f>IF($J600="","",IFERROR(VLOOKUP($J600,Grinders!$A:$N,12,FALSE),""))</f>
        <v/>
      </c>
      <c r="AB600" s="40">
        <f>IFERROR(IF(OR($C600="",$J600=""),0,IF($D600&lt;&gt;"Open",0,IF(COUNTIFS(GrinderServices!$B:$B,$J600,GrinderServices!$C:$C,$E600,GrinderServices!$E:$E,"Y")=0,0,IF($U600&lt;Config!$B$16,0,IF(Config!$B$18=1,IF($N600&gt;=$M600,0,1),1))))),"")</f>
        <v>0</v>
      </c>
      <c r="AC600" s="40" t="str">
        <f>IFERROR(IF($AB600=0,"",((Config!$B$6*$V600 + Config!$B$7*$R600 + Config!$B$8*$W600 + Config!$B$9*$X600 + Config!$B$10*$Y600 + Config!$B$11*$Z600 - Config!$B$12*$AA600)/Config!$B$13)+$AH600+$AI600),"")</f>
        <v/>
      </c>
      <c r="AD600" s="40" t="str">
        <f t="shared" si="4"/>
        <v/>
      </c>
      <c r="AE600" s="40" t="str">
        <f>IFERROR(__xludf.DUMMYFUNCTION("IF($AC600="""","""",IF($AC600=IFERROR(MAX(FILTER($AC$6:$AC$1000,$C$6:$C$1000=$C600,$AB$6:$AB$1000=1)),),""WINNER"",""""))"),"")</f>
        <v/>
      </c>
      <c r="AF600" s="40" t="str">
        <f t="shared" si="5"/>
        <v/>
      </c>
      <c r="AG600" s="40" t="str">
        <f>IF($J600="","",COUNTIF(Assignments!$B:$B,$J600))</f>
        <v/>
      </c>
      <c r="AH600" s="40" t="str">
        <f>IF($J600="","",IF(AND($AG600=0,$N600&lt;$M600),Config!$B$43,0))</f>
        <v/>
      </c>
      <c r="AI600" s="40" t="str">
        <f>IF($J600="","",IF(AND($L600="Elite",$F600&gt;=Config!$B$41,$N600&lt;$M600),Config!$B$42,0))</f>
        <v/>
      </c>
      <c r="AJ600" s="22"/>
    </row>
    <row r="601" ht="15.75" customHeight="1">
      <c r="A601" s="40" t="str">
        <f t="shared" si="1"/>
        <v/>
      </c>
      <c r="B601" s="40" t="str">
        <f>IF(Bids!$A601="","",Bids!$A601)</f>
        <v/>
      </c>
      <c r="C601" s="40" t="str">
        <f>IF(Bids!$B601="","",Bids!$B601)</f>
        <v/>
      </c>
      <c r="D601" s="40" t="str">
        <f>IF($C601="","",IFERROR(VLOOKUP($C601,Orders!$A:$J,9,FALSE),""))</f>
        <v/>
      </c>
      <c r="E601" s="40" t="str">
        <f>IF($C601="","",IFERROR(VLOOKUP($C601,Orders!$A:$J,3,FALSE),""))</f>
        <v/>
      </c>
      <c r="F601" s="40" t="str">
        <f>IF($C601="","",IFERROR(VLOOKUP($C601,Orders!$A:$J,4,FALSE),""))</f>
        <v/>
      </c>
      <c r="G601" s="40" t="str">
        <f>IF($C601="","",IFERROR(VLOOKUP($C601,Orders!$A:$J,5,FALSE),""))</f>
        <v/>
      </c>
      <c r="H601" s="40" t="str">
        <f>IF($C601="","",IFERROR(VLOOKUP($C601,Orders!$A:$J,6,FALSE),""))</f>
        <v/>
      </c>
      <c r="I601" s="40" t="str">
        <f>IF($C601="","",IFERROR(VLOOKUP($C601,Orders!$A:$J,7,FALSE),""))</f>
        <v/>
      </c>
      <c r="J601" s="40" t="str">
        <f>IF(Bids!$C601="","",Bids!$C601)</f>
        <v/>
      </c>
      <c r="K601" s="40" t="str">
        <f>IF($J601="","",IFERROR(VLOOKUP($J601,Grinders!$A:$N,2,FALSE),""))</f>
        <v/>
      </c>
      <c r="L601" s="40" t="str">
        <f>IF($J601="","",IFERROR(VLOOKUP($J601,Grinders!$A:$N,3,FALSE),""))</f>
        <v/>
      </c>
      <c r="M601" s="40" t="str">
        <f>IF($J601="","",IFERROR(VLOOKUP($J601,Grinders!$A:$N,4,FALSE),""))</f>
        <v/>
      </c>
      <c r="N601" s="40" t="str">
        <f>IF($J601="","",IFERROR(VLOOKUP($J601,Grinders!$A:$N,5,FALSE),""))</f>
        <v/>
      </c>
      <c r="O601" s="40" t="str">
        <f t="shared" si="2"/>
        <v/>
      </c>
      <c r="P601" s="40" t="str">
        <f>IF($J601="","",IFERROR(VLOOKUP($J601,Grinders!$A:$N,6,FALSE),""))</f>
        <v/>
      </c>
      <c r="Q601" s="40" t="str">
        <f>IF($J601="","",IFERROR(VLOOKUP($J601,Grinders!$A:$N,8,FALSE),""))</f>
        <v/>
      </c>
      <c r="R601" s="40" t="str">
        <f>IFERROR(IF($J601="","",IF($L601="Elite",MAX(50,MIN(100,Config!$B$27*MAX(0,MIN(100,(1-IF($O601="",0,$O601))*100)) + Config!$B$28*MAX(0,MIN(100,(1-MIN(1,IF(Config!$B$30=0,1,$P601/Config!$B$30)))*100)) + Config!$B$29*MAX(0,MIN(100,MIN(1,IF($Q601="",0,$Q601)/Config!$B$23)*100)))),MIN(100,Config!$B$27*MAX(0,MIN(100,(1-IF($O601="",0,$O601))*100)) + Config!$B$28*MAX(0,MIN(100,(1-MIN(1,IF(Config!$B$30=0,1,$P601/Config!$B$30)))*100)) + Config!$B$29*MAX(0,MIN(100,MIN(1,IF($Q601="",0,$Q601)/Config!$B$23)*100))))),"")
</f>
        <v/>
      </c>
      <c r="S601" s="40" t="str">
        <f>IF(Bids!$D601="","",Bids!$D601)</f>
        <v/>
      </c>
      <c r="T601" s="40" t="str">
        <f>IF(Bids!$F601="","",Bids!$F601)</f>
        <v/>
      </c>
      <c r="U601" s="40" t="str">
        <f t="shared" si="3"/>
        <v/>
      </c>
      <c r="V601" s="40" t="str">
        <f>IF($U601="","",IF(Config!$B$17=Config!$B$16,IF($U601&gt;=Config!$B$17,100,0),MAX(0,MIN(100,($U601-Config!$B$16)/(Config!$B$17-Config!$B$16)*100))))</f>
        <v/>
      </c>
      <c r="W601" s="40">
        <f>IF($L601="Elite",Config!$B$21,0)</f>
        <v>0</v>
      </c>
      <c r="X601" s="40" t="str">
        <f>IFERROR(IF(OR($T601="",$G601=""),"",IF($T601&gt;$G601,
  MAX(0, 60-(($T601-$G601)*24/Config!$B$19)*60),
  MEDIAN(60, 100, 60+(($G601-$T601)*24/Config!$B$20)*40)
)),"")
</f>
        <v/>
      </c>
      <c r="Y601" s="40" t="str">
        <f>IF($J601="","",IFERROR(VLOOKUP($J601,Grinders!$A:$N,10,FALSE),""))</f>
        <v/>
      </c>
      <c r="Z601" s="40" t="str">
        <f>IF($J601="","",IFERROR(VLOOKUP($J601,Grinders!$A:$N,11,FALSE),""))</f>
        <v/>
      </c>
      <c r="AA601" s="40" t="str">
        <f>IF($J601="","",IFERROR(VLOOKUP($J601,Grinders!$A:$N,12,FALSE),""))</f>
        <v/>
      </c>
      <c r="AB601" s="40">
        <f>IFERROR(IF(OR($C601="",$J601=""),0,IF($D601&lt;&gt;"Open",0,IF(COUNTIFS(GrinderServices!$B:$B,$J601,GrinderServices!$C:$C,$E601,GrinderServices!$E:$E,"Y")=0,0,IF($U601&lt;Config!$B$16,0,IF(Config!$B$18=1,IF($N601&gt;=$M601,0,1),1))))),"")</f>
        <v>0</v>
      </c>
      <c r="AC601" s="40" t="str">
        <f>IFERROR(IF($AB601=0,"",((Config!$B$6*$V601 + Config!$B$7*$R601 + Config!$B$8*$W601 + Config!$B$9*$X601 + Config!$B$10*$Y601 + Config!$B$11*$Z601 - Config!$B$12*$AA601)/Config!$B$13)+$AH601+$AI601),"")</f>
        <v/>
      </c>
      <c r="AD601" s="40" t="str">
        <f t="shared" si="4"/>
        <v/>
      </c>
      <c r="AE601" s="40" t="str">
        <f>IFERROR(__xludf.DUMMYFUNCTION("IF($AC601="""","""",IF($AC601=IFERROR(MAX(FILTER($AC$6:$AC$1000,$C$6:$C$1000=$C601,$AB$6:$AB$1000=1)),),""WINNER"",""""))"),"")</f>
        <v/>
      </c>
      <c r="AF601" s="40" t="str">
        <f t="shared" si="5"/>
        <v/>
      </c>
      <c r="AG601" s="40" t="str">
        <f>IF($J601="","",COUNTIF(Assignments!$B:$B,$J601))</f>
        <v/>
      </c>
      <c r="AH601" s="40" t="str">
        <f>IF($J601="","",IF(AND($AG601=0,$N601&lt;$M601),Config!$B$43,0))</f>
        <v/>
      </c>
      <c r="AI601" s="40" t="str">
        <f>IF($J601="","",IF(AND($L601="Elite",$F601&gt;=Config!$B$41,$N601&lt;$M601),Config!$B$42,0))</f>
        <v/>
      </c>
      <c r="AJ601" s="22"/>
    </row>
    <row r="602" ht="15.75" customHeight="1">
      <c r="A602" s="40" t="str">
        <f t="shared" si="1"/>
        <v/>
      </c>
      <c r="B602" s="40" t="str">
        <f>IF(Bids!$A602="","",Bids!$A602)</f>
        <v/>
      </c>
      <c r="C602" s="40" t="str">
        <f>IF(Bids!$B602="","",Bids!$B602)</f>
        <v/>
      </c>
      <c r="D602" s="40" t="str">
        <f>IF($C602="","",IFERROR(VLOOKUP($C602,Orders!$A:$J,9,FALSE),""))</f>
        <v/>
      </c>
      <c r="E602" s="40" t="str">
        <f>IF($C602="","",IFERROR(VLOOKUP($C602,Orders!$A:$J,3,FALSE),""))</f>
        <v/>
      </c>
      <c r="F602" s="40" t="str">
        <f>IF($C602="","",IFERROR(VLOOKUP($C602,Orders!$A:$J,4,FALSE),""))</f>
        <v/>
      </c>
      <c r="G602" s="40" t="str">
        <f>IF($C602="","",IFERROR(VLOOKUP($C602,Orders!$A:$J,5,FALSE),""))</f>
        <v/>
      </c>
      <c r="H602" s="40" t="str">
        <f>IF($C602="","",IFERROR(VLOOKUP($C602,Orders!$A:$J,6,FALSE),""))</f>
        <v/>
      </c>
      <c r="I602" s="40" t="str">
        <f>IF($C602="","",IFERROR(VLOOKUP($C602,Orders!$A:$J,7,FALSE),""))</f>
        <v/>
      </c>
      <c r="J602" s="40" t="str">
        <f>IF(Bids!$C602="","",Bids!$C602)</f>
        <v/>
      </c>
      <c r="K602" s="40" t="str">
        <f>IF($J602="","",IFERROR(VLOOKUP($J602,Grinders!$A:$N,2,FALSE),""))</f>
        <v/>
      </c>
      <c r="L602" s="40" t="str">
        <f>IF($J602="","",IFERROR(VLOOKUP($J602,Grinders!$A:$N,3,FALSE),""))</f>
        <v/>
      </c>
      <c r="M602" s="40" t="str">
        <f>IF($J602="","",IFERROR(VLOOKUP($J602,Grinders!$A:$N,4,FALSE),""))</f>
        <v/>
      </c>
      <c r="N602" s="40" t="str">
        <f>IF($J602="","",IFERROR(VLOOKUP($J602,Grinders!$A:$N,5,FALSE),""))</f>
        <v/>
      </c>
      <c r="O602" s="40" t="str">
        <f t="shared" si="2"/>
        <v/>
      </c>
      <c r="P602" s="40" t="str">
        <f>IF($J602="","",IFERROR(VLOOKUP($J602,Grinders!$A:$N,6,FALSE),""))</f>
        <v/>
      </c>
      <c r="Q602" s="40" t="str">
        <f>IF($J602="","",IFERROR(VLOOKUP($J602,Grinders!$A:$N,8,FALSE),""))</f>
        <v/>
      </c>
      <c r="R602" s="40" t="str">
        <f>IFERROR(IF($J602="","",IF($L602="Elite",MAX(50,MIN(100,Config!$B$27*MAX(0,MIN(100,(1-IF($O602="",0,$O602))*100)) + Config!$B$28*MAX(0,MIN(100,(1-MIN(1,IF(Config!$B$30=0,1,$P602/Config!$B$30)))*100)) + Config!$B$29*MAX(0,MIN(100,MIN(1,IF($Q602="",0,$Q602)/Config!$B$23)*100)))),MIN(100,Config!$B$27*MAX(0,MIN(100,(1-IF($O602="",0,$O602))*100)) + Config!$B$28*MAX(0,MIN(100,(1-MIN(1,IF(Config!$B$30=0,1,$P602/Config!$B$30)))*100)) + Config!$B$29*MAX(0,MIN(100,MIN(1,IF($Q602="",0,$Q602)/Config!$B$23)*100))))),"")
</f>
        <v/>
      </c>
      <c r="S602" s="40" t="str">
        <f>IF(Bids!$D602="","",Bids!$D602)</f>
        <v/>
      </c>
      <c r="T602" s="40" t="str">
        <f>IF(Bids!$F602="","",Bids!$F602)</f>
        <v/>
      </c>
      <c r="U602" s="40" t="str">
        <f t="shared" si="3"/>
        <v/>
      </c>
      <c r="V602" s="40" t="str">
        <f>IF($U602="","",IF(Config!$B$17=Config!$B$16,IF($U602&gt;=Config!$B$17,100,0),MAX(0,MIN(100,($U602-Config!$B$16)/(Config!$B$17-Config!$B$16)*100))))</f>
        <v/>
      </c>
      <c r="W602" s="40">
        <f>IF($L602="Elite",Config!$B$21,0)</f>
        <v>0</v>
      </c>
      <c r="X602" s="40" t="str">
        <f>IFERROR(IF(OR($T602="",$G602=""),"",IF($T602&gt;$G602,
  MAX(0, 60-(($T602-$G602)*24/Config!$B$19)*60),
  MEDIAN(60, 100, 60+(($G602-$T602)*24/Config!$B$20)*40)
)),"")
</f>
        <v/>
      </c>
      <c r="Y602" s="40" t="str">
        <f>IF($J602="","",IFERROR(VLOOKUP($J602,Grinders!$A:$N,10,FALSE),""))</f>
        <v/>
      </c>
      <c r="Z602" s="40" t="str">
        <f>IF($J602="","",IFERROR(VLOOKUP($J602,Grinders!$A:$N,11,FALSE),""))</f>
        <v/>
      </c>
      <c r="AA602" s="40" t="str">
        <f>IF($J602="","",IFERROR(VLOOKUP($J602,Grinders!$A:$N,12,FALSE),""))</f>
        <v/>
      </c>
      <c r="AB602" s="40">
        <f>IFERROR(IF(OR($C602="",$J602=""),0,IF($D602&lt;&gt;"Open",0,IF(COUNTIFS(GrinderServices!$B:$B,$J602,GrinderServices!$C:$C,$E602,GrinderServices!$E:$E,"Y")=0,0,IF($U602&lt;Config!$B$16,0,IF(Config!$B$18=1,IF($N602&gt;=$M602,0,1),1))))),"")</f>
        <v>0</v>
      </c>
      <c r="AC602" s="40" t="str">
        <f>IFERROR(IF($AB602=0,"",((Config!$B$6*$V602 + Config!$B$7*$R602 + Config!$B$8*$W602 + Config!$B$9*$X602 + Config!$B$10*$Y602 + Config!$B$11*$Z602 - Config!$B$12*$AA602)/Config!$B$13)+$AH602+$AI602),"")</f>
        <v/>
      </c>
      <c r="AD602" s="40" t="str">
        <f t="shared" si="4"/>
        <v/>
      </c>
      <c r="AE602" s="40" t="str">
        <f>IFERROR(__xludf.DUMMYFUNCTION("IF($AC602="""","""",IF($AC602=IFERROR(MAX(FILTER($AC$6:$AC$1000,$C$6:$C$1000=$C602,$AB$6:$AB$1000=1)),),""WINNER"",""""))"),"")</f>
        <v/>
      </c>
      <c r="AF602" s="40" t="str">
        <f t="shared" si="5"/>
        <v/>
      </c>
      <c r="AG602" s="40" t="str">
        <f>IF($J602="","",COUNTIF(Assignments!$B:$B,$J602))</f>
        <v/>
      </c>
      <c r="AH602" s="40" t="str">
        <f>IF($J602="","",IF(AND($AG602=0,$N602&lt;$M602),Config!$B$43,0))</f>
        <v/>
      </c>
      <c r="AI602" s="40" t="str">
        <f>IF($J602="","",IF(AND($L602="Elite",$F602&gt;=Config!$B$41,$N602&lt;$M602),Config!$B$42,0))</f>
        <v/>
      </c>
      <c r="AJ602" s="22"/>
    </row>
    <row r="603" ht="15.75" customHeight="1">
      <c r="A603" s="40" t="str">
        <f t="shared" si="1"/>
        <v/>
      </c>
      <c r="B603" s="40" t="str">
        <f>IF(Bids!$A603="","",Bids!$A603)</f>
        <v/>
      </c>
      <c r="C603" s="40" t="str">
        <f>IF(Bids!$B603="","",Bids!$B603)</f>
        <v/>
      </c>
      <c r="D603" s="40" t="str">
        <f>IF($C603="","",IFERROR(VLOOKUP($C603,Orders!$A:$J,9,FALSE),""))</f>
        <v/>
      </c>
      <c r="E603" s="40" t="str">
        <f>IF($C603="","",IFERROR(VLOOKUP($C603,Orders!$A:$J,3,FALSE),""))</f>
        <v/>
      </c>
      <c r="F603" s="40" t="str">
        <f>IF($C603="","",IFERROR(VLOOKUP($C603,Orders!$A:$J,4,FALSE),""))</f>
        <v/>
      </c>
      <c r="G603" s="40" t="str">
        <f>IF($C603="","",IFERROR(VLOOKUP($C603,Orders!$A:$J,5,FALSE),""))</f>
        <v/>
      </c>
      <c r="H603" s="40" t="str">
        <f>IF($C603="","",IFERROR(VLOOKUP($C603,Orders!$A:$J,6,FALSE),""))</f>
        <v/>
      </c>
      <c r="I603" s="40" t="str">
        <f>IF($C603="","",IFERROR(VLOOKUP($C603,Orders!$A:$J,7,FALSE),""))</f>
        <v/>
      </c>
      <c r="J603" s="40" t="str">
        <f>IF(Bids!$C603="","",Bids!$C603)</f>
        <v/>
      </c>
      <c r="K603" s="40" t="str">
        <f>IF($J603="","",IFERROR(VLOOKUP($J603,Grinders!$A:$N,2,FALSE),""))</f>
        <v/>
      </c>
      <c r="L603" s="40" t="str">
        <f>IF($J603="","",IFERROR(VLOOKUP($J603,Grinders!$A:$N,3,FALSE),""))</f>
        <v/>
      </c>
      <c r="M603" s="40" t="str">
        <f>IF($J603="","",IFERROR(VLOOKUP($J603,Grinders!$A:$N,4,FALSE),""))</f>
        <v/>
      </c>
      <c r="N603" s="40" t="str">
        <f>IF($J603="","",IFERROR(VLOOKUP($J603,Grinders!$A:$N,5,FALSE),""))</f>
        <v/>
      </c>
      <c r="O603" s="40" t="str">
        <f t="shared" si="2"/>
        <v/>
      </c>
      <c r="P603" s="40" t="str">
        <f>IF($J603="","",IFERROR(VLOOKUP($J603,Grinders!$A:$N,6,FALSE),""))</f>
        <v/>
      </c>
      <c r="Q603" s="40" t="str">
        <f>IF($J603="","",IFERROR(VLOOKUP($J603,Grinders!$A:$N,8,FALSE),""))</f>
        <v/>
      </c>
      <c r="R603" s="40" t="str">
        <f>IFERROR(IF($J603="","",IF($L603="Elite",MAX(50,MIN(100,Config!$B$27*MAX(0,MIN(100,(1-IF($O603="",0,$O603))*100)) + Config!$B$28*MAX(0,MIN(100,(1-MIN(1,IF(Config!$B$30=0,1,$P603/Config!$B$30)))*100)) + Config!$B$29*MAX(0,MIN(100,MIN(1,IF($Q603="",0,$Q603)/Config!$B$23)*100)))),MIN(100,Config!$B$27*MAX(0,MIN(100,(1-IF($O603="",0,$O603))*100)) + Config!$B$28*MAX(0,MIN(100,(1-MIN(1,IF(Config!$B$30=0,1,$P603/Config!$B$30)))*100)) + Config!$B$29*MAX(0,MIN(100,MIN(1,IF($Q603="",0,$Q603)/Config!$B$23)*100))))),"")
</f>
        <v/>
      </c>
      <c r="S603" s="40" t="str">
        <f>IF(Bids!$D603="","",Bids!$D603)</f>
        <v/>
      </c>
      <c r="T603" s="40" t="str">
        <f>IF(Bids!$F603="","",Bids!$F603)</f>
        <v/>
      </c>
      <c r="U603" s="40" t="str">
        <f t="shared" si="3"/>
        <v/>
      </c>
      <c r="V603" s="40" t="str">
        <f>IF($U603="","",IF(Config!$B$17=Config!$B$16,IF($U603&gt;=Config!$B$17,100,0),MAX(0,MIN(100,($U603-Config!$B$16)/(Config!$B$17-Config!$B$16)*100))))</f>
        <v/>
      </c>
      <c r="W603" s="40">
        <f>IF($L603="Elite",Config!$B$21,0)</f>
        <v>0</v>
      </c>
      <c r="X603" s="40" t="str">
        <f>IFERROR(IF(OR($T603="",$G603=""),"",IF($T603&gt;$G603,
  MAX(0, 60-(($T603-$G603)*24/Config!$B$19)*60),
  MEDIAN(60, 100, 60+(($G603-$T603)*24/Config!$B$20)*40)
)),"")
</f>
        <v/>
      </c>
      <c r="Y603" s="40" t="str">
        <f>IF($J603="","",IFERROR(VLOOKUP($J603,Grinders!$A:$N,10,FALSE),""))</f>
        <v/>
      </c>
      <c r="Z603" s="40" t="str">
        <f>IF($J603="","",IFERROR(VLOOKUP($J603,Grinders!$A:$N,11,FALSE),""))</f>
        <v/>
      </c>
      <c r="AA603" s="40" t="str">
        <f>IF($J603="","",IFERROR(VLOOKUP($J603,Grinders!$A:$N,12,FALSE),""))</f>
        <v/>
      </c>
      <c r="AB603" s="40">
        <f>IFERROR(IF(OR($C603="",$J603=""),0,IF($D603&lt;&gt;"Open",0,IF(COUNTIFS(GrinderServices!$B:$B,$J603,GrinderServices!$C:$C,$E603,GrinderServices!$E:$E,"Y")=0,0,IF($U603&lt;Config!$B$16,0,IF(Config!$B$18=1,IF($N603&gt;=$M603,0,1),1))))),"")</f>
        <v>0</v>
      </c>
      <c r="AC603" s="40" t="str">
        <f>IFERROR(IF($AB603=0,"",((Config!$B$6*$V603 + Config!$B$7*$R603 + Config!$B$8*$W603 + Config!$B$9*$X603 + Config!$B$10*$Y603 + Config!$B$11*$Z603 - Config!$B$12*$AA603)/Config!$B$13)+$AH603+$AI603),"")</f>
        <v/>
      </c>
      <c r="AD603" s="40" t="str">
        <f t="shared" si="4"/>
        <v/>
      </c>
      <c r="AE603" s="40" t="str">
        <f>IFERROR(__xludf.DUMMYFUNCTION("IF($AC603="""","""",IF($AC603=IFERROR(MAX(FILTER($AC$6:$AC$1000,$C$6:$C$1000=$C603,$AB$6:$AB$1000=1)),),""WINNER"",""""))"),"")</f>
        <v/>
      </c>
      <c r="AF603" s="40" t="str">
        <f t="shared" si="5"/>
        <v/>
      </c>
      <c r="AG603" s="40" t="str">
        <f>IF($J603="","",COUNTIF(Assignments!$B:$B,$J603))</f>
        <v/>
      </c>
      <c r="AH603" s="40" t="str">
        <f>IF($J603="","",IF(AND($AG603=0,$N603&lt;$M603),Config!$B$43,0))</f>
        <v/>
      </c>
      <c r="AI603" s="40" t="str">
        <f>IF($J603="","",IF(AND($L603="Elite",$F603&gt;=Config!$B$41,$N603&lt;$M603),Config!$B$42,0))</f>
        <v/>
      </c>
      <c r="AJ603" s="22"/>
    </row>
    <row r="604" ht="15.75" customHeight="1">
      <c r="A604" s="40" t="str">
        <f t="shared" si="1"/>
        <v/>
      </c>
      <c r="B604" s="40" t="str">
        <f>IF(Bids!$A604="","",Bids!$A604)</f>
        <v/>
      </c>
      <c r="C604" s="40" t="str">
        <f>IF(Bids!$B604="","",Bids!$B604)</f>
        <v/>
      </c>
      <c r="D604" s="40" t="str">
        <f>IF($C604="","",IFERROR(VLOOKUP($C604,Orders!$A:$J,9,FALSE),""))</f>
        <v/>
      </c>
      <c r="E604" s="40" t="str">
        <f>IF($C604="","",IFERROR(VLOOKUP($C604,Orders!$A:$J,3,FALSE),""))</f>
        <v/>
      </c>
      <c r="F604" s="40" t="str">
        <f>IF($C604="","",IFERROR(VLOOKUP($C604,Orders!$A:$J,4,FALSE),""))</f>
        <v/>
      </c>
      <c r="G604" s="40" t="str">
        <f>IF($C604="","",IFERROR(VLOOKUP($C604,Orders!$A:$J,5,FALSE),""))</f>
        <v/>
      </c>
      <c r="H604" s="40" t="str">
        <f>IF($C604="","",IFERROR(VLOOKUP($C604,Orders!$A:$J,6,FALSE),""))</f>
        <v/>
      </c>
      <c r="I604" s="40" t="str">
        <f>IF($C604="","",IFERROR(VLOOKUP($C604,Orders!$A:$J,7,FALSE),""))</f>
        <v/>
      </c>
      <c r="J604" s="40" t="str">
        <f>IF(Bids!$C604="","",Bids!$C604)</f>
        <v/>
      </c>
      <c r="K604" s="40" t="str">
        <f>IF($J604="","",IFERROR(VLOOKUP($J604,Grinders!$A:$N,2,FALSE),""))</f>
        <v/>
      </c>
      <c r="L604" s="40" t="str">
        <f>IF($J604="","",IFERROR(VLOOKUP($J604,Grinders!$A:$N,3,FALSE),""))</f>
        <v/>
      </c>
      <c r="M604" s="40" t="str">
        <f>IF($J604="","",IFERROR(VLOOKUP($J604,Grinders!$A:$N,4,FALSE),""))</f>
        <v/>
      </c>
      <c r="N604" s="40" t="str">
        <f>IF($J604="","",IFERROR(VLOOKUP($J604,Grinders!$A:$N,5,FALSE),""))</f>
        <v/>
      </c>
      <c r="O604" s="40" t="str">
        <f t="shared" si="2"/>
        <v/>
      </c>
      <c r="P604" s="40" t="str">
        <f>IF($J604="","",IFERROR(VLOOKUP($J604,Grinders!$A:$N,6,FALSE),""))</f>
        <v/>
      </c>
      <c r="Q604" s="40" t="str">
        <f>IF($J604="","",IFERROR(VLOOKUP($J604,Grinders!$A:$N,8,FALSE),""))</f>
        <v/>
      </c>
      <c r="R604" s="40" t="str">
        <f>IFERROR(IF($J604="","",IF($L604="Elite",MAX(50,MIN(100,Config!$B$27*MAX(0,MIN(100,(1-IF($O604="",0,$O604))*100)) + Config!$B$28*MAX(0,MIN(100,(1-MIN(1,IF(Config!$B$30=0,1,$P604/Config!$B$30)))*100)) + Config!$B$29*MAX(0,MIN(100,MIN(1,IF($Q604="",0,$Q604)/Config!$B$23)*100)))),MIN(100,Config!$B$27*MAX(0,MIN(100,(1-IF($O604="",0,$O604))*100)) + Config!$B$28*MAX(0,MIN(100,(1-MIN(1,IF(Config!$B$30=0,1,$P604/Config!$B$30)))*100)) + Config!$B$29*MAX(0,MIN(100,MIN(1,IF($Q604="",0,$Q604)/Config!$B$23)*100))))),"")
</f>
        <v/>
      </c>
      <c r="S604" s="40" t="str">
        <f>IF(Bids!$D604="","",Bids!$D604)</f>
        <v/>
      </c>
      <c r="T604" s="40" t="str">
        <f>IF(Bids!$F604="","",Bids!$F604)</f>
        <v/>
      </c>
      <c r="U604" s="40" t="str">
        <f t="shared" si="3"/>
        <v/>
      </c>
      <c r="V604" s="40" t="str">
        <f>IF($U604="","",IF(Config!$B$17=Config!$B$16,IF($U604&gt;=Config!$B$17,100,0),MAX(0,MIN(100,($U604-Config!$B$16)/(Config!$B$17-Config!$B$16)*100))))</f>
        <v/>
      </c>
      <c r="W604" s="40">
        <f>IF($L604="Elite",Config!$B$21,0)</f>
        <v>0</v>
      </c>
      <c r="X604" s="40" t="str">
        <f>IFERROR(IF(OR($T604="",$G604=""),"",IF($T604&gt;$G604,
  MAX(0, 60-(($T604-$G604)*24/Config!$B$19)*60),
  MEDIAN(60, 100, 60+(($G604-$T604)*24/Config!$B$20)*40)
)),"")
</f>
        <v/>
      </c>
      <c r="Y604" s="40" t="str">
        <f>IF($J604="","",IFERROR(VLOOKUP($J604,Grinders!$A:$N,10,FALSE),""))</f>
        <v/>
      </c>
      <c r="Z604" s="40" t="str">
        <f>IF($J604="","",IFERROR(VLOOKUP($J604,Grinders!$A:$N,11,FALSE),""))</f>
        <v/>
      </c>
      <c r="AA604" s="40" t="str">
        <f>IF($J604="","",IFERROR(VLOOKUP($J604,Grinders!$A:$N,12,FALSE),""))</f>
        <v/>
      </c>
      <c r="AB604" s="40">
        <f>IFERROR(IF(OR($C604="",$J604=""),0,IF($D604&lt;&gt;"Open",0,IF(COUNTIFS(GrinderServices!$B:$B,$J604,GrinderServices!$C:$C,$E604,GrinderServices!$E:$E,"Y")=0,0,IF($U604&lt;Config!$B$16,0,IF(Config!$B$18=1,IF($N604&gt;=$M604,0,1),1))))),"")</f>
        <v>0</v>
      </c>
      <c r="AC604" s="40" t="str">
        <f>IFERROR(IF($AB604=0,"",((Config!$B$6*$V604 + Config!$B$7*$R604 + Config!$B$8*$W604 + Config!$B$9*$X604 + Config!$B$10*$Y604 + Config!$B$11*$Z604 - Config!$B$12*$AA604)/Config!$B$13)+$AH604+$AI604),"")</f>
        <v/>
      </c>
      <c r="AD604" s="40" t="str">
        <f t="shared" si="4"/>
        <v/>
      </c>
      <c r="AE604" s="40" t="str">
        <f>IFERROR(__xludf.DUMMYFUNCTION("IF($AC604="""","""",IF($AC604=IFERROR(MAX(FILTER($AC$6:$AC$1000,$C$6:$C$1000=$C604,$AB$6:$AB$1000=1)),),""WINNER"",""""))"),"")</f>
        <v/>
      </c>
      <c r="AF604" s="40" t="str">
        <f t="shared" si="5"/>
        <v/>
      </c>
      <c r="AG604" s="40" t="str">
        <f>IF($J604="","",COUNTIF(Assignments!$B:$B,$J604))</f>
        <v/>
      </c>
      <c r="AH604" s="40" t="str">
        <f>IF($J604="","",IF(AND($AG604=0,$N604&lt;$M604),Config!$B$43,0))</f>
        <v/>
      </c>
      <c r="AI604" s="40" t="str">
        <f>IF($J604="","",IF(AND($L604="Elite",$F604&gt;=Config!$B$41,$N604&lt;$M604),Config!$B$42,0))</f>
        <v/>
      </c>
      <c r="AJ604" s="22"/>
    </row>
    <row r="605" ht="15.75" customHeight="1">
      <c r="A605" s="40" t="str">
        <f t="shared" si="1"/>
        <v/>
      </c>
      <c r="B605" s="40" t="str">
        <f>IF(Bids!$A605="","",Bids!$A605)</f>
        <v/>
      </c>
      <c r="C605" s="40" t="str">
        <f>IF(Bids!$B605="","",Bids!$B605)</f>
        <v/>
      </c>
      <c r="D605" s="40" t="str">
        <f>IF($C605="","",IFERROR(VLOOKUP($C605,Orders!$A:$J,9,FALSE),""))</f>
        <v/>
      </c>
      <c r="E605" s="40" t="str">
        <f>IF($C605="","",IFERROR(VLOOKUP($C605,Orders!$A:$J,3,FALSE),""))</f>
        <v/>
      </c>
      <c r="F605" s="40" t="str">
        <f>IF($C605="","",IFERROR(VLOOKUP($C605,Orders!$A:$J,4,FALSE),""))</f>
        <v/>
      </c>
      <c r="G605" s="40" t="str">
        <f>IF($C605="","",IFERROR(VLOOKUP($C605,Orders!$A:$J,5,FALSE),""))</f>
        <v/>
      </c>
      <c r="H605" s="40" t="str">
        <f>IF($C605="","",IFERROR(VLOOKUP($C605,Orders!$A:$J,6,FALSE),""))</f>
        <v/>
      </c>
      <c r="I605" s="40" t="str">
        <f>IF($C605="","",IFERROR(VLOOKUP($C605,Orders!$A:$J,7,FALSE),""))</f>
        <v/>
      </c>
      <c r="J605" s="40" t="str">
        <f>IF(Bids!$C605="","",Bids!$C605)</f>
        <v/>
      </c>
      <c r="K605" s="40" t="str">
        <f>IF($J605="","",IFERROR(VLOOKUP($J605,Grinders!$A:$N,2,FALSE),""))</f>
        <v/>
      </c>
      <c r="L605" s="40" t="str">
        <f>IF($J605="","",IFERROR(VLOOKUP($J605,Grinders!$A:$N,3,FALSE),""))</f>
        <v/>
      </c>
      <c r="M605" s="40" t="str">
        <f>IF($J605="","",IFERROR(VLOOKUP($J605,Grinders!$A:$N,4,FALSE),""))</f>
        <v/>
      </c>
      <c r="N605" s="40" t="str">
        <f>IF($J605="","",IFERROR(VLOOKUP($J605,Grinders!$A:$N,5,FALSE),""))</f>
        <v/>
      </c>
      <c r="O605" s="40" t="str">
        <f t="shared" si="2"/>
        <v/>
      </c>
      <c r="P605" s="40" t="str">
        <f>IF($J605="","",IFERROR(VLOOKUP($J605,Grinders!$A:$N,6,FALSE),""))</f>
        <v/>
      </c>
      <c r="Q605" s="40" t="str">
        <f>IF($J605="","",IFERROR(VLOOKUP($J605,Grinders!$A:$N,8,FALSE),""))</f>
        <v/>
      </c>
      <c r="R605" s="40" t="str">
        <f>IFERROR(IF($J605="","",IF($L605="Elite",MAX(50,MIN(100,Config!$B$27*MAX(0,MIN(100,(1-IF($O605="",0,$O605))*100)) + Config!$B$28*MAX(0,MIN(100,(1-MIN(1,IF(Config!$B$30=0,1,$P605/Config!$B$30)))*100)) + Config!$B$29*MAX(0,MIN(100,MIN(1,IF($Q605="",0,$Q605)/Config!$B$23)*100)))),MIN(100,Config!$B$27*MAX(0,MIN(100,(1-IF($O605="",0,$O605))*100)) + Config!$B$28*MAX(0,MIN(100,(1-MIN(1,IF(Config!$B$30=0,1,$P605/Config!$B$30)))*100)) + Config!$B$29*MAX(0,MIN(100,MIN(1,IF($Q605="",0,$Q605)/Config!$B$23)*100))))),"")
</f>
        <v/>
      </c>
      <c r="S605" s="40" t="str">
        <f>IF(Bids!$D605="","",Bids!$D605)</f>
        <v/>
      </c>
      <c r="T605" s="40" t="str">
        <f>IF(Bids!$F605="","",Bids!$F605)</f>
        <v/>
      </c>
      <c r="U605" s="40" t="str">
        <f t="shared" si="3"/>
        <v/>
      </c>
      <c r="V605" s="40" t="str">
        <f>IF($U605="","",IF(Config!$B$17=Config!$B$16,IF($U605&gt;=Config!$B$17,100,0),MAX(0,MIN(100,($U605-Config!$B$16)/(Config!$B$17-Config!$B$16)*100))))</f>
        <v/>
      </c>
      <c r="W605" s="40">
        <f>IF($L605="Elite",Config!$B$21,0)</f>
        <v>0</v>
      </c>
      <c r="X605" s="40" t="str">
        <f>IFERROR(IF(OR($T605="",$G605=""),"",IF($T605&gt;$G605,
  MAX(0, 60-(($T605-$G605)*24/Config!$B$19)*60),
  MEDIAN(60, 100, 60+(($G605-$T605)*24/Config!$B$20)*40)
)),"")
</f>
        <v/>
      </c>
      <c r="Y605" s="40" t="str">
        <f>IF($J605="","",IFERROR(VLOOKUP($J605,Grinders!$A:$N,10,FALSE),""))</f>
        <v/>
      </c>
      <c r="Z605" s="40" t="str">
        <f>IF($J605="","",IFERROR(VLOOKUP($J605,Grinders!$A:$N,11,FALSE),""))</f>
        <v/>
      </c>
      <c r="AA605" s="40" t="str">
        <f>IF($J605="","",IFERROR(VLOOKUP($J605,Grinders!$A:$N,12,FALSE),""))</f>
        <v/>
      </c>
      <c r="AB605" s="40">
        <f>IFERROR(IF(OR($C605="",$J605=""),0,IF($D605&lt;&gt;"Open",0,IF(COUNTIFS(GrinderServices!$B:$B,$J605,GrinderServices!$C:$C,$E605,GrinderServices!$E:$E,"Y")=0,0,IF($U605&lt;Config!$B$16,0,IF(Config!$B$18=1,IF($N605&gt;=$M605,0,1),1))))),"")</f>
        <v>0</v>
      </c>
      <c r="AC605" s="40" t="str">
        <f>IFERROR(IF($AB605=0,"",((Config!$B$6*$V605 + Config!$B$7*$R605 + Config!$B$8*$W605 + Config!$B$9*$X605 + Config!$B$10*$Y605 + Config!$B$11*$Z605 - Config!$B$12*$AA605)/Config!$B$13)+$AH605+$AI605),"")</f>
        <v/>
      </c>
      <c r="AD605" s="40" t="str">
        <f t="shared" si="4"/>
        <v/>
      </c>
      <c r="AE605" s="40" t="str">
        <f>IFERROR(__xludf.DUMMYFUNCTION("IF($AC605="""","""",IF($AC605=IFERROR(MAX(FILTER($AC$6:$AC$1000,$C$6:$C$1000=$C605,$AB$6:$AB$1000=1)),),""WINNER"",""""))"),"")</f>
        <v/>
      </c>
      <c r="AF605" s="40" t="str">
        <f t="shared" si="5"/>
        <v/>
      </c>
      <c r="AG605" s="40" t="str">
        <f>IF($J605="","",COUNTIF(Assignments!$B:$B,$J605))</f>
        <v/>
      </c>
      <c r="AH605" s="40" t="str">
        <f>IF($J605="","",IF(AND($AG605=0,$N605&lt;$M605),Config!$B$43,0))</f>
        <v/>
      </c>
      <c r="AI605" s="40" t="str">
        <f>IF($J605="","",IF(AND($L605="Elite",$F605&gt;=Config!$B$41,$N605&lt;$M605),Config!$B$42,0))</f>
        <v/>
      </c>
      <c r="AJ605" s="22"/>
    </row>
    <row r="606" ht="15.75" customHeight="1">
      <c r="A606" s="40" t="str">
        <f t="shared" si="1"/>
        <v/>
      </c>
      <c r="B606" s="40" t="str">
        <f>IF(Bids!$A606="","",Bids!$A606)</f>
        <v/>
      </c>
      <c r="C606" s="40" t="str">
        <f>IF(Bids!$B606="","",Bids!$B606)</f>
        <v/>
      </c>
      <c r="D606" s="40" t="str">
        <f>IF($C606="","",IFERROR(VLOOKUP($C606,Orders!$A:$J,9,FALSE),""))</f>
        <v/>
      </c>
      <c r="E606" s="40" t="str">
        <f>IF($C606="","",IFERROR(VLOOKUP($C606,Orders!$A:$J,3,FALSE),""))</f>
        <v/>
      </c>
      <c r="F606" s="40" t="str">
        <f>IF($C606="","",IFERROR(VLOOKUP($C606,Orders!$A:$J,4,FALSE),""))</f>
        <v/>
      </c>
      <c r="G606" s="40" t="str">
        <f>IF($C606="","",IFERROR(VLOOKUP($C606,Orders!$A:$J,5,FALSE),""))</f>
        <v/>
      </c>
      <c r="H606" s="40" t="str">
        <f>IF($C606="","",IFERROR(VLOOKUP($C606,Orders!$A:$J,6,FALSE),""))</f>
        <v/>
      </c>
      <c r="I606" s="40" t="str">
        <f>IF($C606="","",IFERROR(VLOOKUP($C606,Orders!$A:$J,7,FALSE),""))</f>
        <v/>
      </c>
      <c r="J606" s="40" t="str">
        <f>IF(Bids!$C606="","",Bids!$C606)</f>
        <v/>
      </c>
      <c r="K606" s="40" t="str">
        <f>IF($J606="","",IFERROR(VLOOKUP($J606,Grinders!$A:$N,2,FALSE),""))</f>
        <v/>
      </c>
      <c r="L606" s="40" t="str">
        <f>IF($J606="","",IFERROR(VLOOKUP($J606,Grinders!$A:$N,3,FALSE),""))</f>
        <v/>
      </c>
      <c r="M606" s="40" t="str">
        <f>IF($J606="","",IFERROR(VLOOKUP($J606,Grinders!$A:$N,4,FALSE),""))</f>
        <v/>
      </c>
      <c r="N606" s="40" t="str">
        <f>IF($J606="","",IFERROR(VLOOKUP($J606,Grinders!$A:$N,5,FALSE),""))</f>
        <v/>
      </c>
      <c r="O606" s="40" t="str">
        <f t="shared" si="2"/>
        <v/>
      </c>
      <c r="P606" s="40" t="str">
        <f>IF($J606="","",IFERROR(VLOOKUP($J606,Grinders!$A:$N,6,FALSE),""))</f>
        <v/>
      </c>
      <c r="Q606" s="40" t="str">
        <f>IF($J606="","",IFERROR(VLOOKUP($J606,Grinders!$A:$N,8,FALSE),""))</f>
        <v/>
      </c>
      <c r="R606" s="40" t="str">
        <f>IFERROR(IF($J606="","",IF($L606="Elite",MAX(50,MIN(100,Config!$B$27*MAX(0,MIN(100,(1-IF($O606="",0,$O606))*100)) + Config!$B$28*MAX(0,MIN(100,(1-MIN(1,IF(Config!$B$30=0,1,$P606/Config!$B$30)))*100)) + Config!$B$29*MAX(0,MIN(100,MIN(1,IF($Q606="",0,$Q606)/Config!$B$23)*100)))),MIN(100,Config!$B$27*MAX(0,MIN(100,(1-IF($O606="",0,$O606))*100)) + Config!$B$28*MAX(0,MIN(100,(1-MIN(1,IF(Config!$B$30=0,1,$P606/Config!$B$30)))*100)) + Config!$B$29*MAX(0,MIN(100,MIN(1,IF($Q606="",0,$Q606)/Config!$B$23)*100))))),"")
</f>
        <v/>
      </c>
      <c r="S606" s="40" t="str">
        <f>IF(Bids!$D606="","",Bids!$D606)</f>
        <v/>
      </c>
      <c r="T606" s="40" t="str">
        <f>IF(Bids!$F606="","",Bids!$F606)</f>
        <v/>
      </c>
      <c r="U606" s="40" t="str">
        <f t="shared" si="3"/>
        <v/>
      </c>
      <c r="V606" s="40" t="str">
        <f>IF($U606="","",IF(Config!$B$17=Config!$B$16,IF($U606&gt;=Config!$B$17,100,0),MAX(0,MIN(100,($U606-Config!$B$16)/(Config!$B$17-Config!$B$16)*100))))</f>
        <v/>
      </c>
      <c r="W606" s="40">
        <f>IF($L606="Elite",Config!$B$21,0)</f>
        <v>0</v>
      </c>
      <c r="X606" s="40" t="str">
        <f>IFERROR(IF(OR($T606="",$G606=""),"",IF($T606&gt;$G606,
  MAX(0, 60-(($T606-$G606)*24/Config!$B$19)*60),
  MEDIAN(60, 100, 60+(($G606-$T606)*24/Config!$B$20)*40)
)),"")
</f>
        <v/>
      </c>
      <c r="Y606" s="40" t="str">
        <f>IF($J606="","",IFERROR(VLOOKUP($J606,Grinders!$A:$N,10,FALSE),""))</f>
        <v/>
      </c>
      <c r="Z606" s="40" t="str">
        <f>IF($J606="","",IFERROR(VLOOKUP($J606,Grinders!$A:$N,11,FALSE),""))</f>
        <v/>
      </c>
      <c r="AA606" s="40" t="str">
        <f>IF($J606="","",IFERROR(VLOOKUP($J606,Grinders!$A:$N,12,FALSE),""))</f>
        <v/>
      </c>
      <c r="AB606" s="40">
        <f>IFERROR(IF(OR($C606="",$J606=""),0,IF($D606&lt;&gt;"Open",0,IF(COUNTIFS(GrinderServices!$B:$B,$J606,GrinderServices!$C:$C,$E606,GrinderServices!$E:$E,"Y")=0,0,IF($U606&lt;Config!$B$16,0,IF(Config!$B$18=1,IF($N606&gt;=$M606,0,1),1))))),"")</f>
        <v>0</v>
      </c>
      <c r="AC606" s="40" t="str">
        <f>IFERROR(IF($AB606=0,"",((Config!$B$6*$V606 + Config!$B$7*$R606 + Config!$B$8*$W606 + Config!$B$9*$X606 + Config!$B$10*$Y606 + Config!$B$11*$Z606 - Config!$B$12*$AA606)/Config!$B$13)+$AH606+$AI606),"")</f>
        <v/>
      </c>
      <c r="AD606" s="40" t="str">
        <f t="shared" si="4"/>
        <v/>
      </c>
      <c r="AE606" s="40" t="str">
        <f>IFERROR(__xludf.DUMMYFUNCTION("IF($AC606="""","""",IF($AC606=IFERROR(MAX(FILTER($AC$6:$AC$1000,$C$6:$C$1000=$C606,$AB$6:$AB$1000=1)),),""WINNER"",""""))"),"")</f>
        <v/>
      </c>
      <c r="AF606" s="40" t="str">
        <f t="shared" si="5"/>
        <v/>
      </c>
      <c r="AG606" s="40" t="str">
        <f>IF($J606="","",COUNTIF(Assignments!$B:$B,$J606))</f>
        <v/>
      </c>
      <c r="AH606" s="40" t="str">
        <f>IF($J606="","",IF(AND($AG606=0,$N606&lt;$M606),Config!$B$43,0))</f>
        <v/>
      </c>
      <c r="AI606" s="40" t="str">
        <f>IF($J606="","",IF(AND($L606="Elite",$F606&gt;=Config!$B$41,$N606&lt;$M606),Config!$B$42,0))</f>
        <v/>
      </c>
      <c r="AJ606" s="22"/>
    </row>
    <row r="607" ht="15.75" customHeight="1">
      <c r="A607" s="40" t="str">
        <f t="shared" si="1"/>
        <v/>
      </c>
      <c r="B607" s="40" t="str">
        <f>IF(Bids!$A607="","",Bids!$A607)</f>
        <v/>
      </c>
      <c r="C607" s="40" t="str">
        <f>IF(Bids!$B607="","",Bids!$B607)</f>
        <v/>
      </c>
      <c r="D607" s="40" t="str">
        <f>IF($C607="","",IFERROR(VLOOKUP($C607,Orders!$A:$J,9,FALSE),""))</f>
        <v/>
      </c>
      <c r="E607" s="40" t="str">
        <f>IF($C607="","",IFERROR(VLOOKUP($C607,Orders!$A:$J,3,FALSE),""))</f>
        <v/>
      </c>
      <c r="F607" s="40" t="str">
        <f>IF($C607="","",IFERROR(VLOOKUP($C607,Orders!$A:$J,4,FALSE),""))</f>
        <v/>
      </c>
      <c r="G607" s="40" t="str">
        <f>IF($C607="","",IFERROR(VLOOKUP($C607,Orders!$A:$J,5,FALSE),""))</f>
        <v/>
      </c>
      <c r="H607" s="40" t="str">
        <f>IF($C607="","",IFERROR(VLOOKUP($C607,Orders!$A:$J,6,FALSE),""))</f>
        <v/>
      </c>
      <c r="I607" s="40" t="str">
        <f>IF($C607="","",IFERROR(VLOOKUP($C607,Orders!$A:$J,7,FALSE),""))</f>
        <v/>
      </c>
      <c r="J607" s="40" t="str">
        <f>IF(Bids!$C607="","",Bids!$C607)</f>
        <v/>
      </c>
      <c r="K607" s="40" t="str">
        <f>IF($J607="","",IFERROR(VLOOKUP($J607,Grinders!$A:$N,2,FALSE),""))</f>
        <v/>
      </c>
      <c r="L607" s="40" t="str">
        <f>IF($J607="","",IFERROR(VLOOKUP($J607,Grinders!$A:$N,3,FALSE),""))</f>
        <v/>
      </c>
      <c r="M607" s="40" t="str">
        <f>IF($J607="","",IFERROR(VLOOKUP($J607,Grinders!$A:$N,4,FALSE),""))</f>
        <v/>
      </c>
      <c r="N607" s="40" t="str">
        <f>IF($J607="","",IFERROR(VLOOKUP($J607,Grinders!$A:$N,5,FALSE),""))</f>
        <v/>
      </c>
      <c r="O607" s="40" t="str">
        <f t="shared" si="2"/>
        <v/>
      </c>
      <c r="P607" s="40" t="str">
        <f>IF($J607="","",IFERROR(VLOOKUP($J607,Grinders!$A:$N,6,FALSE),""))</f>
        <v/>
      </c>
      <c r="Q607" s="40" t="str">
        <f>IF($J607="","",IFERROR(VLOOKUP($J607,Grinders!$A:$N,8,FALSE),""))</f>
        <v/>
      </c>
      <c r="R607" s="40" t="str">
        <f>IFERROR(IF($J607="","",IF($L607="Elite",MAX(50,MIN(100,Config!$B$27*MAX(0,MIN(100,(1-IF($O607="",0,$O607))*100)) + Config!$B$28*MAX(0,MIN(100,(1-MIN(1,IF(Config!$B$30=0,1,$P607/Config!$B$30)))*100)) + Config!$B$29*MAX(0,MIN(100,MIN(1,IF($Q607="",0,$Q607)/Config!$B$23)*100)))),MIN(100,Config!$B$27*MAX(0,MIN(100,(1-IF($O607="",0,$O607))*100)) + Config!$B$28*MAX(0,MIN(100,(1-MIN(1,IF(Config!$B$30=0,1,$P607/Config!$B$30)))*100)) + Config!$B$29*MAX(0,MIN(100,MIN(1,IF($Q607="",0,$Q607)/Config!$B$23)*100))))),"")
</f>
        <v/>
      </c>
      <c r="S607" s="40" t="str">
        <f>IF(Bids!$D607="","",Bids!$D607)</f>
        <v/>
      </c>
      <c r="T607" s="40" t="str">
        <f>IF(Bids!$F607="","",Bids!$F607)</f>
        <v/>
      </c>
      <c r="U607" s="40" t="str">
        <f t="shared" si="3"/>
        <v/>
      </c>
      <c r="V607" s="40" t="str">
        <f>IF($U607="","",IF(Config!$B$17=Config!$B$16,IF($U607&gt;=Config!$B$17,100,0),MAX(0,MIN(100,($U607-Config!$B$16)/(Config!$B$17-Config!$B$16)*100))))</f>
        <v/>
      </c>
      <c r="W607" s="40">
        <f>IF($L607="Elite",Config!$B$21,0)</f>
        <v>0</v>
      </c>
      <c r="X607" s="40" t="str">
        <f>IFERROR(IF(OR($T607="",$G607=""),"",IF($T607&gt;$G607,
  MAX(0, 60-(($T607-$G607)*24/Config!$B$19)*60),
  MEDIAN(60, 100, 60+(($G607-$T607)*24/Config!$B$20)*40)
)),"")
</f>
        <v/>
      </c>
      <c r="Y607" s="40" t="str">
        <f>IF($J607="","",IFERROR(VLOOKUP($J607,Grinders!$A:$N,10,FALSE),""))</f>
        <v/>
      </c>
      <c r="Z607" s="40" t="str">
        <f>IF($J607="","",IFERROR(VLOOKUP($J607,Grinders!$A:$N,11,FALSE),""))</f>
        <v/>
      </c>
      <c r="AA607" s="40" t="str">
        <f>IF($J607="","",IFERROR(VLOOKUP($J607,Grinders!$A:$N,12,FALSE),""))</f>
        <v/>
      </c>
      <c r="AB607" s="40">
        <f>IFERROR(IF(OR($C607="",$J607=""),0,IF($D607&lt;&gt;"Open",0,IF(COUNTIFS(GrinderServices!$B:$B,$J607,GrinderServices!$C:$C,$E607,GrinderServices!$E:$E,"Y")=0,0,IF($U607&lt;Config!$B$16,0,IF(Config!$B$18=1,IF($N607&gt;=$M607,0,1),1))))),"")</f>
        <v>0</v>
      </c>
      <c r="AC607" s="40" t="str">
        <f>IFERROR(IF($AB607=0,"",((Config!$B$6*$V607 + Config!$B$7*$R607 + Config!$B$8*$W607 + Config!$B$9*$X607 + Config!$B$10*$Y607 + Config!$B$11*$Z607 - Config!$B$12*$AA607)/Config!$B$13)+$AH607+$AI607),"")</f>
        <v/>
      </c>
      <c r="AD607" s="40" t="str">
        <f t="shared" si="4"/>
        <v/>
      </c>
      <c r="AE607" s="40" t="str">
        <f>IFERROR(__xludf.DUMMYFUNCTION("IF($AC607="""","""",IF($AC607=IFERROR(MAX(FILTER($AC$6:$AC$1000,$C$6:$C$1000=$C607,$AB$6:$AB$1000=1)),),""WINNER"",""""))"),"")</f>
        <v/>
      </c>
      <c r="AF607" s="40" t="str">
        <f t="shared" si="5"/>
        <v/>
      </c>
      <c r="AG607" s="40" t="str">
        <f>IF($J607="","",COUNTIF(Assignments!$B:$B,$J607))</f>
        <v/>
      </c>
      <c r="AH607" s="40" t="str">
        <f>IF($J607="","",IF(AND($AG607=0,$N607&lt;$M607),Config!$B$43,0))</f>
        <v/>
      </c>
      <c r="AI607" s="40" t="str">
        <f>IF($J607="","",IF(AND($L607="Elite",$F607&gt;=Config!$B$41,$N607&lt;$M607),Config!$B$42,0))</f>
        <v/>
      </c>
      <c r="AJ607" s="22"/>
    </row>
    <row r="608" ht="15.75" customHeight="1">
      <c r="A608" s="40" t="str">
        <f t="shared" si="1"/>
        <v/>
      </c>
      <c r="B608" s="40" t="str">
        <f>IF(Bids!$A608="","",Bids!$A608)</f>
        <v/>
      </c>
      <c r="C608" s="40" t="str">
        <f>IF(Bids!$B608="","",Bids!$B608)</f>
        <v/>
      </c>
      <c r="D608" s="40" t="str">
        <f>IF($C608="","",IFERROR(VLOOKUP($C608,Orders!$A:$J,9,FALSE),""))</f>
        <v/>
      </c>
      <c r="E608" s="40" t="str">
        <f>IF($C608="","",IFERROR(VLOOKUP($C608,Orders!$A:$J,3,FALSE),""))</f>
        <v/>
      </c>
      <c r="F608" s="40" t="str">
        <f>IF($C608="","",IFERROR(VLOOKUP($C608,Orders!$A:$J,4,FALSE),""))</f>
        <v/>
      </c>
      <c r="G608" s="40" t="str">
        <f>IF($C608="","",IFERROR(VLOOKUP($C608,Orders!$A:$J,5,FALSE),""))</f>
        <v/>
      </c>
      <c r="H608" s="40" t="str">
        <f>IF($C608="","",IFERROR(VLOOKUP($C608,Orders!$A:$J,6,FALSE),""))</f>
        <v/>
      </c>
      <c r="I608" s="40" t="str">
        <f>IF($C608="","",IFERROR(VLOOKUP($C608,Orders!$A:$J,7,FALSE),""))</f>
        <v/>
      </c>
      <c r="J608" s="40" t="str">
        <f>IF(Bids!$C608="","",Bids!$C608)</f>
        <v/>
      </c>
      <c r="K608" s="40" t="str">
        <f>IF($J608="","",IFERROR(VLOOKUP($J608,Grinders!$A:$N,2,FALSE),""))</f>
        <v/>
      </c>
      <c r="L608" s="40" t="str">
        <f>IF($J608="","",IFERROR(VLOOKUP($J608,Grinders!$A:$N,3,FALSE),""))</f>
        <v/>
      </c>
      <c r="M608" s="40" t="str">
        <f>IF($J608="","",IFERROR(VLOOKUP($J608,Grinders!$A:$N,4,FALSE),""))</f>
        <v/>
      </c>
      <c r="N608" s="40" t="str">
        <f>IF($J608="","",IFERROR(VLOOKUP($J608,Grinders!$A:$N,5,FALSE),""))</f>
        <v/>
      </c>
      <c r="O608" s="40" t="str">
        <f t="shared" si="2"/>
        <v/>
      </c>
      <c r="P608" s="40" t="str">
        <f>IF($J608="","",IFERROR(VLOOKUP($J608,Grinders!$A:$N,6,FALSE),""))</f>
        <v/>
      </c>
      <c r="Q608" s="40" t="str">
        <f>IF($J608="","",IFERROR(VLOOKUP($J608,Grinders!$A:$N,8,FALSE),""))</f>
        <v/>
      </c>
      <c r="R608" s="40" t="str">
        <f>IFERROR(IF($J608="","",IF($L608="Elite",MAX(50,MIN(100,Config!$B$27*MAX(0,MIN(100,(1-IF($O608="",0,$O608))*100)) + Config!$B$28*MAX(0,MIN(100,(1-MIN(1,IF(Config!$B$30=0,1,$P608/Config!$B$30)))*100)) + Config!$B$29*MAX(0,MIN(100,MIN(1,IF($Q608="",0,$Q608)/Config!$B$23)*100)))),MIN(100,Config!$B$27*MAX(0,MIN(100,(1-IF($O608="",0,$O608))*100)) + Config!$B$28*MAX(0,MIN(100,(1-MIN(1,IF(Config!$B$30=0,1,$P608/Config!$B$30)))*100)) + Config!$B$29*MAX(0,MIN(100,MIN(1,IF($Q608="",0,$Q608)/Config!$B$23)*100))))),"")
</f>
        <v/>
      </c>
      <c r="S608" s="40" t="str">
        <f>IF(Bids!$D608="","",Bids!$D608)</f>
        <v/>
      </c>
      <c r="T608" s="40" t="str">
        <f>IF(Bids!$F608="","",Bids!$F608)</f>
        <v/>
      </c>
      <c r="U608" s="40" t="str">
        <f t="shared" si="3"/>
        <v/>
      </c>
      <c r="V608" s="40" t="str">
        <f>IF($U608="","",IF(Config!$B$17=Config!$B$16,IF($U608&gt;=Config!$B$17,100,0),MAX(0,MIN(100,($U608-Config!$B$16)/(Config!$B$17-Config!$B$16)*100))))</f>
        <v/>
      </c>
      <c r="W608" s="40">
        <f>IF($L608="Elite",Config!$B$21,0)</f>
        <v>0</v>
      </c>
      <c r="X608" s="40" t="str">
        <f>IFERROR(IF(OR($T608="",$G608=""),"",IF($T608&gt;$G608,
  MAX(0, 60-(($T608-$G608)*24/Config!$B$19)*60),
  MEDIAN(60, 100, 60+(($G608-$T608)*24/Config!$B$20)*40)
)),"")
</f>
        <v/>
      </c>
      <c r="Y608" s="40" t="str">
        <f>IF($J608="","",IFERROR(VLOOKUP($J608,Grinders!$A:$N,10,FALSE),""))</f>
        <v/>
      </c>
      <c r="Z608" s="40" t="str">
        <f>IF($J608="","",IFERROR(VLOOKUP($J608,Grinders!$A:$N,11,FALSE),""))</f>
        <v/>
      </c>
      <c r="AA608" s="40" t="str">
        <f>IF($J608="","",IFERROR(VLOOKUP($J608,Grinders!$A:$N,12,FALSE),""))</f>
        <v/>
      </c>
      <c r="AB608" s="40">
        <f>IFERROR(IF(OR($C608="",$J608=""),0,IF($D608&lt;&gt;"Open",0,IF(COUNTIFS(GrinderServices!$B:$B,$J608,GrinderServices!$C:$C,$E608,GrinderServices!$E:$E,"Y")=0,0,IF($U608&lt;Config!$B$16,0,IF(Config!$B$18=1,IF($N608&gt;=$M608,0,1),1))))),"")</f>
        <v>0</v>
      </c>
      <c r="AC608" s="40" t="str">
        <f>IFERROR(IF($AB608=0,"",((Config!$B$6*$V608 + Config!$B$7*$R608 + Config!$B$8*$W608 + Config!$B$9*$X608 + Config!$B$10*$Y608 + Config!$B$11*$Z608 - Config!$B$12*$AA608)/Config!$B$13)+$AH608+$AI608),"")</f>
        <v/>
      </c>
      <c r="AD608" s="40" t="str">
        <f t="shared" si="4"/>
        <v/>
      </c>
      <c r="AE608" s="40" t="str">
        <f>IFERROR(__xludf.DUMMYFUNCTION("IF($AC608="""","""",IF($AC608=IFERROR(MAX(FILTER($AC$6:$AC$1000,$C$6:$C$1000=$C608,$AB$6:$AB$1000=1)),),""WINNER"",""""))"),"")</f>
        <v/>
      </c>
      <c r="AF608" s="40" t="str">
        <f t="shared" si="5"/>
        <v/>
      </c>
      <c r="AG608" s="40" t="str">
        <f>IF($J608="","",COUNTIF(Assignments!$B:$B,$J608))</f>
        <v/>
      </c>
      <c r="AH608" s="40" t="str">
        <f>IF($J608="","",IF(AND($AG608=0,$N608&lt;$M608),Config!$B$43,0))</f>
        <v/>
      </c>
      <c r="AI608" s="40" t="str">
        <f>IF($J608="","",IF(AND($L608="Elite",$F608&gt;=Config!$B$41,$N608&lt;$M608),Config!$B$42,0))</f>
        <v/>
      </c>
      <c r="AJ608" s="22"/>
    </row>
    <row r="609" ht="15.75" customHeight="1">
      <c r="A609" s="40" t="str">
        <f t="shared" si="1"/>
        <v/>
      </c>
      <c r="B609" s="40" t="str">
        <f>IF(Bids!$A609="","",Bids!$A609)</f>
        <v/>
      </c>
      <c r="C609" s="40" t="str">
        <f>IF(Bids!$B609="","",Bids!$B609)</f>
        <v/>
      </c>
      <c r="D609" s="40" t="str">
        <f>IF($C609="","",IFERROR(VLOOKUP($C609,Orders!$A:$J,9,FALSE),""))</f>
        <v/>
      </c>
      <c r="E609" s="40" t="str">
        <f>IF($C609="","",IFERROR(VLOOKUP($C609,Orders!$A:$J,3,FALSE),""))</f>
        <v/>
      </c>
      <c r="F609" s="40" t="str">
        <f>IF($C609="","",IFERROR(VLOOKUP($C609,Orders!$A:$J,4,FALSE),""))</f>
        <v/>
      </c>
      <c r="G609" s="40" t="str">
        <f>IF($C609="","",IFERROR(VLOOKUP($C609,Orders!$A:$J,5,FALSE),""))</f>
        <v/>
      </c>
      <c r="H609" s="40" t="str">
        <f>IF($C609="","",IFERROR(VLOOKUP($C609,Orders!$A:$J,6,FALSE),""))</f>
        <v/>
      </c>
      <c r="I609" s="40" t="str">
        <f>IF($C609="","",IFERROR(VLOOKUP($C609,Orders!$A:$J,7,FALSE),""))</f>
        <v/>
      </c>
      <c r="J609" s="40" t="str">
        <f>IF(Bids!$C609="","",Bids!$C609)</f>
        <v/>
      </c>
      <c r="K609" s="40" t="str">
        <f>IF($J609="","",IFERROR(VLOOKUP($J609,Grinders!$A:$N,2,FALSE),""))</f>
        <v/>
      </c>
      <c r="L609" s="40" t="str">
        <f>IF($J609="","",IFERROR(VLOOKUP($J609,Grinders!$A:$N,3,FALSE),""))</f>
        <v/>
      </c>
      <c r="M609" s="40" t="str">
        <f>IF($J609="","",IFERROR(VLOOKUP($J609,Grinders!$A:$N,4,FALSE),""))</f>
        <v/>
      </c>
      <c r="N609" s="40" t="str">
        <f>IF($J609="","",IFERROR(VLOOKUP($J609,Grinders!$A:$N,5,FALSE),""))</f>
        <v/>
      </c>
      <c r="O609" s="40" t="str">
        <f t="shared" si="2"/>
        <v/>
      </c>
      <c r="P609" s="40" t="str">
        <f>IF($J609="","",IFERROR(VLOOKUP($J609,Grinders!$A:$N,6,FALSE),""))</f>
        <v/>
      </c>
      <c r="Q609" s="40" t="str">
        <f>IF($J609="","",IFERROR(VLOOKUP($J609,Grinders!$A:$N,8,FALSE),""))</f>
        <v/>
      </c>
      <c r="R609" s="40" t="str">
        <f>IFERROR(IF($J609="","",IF($L609="Elite",MAX(50,MIN(100,Config!$B$27*MAX(0,MIN(100,(1-IF($O609="",0,$O609))*100)) + Config!$B$28*MAX(0,MIN(100,(1-MIN(1,IF(Config!$B$30=0,1,$P609/Config!$B$30)))*100)) + Config!$B$29*MAX(0,MIN(100,MIN(1,IF($Q609="",0,$Q609)/Config!$B$23)*100)))),MIN(100,Config!$B$27*MAX(0,MIN(100,(1-IF($O609="",0,$O609))*100)) + Config!$B$28*MAX(0,MIN(100,(1-MIN(1,IF(Config!$B$30=0,1,$P609/Config!$B$30)))*100)) + Config!$B$29*MAX(0,MIN(100,MIN(1,IF($Q609="",0,$Q609)/Config!$B$23)*100))))),"")
</f>
        <v/>
      </c>
      <c r="S609" s="40" t="str">
        <f>IF(Bids!$D609="","",Bids!$D609)</f>
        <v/>
      </c>
      <c r="T609" s="40" t="str">
        <f>IF(Bids!$F609="","",Bids!$F609)</f>
        <v/>
      </c>
      <c r="U609" s="40" t="str">
        <f t="shared" si="3"/>
        <v/>
      </c>
      <c r="V609" s="40" t="str">
        <f>IF($U609="","",IF(Config!$B$17=Config!$B$16,IF($U609&gt;=Config!$B$17,100,0),MAX(0,MIN(100,($U609-Config!$B$16)/(Config!$B$17-Config!$B$16)*100))))</f>
        <v/>
      </c>
      <c r="W609" s="40">
        <f>IF($L609="Elite",Config!$B$21,0)</f>
        <v>0</v>
      </c>
      <c r="X609" s="40" t="str">
        <f>IFERROR(IF(OR($T609="",$G609=""),"",IF($T609&gt;$G609,
  MAX(0, 60-(($T609-$G609)*24/Config!$B$19)*60),
  MEDIAN(60, 100, 60+(($G609-$T609)*24/Config!$B$20)*40)
)),"")
</f>
        <v/>
      </c>
      <c r="Y609" s="40" t="str">
        <f>IF($J609="","",IFERROR(VLOOKUP($J609,Grinders!$A:$N,10,FALSE),""))</f>
        <v/>
      </c>
      <c r="Z609" s="40" t="str">
        <f>IF($J609="","",IFERROR(VLOOKUP($J609,Grinders!$A:$N,11,FALSE),""))</f>
        <v/>
      </c>
      <c r="AA609" s="40" t="str">
        <f>IF($J609="","",IFERROR(VLOOKUP($J609,Grinders!$A:$N,12,FALSE),""))</f>
        <v/>
      </c>
      <c r="AB609" s="40">
        <f>IFERROR(IF(OR($C609="",$J609=""),0,IF($D609&lt;&gt;"Open",0,IF(COUNTIFS(GrinderServices!$B:$B,$J609,GrinderServices!$C:$C,$E609,GrinderServices!$E:$E,"Y")=0,0,IF($U609&lt;Config!$B$16,0,IF(Config!$B$18=1,IF($N609&gt;=$M609,0,1),1))))),"")</f>
        <v>0</v>
      </c>
      <c r="AC609" s="40" t="str">
        <f>IFERROR(IF($AB609=0,"",((Config!$B$6*$V609 + Config!$B$7*$R609 + Config!$B$8*$W609 + Config!$B$9*$X609 + Config!$B$10*$Y609 + Config!$B$11*$Z609 - Config!$B$12*$AA609)/Config!$B$13)+$AH609+$AI609),"")</f>
        <v/>
      </c>
      <c r="AD609" s="40" t="str">
        <f t="shared" si="4"/>
        <v/>
      </c>
      <c r="AE609" s="40" t="str">
        <f>IFERROR(__xludf.DUMMYFUNCTION("IF($AC609="""","""",IF($AC609=IFERROR(MAX(FILTER($AC$6:$AC$1000,$C$6:$C$1000=$C609,$AB$6:$AB$1000=1)),),""WINNER"",""""))"),"")</f>
        <v/>
      </c>
      <c r="AF609" s="40" t="str">
        <f t="shared" si="5"/>
        <v/>
      </c>
      <c r="AG609" s="40" t="str">
        <f>IF($J609="","",COUNTIF(Assignments!$B:$B,$J609))</f>
        <v/>
      </c>
      <c r="AH609" s="40" t="str">
        <f>IF($J609="","",IF(AND($AG609=0,$N609&lt;$M609),Config!$B$43,0))</f>
        <v/>
      </c>
      <c r="AI609" s="40" t="str">
        <f>IF($J609="","",IF(AND($L609="Elite",$F609&gt;=Config!$B$41,$N609&lt;$M609),Config!$B$42,0))</f>
        <v/>
      </c>
      <c r="AJ609" s="22"/>
    </row>
    <row r="610" ht="15.75" customHeight="1">
      <c r="A610" s="40" t="str">
        <f t="shared" si="1"/>
        <v/>
      </c>
      <c r="B610" s="40" t="str">
        <f>IF(Bids!$A610="","",Bids!$A610)</f>
        <v/>
      </c>
      <c r="C610" s="40" t="str">
        <f>IF(Bids!$B610="","",Bids!$B610)</f>
        <v/>
      </c>
      <c r="D610" s="40" t="str">
        <f>IF($C610="","",IFERROR(VLOOKUP($C610,Orders!$A:$J,9,FALSE),""))</f>
        <v/>
      </c>
      <c r="E610" s="40" t="str">
        <f>IF($C610="","",IFERROR(VLOOKUP($C610,Orders!$A:$J,3,FALSE),""))</f>
        <v/>
      </c>
      <c r="F610" s="40" t="str">
        <f>IF($C610="","",IFERROR(VLOOKUP($C610,Orders!$A:$J,4,FALSE),""))</f>
        <v/>
      </c>
      <c r="G610" s="40" t="str">
        <f>IF($C610="","",IFERROR(VLOOKUP($C610,Orders!$A:$J,5,FALSE),""))</f>
        <v/>
      </c>
      <c r="H610" s="40" t="str">
        <f>IF($C610="","",IFERROR(VLOOKUP($C610,Orders!$A:$J,6,FALSE),""))</f>
        <v/>
      </c>
      <c r="I610" s="40" t="str">
        <f>IF($C610="","",IFERROR(VLOOKUP($C610,Orders!$A:$J,7,FALSE),""))</f>
        <v/>
      </c>
      <c r="J610" s="40" t="str">
        <f>IF(Bids!$C610="","",Bids!$C610)</f>
        <v/>
      </c>
      <c r="K610" s="40" t="str">
        <f>IF($J610="","",IFERROR(VLOOKUP($J610,Grinders!$A:$N,2,FALSE),""))</f>
        <v/>
      </c>
      <c r="L610" s="40" t="str">
        <f>IF($J610="","",IFERROR(VLOOKUP($J610,Grinders!$A:$N,3,FALSE),""))</f>
        <v/>
      </c>
      <c r="M610" s="40" t="str">
        <f>IF($J610="","",IFERROR(VLOOKUP($J610,Grinders!$A:$N,4,FALSE),""))</f>
        <v/>
      </c>
      <c r="N610" s="40" t="str">
        <f>IF($J610="","",IFERROR(VLOOKUP($J610,Grinders!$A:$N,5,FALSE),""))</f>
        <v/>
      </c>
      <c r="O610" s="40" t="str">
        <f t="shared" si="2"/>
        <v/>
      </c>
      <c r="P610" s="40" t="str">
        <f>IF($J610="","",IFERROR(VLOOKUP($J610,Grinders!$A:$N,6,FALSE),""))</f>
        <v/>
      </c>
      <c r="Q610" s="40" t="str">
        <f>IF($J610="","",IFERROR(VLOOKUP($J610,Grinders!$A:$N,8,FALSE),""))</f>
        <v/>
      </c>
      <c r="R610" s="40" t="str">
        <f>IFERROR(IF($J610="","",IF($L610="Elite",MAX(50,MIN(100,Config!$B$27*MAX(0,MIN(100,(1-IF($O610="",0,$O610))*100)) + Config!$B$28*MAX(0,MIN(100,(1-MIN(1,IF(Config!$B$30=0,1,$P610/Config!$B$30)))*100)) + Config!$B$29*MAX(0,MIN(100,MIN(1,IF($Q610="",0,$Q610)/Config!$B$23)*100)))),MIN(100,Config!$B$27*MAX(0,MIN(100,(1-IF($O610="",0,$O610))*100)) + Config!$B$28*MAX(0,MIN(100,(1-MIN(1,IF(Config!$B$30=0,1,$P610/Config!$B$30)))*100)) + Config!$B$29*MAX(0,MIN(100,MIN(1,IF($Q610="",0,$Q610)/Config!$B$23)*100))))),"")
</f>
        <v/>
      </c>
      <c r="S610" s="40" t="str">
        <f>IF(Bids!$D610="","",Bids!$D610)</f>
        <v/>
      </c>
      <c r="T610" s="40" t="str">
        <f>IF(Bids!$F610="","",Bids!$F610)</f>
        <v/>
      </c>
      <c r="U610" s="40" t="str">
        <f t="shared" si="3"/>
        <v/>
      </c>
      <c r="V610" s="40" t="str">
        <f>IF($U610="","",IF(Config!$B$17=Config!$B$16,IF($U610&gt;=Config!$B$17,100,0),MAX(0,MIN(100,($U610-Config!$B$16)/(Config!$B$17-Config!$B$16)*100))))</f>
        <v/>
      </c>
      <c r="W610" s="40">
        <f>IF($L610="Elite",Config!$B$21,0)</f>
        <v>0</v>
      </c>
      <c r="X610" s="40" t="str">
        <f>IFERROR(IF(OR($T610="",$G610=""),"",IF($T610&gt;$G610,
  MAX(0, 60-(($T610-$G610)*24/Config!$B$19)*60),
  MEDIAN(60, 100, 60+(($G610-$T610)*24/Config!$B$20)*40)
)),"")
</f>
        <v/>
      </c>
      <c r="Y610" s="40" t="str">
        <f>IF($J610="","",IFERROR(VLOOKUP($J610,Grinders!$A:$N,10,FALSE),""))</f>
        <v/>
      </c>
      <c r="Z610" s="40" t="str">
        <f>IF($J610="","",IFERROR(VLOOKUP($J610,Grinders!$A:$N,11,FALSE),""))</f>
        <v/>
      </c>
      <c r="AA610" s="40" t="str">
        <f>IF($J610="","",IFERROR(VLOOKUP($J610,Grinders!$A:$N,12,FALSE),""))</f>
        <v/>
      </c>
      <c r="AB610" s="40">
        <f>IFERROR(IF(OR($C610="",$J610=""),0,IF($D610&lt;&gt;"Open",0,IF(COUNTIFS(GrinderServices!$B:$B,$J610,GrinderServices!$C:$C,$E610,GrinderServices!$E:$E,"Y")=0,0,IF($U610&lt;Config!$B$16,0,IF(Config!$B$18=1,IF($N610&gt;=$M610,0,1),1))))),"")</f>
        <v>0</v>
      </c>
      <c r="AC610" s="40" t="str">
        <f>IFERROR(IF($AB610=0,"",((Config!$B$6*$V610 + Config!$B$7*$R610 + Config!$B$8*$W610 + Config!$B$9*$X610 + Config!$B$10*$Y610 + Config!$B$11*$Z610 - Config!$B$12*$AA610)/Config!$B$13)+$AH610+$AI610),"")</f>
        <v/>
      </c>
      <c r="AD610" s="40" t="str">
        <f t="shared" si="4"/>
        <v/>
      </c>
      <c r="AE610" s="40" t="str">
        <f>IFERROR(__xludf.DUMMYFUNCTION("IF($AC610="""","""",IF($AC610=IFERROR(MAX(FILTER($AC$6:$AC$1000,$C$6:$C$1000=$C610,$AB$6:$AB$1000=1)),),""WINNER"",""""))"),"")</f>
        <v/>
      </c>
      <c r="AF610" s="40" t="str">
        <f t="shared" si="5"/>
        <v/>
      </c>
      <c r="AG610" s="40" t="str">
        <f>IF($J610="","",COUNTIF(Assignments!$B:$B,$J610))</f>
        <v/>
      </c>
      <c r="AH610" s="40" t="str">
        <f>IF($J610="","",IF(AND($AG610=0,$N610&lt;$M610),Config!$B$43,0))</f>
        <v/>
      </c>
      <c r="AI610" s="40" t="str">
        <f>IF($J610="","",IF(AND($L610="Elite",$F610&gt;=Config!$B$41,$N610&lt;$M610),Config!$B$42,0))</f>
        <v/>
      </c>
      <c r="AJ610" s="22"/>
    </row>
    <row r="611" ht="15.75" customHeight="1">
      <c r="A611" s="40" t="str">
        <f t="shared" si="1"/>
        <v/>
      </c>
      <c r="B611" s="40" t="str">
        <f>IF(Bids!$A611="","",Bids!$A611)</f>
        <v/>
      </c>
      <c r="C611" s="40" t="str">
        <f>IF(Bids!$B611="","",Bids!$B611)</f>
        <v/>
      </c>
      <c r="D611" s="40" t="str">
        <f>IF($C611="","",IFERROR(VLOOKUP($C611,Orders!$A:$J,9,FALSE),""))</f>
        <v/>
      </c>
      <c r="E611" s="40" t="str">
        <f>IF($C611="","",IFERROR(VLOOKUP($C611,Orders!$A:$J,3,FALSE),""))</f>
        <v/>
      </c>
      <c r="F611" s="40" t="str">
        <f>IF($C611="","",IFERROR(VLOOKUP($C611,Orders!$A:$J,4,FALSE),""))</f>
        <v/>
      </c>
      <c r="G611" s="40" t="str">
        <f>IF($C611="","",IFERROR(VLOOKUP($C611,Orders!$A:$J,5,FALSE),""))</f>
        <v/>
      </c>
      <c r="H611" s="40" t="str">
        <f>IF($C611="","",IFERROR(VLOOKUP($C611,Orders!$A:$J,6,FALSE),""))</f>
        <v/>
      </c>
      <c r="I611" s="40" t="str">
        <f>IF($C611="","",IFERROR(VLOOKUP($C611,Orders!$A:$J,7,FALSE),""))</f>
        <v/>
      </c>
      <c r="J611" s="40" t="str">
        <f>IF(Bids!$C611="","",Bids!$C611)</f>
        <v/>
      </c>
      <c r="K611" s="40" t="str">
        <f>IF($J611="","",IFERROR(VLOOKUP($J611,Grinders!$A:$N,2,FALSE),""))</f>
        <v/>
      </c>
      <c r="L611" s="40" t="str">
        <f>IF($J611="","",IFERROR(VLOOKUP($J611,Grinders!$A:$N,3,FALSE),""))</f>
        <v/>
      </c>
      <c r="M611" s="40" t="str">
        <f>IF($J611="","",IFERROR(VLOOKUP($J611,Grinders!$A:$N,4,FALSE),""))</f>
        <v/>
      </c>
      <c r="N611" s="40" t="str">
        <f>IF($J611="","",IFERROR(VLOOKUP($J611,Grinders!$A:$N,5,FALSE),""))</f>
        <v/>
      </c>
      <c r="O611" s="40" t="str">
        <f t="shared" si="2"/>
        <v/>
      </c>
      <c r="P611" s="40" t="str">
        <f>IF($J611="","",IFERROR(VLOOKUP($J611,Grinders!$A:$N,6,FALSE),""))</f>
        <v/>
      </c>
      <c r="Q611" s="40" t="str">
        <f>IF($J611="","",IFERROR(VLOOKUP($J611,Grinders!$A:$N,8,FALSE),""))</f>
        <v/>
      </c>
      <c r="R611" s="40" t="str">
        <f>IFERROR(IF($J611="","",IF($L611="Elite",MAX(50,MIN(100,Config!$B$27*MAX(0,MIN(100,(1-IF($O611="",0,$O611))*100)) + Config!$B$28*MAX(0,MIN(100,(1-MIN(1,IF(Config!$B$30=0,1,$P611/Config!$B$30)))*100)) + Config!$B$29*MAX(0,MIN(100,MIN(1,IF($Q611="",0,$Q611)/Config!$B$23)*100)))),MIN(100,Config!$B$27*MAX(0,MIN(100,(1-IF($O611="",0,$O611))*100)) + Config!$B$28*MAX(0,MIN(100,(1-MIN(1,IF(Config!$B$30=0,1,$P611/Config!$B$30)))*100)) + Config!$B$29*MAX(0,MIN(100,MIN(1,IF($Q611="",0,$Q611)/Config!$B$23)*100))))),"")
</f>
        <v/>
      </c>
      <c r="S611" s="40" t="str">
        <f>IF(Bids!$D611="","",Bids!$D611)</f>
        <v/>
      </c>
      <c r="T611" s="40" t="str">
        <f>IF(Bids!$F611="","",Bids!$F611)</f>
        <v/>
      </c>
      <c r="U611" s="40" t="str">
        <f t="shared" si="3"/>
        <v/>
      </c>
      <c r="V611" s="40" t="str">
        <f>IF($U611="","",IF(Config!$B$17=Config!$B$16,IF($U611&gt;=Config!$B$17,100,0),MAX(0,MIN(100,($U611-Config!$B$16)/(Config!$B$17-Config!$B$16)*100))))</f>
        <v/>
      </c>
      <c r="W611" s="40">
        <f>IF($L611="Elite",Config!$B$21,0)</f>
        <v>0</v>
      </c>
      <c r="X611" s="40" t="str">
        <f>IFERROR(IF(OR($T611="",$G611=""),"",IF($T611&gt;$G611,
  MAX(0, 60-(($T611-$G611)*24/Config!$B$19)*60),
  MEDIAN(60, 100, 60+(($G611-$T611)*24/Config!$B$20)*40)
)),"")
</f>
        <v/>
      </c>
      <c r="Y611" s="40" t="str">
        <f>IF($J611="","",IFERROR(VLOOKUP($J611,Grinders!$A:$N,10,FALSE),""))</f>
        <v/>
      </c>
      <c r="Z611" s="40" t="str">
        <f>IF($J611="","",IFERROR(VLOOKUP($J611,Grinders!$A:$N,11,FALSE),""))</f>
        <v/>
      </c>
      <c r="AA611" s="40" t="str">
        <f>IF($J611="","",IFERROR(VLOOKUP($J611,Grinders!$A:$N,12,FALSE),""))</f>
        <v/>
      </c>
      <c r="AB611" s="40">
        <f>IFERROR(IF(OR($C611="",$J611=""),0,IF($D611&lt;&gt;"Open",0,IF(COUNTIFS(GrinderServices!$B:$B,$J611,GrinderServices!$C:$C,$E611,GrinderServices!$E:$E,"Y")=0,0,IF($U611&lt;Config!$B$16,0,IF(Config!$B$18=1,IF($N611&gt;=$M611,0,1),1))))),"")</f>
        <v>0</v>
      </c>
      <c r="AC611" s="40" t="str">
        <f>IFERROR(IF($AB611=0,"",((Config!$B$6*$V611 + Config!$B$7*$R611 + Config!$B$8*$W611 + Config!$B$9*$X611 + Config!$B$10*$Y611 + Config!$B$11*$Z611 - Config!$B$12*$AA611)/Config!$B$13)+$AH611+$AI611),"")</f>
        <v/>
      </c>
      <c r="AD611" s="40" t="str">
        <f t="shared" si="4"/>
        <v/>
      </c>
      <c r="AE611" s="40" t="str">
        <f>IFERROR(__xludf.DUMMYFUNCTION("IF($AC611="""","""",IF($AC611=IFERROR(MAX(FILTER($AC$6:$AC$1000,$C$6:$C$1000=$C611,$AB$6:$AB$1000=1)),),""WINNER"",""""))"),"")</f>
        <v/>
      </c>
      <c r="AF611" s="40" t="str">
        <f t="shared" si="5"/>
        <v/>
      </c>
      <c r="AG611" s="40" t="str">
        <f>IF($J611="","",COUNTIF(Assignments!$B:$B,$J611))</f>
        <v/>
      </c>
      <c r="AH611" s="40" t="str">
        <f>IF($J611="","",IF(AND($AG611=0,$N611&lt;$M611),Config!$B$43,0))</f>
        <v/>
      </c>
      <c r="AI611" s="40" t="str">
        <f>IF($J611="","",IF(AND($L611="Elite",$F611&gt;=Config!$B$41,$N611&lt;$M611),Config!$B$42,0))</f>
        <v/>
      </c>
      <c r="AJ611" s="22"/>
    </row>
    <row r="612" ht="15.75" customHeight="1">
      <c r="A612" s="40" t="str">
        <f t="shared" si="1"/>
        <v/>
      </c>
      <c r="B612" s="40" t="str">
        <f>IF(Bids!$A612="","",Bids!$A612)</f>
        <v/>
      </c>
      <c r="C612" s="40" t="str">
        <f>IF(Bids!$B612="","",Bids!$B612)</f>
        <v/>
      </c>
      <c r="D612" s="40" t="str">
        <f>IF($C612="","",IFERROR(VLOOKUP($C612,Orders!$A:$J,9,FALSE),""))</f>
        <v/>
      </c>
      <c r="E612" s="40" t="str">
        <f>IF($C612="","",IFERROR(VLOOKUP($C612,Orders!$A:$J,3,FALSE),""))</f>
        <v/>
      </c>
      <c r="F612" s="40" t="str">
        <f>IF($C612="","",IFERROR(VLOOKUP($C612,Orders!$A:$J,4,FALSE),""))</f>
        <v/>
      </c>
      <c r="G612" s="40" t="str">
        <f>IF($C612="","",IFERROR(VLOOKUP($C612,Orders!$A:$J,5,FALSE),""))</f>
        <v/>
      </c>
      <c r="H612" s="40" t="str">
        <f>IF($C612="","",IFERROR(VLOOKUP($C612,Orders!$A:$J,6,FALSE),""))</f>
        <v/>
      </c>
      <c r="I612" s="40" t="str">
        <f>IF($C612="","",IFERROR(VLOOKUP($C612,Orders!$A:$J,7,FALSE),""))</f>
        <v/>
      </c>
      <c r="J612" s="40" t="str">
        <f>IF(Bids!$C612="","",Bids!$C612)</f>
        <v/>
      </c>
      <c r="K612" s="40" t="str">
        <f>IF($J612="","",IFERROR(VLOOKUP($J612,Grinders!$A:$N,2,FALSE),""))</f>
        <v/>
      </c>
      <c r="L612" s="40" t="str">
        <f>IF($J612="","",IFERROR(VLOOKUP($J612,Grinders!$A:$N,3,FALSE),""))</f>
        <v/>
      </c>
      <c r="M612" s="40" t="str">
        <f>IF($J612="","",IFERROR(VLOOKUP($J612,Grinders!$A:$N,4,FALSE),""))</f>
        <v/>
      </c>
      <c r="N612" s="40" t="str">
        <f>IF($J612="","",IFERROR(VLOOKUP($J612,Grinders!$A:$N,5,FALSE),""))</f>
        <v/>
      </c>
      <c r="O612" s="40" t="str">
        <f t="shared" si="2"/>
        <v/>
      </c>
      <c r="P612" s="40" t="str">
        <f>IF($J612="","",IFERROR(VLOOKUP($J612,Grinders!$A:$N,6,FALSE),""))</f>
        <v/>
      </c>
      <c r="Q612" s="40" t="str">
        <f>IF($J612="","",IFERROR(VLOOKUP($J612,Grinders!$A:$N,8,FALSE),""))</f>
        <v/>
      </c>
      <c r="R612" s="40" t="str">
        <f>IFERROR(IF($J612="","",IF($L612="Elite",MAX(50,MIN(100,Config!$B$27*MAX(0,MIN(100,(1-IF($O612="",0,$O612))*100)) + Config!$B$28*MAX(0,MIN(100,(1-MIN(1,IF(Config!$B$30=0,1,$P612/Config!$B$30)))*100)) + Config!$B$29*MAX(0,MIN(100,MIN(1,IF($Q612="",0,$Q612)/Config!$B$23)*100)))),MIN(100,Config!$B$27*MAX(0,MIN(100,(1-IF($O612="",0,$O612))*100)) + Config!$B$28*MAX(0,MIN(100,(1-MIN(1,IF(Config!$B$30=0,1,$P612/Config!$B$30)))*100)) + Config!$B$29*MAX(0,MIN(100,MIN(1,IF($Q612="",0,$Q612)/Config!$B$23)*100))))),"")
</f>
        <v/>
      </c>
      <c r="S612" s="40" t="str">
        <f>IF(Bids!$D612="","",Bids!$D612)</f>
        <v/>
      </c>
      <c r="T612" s="40" t="str">
        <f>IF(Bids!$F612="","",Bids!$F612)</f>
        <v/>
      </c>
      <c r="U612" s="40" t="str">
        <f t="shared" si="3"/>
        <v/>
      </c>
      <c r="V612" s="40" t="str">
        <f>IF($U612="","",IF(Config!$B$17=Config!$B$16,IF($U612&gt;=Config!$B$17,100,0),MAX(0,MIN(100,($U612-Config!$B$16)/(Config!$B$17-Config!$B$16)*100))))</f>
        <v/>
      </c>
      <c r="W612" s="40">
        <f>IF($L612="Elite",Config!$B$21,0)</f>
        <v>0</v>
      </c>
      <c r="X612" s="40" t="str">
        <f>IFERROR(IF(OR($T612="",$G612=""),"",IF($T612&gt;$G612,
  MAX(0, 60-(($T612-$G612)*24/Config!$B$19)*60),
  MEDIAN(60, 100, 60+(($G612-$T612)*24/Config!$B$20)*40)
)),"")
</f>
        <v/>
      </c>
      <c r="Y612" s="40" t="str">
        <f>IF($J612="","",IFERROR(VLOOKUP($J612,Grinders!$A:$N,10,FALSE),""))</f>
        <v/>
      </c>
      <c r="Z612" s="40" t="str">
        <f>IF($J612="","",IFERROR(VLOOKUP($J612,Grinders!$A:$N,11,FALSE),""))</f>
        <v/>
      </c>
      <c r="AA612" s="40" t="str">
        <f>IF($J612="","",IFERROR(VLOOKUP($J612,Grinders!$A:$N,12,FALSE),""))</f>
        <v/>
      </c>
      <c r="AB612" s="40">
        <f>IFERROR(IF(OR($C612="",$J612=""),0,IF($D612&lt;&gt;"Open",0,IF(COUNTIFS(GrinderServices!$B:$B,$J612,GrinderServices!$C:$C,$E612,GrinderServices!$E:$E,"Y")=0,0,IF($U612&lt;Config!$B$16,0,IF(Config!$B$18=1,IF($N612&gt;=$M612,0,1),1))))),"")</f>
        <v>0</v>
      </c>
      <c r="AC612" s="40" t="str">
        <f>IFERROR(IF($AB612=0,"",((Config!$B$6*$V612 + Config!$B$7*$R612 + Config!$B$8*$W612 + Config!$B$9*$X612 + Config!$B$10*$Y612 + Config!$B$11*$Z612 - Config!$B$12*$AA612)/Config!$B$13)+$AH612+$AI612),"")</f>
        <v/>
      </c>
      <c r="AD612" s="40" t="str">
        <f t="shared" si="4"/>
        <v/>
      </c>
      <c r="AE612" s="40" t="str">
        <f>IFERROR(__xludf.DUMMYFUNCTION("IF($AC612="""","""",IF($AC612=IFERROR(MAX(FILTER($AC$6:$AC$1000,$C$6:$C$1000=$C612,$AB$6:$AB$1000=1)),),""WINNER"",""""))"),"")</f>
        <v/>
      </c>
      <c r="AF612" s="40" t="str">
        <f t="shared" si="5"/>
        <v/>
      </c>
      <c r="AG612" s="40" t="str">
        <f>IF($J612="","",COUNTIF(Assignments!$B:$B,$J612))</f>
        <v/>
      </c>
      <c r="AH612" s="40" t="str">
        <f>IF($J612="","",IF(AND($AG612=0,$N612&lt;$M612),Config!$B$43,0))</f>
        <v/>
      </c>
      <c r="AI612" s="40" t="str">
        <f>IF($J612="","",IF(AND($L612="Elite",$F612&gt;=Config!$B$41,$N612&lt;$M612),Config!$B$42,0))</f>
        <v/>
      </c>
      <c r="AJ612" s="22"/>
    </row>
    <row r="613" ht="15.75" customHeight="1">
      <c r="A613" s="40" t="str">
        <f t="shared" si="1"/>
        <v/>
      </c>
      <c r="B613" s="40" t="str">
        <f>IF(Bids!$A613="","",Bids!$A613)</f>
        <v/>
      </c>
      <c r="C613" s="40" t="str">
        <f>IF(Bids!$B613="","",Bids!$B613)</f>
        <v/>
      </c>
      <c r="D613" s="40" t="str">
        <f>IF($C613="","",IFERROR(VLOOKUP($C613,Orders!$A:$J,9,FALSE),""))</f>
        <v/>
      </c>
      <c r="E613" s="40" t="str">
        <f>IF($C613="","",IFERROR(VLOOKUP($C613,Orders!$A:$J,3,FALSE),""))</f>
        <v/>
      </c>
      <c r="F613" s="40" t="str">
        <f>IF($C613="","",IFERROR(VLOOKUP($C613,Orders!$A:$J,4,FALSE),""))</f>
        <v/>
      </c>
      <c r="G613" s="40" t="str">
        <f>IF($C613="","",IFERROR(VLOOKUP($C613,Orders!$A:$J,5,FALSE),""))</f>
        <v/>
      </c>
      <c r="H613" s="40" t="str">
        <f>IF($C613="","",IFERROR(VLOOKUP($C613,Orders!$A:$J,6,FALSE),""))</f>
        <v/>
      </c>
      <c r="I613" s="40" t="str">
        <f>IF($C613="","",IFERROR(VLOOKUP($C613,Orders!$A:$J,7,FALSE),""))</f>
        <v/>
      </c>
      <c r="J613" s="40" t="str">
        <f>IF(Bids!$C613="","",Bids!$C613)</f>
        <v/>
      </c>
      <c r="K613" s="40" t="str">
        <f>IF($J613="","",IFERROR(VLOOKUP($J613,Grinders!$A:$N,2,FALSE),""))</f>
        <v/>
      </c>
      <c r="L613" s="40" t="str">
        <f>IF($J613="","",IFERROR(VLOOKUP($J613,Grinders!$A:$N,3,FALSE),""))</f>
        <v/>
      </c>
      <c r="M613" s="40" t="str">
        <f>IF($J613="","",IFERROR(VLOOKUP($J613,Grinders!$A:$N,4,FALSE),""))</f>
        <v/>
      </c>
      <c r="N613" s="40" t="str">
        <f>IF($J613="","",IFERROR(VLOOKUP($J613,Grinders!$A:$N,5,FALSE),""))</f>
        <v/>
      </c>
      <c r="O613" s="40" t="str">
        <f t="shared" si="2"/>
        <v/>
      </c>
      <c r="P613" s="40" t="str">
        <f>IF($J613="","",IFERROR(VLOOKUP($J613,Grinders!$A:$N,6,FALSE),""))</f>
        <v/>
      </c>
      <c r="Q613" s="40" t="str">
        <f>IF($J613="","",IFERROR(VLOOKUP($J613,Grinders!$A:$N,8,FALSE),""))</f>
        <v/>
      </c>
      <c r="R613" s="40" t="str">
        <f>IFERROR(IF($J613="","",IF($L613="Elite",MAX(50,MIN(100,Config!$B$27*MAX(0,MIN(100,(1-IF($O613="",0,$O613))*100)) + Config!$B$28*MAX(0,MIN(100,(1-MIN(1,IF(Config!$B$30=0,1,$P613/Config!$B$30)))*100)) + Config!$B$29*MAX(0,MIN(100,MIN(1,IF($Q613="",0,$Q613)/Config!$B$23)*100)))),MIN(100,Config!$B$27*MAX(0,MIN(100,(1-IF($O613="",0,$O613))*100)) + Config!$B$28*MAX(0,MIN(100,(1-MIN(1,IF(Config!$B$30=0,1,$P613/Config!$B$30)))*100)) + Config!$B$29*MAX(0,MIN(100,MIN(1,IF($Q613="",0,$Q613)/Config!$B$23)*100))))),"")
</f>
        <v/>
      </c>
      <c r="S613" s="40" t="str">
        <f>IF(Bids!$D613="","",Bids!$D613)</f>
        <v/>
      </c>
      <c r="T613" s="40" t="str">
        <f>IF(Bids!$F613="","",Bids!$F613)</f>
        <v/>
      </c>
      <c r="U613" s="40" t="str">
        <f t="shared" si="3"/>
        <v/>
      </c>
      <c r="V613" s="40" t="str">
        <f>IF($U613="","",IF(Config!$B$17=Config!$B$16,IF($U613&gt;=Config!$B$17,100,0),MAX(0,MIN(100,($U613-Config!$B$16)/(Config!$B$17-Config!$B$16)*100))))</f>
        <v/>
      </c>
      <c r="W613" s="40">
        <f>IF($L613="Elite",Config!$B$21,0)</f>
        <v>0</v>
      </c>
      <c r="X613" s="40" t="str">
        <f>IFERROR(IF(OR($T613="",$G613=""),"",IF($T613&gt;$G613,
  MAX(0, 60-(($T613-$G613)*24/Config!$B$19)*60),
  MEDIAN(60, 100, 60+(($G613-$T613)*24/Config!$B$20)*40)
)),"")
</f>
        <v/>
      </c>
      <c r="Y613" s="40" t="str">
        <f>IF($J613="","",IFERROR(VLOOKUP($J613,Grinders!$A:$N,10,FALSE),""))</f>
        <v/>
      </c>
      <c r="Z613" s="40" t="str">
        <f>IF($J613="","",IFERROR(VLOOKUP($J613,Grinders!$A:$N,11,FALSE),""))</f>
        <v/>
      </c>
      <c r="AA613" s="40" t="str">
        <f>IF($J613="","",IFERROR(VLOOKUP($J613,Grinders!$A:$N,12,FALSE),""))</f>
        <v/>
      </c>
      <c r="AB613" s="40">
        <f>IFERROR(IF(OR($C613="",$J613=""),0,IF($D613&lt;&gt;"Open",0,IF(COUNTIFS(GrinderServices!$B:$B,$J613,GrinderServices!$C:$C,$E613,GrinderServices!$E:$E,"Y")=0,0,IF($U613&lt;Config!$B$16,0,IF(Config!$B$18=1,IF($N613&gt;=$M613,0,1),1))))),"")</f>
        <v>0</v>
      </c>
      <c r="AC613" s="40" t="str">
        <f>IFERROR(IF($AB613=0,"",((Config!$B$6*$V613 + Config!$B$7*$R613 + Config!$B$8*$W613 + Config!$B$9*$X613 + Config!$B$10*$Y613 + Config!$B$11*$Z613 - Config!$B$12*$AA613)/Config!$B$13)+$AH613+$AI613),"")</f>
        <v/>
      </c>
      <c r="AD613" s="40" t="str">
        <f t="shared" si="4"/>
        <v/>
      </c>
      <c r="AE613" s="40" t="str">
        <f>IFERROR(__xludf.DUMMYFUNCTION("IF($AC613="""","""",IF($AC613=IFERROR(MAX(FILTER($AC$6:$AC$1000,$C$6:$C$1000=$C613,$AB$6:$AB$1000=1)),),""WINNER"",""""))"),"")</f>
        <v/>
      </c>
      <c r="AF613" s="40" t="str">
        <f t="shared" si="5"/>
        <v/>
      </c>
      <c r="AG613" s="40" t="str">
        <f>IF($J613="","",COUNTIF(Assignments!$B:$B,$J613))</f>
        <v/>
      </c>
      <c r="AH613" s="40" t="str">
        <f>IF($J613="","",IF(AND($AG613=0,$N613&lt;$M613),Config!$B$43,0))</f>
        <v/>
      </c>
      <c r="AI613" s="40" t="str">
        <f>IF($J613="","",IF(AND($L613="Elite",$F613&gt;=Config!$B$41,$N613&lt;$M613),Config!$B$42,0))</f>
        <v/>
      </c>
      <c r="AJ613" s="22"/>
    </row>
    <row r="614" ht="15.75" customHeight="1">
      <c r="A614" s="40" t="str">
        <f t="shared" si="1"/>
        <v/>
      </c>
      <c r="B614" s="40" t="str">
        <f>IF(Bids!$A614="","",Bids!$A614)</f>
        <v/>
      </c>
      <c r="C614" s="40" t="str">
        <f>IF(Bids!$B614="","",Bids!$B614)</f>
        <v/>
      </c>
      <c r="D614" s="40" t="str">
        <f>IF($C614="","",IFERROR(VLOOKUP($C614,Orders!$A:$J,9,FALSE),""))</f>
        <v/>
      </c>
      <c r="E614" s="40" t="str">
        <f>IF($C614="","",IFERROR(VLOOKUP($C614,Orders!$A:$J,3,FALSE),""))</f>
        <v/>
      </c>
      <c r="F614" s="40" t="str">
        <f>IF($C614="","",IFERROR(VLOOKUP($C614,Orders!$A:$J,4,FALSE),""))</f>
        <v/>
      </c>
      <c r="G614" s="40" t="str">
        <f>IF($C614="","",IFERROR(VLOOKUP($C614,Orders!$A:$J,5,FALSE),""))</f>
        <v/>
      </c>
      <c r="H614" s="40" t="str">
        <f>IF($C614="","",IFERROR(VLOOKUP($C614,Orders!$A:$J,6,FALSE),""))</f>
        <v/>
      </c>
      <c r="I614" s="40" t="str">
        <f>IF($C614="","",IFERROR(VLOOKUP($C614,Orders!$A:$J,7,FALSE),""))</f>
        <v/>
      </c>
      <c r="J614" s="40" t="str">
        <f>IF(Bids!$C614="","",Bids!$C614)</f>
        <v/>
      </c>
      <c r="K614" s="40" t="str">
        <f>IF($J614="","",IFERROR(VLOOKUP($J614,Grinders!$A:$N,2,FALSE),""))</f>
        <v/>
      </c>
      <c r="L614" s="40" t="str">
        <f>IF($J614="","",IFERROR(VLOOKUP($J614,Grinders!$A:$N,3,FALSE),""))</f>
        <v/>
      </c>
      <c r="M614" s="40" t="str">
        <f>IF($J614="","",IFERROR(VLOOKUP($J614,Grinders!$A:$N,4,FALSE),""))</f>
        <v/>
      </c>
      <c r="N614" s="40" t="str">
        <f>IF($J614="","",IFERROR(VLOOKUP($J614,Grinders!$A:$N,5,FALSE),""))</f>
        <v/>
      </c>
      <c r="O614" s="40" t="str">
        <f t="shared" si="2"/>
        <v/>
      </c>
      <c r="P614" s="40" t="str">
        <f>IF($J614="","",IFERROR(VLOOKUP($J614,Grinders!$A:$N,6,FALSE),""))</f>
        <v/>
      </c>
      <c r="Q614" s="40" t="str">
        <f>IF($J614="","",IFERROR(VLOOKUP($J614,Grinders!$A:$N,8,FALSE),""))</f>
        <v/>
      </c>
      <c r="R614" s="40" t="str">
        <f>IFERROR(IF($J614="","",IF($L614="Elite",MAX(50,MIN(100,Config!$B$27*MAX(0,MIN(100,(1-IF($O614="",0,$O614))*100)) + Config!$B$28*MAX(0,MIN(100,(1-MIN(1,IF(Config!$B$30=0,1,$P614/Config!$B$30)))*100)) + Config!$B$29*MAX(0,MIN(100,MIN(1,IF($Q614="",0,$Q614)/Config!$B$23)*100)))),MIN(100,Config!$B$27*MAX(0,MIN(100,(1-IF($O614="",0,$O614))*100)) + Config!$B$28*MAX(0,MIN(100,(1-MIN(1,IF(Config!$B$30=0,1,$P614/Config!$B$30)))*100)) + Config!$B$29*MAX(0,MIN(100,MIN(1,IF($Q614="",0,$Q614)/Config!$B$23)*100))))),"")
</f>
        <v/>
      </c>
      <c r="S614" s="40" t="str">
        <f>IF(Bids!$D614="","",Bids!$D614)</f>
        <v/>
      </c>
      <c r="T614" s="40" t="str">
        <f>IF(Bids!$F614="","",Bids!$F614)</f>
        <v/>
      </c>
      <c r="U614" s="40" t="str">
        <f t="shared" si="3"/>
        <v/>
      </c>
      <c r="V614" s="40" t="str">
        <f>IF($U614="","",IF(Config!$B$17=Config!$B$16,IF($U614&gt;=Config!$B$17,100,0),MAX(0,MIN(100,($U614-Config!$B$16)/(Config!$B$17-Config!$B$16)*100))))</f>
        <v/>
      </c>
      <c r="W614" s="40">
        <f>IF($L614="Elite",Config!$B$21,0)</f>
        <v>0</v>
      </c>
      <c r="X614" s="40" t="str">
        <f>IFERROR(IF(OR($T614="",$G614=""),"",IF($T614&gt;$G614,
  MAX(0, 60-(($T614-$G614)*24/Config!$B$19)*60),
  MEDIAN(60, 100, 60+(($G614-$T614)*24/Config!$B$20)*40)
)),"")
</f>
        <v/>
      </c>
      <c r="Y614" s="40" t="str">
        <f>IF($J614="","",IFERROR(VLOOKUP($J614,Grinders!$A:$N,10,FALSE),""))</f>
        <v/>
      </c>
      <c r="Z614" s="40" t="str">
        <f>IF($J614="","",IFERROR(VLOOKUP($J614,Grinders!$A:$N,11,FALSE),""))</f>
        <v/>
      </c>
      <c r="AA614" s="40" t="str">
        <f>IF($J614="","",IFERROR(VLOOKUP($J614,Grinders!$A:$N,12,FALSE),""))</f>
        <v/>
      </c>
      <c r="AB614" s="40">
        <f>IFERROR(IF(OR($C614="",$J614=""),0,IF($D614&lt;&gt;"Open",0,IF(COUNTIFS(GrinderServices!$B:$B,$J614,GrinderServices!$C:$C,$E614,GrinderServices!$E:$E,"Y")=0,0,IF($U614&lt;Config!$B$16,0,IF(Config!$B$18=1,IF($N614&gt;=$M614,0,1),1))))),"")</f>
        <v>0</v>
      </c>
      <c r="AC614" s="40" t="str">
        <f>IFERROR(IF($AB614=0,"",((Config!$B$6*$V614 + Config!$B$7*$R614 + Config!$B$8*$W614 + Config!$B$9*$X614 + Config!$B$10*$Y614 + Config!$B$11*$Z614 - Config!$B$12*$AA614)/Config!$B$13)+$AH614+$AI614),"")</f>
        <v/>
      </c>
      <c r="AD614" s="40" t="str">
        <f t="shared" si="4"/>
        <v/>
      </c>
      <c r="AE614" s="40" t="str">
        <f>IFERROR(__xludf.DUMMYFUNCTION("IF($AC614="""","""",IF($AC614=IFERROR(MAX(FILTER($AC$6:$AC$1000,$C$6:$C$1000=$C614,$AB$6:$AB$1000=1)),),""WINNER"",""""))"),"")</f>
        <v/>
      </c>
      <c r="AF614" s="40" t="str">
        <f t="shared" si="5"/>
        <v/>
      </c>
      <c r="AG614" s="40" t="str">
        <f>IF($J614="","",COUNTIF(Assignments!$B:$B,$J614))</f>
        <v/>
      </c>
      <c r="AH614" s="40" t="str">
        <f>IF($J614="","",IF(AND($AG614=0,$N614&lt;$M614),Config!$B$43,0))</f>
        <v/>
      </c>
      <c r="AI614" s="40" t="str">
        <f>IF($J614="","",IF(AND($L614="Elite",$F614&gt;=Config!$B$41,$N614&lt;$M614),Config!$B$42,0))</f>
        <v/>
      </c>
      <c r="AJ614" s="22"/>
    </row>
    <row r="615" ht="15.75" customHeight="1">
      <c r="A615" s="40" t="str">
        <f t="shared" si="1"/>
        <v/>
      </c>
      <c r="B615" s="40" t="str">
        <f>IF(Bids!$A615="","",Bids!$A615)</f>
        <v/>
      </c>
      <c r="C615" s="40" t="str">
        <f>IF(Bids!$B615="","",Bids!$B615)</f>
        <v/>
      </c>
      <c r="D615" s="40" t="str">
        <f>IF($C615="","",IFERROR(VLOOKUP($C615,Orders!$A:$J,9,FALSE),""))</f>
        <v/>
      </c>
      <c r="E615" s="40" t="str">
        <f>IF($C615="","",IFERROR(VLOOKUP($C615,Orders!$A:$J,3,FALSE),""))</f>
        <v/>
      </c>
      <c r="F615" s="40" t="str">
        <f>IF($C615="","",IFERROR(VLOOKUP($C615,Orders!$A:$J,4,FALSE),""))</f>
        <v/>
      </c>
      <c r="G615" s="40" t="str">
        <f>IF($C615="","",IFERROR(VLOOKUP($C615,Orders!$A:$J,5,FALSE),""))</f>
        <v/>
      </c>
      <c r="H615" s="40" t="str">
        <f>IF($C615="","",IFERROR(VLOOKUP($C615,Orders!$A:$J,6,FALSE),""))</f>
        <v/>
      </c>
      <c r="I615" s="40" t="str">
        <f>IF($C615="","",IFERROR(VLOOKUP($C615,Orders!$A:$J,7,FALSE),""))</f>
        <v/>
      </c>
      <c r="J615" s="40" t="str">
        <f>IF(Bids!$C615="","",Bids!$C615)</f>
        <v/>
      </c>
      <c r="K615" s="40" t="str">
        <f>IF($J615="","",IFERROR(VLOOKUP($J615,Grinders!$A:$N,2,FALSE),""))</f>
        <v/>
      </c>
      <c r="L615" s="40" t="str">
        <f>IF($J615="","",IFERROR(VLOOKUP($J615,Grinders!$A:$N,3,FALSE),""))</f>
        <v/>
      </c>
      <c r="M615" s="40" t="str">
        <f>IF($J615="","",IFERROR(VLOOKUP($J615,Grinders!$A:$N,4,FALSE),""))</f>
        <v/>
      </c>
      <c r="N615" s="40" t="str">
        <f>IF($J615="","",IFERROR(VLOOKUP($J615,Grinders!$A:$N,5,FALSE),""))</f>
        <v/>
      </c>
      <c r="O615" s="40" t="str">
        <f t="shared" si="2"/>
        <v/>
      </c>
      <c r="P615" s="40" t="str">
        <f>IF($J615="","",IFERROR(VLOOKUP($J615,Grinders!$A:$N,6,FALSE),""))</f>
        <v/>
      </c>
      <c r="Q615" s="40" t="str">
        <f>IF($J615="","",IFERROR(VLOOKUP($J615,Grinders!$A:$N,8,FALSE),""))</f>
        <v/>
      </c>
      <c r="R615" s="40" t="str">
        <f>IFERROR(IF($J615="","",IF($L615="Elite",MAX(50,MIN(100,Config!$B$27*MAX(0,MIN(100,(1-IF($O615="",0,$O615))*100)) + Config!$B$28*MAX(0,MIN(100,(1-MIN(1,IF(Config!$B$30=0,1,$P615/Config!$B$30)))*100)) + Config!$B$29*MAX(0,MIN(100,MIN(1,IF($Q615="",0,$Q615)/Config!$B$23)*100)))),MIN(100,Config!$B$27*MAX(0,MIN(100,(1-IF($O615="",0,$O615))*100)) + Config!$B$28*MAX(0,MIN(100,(1-MIN(1,IF(Config!$B$30=0,1,$P615/Config!$B$30)))*100)) + Config!$B$29*MAX(0,MIN(100,MIN(1,IF($Q615="",0,$Q615)/Config!$B$23)*100))))),"")
</f>
        <v/>
      </c>
      <c r="S615" s="40" t="str">
        <f>IF(Bids!$D615="","",Bids!$D615)</f>
        <v/>
      </c>
      <c r="T615" s="40" t="str">
        <f>IF(Bids!$F615="","",Bids!$F615)</f>
        <v/>
      </c>
      <c r="U615" s="40" t="str">
        <f t="shared" si="3"/>
        <v/>
      </c>
      <c r="V615" s="40" t="str">
        <f>IF($U615="","",IF(Config!$B$17=Config!$B$16,IF($U615&gt;=Config!$B$17,100,0),MAX(0,MIN(100,($U615-Config!$B$16)/(Config!$B$17-Config!$B$16)*100))))</f>
        <v/>
      </c>
      <c r="W615" s="40">
        <f>IF($L615="Elite",Config!$B$21,0)</f>
        <v>0</v>
      </c>
      <c r="X615" s="40" t="str">
        <f>IFERROR(IF(OR($T615="",$G615=""),"",IF($T615&gt;$G615,
  MAX(0, 60-(($T615-$G615)*24/Config!$B$19)*60),
  MEDIAN(60, 100, 60+(($G615-$T615)*24/Config!$B$20)*40)
)),"")
</f>
        <v/>
      </c>
      <c r="Y615" s="40" t="str">
        <f>IF($J615="","",IFERROR(VLOOKUP($J615,Grinders!$A:$N,10,FALSE),""))</f>
        <v/>
      </c>
      <c r="Z615" s="40" t="str">
        <f>IF($J615="","",IFERROR(VLOOKUP($J615,Grinders!$A:$N,11,FALSE),""))</f>
        <v/>
      </c>
      <c r="AA615" s="40" t="str">
        <f>IF($J615="","",IFERROR(VLOOKUP($J615,Grinders!$A:$N,12,FALSE),""))</f>
        <v/>
      </c>
      <c r="AB615" s="40">
        <f>IFERROR(IF(OR($C615="",$J615=""),0,IF($D615&lt;&gt;"Open",0,IF(COUNTIFS(GrinderServices!$B:$B,$J615,GrinderServices!$C:$C,$E615,GrinderServices!$E:$E,"Y")=0,0,IF($U615&lt;Config!$B$16,0,IF(Config!$B$18=1,IF($N615&gt;=$M615,0,1),1))))),"")</f>
        <v>0</v>
      </c>
      <c r="AC615" s="40" t="str">
        <f>IFERROR(IF($AB615=0,"",((Config!$B$6*$V615 + Config!$B$7*$R615 + Config!$B$8*$W615 + Config!$B$9*$X615 + Config!$B$10*$Y615 + Config!$B$11*$Z615 - Config!$B$12*$AA615)/Config!$B$13)+$AH615+$AI615),"")</f>
        <v/>
      </c>
      <c r="AD615" s="40" t="str">
        <f t="shared" si="4"/>
        <v/>
      </c>
      <c r="AE615" s="40" t="str">
        <f>IFERROR(__xludf.DUMMYFUNCTION("IF($AC615="""","""",IF($AC615=IFERROR(MAX(FILTER($AC$6:$AC$1000,$C$6:$C$1000=$C615,$AB$6:$AB$1000=1)),),""WINNER"",""""))"),"")</f>
        <v/>
      </c>
      <c r="AF615" s="40" t="str">
        <f t="shared" si="5"/>
        <v/>
      </c>
      <c r="AG615" s="40" t="str">
        <f>IF($J615="","",COUNTIF(Assignments!$B:$B,$J615))</f>
        <v/>
      </c>
      <c r="AH615" s="40" t="str">
        <f>IF($J615="","",IF(AND($AG615=0,$N615&lt;$M615),Config!$B$43,0))</f>
        <v/>
      </c>
      <c r="AI615" s="40" t="str">
        <f>IF($J615="","",IF(AND($L615="Elite",$F615&gt;=Config!$B$41,$N615&lt;$M615),Config!$B$42,0))</f>
        <v/>
      </c>
      <c r="AJ615" s="22"/>
    </row>
    <row r="616" ht="15.75" customHeight="1">
      <c r="A616" s="40" t="str">
        <f t="shared" si="1"/>
        <v/>
      </c>
      <c r="B616" s="40" t="str">
        <f>IF(Bids!$A616="","",Bids!$A616)</f>
        <v/>
      </c>
      <c r="C616" s="40" t="str">
        <f>IF(Bids!$B616="","",Bids!$B616)</f>
        <v/>
      </c>
      <c r="D616" s="40" t="str">
        <f>IF($C616="","",IFERROR(VLOOKUP($C616,Orders!$A:$J,9,FALSE),""))</f>
        <v/>
      </c>
      <c r="E616" s="40" t="str">
        <f>IF($C616="","",IFERROR(VLOOKUP($C616,Orders!$A:$J,3,FALSE),""))</f>
        <v/>
      </c>
      <c r="F616" s="40" t="str">
        <f>IF($C616="","",IFERROR(VLOOKUP($C616,Orders!$A:$J,4,FALSE),""))</f>
        <v/>
      </c>
      <c r="G616" s="40" t="str">
        <f>IF($C616="","",IFERROR(VLOOKUP($C616,Orders!$A:$J,5,FALSE),""))</f>
        <v/>
      </c>
      <c r="H616" s="40" t="str">
        <f>IF($C616="","",IFERROR(VLOOKUP($C616,Orders!$A:$J,6,FALSE),""))</f>
        <v/>
      </c>
      <c r="I616" s="40" t="str">
        <f>IF($C616="","",IFERROR(VLOOKUP($C616,Orders!$A:$J,7,FALSE),""))</f>
        <v/>
      </c>
      <c r="J616" s="40" t="str">
        <f>IF(Bids!$C616="","",Bids!$C616)</f>
        <v/>
      </c>
      <c r="K616" s="40" t="str">
        <f>IF($J616="","",IFERROR(VLOOKUP($J616,Grinders!$A:$N,2,FALSE),""))</f>
        <v/>
      </c>
      <c r="L616" s="40" t="str">
        <f>IF($J616="","",IFERROR(VLOOKUP($J616,Grinders!$A:$N,3,FALSE),""))</f>
        <v/>
      </c>
      <c r="M616" s="40" t="str">
        <f>IF($J616="","",IFERROR(VLOOKUP($J616,Grinders!$A:$N,4,FALSE),""))</f>
        <v/>
      </c>
      <c r="N616" s="40" t="str">
        <f>IF($J616="","",IFERROR(VLOOKUP($J616,Grinders!$A:$N,5,FALSE),""))</f>
        <v/>
      </c>
      <c r="O616" s="40" t="str">
        <f t="shared" si="2"/>
        <v/>
      </c>
      <c r="P616" s="40" t="str">
        <f>IF($J616="","",IFERROR(VLOOKUP($J616,Grinders!$A:$N,6,FALSE),""))</f>
        <v/>
      </c>
      <c r="Q616" s="40" t="str">
        <f>IF($J616="","",IFERROR(VLOOKUP($J616,Grinders!$A:$N,8,FALSE),""))</f>
        <v/>
      </c>
      <c r="R616" s="40" t="str">
        <f>IFERROR(IF($J616="","",IF($L616="Elite",MAX(50,MIN(100,Config!$B$27*MAX(0,MIN(100,(1-IF($O616="",0,$O616))*100)) + Config!$B$28*MAX(0,MIN(100,(1-MIN(1,IF(Config!$B$30=0,1,$P616/Config!$B$30)))*100)) + Config!$B$29*MAX(0,MIN(100,MIN(1,IF($Q616="",0,$Q616)/Config!$B$23)*100)))),MIN(100,Config!$B$27*MAX(0,MIN(100,(1-IF($O616="",0,$O616))*100)) + Config!$B$28*MAX(0,MIN(100,(1-MIN(1,IF(Config!$B$30=0,1,$P616/Config!$B$30)))*100)) + Config!$B$29*MAX(0,MIN(100,MIN(1,IF($Q616="",0,$Q616)/Config!$B$23)*100))))),"")
</f>
        <v/>
      </c>
      <c r="S616" s="40" t="str">
        <f>IF(Bids!$D616="","",Bids!$D616)</f>
        <v/>
      </c>
      <c r="T616" s="40" t="str">
        <f>IF(Bids!$F616="","",Bids!$F616)</f>
        <v/>
      </c>
      <c r="U616" s="40" t="str">
        <f t="shared" si="3"/>
        <v/>
      </c>
      <c r="V616" s="40" t="str">
        <f>IF($U616="","",IF(Config!$B$17=Config!$B$16,IF($U616&gt;=Config!$B$17,100,0),MAX(0,MIN(100,($U616-Config!$B$16)/(Config!$B$17-Config!$B$16)*100))))</f>
        <v/>
      </c>
      <c r="W616" s="40">
        <f>IF($L616="Elite",Config!$B$21,0)</f>
        <v>0</v>
      </c>
      <c r="X616" s="40" t="str">
        <f>IFERROR(IF(OR($T616="",$G616=""),"",IF($T616&gt;$G616,
  MAX(0, 60-(($T616-$G616)*24/Config!$B$19)*60),
  MEDIAN(60, 100, 60+(($G616-$T616)*24/Config!$B$20)*40)
)),"")
</f>
        <v/>
      </c>
      <c r="Y616" s="40" t="str">
        <f>IF($J616="","",IFERROR(VLOOKUP($J616,Grinders!$A:$N,10,FALSE),""))</f>
        <v/>
      </c>
      <c r="Z616" s="40" t="str">
        <f>IF($J616="","",IFERROR(VLOOKUP($J616,Grinders!$A:$N,11,FALSE),""))</f>
        <v/>
      </c>
      <c r="AA616" s="40" t="str">
        <f>IF($J616="","",IFERROR(VLOOKUP($J616,Grinders!$A:$N,12,FALSE),""))</f>
        <v/>
      </c>
      <c r="AB616" s="40">
        <f>IFERROR(IF(OR($C616="",$J616=""),0,IF($D616&lt;&gt;"Open",0,IF(COUNTIFS(GrinderServices!$B:$B,$J616,GrinderServices!$C:$C,$E616,GrinderServices!$E:$E,"Y")=0,0,IF($U616&lt;Config!$B$16,0,IF(Config!$B$18=1,IF($N616&gt;=$M616,0,1),1))))),"")</f>
        <v>0</v>
      </c>
      <c r="AC616" s="40" t="str">
        <f>IFERROR(IF($AB616=0,"",((Config!$B$6*$V616 + Config!$B$7*$R616 + Config!$B$8*$W616 + Config!$B$9*$X616 + Config!$B$10*$Y616 + Config!$B$11*$Z616 - Config!$B$12*$AA616)/Config!$B$13)+$AH616+$AI616),"")</f>
        <v/>
      </c>
      <c r="AD616" s="40" t="str">
        <f t="shared" si="4"/>
        <v/>
      </c>
      <c r="AE616" s="40" t="str">
        <f>IFERROR(__xludf.DUMMYFUNCTION("IF($AC616="""","""",IF($AC616=IFERROR(MAX(FILTER($AC$6:$AC$1000,$C$6:$C$1000=$C616,$AB$6:$AB$1000=1)),),""WINNER"",""""))"),"")</f>
        <v/>
      </c>
      <c r="AF616" s="40" t="str">
        <f t="shared" si="5"/>
        <v/>
      </c>
      <c r="AG616" s="40" t="str">
        <f>IF($J616="","",COUNTIF(Assignments!$B:$B,$J616))</f>
        <v/>
      </c>
      <c r="AH616" s="40" t="str">
        <f>IF($J616="","",IF(AND($AG616=0,$N616&lt;$M616),Config!$B$43,0))</f>
        <v/>
      </c>
      <c r="AI616" s="40" t="str">
        <f>IF($J616="","",IF(AND($L616="Elite",$F616&gt;=Config!$B$41,$N616&lt;$M616),Config!$B$42,0))</f>
        <v/>
      </c>
      <c r="AJ616" s="22"/>
    </row>
    <row r="617" ht="15.75" customHeight="1">
      <c r="A617" s="40" t="str">
        <f t="shared" si="1"/>
        <v/>
      </c>
      <c r="B617" s="40" t="str">
        <f>IF(Bids!$A617="","",Bids!$A617)</f>
        <v/>
      </c>
      <c r="C617" s="40" t="str">
        <f>IF(Bids!$B617="","",Bids!$B617)</f>
        <v/>
      </c>
      <c r="D617" s="40" t="str">
        <f>IF($C617="","",IFERROR(VLOOKUP($C617,Orders!$A:$J,9,FALSE),""))</f>
        <v/>
      </c>
      <c r="E617" s="40" t="str">
        <f>IF($C617="","",IFERROR(VLOOKUP($C617,Orders!$A:$J,3,FALSE),""))</f>
        <v/>
      </c>
      <c r="F617" s="40" t="str">
        <f>IF($C617="","",IFERROR(VLOOKUP($C617,Orders!$A:$J,4,FALSE),""))</f>
        <v/>
      </c>
      <c r="G617" s="40" t="str">
        <f>IF($C617="","",IFERROR(VLOOKUP($C617,Orders!$A:$J,5,FALSE),""))</f>
        <v/>
      </c>
      <c r="H617" s="40" t="str">
        <f>IF($C617="","",IFERROR(VLOOKUP($C617,Orders!$A:$J,6,FALSE),""))</f>
        <v/>
      </c>
      <c r="I617" s="40" t="str">
        <f>IF($C617="","",IFERROR(VLOOKUP($C617,Orders!$A:$J,7,FALSE),""))</f>
        <v/>
      </c>
      <c r="J617" s="40" t="str">
        <f>IF(Bids!$C617="","",Bids!$C617)</f>
        <v/>
      </c>
      <c r="K617" s="40" t="str">
        <f>IF($J617="","",IFERROR(VLOOKUP($J617,Grinders!$A:$N,2,FALSE),""))</f>
        <v/>
      </c>
      <c r="L617" s="40" t="str">
        <f>IF($J617="","",IFERROR(VLOOKUP($J617,Grinders!$A:$N,3,FALSE),""))</f>
        <v/>
      </c>
      <c r="M617" s="40" t="str">
        <f>IF($J617="","",IFERROR(VLOOKUP($J617,Grinders!$A:$N,4,FALSE),""))</f>
        <v/>
      </c>
      <c r="N617" s="40" t="str">
        <f>IF($J617="","",IFERROR(VLOOKUP($J617,Grinders!$A:$N,5,FALSE),""))</f>
        <v/>
      </c>
      <c r="O617" s="40" t="str">
        <f t="shared" si="2"/>
        <v/>
      </c>
      <c r="P617" s="40" t="str">
        <f>IF($J617="","",IFERROR(VLOOKUP($J617,Grinders!$A:$N,6,FALSE),""))</f>
        <v/>
      </c>
      <c r="Q617" s="40" t="str">
        <f>IF($J617="","",IFERROR(VLOOKUP($J617,Grinders!$A:$N,8,FALSE),""))</f>
        <v/>
      </c>
      <c r="R617" s="40" t="str">
        <f>IFERROR(IF($J617="","",IF($L617="Elite",MAX(50,MIN(100,Config!$B$27*MAX(0,MIN(100,(1-IF($O617="",0,$O617))*100)) + Config!$B$28*MAX(0,MIN(100,(1-MIN(1,IF(Config!$B$30=0,1,$P617/Config!$B$30)))*100)) + Config!$B$29*MAX(0,MIN(100,MIN(1,IF($Q617="",0,$Q617)/Config!$B$23)*100)))),MIN(100,Config!$B$27*MAX(0,MIN(100,(1-IF($O617="",0,$O617))*100)) + Config!$B$28*MAX(0,MIN(100,(1-MIN(1,IF(Config!$B$30=0,1,$P617/Config!$B$30)))*100)) + Config!$B$29*MAX(0,MIN(100,MIN(1,IF($Q617="",0,$Q617)/Config!$B$23)*100))))),"")
</f>
        <v/>
      </c>
      <c r="S617" s="40" t="str">
        <f>IF(Bids!$D617="","",Bids!$D617)</f>
        <v/>
      </c>
      <c r="T617" s="40" t="str">
        <f>IF(Bids!$F617="","",Bids!$F617)</f>
        <v/>
      </c>
      <c r="U617" s="40" t="str">
        <f t="shared" si="3"/>
        <v/>
      </c>
      <c r="V617" s="40" t="str">
        <f>IF($U617="","",IF(Config!$B$17=Config!$B$16,IF($U617&gt;=Config!$B$17,100,0),MAX(0,MIN(100,($U617-Config!$B$16)/(Config!$B$17-Config!$B$16)*100))))</f>
        <v/>
      </c>
      <c r="W617" s="40">
        <f>IF($L617="Elite",Config!$B$21,0)</f>
        <v>0</v>
      </c>
      <c r="X617" s="40" t="str">
        <f>IFERROR(IF(OR($T617="",$G617=""),"",IF($T617&gt;$G617,
  MAX(0, 60-(($T617-$G617)*24/Config!$B$19)*60),
  MEDIAN(60, 100, 60+(($G617-$T617)*24/Config!$B$20)*40)
)),"")
</f>
        <v/>
      </c>
      <c r="Y617" s="40" t="str">
        <f>IF($J617="","",IFERROR(VLOOKUP($J617,Grinders!$A:$N,10,FALSE),""))</f>
        <v/>
      </c>
      <c r="Z617" s="40" t="str">
        <f>IF($J617="","",IFERROR(VLOOKUP($J617,Grinders!$A:$N,11,FALSE),""))</f>
        <v/>
      </c>
      <c r="AA617" s="40" t="str">
        <f>IF($J617="","",IFERROR(VLOOKUP($J617,Grinders!$A:$N,12,FALSE),""))</f>
        <v/>
      </c>
      <c r="AB617" s="40">
        <f>IFERROR(IF(OR($C617="",$J617=""),0,IF($D617&lt;&gt;"Open",0,IF(COUNTIFS(GrinderServices!$B:$B,$J617,GrinderServices!$C:$C,$E617,GrinderServices!$E:$E,"Y")=0,0,IF($U617&lt;Config!$B$16,0,IF(Config!$B$18=1,IF($N617&gt;=$M617,0,1),1))))),"")</f>
        <v>0</v>
      </c>
      <c r="AC617" s="40" t="str">
        <f>IFERROR(IF($AB617=0,"",((Config!$B$6*$V617 + Config!$B$7*$R617 + Config!$B$8*$W617 + Config!$B$9*$X617 + Config!$B$10*$Y617 + Config!$B$11*$Z617 - Config!$B$12*$AA617)/Config!$B$13)+$AH617+$AI617),"")</f>
        <v/>
      </c>
      <c r="AD617" s="40" t="str">
        <f t="shared" si="4"/>
        <v/>
      </c>
      <c r="AE617" s="40" t="str">
        <f>IFERROR(__xludf.DUMMYFUNCTION("IF($AC617="""","""",IF($AC617=IFERROR(MAX(FILTER($AC$6:$AC$1000,$C$6:$C$1000=$C617,$AB$6:$AB$1000=1)),),""WINNER"",""""))"),"")</f>
        <v/>
      </c>
      <c r="AF617" s="40" t="str">
        <f t="shared" si="5"/>
        <v/>
      </c>
      <c r="AG617" s="40" t="str">
        <f>IF($J617="","",COUNTIF(Assignments!$B:$B,$J617))</f>
        <v/>
      </c>
      <c r="AH617" s="40" t="str">
        <f>IF($J617="","",IF(AND($AG617=0,$N617&lt;$M617),Config!$B$43,0))</f>
        <v/>
      </c>
      <c r="AI617" s="40" t="str">
        <f>IF($J617="","",IF(AND($L617="Elite",$F617&gt;=Config!$B$41,$N617&lt;$M617),Config!$B$42,0))</f>
        <v/>
      </c>
      <c r="AJ617" s="22"/>
    </row>
    <row r="618" ht="15.75" customHeight="1">
      <c r="A618" s="40" t="str">
        <f t="shared" si="1"/>
        <v/>
      </c>
      <c r="B618" s="40" t="str">
        <f>IF(Bids!$A618="","",Bids!$A618)</f>
        <v/>
      </c>
      <c r="C618" s="40" t="str">
        <f>IF(Bids!$B618="","",Bids!$B618)</f>
        <v/>
      </c>
      <c r="D618" s="40" t="str">
        <f>IF($C618="","",IFERROR(VLOOKUP($C618,Orders!$A:$J,9,FALSE),""))</f>
        <v/>
      </c>
      <c r="E618" s="40" t="str">
        <f>IF($C618="","",IFERROR(VLOOKUP($C618,Orders!$A:$J,3,FALSE),""))</f>
        <v/>
      </c>
      <c r="F618" s="40" t="str">
        <f>IF($C618="","",IFERROR(VLOOKUP($C618,Orders!$A:$J,4,FALSE),""))</f>
        <v/>
      </c>
      <c r="G618" s="40" t="str">
        <f>IF($C618="","",IFERROR(VLOOKUP($C618,Orders!$A:$J,5,FALSE),""))</f>
        <v/>
      </c>
      <c r="H618" s="40" t="str">
        <f>IF($C618="","",IFERROR(VLOOKUP($C618,Orders!$A:$J,6,FALSE),""))</f>
        <v/>
      </c>
      <c r="I618" s="40" t="str">
        <f>IF($C618="","",IFERROR(VLOOKUP($C618,Orders!$A:$J,7,FALSE),""))</f>
        <v/>
      </c>
      <c r="J618" s="40" t="str">
        <f>IF(Bids!$C618="","",Bids!$C618)</f>
        <v/>
      </c>
      <c r="K618" s="40" t="str">
        <f>IF($J618="","",IFERROR(VLOOKUP($J618,Grinders!$A:$N,2,FALSE),""))</f>
        <v/>
      </c>
      <c r="L618" s="40" t="str">
        <f>IF($J618="","",IFERROR(VLOOKUP($J618,Grinders!$A:$N,3,FALSE),""))</f>
        <v/>
      </c>
      <c r="M618" s="40" t="str">
        <f>IF($J618="","",IFERROR(VLOOKUP($J618,Grinders!$A:$N,4,FALSE),""))</f>
        <v/>
      </c>
      <c r="N618" s="40" t="str">
        <f>IF($J618="","",IFERROR(VLOOKUP($J618,Grinders!$A:$N,5,FALSE),""))</f>
        <v/>
      </c>
      <c r="O618" s="40" t="str">
        <f t="shared" si="2"/>
        <v/>
      </c>
      <c r="P618" s="40" t="str">
        <f>IF($J618="","",IFERROR(VLOOKUP($J618,Grinders!$A:$N,6,FALSE),""))</f>
        <v/>
      </c>
      <c r="Q618" s="40" t="str">
        <f>IF($J618="","",IFERROR(VLOOKUP($J618,Grinders!$A:$N,8,FALSE),""))</f>
        <v/>
      </c>
      <c r="R618" s="40" t="str">
        <f>IFERROR(IF($J618="","",IF($L618="Elite",MAX(50,MIN(100,Config!$B$27*MAX(0,MIN(100,(1-IF($O618="",0,$O618))*100)) + Config!$B$28*MAX(0,MIN(100,(1-MIN(1,IF(Config!$B$30=0,1,$P618/Config!$B$30)))*100)) + Config!$B$29*MAX(0,MIN(100,MIN(1,IF($Q618="",0,$Q618)/Config!$B$23)*100)))),MIN(100,Config!$B$27*MAX(0,MIN(100,(1-IF($O618="",0,$O618))*100)) + Config!$B$28*MAX(0,MIN(100,(1-MIN(1,IF(Config!$B$30=0,1,$P618/Config!$B$30)))*100)) + Config!$B$29*MAX(0,MIN(100,MIN(1,IF($Q618="",0,$Q618)/Config!$B$23)*100))))),"")
</f>
        <v/>
      </c>
      <c r="S618" s="40" t="str">
        <f>IF(Bids!$D618="","",Bids!$D618)</f>
        <v/>
      </c>
      <c r="T618" s="40" t="str">
        <f>IF(Bids!$F618="","",Bids!$F618)</f>
        <v/>
      </c>
      <c r="U618" s="40" t="str">
        <f t="shared" si="3"/>
        <v/>
      </c>
      <c r="V618" s="40" t="str">
        <f>IF($U618="","",IF(Config!$B$17=Config!$B$16,IF($U618&gt;=Config!$B$17,100,0),MAX(0,MIN(100,($U618-Config!$B$16)/(Config!$B$17-Config!$B$16)*100))))</f>
        <v/>
      </c>
      <c r="W618" s="40">
        <f>IF($L618="Elite",Config!$B$21,0)</f>
        <v>0</v>
      </c>
      <c r="X618" s="40" t="str">
        <f>IFERROR(IF(OR($T618="",$G618=""),"",IF($T618&gt;$G618,
  MAX(0, 60-(($T618-$G618)*24/Config!$B$19)*60),
  MEDIAN(60, 100, 60+(($G618-$T618)*24/Config!$B$20)*40)
)),"")
</f>
        <v/>
      </c>
      <c r="Y618" s="40" t="str">
        <f>IF($J618="","",IFERROR(VLOOKUP($J618,Grinders!$A:$N,10,FALSE),""))</f>
        <v/>
      </c>
      <c r="Z618" s="40" t="str">
        <f>IF($J618="","",IFERROR(VLOOKUP($J618,Grinders!$A:$N,11,FALSE),""))</f>
        <v/>
      </c>
      <c r="AA618" s="40" t="str">
        <f>IF($J618="","",IFERROR(VLOOKUP($J618,Grinders!$A:$N,12,FALSE),""))</f>
        <v/>
      </c>
      <c r="AB618" s="40">
        <f>IFERROR(IF(OR($C618="",$J618=""),0,IF($D618&lt;&gt;"Open",0,IF(COUNTIFS(GrinderServices!$B:$B,$J618,GrinderServices!$C:$C,$E618,GrinderServices!$E:$E,"Y")=0,0,IF($U618&lt;Config!$B$16,0,IF(Config!$B$18=1,IF($N618&gt;=$M618,0,1),1))))),"")</f>
        <v>0</v>
      </c>
      <c r="AC618" s="40" t="str">
        <f>IFERROR(IF($AB618=0,"",((Config!$B$6*$V618 + Config!$B$7*$R618 + Config!$B$8*$W618 + Config!$B$9*$X618 + Config!$B$10*$Y618 + Config!$B$11*$Z618 - Config!$B$12*$AA618)/Config!$B$13)+$AH618+$AI618),"")</f>
        <v/>
      </c>
      <c r="AD618" s="40" t="str">
        <f t="shared" si="4"/>
        <v/>
      </c>
      <c r="AE618" s="40" t="str">
        <f>IFERROR(__xludf.DUMMYFUNCTION("IF($AC618="""","""",IF($AC618=IFERROR(MAX(FILTER($AC$6:$AC$1000,$C$6:$C$1000=$C618,$AB$6:$AB$1000=1)),),""WINNER"",""""))"),"")</f>
        <v/>
      </c>
      <c r="AF618" s="40" t="str">
        <f t="shared" si="5"/>
        <v/>
      </c>
      <c r="AG618" s="40" t="str">
        <f>IF($J618="","",COUNTIF(Assignments!$B:$B,$J618))</f>
        <v/>
      </c>
      <c r="AH618" s="40" t="str">
        <f>IF($J618="","",IF(AND($AG618=0,$N618&lt;$M618),Config!$B$43,0))</f>
        <v/>
      </c>
      <c r="AI618" s="40" t="str">
        <f>IF($J618="","",IF(AND($L618="Elite",$F618&gt;=Config!$B$41,$N618&lt;$M618),Config!$B$42,0))</f>
        <v/>
      </c>
      <c r="AJ618" s="22"/>
    </row>
    <row r="619" ht="15.75" customHeight="1">
      <c r="A619" s="40" t="str">
        <f t="shared" si="1"/>
        <v/>
      </c>
      <c r="B619" s="40" t="str">
        <f>IF(Bids!$A619="","",Bids!$A619)</f>
        <v/>
      </c>
      <c r="C619" s="40" t="str">
        <f>IF(Bids!$B619="","",Bids!$B619)</f>
        <v/>
      </c>
      <c r="D619" s="40" t="str">
        <f>IF($C619="","",IFERROR(VLOOKUP($C619,Orders!$A:$J,9,FALSE),""))</f>
        <v/>
      </c>
      <c r="E619" s="40" t="str">
        <f>IF($C619="","",IFERROR(VLOOKUP($C619,Orders!$A:$J,3,FALSE),""))</f>
        <v/>
      </c>
      <c r="F619" s="40" t="str">
        <f>IF($C619="","",IFERROR(VLOOKUP($C619,Orders!$A:$J,4,FALSE),""))</f>
        <v/>
      </c>
      <c r="G619" s="40" t="str">
        <f>IF($C619="","",IFERROR(VLOOKUP($C619,Orders!$A:$J,5,FALSE),""))</f>
        <v/>
      </c>
      <c r="H619" s="40" t="str">
        <f>IF($C619="","",IFERROR(VLOOKUP($C619,Orders!$A:$J,6,FALSE),""))</f>
        <v/>
      </c>
      <c r="I619" s="40" t="str">
        <f>IF($C619="","",IFERROR(VLOOKUP($C619,Orders!$A:$J,7,FALSE),""))</f>
        <v/>
      </c>
      <c r="J619" s="40" t="str">
        <f>IF(Bids!$C619="","",Bids!$C619)</f>
        <v/>
      </c>
      <c r="K619" s="40" t="str">
        <f>IF($J619="","",IFERROR(VLOOKUP($J619,Grinders!$A:$N,2,FALSE),""))</f>
        <v/>
      </c>
      <c r="L619" s="40" t="str">
        <f>IF($J619="","",IFERROR(VLOOKUP($J619,Grinders!$A:$N,3,FALSE),""))</f>
        <v/>
      </c>
      <c r="M619" s="40" t="str">
        <f>IF($J619="","",IFERROR(VLOOKUP($J619,Grinders!$A:$N,4,FALSE),""))</f>
        <v/>
      </c>
      <c r="N619" s="40" t="str">
        <f>IF($J619="","",IFERROR(VLOOKUP($J619,Grinders!$A:$N,5,FALSE),""))</f>
        <v/>
      </c>
      <c r="O619" s="40" t="str">
        <f t="shared" si="2"/>
        <v/>
      </c>
      <c r="P619" s="40" t="str">
        <f>IF($J619="","",IFERROR(VLOOKUP($J619,Grinders!$A:$N,6,FALSE),""))</f>
        <v/>
      </c>
      <c r="Q619" s="40" t="str">
        <f>IF($J619="","",IFERROR(VLOOKUP($J619,Grinders!$A:$N,8,FALSE),""))</f>
        <v/>
      </c>
      <c r="R619" s="40" t="str">
        <f>IFERROR(IF($J619="","",IF($L619="Elite",MAX(50,MIN(100,Config!$B$27*MAX(0,MIN(100,(1-IF($O619="",0,$O619))*100)) + Config!$B$28*MAX(0,MIN(100,(1-MIN(1,IF(Config!$B$30=0,1,$P619/Config!$B$30)))*100)) + Config!$B$29*MAX(0,MIN(100,MIN(1,IF($Q619="",0,$Q619)/Config!$B$23)*100)))),MIN(100,Config!$B$27*MAX(0,MIN(100,(1-IF($O619="",0,$O619))*100)) + Config!$B$28*MAX(0,MIN(100,(1-MIN(1,IF(Config!$B$30=0,1,$P619/Config!$B$30)))*100)) + Config!$B$29*MAX(0,MIN(100,MIN(1,IF($Q619="",0,$Q619)/Config!$B$23)*100))))),"")
</f>
        <v/>
      </c>
      <c r="S619" s="40" t="str">
        <f>IF(Bids!$D619="","",Bids!$D619)</f>
        <v/>
      </c>
      <c r="T619" s="40" t="str">
        <f>IF(Bids!$F619="","",Bids!$F619)</f>
        <v/>
      </c>
      <c r="U619" s="40" t="str">
        <f t="shared" si="3"/>
        <v/>
      </c>
      <c r="V619" s="40" t="str">
        <f>IF($U619="","",IF(Config!$B$17=Config!$B$16,IF($U619&gt;=Config!$B$17,100,0),MAX(0,MIN(100,($U619-Config!$B$16)/(Config!$B$17-Config!$B$16)*100))))</f>
        <v/>
      </c>
      <c r="W619" s="40">
        <f>IF($L619="Elite",Config!$B$21,0)</f>
        <v>0</v>
      </c>
      <c r="X619" s="40" t="str">
        <f>IFERROR(IF(OR($T619="",$G619=""),"",IF($T619&gt;$G619,
  MAX(0, 60-(($T619-$G619)*24/Config!$B$19)*60),
  MEDIAN(60, 100, 60+(($G619-$T619)*24/Config!$B$20)*40)
)),"")
</f>
        <v/>
      </c>
      <c r="Y619" s="40" t="str">
        <f>IF($J619="","",IFERROR(VLOOKUP($J619,Grinders!$A:$N,10,FALSE),""))</f>
        <v/>
      </c>
      <c r="Z619" s="40" t="str">
        <f>IF($J619="","",IFERROR(VLOOKUP($J619,Grinders!$A:$N,11,FALSE),""))</f>
        <v/>
      </c>
      <c r="AA619" s="40" t="str">
        <f>IF($J619="","",IFERROR(VLOOKUP($J619,Grinders!$A:$N,12,FALSE),""))</f>
        <v/>
      </c>
      <c r="AB619" s="40">
        <f>IFERROR(IF(OR($C619="",$J619=""),0,IF($D619&lt;&gt;"Open",0,IF(COUNTIFS(GrinderServices!$B:$B,$J619,GrinderServices!$C:$C,$E619,GrinderServices!$E:$E,"Y")=0,0,IF($U619&lt;Config!$B$16,0,IF(Config!$B$18=1,IF($N619&gt;=$M619,0,1),1))))),"")</f>
        <v>0</v>
      </c>
      <c r="AC619" s="40" t="str">
        <f>IFERROR(IF($AB619=0,"",((Config!$B$6*$V619 + Config!$B$7*$R619 + Config!$B$8*$W619 + Config!$B$9*$X619 + Config!$B$10*$Y619 + Config!$B$11*$Z619 - Config!$B$12*$AA619)/Config!$B$13)+$AH619+$AI619),"")</f>
        <v/>
      </c>
      <c r="AD619" s="40" t="str">
        <f t="shared" si="4"/>
        <v/>
      </c>
      <c r="AE619" s="40" t="str">
        <f>IFERROR(__xludf.DUMMYFUNCTION("IF($AC619="""","""",IF($AC619=IFERROR(MAX(FILTER($AC$6:$AC$1000,$C$6:$C$1000=$C619,$AB$6:$AB$1000=1)),),""WINNER"",""""))"),"")</f>
        <v/>
      </c>
      <c r="AF619" s="40" t="str">
        <f t="shared" si="5"/>
        <v/>
      </c>
      <c r="AG619" s="40" t="str">
        <f>IF($J619="","",COUNTIF(Assignments!$B:$B,$J619))</f>
        <v/>
      </c>
      <c r="AH619" s="40" t="str">
        <f>IF($J619="","",IF(AND($AG619=0,$N619&lt;$M619),Config!$B$43,0))</f>
        <v/>
      </c>
      <c r="AI619" s="40" t="str">
        <f>IF($J619="","",IF(AND($L619="Elite",$F619&gt;=Config!$B$41,$N619&lt;$M619),Config!$B$42,0))</f>
        <v/>
      </c>
      <c r="AJ619" s="22"/>
    </row>
    <row r="620" ht="15.75" customHeight="1">
      <c r="A620" s="40" t="str">
        <f t="shared" si="1"/>
        <v/>
      </c>
      <c r="B620" s="40" t="str">
        <f>IF(Bids!$A620="","",Bids!$A620)</f>
        <v/>
      </c>
      <c r="C620" s="40" t="str">
        <f>IF(Bids!$B620="","",Bids!$B620)</f>
        <v/>
      </c>
      <c r="D620" s="40" t="str">
        <f>IF($C620="","",IFERROR(VLOOKUP($C620,Orders!$A:$J,9,FALSE),""))</f>
        <v/>
      </c>
      <c r="E620" s="40" t="str">
        <f>IF($C620="","",IFERROR(VLOOKUP($C620,Orders!$A:$J,3,FALSE),""))</f>
        <v/>
      </c>
      <c r="F620" s="40" t="str">
        <f>IF($C620="","",IFERROR(VLOOKUP($C620,Orders!$A:$J,4,FALSE),""))</f>
        <v/>
      </c>
      <c r="G620" s="40" t="str">
        <f>IF($C620="","",IFERROR(VLOOKUP($C620,Orders!$A:$J,5,FALSE),""))</f>
        <v/>
      </c>
      <c r="H620" s="40" t="str">
        <f>IF($C620="","",IFERROR(VLOOKUP($C620,Orders!$A:$J,6,FALSE),""))</f>
        <v/>
      </c>
      <c r="I620" s="40" t="str">
        <f>IF($C620="","",IFERROR(VLOOKUP($C620,Orders!$A:$J,7,FALSE),""))</f>
        <v/>
      </c>
      <c r="J620" s="40" t="str">
        <f>IF(Bids!$C620="","",Bids!$C620)</f>
        <v/>
      </c>
      <c r="K620" s="40" t="str">
        <f>IF($J620="","",IFERROR(VLOOKUP($J620,Grinders!$A:$N,2,FALSE),""))</f>
        <v/>
      </c>
      <c r="L620" s="40" t="str">
        <f>IF($J620="","",IFERROR(VLOOKUP($J620,Grinders!$A:$N,3,FALSE),""))</f>
        <v/>
      </c>
      <c r="M620" s="40" t="str">
        <f>IF($J620="","",IFERROR(VLOOKUP($J620,Grinders!$A:$N,4,FALSE),""))</f>
        <v/>
      </c>
      <c r="N620" s="40" t="str">
        <f>IF($J620="","",IFERROR(VLOOKUP($J620,Grinders!$A:$N,5,FALSE),""))</f>
        <v/>
      </c>
      <c r="O620" s="40" t="str">
        <f t="shared" si="2"/>
        <v/>
      </c>
      <c r="P620" s="40" t="str">
        <f>IF($J620="","",IFERROR(VLOOKUP($J620,Grinders!$A:$N,6,FALSE),""))</f>
        <v/>
      </c>
      <c r="Q620" s="40" t="str">
        <f>IF($J620="","",IFERROR(VLOOKUP($J620,Grinders!$A:$N,8,FALSE),""))</f>
        <v/>
      </c>
      <c r="R620" s="40" t="str">
        <f>IFERROR(IF($J620="","",IF($L620="Elite",MAX(50,MIN(100,Config!$B$27*MAX(0,MIN(100,(1-IF($O620="",0,$O620))*100)) + Config!$B$28*MAX(0,MIN(100,(1-MIN(1,IF(Config!$B$30=0,1,$P620/Config!$B$30)))*100)) + Config!$B$29*MAX(0,MIN(100,MIN(1,IF($Q620="",0,$Q620)/Config!$B$23)*100)))),MIN(100,Config!$B$27*MAX(0,MIN(100,(1-IF($O620="",0,$O620))*100)) + Config!$B$28*MAX(0,MIN(100,(1-MIN(1,IF(Config!$B$30=0,1,$P620/Config!$B$30)))*100)) + Config!$B$29*MAX(0,MIN(100,MIN(1,IF($Q620="",0,$Q620)/Config!$B$23)*100))))),"")
</f>
        <v/>
      </c>
      <c r="S620" s="40" t="str">
        <f>IF(Bids!$D620="","",Bids!$D620)</f>
        <v/>
      </c>
      <c r="T620" s="40" t="str">
        <f>IF(Bids!$F620="","",Bids!$F620)</f>
        <v/>
      </c>
      <c r="U620" s="40" t="str">
        <f t="shared" si="3"/>
        <v/>
      </c>
      <c r="V620" s="40" t="str">
        <f>IF($U620="","",IF(Config!$B$17=Config!$B$16,IF($U620&gt;=Config!$B$17,100,0),MAX(0,MIN(100,($U620-Config!$B$16)/(Config!$B$17-Config!$B$16)*100))))</f>
        <v/>
      </c>
      <c r="W620" s="40">
        <f>IF($L620="Elite",Config!$B$21,0)</f>
        <v>0</v>
      </c>
      <c r="X620" s="40" t="str">
        <f>IFERROR(IF(OR($T620="",$G620=""),"",IF($T620&gt;$G620,
  MAX(0, 60-(($T620-$G620)*24/Config!$B$19)*60),
  MEDIAN(60, 100, 60+(($G620-$T620)*24/Config!$B$20)*40)
)),"")
</f>
        <v/>
      </c>
      <c r="Y620" s="40" t="str">
        <f>IF($J620="","",IFERROR(VLOOKUP($J620,Grinders!$A:$N,10,FALSE),""))</f>
        <v/>
      </c>
      <c r="Z620" s="40" t="str">
        <f>IF($J620="","",IFERROR(VLOOKUP($J620,Grinders!$A:$N,11,FALSE),""))</f>
        <v/>
      </c>
      <c r="AA620" s="40" t="str">
        <f>IF($J620="","",IFERROR(VLOOKUP($J620,Grinders!$A:$N,12,FALSE),""))</f>
        <v/>
      </c>
      <c r="AB620" s="40">
        <f>IFERROR(IF(OR($C620="",$J620=""),0,IF($D620&lt;&gt;"Open",0,IF(COUNTIFS(GrinderServices!$B:$B,$J620,GrinderServices!$C:$C,$E620,GrinderServices!$E:$E,"Y")=0,0,IF($U620&lt;Config!$B$16,0,IF(Config!$B$18=1,IF($N620&gt;=$M620,0,1),1))))),"")</f>
        <v>0</v>
      </c>
      <c r="AC620" s="40" t="str">
        <f>IFERROR(IF($AB620=0,"",((Config!$B$6*$V620 + Config!$B$7*$R620 + Config!$B$8*$W620 + Config!$B$9*$X620 + Config!$B$10*$Y620 + Config!$B$11*$Z620 - Config!$B$12*$AA620)/Config!$B$13)+$AH620+$AI620),"")</f>
        <v/>
      </c>
      <c r="AD620" s="40" t="str">
        <f t="shared" si="4"/>
        <v/>
      </c>
      <c r="AE620" s="40" t="str">
        <f>IFERROR(__xludf.DUMMYFUNCTION("IF($AC620="""","""",IF($AC620=IFERROR(MAX(FILTER($AC$6:$AC$1000,$C$6:$C$1000=$C620,$AB$6:$AB$1000=1)),),""WINNER"",""""))"),"")</f>
        <v/>
      </c>
      <c r="AF620" s="40" t="str">
        <f t="shared" si="5"/>
        <v/>
      </c>
      <c r="AG620" s="40" t="str">
        <f>IF($J620="","",COUNTIF(Assignments!$B:$B,$J620))</f>
        <v/>
      </c>
      <c r="AH620" s="40" t="str">
        <f>IF($J620="","",IF(AND($AG620=0,$N620&lt;$M620),Config!$B$43,0))</f>
        <v/>
      </c>
      <c r="AI620" s="40" t="str">
        <f>IF($J620="","",IF(AND($L620="Elite",$F620&gt;=Config!$B$41,$N620&lt;$M620),Config!$B$42,0))</f>
        <v/>
      </c>
      <c r="AJ620" s="22"/>
    </row>
    <row r="621" ht="15.75" customHeight="1">
      <c r="A621" s="40" t="str">
        <f t="shared" si="1"/>
        <v/>
      </c>
      <c r="B621" s="40" t="str">
        <f>IF(Bids!$A621="","",Bids!$A621)</f>
        <v/>
      </c>
      <c r="C621" s="40" t="str">
        <f>IF(Bids!$B621="","",Bids!$B621)</f>
        <v/>
      </c>
      <c r="D621" s="40" t="str">
        <f>IF($C621="","",IFERROR(VLOOKUP($C621,Orders!$A:$J,9,FALSE),""))</f>
        <v/>
      </c>
      <c r="E621" s="40" t="str">
        <f>IF($C621="","",IFERROR(VLOOKUP($C621,Orders!$A:$J,3,FALSE),""))</f>
        <v/>
      </c>
      <c r="F621" s="40" t="str">
        <f>IF($C621="","",IFERROR(VLOOKUP($C621,Orders!$A:$J,4,FALSE),""))</f>
        <v/>
      </c>
      <c r="G621" s="40" t="str">
        <f>IF($C621="","",IFERROR(VLOOKUP($C621,Orders!$A:$J,5,FALSE),""))</f>
        <v/>
      </c>
      <c r="H621" s="40" t="str">
        <f>IF($C621="","",IFERROR(VLOOKUP($C621,Orders!$A:$J,6,FALSE),""))</f>
        <v/>
      </c>
      <c r="I621" s="40" t="str">
        <f>IF($C621="","",IFERROR(VLOOKUP($C621,Orders!$A:$J,7,FALSE),""))</f>
        <v/>
      </c>
      <c r="J621" s="40" t="str">
        <f>IF(Bids!$C621="","",Bids!$C621)</f>
        <v/>
      </c>
      <c r="K621" s="40" t="str">
        <f>IF($J621="","",IFERROR(VLOOKUP($J621,Grinders!$A:$N,2,FALSE),""))</f>
        <v/>
      </c>
      <c r="L621" s="40" t="str">
        <f>IF($J621="","",IFERROR(VLOOKUP($J621,Grinders!$A:$N,3,FALSE),""))</f>
        <v/>
      </c>
      <c r="M621" s="40" t="str">
        <f>IF($J621="","",IFERROR(VLOOKUP($J621,Grinders!$A:$N,4,FALSE),""))</f>
        <v/>
      </c>
      <c r="N621" s="40" t="str">
        <f>IF($J621="","",IFERROR(VLOOKUP($J621,Grinders!$A:$N,5,FALSE),""))</f>
        <v/>
      </c>
      <c r="O621" s="40" t="str">
        <f t="shared" si="2"/>
        <v/>
      </c>
      <c r="P621" s="40" t="str">
        <f>IF($J621="","",IFERROR(VLOOKUP($J621,Grinders!$A:$N,6,FALSE),""))</f>
        <v/>
      </c>
      <c r="Q621" s="40" t="str">
        <f>IF($J621="","",IFERROR(VLOOKUP($J621,Grinders!$A:$N,8,FALSE),""))</f>
        <v/>
      </c>
      <c r="R621" s="40" t="str">
        <f>IFERROR(IF($J621="","",IF($L621="Elite",MAX(50,MIN(100,Config!$B$27*MAX(0,MIN(100,(1-IF($O621="",0,$O621))*100)) + Config!$B$28*MAX(0,MIN(100,(1-MIN(1,IF(Config!$B$30=0,1,$P621/Config!$B$30)))*100)) + Config!$B$29*MAX(0,MIN(100,MIN(1,IF($Q621="",0,$Q621)/Config!$B$23)*100)))),MIN(100,Config!$B$27*MAX(0,MIN(100,(1-IF($O621="",0,$O621))*100)) + Config!$B$28*MAX(0,MIN(100,(1-MIN(1,IF(Config!$B$30=0,1,$P621/Config!$B$30)))*100)) + Config!$B$29*MAX(0,MIN(100,MIN(1,IF($Q621="",0,$Q621)/Config!$B$23)*100))))),"")
</f>
        <v/>
      </c>
      <c r="S621" s="40" t="str">
        <f>IF(Bids!$D621="","",Bids!$D621)</f>
        <v/>
      </c>
      <c r="T621" s="40" t="str">
        <f>IF(Bids!$F621="","",Bids!$F621)</f>
        <v/>
      </c>
      <c r="U621" s="40" t="str">
        <f t="shared" si="3"/>
        <v/>
      </c>
      <c r="V621" s="40" t="str">
        <f>IF($U621="","",IF(Config!$B$17=Config!$B$16,IF($U621&gt;=Config!$B$17,100,0),MAX(0,MIN(100,($U621-Config!$B$16)/(Config!$B$17-Config!$B$16)*100))))</f>
        <v/>
      </c>
      <c r="W621" s="40">
        <f>IF($L621="Elite",Config!$B$21,0)</f>
        <v>0</v>
      </c>
      <c r="X621" s="40" t="str">
        <f>IFERROR(IF(OR($T621="",$G621=""),"",IF($T621&gt;$G621,
  MAX(0, 60-(($T621-$G621)*24/Config!$B$19)*60),
  MEDIAN(60, 100, 60+(($G621-$T621)*24/Config!$B$20)*40)
)),"")
</f>
        <v/>
      </c>
      <c r="Y621" s="40" t="str">
        <f>IF($J621="","",IFERROR(VLOOKUP($J621,Grinders!$A:$N,10,FALSE),""))</f>
        <v/>
      </c>
      <c r="Z621" s="40" t="str">
        <f>IF($J621="","",IFERROR(VLOOKUP($J621,Grinders!$A:$N,11,FALSE),""))</f>
        <v/>
      </c>
      <c r="AA621" s="40" t="str">
        <f>IF($J621="","",IFERROR(VLOOKUP($J621,Grinders!$A:$N,12,FALSE),""))</f>
        <v/>
      </c>
      <c r="AB621" s="40">
        <f>IFERROR(IF(OR($C621="",$J621=""),0,IF($D621&lt;&gt;"Open",0,IF(COUNTIFS(GrinderServices!$B:$B,$J621,GrinderServices!$C:$C,$E621,GrinderServices!$E:$E,"Y")=0,0,IF($U621&lt;Config!$B$16,0,IF(Config!$B$18=1,IF($N621&gt;=$M621,0,1),1))))),"")</f>
        <v>0</v>
      </c>
      <c r="AC621" s="40" t="str">
        <f>IFERROR(IF($AB621=0,"",((Config!$B$6*$V621 + Config!$B$7*$R621 + Config!$B$8*$W621 + Config!$B$9*$X621 + Config!$B$10*$Y621 + Config!$B$11*$Z621 - Config!$B$12*$AA621)/Config!$B$13)+$AH621+$AI621),"")</f>
        <v/>
      </c>
      <c r="AD621" s="40" t="str">
        <f t="shared" si="4"/>
        <v/>
      </c>
      <c r="AE621" s="40" t="str">
        <f>IFERROR(__xludf.DUMMYFUNCTION("IF($AC621="""","""",IF($AC621=IFERROR(MAX(FILTER($AC$6:$AC$1000,$C$6:$C$1000=$C621,$AB$6:$AB$1000=1)),),""WINNER"",""""))"),"")</f>
        <v/>
      </c>
      <c r="AF621" s="40" t="str">
        <f t="shared" si="5"/>
        <v/>
      </c>
      <c r="AG621" s="40" t="str">
        <f>IF($J621="","",COUNTIF(Assignments!$B:$B,$J621))</f>
        <v/>
      </c>
      <c r="AH621" s="40" t="str">
        <f>IF($J621="","",IF(AND($AG621=0,$N621&lt;$M621),Config!$B$43,0))</f>
        <v/>
      </c>
      <c r="AI621" s="40" t="str">
        <f>IF($J621="","",IF(AND($L621="Elite",$F621&gt;=Config!$B$41,$N621&lt;$M621),Config!$B$42,0))</f>
        <v/>
      </c>
      <c r="AJ621" s="22"/>
    </row>
    <row r="622" ht="15.75" customHeight="1">
      <c r="A622" s="40" t="str">
        <f t="shared" si="1"/>
        <v/>
      </c>
      <c r="B622" s="40" t="str">
        <f>IF(Bids!$A622="","",Bids!$A622)</f>
        <v/>
      </c>
      <c r="C622" s="40" t="str">
        <f>IF(Bids!$B622="","",Bids!$B622)</f>
        <v/>
      </c>
      <c r="D622" s="40" t="str">
        <f>IF($C622="","",IFERROR(VLOOKUP($C622,Orders!$A:$J,9,FALSE),""))</f>
        <v/>
      </c>
      <c r="E622" s="40" t="str">
        <f>IF($C622="","",IFERROR(VLOOKUP($C622,Orders!$A:$J,3,FALSE),""))</f>
        <v/>
      </c>
      <c r="F622" s="40" t="str">
        <f>IF($C622="","",IFERROR(VLOOKUP($C622,Orders!$A:$J,4,FALSE),""))</f>
        <v/>
      </c>
      <c r="G622" s="40" t="str">
        <f>IF($C622="","",IFERROR(VLOOKUP($C622,Orders!$A:$J,5,FALSE),""))</f>
        <v/>
      </c>
      <c r="H622" s="40" t="str">
        <f>IF($C622="","",IFERROR(VLOOKUP($C622,Orders!$A:$J,6,FALSE),""))</f>
        <v/>
      </c>
      <c r="I622" s="40" t="str">
        <f>IF($C622="","",IFERROR(VLOOKUP($C622,Orders!$A:$J,7,FALSE),""))</f>
        <v/>
      </c>
      <c r="J622" s="40" t="str">
        <f>IF(Bids!$C622="","",Bids!$C622)</f>
        <v/>
      </c>
      <c r="K622" s="40" t="str">
        <f>IF($J622="","",IFERROR(VLOOKUP($J622,Grinders!$A:$N,2,FALSE),""))</f>
        <v/>
      </c>
      <c r="L622" s="40" t="str">
        <f>IF($J622="","",IFERROR(VLOOKUP($J622,Grinders!$A:$N,3,FALSE),""))</f>
        <v/>
      </c>
      <c r="M622" s="40" t="str">
        <f>IF($J622="","",IFERROR(VLOOKUP($J622,Grinders!$A:$N,4,FALSE),""))</f>
        <v/>
      </c>
      <c r="N622" s="40" t="str">
        <f>IF($J622="","",IFERROR(VLOOKUP($J622,Grinders!$A:$N,5,FALSE),""))</f>
        <v/>
      </c>
      <c r="O622" s="40" t="str">
        <f t="shared" si="2"/>
        <v/>
      </c>
      <c r="P622" s="40" t="str">
        <f>IF($J622="","",IFERROR(VLOOKUP($J622,Grinders!$A:$N,6,FALSE),""))</f>
        <v/>
      </c>
      <c r="Q622" s="40" t="str">
        <f>IF($J622="","",IFERROR(VLOOKUP($J622,Grinders!$A:$N,8,FALSE),""))</f>
        <v/>
      </c>
      <c r="R622" s="40" t="str">
        <f>IFERROR(IF($J622="","",IF($L622="Elite",MAX(50,MIN(100,Config!$B$27*MAX(0,MIN(100,(1-IF($O622="",0,$O622))*100)) + Config!$B$28*MAX(0,MIN(100,(1-MIN(1,IF(Config!$B$30=0,1,$P622/Config!$B$30)))*100)) + Config!$B$29*MAX(0,MIN(100,MIN(1,IF($Q622="",0,$Q622)/Config!$B$23)*100)))),MIN(100,Config!$B$27*MAX(0,MIN(100,(1-IF($O622="",0,$O622))*100)) + Config!$B$28*MAX(0,MIN(100,(1-MIN(1,IF(Config!$B$30=0,1,$P622/Config!$B$30)))*100)) + Config!$B$29*MAX(0,MIN(100,MIN(1,IF($Q622="",0,$Q622)/Config!$B$23)*100))))),"")
</f>
        <v/>
      </c>
      <c r="S622" s="40" t="str">
        <f>IF(Bids!$D622="","",Bids!$D622)</f>
        <v/>
      </c>
      <c r="T622" s="40" t="str">
        <f>IF(Bids!$F622="","",Bids!$F622)</f>
        <v/>
      </c>
      <c r="U622" s="40" t="str">
        <f t="shared" si="3"/>
        <v/>
      </c>
      <c r="V622" s="40" t="str">
        <f>IF($U622="","",IF(Config!$B$17=Config!$B$16,IF($U622&gt;=Config!$B$17,100,0),MAX(0,MIN(100,($U622-Config!$B$16)/(Config!$B$17-Config!$B$16)*100))))</f>
        <v/>
      </c>
      <c r="W622" s="40">
        <f>IF($L622="Elite",Config!$B$21,0)</f>
        <v>0</v>
      </c>
      <c r="X622" s="40" t="str">
        <f>IFERROR(IF(OR($T622="",$G622=""),"",IF($T622&gt;$G622,
  MAX(0, 60-(($T622-$G622)*24/Config!$B$19)*60),
  MEDIAN(60, 100, 60+(($G622-$T622)*24/Config!$B$20)*40)
)),"")
</f>
        <v/>
      </c>
      <c r="Y622" s="40" t="str">
        <f>IF($J622="","",IFERROR(VLOOKUP($J622,Grinders!$A:$N,10,FALSE),""))</f>
        <v/>
      </c>
      <c r="Z622" s="40" t="str">
        <f>IF($J622="","",IFERROR(VLOOKUP($J622,Grinders!$A:$N,11,FALSE),""))</f>
        <v/>
      </c>
      <c r="AA622" s="40" t="str">
        <f>IF($J622="","",IFERROR(VLOOKUP($J622,Grinders!$A:$N,12,FALSE),""))</f>
        <v/>
      </c>
      <c r="AB622" s="40">
        <f>IFERROR(IF(OR($C622="",$J622=""),0,IF($D622&lt;&gt;"Open",0,IF(COUNTIFS(GrinderServices!$B:$B,$J622,GrinderServices!$C:$C,$E622,GrinderServices!$E:$E,"Y")=0,0,IF($U622&lt;Config!$B$16,0,IF(Config!$B$18=1,IF($N622&gt;=$M622,0,1),1))))),"")</f>
        <v>0</v>
      </c>
      <c r="AC622" s="40" t="str">
        <f>IFERROR(IF($AB622=0,"",((Config!$B$6*$V622 + Config!$B$7*$R622 + Config!$B$8*$W622 + Config!$B$9*$X622 + Config!$B$10*$Y622 + Config!$B$11*$Z622 - Config!$B$12*$AA622)/Config!$B$13)+$AH622+$AI622),"")</f>
        <v/>
      </c>
      <c r="AD622" s="40" t="str">
        <f t="shared" si="4"/>
        <v/>
      </c>
      <c r="AE622" s="40" t="str">
        <f>IFERROR(__xludf.DUMMYFUNCTION("IF($AC622="""","""",IF($AC622=IFERROR(MAX(FILTER($AC$6:$AC$1000,$C$6:$C$1000=$C622,$AB$6:$AB$1000=1)),),""WINNER"",""""))"),"")</f>
        <v/>
      </c>
      <c r="AF622" s="40" t="str">
        <f t="shared" si="5"/>
        <v/>
      </c>
      <c r="AG622" s="40" t="str">
        <f>IF($J622="","",COUNTIF(Assignments!$B:$B,$J622))</f>
        <v/>
      </c>
      <c r="AH622" s="40" t="str">
        <f>IF($J622="","",IF(AND($AG622=0,$N622&lt;$M622),Config!$B$43,0))</f>
        <v/>
      </c>
      <c r="AI622" s="40" t="str">
        <f>IF($J622="","",IF(AND($L622="Elite",$F622&gt;=Config!$B$41,$N622&lt;$M622),Config!$B$42,0))</f>
        <v/>
      </c>
      <c r="AJ622" s="22"/>
    </row>
    <row r="623" ht="15.75" customHeight="1">
      <c r="A623" s="40" t="str">
        <f t="shared" si="1"/>
        <v/>
      </c>
      <c r="B623" s="40" t="str">
        <f>IF(Bids!$A623="","",Bids!$A623)</f>
        <v/>
      </c>
      <c r="C623" s="40" t="str">
        <f>IF(Bids!$B623="","",Bids!$B623)</f>
        <v/>
      </c>
      <c r="D623" s="40" t="str">
        <f>IF($C623="","",IFERROR(VLOOKUP($C623,Orders!$A:$J,9,FALSE),""))</f>
        <v/>
      </c>
      <c r="E623" s="40" t="str">
        <f>IF($C623="","",IFERROR(VLOOKUP($C623,Orders!$A:$J,3,FALSE),""))</f>
        <v/>
      </c>
      <c r="F623" s="40" t="str">
        <f>IF($C623="","",IFERROR(VLOOKUP($C623,Orders!$A:$J,4,FALSE),""))</f>
        <v/>
      </c>
      <c r="G623" s="40" t="str">
        <f>IF($C623="","",IFERROR(VLOOKUP($C623,Orders!$A:$J,5,FALSE),""))</f>
        <v/>
      </c>
      <c r="H623" s="40" t="str">
        <f>IF($C623="","",IFERROR(VLOOKUP($C623,Orders!$A:$J,6,FALSE),""))</f>
        <v/>
      </c>
      <c r="I623" s="40" t="str">
        <f>IF($C623="","",IFERROR(VLOOKUP($C623,Orders!$A:$J,7,FALSE),""))</f>
        <v/>
      </c>
      <c r="J623" s="40" t="str">
        <f>IF(Bids!$C623="","",Bids!$C623)</f>
        <v/>
      </c>
      <c r="K623" s="40" t="str">
        <f>IF($J623="","",IFERROR(VLOOKUP($J623,Grinders!$A:$N,2,FALSE),""))</f>
        <v/>
      </c>
      <c r="L623" s="40" t="str">
        <f>IF($J623="","",IFERROR(VLOOKUP($J623,Grinders!$A:$N,3,FALSE),""))</f>
        <v/>
      </c>
      <c r="M623" s="40" t="str">
        <f>IF($J623="","",IFERROR(VLOOKUP($J623,Grinders!$A:$N,4,FALSE),""))</f>
        <v/>
      </c>
      <c r="N623" s="40" t="str">
        <f>IF($J623="","",IFERROR(VLOOKUP($J623,Grinders!$A:$N,5,FALSE),""))</f>
        <v/>
      </c>
      <c r="O623" s="40" t="str">
        <f t="shared" si="2"/>
        <v/>
      </c>
      <c r="P623" s="40" t="str">
        <f>IF($J623="","",IFERROR(VLOOKUP($J623,Grinders!$A:$N,6,FALSE),""))</f>
        <v/>
      </c>
      <c r="Q623" s="40" t="str">
        <f>IF($J623="","",IFERROR(VLOOKUP($J623,Grinders!$A:$N,8,FALSE),""))</f>
        <v/>
      </c>
      <c r="R623" s="40" t="str">
        <f>IFERROR(IF($J623="","",IF($L623="Elite",MAX(50,MIN(100,Config!$B$27*MAX(0,MIN(100,(1-IF($O623="",0,$O623))*100)) + Config!$B$28*MAX(0,MIN(100,(1-MIN(1,IF(Config!$B$30=0,1,$P623/Config!$B$30)))*100)) + Config!$B$29*MAX(0,MIN(100,MIN(1,IF($Q623="",0,$Q623)/Config!$B$23)*100)))),MIN(100,Config!$B$27*MAX(0,MIN(100,(1-IF($O623="",0,$O623))*100)) + Config!$B$28*MAX(0,MIN(100,(1-MIN(1,IF(Config!$B$30=0,1,$P623/Config!$B$30)))*100)) + Config!$B$29*MAX(0,MIN(100,MIN(1,IF($Q623="",0,$Q623)/Config!$B$23)*100))))),"")
</f>
        <v/>
      </c>
      <c r="S623" s="40" t="str">
        <f>IF(Bids!$D623="","",Bids!$D623)</f>
        <v/>
      </c>
      <c r="T623" s="40" t="str">
        <f>IF(Bids!$F623="","",Bids!$F623)</f>
        <v/>
      </c>
      <c r="U623" s="40" t="str">
        <f t="shared" si="3"/>
        <v/>
      </c>
      <c r="V623" s="40" t="str">
        <f>IF($U623="","",IF(Config!$B$17=Config!$B$16,IF($U623&gt;=Config!$B$17,100,0),MAX(0,MIN(100,($U623-Config!$B$16)/(Config!$B$17-Config!$B$16)*100))))</f>
        <v/>
      </c>
      <c r="W623" s="40">
        <f>IF($L623="Elite",Config!$B$21,0)</f>
        <v>0</v>
      </c>
      <c r="X623" s="40" t="str">
        <f>IFERROR(IF(OR($T623="",$G623=""),"",IF($T623&gt;$G623,
  MAX(0, 60-(($T623-$G623)*24/Config!$B$19)*60),
  MEDIAN(60, 100, 60+(($G623-$T623)*24/Config!$B$20)*40)
)),"")
</f>
        <v/>
      </c>
      <c r="Y623" s="40" t="str">
        <f>IF($J623="","",IFERROR(VLOOKUP($J623,Grinders!$A:$N,10,FALSE),""))</f>
        <v/>
      </c>
      <c r="Z623" s="40" t="str">
        <f>IF($J623="","",IFERROR(VLOOKUP($J623,Grinders!$A:$N,11,FALSE),""))</f>
        <v/>
      </c>
      <c r="AA623" s="40" t="str">
        <f>IF($J623="","",IFERROR(VLOOKUP($J623,Grinders!$A:$N,12,FALSE),""))</f>
        <v/>
      </c>
      <c r="AB623" s="40">
        <f>IFERROR(IF(OR($C623="",$J623=""),0,IF($D623&lt;&gt;"Open",0,IF(COUNTIFS(GrinderServices!$B:$B,$J623,GrinderServices!$C:$C,$E623,GrinderServices!$E:$E,"Y")=0,0,IF($U623&lt;Config!$B$16,0,IF(Config!$B$18=1,IF($N623&gt;=$M623,0,1),1))))),"")</f>
        <v>0</v>
      </c>
      <c r="AC623" s="40" t="str">
        <f>IFERROR(IF($AB623=0,"",((Config!$B$6*$V623 + Config!$B$7*$R623 + Config!$B$8*$W623 + Config!$B$9*$X623 + Config!$B$10*$Y623 + Config!$B$11*$Z623 - Config!$B$12*$AA623)/Config!$B$13)+$AH623+$AI623),"")</f>
        <v/>
      </c>
      <c r="AD623" s="40" t="str">
        <f t="shared" si="4"/>
        <v/>
      </c>
      <c r="AE623" s="40" t="str">
        <f>IFERROR(__xludf.DUMMYFUNCTION("IF($AC623="""","""",IF($AC623=IFERROR(MAX(FILTER($AC$6:$AC$1000,$C$6:$C$1000=$C623,$AB$6:$AB$1000=1)),),""WINNER"",""""))"),"")</f>
        <v/>
      </c>
      <c r="AF623" s="40" t="str">
        <f t="shared" si="5"/>
        <v/>
      </c>
      <c r="AG623" s="40" t="str">
        <f>IF($J623="","",COUNTIF(Assignments!$B:$B,$J623))</f>
        <v/>
      </c>
      <c r="AH623" s="40" t="str">
        <f>IF($J623="","",IF(AND($AG623=0,$N623&lt;$M623),Config!$B$43,0))</f>
        <v/>
      </c>
      <c r="AI623" s="40" t="str">
        <f>IF($J623="","",IF(AND($L623="Elite",$F623&gt;=Config!$B$41,$N623&lt;$M623),Config!$B$42,0))</f>
        <v/>
      </c>
      <c r="AJ623" s="22"/>
    </row>
    <row r="624" ht="15.75" customHeight="1">
      <c r="A624" s="40" t="str">
        <f t="shared" si="1"/>
        <v/>
      </c>
      <c r="B624" s="40" t="str">
        <f>IF(Bids!$A624="","",Bids!$A624)</f>
        <v/>
      </c>
      <c r="C624" s="40" t="str">
        <f>IF(Bids!$B624="","",Bids!$B624)</f>
        <v/>
      </c>
      <c r="D624" s="40" t="str">
        <f>IF($C624="","",IFERROR(VLOOKUP($C624,Orders!$A:$J,9,FALSE),""))</f>
        <v/>
      </c>
      <c r="E624" s="40" t="str">
        <f>IF($C624="","",IFERROR(VLOOKUP($C624,Orders!$A:$J,3,FALSE),""))</f>
        <v/>
      </c>
      <c r="F624" s="40" t="str">
        <f>IF($C624="","",IFERROR(VLOOKUP($C624,Orders!$A:$J,4,FALSE),""))</f>
        <v/>
      </c>
      <c r="G624" s="40" t="str">
        <f>IF($C624="","",IFERROR(VLOOKUP($C624,Orders!$A:$J,5,FALSE),""))</f>
        <v/>
      </c>
      <c r="H624" s="40" t="str">
        <f>IF($C624="","",IFERROR(VLOOKUP($C624,Orders!$A:$J,6,FALSE),""))</f>
        <v/>
      </c>
      <c r="I624" s="40" t="str">
        <f>IF($C624="","",IFERROR(VLOOKUP($C624,Orders!$A:$J,7,FALSE),""))</f>
        <v/>
      </c>
      <c r="J624" s="40" t="str">
        <f>IF(Bids!$C624="","",Bids!$C624)</f>
        <v/>
      </c>
      <c r="K624" s="40" t="str">
        <f>IF($J624="","",IFERROR(VLOOKUP($J624,Grinders!$A:$N,2,FALSE),""))</f>
        <v/>
      </c>
      <c r="L624" s="40" t="str">
        <f>IF($J624="","",IFERROR(VLOOKUP($J624,Grinders!$A:$N,3,FALSE),""))</f>
        <v/>
      </c>
      <c r="M624" s="40" t="str">
        <f>IF($J624="","",IFERROR(VLOOKUP($J624,Grinders!$A:$N,4,FALSE),""))</f>
        <v/>
      </c>
      <c r="N624" s="40" t="str">
        <f>IF($J624="","",IFERROR(VLOOKUP($J624,Grinders!$A:$N,5,FALSE),""))</f>
        <v/>
      </c>
      <c r="O624" s="40" t="str">
        <f t="shared" si="2"/>
        <v/>
      </c>
      <c r="P624" s="40" t="str">
        <f>IF($J624="","",IFERROR(VLOOKUP($J624,Grinders!$A:$N,6,FALSE),""))</f>
        <v/>
      </c>
      <c r="Q624" s="40" t="str">
        <f>IF($J624="","",IFERROR(VLOOKUP($J624,Grinders!$A:$N,8,FALSE),""))</f>
        <v/>
      </c>
      <c r="R624" s="40" t="str">
        <f>IFERROR(IF($J624="","",IF($L624="Elite",MAX(50,MIN(100,Config!$B$27*MAX(0,MIN(100,(1-IF($O624="",0,$O624))*100)) + Config!$B$28*MAX(0,MIN(100,(1-MIN(1,IF(Config!$B$30=0,1,$P624/Config!$B$30)))*100)) + Config!$B$29*MAX(0,MIN(100,MIN(1,IF($Q624="",0,$Q624)/Config!$B$23)*100)))),MIN(100,Config!$B$27*MAX(0,MIN(100,(1-IF($O624="",0,$O624))*100)) + Config!$B$28*MAX(0,MIN(100,(1-MIN(1,IF(Config!$B$30=0,1,$P624/Config!$B$30)))*100)) + Config!$B$29*MAX(0,MIN(100,MIN(1,IF($Q624="",0,$Q624)/Config!$B$23)*100))))),"")
</f>
        <v/>
      </c>
      <c r="S624" s="40" t="str">
        <f>IF(Bids!$D624="","",Bids!$D624)</f>
        <v/>
      </c>
      <c r="T624" s="40" t="str">
        <f>IF(Bids!$F624="","",Bids!$F624)</f>
        <v/>
      </c>
      <c r="U624" s="40" t="str">
        <f t="shared" si="3"/>
        <v/>
      </c>
      <c r="V624" s="40" t="str">
        <f>IF($U624="","",IF(Config!$B$17=Config!$B$16,IF($U624&gt;=Config!$B$17,100,0),MAX(0,MIN(100,($U624-Config!$B$16)/(Config!$B$17-Config!$B$16)*100))))</f>
        <v/>
      </c>
      <c r="W624" s="40">
        <f>IF($L624="Elite",Config!$B$21,0)</f>
        <v>0</v>
      </c>
      <c r="X624" s="40" t="str">
        <f>IFERROR(IF(OR($T624="",$G624=""),"",IF($T624&gt;$G624,
  MAX(0, 60-(($T624-$G624)*24/Config!$B$19)*60),
  MEDIAN(60, 100, 60+(($G624-$T624)*24/Config!$B$20)*40)
)),"")
</f>
        <v/>
      </c>
      <c r="Y624" s="40" t="str">
        <f>IF($J624="","",IFERROR(VLOOKUP($J624,Grinders!$A:$N,10,FALSE),""))</f>
        <v/>
      </c>
      <c r="Z624" s="40" t="str">
        <f>IF($J624="","",IFERROR(VLOOKUP($J624,Grinders!$A:$N,11,FALSE),""))</f>
        <v/>
      </c>
      <c r="AA624" s="40" t="str">
        <f>IF($J624="","",IFERROR(VLOOKUP($J624,Grinders!$A:$N,12,FALSE),""))</f>
        <v/>
      </c>
      <c r="AB624" s="40">
        <f>IFERROR(IF(OR($C624="",$J624=""),0,IF($D624&lt;&gt;"Open",0,IF(COUNTIFS(GrinderServices!$B:$B,$J624,GrinderServices!$C:$C,$E624,GrinderServices!$E:$E,"Y")=0,0,IF($U624&lt;Config!$B$16,0,IF(Config!$B$18=1,IF($N624&gt;=$M624,0,1),1))))),"")</f>
        <v>0</v>
      </c>
      <c r="AC624" s="40" t="str">
        <f>IFERROR(IF($AB624=0,"",((Config!$B$6*$V624 + Config!$B$7*$R624 + Config!$B$8*$W624 + Config!$B$9*$X624 + Config!$B$10*$Y624 + Config!$B$11*$Z624 - Config!$B$12*$AA624)/Config!$B$13)+$AH624+$AI624),"")</f>
        <v/>
      </c>
      <c r="AD624" s="40" t="str">
        <f t="shared" si="4"/>
        <v/>
      </c>
      <c r="AE624" s="40" t="str">
        <f>IFERROR(__xludf.DUMMYFUNCTION("IF($AC624="""","""",IF($AC624=IFERROR(MAX(FILTER($AC$6:$AC$1000,$C$6:$C$1000=$C624,$AB$6:$AB$1000=1)),),""WINNER"",""""))"),"")</f>
        <v/>
      </c>
      <c r="AF624" s="40" t="str">
        <f t="shared" si="5"/>
        <v/>
      </c>
      <c r="AG624" s="40" t="str">
        <f>IF($J624="","",COUNTIF(Assignments!$B:$B,$J624))</f>
        <v/>
      </c>
      <c r="AH624" s="40" t="str">
        <f>IF($J624="","",IF(AND($AG624=0,$N624&lt;$M624),Config!$B$43,0))</f>
        <v/>
      </c>
      <c r="AI624" s="40" t="str">
        <f>IF($J624="","",IF(AND($L624="Elite",$F624&gt;=Config!$B$41,$N624&lt;$M624),Config!$B$42,0))</f>
        <v/>
      </c>
      <c r="AJ624" s="22"/>
    </row>
    <row r="625" ht="15.75" customHeight="1">
      <c r="A625" s="40" t="str">
        <f t="shared" si="1"/>
        <v/>
      </c>
      <c r="B625" s="40" t="str">
        <f>IF(Bids!$A625="","",Bids!$A625)</f>
        <v/>
      </c>
      <c r="C625" s="40" t="str">
        <f>IF(Bids!$B625="","",Bids!$B625)</f>
        <v/>
      </c>
      <c r="D625" s="40" t="str">
        <f>IF($C625="","",IFERROR(VLOOKUP($C625,Orders!$A:$J,9,FALSE),""))</f>
        <v/>
      </c>
      <c r="E625" s="40" t="str">
        <f>IF($C625="","",IFERROR(VLOOKUP($C625,Orders!$A:$J,3,FALSE),""))</f>
        <v/>
      </c>
      <c r="F625" s="40" t="str">
        <f>IF($C625="","",IFERROR(VLOOKUP($C625,Orders!$A:$J,4,FALSE),""))</f>
        <v/>
      </c>
      <c r="G625" s="40" t="str">
        <f>IF($C625="","",IFERROR(VLOOKUP($C625,Orders!$A:$J,5,FALSE),""))</f>
        <v/>
      </c>
      <c r="H625" s="40" t="str">
        <f>IF($C625="","",IFERROR(VLOOKUP($C625,Orders!$A:$J,6,FALSE),""))</f>
        <v/>
      </c>
      <c r="I625" s="40" t="str">
        <f>IF($C625="","",IFERROR(VLOOKUP($C625,Orders!$A:$J,7,FALSE),""))</f>
        <v/>
      </c>
      <c r="J625" s="40" t="str">
        <f>IF(Bids!$C625="","",Bids!$C625)</f>
        <v/>
      </c>
      <c r="K625" s="40" t="str">
        <f>IF($J625="","",IFERROR(VLOOKUP($J625,Grinders!$A:$N,2,FALSE),""))</f>
        <v/>
      </c>
      <c r="L625" s="40" t="str">
        <f>IF($J625="","",IFERROR(VLOOKUP($J625,Grinders!$A:$N,3,FALSE),""))</f>
        <v/>
      </c>
      <c r="M625" s="40" t="str">
        <f>IF($J625="","",IFERROR(VLOOKUP($J625,Grinders!$A:$N,4,FALSE),""))</f>
        <v/>
      </c>
      <c r="N625" s="40" t="str">
        <f>IF($J625="","",IFERROR(VLOOKUP($J625,Grinders!$A:$N,5,FALSE),""))</f>
        <v/>
      </c>
      <c r="O625" s="40" t="str">
        <f t="shared" si="2"/>
        <v/>
      </c>
      <c r="P625" s="40" t="str">
        <f>IF($J625="","",IFERROR(VLOOKUP($J625,Grinders!$A:$N,6,FALSE),""))</f>
        <v/>
      </c>
      <c r="Q625" s="40" t="str">
        <f>IF($J625="","",IFERROR(VLOOKUP($J625,Grinders!$A:$N,8,FALSE),""))</f>
        <v/>
      </c>
      <c r="R625" s="40" t="str">
        <f>IFERROR(IF($J625="","",IF($L625="Elite",MAX(50,MIN(100,Config!$B$27*MAX(0,MIN(100,(1-IF($O625="",0,$O625))*100)) + Config!$B$28*MAX(0,MIN(100,(1-MIN(1,IF(Config!$B$30=0,1,$P625/Config!$B$30)))*100)) + Config!$B$29*MAX(0,MIN(100,MIN(1,IF($Q625="",0,$Q625)/Config!$B$23)*100)))),MIN(100,Config!$B$27*MAX(0,MIN(100,(1-IF($O625="",0,$O625))*100)) + Config!$B$28*MAX(0,MIN(100,(1-MIN(1,IF(Config!$B$30=0,1,$P625/Config!$B$30)))*100)) + Config!$B$29*MAX(0,MIN(100,MIN(1,IF($Q625="",0,$Q625)/Config!$B$23)*100))))),"")
</f>
        <v/>
      </c>
      <c r="S625" s="40" t="str">
        <f>IF(Bids!$D625="","",Bids!$D625)</f>
        <v/>
      </c>
      <c r="T625" s="40" t="str">
        <f>IF(Bids!$F625="","",Bids!$F625)</f>
        <v/>
      </c>
      <c r="U625" s="40" t="str">
        <f t="shared" si="3"/>
        <v/>
      </c>
      <c r="V625" s="40" t="str">
        <f>IF($U625="","",IF(Config!$B$17=Config!$B$16,IF($U625&gt;=Config!$B$17,100,0),MAX(0,MIN(100,($U625-Config!$B$16)/(Config!$B$17-Config!$B$16)*100))))</f>
        <v/>
      </c>
      <c r="W625" s="40">
        <f>IF($L625="Elite",Config!$B$21,0)</f>
        <v>0</v>
      </c>
      <c r="X625" s="40" t="str">
        <f>IFERROR(IF(OR($T625="",$G625=""),"",IF($T625&gt;$G625,
  MAX(0, 60-(($T625-$G625)*24/Config!$B$19)*60),
  MEDIAN(60, 100, 60+(($G625-$T625)*24/Config!$B$20)*40)
)),"")
</f>
        <v/>
      </c>
      <c r="Y625" s="40" t="str">
        <f>IF($J625="","",IFERROR(VLOOKUP($J625,Grinders!$A:$N,10,FALSE),""))</f>
        <v/>
      </c>
      <c r="Z625" s="40" t="str">
        <f>IF($J625="","",IFERROR(VLOOKUP($J625,Grinders!$A:$N,11,FALSE),""))</f>
        <v/>
      </c>
      <c r="AA625" s="40" t="str">
        <f>IF($J625="","",IFERROR(VLOOKUP($J625,Grinders!$A:$N,12,FALSE),""))</f>
        <v/>
      </c>
      <c r="AB625" s="40">
        <f>IFERROR(IF(OR($C625="",$J625=""),0,IF($D625&lt;&gt;"Open",0,IF(COUNTIFS(GrinderServices!$B:$B,$J625,GrinderServices!$C:$C,$E625,GrinderServices!$E:$E,"Y")=0,0,IF($U625&lt;Config!$B$16,0,IF(Config!$B$18=1,IF($N625&gt;=$M625,0,1),1))))),"")</f>
        <v>0</v>
      </c>
      <c r="AC625" s="40" t="str">
        <f>IFERROR(IF($AB625=0,"",((Config!$B$6*$V625 + Config!$B$7*$R625 + Config!$B$8*$W625 + Config!$B$9*$X625 + Config!$B$10*$Y625 + Config!$B$11*$Z625 - Config!$B$12*$AA625)/Config!$B$13)+$AH625+$AI625),"")</f>
        <v/>
      </c>
      <c r="AD625" s="40" t="str">
        <f t="shared" si="4"/>
        <v/>
      </c>
      <c r="AE625" s="40" t="str">
        <f>IFERROR(__xludf.DUMMYFUNCTION("IF($AC625="""","""",IF($AC625=IFERROR(MAX(FILTER($AC$6:$AC$1000,$C$6:$C$1000=$C625,$AB$6:$AB$1000=1)),),""WINNER"",""""))"),"")</f>
        <v/>
      </c>
      <c r="AF625" s="40" t="str">
        <f t="shared" si="5"/>
        <v/>
      </c>
      <c r="AG625" s="40" t="str">
        <f>IF($J625="","",COUNTIF(Assignments!$B:$B,$J625))</f>
        <v/>
      </c>
      <c r="AH625" s="40" t="str">
        <f>IF($J625="","",IF(AND($AG625=0,$N625&lt;$M625),Config!$B$43,0))</f>
        <v/>
      </c>
      <c r="AI625" s="40" t="str">
        <f>IF($J625="","",IF(AND($L625="Elite",$F625&gt;=Config!$B$41,$N625&lt;$M625),Config!$B$42,0))</f>
        <v/>
      </c>
      <c r="AJ625" s="22"/>
    </row>
    <row r="626" ht="15.75" customHeight="1">
      <c r="A626" s="40" t="str">
        <f t="shared" si="1"/>
        <v/>
      </c>
      <c r="B626" s="40" t="str">
        <f>IF(Bids!$A626="","",Bids!$A626)</f>
        <v/>
      </c>
      <c r="C626" s="40" t="str">
        <f>IF(Bids!$B626="","",Bids!$B626)</f>
        <v/>
      </c>
      <c r="D626" s="40" t="str">
        <f>IF($C626="","",IFERROR(VLOOKUP($C626,Orders!$A:$J,9,FALSE),""))</f>
        <v/>
      </c>
      <c r="E626" s="40" t="str">
        <f>IF($C626="","",IFERROR(VLOOKUP($C626,Orders!$A:$J,3,FALSE),""))</f>
        <v/>
      </c>
      <c r="F626" s="40" t="str">
        <f>IF($C626="","",IFERROR(VLOOKUP($C626,Orders!$A:$J,4,FALSE),""))</f>
        <v/>
      </c>
      <c r="G626" s="40" t="str">
        <f>IF($C626="","",IFERROR(VLOOKUP($C626,Orders!$A:$J,5,FALSE),""))</f>
        <v/>
      </c>
      <c r="H626" s="40" t="str">
        <f>IF($C626="","",IFERROR(VLOOKUP($C626,Orders!$A:$J,6,FALSE),""))</f>
        <v/>
      </c>
      <c r="I626" s="40" t="str">
        <f>IF($C626="","",IFERROR(VLOOKUP($C626,Orders!$A:$J,7,FALSE),""))</f>
        <v/>
      </c>
      <c r="J626" s="40" t="str">
        <f>IF(Bids!$C626="","",Bids!$C626)</f>
        <v/>
      </c>
      <c r="K626" s="40" t="str">
        <f>IF($J626="","",IFERROR(VLOOKUP($J626,Grinders!$A:$N,2,FALSE),""))</f>
        <v/>
      </c>
      <c r="L626" s="40" t="str">
        <f>IF($J626="","",IFERROR(VLOOKUP($J626,Grinders!$A:$N,3,FALSE),""))</f>
        <v/>
      </c>
      <c r="M626" s="40" t="str">
        <f>IF($J626="","",IFERROR(VLOOKUP($J626,Grinders!$A:$N,4,FALSE),""))</f>
        <v/>
      </c>
      <c r="N626" s="40" t="str">
        <f>IF($J626="","",IFERROR(VLOOKUP($J626,Grinders!$A:$N,5,FALSE),""))</f>
        <v/>
      </c>
      <c r="O626" s="40" t="str">
        <f t="shared" si="2"/>
        <v/>
      </c>
      <c r="P626" s="40" t="str">
        <f>IF($J626="","",IFERROR(VLOOKUP($J626,Grinders!$A:$N,6,FALSE),""))</f>
        <v/>
      </c>
      <c r="Q626" s="40" t="str">
        <f>IF($J626="","",IFERROR(VLOOKUP($J626,Grinders!$A:$N,8,FALSE),""))</f>
        <v/>
      </c>
      <c r="R626" s="40" t="str">
        <f>IFERROR(IF($J626="","",IF($L626="Elite",MAX(50,MIN(100,Config!$B$27*MAX(0,MIN(100,(1-IF($O626="",0,$O626))*100)) + Config!$B$28*MAX(0,MIN(100,(1-MIN(1,IF(Config!$B$30=0,1,$P626/Config!$B$30)))*100)) + Config!$B$29*MAX(0,MIN(100,MIN(1,IF($Q626="",0,$Q626)/Config!$B$23)*100)))),MIN(100,Config!$B$27*MAX(0,MIN(100,(1-IF($O626="",0,$O626))*100)) + Config!$B$28*MAX(0,MIN(100,(1-MIN(1,IF(Config!$B$30=0,1,$P626/Config!$B$30)))*100)) + Config!$B$29*MAX(0,MIN(100,MIN(1,IF($Q626="",0,$Q626)/Config!$B$23)*100))))),"")
</f>
        <v/>
      </c>
      <c r="S626" s="40" t="str">
        <f>IF(Bids!$D626="","",Bids!$D626)</f>
        <v/>
      </c>
      <c r="T626" s="40" t="str">
        <f>IF(Bids!$F626="","",Bids!$F626)</f>
        <v/>
      </c>
      <c r="U626" s="40" t="str">
        <f t="shared" si="3"/>
        <v/>
      </c>
      <c r="V626" s="40" t="str">
        <f>IF($U626="","",IF(Config!$B$17=Config!$B$16,IF($U626&gt;=Config!$B$17,100,0),MAX(0,MIN(100,($U626-Config!$B$16)/(Config!$B$17-Config!$B$16)*100))))</f>
        <v/>
      </c>
      <c r="W626" s="40">
        <f>IF($L626="Elite",Config!$B$21,0)</f>
        <v>0</v>
      </c>
      <c r="X626" s="40" t="str">
        <f>IFERROR(IF(OR($T626="",$G626=""),"",IF($T626&gt;$G626,
  MAX(0, 60-(($T626-$G626)*24/Config!$B$19)*60),
  MEDIAN(60, 100, 60+(($G626-$T626)*24/Config!$B$20)*40)
)),"")
</f>
        <v/>
      </c>
      <c r="Y626" s="40" t="str">
        <f>IF($J626="","",IFERROR(VLOOKUP($J626,Grinders!$A:$N,10,FALSE),""))</f>
        <v/>
      </c>
      <c r="Z626" s="40" t="str">
        <f>IF($J626="","",IFERROR(VLOOKUP($J626,Grinders!$A:$N,11,FALSE),""))</f>
        <v/>
      </c>
      <c r="AA626" s="40" t="str">
        <f>IF($J626="","",IFERROR(VLOOKUP($J626,Grinders!$A:$N,12,FALSE),""))</f>
        <v/>
      </c>
      <c r="AB626" s="40">
        <f>IFERROR(IF(OR($C626="",$J626=""),0,IF($D626&lt;&gt;"Open",0,IF(COUNTIFS(GrinderServices!$B:$B,$J626,GrinderServices!$C:$C,$E626,GrinderServices!$E:$E,"Y")=0,0,IF($U626&lt;Config!$B$16,0,IF(Config!$B$18=1,IF($N626&gt;=$M626,0,1),1))))),"")</f>
        <v>0</v>
      </c>
      <c r="AC626" s="40" t="str">
        <f>IFERROR(IF($AB626=0,"",((Config!$B$6*$V626 + Config!$B$7*$R626 + Config!$B$8*$W626 + Config!$B$9*$X626 + Config!$B$10*$Y626 + Config!$B$11*$Z626 - Config!$B$12*$AA626)/Config!$B$13)+$AH626+$AI626),"")</f>
        <v/>
      </c>
      <c r="AD626" s="40" t="str">
        <f t="shared" si="4"/>
        <v/>
      </c>
      <c r="AE626" s="40" t="str">
        <f>IFERROR(__xludf.DUMMYFUNCTION("IF($AC626="""","""",IF($AC626=IFERROR(MAX(FILTER($AC$6:$AC$1000,$C$6:$C$1000=$C626,$AB$6:$AB$1000=1)),),""WINNER"",""""))"),"")</f>
        <v/>
      </c>
      <c r="AF626" s="40" t="str">
        <f t="shared" si="5"/>
        <v/>
      </c>
      <c r="AG626" s="40" t="str">
        <f>IF($J626="","",COUNTIF(Assignments!$B:$B,$J626))</f>
        <v/>
      </c>
      <c r="AH626" s="40" t="str">
        <f>IF($J626="","",IF(AND($AG626=0,$N626&lt;$M626),Config!$B$43,0))</f>
        <v/>
      </c>
      <c r="AI626" s="40" t="str">
        <f>IF($J626="","",IF(AND($L626="Elite",$F626&gt;=Config!$B$41,$N626&lt;$M626),Config!$B$42,0))</f>
        <v/>
      </c>
      <c r="AJ626" s="22"/>
    </row>
    <row r="627" ht="15.75" customHeight="1">
      <c r="A627" s="40" t="str">
        <f t="shared" si="1"/>
        <v/>
      </c>
      <c r="B627" s="40" t="str">
        <f>IF(Bids!$A627="","",Bids!$A627)</f>
        <v/>
      </c>
      <c r="C627" s="40" t="str">
        <f>IF(Bids!$B627="","",Bids!$B627)</f>
        <v/>
      </c>
      <c r="D627" s="40" t="str">
        <f>IF($C627="","",IFERROR(VLOOKUP($C627,Orders!$A:$J,9,FALSE),""))</f>
        <v/>
      </c>
      <c r="E627" s="40" t="str">
        <f>IF($C627="","",IFERROR(VLOOKUP($C627,Orders!$A:$J,3,FALSE),""))</f>
        <v/>
      </c>
      <c r="F627" s="40" t="str">
        <f>IF($C627="","",IFERROR(VLOOKUP($C627,Orders!$A:$J,4,FALSE),""))</f>
        <v/>
      </c>
      <c r="G627" s="40" t="str">
        <f>IF($C627="","",IFERROR(VLOOKUP($C627,Orders!$A:$J,5,FALSE),""))</f>
        <v/>
      </c>
      <c r="H627" s="40" t="str">
        <f>IF($C627="","",IFERROR(VLOOKUP($C627,Orders!$A:$J,6,FALSE),""))</f>
        <v/>
      </c>
      <c r="I627" s="40" t="str">
        <f>IF($C627="","",IFERROR(VLOOKUP($C627,Orders!$A:$J,7,FALSE),""))</f>
        <v/>
      </c>
      <c r="J627" s="40" t="str">
        <f>IF(Bids!$C627="","",Bids!$C627)</f>
        <v/>
      </c>
      <c r="K627" s="40" t="str">
        <f>IF($J627="","",IFERROR(VLOOKUP($J627,Grinders!$A:$N,2,FALSE),""))</f>
        <v/>
      </c>
      <c r="L627" s="40" t="str">
        <f>IF($J627="","",IFERROR(VLOOKUP($J627,Grinders!$A:$N,3,FALSE),""))</f>
        <v/>
      </c>
      <c r="M627" s="40" t="str">
        <f>IF($J627="","",IFERROR(VLOOKUP($J627,Grinders!$A:$N,4,FALSE),""))</f>
        <v/>
      </c>
      <c r="N627" s="40" t="str">
        <f>IF($J627="","",IFERROR(VLOOKUP($J627,Grinders!$A:$N,5,FALSE),""))</f>
        <v/>
      </c>
      <c r="O627" s="40" t="str">
        <f t="shared" si="2"/>
        <v/>
      </c>
      <c r="P627" s="40" t="str">
        <f>IF($J627="","",IFERROR(VLOOKUP($J627,Grinders!$A:$N,6,FALSE),""))</f>
        <v/>
      </c>
      <c r="Q627" s="40" t="str">
        <f>IF($J627="","",IFERROR(VLOOKUP($J627,Grinders!$A:$N,8,FALSE),""))</f>
        <v/>
      </c>
      <c r="R627" s="40" t="str">
        <f>IFERROR(IF($J627="","",IF($L627="Elite",MAX(50,MIN(100,Config!$B$27*MAX(0,MIN(100,(1-IF($O627="",0,$O627))*100)) + Config!$B$28*MAX(0,MIN(100,(1-MIN(1,IF(Config!$B$30=0,1,$P627/Config!$B$30)))*100)) + Config!$B$29*MAX(0,MIN(100,MIN(1,IF($Q627="",0,$Q627)/Config!$B$23)*100)))),MIN(100,Config!$B$27*MAX(0,MIN(100,(1-IF($O627="",0,$O627))*100)) + Config!$B$28*MAX(0,MIN(100,(1-MIN(1,IF(Config!$B$30=0,1,$P627/Config!$B$30)))*100)) + Config!$B$29*MAX(0,MIN(100,MIN(1,IF($Q627="",0,$Q627)/Config!$B$23)*100))))),"")
</f>
        <v/>
      </c>
      <c r="S627" s="40" t="str">
        <f>IF(Bids!$D627="","",Bids!$D627)</f>
        <v/>
      </c>
      <c r="T627" s="40" t="str">
        <f>IF(Bids!$F627="","",Bids!$F627)</f>
        <v/>
      </c>
      <c r="U627" s="40" t="str">
        <f t="shared" si="3"/>
        <v/>
      </c>
      <c r="V627" s="40" t="str">
        <f>IF($U627="","",IF(Config!$B$17=Config!$B$16,IF($U627&gt;=Config!$B$17,100,0),MAX(0,MIN(100,($U627-Config!$B$16)/(Config!$B$17-Config!$B$16)*100))))</f>
        <v/>
      </c>
      <c r="W627" s="40">
        <f>IF($L627="Elite",Config!$B$21,0)</f>
        <v>0</v>
      </c>
      <c r="X627" s="40" t="str">
        <f>IFERROR(IF(OR($T627="",$G627=""),"",IF($T627&gt;$G627,
  MAX(0, 60-(($T627-$G627)*24/Config!$B$19)*60),
  MEDIAN(60, 100, 60+(($G627-$T627)*24/Config!$B$20)*40)
)),"")
</f>
        <v/>
      </c>
      <c r="Y627" s="40" t="str">
        <f>IF($J627="","",IFERROR(VLOOKUP($J627,Grinders!$A:$N,10,FALSE),""))</f>
        <v/>
      </c>
      <c r="Z627" s="40" t="str">
        <f>IF($J627="","",IFERROR(VLOOKUP($J627,Grinders!$A:$N,11,FALSE),""))</f>
        <v/>
      </c>
      <c r="AA627" s="40" t="str">
        <f>IF($J627="","",IFERROR(VLOOKUP($J627,Grinders!$A:$N,12,FALSE),""))</f>
        <v/>
      </c>
      <c r="AB627" s="40">
        <f>IFERROR(IF(OR($C627="",$J627=""),0,IF($D627&lt;&gt;"Open",0,IF(COUNTIFS(GrinderServices!$B:$B,$J627,GrinderServices!$C:$C,$E627,GrinderServices!$E:$E,"Y")=0,0,IF($U627&lt;Config!$B$16,0,IF(Config!$B$18=1,IF($N627&gt;=$M627,0,1),1))))),"")</f>
        <v>0</v>
      </c>
      <c r="AC627" s="40" t="str">
        <f>IFERROR(IF($AB627=0,"",((Config!$B$6*$V627 + Config!$B$7*$R627 + Config!$B$8*$W627 + Config!$B$9*$X627 + Config!$B$10*$Y627 + Config!$B$11*$Z627 - Config!$B$12*$AA627)/Config!$B$13)+$AH627+$AI627),"")</f>
        <v/>
      </c>
      <c r="AD627" s="40" t="str">
        <f t="shared" si="4"/>
        <v/>
      </c>
      <c r="AE627" s="40" t="str">
        <f>IFERROR(__xludf.DUMMYFUNCTION("IF($AC627="""","""",IF($AC627=IFERROR(MAX(FILTER($AC$6:$AC$1000,$C$6:$C$1000=$C627,$AB$6:$AB$1000=1)),),""WINNER"",""""))"),"")</f>
        <v/>
      </c>
      <c r="AF627" s="40" t="str">
        <f t="shared" si="5"/>
        <v/>
      </c>
      <c r="AG627" s="40" t="str">
        <f>IF($J627="","",COUNTIF(Assignments!$B:$B,$J627))</f>
        <v/>
      </c>
      <c r="AH627" s="40" t="str">
        <f>IF($J627="","",IF(AND($AG627=0,$N627&lt;$M627),Config!$B$43,0))</f>
        <v/>
      </c>
      <c r="AI627" s="40" t="str">
        <f>IF($J627="","",IF(AND($L627="Elite",$F627&gt;=Config!$B$41,$N627&lt;$M627),Config!$B$42,0))</f>
        <v/>
      </c>
      <c r="AJ627" s="22"/>
    </row>
    <row r="628" ht="15.75" customHeight="1">
      <c r="A628" s="40" t="str">
        <f t="shared" si="1"/>
        <v/>
      </c>
      <c r="B628" s="40" t="str">
        <f>IF(Bids!$A628="","",Bids!$A628)</f>
        <v/>
      </c>
      <c r="C628" s="40" t="str">
        <f>IF(Bids!$B628="","",Bids!$B628)</f>
        <v/>
      </c>
      <c r="D628" s="40" t="str">
        <f>IF($C628="","",IFERROR(VLOOKUP($C628,Orders!$A:$J,9,FALSE),""))</f>
        <v/>
      </c>
      <c r="E628" s="40" t="str">
        <f>IF($C628="","",IFERROR(VLOOKUP($C628,Orders!$A:$J,3,FALSE),""))</f>
        <v/>
      </c>
      <c r="F628" s="40" t="str">
        <f>IF($C628="","",IFERROR(VLOOKUP($C628,Orders!$A:$J,4,FALSE),""))</f>
        <v/>
      </c>
      <c r="G628" s="40" t="str">
        <f>IF($C628="","",IFERROR(VLOOKUP($C628,Orders!$A:$J,5,FALSE),""))</f>
        <v/>
      </c>
      <c r="H628" s="40" t="str">
        <f>IF($C628="","",IFERROR(VLOOKUP($C628,Orders!$A:$J,6,FALSE),""))</f>
        <v/>
      </c>
      <c r="I628" s="40" t="str">
        <f>IF($C628="","",IFERROR(VLOOKUP($C628,Orders!$A:$J,7,FALSE),""))</f>
        <v/>
      </c>
      <c r="J628" s="40" t="str">
        <f>IF(Bids!$C628="","",Bids!$C628)</f>
        <v/>
      </c>
      <c r="K628" s="40" t="str">
        <f>IF($J628="","",IFERROR(VLOOKUP($J628,Grinders!$A:$N,2,FALSE),""))</f>
        <v/>
      </c>
      <c r="L628" s="40" t="str">
        <f>IF($J628="","",IFERROR(VLOOKUP($J628,Grinders!$A:$N,3,FALSE),""))</f>
        <v/>
      </c>
      <c r="M628" s="40" t="str">
        <f>IF($J628="","",IFERROR(VLOOKUP($J628,Grinders!$A:$N,4,FALSE),""))</f>
        <v/>
      </c>
      <c r="N628" s="40" t="str">
        <f>IF($J628="","",IFERROR(VLOOKUP($J628,Grinders!$A:$N,5,FALSE),""))</f>
        <v/>
      </c>
      <c r="O628" s="40" t="str">
        <f t="shared" si="2"/>
        <v/>
      </c>
      <c r="P628" s="40" t="str">
        <f>IF($J628="","",IFERROR(VLOOKUP($J628,Grinders!$A:$N,6,FALSE),""))</f>
        <v/>
      </c>
      <c r="Q628" s="40" t="str">
        <f>IF($J628="","",IFERROR(VLOOKUP($J628,Grinders!$A:$N,8,FALSE),""))</f>
        <v/>
      </c>
      <c r="R628" s="40" t="str">
        <f>IFERROR(IF($J628="","",IF($L628="Elite",MAX(50,MIN(100,Config!$B$27*MAX(0,MIN(100,(1-IF($O628="",0,$O628))*100)) + Config!$B$28*MAX(0,MIN(100,(1-MIN(1,IF(Config!$B$30=0,1,$P628/Config!$B$30)))*100)) + Config!$B$29*MAX(0,MIN(100,MIN(1,IF($Q628="",0,$Q628)/Config!$B$23)*100)))),MIN(100,Config!$B$27*MAX(0,MIN(100,(1-IF($O628="",0,$O628))*100)) + Config!$B$28*MAX(0,MIN(100,(1-MIN(1,IF(Config!$B$30=0,1,$P628/Config!$B$30)))*100)) + Config!$B$29*MAX(0,MIN(100,MIN(1,IF($Q628="",0,$Q628)/Config!$B$23)*100))))),"")
</f>
        <v/>
      </c>
      <c r="S628" s="40" t="str">
        <f>IF(Bids!$D628="","",Bids!$D628)</f>
        <v/>
      </c>
      <c r="T628" s="40" t="str">
        <f>IF(Bids!$F628="","",Bids!$F628)</f>
        <v/>
      </c>
      <c r="U628" s="40" t="str">
        <f t="shared" si="3"/>
        <v/>
      </c>
      <c r="V628" s="40" t="str">
        <f>IF($U628="","",IF(Config!$B$17=Config!$B$16,IF($U628&gt;=Config!$B$17,100,0),MAX(0,MIN(100,($U628-Config!$B$16)/(Config!$B$17-Config!$B$16)*100))))</f>
        <v/>
      </c>
      <c r="W628" s="40">
        <f>IF($L628="Elite",Config!$B$21,0)</f>
        <v>0</v>
      </c>
      <c r="X628" s="40" t="str">
        <f>IFERROR(IF(OR($T628="",$G628=""),"",IF($T628&gt;$G628,
  MAX(0, 60-(($T628-$G628)*24/Config!$B$19)*60),
  MEDIAN(60, 100, 60+(($G628-$T628)*24/Config!$B$20)*40)
)),"")
</f>
        <v/>
      </c>
      <c r="Y628" s="40" t="str">
        <f>IF($J628="","",IFERROR(VLOOKUP($J628,Grinders!$A:$N,10,FALSE),""))</f>
        <v/>
      </c>
      <c r="Z628" s="40" t="str">
        <f>IF($J628="","",IFERROR(VLOOKUP($J628,Grinders!$A:$N,11,FALSE),""))</f>
        <v/>
      </c>
      <c r="AA628" s="40" t="str">
        <f>IF($J628="","",IFERROR(VLOOKUP($J628,Grinders!$A:$N,12,FALSE),""))</f>
        <v/>
      </c>
      <c r="AB628" s="40">
        <f>IFERROR(IF(OR($C628="",$J628=""),0,IF($D628&lt;&gt;"Open",0,IF(COUNTIFS(GrinderServices!$B:$B,$J628,GrinderServices!$C:$C,$E628,GrinderServices!$E:$E,"Y")=0,0,IF($U628&lt;Config!$B$16,0,IF(Config!$B$18=1,IF($N628&gt;=$M628,0,1),1))))),"")</f>
        <v>0</v>
      </c>
      <c r="AC628" s="40" t="str">
        <f>IFERROR(IF($AB628=0,"",((Config!$B$6*$V628 + Config!$B$7*$R628 + Config!$B$8*$W628 + Config!$B$9*$X628 + Config!$B$10*$Y628 + Config!$B$11*$Z628 - Config!$B$12*$AA628)/Config!$B$13)+$AH628+$AI628),"")</f>
        <v/>
      </c>
      <c r="AD628" s="40" t="str">
        <f t="shared" si="4"/>
        <v/>
      </c>
      <c r="AE628" s="40" t="str">
        <f>IFERROR(__xludf.DUMMYFUNCTION("IF($AC628="""","""",IF($AC628=IFERROR(MAX(FILTER($AC$6:$AC$1000,$C$6:$C$1000=$C628,$AB$6:$AB$1000=1)),),""WINNER"",""""))"),"")</f>
        <v/>
      </c>
      <c r="AF628" s="40" t="str">
        <f t="shared" si="5"/>
        <v/>
      </c>
      <c r="AG628" s="40" t="str">
        <f>IF($J628="","",COUNTIF(Assignments!$B:$B,$J628))</f>
        <v/>
      </c>
      <c r="AH628" s="40" t="str">
        <f>IF($J628="","",IF(AND($AG628=0,$N628&lt;$M628),Config!$B$43,0))</f>
        <v/>
      </c>
      <c r="AI628" s="40" t="str">
        <f>IF($J628="","",IF(AND($L628="Elite",$F628&gt;=Config!$B$41,$N628&lt;$M628),Config!$B$42,0))</f>
        <v/>
      </c>
      <c r="AJ628" s="22"/>
    </row>
    <row r="629" ht="15.75" customHeight="1">
      <c r="A629" s="40" t="str">
        <f t="shared" si="1"/>
        <v/>
      </c>
      <c r="B629" s="40" t="str">
        <f>IF(Bids!$A629="","",Bids!$A629)</f>
        <v/>
      </c>
      <c r="C629" s="40" t="str">
        <f>IF(Bids!$B629="","",Bids!$B629)</f>
        <v/>
      </c>
      <c r="D629" s="40" t="str">
        <f>IF($C629="","",IFERROR(VLOOKUP($C629,Orders!$A:$J,9,FALSE),""))</f>
        <v/>
      </c>
      <c r="E629" s="40" t="str">
        <f>IF($C629="","",IFERROR(VLOOKUP($C629,Orders!$A:$J,3,FALSE),""))</f>
        <v/>
      </c>
      <c r="F629" s="40" t="str">
        <f>IF($C629="","",IFERROR(VLOOKUP($C629,Orders!$A:$J,4,FALSE),""))</f>
        <v/>
      </c>
      <c r="G629" s="40" t="str">
        <f>IF($C629="","",IFERROR(VLOOKUP($C629,Orders!$A:$J,5,FALSE),""))</f>
        <v/>
      </c>
      <c r="H629" s="40" t="str">
        <f>IF($C629="","",IFERROR(VLOOKUP($C629,Orders!$A:$J,6,FALSE),""))</f>
        <v/>
      </c>
      <c r="I629" s="40" t="str">
        <f>IF($C629="","",IFERROR(VLOOKUP($C629,Orders!$A:$J,7,FALSE),""))</f>
        <v/>
      </c>
      <c r="J629" s="40" t="str">
        <f>IF(Bids!$C629="","",Bids!$C629)</f>
        <v/>
      </c>
      <c r="K629" s="40" t="str">
        <f>IF($J629="","",IFERROR(VLOOKUP($J629,Grinders!$A:$N,2,FALSE),""))</f>
        <v/>
      </c>
      <c r="L629" s="40" t="str">
        <f>IF($J629="","",IFERROR(VLOOKUP($J629,Grinders!$A:$N,3,FALSE),""))</f>
        <v/>
      </c>
      <c r="M629" s="40" t="str">
        <f>IF($J629="","",IFERROR(VLOOKUP($J629,Grinders!$A:$N,4,FALSE),""))</f>
        <v/>
      </c>
      <c r="N629" s="40" t="str">
        <f>IF($J629="","",IFERROR(VLOOKUP($J629,Grinders!$A:$N,5,FALSE),""))</f>
        <v/>
      </c>
      <c r="O629" s="40" t="str">
        <f t="shared" si="2"/>
        <v/>
      </c>
      <c r="P629" s="40" t="str">
        <f>IF($J629="","",IFERROR(VLOOKUP($J629,Grinders!$A:$N,6,FALSE),""))</f>
        <v/>
      </c>
      <c r="Q629" s="40" t="str">
        <f>IF($J629="","",IFERROR(VLOOKUP($J629,Grinders!$A:$N,8,FALSE),""))</f>
        <v/>
      </c>
      <c r="R629" s="40" t="str">
        <f>IFERROR(IF($J629="","",IF($L629="Elite",MAX(50,MIN(100,Config!$B$27*MAX(0,MIN(100,(1-IF($O629="",0,$O629))*100)) + Config!$B$28*MAX(0,MIN(100,(1-MIN(1,IF(Config!$B$30=0,1,$P629/Config!$B$30)))*100)) + Config!$B$29*MAX(0,MIN(100,MIN(1,IF($Q629="",0,$Q629)/Config!$B$23)*100)))),MIN(100,Config!$B$27*MAX(0,MIN(100,(1-IF($O629="",0,$O629))*100)) + Config!$B$28*MAX(0,MIN(100,(1-MIN(1,IF(Config!$B$30=0,1,$P629/Config!$B$30)))*100)) + Config!$B$29*MAX(0,MIN(100,MIN(1,IF($Q629="",0,$Q629)/Config!$B$23)*100))))),"")
</f>
        <v/>
      </c>
      <c r="S629" s="40" t="str">
        <f>IF(Bids!$D629="","",Bids!$D629)</f>
        <v/>
      </c>
      <c r="T629" s="40" t="str">
        <f>IF(Bids!$F629="","",Bids!$F629)</f>
        <v/>
      </c>
      <c r="U629" s="40" t="str">
        <f t="shared" si="3"/>
        <v/>
      </c>
      <c r="V629" s="40" t="str">
        <f>IF($U629="","",IF(Config!$B$17=Config!$B$16,IF($U629&gt;=Config!$B$17,100,0),MAX(0,MIN(100,($U629-Config!$B$16)/(Config!$B$17-Config!$B$16)*100))))</f>
        <v/>
      </c>
      <c r="W629" s="40">
        <f>IF($L629="Elite",Config!$B$21,0)</f>
        <v>0</v>
      </c>
      <c r="X629" s="40" t="str">
        <f>IFERROR(IF(OR($T629="",$G629=""),"",IF($T629&gt;$G629,
  MAX(0, 60-(($T629-$G629)*24/Config!$B$19)*60),
  MEDIAN(60, 100, 60+(($G629-$T629)*24/Config!$B$20)*40)
)),"")
</f>
        <v/>
      </c>
      <c r="Y629" s="40" t="str">
        <f>IF($J629="","",IFERROR(VLOOKUP($J629,Grinders!$A:$N,10,FALSE),""))</f>
        <v/>
      </c>
      <c r="Z629" s="40" t="str">
        <f>IF($J629="","",IFERROR(VLOOKUP($J629,Grinders!$A:$N,11,FALSE),""))</f>
        <v/>
      </c>
      <c r="AA629" s="40" t="str">
        <f>IF($J629="","",IFERROR(VLOOKUP($J629,Grinders!$A:$N,12,FALSE),""))</f>
        <v/>
      </c>
      <c r="AB629" s="40">
        <f>IFERROR(IF(OR($C629="",$J629=""),0,IF($D629&lt;&gt;"Open",0,IF(COUNTIFS(GrinderServices!$B:$B,$J629,GrinderServices!$C:$C,$E629,GrinderServices!$E:$E,"Y")=0,0,IF($U629&lt;Config!$B$16,0,IF(Config!$B$18=1,IF($N629&gt;=$M629,0,1),1))))),"")</f>
        <v>0</v>
      </c>
      <c r="AC629" s="40" t="str">
        <f>IFERROR(IF($AB629=0,"",((Config!$B$6*$V629 + Config!$B$7*$R629 + Config!$B$8*$W629 + Config!$B$9*$X629 + Config!$B$10*$Y629 + Config!$B$11*$Z629 - Config!$B$12*$AA629)/Config!$B$13)+$AH629+$AI629),"")</f>
        <v/>
      </c>
      <c r="AD629" s="40" t="str">
        <f t="shared" si="4"/>
        <v/>
      </c>
      <c r="AE629" s="40" t="str">
        <f>IFERROR(__xludf.DUMMYFUNCTION("IF($AC629="""","""",IF($AC629=IFERROR(MAX(FILTER($AC$6:$AC$1000,$C$6:$C$1000=$C629,$AB$6:$AB$1000=1)),),""WINNER"",""""))"),"")</f>
        <v/>
      </c>
      <c r="AF629" s="40" t="str">
        <f t="shared" si="5"/>
        <v/>
      </c>
      <c r="AG629" s="40" t="str">
        <f>IF($J629="","",COUNTIF(Assignments!$B:$B,$J629))</f>
        <v/>
      </c>
      <c r="AH629" s="40" t="str">
        <f>IF($J629="","",IF(AND($AG629=0,$N629&lt;$M629),Config!$B$43,0))</f>
        <v/>
      </c>
      <c r="AI629" s="40" t="str">
        <f>IF($J629="","",IF(AND($L629="Elite",$F629&gt;=Config!$B$41,$N629&lt;$M629),Config!$B$42,0))</f>
        <v/>
      </c>
      <c r="AJ629" s="22"/>
    </row>
    <row r="630" ht="15.75" customHeight="1">
      <c r="A630" s="40" t="str">
        <f t="shared" si="1"/>
        <v/>
      </c>
      <c r="B630" s="40" t="str">
        <f>IF(Bids!$A630="","",Bids!$A630)</f>
        <v/>
      </c>
      <c r="C630" s="40" t="str">
        <f>IF(Bids!$B630="","",Bids!$B630)</f>
        <v/>
      </c>
      <c r="D630" s="40" t="str">
        <f>IF($C630="","",IFERROR(VLOOKUP($C630,Orders!$A:$J,9,FALSE),""))</f>
        <v/>
      </c>
      <c r="E630" s="40" t="str">
        <f>IF($C630="","",IFERROR(VLOOKUP($C630,Orders!$A:$J,3,FALSE),""))</f>
        <v/>
      </c>
      <c r="F630" s="40" t="str">
        <f>IF($C630="","",IFERROR(VLOOKUP($C630,Orders!$A:$J,4,FALSE),""))</f>
        <v/>
      </c>
      <c r="G630" s="40" t="str">
        <f>IF($C630="","",IFERROR(VLOOKUP($C630,Orders!$A:$J,5,FALSE),""))</f>
        <v/>
      </c>
      <c r="H630" s="40" t="str">
        <f>IF($C630="","",IFERROR(VLOOKUP($C630,Orders!$A:$J,6,FALSE),""))</f>
        <v/>
      </c>
      <c r="I630" s="40" t="str">
        <f>IF($C630="","",IFERROR(VLOOKUP($C630,Orders!$A:$J,7,FALSE),""))</f>
        <v/>
      </c>
      <c r="J630" s="40" t="str">
        <f>IF(Bids!$C630="","",Bids!$C630)</f>
        <v/>
      </c>
      <c r="K630" s="40" t="str">
        <f>IF($J630="","",IFERROR(VLOOKUP($J630,Grinders!$A:$N,2,FALSE),""))</f>
        <v/>
      </c>
      <c r="L630" s="40" t="str">
        <f>IF($J630="","",IFERROR(VLOOKUP($J630,Grinders!$A:$N,3,FALSE),""))</f>
        <v/>
      </c>
      <c r="M630" s="40" t="str">
        <f>IF($J630="","",IFERROR(VLOOKUP($J630,Grinders!$A:$N,4,FALSE),""))</f>
        <v/>
      </c>
      <c r="N630" s="40" t="str">
        <f>IF($J630="","",IFERROR(VLOOKUP($J630,Grinders!$A:$N,5,FALSE),""))</f>
        <v/>
      </c>
      <c r="O630" s="40" t="str">
        <f t="shared" si="2"/>
        <v/>
      </c>
      <c r="P630" s="40" t="str">
        <f>IF($J630="","",IFERROR(VLOOKUP($J630,Grinders!$A:$N,6,FALSE),""))</f>
        <v/>
      </c>
      <c r="Q630" s="40" t="str">
        <f>IF($J630="","",IFERROR(VLOOKUP($J630,Grinders!$A:$N,8,FALSE),""))</f>
        <v/>
      </c>
      <c r="R630" s="40" t="str">
        <f>IFERROR(IF($J630="","",IF($L630="Elite",MAX(50,MIN(100,Config!$B$27*MAX(0,MIN(100,(1-IF($O630="",0,$O630))*100)) + Config!$B$28*MAX(0,MIN(100,(1-MIN(1,IF(Config!$B$30=0,1,$P630/Config!$B$30)))*100)) + Config!$B$29*MAX(0,MIN(100,MIN(1,IF($Q630="",0,$Q630)/Config!$B$23)*100)))),MIN(100,Config!$B$27*MAX(0,MIN(100,(1-IF($O630="",0,$O630))*100)) + Config!$B$28*MAX(0,MIN(100,(1-MIN(1,IF(Config!$B$30=0,1,$P630/Config!$B$30)))*100)) + Config!$B$29*MAX(0,MIN(100,MIN(1,IF($Q630="",0,$Q630)/Config!$B$23)*100))))),"")
</f>
        <v/>
      </c>
      <c r="S630" s="40" t="str">
        <f>IF(Bids!$D630="","",Bids!$D630)</f>
        <v/>
      </c>
      <c r="T630" s="40" t="str">
        <f>IF(Bids!$F630="","",Bids!$F630)</f>
        <v/>
      </c>
      <c r="U630" s="40" t="str">
        <f t="shared" si="3"/>
        <v/>
      </c>
      <c r="V630" s="40" t="str">
        <f>IF($U630="","",IF(Config!$B$17=Config!$B$16,IF($U630&gt;=Config!$B$17,100,0),MAX(0,MIN(100,($U630-Config!$B$16)/(Config!$B$17-Config!$B$16)*100))))</f>
        <v/>
      </c>
      <c r="W630" s="40">
        <f>IF($L630="Elite",Config!$B$21,0)</f>
        <v>0</v>
      </c>
      <c r="X630" s="40" t="str">
        <f>IFERROR(IF(OR($T630="",$G630=""),"",IF($T630&gt;$G630,
  MAX(0, 60-(($T630-$G630)*24/Config!$B$19)*60),
  MEDIAN(60, 100, 60+(($G630-$T630)*24/Config!$B$20)*40)
)),"")
</f>
        <v/>
      </c>
      <c r="Y630" s="40" t="str">
        <f>IF($J630="","",IFERROR(VLOOKUP($J630,Grinders!$A:$N,10,FALSE),""))</f>
        <v/>
      </c>
      <c r="Z630" s="40" t="str">
        <f>IF($J630="","",IFERROR(VLOOKUP($J630,Grinders!$A:$N,11,FALSE),""))</f>
        <v/>
      </c>
      <c r="AA630" s="40" t="str">
        <f>IF($J630="","",IFERROR(VLOOKUP($J630,Grinders!$A:$N,12,FALSE),""))</f>
        <v/>
      </c>
      <c r="AB630" s="40">
        <f>IFERROR(IF(OR($C630="",$J630=""),0,IF($D630&lt;&gt;"Open",0,IF(COUNTIFS(GrinderServices!$B:$B,$J630,GrinderServices!$C:$C,$E630,GrinderServices!$E:$E,"Y")=0,0,IF($U630&lt;Config!$B$16,0,IF(Config!$B$18=1,IF($N630&gt;=$M630,0,1),1))))),"")</f>
        <v>0</v>
      </c>
      <c r="AC630" s="40" t="str">
        <f>IFERROR(IF($AB630=0,"",((Config!$B$6*$V630 + Config!$B$7*$R630 + Config!$B$8*$W630 + Config!$B$9*$X630 + Config!$B$10*$Y630 + Config!$B$11*$Z630 - Config!$B$12*$AA630)/Config!$B$13)+$AH630+$AI630),"")</f>
        <v/>
      </c>
      <c r="AD630" s="40" t="str">
        <f t="shared" si="4"/>
        <v/>
      </c>
      <c r="AE630" s="40" t="str">
        <f>IFERROR(__xludf.DUMMYFUNCTION("IF($AC630="""","""",IF($AC630=IFERROR(MAX(FILTER($AC$6:$AC$1000,$C$6:$C$1000=$C630,$AB$6:$AB$1000=1)),),""WINNER"",""""))"),"")</f>
        <v/>
      </c>
      <c r="AF630" s="40" t="str">
        <f t="shared" si="5"/>
        <v/>
      </c>
      <c r="AG630" s="40" t="str">
        <f>IF($J630="","",COUNTIF(Assignments!$B:$B,$J630))</f>
        <v/>
      </c>
      <c r="AH630" s="40" t="str">
        <f>IF($J630="","",IF(AND($AG630=0,$N630&lt;$M630),Config!$B$43,0))</f>
        <v/>
      </c>
      <c r="AI630" s="40" t="str">
        <f>IF($J630="","",IF(AND($L630="Elite",$F630&gt;=Config!$B$41,$N630&lt;$M630),Config!$B$42,0))</f>
        <v/>
      </c>
      <c r="AJ630" s="22"/>
    </row>
    <row r="631" ht="15.75" customHeight="1">
      <c r="A631" s="40" t="str">
        <f t="shared" si="1"/>
        <v/>
      </c>
      <c r="B631" s="40" t="str">
        <f>IF(Bids!$A631="","",Bids!$A631)</f>
        <v/>
      </c>
      <c r="C631" s="40" t="str">
        <f>IF(Bids!$B631="","",Bids!$B631)</f>
        <v/>
      </c>
      <c r="D631" s="40" t="str">
        <f>IF($C631="","",IFERROR(VLOOKUP($C631,Orders!$A:$J,9,FALSE),""))</f>
        <v/>
      </c>
      <c r="E631" s="40" t="str">
        <f>IF($C631="","",IFERROR(VLOOKUP($C631,Orders!$A:$J,3,FALSE),""))</f>
        <v/>
      </c>
      <c r="F631" s="40" t="str">
        <f>IF($C631="","",IFERROR(VLOOKUP($C631,Orders!$A:$J,4,FALSE),""))</f>
        <v/>
      </c>
      <c r="G631" s="40" t="str">
        <f>IF($C631="","",IFERROR(VLOOKUP($C631,Orders!$A:$J,5,FALSE),""))</f>
        <v/>
      </c>
      <c r="H631" s="40" t="str">
        <f>IF($C631="","",IFERROR(VLOOKUP($C631,Orders!$A:$J,6,FALSE),""))</f>
        <v/>
      </c>
      <c r="I631" s="40" t="str">
        <f>IF($C631="","",IFERROR(VLOOKUP($C631,Orders!$A:$J,7,FALSE),""))</f>
        <v/>
      </c>
      <c r="J631" s="40" t="str">
        <f>IF(Bids!$C631="","",Bids!$C631)</f>
        <v/>
      </c>
      <c r="K631" s="40" t="str">
        <f>IF($J631="","",IFERROR(VLOOKUP($J631,Grinders!$A:$N,2,FALSE),""))</f>
        <v/>
      </c>
      <c r="L631" s="40" t="str">
        <f>IF($J631="","",IFERROR(VLOOKUP($J631,Grinders!$A:$N,3,FALSE),""))</f>
        <v/>
      </c>
      <c r="M631" s="40" t="str">
        <f>IF($J631="","",IFERROR(VLOOKUP($J631,Grinders!$A:$N,4,FALSE),""))</f>
        <v/>
      </c>
      <c r="N631" s="40" t="str">
        <f>IF($J631="","",IFERROR(VLOOKUP($J631,Grinders!$A:$N,5,FALSE),""))</f>
        <v/>
      </c>
      <c r="O631" s="40" t="str">
        <f t="shared" si="2"/>
        <v/>
      </c>
      <c r="P631" s="40" t="str">
        <f>IF($J631="","",IFERROR(VLOOKUP($J631,Grinders!$A:$N,6,FALSE),""))</f>
        <v/>
      </c>
      <c r="Q631" s="40" t="str">
        <f>IF($J631="","",IFERROR(VLOOKUP($J631,Grinders!$A:$N,8,FALSE),""))</f>
        <v/>
      </c>
      <c r="R631" s="40" t="str">
        <f>IFERROR(IF($J631="","",IF($L631="Elite",MAX(50,MIN(100,Config!$B$27*MAX(0,MIN(100,(1-IF($O631="",0,$O631))*100)) + Config!$B$28*MAX(0,MIN(100,(1-MIN(1,IF(Config!$B$30=0,1,$P631/Config!$B$30)))*100)) + Config!$B$29*MAX(0,MIN(100,MIN(1,IF($Q631="",0,$Q631)/Config!$B$23)*100)))),MIN(100,Config!$B$27*MAX(0,MIN(100,(1-IF($O631="",0,$O631))*100)) + Config!$B$28*MAX(0,MIN(100,(1-MIN(1,IF(Config!$B$30=0,1,$P631/Config!$B$30)))*100)) + Config!$B$29*MAX(0,MIN(100,MIN(1,IF($Q631="",0,$Q631)/Config!$B$23)*100))))),"")
</f>
        <v/>
      </c>
      <c r="S631" s="40" t="str">
        <f>IF(Bids!$D631="","",Bids!$D631)</f>
        <v/>
      </c>
      <c r="T631" s="40" t="str">
        <f>IF(Bids!$F631="","",Bids!$F631)</f>
        <v/>
      </c>
      <c r="U631" s="40" t="str">
        <f t="shared" si="3"/>
        <v/>
      </c>
      <c r="V631" s="40" t="str">
        <f>IF($U631="","",IF(Config!$B$17=Config!$B$16,IF($U631&gt;=Config!$B$17,100,0),MAX(0,MIN(100,($U631-Config!$B$16)/(Config!$B$17-Config!$B$16)*100))))</f>
        <v/>
      </c>
      <c r="W631" s="40">
        <f>IF($L631="Elite",Config!$B$21,0)</f>
        <v>0</v>
      </c>
      <c r="X631" s="40" t="str">
        <f>IFERROR(IF(OR($T631="",$G631=""),"",IF($T631&gt;$G631,
  MAX(0, 60-(($T631-$G631)*24/Config!$B$19)*60),
  MEDIAN(60, 100, 60+(($G631-$T631)*24/Config!$B$20)*40)
)),"")
</f>
        <v/>
      </c>
      <c r="Y631" s="40" t="str">
        <f>IF($J631="","",IFERROR(VLOOKUP($J631,Grinders!$A:$N,10,FALSE),""))</f>
        <v/>
      </c>
      <c r="Z631" s="40" t="str">
        <f>IF($J631="","",IFERROR(VLOOKUP($J631,Grinders!$A:$N,11,FALSE),""))</f>
        <v/>
      </c>
      <c r="AA631" s="40" t="str">
        <f>IF($J631="","",IFERROR(VLOOKUP($J631,Grinders!$A:$N,12,FALSE),""))</f>
        <v/>
      </c>
      <c r="AB631" s="40">
        <f>IFERROR(IF(OR($C631="",$J631=""),0,IF($D631&lt;&gt;"Open",0,IF(COUNTIFS(GrinderServices!$B:$B,$J631,GrinderServices!$C:$C,$E631,GrinderServices!$E:$E,"Y")=0,0,IF($U631&lt;Config!$B$16,0,IF(Config!$B$18=1,IF($N631&gt;=$M631,0,1),1))))),"")</f>
        <v>0</v>
      </c>
      <c r="AC631" s="40" t="str">
        <f>IFERROR(IF($AB631=0,"",((Config!$B$6*$V631 + Config!$B$7*$R631 + Config!$B$8*$W631 + Config!$B$9*$X631 + Config!$B$10*$Y631 + Config!$B$11*$Z631 - Config!$B$12*$AA631)/Config!$B$13)+$AH631+$AI631),"")</f>
        <v/>
      </c>
      <c r="AD631" s="40" t="str">
        <f t="shared" si="4"/>
        <v/>
      </c>
      <c r="AE631" s="40" t="str">
        <f>IFERROR(__xludf.DUMMYFUNCTION("IF($AC631="""","""",IF($AC631=IFERROR(MAX(FILTER($AC$6:$AC$1000,$C$6:$C$1000=$C631,$AB$6:$AB$1000=1)),),""WINNER"",""""))"),"")</f>
        <v/>
      </c>
      <c r="AF631" s="40" t="str">
        <f t="shared" si="5"/>
        <v/>
      </c>
      <c r="AG631" s="40" t="str">
        <f>IF($J631="","",COUNTIF(Assignments!$B:$B,$J631))</f>
        <v/>
      </c>
      <c r="AH631" s="40" t="str">
        <f>IF($J631="","",IF(AND($AG631=0,$N631&lt;$M631),Config!$B$43,0))</f>
        <v/>
      </c>
      <c r="AI631" s="40" t="str">
        <f>IF($J631="","",IF(AND($L631="Elite",$F631&gt;=Config!$B$41,$N631&lt;$M631),Config!$B$42,0))</f>
        <v/>
      </c>
      <c r="AJ631" s="22"/>
    </row>
    <row r="632" ht="15.75" customHeight="1">
      <c r="A632" s="40" t="str">
        <f t="shared" si="1"/>
        <v/>
      </c>
      <c r="B632" s="40" t="str">
        <f>IF(Bids!$A632="","",Bids!$A632)</f>
        <v/>
      </c>
      <c r="C632" s="40" t="str">
        <f>IF(Bids!$B632="","",Bids!$B632)</f>
        <v/>
      </c>
      <c r="D632" s="40" t="str">
        <f>IF($C632="","",IFERROR(VLOOKUP($C632,Orders!$A:$J,9,FALSE),""))</f>
        <v/>
      </c>
      <c r="E632" s="40" t="str">
        <f>IF($C632="","",IFERROR(VLOOKUP($C632,Orders!$A:$J,3,FALSE),""))</f>
        <v/>
      </c>
      <c r="F632" s="40" t="str">
        <f>IF($C632="","",IFERROR(VLOOKUP($C632,Orders!$A:$J,4,FALSE),""))</f>
        <v/>
      </c>
      <c r="G632" s="40" t="str">
        <f>IF($C632="","",IFERROR(VLOOKUP($C632,Orders!$A:$J,5,FALSE),""))</f>
        <v/>
      </c>
      <c r="H632" s="40" t="str">
        <f>IF($C632="","",IFERROR(VLOOKUP($C632,Orders!$A:$J,6,FALSE),""))</f>
        <v/>
      </c>
      <c r="I632" s="40" t="str">
        <f>IF($C632="","",IFERROR(VLOOKUP($C632,Orders!$A:$J,7,FALSE),""))</f>
        <v/>
      </c>
      <c r="J632" s="40" t="str">
        <f>IF(Bids!$C632="","",Bids!$C632)</f>
        <v/>
      </c>
      <c r="K632" s="40" t="str">
        <f>IF($J632="","",IFERROR(VLOOKUP($J632,Grinders!$A:$N,2,FALSE),""))</f>
        <v/>
      </c>
      <c r="L632" s="40" t="str">
        <f>IF($J632="","",IFERROR(VLOOKUP($J632,Grinders!$A:$N,3,FALSE),""))</f>
        <v/>
      </c>
      <c r="M632" s="40" t="str">
        <f>IF($J632="","",IFERROR(VLOOKUP($J632,Grinders!$A:$N,4,FALSE),""))</f>
        <v/>
      </c>
      <c r="N632" s="40" t="str">
        <f>IF($J632="","",IFERROR(VLOOKUP($J632,Grinders!$A:$N,5,FALSE),""))</f>
        <v/>
      </c>
      <c r="O632" s="40" t="str">
        <f t="shared" si="2"/>
        <v/>
      </c>
      <c r="P632" s="40" t="str">
        <f>IF($J632="","",IFERROR(VLOOKUP($J632,Grinders!$A:$N,6,FALSE),""))</f>
        <v/>
      </c>
      <c r="Q632" s="40" t="str">
        <f>IF($J632="","",IFERROR(VLOOKUP($J632,Grinders!$A:$N,8,FALSE),""))</f>
        <v/>
      </c>
      <c r="R632" s="40" t="str">
        <f>IFERROR(IF($J632="","",IF($L632="Elite",MAX(50,MIN(100,Config!$B$27*MAX(0,MIN(100,(1-IF($O632="",0,$O632))*100)) + Config!$B$28*MAX(0,MIN(100,(1-MIN(1,IF(Config!$B$30=0,1,$P632/Config!$B$30)))*100)) + Config!$B$29*MAX(0,MIN(100,MIN(1,IF($Q632="",0,$Q632)/Config!$B$23)*100)))),MIN(100,Config!$B$27*MAX(0,MIN(100,(1-IF($O632="",0,$O632))*100)) + Config!$B$28*MAX(0,MIN(100,(1-MIN(1,IF(Config!$B$30=0,1,$P632/Config!$B$30)))*100)) + Config!$B$29*MAX(0,MIN(100,MIN(1,IF($Q632="",0,$Q632)/Config!$B$23)*100))))),"")
</f>
        <v/>
      </c>
      <c r="S632" s="40" t="str">
        <f>IF(Bids!$D632="","",Bids!$D632)</f>
        <v/>
      </c>
      <c r="T632" s="40" t="str">
        <f>IF(Bids!$F632="","",Bids!$F632)</f>
        <v/>
      </c>
      <c r="U632" s="40" t="str">
        <f t="shared" si="3"/>
        <v/>
      </c>
      <c r="V632" s="40" t="str">
        <f>IF($U632="","",IF(Config!$B$17=Config!$B$16,IF($U632&gt;=Config!$B$17,100,0),MAX(0,MIN(100,($U632-Config!$B$16)/(Config!$B$17-Config!$B$16)*100))))</f>
        <v/>
      </c>
      <c r="W632" s="40">
        <f>IF($L632="Elite",Config!$B$21,0)</f>
        <v>0</v>
      </c>
      <c r="X632" s="40" t="str">
        <f>IFERROR(IF(OR($T632="",$G632=""),"",IF($T632&gt;$G632,
  MAX(0, 60-(($T632-$G632)*24/Config!$B$19)*60),
  MEDIAN(60, 100, 60+(($G632-$T632)*24/Config!$B$20)*40)
)),"")
</f>
        <v/>
      </c>
      <c r="Y632" s="40" t="str">
        <f>IF($J632="","",IFERROR(VLOOKUP($J632,Grinders!$A:$N,10,FALSE),""))</f>
        <v/>
      </c>
      <c r="Z632" s="40" t="str">
        <f>IF($J632="","",IFERROR(VLOOKUP($J632,Grinders!$A:$N,11,FALSE),""))</f>
        <v/>
      </c>
      <c r="AA632" s="40" t="str">
        <f>IF($J632="","",IFERROR(VLOOKUP($J632,Grinders!$A:$N,12,FALSE),""))</f>
        <v/>
      </c>
      <c r="AB632" s="40">
        <f>IFERROR(IF(OR($C632="",$J632=""),0,IF($D632&lt;&gt;"Open",0,IF(COUNTIFS(GrinderServices!$B:$B,$J632,GrinderServices!$C:$C,$E632,GrinderServices!$E:$E,"Y")=0,0,IF($U632&lt;Config!$B$16,0,IF(Config!$B$18=1,IF($N632&gt;=$M632,0,1),1))))),"")</f>
        <v>0</v>
      </c>
      <c r="AC632" s="40" t="str">
        <f>IFERROR(IF($AB632=0,"",((Config!$B$6*$V632 + Config!$B$7*$R632 + Config!$B$8*$W632 + Config!$B$9*$X632 + Config!$B$10*$Y632 + Config!$B$11*$Z632 - Config!$B$12*$AA632)/Config!$B$13)+$AH632+$AI632),"")</f>
        <v/>
      </c>
      <c r="AD632" s="40" t="str">
        <f t="shared" si="4"/>
        <v/>
      </c>
      <c r="AE632" s="40" t="str">
        <f>IFERROR(__xludf.DUMMYFUNCTION("IF($AC632="""","""",IF($AC632=IFERROR(MAX(FILTER($AC$6:$AC$1000,$C$6:$C$1000=$C632,$AB$6:$AB$1000=1)),),""WINNER"",""""))"),"")</f>
        <v/>
      </c>
      <c r="AF632" s="40" t="str">
        <f t="shared" si="5"/>
        <v/>
      </c>
      <c r="AG632" s="40" t="str">
        <f>IF($J632="","",COUNTIF(Assignments!$B:$B,$J632))</f>
        <v/>
      </c>
      <c r="AH632" s="40" t="str">
        <f>IF($J632="","",IF(AND($AG632=0,$N632&lt;$M632),Config!$B$43,0))</f>
        <v/>
      </c>
      <c r="AI632" s="40" t="str">
        <f>IF($J632="","",IF(AND($L632="Elite",$F632&gt;=Config!$B$41,$N632&lt;$M632),Config!$B$42,0))</f>
        <v/>
      </c>
      <c r="AJ632" s="22"/>
    </row>
    <row r="633" ht="15.75" customHeight="1">
      <c r="A633" s="40" t="str">
        <f t="shared" si="1"/>
        <v/>
      </c>
      <c r="B633" s="40" t="str">
        <f>IF(Bids!$A633="","",Bids!$A633)</f>
        <v/>
      </c>
      <c r="C633" s="40" t="str">
        <f>IF(Bids!$B633="","",Bids!$B633)</f>
        <v/>
      </c>
      <c r="D633" s="40" t="str">
        <f>IF($C633="","",IFERROR(VLOOKUP($C633,Orders!$A:$J,9,FALSE),""))</f>
        <v/>
      </c>
      <c r="E633" s="40" t="str">
        <f>IF($C633="","",IFERROR(VLOOKUP($C633,Orders!$A:$J,3,FALSE),""))</f>
        <v/>
      </c>
      <c r="F633" s="40" t="str">
        <f>IF($C633="","",IFERROR(VLOOKUP($C633,Orders!$A:$J,4,FALSE),""))</f>
        <v/>
      </c>
      <c r="G633" s="40" t="str">
        <f>IF($C633="","",IFERROR(VLOOKUP($C633,Orders!$A:$J,5,FALSE),""))</f>
        <v/>
      </c>
      <c r="H633" s="40" t="str">
        <f>IF($C633="","",IFERROR(VLOOKUP($C633,Orders!$A:$J,6,FALSE),""))</f>
        <v/>
      </c>
      <c r="I633" s="40" t="str">
        <f>IF($C633="","",IFERROR(VLOOKUP($C633,Orders!$A:$J,7,FALSE),""))</f>
        <v/>
      </c>
      <c r="J633" s="40" t="str">
        <f>IF(Bids!$C633="","",Bids!$C633)</f>
        <v/>
      </c>
      <c r="K633" s="40" t="str">
        <f>IF($J633="","",IFERROR(VLOOKUP($J633,Grinders!$A:$N,2,FALSE),""))</f>
        <v/>
      </c>
      <c r="L633" s="40" t="str">
        <f>IF($J633="","",IFERROR(VLOOKUP($J633,Grinders!$A:$N,3,FALSE),""))</f>
        <v/>
      </c>
      <c r="M633" s="40" t="str">
        <f>IF($J633="","",IFERROR(VLOOKUP($J633,Grinders!$A:$N,4,FALSE),""))</f>
        <v/>
      </c>
      <c r="N633" s="40" t="str">
        <f>IF($J633="","",IFERROR(VLOOKUP($J633,Grinders!$A:$N,5,FALSE),""))</f>
        <v/>
      </c>
      <c r="O633" s="40" t="str">
        <f t="shared" si="2"/>
        <v/>
      </c>
      <c r="P633" s="40" t="str">
        <f>IF($J633="","",IFERROR(VLOOKUP($J633,Grinders!$A:$N,6,FALSE),""))</f>
        <v/>
      </c>
      <c r="Q633" s="40" t="str">
        <f>IF($J633="","",IFERROR(VLOOKUP($J633,Grinders!$A:$N,8,FALSE),""))</f>
        <v/>
      </c>
      <c r="R633" s="40" t="str">
        <f>IFERROR(IF($J633="","",IF($L633="Elite",MAX(50,MIN(100,Config!$B$27*MAX(0,MIN(100,(1-IF($O633="",0,$O633))*100)) + Config!$B$28*MAX(0,MIN(100,(1-MIN(1,IF(Config!$B$30=0,1,$P633/Config!$B$30)))*100)) + Config!$B$29*MAX(0,MIN(100,MIN(1,IF($Q633="",0,$Q633)/Config!$B$23)*100)))),MIN(100,Config!$B$27*MAX(0,MIN(100,(1-IF($O633="",0,$O633))*100)) + Config!$B$28*MAX(0,MIN(100,(1-MIN(1,IF(Config!$B$30=0,1,$P633/Config!$B$30)))*100)) + Config!$B$29*MAX(0,MIN(100,MIN(1,IF($Q633="",0,$Q633)/Config!$B$23)*100))))),"")
</f>
        <v/>
      </c>
      <c r="S633" s="40" t="str">
        <f>IF(Bids!$D633="","",Bids!$D633)</f>
        <v/>
      </c>
      <c r="T633" s="40" t="str">
        <f>IF(Bids!$F633="","",Bids!$F633)</f>
        <v/>
      </c>
      <c r="U633" s="40" t="str">
        <f t="shared" si="3"/>
        <v/>
      </c>
      <c r="V633" s="40" t="str">
        <f>IF($U633="","",IF(Config!$B$17=Config!$B$16,IF($U633&gt;=Config!$B$17,100,0),MAX(0,MIN(100,($U633-Config!$B$16)/(Config!$B$17-Config!$B$16)*100))))</f>
        <v/>
      </c>
      <c r="W633" s="40">
        <f>IF($L633="Elite",Config!$B$21,0)</f>
        <v>0</v>
      </c>
      <c r="X633" s="40" t="str">
        <f>IFERROR(IF(OR($T633="",$G633=""),"",IF($T633&gt;$G633,
  MAX(0, 60-(($T633-$G633)*24/Config!$B$19)*60),
  MEDIAN(60, 100, 60+(($G633-$T633)*24/Config!$B$20)*40)
)),"")
</f>
        <v/>
      </c>
      <c r="Y633" s="40" t="str">
        <f>IF($J633="","",IFERROR(VLOOKUP($J633,Grinders!$A:$N,10,FALSE),""))</f>
        <v/>
      </c>
      <c r="Z633" s="40" t="str">
        <f>IF($J633="","",IFERROR(VLOOKUP($J633,Grinders!$A:$N,11,FALSE),""))</f>
        <v/>
      </c>
      <c r="AA633" s="40" t="str">
        <f>IF($J633="","",IFERROR(VLOOKUP($J633,Grinders!$A:$N,12,FALSE),""))</f>
        <v/>
      </c>
      <c r="AB633" s="40">
        <f>IFERROR(IF(OR($C633="",$J633=""),0,IF($D633&lt;&gt;"Open",0,IF(COUNTIFS(GrinderServices!$B:$B,$J633,GrinderServices!$C:$C,$E633,GrinderServices!$E:$E,"Y")=0,0,IF($U633&lt;Config!$B$16,0,IF(Config!$B$18=1,IF($N633&gt;=$M633,0,1),1))))),"")</f>
        <v>0</v>
      </c>
      <c r="AC633" s="40" t="str">
        <f>IFERROR(IF($AB633=0,"",((Config!$B$6*$V633 + Config!$B$7*$R633 + Config!$B$8*$W633 + Config!$B$9*$X633 + Config!$B$10*$Y633 + Config!$B$11*$Z633 - Config!$B$12*$AA633)/Config!$B$13)+$AH633+$AI633),"")</f>
        <v/>
      </c>
      <c r="AD633" s="40" t="str">
        <f t="shared" si="4"/>
        <v/>
      </c>
      <c r="AE633" s="40" t="str">
        <f>IFERROR(__xludf.DUMMYFUNCTION("IF($AC633="""","""",IF($AC633=IFERROR(MAX(FILTER($AC$6:$AC$1000,$C$6:$C$1000=$C633,$AB$6:$AB$1000=1)),),""WINNER"",""""))"),"")</f>
        <v/>
      </c>
      <c r="AF633" s="40" t="str">
        <f t="shared" si="5"/>
        <v/>
      </c>
      <c r="AG633" s="40" t="str">
        <f>IF($J633="","",COUNTIF(Assignments!$B:$B,$J633))</f>
        <v/>
      </c>
      <c r="AH633" s="40" t="str">
        <f>IF($J633="","",IF(AND($AG633=0,$N633&lt;$M633),Config!$B$43,0))</f>
        <v/>
      </c>
      <c r="AI633" s="40" t="str">
        <f>IF($J633="","",IF(AND($L633="Elite",$F633&gt;=Config!$B$41,$N633&lt;$M633),Config!$B$42,0))</f>
        <v/>
      </c>
      <c r="AJ633" s="22"/>
    </row>
    <row r="634" ht="15.75" customHeight="1">
      <c r="A634" s="40" t="str">
        <f t="shared" si="1"/>
        <v/>
      </c>
      <c r="B634" s="40" t="str">
        <f>IF(Bids!$A634="","",Bids!$A634)</f>
        <v/>
      </c>
      <c r="C634" s="40" t="str">
        <f>IF(Bids!$B634="","",Bids!$B634)</f>
        <v/>
      </c>
      <c r="D634" s="40" t="str">
        <f>IF($C634="","",IFERROR(VLOOKUP($C634,Orders!$A:$J,9,FALSE),""))</f>
        <v/>
      </c>
      <c r="E634" s="40" t="str">
        <f>IF($C634="","",IFERROR(VLOOKUP($C634,Orders!$A:$J,3,FALSE),""))</f>
        <v/>
      </c>
      <c r="F634" s="40" t="str">
        <f>IF($C634="","",IFERROR(VLOOKUP($C634,Orders!$A:$J,4,FALSE),""))</f>
        <v/>
      </c>
      <c r="G634" s="40" t="str">
        <f>IF($C634="","",IFERROR(VLOOKUP($C634,Orders!$A:$J,5,FALSE),""))</f>
        <v/>
      </c>
      <c r="H634" s="40" t="str">
        <f>IF($C634="","",IFERROR(VLOOKUP($C634,Orders!$A:$J,6,FALSE),""))</f>
        <v/>
      </c>
      <c r="I634" s="40" t="str">
        <f>IF($C634="","",IFERROR(VLOOKUP($C634,Orders!$A:$J,7,FALSE),""))</f>
        <v/>
      </c>
      <c r="J634" s="40" t="str">
        <f>IF(Bids!$C634="","",Bids!$C634)</f>
        <v/>
      </c>
      <c r="K634" s="40" t="str">
        <f>IF($J634="","",IFERROR(VLOOKUP($J634,Grinders!$A:$N,2,FALSE),""))</f>
        <v/>
      </c>
      <c r="L634" s="40" t="str">
        <f>IF($J634="","",IFERROR(VLOOKUP($J634,Grinders!$A:$N,3,FALSE),""))</f>
        <v/>
      </c>
      <c r="M634" s="40" t="str">
        <f>IF($J634="","",IFERROR(VLOOKUP($J634,Grinders!$A:$N,4,FALSE),""))</f>
        <v/>
      </c>
      <c r="N634" s="40" t="str">
        <f>IF($J634="","",IFERROR(VLOOKUP($J634,Grinders!$A:$N,5,FALSE),""))</f>
        <v/>
      </c>
      <c r="O634" s="40" t="str">
        <f t="shared" si="2"/>
        <v/>
      </c>
      <c r="P634" s="40" t="str">
        <f>IF($J634="","",IFERROR(VLOOKUP($J634,Grinders!$A:$N,6,FALSE),""))</f>
        <v/>
      </c>
      <c r="Q634" s="40" t="str">
        <f>IF($J634="","",IFERROR(VLOOKUP($J634,Grinders!$A:$N,8,FALSE),""))</f>
        <v/>
      </c>
      <c r="R634" s="40" t="str">
        <f>IFERROR(IF($J634="","",IF($L634="Elite",MAX(50,MIN(100,Config!$B$27*MAX(0,MIN(100,(1-IF($O634="",0,$O634))*100)) + Config!$B$28*MAX(0,MIN(100,(1-MIN(1,IF(Config!$B$30=0,1,$P634/Config!$B$30)))*100)) + Config!$B$29*MAX(0,MIN(100,MIN(1,IF($Q634="",0,$Q634)/Config!$B$23)*100)))),MIN(100,Config!$B$27*MAX(0,MIN(100,(1-IF($O634="",0,$O634))*100)) + Config!$B$28*MAX(0,MIN(100,(1-MIN(1,IF(Config!$B$30=0,1,$P634/Config!$B$30)))*100)) + Config!$B$29*MAX(0,MIN(100,MIN(1,IF($Q634="",0,$Q634)/Config!$B$23)*100))))),"")
</f>
        <v/>
      </c>
      <c r="S634" s="40" t="str">
        <f>IF(Bids!$D634="","",Bids!$D634)</f>
        <v/>
      </c>
      <c r="T634" s="40" t="str">
        <f>IF(Bids!$F634="","",Bids!$F634)</f>
        <v/>
      </c>
      <c r="U634" s="40" t="str">
        <f t="shared" si="3"/>
        <v/>
      </c>
      <c r="V634" s="40" t="str">
        <f>IF($U634="","",IF(Config!$B$17=Config!$B$16,IF($U634&gt;=Config!$B$17,100,0),MAX(0,MIN(100,($U634-Config!$B$16)/(Config!$B$17-Config!$B$16)*100))))</f>
        <v/>
      </c>
      <c r="W634" s="40">
        <f>IF($L634="Elite",Config!$B$21,0)</f>
        <v>0</v>
      </c>
      <c r="X634" s="40" t="str">
        <f>IFERROR(IF(OR($T634="",$G634=""),"",IF($T634&gt;$G634,
  MAX(0, 60-(($T634-$G634)*24/Config!$B$19)*60),
  MEDIAN(60, 100, 60+(($G634-$T634)*24/Config!$B$20)*40)
)),"")
</f>
        <v/>
      </c>
      <c r="Y634" s="40" t="str">
        <f>IF($J634="","",IFERROR(VLOOKUP($J634,Grinders!$A:$N,10,FALSE),""))</f>
        <v/>
      </c>
      <c r="Z634" s="40" t="str">
        <f>IF($J634="","",IFERROR(VLOOKUP($J634,Grinders!$A:$N,11,FALSE),""))</f>
        <v/>
      </c>
      <c r="AA634" s="40" t="str">
        <f>IF($J634="","",IFERROR(VLOOKUP($J634,Grinders!$A:$N,12,FALSE),""))</f>
        <v/>
      </c>
      <c r="AB634" s="40">
        <f>IFERROR(IF(OR($C634="",$J634=""),0,IF($D634&lt;&gt;"Open",0,IF(COUNTIFS(GrinderServices!$B:$B,$J634,GrinderServices!$C:$C,$E634,GrinderServices!$E:$E,"Y")=0,0,IF($U634&lt;Config!$B$16,0,IF(Config!$B$18=1,IF($N634&gt;=$M634,0,1),1))))),"")</f>
        <v>0</v>
      </c>
      <c r="AC634" s="40" t="str">
        <f>IFERROR(IF($AB634=0,"",((Config!$B$6*$V634 + Config!$B$7*$R634 + Config!$B$8*$W634 + Config!$B$9*$X634 + Config!$B$10*$Y634 + Config!$B$11*$Z634 - Config!$B$12*$AA634)/Config!$B$13)+$AH634+$AI634),"")</f>
        <v/>
      </c>
      <c r="AD634" s="40" t="str">
        <f t="shared" si="4"/>
        <v/>
      </c>
      <c r="AE634" s="40" t="str">
        <f>IFERROR(__xludf.DUMMYFUNCTION("IF($AC634="""","""",IF($AC634=IFERROR(MAX(FILTER($AC$6:$AC$1000,$C$6:$C$1000=$C634,$AB$6:$AB$1000=1)),),""WINNER"",""""))"),"")</f>
        <v/>
      </c>
      <c r="AF634" s="40" t="str">
        <f t="shared" si="5"/>
        <v/>
      </c>
      <c r="AG634" s="40" t="str">
        <f>IF($J634="","",COUNTIF(Assignments!$B:$B,$J634))</f>
        <v/>
      </c>
      <c r="AH634" s="40" t="str">
        <f>IF($J634="","",IF(AND($AG634=0,$N634&lt;$M634),Config!$B$43,0))</f>
        <v/>
      </c>
      <c r="AI634" s="40" t="str">
        <f>IF($J634="","",IF(AND($L634="Elite",$F634&gt;=Config!$B$41,$N634&lt;$M634),Config!$B$42,0))</f>
        <v/>
      </c>
      <c r="AJ634" s="22"/>
    </row>
    <row r="635" ht="15.75" customHeight="1">
      <c r="A635" s="40" t="str">
        <f t="shared" si="1"/>
        <v/>
      </c>
      <c r="B635" s="40" t="str">
        <f>IF(Bids!$A635="","",Bids!$A635)</f>
        <v/>
      </c>
      <c r="C635" s="40" t="str">
        <f>IF(Bids!$B635="","",Bids!$B635)</f>
        <v/>
      </c>
      <c r="D635" s="40" t="str">
        <f>IF($C635="","",IFERROR(VLOOKUP($C635,Orders!$A:$J,9,FALSE),""))</f>
        <v/>
      </c>
      <c r="E635" s="40" t="str">
        <f>IF($C635="","",IFERROR(VLOOKUP($C635,Orders!$A:$J,3,FALSE),""))</f>
        <v/>
      </c>
      <c r="F635" s="40" t="str">
        <f>IF($C635="","",IFERROR(VLOOKUP($C635,Orders!$A:$J,4,FALSE),""))</f>
        <v/>
      </c>
      <c r="G635" s="40" t="str">
        <f>IF($C635="","",IFERROR(VLOOKUP($C635,Orders!$A:$J,5,FALSE),""))</f>
        <v/>
      </c>
      <c r="H635" s="40" t="str">
        <f>IF($C635="","",IFERROR(VLOOKUP($C635,Orders!$A:$J,6,FALSE),""))</f>
        <v/>
      </c>
      <c r="I635" s="40" t="str">
        <f>IF($C635="","",IFERROR(VLOOKUP($C635,Orders!$A:$J,7,FALSE),""))</f>
        <v/>
      </c>
      <c r="J635" s="40" t="str">
        <f>IF(Bids!$C635="","",Bids!$C635)</f>
        <v/>
      </c>
      <c r="K635" s="40" t="str">
        <f>IF($J635="","",IFERROR(VLOOKUP($J635,Grinders!$A:$N,2,FALSE),""))</f>
        <v/>
      </c>
      <c r="L635" s="40" t="str">
        <f>IF($J635="","",IFERROR(VLOOKUP($J635,Grinders!$A:$N,3,FALSE),""))</f>
        <v/>
      </c>
      <c r="M635" s="40" t="str">
        <f>IF($J635="","",IFERROR(VLOOKUP($J635,Grinders!$A:$N,4,FALSE),""))</f>
        <v/>
      </c>
      <c r="N635" s="40" t="str">
        <f>IF($J635="","",IFERROR(VLOOKUP($J635,Grinders!$A:$N,5,FALSE),""))</f>
        <v/>
      </c>
      <c r="O635" s="40" t="str">
        <f t="shared" si="2"/>
        <v/>
      </c>
      <c r="P635" s="40" t="str">
        <f>IF($J635="","",IFERROR(VLOOKUP($J635,Grinders!$A:$N,6,FALSE),""))</f>
        <v/>
      </c>
      <c r="Q635" s="40" t="str">
        <f>IF($J635="","",IFERROR(VLOOKUP($J635,Grinders!$A:$N,8,FALSE),""))</f>
        <v/>
      </c>
      <c r="R635" s="40" t="str">
        <f>IFERROR(IF($J635="","",IF($L635="Elite",MAX(50,MIN(100,Config!$B$27*MAX(0,MIN(100,(1-IF($O635="",0,$O635))*100)) + Config!$B$28*MAX(0,MIN(100,(1-MIN(1,IF(Config!$B$30=0,1,$P635/Config!$B$30)))*100)) + Config!$B$29*MAX(0,MIN(100,MIN(1,IF($Q635="",0,$Q635)/Config!$B$23)*100)))),MIN(100,Config!$B$27*MAX(0,MIN(100,(1-IF($O635="",0,$O635))*100)) + Config!$B$28*MAX(0,MIN(100,(1-MIN(1,IF(Config!$B$30=0,1,$P635/Config!$B$30)))*100)) + Config!$B$29*MAX(0,MIN(100,MIN(1,IF($Q635="",0,$Q635)/Config!$B$23)*100))))),"")
</f>
        <v/>
      </c>
      <c r="S635" s="40" t="str">
        <f>IF(Bids!$D635="","",Bids!$D635)</f>
        <v/>
      </c>
      <c r="T635" s="40" t="str">
        <f>IF(Bids!$F635="","",Bids!$F635)</f>
        <v/>
      </c>
      <c r="U635" s="40" t="str">
        <f t="shared" si="3"/>
        <v/>
      </c>
      <c r="V635" s="40" t="str">
        <f>IF($U635="","",IF(Config!$B$17=Config!$B$16,IF($U635&gt;=Config!$B$17,100,0),MAX(0,MIN(100,($U635-Config!$B$16)/(Config!$B$17-Config!$B$16)*100))))</f>
        <v/>
      </c>
      <c r="W635" s="40">
        <f>IF($L635="Elite",Config!$B$21,0)</f>
        <v>0</v>
      </c>
      <c r="X635" s="40" t="str">
        <f>IFERROR(IF(OR($T635="",$G635=""),"",IF($T635&gt;$G635,
  MAX(0, 60-(($T635-$G635)*24/Config!$B$19)*60),
  MEDIAN(60, 100, 60+(($G635-$T635)*24/Config!$B$20)*40)
)),"")
</f>
        <v/>
      </c>
      <c r="Y635" s="40" t="str">
        <f>IF($J635="","",IFERROR(VLOOKUP($J635,Grinders!$A:$N,10,FALSE),""))</f>
        <v/>
      </c>
      <c r="Z635" s="40" t="str">
        <f>IF($J635="","",IFERROR(VLOOKUP($J635,Grinders!$A:$N,11,FALSE),""))</f>
        <v/>
      </c>
      <c r="AA635" s="40" t="str">
        <f>IF($J635="","",IFERROR(VLOOKUP($J635,Grinders!$A:$N,12,FALSE),""))</f>
        <v/>
      </c>
      <c r="AB635" s="40">
        <f>IFERROR(IF(OR($C635="",$J635=""),0,IF($D635&lt;&gt;"Open",0,IF(COUNTIFS(GrinderServices!$B:$B,$J635,GrinderServices!$C:$C,$E635,GrinderServices!$E:$E,"Y")=0,0,IF($U635&lt;Config!$B$16,0,IF(Config!$B$18=1,IF($N635&gt;=$M635,0,1),1))))),"")</f>
        <v>0</v>
      </c>
      <c r="AC635" s="40" t="str">
        <f>IFERROR(IF($AB635=0,"",((Config!$B$6*$V635 + Config!$B$7*$R635 + Config!$B$8*$W635 + Config!$B$9*$X635 + Config!$B$10*$Y635 + Config!$B$11*$Z635 - Config!$B$12*$AA635)/Config!$B$13)+$AH635+$AI635),"")</f>
        <v/>
      </c>
      <c r="AD635" s="40" t="str">
        <f t="shared" si="4"/>
        <v/>
      </c>
      <c r="AE635" s="40" t="str">
        <f>IFERROR(__xludf.DUMMYFUNCTION("IF($AC635="""","""",IF($AC635=IFERROR(MAX(FILTER($AC$6:$AC$1000,$C$6:$C$1000=$C635,$AB$6:$AB$1000=1)),),""WINNER"",""""))"),"")</f>
        <v/>
      </c>
      <c r="AF635" s="40" t="str">
        <f t="shared" si="5"/>
        <v/>
      </c>
      <c r="AG635" s="40" t="str">
        <f>IF($J635="","",COUNTIF(Assignments!$B:$B,$J635))</f>
        <v/>
      </c>
      <c r="AH635" s="40" t="str">
        <f>IF($J635="","",IF(AND($AG635=0,$N635&lt;$M635),Config!$B$43,0))</f>
        <v/>
      </c>
      <c r="AI635" s="40" t="str">
        <f>IF($J635="","",IF(AND($L635="Elite",$F635&gt;=Config!$B$41,$N635&lt;$M635),Config!$B$42,0))</f>
        <v/>
      </c>
      <c r="AJ635" s="22"/>
    </row>
    <row r="636" ht="15.75" customHeight="1">
      <c r="A636" s="40" t="str">
        <f t="shared" si="1"/>
        <v/>
      </c>
      <c r="B636" s="40" t="str">
        <f>IF(Bids!$A636="","",Bids!$A636)</f>
        <v/>
      </c>
      <c r="C636" s="40" t="str">
        <f>IF(Bids!$B636="","",Bids!$B636)</f>
        <v/>
      </c>
      <c r="D636" s="40" t="str">
        <f>IF($C636="","",IFERROR(VLOOKUP($C636,Orders!$A:$J,9,FALSE),""))</f>
        <v/>
      </c>
      <c r="E636" s="40" t="str">
        <f>IF($C636="","",IFERROR(VLOOKUP($C636,Orders!$A:$J,3,FALSE),""))</f>
        <v/>
      </c>
      <c r="F636" s="40" t="str">
        <f>IF($C636="","",IFERROR(VLOOKUP($C636,Orders!$A:$J,4,FALSE),""))</f>
        <v/>
      </c>
      <c r="G636" s="40" t="str">
        <f>IF($C636="","",IFERROR(VLOOKUP($C636,Orders!$A:$J,5,FALSE),""))</f>
        <v/>
      </c>
      <c r="H636" s="40" t="str">
        <f>IF($C636="","",IFERROR(VLOOKUP($C636,Orders!$A:$J,6,FALSE),""))</f>
        <v/>
      </c>
      <c r="I636" s="40" t="str">
        <f>IF($C636="","",IFERROR(VLOOKUP($C636,Orders!$A:$J,7,FALSE),""))</f>
        <v/>
      </c>
      <c r="J636" s="40" t="str">
        <f>IF(Bids!$C636="","",Bids!$C636)</f>
        <v/>
      </c>
      <c r="K636" s="40" t="str">
        <f>IF($J636="","",IFERROR(VLOOKUP($J636,Grinders!$A:$N,2,FALSE),""))</f>
        <v/>
      </c>
      <c r="L636" s="40" t="str">
        <f>IF($J636="","",IFERROR(VLOOKUP($J636,Grinders!$A:$N,3,FALSE),""))</f>
        <v/>
      </c>
      <c r="M636" s="40" t="str">
        <f>IF($J636="","",IFERROR(VLOOKUP($J636,Grinders!$A:$N,4,FALSE),""))</f>
        <v/>
      </c>
      <c r="N636" s="40" t="str">
        <f>IF($J636="","",IFERROR(VLOOKUP($J636,Grinders!$A:$N,5,FALSE),""))</f>
        <v/>
      </c>
      <c r="O636" s="40" t="str">
        <f t="shared" si="2"/>
        <v/>
      </c>
      <c r="P636" s="40" t="str">
        <f>IF($J636="","",IFERROR(VLOOKUP($J636,Grinders!$A:$N,6,FALSE),""))</f>
        <v/>
      </c>
      <c r="Q636" s="40" t="str">
        <f>IF($J636="","",IFERROR(VLOOKUP($J636,Grinders!$A:$N,8,FALSE),""))</f>
        <v/>
      </c>
      <c r="R636" s="40" t="str">
        <f>IFERROR(IF($J636="","",IF($L636="Elite",MAX(50,MIN(100,Config!$B$27*MAX(0,MIN(100,(1-IF($O636="",0,$O636))*100)) + Config!$B$28*MAX(0,MIN(100,(1-MIN(1,IF(Config!$B$30=0,1,$P636/Config!$B$30)))*100)) + Config!$B$29*MAX(0,MIN(100,MIN(1,IF($Q636="",0,$Q636)/Config!$B$23)*100)))),MIN(100,Config!$B$27*MAX(0,MIN(100,(1-IF($O636="",0,$O636))*100)) + Config!$B$28*MAX(0,MIN(100,(1-MIN(1,IF(Config!$B$30=0,1,$P636/Config!$B$30)))*100)) + Config!$B$29*MAX(0,MIN(100,MIN(1,IF($Q636="",0,$Q636)/Config!$B$23)*100))))),"")
</f>
        <v/>
      </c>
      <c r="S636" s="40" t="str">
        <f>IF(Bids!$D636="","",Bids!$D636)</f>
        <v/>
      </c>
      <c r="T636" s="40" t="str">
        <f>IF(Bids!$F636="","",Bids!$F636)</f>
        <v/>
      </c>
      <c r="U636" s="40" t="str">
        <f t="shared" si="3"/>
        <v/>
      </c>
      <c r="V636" s="40" t="str">
        <f>IF($U636="","",IF(Config!$B$17=Config!$B$16,IF($U636&gt;=Config!$B$17,100,0),MAX(0,MIN(100,($U636-Config!$B$16)/(Config!$B$17-Config!$B$16)*100))))</f>
        <v/>
      </c>
      <c r="W636" s="40">
        <f>IF($L636="Elite",Config!$B$21,0)</f>
        <v>0</v>
      </c>
      <c r="X636" s="40" t="str">
        <f>IFERROR(IF(OR($T636="",$G636=""),"",IF($T636&gt;$G636,
  MAX(0, 60-(($T636-$G636)*24/Config!$B$19)*60),
  MEDIAN(60, 100, 60+(($G636-$T636)*24/Config!$B$20)*40)
)),"")
</f>
        <v/>
      </c>
      <c r="Y636" s="40" t="str">
        <f>IF($J636="","",IFERROR(VLOOKUP($J636,Grinders!$A:$N,10,FALSE),""))</f>
        <v/>
      </c>
      <c r="Z636" s="40" t="str">
        <f>IF($J636="","",IFERROR(VLOOKUP($J636,Grinders!$A:$N,11,FALSE),""))</f>
        <v/>
      </c>
      <c r="AA636" s="40" t="str">
        <f>IF($J636="","",IFERROR(VLOOKUP($J636,Grinders!$A:$N,12,FALSE),""))</f>
        <v/>
      </c>
      <c r="AB636" s="40">
        <f>IFERROR(IF(OR($C636="",$J636=""),0,IF($D636&lt;&gt;"Open",0,IF(COUNTIFS(GrinderServices!$B:$B,$J636,GrinderServices!$C:$C,$E636,GrinderServices!$E:$E,"Y")=0,0,IF($U636&lt;Config!$B$16,0,IF(Config!$B$18=1,IF($N636&gt;=$M636,0,1),1))))),"")</f>
        <v>0</v>
      </c>
      <c r="AC636" s="40" t="str">
        <f>IFERROR(IF($AB636=0,"",((Config!$B$6*$V636 + Config!$B$7*$R636 + Config!$B$8*$W636 + Config!$B$9*$X636 + Config!$B$10*$Y636 + Config!$B$11*$Z636 - Config!$B$12*$AA636)/Config!$B$13)+$AH636+$AI636),"")</f>
        <v/>
      </c>
      <c r="AD636" s="40" t="str">
        <f t="shared" si="4"/>
        <v/>
      </c>
      <c r="AE636" s="40" t="str">
        <f>IFERROR(__xludf.DUMMYFUNCTION("IF($AC636="""","""",IF($AC636=IFERROR(MAX(FILTER($AC$6:$AC$1000,$C$6:$C$1000=$C636,$AB$6:$AB$1000=1)),),""WINNER"",""""))"),"")</f>
        <v/>
      </c>
      <c r="AF636" s="40" t="str">
        <f t="shared" si="5"/>
        <v/>
      </c>
      <c r="AG636" s="40" t="str">
        <f>IF($J636="","",COUNTIF(Assignments!$B:$B,$J636))</f>
        <v/>
      </c>
      <c r="AH636" s="40" t="str">
        <f>IF($J636="","",IF(AND($AG636=0,$N636&lt;$M636),Config!$B$43,0))</f>
        <v/>
      </c>
      <c r="AI636" s="40" t="str">
        <f>IF($J636="","",IF(AND($L636="Elite",$F636&gt;=Config!$B$41,$N636&lt;$M636),Config!$B$42,0))</f>
        <v/>
      </c>
      <c r="AJ636" s="22"/>
    </row>
    <row r="637" ht="15.75" customHeight="1">
      <c r="A637" s="40" t="str">
        <f t="shared" si="1"/>
        <v/>
      </c>
      <c r="B637" s="40" t="str">
        <f>IF(Bids!$A637="","",Bids!$A637)</f>
        <v/>
      </c>
      <c r="C637" s="40" t="str">
        <f>IF(Bids!$B637="","",Bids!$B637)</f>
        <v/>
      </c>
      <c r="D637" s="40" t="str">
        <f>IF($C637="","",IFERROR(VLOOKUP($C637,Orders!$A:$J,9,FALSE),""))</f>
        <v/>
      </c>
      <c r="E637" s="40" t="str">
        <f>IF($C637="","",IFERROR(VLOOKUP($C637,Orders!$A:$J,3,FALSE),""))</f>
        <v/>
      </c>
      <c r="F637" s="40" t="str">
        <f>IF($C637="","",IFERROR(VLOOKUP($C637,Orders!$A:$J,4,FALSE),""))</f>
        <v/>
      </c>
      <c r="G637" s="40" t="str">
        <f>IF($C637="","",IFERROR(VLOOKUP($C637,Orders!$A:$J,5,FALSE),""))</f>
        <v/>
      </c>
      <c r="H637" s="40" t="str">
        <f>IF($C637="","",IFERROR(VLOOKUP($C637,Orders!$A:$J,6,FALSE),""))</f>
        <v/>
      </c>
      <c r="I637" s="40" t="str">
        <f>IF($C637="","",IFERROR(VLOOKUP($C637,Orders!$A:$J,7,FALSE),""))</f>
        <v/>
      </c>
      <c r="J637" s="40" t="str">
        <f>IF(Bids!$C637="","",Bids!$C637)</f>
        <v/>
      </c>
      <c r="K637" s="40" t="str">
        <f>IF($J637="","",IFERROR(VLOOKUP($J637,Grinders!$A:$N,2,FALSE),""))</f>
        <v/>
      </c>
      <c r="L637" s="40" t="str">
        <f>IF($J637="","",IFERROR(VLOOKUP($J637,Grinders!$A:$N,3,FALSE),""))</f>
        <v/>
      </c>
      <c r="M637" s="40" t="str">
        <f>IF($J637="","",IFERROR(VLOOKUP($J637,Grinders!$A:$N,4,FALSE),""))</f>
        <v/>
      </c>
      <c r="N637" s="40" t="str">
        <f>IF($J637="","",IFERROR(VLOOKUP($J637,Grinders!$A:$N,5,FALSE),""))</f>
        <v/>
      </c>
      <c r="O637" s="40" t="str">
        <f t="shared" si="2"/>
        <v/>
      </c>
      <c r="P637" s="40" t="str">
        <f>IF($J637="","",IFERROR(VLOOKUP($J637,Grinders!$A:$N,6,FALSE),""))</f>
        <v/>
      </c>
      <c r="Q637" s="40" t="str">
        <f>IF($J637="","",IFERROR(VLOOKUP($J637,Grinders!$A:$N,8,FALSE),""))</f>
        <v/>
      </c>
      <c r="R637" s="40" t="str">
        <f>IFERROR(IF($J637="","",IF($L637="Elite",MAX(50,MIN(100,Config!$B$27*MAX(0,MIN(100,(1-IF($O637="",0,$O637))*100)) + Config!$B$28*MAX(0,MIN(100,(1-MIN(1,IF(Config!$B$30=0,1,$P637/Config!$B$30)))*100)) + Config!$B$29*MAX(0,MIN(100,MIN(1,IF($Q637="",0,$Q637)/Config!$B$23)*100)))),MIN(100,Config!$B$27*MAX(0,MIN(100,(1-IF($O637="",0,$O637))*100)) + Config!$B$28*MAX(0,MIN(100,(1-MIN(1,IF(Config!$B$30=0,1,$P637/Config!$B$30)))*100)) + Config!$B$29*MAX(0,MIN(100,MIN(1,IF($Q637="",0,$Q637)/Config!$B$23)*100))))),"")
</f>
        <v/>
      </c>
      <c r="S637" s="40" t="str">
        <f>IF(Bids!$D637="","",Bids!$D637)</f>
        <v/>
      </c>
      <c r="T637" s="40" t="str">
        <f>IF(Bids!$F637="","",Bids!$F637)</f>
        <v/>
      </c>
      <c r="U637" s="40" t="str">
        <f t="shared" si="3"/>
        <v/>
      </c>
      <c r="V637" s="40" t="str">
        <f>IF($U637="","",IF(Config!$B$17=Config!$B$16,IF($U637&gt;=Config!$B$17,100,0),MAX(0,MIN(100,($U637-Config!$B$16)/(Config!$B$17-Config!$B$16)*100))))</f>
        <v/>
      </c>
      <c r="W637" s="40">
        <f>IF($L637="Elite",Config!$B$21,0)</f>
        <v>0</v>
      </c>
      <c r="X637" s="40" t="str">
        <f>IFERROR(IF(OR($T637="",$G637=""),"",IF($T637&gt;$G637,
  MAX(0, 60-(($T637-$G637)*24/Config!$B$19)*60),
  MEDIAN(60, 100, 60+(($G637-$T637)*24/Config!$B$20)*40)
)),"")
</f>
        <v/>
      </c>
      <c r="Y637" s="40" t="str">
        <f>IF($J637="","",IFERROR(VLOOKUP($J637,Grinders!$A:$N,10,FALSE),""))</f>
        <v/>
      </c>
      <c r="Z637" s="40" t="str">
        <f>IF($J637="","",IFERROR(VLOOKUP($J637,Grinders!$A:$N,11,FALSE),""))</f>
        <v/>
      </c>
      <c r="AA637" s="40" t="str">
        <f>IF($J637="","",IFERROR(VLOOKUP($J637,Grinders!$A:$N,12,FALSE),""))</f>
        <v/>
      </c>
      <c r="AB637" s="40">
        <f>IFERROR(IF(OR($C637="",$J637=""),0,IF($D637&lt;&gt;"Open",0,IF(COUNTIFS(GrinderServices!$B:$B,$J637,GrinderServices!$C:$C,$E637,GrinderServices!$E:$E,"Y")=0,0,IF($U637&lt;Config!$B$16,0,IF(Config!$B$18=1,IF($N637&gt;=$M637,0,1),1))))),"")</f>
        <v>0</v>
      </c>
      <c r="AC637" s="40" t="str">
        <f>IFERROR(IF($AB637=0,"",((Config!$B$6*$V637 + Config!$B$7*$R637 + Config!$B$8*$W637 + Config!$B$9*$X637 + Config!$B$10*$Y637 + Config!$B$11*$Z637 - Config!$B$12*$AA637)/Config!$B$13)+$AH637+$AI637),"")</f>
        <v/>
      </c>
      <c r="AD637" s="40" t="str">
        <f t="shared" si="4"/>
        <v/>
      </c>
      <c r="AE637" s="40" t="str">
        <f>IFERROR(__xludf.DUMMYFUNCTION("IF($AC637="""","""",IF($AC637=IFERROR(MAX(FILTER($AC$6:$AC$1000,$C$6:$C$1000=$C637,$AB$6:$AB$1000=1)),),""WINNER"",""""))"),"")</f>
        <v/>
      </c>
      <c r="AF637" s="40" t="str">
        <f t="shared" si="5"/>
        <v/>
      </c>
      <c r="AG637" s="40" t="str">
        <f>IF($J637="","",COUNTIF(Assignments!$B:$B,$J637))</f>
        <v/>
      </c>
      <c r="AH637" s="40" t="str">
        <f>IF($J637="","",IF(AND($AG637=0,$N637&lt;$M637),Config!$B$43,0))</f>
        <v/>
      </c>
      <c r="AI637" s="40" t="str">
        <f>IF($J637="","",IF(AND($L637="Elite",$F637&gt;=Config!$B$41,$N637&lt;$M637),Config!$B$42,0))</f>
        <v/>
      </c>
      <c r="AJ637" s="22"/>
    </row>
    <row r="638" ht="15.75" customHeight="1">
      <c r="A638" s="40" t="str">
        <f t="shared" si="1"/>
        <v/>
      </c>
      <c r="B638" s="40" t="str">
        <f>IF(Bids!$A638="","",Bids!$A638)</f>
        <v/>
      </c>
      <c r="C638" s="40" t="str">
        <f>IF(Bids!$B638="","",Bids!$B638)</f>
        <v/>
      </c>
      <c r="D638" s="40" t="str">
        <f>IF($C638="","",IFERROR(VLOOKUP($C638,Orders!$A:$J,9,FALSE),""))</f>
        <v/>
      </c>
      <c r="E638" s="40" t="str">
        <f>IF($C638="","",IFERROR(VLOOKUP($C638,Orders!$A:$J,3,FALSE),""))</f>
        <v/>
      </c>
      <c r="F638" s="40" t="str">
        <f>IF($C638="","",IFERROR(VLOOKUP($C638,Orders!$A:$J,4,FALSE),""))</f>
        <v/>
      </c>
      <c r="G638" s="40" t="str">
        <f>IF($C638="","",IFERROR(VLOOKUP($C638,Orders!$A:$J,5,FALSE),""))</f>
        <v/>
      </c>
      <c r="H638" s="40" t="str">
        <f>IF($C638="","",IFERROR(VLOOKUP($C638,Orders!$A:$J,6,FALSE),""))</f>
        <v/>
      </c>
      <c r="I638" s="40" t="str">
        <f>IF($C638="","",IFERROR(VLOOKUP($C638,Orders!$A:$J,7,FALSE),""))</f>
        <v/>
      </c>
      <c r="J638" s="40" t="str">
        <f>IF(Bids!$C638="","",Bids!$C638)</f>
        <v/>
      </c>
      <c r="K638" s="40" t="str">
        <f>IF($J638="","",IFERROR(VLOOKUP($J638,Grinders!$A:$N,2,FALSE),""))</f>
        <v/>
      </c>
      <c r="L638" s="40" t="str">
        <f>IF($J638="","",IFERROR(VLOOKUP($J638,Grinders!$A:$N,3,FALSE),""))</f>
        <v/>
      </c>
      <c r="M638" s="40" t="str">
        <f>IF($J638="","",IFERROR(VLOOKUP($J638,Grinders!$A:$N,4,FALSE),""))</f>
        <v/>
      </c>
      <c r="N638" s="40" t="str">
        <f>IF($J638="","",IFERROR(VLOOKUP($J638,Grinders!$A:$N,5,FALSE),""))</f>
        <v/>
      </c>
      <c r="O638" s="40" t="str">
        <f t="shared" si="2"/>
        <v/>
      </c>
      <c r="P638" s="40" t="str">
        <f>IF($J638="","",IFERROR(VLOOKUP($J638,Grinders!$A:$N,6,FALSE),""))</f>
        <v/>
      </c>
      <c r="Q638" s="40" t="str">
        <f>IF($J638="","",IFERROR(VLOOKUP($J638,Grinders!$A:$N,8,FALSE),""))</f>
        <v/>
      </c>
      <c r="R638" s="40" t="str">
        <f>IFERROR(IF($J638="","",IF($L638="Elite",MAX(50,MIN(100,Config!$B$27*MAX(0,MIN(100,(1-IF($O638="",0,$O638))*100)) + Config!$B$28*MAX(0,MIN(100,(1-MIN(1,IF(Config!$B$30=0,1,$P638/Config!$B$30)))*100)) + Config!$B$29*MAX(0,MIN(100,MIN(1,IF($Q638="",0,$Q638)/Config!$B$23)*100)))),MIN(100,Config!$B$27*MAX(0,MIN(100,(1-IF($O638="",0,$O638))*100)) + Config!$B$28*MAX(0,MIN(100,(1-MIN(1,IF(Config!$B$30=0,1,$P638/Config!$B$30)))*100)) + Config!$B$29*MAX(0,MIN(100,MIN(1,IF($Q638="",0,$Q638)/Config!$B$23)*100))))),"")
</f>
        <v/>
      </c>
      <c r="S638" s="40" t="str">
        <f>IF(Bids!$D638="","",Bids!$D638)</f>
        <v/>
      </c>
      <c r="T638" s="40" t="str">
        <f>IF(Bids!$F638="","",Bids!$F638)</f>
        <v/>
      </c>
      <c r="U638" s="40" t="str">
        <f t="shared" si="3"/>
        <v/>
      </c>
      <c r="V638" s="40" t="str">
        <f>IF($U638="","",IF(Config!$B$17=Config!$B$16,IF($U638&gt;=Config!$B$17,100,0),MAX(0,MIN(100,($U638-Config!$B$16)/(Config!$B$17-Config!$B$16)*100))))</f>
        <v/>
      </c>
      <c r="W638" s="40">
        <f>IF($L638="Elite",Config!$B$21,0)</f>
        <v>0</v>
      </c>
      <c r="X638" s="40" t="str">
        <f>IFERROR(IF(OR($T638="",$G638=""),"",IF($T638&gt;$G638,
  MAX(0, 60-(($T638-$G638)*24/Config!$B$19)*60),
  MEDIAN(60, 100, 60+(($G638-$T638)*24/Config!$B$20)*40)
)),"")
</f>
        <v/>
      </c>
      <c r="Y638" s="40" t="str">
        <f>IF($J638="","",IFERROR(VLOOKUP($J638,Grinders!$A:$N,10,FALSE),""))</f>
        <v/>
      </c>
      <c r="Z638" s="40" t="str">
        <f>IF($J638="","",IFERROR(VLOOKUP($J638,Grinders!$A:$N,11,FALSE),""))</f>
        <v/>
      </c>
      <c r="AA638" s="40" t="str">
        <f>IF($J638="","",IFERROR(VLOOKUP($J638,Grinders!$A:$N,12,FALSE),""))</f>
        <v/>
      </c>
      <c r="AB638" s="40">
        <f>IFERROR(IF(OR($C638="",$J638=""),0,IF($D638&lt;&gt;"Open",0,IF(COUNTIFS(GrinderServices!$B:$B,$J638,GrinderServices!$C:$C,$E638,GrinderServices!$E:$E,"Y")=0,0,IF($U638&lt;Config!$B$16,0,IF(Config!$B$18=1,IF($N638&gt;=$M638,0,1),1))))),"")</f>
        <v>0</v>
      </c>
      <c r="AC638" s="40" t="str">
        <f>IFERROR(IF($AB638=0,"",((Config!$B$6*$V638 + Config!$B$7*$R638 + Config!$B$8*$W638 + Config!$B$9*$X638 + Config!$B$10*$Y638 + Config!$B$11*$Z638 - Config!$B$12*$AA638)/Config!$B$13)+$AH638+$AI638),"")</f>
        <v/>
      </c>
      <c r="AD638" s="40" t="str">
        <f t="shared" si="4"/>
        <v/>
      </c>
      <c r="AE638" s="40" t="str">
        <f>IFERROR(__xludf.DUMMYFUNCTION("IF($AC638="""","""",IF($AC638=IFERROR(MAX(FILTER($AC$6:$AC$1000,$C$6:$C$1000=$C638,$AB$6:$AB$1000=1)),),""WINNER"",""""))"),"")</f>
        <v/>
      </c>
      <c r="AF638" s="40" t="str">
        <f t="shared" si="5"/>
        <v/>
      </c>
      <c r="AG638" s="40" t="str">
        <f>IF($J638="","",COUNTIF(Assignments!$B:$B,$J638))</f>
        <v/>
      </c>
      <c r="AH638" s="40" t="str">
        <f>IF($J638="","",IF(AND($AG638=0,$N638&lt;$M638),Config!$B$43,0))</f>
        <v/>
      </c>
      <c r="AI638" s="40" t="str">
        <f>IF($J638="","",IF(AND($L638="Elite",$F638&gt;=Config!$B$41,$N638&lt;$M638),Config!$B$42,0))</f>
        <v/>
      </c>
      <c r="AJ638" s="22"/>
    </row>
    <row r="639" ht="15.75" customHeight="1">
      <c r="A639" s="40" t="str">
        <f t="shared" si="1"/>
        <v/>
      </c>
      <c r="B639" s="40" t="str">
        <f>IF(Bids!$A639="","",Bids!$A639)</f>
        <v/>
      </c>
      <c r="C639" s="40" t="str">
        <f>IF(Bids!$B639="","",Bids!$B639)</f>
        <v/>
      </c>
      <c r="D639" s="40" t="str">
        <f>IF($C639="","",IFERROR(VLOOKUP($C639,Orders!$A:$J,9,FALSE),""))</f>
        <v/>
      </c>
      <c r="E639" s="40" t="str">
        <f>IF($C639="","",IFERROR(VLOOKUP($C639,Orders!$A:$J,3,FALSE),""))</f>
        <v/>
      </c>
      <c r="F639" s="40" t="str">
        <f>IF($C639="","",IFERROR(VLOOKUP($C639,Orders!$A:$J,4,FALSE),""))</f>
        <v/>
      </c>
      <c r="G639" s="40" t="str">
        <f>IF($C639="","",IFERROR(VLOOKUP($C639,Orders!$A:$J,5,FALSE),""))</f>
        <v/>
      </c>
      <c r="H639" s="40" t="str">
        <f>IF($C639="","",IFERROR(VLOOKUP($C639,Orders!$A:$J,6,FALSE),""))</f>
        <v/>
      </c>
      <c r="I639" s="40" t="str">
        <f>IF($C639="","",IFERROR(VLOOKUP($C639,Orders!$A:$J,7,FALSE),""))</f>
        <v/>
      </c>
      <c r="J639" s="40" t="str">
        <f>IF(Bids!$C639="","",Bids!$C639)</f>
        <v/>
      </c>
      <c r="K639" s="40" t="str">
        <f>IF($J639="","",IFERROR(VLOOKUP($J639,Grinders!$A:$N,2,FALSE),""))</f>
        <v/>
      </c>
      <c r="L639" s="40" t="str">
        <f>IF($J639="","",IFERROR(VLOOKUP($J639,Grinders!$A:$N,3,FALSE),""))</f>
        <v/>
      </c>
      <c r="M639" s="40" t="str">
        <f>IF($J639="","",IFERROR(VLOOKUP($J639,Grinders!$A:$N,4,FALSE),""))</f>
        <v/>
      </c>
      <c r="N639" s="40" t="str">
        <f>IF($J639="","",IFERROR(VLOOKUP($J639,Grinders!$A:$N,5,FALSE),""))</f>
        <v/>
      </c>
      <c r="O639" s="40" t="str">
        <f t="shared" si="2"/>
        <v/>
      </c>
      <c r="P639" s="40" t="str">
        <f>IF($J639="","",IFERROR(VLOOKUP($J639,Grinders!$A:$N,6,FALSE),""))</f>
        <v/>
      </c>
      <c r="Q639" s="40" t="str">
        <f>IF($J639="","",IFERROR(VLOOKUP($J639,Grinders!$A:$N,8,FALSE),""))</f>
        <v/>
      </c>
      <c r="R639" s="40" t="str">
        <f>IFERROR(IF($J639="","",IF($L639="Elite",MAX(50,MIN(100,Config!$B$27*MAX(0,MIN(100,(1-IF($O639="",0,$O639))*100)) + Config!$B$28*MAX(0,MIN(100,(1-MIN(1,IF(Config!$B$30=0,1,$P639/Config!$B$30)))*100)) + Config!$B$29*MAX(0,MIN(100,MIN(1,IF($Q639="",0,$Q639)/Config!$B$23)*100)))),MIN(100,Config!$B$27*MAX(0,MIN(100,(1-IF($O639="",0,$O639))*100)) + Config!$B$28*MAX(0,MIN(100,(1-MIN(1,IF(Config!$B$30=0,1,$P639/Config!$B$30)))*100)) + Config!$B$29*MAX(0,MIN(100,MIN(1,IF($Q639="",0,$Q639)/Config!$B$23)*100))))),"")
</f>
        <v/>
      </c>
      <c r="S639" s="40" t="str">
        <f>IF(Bids!$D639="","",Bids!$D639)</f>
        <v/>
      </c>
      <c r="T639" s="40" t="str">
        <f>IF(Bids!$F639="","",Bids!$F639)</f>
        <v/>
      </c>
      <c r="U639" s="40" t="str">
        <f t="shared" si="3"/>
        <v/>
      </c>
      <c r="V639" s="40" t="str">
        <f>IF($U639="","",IF(Config!$B$17=Config!$B$16,IF($U639&gt;=Config!$B$17,100,0),MAX(0,MIN(100,($U639-Config!$B$16)/(Config!$B$17-Config!$B$16)*100))))</f>
        <v/>
      </c>
      <c r="W639" s="40">
        <f>IF($L639="Elite",Config!$B$21,0)</f>
        <v>0</v>
      </c>
      <c r="X639" s="40" t="str">
        <f>IFERROR(IF(OR($T639="",$G639=""),"",IF($T639&gt;$G639,
  MAX(0, 60-(($T639-$G639)*24/Config!$B$19)*60),
  MEDIAN(60, 100, 60+(($G639-$T639)*24/Config!$B$20)*40)
)),"")
</f>
        <v/>
      </c>
      <c r="Y639" s="40" t="str">
        <f>IF($J639="","",IFERROR(VLOOKUP($J639,Grinders!$A:$N,10,FALSE),""))</f>
        <v/>
      </c>
      <c r="Z639" s="40" t="str">
        <f>IF($J639="","",IFERROR(VLOOKUP($J639,Grinders!$A:$N,11,FALSE),""))</f>
        <v/>
      </c>
      <c r="AA639" s="40" t="str">
        <f>IF($J639="","",IFERROR(VLOOKUP($J639,Grinders!$A:$N,12,FALSE),""))</f>
        <v/>
      </c>
      <c r="AB639" s="40">
        <f>IFERROR(IF(OR($C639="",$J639=""),0,IF($D639&lt;&gt;"Open",0,IF(COUNTIFS(GrinderServices!$B:$B,$J639,GrinderServices!$C:$C,$E639,GrinderServices!$E:$E,"Y")=0,0,IF($U639&lt;Config!$B$16,0,IF(Config!$B$18=1,IF($N639&gt;=$M639,0,1),1))))),"")</f>
        <v>0</v>
      </c>
      <c r="AC639" s="40" t="str">
        <f>IFERROR(IF($AB639=0,"",((Config!$B$6*$V639 + Config!$B$7*$R639 + Config!$B$8*$W639 + Config!$B$9*$X639 + Config!$B$10*$Y639 + Config!$B$11*$Z639 - Config!$B$12*$AA639)/Config!$B$13)+$AH639+$AI639),"")</f>
        <v/>
      </c>
      <c r="AD639" s="40" t="str">
        <f t="shared" si="4"/>
        <v/>
      </c>
      <c r="AE639" s="40" t="str">
        <f>IFERROR(__xludf.DUMMYFUNCTION("IF($AC639="""","""",IF($AC639=IFERROR(MAX(FILTER($AC$6:$AC$1000,$C$6:$C$1000=$C639,$AB$6:$AB$1000=1)),),""WINNER"",""""))"),"")</f>
        <v/>
      </c>
      <c r="AF639" s="40" t="str">
        <f t="shared" si="5"/>
        <v/>
      </c>
      <c r="AG639" s="40" t="str">
        <f>IF($J639="","",COUNTIF(Assignments!$B:$B,$J639))</f>
        <v/>
      </c>
      <c r="AH639" s="40" t="str">
        <f>IF($J639="","",IF(AND($AG639=0,$N639&lt;$M639),Config!$B$43,0))</f>
        <v/>
      </c>
      <c r="AI639" s="40" t="str">
        <f>IF($J639="","",IF(AND($L639="Elite",$F639&gt;=Config!$B$41,$N639&lt;$M639),Config!$B$42,0))</f>
        <v/>
      </c>
      <c r="AJ639" s="22"/>
    </row>
    <row r="640" ht="15.75" customHeight="1">
      <c r="A640" s="40" t="str">
        <f t="shared" si="1"/>
        <v/>
      </c>
      <c r="B640" s="40" t="str">
        <f>IF(Bids!$A640="","",Bids!$A640)</f>
        <v/>
      </c>
      <c r="C640" s="40" t="str">
        <f>IF(Bids!$B640="","",Bids!$B640)</f>
        <v/>
      </c>
      <c r="D640" s="40" t="str">
        <f>IF($C640="","",IFERROR(VLOOKUP($C640,Orders!$A:$J,9,FALSE),""))</f>
        <v/>
      </c>
      <c r="E640" s="40" t="str">
        <f>IF($C640="","",IFERROR(VLOOKUP($C640,Orders!$A:$J,3,FALSE),""))</f>
        <v/>
      </c>
      <c r="F640" s="40" t="str">
        <f>IF($C640="","",IFERROR(VLOOKUP($C640,Orders!$A:$J,4,FALSE),""))</f>
        <v/>
      </c>
      <c r="G640" s="40" t="str">
        <f>IF($C640="","",IFERROR(VLOOKUP($C640,Orders!$A:$J,5,FALSE),""))</f>
        <v/>
      </c>
      <c r="H640" s="40" t="str">
        <f>IF($C640="","",IFERROR(VLOOKUP($C640,Orders!$A:$J,6,FALSE),""))</f>
        <v/>
      </c>
      <c r="I640" s="40" t="str">
        <f>IF($C640="","",IFERROR(VLOOKUP($C640,Orders!$A:$J,7,FALSE),""))</f>
        <v/>
      </c>
      <c r="J640" s="40" t="str">
        <f>IF(Bids!$C640="","",Bids!$C640)</f>
        <v/>
      </c>
      <c r="K640" s="40" t="str">
        <f>IF($J640="","",IFERROR(VLOOKUP($J640,Grinders!$A:$N,2,FALSE),""))</f>
        <v/>
      </c>
      <c r="L640" s="40" t="str">
        <f>IF($J640="","",IFERROR(VLOOKUP($J640,Grinders!$A:$N,3,FALSE),""))</f>
        <v/>
      </c>
      <c r="M640" s="40" t="str">
        <f>IF($J640="","",IFERROR(VLOOKUP($J640,Grinders!$A:$N,4,FALSE),""))</f>
        <v/>
      </c>
      <c r="N640" s="40" t="str">
        <f>IF($J640="","",IFERROR(VLOOKUP($J640,Grinders!$A:$N,5,FALSE),""))</f>
        <v/>
      </c>
      <c r="O640" s="40" t="str">
        <f t="shared" si="2"/>
        <v/>
      </c>
      <c r="P640" s="40" t="str">
        <f>IF($J640="","",IFERROR(VLOOKUP($J640,Grinders!$A:$N,6,FALSE),""))</f>
        <v/>
      </c>
      <c r="Q640" s="40" t="str">
        <f>IF($J640="","",IFERROR(VLOOKUP($J640,Grinders!$A:$N,8,FALSE),""))</f>
        <v/>
      </c>
      <c r="R640" s="40" t="str">
        <f>IFERROR(IF($J640="","",IF($L640="Elite",MAX(50,MIN(100,Config!$B$27*MAX(0,MIN(100,(1-IF($O640="",0,$O640))*100)) + Config!$B$28*MAX(0,MIN(100,(1-MIN(1,IF(Config!$B$30=0,1,$P640/Config!$B$30)))*100)) + Config!$B$29*MAX(0,MIN(100,MIN(1,IF($Q640="",0,$Q640)/Config!$B$23)*100)))),MIN(100,Config!$B$27*MAX(0,MIN(100,(1-IF($O640="",0,$O640))*100)) + Config!$B$28*MAX(0,MIN(100,(1-MIN(1,IF(Config!$B$30=0,1,$P640/Config!$B$30)))*100)) + Config!$B$29*MAX(0,MIN(100,MIN(1,IF($Q640="",0,$Q640)/Config!$B$23)*100))))),"")
</f>
        <v/>
      </c>
      <c r="S640" s="40" t="str">
        <f>IF(Bids!$D640="","",Bids!$D640)</f>
        <v/>
      </c>
      <c r="T640" s="40" t="str">
        <f>IF(Bids!$F640="","",Bids!$F640)</f>
        <v/>
      </c>
      <c r="U640" s="40" t="str">
        <f t="shared" si="3"/>
        <v/>
      </c>
      <c r="V640" s="40" t="str">
        <f>IF($U640="","",IF(Config!$B$17=Config!$B$16,IF($U640&gt;=Config!$B$17,100,0),MAX(0,MIN(100,($U640-Config!$B$16)/(Config!$B$17-Config!$B$16)*100))))</f>
        <v/>
      </c>
      <c r="W640" s="40">
        <f>IF($L640="Elite",Config!$B$21,0)</f>
        <v>0</v>
      </c>
      <c r="X640" s="40" t="str">
        <f>IFERROR(IF(OR($T640="",$G640=""),"",IF($T640&gt;$G640,
  MAX(0, 60-(($T640-$G640)*24/Config!$B$19)*60),
  MEDIAN(60, 100, 60+(($G640-$T640)*24/Config!$B$20)*40)
)),"")
</f>
        <v/>
      </c>
      <c r="Y640" s="40" t="str">
        <f>IF($J640="","",IFERROR(VLOOKUP($J640,Grinders!$A:$N,10,FALSE),""))</f>
        <v/>
      </c>
      <c r="Z640" s="40" t="str">
        <f>IF($J640="","",IFERROR(VLOOKUP($J640,Grinders!$A:$N,11,FALSE),""))</f>
        <v/>
      </c>
      <c r="AA640" s="40" t="str">
        <f>IF($J640="","",IFERROR(VLOOKUP($J640,Grinders!$A:$N,12,FALSE),""))</f>
        <v/>
      </c>
      <c r="AB640" s="40">
        <f>IFERROR(IF(OR($C640="",$J640=""),0,IF($D640&lt;&gt;"Open",0,IF(COUNTIFS(GrinderServices!$B:$B,$J640,GrinderServices!$C:$C,$E640,GrinderServices!$E:$E,"Y")=0,0,IF($U640&lt;Config!$B$16,0,IF(Config!$B$18=1,IF($N640&gt;=$M640,0,1),1))))),"")</f>
        <v>0</v>
      </c>
      <c r="AC640" s="40" t="str">
        <f>IFERROR(IF($AB640=0,"",((Config!$B$6*$V640 + Config!$B$7*$R640 + Config!$B$8*$W640 + Config!$B$9*$X640 + Config!$B$10*$Y640 + Config!$B$11*$Z640 - Config!$B$12*$AA640)/Config!$B$13)+$AH640+$AI640),"")</f>
        <v/>
      </c>
      <c r="AD640" s="40" t="str">
        <f t="shared" si="4"/>
        <v/>
      </c>
      <c r="AE640" s="40" t="str">
        <f>IFERROR(__xludf.DUMMYFUNCTION("IF($AC640="""","""",IF($AC640=IFERROR(MAX(FILTER($AC$6:$AC$1000,$C$6:$C$1000=$C640,$AB$6:$AB$1000=1)),),""WINNER"",""""))"),"")</f>
        <v/>
      </c>
      <c r="AF640" s="40" t="str">
        <f t="shared" si="5"/>
        <v/>
      </c>
      <c r="AG640" s="40" t="str">
        <f>IF($J640="","",COUNTIF(Assignments!$B:$B,$J640))</f>
        <v/>
      </c>
      <c r="AH640" s="40" t="str">
        <f>IF($J640="","",IF(AND($AG640=0,$N640&lt;$M640),Config!$B$43,0))</f>
        <v/>
      </c>
      <c r="AI640" s="40" t="str">
        <f>IF($J640="","",IF(AND($L640="Elite",$F640&gt;=Config!$B$41,$N640&lt;$M640),Config!$B$42,0))</f>
        <v/>
      </c>
      <c r="AJ640" s="22"/>
    </row>
    <row r="641" ht="15.75" customHeight="1">
      <c r="A641" s="40" t="str">
        <f t="shared" si="1"/>
        <v/>
      </c>
      <c r="B641" s="40" t="str">
        <f>IF(Bids!$A641="","",Bids!$A641)</f>
        <v/>
      </c>
      <c r="C641" s="40" t="str">
        <f>IF(Bids!$B641="","",Bids!$B641)</f>
        <v/>
      </c>
      <c r="D641" s="40" t="str">
        <f>IF($C641="","",IFERROR(VLOOKUP($C641,Orders!$A:$J,9,FALSE),""))</f>
        <v/>
      </c>
      <c r="E641" s="40" t="str">
        <f>IF($C641="","",IFERROR(VLOOKUP($C641,Orders!$A:$J,3,FALSE),""))</f>
        <v/>
      </c>
      <c r="F641" s="40" t="str">
        <f>IF($C641="","",IFERROR(VLOOKUP($C641,Orders!$A:$J,4,FALSE),""))</f>
        <v/>
      </c>
      <c r="G641" s="40" t="str">
        <f>IF($C641="","",IFERROR(VLOOKUP($C641,Orders!$A:$J,5,FALSE),""))</f>
        <v/>
      </c>
      <c r="H641" s="40" t="str">
        <f>IF($C641="","",IFERROR(VLOOKUP($C641,Orders!$A:$J,6,FALSE),""))</f>
        <v/>
      </c>
      <c r="I641" s="40" t="str">
        <f>IF($C641="","",IFERROR(VLOOKUP($C641,Orders!$A:$J,7,FALSE),""))</f>
        <v/>
      </c>
      <c r="J641" s="40" t="str">
        <f>IF(Bids!$C641="","",Bids!$C641)</f>
        <v/>
      </c>
      <c r="K641" s="40" t="str">
        <f>IF($J641="","",IFERROR(VLOOKUP($J641,Grinders!$A:$N,2,FALSE),""))</f>
        <v/>
      </c>
      <c r="L641" s="40" t="str">
        <f>IF($J641="","",IFERROR(VLOOKUP($J641,Grinders!$A:$N,3,FALSE),""))</f>
        <v/>
      </c>
      <c r="M641" s="40" t="str">
        <f>IF($J641="","",IFERROR(VLOOKUP($J641,Grinders!$A:$N,4,FALSE),""))</f>
        <v/>
      </c>
      <c r="N641" s="40" t="str">
        <f>IF($J641="","",IFERROR(VLOOKUP($J641,Grinders!$A:$N,5,FALSE),""))</f>
        <v/>
      </c>
      <c r="O641" s="40" t="str">
        <f t="shared" si="2"/>
        <v/>
      </c>
      <c r="P641" s="40" t="str">
        <f>IF($J641="","",IFERROR(VLOOKUP($J641,Grinders!$A:$N,6,FALSE),""))</f>
        <v/>
      </c>
      <c r="Q641" s="40" t="str">
        <f>IF($J641="","",IFERROR(VLOOKUP($J641,Grinders!$A:$N,8,FALSE),""))</f>
        <v/>
      </c>
      <c r="R641" s="40" t="str">
        <f>IFERROR(IF($J641="","",IF($L641="Elite",MAX(50,MIN(100,Config!$B$27*MAX(0,MIN(100,(1-IF($O641="",0,$O641))*100)) + Config!$B$28*MAX(0,MIN(100,(1-MIN(1,IF(Config!$B$30=0,1,$P641/Config!$B$30)))*100)) + Config!$B$29*MAX(0,MIN(100,MIN(1,IF($Q641="",0,$Q641)/Config!$B$23)*100)))),MIN(100,Config!$B$27*MAX(0,MIN(100,(1-IF($O641="",0,$O641))*100)) + Config!$B$28*MAX(0,MIN(100,(1-MIN(1,IF(Config!$B$30=0,1,$P641/Config!$B$30)))*100)) + Config!$B$29*MAX(0,MIN(100,MIN(1,IF($Q641="",0,$Q641)/Config!$B$23)*100))))),"")
</f>
        <v/>
      </c>
      <c r="S641" s="40" t="str">
        <f>IF(Bids!$D641="","",Bids!$D641)</f>
        <v/>
      </c>
      <c r="T641" s="40" t="str">
        <f>IF(Bids!$F641="","",Bids!$F641)</f>
        <v/>
      </c>
      <c r="U641" s="40" t="str">
        <f t="shared" si="3"/>
        <v/>
      </c>
      <c r="V641" s="40" t="str">
        <f>IF($U641="","",IF(Config!$B$17=Config!$B$16,IF($U641&gt;=Config!$B$17,100,0),MAX(0,MIN(100,($U641-Config!$B$16)/(Config!$B$17-Config!$B$16)*100))))</f>
        <v/>
      </c>
      <c r="W641" s="40">
        <f>IF($L641="Elite",Config!$B$21,0)</f>
        <v>0</v>
      </c>
      <c r="X641" s="40" t="str">
        <f>IFERROR(IF(OR($T641="",$G641=""),"",IF($T641&gt;$G641,
  MAX(0, 60-(($T641-$G641)*24/Config!$B$19)*60),
  MEDIAN(60, 100, 60+(($G641-$T641)*24/Config!$B$20)*40)
)),"")
</f>
        <v/>
      </c>
      <c r="Y641" s="40" t="str">
        <f>IF($J641="","",IFERROR(VLOOKUP($J641,Grinders!$A:$N,10,FALSE),""))</f>
        <v/>
      </c>
      <c r="Z641" s="40" t="str">
        <f>IF($J641="","",IFERROR(VLOOKUP($J641,Grinders!$A:$N,11,FALSE),""))</f>
        <v/>
      </c>
      <c r="AA641" s="40" t="str">
        <f>IF($J641="","",IFERROR(VLOOKUP($J641,Grinders!$A:$N,12,FALSE),""))</f>
        <v/>
      </c>
      <c r="AB641" s="40">
        <f>IFERROR(IF(OR($C641="",$J641=""),0,IF($D641&lt;&gt;"Open",0,IF(COUNTIFS(GrinderServices!$B:$B,$J641,GrinderServices!$C:$C,$E641,GrinderServices!$E:$E,"Y")=0,0,IF($U641&lt;Config!$B$16,0,IF(Config!$B$18=1,IF($N641&gt;=$M641,0,1),1))))),"")</f>
        <v>0</v>
      </c>
      <c r="AC641" s="40" t="str">
        <f>IFERROR(IF($AB641=0,"",((Config!$B$6*$V641 + Config!$B$7*$R641 + Config!$B$8*$W641 + Config!$B$9*$X641 + Config!$B$10*$Y641 + Config!$B$11*$Z641 - Config!$B$12*$AA641)/Config!$B$13)+$AH641+$AI641),"")</f>
        <v/>
      </c>
      <c r="AD641" s="40" t="str">
        <f t="shared" si="4"/>
        <v/>
      </c>
      <c r="AE641" s="40" t="str">
        <f>IFERROR(__xludf.DUMMYFUNCTION("IF($AC641="""","""",IF($AC641=IFERROR(MAX(FILTER($AC$6:$AC$1000,$C$6:$C$1000=$C641,$AB$6:$AB$1000=1)),),""WINNER"",""""))"),"")</f>
        <v/>
      </c>
      <c r="AF641" s="40" t="str">
        <f t="shared" si="5"/>
        <v/>
      </c>
      <c r="AG641" s="40" t="str">
        <f>IF($J641="","",COUNTIF(Assignments!$B:$B,$J641))</f>
        <v/>
      </c>
      <c r="AH641" s="40" t="str">
        <f>IF($J641="","",IF(AND($AG641=0,$N641&lt;$M641),Config!$B$43,0))</f>
        <v/>
      </c>
      <c r="AI641" s="40" t="str">
        <f>IF($J641="","",IF(AND($L641="Elite",$F641&gt;=Config!$B$41,$N641&lt;$M641),Config!$B$42,0))</f>
        <v/>
      </c>
      <c r="AJ641" s="22"/>
    </row>
    <row r="642" ht="15.75" customHeight="1">
      <c r="A642" s="40" t="str">
        <f t="shared" si="1"/>
        <v/>
      </c>
      <c r="B642" s="40" t="str">
        <f>IF(Bids!$A642="","",Bids!$A642)</f>
        <v/>
      </c>
      <c r="C642" s="40" t="str">
        <f>IF(Bids!$B642="","",Bids!$B642)</f>
        <v/>
      </c>
      <c r="D642" s="40" t="str">
        <f>IF($C642="","",IFERROR(VLOOKUP($C642,Orders!$A:$J,9,FALSE),""))</f>
        <v/>
      </c>
      <c r="E642" s="40" t="str">
        <f>IF($C642="","",IFERROR(VLOOKUP($C642,Orders!$A:$J,3,FALSE),""))</f>
        <v/>
      </c>
      <c r="F642" s="40" t="str">
        <f>IF($C642="","",IFERROR(VLOOKUP($C642,Orders!$A:$J,4,FALSE),""))</f>
        <v/>
      </c>
      <c r="G642" s="40" t="str">
        <f>IF($C642="","",IFERROR(VLOOKUP($C642,Orders!$A:$J,5,FALSE),""))</f>
        <v/>
      </c>
      <c r="H642" s="40" t="str">
        <f>IF($C642="","",IFERROR(VLOOKUP($C642,Orders!$A:$J,6,FALSE),""))</f>
        <v/>
      </c>
      <c r="I642" s="40" t="str">
        <f>IF($C642="","",IFERROR(VLOOKUP($C642,Orders!$A:$J,7,FALSE),""))</f>
        <v/>
      </c>
      <c r="J642" s="40" t="str">
        <f>IF(Bids!$C642="","",Bids!$C642)</f>
        <v/>
      </c>
      <c r="K642" s="40" t="str">
        <f>IF($J642="","",IFERROR(VLOOKUP($J642,Grinders!$A:$N,2,FALSE),""))</f>
        <v/>
      </c>
      <c r="L642" s="40" t="str">
        <f>IF($J642="","",IFERROR(VLOOKUP($J642,Grinders!$A:$N,3,FALSE),""))</f>
        <v/>
      </c>
      <c r="M642" s="40" t="str">
        <f>IF($J642="","",IFERROR(VLOOKUP($J642,Grinders!$A:$N,4,FALSE),""))</f>
        <v/>
      </c>
      <c r="N642" s="40" t="str">
        <f>IF($J642="","",IFERROR(VLOOKUP($J642,Grinders!$A:$N,5,FALSE),""))</f>
        <v/>
      </c>
      <c r="O642" s="40" t="str">
        <f t="shared" si="2"/>
        <v/>
      </c>
      <c r="P642" s="40" t="str">
        <f>IF($J642="","",IFERROR(VLOOKUP($J642,Grinders!$A:$N,6,FALSE),""))</f>
        <v/>
      </c>
      <c r="Q642" s="40" t="str">
        <f>IF($J642="","",IFERROR(VLOOKUP($J642,Grinders!$A:$N,8,FALSE),""))</f>
        <v/>
      </c>
      <c r="R642" s="40" t="str">
        <f>IFERROR(IF($J642="","",IF($L642="Elite",MAX(50,MIN(100,Config!$B$27*MAX(0,MIN(100,(1-IF($O642="",0,$O642))*100)) + Config!$B$28*MAX(0,MIN(100,(1-MIN(1,IF(Config!$B$30=0,1,$P642/Config!$B$30)))*100)) + Config!$B$29*MAX(0,MIN(100,MIN(1,IF($Q642="",0,$Q642)/Config!$B$23)*100)))),MIN(100,Config!$B$27*MAX(0,MIN(100,(1-IF($O642="",0,$O642))*100)) + Config!$B$28*MAX(0,MIN(100,(1-MIN(1,IF(Config!$B$30=0,1,$P642/Config!$B$30)))*100)) + Config!$B$29*MAX(0,MIN(100,MIN(1,IF($Q642="",0,$Q642)/Config!$B$23)*100))))),"")
</f>
        <v/>
      </c>
      <c r="S642" s="40" t="str">
        <f>IF(Bids!$D642="","",Bids!$D642)</f>
        <v/>
      </c>
      <c r="T642" s="40" t="str">
        <f>IF(Bids!$F642="","",Bids!$F642)</f>
        <v/>
      </c>
      <c r="U642" s="40" t="str">
        <f t="shared" si="3"/>
        <v/>
      </c>
      <c r="V642" s="40" t="str">
        <f>IF($U642="","",IF(Config!$B$17=Config!$B$16,IF($U642&gt;=Config!$B$17,100,0),MAX(0,MIN(100,($U642-Config!$B$16)/(Config!$B$17-Config!$B$16)*100))))</f>
        <v/>
      </c>
      <c r="W642" s="40">
        <f>IF($L642="Elite",Config!$B$21,0)</f>
        <v>0</v>
      </c>
      <c r="X642" s="40" t="str">
        <f>IFERROR(IF(OR($T642="",$G642=""),"",IF($T642&gt;$G642,
  MAX(0, 60-(($T642-$G642)*24/Config!$B$19)*60),
  MEDIAN(60, 100, 60+(($G642-$T642)*24/Config!$B$20)*40)
)),"")
</f>
        <v/>
      </c>
      <c r="Y642" s="40" t="str">
        <f>IF($J642="","",IFERROR(VLOOKUP($J642,Grinders!$A:$N,10,FALSE),""))</f>
        <v/>
      </c>
      <c r="Z642" s="40" t="str">
        <f>IF($J642="","",IFERROR(VLOOKUP($J642,Grinders!$A:$N,11,FALSE),""))</f>
        <v/>
      </c>
      <c r="AA642" s="40" t="str">
        <f>IF($J642="","",IFERROR(VLOOKUP($J642,Grinders!$A:$N,12,FALSE),""))</f>
        <v/>
      </c>
      <c r="AB642" s="40">
        <f>IFERROR(IF(OR($C642="",$J642=""),0,IF($D642&lt;&gt;"Open",0,IF(COUNTIFS(GrinderServices!$B:$B,$J642,GrinderServices!$C:$C,$E642,GrinderServices!$E:$E,"Y")=0,0,IF($U642&lt;Config!$B$16,0,IF(Config!$B$18=1,IF($N642&gt;=$M642,0,1),1))))),"")</f>
        <v>0</v>
      </c>
      <c r="AC642" s="40" t="str">
        <f>IFERROR(IF($AB642=0,"",((Config!$B$6*$V642 + Config!$B$7*$R642 + Config!$B$8*$W642 + Config!$B$9*$X642 + Config!$B$10*$Y642 + Config!$B$11*$Z642 - Config!$B$12*$AA642)/Config!$B$13)+$AH642+$AI642),"")</f>
        <v/>
      </c>
      <c r="AD642" s="40" t="str">
        <f t="shared" si="4"/>
        <v/>
      </c>
      <c r="AE642" s="40" t="str">
        <f>IFERROR(__xludf.DUMMYFUNCTION("IF($AC642="""","""",IF($AC642=IFERROR(MAX(FILTER($AC$6:$AC$1000,$C$6:$C$1000=$C642,$AB$6:$AB$1000=1)),),""WINNER"",""""))"),"")</f>
        <v/>
      </c>
      <c r="AF642" s="40" t="str">
        <f t="shared" si="5"/>
        <v/>
      </c>
      <c r="AG642" s="40" t="str">
        <f>IF($J642="","",COUNTIF(Assignments!$B:$B,$J642))</f>
        <v/>
      </c>
      <c r="AH642" s="40" t="str">
        <f>IF($J642="","",IF(AND($AG642=0,$N642&lt;$M642),Config!$B$43,0))</f>
        <v/>
      </c>
      <c r="AI642" s="40" t="str">
        <f>IF($J642="","",IF(AND($L642="Elite",$F642&gt;=Config!$B$41,$N642&lt;$M642),Config!$B$42,0))</f>
        <v/>
      </c>
      <c r="AJ642" s="22"/>
    </row>
    <row r="643" ht="15.75" customHeight="1">
      <c r="A643" s="40" t="str">
        <f t="shared" si="1"/>
        <v/>
      </c>
      <c r="B643" s="40" t="str">
        <f>IF(Bids!$A643="","",Bids!$A643)</f>
        <v/>
      </c>
      <c r="C643" s="40" t="str">
        <f>IF(Bids!$B643="","",Bids!$B643)</f>
        <v/>
      </c>
      <c r="D643" s="40" t="str">
        <f>IF($C643="","",IFERROR(VLOOKUP($C643,Orders!$A:$J,9,FALSE),""))</f>
        <v/>
      </c>
      <c r="E643" s="40" t="str">
        <f>IF($C643="","",IFERROR(VLOOKUP($C643,Orders!$A:$J,3,FALSE),""))</f>
        <v/>
      </c>
      <c r="F643" s="40" t="str">
        <f>IF($C643="","",IFERROR(VLOOKUP($C643,Orders!$A:$J,4,FALSE),""))</f>
        <v/>
      </c>
      <c r="G643" s="40" t="str">
        <f>IF($C643="","",IFERROR(VLOOKUP($C643,Orders!$A:$J,5,FALSE),""))</f>
        <v/>
      </c>
      <c r="H643" s="40" t="str">
        <f>IF($C643="","",IFERROR(VLOOKUP($C643,Orders!$A:$J,6,FALSE),""))</f>
        <v/>
      </c>
      <c r="I643" s="40" t="str">
        <f>IF($C643="","",IFERROR(VLOOKUP($C643,Orders!$A:$J,7,FALSE),""))</f>
        <v/>
      </c>
      <c r="J643" s="40" t="str">
        <f>IF(Bids!$C643="","",Bids!$C643)</f>
        <v/>
      </c>
      <c r="K643" s="40" t="str">
        <f>IF($J643="","",IFERROR(VLOOKUP($J643,Grinders!$A:$N,2,FALSE),""))</f>
        <v/>
      </c>
      <c r="L643" s="40" t="str">
        <f>IF($J643="","",IFERROR(VLOOKUP($J643,Grinders!$A:$N,3,FALSE),""))</f>
        <v/>
      </c>
      <c r="M643" s="40" t="str">
        <f>IF($J643="","",IFERROR(VLOOKUP($J643,Grinders!$A:$N,4,FALSE),""))</f>
        <v/>
      </c>
      <c r="N643" s="40" t="str">
        <f>IF($J643="","",IFERROR(VLOOKUP($J643,Grinders!$A:$N,5,FALSE),""))</f>
        <v/>
      </c>
      <c r="O643" s="40" t="str">
        <f t="shared" si="2"/>
        <v/>
      </c>
      <c r="P643" s="40" t="str">
        <f>IF($J643="","",IFERROR(VLOOKUP($J643,Grinders!$A:$N,6,FALSE),""))</f>
        <v/>
      </c>
      <c r="Q643" s="40" t="str">
        <f>IF($J643="","",IFERROR(VLOOKUP($J643,Grinders!$A:$N,8,FALSE),""))</f>
        <v/>
      </c>
      <c r="R643" s="40" t="str">
        <f>IFERROR(IF($J643="","",IF($L643="Elite",MAX(50,MIN(100,Config!$B$27*MAX(0,MIN(100,(1-IF($O643="",0,$O643))*100)) + Config!$B$28*MAX(0,MIN(100,(1-MIN(1,IF(Config!$B$30=0,1,$P643/Config!$B$30)))*100)) + Config!$B$29*MAX(0,MIN(100,MIN(1,IF($Q643="",0,$Q643)/Config!$B$23)*100)))),MIN(100,Config!$B$27*MAX(0,MIN(100,(1-IF($O643="",0,$O643))*100)) + Config!$B$28*MAX(0,MIN(100,(1-MIN(1,IF(Config!$B$30=0,1,$P643/Config!$B$30)))*100)) + Config!$B$29*MAX(0,MIN(100,MIN(1,IF($Q643="",0,$Q643)/Config!$B$23)*100))))),"")
</f>
        <v/>
      </c>
      <c r="S643" s="40" t="str">
        <f>IF(Bids!$D643="","",Bids!$D643)</f>
        <v/>
      </c>
      <c r="T643" s="40" t="str">
        <f>IF(Bids!$F643="","",Bids!$F643)</f>
        <v/>
      </c>
      <c r="U643" s="40" t="str">
        <f t="shared" si="3"/>
        <v/>
      </c>
      <c r="V643" s="40" t="str">
        <f>IF($U643="","",IF(Config!$B$17=Config!$B$16,IF($U643&gt;=Config!$B$17,100,0),MAX(0,MIN(100,($U643-Config!$B$16)/(Config!$B$17-Config!$B$16)*100))))</f>
        <v/>
      </c>
      <c r="W643" s="40">
        <f>IF($L643="Elite",Config!$B$21,0)</f>
        <v>0</v>
      </c>
      <c r="X643" s="40" t="str">
        <f>IFERROR(IF(OR($T643="",$G643=""),"",IF($T643&gt;$G643,
  MAX(0, 60-(($T643-$G643)*24/Config!$B$19)*60),
  MEDIAN(60, 100, 60+(($G643-$T643)*24/Config!$B$20)*40)
)),"")
</f>
        <v/>
      </c>
      <c r="Y643" s="40" t="str">
        <f>IF($J643="","",IFERROR(VLOOKUP($J643,Grinders!$A:$N,10,FALSE),""))</f>
        <v/>
      </c>
      <c r="Z643" s="40" t="str">
        <f>IF($J643="","",IFERROR(VLOOKUP($J643,Grinders!$A:$N,11,FALSE),""))</f>
        <v/>
      </c>
      <c r="AA643" s="40" t="str">
        <f>IF($J643="","",IFERROR(VLOOKUP($J643,Grinders!$A:$N,12,FALSE),""))</f>
        <v/>
      </c>
      <c r="AB643" s="40">
        <f>IFERROR(IF(OR($C643="",$J643=""),0,IF($D643&lt;&gt;"Open",0,IF(COUNTIFS(GrinderServices!$B:$B,$J643,GrinderServices!$C:$C,$E643,GrinderServices!$E:$E,"Y")=0,0,IF($U643&lt;Config!$B$16,0,IF(Config!$B$18=1,IF($N643&gt;=$M643,0,1),1))))),"")</f>
        <v>0</v>
      </c>
      <c r="AC643" s="40" t="str">
        <f>IFERROR(IF($AB643=0,"",((Config!$B$6*$V643 + Config!$B$7*$R643 + Config!$B$8*$W643 + Config!$B$9*$X643 + Config!$B$10*$Y643 + Config!$B$11*$Z643 - Config!$B$12*$AA643)/Config!$B$13)+$AH643+$AI643),"")</f>
        <v/>
      </c>
      <c r="AD643" s="40" t="str">
        <f t="shared" si="4"/>
        <v/>
      </c>
      <c r="AE643" s="40" t="str">
        <f>IFERROR(__xludf.DUMMYFUNCTION("IF($AC643="""","""",IF($AC643=IFERROR(MAX(FILTER($AC$6:$AC$1000,$C$6:$C$1000=$C643,$AB$6:$AB$1000=1)),),""WINNER"",""""))"),"")</f>
        <v/>
      </c>
      <c r="AF643" s="40" t="str">
        <f t="shared" si="5"/>
        <v/>
      </c>
      <c r="AG643" s="40" t="str">
        <f>IF($J643="","",COUNTIF(Assignments!$B:$B,$J643))</f>
        <v/>
      </c>
      <c r="AH643" s="40" t="str">
        <f>IF($J643="","",IF(AND($AG643=0,$N643&lt;$M643),Config!$B$43,0))</f>
        <v/>
      </c>
      <c r="AI643" s="40" t="str">
        <f>IF($J643="","",IF(AND($L643="Elite",$F643&gt;=Config!$B$41,$N643&lt;$M643),Config!$B$42,0))</f>
        <v/>
      </c>
      <c r="AJ643" s="22"/>
    </row>
    <row r="644" ht="15.75" customHeight="1">
      <c r="A644" s="40" t="str">
        <f t="shared" si="1"/>
        <v/>
      </c>
      <c r="B644" s="40" t="str">
        <f>IF(Bids!$A644="","",Bids!$A644)</f>
        <v/>
      </c>
      <c r="C644" s="40" t="str">
        <f>IF(Bids!$B644="","",Bids!$B644)</f>
        <v/>
      </c>
      <c r="D644" s="40" t="str">
        <f>IF($C644="","",IFERROR(VLOOKUP($C644,Orders!$A:$J,9,FALSE),""))</f>
        <v/>
      </c>
      <c r="E644" s="40" t="str">
        <f>IF($C644="","",IFERROR(VLOOKUP($C644,Orders!$A:$J,3,FALSE),""))</f>
        <v/>
      </c>
      <c r="F644" s="40" t="str">
        <f>IF($C644="","",IFERROR(VLOOKUP($C644,Orders!$A:$J,4,FALSE),""))</f>
        <v/>
      </c>
      <c r="G644" s="40" t="str">
        <f>IF($C644="","",IFERROR(VLOOKUP($C644,Orders!$A:$J,5,FALSE),""))</f>
        <v/>
      </c>
      <c r="H644" s="40" t="str">
        <f>IF($C644="","",IFERROR(VLOOKUP($C644,Orders!$A:$J,6,FALSE),""))</f>
        <v/>
      </c>
      <c r="I644" s="40" t="str">
        <f>IF($C644="","",IFERROR(VLOOKUP($C644,Orders!$A:$J,7,FALSE),""))</f>
        <v/>
      </c>
      <c r="J644" s="40" t="str">
        <f>IF(Bids!$C644="","",Bids!$C644)</f>
        <v/>
      </c>
      <c r="K644" s="40" t="str">
        <f>IF($J644="","",IFERROR(VLOOKUP($J644,Grinders!$A:$N,2,FALSE),""))</f>
        <v/>
      </c>
      <c r="L644" s="40" t="str">
        <f>IF($J644="","",IFERROR(VLOOKUP($J644,Grinders!$A:$N,3,FALSE),""))</f>
        <v/>
      </c>
      <c r="M644" s="40" t="str">
        <f>IF($J644="","",IFERROR(VLOOKUP($J644,Grinders!$A:$N,4,FALSE),""))</f>
        <v/>
      </c>
      <c r="N644" s="40" t="str">
        <f>IF($J644="","",IFERROR(VLOOKUP($J644,Grinders!$A:$N,5,FALSE),""))</f>
        <v/>
      </c>
      <c r="O644" s="40" t="str">
        <f t="shared" si="2"/>
        <v/>
      </c>
      <c r="P644" s="40" t="str">
        <f>IF($J644="","",IFERROR(VLOOKUP($J644,Grinders!$A:$N,6,FALSE),""))</f>
        <v/>
      </c>
      <c r="Q644" s="40" t="str">
        <f>IF($J644="","",IFERROR(VLOOKUP($J644,Grinders!$A:$N,8,FALSE),""))</f>
        <v/>
      </c>
      <c r="R644" s="40" t="str">
        <f>IFERROR(IF($J644="","",IF($L644="Elite",MAX(50,MIN(100,Config!$B$27*MAX(0,MIN(100,(1-IF($O644="",0,$O644))*100)) + Config!$B$28*MAX(0,MIN(100,(1-MIN(1,IF(Config!$B$30=0,1,$P644/Config!$B$30)))*100)) + Config!$B$29*MAX(0,MIN(100,MIN(1,IF($Q644="",0,$Q644)/Config!$B$23)*100)))),MIN(100,Config!$B$27*MAX(0,MIN(100,(1-IF($O644="",0,$O644))*100)) + Config!$B$28*MAX(0,MIN(100,(1-MIN(1,IF(Config!$B$30=0,1,$P644/Config!$B$30)))*100)) + Config!$B$29*MAX(0,MIN(100,MIN(1,IF($Q644="",0,$Q644)/Config!$B$23)*100))))),"")
</f>
        <v/>
      </c>
      <c r="S644" s="40" t="str">
        <f>IF(Bids!$D644="","",Bids!$D644)</f>
        <v/>
      </c>
      <c r="T644" s="40" t="str">
        <f>IF(Bids!$F644="","",Bids!$F644)</f>
        <v/>
      </c>
      <c r="U644" s="40" t="str">
        <f t="shared" si="3"/>
        <v/>
      </c>
      <c r="V644" s="40" t="str">
        <f>IF($U644="","",IF(Config!$B$17=Config!$B$16,IF($U644&gt;=Config!$B$17,100,0),MAX(0,MIN(100,($U644-Config!$B$16)/(Config!$B$17-Config!$B$16)*100))))</f>
        <v/>
      </c>
      <c r="W644" s="40">
        <f>IF($L644="Elite",Config!$B$21,0)</f>
        <v>0</v>
      </c>
      <c r="X644" s="40" t="str">
        <f>IFERROR(IF(OR($T644="",$G644=""),"",IF($T644&gt;$G644,
  MAX(0, 60-(($T644-$G644)*24/Config!$B$19)*60),
  MEDIAN(60, 100, 60+(($G644-$T644)*24/Config!$B$20)*40)
)),"")
</f>
        <v/>
      </c>
      <c r="Y644" s="40" t="str">
        <f>IF($J644="","",IFERROR(VLOOKUP($J644,Grinders!$A:$N,10,FALSE),""))</f>
        <v/>
      </c>
      <c r="Z644" s="40" t="str">
        <f>IF($J644="","",IFERROR(VLOOKUP($J644,Grinders!$A:$N,11,FALSE),""))</f>
        <v/>
      </c>
      <c r="AA644" s="40" t="str">
        <f>IF($J644="","",IFERROR(VLOOKUP($J644,Grinders!$A:$N,12,FALSE),""))</f>
        <v/>
      </c>
      <c r="AB644" s="40">
        <f>IFERROR(IF(OR($C644="",$J644=""),0,IF($D644&lt;&gt;"Open",0,IF(COUNTIFS(GrinderServices!$B:$B,$J644,GrinderServices!$C:$C,$E644,GrinderServices!$E:$E,"Y")=0,0,IF($U644&lt;Config!$B$16,0,IF(Config!$B$18=1,IF($N644&gt;=$M644,0,1),1))))),"")</f>
        <v>0</v>
      </c>
      <c r="AC644" s="40" t="str">
        <f>IFERROR(IF($AB644=0,"",((Config!$B$6*$V644 + Config!$B$7*$R644 + Config!$B$8*$W644 + Config!$B$9*$X644 + Config!$B$10*$Y644 + Config!$B$11*$Z644 - Config!$B$12*$AA644)/Config!$B$13)+$AH644+$AI644),"")</f>
        <v/>
      </c>
      <c r="AD644" s="40" t="str">
        <f t="shared" si="4"/>
        <v/>
      </c>
      <c r="AE644" s="40" t="str">
        <f>IFERROR(__xludf.DUMMYFUNCTION("IF($AC644="""","""",IF($AC644=IFERROR(MAX(FILTER($AC$6:$AC$1000,$C$6:$C$1000=$C644,$AB$6:$AB$1000=1)),),""WINNER"",""""))"),"")</f>
        <v/>
      </c>
      <c r="AF644" s="40" t="str">
        <f t="shared" si="5"/>
        <v/>
      </c>
      <c r="AG644" s="40" t="str">
        <f>IF($J644="","",COUNTIF(Assignments!$B:$B,$J644))</f>
        <v/>
      </c>
      <c r="AH644" s="40" t="str">
        <f>IF($J644="","",IF(AND($AG644=0,$N644&lt;$M644),Config!$B$43,0))</f>
        <v/>
      </c>
      <c r="AI644" s="40" t="str">
        <f>IF($J644="","",IF(AND($L644="Elite",$F644&gt;=Config!$B$41,$N644&lt;$M644),Config!$B$42,0))</f>
        <v/>
      </c>
      <c r="AJ644" s="22"/>
    </row>
    <row r="645" ht="15.75" customHeight="1">
      <c r="A645" s="40" t="str">
        <f t="shared" si="1"/>
        <v/>
      </c>
      <c r="B645" s="40" t="str">
        <f>IF(Bids!$A645="","",Bids!$A645)</f>
        <v/>
      </c>
      <c r="C645" s="40" t="str">
        <f>IF(Bids!$B645="","",Bids!$B645)</f>
        <v/>
      </c>
      <c r="D645" s="40" t="str">
        <f>IF($C645="","",IFERROR(VLOOKUP($C645,Orders!$A:$J,9,FALSE),""))</f>
        <v/>
      </c>
      <c r="E645" s="40" t="str">
        <f>IF($C645="","",IFERROR(VLOOKUP($C645,Orders!$A:$J,3,FALSE),""))</f>
        <v/>
      </c>
      <c r="F645" s="40" t="str">
        <f>IF($C645="","",IFERROR(VLOOKUP($C645,Orders!$A:$J,4,FALSE),""))</f>
        <v/>
      </c>
      <c r="G645" s="40" t="str">
        <f>IF($C645="","",IFERROR(VLOOKUP($C645,Orders!$A:$J,5,FALSE),""))</f>
        <v/>
      </c>
      <c r="H645" s="40" t="str">
        <f>IF($C645="","",IFERROR(VLOOKUP($C645,Orders!$A:$J,6,FALSE),""))</f>
        <v/>
      </c>
      <c r="I645" s="40" t="str">
        <f>IF($C645="","",IFERROR(VLOOKUP($C645,Orders!$A:$J,7,FALSE),""))</f>
        <v/>
      </c>
      <c r="J645" s="40" t="str">
        <f>IF(Bids!$C645="","",Bids!$C645)</f>
        <v/>
      </c>
      <c r="K645" s="40" t="str">
        <f>IF($J645="","",IFERROR(VLOOKUP($J645,Grinders!$A:$N,2,FALSE),""))</f>
        <v/>
      </c>
      <c r="L645" s="40" t="str">
        <f>IF($J645="","",IFERROR(VLOOKUP($J645,Grinders!$A:$N,3,FALSE),""))</f>
        <v/>
      </c>
      <c r="M645" s="40" t="str">
        <f>IF($J645="","",IFERROR(VLOOKUP($J645,Grinders!$A:$N,4,FALSE),""))</f>
        <v/>
      </c>
      <c r="N645" s="40" t="str">
        <f>IF($J645="","",IFERROR(VLOOKUP($J645,Grinders!$A:$N,5,FALSE),""))</f>
        <v/>
      </c>
      <c r="O645" s="40" t="str">
        <f t="shared" si="2"/>
        <v/>
      </c>
      <c r="P645" s="40" t="str">
        <f>IF($J645="","",IFERROR(VLOOKUP($J645,Grinders!$A:$N,6,FALSE),""))</f>
        <v/>
      </c>
      <c r="Q645" s="40" t="str">
        <f>IF($J645="","",IFERROR(VLOOKUP($J645,Grinders!$A:$N,8,FALSE),""))</f>
        <v/>
      </c>
      <c r="R645" s="40" t="str">
        <f>IFERROR(IF($J645="","",IF($L645="Elite",MAX(50,MIN(100,Config!$B$27*MAX(0,MIN(100,(1-IF($O645="",0,$O645))*100)) + Config!$B$28*MAX(0,MIN(100,(1-MIN(1,IF(Config!$B$30=0,1,$P645/Config!$B$30)))*100)) + Config!$B$29*MAX(0,MIN(100,MIN(1,IF($Q645="",0,$Q645)/Config!$B$23)*100)))),MIN(100,Config!$B$27*MAX(0,MIN(100,(1-IF($O645="",0,$O645))*100)) + Config!$B$28*MAX(0,MIN(100,(1-MIN(1,IF(Config!$B$30=0,1,$P645/Config!$B$30)))*100)) + Config!$B$29*MAX(0,MIN(100,MIN(1,IF($Q645="",0,$Q645)/Config!$B$23)*100))))),"")
</f>
        <v/>
      </c>
      <c r="S645" s="40" t="str">
        <f>IF(Bids!$D645="","",Bids!$D645)</f>
        <v/>
      </c>
      <c r="T645" s="40" t="str">
        <f>IF(Bids!$F645="","",Bids!$F645)</f>
        <v/>
      </c>
      <c r="U645" s="40" t="str">
        <f t="shared" si="3"/>
        <v/>
      </c>
      <c r="V645" s="40" t="str">
        <f>IF($U645="","",IF(Config!$B$17=Config!$B$16,IF($U645&gt;=Config!$B$17,100,0),MAX(0,MIN(100,($U645-Config!$B$16)/(Config!$B$17-Config!$B$16)*100))))</f>
        <v/>
      </c>
      <c r="W645" s="40">
        <f>IF($L645="Elite",Config!$B$21,0)</f>
        <v>0</v>
      </c>
      <c r="X645" s="40" t="str">
        <f>IFERROR(IF(OR($T645="",$G645=""),"",IF($T645&gt;$G645,
  MAX(0, 60-(($T645-$G645)*24/Config!$B$19)*60),
  MEDIAN(60, 100, 60+(($G645-$T645)*24/Config!$B$20)*40)
)),"")
</f>
        <v/>
      </c>
      <c r="Y645" s="40" t="str">
        <f>IF($J645="","",IFERROR(VLOOKUP($J645,Grinders!$A:$N,10,FALSE),""))</f>
        <v/>
      </c>
      <c r="Z645" s="40" t="str">
        <f>IF($J645="","",IFERROR(VLOOKUP($J645,Grinders!$A:$N,11,FALSE),""))</f>
        <v/>
      </c>
      <c r="AA645" s="40" t="str">
        <f>IF($J645="","",IFERROR(VLOOKUP($J645,Grinders!$A:$N,12,FALSE),""))</f>
        <v/>
      </c>
      <c r="AB645" s="40">
        <f>IFERROR(IF(OR($C645="",$J645=""),0,IF($D645&lt;&gt;"Open",0,IF(COUNTIFS(GrinderServices!$B:$B,$J645,GrinderServices!$C:$C,$E645,GrinderServices!$E:$E,"Y")=0,0,IF($U645&lt;Config!$B$16,0,IF(Config!$B$18=1,IF($N645&gt;=$M645,0,1),1))))),"")</f>
        <v>0</v>
      </c>
      <c r="AC645" s="40" t="str">
        <f>IFERROR(IF($AB645=0,"",((Config!$B$6*$V645 + Config!$B$7*$R645 + Config!$B$8*$W645 + Config!$B$9*$X645 + Config!$B$10*$Y645 + Config!$B$11*$Z645 - Config!$B$12*$AA645)/Config!$B$13)+$AH645+$AI645),"")</f>
        <v/>
      </c>
      <c r="AD645" s="40" t="str">
        <f t="shared" si="4"/>
        <v/>
      </c>
      <c r="AE645" s="40" t="str">
        <f>IFERROR(__xludf.DUMMYFUNCTION("IF($AC645="""","""",IF($AC645=IFERROR(MAX(FILTER($AC$6:$AC$1000,$C$6:$C$1000=$C645,$AB$6:$AB$1000=1)),),""WINNER"",""""))"),"")</f>
        <v/>
      </c>
      <c r="AF645" s="40" t="str">
        <f t="shared" si="5"/>
        <v/>
      </c>
      <c r="AG645" s="40" t="str">
        <f>IF($J645="","",COUNTIF(Assignments!$B:$B,$J645))</f>
        <v/>
      </c>
      <c r="AH645" s="40" t="str">
        <f>IF($J645="","",IF(AND($AG645=0,$N645&lt;$M645),Config!$B$43,0))</f>
        <v/>
      </c>
      <c r="AI645" s="40" t="str">
        <f>IF($J645="","",IF(AND($L645="Elite",$F645&gt;=Config!$B$41,$N645&lt;$M645),Config!$B$42,0))</f>
        <v/>
      </c>
      <c r="AJ645" s="22"/>
    </row>
    <row r="646" ht="15.75" customHeight="1">
      <c r="A646" s="40" t="str">
        <f t="shared" si="1"/>
        <v/>
      </c>
      <c r="B646" s="40" t="str">
        <f>IF(Bids!$A646="","",Bids!$A646)</f>
        <v/>
      </c>
      <c r="C646" s="40" t="str">
        <f>IF(Bids!$B646="","",Bids!$B646)</f>
        <v/>
      </c>
      <c r="D646" s="40" t="str">
        <f>IF($C646="","",IFERROR(VLOOKUP($C646,Orders!$A:$J,9,FALSE),""))</f>
        <v/>
      </c>
      <c r="E646" s="40" t="str">
        <f>IF($C646="","",IFERROR(VLOOKUP($C646,Orders!$A:$J,3,FALSE),""))</f>
        <v/>
      </c>
      <c r="F646" s="40" t="str">
        <f>IF($C646="","",IFERROR(VLOOKUP($C646,Orders!$A:$J,4,FALSE),""))</f>
        <v/>
      </c>
      <c r="G646" s="40" t="str">
        <f>IF($C646="","",IFERROR(VLOOKUP($C646,Orders!$A:$J,5,FALSE),""))</f>
        <v/>
      </c>
      <c r="H646" s="40" t="str">
        <f>IF($C646="","",IFERROR(VLOOKUP($C646,Orders!$A:$J,6,FALSE),""))</f>
        <v/>
      </c>
      <c r="I646" s="40" t="str">
        <f>IF($C646="","",IFERROR(VLOOKUP($C646,Orders!$A:$J,7,FALSE),""))</f>
        <v/>
      </c>
      <c r="J646" s="40" t="str">
        <f>IF(Bids!$C646="","",Bids!$C646)</f>
        <v/>
      </c>
      <c r="K646" s="40" t="str">
        <f>IF($J646="","",IFERROR(VLOOKUP($J646,Grinders!$A:$N,2,FALSE),""))</f>
        <v/>
      </c>
      <c r="L646" s="40" t="str">
        <f>IF($J646="","",IFERROR(VLOOKUP($J646,Grinders!$A:$N,3,FALSE),""))</f>
        <v/>
      </c>
      <c r="M646" s="40" t="str">
        <f>IF($J646="","",IFERROR(VLOOKUP($J646,Grinders!$A:$N,4,FALSE),""))</f>
        <v/>
      </c>
      <c r="N646" s="40" t="str">
        <f>IF($J646="","",IFERROR(VLOOKUP($J646,Grinders!$A:$N,5,FALSE),""))</f>
        <v/>
      </c>
      <c r="O646" s="40" t="str">
        <f t="shared" si="2"/>
        <v/>
      </c>
      <c r="P646" s="40" t="str">
        <f>IF($J646="","",IFERROR(VLOOKUP($J646,Grinders!$A:$N,6,FALSE),""))</f>
        <v/>
      </c>
      <c r="Q646" s="40" t="str">
        <f>IF($J646="","",IFERROR(VLOOKUP($J646,Grinders!$A:$N,8,FALSE),""))</f>
        <v/>
      </c>
      <c r="R646" s="40" t="str">
        <f>IFERROR(IF($J646="","",IF($L646="Elite",MAX(50,MIN(100,Config!$B$27*MAX(0,MIN(100,(1-IF($O646="",0,$O646))*100)) + Config!$B$28*MAX(0,MIN(100,(1-MIN(1,IF(Config!$B$30=0,1,$P646/Config!$B$30)))*100)) + Config!$B$29*MAX(0,MIN(100,MIN(1,IF($Q646="",0,$Q646)/Config!$B$23)*100)))),MIN(100,Config!$B$27*MAX(0,MIN(100,(1-IF($O646="",0,$O646))*100)) + Config!$B$28*MAX(0,MIN(100,(1-MIN(1,IF(Config!$B$30=0,1,$P646/Config!$B$30)))*100)) + Config!$B$29*MAX(0,MIN(100,MIN(1,IF($Q646="",0,$Q646)/Config!$B$23)*100))))),"")
</f>
        <v/>
      </c>
      <c r="S646" s="40" t="str">
        <f>IF(Bids!$D646="","",Bids!$D646)</f>
        <v/>
      </c>
      <c r="T646" s="40" t="str">
        <f>IF(Bids!$F646="","",Bids!$F646)</f>
        <v/>
      </c>
      <c r="U646" s="40" t="str">
        <f t="shared" si="3"/>
        <v/>
      </c>
      <c r="V646" s="40" t="str">
        <f>IF($U646="","",IF(Config!$B$17=Config!$B$16,IF($U646&gt;=Config!$B$17,100,0),MAX(0,MIN(100,($U646-Config!$B$16)/(Config!$B$17-Config!$B$16)*100))))</f>
        <v/>
      </c>
      <c r="W646" s="40">
        <f>IF($L646="Elite",Config!$B$21,0)</f>
        <v>0</v>
      </c>
      <c r="X646" s="40" t="str">
        <f>IFERROR(IF(OR($T646="",$G646=""),"",IF($T646&gt;$G646,
  MAX(0, 60-(($T646-$G646)*24/Config!$B$19)*60),
  MEDIAN(60, 100, 60+(($G646-$T646)*24/Config!$B$20)*40)
)),"")
</f>
        <v/>
      </c>
      <c r="Y646" s="40" t="str">
        <f>IF($J646="","",IFERROR(VLOOKUP($J646,Grinders!$A:$N,10,FALSE),""))</f>
        <v/>
      </c>
      <c r="Z646" s="40" t="str">
        <f>IF($J646="","",IFERROR(VLOOKUP($J646,Grinders!$A:$N,11,FALSE),""))</f>
        <v/>
      </c>
      <c r="AA646" s="40" t="str">
        <f>IF($J646="","",IFERROR(VLOOKUP($J646,Grinders!$A:$N,12,FALSE),""))</f>
        <v/>
      </c>
      <c r="AB646" s="40">
        <f>IFERROR(IF(OR($C646="",$J646=""),0,IF($D646&lt;&gt;"Open",0,IF(COUNTIFS(GrinderServices!$B:$B,$J646,GrinderServices!$C:$C,$E646,GrinderServices!$E:$E,"Y")=0,0,IF($U646&lt;Config!$B$16,0,IF(Config!$B$18=1,IF($N646&gt;=$M646,0,1),1))))),"")</f>
        <v>0</v>
      </c>
      <c r="AC646" s="40" t="str">
        <f>IFERROR(IF($AB646=0,"",((Config!$B$6*$V646 + Config!$B$7*$R646 + Config!$B$8*$W646 + Config!$B$9*$X646 + Config!$B$10*$Y646 + Config!$B$11*$Z646 - Config!$B$12*$AA646)/Config!$B$13)+$AH646+$AI646),"")</f>
        <v/>
      </c>
      <c r="AD646" s="40" t="str">
        <f t="shared" si="4"/>
        <v/>
      </c>
      <c r="AE646" s="40" t="str">
        <f>IFERROR(__xludf.DUMMYFUNCTION("IF($AC646="""","""",IF($AC646=IFERROR(MAX(FILTER($AC$6:$AC$1000,$C$6:$C$1000=$C646,$AB$6:$AB$1000=1)),),""WINNER"",""""))"),"")</f>
        <v/>
      </c>
      <c r="AF646" s="40" t="str">
        <f t="shared" si="5"/>
        <v/>
      </c>
      <c r="AG646" s="40" t="str">
        <f>IF($J646="","",COUNTIF(Assignments!$B:$B,$J646))</f>
        <v/>
      </c>
      <c r="AH646" s="40" t="str">
        <f>IF($J646="","",IF(AND($AG646=0,$N646&lt;$M646),Config!$B$43,0))</f>
        <v/>
      </c>
      <c r="AI646" s="40" t="str">
        <f>IF($J646="","",IF(AND($L646="Elite",$F646&gt;=Config!$B$41,$N646&lt;$M646),Config!$B$42,0))</f>
        <v/>
      </c>
      <c r="AJ646" s="22"/>
    </row>
    <row r="647" ht="15.75" customHeight="1">
      <c r="A647" s="40" t="str">
        <f t="shared" si="1"/>
        <v/>
      </c>
      <c r="B647" s="40" t="str">
        <f>IF(Bids!$A647="","",Bids!$A647)</f>
        <v/>
      </c>
      <c r="C647" s="40" t="str">
        <f>IF(Bids!$B647="","",Bids!$B647)</f>
        <v/>
      </c>
      <c r="D647" s="40" t="str">
        <f>IF($C647="","",IFERROR(VLOOKUP($C647,Orders!$A:$J,9,FALSE),""))</f>
        <v/>
      </c>
      <c r="E647" s="40" t="str">
        <f>IF($C647="","",IFERROR(VLOOKUP($C647,Orders!$A:$J,3,FALSE),""))</f>
        <v/>
      </c>
      <c r="F647" s="40" t="str">
        <f>IF($C647="","",IFERROR(VLOOKUP($C647,Orders!$A:$J,4,FALSE),""))</f>
        <v/>
      </c>
      <c r="G647" s="40" t="str">
        <f>IF($C647="","",IFERROR(VLOOKUP($C647,Orders!$A:$J,5,FALSE),""))</f>
        <v/>
      </c>
      <c r="H647" s="40" t="str">
        <f>IF($C647="","",IFERROR(VLOOKUP($C647,Orders!$A:$J,6,FALSE),""))</f>
        <v/>
      </c>
      <c r="I647" s="40" t="str">
        <f>IF($C647="","",IFERROR(VLOOKUP($C647,Orders!$A:$J,7,FALSE),""))</f>
        <v/>
      </c>
      <c r="J647" s="40" t="str">
        <f>IF(Bids!$C647="","",Bids!$C647)</f>
        <v/>
      </c>
      <c r="K647" s="40" t="str">
        <f>IF($J647="","",IFERROR(VLOOKUP($J647,Grinders!$A:$N,2,FALSE),""))</f>
        <v/>
      </c>
      <c r="L647" s="40" t="str">
        <f>IF($J647="","",IFERROR(VLOOKUP($J647,Grinders!$A:$N,3,FALSE),""))</f>
        <v/>
      </c>
      <c r="M647" s="40" t="str">
        <f>IF($J647="","",IFERROR(VLOOKUP($J647,Grinders!$A:$N,4,FALSE),""))</f>
        <v/>
      </c>
      <c r="N647" s="40" t="str">
        <f>IF($J647="","",IFERROR(VLOOKUP($J647,Grinders!$A:$N,5,FALSE),""))</f>
        <v/>
      </c>
      <c r="O647" s="40" t="str">
        <f t="shared" si="2"/>
        <v/>
      </c>
      <c r="P647" s="40" t="str">
        <f>IF($J647="","",IFERROR(VLOOKUP($J647,Grinders!$A:$N,6,FALSE),""))</f>
        <v/>
      </c>
      <c r="Q647" s="40" t="str">
        <f>IF($J647="","",IFERROR(VLOOKUP($J647,Grinders!$A:$N,8,FALSE),""))</f>
        <v/>
      </c>
      <c r="R647" s="40" t="str">
        <f>IFERROR(IF($J647="","",IF($L647="Elite",MAX(50,MIN(100,Config!$B$27*MAX(0,MIN(100,(1-IF($O647="",0,$O647))*100)) + Config!$B$28*MAX(0,MIN(100,(1-MIN(1,IF(Config!$B$30=0,1,$P647/Config!$B$30)))*100)) + Config!$B$29*MAX(0,MIN(100,MIN(1,IF($Q647="",0,$Q647)/Config!$B$23)*100)))),MIN(100,Config!$B$27*MAX(0,MIN(100,(1-IF($O647="",0,$O647))*100)) + Config!$B$28*MAX(0,MIN(100,(1-MIN(1,IF(Config!$B$30=0,1,$P647/Config!$B$30)))*100)) + Config!$B$29*MAX(0,MIN(100,MIN(1,IF($Q647="",0,$Q647)/Config!$B$23)*100))))),"")
</f>
        <v/>
      </c>
      <c r="S647" s="40" t="str">
        <f>IF(Bids!$D647="","",Bids!$D647)</f>
        <v/>
      </c>
      <c r="T647" s="40" t="str">
        <f>IF(Bids!$F647="","",Bids!$F647)</f>
        <v/>
      </c>
      <c r="U647" s="40" t="str">
        <f t="shared" si="3"/>
        <v/>
      </c>
      <c r="V647" s="40" t="str">
        <f>IF($U647="","",IF(Config!$B$17=Config!$B$16,IF($U647&gt;=Config!$B$17,100,0),MAX(0,MIN(100,($U647-Config!$B$16)/(Config!$B$17-Config!$B$16)*100))))</f>
        <v/>
      </c>
      <c r="W647" s="40">
        <f>IF($L647="Elite",Config!$B$21,0)</f>
        <v>0</v>
      </c>
      <c r="X647" s="40" t="str">
        <f>IFERROR(IF(OR($T647="",$G647=""),"",IF($T647&gt;$G647,
  MAX(0, 60-(($T647-$G647)*24/Config!$B$19)*60),
  MEDIAN(60, 100, 60+(($G647-$T647)*24/Config!$B$20)*40)
)),"")
</f>
        <v/>
      </c>
      <c r="Y647" s="40" t="str">
        <f>IF($J647="","",IFERROR(VLOOKUP($J647,Grinders!$A:$N,10,FALSE),""))</f>
        <v/>
      </c>
      <c r="Z647" s="40" t="str">
        <f>IF($J647="","",IFERROR(VLOOKUP($J647,Grinders!$A:$N,11,FALSE),""))</f>
        <v/>
      </c>
      <c r="AA647" s="40" t="str">
        <f>IF($J647="","",IFERROR(VLOOKUP($J647,Grinders!$A:$N,12,FALSE),""))</f>
        <v/>
      </c>
      <c r="AB647" s="40">
        <f>IFERROR(IF(OR($C647="",$J647=""),0,IF($D647&lt;&gt;"Open",0,IF(COUNTIFS(GrinderServices!$B:$B,$J647,GrinderServices!$C:$C,$E647,GrinderServices!$E:$E,"Y")=0,0,IF($U647&lt;Config!$B$16,0,IF(Config!$B$18=1,IF($N647&gt;=$M647,0,1),1))))),"")</f>
        <v>0</v>
      </c>
      <c r="AC647" s="40" t="str">
        <f>IFERROR(IF($AB647=0,"",((Config!$B$6*$V647 + Config!$B$7*$R647 + Config!$B$8*$W647 + Config!$B$9*$X647 + Config!$B$10*$Y647 + Config!$B$11*$Z647 - Config!$B$12*$AA647)/Config!$B$13)+$AH647+$AI647),"")</f>
        <v/>
      </c>
      <c r="AD647" s="40" t="str">
        <f t="shared" si="4"/>
        <v/>
      </c>
      <c r="AE647" s="40" t="str">
        <f>IFERROR(__xludf.DUMMYFUNCTION("IF($AC647="""","""",IF($AC647=IFERROR(MAX(FILTER($AC$6:$AC$1000,$C$6:$C$1000=$C647,$AB$6:$AB$1000=1)),),""WINNER"",""""))"),"")</f>
        <v/>
      </c>
      <c r="AF647" s="40" t="str">
        <f t="shared" si="5"/>
        <v/>
      </c>
      <c r="AG647" s="40" t="str">
        <f>IF($J647="","",COUNTIF(Assignments!$B:$B,$J647))</f>
        <v/>
      </c>
      <c r="AH647" s="40" t="str">
        <f>IF($J647="","",IF(AND($AG647=0,$N647&lt;$M647),Config!$B$43,0))</f>
        <v/>
      </c>
      <c r="AI647" s="40" t="str">
        <f>IF($J647="","",IF(AND($L647="Elite",$F647&gt;=Config!$B$41,$N647&lt;$M647),Config!$B$42,0))</f>
        <v/>
      </c>
      <c r="AJ647" s="22"/>
    </row>
    <row r="648" ht="15.75" customHeight="1">
      <c r="A648" s="40" t="str">
        <f t="shared" si="1"/>
        <v/>
      </c>
      <c r="B648" s="40" t="str">
        <f>IF(Bids!$A648="","",Bids!$A648)</f>
        <v/>
      </c>
      <c r="C648" s="40" t="str">
        <f>IF(Bids!$B648="","",Bids!$B648)</f>
        <v/>
      </c>
      <c r="D648" s="40" t="str">
        <f>IF($C648="","",IFERROR(VLOOKUP($C648,Orders!$A:$J,9,FALSE),""))</f>
        <v/>
      </c>
      <c r="E648" s="40" t="str">
        <f>IF($C648="","",IFERROR(VLOOKUP($C648,Orders!$A:$J,3,FALSE),""))</f>
        <v/>
      </c>
      <c r="F648" s="40" t="str">
        <f>IF($C648="","",IFERROR(VLOOKUP($C648,Orders!$A:$J,4,FALSE),""))</f>
        <v/>
      </c>
      <c r="G648" s="40" t="str">
        <f>IF($C648="","",IFERROR(VLOOKUP($C648,Orders!$A:$J,5,FALSE),""))</f>
        <v/>
      </c>
      <c r="H648" s="40" t="str">
        <f>IF($C648="","",IFERROR(VLOOKUP($C648,Orders!$A:$J,6,FALSE),""))</f>
        <v/>
      </c>
      <c r="I648" s="40" t="str">
        <f>IF($C648="","",IFERROR(VLOOKUP($C648,Orders!$A:$J,7,FALSE),""))</f>
        <v/>
      </c>
      <c r="J648" s="40" t="str">
        <f>IF(Bids!$C648="","",Bids!$C648)</f>
        <v/>
      </c>
      <c r="K648" s="40" t="str">
        <f>IF($J648="","",IFERROR(VLOOKUP($J648,Grinders!$A:$N,2,FALSE),""))</f>
        <v/>
      </c>
      <c r="L648" s="40" t="str">
        <f>IF($J648="","",IFERROR(VLOOKUP($J648,Grinders!$A:$N,3,FALSE),""))</f>
        <v/>
      </c>
      <c r="M648" s="40" t="str">
        <f>IF($J648="","",IFERROR(VLOOKUP($J648,Grinders!$A:$N,4,FALSE),""))</f>
        <v/>
      </c>
      <c r="N648" s="40" t="str">
        <f>IF($J648="","",IFERROR(VLOOKUP($J648,Grinders!$A:$N,5,FALSE),""))</f>
        <v/>
      </c>
      <c r="O648" s="40" t="str">
        <f t="shared" si="2"/>
        <v/>
      </c>
      <c r="P648" s="40" t="str">
        <f>IF($J648="","",IFERROR(VLOOKUP($J648,Grinders!$A:$N,6,FALSE),""))</f>
        <v/>
      </c>
      <c r="Q648" s="40" t="str">
        <f>IF($J648="","",IFERROR(VLOOKUP($J648,Grinders!$A:$N,8,FALSE),""))</f>
        <v/>
      </c>
      <c r="R648" s="40" t="str">
        <f>IFERROR(IF($J648="","",IF($L648="Elite",MAX(50,MIN(100,Config!$B$27*MAX(0,MIN(100,(1-IF($O648="",0,$O648))*100)) + Config!$B$28*MAX(0,MIN(100,(1-MIN(1,IF(Config!$B$30=0,1,$P648/Config!$B$30)))*100)) + Config!$B$29*MAX(0,MIN(100,MIN(1,IF($Q648="",0,$Q648)/Config!$B$23)*100)))),MIN(100,Config!$B$27*MAX(0,MIN(100,(1-IF($O648="",0,$O648))*100)) + Config!$B$28*MAX(0,MIN(100,(1-MIN(1,IF(Config!$B$30=0,1,$P648/Config!$B$30)))*100)) + Config!$B$29*MAX(0,MIN(100,MIN(1,IF($Q648="",0,$Q648)/Config!$B$23)*100))))),"")
</f>
        <v/>
      </c>
      <c r="S648" s="40" t="str">
        <f>IF(Bids!$D648="","",Bids!$D648)</f>
        <v/>
      </c>
      <c r="T648" s="40" t="str">
        <f>IF(Bids!$F648="","",Bids!$F648)</f>
        <v/>
      </c>
      <c r="U648" s="40" t="str">
        <f t="shared" si="3"/>
        <v/>
      </c>
      <c r="V648" s="40" t="str">
        <f>IF($U648="","",IF(Config!$B$17=Config!$B$16,IF($U648&gt;=Config!$B$17,100,0),MAX(0,MIN(100,($U648-Config!$B$16)/(Config!$B$17-Config!$B$16)*100))))</f>
        <v/>
      </c>
      <c r="W648" s="40">
        <f>IF($L648="Elite",Config!$B$21,0)</f>
        <v>0</v>
      </c>
      <c r="X648" s="40" t="str">
        <f>IFERROR(IF(OR($T648="",$G648=""),"",IF($T648&gt;$G648,
  MAX(0, 60-(($T648-$G648)*24/Config!$B$19)*60),
  MEDIAN(60, 100, 60+(($G648-$T648)*24/Config!$B$20)*40)
)),"")
</f>
        <v/>
      </c>
      <c r="Y648" s="40" t="str">
        <f>IF($J648="","",IFERROR(VLOOKUP($J648,Grinders!$A:$N,10,FALSE),""))</f>
        <v/>
      </c>
      <c r="Z648" s="40" t="str">
        <f>IF($J648="","",IFERROR(VLOOKUP($J648,Grinders!$A:$N,11,FALSE),""))</f>
        <v/>
      </c>
      <c r="AA648" s="40" t="str">
        <f>IF($J648="","",IFERROR(VLOOKUP($J648,Grinders!$A:$N,12,FALSE),""))</f>
        <v/>
      </c>
      <c r="AB648" s="40">
        <f>IFERROR(IF(OR($C648="",$J648=""),0,IF($D648&lt;&gt;"Open",0,IF(COUNTIFS(GrinderServices!$B:$B,$J648,GrinderServices!$C:$C,$E648,GrinderServices!$E:$E,"Y")=0,0,IF($U648&lt;Config!$B$16,0,IF(Config!$B$18=1,IF($N648&gt;=$M648,0,1),1))))),"")</f>
        <v>0</v>
      </c>
      <c r="AC648" s="40" t="str">
        <f>IFERROR(IF($AB648=0,"",((Config!$B$6*$V648 + Config!$B$7*$R648 + Config!$B$8*$W648 + Config!$B$9*$X648 + Config!$B$10*$Y648 + Config!$B$11*$Z648 - Config!$B$12*$AA648)/Config!$B$13)+$AH648+$AI648),"")</f>
        <v/>
      </c>
      <c r="AD648" s="40" t="str">
        <f t="shared" si="4"/>
        <v/>
      </c>
      <c r="AE648" s="40" t="str">
        <f>IFERROR(__xludf.DUMMYFUNCTION("IF($AC648="""","""",IF($AC648=IFERROR(MAX(FILTER($AC$6:$AC$1000,$C$6:$C$1000=$C648,$AB$6:$AB$1000=1)),),""WINNER"",""""))"),"")</f>
        <v/>
      </c>
      <c r="AF648" s="40" t="str">
        <f t="shared" si="5"/>
        <v/>
      </c>
      <c r="AG648" s="40" t="str">
        <f>IF($J648="","",COUNTIF(Assignments!$B:$B,$J648))</f>
        <v/>
      </c>
      <c r="AH648" s="40" t="str">
        <f>IF($J648="","",IF(AND($AG648=0,$N648&lt;$M648),Config!$B$43,0))</f>
        <v/>
      </c>
      <c r="AI648" s="40" t="str">
        <f>IF($J648="","",IF(AND($L648="Elite",$F648&gt;=Config!$B$41,$N648&lt;$M648),Config!$B$42,0))</f>
        <v/>
      </c>
      <c r="AJ648" s="22"/>
    </row>
    <row r="649" ht="15.75" customHeight="1">
      <c r="A649" s="40" t="str">
        <f t="shared" si="1"/>
        <v/>
      </c>
      <c r="B649" s="40" t="str">
        <f>IF(Bids!$A649="","",Bids!$A649)</f>
        <v/>
      </c>
      <c r="C649" s="40" t="str">
        <f>IF(Bids!$B649="","",Bids!$B649)</f>
        <v/>
      </c>
      <c r="D649" s="40" t="str">
        <f>IF($C649="","",IFERROR(VLOOKUP($C649,Orders!$A:$J,9,FALSE),""))</f>
        <v/>
      </c>
      <c r="E649" s="40" t="str">
        <f>IF($C649="","",IFERROR(VLOOKUP($C649,Orders!$A:$J,3,FALSE),""))</f>
        <v/>
      </c>
      <c r="F649" s="40" t="str">
        <f>IF($C649="","",IFERROR(VLOOKUP($C649,Orders!$A:$J,4,FALSE),""))</f>
        <v/>
      </c>
      <c r="G649" s="40" t="str">
        <f>IF($C649="","",IFERROR(VLOOKUP($C649,Orders!$A:$J,5,FALSE),""))</f>
        <v/>
      </c>
      <c r="H649" s="40" t="str">
        <f>IF($C649="","",IFERROR(VLOOKUP($C649,Orders!$A:$J,6,FALSE),""))</f>
        <v/>
      </c>
      <c r="I649" s="40" t="str">
        <f>IF($C649="","",IFERROR(VLOOKUP($C649,Orders!$A:$J,7,FALSE),""))</f>
        <v/>
      </c>
      <c r="J649" s="40" t="str">
        <f>IF(Bids!$C649="","",Bids!$C649)</f>
        <v/>
      </c>
      <c r="K649" s="40" t="str">
        <f>IF($J649="","",IFERROR(VLOOKUP($J649,Grinders!$A:$N,2,FALSE),""))</f>
        <v/>
      </c>
      <c r="L649" s="40" t="str">
        <f>IF($J649="","",IFERROR(VLOOKUP($J649,Grinders!$A:$N,3,FALSE),""))</f>
        <v/>
      </c>
      <c r="M649" s="40" t="str">
        <f>IF($J649="","",IFERROR(VLOOKUP($J649,Grinders!$A:$N,4,FALSE),""))</f>
        <v/>
      </c>
      <c r="N649" s="40" t="str">
        <f>IF($J649="","",IFERROR(VLOOKUP($J649,Grinders!$A:$N,5,FALSE),""))</f>
        <v/>
      </c>
      <c r="O649" s="40" t="str">
        <f t="shared" si="2"/>
        <v/>
      </c>
      <c r="P649" s="40" t="str">
        <f>IF($J649="","",IFERROR(VLOOKUP($J649,Grinders!$A:$N,6,FALSE),""))</f>
        <v/>
      </c>
      <c r="Q649" s="40" t="str">
        <f>IF($J649="","",IFERROR(VLOOKUP($J649,Grinders!$A:$N,8,FALSE),""))</f>
        <v/>
      </c>
      <c r="R649" s="40" t="str">
        <f>IFERROR(IF($J649="","",IF($L649="Elite",MAX(50,MIN(100,Config!$B$27*MAX(0,MIN(100,(1-IF($O649="",0,$O649))*100)) + Config!$B$28*MAX(0,MIN(100,(1-MIN(1,IF(Config!$B$30=0,1,$P649/Config!$B$30)))*100)) + Config!$B$29*MAX(0,MIN(100,MIN(1,IF($Q649="",0,$Q649)/Config!$B$23)*100)))),MIN(100,Config!$B$27*MAX(0,MIN(100,(1-IF($O649="",0,$O649))*100)) + Config!$B$28*MAX(0,MIN(100,(1-MIN(1,IF(Config!$B$30=0,1,$P649/Config!$B$30)))*100)) + Config!$B$29*MAX(0,MIN(100,MIN(1,IF($Q649="",0,$Q649)/Config!$B$23)*100))))),"")
</f>
        <v/>
      </c>
      <c r="S649" s="40" t="str">
        <f>IF(Bids!$D649="","",Bids!$D649)</f>
        <v/>
      </c>
      <c r="T649" s="40" t="str">
        <f>IF(Bids!$F649="","",Bids!$F649)</f>
        <v/>
      </c>
      <c r="U649" s="40" t="str">
        <f t="shared" si="3"/>
        <v/>
      </c>
      <c r="V649" s="40" t="str">
        <f>IF($U649="","",IF(Config!$B$17=Config!$B$16,IF($U649&gt;=Config!$B$17,100,0),MAX(0,MIN(100,($U649-Config!$B$16)/(Config!$B$17-Config!$B$16)*100))))</f>
        <v/>
      </c>
      <c r="W649" s="40">
        <f>IF($L649="Elite",Config!$B$21,0)</f>
        <v>0</v>
      </c>
      <c r="X649" s="40" t="str">
        <f>IFERROR(IF(OR($T649="",$G649=""),"",IF($T649&gt;$G649,
  MAX(0, 60-(($T649-$G649)*24/Config!$B$19)*60),
  MEDIAN(60, 100, 60+(($G649-$T649)*24/Config!$B$20)*40)
)),"")
</f>
        <v/>
      </c>
      <c r="Y649" s="40" t="str">
        <f>IF($J649="","",IFERROR(VLOOKUP($J649,Grinders!$A:$N,10,FALSE),""))</f>
        <v/>
      </c>
      <c r="Z649" s="40" t="str">
        <f>IF($J649="","",IFERROR(VLOOKUP($J649,Grinders!$A:$N,11,FALSE),""))</f>
        <v/>
      </c>
      <c r="AA649" s="40" t="str">
        <f>IF($J649="","",IFERROR(VLOOKUP($J649,Grinders!$A:$N,12,FALSE),""))</f>
        <v/>
      </c>
      <c r="AB649" s="40">
        <f>IFERROR(IF(OR($C649="",$J649=""),0,IF($D649&lt;&gt;"Open",0,IF(COUNTIFS(GrinderServices!$B:$B,$J649,GrinderServices!$C:$C,$E649,GrinderServices!$E:$E,"Y")=0,0,IF($U649&lt;Config!$B$16,0,IF(Config!$B$18=1,IF($N649&gt;=$M649,0,1),1))))),"")</f>
        <v>0</v>
      </c>
      <c r="AC649" s="40" t="str">
        <f>IFERROR(IF($AB649=0,"",((Config!$B$6*$V649 + Config!$B$7*$R649 + Config!$B$8*$W649 + Config!$B$9*$X649 + Config!$B$10*$Y649 + Config!$B$11*$Z649 - Config!$B$12*$AA649)/Config!$B$13)+$AH649+$AI649),"")</f>
        <v/>
      </c>
      <c r="AD649" s="40" t="str">
        <f t="shared" si="4"/>
        <v/>
      </c>
      <c r="AE649" s="40" t="str">
        <f>IFERROR(__xludf.DUMMYFUNCTION("IF($AC649="""","""",IF($AC649=IFERROR(MAX(FILTER($AC$6:$AC$1000,$C$6:$C$1000=$C649,$AB$6:$AB$1000=1)),),""WINNER"",""""))"),"")</f>
        <v/>
      </c>
      <c r="AF649" s="40" t="str">
        <f t="shared" si="5"/>
        <v/>
      </c>
      <c r="AG649" s="40" t="str">
        <f>IF($J649="","",COUNTIF(Assignments!$B:$B,$J649))</f>
        <v/>
      </c>
      <c r="AH649" s="40" t="str">
        <f>IF($J649="","",IF(AND($AG649=0,$N649&lt;$M649),Config!$B$43,0))</f>
        <v/>
      </c>
      <c r="AI649" s="40" t="str">
        <f>IF($J649="","",IF(AND($L649="Elite",$F649&gt;=Config!$B$41,$N649&lt;$M649),Config!$B$42,0))</f>
        <v/>
      </c>
      <c r="AJ649" s="22"/>
    </row>
    <row r="650" ht="15.75" customHeight="1">
      <c r="A650" s="40" t="str">
        <f t="shared" si="1"/>
        <v/>
      </c>
      <c r="B650" s="40" t="str">
        <f>IF(Bids!$A650="","",Bids!$A650)</f>
        <v/>
      </c>
      <c r="C650" s="40" t="str">
        <f>IF(Bids!$B650="","",Bids!$B650)</f>
        <v/>
      </c>
      <c r="D650" s="40" t="str">
        <f>IF($C650="","",IFERROR(VLOOKUP($C650,Orders!$A:$J,9,FALSE),""))</f>
        <v/>
      </c>
      <c r="E650" s="40" t="str">
        <f>IF($C650="","",IFERROR(VLOOKUP($C650,Orders!$A:$J,3,FALSE),""))</f>
        <v/>
      </c>
      <c r="F650" s="40" t="str">
        <f>IF($C650="","",IFERROR(VLOOKUP($C650,Orders!$A:$J,4,FALSE),""))</f>
        <v/>
      </c>
      <c r="G650" s="40" t="str">
        <f>IF($C650="","",IFERROR(VLOOKUP($C650,Orders!$A:$J,5,FALSE),""))</f>
        <v/>
      </c>
      <c r="H650" s="40" t="str">
        <f>IF($C650="","",IFERROR(VLOOKUP($C650,Orders!$A:$J,6,FALSE),""))</f>
        <v/>
      </c>
      <c r="I650" s="40" t="str">
        <f>IF($C650="","",IFERROR(VLOOKUP($C650,Orders!$A:$J,7,FALSE),""))</f>
        <v/>
      </c>
      <c r="J650" s="40" t="str">
        <f>IF(Bids!$C650="","",Bids!$C650)</f>
        <v/>
      </c>
      <c r="K650" s="40" t="str">
        <f>IF($J650="","",IFERROR(VLOOKUP($J650,Grinders!$A:$N,2,FALSE),""))</f>
        <v/>
      </c>
      <c r="L650" s="40" t="str">
        <f>IF($J650="","",IFERROR(VLOOKUP($J650,Grinders!$A:$N,3,FALSE),""))</f>
        <v/>
      </c>
      <c r="M650" s="40" t="str">
        <f>IF($J650="","",IFERROR(VLOOKUP($J650,Grinders!$A:$N,4,FALSE),""))</f>
        <v/>
      </c>
      <c r="N650" s="40" t="str">
        <f>IF($J650="","",IFERROR(VLOOKUP($J650,Grinders!$A:$N,5,FALSE),""))</f>
        <v/>
      </c>
      <c r="O650" s="40" t="str">
        <f t="shared" si="2"/>
        <v/>
      </c>
      <c r="P650" s="40" t="str">
        <f>IF($J650="","",IFERROR(VLOOKUP($J650,Grinders!$A:$N,6,FALSE),""))</f>
        <v/>
      </c>
      <c r="Q650" s="40" t="str">
        <f>IF($J650="","",IFERROR(VLOOKUP($J650,Grinders!$A:$N,8,FALSE),""))</f>
        <v/>
      </c>
      <c r="R650" s="40" t="str">
        <f>IFERROR(IF($J650="","",IF($L650="Elite",MAX(50,MIN(100,Config!$B$27*MAX(0,MIN(100,(1-IF($O650="",0,$O650))*100)) + Config!$B$28*MAX(0,MIN(100,(1-MIN(1,IF(Config!$B$30=0,1,$P650/Config!$B$30)))*100)) + Config!$B$29*MAX(0,MIN(100,MIN(1,IF($Q650="",0,$Q650)/Config!$B$23)*100)))),MIN(100,Config!$B$27*MAX(0,MIN(100,(1-IF($O650="",0,$O650))*100)) + Config!$B$28*MAX(0,MIN(100,(1-MIN(1,IF(Config!$B$30=0,1,$P650/Config!$B$30)))*100)) + Config!$B$29*MAX(0,MIN(100,MIN(1,IF($Q650="",0,$Q650)/Config!$B$23)*100))))),"")
</f>
        <v/>
      </c>
      <c r="S650" s="40" t="str">
        <f>IF(Bids!$D650="","",Bids!$D650)</f>
        <v/>
      </c>
      <c r="T650" s="40" t="str">
        <f>IF(Bids!$F650="","",Bids!$F650)</f>
        <v/>
      </c>
      <c r="U650" s="40" t="str">
        <f t="shared" si="3"/>
        <v/>
      </c>
      <c r="V650" s="40" t="str">
        <f>IF($U650="","",IF(Config!$B$17=Config!$B$16,IF($U650&gt;=Config!$B$17,100,0),MAX(0,MIN(100,($U650-Config!$B$16)/(Config!$B$17-Config!$B$16)*100))))</f>
        <v/>
      </c>
      <c r="W650" s="40">
        <f>IF($L650="Elite",Config!$B$21,0)</f>
        <v>0</v>
      </c>
      <c r="X650" s="40" t="str">
        <f>IFERROR(IF(OR($T650="",$G650=""),"",IF($T650&gt;$G650,
  MAX(0, 60-(($T650-$G650)*24/Config!$B$19)*60),
  MEDIAN(60, 100, 60+(($G650-$T650)*24/Config!$B$20)*40)
)),"")
</f>
        <v/>
      </c>
      <c r="Y650" s="40" t="str">
        <f>IF($J650="","",IFERROR(VLOOKUP($J650,Grinders!$A:$N,10,FALSE),""))</f>
        <v/>
      </c>
      <c r="Z650" s="40" t="str">
        <f>IF($J650="","",IFERROR(VLOOKUP($J650,Grinders!$A:$N,11,FALSE),""))</f>
        <v/>
      </c>
      <c r="AA650" s="40" t="str">
        <f>IF($J650="","",IFERROR(VLOOKUP($J650,Grinders!$A:$N,12,FALSE),""))</f>
        <v/>
      </c>
      <c r="AB650" s="40">
        <f>IFERROR(IF(OR($C650="",$J650=""),0,IF($D650&lt;&gt;"Open",0,IF(COUNTIFS(GrinderServices!$B:$B,$J650,GrinderServices!$C:$C,$E650,GrinderServices!$E:$E,"Y")=0,0,IF($U650&lt;Config!$B$16,0,IF(Config!$B$18=1,IF($N650&gt;=$M650,0,1),1))))),"")</f>
        <v>0</v>
      </c>
      <c r="AC650" s="40" t="str">
        <f>IFERROR(IF($AB650=0,"",((Config!$B$6*$V650 + Config!$B$7*$R650 + Config!$B$8*$W650 + Config!$B$9*$X650 + Config!$B$10*$Y650 + Config!$B$11*$Z650 - Config!$B$12*$AA650)/Config!$B$13)+$AH650+$AI650),"")</f>
        <v/>
      </c>
      <c r="AD650" s="40" t="str">
        <f t="shared" si="4"/>
        <v/>
      </c>
      <c r="AE650" s="40" t="str">
        <f>IFERROR(__xludf.DUMMYFUNCTION("IF($AC650="""","""",IF($AC650=IFERROR(MAX(FILTER($AC$6:$AC$1000,$C$6:$C$1000=$C650,$AB$6:$AB$1000=1)),),""WINNER"",""""))"),"")</f>
        <v/>
      </c>
      <c r="AF650" s="40" t="str">
        <f t="shared" si="5"/>
        <v/>
      </c>
      <c r="AG650" s="40" t="str">
        <f>IF($J650="","",COUNTIF(Assignments!$B:$B,$J650))</f>
        <v/>
      </c>
      <c r="AH650" s="40" t="str">
        <f>IF($J650="","",IF(AND($AG650=0,$N650&lt;$M650),Config!$B$43,0))</f>
        <v/>
      </c>
      <c r="AI650" s="40" t="str">
        <f>IF($J650="","",IF(AND($L650="Elite",$F650&gt;=Config!$B$41,$N650&lt;$M650),Config!$B$42,0))</f>
        <v/>
      </c>
      <c r="AJ650" s="22"/>
    </row>
    <row r="651" ht="15.75" customHeight="1">
      <c r="A651" s="40" t="str">
        <f t="shared" si="1"/>
        <v/>
      </c>
      <c r="B651" s="40" t="str">
        <f>IF(Bids!$A651="","",Bids!$A651)</f>
        <v/>
      </c>
      <c r="C651" s="40" t="str">
        <f>IF(Bids!$B651="","",Bids!$B651)</f>
        <v/>
      </c>
      <c r="D651" s="40" t="str">
        <f>IF($C651="","",IFERROR(VLOOKUP($C651,Orders!$A:$J,9,FALSE),""))</f>
        <v/>
      </c>
      <c r="E651" s="40" t="str">
        <f>IF($C651="","",IFERROR(VLOOKUP($C651,Orders!$A:$J,3,FALSE),""))</f>
        <v/>
      </c>
      <c r="F651" s="40" t="str">
        <f>IF($C651="","",IFERROR(VLOOKUP($C651,Orders!$A:$J,4,FALSE),""))</f>
        <v/>
      </c>
      <c r="G651" s="40" t="str">
        <f>IF($C651="","",IFERROR(VLOOKUP($C651,Orders!$A:$J,5,FALSE),""))</f>
        <v/>
      </c>
      <c r="H651" s="40" t="str">
        <f>IF($C651="","",IFERROR(VLOOKUP($C651,Orders!$A:$J,6,FALSE),""))</f>
        <v/>
      </c>
      <c r="I651" s="40" t="str">
        <f>IF($C651="","",IFERROR(VLOOKUP($C651,Orders!$A:$J,7,FALSE),""))</f>
        <v/>
      </c>
      <c r="J651" s="40" t="str">
        <f>IF(Bids!$C651="","",Bids!$C651)</f>
        <v/>
      </c>
      <c r="K651" s="40" t="str">
        <f>IF($J651="","",IFERROR(VLOOKUP($J651,Grinders!$A:$N,2,FALSE),""))</f>
        <v/>
      </c>
      <c r="L651" s="40" t="str">
        <f>IF($J651="","",IFERROR(VLOOKUP($J651,Grinders!$A:$N,3,FALSE),""))</f>
        <v/>
      </c>
      <c r="M651" s="40" t="str">
        <f>IF($J651="","",IFERROR(VLOOKUP($J651,Grinders!$A:$N,4,FALSE),""))</f>
        <v/>
      </c>
      <c r="N651" s="40" t="str">
        <f>IF($J651="","",IFERROR(VLOOKUP($J651,Grinders!$A:$N,5,FALSE),""))</f>
        <v/>
      </c>
      <c r="O651" s="40" t="str">
        <f t="shared" si="2"/>
        <v/>
      </c>
      <c r="P651" s="40" t="str">
        <f>IF($J651="","",IFERROR(VLOOKUP($J651,Grinders!$A:$N,6,FALSE),""))</f>
        <v/>
      </c>
      <c r="Q651" s="40" t="str">
        <f>IF($J651="","",IFERROR(VLOOKUP($J651,Grinders!$A:$N,8,FALSE),""))</f>
        <v/>
      </c>
      <c r="R651" s="40" t="str">
        <f>IFERROR(IF($J651="","",IF($L651="Elite",MAX(50,MIN(100,Config!$B$27*MAX(0,MIN(100,(1-IF($O651="",0,$O651))*100)) + Config!$B$28*MAX(0,MIN(100,(1-MIN(1,IF(Config!$B$30=0,1,$P651/Config!$B$30)))*100)) + Config!$B$29*MAX(0,MIN(100,MIN(1,IF($Q651="",0,$Q651)/Config!$B$23)*100)))),MIN(100,Config!$B$27*MAX(0,MIN(100,(1-IF($O651="",0,$O651))*100)) + Config!$B$28*MAX(0,MIN(100,(1-MIN(1,IF(Config!$B$30=0,1,$P651/Config!$B$30)))*100)) + Config!$B$29*MAX(0,MIN(100,MIN(1,IF($Q651="",0,$Q651)/Config!$B$23)*100))))),"")
</f>
        <v/>
      </c>
      <c r="S651" s="40" t="str">
        <f>IF(Bids!$D651="","",Bids!$D651)</f>
        <v/>
      </c>
      <c r="T651" s="40" t="str">
        <f>IF(Bids!$F651="","",Bids!$F651)</f>
        <v/>
      </c>
      <c r="U651" s="40" t="str">
        <f t="shared" si="3"/>
        <v/>
      </c>
      <c r="V651" s="40" t="str">
        <f>IF($U651="","",IF(Config!$B$17=Config!$B$16,IF($U651&gt;=Config!$B$17,100,0),MAX(0,MIN(100,($U651-Config!$B$16)/(Config!$B$17-Config!$B$16)*100))))</f>
        <v/>
      </c>
      <c r="W651" s="40">
        <f>IF($L651="Elite",Config!$B$21,0)</f>
        <v>0</v>
      </c>
      <c r="X651" s="40" t="str">
        <f>IFERROR(IF(OR($T651="",$G651=""),"",IF($T651&gt;$G651,
  MAX(0, 60-(($T651-$G651)*24/Config!$B$19)*60),
  MEDIAN(60, 100, 60+(($G651-$T651)*24/Config!$B$20)*40)
)),"")
</f>
        <v/>
      </c>
      <c r="Y651" s="40" t="str">
        <f>IF($J651="","",IFERROR(VLOOKUP($J651,Grinders!$A:$N,10,FALSE),""))</f>
        <v/>
      </c>
      <c r="Z651" s="40" t="str">
        <f>IF($J651="","",IFERROR(VLOOKUP($J651,Grinders!$A:$N,11,FALSE),""))</f>
        <v/>
      </c>
      <c r="AA651" s="40" t="str">
        <f>IF($J651="","",IFERROR(VLOOKUP($J651,Grinders!$A:$N,12,FALSE),""))</f>
        <v/>
      </c>
      <c r="AB651" s="40">
        <f>IFERROR(IF(OR($C651="",$J651=""),0,IF($D651&lt;&gt;"Open",0,IF(COUNTIFS(GrinderServices!$B:$B,$J651,GrinderServices!$C:$C,$E651,GrinderServices!$E:$E,"Y")=0,0,IF($U651&lt;Config!$B$16,0,IF(Config!$B$18=1,IF($N651&gt;=$M651,0,1),1))))),"")</f>
        <v>0</v>
      </c>
      <c r="AC651" s="40" t="str">
        <f>IFERROR(IF($AB651=0,"",((Config!$B$6*$V651 + Config!$B$7*$R651 + Config!$B$8*$W651 + Config!$B$9*$X651 + Config!$B$10*$Y651 + Config!$B$11*$Z651 - Config!$B$12*$AA651)/Config!$B$13)+$AH651+$AI651),"")</f>
        <v/>
      </c>
      <c r="AD651" s="40" t="str">
        <f t="shared" si="4"/>
        <v/>
      </c>
      <c r="AE651" s="40" t="str">
        <f>IFERROR(__xludf.DUMMYFUNCTION("IF($AC651="""","""",IF($AC651=IFERROR(MAX(FILTER($AC$6:$AC$1000,$C$6:$C$1000=$C651,$AB$6:$AB$1000=1)),),""WINNER"",""""))"),"")</f>
        <v/>
      </c>
      <c r="AF651" s="40" t="str">
        <f t="shared" si="5"/>
        <v/>
      </c>
      <c r="AG651" s="40" t="str">
        <f>IF($J651="","",COUNTIF(Assignments!$B:$B,$J651))</f>
        <v/>
      </c>
      <c r="AH651" s="40" t="str">
        <f>IF($J651="","",IF(AND($AG651=0,$N651&lt;$M651),Config!$B$43,0))</f>
        <v/>
      </c>
      <c r="AI651" s="40" t="str">
        <f>IF($J651="","",IF(AND($L651="Elite",$F651&gt;=Config!$B$41,$N651&lt;$M651),Config!$B$42,0))</f>
        <v/>
      </c>
      <c r="AJ651" s="22"/>
    </row>
    <row r="652" ht="15.75" customHeight="1">
      <c r="A652" s="40" t="str">
        <f t="shared" si="1"/>
        <v/>
      </c>
      <c r="B652" s="40" t="str">
        <f>IF(Bids!$A652="","",Bids!$A652)</f>
        <v/>
      </c>
      <c r="C652" s="40" t="str">
        <f>IF(Bids!$B652="","",Bids!$B652)</f>
        <v/>
      </c>
      <c r="D652" s="40" t="str">
        <f>IF($C652="","",IFERROR(VLOOKUP($C652,Orders!$A:$J,9,FALSE),""))</f>
        <v/>
      </c>
      <c r="E652" s="40" t="str">
        <f>IF($C652="","",IFERROR(VLOOKUP($C652,Orders!$A:$J,3,FALSE),""))</f>
        <v/>
      </c>
      <c r="F652" s="40" t="str">
        <f>IF($C652="","",IFERROR(VLOOKUP($C652,Orders!$A:$J,4,FALSE),""))</f>
        <v/>
      </c>
      <c r="G652" s="40" t="str">
        <f>IF($C652="","",IFERROR(VLOOKUP($C652,Orders!$A:$J,5,FALSE),""))</f>
        <v/>
      </c>
      <c r="H652" s="40" t="str">
        <f>IF($C652="","",IFERROR(VLOOKUP($C652,Orders!$A:$J,6,FALSE),""))</f>
        <v/>
      </c>
      <c r="I652" s="40" t="str">
        <f>IF($C652="","",IFERROR(VLOOKUP($C652,Orders!$A:$J,7,FALSE),""))</f>
        <v/>
      </c>
      <c r="J652" s="40" t="str">
        <f>IF(Bids!$C652="","",Bids!$C652)</f>
        <v/>
      </c>
      <c r="K652" s="40" t="str">
        <f>IF($J652="","",IFERROR(VLOOKUP($J652,Grinders!$A:$N,2,FALSE),""))</f>
        <v/>
      </c>
      <c r="L652" s="40" t="str">
        <f>IF($J652="","",IFERROR(VLOOKUP($J652,Grinders!$A:$N,3,FALSE),""))</f>
        <v/>
      </c>
      <c r="M652" s="40" t="str">
        <f>IF($J652="","",IFERROR(VLOOKUP($J652,Grinders!$A:$N,4,FALSE),""))</f>
        <v/>
      </c>
      <c r="N652" s="40" t="str">
        <f>IF($J652="","",IFERROR(VLOOKUP($J652,Grinders!$A:$N,5,FALSE),""))</f>
        <v/>
      </c>
      <c r="O652" s="40" t="str">
        <f t="shared" si="2"/>
        <v/>
      </c>
      <c r="P652" s="40" t="str">
        <f>IF($J652="","",IFERROR(VLOOKUP($J652,Grinders!$A:$N,6,FALSE),""))</f>
        <v/>
      </c>
      <c r="Q652" s="40" t="str">
        <f>IF($J652="","",IFERROR(VLOOKUP($J652,Grinders!$A:$N,8,FALSE),""))</f>
        <v/>
      </c>
      <c r="R652" s="40" t="str">
        <f>IFERROR(IF($J652="","",IF($L652="Elite",MAX(50,MIN(100,Config!$B$27*MAX(0,MIN(100,(1-IF($O652="",0,$O652))*100)) + Config!$B$28*MAX(0,MIN(100,(1-MIN(1,IF(Config!$B$30=0,1,$P652/Config!$B$30)))*100)) + Config!$B$29*MAX(0,MIN(100,MIN(1,IF($Q652="",0,$Q652)/Config!$B$23)*100)))),MIN(100,Config!$B$27*MAX(0,MIN(100,(1-IF($O652="",0,$O652))*100)) + Config!$B$28*MAX(0,MIN(100,(1-MIN(1,IF(Config!$B$30=0,1,$P652/Config!$B$30)))*100)) + Config!$B$29*MAX(0,MIN(100,MIN(1,IF($Q652="",0,$Q652)/Config!$B$23)*100))))),"")
</f>
        <v/>
      </c>
      <c r="S652" s="40" t="str">
        <f>IF(Bids!$D652="","",Bids!$D652)</f>
        <v/>
      </c>
      <c r="T652" s="40" t="str">
        <f>IF(Bids!$F652="","",Bids!$F652)</f>
        <v/>
      </c>
      <c r="U652" s="40" t="str">
        <f t="shared" si="3"/>
        <v/>
      </c>
      <c r="V652" s="40" t="str">
        <f>IF($U652="","",IF(Config!$B$17=Config!$B$16,IF($U652&gt;=Config!$B$17,100,0),MAX(0,MIN(100,($U652-Config!$B$16)/(Config!$B$17-Config!$B$16)*100))))</f>
        <v/>
      </c>
      <c r="W652" s="40">
        <f>IF($L652="Elite",Config!$B$21,0)</f>
        <v>0</v>
      </c>
      <c r="X652" s="40" t="str">
        <f>IFERROR(IF(OR($T652="",$G652=""),"",IF($T652&gt;$G652,
  MAX(0, 60-(($T652-$G652)*24/Config!$B$19)*60),
  MEDIAN(60, 100, 60+(($G652-$T652)*24/Config!$B$20)*40)
)),"")
</f>
        <v/>
      </c>
      <c r="Y652" s="40" t="str">
        <f>IF($J652="","",IFERROR(VLOOKUP($J652,Grinders!$A:$N,10,FALSE),""))</f>
        <v/>
      </c>
      <c r="Z652" s="40" t="str">
        <f>IF($J652="","",IFERROR(VLOOKUP($J652,Grinders!$A:$N,11,FALSE),""))</f>
        <v/>
      </c>
      <c r="AA652" s="40" t="str">
        <f>IF($J652="","",IFERROR(VLOOKUP($J652,Grinders!$A:$N,12,FALSE),""))</f>
        <v/>
      </c>
      <c r="AB652" s="40">
        <f>IFERROR(IF(OR($C652="",$J652=""),0,IF($D652&lt;&gt;"Open",0,IF(COUNTIFS(GrinderServices!$B:$B,$J652,GrinderServices!$C:$C,$E652,GrinderServices!$E:$E,"Y")=0,0,IF($U652&lt;Config!$B$16,0,IF(Config!$B$18=1,IF($N652&gt;=$M652,0,1),1))))),"")</f>
        <v>0</v>
      </c>
      <c r="AC652" s="40" t="str">
        <f>IFERROR(IF($AB652=0,"",((Config!$B$6*$V652 + Config!$B$7*$R652 + Config!$B$8*$W652 + Config!$B$9*$X652 + Config!$B$10*$Y652 + Config!$B$11*$Z652 - Config!$B$12*$AA652)/Config!$B$13)+$AH652+$AI652),"")</f>
        <v/>
      </c>
      <c r="AD652" s="40" t="str">
        <f t="shared" si="4"/>
        <v/>
      </c>
      <c r="AE652" s="40" t="str">
        <f>IFERROR(__xludf.DUMMYFUNCTION("IF($AC652="""","""",IF($AC652=IFERROR(MAX(FILTER($AC$6:$AC$1000,$C$6:$C$1000=$C652,$AB$6:$AB$1000=1)),),""WINNER"",""""))"),"")</f>
        <v/>
      </c>
      <c r="AF652" s="40" t="str">
        <f t="shared" si="5"/>
        <v/>
      </c>
      <c r="AG652" s="40" t="str">
        <f>IF($J652="","",COUNTIF(Assignments!$B:$B,$J652))</f>
        <v/>
      </c>
      <c r="AH652" s="40" t="str">
        <f>IF($J652="","",IF(AND($AG652=0,$N652&lt;$M652),Config!$B$43,0))</f>
        <v/>
      </c>
      <c r="AI652" s="40" t="str">
        <f>IF($J652="","",IF(AND($L652="Elite",$F652&gt;=Config!$B$41,$N652&lt;$M652),Config!$B$42,0))</f>
        <v/>
      </c>
      <c r="AJ652" s="22"/>
    </row>
    <row r="653" ht="15.75" customHeight="1">
      <c r="A653" s="40" t="str">
        <f t="shared" si="1"/>
        <v/>
      </c>
      <c r="B653" s="40" t="str">
        <f>IF(Bids!$A653="","",Bids!$A653)</f>
        <v/>
      </c>
      <c r="C653" s="40" t="str">
        <f>IF(Bids!$B653="","",Bids!$B653)</f>
        <v/>
      </c>
      <c r="D653" s="40" t="str">
        <f>IF($C653="","",IFERROR(VLOOKUP($C653,Orders!$A:$J,9,FALSE),""))</f>
        <v/>
      </c>
      <c r="E653" s="40" t="str">
        <f>IF($C653="","",IFERROR(VLOOKUP($C653,Orders!$A:$J,3,FALSE),""))</f>
        <v/>
      </c>
      <c r="F653" s="40" t="str">
        <f>IF($C653="","",IFERROR(VLOOKUP($C653,Orders!$A:$J,4,FALSE),""))</f>
        <v/>
      </c>
      <c r="G653" s="40" t="str">
        <f>IF($C653="","",IFERROR(VLOOKUP($C653,Orders!$A:$J,5,FALSE),""))</f>
        <v/>
      </c>
      <c r="H653" s="40" t="str">
        <f>IF($C653="","",IFERROR(VLOOKUP($C653,Orders!$A:$J,6,FALSE),""))</f>
        <v/>
      </c>
      <c r="I653" s="40" t="str">
        <f>IF($C653="","",IFERROR(VLOOKUP($C653,Orders!$A:$J,7,FALSE),""))</f>
        <v/>
      </c>
      <c r="J653" s="40" t="str">
        <f>IF(Bids!$C653="","",Bids!$C653)</f>
        <v/>
      </c>
      <c r="K653" s="40" t="str">
        <f>IF($J653="","",IFERROR(VLOOKUP($J653,Grinders!$A:$N,2,FALSE),""))</f>
        <v/>
      </c>
      <c r="L653" s="40" t="str">
        <f>IF($J653="","",IFERROR(VLOOKUP($J653,Grinders!$A:$N,3,FALSE),""))</f>
        <v/>
      </c>
      <c r="M653" s="40" t="str">
        <f>IF($J653="","",IFERROR(VLOOKUP($J653,Grinders!$A:$N,4,FALSE),""))</f>
        <v/>
      </c>
      <c r="N653" s="40" t="str">
        <f>IF($J653="","",IFERROR(VLOOKUP($J653,Grinders!$A:$N,5,FALSE),""))</f>
        <v/>
      </c>
      <c r="O653" s="40" t="str">
        <f t="shared" si="2"/>
        <v/>
      </c>
      <c r="P653" s="40" t="str">
        <f>IF($J653="","",IFERROR(VLOOKUP($J653,Grinders!$A:$N,6,FALSE),""))</f>
        <v/>
      </c>
      <c r="Q653" s="40" t="str">
        <f>IF($J653="","",IFERROR(VLOOKUP($J653,Grinders!$A:$N,8,FALSE),""))</f>
        <v/>
      </c>
      <c r="R653" s="40" t="str">
        <f>IFERROR(IF($J653="","",IF($L653="Elite",MAX(50,MIN(100,Config!$B$27*MAX(0,MIN(100,(1-IF($O653="",0,$O653))*100)) + Config!$B$28*MAX(0,MIN(100,(1-MIN(1,IF(Config!$B$30=0,1,$P653/Config!$B$30)))*100)) + Config!$B$29*MAX(0,MIN(100,MIN(1,IF($Q653="",0,$Q653)/Config!$B$23)*100)))),MIN(100,Config!$B$27*MAX(0,MIN(100,(1-IF($O653="",0,$O653))*100)) + Config!$B$28*MAX(0,MIN(100,(1-MIN(1,IF(Config!$B$30=0,1,$P653/Config!$B$30)))*100)) + Config!$B$29*MAX(0,MIN(100,MIN(1,IF($Q653="",0,$Q653)/Config!$B$23)*100))))),"")
</f>
        <v/>
      </c>
      <c r="S653" s="40" t="str">
        <f>IF(Bids!$D653="","",Bids!$D653)</f>
        <v/>
      </c>
      <c r="T653" s="40" t="str">
        <f>IF(Bids!$F653="","",Bids!$F653)</f>
        <v/>
      </c>
      <c r="U653" s="40" t="str">
        <f t="shared" si="3"/>
        <v/>
      </c>
      <c r="V653" s="40" t="str">
        <f>IF($U653="","",IF(Config!$B$17=Config!$B$16,IF($U653&gt;=Config!$B$17,100,0),MAX(0,MIN(100,($U653-Config!$B$16)/(Config!$B$17-Config!$B$16)*100))))</f>
        <v/>
      </c>
      <c r="W653" s="40">
        <f>IF($L653="Elite",Config!$B$21,0)</f>
        <v>0</v>
      </c>
      <c r="X653" s="40" t="str">
        <f>IFERROR(IF(OR($T653="",$G653=""),"",IF($T653&gt;$G653,
  MAX(0, 60-(($T653-$G653)*24/Config!$B$19)*60),
  MEDIAN(60, 100, 60+(($G653-$T653)*24/Config!$B$20)*40)
)),"")
</f>
        <v/>
      </c>
      <c r="Y653" s="40" t="str">
        <f>IF($J653="","",IFERROR(VLOOKUP($J653,Grinders!$A:$N,10,FALSE),""))</f>
        <v/>
      </c>
      <c r="Z653" s="40" t="str">
        <f>IF($J653="","",IFERROR(VLOOKUP($J653,Grinders!$A:$N,11,FALSE),""))</f>
        <v/>
      </c>
      <c r="AA653" s="40" t="str">
        <f>IF($J653="","",IFERROR(VLOOKUP($J653,Grinders!$A:$N,12,FALSE),""))</f>
        <v/>
      </c>
      <c r="AB653" s="40">
        <f>IFERROR(IF(OR($C653="",$J653=""),0,IF($D653&lt;&gt;"Open",0,IF(COUNTIFS(GrinderServices!$B:$B,$J653,GrinderServices!$C:$C,$E653,GrinderServices!$E:$E,"Y")=0,0,IF($U653&lt;Config!$B$16,0,IF(Config!$B$18=1,IF($N653&gt;=$M653,0,1),1))))),"")</f>
        <v>0</v>
      </c>
      <c r="AC653" s="40" t="str">
        <f>IFERROR(IF($AB653=0,"",((Config!$B$6*$V653 + Config!$B$7*$R653 + Config!$B$8*$W653 + Config!$B$9*$X653 + Config!$B$10*$Y653 + Config!$B$11*$Z653 - Config!$B$12*$AA653)/Config!$B$13)+$AH653+$AI653),"")</f>
        <v/>
      </c>
      <c r="AD653" s="40" t="str">
        <f t="shared" si="4"/>
        <v/>
      </c>
      <c r="AE653" s="40" t="str">
        <f>IFERROR(__xludf.DUMMYFUNCTION("IF($AC653="""","""",IF($AC653=IFERROR(MAX(FILTER($AC$6:$AC$1000,$C$6:$C$1000=$C653,$AB$6:$AB$1000=1)),),""WINNER"",""""))"),"")</f>
        <v/>
      </c>
      <c r="AF653" s="40" t="str">
        <f t="shared" si="5"/>
        <v/>
      </c>
      <c r="AG653" s="40" t="str">
        <f>IF($J653="","",COUNTIF(Assignments!$B:$B,$J653))</f>
        <v/>
      </c>
      <c r="AH653" s="40" t="str">
        <f>IF($J653="","",IF(AND($AG653=0,$N653&lt;$M653),Config!$B$43,0))</f>
        <v/>
      </c>
      <c r="AI653" s="40" t="str">
        <f>IF($J653="","",IF(AND($L653="Elite",$F653&gt;=Config!$B$41,$N653&lt;$M653),Config!$B$42,0))</f>
        <v/>
      </c>
      <c r="AJ653" s="22"/>
    </row>
    <row r="654" ht="15.75" customHeight="1">
      <c r="A654" s="40" t="str">
        <f t="shared" si="1"/>
        <v/>
      </c>
      <c r="B654" s="40" t="str">
        <f>IF(Bids!$A654="","",Bids!$A654)</f>
        <v/>
      </c>
      <c r="C654" s="40" t="str">
        <f>IF(Bids!$B654="","",Bids!$B654)</f>
        <v/>
      </c>
      <c r="D654" s="40" t="str">
        <f>IF($C654="","",IFERROR(VLOOKUP($C654,Orders!$A:$J,9,FALSE),""))</f>
        <v/>
      </c>
      <c r="E654" s="40" t="str">
        <f>IF($C654="","",IFERROR(VLOOKUP($C654,Orders!$A:$J,3,FALSE),""))</f>
        <v/>
      </c>
      <c r="F654" s="40" t="str">
        <f>IF($C654="","",IFERROR(VLOOKUP($C654,Orders!$A:$J,4,FALSE),""))</f>
        <v/>
      </c>
      <c r="G654" s="40" t="str">
        <f>IF($C654="","",IFERROR(VLOOKUP($C654,Orders!$A:$J,5,FALSE),""))</f>
        <v/>
      </c>
      <c r="H654" s="40" t="str">
        <f>IF($C654="","",IFERROR(VLOOKUP($C654,Orders!$A:$J,6,FALSE),""))</f>
        <v/>
      </c>
      <c r="I654" s="40" t="str">
        <f>IF($C654="","",IFERROR(VLOOKUP($C654,Orders!$A:$J,7,FALSE),""))</f>
        <v/>
      </c>
      <c r="J654" s="40" t="str">
        <f>IF(Bids!$C654="","",Bids!$C654)</f>
        <v/>
      </c>
      <c r="K654" s="40" t="str">
        <f>IF($J654="","",IFERROR(VLOOKUP($J654,Grinders!$A:$N,2,FALSE),""))</f>
        <v/>
      </c>
      <c r="L654" s="40" t="str">
        <f>IF($J654="","",IFERROR(VLOOKUP($J654,Grinders!$A:$N,3,FALSE),""))</f>
        <v/>
      </c>
      <c r="M654" s="40" t="str">
        <f>IF($J654="","",IFERROR(VLOOKUP($J654,Grinders!$A:$N,4,FALSE),""))</f>
        <v/>
      </c>
      <c r="N654" s="40" t="str">
        <f>IF($J654="","",IFERROR(VLOOKUP($J654,Grinders!$A:$N,5,FALSE),""))</f>
        <v/>
      </c>
      <c r="O654" s="40" t="str">
        <f t="shared" si="2"/>
        <v/>
      </c>
      <c r="P654" s="40" t="str">
        <f>IF($J654="","",IFERROR(VLOOKUP($J654,Grinders!$A:$N,6,FALSE),""))</f>
        <v/>
      </c>
      <c r="Q654" s="40" t="str">
        <f>IF($J654="","",IFERROR(VLOOKUP($J654,Grinders!$A:$N,8,FALSE),""))</f>
        <v/>
      </c>
      <c r="R654" s="40" t="str">
        <f>IFERROR(IF($J654="","",IF($L654="Elite",MAX(50,MIN(100,Config!$B$27*MAX(0,MIN(100,(1-IF($O654="",0,$O654))*100)) + Config!$B$28*MAX(0,MIN(100,(1-MIN(1,IF(Config!$B$30=0,1,$P654/Config!$B$30)))*100)) + Config!$B$29*MAX(0,MIN(100,MIN(1,IF($Q654="",0,$Q654)/Config!$B$23)*100)))),MIN(100,Config!$B$27*MAX(0,MIN(100,(1-IF($O654="",0,$O654))*100)) + Config!$B$28*MAX(0,MIN(100,(1-MIN(1,IF(Config!$B$30=0,1,$P654/Config!$B$30)))*100)) + Config!$B$29*MAX(0,MIN(100,MIN(1,IF($Q654="",0,$Q654)/Config!$B$23)*100))))),"")
</f>
        <v/>
      </c>
      <c r="S654" s="40" t="str">
        <f>IF(Bids!$D654="","",Bids!$D654)</f>
        <v/>
      </c>
      <c r="T654" s="40" t="str">
        <f>IF(Bids!$F654="","",Bids!$F654)</f>
        <v/>
      </c>
      <c r="U654" s="40" t="str">
        <f t="shared" si="3"/>
        <v/>
      </c>
      <c r="V654" s="40" t="str">
        <f>IF($U654="","",IF(Config!$B$17=Config!$B$16,IF($U654&gt;=Config!$B$17,100,0),MAX(0,MIN(100,($U654-Config!$B$16)/(Config!$B$17-Config!$B$16)*100))))</f>
        <v/>
      </c>
      <c r="W654" s="40">
        <f>IF($L654="Elite",Config!$B$21,0)</f>
        <v>0</v>
      </c>
      <c r="X654" s="40" t="str">
        <f>IFERROR(IF(OR($T654="",$G654=""),"",IF($T654&gt;$G654,
  MAX(0, 60-(($T654-$G654)*24/Config!$B$19)*60),
  MEDIAN(60, 100, 60+(($G654-$T654)*24/Config!$B$20)*40)
)),"")
</f>
        <v/>
      </c>
      <c r="Y654" s="40" t="str">
        <f>IF($J654="","",IFERROR(VLOOKUP($J654,Grinders!$A:$N,10,FALSE),""))</f>
        <v/>
      </c>
      <c r="Z654" s="40" t="str">
        <f>IF($J654="","",IFERROR(VLOOKUP($J654,Grinders!$A:$N,11,FALSE),""))</f>
        <v/>
      </c>
      <c r="AA654" s="40" t="str">
        <f>IF($J654="","",IFERROR(VLOOKUP($J654,Grinders!$A:$N,12,FALSE),""))</f>
        <v/>
      </c>
      <c r="AB654" s="40">
        <f>IFERROR(IF(OR($C654="",$J654=""),0,IF($D654&lt;&gt;"Open",0,IF(COUNTIFS(GrinderServices!$B:$B,$J654,GrinderServices!$C:$C,$E654,GrinderServices!$E:$E,"Y")=0,0,IF($U654&lt;Config!$B$16,0,IF(Config!$B$18=1,IF($N654&gt;=$M654,0,1),1))))),"")</f>
        <v>0</v>
      </c>
      <c r="AC654" s="40" t="str">
        <f>IFERROR(IF($AB654=0,"",((Config!$B$6*$V654 + Config!$B$7*$R654 + Config!$B$8*$W654 + Config!$B$9*$X654 + Config!$B$10*$Y654 + Config!$B$11*$Z654 - Config!$B$12*$AA654)/Config!$B$13)+$AH654+$AI654),"")</f>
        <v/>
      </c>
      <c r="AD654" s="40" t="str">
        <f t="shared" si="4"/>
        <v/>
      </c>
      <c r="AE654" s="40" t="str">
        <f>IFERROR(__xludf.DUMMYFUNCTION("IF($AC654="""","""",IF($AC654=IFERROR(MAX(FILTER($AC$6:$AC$1000,$C$6:$C$1000=$C654,$AB$6:$AB$1000=1)),),""WINNER"",""""))"),"")</f>
        <v/>
      </c>
      <c r="AF654" s="40" t="str">
        <f t="shared" si="5"/>
        <v/>
      </c>
      <c r="AG654" s="40" t="str">
        <f>IF($J654="","",COUNTIF(Assignments!$B:$B,$J654))</f>
        <v/>
      </c>
      <c r="AH654" s="40" t="str">
        <f>IF($J654="","",IF(AND($AG654=0,$N654&lt;$M654),Config!$B$43,0))</f>
        <v/>
      </c>
      <c r="AI654" s="40" t="str">
        <f>IF($J654="","",IF(AND($L654="Elite",$F654&gt;=Config!$B$41,$N654&lt;$M654),Config!$B$42,0))</f>
        <v/>
      </c>
      <c r="AJ654" s="22"/>
    </row>
    <row r="655" ht="15.75" customHeight="1">
      <c r="A655" s="40" t="str">
        <f t="shared" si="1"/>
        <v/>
      </c>
      <c r="B655" s="40" t="str">
        <f>IF(Bids!$A655="","",Bids!$A655)</f>
        <v/>
      </c>
      <c r="C655" s="40" t="str">
        <f>IF(Bids!$B655="","",Bids!$B655)</f>
        <v/>
      </c>
      <c r="D655" s="40" t="str">
        <f>IF($C655="","",IFERROR(VLOOKUP($C655,Orders!$A:$J,9,FALSE),""))</f>
        <v/>
      </c>
      <c r="E655" s="40" t="str">
        <f>IF($C655="","",IFERROR(VLOOKUP($C655,Orders!$A:$J,3,FALSE),""))</f>
        <v/>
      </c>
      <c r="F655" s="40" t="str">
        <f>IF($C655="","",IFERROR(VLOOKUP($C655,Orders!$A:$J,4,FALSE),""))</f>
        <v/>
      </c>
      <c r="G655" s="40" t="str">
        <f>IF($C655="","",IFERROR(VLOOKUP($C655,Orders!$A:$J,5,FALSE),""))</f>
        <v/>
      </c>
      <c r="H655" s="40" t="str">
        <f>IF($C655="","",IFERROR(VLOOKUP($C655,Orders!$A:$J,6,FALSE),""))</f>
        <v/>
      </c>
      <c r="I655" s="40" t="str">
        <f>IF($C655="","",IFERROR(VLOOKUP($C655,Orders!$A:$J,7,FALSE),""))</f>
        <v/>
      </c>
      <c r="J655" s="40" t="str">
        <f>IF(Bids!$C655="","",Bids!$C655)</f>
        <v/>
      </c>
      <c r="K655" s="40" t="str">
        <f>IF($J655="","",IFERROR(VLOOKUP($J655,Grinders!$A:$N,2,FALSE),""))</f>
        <v/>
      </c>
      <c r="L655" s="40" t="str">
        <f>IF($J655="","",IFERROR(VLOOKUP($J655,Grinders!$A:$N,3,FALSE),""))</f>
        <v/>
      </c>
      <c r="M655" s="40" t="str">
        <f>IF($J655="","",IFERROR(VLOOKUP($J655,Grinders!$A:$N,4,FALSE),""))</f>
        <v/>
      </c>
      <c r="N655" s="40" t="str">
        <f>IF($J655="","",IFERROR(VLOOKUP($J655,Grinders!$A:$N,5,FALSE),""))</f>
        <v/>
      </c>
      <c r="O655" s="40" t="str">
        <f t="shared" si="2"/>
        <v/>
      </c>
      <c r="P655" s="40" t="str">
        <f>IF($J655="","",IFERROR(VLOOKUP($J655,Grinders!$A:$N,6,FALSE),""))</f>
        <v/>
      </c>
      <c r="Q655" s="40" t="str">
        <f>IF($J655="","",IFERROR(VLOOKUP($J655,Grinders!$A:$N,8,FALSE),""))</f>
        <v/>
      </c>
      <c r="R655" s="40" t="str">
        <f>IFERROR(IF($J655="","",IF($L655="Elite",MAX(50,MIN(100,Config!$B$27*MAX(0,MIN(100,(1-IF($O655="",0,$O655))*100)) + Config!$B$28*MAX(0,MIN(100,(1-MIN(1,IF(Config!$B$30=0,1,$P655/Config!$B$30)))*100)) + Config!$B$29*MAX(0,MIN(100,MIN(1,IF($Q655="",0,$Q655)/Config!$B$23)*100)))),MIN(100,Config!$B$27*MAX(0,MIN(100,(1-IF($O655="",0,$O655))*100)) + Config!$B$28*MAX(0,MIN(100,(1-MIN(1,IF(Config!$B$30=0,1,$P655/Config!$B$30)))*100)) + Config!$B$29*MAX(0,MIN(100,MIN(1,IF($Q655="",0,$Q655)/Config!$B$23)*100))))),"")
</f>
        <v/>
      </c>
      <c r="S655" s="40" t="str">
        <f>IF(Bids!$D655="","",Bids!$D655)</f>
        <v/>
      </c>
      <c r="T655" s="40" t="str">
        <f>IF(Bids!$F655="","",Bids!$F655)</f>
        <v/>
      </c>
      <c r="U655" s="40" t="str">
        <f t="shared" si="3"/>
        <v/>
      </c>
      <c r="V655" s="40" t="str">
        <f>IF($U655="","",IF(Config!$B$17=Config!$B$16,IF($U655&gt;=Config!$B$17,100,0),MAX(0,MIN(100,($U655-Config!$B$16)/(Config!$B$17-Config!$B$16)*100))))</f>
        <v/>
      </c>
      <c r="W655" s="40">
        <f>IF($L655="Elite",Config!$B$21,0)</f>
        <v>0</v>
      </c>
      <c r="X655" s="40" t="str">
        <f>IFERROR(IF(OR($T655="",$G655=""),"",IF($T655&gt;$G655,
  MAX(0, 60-(($T655-$G655)*24/Config!$B$19)*60),
  MEDIAN(60, 100, 60+(($G655-$T655)*24/Config!$B$20)*40)
)),"")
</f>
        <v/>
      </c>
      <c r="Y655" s="40" t="str">
        <f>IF($J655="","",IFERROR(VLOOKUP($J655,Grinders!$A:$N,10,FALSE),""))</f>
        <v/>
      </c>
      <c r="Z655" s="40" t="str">
        <f>IF($J655="","",IFERROR(VLOOKUP($J655,Grinders!$A:$N,11,FALSE),""))</f>
        <v/>
      </c>
      <c r="AA655" s="40" t="str">
        <f>IF($J655="","",IFERROR(VLOOKUP($J655,Grinders!$A:$N,12,FALSE),""))</f>
        <v/>
      </c>
      <c r="AB655" s="40">
        <f>IFERROR(IF(OR($C655="",$J655=""),0,IF($D655&lt;&gt;"Open",0,IF(COUNTIFS(GrinderServices!$B:$B,$J655,GrinderServices!$C:$C,$E655,GrinderServices!$E:$E,"Y")=0,0,IF($U655&lt;Config!$B$16,0,IF(Config!$B$18=1,IF($N655&gt;=$M655,0,1),1))))),"")</f>
        <v>0</v>
      </c>
      <c r="AC655" s="40" t="str">
        <f>IFERROR(IF($AB655=0,"",((Config!$B$6*$V655 + Config!$B$7*$R655 + Config!$B$8*$W655 + Config!$B$9*$X655 + Config!$B$10*$Y655 + Config!$B$11*$Z655 - Config!$B$12*$AA655)/Config!$B$13)+$AH655+$AI655),"")</f>
        <v/>
      </c>
      <c r="AD655" s="40" t="str">
        <f t="shared" si="4"/>
        <v/>
      </c>
      <c r="AE655" s="40" t="str">
        <f>IFERROR(__xludf.DUMMYFUNCTION("IF($AC655="""","""",IF($AC655=IFERROR(MAX(FILTER($AC$6:$AC$1000,$C$6:$C$1000=$C655,$AB$6:$AB$1000=1)),),""WINNER"",""""))"),"")</f>
        <v/>
      </c>
      <c r="AF655" s="40" t="str">
        <f t="shared" si="5"/>
        <v/>
      </c>
      <c r="AG655" s="40" t="str">
        <f>IF($J655="","",COUNTIF(Assignments!$B:$B,$J655))</f>
        <v/>
      </c>
      <c r="AH655" s="40" t="str">
        <f>IF($J655="","",IF(AND($AG655=0,$N655&lt;$M655),Config!$B$43,0))</f>
        <v/>
      </c>
      <c r="AI655" s="40" t="str">
        <f>IF($J655="","",IF(AND($L655="Elite",$F655&gt;=Config!$B$41,$N655&lt;$M655),Config!$B$42,0))</f>
        <v/>
      </c>
      <c r="AJ655" s="22"/>
    </row>
    <row r="656" ht="15.75" customHeight="1">
      <c r="A656" s="40" t="str">
        <f t="shared" si="1"/>
        <v/>
      </c>
      <c r="B656" s="40" t="str">
        <f>IF(Bids!$A656="","",Bids!$A656)</f>
        <v/>
      </c>
      <c r="C656" s="40" t="str">
        <f>IF(Bids!$B656="","",Bids!$B656)</f>
        <v/>
      </c>
      <c r="D656" s="40" t="str">
        <f>IF($C656="","",IFERROR(VLOOKUP($C656,Orders!$A:$J,9,FALSE),""))</f>
        <v/>
      </c>
      <c r="E656" s="40" t="str">
        <f>IF($C656="","",IFERROR(VLOOKUP($C656,Orders!$A:$J,3,FALSE),""))</f>
        <v/>
      </c>
      <c r="F656" s="40" t="str">
        <f>IF($C656="","",IFERROR(VLOOKUP($C656,Orders!$A:$J,4,FALSE),""))</f>
        <v/>
      </c>
      <c r="G656" s="40" t="str">
        <f>IF($C656="","",IFERROR(VLOOKUP($C656,Orders!$A:$J,5,FALSE),""))</f>
        <v/>
      </c>
      <c r="H656" s="40" t="str">
        <f>IF($C656="","",IFERROR(VLOOKUP($C656,Orders!$A:$J,6,FALSE),""))</f>
        <v/>
      </c>
      <c r="I656" s="40" t="str">
        <f>IF($C656="","",IFERROR(VLOOKUP($C656,Orders!$A:$J,7,FALSE),""))</f>
        <v/>
      </c>
      <c r="J656" s="40" t="str">
        <f>IF(Bids!$C656="","",Bids!$C656)</f>
        <v/>
      </c>
      <c r="K656" s="40" t="str">
        <f>IF($J656="","",IFERROR(VLOOKUP($J656,Grinders!$A:$N,2,FALSE),""))</f>
        <v/>
      </c>
      <c r="L656" s="40" t="str">
        <f>IF($J656="","",IFERROR(VLOOKUP($J656,Grinders!$A:$N,3,FALSE),""))</f>
        <v/>
      </c>
      <c r="M656" s="40" t="str">
        <f>IF($J656="","",IFERROR(VLOOKUP($J656,Grinders!$A:$N,4,FALSE),""))</f>
        <v/>
      </c>
      <c r="N656" s="40" t="str">
        <f>IF($J656="","",IFERROR(VLOOKUP($J656,Grinders!$A:$N,5,FALSE),""))</f>
        <v/>
      </c>
      <c r="O656" s="40" t="str">
        <f t="shared" si="2"/>
        <v/>
      </c>
      <c r="P656" s="40" t="str">
        <f>IF($J656="","",IFERROR(VLOOKUP($J656,Grinders!$A:$N,6,FALSE),""))</f>
        <v/>
      </c>
      <c r="Q656" s="40" t="str">
        <f>IF($J656="","",IFERROR(VLOOKUP($J656,Grinders!$A:$N,8,FALSE),""))</f>
        <v/>
      </c>
      <c r="R656" s="40" t="str">
        <f>IFERROR(IF($J656="","",IF($L656="Elite",MAX(50,MIN(100,Config!$B$27*MAX(0,MIN(100,(1-IF($O656="",0,$O656))*100)) + Config!$B$28*MAX(0,MIN(100,(1-MIN(1,IF(Config!$B$30=0,1,$P656/Config!$B$30)))*100)) + Config!$B$29*MAX(0,MIN(100,MIN(1,IF($Q656="",0,$Q656)/Config!$B$23)*100)))),MIN(100,Config!$B$27*MAX(0,MIN(100,(1-IF($O656="",0,$O656))*100)) + Config!$B$28*MAX(0,MIN(100,(1-MIN(1,IF(Config!$B$30=0,1,$P656/Config!$B$30)))*100)) + Config!$B$29*MAX(0,MIN(100,MIN(1,IF($Q656="",0,$Q656)/Config!$B$23)*100))))),"")
</f>
        <v/>
      </c>
      <c r="S656" s="40" t="str">
        <f>IF(Bids!$D656="","",Bids!$D656)</f>
        <v/>
      </c>
      <c r="T656" s="40" t="str">
        <f>IF(Bids!$F656="","",Bids!$F656)</f>
        <v/>
      </c>
      <c r="U656" s="40" t="str">
        <f t="shared" si="3"/>
        <v/>
      </c>
      <c r="V656" s="40" t="str">
        <f>IF($U656="","",IF(Config!$B$17=Config!$B$16,IF($U656&gt;=Config!$B$17,100,0),MAX(0,MIN(100,($U656-Config!$B$16)/(Config!$B$17-Config!$B$16)*100))))</f>
        <v/>
      </c>
      <c r="W656" s="40">
        <f>IF($L656="Elite",Config!$B$21,0)</f>
        <v>0</v>
      </c>
      <c r="X656" s="40" t="str">
        <f>IFERROR(IF(OR($T656="",$G656=""),"",IF($T656&gt;$G656,
  MAX(0, 60-(($T656-$G656)*24/Config!$B$19)*60),
  MEDIAN(60, 100, 60+(($G656-$T656)*24/Config!$B$20)*40)
)),"")
</f>
        <v/>
      </c>
      <c r="Y656" s="40" t="str">
        <f>IF($J656="","",IFERROR(VLOOKUP($J656,Grinders!$A:$N,10,FALSE),""))</f>
        <v/>
      </c>
      <c r="Z656" s="40" t="str">
        <f>IF($J656="","",IFERROR(VLOOKUP($J656,Grinders!$A:$N,11,FALSE),""))</f>
        <v/>
      </c>
      <c r="AA656" s="40" t="str">
        <f>IF($J656="","",IFERROR(VLOOKUP($J656,Grinders!$A:$N,12,FALSE),""))</f>
        <v/>
      </c>
      <c r="AB656" s="40">
        <f>IFERROR(IF(OR($C656="",$J656=""),0,IF($D656&lt;&gt;"Open",0,IF(COUNTIFS(GrinderServices!$B:$B,$J656,GrinderServices!$C:$C,$E656,GrinderServices!$E:$E,"Y")=0,0,IF($U656&lt;Config!$B$16,0,IF(Config!$B$18=1,IF($N656&gt;=$M656,0,1),1))))),"")</f>
        <v>0</v>
      </c>
      <c r="AC656" s="40" t="str">
        <f>IFERROR(IF($AB656=0,"",((Config!$B$6*$V656 + Config!$B$7*$R656 + Config!$B$8*$W656 + Config!$B$9*$X656 + Config!$B$10*$Y656 + Config!$B$11*$Z656 - Config!$B$12*$AA656)/Config!$B$13)+$AH656+$AI656),"")</f>
        <v/>
      </c>
      <c r="AD656" s="40" t="str">
        <f t="shared" si="4"/>
        <v/>
      </c>
      <c r="AE656" s="40" t="str">
        <f>IFERROR(__xludf.DUMMYFUNCTION("IF($AC656="""","""",IF($AC656=IFERROR(MAX(FILTER($AC$6:$AC$1000,$C$6:$C$1000=$C656,$AB$6:$AB$1000=1)),),""WINNER"",""""))"),"")</f>
        <v/>
      </c>
      <c r="AF656" s="40" t="str">
        <f t="shared" si="5"/>
        <v/>
      </c>
      <c r="AG656" s="40" t="str">
        <f>IF($J656="","",COUNTIF(Assignments!$B:$B,$J656))</f>
        <v/>
      </c>
      <c r="AH656" s="40" t="str">
        <f>IF($J656="","",IF(AND($AG656=0,$N656&lt;$M656),Config!$B$43,0))</f>
        <v/>
      </c>
      <c r="AI656" s="40" t="str">
        <f>IF($J656="","",IF(AND($L656="Elite",$F656&gt;=Config!$B$41,$N656&lt;$M656),Config!$B$42,0))</f>
        <v/>
      </c>
      <c r="AJ656" s="22"/>
    </row>
    <row r="657" ht="15.75" customHeight="1">
      <c r="A657" s="40" t="str">
        <f t="shared" si="1"/>
        <v/>
      </c>
      <c r="B657" s="40" t="str">
        <f>IF(Bids!$A657="","",Bids!$A657)</f>
        <v/>
      </c>
      <c r="C657" s="40" t="str">
        <f>IF(Bids!$B657="","",Bids!$B657)</f>
        <v/>
      </c>
      <c r="D657" s="40" t="str">
        <f>IF($C657="","",IFERROR(VLOOKUP($C657,Orders!$A:$J,9,FALSE),""))</f>
        <v/>
      </c>
      <c r="E657" s="40" t="str">
        <f>IF($C657="","",IFERROR(VLOOKUP($C657,Orders!$A:$J,3,FALSE),""))</f>
        <v/>
      </c>
      <c r="F657" s="40" t="str">
        <f>IF($C657="","",IFERROR(VLOOKUP($C657,Orders!$A:$J,4,FALSE),""))</f>
        <v/>
      </c>
      <c r="G657" s="40" t="str">
        <f>IF($C657="","",IFERROR(VLOOKUP($C657,Orders!$A:$J,5,FALSE),""))</f>
        <v/>
      </c>
      <c r="H657" s="40" t="str">
        <f>IF($C657="","",IFERROR(VLOOKUP($C657,Orders!$A:$J,6,FALSE),""))</f>
        <v/>
      </c>
      <c r="I657" s="40" t="str">
        <f>IF($C657="","",IFERROR(VLOOKUP($C657,Orders!$A:$J,7,FALSE),""))</f>
        <v/>
      </c>
      <c r="J657" s="40" t="str">
        <f>IF(Bids!$C657="","",Bids!$C657)</f>
        <v/>
      </c>
      <c r="K657" s="40" t="str">
        <f>IF($J657="","",IFERROR(VLOOKUP($J657,Grinders!$A:$N,2,FALSE),""))</f>
        <v/>
      </c>
      <c r="L657" s="40" t="str">
        <f>IF($J657="","",IFERROR(VLOOKUP($J657,Grinders!$A:$N,3,FALSE),""))</f>
        <v/>
      </c>
      <c r="M657" s="40" t="str">
        <f>IF($J657="","",IFERROR(VLOOKUP($J657,Grinders!$A:$N,4,FALSE),""))</f>
        <v/>
      </c>
      <c r="N657" s="40" t="str">
        <f>IF($J657="","",IFERROR(VLOOKUP($J657,Grinders!$A:$N,5,FALSE),""))</f>
        <v/>
      </c>
      <c r="O657" s="40" t="str">
        <f t="shared" si="2"/>
        <v/>
      </c>
      <c r="P657" s="40" t="str">
        <f>IF($J657="","",IFERROR(VLOOKUP($J657,Grinders!$A:$N,6,FALSE),""))</f>
        <v/>
      </c>
      <c r="Q657" s="40" t="str">
        <f>IF($J657="","",IFERROR(VLOOKUP($J657,Grinders!$A:$N,8,FALSE),""))</f>
        <v/>
      </c>
      <c r="R657" s="40" t="str">
        <f>IFERROR(IF($J657="","",IF($L657="Elite",MAX(50,MIN(100,Config!$B$27*MAX(0,MIN(100,(1-IF($O657="",0,$O657))*100)) + Config!$B$28*MAX(0,MIN(100,(1-MIN(1,IF(Config!$B$30=0,1,$P657/Config!$B$30)))*100)) + Config!$B$29*MAX(0,MIN(100,MIN(1,IF($Q657="",0,$Q657)/Config!$B$23)*100)))),MIN(100,Config!$B$27*MAX(0,MIN(100,(1-IF($O657="",0,$O657))*100)) + Config!$B$28*MAX(0,MIN(100,(1-MIN(1,IF(Config!$B$30=0,1,$P657/Config!$B$30)))*100)) + Config!$B$29*MAX(0,MIN(100,MIN(1,IF($Q657="",0,$Q657)/Config!$B$23)*100))))),"")
</f>
        <v/>
      </c>
      <c r="S657" s="40" t="str">
        <f>IF(Bids!$D657="","",Bids!$D657)</f>
        <v/>
      </c>
      <c r="T657" s="40" t="str">
        <f>IF(Bids!$F657="","",Bids!$F657)</f>
        <v/>
      </c>
      <c r="U657" s="40" t="str">
        <f t="shared" si="3"/>
        <v/>
      </c>
      <c r="V657" s="40" t="str">
        <f>IF($U657="","",IF(Config!$B$17=Config!$B$16,IF($U657&gt;=Config!$B$17,100,0),MAX(0,MIN(100,($U657-Config!$B$16)/(Config!$B$17-Config!$B$16)*100))))</f>
        <v/>
      </c>
      <c r="W657" s="40">
        <f>IF($L657="Elite",Config!$B$21,0)</f>
        <v>0</v>
      </c>
      <c r="X657" s="40" t="str">
        <f>IFERROR(IF(OR($T657="",$G657=""),"",IF($T657&gt;$G657,
  MAX(0, 60-(($T657-$G657)*24/Config!$B$19)*60),
  MEDIAN(60, 100, 60+(($G657-$T657)*24/Config!$B$20)*40)
)),"")
</f>
        <v/>
      </c>
      <c r="Y657" s="40" t="str">
        <f>IF($J657="","",IFERROR(VLOOKUP($J657,Grinders!$A:$N,10,FALSE),""))</f>
        <v/>
      </c>
      <c r="Z657" s="40" t="str">
        <f>IF($J657="","",IFERROR(VLOOKUP($J657,Grinders!$A:$N,11,FALSE),""))</f>
        <v/>
      </c>
      <c r="AA657" s="40" t="str">
        <f>IF($J657="","",IFERROR(VLOOKUP($J657,Grinders!$A:$N,12,FALSE),""))</f>
        <v/>
      </c>
      <c r="AB657" s="40">
        <f>IFERROR(IF(OR($C657="",$J657=""),0,IF($D657&lt;&gt;"Open",0,IF(COUNTIFS(GrinderServices!$B:$B,$J657,GrinderServices!$C:$C,$E657,GrinderServices!$E:$E,"Y")=0,0,IF($U657&lt;Config!$B$16,0,IF(Config!$B$18=1,IF($N657&gt;=$M657,0,1),1))))),"")</f>
        <v>0</v>
      </c>
      <c r="AC657" s="40" t="str">
        <f>IFERROR(IF($AB657=0,"",((Config!$B$6*$V657 + Config!$B$7*$R657 + Config!$B$8*$W657 + Config!$B$9*$X657 + Config!$B$10*$Y657 + Config!$B$11*$Z657 - Config!$B$12*$AA657)/Config!$B$13)+$AH657+$AI657),"")</f>
        <v/>
      </c>
      <c r="AD657" s="40" t="str">
        <f t="shared" si="4"/>
        <v/>
      </c>
      <c r="AE657" s="40" t="str">
        <f>IFERROR(__xludf.DUMMYFUNCTION("IF($AC657="""","""",IF($AC657=IFERROR(MAX(FILTER($AC$6:$AC$1000,$C$6:$C$1000=$C657,$AB$6:$AB$1000=1)),),""WINNER"",""""))"),"")</f>
        <v/>
      </c>
      <c r="AF657" s="40" t="str">
        <f t="shared" si="5"/>
        <v/>
      </c>
      <c r="AG657" s="40" t="str">
        <f>IF($J657="","",COUNTIF(Assignments!$B:$B,$J657))</f>
        <v/>
      </c>
      <c r="AH657" s="40" t="str">
        <f>IF($J657="","",IF(AND($AG657=0,$N657&lt;$M657),Config!$B$43,0))</f>
        <v/>
      </c>
      <c r="AI657" s="40" t="str">
        <f>IF($J657="","",IF(AND($L657="Elite",$F657&gt;=Config!$B$41,$N657&lt;$M657),Config!$B$42,0))</f>
        <v/>
      </c>
      <c r="AJ657" s="22"/>
    </row>
    <row r="658" ht="15.75" customHeight="1">
      <c r="A658" s="40" t="str">
        <f t="shared" si="1"/>
        <v/>
      </c>
      <c r="B658" s="40" t="str">
        <f>IF(Bids!$A658="","",Bids!$A658)</f>
        <v/>
      </c>
      <c r="C658" s="40" t="str">
        <f>IF(Bids!$B658="","",Bids!$B658)</f>
        <v/>
      </c>
      <c r="D658" s="40" t="str">
        <f>IF($C658="","",IFERROR(VLOOKUP($C658,Orders!$A:$J,9,FALSE),""))</f>
        <v/>
      </c>
      <c r="E658" s="40" t="str">
        <f>IF($C658="","",IFERROR(VLOOKUP($C658,Orders!$A:$J,3,FALSE),""))</f>
        <v/>
      </c>
      <c r="F658" s="40" t="str">
        <f>IF($C658="","",IFERROR(VLOOKUP($C658,Orders!$A:$J,4,FALSE),""))</f>
        <v/>
      </c>
      <c r="G658" s="40" t="str">
        <f>IF($C658="","",IFERROR(VLOOKUP($C658,Orders!$A:$J,5,FALSE),""))</f>
        <v/>
      </c>
      <c r="H658" s="40" t="str">
        <f>IF($C658="","",IFERROR(VLOOKUP($C658,Orders!$A:$J,6,FALSE),""))</f>
        <v/>
      </c>
      <c r="I658" s="40" t="str">
        <f>IF($C658="","",IFERROR(VLOOKUP($C658,Orders!$A:$J,7,FALSE),""))</f>
        <v/>
      </c>
      <c r="J658" s="40" t="str">
        <f>IF(Bids!$C658="","",Bids!$C658)</f>
        <v/>
      </c>
      <c r="K658" s="40" t="str">
        <f>IF($J658="","",IFERROR(VLOOKUP($J658,Grinders!$A:$N,2,FALSE),""))</f>
        <v/>
      </c>
      <c r="L658" s="40" t="str">
        <f>IF($J658="","",IFERROR(VLOOKUP($J658,Grinders!$A:$N,3,FALSE),""))</f>
        <v/>
      </c>
      <c r="M658" s="40" t="str">
        <f>IF($J658="","",IFERROR(VLOOKUP($J658,Grinders!$A:$N,4,FALSE),""))</f>
        <v/>
      </c>
      <c r="N658" s="40" t="str">
        <f>IF($J658="","",IFERROR(VLOOKUP($J658,Grinders!$A:$N,5,FALSE),""))</f>
        <v/>
      </c>
      <c r="O658" s="40" t="str">
        <f t="shared" si="2"/>
        <v/>
      </c>
      <c r="P658" s="40" t="str">
        <f>IF($J658="","",IFERROR(VLOOKUP($J658,Grinders!$A:$N,6,FALSE),""))</f>
        <v/>
      </c>
      <c r="Q658" s="40" t="str">
        <f>IF($J658="","",IFERROR(VLOOKUP($J658,Grinders!$A:$N,8,FALSE),""))</f>
        <v/>
      </c>
      <c r="R658" s="40" t="str">
        <f>IFERROR(IF($J658="","",IF($L658="Elite",MAX(50,MIN(100,Config!$B$27*MAX(0,MIN(100,(1-IF($O658="",0,$O658))*100)) + Config!$B$28*MAX(0,MIN(100,(1-MIN(1,IF(Config!$B$30=0,1,$P658/Config!$B$30)))*100)) + Config!$B$29*MAX(0,MIN(100,MIN(1,IF($Q658="",0,$Q658)/Config!$B$23)*100)))),MIN(100,Config!$B$27*MAX(0,MIN(100,(1-IF($O658="",0,$O658))*100)) + Config!$B$28*MAX(0,MIN(100,(1-MIN(1,IF(Config!$B$30=0,1,$P658/Config!$B$30)))*100)) + Config!$B$29*MAX(0,MIN(100,MIN(1,IF($Q658="",0,$Q658)/Config!$B$23)*100))))),"")
</f>
        <v/>
      </c>
      <c r="S658" s="40" t="str">
        <f>IF(Bids!$D658="","",Bids!$D658)</f>
        <v/>
      </c>
      <c r="T658" s="40" t="str">
        <f>IF(Bids!$F658="","",Bids!$F658)</f>
        <v/>
      </c>
      <c r="U658" s="40" t="str">
        <f t="shared" si="3"/>
        <v/>
      </c>
      <c r="V658" s="40" t="str">
        <f>IF($U658="","",IF(Config!$B$17=Config!$B$16,IF($U658&gt;=Config!$B$17,100,0),MAX(0,MIN(100,($U658-Config!$B$16)/(Config!$B$17-Config!$B$16)*100))))</f>
        <v/>
      </c>
      <c r="W658" s="40">
        <f>IF($L658="Elite",Config!$B$21,0)</f>
        <v>0</v>
      </c>
      <c r="X658" s="40" t="str">
        <f>IFERROR(IF(OR($T658="",$G658=""),"",IF($T658&gt;$G658,
  MAX(0, 60-(($T658-$G658)*24/Config!$B$19)*60),
  MEDIAN(60, 100, 60+(($G658-$T658)*24/Config!$B$20)*40)
)),"")
</f>
        <v/>
      </c>
      <c r="Y658" s="40" t="str">
        <f>IF($J658="","",IFERROR(VLOOKUP($J658,Grinders!$A:$N,10,FALSE),""))</f>
        <v/>
      </c>
      <c r="Z658" s="40" t="str">
        <f>IF($J658="","",IFERROR(VLOOKUP($J658,Grinders!$A:$N,11,FALSE),""))</f>
        <v/>
      </c>
      <c r="AA658" s="40" t="str">
        <f>IF($J658="","",IFERROR(VLOOKUP($J658,Grinders!$A:$N,12,FALSE),""))</f>
        <v/>
      </c>
      <c r="AB658" s="40">
        <f>IFERROR(IF(OR($C658="",$J658=""),0,IF($D658&lt;&gt;"Open",0,IF(COUNTIFS(GrinderServices!$B:$B,$J658,GrinderServices!$C:$C,$E658,GrinderServices!$E:$E,"Y")=0,0,IF($U658&lt;Config!$B$16,0,IF(Config!$B$18=1,IF($N658&gt;=$M658,0,1),1))))),"")</f>
        <v>0</v>
      </c>
      <c r="AC658" s="40" t="str">
        <f>IFERROR(IF($AB658=0,"",((Config!$B$6*$V658 + Config!$B$7*$R658 + Config!$B$8*$W658 + Config!$B$9*$X658 + Config!$B$10*$Y658 + Config!$B$11*$Z658 - Config!$B$12*$AA658)/Config!$B$13)+$AH658+$AI658),"")</f>
        <v/>
      </c>
      <c r="AD658" s="40" t="str">
        <f t="shared" si="4"/>
        <v/>
      </c>
      <c r="AE658" s="40" t="str">
        <f>IFERROR(__xludf.DUMMYFUNCTION("IF($AC658="""","""",IF($AC658=IFERROR(MAX(FILTER($AC$6:$AC$1000,$C$6:$C$1000=$C658,$AB$6:$AB$1000=1)),),""WINNER"",""""))"),"")</f>
        <v/>
      </c>
      <c r="AF658" s="40" t="str">
        <f t="shared" si="5"/>
        <v/>
      </c>
      <c r="AG658" s="40" t="str">
        <f>IF($J658="","",COUNTIF(Assignments!$B:$B,$J658))</f>
        <v/>
      </c>
      <c r="AH658" s="40" t="str">
        <f>IF($J658="","",IF(AND($AG658=0,$N658&lt;$M658),Config!$B$43,0))</f>
        <v/>
      </c>
      <c r="AI658" s="40" t="str">
        <f>IF($J658="","",IF(AND($L658="Elite",$F658&gt;=Config!$B$41,$N658&lt;$M658),Config!$B$42,0))</f>
        <v/>
      </c>
      <c r="AJ658" s="22"/>
    </row>
    <row r="659" ht="15.75" customHeight="1">
      <c r="A659" s="40" t="str">
        <f t="shared" si="1"/>
        <v/>
      </c>
      <c r="B659" s="40" t="str">
        <f>IF(Bids!$A659="","",Bids!$A659)</f>
        <v/>
      </c>
      <c r="C659" s="40" t="str">
        <f>IF(Bids!$B659="","",Bids!$B659)</f>
        <v/>
      </c>
      <c r="D659" s="40" t="str">
        <f>IF($C659="","",IFERROR(VLOOKUP($C659,Orders!$A:$J,9,FALSE),""))</f>
        <v/>
      </c>
      <c r="E659" s="40" t="str">
        <f>IF($C659="","",IFERROR(VLOOKUP($C659,Orders!$A:$J,3,FALSE),""))</f>
        <v/>
      </c>
      <c r="F659" s="40" t="str">
        <f>IF($C659="","",IFERROR(VLOOKUP($C659,Orders!$A:$J,4,FALSE),""))</f>
        <v/>
      </c>
      <c r="G659" s="40" t="str">
        <f>IF($C659="","",IFERROR(VLOOKUP($C659,Orders!$A:$J,5,FALSE),""))</f>
        <v/>
      </c>
      <c r="H659" s="40" t="str">
        <f>IF($C659="","",IFERROR(VLOOKUP($C659,Orders!$A:$J,6,FALSE),""))</f>
        <v/>
      </c>
      <c r="I659" s="40" t="str">
        <f>IF($C659="","",IFERROR(VLOOKUP($C659,Orders!$A:$J,7,FALSE),""))</f>
        <v/>
      </c>
      <c r="J659" s="40" t="str">
        <f>IF(Bids!$C659="","",Bids!$C659)</f>
        <v/>
      </c>
      <c r="K659" s="40" t="str">
        <f>IF($J659="","",IFERROR(VLOOKUP($J659,Grinders!$A:$N,2,FALSE),""))</f>
        <v/>
      </c>
      <c r="L659" s="40" t="str">
        <f>IF($J659="","",IFERROR(VLOOKUP($J659,Grinders!$A:$N,3,FALSE),""))</f>
        <v/>
      </c>
      <c r="M659" s="40" t="str">
        <f>IF($J659="","",IFERROR(VLOOKUP($J659,Grinders!$A:$N,4,FALSE),""))</f>
        <v/>
      </c>
      <c r="N659" s="40" t="str">
        <f>IF($J659="","",IFERROR(VLOOKUP($J659,Grinders!$A:$N,5,FALSE),""))</f>
        <v/>
      </c>
      <c r="O659" s="40" t="str">
        <f t="shared" si="2"/>
        <v/>
      </c>
      <c r="P659" s="40" t="str">
        <f>IF($J659="","",IFERROR(VLOOKUP($J659,Grinders!$A:$N,6,FALSE),""))</f>
        <v/>
      </c>
      <c r="Q659" s="40" t="str">
        <f>IF($J659="","",IFERROR(VLOOKUP($J659,Grinders!$A:$N,8,FALSE),""))</f>
        <v/>
      </c>
      <c r="R659" s="40" t="str">
        <f>IFERROR(IF($J659="","",IF($L659="Elite",MAX(50,MIN(100,Config!$B$27*MAX(0,MIN(100,(1-IF($O659="",0,$O659))*100)) + Config!$B$28*MAX(0,MIN(100,(1-MIN(1,IF(Config!$B$30=0,1,$P659/Config!$B$30)))*100)) + Config!$B$29*MAX(0,MIN(100,MIN(1,IF($Q659="",0,$Q659)/Config!$B$23)*100)))),MIN(100,Config!$B$27*MAX(0,MIN(100,(1-IF($O659="",0,$O659))*100)) + Config!$B$28*MAX(0,MIN(100,(1-MIN(1,IF(Config!$B$30=0,1,$P659/Config!$B$30)))*100)) + Config!$B$29*MAX(0,MIN(100,MIN(1,IF($Q659="",0,$Q659)/Config!$B$23)*100))))),"")
</f>
        <v/>
      </c>
      <c r="S659" s="40" t="str">
        <f>IF(Bids!$D659="","",Bids!$D659)</f>
        <v/>
      </c>
      <c r="T659" s="40" t="str">
        <f>IF(Bids!$F659="","",Bids!$F659)</f>
        <v/>
      </c>
      <c r="U659" s="40" t="str">
        <f t="shared" si="3"/>
        <v/>
      </c>
      <c r="V659" s="40" t="str">
        <f>IF($U659="","",IF(Config!$B$17=Config!$B$16,IF($U659&gt;=Config!$B$17,100,0),MAX(0,MIN(100,($U659-Config!$B$16)/(Config!$B$17-Config!$B$16)*100))))</f>
        <v/>
      </c>
      <c r="W659" s="40">
        <f>IF($L659="Elite",Config!$B$21,0)</f>
        <v>0</v>
      </c>
      <c r="X659" s="40" t="str">
        <f>IFERROR(IF(OR($T659="",$G659=""),"",IF($T659&gt;$G659,
  MAX(0, 60-(($T659-$G659)*24/Config!$B$19)*60),
  MEDIAN(60, 100, 60+(($G659-$T659)*24/Config!$B$20)*40)
)),"")
</f>
        <v/>
      </c>
      <c r="Y659" s="40" t="str">
        <f>IF($J659="","",IFERROR(VLOOKUP($J659,Grinders!$A:$N,10,FALSE),""))</f>
        <v/>
      </c>
      <c r="Z659" s="40" t="str">
        <f>IF($J659="","",IFERROR(VLOOKUP($J659,Grinders!$A:$N,11,FALSE),""))</f>
        <v/>
      </c>
      <c r="AA659" s="40" t="str">
        <f>IF($J659="","",IFERROR(VLOOKUP($J659,Grinders!$A:$N,12,FALSE),""))</f>
        <v/>
      </c>
      <c r="AB659" s="40">
        <f>IFERROR(IF(OR($C659="",$J659=""),0,IF($D659&lt;&gt;"Open",0,IF(COUNTIFS(GrinderServices!$B:$B,$J659,GrinderServices!$C:$C,$E659,GrinderServices!$E:$E,"Y")=0,0,IF($U659&lt;Config!$B$16,0,IF(Config!$B$18=1,IF($N659&gt;=$M659,0,1),1))))),"")</f>
        <v>0</v>
      </c>
      <c r="AC659" s="40" t="str">
        <f>IFERROR(IF($AB659=0,"",((Config!$B$6*$V659 + Config!$B$7*$R659 + Config!$B$8*$W659 + Config!$B$9*$X659 + Config!$B$10*$Y659 + Config!$B$11*$Z659 - Config!$B$12*$AA659)/Config!$B$13)+$AH659+$AI659),"")</f>
        <v/>
      </c>
      <c r="AD659" s="40" t="str">
        <f t="shared" si="4"/>
        <v/>
      </c>
      <c r="AE659" s="40" t="str">
        <f>IFERROR(__xludf.DUMMYFUNCTION("IF($AC659="""","""",IF($AC659=IFERROR(MAX(FILTER($AC$6:$AC$1000,$C$6:$C$1000=$C659,$AB$6:$AB$1000=1)),),""WINNER"",""""))"),"")</f>
        <v/>
      </c>
      <c r="AF659" s="40" t="str">
        <f t="shared" si="5"/>
        <v/>
      </c>
      <c r="AG659" s="40" t="str">
        <f>IF($J659="","",COUNTIF(Assignments!$B:$B,$J659))</f>
        <v/>
      </c>
      <c r="AH659" s="40" t="str">
        <f>IF($J659="","",IF(AND($AG659=0,$N659&lt;$M659),Config!$B$43,0))</f>
        <v/>
      </c>
      <c r="AI659" s="40" t="str">
        <f>IF($J659="","",IF(AND($L659="Elite",$F659&gt;=Config!$B$41,$N659&lt;$M659),Config!$B$42,0))</f>
        <v/>
      </c>
      <c r="AJ659" s="22"/>
    </row>
    <row r="660" ht="15.75" customHeight="1">
      <c r="A660" s="40" t="str">
        <f t="shared" si="1"/>
        <v/>
      </c>
      <c r="B660" s="40" t="str">
        <f>IF(Bids!$A660="","",Bids!$A660)</f>
        <v/>
      </c>
      <c r="C660" s="40" t="str">
        <f>IF(Bids!$B660="","",Bids!$B660)</f>
        <v/>
      </c>
      <c r="D660" s="40" t="str">
        <f>IF($C660="","",IFERROR(VLOOKUP($C660,Orders!$A:$J,9,FALSE),""))</f>
        <v/>
      </c>
      <c r="E660" s="40" t="str">
        <f>IF($C660="","",IFERROR(VLOOKUP($C660,Orders!$A:$J,3,FALSE),""))</f>
        <v/>
      </c>
      <c r="F660" s="40" t="str">
        <f>IF($C660="","",IFERROR(VLOOKUP($C660,Orders!$A:$J,4,FALSE),""))</f>
        <v/>
      </c>
      <c r="G660" s="40" t="str">
        <f>IF($C660="","",IFERROR(VLOOKUP($C660,Orders!$A:$J,5,FALSE),""))</f>
        <v/>
      </c>
      <c r="H660" s="40" t="str">
        <f>IF($C660="","",IFERROR(VLOOKUP($C660,Orders!$A:$J,6,FALSE),""))</f>
        <v/>
      </c>
      <c r="I660" s="40" t="str">
        <f>IF($C660="","",IFERROR(VLOOKUP($C660,Orders!$A:$J,7,FALSE),""))</f>
        <v/>
      </c>
      <c r="J660" s="40" t="str">
        <f>IF(Bids!$C660="","",Bids!$C660)</f>
        <v/>
      </c>
      <c r="K660" s="40" t="str">
        <f>IF($J660="","",IFERROR(VLOOKUP($J660,Grinders!$A:$N,2,FALSE),""))</f>
        <v/>
      </c>
      <c r="L660" s="40" t="str">
        <f>IF($J660="","",IFERROR(VLOOKUP($J660,Grinders!$A:$N,3,FALSE),""))</f>
        <v/>
      </c>
      <c r="M660" s="40" t="str">
        <f>IF($J660="","",IFERROR(VLOOKUP($J660,Grinders!$A:$N,4,FALSE),""))</f>
        <v/>
      </c>
      <c r="N660" s="40" t="str">
        <f>IF($J660="","",IFERROR(VLOOKUP($J660,Grinders!$A:$N,5,FALSE),""))</f>
        <v/>
      </c>
      <c r="O660" s="40" t="str">
        <f t="shared" si="2"/>
        <v/>
      </c>
      <c r="P660" s="40" t="str">
        <f>IF($J660="","",IFERROR(VLOOKUP($J660,Grinders!$A:$N,6,FALSE),""))</f>
        <v/>
      </c>
      <c r="Q660" s="40" t="str">
        <f>IF($J660="","",IFERROR(VLOOKUP($J660,Grinders!$A:$N,8,FALSE),""))</f>
        <v/>
      </c>
      <c r="R660" s="40" t="str">
        <f>IFERROR(IF($J660="","",IF($L660="Elite",MAX(50,MIN(100,Config!$B$27*MAX(0,MIN(100,(1-IF($O660="",0,$O660))*100)) + Config!$B$28*MAX(0,MIN(100,(1-MIN(1,IF(Config!$B$30=0,1,$P660/Config!$B$30)))*100)) + Config!$B$29*MAX(0,MIN(100,MIN(1,IF($Q660="",0,$Q660)/Config!$B$23)*100)))),MIN(100,Config!$B$27*MAX(0,MIN(100,(1-IF($O660="",0,$O660))*100)) + Config!$B$28*MAX(0,MIN(100,(1-MIN(1,IF(Config!$B$30=0,1,$P660/Config!$B$30)))*100)) + Config!$B$29*MAX(0,MIN(100,MIN(1,IF($Q660="",0,$Q660)/Config!$B$23)*100))))),"")
</f>
        <v/>
      </c>
      <c r="S660" s="40" t="str">
        <f>IF(Bids!$D660="","",Bids!$D660)</f>
        <v/>
      </c>
      <c r="T660" s="40" t="str">
        <f>IF(Bids!$F660="","",Bids!$F660)</f>
        <v/>
      </c>
      <c r="U660" s="40" t="str">
        <f t="shared" si="3"/>
        <v/>
      </c>
      <c r="V660" s="40" t="str">
        <f>IF($U660="","",IF(Config!$B$17=Config!$B$16,IF($U660&gt;=Config!$B$17,100,0),MAX(0,MIN(100,($U660-Config!$B$16)/(Config!$B$17-Config!$B$16)*100))))</f>
        <v/>
      </c>
      <c r="W660" s="40">
        <f>IF($L660="Elite",Config!$B$21,0)</f>
        <v>0</v>
      </c>
      <c r="X660" s="40" t="str">
        <f>IFERROR(IF(OR($T660="",$G660=""),"",IF($T660&gt;$G660,
  MAX(0, 60-(($T660-$G660)*24/Config!$B$19)*60),
  MEDIAN(60, 100, 60+(($G660-$T660)*24/Config!$B$20)*40)
)),"")
</f>
        <v/>
      </c>
      <c r="Y660" s="40" t="str">
        <f>IF($J660="","",IFERROR(VLOOKUP($J660,Grinders!$A:$N,10,FALSE),""))</f>
        <v/>
      </c>
      <c r="Z660" s="40" t="str">
        <f>IF($J660="","",IFERROR(VLOOKUP($J660,Grinders!$A:$N,11,FALSE),""))</f>
        <v/>
      </c>
      <c r="AA660" s="40" t="str">
        <f>IF($J660="","",IFERROR(VLOOKUP($J660,Grinders!$A:$N,12,FALSE),""))</f>
        <v/>
      </c>
      <c r="AB660" s="40">
        <f>IFERROR(IF(OR($C660="",$J660=""),0,IF($D660&lt;&gt;"Open",0,IF(COUNTIFS(GrinderServices!$B:$B,$J660,GrinderServices!$C:$C,$E660,GrinderServices!$E:$E,"Y")=0,0,IF($U660&lt;Config!$B$16,0,IF(Config!$B$18=1,IF($N660&gt;=$M660,0,1),1))))),"")</f>
        <v>0</v>
      </c>
      <c r="AC660" s="40" t="str">
        <f>IFERROR(IF($AB660=0,"",((Config!$B$6*$V660 + Config!$B$7*$R660 + Config!$B$8*$W660 + Config!$B$9*$X660 + Config!$B$10*$Y660 + Config!$B$11*$Z660 - Config!$B$12*$AA660)/Config!$B$13)+$AH660+$AI660),"")</f>
        <v/>
      </c>
      <c r="AD660" s="40" t="str">
        <f t="shared" si="4"/>
        <v/>
      </c>
      <c r="AE660" s="40" t="str">
        <f>IFERROR(__xludf.DUMMYFUNCTION("IF($AC660="""","""",IF($AC660=IFERROR(MAX(FILTER($AC$6:$AC$1000,$C$6:$C$1000=$C660,$AB$6:$AB$1000=1)),),""WINNER"",""""))"),"")</f>
        <v/>
      </c>
      <c r="AF660" s="40" t="str">
        <f t="shared" si="5"/>
        <v/>
      </c>
      <c r="AG660" s="40" t="str">
        <f>IF($J660="","",COUNTIF(Assignments!$B:$B,$J660))</f>
        <v/>
      </c>
      <c r="AH660" s="40" t="str">
        <f>IF($J660="","",IF(AND($AG660=0,$N660&lt;$M660),Config!$B$43,0))</f>
        <v/>
      </c>
      <c r="AI660" s="40" t="str">
        <f>IF($J660="","",IF(AND($L660="Elite",$F660&gt;=Config!$B$41,$N660&lt;$M660),Config!$B$42,0))</f>
        <v/>
      </c>
      <c r="AJ660" s="22"/>
    </row>
    <row r="661" ht="15.75" customHeight="1">
      <c r="A661" s="40" t="str">
        <f t="shared" si="1"/>
        <v/>
      </c>
      <c r="B661" s="40" t="str">
        <f>IF(Bids!$A661="","",Bids!$A661)</f>
        <v/>
      </c>
      <c r="C661" s="40" t="str">
        <f>IF(Bids!$B661="","",Bids!$B661)</f>
        <v/>
      </c>
      <c r="D661" s="40" t="str">
        <f>IF($C661="","",IFERROR(VLOOKUP($C661,Orders!$A:$J,9,FALSE),""))</f>
        <v/>
      </c>
      <c r="E661" s="40" t="str">
        <f>IF($C661="","",IFERROR(VLOOKUP($C661,Orders!$A:$J,3,FALSE),""))</f>
        <v/>
      </c>
      <c r="F661" s="40" t="str">
        <f>IF($C661="","",IFERROR(VLOOKUP($C661,Orders!$A:$J,4,FALSE),""))</f>
        <v/>
      </c>
      <c r="G661" s="40" t="str">
        <f>IF($C661="","",IFERROR(VLOOKUP($C661,Orders!$A:$J,5,FALSE),""))</f>
        <v/>
      </c>
      <c r="H661" s="40" t="str">
        <f>IF($C661="","",IFERROR(VLOOKUP($C661,Orders!$A:$J,6,FALSE),""))</f>
        <v/>
      </c>
      <c r="I661" s="40" t="str">
        <f>IF($C661="","",IFERROR(VLOOKUP($C661,Orders!$A:$J,7,FALSE),""))</f>
        <v/>
      </c>
      <c r="J661" s="40" t="str">
        <f>IF(Bids!$C661="","",Bids!$C661)</f>
        <v/>
      </c>
      <c r="K661" s="40" t="str">
        <f>IF($J661="","",IFERROR(VLOOKUP($J661,Grinders!$A:$N,2,FALSE),""))</f>
        <v/>
      </c>
      <c r="L661" s="40" t="str">
        <f>IF($J661="","",IFERROR(VLOOKUP($J661,Grinders!$A:$N,3,FALSE),""))</f>
        <v/>
      </c>
      <c r="M661" s="40" t="str">
        <f>IF($J661="","",IFERROR(VLOOKUP($J661,Grinders!$A:$N,4,FALSE),""))</f>
        <v/>
      </c>
      <c r="N661" s="40" t="str">
        <f>IF($J661="","",IFERROR(VLOOKUP($J661,Grinders!$A:$N,5,FALSE),""))</f>
        <v/>
      </c>
      <c r="O661" s="40" t="str">
        <f t="shared" si="2"/>
        <v/>
      </c>
      <c r="P661" s="40" t="str">
        <f>IF($J661="","",IFERROR(VLOOKUP($J661,Grinders!$A:$N,6,FALSE),""))</f>
        <v/>
      </c>
      <c r="Q661" s="40" t="str">
        <f>IF($J661="","",IFERROR(VLOOKUP($J661,Grinders!$A:$N,8,FALSE),""))</f>
        <v/>
      </c>
      <c r="R661" s="40" t="str">
        <f>IFERROR(IF($J661="","",IF($L661="Elite",MAX(50,MIN(100,Config!$B$27*MAX(0,MIN(100,(1-IF($O661="",0,$O661))*100)) + Config!$B$28*MAX(0,MIN(100,(1-MIN(1,IF(Config!$B$30=0,1,$P661/Config!$B$30)))*100)) + Config!$B$29*MAX(0,MIN(100,MIN(1,IF($Q661="",0,$Q661)/Config!$B$23)*100)))),MIN(100,Config!$B$27*MAX(0,MIN(100,(1-IF($O661="",0,$O661))*100)) + Config!$B$28*MAX(0,MIN(100,(1-MIN(1,IF(Config!$B$30=0,1,$P661/Config!$B$30)))*100)) + Config!$B$29*MAX(0,MIN(100,MIN(1,IF($Q661="",0,$Q661)/Config!$B$23)*100))))),"")
</f>
        <v/>
      </c>
      <c r="S661" s="40" t="str">
        <f>IF(Bids!$D661="","",Bids!$D661)</f>
        <v/>
      </c>
      <c r="T661" s="40" t="str">
        <f>IF(Bids!$F661="","",Bids!$F661)</f>
        <v/>
      </c>
      <c r="U661" s="40" t="str">
        <f t="shared" si="3"/>
        <v/>
      </c>
      <c r="V661" s="40" t="str">
        <f>IF($U661="","",IF(Config!$B$17=Config!$B$16,IF($U661&gt;=Config!$B$17,100,0),MAX(0,MIN(100,($U661-Config!$B$16)/(Config!$B$17-Config!$B$16)*100))))</f>
        <v/>
      </c>
      <c r="W661" s="40">
        <f>IF($L661="Elite",Config!$B$21,0)</f>
        <v>0</v>
      </c>
      <c r="X661" s="40" t="str">
        <f>IFERROR(IF(OR($T661="",$G661=""),"",IF($T661&gt;$G661,
  MAX(0, 60-(($T661-$G661)*24/Config!$B$19)*60),
  MEDIAN(60, 100, 60+(($G661-$T661)*24/Config!$B$20)*40)
)),"")
</f>
        <v/>
      </c>
      <c r="Y661" s="40" t="str">
        <f>IF($J661="","",IFERROR(VLOOKUP($J661,Grinders!$A:$N,10,FALSE),""))</f>
        <v/>
      </c>
      <c r="Z661" s="40" t="str">
        <f>IF($J661="","",IFERROR(VLOOKUP($J661,Grinders!$A:$N,11,FALSE),""))</f>
        <v/>
      </c>
      <c r="AA661" s="40" t="str">
        <f>IF($J661="","",IFERROR(VLOOKUP($J661,Grinders!$A:$N,12,FALSE),""))</f>
        <v/>
      </c>
      <c r="AB661" s="40">
        <f>IFERROR(IF(OR($C661="",$J661=""),0,IF($D661&lt;&gt;"Open",0,IF(COUNTIFS(GrinderServices!$B:$B,$J661,GrinderServices!$C:$C,$E661,GrinderServices!$E:$E,"Y")=0,0,IF($U661&lt;Config!$B$16,0,IF(Config!$B$18=1,IF($N661&gt;=$M661,0,1),1))))),"")</f>
        <v>0</v>
      </c>
      <c r="AC661" s="40" t="str">
        <f>IFERROR(IF($AB661=0,"",((Config!$B$6*$V661 + Config!$B$7*$R661 + Config!$B$8*$W661 + Config!$B$9*$X661 + Config!$B$10*$Y661 + Config!$B$11*$Z661 - Config!$B$12*$AA661)/Config!$B$13)+$AH661+$AI661),"")</f>
        <v/>
      </c>
      <c r="AD661" s="40" t="str">
        <f t="shared" si="4"/>
        <v/>
      </c>
      <c r="AE661" s="40" t="str">
        <f>IFERROR(__xludf.DUMMYFUNCTION("IF($AC661="""","""",IF($AC661=IFERROR(MAX(FILTER($AC$6:$AC$1000,$C$6:$C$1000=$C661,$AB$6:$AB$1000=1)),),""WINNER"",""""))"),"")</f>
        <v/>
      </c>
      <c r="AF661" s="40" t="str">
        <f t="shared" si="5"/>
        <v/>
      </c>
      <c r="AG661" s="40" t="str">
        <f>IF($J661="","",COUNTIF(Assignments!$B:$B,$J661))</f>
        <v/>
      </c>
      <c r="AH661" s="40" t="str">
        <f>IF($J661="","",IF(AND($AG661=0,$N661&lt;$M661),Config!$B$43,0))</f>
        <v/>
      </c>
      <c r="AI661" s="40" t="str">
        <f>IF($J661="","",IF(AND($L661="Elite",$F661&gt;=Config!$B$41,$N661&lt;$M661),Config!$B$42,0))</f>
        <v/>
      </c>
      <c r="AJ661" s="22"/>
    </row>
    <row r="662" ht="15.75" customHeight="1">
      <c r="A662" s="40" t="str">
        <f t="shared" si="1"/>
        <v/>
      </c>
      <c r="B662" s="40" t="str">
        <f>IF(Bids!$A662="","",Bids!$A662)</f>
        <v/>
      </c>
      <c r="C662" s="40" t="str">
        <f>IF(Bids!$B662="","",Bids!$B662)</f>
        <v/>
      </c>
      <c r="D662" s="40" t="str">
        <f>IF($C662="","",IFERROR(VLOOKUP($C662,Orders!$A:$J,9,FALSE),""))</f>
        <v/>
      </c>
      <c r="E662" s="40" t="str">
        <f>IF($C662="","",IFERROR(VLOOKUP($C662,Orders!$A:$J,3,FALSE),""))</f>
        <v/>
      </c>
      <c r="F662" s="40" t="str">
        <f>IF($C662="","",IFERROR(VLOOKUP($C662,Orders!$A:$J,4,FALSE),""))</f>
        <v/>
      </c>
      <c r="G662" s="40" t="str">
        <f>IF($C662="","",IFERROR(VLOOKUP($C662,Orders!$A:$J,5,FALSE),""))</f>
        <v/>
      </c>
      <c r="H662" s="40" t="str">
        <f>IF($C662="","",IFERROR(VLOOKUP($C662,Orders!$A:$J,6,FALSE),""))</f>
        <v/>
      </c>
      <c r="I662" s="40" t="str">
        <f>IF($C662="","",IFERROR(VLOOKUP($C662,Orders!$A:$J,7,FALSE),""))</f>
        <v/>
      </c>
      <c r="J662" s="40" t="str">
        <f>IF(Bids!$C662="","",Bids!$C662)</f>
        <v/>
      </c>
      <c r="K662" s="40" t="str">
        <f>IF($J662="","",IFERROR(VLOOKUP($J662,Grinders!$A:$N,2,FALSE),""))</f>
        <v/>
      </c>
      <c r="L662" s="40" t="str">
        <f>IF($J662="","",IFERROR(VLOOKUP($J662,Grinders!$A:$N,3,FALSE),""))</f>
        <v/>
      </c>
      <c r="M662" s="40" t="str">
        <f>IF($J662="","",IFERROR(VLOOKUP($J662,Grinders!$A:$N,4,FALSE),""))</f>
        <v/>
      </c>
      <c r="N662" s="40" t="str">
        <f>IF($J662="","",IFERROR(VLOOKUP($J662,Grinders!$A:$N,5,FALSE),""))</f>
        <v/>
      </c>
      <c r="O662" s="40" t="str">
        <f t="shared" si="2"/>
        <v/>
      </c>
      <c r="P662" s="40" t="str">
        <f>IF($J662="","",IFERROR(VLOOKUP($J662,Grinders!$A:$N,6,FALSE),""))</f>
        <v/>
      </c>
      <c r="Q662" s="40" t="str">
        <f>IF($J662="","",IFERROR(VLOOKUP($J662,Grinders!$A:$N,8,FALSE),""))</f>
        <v/>
      </c>
      <c r="R662" s="40" t="str">
        <f>IFERROR(IF($J662="","",IF($L662="Elite",MAX(50,MIN(100,Config!$B$27*MAX(0,MIN(100,(1-IF($O662="",0,$O662))*100)) + Config!$B$28*MAX(0,MIN(100,(1-MIN(1,IF(Config!$B$30=0,1,$P662/Config!$B$30)))*100)) + Config!$B$29*MAX(0,MIN(100,MIN(1,IF($Q662="",0,$Q662)/Config!$B$23)*100)))),MIN(100,Config!$B$27*MAX(0,MIN(100,(1-IF($O662="",0,$O662))*100)) + Config!$B$28*MAX(0,MIN(100,(1-MIN(1,IF(Config!$B$30=0,1,$P662/Config!$B$30)))*100)) + Config!$B$29*MAX(0,MIN(100,MIN(1,IF($Q662="",0,$Q662)/Config!$B$23)*100))))),"")
</f>
        <v/>
      </c>
      <c r="S662" s="40" t="str">
        <f>IF(Bids!$D662="","",Bids!$D662)</f>
        <v/>
      </c>
      <c r="T662" s="40" t="str">
        <f>IF(Bids!$F662="","",Bids!$F662)</f>
        <v/>
      </c>
      <c r="U662" s="40" t="str">
        <f t="shared" si="3"/>
        <v/>
      </c>
      <c r="V662" s="40" t="str">
        <f>IF($U662="","",IF(Config!$B$17=Config!$B$16,IF($U662&gt;=Config!$B$17,100,0),MAX(0,MIN(100,($U662-Config!$B$16)/(Config!$B$17-Config!$B$16)*100))))</f>
        <v/>
      </c>
      <c r="W662" s="40">
        <f>IF($L662="Elite",Config!$B$21,0)</f>
        <v>0</v>
      </c>
      <c r="X662" s="40" t="str">
        <f>IFERROR(IF(OR($T662="",$G662=""),"",IF($T662&gt;$G662,
  MAX(0, 60-(($T662-$G662)*24/Config!$B$19)*60),
  MEDIAN(60, 100, 60+(($G662-$T662)*24/Config!$B$20)*40)
)),"")
</f>
        <v/>
      </c>
      <c r="Y662" s="40" t="str">
        <f>IF($J662="","",IFERROR(VLOOKUP($J662,Grinders!$A:$N,10,FALSE),""))</f>
        <v/>
      </c>
      <c r="Z662" s="40" t="str">
        <f>IF($J662="","",IFERROR(VLOOKUP($J662,Grinders!$A:$N,11,FALSE),""))</f>
        <v/>
      </c>
      <c r="AA662" s="40" t="str">
        <f>IF($J662="","",IFERROR(VLOOKUP($J662,Grinders!$A:$N,12,FALSE),""))</f>
        <v/>
      </c>
      <c r="AB662" s="40">
        <f>IFERROR(IF(OR($C662="",$J662=""),0,IF($D662&lt;&gt;"Open",0,IF(COUNTIFS(GrinderServices!$B:$B,$J662,GrinderServices!$C:$C,$E662,GrinderServices!$E:$E,"Y")=0,0,IF($U662&lt;Config!$B$16,0,IF(Config!$B$18=1,IF($N662&gt;=$M662,0,1),1))))),"")</f>
        <v>0</v>
      </c>
      <c r="AC662" s="40" t="str">
        <f>IFERROR(IF($AB662=0,"",((Config!$B$6*$V662 + Config!$B$7*$R662 + Config!$B$8*$W662 + Config!$B$9*$X662 + Config!$B$10*$Y662 + Config!$B$11*$Z662 - Config!$B$12*$AA662)/Config!$B$13)+$AH662+$AI662),"")</f>
        <v/>
      </c>
      <c r="AD662" s="40" t="str">
        <f t="shared" si="4"/>
        <v/>
      </c>
      <c r="AE662" s="40" t="str">
        <f>IFERROR(__xludf.DUMMYFUNCTION("IF($AC662="""","""",IF($AC662=IFERROR(MAX(FILTER($AC$6:$AC$1000,$C$6:$C$1000=$C662,$AB$6:$AB$1000=1)),),""WINNER"",""""))"),"")</f>
        <v/>
      </c>
      <c r="AF662" s="40" t="str">
        <f t="shared" si="5"/>
        <v/>
      </c>
      <c r="AG662" s="40" t="str">
        <f>IF($J662="","",COUNTIF(Assignments!$B:$B,$J662))</f>
        <v/>
      </c>
      <c r="AH662" s="40" t="str">
        <f>IF($J662="","",IF(AND($AG662=0,$N662&lt;$M662),Config!$B$43,0))</f>
        <v/>
      </c>
      <c r="AI662" s="40" t="str">
        <f>IF($J662="","",IF(AND($L662="Elite",$F662&gt;=Config!$B$41,$N662&lt;$M662),Config!$B$42,0))</f>
        <v/>
      </c>
      <c r="AJ662" s="22"/>
    </row>
    <row r="663" ht="15.75" customHeight="1">
      <c r="A663" s="40" t="str">
        <f t="shared" si="1"/>
        <v/>
      </c>
      <c r="B663" s="40" t="str">
        <f>IF(Bids!$A663="","",Bids!$A663)</f>
        <v/>
      </c>
      <c r="C663" s="40" t="str">
        <f>IF(Bids!$B663="","",Bids!$B663)</f>
        <v/>
      </c>
      <c r="D663" s="40" t="str">
        <f>IF($C663="","",IFERROR(VLOOKUP($C663,Orders!$A:$J,9,FALSE),""))</f>
        <v/>
      </c>
      <c r="E663" s="40" t="str">
        <f>IF($C663="","",IFERROR(VLOOKUP($C663,Orders!$A:$J,3,FALSE),""))</f>
        <v/>
      </c>
      <c r="F663" s="40" t="str">
        <f>IF($C663="","",IFERROR(VLOOKUP($C663,Orders!$A:$J,4,FALSE),""))</f>
        <v/>
      </c>
      <c r="G663" s="40" t="str">
        <f>IF($C663="","",IFERROR(VLOOKUP($C663,Orders!$A:$J,5,FALSE),""))</f>
        <v/>
      </c>
      <c r="H663" s="40" t="str">
        <f>IF($C663="","",IFERROR(VLOOKUP($C663,Orders!$A:$J,6,FALSE),""))</f>
        <v/>
      </c>
      <c r="I663" s="40" t="str">
        <f>IF($C663="","",IFERROR(VLOOKUP($C663,Orders!$A:$J,7,FALSE),""))</f>
        <v/>
      </c>
      <c r="J663" s="40" t="str">
        <f>IF(Bids!$C663="","",Bids!$C663)</f>
        <v/>
      </c>
      <c r="K663" s="40" t="str">
        <f>IF($J663="","",IFERROR(VLOOKUP($J663,Grinders!$A:$N,2,FALSE),""))</f>
        <v/>
      </c>
      <c r="L663" s="40" t="str">
        <f>IF($J663="","",IFERROR(VLOOKUP($J663,Grinders!$A:$N,3,FALSE),""))</f>
        <v/>
      </c>
      <c r="M663" s="40" t="str">
        <f>IF($J663="","",IFERROR(VLOOKUP($J663,Grinders!$A:$N,4,FALSE),""))</f>
        <v/>
      </c>
      <c r="N663" s="40" t="str">
        <f>IF($J663="","",IFERROR(VLOOKUP($J663,Grinders!$A:$N,5,FALSE),""))</f>
        <v/>
      </c>
      <c r="O663" s="40" t="str">
        <f t="shared" si="2"/>
        <v/>
      </c>
      <c r="P663" s="40" t="str">
        <f>IF($J663="","",IFERROR(VLOOKUP($J663,Grinders!$A:$N,6,FALSE),""))</f>
        <v/>
      </c>
      <c r="Q663" s="40" t="str">
        <f>IF($J663="","",IFERROR(VLOOKUP($J663,Grinders!$A:$N,8,FALSE),""))</f>
        <v/>
      </c>
      <c r="R663" s="40" t="str">
        <f>IFERROR(IF($J663="","",IF($L663="Elite",MAX(50,MIN(100,Config!$B$27*MAX(0,MIN(100,(1-IF($O663="",0,$O663))*100)) + Config!$B$28*MAX(0,MIN(100,(1-MIN(1,IF(Config!$B$30=0,1,$P663/Config!$B$30)))*100)) + Config!$B$29*MAX(0,MIN(100,MIN(1,IF($Q663="",0,$Q663)/Config!$B$23)*100)))),MIN(100,Config!$B$27*MAX(0,MIN(100,(1-IF($O663="",0,$O663))*100)) + Config!$B$28*MAX(0,MIN(100,(1-MIN(1,IF(Config!$B$30=0,1,$P663/Config!$B$30)))*100)) + Config!$B$29*MAX(0,MIN(100,MIN(1,IF($Q663="",0,$Q663)/Config!$B$23)*100))))),"")
</f>
        <v/>
      </c>
      <c r="S663" s="40" t="str">
        <f>IF(Bids!$D663="","",Bids!$D663)</f>
        <v/>
      </c>
      <c r="T663" s="40" t="str">
        <f>IF(Bids!$F663="","",Bids!$F663)</f>
        <v/>
      </c>
      <c r="U663" s="40" t="str">
        <f t="shared" si="3"/>
        <v/>
      </c>
      <c r="V663" s="40" t="str">
        <f>IF($U663="","",IF(Config!$B$17=Config!$B$16,IF($U663&gt;=Config!$B$17,100,0),MAX(0,MIN(100,($U663-Config!$B$16)/(Config!$B$17-Config!$B$16)*100))))</f>
        <v/>
      </c>
      <c r="W663" s="40">
        <f>IF($L663="Elite",Config!$B$21,0)</f>
        <v>0</v>
      </c>
      <c r="X663" s="40" t="str">
        <f>IFERROR(IF(OR($T663="",$G663=""),"",IF($T663&gt;$G663,
  MAX(0, 60-(($T663-$G663)*24/Config!$B$19)*60),
  MEDIAN(60, 100, 60+(($G663-$T663)*24/Config!$B$20)*40)
)),"")
</f>
        <v/>
      </c>
      <c r="Y663" s="40" t="str">
        <f>IF($J663="","",IFERROR(VLOOKUP($J663,Grinders!$A:$N,10,FALSE),""))</f>
        <v/>
      </c>
      <c r="Z663" s="40" t="str">
        <f>IF($J663="","",IFERROR(VLOOKUP($J663,Grinders!$A:$N,11,FALSE),""))</f>
        <v/>
      </c>
      <c r="AA663" s="40" t="str">
        <f>IF($J663="","",IFERROR(VLOOKUP($J663,Grinders!$A:$N,12,FALSE),""))</f>
        <v/>
      </c>
      <c r="AB663" s="40">
        <f>IFERROR(IF(OR($C663="",$J663=""),0,IF($D663&lt;&gt;"Open",0,IF(COUNTIFS(GrinderServices!$B:$B,$J663,GrinderServices!$C:$C,$E663,GrinderServices!$E:$E,"Y")=0,0,IF($U663&lt;Config!$B$16,0,IF(Config!$B$18=1,IF($N663&gt;=$M663,0,1),1))))),"")</f>
        <v>0</v>
      </c>
      <c r="AC663" s="40" t="str">
        <f>IFERROR(IF($AB663=0,"",((Config!$B$6*$V663 + Config!$B$7*$R663 + Config!$B$8*$W663 + Config!$B$9*$X663 + Config!$B$10*$Y663 + Config!$B$11*$Z663 - Config!$B$12*$AA663)/Config!$B$13)+$AH663+$AI663),"")</f>
        <v/>
      </c>
      <c r="AD663" s="40" t="str">
        <f t="shared" si="4"/>
        <v/>
      </c>
      <c r="AE663" s="40" t="str">
        <f>IFERROR(__xludf.DUMMYFUNCTION("IF($AC663="""","""",IF($AC663=IFERROR(MAX(FILTER($AC$6:$AC$1000,$C$6:$C$1000=$C663,$AB$6:$AB$1000=1)),),""WINNER"",""""))"),"")</f>
        <v/>
      </c>
      <c r="AF663" s="40" t="str">
        <f t="shared" si="5"/>
        <v/>
      </c>
      <c r="AG663" s="40" t="str">
        <f>IF($J663="","",COUNTIF(Assignments!$B:$B,$J663))</f>
        <v/>
      </c>
      <c r="AH663" s="40" t="str">
        <f>IF($J663="","",IF(AND($AG663=0,$N663&lt;$M663),Config!$B$43,0))</f>
        <v/>
      </c>
      <c r="AI663" s="40" t="str">
        <f>IF($J663="","",IF(AND($L663="Elite",$F663&gt;=Config!$B$41,$N663&lt;$M663),Config!$B$42,0))</f>
        <v/>
      </c>
      <c r="AJ663" s="22"/>
    </row>
    <row r="664" ht="15.75" customHeight="1">
      <c r="A664" s="40" t="str">
        <f t="shared" si="1"/>
        <v/>
      </c>
      <c r="B664" s="40" t="str">
        <f>IF(Bids!$A664="","",Bids!$A664)</f>
        <v/>
      </c>
      <c r="C664" s="40" t="str">
        <f>IF(Bids!$B664="","",Bids!$B664)</f>
        <v/>
      </c>
      <c r="D664" s="40" t="str">
        <f>IF($C664="","",IFERROR(VLOOKUP($C664,Orders!$A:$J,9,FALSE),""))</f>
        <v/>
      </c>
      <c r="E664" s="40" t="str">
        <f>IF($C664="","",IFERROR(VLOOKUP($C664,Orders!$A:$J,3,FALSE),""))</f>
        <v/>
      </c>
      <c r="F664" s="40" t="str">
        <f>IF($C664="","",IFERROR(VLOOKUP($C664,Orders!$A:$J,4,FALSE),""))</f>
        <v/>
      </c>
      <c r="G664" s="40" t="str">
        <f>IF($C664="","",IFERROR(VLOOKUP($C664,Orders!$A:$J,5,FALSE),""))</f>
        <v/>
      </c>
      <c r="H664" s="40" t="str">
        <f>IF($C664="","",IFERROR(VLOOKUP($C664,Orders!$A:$J,6,FALSE),""))</f>
        <v/>
      </c>
      <c r="I664" s="40" t="str">
        <f>IF($C664="","",IFERROR(VLOOKUP($C664,Orders!$A:$J,7,FALSE),""))</f>
        <v/>
      </c>
      <c r="J664" s="40" t="str">
        <f>IF(Bids!$C664="","",Bids!$C664)</f>
        <v/>
      </c>
      <c r="K664" s="40" t="str">
        <f>IF($J664="","",IFERROR(VLOOKUP($J664,Grinders!$A:$N,2,FALSE),""))</f>
        <v/>
      </c>
      <c r="L664" s="40" t="str">
        <f>IF($J664="","",IFERROR(VLOOKUP($J664,Grinders!$A:$N,3,FALSE),""))</f>
        <v/>
      </c>
      <c r="M664" s="40" t="str">
        <f>IF($J664="","",IFERROR(VLOOKUP($J664,Grinders!$A:$N,4,FALSE),""))</f>
        <v/>
      </c>
      <c r="N664" s="40" t="str">
        <f>IF($J664="","",IFERROR(VLOOKUP($J664,Grinders!$A:$N,5,FALSE),""))</f>
        <v/>
      </c>
      <c r="O664" s="40" t="str">
        <f t="shared" si="2"/>
        <v/>
      </c>
      <c r="P664" s="40" t="str">
        <f>IF($J664="","",IFERROR(VLOOKUP($J664,Grinders!$A:$N,6,FALSE),""))</f>
        <v/>
      </c>
      <c r="Q664" s="40" t="str">
        <f>IF($J664="","",IFERROR(VLOOKUP($J664,Grinders!$A:$N,8,FALSE),""))</f>
        <v/>
      </c>
      <c r="R664" s="40" t="str">
        <f>IFERROR(IF($J664="","",IF($L664="Elite",MAX(50,MIN(100,Config!$B$27*MAX(0,MIN(100,(1-IF($O664="",0,$O664))*100)) + Config!$B$28*MAX(0,MIN(100,(1-MIN(1,IF(Config!$B$30=0,1,$P664/Config!$B$30)))*100)) + Config!$B$29*MAX(0,MIN(100,MIN(1,IF($Q664="",0,$Q664)/Config!$B$23)*100)))),MIN(100,Config!$B$27*MAX(0,MIN(100,(1-IF($O664="",0,$O664))*100)) + Config!$B$28*MAX(0,MIN(100,(1-MIN(1,IF(Config!$B$30=0,1,$P664/Config!$B$30)))*100)) + Config!$B$29*MAX(0,MIN(100,MIN(1,IF($Q664="",0,$Q664)/Config!$B$23)*100))))),"")
</f>
        <v/>
      </c>
      <c r="S664" s="40" t="str">
        <f>IF(Bids!$D664="","",Bids!$D664)</f>
        <v/>
      </c>
      <c r="T664" s="40" t="str">
        <f>IF(Bids!$F664="","",Bids!$F664)</f>
        <v/>
      </c>
      <c r="U664" s="40" t="str">
        <f t="shared" si="3"/>
        <v/>
      </c>
      <c r="V664" s="40" t="str">
        <f>IF($U664="","",IF(Config!$B$17=Config!$B$16,IF($U664&gt;=Config!$B$17,100,0),MAX(0,MIN(100,($U664-Config!$B$16)/(Config!$B$17-Config!$B$16)*100))))</f>
        <v/>
      </c>
      <c r="W664" s="40">
        <f>IF($L664="Elite",Config!$B$21,0)</f>
        <v>0</v>
      </c>
      <c r="X664" s="40" t="str">
        <f>IFERROR(IF(OR($T664="",$G664=""),"",IF($T664&gt;$G664,
  MAX(0, 60-(($T664-$G664)*24/Config!$B$19)*60),
  MEDIAN(60, 100, 60+(($G664-$T664)*24/Config!$B$20)*40)
)),"")
</f>
        <v/>
      </c>
      <c r="Y664" s="40" t="str">
        <f>IF($J664="","",IFERROR(VLOOKUP($J664,Grinders!$A:$N,10,FALSE),""))</f>
        <v/>
      </c>
      <c r="Z664" s="40" t="str">
        <f>IF($J664="","",IFERROR(VLOOKUP($J664,Grinders!$A:$N,11,FALSE),""))</f>
        <v/>
      </c>
      <c r="AA664" s="40" t="str">
        <f>IF($J664="","",IFERROR(VLOOKUP($J664,Grinders!$A:$N,12,FALSE),""))</f>
        <v/>
      </c>
      <c r="AB664" s="40">
        <f>IFERROR(IF(OR($C664="",$J664=""),0,IF($D664&lt;&gt;"Open",0,IF(COUNTIFS(GrinderServices!$B:$B,$J664,GrinderServices!$C:$C,$E664,GrinderServices!$E:$E,"Y")=0,0,IF($U664&lt;Config!$B$16,0,IF(Config!$B$18=1,IF($N664&gt;=$M664,0,1),1))))),"")</f>
        <v>0</v>
      </c>
      <c r="AC664" s="40" t="str">
        <f>IFERROR(IF($AB664=0,"",((Config!$B$6*$V664 + Config!$B$7*$R664 + Config!$B$8*$W664 + Config!$B$9*$X664 + Config!$B$10*$Y664 + Config!$B$11*$Z664 - Config!$B$12*$AA664)/Config!$B$13)+$AH664+$AI664),"")</f>
        <v/>
      </c>
      <c r="AD664" s="40" t="str">
        <f t="shared" si="4"/>
        <v/>
      </c>
      <c r="AE664" s="40" t="str">
        <f>IFERROR(__xludf.DUMMYFUNCTION("IF($AC664="""","""",IF($AC664=IFERROR(MAX(FILTER($AC$6:$AC$1000,$C$6:$C$1000=$C664,$AB$6:$AB$1000=1)),),""WINNER"",""""))"),"")</f>
        <v/>
      </c>
      <c r="AF664" s="40" t="str">
        <f t="shared" si="5"/>
        <v/>
      </c>
      <c r="AG664" s="40" t="str">
        <f>IF($J664="","",COUNTIF(Assignments!$B:$B,$J664))</f>
        <v/>
      </c>
      <c r="AH664" s="40" t="str">
        <f>IF($J664="","",IF(AND($AG664=0,$N664&lt;$M664),Config!$B$43,0))</f>
        <v/>
      </c>
      <c r="AI664" s="40" t="str">
        <f>IF($J664="","",IF(AND($L664="Elite",$F664&gt;=Config!$B$41,$N664&lt;$M664),Config!$B$42,0))</f>
        <v/>
      </c>
      <c r="AJ664" s="22"/>
    </row>
    <row r="665" ht="15.75" customHeight="1">
      <c r="A665" s="40" t="str">
        <f t="shared" si="1"/>
        <v/>
      </c>
      <c r="B665" s="40" t="str">
        <f>IF(Bids!$A665="","",Bids!$A665)</f>
        <v/>
      </c>
      <c r="C665" s="40" t="str">
        <f>IF(Bids!$B665="","",Bids!$B665)</f>
        <v/>
      </c>
      <c r="D665" s="40" t="str">
        <f>IF($C665="","",IFERROR(VLOOKUP($C665,Orders!$A:$J,9,FALSE),""))</f>
        <v/>
      </c>
      <c r="E665" s="40" t="str">
        <f>IF($C665="","",IFERROR(VLOOKUP($C665,Orders!$A:$J,3,FALSE),""))</f>
        <v/>
      </c>
      <c r="F665" s="40" t="str">
        <f>IF($C665="","",IFERROR(VLOOKUP($C665,Orders!$A:$J,4,FALSE),""))</f>
        <v/>
      </c>
      <c r="G665" s="40" t="str">
        <f>IF($C665="","",IFERROR(VLOOKUP($C665,Orders!$A:$J,5,FALSE),""))</f>
        <v/>
      </c>
      <c r="H665" s="40" t="str">
        <f>IF($C665="","",IFERROR(VLOOKUP($C665,Orders!$A:$J,6,FALSE),""))</f>
        <v/>
      </c>
      <c r="I665" s="40" t="str">
        <f>IF($C665="","",IFERROR(VLOOKUP($C665,Orders!$A:$J,7,FALSE),""))</f>
        <v/>
      </c>
      <c r="J665" s="40" t="str">
        <f>IF(Bids!$C665="","",Bids!$C665)</f>
        <v/>
      </c>
      <c r="K665" s="40" t="str">
        <f>IF($J665="","",IFERROR(VLOOKUP($J665,Grinders!$A:$N,2,FALSE),""))</f>
        <v/>
      </c>
      <c r="L665" s="40" t="str">
        <f>IF($J665="","",IFERROR(VLOOKUP($J665,Grinders!$A:$N,3,FALSE),""))</f>
        <v/>
      </c>
      <c r="M665" s="40" t="str">
        <f>IF($J665="","",IFERROR(VLOOKUP($J665,Grinders!$A:$N,4,FALSE),""))</f>
        <v/>
      </c>
      <c r="N665" s="40" t="str">
        <f>IF($J665="","",IFERROR(VLOOKUP($J665,Grinders!$A:$N,5,FALSE),""))</f>
        <v/>
      </c>
      <c r="O665" s="40" t="str">
        <f t="shared" si="2"/>
        <v/>
      </c>
      <c r="P665" s="40" t="str">
        <f>IF($J665="","",IFERROR(VLOOKUP($J665,Grinders!$A:$N,6,FALSE),""))</f>
        <v/>
      </c>
      <c r="Q665" s="40" t="str">
        <f>IF($J665="","",IFERROR(VLOOKUP($J665,Grinders!$A:$N,8,FALSE),""))</f>
        <v/>
      </c>
      <c r="R665" s="40" t="str">
        <f>IFERROR(IF($J665="","",IF($L665="Elite",MAX(50,MIN(100,Config!$B$27*MAX(0,MIN(100,(1-IF($O665="",0,$O665))*100)) + Config!$B$28*MAX(0,MIN(100,(1-MIN(1,IF(Config!$B$30=0,1,$P665/Config!$B$30)))*100)) + Config!$B$29*MAX(0,MIN(100,MIN(1,IF($Q665="",0,$Q665)/Config!$B$23)*100)))),MIN(100,Config!$B$27*MAX(0,MIN(100,(1-IF($O665="",0,$O665))*100)) + Config!$B$28*MAX(0,MIN(100,(1-MIN(1,IF(Config!$B$30=0,1,$P665/Config!$B$30)))*100)) + Config!$B$29*MAX(0,MIN(100,MIN(1,IF($Q665="",0,$Q665)/Config!$B$23)*100))))),"")
</f>
        <v/>
      </c>
      <c r="S665" s="40" t="str">
        <f>IF(Bids!$D665="","",Bids!$D665)</f>
        <v/>
      </c>
      <c r="T665" s="40" t="str">
        <f>IF(Bids!$F665="","",Bids!$F665)</f>
        <v/>
      </c>
      <c r="U665" s="40" t="str">
        <f t="shared" si="3"/>
        <v/>
      </c>
      <c r="V665" s="40" t="str">
        <f>IF($U665="","",IF(Config!$B$17=Config!$B$16,IF($U665&gt;=Config!$B$17,100,0),MAX(0,MIN(100,($U665-Config!$B$16)/(Config!$B$17-Config!$B$16)*100))))</f>
        <v/>
      </c>
      <c r="W665" s="40">
        <f>IF($L665="Elite",Config!$B$21,0)</f>
        <v>0</v>
      </c>
      <c r="X665" s="40" t="str">
        <f>IFERROR(IF(OR($T665="",$G665=""),"",IF($T665&gt;$G665,
  MAX(0, 60-(($T665-$G665)*24/Config!$B$19)*60),
  MEDIAN(60, 100, 60+(($G665-$T665)*24/Config!$B$20)*40)
)),"")
</f>
        <v/>
      </c>
      <c r="Y665" s="40" t="str">
        <f>IF($J665="","",IFERROR(VLOOKUP($J665,Grinders!$A:$N,10,FALSE),""))</f>
        <v/>
      </c>
      <c r="Z665" s="40" t="str">
        <f>IF($J665="","",IFERROR(VLOOKUP($J665,Grinders!$A:$N,11,FALSE),""))</f>
        <v/>
      </c>
      <c r="AA665" s="40" t="str">
        <f>IF($J665="","",IFERROR(VLOOKUP($J665,Grinders!$A:$N,12,FALSE),""))</f>
        <v/>
      </c>
      <c r="AB665" s="40">
        <f>IFERROR(IF(OR($C665="",$J665=""),0,IF($D665&lt;&gt;"Open",0,IF(COUNTIFS(GrinderServices!$B:$B,$J665,GrinderServices!$C:$C,$E665,GrinderServices!$E:$E,"Y")=0,0,IF($U665&lt;Config!$B$16,0,IF(Config!$B$18=1,IF($N665&gt;=$M665,0,1),1))))),"")</f>
        <v>0</v>
      </c>
      <c r="AC665" s="40" t="str">
        <f>IFERROR(IF($AB665=0,"",((Config!$B$6*$V665 + Config!$B$7*$R665 + Config!$B$8*$W665 + Config!$B$9*$X665 + Config!$B$10*$Y665 + Config!$B$11*$Z665 - Config!$B$12*$AA665)/Config!$B$13)+$AH665+$AI665),"")</f>
        <v/>
      </c>
      <c r="AD665" s="40" t="str">
        <f t="shared" si="4"/>
        <v/>
      </c>
      <c r="AE665" s="40" t="str">
        <f>IFERROR(__xludf.DUMMYFUNCTION("IF($AC665="""","""",IF($AC665=IFERROR(MAX(FILTER($AC$6:$AC$1000,$C$6:$C$1000=$C665,$AB$6:$AB$1000=1)),),""WINNER"",""""))"),"")</f>
        <v/>
      </c>
      <c r="AF665" s="40" t="str">
        <f t="shared" si="5"/>
        <v/>
      </c>
      <c r="AG665" s="40" t="str">
        <f>IF($J665="","",COUNTIF(Assignments!$B:$B,$J665))</f>
        <v/>
      </c>
      <c r="AH665" s="40" t="str">
        <f>IF($J665="","",IF(AND($AG665=0,$N665&lt;$M665),Config!$B$43,0))</f>
        <v/>
      </c>
      <c r="AI665" s="40" t="str">
        <f>IF($J665="","",IF(AND($L665="Elite",$F665&gt;=Config!$B$41,$N665&lt;$M665),Config!$B$42,0))</f>
        <v/>
      </c>
      <c r="AJ665" s="22"/>
    </row>
    <row r="666" ht="15.75" customHeight="1">
      <c r="A666" s="40" t="str">
        <f t="shared" si="1"/>
        <v/>
      </c>
      <c r="B666" s="40" t="str">
        <f>IF(Bids!$A666="","",Bids!$A666)</f>
        <v/>
      </c>
      <c r="C666" s="40" t="str">
        <f>IF(Bids!$B666="","",Bids!$B666)</f>
        <v/>
      </c>
      <c r="D666" s="40" t="str">
        <f>IF($C666="","",IFERROR(VLOOKUP($C666,Orders!$A:$J,9,FALSE),""))</f>
        <v/>
      </c>
      <c r="E666" s="40" t="str">
        <f>IF($C666="","",IFERROR(VLOOKUP($C666,Orders!$A:$J,3,FALSE),""))</f>
        <v/>
      </c>
      <c r="F666" s="40" t="str">
        <f>IF($C666="","",IFERROR(VLOOKUP($C666,Orders!$A:$J,4,FALSE),""))</f>
        <v/>
      </c>
      <c r="G666" s="40" t="str">
        <f>IF($C666="","",IFERROR(VLOOKUP($C666,Orders!$A:$J,5,FALSE),""))</f>
        <v/>
      </c>
      <c r="H666" s="40" t="str">
        <f>IF($C666="","",IFERROR(VLOOKUP($C666,Orders!$A:$J,6,FALSE),""))</f>
        <v/>
      </c>
      <c r="I666" s="40" t="str">
        <f>IF($C666="","",IFERROR(VLOOKUP($C666,Orders!$A:$J,7,FALSE),""))</f>
        <v/>
      </c>
      <c r="J666" s="40" t="str">
        <f>IF(Bids!$C666="","",Bids!$C666)</f>
        <v/>
      </c>
      <c r="K666" s="40" t="str">
        <f>IF($J666="","",IFERROR(VLOOKUP($J666,Grinders!$A:$N,2,FALSE),""))</f>
        <v/>
      </c>
      <c r="L666" s="40" t="str">
        <f>IF($J666="","",IFERROR(VLOOKUP($J666,Grinders!$A:$N,3,FALSE),""))</f>
        <v/>
      </c>
      <c r="M666" s="40" t="str">
        <f>IF($J666="","",IFERROR(VLOOKUP($J666,Grinders!$A:$N,4,FALSE),""))</f>
        <v/>
      </c>
      <c r="N666" s="40" t="str">
        <f>IF($J666="","",IFERROR(VLOOKUP($J666,Grinders!$A:$N,5,FALSE),""))</f>
        <v/>
      </c>
      <c r="O666" s="40" t="str">
        <f t="shared" si="2"/>
        <v/>
      </c>
      <c r="P666" s="40" t="str">
        <f>IF($J666="","",IFERROR(VLOOKUP($J666,Grinders!$A:$N,6,FALSE),""))</f>
        <v/>
      </c>
      <c r="Q666" s="40" t="str">
        <f>IF($J666="","",IFERROR(VLOOKUP($J666,Grinders!$A:$N,8,FALSE),""))</f>
        <v/>
      </c>
      <c r="R666" s="40" t="str">
        <f>IFERROR(IF($J666="","",IF($L666="Elite",MAX(50,MIN(100,Config!$B$27*MAX(0,MIN(100,(1-IF($O666="",0,$O666))*100)) + Config!$B$28*MAX(0,MIN(100,(1-MIN(1,IF(Config!$B$30=0,1,$P666/Config!$B$30)))*100)) + Config!$B$29*MAX(0,MIN(100,MIN(1,IF($Q666="",0,$Q666)/Config!$B$23)*100)))),MIN(100,Config!$B$27*MAX(0,MIN(100,(1-IF($O666="",0,$O666))*100)) + Config!$B$28*MAX(0,MIN(100,(1-MIN(1,IF(Config!$B$30=0,1,$P666/Config!$B$30)))*100)) + Config!$B$29*MAX(0,MIN(100,MIN(1,IF($Q666="",0,$Q666)/Config!$B$23)*100))))),"")
</f>
        <v/>
      </c>
      <c r="S666" s="40" t="str">
        <f>IF(Bids!$D666="","",Bids!$D666)</f>
        <v/>
      </c>
      <c r="T666" s="40" t="str">
        <f>IF(Bids!$F666="","",Bids!$F666)</f>
        <v/>
      </c>
      <c r="U666" s="40" t="str">
        <f t="shared" si="3"/>
        <v/>
      </c>
      <c r="V666" s="40" t="str">
        <f>IF($U666="","",IF(Config!$B$17=Config!$B$16,IF($U666&gt;=Config!$B$17,100,0),MAX(0,MIN(100,($U666-Config!$B$16)/(Config!$B$17-Config!$B$16)*100))))</f>
        <v/>
      </c>
      <c r="W666" s="40">
        <f>IF($L666="Elite",Config!$B$21,0)</f>
        <v>0</v>
      </c>
      <c r="X666" s="40" t="str">
        <f>IFERROR(IF(OR($T666="",$G666=""),"",IF($T666&gt;$G666,
  MAX(0, 60-(($T666-$G666)*24/Config!$B$19)*60),
  MEDIAN(60, 100, 60+(($G666-$T666)*24/Config!$B$20)*40)
)),"")
</f>
        <v/>
      </c>
      <c r="Y666" s="40" t="str">
        <f>IF($J666="","",IFERROR(VLOOKUP($J666,Grinders!$A:$N,10,FALSE),""))</f>
        <v/>
      </c>
      <c r="Z666" s="40" t="str">
        <f>IF($J666="","",IFERROR(VLOOKUP($J666,Grinders!$A:$N,11,FALSE),""))</f>
        <v/>
      </c>
      <c r="AA666" s="40" t="str">
        <f>IF($J666="","",IFERROR(VLOOKUP($J666,Grinders!$A:$N,12,FALSE),""))</f>
        <v/>
      </c>
      <c r="AB666" s="40">
        <f>IFERROR(IF(OR($C666="",$J666=""),0,IF($D666&lt;&gt;"Open",0,IF(COUNTIFS(GrinderServices!$B:$B,$J666,GrinderServices!$C:$C,$E666,GrinderServices!$E:$E,"Y")=0,0,IF($U666&lt;Config!$B$16,0,IF(Config!$B$18=1,IF($N666&gt;=$M666,0,1),1))))),"")</f>
        <v>0</v>
      </c>
      <c r="AC666" s="40" t="str">
        <f>IFERROR(IF($AB666=0,"",((Config!$B$6*$V666 + Config!$B$7*$R666 + Config!$B$8*$W666 + Config!$B$9*$X666 + Config!$B$10*$Y666 + Config!$B$11*$Z666 - Config!$B$12*$AA666)/Config!$B$13)+$AH666+$AI666),"")</f>
        <v/>
      </c>
      <c r="AD666" s="40" t="str">
        <f t="shared" si="4"/>
        <v/>
      </c>
      <c r="AE666" s="40" t="str">
        <f>IFERROR(__xludf.DUMMYFUNCTION("IF($AC666="""","""",IF($AC666=IFERROR(MAX(FILTER($AC$6:$AC$1000,$C$6:$C$1000=$C666,$AB$6:$AB$1000=1)),),""WINNER"",""""))"),"")</f>
        <v/>
      </c>
      <c r="AF666" s="40" t="str">
        <f t="shared" si="5"/>
        <v/>
      </c>
      <c r="AG666" s="40" t="str">
        <f>IF($J666="","",COUNTIF(Assignments!$B:$B,$J666))</f>
        <v/>
      </c>
      <c r="AH666" s="40" t="str">
        <f>IF($J666="","",IF(AND($AG666=0,$N666&lt;$M666),Config!$B$43,0))</f>
        <v/>
      </c>
      <c r="AI666" s="40" t="str">
        <f>IF($J666="","",IF(AND($L666="Elite",$F666&gt;=Config!$B$41,$N666&lt;$M666),Config!$B$42,0))</f>
        <v/>
      </c>
      <c r="AJ666" s="22"/>
    </row>
    <row r="667" ht="15.75" customHeight="1">
      <c r="A667" s="40" t="str">
        <f t="shared" si="1"/>
        <v/>
      </c>
      <c r="B667" s="40" t="str">
        <f>IF(Bids!$A667="","",Bids!$A667)</f>
        <v/>
      </c>
      <c r="C667" s="40" t="str">
        <f>IF(Bids!$B667="","",Bids!$B667)</f>
        <v/>
      </c>
      <c r="D667" s="40" t="str">
        <f>IF($C667="","",IFERROR(VLOOKUP($C667,Orders!$A:$J,9,FALSE),""))</f>
        <v/>
      </c>
      <c r="E667" s="40" t="str">
        <f>IF($C667="","",IFERROR(VLOOKUP($C667,Orders!$A:$J,3,FALSE),""))</f>
        <v/>
      </c>
      <c r="F667" s="40" t="str">
        <f>IF($C667="","",IFERROR(VLOOKUP($C667,Orders!$A:$J,4,FALSE),""))</f>
        <v/>
      </c>
      <c r="G667" s="40" t="str">
        <f>IF($C667="","",IFERROR(VLOOKUP($C667,Orders!$A:$J,5,FALSE),""))</f>
        <v/>
      </c>
      <c r="H667" s="40" t="str">
        <f>IF($C667="","",IFERROR(VLOOKUP($C667,Orders!$A:$J,6,FALSE),""))</f>
        <v/>
      </c>
      <c r="I667" s="40" t="str">
        <f>IF($C667="","",IFERROR(VLOOKUP($C667,Orders!$A:$J,7,FALSE),""))</f>
        <v/>
      </c>
      <c r="J667" s="40" t="str">
        <f>IF(Bids!$C667="","",Bids!$C667)</f>
        <v/>
      </c>
      <c r="K667" s="40" t="str">
        <f>IF($J667="","",IFERROR(VLOOKUP($J667,Grinders!$A:$N,2,FALSE),""))</f>
        <v/>
      </c>
      <c r="L667" s="40" t="str">
        <f>IF($J667="","",IFERROR(VLOOKUP($J667,Grinders!$A:$N,3,FALSE),""))</f>
        <v/>
      </c>
      <c r="M667" s="40" t="str">
        <f>IF($J667="","",IFERROR(VLOOKUP($J667,Grinders!$A:$N,4,FALSE),""))</f>
        <v/>
      </c>
      <c r="N667" s="40" t="str">
        <f>IF($J667="","",IFERROR(VLOOKUP($J667,Grinders!$A:$N,5,FALSE),""))</f>
        <v/>
      </c>
      <c r="O667" s="40" t="str">
        <f t="shared" si="2"/>
        <v/>
      </c>
      <c r="P667" s="40" t="str">
        <f>IF($J667="","",IFERROR(VLOOKUP($J667,Grinders!$A:$N,6,FALSE),""))</f>
        <v/>
      </c>
      <c r="Q667" s="40" t="str">
        <f>IF($J667="","",IFERROR(VLOOKUP($J667,Grinders!$A:$N,8,FALSE),""))</f>
        <v/>
      </c>
      <c r="R667" s="40" t="str">
        <f>IFERROR(IF($J667="","",IF($L667="Elite",MAX(50,MIN(100,Config!$B$27*MAX(0,MIN(100,(1-IF($O667="",0,$O667))*100)) + Config!$B$28*MAX(0,MIN(100,(1-MIN(1,IF(Config!$B$30=0,1,$P667/Config!$B$30)))*100)) + Config!$B$29*MAX(0,MIN(100,MIN(1,IF($Q667="",0,$Q667)/Config!$B$23)*100)))),MIN(100,Config!$B$27*MAX(0,MIN(100,(1-IF($O667="",0,$O667))*100)) + Config!$B$28*MAX(0,MIN(100,(1-MIN(1,IF(Config!$B$30=0,1,$P667/Config!$B$30)))*100)) + Config!$B$29*MAX(0,MIN(100,MIN(1,IF($Q667="",0,$Q667)/Config!$B$23)*100))))),"")
</f>
        <v/>
      </c>
      <c r="S667" s="40" t="str">
        <f>IF(Bids!$D667="","",Bids!$D667)</f>
        <v/>
      </c>
      <c r="T667" s="40" t="str">
        <f>IF(Bids!$F667="","",Bids!$F667)</f>
        <v/>
      </c>
      <c r="U667" s="40" t="str">
        <f t="shared" si="3"/>
        <v/>
      </c>
      <c r="V667" s="40" t="str">
        <f>IF($U667="","",IF(Config!$B$17=Config!$B$16,IF($U667&gt;=Config!$B$17,100,0),MAX(0,MIN(100,($U667-Config!$B$16)/(Config!$B$17-Config!$B$16)*100))))</f>
        <v/>
      </c>
      <c r="W667" s="40">
        <f>IF($L667="Elite",Config!$B$21,0)</f>
        <v>0</v>
      </c>
      <c r="X667" s="40" t="str">
        <f>IFERROR(IF(OR($T667="",$G667=""),"",IF($T667&gt;$G667,
  MAX(0, 60-(($T667-$G667)*24/Config!$B$19)*60),
  MEDIAN(60, 100, 60+(($G667-$T667)*24/Config!$B$20)*40)
)),"")
</f>
        <v/>
      </c>
      <c r="Y667" s="40" t="str">
        <f>IF($J667="","",IFERROR(VLOOKUP($J667,Grinders!$A:$N,10,FALSE),""))</f>
        <v/>
      </c>
      <c r="Z667" s="40" t="str">
        <f>IF($J667="","",IFERROR(VLOOKUP($J667,Grinders!$A:$N,11,FALSE),""))</f>
        <v/>
      </c>
      <c r="AA667" s="40" t="str">
        <f>IF($J667="","",IFERROR(VLOOKUP($J667,Grinders!$A:$N,12,FALSE),""))</f>
        <v/>
      </c>
      <c r="AB667" s="40">
        <f>IFERROR(IF(OR($C667="",$J667=""),0,IF($D667&lt;&gt;"Open",0,IF(COUNTIFS(GrinderServices!$B:$B,$J667,GrinderServices!$C:$C,$E667,GrinderServices!$E:$E,"Y")=0,0,IF($U667&lt;Config!$B$16,0,IF(Config!$B$18=1,IF($N667&gt;=$M667,0,1),1))))),"")</f>
        <v>0</v>
      </c>
      <c r="AC667" s="40" t="str">
        <f>IFERROR(IF($AB667=0,"",((Config!$B$6*$V667 + Config!$B$7*$R667 + Config!$B$8*$W667 + Config!$B$9*$X667 + Config!$B$10*$Y667 + Config!$B$11*$Z667 - Config!$B$12*$AA667)/Config!$B$13)+$AH667+$AI667),"")</f>
        <v/>
      </c>
      <c r="AD667" s="40" t="str">
        <f t="shared" si="4"/>
        <v/>
      </c>
      <c r="AE667" s="40" t="str">
        <f>IFERROR(__xludf.DUMMYFUNCTION("IF($AC667="""","""",IF($AC667=IFERROR(MAX(FILTER($AC$6:$AC$1000,$C$6:$C$1000=$C667,$AB$6:$AB$1000=1)),),""WINNER"",""""))"),"")</f>
        <v/>
      </c>
      <c r="AF667" s="40" t="str">
        <f t="shared" si="5"/>
        <v/>
      </c>
      <c r="AG667" s="40" t="str">
        <f>IF($J667="","",COUNTIF(Assignments!$B:$B,$J667))</f>
        <v/>
      </c>
      <c r="AH667" s="40" t="str">
        <f>IF($J667="","",IF(AND($AG667=0,$N667&lt;$M667),Config!$B$43,0))</f>
        <v/>
      </c>
      <c r="AI667" s="40" t="str">
        <f>IF($J667="","",IF(AND($L667="Elite",$F667&gt;=Config!$B$41,$N667&lt;$M667),Config!$B$42,0))</f>
        <v/>
      </c>
      <c r="AJ667" s="22"/>
    </row>
    <row r="668" ht="15.75" customHeight="1">
      <c r="A668" s="40" t="str">
        <f t="shared" si="1"/>
        <v/>
      </c>
      <c r="B668" s="40" t="str">
        <f>IF(Bids!$A668="","",Bids!$A668)</f>
        <v/>
      </c>
      <c r="C668" s="40" t="str">
        <f>IF(Bids!$B668="","",Bids!$B668)</f>
        <v/>
      </c>
      <c r="D668" s="40" t="str">
        <f>IF($C668="","",IFERROR(VLOOKUP($C668,Orders!$A:$J,9,FALSE),""))</f>
        <v/>
      </c>
      <c r="E668" s="40" t="str">
        <f>IF($C668="","",IFERROR(VLOOKUP($C668,Orders!$A:$J,3,FALSE),""))</f>
        <v/>
      </c>
      <c r="F668" s="40" t="str">
        <f>IF($C668="","",IFERROR(VLOOKUP($C668,Orders!$A:$J,4,FALSE),""))</f>
        <v/>
      </c>
      <c r="G668" s="40" t="str">
        <f>IF($C668="","",IFERROR(VLOOKUP($C668,Orders!$A:$J,5,FALSE),""))</f>
        <v/>
      </c>
      <c r="H668" s="40" t="str">
        <f>IF($C668="","",IFERROR(VLOOKUP($C668,Orders!$A:$J,6,FALSE),""))</f>
        <v/>
      </c>
      <c r="I668" s="40" t="str">
        <f>IF($C668="","",IFERROR(VLOOKUP($C668,Orders!$A:$J,7,FALSE),""))</f>
        <v/>
      </c>
      <c r="J668" s="40" t="str">
        <f>IF(Bids!$C668="","",Bids!$C668)</f>
        <v/>
      </c>
      <c r="K668" s="40" t="str">
        <f>IF($J668="","",IFERROR(VLOOKUP($J668,Grinders!$A:$N,2,FALSE),""))</f>
        <v/>
      </c>
      <c r="L668" s="40" t="str">
        <f>IF($J668="","",IFERROR(VLOOKUP($J668,Grinders!$A:$N,3,FALSE),""))</f>
        <v/>
      </c>
      <c r="M668" s="40" t="str">
        <f>IF($J668="","",IFERROR(VLOOKUP($J668,Grinders!$A:$N,4,FALSE),""))</f>
        <v/>
      </c>
      <c r="N668" s="40" t="str">
        <f>IF($J668="","",IFERROR(VLOOKUP($J668,Grinders!$A:$N,5,FALSE),""))</f>
        <v/>
      </c>
      <c r="O668" s="40" t="str">
        <f t="shared" si="2"/>
        <v/>
      </c>
      <c r="P668" s="40" t="str">
        <f>IF($J668="","",IFERROR(VLOOKUP($J668,Grinders!$A:$N,6,FALSE),""))</f>
        <v/>
      </c>
      <c r="Q668" s="40" t="str">
        <f>IF($J668="","",IFERROR(VLOOKUP($J668,Grinders!$A:$N,8,FALSE),""))</f>
        <v/>
      </c>
      <c r="R668" s="40" t="str">
        <f>IFERROR(IF($J668="","",IF($L668="Elite",MAX(50,MIN(100,Config!$B$27*MAX(0,MIN(100,(1-IF($O668="",0,$O668))*100)) + Config!$B$28*MAX(0,MIN(100,(1-MIN(1,IF(Config!$B$30=0,1,$P668/Config!$B$30)))*100)) + Config!$B$29*MAX(0,MIN(100,MIN(1,IF($Q668="",0,$Q668)/Config!$B$23)*100)))),MIN(100,Config!$B$27*MAX(0,MIN(100,(1-IF($O668="",0,$O668))*100)) + Config!$B$28*MAX(0,MIN(100,(1-MIN(1,IF(Config!$B$30=0,1,$P668/Config!$B$30)))*100)) + Config!$B$29*MAX(0,MIN(100,MIN(1,IF($Q668="",0,$Q668)/Config!$B$23)*100))))),"")
</f>
        <v/>
      </c>
      <c r="S668" s="40" t="str">
        <f>IF(Bids!$D668="","",Bids!$D668)</f>
        <v/>
      </c>
      <c r="T668" s="40" t="str">
        <f>IF(Bids!$F668="","",Bids!$F668)</f>
        <v/>
      </c>
      <c r="U668" s="40" t="str">
        <f t="shared" si="3"/>
        <v/>
      </c>
      <c r="V668" s="40" t="str">
        <f>IF($U668="","",IF(Config!$B$17=Config!$B$16,IF($U668&gt;=Config!$B$17,100,0),MAX(0,MIN(100,($U668-Config!$B$16)/(Config!$B$17-Config!$B$16)*100))))</f>
        <v/>
      </c>
      <c r="W668" s="40">
        <f>IF($L668="Elite",Config!$B$21,0)</f>
        <v>0</v>
      </c>
      <c r="X668" s="40" t="str">
        <f>IFERROR(IF(OR($T668="",$G668=""),"",IF($T668&gt;$G668,
  MAX(0, 60-(($T668-$G668)*24/Config!$B$19)*60),
  MEDIAN(60, 100, 60+(($G668-$T668)*24/Config!$B$20)*40)
)),"")
</f>
        <v/>
      </c>
      <c r="Y668" s="40" t="str">
        <f>IF($J668="","",IFERROR(VLOOKUP($J668,Grinders!$A:$N,10,FALSE),""))</f>
        <v/>
      </c>
      <c r="Z668" s="40" t="str">
        <f>IF($J668="","",IFERROR(VLOOKUP($J668,Grinders!$A:$N,11,FALSE),""))</f>
        <v/>
      </c>
      <c r="AA668" s="40" t="str">
        <f>IF($J668="","",IFERROR(VLOOKUP($J668,Grinders!$A:$N,12,FALSE),""))</f>
        <v/>
      </c>
      <c r="AB668" s="40">
        <f>IFERROR(IF(OR($C668="",$J668=""),0,IF($D668&lt;&gt;"Open",0,IF(COUNTIFS(GrinderServices!$B:$B,$J668,GrinderServices!$C:$C,$E668,GrinderServices!$E:$E,"Y")=0,0,IF($U668&lt;Config!$B$16,0,IF(Config!$B$18=1,IF($N668&gt;=$M668,0,1),1))))),"")</f>
        <v>0</v>
      </c>
      <c r="AC668" s="40" t="str">
        <f>IFERROR(IF($AB668=0,"",((Config!$B$6*$V668 + Config!$B$7*$R668 + Config!$B$8*$W668 + Config!$B$9*$X668 + Config!$B$10*$Y668 + Config!$B$11*$Z668 - Config!$B$12*$AA668)/Config!$B$13)+$AH668+$AI668),"")</f>
        <v/>
      </c>
      <c r="AD668" s="40" t="str">
        <f t="shared" si="4"/>
        <v/>
      </c>
      <c r="AE668" s="40" t="str">
        <f>IFERROR(__xludf.DUMMYFUNCTION("IF($AC668="""","""",IF($AC668=IFERROR(MAX(FILTER($AC$6:$AC$1000,$C$6:$C$1000=$C668,$AB$6:$AB$1000=1)),),""WINNER"",""""))"),"")</f>
        <v/>
      </c>
      <c r="AF668" s="40" t="str">
        <f t="shared" si="5"/>
        <v/>
      </c>
      <c r="AG668" s="40" t="str">
        <f>IF($J668="","",COUNTIF(Assignments!$B:$B,$J668))</f>
        <v/>
      </c>
      <c r="AH668" s="40" t="str">
        <f>IF($J668="","",IF(AND($AG668=0,$N668&lt;$M668),Config!$B$43,0))</f>
        <v/>
      </c>
      <c r="AI668" s="40" t="str">
        <f>IF($J668="","",IF(AND($L668="Elite",$F668&gt;=Config!$B$41,$N668&lt;$M668),Config!$B$42,0))</f>
        <v/>
      </c>
      <c r="AJ668" s="22"/>
    </row>
    <row r="669" ht="15.75" customHeight="1">
      <c r="A669" s="40" t="str">
        <f t="shared" si="1"/>
        <v/>
      </c>
      <c r="B669" s="40" t="str">
        <f>IF(Bids!$A669="","",Bids!$A669)</f>
        <v/>
      </c>
      <c r="C669" s="40" t="str">
        <f>IF(Bids!$B669="","",Bids!$B669)</f>
        <v/>
      </c>
      <c r="D669" s="40" t="str">
        <f>IF($C669="","",IFERROR(VLOOKUP($C669,Orders!$A:$J,9,FALSE),""))</f>
        <v/>
      </c>
      <c r="E669" s="40" t="str">
        <f>IF($C669="","",IFERROR(VLOOKUP($C669,Orders!$A:$J,3,FALSE),""))</f>
        <v/>
      </c>
      <c r="F669" s="40" t="str">
        <f>IF($C669="","",IFERROR(VLOOKUP($C669,Orders!$A:$J,4,FALSE),""))</f>
        <v/>
      </c>
      <c r="G669" s="40" t="str">
        <f>IF($C669="","",IFERROR(VLOOKUP($C669,Orders!$A:$J,5,FALSE),""))</f>
        <v/>
      </c>
      <c r="H669" s="40" t="str">
        <f>IF($C669="","",IFERROR(VLOOKUP($C669,Orders!$A:$J,6,FALSE),""))</f>
        <v/>
      </c>
      <c r="I669" s="40" t="str">
        <f>IF($C669="","",IFERROR(VLOOKUP($C669,Orders!$A:$J,7,FALSE),""))</f>
        <v/>
      </c>
      <c r="J669" s="40" t="str">
        <f>IF(Bids!$C669="","",Bids!$C669)</f>
        <v/>
      </c>
      <c r="K669" s="40" t="str">
        <f>IF($J669="","",IFERROR(VLOOKUP($J669,Grinders!$A:$N,2,FALSE),""))</f>
        <v/>
      </c>
      <c r="L669" s="40" t="str">
        <f>IF($J669="","",IFERROR(VLOOKUP($J669,Grinders!$A:$N,3,FALSE),""))</f>
        <v/>
      </c>
      <c r="M669" s="40" t="str">
        <f>IF($J669="","",IFERROR(VLOOKUP($J669,Grinders!$A:$N,4,FALSE),""))</f>
        <v/>
      </c>
      <c r="N669" s="40" t="str">
        <f>IF($J669="","",IFERROR(VLOOKUP($J669,Grinders!$A:$N,5,FALSE),""))</f>
        <v/>
      </c>
      <c r="O669" s="40" t="str">
        <f t="shared" si="2"/>
        <v/>
      </c>
      <c r="P669" s="40" t="str">
        <f>IF($J669="","",IFERROR(VLOOKUP($J669,Grinders!$A:$N,6,FALSE),""))</f>
        <v/>
      </c>
      <c r="Q669" s="40" t="str">
        <f>IF($J669="","",IFERROR(VLOOKUP($J669,Grinders!$A:$N,8,FALSE),""))</f>
        <v/>
      </c>
      <c r="R669" s="40" t="str">
        <f>IFERROR(IF($J669="","",IF($L669="Elite",MAX(50,MIN(100,Config!$B$27*MAX(0,MIN(100,(1-IF($O669="",0,$O669))*100)) + Config!$B$28*MAX(0,MIN(100,(1-MIN(1,IF(Config!$B$30=0,1,$P669/Config!$B$30)))*100)) + Config!$B$29*MAX(0,MIN(100,MIN(1,IF($Q669="",0,$Q669)/Config!$B$23)*100)))),MIN(100,Config!$B$27*MAX(0,MIN(100,(1-IF($O669="",0,$O669))*100)) + Config!$B$28*MAX(0,MIN(100,(1-MIN(1,IF(Config!$B$30=0,1,$P669/Config!$B$30)))*100)) + Config!$B$29*MAX(0,MIN(100,MIN(1,IF($Q669="",0,$Q669)/Config!$B$23)*100))))),"")
</f>
        <v/>
      </c>
      <c r="S669" s="40" t="str">
        <f>IF(Bids!$D669="","",Bids!$D669)</f>
        <v/>
      </c>
      <c r="T669" s="40" t="str">
        <f>IF(Bids!$F669="","",Bids!$F669)</f>
        <v/>
      </c>
      <c r="U669" s="40" t="str">
        <f t="shared" si="3"/>
        <v/>
      </c>
      <c r="V669" s="40" t="str">
        <f>IF($U669="","",IF(Config!$B$17=Config!$B$16,IF($U669&gt;=Config!$B$17,100,0),MAX(0,MIN(100,($U669-Config!$B$16)/(Config!$B$17-Config!$B$16)*100))))</f>
        <v/>
      </c>
      <c r="W669" s="40">
        <f>IF($L669="Elite",Config!$B$21,0)</f>
        <v>0</v>
      </c>
      <c r="X669" s="40" t="str">
        <f>IFERROR(IF(OR($T669="",$G669=""),"",IF($T669&gt;$G669,
  MAX(0, 60-(($T669-$G669)*24/Config!$B$19)*60),
  MEDIAN(60, 100, 60+(($G669-$T669)*24/Config!$B$20)*40)
)),"")
</f>
        <v/>
      </c>
      <c r="Y669" s="40" t="str">
        <f>IF($J669="","",IFERROR(VLOOKUP($J669,Grinders!$A:$N,10,FALSE),""))</f>
        <v/>
      </c>
      <c r="Z669" s="40" t="str">
        <f>IF($J669="","",IFERROR(VLOOKUP($J669,Grinders!$A:$N,11,FALSE),""))</f>
        <v/>
      </c>
      <c r="AA669" s="40" t="str">
        <f>IF($J669="","",IFERROR(VLOOKUP($J669,Grinders!$A:$N,12,FALSE),""))</f>
        <v/>
      </c>
      <c r="AB669" s="40">
        <f>IFERROR(IF(OR($C669="",$J669=""),0,IF($D669&lt;&gt;"Open",0,IF(COUNTIFS(GrinderServices!$B:$B,$J669,GrinderServices!$C:$C,$E669,GrinderServices!$E:$E,"Y")=0,0,IF($U669&lt;Config!$B$16,0,IF(Config!$B$18=1,IF($N669&gt;=$M669,0,1),1))))),"")</f>
        <v>0</v>
      </c>
      <c r="AC669" s="40" t="str">
        <f>IFERROR(IF($AB669=0,"",((Config!$B$6*$V669 + Config!$B$7*$R669 + Config!$B$8*$W669 + Config!$B$9*$X669 + Config!$B$10*$Y669 + Config!$B$11*$Z669 - Config!$B$12*$AA669)/Config!$B$13)+$AH669+$AI669),"")</f>
        <v/>
      </c>
      <c r="AD669" s="40" t="str">
        <f t="shared" si="4"/>
        <v/>
      </c>
      <c r="AE669" s="40" t="str">
        <f>IFERROR(__xludf.DUMMYFUNCTION("IF($AC669="""","""",IF($AC669=IFERROR(MAX(FILTER($AC$6:$AC$1000,$C$6:$C$1000=$C669,$AB$6:$AB$1000=1)),),""WINNER"",""""))"),"")</f>
        <v/>
      </c>
      <c r="AF669" s="40" t="str">
        <f t="shared" si="5"/>
        <v/>
      </c>
      <c r="AG669" s="40" t="str">
        <f>IF($J669="","",COUNTIF(Assignments!$B:$B,$J669))</f>
        <v/>
      </c>
      <c r="AH669" s="40" t="str">
        <f>IF($J669="","",IF(AND($AG669=0,$N669&lt;$M669),Config!$B$43,0))</f>
        <v/>
      </c>
      <c r="AI669" s="40" t="str">
        <f>IF($J669="","",IF(AND($L669="Elite",$F669&gt;=Config!$B$41,$N669&lt;$M669),Config!$B$42,0))</f>
        <v/>
      </c>
      <c r="AJ669" s="22"/>
    </row>
    <row r="670" ht="15.75" customHeight="1">
      <c r="A670" s="40" t="str">
        <f t="shared" si="1"/>
        <v/>
      </c>
      <c r="B670" s="40" t="str">
        <f>IF(Bids!$A670="","",Bids!$A670)</f>
        <v/>
      </c>
      <c r="C670" s="40" t="str">
        <f>IF(Bids!$B670="","",Bids!$B670)</f>
        <v/>
      </c>
      <c r="D670" s="40" t="str">
        <f>IF($C670="","",IFERROR(VLOOKUP($C670,Orders!$A:$J,9,FALSE),""))</f>
        <v/>
      </c>
      <c r="E670" s="40" t="str">
        <f>IF($C670="","",IFERROR(VLOOKUP($C670,Orders!$A:$J,3,FALSE),""))</f>
        <v/>
      </c>
      <c r="F670" s="40" t="str">
        <f>IF($C670="","",IFERROR(VLOOKUP($C670,Orders!$A:$J,4,FALSE),""))</f>
        <v/>
      </c>
      <c r="G670" s="40" t="str">
        <f>IF($C670="","",IFERROR(VLOOKUP($C670,Orders!$A:$J,5,FALSE),""))</f>
        <v/>
      </c>
      <c r="H670" s="40" t="str">
        <f>IF($C670="","",IFERROR(VLOOKUP($C670,Orders!$A:$J,6,FALSE),""))</f>
        <v/>
      </c>
      <c r="I670" s="40" t="str">
        <f>IF($C670="","",IFERROR(VLOOKUP($C670,Orders!$A:$J,7,FALSE),""))</f>
        <v/>
      </c>
      <c r="J670" s="40" t="str">
        <f>IF(Bids!$C670="","",Bids!$C670)</f>
        <v/>
      </c>
      <c r="K670" s="40" t="str">
        <f>IF($J670="","",IFERROR(VLOOKUP($J670,Grinders!$A:$N,2,FALSE),""))</f>
        <v/>
      </c>
      <c r="L670" s="40" t="str">
        <f>IF($J670="","",IFERROR(VLOOKUP($J670,Grinders!$A:$N,3,FALSE),""))</f>
        <v/>
      </c>
      <c r="M670" s="40" t="str">
        <f>IF($J670="","",IFERROR(VLOOKUP($J670,Grinders!$A:$N,4,FALSE),""))</f>
        <v/>
      </c>
      <c r="N670" s="40" t="str">
        <f>IF($J670="","",IFERROR(VLOOKUP($J670,Grinders!$A:$N,5,FALSE),""))</f>
        <v/>
      </c>
      <c r="O670" s="40" t="str">
        <f t="shared" si="2"/>
        <v/>
      </c>
      <c r="P670" s="40" t="str">
        <f>IF($J670="","",IFERROR(VLOOKUP($J670,Grinders!$A:$N,6,FALSE),""))</f>
        <v/>
      </c>
      <c r="Q670" s="40" t="str">
        <f>IF($J670="","",IFERROR(VLOOKUP($J670,Grinders!$A:$N,8,FALSE),""))</f>
        <v/>
      </c>
      <c r="R670" s="40" t="str">
        <f>IFERROR(IF($J670="","",IF($L670="Elite",MAX(50,MIN(100,Config!$B$27*MAX(0,MIN(100,(1-IF($O670="",0,$O670))*100)) + Config!$B$28*MAX(0,MIN(100,(1-MIN(1,IF(Config!$B$30=0,1,$P670/Config!$B$30)))*100)) + Config!$B$29*MAX(0,MIN(100,MIN(1,IF($Q670="",0,$Q670)/Config!$B$23)*100)))),MIN(100,Config!$B$27*MAX(0,MIN(100,(1-IF($O670="",0,$O670))*100)) + Config!$B$28*MAX(0,MIN(100,(1-MIN(1,IF(Config!$B$30=0,1,$P670/Config!$B$30)))*100)) + Config!$B$29*MAX(0,MIN(100,MIN(1,IF($Q670="",0,$Q670)/Config!$B$23)*100))))),"")
</f>
        <v/>
      </c>
      <c r="S670" s="40" t="str">
        <f>IF(Bids!$D670="","",Bids!$D670)</f>
        <v/>
      </c>
      <c r="T670" s="40" t="str">
        <f>IF(Bids!$F670="","",Bids!$F670)</f>
        <v/>
      </c>
      <c r="U670" s="40" t="str">
        <f t="shared" si="3"/>
        <v/>
      </c>
      <c r="V670" s="40" t="str">
        <f>IF($U670="","",IF(Config!$B$17=Config!$B$16,IF($U670&gt;=Config!$B$17,100,0),MAX(0,MIN(100,($U670-Config!$B$16)/(Config!$B$17-Config!$B$16)*100))))</f>
        <v/>
      </c>
      <c r="W670" s="40">
        <f>IF($L670="Elite",Config!$B$21,0)</f>
        <v>0</v>
      </c>
      <c r="X670" s="40" t="str">
        <f>IFERROR(IF(OR($T670="",$G670=""),"",IF($T670&gt;$G670,
  MAX(0, 60-(($T670-$G670)*24/Config!$B$19)*60),
  MEDIAN(60, 100, 60+(($G670-$T670)*24/Config!$B$20)*40)
)),"")
</f>
        <v/>
      </c>
      <c r="Y670" s="40" t="str">
        <f>IF($J670="","",IFERROR(VLOOKUP($J670,Grinders!$A:$N,10,FALSE),""))</f>
        <v/>
      </c>
      <c r="Z670" s="40" t="str">
        <f>IF($J670="","",IFERROR(VLOOKUP($J670,Grinders!$A:$N,11,FALSE),""))</f>
        <v/>
      </c>
      <c r="AA670" s="40" t="str">
        <f>IF($J670="","",IFERROR(VLOOKUP($J670,Grinders!$A:$N,12,FALSE),""))</f>
        <v/>
      </c>
      <c r="AB670" s="40">
        <f>IFERROR(IF(OR($C670="",$J670=""),0,IF($D670&lt;&gt;"Open",0,IF(COUNTIFS(GrinderServices!$B:$B,$J670,GrinderServices!$C:$C,$E670,GrinderServices!$E:$E,"Y")=0,0,IF($U670&lt;Config!$B$16,0,IF(Config!$B$18=1,IF($N670&gt;=$M670,0,1),1))))),"")</f>
        <v>0</v>
      </c>
      <c r="AC670" s="40" t="str">
        <f>IFERROR(IF($AB670=0,"",((Config!$B$6*$V670 + Config!$B$7*$R670 + Config!$B$8*$W670 + Config!$B$9*$X670 + Config!$B$10*$Y670 + Config!$B$11*$Z670 - Config!$B$12*$AA670)/Config!$B$13)+$AH670+$AI670),"")</f>
        <v/>
      </c>
      <c r="AD670" s="40" t="str">
        <f t="shared" si="4"/>
        <v/>
      </c>
      <c r="AE670" s="40" t="str">
        <f>IFERROR(__xludf.DUMMYFUNCTION("IF($AC670="""","""",IF($AC670=IFERROR(MAX(FILTER($AC$6:$AC$1000,$C$6:$C$1000=$C670,$AB$6:$AB$1000=1)),),""WINNER"",""""))"),"")</f>
        <v/>
      </c>
      <c r="AF670" s="40" t="str">
        <f t="shared" si="5"/>
        <v/>
      </c>
      <c r="AG670" s="40" t="str">
        <f>IF($J670="","",COUNTIF(Assignments!$B:$B,$J670))</f>
        <v/>
      </c>
      <c r="AH670" s="40" t="str">
        <f>IF($J670="","",IF(AND($AG670=0,$N670&lt;$M670),Config!$B$43,0))</f>
        <v/>
      </c>
      <c r="AI670" s="40" t="str">
        <f>IF($J670="","",IF(AND($L670="Elite",$F670&gt;=Config!$B$41,$N670&lt;$M670),Config!$B$42,0))</f>
        <v/>
      </c>
      <c r="AJ670" s="22"/>
    </row>
    <row r="671" ht="15.75" customHeight="1">
      <c r="A671" s="40" t="str">
        <f t="shared" si="1"/>
        <v/>
      </c>
      <c r="B671" s="40" t="str">
        <f>IF(Bids!$A671="","",Bids!$A671)</f>
        <v/>
      </c>
      <c r="C671" s="40" t="str">
        <f>IF(Bids!$B671="","",Bids!$B671)</f>
        <v/>
      </c>
      <c r="D671" s="40" t="str">
        <f>IF($C671="","",IFERROR(VLOOKUP($C671,Orders!$A:$J,9,FALSE),""))</f>
        <v/>
      </c>
      <c r="E671" s="40" t="str">
        <f>IF($C671="","",IFERROR(VLOOKUP($C671,Orders!$A:$J,3,FALSE),""))</f>
        <v/>
      </c>
      <c r="F671" s="40" t="str">
        <f>IF($C671="","",IFERROR(VLOOKUP($C671,Orders!$A:$J,4,FALSE),""))</f>
        <v/>
      </c>
      <c r="G671" s="40" t="str">
        <f>IF($C671="","",IFERROR(VLOOKUP($C671,Orders!$A:$J,5,FALSE),""))</f>
        <v/>
      </c>
      <c r="H671" s="40" t="str">
        <f>IF($C671="","",IFERROR(VLOOKUP($C671,Orders!$A:$J,6,FALSE),""))</f>
        <v/>
      </c>
      <c r="I671" s="40" t="str">
        <f>IF($C671="","",IFERROR(VLOOKUP($C671,Orders!$A:$J,7,FALSE),""))</f>
        <v/>
      </c>
      <c r="J671" s="40" t="str">
        <f>IF(Bids!$C671="","",Bids!$C671)</f>
        <v/>
      </c>
      <c r="K671" s="40" t="str">
        <f>IF($J671="","",IFERROR(VLOOKUP($J671,Grinders!$A:$N,2,FALSE),""))</f>
        <v/>
      </c>
      <c r="L671" s="40" t="str">
        <f>IF($J671="","",IFERROR(VLOOKUP($J671,Grinders!$A:$N,3,FALSE),""))</f>
        <v/>
      </c>
      <c r="M671" s="40" t="str">
        <f>IF($J671="","",IFERROR(VLOOKUP($J671,Grinders!$A:$N,4,FALSE),""))</f>
        <v/>
      </c>
      <c r="N671" s="40" t="str">
        <f>IF($J671="","",IFERROR(VLOOKUP($J671,Grinders!$A:$N,5,FALSE),""))</f>
        <v/>
      </c>
      <c r="O671" s="40" t="str">
        <f t="shared" si="2"/>
        <v/>
      </c>
      <c r="P671" s="40" t="str">
        <f>IF($J671="","",IFERROR(VLOOKUP($J671,Grinders!$A:$N,6,FALSE),""))</f>
        <v/>
      </c>
      <c r="Q671" s="40" t="str">
        <f>IF($J671="","",IFERROR(VLOOKUP($J671,Grinders!$A:$N,8,FALSE),""))</f>
        <v/>
      </c>
      <c r="R671" s="40" t="str">
        <f>IFERROR(IF($J671="","",IF($L671="Elite",MAX(50,MIN(100,Config!$B$27*MAX(0,MIN(100,(1-IF($O671="",0,$O671))*100)) + Config!$B$28*MAX(0,MIN(100,(1-MIN(1,IF(Config!$B$30=0,1,$P671/Config!$B$30)))*100)) + Config!$B$29*MAX(0,MIN(100,MIN(1,IF($Q671="",0,$Q671)/Config!$B$23)*100)))),MIN(100,Config!$B$27*MAX(0,MIN(100,(1-IF($O671="",0,$O671))*100)) + Config!$B$28*MAX(0,MIN(100,(1-MIN(1,IF(Config!$B$30=0,1,$P671/Config!$B$30)))*100)) + Config!$B$29*MAX(0,MIN(100,MIN(1,IF($Q671="",0,$Q671)/Config!$B$23)*100))))),"")
</f>
        <v/>
      </c>
      <c r="S671" s="40" t="str">
        <f>IF(Bids!$D671="","",Bids!$D671)</f>
        <v/>
      </c>
      <c r="T671" s="40" t="str">
        <f>IF(Bids!$F671="","",Bids!$F671)</f>
        <v/>
      </c>
      <c r="U671" s="40" t="str">
        <f t="shared" si="3"/>
        <v/>
      </c>
      <c r="V671" s="40" t="str">
        <f>IF($U671="","",IF(Config!$B$17=Config!$B$16,IF($U671&gt;=Config!$B$17,100,0),MAX(0,MIN(100,($U671-Config!$B$16)/(Config!$B$17-Config!$B$16)*100))))</f>
        <v/>
      </c>
      <c r="W671" s="40">
        <f>IF($L671="Elite",Config!$B$21,0)</f>
        <v>0</v>
      </c>
      <c r="X671" s="40" t="str">
        <f>IFERROR(IF(OR($T671="",$G671=""),"",IF($T671&gt;$G671,
  MAX(0, 60-(($T671-$G671)*24/Config!$B$19)*60),
  MEDIAN(60, 100, 60+(($G671-$T671)*24/Config!$B$20)*40)
)),"")
</f>
        <v/>
      </c>
      <c r="Y671" s="40" t="str">
        <f>IF($J671="","",IFERROR(VLOOKUP($J671,Grinders!$A:$N,10,FALSE),""))</f>
        <v/>
      </c>
      <c r="Z671" s="40" t="str">
        <f>IF($J671="","",IFERROR(VLOOKUP($J671,Grinders!$A:$N,11,FALSE),""))</f>
        <v/>
      </c>
      <c r="AA671" s="40" t="str">
        <f>IF($J671="","",IFERROR(VLOOKUP($J671,Grinders!$A:$N,12,FALSE),""))</f>
        <v/>
      </c>
      <c r="AB671" s="40">
        <f>IFERROR(IF(OR($C671="",$J671=""),0,IF($D671&lt;&gt;"Open",0,IF(COUNTIFS(GrinderServices!$B:$B,$J671,GrinderServices!$C:$C,$E671,GrinderServices!$E:$E,"Y")=0,0,IF($U671&lt;Config!$B$16,0,IF(Config!$B$18=1,IF($N671&gt;=$M671,0,1),1))))),"")</f>
        <v>0</v>
      </c>
      <c r="AC671" s="40" t="str">
        <f>IFERROR(IF($AB671=0,"",((Config!$B$6*$V671 + Config!$B$7*$R671 + Config!$B$8*$W671 + Config!$B$9*$X671 + Config!$B$10*$Y671 + Config!$B$11*$Z671 - Config!$B$12*$AA671)/Config!$B$13)+$AH671+$AI671),"")</f>
        <v/>
      </c>
      <c r="AD671" s="40" t="str">
        <f t="shared" si="4"/>
        <v/>
      </c>
      <c r="AE671" s="40" t="str">
        <f>IFERROR(__xludf.DUMMYFUNCTION("IF($AC671="""","""",IF($AC671=IFERROR(MAX(FILTER($AC$6:$AC$1000,$C$6:$C$1000=$C671,$AB$6:$AB$1000=1)),),""WINNER"",""""))"),"")</f>
        <v/>
      </c>
      <c r="AF671" s="40" t="str">
        <f t="shared" si="5"/>
        <v/>
      </c>
      <c r="AG671" s="40" t="str">
        <f>IF($J671="","",COUNTIF(Assignments!$B:$B,$J671))</f>
        <v/>
      </c>
      <c r="AH671" s="40" t="str">
        <f>IF($J671="","",IF(AND($AG671=0,$N671&lt;$M671),Config!$B$43,0))</f>
        <v/>
      </c>
      <c r="AI671" s="40" t="str">
        <f>IF($J671="","",IF(AND($L671="Elite",$F671&gt;=Config!$B$41,$N671&lt;$M671),Config!$B$42,0))</f>
        <v/>
      </c>
      <c r="AJ671" s="22"/>
    </row>
    <row r="672" ht="15.75" customHeight="1">
      <c r="A672" s="40" t="str">
        <f t="shared" si="1"/>
        <v/>
      </c>
      <c r="B672" s="40" t="str">
        <f>IF(Bids!$A672="","",Bids!$A672)</f>
        <v/>
      </c>
      <c r="C672" s="40" t="str">
        <f>IF(Bids!$B672="","",Bids!$B672)</f>
        <v/>
      </c>
      <c r="D672" s="40" t="str">
        <f>IF($C672="","",IFERROR(VLOOKUP($C672,Orders!$A:$J,9,FALSE),""))</f>
        <v/>
      </c>
      <c r="E672" s="40" t="str">
        <f>IF($C672="","",IFERROR(VLOOKUP($C672,Orders!$A:$J,3,FALSE),""))</f>
        <v/>
      </c>
      <c r="F672" s="40" t="str">
        <f>IF($C672="","",IFERROR(VLOOKUP($C672,Orders!$A:$J,4,FALSE),""))</f>
        <v/>
      </c>
      <c r="G672" s="40" t="str">
        <f>IF($C672="","",IFERROR(VLOOKUP($C672,Orders!$A:$J,5,FALSE),""))</f>
        <v/>
      </c>
      <c r="H672" s="40" t="str">
        <f>IF($C672="","",IFERROR(VLOOKUP($C672,Orders!$A:$J,6,FALSE),""))</f>
        <v/>
      </c>
      <c r="I672" s="40" t="str">
        <f>IF($C672="","",IFERROR(VLOOKUP($C672,Orders!$A:$J,7,FALSE),""))</f>
        <v/>
      </c>
      <c r="J672" s="40" t="str">
        <f>IF(Bids!$C672="","",Bids!$C672)</f>
        <v/>
      </c>
      <c r="K672" s="40" t="str">
        <f>IF($J672="","",IFERROR(VLOOKUP($J672,Grinders!$A:$N,2,FALSE),""))</f>
        <v/>
      </c>
      <c r="L672" s="40" t="str">
        <f>IF($J672="","",IFERROR(VLOOKUP($J672,Grinders!$A:$N,3,FALSE),""))</f>
        <v/>
      </c>
      <c r="M672" s="40" t="str">
        <f>IF($J672="","",IFERROR(VLOOKUP($J672,Grinders!$A:$N,4,FALSE),""))</f>
        <v/>
      </c>
      <c r="N672" s="40" t="str">
        <f>IF($J672="","",IFERROR(VLOOKUP($J672,Grinders!$A:$N,5,FALSE),""))</f>
        <v/>
      </c>
      <c r="O672" s="40" t="str">
        <f t="shared" si="2"/>
        <v/>
      </c>
      <c r="P672" s="40" t="str">
        <f>IF($J672="","",IFERROR(VLOOKUP($J672,Grinders!$A:$N,6,FALSE),""))</f>
        <v/>
      </c>
      <c r="Q672" s="40" t="str">
        <f>IF($J672="","",IFERROR(VLOOKUP($J672,Grinders!$A:$N,8,FALSE),""))</f>
        <v/>
      </c>
      <c r="R672" s="40" t="str">
        <f>IFERROR(IF($J672="","",IF($L672="Elite",MAX(50,MIN(100,Config!$B$27*MAX(0,MIN(100,(1-IF($O672="",0,$O672))*100)) + Config!$B$28*MAX(0,MIN(100,(1-MIN(1,IF(Config!$B$30=0,1,$P672/Config!$B$30)))*100)) + Config!$B$29*MAX(0,MIN(100,MIN(1,IF($Q672="",0,$Q672)/Config!$B$23)*100)))),MIN(100,Config!$B$27*MAX(0,MIN(100,(1-IF($O672="",0,$O672))*100)) + Config!$B$28*MAX(0,MIN(100,(1-MIN(1,IF(Config!$B$30=0,1,$P672/Config!$B$30)))*100)) + Config!$B$29*MAX(0,MIN(100,MIN(1,IF($Q672="",0,$Q672)/Config!$B$23)*100))))),"")
</f>
        <v/>
      </c>
      <c r="S672" s="40" t="str">
        <f>IF(Bids!$D672="","",Bids!$D672)</f>
        <v/>
      </c>
      <c r="T672" s="40" t="str">
        <f>IF(Bids!$F672="","",Bids!$F672)</f>
        <v/>
      </c>
      <c r="U672" s="40" t="str">
        <f t="shared" si="3"/>
        <v/>
      </c>
      <c r="V672" s="40" t="str">
        <f>IF($U672="","",IF(Config!$B$17=Config!$B$16,IF($U672&gt;=Config!$B$17,100,0),MAX(0,MIN(100,($U672-Config!$B$16)/(Config!$B$17-Config!$B$16)*100))))</f>
        <v/>
      </c>
      <c r="W672" s="40">
        <f>IF($L672="Elite",Config!$B$21,0)</f>
        <v>0</v>
      </c>
      <c r="X672" s="40" t="str">
        <f>IFERROR(IF(OR($T672="",$G672=""),"",IF($T672&gt;$G672,
  MAX(0, 60-(($T672-$G672)*24/Config!$B$19)*60),
  MEDIAN(60, 100, 60+(($G672-$T672)*24/Config!$B$20)*40)
)),"")
</f>
        <v/>
      </c>
      <c r="Y672" s="40" t="str">
        <f>IF($J672="","",IFERROR(VLOOKUP($J672,Grinders!$A:$N,10,FALSE),""))</f>
        <v/>
      </c>
      <c r="Z672" s="40" t="str">
        <f>IF($J672="","",IFERROR(VLOOKUP($J672,Grinders!$A:$N,11,FALSE),""))</f>
        <v/>
      </c>
      <c r="AA672" s="40" t="str">
        <f>IF($J672="","",IFERROR(VLOOKUP($J672,Grinders!$A:$N,12,FALSE),""))</f>
        <v/>
      </c>
      <c r="AB672" s="40">
        <f>IFERROR(IF(OR($C672="",$J672=""),0,IF($D672&lt;&gt;"Open",0,IF(COUNTIFS(GrinderServices!$B:$B,$J672,GrinderServices!$C:$C,$E672,GrinderServices!$E:$E,"Y")=0,0,IF($U672&lt;Config!$B$16,0,IF(Config!$B$18=1,IF($N672&gt;=$M672,0,1),1))))),"")</f>
        <v>0</v>
      </c>
      <c r="AC672" s="40" t="str">
        <f>IFERROR(IF($AB672=0,"",((Config!$B$6*$V672 + Config!$B$7*$R672 + Config!$B$8*$W672 + Config!$B$9*$X672 + Config!$B$10*$Y672 + Config!$B$11*$Z672 - Config!$B$12*$AA672)/Config!$B$13)+$AH672+$AI672),"")</f>
        <v/>
      </c>
      <c r="AD672" s="40" t="str">
        <f t="shared" si="4"/>
        <v/>
      </c>
      <c r="AE672" s="40" t="str">
        <f>IFERROR(__xludf.DUMMYFUNCTION("IF($AC672="""","""",IF($AC672=IFERROR(MAX(FILTER($AC$6:$AC$1000,$C$6:$C$1000=$C672,$AB$6:$AB$1000=1)),),""WINNER"",""""))"),"")</f>
        <v/>
      </c>
      <c r="AF672" s="40" t="str">
        <f t="shared" si="5"/>
        <v/>
      </c>
      <c r="AG672" s="40" t="str">
        <f>IF($J672="","",COUNTIF(Assignments!$B:$B,$J672))</f>
        <v/>
      </c>
      <c r="AH672" s="40" t="str">
        <f>IF($J672="","",IF(AND($AG672=0,$N672&lt;$M672),Config!$B$43,0))</f>
        <v/>
      </c>
      <c r="AI672" s="40" t="str">
        <f>IF($J672="","",IF(AND($L672="Elite",$F672&gt;=Config!$B$41,$N672&lt;$M672),Config!$B$42,0))</f>
        <v/>
      </c>
      <c r="AJ672" s="22"/>
    </row>
    <row r="673" ht="15.75" customHeight="1">
      <c r="A673" s="40" t="str">
        <f t="shared" si="1"/>
        <v/>
      </c>
      <c r="B673" s="40" t="str">
        <f>IF(Bids!$A673="","",Bids!$A673)</f>
        <v/>
      </c>
      <c r="C673" s="40" t="str">
        <f>IF(Bids!$B673="","",Bids!$B673)</f>
        <v/>
      </c>
      <c r="D673" s="40" t="str">
        <f>IF($C673="","",IFERROR(VLOOKUP($C673,Orders!$A:$J,9,FALSE),""))</f>
        <v/>
      </c>
      <c r="E673" s="40" t="str">
        <f>IF($C673="","",IFERROR(VLOOKUP($C673,Orders!$A:$J,3,FALSE),""))</f>
        <v/>
      </c>
      <c r="F673" s="40" t="str">
        <f>IF($C673="","",IFERROR(VLOOKUP($C673,Orders!$A:$J,4,FALSE),""))</f>
        <v/>
      </c>
      <c r="G673" s="40" t="str">
        <f>IF($C673="","",IFERROR(VLOOKUP($C673,Orders!$A:$J,5,FALSE),""))</f>
        <v/>
      </c>
      <c r="H673" s="40" t="str">
        <f>IF($C673="","",IFERROR(VLOOKUP($C673,Orders!$A:$J,6,FALSE),""))</f>
        <v/>
      </c>
      <c r="I673" s="40" t="str">
        <f>IF($C673="","",IFERROR(VLOOKUP($C673,Orders!$A:$J,7,FALSE),""))</f>
        <v/>
      </c>
      <c r="J673" s="40" t="str">
        <f>IF(Bids!$C673="","",Bids!$C673)</f>
        <v/>
      </c>
      <c r="K673" s="40" t="str">
        <f>IF($J673="","",IFERROR(VLOOKUP($J673,Grinders!$A:$N,2,FALSE),""))</f>
        <v/>
      </c>
      <c r="L673" s="40" t="str">
        <f>IF($J673="","",IFERROR(VLOOKUP($J673,Grinders!$A:$N,3,FALSE),""))</f>
        <v/>
      </c>
      <c r="M673" s="40" t="str">
        <f>IF($J673="","",IFERROR(VLOOKUP($J673,Grinders!$A:$N,4,FALSE),""))</f>
        <v/>
      </c>
      <c r="N673" s="40" t="str">
        <f>IF($J673="","",IFERROR(VLOOKUP($J673,Grinders!$A:$N,5,FALSE),""))</f>
        <v/>
      </c>
      <c r="O673" s="40" t="str">
        <f t="shared" si="2"/>
        <v/>
      </c>
      <c r="P673" s="40" t="str">
        <f>IF($J673="","",IFERROR(VLOOKUP($J673,Grinders!$A:$N,6,FALSE),""))</f>
        <v/>
      </c>
      <c r="Q673" s="40" t="str">
        <f>IF($J673="","",IFERROR(VLOOKUP($J673,Grinders!$A:$N,8,FALSE),""))</f>
        <v/>
      </c>
      <c r="R673" s="40" t="str">
        <f>IFERROR(IF($J673="","",IF($L673="Elite",MAX(50,MIN(100,Config!$B$27*MAX(0,MIN(100,(1-IF($O673="",0,$O673))*100)) + Config!$B$28*MAX(0,MIN(100,(1-MIN(1,IF(Config!$B$30=0,1,$P673/Config!$B$30)))*100)) + Config!$B$29*MAX(0,MIN(100,MIN(1,IF($Q673="",0,$Q673)/Config!$B$23)*100)))),MIN(100,Config!$B$27*MAX(0,MIN(100,(1-IF($O673="",0,$O673))*100)) + Config!$B$28*MAX(0,MIN(100,(1-MIN(1,IF(Config!$B$30=0,1,$P673/Config!$B$30)))*100)) + Config!$B$29*MAX(0,MIN(100,MIN(1,IF($Q673="",0,$Q673)/Config!$B$23)*100))))),"")
</f>
        <v/>
      </c>
      <c r="S673" s="40" t="str">
        <f>IF(Bids!$D673="","",Bids!$D673)</f>
        <v/>
      </c>
      <c r="T673" s="40" t="str">
        <f>IF(Bids!$F673="","",Bids!$F673)</f>
        <v/>
      </c>
      <c r="U673" s="40" t="str">
        <f t="shared" si="3"/>
        <v/>
      </c>
      <c r="V673" s="40" t="str">
        <f>IF($U673="","",IF(Config!$B$17=Config!$B$16,IF($U673&gt;=Config!$B$17,100,0),MAX(0,MIN(100,($U673-Config!$B$16)/(Config!$B$17-Config!$B$16)*100))))</f>
        <v/>
      </c>
      <c r="W673" s="40">
        <f>IF($L673="Elite",Config!$B$21,0)</f>
        <v>0</v>
      </c>
      <c r="X673" s="40" t="str">
        <f>IFERROR(IF(OR($T673="",$G673=""),"",IF($T673&gt;$G673,
  MAX(0, 60-(($T673-$G673)*24/Config!$B$19)*60),
  MEDIAN(60, 100, 60+(($G673-$T673)*24/Config!$B$20)*40)
)),"")
</f>
        <v/>
      </c>
      <c r="Y673" s="40" t="str">
        <f>IF($J673="","",IFERROR(VLOOKUP($J673,Grinders!$A:$N,10,FALSE),""))</f>
        <v/>
      </c>
      <c r="Z673" s="40" t="str">
        <f>IF($J673="","",IFERROR(VLOOKUP($J673,Grinders!$A:$N,11,FALSE),""))</f>
        <v/>
      </c>
      <c r="AA673" s="40" t="str">
        <f>IF($J673="","",IFERROR(VLOOKUP($J673,Grinders!$A:$N,12,FALSE),""))</f>
        <v/>
      </c>
      <c r="AB673" s="40">
        <f>IFERROR(IF(OR($C673="",$J673=""),0,IF($D673&lt;&gt;"Open",0,IF(COUNTIFS(GrinderServices!$B:$B,$J673,GrinderServices!$C:$C,$E673,GrinderServices!$E:$E,"Y")=0,0,IF($U673&lt;Config!$B$16,0,IF(Config!$B$18=1,IF($N673&gt;=$M673,0,1),1))))),"")</f>
        <v>0</v>
      </c>
      <c r="AC673" s="40" t="str">
        <f>IFERROR(IF($AB673=0,"",((Config!$B$6*$V673 + Config!$B$7*$R673 + Config!$B$8*$W673 + Config!$B$9*$X673 + Config!$B$10*$Y673 + Config!$B$11*$Z673 - Config!$B$12*$AA673)/Config!$B$13)+$AH673+$AI673),"")</f>
        <v/>
      </c>
      <c r="AD673" s="40" t="str">
        <f t="shared" si="4"/>
        <v/>
      </c>
      <c r="AE673" s="40" t="str">
        <f>IFERROR(__xludf.DUMMYFUNCTION("IF($AC673="""","""",IF($AC673=IFERROR(MAX(FILTER($AC$6:$AC$1000,$C$6:$C$1000=$C673,$AB$6:$AB$1000=1)),),""WINNER"",""""))"),"")</f>
        <v/>
      </c>
      <c r="AF673" s="40" t="str">
        <f t="shared" si="5"/>
        <v/>
      </c>
      <c r="AG673" s="40" t="str">
        <f>IF($J673="","",COUNTIF(Assignments!$B:$B,$J673))</f>
        <v/>
      </c>
      <c r="AH673" s="40" t="str">
        <f>IF($J673="","",IF(AND($AG673=0,$N673&lt;$M673),Config!$B$43,0))</f>
        <v/>
      </c>
      <c r="AI673" s="40" t="str">
        <f>IF($J673="","",IF(AND($L673="Elite",$F673&gt;=Config!$B$41,$N673&lt;$M673),Config!$B$42,0))</f>
        <v/>
      </c>
      <c r="AJ673" s="22"/>
    </row>
    <row r="674" ht="15.75" customHeight="1">
      <c r="A674" s="40" t="str">
        <f t="shared" si="1"/>
        <v/>
      </c>
      <c r="B674" s="40" t="str">
        <f>IF(Bids!$A674="","",Bids!$A674)</f>
        <v/>
      </c>
      <c r="C674" s="40" t="str">
        <f>IF(Bids!$B674="","",Bids!$B674)</f>
        <v/>
      </c>
      <c r="D674" s="40" t="str">
        <f>IF($C674="","",IFERROR(VLOOKUP($C674,Orders!$A:$J,9,FALSE),""))</f>
        <v/>
      </c>
      <c r="E674" s="40" t="str">
        <f>IF($C674="","",IFERROR(VLOOKUP($C674,Orders!$A:$J,3,FALSE),""))</f>
        <v/>
      </c>
      <c r="F674" s="40" t="str">
        <f>IF($C674="","",IFERROR(VLOOKUP($C674,Orders!$A:$J,4,FALSE),""))</f>
        <v/>
      </c>
      <c r="G674" s="40" t="str">
        <f>IF($C674="","",IFERROR(VLOOKUP($C674,Orders!$A:$J,5,FALSE),""))</f>
        <v/>
      </c>
      <c r="H674" s="40" t="str">
        <f>IF($C674="","",IFERROR(VLOOKUP($C674,Orders!$A:$J,6,FALSE),""))</f>
        <v/>
      </c>
      <c r="I674" s="40" t="str">
        <f>IF($C674="","",IFERROR(VLOOKUP($C674,Orders!$A:$J,7,FALSE),""))</f>
        <v/>
      </c>
      <c r="J674" s="40" t="str">
        <f>IF(Bids!$C674="","",Bids!$C674)</f>
        <v/>
      </c>
      <c r="K674" s="40" t="str">
        <f>IF($J674="","",IFERROR(VLOOKUP($J674,Grinders!$A:$N,2,FALSE),""))</f>
        <v/>
      </c>
      <c r="L674" s="40" t="str">
        <f>IF($J674="","",IFERROR(VLOOKUP($J674,Grinders!$A:$N,3,FALSE),""))</f>
        <v/>
      </c>
      <c r="M674" s="40" t="str">
        <f>IF($J674="","",IFERROR(VLOOKUP($J674,Grinders!$A:$N,4,FALSE),""))</f>
        <v/>
      </c>
      <c r="N674" s="40" t="str">
        <f>IF($J674="","",IFERROR(VLOOKUP($J674,Grinders!$A:$N,5,FALSE),""))</f>
        <v/>
      </c>
      <c r="O674" s="40" t="str">
        <f t="shared" si="2"/>
        <v/>
      </c>
      <c r="P674" s="40" t="str">
        <f>IF($J674="","",IFERROR(VLOOKUP($J674,Grinders!$A:$N,6,FALSE),""))</f>
        <v/>
      </c>
      <c r="Q674" s="40" t="str">
        <f>IF($J674="","",IFERROR(VLOOKUP($J674,Grinders!$A:$N,8,FALSE),""))</f>
        <v/>
      </c>
      <c r="R674" s="40" t="str">
        <f>IFERROR(IF($J674="","",IF($L674="Elite",MAX(50,MIN(100,Config!$B$27*MAX(0,MIN(100,(1-IF($O674="",0,$O674))*100)) + Config!$B$28*MAX(0,MIN(100,(1-MIN(1,IF(Config!$B$30=0,1,$P674/Config!$B$30)))*100)) + Config!$B$29*MAX(0,MIN(100,MIN(1,IF($Q674="",0,$Q674)/Config!$B$23)*100)))),MIN(100,Config!$B$27*MAX(0,MIN(100,(1-IF($O674="",0,$O674))*100)) + Config!$B$28*MAX(0,MIN(100,(1-MIN(1,IF(Config!$B$30=0,1,$P674/Config!$B$30)))*100)) + Config!$B$29*MAX(0,MIN(100,MIN(1,IF($Q674="",0,$Q674)/Config!$B$23)*100))))),"")
</f>
        <v/>
      </c>
      <c r="S674" s="40" t="str">
        <f>IF(Bids!$D674="","",Bids!$D674)</f>
        <v/>
      </c>
      <c r="T674" s="40" t="str">
        <f>IF(Bids!$F674="","",Bids!$F674)</f>
        <v/>
      </c>
      <c r="U674" s="40" t="str">
        <f t="shared" si="3"/>
        <v/>
      </c>
      <c r="V674" s="40" t="str">
        <f>IF($U674="","",IF(Config!$B$17=Config!$B$16,IF($U674&gt;=Config!$B$17,100,0),MAX(0,MIN(100,($U674-Config!$B$16)/(Config!$B$17-Config!$B$16)*100))))</f>
        <v/>
      </c>
      <c r="W674" s="40">
        <f>IF($L674="Elite",Config!$B$21,0)</f>
        <v>0</v>
      </c>
      <c r="X674" s="40" t="str">
        <f>IFERROR(IF(OR($T674="",$G674=""),"",IF($T674&gt;$G674,
  MAX(0, 60-(($T674-$G674)*24/Config!$B$19)*60),
  MEDIAN(60, 100, 60+(($G674-$T674)*24/Config!$B$20)*40)
)),"")
</f>
        <v/>
      </c>
      <c r="Y674" s="40" t="str">
        <f>IF($J674="","",IFERROR(VLOOKUP($J674,Grinders!$A:$N,10,FALSE),""))</f>
        <v/>
      </c>
      <c r="Z674" s="40" t="str">
        <f>IF($J674="","",IFERROR(VLOOKUP($J674,Grinders!$A:$N,11,FALSE),""))</f>
        <v/>
      </c>
      <c r="AA674" s="40" t="str">
        <f>IF($J674="","",IFERROR(VLOOKUP($J674,Grinders!$A:$N,12,FALSE),""))</f>
        <v/>
      </c>
      <c r="AB674" s="40">
        <f>IFERROR(IF(OR($C674="",$J674=""),0,IF($D674&lt;&gt;"Open",0,IF(COUNTIFS(GrinderServices!$B:$B,$J674,GrinderServices!$C:$C,$E674,GrinderServices!$E:$E,"Y")=0,0,IF($U674&lt;Config!$B$16,0,IF(Config!$B$18=1,IF($N674&gt;=$M674,0,1),1))))),"")</f>
        <v>0</v>
      </c>
      <c r="AC674" s="40" t="str">
        <f>IFERROR(IF($AB674=0,"",((Config!$B$6*$V674 + Config!$B$7*$R674 + Config!$B$8*$W674 + Config!$B$9*$X674 + Config!$B$10*$Y674 + Config!$B$11*$Z674 - Config!$B$12*$AA674)/Config!$B$13)+$AH674+$AI674),"")</f>
        <v/>
      </c>
      <c r="AD674" s="40" t="str">
        <f t="shared" si="4"/>
        <v/>
      </c>
      <c r="AE674" s="40" t="str">
        <f>IFERROR(__xludf.DUMMYFUNCTION("IF($AC674="""","""",IF($AC674=IFERROR(MAX(FILTER($AC$6:$AC$1000,$C$6:$C$1000=$C674,$AB$6:$AB$1000=1)),),""WINNER"",""""))"),"")</f>
        <v/>
      </c>
      <c r="AF674" s="40" t="str">
        <f t="shared" si="5"/>
        <v/>
      </c>
      <c r="AG674" s="40" t="str">
        <f>IF($J674="","",COUNTIF(Assignments!$B:$B,$J674))</f>
        <v/>
      </c>
      <c r="AH674" s="40" t="str">
        <f>IF($J674="","",IF(AND($AG674=0,$N674&lt;$M674),Config!$B$43,0))</f>
        <v/>
      </c>
      <c r="AI674" s="40" t="str">
        <f>IF($J674="","",IF(AND($L674="Elite",$F674&gt;=Config!$B$41,$N674&lt;$M674),Config!$B$42,0))</f>
        <v/>
      </c>
      <c r="AJ674" s="22"/>
    </row>
    <row r="675" ht="15.75" customHeight="1">
      <c r="A675" s="40" t="str">
        <f t="shared" si="1"/>
        <v/>
      </c>
      <c r="B675" s="40" t="str">
        <f>IF(Bids!$A675="","",Bids!$A675)</f>
        <v/>
      </c>
      <c r="C675" s="40" t="str">
        <f>IF(Bids!$B675="","",Bids!$B675)</f>
        <v/>
      </c>
      <c r="D675" s="40" t="str">
        <f>IF($C675="","",IFERROR(VLOOKUP($C675,Orders!$A:$J,9,FALSE),""))</f>
        <v/>
      </c>
      <c r="E675" s="40" t="str">
        <f>IF($C675="","",IFERROR(VLOOKUP($C675,Orders!$A:$J,3,FALSE),""))</f>
        <v/>
      </c>
      <c r="F675" s="40" t="str">
        <f>IF($C675="","",IFERROR(VLOOKUP($C675,Orders!$A:$J,4,FALSE),""))</f>
        <v/>
      </c>
      <c r="G675" s="40" t="str">
        <f>IF($C675="","",IFERROR(VLOOKUP($C675,Orders!$A:$J,5,FALSE),""))</f>
        <v/>
      </c>
      <c r="H675" s="40" t="str">
        <f>IF($C675="","",IFERROR(VLOOKUP($C675,Orders!$A:$J,6,FALSE),""))</f>
        <v/>
      </c>
      <c r="I675" s="40" t="str">
        <f>IF($C675="","",IFERROR(VLOOKUP($C675,Orders!$A:$J,7,FALSE),""))</f>
        <v/>
      </c>
      <c r="J675" s="40" t="str">
        <f>IF(Bids!$C675="","",Bids!$C675)</f>
        <v/>
      </c>
      <c r="K675" s="40" t="str">
        <f>IF($J675="","",IFERROR(VLOOKUP($J675,Grinders!$A:$N,2,FALSE),""))</f>
        <v/>
      </c>
      <c r="L675" s="40" t="str">
        <f>IF($J675="","",IFERROR(VLOOKUP($J675,Grinders!$A:$N,3,FALSE),""))</f>
        <v/>
      </c>
      <c r="M675" s="40" t="str">
        <f>IF($J675="","",IFERROR(VLOOKUP($J675,Grinders!$A:$N,4,FALSE),""))</f>
        <v/>
      </c>
      <c r="N675" s="40" t="str">
        <f>IF($J675="","",IFERROR(VLOOKUP($J675,Grinders!$A:$N,5,FALSE),""))</f>
        <v/>
      </c>
      <c r="O675" s="40" t="str">
        <f t="shared" si="2"/>
        <v/>
      </c>
      <c r="P675" s="40" t="str">
        <f>IF($J675="","",IFERROR(VLOOKUP($J675,Grinders!$A:$N,6,FALSE),""))</f>
        <v/>
      </c>
      <c r="Q675" s="40" t="str">
        <f>IF($J675="","",IFERROR(VLOOKUP($J675,Grinders!$A:$N,8,FALSE),""))</f>
        <v/>
      </c>
      <c r="R675" s="40" t="str">
        <f>IFERROR(IF($J675="","",IF($L675="Elite",MAX(50,MIN(100,Config!$B$27*MAX(0,MIN(100,(1-IF($O675="",0,$O675))*100)) + Config!$B$28*MAX(0,MIN(100,(1-MIN(1,IF(Config!$B$30=0,1,$P675/Config!$B$30)))*100)) + Config!$B$29*MAX(0,MIN(100,MIN(1,IF($Q675="",0,$Q675)/Config!$B$23)*100)))),MIN(100,Config!$B$27*MAX(0,MIN(100,(1-IF($O675="",0,$O675))*100)) + Config!$B$28*MAX(0,MIN(100,(1-MIN(1,IF(Config!$B$30=0,1,$P675/Config!$B$30)))*100)) + Config!$B$29*MAX(0,MIN(100,MIN(1,IF($Q675="",0,$Q675)/Config!$B$23)*100))))),"")
</f>
        <v/>
      </c>
      <c r="S675" s="40" t="str">
        <f>IF(Bids!$D675="","",Bids!$D675)</f>
        <v/>
      </c>
      <c r="T675" s="40" t="str">
        <f>IF(Bids!$F675="","",Bids!$F675)</f>
        <v/>
      </c>
      <c r="U675" s="40" t="str">
        <f t="shared" si="3"/>
        <v/>
      </c>
      <c r="V675" s="40" t="str">
        <f>IF($U675="","",IF(Config!$B$17=Config!$B$16,IF($U675&gt;=Config!$B$17,100,0),MAX(0,MIN(100,($U675-Config!$B$16)/(Config!$B$17-Config!$B$16)*100))))</f>
        <v/>
      </c>
      <c r="W675" s="40">
        <f>IF($L675="Elite",Config!$B$21,0)</f>
        <v>0</v>
      </c>
      <c r="X675" s="40" t="str">
        <f>IFERROR(IF(OR($T675="",$G675=""),"",IF($T675&gt;$G675,
  MAX(0, 60-(($T675-$G675)*24/Config!$B$19)*60),
  MEDIAN(60, 100, 60+(($G675-$T675)*24/Config!$B$20)*40)
)),"")
</f>
        <v/>
      </c>
      <c r="Y675" s="40" t="str">
        <f>IF($J675="","",IFERROR(VLOOKUP($J675,Grinders!$A:$N,10,FALSE),""))</f>
        <v/>
      </c>
      <c r="Z675" s="40" t="str">
        <f>IF($J675="","",IFERROR(VLOOKUP($J675,Grinders!$A:$N,11,FALSE),""))</f>
        <v/>
      </c>
      <c r="AA675" s="40" t="str">
        <f>IF($J675="","",IFERROR(VLOOKUP($J675,Grinders!$A:$N,12,FALSE),""))</f>
        <v/>
      </c>
      <c r="AB675" s="40">
        <f>IFERROR(IF(OR($C675="",$J675=""),0,IF($D675&lt;&gt;"Open",0,IF(COUNTIFS(GrinderServices!$B:$B,$J675,GrinderServices!$C:$C,$E675,GrinderServices!$E:$E,"Y")=0,0,IF($U675&lt;Config!$B$16,0,IF(Config!$B$18=1,IF($N675&gt;=$M675,0,1),1))))),"")</f>
        <v>0</v>
      </c>
      <c r="AC675" s="40" t="str">
        <f>IFERROR(IF($AB675=0,"",((Config!$B$6*$V675 + Config!$B$7*$R675 + Config!$B$8*$W675 + Config!$B$9*$X675 + Config!$B$10*$Y675 + Config!$B$11*$Z675 - Config!$B$12*$AA675)/Config!$B$13)+$AH675+$AI675),"")</f>
        <v/>
      </c>
      <c r="AD675" s="40" t="str">
        <f t="shared" si="4"/>
        <v/>
      </c>
      <c r="AE675" s="40" t="str">
        <f>IFERROR(__xludf.DUMMYFUNCTION("IF($AC675="""","""",IF($AC675=IFERROR(MAX(FILTER($AC$6:$AC$1000,$C$6:$C$1000=$C675,$AB$6:$AB$1000=1)),),""WINNER"",""""))"),"")</f>
        <v/>
      </c>
      <c r="AF675" s="40" t="str">
        <f t="shared" si="5"/>
        <v/>
      </c>
      <c r="AG675" s="40" t="str">
        <f>IF($J675="","",COUNTIF(Assignments!$B:$B,$J675))</f>
        <v/>
      </c>
      <c r="AH675" s="40" t="str">
        <f>IF($J675="","",IF(AND($AG675=0,$N675&lt;$M675),Config!$B$43,0))</f>
        <v/>
      </c>
      <c r="AI675" s="40" t="str">
        <f>IF($J675="","",IF(AND($L675="Elite",$F675&gt;=Config!$B$41,$N675&lt;$M675),Config!$B$42,0))</f>
        <v/>
      </c>
      <c r="AJ675" s="22"/>
    </row>
    <row r="676" ht="15.75" customHeight="1">
      <c r="A676" s="40" t="str">
        <f t="shared" si="1"/>
        <v/>
      </c>
      <c r="B676" s="40" t="str">
        <f>IF(Bids!$A676="","",Bids!$A676)</f>
        <v/>
      </c>
      <c r="C676" s="40" t="str">
        <f>IF(Bids!$B676="","",Bids!$B676)</f>
        <v/>
      </c>
      <c r="D676" s="40" t="str">
        <f>IF($C676="","",IFERROR(VLOOKUP($C676,Orders!$A:$J,9,FALSE),""))</f>
        <v/>
      </c>
      <c r="E676" s="40" t="str">
        <f>IF($C676="","",IFERROR(VLOOKUP($C676,Orders!$A:$J,3,FALSE),""))</f>
        <v/>
      </c>
      <c r="F676" s="40" t="str">
        <f>IF($C676="","",IFERROR(VLOOKUP($C676,Orders!$A:$J,4,FALSE),""))</f>
        <v/>
      </c>
      <c r="G676" s="40" t="str">
        <f>IF($C676="","",IFERROR(VLOOKUP($C676,Orders!$A:$J,5,FALSE),""))</f>
        <v/>
      </c>
      <c r="H676" s="40" t="str">
        <f>IF($C676="","",IFERROR(VLOOKUP($C676,Orders!$A:$J,6,FALSE),""))</f>
        <v/>
      </c>
      <c r="I676" s="40" t="str">
        <f>IF($C676="","",IFERROR(VLOOKUP($C676,Orders!$A:$J,7,FALSE),""))</f>
        <v/>
      </c>
      <c r="J676" s="40" t="str">
        <f>IF(Bids!$C676="","",Bids!$C676)</f>
        <v/>
      </c>
      <c r="K676" s="40" t="str">
        <f>IF($J676="","",IFERROR(VLOOKUP($J676,Grinders!$A:$N,2,FALSE),""))</f>
        <v/>
      </c>
      <c r="L676" s="40" t="str">
        <f>IF($J676="","",IFERROR(VLOOKUP($J676,Grinders!$A:$N,3,FALSE),""))</f>
        <v/>
      </c>
      <c r="M676" s="40" t="str">
        <f>IF($J676="","",IFERROR(VLOOKUP($J676,Grinders!$A:$N,4,FALSE),""))</f>
        <v/>
      </c>
      <c r="N676" s="40" t="str">
        <f>IF($J676="","",IFERROR(VLOOKUP($J676,Grinders!$A:$N,5,FALSE),""))</f>
        <v/>
      </c>
      <c r="O676" s="40" t="str">
        <f t="shared" si="2"/>
        <v/>
      </c>
      <c r="P676" s="40" t="str">
        <f>IF($J676="","",IFERROR(VLOOKUP($J676,Grinders!$A:$N,6,FALSE),""))</f>
        <v/>
      </c>
      <c r="Q676" s="40" t="str">
        <f>IF($J676="","",IFERROR(VLOOKUP($J676,Grinders!$A:$N,8,FALSE),""))</f>
        <v/>
      </c>
      <c r="R676" s="40" t="str">
        <f>IFERROR(IF($J676="","",IF($L676="Elite",MAX(50,MIN(100,Config!$B$27*MAX(0,MIN(100,(1-IF($O676="",0,$O676))*100)) + Config!$B$28*MAX(0,MIN(100,(1-MIN(1,IF(Config!$B$30=0,1,$P676/Config!$B$30)))*100)) + Config!$B$29*MAX(0,MIN(100,MIN(1,IF($Q676="",0,$Q676)/Config!$B$23)*100)))),MIN(100,Config!$B$27*MAX(0,MIN(100,(1-IF($O676="",0,$O676))*100)) + Config!$B$28*MAX(0,MIN(100,(1-MIN(1,IF(Config!$B$30=0,1,$P676/Config!$B$30)))*100)) + Config!$B$29*MAX(0,MIN(100,MIN(1,IF($Q676="",0,$Q676)/Config!$B$23)*100))))),"")
</f>
        <v/>
      </c>
      <c r="S676" s="40" t="str">
        <f>IF(Bids!$D676="","",Bids!$D676)</f>
        <v/>
      </c>
      <c r="T676" s="40" t="str">
        <f>IF(Bids!$F676="","",Bids!$F676)</f>
        <v/>
      </c>
      <c r="U676" s="40" t="str">
        <f t="shared" si="3"/>
        <v/>
      </c>
      <c r="V676" s="40" t="str">
        <f>IF($U676="","",IF(Config!$B$17=Config!$B$16,IF($U676&gt;=Config!$B$17,100,0),MAX(0,MIN(100,($U676-Config!$B$16)/(Config!$B$17-Config!$B$16)*100))))</f>
        <v/>
      </c>
      <c r="W676" s="40">
        <f>IF($L676="Elite",Config!$B$21,0)</f>
        <v>0</v>
      </c>
      <c r="X676" s="40" t="str">
        <f>IFERROR(IF(OR($T676="",$G676=""),"",IF($T676&gt;$G676,
  MAX(0, 60-(($T676-$G676)*24/Config!$B$19)*60),
  MEDIAN(60, 100, 60+(($G676-$T676)*24/Config!$B$20)*40)
)),"")
</f>
        <v/>
      </c>
      <c r="Y676" s="40" t="str">
        <f>IF($J676="","",IFERROR(VLOOKUP($J676,Grinders!$A:$N,10,FALSE),""))</f>
        <v/>
      </c>
      <c r="Z676" s="40" t="str">
        <f>IF($J676="","",IFERROR(VLOOKUP($J676,Grinders!$A:$N,11,FALSE),""))</f>
        <v/>
      </c>
      <c r="AA676" s="40" t="str">
        <f>IF($J676="","",IFERROR(VLOOKUP($J676,Grinders!$A:$N,12,FALSE),""))</f>
        <v/>
      </c>
      <c r="AB676" s="40">
        <f>IFERROR(IF(OR($C676="",$J676=""),0,IF($D676&lt;&gt;"Open",0,IF(COUNTIFS(GrinderServices!$B:$B,$J676,GrinderServices!$C:$C,$E676,GrinderServices!$E:$E,"Y")=0,0,IF($U676&lt;Config!$B$16,0,IF(Config!$B$18=1,IF($N676&gt;=$M676,0,1),1))))),"")</f>
        <v>0</v>
      </c>
      <c r="AC676" s="40" t="str">
        <f>IFERROR(IF($AB676=0,"",((Config!$B$6*$V676 + Config!$B$7*$R676 + Config!$B$8*$W676 + Config!$B$9*$X676 + Config!$B$10*$Y676 + Config!$B$11*$Z676 - Config!$B$12*$AA676)/Config!$B$13)+$AH676+$AI676),"")</f>
        <v/>
      </c>
      <c r="AD676" s="40" t="str">
        <f t="shared" si="4"/>
        <v/>
      </c>
      <c r="AE676" s="40" t="str">
        <f>IFERROR(__xludf.DUMMYFUNCTION("IF($AC676="""","""",IF($AC676=IFERROR(MAX(FILTER($AC$6:$AC$1000,$C$6:$C$1000=$C676,$AB$6:$AB$1000=1)),),""WINNER"",""""))"),"")</f>
        <v/>
      </c>
      <c r="AF676" s="40" t="str">
        <f t="shared" si="5"/>
        <v/>
      </c>
      <c r="AG676" s="40" t="str">
        <f>IF($J676="","",COUNTIF(Assignments!$B:$B,$J676))</f>
        <v/>
      </c>
      <c r="AH676" s="40" t="str">
        <f>IF($J676="","",IF(AND($AG676=0,$N676&lt;$M676),Config!$B$43,0))</f>
        <v/>
      </c>
      <c r="AI676" s="40" t="str">
        <f>IF($J676="","",IF(AND($L676="Elite",$F676&gt;=Config!$B$41,$N676&lt;$M676),Config!$B$42,0))</f>
        <v/>
      </c>
      <c r="AJ676" s="22"/>
    </row>
    <row r="677" ht="15.75" customHeight="1">
      <c r="A677" s="40" t="str">
        <f t="shared" si="1"/>
        <v/>
      </c>
      <c r="B677" s="40" t="str">
        <f>IF(Bids!$A677="","",Bids!$A677)</f>
        <v/>
      </c>
      <c r="C677" s="40" t="str">
        <f>IF(Bids!$B677="","",Bids!$B677)</f>
        <v/>
      </c>
      <c r="D677" s="40" t="str">
        <f>IF($C677="","",IFERROR(VLOOKUP($C677,Orders!$A:$J,9,FALSE),""))</f>
        <v/>
      </c>
      <c r="E677" s="40" t="str">
        <f>IF($C677="","",IFERROR(VLOOKUP($C677,Orders!$A:$J,3,FALSE),""))</f>
        <v/>
      </c>
      <c r="F677" s="40" t="str">
        <f>IF($C677="","",IFERROR(VLOOKUP($C677,Orders!$A:$J,4,FALSE),""))</f>
        <v/>
      </c>
      <c r="G677" s="40" t="str">
        <f>IF($C677="","",IFERROR(VLOOKUP($C677,Orders!$A:$J,5,FALSE),""))</f>
        <v/>
      </c>
      <c r="H677" s="40" t="str">
        <f>IF($C677="","",IFERROR(VLOOKUP($C677,Orders!$A:$J,6,FALSE),""))</f>
        <v/>
      </c>
      <c r="I677" s="40" t="str">
        <f>IF($C677="","",IFERROR(VLOOKUP($C677,Orders!$A:$J,7,FALSE),""))</f>
        <v/>
      </c>
      <c r="J677" s="40" t="str">
        <f>IF(Bids!$C677="","",Bids!$C677)</f>
        <v/>
      </c>
      <c r="K677" s="40" t="str">
        <f>IF($J677="","",IFERROR(VLOOKUP($J677,Grinders!$A:$N,2,FALSE),""))</f>
        <v/>
      </c>
      <c r="L677" s="40" t="str">
        <f>IF($J677="","",IFERROR(VLOOKUP($J677,Grinders!$A:$N,3,FALSE),""))</f>
        <v/>
      </c>
      <c r="M677" s="40" t="str">
        <f>IF($J677="","",IFERROR(VLOOKUP($J677,Grinders!$A:$N,4,FALSE),""))</f>
        <v/>
      </c>
      <c r="N677" s="40" t="str">
        <f>IF($J677="","",IFERROR(VLOOKUP($J677,Grinders!$A:$N,5,FALSE),""))</f>
        <v/>
      </c>
      <c r="O677" s="40" t="str">
        <f t="shared" si="2"/>
        <v/>
      </c>
      <c r="P677" s="40" t="str">
        <f>IF($J677="","",IFERROR(VLOOKUP($J677,Grinders!$A:$N,6,FALSE),""))</f>
        <v/>
      </c>
      <c r="Q677" s="40" t="str">
        <f>IF($J677="","",IFERROR(VLOOKUP($J677,Grinders!$A:$N,8,FALSE),""))</f>
        <v/>
      </c>
      <c r="R677" s="40" t="str">
        <f>IFERROR(IF($J677="","",IF($L677="Elite",MAX(50,MIN(100,Config!$B$27*MAX(0,MIN(100,(1-IF($O677="",0,$O677))*100)) + Config!$B$28*MAX(0,MIN(100,(1-MIN(1,IF(Config!$B$30=0,1,$P677/Config!$B$30)))*100)) + Config!$B$29*MAX(0,MIN(100,MIN(1,IF($Q677="",0,$Q677)/Config!$B$23)*100)))),MIN(100,Config!$B$27*MAX(0,MIN(100,(1-IF($O677="",0,$O677))*100)) + Config!$B$28*MAX(0,MIN(100,(1-MIN(1,IF(Config!$B$30=0,1,$P677/Config!$B$30)))*100)) + Config!$B$29*MAX(0,MIN(100,MIN(1,IF($Q677="",0,$Q677)/Config!$B$23)*100))))),"")
</f>
        <v/>
      </c>
      <c r="S677" s="40" t="str">
        <f>IF(Bids!$D677="","",Bids!$D677)</f>
        <v/>
      </c>
      <c r="T677" s="40" t="str">
        <f>IF(Bids!$F677="","",Bids!$F677)</f>
        <v/>
      </c>
      <c r="U677" s="40" t="str">
        <f t="shared" si="3"/>
        <v/>
      </c>
      <c r="V677" s="40" t="str">
        <f>IF($U677="","",IF(Config!$B$17=Config!$B$16,IF($U677&gt;=Config!$B$17,100,0),MAX(0,MIN(100,($U677-Config!$B$16)/(Config!$B$17-Config!$B$16)*100))))</f>
        <v/>
      </c>
      <c r="W677" s="40">
        <f>IF($L677="Elite",Config!$B$21,0)</f>
        <v>0</v>
      </c>
      <c r="X677" s="40" t="str">
        <f>IFERROR(IF(OR($T677="",$G677=""),"",IF($T677&gt;$G677,
  MAX(0, 60-(($T677-$G677)*24/Config!$B$19)*60),
  MEDIAN(60, 100, 60+(($G677-$T677)*24/Config!$B$20)*40)
)),"")
</f>
        <v/>
      </c>
      <c r="Y677" s="40" t="str">
        <f>IF($J677="","",IFERROR(VLOOKUP($J677,Grinders!$A:$N,10,FALSE),""))</f>
        <v/>
      </c>
      <c r="Z677" s="40" t="str">
        <f>IF($J677="","",IFERROR(VLOOKUP($J677,Grinders!$A:$N,11,FALSE),""))</f>
        <v/>
      </c>
      <c r="AA677" s="40" t="str">
        <f>IF($J677="","",IFERROR(VLOOKUP($J677,Grinders!$A:$N,12,FALSE),""))</f>
        <v/>
      </c>
      <c r="AB677" s="40">
        <f>IFERROR(IF(OR($C677="",$J677=""),0,IF($D677&lt;&gt;"Open",0,IF(COUNTIFS(GrinderServices!$B:$B,$J677,GrinderServices!$C:$C,$E677,GrinderServices!$E:$E,"Y")=0,0,IF($U677&lt;Config!$B$16,0,IF(Config!$B$18=1,IF($N677&gt;=$M677,0,1),1))))),"")</f>
        <v>0</v>
      </c>
      <c r="AC677" s="40" t="str">
        <f>IFERROR(IF($AB677=0,"",((Config!$B$6*$V677 + Config!$B$7*$R677 + Config!$B$8*$W677 + Config!$B$9*$X677 + Config!$B$10*$Y677 + Config!$B$11*$Z677 - Config!$B$12*$AA677)/Config!$B$13)+$AH677+$AI677),"")</f>
        <v/>
      </c>
      <c r="AD677" s="40" t="str">
        <f t="shared" si="4"/>
        <v/>
      </c>
      <c r="AE677" s="40" t="str">
        <f>IFERROR(__xludf.DUMMYFUNCTION("IF($AC677="""","""",IF($AC677=IFERROR(MAX(FILTER($AC$6:$AC$1000,$C$6:$C$1000=$C677,$AB$6:$AB$1000=1)),),""WINNER"",""""))"),"")</f>
        <v/>
      </c>
      <c r="AF677" s="40" t="str">
        <f t="shared" si="5"/>
        <v/>
      </c>
      <c r="AG677" s="40" t="str">
        <f>IF($J677="","",COUNTIF(Assignments!$B:$B,$J677))</f>
        <v/>
      </c>
      <c r="AH677" s="40" t="str">
        <f>IF($J677="","",IF(AND($AG677=0,$N677&lt;$M677),Config!$B$43,0))</f>
        <v/>
      </c>
      <c r="AI677" s="40" t="str">
        <f>IF($J677="","",IF(AND($L677="Elite",$F677&gt;=Config!$B$41,$N677&lt;$M677),Config!$B$42,0))</f>
        <v/>
      </c>
      <c r="AJ677" s="22"/>
    </row>
    <row r="678" ht="15.75" customHeight="1">
      <c r="A678" s="40" t="str">
        <f t="shared" si="1"/>
        <v/>
      </c>
      <c r="B678" s="40" t="str">
        <f>IF(Bids!$A678="","",Bids!$A678)</f>
        <v/>
      </c>
      <c r="C678" s="40" t="str">
        <f>IF(Bids!$B678="","",Bids!$B678)</f>
        <v/>
      </c>
      <c r="D678" s="40" t="str">
        <f>IF($C678="","",IFERROR(VLOOKUP($C678,Orders!$A:$J,9,FALSE),""))</f>
        <v/>
      </c>
      <c r="E678" s="40" t="str">
        <f>IF($C678="","",IFERROR(VLOOKUP($C678,Orders!$A:$J,3,FALSE),""))</f>
        <v/>
      </c>
      <c r="F678" s="40" t="str">
        <f>IF($C678="","",IFERROR(VLOOKUP($C678,Orders!$A:$J,4,FALSE),""))</f>
        <v/>
      </c>
      <c r="G678" s="40" t="str">
        <f>IF($C678="","",IFERROR(VLOOKUP($C678,Orders!$A:$J,5,FALSE),""))</f>
        <v/>
      </c>
      <c r="H678" s="40" t="str">
        <f>IF($C678="","",IFERROR(VLOOKUP($C678,Orders!$A:$J,6,FALSE),""))</f>
        <v/>
      </c>
      <c r="I678" s="40" t="str">
        <f>IF($C678="","",IFERROR(VLOOKUP($C678,Orders!$A:$J,7,FALSE),""))</f>
        <v/>
      </c>
      <c r="J678" s="40" t="str">
        <f>IF(Bids!$C678="","",Bids!$C678)</f>
        <v/>
      </c>
      <c r="K678" s="40" t="str">
        <f>IF($J678="","",IFERROR(VLOOKUP($J678,Grinders!$A:$N,2,FALSE),""))</f>
        <v/>
      </c>
      <c r="L678" s="40" t="str">
        <f>IF($J678="","",IFERROR(VLOOKUP($J678,Grinders!$A:$N,3,FALSE),""))</f>
        <v/>
      </c>
      <c r="M678" s="40" t="str">
        <f>IF($J678="","",IFERROR(VLOOKUP($J678,Grinders!$A:$N,4,FALSE),""))</f>
        <v/>
      </c>
      <c r="N678" s="40" t="str">
        <f>IF($J678="","",IFERROR(VLOOKUP($J678,Grinders!$A:$N,5,FALSE),""))</f>
        <v/>
      </c>
      <c r="O678" s="40" t="str">
        <f t="shared" si="2"/>
        <v/>
      </c>
      <c r="P678" s="40" t="str">
        <f>IF($J678="","",IFERROR(VLOOKUP($J678,Grinders!$A:$N,6,FALSE),""))</f>
        <v/>
      </c>
      <c r="Q678" s="40" t="str">
        <f>IF($J678="","",IFERROR(VLOOKUP($J678,Grinders!$A:$N,8,FALSE),""))</f>
        <v/>
      </c>
      <c r="R678" s="40" t="str">
        <f>IFERROR(IF($J678="","",IF($L678="Elite",MAX(50,MIN(100,Config!$B$27*MAX(0,MIN(100,(1-IF($O678="",0,$O678))*100)) + Config!$B$28*MAX(0,MIN(100,(1-MIN(1,IF(Config!$B$30=0,1,$P678/Config!$B$30)))*100)) + Config!$B$29*MAX(0,MIN(100,MIN(1,IF($Q678="",0,$Q678)/Config!$B$23)*100)))),MIN(100,Config!$B$27*MAX(0,MIN(100,(1-IF($O678="",0,$O678))*100)) + Config!$B$28*MAX(0,MIN(100,(1-MIN(1,IF(Config!$B$30=0,1,$P678/Config!$B$30)))*100)) + Config!$B$29*MAX(0,MIN(100,MIN(1,IF($Q678="",0,$Q678)/Config!$B$23)*100))))),"")
</f>
        <v/>
      </c>
      <c r="S678" s="40" t="str">
        <f>IF(Bids!$D678="","",Bids!$D678)</f>
        <v/>
      </c>
      <c r="T678" s="40" t="str">
        <f>IF(Bids!$F678="","",Bids!$F678)</f>
        <v/>
      </c>
      <c r="U678" s="40" t="str">
        <f t="shared" si="3"/>
        <v/>
      </c>
      <c r="V678" s="40" t="str">
        <f>IF($U678="","",IF(Config!$B$17=Config!$B$16,IF($U678&gt;=Config!$B$17,100,0),MAX(0,MIN(100,($U678-Config!$B$16)/(Config!$B$17-Config!$B$16)*100))))</f>
        <v/>
      </c>
      <c r="W678" s="40">
        <f>IF($L678="Elite",Config!$B$21,0)</f>
        <v>0</v>
      </c>
      <c r="X678" s="40" t="str">
        <f>IFERROR(IF(OR($T678="",$G678=""),"",IF($T678&gt;$G678,
  MAX(0, 60-(($T678-$G678)*24/Config!$B$19)*60),
  MEDIAN(60, 100, 60+(($G678-$T678)*24/Config!$B$20)*40)
)),"")
</f>
        <v/>
      </c>
      <c r="Y678" s="40" t="str">
        <f>IF($J678="","",IFERROR(VLOOKUP($J678,Grinders!$A:$N,10,FALSE),""))</f>
        <v/>
      </c>
      <c r="Z678" s="40" t="str">
        <f>IF($J678="","",IFERROR(VLOOKUP($J678,Grinders!$A:$N,11,FALSE),""))</f>
        <v/>
      </c>
      <c r="AA678" s="40" t="str">
        <f>IF($J678="","",IFERROR(VLOOKUP($J678,Grinders!$A:$N,12,FALSE),""))</f>
        <v/>
      </c>
      <c r="AB678" s="40">
        <f>IFERROR(IF(OR($C678="",$J678=""),0,IF($D678&lt;&gt;"Open",0,IF(COUNTIFS(GrinderServices!$B:$B,$J678,GrinderServices!$C:$C,$E678,GrinderServices!$E:$E,"Y")=0,0,IF($U678&lt;Config!$B$16,0,IF(Config!$B$18=1,IF($N678&gt;=$M678,0,1),1))))),"")</f>
        <v>0</v>
      </c>
      <c r="AC678" s="40" t="str">
        <f>IFERROR(IF($AB678=0,"",((Config!$B$6*$V678 + Config!$B$7*$R678 + Config!$B$8*$W678 + Config!$B$9*$X678 + Config!$B$10*$Y678 + Config!$B$11*$Z678 - Config!$B$12*$AA678)/Config!$B$13)+$AH678+$AI678),"")</f>
        <v/>
      </c>
      <c r="AD678" s="40" t="str">
        <f t="shared" si="4"/>
        <v/>
      </c>
      <c r="AE678" s="40" t="str">
        <f>IFERROR(__xludf.DUMMYFUNCTION("IF($AC678="""","""",IF($AC678=IFERROR(MAX(FILTER($AC$6:$AC$1000,$C$6:$C$1000=$C678,$AB$6:$AB$1000=1)),),""WINNER"",""""))"),"")</f>
        <v/>
      </c>
      <c r="AF678" s="40" t="str">
        <f t="shared" si="5"/>
        <v/>
      </c>
      <c r="AG678" s="40" t="str">
        <f>IF($J678="","",COUNTIF(Assignments!$B:$B,$J678))</f>
        <v/>
      </c>
      <c r="AH678" s="40" t="str">
        <f>IF($J678="","",IF(AND($AG678=0,$N678&lt;$M678),Config!$B$43,0))</f>
        <v/>
      </c>
      <c r="AI678" s="40" t="str">
        <f>IF($J678="","",IF(AND($L678="Elite",$F678&gt;=Config!$B$41,$N678&lt;$M678),Config!$B$42,0))</f>
        <v/>
      </c>
      <c r="AJ678" s="22"/>
    </row>
    <row r="679" ht="15.75" customHeight="1">
      <c r="A679" s="40" t="str">
        <f t="shared" si="1"/>
        <v/>
      </c>
      <c r="B679" s="40" t="str">
        <f>IF(Bids!$A679="","",Bids!$A679)</f>
        <v/>
      </c>
      <c r="C679" s="40" t="str">
        <f>IF(Bids!$B679="","",Bids!$B679)</f>
        <v/>
      </c>
      <c r="D679" s="40" t="str">
        <f>IF($C679="","",IFERROR(VLOOKUP($C679,Orders!$A:$J,9,FALSE),""))</f>
        <v/>
      </c>
      <c r="E679" s="40" t="str">
        <f>IF($C679="","",IFERROR(VLOOKUP($C679,Orders!$A:$J,3,FALSE),""))</f>
        <v/>
      </c>
      <c r="F679" s="40" t="str">
        <f>IF($C679="","",IFERROR(VLOOKUP($C679,Orders!$A:$J,4,FALSE),""))</f>
        <v/>
      </c>
      <c r="G679" s="40" t="str">
        <f>IF($C679="","",IFERROR(VLOOKUP($C679,Orders!$A:$J,5,FALSE),""))</f>
        <v/>
      </c>
      <c r="H679" s="40" t="str">
        <f>IF($C679="","",IFERROR(VLOOKUP($C679,Orders!$A:$J,6,FALSE),""))</f>
        <v/>
      </c>
      <c r="I679" s="40" t="str">
        <f>IF($C679="","",IFERROR(VLOOKUP($C679,Orders!$A:$J,7,FALSE),""))</f>
        <v/>
      </c>
      <c r="J679" s="40" t="str">
        <f>IF(Bids!$C679="","",Bids!$C679)</f>
        <v/>
      </c>
      <c r="K679" s="40" t="str">
        <f>IF($J679="","",IFERROR(VLOOKUP($J679,Grinders!$A:$N,2,FALSE),""))</f>
        <v/>
      </c>
      <c r="L679" s="40" t="str">
        <f>IF($J679="","",IFERROR(VLOOKUP($J679,Grinders!$A:$N,3,FALSE),""))</f>
        <v/>
      </c>
      <c r="M679" s="40" t="str">
        <f>IF($J679="","",IFERROR(VLOOKUP($J679,Grinders!$A:$N,4,FALSE),""))</f>
        <v/>
      </c>
      <c r="N679" s="40" t="str">
        <f>IF($J679="","",IFERROR(VLOOKUP($J679,Grinders!$A:$N,5,FALSE),""))</f>
        <v/>
      </c>
      <c r="O679" s="40" t="str">
        <f t="shared" si="2"/>
        <v/>
      </c>
      <c r="P679" s="40" t="str">
        <f>IF($J679="","",IFERROR(VLOOKUP($J679,Grinders!$A:$N,6,FALSE),""))</f>
        <v/>
      </c>
      <c r="Q679" s="40" t="str">
        <f>IF($J679="","",IFERROR(VLOOKUP($J679,Grinders!$A:$N,8,FALSE),""))</f>
        <v/>
      </c>
      <c r="R679" s="40" t="str">
        <f>IFERROR(IF($J679="","",IF($L679="Elite",MAX(50,MIN(100,Config!$B$27*MAX(0,MIN(100,(1-IF($O679="",0,$O679))*100)) + Config!$B$28*MAX(0,MIN(100,(1-MIN(1,IF(Config!$B$30=0,1,$P679/Config!$B$30)))*100)) + Config!$B$29*MAX(0,MIN(100,MIN(1,IF($Q679="",0,$Q679)/Config!$B$23)*100)))),MIN(100,Config!$B$27*MAX(0,MIN(100,(1-IF($O679="",0,$O679))*100)) + Config!$B$28*MAX(0,MIN(100,(1-MIN(1,IF(Config!$B$30=0,1,$P679/Config!$B$30)))*100)) + Config!$B$29*MAX(0,MIN(100,MIN(1,IF($Q679="",0,$Q679)/Config!$B$23)*100))))),"")
</f>
        <v/>
      </c>
      <c r="S679" s="40" t="str">
        <f>IF(Bids!$D679="","",Bids!$D679)</f>
        <v/>
      </c>
      <c r="T679" s="40" t="str">
        <f>IF(Bids!$F679="","",Bids!$F679)</f>
        <v/>
      </c>
      <c r="U679" s="40" t="str">
        <f t="shared" si="3"/>
        <v/>
      </c>
      <c r="V679" s="40" t="str">
        <f>IF($U679="","",IF(Config!$B$17=Config!$B$16,IF($U679&gt;=Config!$B$17,100,0),MAX(0,MIN(100,($U679-Config!$B$16)/(Config!$B$17-Config!$B$16)*100))))</f>
        <v/>
      </c>
      <c r="W679" s="40">
        <f>IF($L679="Elite",Config!$B$21,0)</f>
        <v>0</v>
      </c>
      <c r="X679" s="40" t="str">
        <f>IFERROR(IF(OR($T679="",$G679=""),"",IF($T679&gt;$G679,
  MAX(0, 60-(($T679-$G679)*24/Config!$B$19)*60),
  MEDIAN(60, 100, 60+(($G679-$T679)*24/Config!$B$20)*40)
)),"")
</f>
        <v/>
      </c>
      <c r="Y679" s="40" t="str">
        <f>IF($J679="","",IFERROR(VLOOKUP($J679,Grinders!$A:$N,10,FALSE),""))</f>
        <v/>
      </c>
      <c r="Z679" s="40" t="str">
        <f>IF($J679="","",IFERROR(VLOOKUP($J679,Grinders!$A:$N,11,FALSE),""))</f>
        <v/>
      </c>
      <c r="AA679" s="40" t="str">
        <f>IF($J679="","",IFERROR(VLOOKUP($J679,Grinders!$A:$N,12,FALSE),""))</f>
        <v/>
      </c>
      <c r="AB679" s="40">
        <f>IFERROR(IF(OR($C679="",$J679=""),0,IF($D679&lt;&gt;"Open",0,IF(COUNTIFS(GrinderServices!$B:$B,$J679,GrinderServices!$C:$C,$E679,GrinderServices!$E:$E,"Y")=0,0,IF($U679&lt;Config!$B$16,0,IF(Config!$B$18=1,IF($N679&gt;=$M679,0,1),1))))),"")</f>
        <v>0</v>
      </c>
      <c r="AC679" s="40" t="str">
        <f>IFERROR(IF($AB679=0,"",((Config!$B$6*$V679 + Config!$B$7*$R679 + Config!$B$8*$W679 + Config!$B$9*$X679 + Config!$B$10*$Y679 + Config!$B$11*$Z679 - Config!$B$12*$AA679)/Config!$B$13)+$AH679+$AI679),"")</f>
        <v/>
      </c>
      <c r="AD679" s="40" t="str">
        <f t="shared" si="4"/>
        <v/>
      </c>
      <c r="AE679" s="40" t="str">
        <f>IFERROR(__xludf.DUMMYFUNCTION("IF($AC679="""","""",IF($AC679=IFERROR(MAX(FILTER($AC$6:$AC$1000,$C$6:$C$1000=$C679,$AB$6:$AB$1000=1)),),""WINNER"",""""))"),"")</f>
        <v/>
      </c>
      <c r="AF679" s="40" t="str">
        <f t="shared" si="5"/>
        <v/>
      </c>
      <c r="AG679" s="40" t="str">
        <f>IF($J679="","",COUNTIF(Assignments!$B:$B,$J679))</f>
        <v/>
      </c>
      <c r="AH679" s="40" t="str">
        <f>IF($J679="","",IF(AND($AG679=0,$N679&lt;$M679),Config!$B$43,0))</f>
        <v/>
      </c>
      <c r="AI679" s="40" t="str">
        <f>IF($J679="","",IF(AND($L679="Elite",$F679&gt;=Config!$B$41,$N679&lt;$M679),Config!$B$42,0))</f>
        <v/>
      </c>
      <c r="AJ679" s="22"/>
    </row>
    <row r="680" ht="15.75" customHeight="1">
      <c r="A680" s="40" t="str">
        <f t="shared" si="1"/>
        <v/>
      </c>
      <c r="B680" s="40" t="str">
        <f>IF(Bids!$A680="","",Bids!$A680)</f>
        <v/>
      </c>
      <c r="C680" s="40" t="str">
        <f>IF(Bids!$B680="","",Bids!$B680)</f>
        <v/>
      </c>
      <c r="D680" s="40" t="str">
        <f>IF($C680="","",IFERROR(VLOOKUP($C680,Orders!$A:$J,9,FALSE),""))</f>
        <v/>
      </c>
      <c r="E680" s="40" t="str">
        <f>IF($C680="","",IFERROR(VLOOKUP($C680,Orders!$A:$J,3,FALSE),""))</f>
        <v/>
      </c>
      <c r="F680" s="40" t="str">
        <f>IF($C680="","",IFERROR(VLOOKUP($C680,Orders!$A:$J,4,FALSE),""))</f>
        <v/>
      </c>
      <c r="G680" s="40" t="str">
        <f>IF($C680="","",IFERROR(VLOOKUP($C680,Orders!$A:$J,5,FALSE),""))</f>
        <v/>
      </c>
      <c r="H680" s="40" t="str">
        <f>IF($C680="","",IFERROR(VLOOKUP($C680,Orders!$A:$J,6,FALSE),""))</f>
        <v/>
      </c>
      <c r="I680" s="40" t="str">
        <f>IF($C680="","",IFERROR(VLOOKUP($C680,Orders!$A:$J,7,FALSE),""))</f>
        <v/>
      </c>
      <c r="J680" s="40" t="str">
        <f>IF(Bids!$C680="","",Bids!$C680)</f>
        <v/>
      </c>
      <c r="K680" s="40" t="str">
        <f>IF($J680="","",IFERROR(VLOOKUP($J680,Grinders!$A:$N,2,FALSE),""))</f>
        <v/>
      </c>
      <c r="L680" s="40" t="str">
        <f>IF($J680="","",IFERROR(VLOOKUP($J680,Grinders!$A:$N,3,FALSE),""))</f>
        <v/>
      </c>
      <c r="M680" s="40" t="str">
        <f>IF($J680="","",IFERROR(VLOOKUP($J680,Grinders!$A:$N,4,FALSE),""))</f>
        <v/>
      </c>
      <c r="N680" s="40" t="str">
        <f>IF($J680="","",IFERROR(VLOOKUP($J680,Grinders!$A:$N,5,FALSE),""))</f>
        <v/>
      </c>
      <c r="O680" s="40" t="str">
        <f t="shared" si="2"/>
        <v/>
      </c>
      <c r="P680" s="40" t="str">
        <f>IF($J680="","",IFERROR(VLOOKUP($J680,Grinders!$A:$N,6,FALSE),""))</f>
        <v/>
      </c>
      <c r="Q680" s="40" t="str">
        <f>IF($J680="","",IFERROR(VLOOKUP($J680,Grinders!$A:$N,8,FALSE),""))</f>
        <v/>
      </c>
      <c r="R680" s="40" t="str">
        <f>IFERROR(IF($J680="","",IF($L680="Elite",MAX(50,MIN(100,Config!$B$27*MAX(0,MIN(100,(1-IF($O680="",0,$O680))*100)) + Config!$B$28*MAX(0,MIN(100,(1-MIN(1,IF(Config!$B$30=0,1,$P680/Config!$B$30)))*100)) + Config!$B$29*MAX(0,MIN(100,MIN(1,IF($Q680="",0,$Q680)/Config!$B$23)*100)))),MIN(100,Config!$B$27*MAX(0,MIN(100,(1-IF($O680="",0,$O680))*100)) + Config!$B$28*MAX(0,MIN(100,(1-MIN(1,IF(Config!$B$30=0,1,$P680/Config!$B$30)))*100)) + Config!$B$29*MAX(0,MIN(100,MIN(1,IF($Q680="",0,$Q680)/Config!$B$23)*100))))),"")
</f>
        <v/>
      </c>
      <c r="S680" s="40" t="str">
        <f>IF(Bids!$D680="","",Bids!$D680)</f>
        <v/>
      </c>
      <c r="T680" s="40" t="str">
        <f>IF(Bids!$F680="","",Bids!$F680)</f>
        <v/>
      </c>
      <c r="U680" s="40" t="str">
        <f t="shared" si="3"/>
        <v/>
      </c>
      <c r="V680" s="40" t="str">
        <f>IF($U680="","",IF(Config!$B$17=Config!$B$16,IF($U680&gt;=Config!$B$17,100,0),MAX(0,MIN(100,($U680-Config!$B$16)/(Config!$B$17-Config!$B$16)*100))))</f>
        <v/>
      </c>
      <c r="W680" s="40">
        <f>IF($L680="Elite",Config!$B$21,0)</f>
        <v>0</v>
      </c>
      <c r="X680" s="40" t="str">
        <f>IFERROR(IF(OR($T680="",$G680=""),"",IF($T680&gt;$G680,
  MAX(0, 60-(($T680-$G680)*24/Config!$B$19)*60),
  MEDIAN(60, 100, 60+(($G680-$T680)*24/Config!$B$20)*40)
)),"")
</f>
        <v/>
      </c>
      <c r="Y680" s="40" t="str">
        <f>IF($J680="","",IFERROR(VLOOKUP($J680,Grinders!$A:$N,10,FALSE),""))</f>
        <v/>
      </c>
      <c r="Z680" s="40" t="str">
        <f>IF($J680="","",IFERROR(VLOOKUP($J680,Grinders!$A:$N,11,FALSE),""))</f>
        <v/>
      </c>
      <c r="AA680" s="40" t="str">
        <f>IF($J680="","",IFERROR(VLOOKUP($J680,Grinders!$A:$N,12,FALSE),""))</f>
        <v/>
      </c>
      <c r="AB680" s="40">
        <f>IFERROR(IF(OR($C680="",$J680=""),0,IF($D680&lt;&gt;"Open",0,IF(COUNTIFS(GrinderServices!$B:$B,$J680,GrinderServices!$C:$C,$E680,GrinderServices!$E:$E,"Y")=0,0,IF($U680&lt;Config!$B$16,0,IF(Config!$B$18=1,IF($N680&gt;=$M680,0,1),1))))),"")</f>
        <v>0</v>
      </c>
      <c r="AC680" s="40" t="str">
        <f>IFERROR(IF($AB680=0,"",((Config!$B$6*$V680 + Config!$B$7*$R680 + Config!$B$8*$W680 + Config!$B$9*$X680 + Config!$B$10*$Y680 + Config!$B$11*$Z680 - Config!$B$12*$AA680)/Config!$B$13)+$AH680+$AI680),"")</f>
        <v/>
      </c>
      <c r="AD680" s="40" t="str">
        <f t="shared" si="4"/>
        <v/>
      </c>
      <c r="AE680" s="40" t="str">
        <f>IFERROR(__xludf.DUMMYFUNCTION("IF($AC680="""","""",IF($AC680=IFERROR(MAX(FILTER($AC$6:$AC$1000,$C$6:$C$1000=$C680,$AB$6:$AB$1000=1)),),""WINNER"",""""))"),"")</f>
        <v/>
      </c>
      <c r="AF680" s="40" t="str">
        <f t="shared" si="5"/>
        <v/>
      </c>
      <c r="AG680" s="40" t="str">
        <f>IF($J680="","",COUNTIF(Assignments!$B:$B,$J680))</f>
        <v/>
      </c>
      <c r="AH680" s="40" t="str">
        <f>IF($J680="","",IF(AND($AG680=0,$N680&lt;$M680),Config!$B$43,0))</f>
        <v/>
      </c>
      <c r="AI680" s="40" t="str">
        <f>IF($J680="","",IF(AND($L680="Elite",$F680&gt;=Config!$B$41,$N680&lt;$M680),Config!$B$42,0))</f>
        <v/>
      </c>
      <c r="AJ680" s="22"/>
    </row>
    <row r="681" ht="15.75" customHeight="1">
      <c r="A681" s="40" t="str">
        <f t="shared" si="1"/>
        <v/>
      </c>
      <c r="B681" s="40" t="str">
        <f>IF(Bids!$A681="","",Bids!$A681)</f>
        <v/>
      </c>
      <c r="C681" s="40" t="str">
        <f>IF(Bids!$B681="","",Bids!$B681)</f>
        <v/>
      </c>
      <c r="D681" s="40" t="str">
        <f>IF($C681="","",IFERROR(VLOOKUP($C681,Orders!$A:$J,9,FALSE),""))</f>
        <v/>
      </c>
      <c r="E681" s="40" t="str">
        <f>IF($C681="","",IFERROR(VLOOKUP($C681,Orders!$A:$J,3,FALSE),""))</f>
        <v/>
      </c>
      <c r="F681" s="40" t="str">
        <f>IF($C681="","",IFERROR(VLOOKUP($C681,Orders!$A:$J,4,FALSE),""))</f>
        <v/>
      </c>
      <c r="G681" s="40" t="str">
        <f>IF($C681="","",IFERROR(VLOOKUP($C681,Orders!$A:$J,5,FALSE),""))</f>
        <v/>
      </c>
      <c r="H681" s="40" t="str">
        <f>IF($C681="","",IFERROR(VLOOKUP($C681,Orders!$A:$J,6,FALSE),""))</f>
        <v/>
      </c>
      <c r="I681" s="40" t="str">
        <f>IF($C681="","",IFERROR(VLOOKUP($C681,Orders!$A:$J,7,FALSE),""))</f>
        <v/>
      </c>
      <c r="J681" s="40" t="str">
        <f>IF(Bids!$C681="","",Bids!$C681)</f>
        <v/>
      </c>
      <c r="K681" s="40" t="str">
        <f>IF($J681="","",IFERROR(VLOOKUP($J681,Grinders!$A:$N,2,FALSE),""))</f>
        <v/>
      </c>
      <c r="L681" s="40" t="str">
        <f>IF($J681="","",IFERROR(VLOOKUP($J681,Grinders!$A:$N,3,FALSE),""))</f>
        <v/>
      </c>
      <c r="M681" s="40" t="str">
        <f>IF($J681="","",IFERROR(VLOOKUP($J681,Grinders!$A:$N,4,FALSE),""))</f>
        <v/>
      </c>
      <c r="N681" s="40" t="str">
        <f>IF($J681="","",IFERROR(VLOOKUP($J681,Grinders!$A:$N,5,FALSE),""))</f>
        <v/>
      </c>
      <c r="O681" s="40" t="str">
        <f t="shared" si="2"/>
        <v/>
      </c>
      <c r="P681" s="40" t="str">
        <f>IF($J681="","",IFERROR(VLOOKUP($J681,Grinders!$A:$N,6,FALSE),""))</f>
        <v/>
      </c>
      <c r="Q681" s="40" t="str">
        <f>IF($J681="","",IFERROR(VLOOKUP($J681,Grinders!$A:$N,8,FALSE),""))</f>
        <v/>
      </c>
      <c r="R681" s="40" t="str">
        <f>IFERROR(IF($J681="","",IF($L681="Elite",MAX(50,MIN(100,Config!$B$27*MAX(0,MIN(100,(1-IF($O681="",0,$O681))*100)) + Config!$B$28*MAX(0,MIN(100,(1-MIN(1,IF(Config!$B$30=0,1,$P681/Config!$B$30)))*100)) + Config!$B$29*MAX(0,MIN(100,MIN(1,IF($Q681="",0,$Q681)/Config!$B$23)*100)))),MIN(100,Config!$B$27*MAX(0,MIN(100,(1-IF($O681="",0,$O681))*100)) + Config!$B$28*MAX(0,MIN(100,(1-MIN(1,IF(Config!$B$30=0,1,$P681/Config!$B$30)))*100)) + Config!$B$29*MAX(0,MIN(100,MIN(1,IF($Q681="",0,$Q681)/Config!$B$23)*100))))),"")
</f>
        <v/>
      </c>
      <c r="S681" s="40" t="str">
        <f>IF(Bids!$D681="","",Bids!$D681)</f>
        <v/>
      </c>
      <c r="T681" s="40" t="str">
        <f>IF(Bids!$F681="","",Bids!$F681)</f>
        <v/>
      </c>
      <c r="U681" s="40" t="str">
        <f t="shared" si="3"/>
        <v/>
      </c>
      <c r="V681" s="40" t="str">
        <f>IF($U681="","",IF(Config!$B$17=Config!$B$16,IF($U681&gt;=Config!$B$17,100,0),MAX(0,MIN(100,($U681-Config!$B$16)/(Config!$B$17-Config!$B$16)*100))))</f>
        <v/>
      </c>
      <c r="W681" s="40">
        <f>IF($L681="Elite",Config!$B$21,0)</f>
        <v>0</v>
      </c>
      <c r="X681" s="40" t="str">
        <f>IFERROR(IF(OR($T681="",$G681=""),"",IF($T681&gt;$G681,
  MAX(0, 60-(($T681-$G681)*24/Config!$B$19)*60),
  MEDIAN(60, 100, 60+(($G681-$T681)*24/Config!$B$20)*40)
)),"")
</f>
        <v/>
      </c>
      <c r="Y681" s="40" t="str">
        <f>IF($J681="","",IFERROR(VLOOKUP($J681,Grinders!$A:$N,10,FALSE),""))</f>
        <v/>
      </c>
      <c r="Z681" s="40" t="str">
        <f>IF($J681="","",IFERROR(VLOOKUP($J681,Grinders!$A:$N,11,FALSE),""))</f>
        <v/>
      </c>
      <c r="AA681" s="40" t="str">
        <f>IF($J681="","",IFERROR(VLOOKUP($J681,Grinders!$A:$N,12,FALSE),""))</f>
        <v/>
      </c>
      <c r="AB681" s="40">
        <f>IFERROR(IF(OR($C681="",$J681=""),0,IF($D681&lt;&gt;"Open",0,IF(COUNTIFS(GrinderServices!$B:$B,$J681,GrinderServices!$C:$C,$E681,GrinderServices!$E:$E,"Y")=0,0,IF($U681&lt;Config!$B$16,0,IF(Config!$B$18=1,IF($N681&gt;=$M681,0,1),1))))),"")</f>
        <v>0</v>
      </c>
      <c r="AC681" s="40" t="str">
        <f>IFERROR(IF($AB681=0,"",((Config!$B$6*$V681 + Config!$B$7*$R681 + Config!$B$8*$W681 + Config!$B$9*$X681 + Config!$B$10*$Y681 + Config!$B$11*$Z681 - Config!$B$12*$AA681)/Config!$B$13)+$AH681+$AI681),"")</f>
        <v/>
      </c>
      <c r="AD681" s="40" t="str">
        <f t="shared" si="4"/>
        <v/>
      </c>
      <c r="AE681" s="40" t="str">
        <f>IFERROR(__xludf.DUMMYFUNCTION("IF($AC681="""","""",IF($AC681=IFERROR(MAX(FILTER($AC$6:$AC$1000,$C$6:$C$1000=$C681,$AB$6:$AB$1000=1)),),""WINNER"",""""))"),"")</f>
        <v/>
      </c>
      <c r="AF681" s="40" t="str">
        <f t="shared" si="5"/>
        <v/>
      </c>
      <c r="AG681" s="40" t="str">
        <f>IF($J681="","",COUNTIF(Assignments!$B:$B,$J681))</f>
        <v/>
      </c>
      <c r="AH681" s="40" t="str">
        <f>IF($J681="","",IF(AND($AG681=0,$N681&lt;$M681),Config!$B$43,0))</f>
        <v/>
      </c>
      <c r="AI681" s="40" t="str">
        <f>IF($J681="","",IF(AND($L681="Elite",$F681&gt;=Config!$B$41,$N681&lt;$M681),Config!$B$42,0))</f>
        <v/>
      </c>
      <c r="AJ681" s="22"/>
    </row>
    <row r="682" ht="15.75" customHeight="1">
      <c r="A682" s="40" t="str">
        <f t="shared" si="1"/>
        <v/>
      </c>
      <c r="B682" s="40" t="str">
        <f>IF(Bids!$A682="","",Bids!$A682)</f>
        <v/>
      </c>
      <c r="C682" s="40" t="str">
        <f>IF(Bids!$B682="","",Bids!$B682)</f>
        <v/>
      </c>
      <c r="D682" s="40" t="str">
        <f>IF($C682="","",IFERROR(VLOOKUP($C682,Orders!$A:$J,9,FALSE),""))</f>
        <v/>
      </c>
      <c r="E682" s="40" t="str">
        <f>IF($C682="","",IFERROR(VLOOKUP($C682,Orders!$A:$J,3,FALSE),""))</f>
        <v/>
      </c>
      <c r="F682" s="40" t="str">
        <f>IF($C682="","",IFERROR(VLOOKUP($C682,Orders!$A:$J,4,FALSE),""))</f>
        <v/>
      </c>
      <c r="G682" s="40" t="str">
        <f>IF($C682="","",IFERROR(VLOOKUP($C682,Orders!$A:$J,5,FALSE),""))</f>
        <v/>
      </c>
      <c r="H682" s="40" t="str">
        <f>IF($C682="","",IFERROR(VLOOKUP($C682,Orders!$A:$J,6,FALSE),""))</f>
        <v/>
      </c>
      <c r="I682" s="40" t="str">
        <f>IF($C682="","",IFERROR(VLOOKUP($C682,Orders!$A:$J,7,FALSE),""))</f>
        <v/>
      </c>
      <c r="J682" s="40" t="str">
        <f>IF(Bids!$C682="","",Bids!$C682)</f>
        <v/>
      </c>
      <c r="K682" s="40" t="str">
        <f>IF($J682="","",IFERROR(VLOOKUP($J682,Grinders!$A:$N,2,FALSE),""))</f>
        <v/>
      </c>
      <c r="L682" s="40" t="str">
        <f>IF($J682="","",IFERROR(VLOOKUP($J682,Grinders!$A:$N,3,FALSE),""))</f>
        <v/>
      </c>
      <c r="M682" s="40" t="str">
        <f>IF($J682="","",IFERROR(VLOOKUP($J682,Grinders!$A:$N,4,FALSE),""))</f>
        <v/>
      </c>
      <c r="N682" s="40" t="str">
        <f>IF($J682="","",IFERROR(VLOOKUP($J682,Grinders!$A:$N,5,FALSE),""))</f>
        <v/>
      </c>
      <c r="O682" s="40" t="str">
        <f t="shared" si="2"/>
        <v/>
      </c>
      <c r="P682" s="40" t="str">
        <f>IF($J682="","",IFERROR(VLOOKUP($J682,Grinders!$A:$N,6,FALSE),""))</f>
        <v/>
      </c>
      <c r="Q682" s="40" t="str">
        <f>IF($J682="","",IFERROR(VLOOKUP($J682,Grinders!$A:$N,8,FALSE),""))</f>
        <v/>
      </c>
      <c r="R682" s="40" t="str">
        <f>IFERROR(IF($J682="","",IF($L682="Elite",MAX(50,MIN(100,Config!$B$27*MAX(0,MIN(100,(1-IF($O682="",0,$O682))*100)) + Config!$B$28*MAX(0,MIN(100,(1-MIN(1,IF(Config!$B$30=0,1,$P682/Config!$B$30)))*100)) + Config!$B$29*MAX(0,MIN(100,MIN(1,IF($Q682="",0,$Q682)/Config!$B$23)*100)))),MIN(100,Config!$B$27*MAX(0,MIN(100,(1-IF($O682="",0,$O682))*100)) + Config!$B$28*MAX(0,MIN(100,(1-MIN(1,IF(Config!$B$30=0,1,$P682/Config!$B$30)))*100)) + Config!$B$29*MAX(0,MIN(100,MIN(1,IF($Q682="",0,$Q682)/Config!$B$23)*100))))),"")
</f>
        <v/>
      </c>
      <c r="S682" s="40" t="str">
        <f>IF(Bids!$D682="","",Bids!$D682)</f>
        <v/>
      </c>
      <c r="T682" s="40" t="str">
        <f>IF(Bids!$F682="","",Bids!$F682)</f>
        <v/>
      </c>
      <c r="U682" s="40" t="str">
        <f t="shared" si="3"/>
        <v/>
      </c>
      <c r="V682" s="40" t="str">
        <f>IF($U682="","",IF(Config!$B$17=Config!$B$16,IF($U682&gt;=Config!$B$17,100,0),MAX(0,MIN(100,($U682-Config!$B$16)/(Config!$B$17-Config!$B$16)*100))))</f>
        <v/>
      </c>
      <c r="W682" s="40">
        <f>IF($L682="Elite",Config!$B$21,0)</f>
        <v>0</v>
      </c>
      <c r="X682" s="40" t="str">
        <f>IFERROR(IF(OR($T682="",$G682=""),"",IF($T682&gt;$G682,
  MAX(0, 60-(($T682-$G682)*24/Config!$B$19)*60),
  MEDIAN(60, 100, 60+(($G682-$T682)*24/Config!$B$20)*40)
)),"")
</f>
        <v/>
      </c>
      <c r="Y682" s="40" t="str">
        <f>IF($J682="","",IFERROR(VLOOKUP($J682,Grinders!$A:$N,10,FALSE),""))</f>
        <v/>
      </c>
      <c r="Z682" s="40" t="str">
        <f>IF($J682="","",IFERROR(VLOOKUP($J682,Grinders!$A:$N,11,FALSE),""))</f>
        <v/>
      </c>
      <c r="AA682" s="40" t="str">
        <f>IF($J682="","",IFERROR(VLOOKUP($J682,Grinders!$A:$N,12,FALSE),""))</f>
        <v/>
      </c>
      <c r="AB682" s="40">
        <f>IFERROR(IF(OR($C682="",$J682=""),0,IF($D682&lt;&gt;"Open",0,IF(COUNTIFS(GrinderServices!$B:$B,$J682,GrinderServices!$C:$C,$E682,GrinderServices!$E:$E,"Y")=0,0,IF($U682&lt;Config!$B$16,0,IF(Config!$B$18=1,IF($N682&gt;=$M682,0,1),1))))),"")</f>
        <v>0</v>
      </c>
      <c r="AC682" s="40" t="str">
        <f>IFERROR(IF($AB682=0,"",((Config!$B$6*$V682 + Config!$B$7*$R682 + Config!$B$8*$W682 + Config!$B$9*$X682 + Config!$B$10*$Y682 + Config!$B$11*$Z682 - Config!$B$12*$AA682)/Config!$B$13)+$AH682+$AI682),"")</f>
        <v/>
      </c>
      <c r="AD682" s="40" t="str">
        <f t="shared" si="4"/>
        <v/>
      </c>
      <c r="AE682" s="40" t="str">
        <f>IFERROR(__xludf.DUMMYFUNCTION("IF($AC682="""","""",IF($AC682=IFERROR(MAX(FILTER($AC$6:$AC$1000,$C$6:$C$1000=$C682,$AB$6:$AB$1000=1)),),""WINNER"",""""))"),"")</f>
        <v/>
      </c>
      <c r="AF682" s="40" t="str">
        <f t="shared" si="5"/>
        <v/>
      </c>
      <c r="AG682" s="40" t="str">
        <f>IF($J682="","",COUNTIF(Assignments!$B:$B,$J682))</f>
        <v/>
      </c>
      <c r="AH682" s="40" t="str">
        <f>IF($J682="","",IF(AND($AG682=0,$N682&lt;$M682),Config!$B$43,0))</f>
        <v/>
      </c>
      <c r="AI682" s="40" t="str">
        <f>IF($J682="","",IF(AND($L682="Elite",$F682&gt;=Config!$B$41,$N682&lt;$M682),Config!$B$42,0))</f>
        <v/>
      </c>
      <c r="AJ682" s="22"/>
    </row>
    <row r="683" ht="15.75" customHeight="1">
      <c r="A683" s="40" t="str">
        <f t="shared" si="1"/>
        <v/>
      </c>
      <c r="B683" s="40" t="str">
        <f>IF(Bids!$A683="","",Bids!$A683)</f>
        <v/>
      </c>
      <c r="C683" s="40" t="str">
        <f>IF(Bids!$B683="","",Bids!$B683)</f>
        <v/>
      </c>
      <c r="D683" s="40" t="str">
        <f>IF($C683="","",IFERROR(VLOOKUP($C683,Orders!$A:$J,9,FALSE),""))</f>
        <v/>
      </c>
      <c r="E683" s="40" t="str">
        <f>IF($C683="","",IFERROR(VLOOKUP($C683,Orders!$A:$J,3,FALSE),""))</f>
        <v/>
      </c>
      <c r="F683" s="40" t="str">
        <f>IF($C683="","",IFERROR(VLOOKUP($C683,Orders!$A:$J,4,FALSE),""))</f>
        <v/>
      </c>
      <c r="G683" s="40" t="str">
        <f>IF($C683="","",IFERROR(VLOOKUP($C683,Orders!$A:$J,5,FALSE),""))</f>
        <v/>
      </c>
      <c r="H683" s="40" t="str">
        <f>IF($C683="","",IFERROR(VLOOKUP($C683,Orders!$A:$J,6,FALSE),""))</f>
        <v/>
      </c>
      <c r="I683" s="40" t="str">
        <f>IF($C683="","",IFERROR(VLOOKUP($C683,Orders!$A:$J,7,FALSE),""))</f>
        <v/>
      </c>
      <c r="J683" s="40" t="str">
        <f>IF(Bids!$C683="","",Bids!$C683)</f>
        <v/>
      </c>
      <c r="K683" s="40" t="str">
        <f>IF($J683="","",IFERROR(VLOOKUP($J683,Grinders!$A:$N,2,FALSE),""))</f>
        <v/>
      </c>
      <c r="L683" s="40" t="str">
        <f>IF($J683="","",IFERROR(VLOOKUP($J683,Grinders!$A:$N,3,FALSE),""))</f>
        <v/>
      </c>
      <c r="M683" s="40" t="str">
        <f>IF($J683="","",IFERROR(VLOOKUP($J683,Grinders!$A:$N,4,FALSE),""))</f>
        <v/>
      </c>
      <c r="N683" s="40" t="str">
        <f>IF($J683="","",IFERROR(VLOOKUP($J683,Grinders!$A:$N,5,FALSE),""))</f>
        <v/>
      </c>
      <c r="O683" s="40" t="str">
        <f t="shared" si="2"/>
        <v/>
      </c>
      <c r="P683" s="40" t="str">
        <f>IF($J683="","",IFERROR(VLOOKUP($J683,Grinders!$A:$N,6,FALSE),""))</f>
        <v/>
      </c>
      <c r="Q683" s="40" t="str">
        <f>IF($J683="","",IFERROR(VLOOKUP($J683,Grinders!$A:$N,8,FALSE),""))</f>
        <v/>
      </c>
      <c r="R683" s="40" t="str">
        <f>IFERROR(IF($J683="","",IF($L683="Elite",MAX(50,MIN(100,Config!$B$27*MAX(0,MIN(100,(1-IF($O683="",0,$O683))*100)) + Config!$B$28*MAX(0,MIN(100,(1-MIN(1,IF(Config!$B$30=0,1,$P683/Config!$B$30)))*100)) + Config!$B$29*MAX(0,MIN(100,MIN(1,IF($Q683="",0,$Q683)/Config!$B$23)*100)))),MIN(100,Config!$B$27*MAX(0,MIN(100,(1-IF($O683="",0,$O683))*100)) + Config!$B$28*MAX(0,MIN(100,(1-MIN(1,IF(Config!$B$30=0,1,$P683/Config!$B$30)))*100)) + Config!$B$29*MAX(0,MIN(100,MIN(1,IF($Q683="",0,$Q683)/Config!$B$23)*100))))),"")
</f>
        <v/>
      </c>
      <c r="S683" s="40" t="str">
        <f>IF(Bids!$D683="","",Bids!$D683)</f>
        <v/>
      </c>
      <c r="T683" s="40" t="str">
        <f>IF(Bids!$F683="","",Bids!$F683)</f>
        <v/>
      </c>
      <c r="U683" s="40" t="str">
        <f t="shared" si="3"/>
        <v/>
      </c>
      <c r="V683" s="40" t="str">
        <f>IF($U683="","",IF(Config!$B$17=Config!$B$16,IF($U683&gt;=Config!$B$17,100,0),MAX(0,MIN(100,($U683-Config!$B$16)/(Config!$B$17-Config!$B$16)*100))))</f>
        <v/>
      </c>
      <c r="W683" s="40">
        <f>IF($L683="Elite",Config!$B$21,0)</f>
        <v>0</v>
      </c>
      <c r="X683" s="40" t="str">
        <f>IFERROR(IF(OR($T683="",$G683=""),"",IF($T683&gt;$G683,
  MAX(0, 60-(($T683-$G683)*24/Config!$B$19)*60),
  MEDIAN(60, 100, 60+(($G683-$T683)*24/Config!$B$20)*40)
)),"")
</f>
        <v/>
      </c>
      <c r="Y683" s="40" t="str">
        <f>IF($J683="","",IFERROR(VLOOKUP($J683,Grinders!$A:$N,10,FALSE),""))</f>
        <v/>
      </c>
      <c r="Z683" s="40" t="str">
        <f>IF($J683="","",IFERROR(VLOOKUP($J683,Grinders!$A:$N,11,FALSE),""))</f>
        <v/>
      </c>
      <c r="AA683" s="40" t="str">
        <f>IF($J683="","",IFERROR(VLOOKUP($J683,Grinders!$A:$N,12,FALSE),""))</f>
        <v/>
      </c>
      <c r="AB683" s="40">
        <f>IFERROR(IF(OR($C683="",$J683=""),0,IF($D683&lt;&gt;"Open",0,IF(COUNTIFS(GrinderServices!$B:$B,$J683,GrinderServices!$C:$C,$E683,GrinderServices!$E:$E,"Y")=0,0,IF($U683&lt;Config!$B$16,0,IF(Config!$B$18=1,IF($N683&gt;=$M683,0,1),1))))),"")</f>
        <v>0</v>
      </c>
      <c r="AC683" s="40" t="str">
        <f>IFERROR(IF($AB683=0,"",((Config!$B$6*$V683 + Config!$B$7*$R683 + Config!$B$8*$W683 + Config!$B$9*$X683 + Config!$B$10*$Y683 + Config!$B$11*$Z683 - Config!$B$12*$AA683)/Config!$B$13)+$AH683+$AI683),"")</f>
        <v/>
      </c>
      <c r="AD683" s="40" t="str">
        <f t="shared" si="4"/>
        <v/>
      </c>
      <c r="AE683" s="40" t="str">
        <f>IFERROR(__xludf.DUMMYFUNCTION("IF($AC683="""","""",IF($AC683=IFERROR(MAX(FILTER($AC$6:$AC$1000,$C$6:$C$1000=$C683,$AB$6:$AB$1000=1)),),""WINNER"",""""))"),"")</f>
        <v/>
      </c>
      <c r="AF683" s="40" t="str">
        <f t="shared" si="5"/>
        <v/>
      </c>
      <c r="AG683" s="40" t="str">
        <f>IF($J683="","",COUNTIF(Assignments!$B:$B,$J683))</f>
        <v/>
      </c>
      <c r="AH683" s="40" t="str">
        <f>IF($J683="","",IF(AND($AG683=0,$N683&lt;$M683),Config!$B$43,0))</f>
        <v/>
      </c>
      <c r="AI683" s="40" t="str">
        <f>IF($J683="","",IF(AND($L683="Elite",$F683&gt;=Config!$B$41,$N683&lt;$M683),Config!$B$42,0))</f>
        <v/>
      </c>
      <c r="AJ683" s="22"/>
    </row>
    <row r="684" ht="15.75" customHeight="1">
      <c r="A684" s="40" t="str">
        <f t="shared" si="1"/>
        <v/>
      </c>
      <c r="B684" s="40" t="str">
        <f>IF(Bids!$A684="","",Bids!$A684)</f>
        <v/>
      </c>
      <c r="C684" s="40" t="str">
        <f>IF(Bids!$B684="","",Bids!$B684)</f>
        <v/>
      </c>
      <c r="D684" s="40" t="str">
        <f>IF($C684="","",IFERROR(VLOOKUP($C684,Orders!$A:$J,9,FALSE),""))</f>
        <v/>
      </c>
      <c r="E684" s="40" t="str">
        <f>IF($C684="","",IFERROR(VLOOKUP($C684,Orders!$A:$J,3,FALSE),""))</f>
        <v/>
      </c>
      <c r="F684" s="40" t="str">
        <f>IF($C684="","",IFERROR(VLOOKUP($C684,Orders!$A:$J,4,FALSE),""))</f>
        <v/>
      </c>
      <c r="G684" s="40" t="str">
        <f>IF($C684="","",IFERROR(VLOOKUP($C684,Orders!$A:$J,5,FALSE),""))</f>
        <v/>
      </c>
      <c r="H684" s="40" t="str">
        <f>IF($C684="","",IFERROR(VLOOKUP($C684,Orders!$A:$J,6,FALSE),""))</f>
        <v/>
      </c>
      <c r="I684" s="40" t="str">
        <f>IF($C684="","",IFERROR(VLOOKUP($C684,Orders!$A:$J,7,FALSE),""))</f>
        <v/>
      </c>
      <c r="J684" s="40" t="str">
        <f>IF(Bids!$C684="","",Bids!$C684)</f>
        <v/>
      </c>
      <c r="K684" s="40" t="str">
        <f>IF($J684="","",IFERROR(VLOOKUP($J684,Grinders!$A:$N,2,FALSE),""))</f>
        <v/>
      </c>
      <c r="L684" s="40" t="str">
        <f>IF($J684="","",IFERROR(VLOOKUP($J684,Grinders!$A:$N,3,FALSE),""))</f>
        <v/>
      </c>
      <c r="M684" s="40" t="str">
        <f>IF($J684="","",IFERROR(VLOOKUP($J684,Grinders!$A:$N,4,FALSE),""))</f>
        <v/>
      </c>
      <c r="N684" s="40" t="str">
        <f>IF($J684="","",IFERROR(VLOOKUP($J684,Grinders!$A:$N,5,FALSE),""))</f>
        <v/>
      </c>
      <c r="O684" s="40" t="str">
        <f t="shared" si="2"/>
        <v/>
      </c>
      <c r="P684" s="40" t="str">
        <f>IF($J684="","",IFERROR(VLOOKUP($J684,Grinders!$A:$N,6,FALSE),""))</f>
        <v/>
      </c>
      <c r="Q684" s="40" t="str">
        <f>IF($J684="","",IFERROR(VLOOKUP($J684,Grinders!$A:$N,8,FALSE),""))</f>
        <v/>
      </c>
      <c r="R684" s="40" t="str">
        <f>IFERROR(IF($J684="","",IF($L684="Elite",MAX(50,MIN(100,Config!$B$27*MAX(0,MIN(100,(1-IF($O684="",0,$O684))*100)) + Config!$B$28*MAX(0,MIN(100,(1-MIN(1,IF(Config!$B$30=0,1,$P684/Config!$B$30)))*100)) + Config!$B$29*MAX(0,MIN(100,MIN(1,IF($Q684="",0,$Q684)/Config!$B$23)*100)))),MIN(100,Config!$B$27*MAX(0,MIN(100,(1-IF($O684="",0,$O684))*100)) + Config!$B$28*MAX(0,MIN(100,(1-MIN(1,IF(Config!$B$30=0,1,$P684/Config!$B$30)))*100)) + Config!$B$29*MAX(0,MIN(100,MIN(1,IF($Q684="",0,$Q684)/Config!$B$23)*100))))),"")
</f>
        <v/>
      </c>
      <c r="S684" s="40" t="str">
        <f>IF(Bids!$D684="","",Bids!$D684)</f>
        <v/>
      </c>
      <c r="T684" s="40" t="str">
        <f>IF(Bids!$F684="","",Bids!$F684)</f>
        <v/>
      </c>
      <c r="U684" s="40" t="str">
        <f t="shared" si="3"/>
        <v/>
      </c>
      <c r="V684" s="40" t="str">
        <f>IF($U684="","",IF(Config!$B$17=Config!$B$16,IF($U684&gt;=Config!$B$17,100,0),MAX(0,MIN(100,($U684-Config!$B$16)/(Config!$B$17-Config!$B$16)*100))))</f>
        <v/>
      </c>
      <c r="W684" s="40">
        <f>IF($L684="Elite",Config!$B$21,0)</f>
        <v>0</v>
      </c>
      <c r="X684" s="40" t="str">
        <f>IFERROR(IF(OR($T684="",$G684=""),"",IF($T684&gt;$G684,
  MAX(0, 60-(($T684-$G684)*24/Config!$B$19)*60),
  MEDIAN(60, 100, 60+(($G684-$T684)*24/Config!$B$20)*40)
)),"")
</f>
        <v/>
      </c>
      <c r="Y684" s="40" t="str">
        <f>IF($J684="","",IFERROR(VLOOKUP($J684,Grinders!$A:$N,10,FALSE),""))</f>
        <v/>
      </c>
      <c r="Z684" s="40" t="str">
        <f>IF($J684="","",IFERROR(VLOOKUP($J684,Grinders!$A:$N,11,FALSE),""))</f>
        <v/>
      </c>
      <c r="AA684" s="40" t="str">
        <f>IF($J684="","",IFERROR(VLOOKUP($J684,Grinders!$A:$N,12,FALSE),""))</f>
        <v/>
      </c>
      <c r="AB684" s="40">
        <f>IFERROR(IF(OR($C684="",$J684=""),0,IF($D684&lt;&gt;"Open",0,IF(COUNTIFS(GrinderServices!$B:$B,$J684,GrinderServices!$C:$C,$E684,GrinderServices!$E:$E,"Y")=0,0,IF($U684&lt;Config!$B$16,0,IF(Config!$B$18=1,IF($N684&gt;=$M684,0,1),1))))),"")</f>
        <v>0</v>
      </c>
      <c r="AC684" s="40" t="str">
        <f>IFERROR(IF($AB684=0,"",((Config!$B$6*$V684 + Config!$B$7*$R684 + Config!$B$8*$W684 + Config!$B$9*$X684 + Config!$B$10*$Y684 + Config!$B$11*$Z684 - Config!$B$12*$AA684)/Config!$B$13)+$AH684+$AI684),"")</f>
        <v/>
      </c>
      <c r="AD684" s="40" t="str">
        <f t="shared" si="4"/>
        <v/>
      </c>
      <c r="AE684" s="40" t="str">
        <f>IFERROR(__xludf.DUMMYFUNCTION("IF($AC684="""","""",IF($AC684=IFERROR(MAX(FILTER($AC$6:$AC$1000,$C$6:$C$1000=$C684,$AB$6:$AB$1000=1)),),""WINNER"",""""))"),"")</f>
        <v/>
      </c>
      <c r="AF684" s="40" t="str">
        <f t="shared" si="5"/>
        <v/>
      </c>
      <c r="AG684" s="40" t="str">
        <f>IF($J684="","",COUNTIF(Assignments!$B:$B,$J684))</f>
        <v/>
      </c>
      <c r="AH684" s="40" t="str">
        <f>IF($J684="","",IF(AND($AG684=0,$N684&lt;$M684),Config!$B$43,0))</f>
        <v/>
      </c>
      <c r="AI684" s="40" t="str">
        <f>IF($J684="","",IF(AND($L684="Elite",$F684&gt;=Config!$B$41,$N684&lt;$M684),Config!$B$42,0))</f>
        <v/>
      </c>
      <c r="AJ684" s="22"/>
    </row>
    <row r="685" ht="15.75" customHeight="1">
      <c r="A685" s="40" t="str">
        <f t="shared" si="1"/>
        <v/>
      </c>
      <c r="B685" s="40" t="str">
        <f>IF(Bids!$A685="","",Bids!$A685)</f>
        <v/>
      </c>
      <c r="C685" s="40" t="str">
        <f>IF(Bids!$B685="","",Bids!$B685)</f>
        <v/>
      </c>
      <c r="D685" s="40" t="str">
        <f>IF($C685="","",IFERROR(VLOOKUP($C685,Orders!$A:$J,9,FALSE),""))</f>
        <v/>
      </c>
      <c r="E685" s="40" t="str">
        <f>IF($C685="","",IFERROR(VLOOKUP($C685,Orders!$A:$J,3,FALSE),""))</f>
        <v/>
      </c>
      <c r="F685" s="40" t="str">
        <f>IF($C685="","",IFERROR(VLOOKUP($C685,Orders!$A:$J,4,FALSE),""))</f>
        <v/>
      </c>
      <c r="G685" s="40" t="str">
        <f>IF($C685="","",IFERROR(VLOOKUP($C685,Orders!$A:$J,5,FALSE),""))</f>
        <v/>
      </c>
      <c r="H685" s="40" t="str">
        <f>IF($C685="","",IFERROR(VLOOKUP($C685,Orders!$A:$J,6,FALSE),""))</f>
        <v/>
      </c>
      <c r="I685" s="40" t="str">
        <f>IF($C685="","",IFERROR(VLOOKUP($C685,Orders!$A:$J,7,FALSE),""))</f>
        <v/>
      </c>
      <c r="J685" s="40" t="str">
        <f>IF(Bids!$C685="","",Bids!$C685)</f>
        <v/>
      </c>
      <c r="K685" s="40" t="str">
        <f>IF($J685="","",IFERROR(VLOOKUP($J685,Grinders!$A:$N,2,FALSE),""))</f>
        <v/>
      </c>
      <c r="L685" s="40" t="str">
        <f>IF($J685="","",IFERROR(VLOOKUP($J685,Grinders!$A:$N,3,FALSE),""))</f>
        <v/>
      </c>
      <c r="M685" s="40" t="str">
        <f>IF($J685="","",IFERROR(VLOOKUP($J685,Grinders!$A:$N,4,FALSE),""))</f>
        <v/>
      </c>
      <c r="N685" s="40" t="str">
        <f>IF($J685="","",IFERROR(VLOOKUP($J685,Grinders!$A:$N,5,FALSE),""))</f>
        <v/>
      </c>
      <c r="O685" s="40" t="str">
        <f t="shared" si="2"/>
        <v/>
      </c>
      <c r="P685" s="40" t="str">
        <f>IF($J685="","",IFERROR(VLOOKUP($J685,Grinders!$A:$N,6,FALSE),""))</f>
        <v/>
      </c>
      <c r="Q685" s="40" t="str">
        <f>IF($J685="","",IFERROR(VLOOKUP($J685,Grinders!$A:$N,8,FALSE),""))</f>
        <v/>
      </c>
      <c r="R685" s="40" t="str">
        <f>IFERROR(IF($J685="","",IF($L685="Elite",MAX(50,MIN(100,Config!$B$27*MAX(0,MIN(100,(1-IF($O685="",0,$O685))*100)) + Config!$B$28*MAX(0,MIN(100,(1-MIN(1,IF(Config!$B$30=0,1,$P685/Config!$B$30)))*100)) + Config!$B$29*MAX(0,MIN(100,MIN(1,IF($Q685="",0,$Q685)/Config!$B$23)*100)))),MIN(100,Config!$B$27*MAX(0,MIN(100,(1-IF($O685="",0,$O685))*100)) + Config!$B$28*MAX(0,MIN(100,(1-MIN(1,IF(Config!$B$30=0,1,$P685/Config!$B$30)))*100)) + Config!$B$29*MAX(0,MIN(100,MIN(1,IF($Q685="",0,$Q685)/Config!$B$23)*100))))),"")
</f>
        <v/>
      </c>
      <c r="S685" s="40" t="str">
        <f>IF(Bids!$D685="","",Bids!$D685)</f>
        <v/>
      </c>
      <c r="T685" s="40" t="str">
        <f>IF(Bids!$F685="","",Bids!$F685)</f>
        <v/>
      </c>
      <c r="U685" s="40" t="str">
        <f t="shared" si="3"/>
        <v/>
      </c>
      <c r="V685" s="40" t="str">
        <f>IF($U685="","",IF(Config!$B$17=Config!$B$16,IF($U685&gt;=Config!$B$17,100,0),MAX(0,MIN(100,($U685-Config!$B$16)/(Config!$B$17-Config!$B$16)*100))))</f>
        <v/>
      </c>
      <c r="W685" s="40">
        <f>IF($L685="Elite",Config!$B$21,0)</f>
        <v>0</v>
      </c>
      <c r="X685" s="40" t="str">
        <f>IFERROR(IF(OR($T685="",$G685=""),"",IF($T685&gt;$G685,
  MAX(0, 60-(($T685-$G685)*24/Config!$B$19)*60),
  MEDIAN(60, 100, 60+(($G685-$T685)*24/Config!$B$20)*40)
)),"")
</f>
        <v/>
      </c>
      <c r="Y685" s="40" t="str">
        <f>IF($J685="","",IFERROR(VLOOKUP($J685,Grinders!$A:$N,10,FALSE),""))</f>
        <v/>
      </c>
      <c r="Z685" s="40" t="str">
        <f>IF($J685="","",IFERROR(VLOOKUP($J685,Grinders!$A:$N,11,FALSE),""))</f>
        <v/>
      </c>
      <c r="AA685" s="40" t="str">
        <f>IF($J685="","",IFERROR(VLOOKUP($J685,Grinders!$A:$N,12,FALSE),""))</f>
        <v/>
      </c>
      <c r="AB685" s="40">
        <f>IFERROR(IF(OR($C685="",$J685=""),0,IF($D685&lt;&gt;"Open",0,IF(COUNTIFS(GrinderServices!$B:$B,$J685,GrinderServices!$C:$C,$E685,GrinderServices!$E:$E,"Y")=0,0,IF($U685&lt;Config!$B$16,0,IF(Config!$B$18=1,IF($N685&gt;=$M685,0,1),1))))),"")</f>
        <v>0</v>
      </c>
      <c r="AC685" s="40" t="str">
        <f>IFERROR(IF($AB685=0,"",((Config!$B$6*$V685 + Config!$B$7*$R685 + Config!$B$8*$W685 + Config!$B$9*$X685 + Config!$B$10*$Y685 + Config!$B$11*$Z685 - Config!$B$12*$AA685)/Config!$B$13)+$AH685+$AI685),"")</f>
        <v/>
      </c>
      <c r="AD685" s="40" t="str">
        <f t="shared" si="4"/>
        <v/>
      </c>
      <c r="AE685" s="40" t="str">
        <f>IFERROR(__xludf.DUMMYFUNCTION("IF($AC685="""","""",IF($AC685=IFERROR(MAX(FILTER($AC$6:$AC$1000,$C$6:$C$1000=$C685,$AB$6:$AB$1000=1)),),""WINNER"",""""))"),"")</f>
        <v/>
      </c>
      <c r="AF685" s="40" t="str">
        <f t="shared" si="5"/>
        <v/>
      </c>
      <c r="AG685" s="40" t="str">
        <f>IF($J685="","",COUNTIF(Assignments!$B:$B,$J685))</f>
        <v/>
      </c>
      <c r="AH685" s="40" t="str">
        <f>IF($J685="","",IF(AND($AG685=0,$N685&lt;$M685),Config!$B$43,0))</f>
        <v/>
      </c>
      <c r="AI685" s="40" t="str">
        <f>IF($J685="","",IF(AND($L685="Elite",$F685&gt;=Config!$B$41,$N685&lt;$M685),Config!$B$42,0))</f>
        <v/>
      </c>
      <c r="AJ685" s="22"/>
    </row>
    <row r="686" ht="15.75" customHeight="1">
      <c r="A686" s="40" t="str">
        <f t="shared" si="1"/>
        <v/>
      </c>
      <c r="B686" s="40" t="str">
        <f>IF(Bids!$A686="","",Bids!$A686)</f>
        <v/>
      </c>
      <c r="C686" s="40" t="str">
        <f>IF(Bids!$B686="","",Bids!$B686)</f>
        <v/>
      </c>
      <c r="D686" s="40" t="str">
        <f>IF($C686="","",IFERROR(VLOOKUP($C686,Orders!$A:$J,9,FALSE),""))</f>
        <v/>
      </c>
      <c r="E686" s="40" t="str">
        <f>IF($C686="","",IFERROR(VLOOKUP($C686,Orders!$A:$J,3,FALSE),""))</f>
        <v/>
      </c>
      <c r="F686" s="40" t="str">
        <f>IF($C686="","",IFERROR(VLOOKUP($C686,Orders!$A:$J,4,FALSE),""))</f>
        <v/>
      </c>
      <c r="G686" s="40" t="str">
        <f>IF($C686="","",IFERROR(VLOOKUP($C686,Orders!$A:$J,5,FALSE),""))</f>
        <v/>
      </c>
      <c r="H686" s="40" t="str">
        <f>IF($C686="","",IFERROR(VLOOKUP($C686,Orders!$A:$J,6,FALSE),""))</f>
        <v/>
      </c>
      <c r="I686" s="40" t="str">
        <f>IF($C686="","",IFERROR(VLOOKUP($C686,Orders!$A:$J,7,FALSE),""))</f>
        <v/>
      </c>
      <c r="J686" s="40" t="str">
        <f>IF(Bids!$C686="","",Bids!$C686)</f>
        <v/>
      </c>
      <c r="K686" s="40" t="str">
        <f>IF($J686="","",IFERROR(VLOOKUP($J686,Grinders!$A:$N,2,FALSE),""))</f>
        <v/>
      </c>
      <c r="L686" s="40" t="str">
        <f>IF($J686="","",IFERROR(VLOOKUP($J686,Grinders!$A:$N,3,FALSE),""))</f>
        <v/>
      </c>
      <c r="M686" s="40" t="str">
        <f>IF($J686="","",IFERROR(VLOOKUP($J686,Grinders!$A:$N,4,FALSE),""))</f>
        <v/>
      </c>
      <c r="N686" s="40" t="str">
        <f>IF($J686="","",IFERROR(VLOOKUP($J686,Grinders!$A:$N,5,FALSE),""))</f>
        <v/>
      </c>
      <c r="O686" s="40" t="str">
        <f t="shared" si="2"/>
        <v/>
      </c>
      <c r="P686" s="40" t="str">
        <f>IF($J686="","",IFERROR(VLOOKUP($J686,Grinders!$A:$N,6,FALSE),""))</f>
        <v/>
      </c>
      <c r="Q686" s="40" t="str">
        <f>IF($J686="","",IFERROR(VLOOKUP($J686,Grinders!$A:$N,8,FALSE),""))</f>
        <v/>
      </c>
      <c r="R686" s="40" t="str">
        <f>IFERROR(IF($J686="","",IF($L686="Elite",MAX(50,MIN(100,Config!$B$27*MAX(0,MIN(100,(1-IF($O686="",0,$O686))*100)) + Config!$B$28*MAX(0,MIN(100,(1-MIN(1,IF(Config!$B$30=0,1,$P686/Config!$B$30)))*100)) + Config!$B$29*MAX(0,MIN(100,MIN(1,IF($Q686="",0,$Q686)/Config!$B$23)*100)))),MIN(100,Config!$B$27*MAX(0,MIN(100,(1-IF($O686="",0,$O686))*100)) + Config!$B$28*MAX(0,MIN(100,(1-MIN(1,IF(Config!$B$30=0,1,$P686/Config!$B$30)))*100)) + Config!$B$29*MAX(0,MIN(100,MIN(1,IF($Q686="",0,$Q686)/Config!$B$23)*100))))),"")
</f>
        <v/>
      </c>
      <c r="S686" s="40" t="str">
        <f>IF(Bids!$D686="","",Bids!$D686)</f>
        <v/>
      </c>
      <c r="T686" s="40" t="str">
        <f>IF(Bids!$F686="","",Bids!$F686)</f>
        <v/>
      </c>
      <c r="U686" s="40" t="str">
        <f t="shared" si="3"/>
        <v/>
      </c>
      <c r="V686" s="40" t="str">
        <f>IF($U686="","",IF(Config!$B$17=Config!$B$16,IF($U686&gt;=Config!$B$17,100,0),MAX(0,MIN(100,($U686-Config!$B$16)/(Config!$B$17-Config!$B$16)*100))))</f>
        <v/>
      </c>
      <c r="W686" s="40">
        <f>IF($L686="Elite",Config!$B$21,0)</f>
        <v>0</v>
      </c>
      <c r="X686" s="40" t="str">
        <f>IFERROR(IF(OR($T686="",$G686=""),"",IF($T686&gt;$G686,
  MAX(0, 60-(($T686-$G686)*24/Config!$B$19)*60),
  MEDIAN(60, 100, 60+(($G686-$T686)*24/Config!$B$20)*40)
)),"")
</f>
        <v/>
      </c>
      <c r="Y686" s="40" t="str">
        <f>IF($J686="","",IFERROR(VLOOKUP($J686,Grinders!$A:$N,10,FALSE),""))</f>
        <v/>
      </c>
      <c r="Z686" s="40" t="str">
        <f>IF($J686="","",IFERROR(VLOOKUP($J686,Grinders!$A:$N,11,FALSE),""))</f>
        <v/>
      </c>
      <c r="AA686" s="40" t="str">
        <f>IF($J686="","",IFERROR(VLOOKUP($J686,Grinders!$A:$N,12,FALSE),""))</f>
        <v/>
      </c>
      <c r="AB686" s="40">
        <f>IFERROR(IF(OR($C686="",$J686=""),0,IF($D686&lt;&gt;"Open",0,IF(COUNTIFS(GrinderServices!$B:$B,$J686,GrinderServices!$C:$C,$E686,GrinderServices!$E:$E,"Y")=0,0,IF($U686&lt;Config!$B$16,0,IF(Config!$B$18=1,IF($N686&gt;=$M686,0,1),1))))),"")</f>
        <v>0</v>
      </c>
      <c r="AC686" s="40" t="str">
        <f>IFERROR(IF($AB686=0,"",((Config!$B$6*$V686 + Config!$B$7*$R686 + Config!$B$8*$W686 + Config!$B$9*$X686 + Config!$B$10*$Y686 + Config!$B$11*$Z686 - Config!$B$12*$AA686)/Config!$B$13)+$AH686+$AI686),"")</f>
        <v/>
      </c>
      <c r="AD686" s="40" t="str">
        <f t="shared" si="4"/>
        <v/>
      </c>
      <c r="AE686" s="40" t="str">
        <f>IFERROR(__xludf.DUMMYFUNCTION("IF($AC686="""","""",IF($AC686=IFERROR(MAX(FILTER($AC$6:$AC$1000,$C$6:$C$1000=$C686,$AB$6:$AB$1000=1)),),""WINNER"",""""))"),"")</f>
        <v/>
      </c>
      <c r="AF686" s="40" t="str">
        <f t="shared" si="5"/>
        <v/>
      </c>
      <c r="AG686" s="40" t="str">
        <f>IF($J686="","",COUNTIF(Assignments!$B:$B,$J686))</f>
        <v/>
      </c>
      <c r="AH686" s="40" t="str">
        <f>IF($J686="","",IF(AND($AG686=0,$N686&lt;$M686),Config!$B$43,0))</f>
        <v/>
      </c>
      <c r="AI686" s="40" t="str">
        <f>IF($J686="","",IF(AND($L686="Elite",$F686&gt;=Config!$B$41,$N686&lt;$M686),Config!$B$42,0))</f>
        <v/>
      </c>
      <c r="AJ686" s="22"/>
    </row>
    <row r="687" ht="15.75" customHeight="1">
      <c r="A687" s="40" t="str">
        <f t="shared" si="1"/>
        <v/>
      </c>
      <c r="B687" s="40" t="str">
        <f>IF(Bids!$A687="","",Bids!$A687)</f>
        <v/>
      </c>
      <c r="C687" s="40" t="str">
        <f>IF(Bids!$B687="","",Bids!$B687)</f>
        <v/>
      </c>
      <c r="D687" s="40" t="str">
        <f>IF($C687="","",IFERROR(VLOOKUP($C687,Orders!$A:$J,9,FALSE),""))</f>
        <v/>
      </c>
      <c r="E687" s="40" t="str">
        <f>IF($C687="","",IFERROR(VLOOKUP($C687,Orders!$A:$J,3,FALSE),""))</f>
        <v/>
      </c>
      <c r="F687" s="40" t="str">
        <f>IF($C687="","",IFERROR(VLOOKUP($C687,Orders!$A:$J,4,FALSE),""))</f>
        <v/>
      </c>
      <c r="G687" s="40" t="str">
        <f>IF($C687="","",IFERROR(VLOOKUP($C687,Orders!$A:$J,5,FALSE),""))</f>
        <v/>
      </c>
      <c r="H687" s="40" t="str">
        <f>IF($C687="","",IFERROR(VLOOKUP($C687,Orders!$A:$J,6,FALSE),""))</f>
        <v/>
      </c>
      <c r="I687" s="40" t="str">
        <f>IF($C687="","",IFERROR(VLOOKUP($C687,Orders!$A:$J,7,FALSE),""))</f>
        <v/>
      </c>
      <c r="J687" s="40" t="str">
        <f>IF(Bids!$C687="","",Bids!$C687)</f>
        <v/>
      </c>
      <c r="K687" s="40" t="str">
        <f>IF($J687="","",IFERROR(VLOOKUP($J687,Grinders!$A:$N,2,FALSE),""))</f>
        <v/>
      </c>
      <c r="L687" s="40" t="str">
        <f>IF($J687="","",IFERROR(VLOOKUP($J687,Grinders!$A:$N,3,FALSE),""))</f>
        <v/>
      </c>
      <c r="M687" s="40" t="str">
        <f>IF($J687="","",IFERROR(VLOOKUP($J687,Grinders!$A:$N,4,FALSE),""))</f>
        <v/>
      </c>
      <c r="N687" s="40" t="str">
        <f>IF($J687="","",IFERROR(VLOOKUP($J687,Grinders!$A:$N,5,FALSE),""))</f>
        <v/>
      </c>
      <c r="O687" s="40" t="str">
        <f t="shared" si="2"/>
        <v/>
      </c>
      <c r="P687" s="40" t="str">
        <f>IF($J687="","",IFERROR(VLOOKUP($J687,Grinders!$A:$N,6,FALSE),""))</f>
        <v/>
      </c>
      <c r="Q687" s="40" t="str">
        <f>IF($J687="","",IFERROR(VLOOKUP($J687,Grinders!$A:$N,8,FALSE),""))</f>
        <v/>
      </c>
      <c r="R687" s="40" t="str">
        <f>IFERROR(IF($J687="","",IF($L687="Elite",MAX(50,MIN(100,Config!$B$27*MAX(0,MIN(100,(1-IF($O687="",0,$O687))*100)) + Config!$B$28*MAX(0,MIN(100,(1-MIN(1,IF(Config!$B$30=0,1,$P687/Config!$B$30)))*100)) + Config!$B$29*MAX(0,MIN(100,MIN(1,IF($Q687="",0,$Q687)/Config!$B$23)*100)))),MIN(100,Config!$B$27*MAX(0,MIN(100,(1-IF($O687="",0,$O687))*100)) + Config!$B$28*MAX(0,MIN(100,(1-MIN(1,IF(Config!$B$30=0,1,$P687/Config!$B$30)))*100)) + Config!$B$29*MAX(0,MIN(100,MIN(1,IF($Q687="",0,$Q687)/Config!$B$23)*100))))),"")
</f>
        <v/>
      </c>
      <c r="S687" s="40" t="str">
        <f>IF(Bids!$D687="","",Bids!$D687)</f>
        <v/>
      </c>
      <c r="T687" s="40" t="str">
        <f>IF(Bids!$F687="","",Bids!$F687)</f>
        <v/>
      </c>
      <c r="U687" s="40" t="str">
        <f t="shared" si="3"/>
        <v/>
      </c>
      <c r="V687" s="40" t="str">
        <f>IF($U687="","",IF(Config!$B$17=Config!$B$16,IF($U687&gt;=Config!$B$17,100,0),MAX(0,MIN(100,($U687-Config!$B$16)/(Config!$B$17-Config!$B$16)*100))))</f>
        <v/>
      </c>
      <c r="W687" s="40">
        <f>IF($L687="Elite",Config!$B$21,0)</f>
        <v>0</v>
      </c>
      <c r="X687" s="40" t="str">
        <f>IFERROR(IF(OR($T687="",$G687=""),"",IF($T687&gt;$G687,
  MAX(0, 60-(($T687-$G687)*24/Config!$B$19)*60),
  MEDIAN(60, 100, 60+(($G687-$T687)*24/Config!$B$20)*40)
)),"")
</f>
        <v/>
      </c>
      <c r="Y687" s="40" t="str">
        <f>IF($J687="","",IFERROR(VLOOKUP($J687,Grinders!$A:$N,10,FALSE),""))</f>
        <v/>
      </c>
      <c r="Z687" s="40" t="str">
        <f>IF($J687="","",IFERROR(VLOOKUP($J687,Grinders!$A:$N,11,FALSE),""))</f>
        <v/>
      </c>
      <c r="AA687" s="40" t="str">
        <f>IF($J687="","",IFERROR(VLOOKUP($J687,Grinders!$A:$N,12,FALSE),""))</f>
        <v/>
      </c>
      <c r="AB687" s="40">
        <f>IFERROR(IF(OR($C687="",$J687=""),0,IF($D687&lt;&gt;"Open",0,IF(COUNTIFS(GrinderServices!$B:$B,$J687,GrinderServices!$C:$C,$E687,GrinderServices!$E:$E,"Y")=0,0,IF($U687&lt;Config!$B$16,0,IF(Config!$B$18=1,IF($N687&gt;=$M687,0,1),1))))),"")</f>
        <v>0</v>
      </c>
      <c r="AC687" s="40" t="str">
        <f>IFERROR(IF($AB687=0,"",((Config!$B$6*$V687 + Config!$B$7*$R687 + Config!$B$8*$W687 + Config!$B$9*$X687 + Config!$B$10*$Y687 + Config!$B$11*$Z687 - Config!$B$12*$AA687)/Config!$B$13)+$AH687+$AI687),"")</f>
        <v/>
      </c>
      <c r="AD687" s="40" t="str">
        <f t="shared" si="4"/>
        <v/>
      </c>
      <c r="AE687" s="40" t="str">
        <f>IFERROR(__xludf.DUMMYFUNCTION("IF($AC687="""","""",IF($AC687=IFERROR(MAX(FILTER($AC$6:$AC$1000,$C$6:$C$1000=$C687,$AB$6:$AB$1000=1)),),""WINNER"",""""))"),"")</f>
        <v/>
      </c>
      <c r="AF687" s="40" t="str">
        <f t="shared" si="5"/>
        <v/>
      </c>
      <c r="AG687" s="40" t="str">
        <f>IF($J687="","",COUNTIF(Assignments!$B:$B,$J687))</f>
        <v/>
      </c>
      <c r="AH687" s="40" t="str">
        <f>IF($J687="","",IF(AND($AG687=0,$N687&lt;$M687),Config!$B$43,0))</f>
        <v/>
      </c>
      <c r="AI687" s="40" t="str">
        <f>IF($J687="","",IF(AND($L687="Elite",$F687&gt;=Config!$B$41,$N687&lt;$M687),Config!$B$42,0))</f>
        <v/>
      </c>
      <c r="AJ687" s="22"/>
    </row>
    <row r="688" ht="15.75" customHeight="1">
      <c r="A688" s="40" t="str">
        <f t="shared" si="1"/>
        <v/>
      </c>
      <c r="B688" s="40" t="str">
        <f>IF(Bids!$A688="","",Bids!$A688)</f>
        <v/>
      </c>
      <c r="C688" s="40" t="str">
        <f>IF(Bids!$B688="","",Bids!$B688)</f>
        <v/>
      </c>
      <c r="D688" s="40" t="str">
        <f>IF($C688="","",IFERROR(VLOOKUP($C688,Orders!$A:$J,9,FALSE),""))</f>
        <v/>
      </c>
      <c r="E688" s="40" t="str">
        <f>IF($C688="","",IFERROR(VLOOKUP($C688,Orders!$A:$J,3,FALSE),""))</f>
        <v/>
      </c>
      <c r="F688" s="40" t="str">
        <f>IF($C688="","",IFERROR(VLOOKUP($C688,Orders!$A:$J,4,FALSE),""))</f>
        <v/>
      </c>
      <c r="G688" s="40" t="str">
        <f>IF($C688="","",IFERROR(VLOOKUP($C688,Orders!$A:$J,5,FALSE),""))</f>
        <v/>
      </c>
      <c r="H688" s="40" t="str">
        <f>IF($C688="","",IFERROR(VLOOKUP($C688,Orders!$A:$J,6,FALSE),""))</f>
        <v/>
      </c>
      <c r="I688" s="40" t="str">
        <f>IF($C688="","",IFERROR(VLOOKUP($C688,Orders!$A:$J,7,FALSE),""))</f>
        <v/>
      </c>
      <c r="J688" s="40" t="str">
        <f>IF(Bids!$C688="","",Bids!$C688)</f>
        <v/>
      </c>
      <c r="K688" s="40" t="str">
        <f>IF($J688="","",IFERROR(VLOOKUP($J688,Grinders!$A:$N,2,FALSE),""))</f>
        <v/>
      </c>
      <c r="L688" s="40" t="str">
        <f>IF($J688="","",IFERROR(VLOOKUP($J688,Grinders!$A:$N,3,FALSE),""))</f>
        <v/>
      </c>
      <c r="M688" s="40" t="str">
        <f>IF($J688="","",IFERROR(VLOOKUP($J688,Grinders!$A:$N,4,FALSE),""))</f>
        <v/>
      </c>
      <c r="N688" s="40" t="str">
        <f>IF($J688="","",IFERROR(VLOOKUP($J688,Grinders!$A:$N,5,FALSE),""))</f>
        <v/>
      </c>
      <c r="O688" s="40" t="str">
        <f t="shared" si="2"/>
        <v/>
      </c>
      <c r="P688" s="40" t="str">
        <f>IF($J688="","",IFERROR(VLOOKUP($J688,Grinders!$A:$N,6,FALSE),""))</f>
        <v/>
      </c>
      <c r="Q688" s="40" t="str">
        <f>IF($J688="","",IFERROR(VLOOKUP($J688,Grinders!$A:$N,8,FALSE),""))</f>
        <v/>
      </c>
      <c r="R688" s="40" t="str">
        <f>IFERROR(IF($J688="","",IF($L688="Elite",MAX(50,MIN(100,Config!$B$27*MAX(0,MIN(100,(1-IF($O688="",0,$O688))*100)) + Config!$B$28*MAX(0,MIN(100,(1-MIN(1,IF(Config!$B$30=0,1,$P688/Config!$B$30)))*100)) + Config!$B$29*MAX(0,MIN(100,MIN(1,IF($Q688="",0,$Q688)/Config!$B$23)*100)))),MIN(100,Config!$B$27*MAX(0,MIN(100,(1-IF($O688="",0,$O688))*100)) + Config!$B$28*MAX(0,MIN(100,(1-MIN(1,IF(Config!$B$30=0,1,$P688/Config!$B$30)))*100)) + Config!$B$29*MAX(0,MIN(100,MIN(1,IF($Q688="",0,$Q688)/Config!$B$23)*100))))),"")
</f>
        <v/>
      </c>
      <c r="S688" s="40" t="str">
        <f>IF(Bids!$D688="","",Bids!$D688)</f>
        <v/>
      </c>
      <c r="T688" s="40" t="str">
        <f>IF(Bids!$F688="","",Bids!$F688)</f>
        <v/>
      </c>
      <c r="U688" s="40" t="str">
        <f t="shared" si="3"/>
        <v/>
      </c>
      <c r="V688" s="40" t="str">
        <f>IF($U688="","",IF(Config!$B$17=Config!$B$16,IF($U688&gt;=Config!$B$17,100,0),MAX(0,MIN(100,($U688-Config!$B$16)/(Config!$B$17-Config!$B$16)*100))))</f>
        <v/>
      </c>
      <c r="W688" s="40">
        <f>IF($L688="Elite",Config!$B$21,0)</f>
        <v>0</v>
      </c>
      <c r="X688" s="40" t="str">
        <f>IFERROR(IF(OR($T688="",$G688=""),"",IF($T688&gt;$G688,
  MAX(0, 60-(($T688-$G688)*24/Config!$B$19)*60),
  MEDIAN(60, 100, 60+(($G688-$T688)*24/Config!$B$20)*40)
)),"")
</f>
        <v/>
      </c>
      <c r="Y688" s="40" t="str">
        <f>IF($J688="","",IFERROR(VLOOKUP($J688,Grinders!$A:$N,10,FALSE),""))</f>
        <v/>
      </c>
      <c r="Z688" s="40" t="str">
        <f>IF($J688="","",IFERROR(VLOOKUP($J688,Grinders!$A:$N,11,FALSE),""))</f>
        <v/>
      </c>
      <c r="AA688" s="40" t="str">
        <f>IF($J688="","",IFERROR(VLOOKUP($J688,Grinders!$A:$N,12,FALSE),""))</f>
        <v/>
      </c>
      <c r="AB688" s="40">
        <f>IFERROR(IF(OR($C688="",$J688=""),0,IF($D688&lt;&gt;"Open",0,IF(COUNTIFS(GrinderServices!$B:$B,$J688,GrinderServices!$C:$C,$E688,GrinderServices!$E:$E,"Y")=0,0,IF($U688&lt;Config!$B$16,0,IF(Config!$B$18=1,IF($N688&gt;=$M688,0,1),1))))),"")</f>
        <v>0</v>
      </c>
      <c r="AC688" s="40" t="str">
        <f>IFERROR(IF($AB688=0,"",((Config!$B$6*$V688 + Config!$B$7*$R688 + Config!$B$8*$W688 + Config!$B$9*$X688 + Config!$B$10*$Y688 + Config!$B$11*$Z688 - Config!$B$12*$AA688)/Config!$B$13)+$AH688+$AI688),"")</f>
        <v/>
      </c>
      <c r="AD688" s="40" t="str">
        <f t="shared" si="4"/>
        <v/>
      </c>
      <c r="AE688" s="40" t="str">
        <f>IFERROR(__xludf.DUMMYFUNCTION("IF($AC688="""","""",IF($AC688=IFERROR(MAX(FILTER($AC$6:$AC$1000,$C$6:$C$1000=$C688,$AB$6:$AB$1000=1)),),""WINNER"",""""))"),"")</f>
        <v/>
      </c>
      <c r="AF688" s="40" t="str">
        <f t="shared" si="5"/>
        <v/>
      </c>
      <c r="AG688" s="40" t="str">
        <f>IF($J688="","",COUNTIF(Assignments!$B:$B,$J688))</f>
        <v/>
      </c>
      <c r="AH688" s="40" t="str">
        <f>IF($J688="","",IF(AND($AG688=0,$N688&lt;$M688),Config!$B$43,0))</f>
        <v/>
      </c>
      <c r="AI688" s="40" t="str">
        <f>IF($J688="","",IF(AND($L688="Elite",$F688&gt;=Config!$B$41,$N688&lt;$M688),Config!$B$42,0))</f>
        <v/>
      </c>
      <c r="AJ688" s="22"/>
    </row>
    <row r="689" ht="15.75" customHeight="1">
      <c r="A689" s="40" t="str">
        <f t="shared" si="1"/>
        <v/>
      </c>
      <c r="B689" s="40" t="str">
        <f>IF(Bids!$A689="","",Bids!$A689)</f>
        <v/>
      </c>
      <c r="C689" s="40" t="str">
        <f>IF(Bids!$B689="","",Bids!$B689)</f>
        <v/>
      </c>
      <c r="D689" s="40" t="str">
        <f>IF($C689="","",IFERROR(VLOOKUP($C689,Orders!$A:$J,9,FALSE),""))</f>
        <v/>
      </c>
      <c r="E689" s="40" t="str">
        <f>IF($C689="","",IFERROR(VLOOKUP($C689,Orders!$A:$J,3,FALSE),""))</f>
        <v/>
      </c>
      <c r="F689" s="40" t="str">
        <f>IF($C689="","",IFERROR(VLOOKUP($C689,Orders!$A:$J,4,FALSE),""))</f>
        <v/>
      </c>
      <c r="G689" s="40" t="str">
        <f>IF($C689="","",IFERROR(VLOOKUP($C689,Orders!$A:$J,5,FALSE),""))</f>
        <v/>
      </c>
      <c r="H689" s="40" t="str">
        <f>IF($C689="","",IFERROR(VLOOKUP($C689,Orders!$A:$J,6,FALSE),""))</f>
        <v/>
      </c>
      <c r="I689" s="40" t="str">
        <f>IF($C689="","",IFERROR(VLOOKUP($C689,Orders!$A:$J,7,FALSE),""))</f>
        <v/>
      </c>
      <c r="J689" s="40" t="str">
        <f>IF(Bids!$C689="","",Bids!$C689)</f>
        <v/>
      </c>
      <c r="K689" s="40" t="str">
        <f>IF($J689="","",IFERROR(VLOOKUP($J689,Grinders!$A:$N,2,FALSE),""))</f>
        <v/>
      </c>
      <c r="L689" s="40" t="str">
        <f>IF($J689="","",IFERROR(VLOOKUP($J689,Grinders!$A:$N,3,FALSE),""))</f>
        <v/>
      </c>
      <c r="M689" s="40" t="str">
        <f>IF($J689="","",IFERROR(VLOOKUP($J689,Grinders!$A:$N,4,FALSE),""))</f>
        <v/>
      </c>
      <c r="N689" s="40" t="str">
        <f>IF($J689="","",IFERROR(VLOOKUP($J689,Grinders!$A:$N,5,FALSE),""))</f>
        <v/>
      </c>
      <c r="O689" s="40" t="str">
        <f t="shared" si="2"/>
        <v/>
      </c>
      <c r="P689" s="40" t="str">
        <f>IF($J689="","",IFERROR(VLOOKUP($J689,Grinders!$A:$N,6,FALSE),""))</f>
        <v/>
      </c>
      <c r="Q689" s="40" t="str">
        <f>IF($J689="","",IFERROR(VLOOKUP($J689,Grinders!$A:$N,8,FALSE),""))</f>
        <v/>
      </c>
      <c r="R689" s="40" t="str">
        <f>IFERROR(IF($J689="","",IF($L689="Elite",MAX(50,MIN(100,Config!$B$27*MAX(0,MIN(100,(1-IF($O689="",0,$O689))*100)) + Config!$B$28*MAX(0,MIN(100,(1-MIN(1,IF(Config!$B$30=0,1,$P689/Config!$B$30)))*100)) + Config!$B$29*MAX(0,MIN(100,MIN(1,IF($Q689="",0,$Q689)/Config!$B$23)*100)))),MIN(100,Config!$B$27*MAX(0,MIN(100,(1-IF($O689="",0,$O689))*100)) + Config!$B$28*MAX(0,MIN(100,(1-MIN(1,IF(Config!$B$30=0,1,$P689/Config!$B$30)))*100)) + Config!$B$29*MAX(0,MIN(100,MIN(1,IF($Q689="",0,$Q689)/Config!$B$23)*100))))),"")
</f>
        <v/>
      </c>
      <c r="S689" s="40" t="str">
        <f>IF(Bids!$D689="","",Bids!$D689)</f>
        <v/>
      </c>
      <c r="T689" s="40" t="str">
        <f>IF(Bids!$F689="","",Bids!$F689)</f>
        <v/>
      </c>
      <c r="U689" s="40" t="str">
        <f t="shared" si="3"/>
        <v/>
      </c>
      <c r="V689" s="40" t="str">
        <f>IF($U689="","",IF(Config!$B$17=Config!$B$16,IF($U689&gt;=Config!$B$17,100,0),MAX(0,MIN(100,($U689-Config!$B$16)/(Config!$B$17-Config!$B$16)*100))))</f>
        <v/>
      </c>
      <c r="W689" s="40">
        <f>IF($L689="Elite",Config!$B$21,0)</f>
        <v>0</v>
      </c>
      <c r="X689" s="40" t="str">
        <f>IFERROR(IF(OR($T689="",$G689=""),"",IF($T689&gt;$G689,
  MAX(0, 60-(($T689-$G689)*24/Config!$B$19)*60),
  MEDIAN(60, 100, 60+(($G689-$T689)*24/Config!$B$20)*40)
)),"")
</f>
        <v/>
      </c>
      <c r="Y689" s="40" t="str">
        <f>IF($J689="","",IFERROR(VLOOKUP($J689,Grinders!$A:$N,10,FALSE),""))</f>
        <v/>
      </c>
      <c r="Z689" s="40" t="str">
        <f>IF($J689="","",IFERROR(VLOOKUP($J689,Grinders!$A:$N,11,FALSE),""))</f>
        <v/>
      </c>
      <c r="AA689" s="40" t="str">
        <f>IF($J689="","",IFERROR(VLOOKUP($J689,Grinders!$A:$N,12,FALSE),""))</f>
        <v/>
      </c>
      <c r="AB689" s="40">
        <f>IFERROR(IF(OR($C689="",$J689=""),0,IF($D689&lt;&gt;"Open",0,IF(COUNTIFS(GrinderServices!$B:$B,$J689,GrinderServices!$C:$C,$E689,GrinderServices!$E:$E,"Y")=0,0,IF($U689&lt;Config!$B$16,0,IF(Config!$B$18=1,IF($N689&gt;=$M689,0,1),1))))),"")</f>
        <v>0</v>
      </c>
      <c r="AC689" s="40" t="str">
        <f>IFERROR(IF($AB689=0,"",((Config!$B$6*$V689 + Config!$B$7*$R689 + Config!$B$8*$W689 + Config!$B$9*$X689 + Config!$B$10*$Y689 + Config!$B$11*$Z689 - Config!$B$12*$AA689)/Config!$B$13)+$AH689+$AI689),"")</f>
        <v/>
      </c>
      <c r="AD689" s="40" t="str">
        <f t="shared" si="4"/>
        <v/>
      </c>
      <c r="AE689" s="40" t="str">
        <f>IFERROR(__xludf.DUMMYFUNCTION("IF($AC689="""","""",IF($AC689=IFERROR(MAX(FILTER($AC$6:$AC$1000,$C$6:$C$1000=$C689,$AB$6:$AB$1000=1)),),""WINNER"",""""))"),"")</f>
        <v/>
      </c>
      <c r="AF689" s="40" t="str">
        <f t="shared" si="5"/>
        <v/>
      </c>
      <c r="AG689" s="40" t="str">
        <f>IF($J689="","",COUNTIF(Assignments!$B:$B,$J689))</f>
        <v/>
      </c>
      <c r="AH689" s="40" t="str">
        <f>IF($J689="","",IF(AND($AG689=0,$N689&lt;$M689),Config!$B$43,0))</f>
        <v/>
      </c>
      <c r="AI689" s="40" t="str">
        <f>IF($J689="","",IF(AND($L689="Elite",$F689&gt;=Config!$B$41,$N689&lt;$M689),Config!$B$42,0))</f>
        <v/>
      </c>
      <c r="AJ689" s="22"/>
    </row>
    <row r="690" ht="15.75" customHeight="1">
      <c r="A690" s="40" t="str">
        <f t="shared" si="1"/>
        <v/>
      </c>
      <c r="B690" s="40" t="str">
        <f>IF(Bids!$A690="","",Bids!$A690)</f>
        <v/>
      </c>
      <c r="C690" s="40" t="str">
        <f>IF(Bids!$B690="","",Bids!$B690)</f>
        <v/>
      </c>
      <c r="D690" s="40" t="str">
        <f>IF($C690="","",IFERROR(VLOOKUP($C690,Orders!$A:$J,9,FALSE),""))</f>
        <v/>
      </c>
      <c r="E690" s="40" t="str">
        <f>IF($C690="","",IFERROR(VLOOKUP($C690,Orders!$A:$J,3,FALSE),""))</f>
        <v/>
      </c>
      <c r="F690" s="40" t="str">
        <f>IF($C690="","",IFERROR(VLOOKUP($C690,Orders!$A:$J,4,FALSE),""))</f>
        <v/>
      </c>
      <c r="G690" s="40" t="str">
        <f>IF($C690="","",IFERROR(VLOOKUP($C690,Orders!$A:$J,5,FALSE),""))</f>
        <v/>
      </c>
      <c r="H690" s="40" t="str">
        <f>IF($C690="","",IFERROR(VLOOKUP($C690,Orders!$A:$J,6,FALSE),""))</f>
        <v/>
      </c>
      <c r="I690" s="40" t="str">
        <f>IF($C690="","",IFERROR(VLOOKUP($C690,Orders!$A:$J,7,FALSE),""))</f>
        <v/>
      </c>
      <c r="J690" s="40" t="str">
        <f>IF(Bids!$C690="","",Bids!$C690)</f>
        <v/>
      </c>
      <c r="K690" s="40" t="str">
        <f>IF($J690="","",IFERROR(VLOOKUP($J690,Grinders!$A:$N,2,FALSE),""))</f>
        <v/>
      </c>
      <c r="L690" s="40" t="str">
        <f>IF($J690="","",IFERROR(VLOOKUP($J690,Grinders!$A:$N,3,FALSE),""))</f>
        <v/>
      </c>
      <c r="M690" s="40" t="str">
        <f>IF($J690="","",IFERROR(VLOOKUP($J690,Grinders!$A:$N,4,FALSE),""))</f>
        <v/>
      </c>
      <c r="N690" s="40" t="str">
        <f>IF($J690="","",IFERROR(VLOOKUP($J690,Grinders!$A:$N,5,FALSE),""))</f>
        <v/>
      </c>
      <c r="O690" s="40" t="str">
        <f t="shared" si="2"/>
        <v/>
      </c>
      <c r="P690" s="40" t="str">
        <f>IF($J690="","",IFERROR(VLOOKUP($J690,Grinders!$A:$N,6,FALSE),""))</f>
        <v/>
      </c>
      <c r="Q690" s="40" t="str">
        <f>IF($J690="","",IFERROR(VLOOKUP($J690,Grinders!$A:$N,8,FALSE),""))</f>
        <v/>
      </c>
      <c r="R690" s="40" t="str">
        <f>IFERROR(IF($J690="","",IF($L690="Elite",MAX(50,MIN(100,Config!$B$27*MAX(0,MIN(100,(1-IF($O690="",0,$O690))*100)) + Config!$B$28*MAX(0,MIN(100,(1-MIN(1,IF(Config!$B$30=0,1,$P690/Config!$B$30)))*100)) + Config!$B$29*MAX(0,MIN(100,MIN(1,IF($Q690="",0,$Q690)/Config!$B$23)*100)))),MIN(100,Config!$B$27*MAX(0,MIN(100,(1-IF($O690="",0,$O690))*100)) + Config!$B$28*MAX(0,MIN(100,(1-MIN(1,IF(Config!$B$30=0,1,$P690/Config!$B$30)))*100)) + Config!$B$29*MAX(0,MIN(100,MIN(1,IF($Q690="",0,$Q690)/Config!$B$23)*100))))),"")
</f>
        <v/>
      </c>
      <c r="S690" s="40" t="str">
        <f>IF(Bids!$D690="","",Bids!$D690)</f>
        <v/>
      </c>
      <c r="T690" s="40" t="str">
        <f>IF(Bids!$F690="","",Bids!$F690)</f>
        <v/>
      </c>
      <c r="U690" s="40" t="str">
        <f t="shared" si="3"/>
        <v/>
      </c>
      <c r="V690" s="40" t="str">
        <f>IF($U690="","",IF(Config!$B$17=Config!$B$16,IF($U690&gt;=Config!$B$17,100,0),MAX(0,MIN(100,($U690-Config!$B$16)/(Config!$B$17-Config!$B$16)*100))))</f>
        <v/>
      </c>
      <c r="W690" s="40">
        <f>IF($L690="Elite",Config!$B$21,0)</f>
        <v>0</v>
      </c>
      <c r="X690" s="40" t="str">
        <f>IFERROR(IF(OR($T690="",$G690=""),"",IF($T690&gt;$G690,
  MAX(0, 60-(($T690-$G690)*24/Config!$B$19)*60),
  MEDIAN(60, 100, 60+(($G690-$T690)*24/Config!$B$20)*40)
)),"")
</f>
        <v/>
      </c>
      <c r="Y690" s="40" t="str">
        <f>IF($J690="","",IFERROR(VLOOKUP($J690,Grinders!$A:$N,10,FALSE),""))</f>
        <v/>
      </c>
      <c r="Z690" s="40" t="str">
        <f>IF($J690="","",IFERROR(VLOOKUP($J690,Grinders!$A:$N,11,FALSE),""))</f>
        <v/>
      </c>
      <c r="AA690" s="40" t="str">
        <f>IF($J690="","",IFERROR(VLOOKUP($J690,Grinders!$A:$N,12,FALSE),""))</f>
        <v/>
      </c>
      <c r="AB690" s="40">
        <f>IFERROR(IF(OR($C690="",$J690=""),0,IF($D690&lt;&gt;"Open",0,IF(COUNTIFS(GrinderServices!$B:$B,$J690,GrinderServices!$C:$C,$E690,GrinderServices!$E:$E,"Y")=0,0,IF($U690&lt;Config!$B$16,0,IF(Config!$B$18=1,IF($N690&gt;=$M690,0,1),1))))),"")</f>
        <v>0</v>
      </c>
      <c r="AC690" s="40" t="str">
        <f>IFERROR(IF($AB690=0,"",((Config!$B$6*$V690 + Config!$B$7*$R690 + Config!$B$8*$W690 + Config!$B$9*$X690 + Config!$B$10*$Y690 + Config!$B$11*$Z690 - Config!$B$12*$AA690)/Config!$B$13)+$AH690+$AI690),"")</f>
        <v/>
      </c>
      <c r="AD690" s="40" t="str">
        <f t="shared" si="4"/>
        <v/>
      </c>
      <c r="AE690" s="40" t="str">
        <f>IFERROR(__xludf.DUMMYFUNCTION("IF($AC690="""","""",IF($AC690=IFERROR(MAX(FILTER($AC$6:$AC$1000,$C$6:$C$1000=$C690,$AB$6:$AB$1000=1)),),""WINNER"",""""))"),"")</f>
        <v/>
      </c>
      <c r="AF690" s="40" t="str">
        <f t="shared" si="5"/>
        <v/>
      </c>
      <c r="AG690" s="40" t="str">
        <f>IF($J690="","",COUNTIF(Assignments!$B:$B,$J690))</f>
        <v/>
      </c>
      <c r="AH690" s="40" t="str">
        <f>IF($J690="","",IF(AND($AG690=0,$N690&lt;$M690),Config!$B$43,0))</f>
        <v/>
      </c>
      <c r="AI690" s="40" t="str">
        <f>IF($J690="","",IF(AND($L690="Elite",$F690&gt;=Config!$B$41,$N690&lt;$M690),Config!$B$42,0))</f>
        <v/>
      </c>
      <c r="AJ690" s="22"/>
    </row>
    <row r="691" ht="15.75" customHeight="1">
      <c r="A691" s="40" t="str">
        <f t="shared" si="1"/>
        <v/>
      </c>
      <c r="B691" s="40" t="str">
        <f>IF(Bids!$A691="","",Bids!$A691)</f>
        <v/>
      </c>
      <c r="C691" s="40" t="str">
        <f>IF(Bids!$B691="","",Bids!$B691)</f>
        <v/>
      </c>
      <c r="D691" s="40" t="str">
        <f>IF($C691="","",IFERROR(VLOOKUP($C691,Orders!$A:$J,9,FALSE),""))</f>
        <v/>
      </c>
      <c r="E691" s="40" t="str">
        <f>IF($C691="","",IFERROR(VLOOKUP($C691,Orders!$A:$J,3,FALSE),""))</f>
        <v/>
      </c>
      <c r="F691" s="40" t="str">
        <f>IF($C691="","",IFERROR(VLOOKUP($C691,Orders!$A:$J,4,FALSE),""))</f>
        <v/>
      </c>
      <c r="G691" s="40" t="str">
        <f>IF($C691="","",IFERROR(VLOOKUP($C691,Orders!$A:$J,5,FALSE),""))</f>
        <v/>
      </c>
      <c r="H691" s="40" t="str">
        <f>IF($C691="","",IFERROR(VLOOKUP($C691,Orders!$A:$J,6,FALSE),""))</f>
        <v/>
      </c>
      <c r="I691" s="40" t="str">
        <f>IF($C691="","",IFERROR(VLOOKUP($C691,Orders!$A:$J,7,FALSE),""))</f>
        <v/>
      </c>
      <c r="J691" s="40" t="str">
        <f>IF(Bids!$C691="","",Bids!$C691)</f>
        <v/>
      </c>
      <c r="K691" s="40" t="str">
        <f>IF($J691="","",IFERROR(VLOOKUP($J691,Grinders!$A:$N,2,FALSE),""))</f>
        <v/>
      </c>
      <c r="L691" s="40" t="str">
        <f>IF($J691="","",IFERROR(VLOOKUP($J691,Grinders!$A:$N,3,FALSE),""))</f>
        <v/>
      </c>
      <c r="M691" s="40" t="str">
        <f>IF($J691="","",IFERROR(VLOOKUP($J691,Grinders!$A:$N,4,FALSE),""))</f>
        <v/>
      </c>
      <c r="N691" s="40" t="str">
        <f>IF($J691="","",IFERROR(VLOOKUP($J691,Grinders!$A:$N,5,FALSE),""))</f>
        <v/>
      </c>
      <c r="O691" s="40" t="str">
        <f t="shared" si="2"/>
        <v/>
      </c>
      <c r="P691" s="40" t="str">
        <f>IF($J691="","",IFERROR(VLOOKUP($J691,Grinders!$A:$N,6,FALSE),""))</f>
        <v/>
      </c>
      <c r="Q691" s="40" t="str">
        <f>IF($J691="","",IFERROR(VLOOKUP($J691,Grinders!$A:$N,8,FALSE),""))</f>
        <v/>
      </c>
      <c r="R691" s="40" t="str">
        <f>IFERROR(IF($J691="","",IF($L691="Elite",MAX(50,MIN(100,Config!$B$27*MAX(0,MIN(100,(1-IF($O691="",0,$O691))*100)) + Config!$B$28*MAX(0,MIN(100,(1-MIN(1,IF(Config!$B$30=0,1,$P691/Config!$B$30)))*100)) + Config!$B$29*MAX(0,MIN(100,MIN(1,IF($Q691="",0,$Q691)/Config!$B$23)*100)))),MIN(100,Config!$B$27*MAX(0,MIN(100,(1-IF($O691="",0,$O691))*100)) + Config!$B$28*MAX(0,MIN(100,(1-MIN(1,IF(Config!$B$30=0,1,$P691/Config!$B$30)))*100)) + Config!$B$29*MAX(0,MIN(100,MIN(1,IF($Q691="",0,$Q691)/Config!$B$23)*100))))),"")
</f>
        <v/>
      </c>
      <c r="S691" s="40" t="str">
        <f>IF(Bids!$D691="","",Bids!$D691)</f>
        <v/>
      </c>
      <c r="T691" s="40" t="str">
        <f>IF(Bids!$F691="","",Bids!$F691)</f>
        <v/>
      </c>
      <c r="U691" s="40" t="str">
        <f t="shared" si="3"/>
        <v/>
      </c>
      <c r="V691" s="40" t="str">
        <f>IF($U691="","",IF(Config!$B$17=Config!$B$16,IF($U691&gt;=Config!$B$17,100,0),MAX(0,MIN(100,($U691-Config!$B$16)/(Config!$B$17-Config!$B$16)*100))))</f>
        <v/>
      </c>
      <c r="W691" s="40">
        <f>IF($L691="Elite",Config!$B$21,0)</f>
        <v>0</v>
      </c>
      <c r="X691" s="40" t="str">
        <f>IFERROR(IF(OR($T691="",$G691=""),"",IF($T691&gt;$G691,
  MAX(0, 60-(($T691-$G691)*24/Config!$B$19)*60),
  MEDIAN(60, 100, 60+(($G691-$T691)*24/Config!$B$20)*40)
)),"")
</f>
        <v/>
      </c>
      <c r="Y691" s="40" t="str">
        <f>IF($J691="","",IFERROR(VLOOKUP($J691,Grinders!$A:$N,10,FALSE),""))</f>
        <v/>
      </c>
      <c r="Z691" s="40" t="str">
        <f>IF($J691="","",IFERROR(VLOOKUP($J691,Grinders!$A:$N,11,FALSE),""))</f>
        <v/>
      </c>
      <c r="AA691" s="40" t="str">
        <f>IF($J691="","",IFERROR(VLOOKUP($J691,Grinders!$A:$N,12,FALSE),""))</f>
        <v/>
      </c>
      <c r="AB691" s="40">
        <f>IFERROR(IF(OR($C691="",$J691=""),0,IF($D691&lt;&gt;"Open",0,IF(COUNTIFS(GrinderServices!$B:$B,$J691,GrinderServices!$C:$C,$E691,GrinderServices!$E:$E,"Y")=0,0,IF($U691&lt;Config!$B$16,0,IF(Config!$B$18=1,IF($N691&gt;=$M691,0,1),1))))),"")</f>
        <v>0</v>
      </c>
      <c r="AC691" s="40" t="str">
        <f>IFERROR(IF($AB691=0,"",((Config!$B$6*$V691 + Config!$B$7*$R691 + Config!$B$8*$W691 + Config!$B$9*$X691 + Config!$B$10*$Y691 + Config!$B$11*$Z691 - Config!$B$12*$AA691)/Config!$B$13)+$AH691+$AI691),"")</f>
        <v/>
      </c>
      <c r="AD691" s="40" t="str">
        <f t="shared" si="4"/>
        <v/>
      </c>
      <c r="AE691" s="40" t="str">
        <f>IFERROR(__xludf.DUMMYFUNCTION("IF($AC691="""","""",IF($AC691=IFERROR(MAX(FILTER($AC$6:$AC$1000,$C$6:$C$1000=$C691,$AB$6:$AB$1000=1)),),""WINNER"",""""))"),"")</f>
        <v/>
      </c>
      <c r="AF691" s="40" t="str">
        <f t="shared" si="5"/>
        <v/>
      </c>
      <c r="AG691" s="40" t="str">
        <f>IF($J691="","",COUNTIF(Assignments!$B:$B,$J691))</f>
        <v/>
      </c>
      <c r="AH691" s="40" t="str">
        <f>IF($J691="","",IF(AND($AG691=0,$N691&lt;$M691),Config!$B$43,0))</f>
        <v/>
      </c>
      <c r="AI691" s="40" t="str">
        <f>IF($J691="","",IF(AND($L691="Elite",$F691&gt;=Config!$B$41,$N691&lt;$M691),Config!$B$42,0))</f>
        <v/>
      </c>
      <c r="AJ691" s="22"/>
    </row>
    <row r="692" ht="15.75" customHeight="1">
      <c r="A692" s="40" t="str">
        <f t="shared" si="1"/>
        <v/>
      </c>
      <c r="B692" s="40" t="str">
        <f>IF(Bids!$A692="","",Bids!$A692)</f>
        <v/>
      </c>
      <c r="C692" s="40" t="str">
        <f>IF(Bids!$B692="","",Bids!$B692)</f>
        <v/>
      </c>
      <c r="D692" s="40" t="str">
        <f>IF($C692="","",IFERROR(VLOOKUP($C692,Orders!$A:$J,9,FALSE),""))</f>
        <v/>
      </c>
      <c r="E692" s="40" t="str">
        <f>IF($C692="","",IFERROR(VLOOKUP($C692,Orders!$A:$J,3,FALSE),""))</f>
        <v/>
      </c>
      <c r="F692" s="40" t="str">
        <f>IF($C692="","",IFERROR(VLOOKUP($C692,Orders!$A:$J,4,FALSE),""))</f>
        <v/>
      </c>
      <c r="G692" s="40" t="str">
        <f>IF($C692="","",IFERROR(VLOOKUP($C692,Orders!$A:$J,5,FALSE),""))</f>
        <v/>
      </c>
      <c r="H692" s="40" t="str">
        <f>IF($C692="","",IFERROR(VLOOKUP($C692,Orders!$A:$J,6,FALSE),""))</f>
        <v/>
      </c>
      <c r="I692" s="40" t="str">
        <f>IF($C692="","",IFERROR(VLOOKUP($C692,Orders!$A:$J,7,FALSE),""))</f>
        <v/>
      </c>
      <c r="J692" s="40" t="str">
        <f>IF(Bids!$C692="","",Bids!$C692)</f>
        <v/>
      </c>
      <c r="K692" s="40" t="str">
        <f>IF($J692="","",IFERROR(VLOOKUP($J692,Grinders!$A:$N,2,FALSE),""))</f>
        <v/>
      </c>
      <c r="L692" s="40" t="str">
        <f>IF($J692="","",IFERROR(VLOOKUP($J692,Grinders!$A:$N,3,FALSE),""))</f>
        <v/>
      </c>
      <c r="M692" s="40" t="str">
        <f>IF($J692="","",IFERROR(VLOOKUP($J692,Grinders!$A:$N,4,FALSE),""))</f>
        <v/>
      </c>
      <c r="N692" s="40" t="str">
        <f>IF($J692="","",IFERROR(VLOOKUP($J692,Grinders!$A:$N,5,FALSE),""))</f>
        <v/>
      </c>
      <c r="O692" s="40" t="str">
        <f t="shared" si="2"/>
        <v/>
      </c>
      <c r="P692" s="40" t="str">
        <f>IF($J692="","",IFERROR(VLOOKUP($J692,Grinders!$A:$N,6,FALSE),""))</f>
        <v/>
      </c>
      <c r="Q692" s="40" t="str">
        <f>IF($J692="","",IFERROR(VLOOKUP($J692,Grinders!$A:$N,8,FALSE),""))</f>
        <v/>
      </c>
      <c r="R692" s="40" t="str">
        <f>IFERROR(IF($J692="","",IF($L692="Elite",MAX(50,MIN(100,Config!$B$27*MAX(0,MIN(100,(1-IF($O692="",0,$O692))*100)) + Config!$B$28*MAX(0,MIN(100,(1-MIN(1,IF(Config!$B$30=0,1,$P692/Config!$B$30)))*100)) + Config!$B$29*MAX(0,MIN(100,MIN(1,IF($Q692="",0,$Q692)/Config!$B$23)*100)))),MIN(100,Config!$B$27*MAX(0,MIN(100,(1-IF($O692="",0,$O692))*100)) + Config!$B$28*MAX(0,MIN(100,(1-MIN(1,IF(Config!$B$30=0,1,$P692/Config!$B$30)))*100)) + Config!$B$29*MAX(0,MIN(100,MIN(1,IF($Q692="",0,$Q692)/Config!$B$23)*100))))),"")
</f>
        <v/>
      </c>
      <c r="S692" s="40" t="str">
        <f>IF(Bids!$D692="","",Bids!$D692)</f>
        <v/>
      </c>
      <c r="T692" s="40" t="str">
        <f>IF(Bids!$F692="","",Bids!$F692)</f>
        <v/>
      </c>
      <c r="U692" s="40" t="str">
        <f t="shared" si="3"/>
        <v/>
      </c>
      <c r="V692" s="40" t="str">
        <f>IF($U692="","",IF(Config!$B$17=Config!$B$16,IF($U692&gt;=Config!$B$17,100,0),MAX(0,MIN(100,($U692-Config!$B$16)/(Config!$B$17-Config!$B$16)*100))))</f>
        <v/>
      </c>
      <c r="W692" s="40">
        <f>IF($L692="Elite",Config!$B$21,0)</f>
        <v>0</v>
      </c>
      <c r="X692" s="40" t="str">
        <f>IFERROR(IF(OR($T692="",$G692=""),"",IF($T692&gt;$G692,
  MAX(0, 60-(($T692-$G692)*24/Config!$B$19)*60),
  MEDIAN(60, 100, 60+(($G692-$T692)*24/Config!$B$20)*40)
)),"")
</f>
        <v/>
      </c>
      <c r="Y692" s="40" t="str">
        <f>IF($J692="","",IFERROR(VLOOKUP($J692,Grinders!$A:$N,10,FALSE),""))</f>
        <v/>
      </c>
      <c r="Z692" s="40" t="str">
        <f>IF($J692="","",IFERROR(VLOOKUP($J692,Grinders!$A:$N,11,FALSE),""))</f>
        <v/>
      </c>
      <c r="AA692" s="40" t="str">
        <f>IF($J692="","",IFERROR(VLOOKUP($J692,Grinders!$A:$N,12,FALSE),""))</f>
        <v/>
      </c>
      <c r="AB692" s="40">
        <f>IFERROR(IF(OR($C692="",$J692=""),0,IF($D692&lt;&gt;"Open",0,IF(COUNTIFS(GrinderServices!$B:$B,$J692,GrinderServices!$C:$C,$E692,GrinderServices!$E:$E,"Y")=0,0,IF($U692&lt;Config!$B$16,0,IF(Config!$B$18=1,IF($N692&gt;=$M692,0,1),1))))),"")</f>
        <v>0</v>
      </c>
      <c r="AC692" s="40" t="str">
        <f>IFERROR(IF($AB692=0,"",((Config!$B$6*$V692 + Config!$B$7*$R692 + Config!$B$8*$W692 + Config!$B$9*$X692 + Config!$B$10*$Y692 + Config!$B$11*$Z692 - Config!$B$12*$AA692)/Config!$B$13)+$AH692+$AI692),"")</f>
        <v/>
      </c>
      <c r="AD692" s="40" t="str">
        <f t="shared" si="4"/>
        <v/>
      </c>
      <c r="AE692" s="40" t="str">
        <f>IFERROR(__xludf.DUMMYFUNCTION("IF($AC692="""","""",IF($AC692=IFERROR(MAX(FILTER($AC$6:$AC$1000,$C$6:$C$1000=$C692,$AB$6:$AB$1000=1)),),""WINNER"",""""))"),"")</f>
        <v/>
      </c>
      <c r="AF692" s="40" t="str">
        <f t="shared" si="5"/>
        <v/>
      </c>
      <c r="AG692" s="40" t="str">
        <f>IF($J692="","",COUNTIF(Assignments!$B:$B,$J692))</f>
        <v/>
      </c>
      <c r="AH692" s="40" t="str">
        <f>IF($J692="","",IF(AND($AG692=0,$N692&lt;$M692),Config!$B$43,0))</f>
        <v/>
      </c>
      <c r="AI692" s="40" t="str">
        <f>IF($J692="","",IF(AND($L692="Elite",$F692&gt;=Config!$B$41,$N692&lt;$M692),Config!$B$42,0))</f>
        <v/>
      </c>
      <c r="AJ692" s="22"/>
    </row>
    <row r="693" ht="15.75" customHeight="1">
      <c r="A693" s="40" t="str">
        <f t="shared" si="1"/>
        <v/>
      </c>
      <c r="B693" s="40" t="str">
        <f>IF(Bids!$A693="","",Bids!$A693)</f>
        <v/>
      </c>
      <c r="C693" s="40" t="str">
        <f>IF(Bids!$B693="","",Bids!$B693)</f>
        <v/>
      </c>
      <c r="D693" s="40" t="str">
        <f>IF($C693="","",IFERROR(VLOOKUP($C693,Orders!$A:$J,9,FALSE),""))</f>
        <v/>
      </c>
      <c r="E693" s="40" t="str">
        <f>IF($C693="","",IFERROR(VLOOKUP($C693,Orders!$A:$J,3,FALSE),""))</f>
        <v/>
      </c>
      <c r="F693" s="40" t="str">
        <f>IF($C693="","",IFERROR(VLOOKUP($C693,Orders!$A:$J,4,FALSE),""))</f>
        <v/>
      </c>
      <c r="G693" s="40" t="str">
        <f>IF($C693="","",IFERROR(VLOOKUP($C693,Orders!$A:$J,5,FALSE),""))</f>
        <v/>
      </c>
      <c r="H693" s="40" t="str">
        <f>IF($C693="","",IFERROR(VLOOKUP($C693,Orders!$A:$J,6,FALSE),""))</f>
        <v/>
      </c>
      <c r="I693" s="40" t="str">
        <f>IF($C693="","",IFERROR(VLOOKUP($C693,Orders!$A:$J,7,FALSE),""))</f>
        <v/>
      </c>
      <c r="J693" s="40" t="str">
        <f>IF(Bids!$C693="","",Bids!$C693)</f>
        <v/>
      </c>
      <c r="K693" s="40" t="str">
        <f>IF($J693="","",IFERROR(VLOOKUP($J693,Grinders!$A:$N,2,FALSE),""))</f>
        <v/>
      </c>
      <c r="L693" s="40" t="str">
        <f>IF($J693="","",IFERROR(VLOOKUP($J693,Grinders!$A:$N,3,FALSE),""))</f>
        <v/>
      </c>
      <c r="M693" s="40" t="str">
        <f>IF($J693="","",IFERROR(VLOOKUP($J693,Grinders!$A:$N,4,FALSE),""))</f>
        <v/>
      </c>
      <c r="N693" s="40" t="str">
        <f>IF($J693="","",IFERROR(VLOOKUP($J693,Grinders!$A:$N,5,FALSE),""))</f>
        <v/>
      </c>
      <c r="O693" s="40" t="str">
        <f t="shared" si="2"/>
        <v/>
      </c>
      <c r="P693" s="40" t="str">
        <f>IF($J693="","",IFERROR(VLOOKUP($J693,Grinders!$A:$N,6,FALSE),""))</f>
        <v/>
      </c>
      <c r="Q693" s="40" t="str">
        <f>IF($J693="","",IFERROR(VLOOKUP($J693,Grinders!$A:$N,8,FALSE),""))</f>
        <v/>
      </c>
      <c r="R693" s="40" t="str">
        <f>IFERROR(IF($J693="","",IF($L693="Elite",MAX(50,MIN(100,Config!$B$27*MAX(0,MIN(100,(1-IF($O693="",0,$O693))*100)) + Config!$B$28*MAX(0,MIN(100,(1-MIN(1,IF(Config!$B$30=0,1,$P693/Config!$B$30)))*100)) + Config!$B$29*MAX(0,MIN(100,MIN(1,IF($Q693="",0,$Q693)/Config!$B$23)*100)))),MIN(100,Config!$B$27*MAX(0,MIN(100,(1-IF($O693="",0,$O693))*100)) + Config!$B$28*MAX(0,MIN(100,(1-MIN(1,IF(Config!$B$30=0,1,$P693/Config!$B$30)))*100)) + Config!$B$29*MAX(0,MIN(100,MIN(1,IF($Q693="",0,$Q693)/Config!$B$23)*100))))),"")
</f>
        <v/>
      </c>
      <c r="S693" s="40" t="str">
        <f>IF(Bids!$D693="","",Bids!$D693)</f>
        <v/>
      </c>
      <c r="T693" s="40" t="str">
        <f>IF(Bids!$F693="","",Bids!$F693)</f>
        <v/>
      </c>
      <c r="U693" s="40" t="str">
        <f t="shared" si="3"/>
        <v/>
      </c>
      <c r="V693" s="40" t="str">
        <f>IF($U693="","",IF(Config!$B$17=Config!$B$16,IF($U693&gt;=Config!$B$17,100,0),MAX(0,MIN(100,($U693-Config!$B$16)/(Config!$B$17-Config!$B$16)*100))))</f>
        <v/>
      </c>
      <c r="W693" s="40">
        <f>IF($L693="Elite",Config!$B$21,0)</f>
        <v>0</v>
      </c>
      <c r="X693" s="40" t="str">
        <f>IFERROR(IF(OR($T693="",$G693=""),"",IF($T693&gt;$G693,
  MAX(0, 60-(($T693-$G693)*24/Config!$B$19)*60),
  MEDIAN(60, 100, 60+(($G693-$T693)*24/Config!$B$20)*40)
)),"")
</f>
        <v/>
      </c>
      <c r="Y693" s="40" t="str">
        <f>IF($J693="","",IFERROR(VLOOKUP($J693,Grinders!$A:$N,10,FALSE),""))</f>
        <v/>
      </c>
      <c r="Z693" s="40" t="str">
        <f>IF($J693="","",IFERROR(VLOOKUP($J693,Grinders!$A:$N,11,FALSE),""))</f>
        <v/>
      </c>
      <c r="AA693" s="40" t="str">
        <f>IF($J693="","",IFERROR(VLOOKUP($J693,Grinders!$A:$N,12,FALSE),""))</f>
        <v/>
      </c>
      <c r="AB693" s="40">
        <f>IFERROR(IF(OR($C693="",$J693=""),0,IF($D693&lt;&gt;"Open",0,IF(COUNTIFS(GrinderServices!$B:$B,$J693,GrinderServices!$C:$C,$E693,GrinderServices!$E:$E,"Y")=0,0,IF($U693&lt;Config!$B$16,0,IF(Config!$B$18=1,IF($N693&gt;=$M693,0,1),1))))),"")</f>
        <v>0</v>
      </c>
      <c r="AC693" s="40" t="str">
        <f>IFERROR(IF($AB693=0,"",((Config!$B$6*$V693 + Config!$B$7*$R693 + Config!$B$8*$W693 + Config!$B$9*$X693 + Config!$B$10*$Y693 + Config!$B$11*$Z693 - Config!$B$12*$AA693)/Config!$B$13)+$AH693+$AI693),"")</f>
        <v/>
      </c>
      <c r="AD693" s="40" t="str">
        <f t="shared" si="4"/>
        <v/>
      </c>
      <c r="AE693" s="40" t="str">
        <f>IFERROR(__xludf.DUMMYFUNCTION("IF($AC693="""","""",IF($AC693=IFERROR(MAX(FILTER($AC$6:$AC$1000,$C$6:$C$1000=$C693,$AB$6:$AB$1000=1)),),""WINNER"",""""))"),"")</f>
        <v/>
      </c>
      <c r="AF693" s="40" t="str">
        <f t="shared" si="5"/>
        <v/>
      </c>
      <c r="AG693" s="40" t="str">
        <f>IF($J693="","",COUNTIF(Assignments!$B:$B,$J693))</f>
        <v/>
      </c>
      <c r="AH693" s="40" t="str">
        <f>IF($J693="","",IF(AND($AG693=0,$N693&lt;$M693),Config!$B$43,0))</f>
        <v/>
      </c>
      <c r="AI693" s="40" t="str">
        <f>IF($J693="","",IF(AND($L693="Elite",$F693&gt;=Config!$B$41,$N693&lt;$M693),Config!$B$42,0))</f>
        <v/>
      </c>
      <c r="AJ693" s="22"/>
    </row>
    <row r="694" ht="15.75" customHeight="1">
      <c r="A694" s="40" t="str">
        <f t="shared" si="1"/>
        <v/>
      </c>
      <c r="B694" s="40" t="str">
        <f>IF(Bids!$A694="","",Bids!$A694)</f>
        <v/>
      </c>
      <c r="C694" s="40" t="str">
        <f>IF(Bids!$B694="","",Bids!$B694)</f>
        <v/>
      </c>
      <c r="D694" s="40" t="str">
        <f>IF($C694="","",IFERROR(VLOOKUP($C694,Orders!$A:$J,9,FALSE),""))</f>
        <v/>
      </c>
      <c r="E694" s="40" t="str">
        <f>IF($C694="","",IFERROR(VLOOKUP($C694,Orders!$A:$J,3,FALSE),""))</f>
        <v/>
      </c>
      <c r="F694" s="40" t="str">
        <f>IF($C694="","",IFERROR(VLOOKUP($C694,Orders!$A:$J,4,FALSE),""))</f>
        <v/>
      </c>
      <c r="G694" s="40" t="str">
        <f>IF($C694="","",IFERROR(VLOOKUP($C694,Orders!$A:$J,5,FALSE),""))</f>
        <v/>
      </c>
      <c r="H694" s="40" t="str">
        <f>IF($C694="","",IFERROR(VLOOKUP($C694,Orders!$A:$J,6,FALSE),""))</f>
        <v/>
      </c>
      <c r="I694" s="40" t="str">
        <f>IF($C694="","",IFERROR(VLOOKUP($C694,Orders!$A:$J,7,FALSE),""))</f>
        <v/>
      </c>
      <c r="J694" s="40" t="str">
        <f>IF(Bids!$C694="","",Bids!$C694)</f>
        <v/>
      </c>
      <c r="K694" s="40" t="str">
        <f>IF($J694="","",IFERROR(VLOOKUP($J694,Grinders!$A:$N,2,FALSE),""))</f>
        <v/>
      </c>
      <c r="L694" s="40" t="str">
        <f>IF($J694="","",IFERROR(VLOOKUP($J694,Grinders!$A:$N,3,FALSE),""))</f>
        <v/>
      </c>
      <c r="M694" s="40" t="str">
        <f>IF($J694="","",IFERROR(VLOOKUP($J694,Grinders!$A:$N,4,FALSE),""))</f>
        <v/>
      </c>
      <c r="N694" s="40" t="str">
        <f>IF($J694="","",IFERROR(VLOOKUP($J694,Grinders!$A:$N,5,FALSE),""))</f>
        <v/>
      </c>
      <c r="O694" s="40" t="str">
        <f t="shared" si="2"/>
        <v/>
      </c>
      <c r="P694" s="40" t="str">
        <f>IF($J694="","",IFERROR(VLOOKUP($J694,Grinders!$A:$N,6,FALSE),""))</f>
        <v/>
      </c>
      <c r="Q694" s="40" t="str">
        <f>IF($J694="","",IFERROR(VLOOKUP($J694,Grinders!$A:$N,8,FALSE),""))</f>
        <v/>
      </c>
      <c r="R694" s="40" t="str">
        <f>IFERROR(IF($J694="","",IF($L694="Elite",MAX(50,MIN(100,Config!$B$27*MAX(0,MIN(100,(1-IF($O694="",0,$O694))*100)) + Config!$B$28*MAX(0,MIN(100,(1-MIN(1,IF(Config!$B$30=0,1,$P694/Config!$B$30)))*100)) + Config!$B$29*MAX(0,MIN(100,MIN(1,IF($Q694="",0,$Q694)/Config!$B$23)*100)))),MIN(100,Config!$B$27*MAX(0,MIN(100,(1-IF($O694="",0,$O694))*100)) + Config!$B$28*MAX(0,MIN(100,(1-MIN(1,IF(Config!$B$30=0,1,$P694/Config!$B$30)))*100)) + Config!$B$29*MAX(0,MIN(100,MIN(1,IF($Q694="",0,$Q694)/Config!$B$23)*100))))),"")
</f>
        <v/>
      </c>
      <c r="S694" s="40" t="str">
        <f>IF(Bids!$D694="","",Bids!$D694)</f>
        <v/>
      </c>
      <c r="T694" s="40" t="str">
        <f>IF(Bids!$F694="","",Bids!$F694)</f>
        <v/>
      </c>
      <c r="U694" s="40" t="str">
        <f t="shared" si="3"/>
        <v/>
      </c>
      <c r="V694" s="40" t="str">
        <f>IF($U694="","",IF(Config!$B$17=Config!$B$16,IF($U694&gt;=Config!$B$17,100,0),MAX(0,MIN(100,($U694-Config!$B$16)/(Config!$B$17-Config!$B$16)*100))))</f>
        <v/>
      </c>
      <c r="W694" s="40">
        <f>IF($L694="Elite",Config!$B$21,0)</f>
        <v>0</v>
      </c>
      <c r="X694" s="40" t="str">
        <f>IFERROR(IF(OR($T694="",$G694=""),"",IF($T694&gt;$G694,
  MAX(0, 60-(($T694-$G694)*24/Config!$B$19)*60),
  MEDIAN(60, 100, 60+(($G694-$T694)*24/Config!$B$20)*40)
)),"")
</f>
        <v/>
      </c>
      <c r="Y694" s="40" t="str">
        <f>IF($J694="","",IFERROR(VLOOKUP($J694,Grinders!$A:$N,10,FALSE),""))</f>
        <v/>
      </c>
      <c r="Z694" s="40" t="str">
        <f>IF($J694="","",IFERROR(VLOOKUP($J694,Grinders!$A:$N,11,FALSE),""))</f>
        <v/>
      </c>
      <c r="AA694" s="40" t="str">
        <f>IF($J694="","",IFERROR(VLOOKUP($J694,Grinders!$A:$N,12,FALSE),""))</f>
        <v/>
      </c>
      <c r="AB694" s="40">
        <f>IFERROR(IF(OR($C694="",$J694=""),0,IF($D694&lt;&gt;"Open",0,IF(COUNTIFS(GrinderServices!$B:$B,$J694,GrinderServices!$C:$C,$E694,GrinderServices!$E:$E,"Y")=0,0,IF($U694&lt;Config!$B$16,0,IF(Config!$B$18=1,IF($N694&gt;=$M694,0,1),1))))),"")</f>
        <v>0</v>
      </c>
      <c r="AC694" s="40" t="str">
        <f>IFERROR(IF($AB694=0,"",((Config!$B$6*$V694 + Config!$B$7*$R694 + Config!$B$8*$W694 + Config!$B$9*$X694 + Config!$B$10*$Y694 + Config!$B$11*$Z694 - Config!$B$12*$AA694)/Config!$B$13)+$AH694+$AI694),"")</f>
        <v/>
      </c>
      <c r="AD694" s="40" t="str">
        <f t="shared" si="4"/>
        <v/>
      </c>
      <c r="AE694" s="40" t="str">
        <f>IFERROR(__xludf.DUMMYFUNCTION("IF($AC694="""","""",IF($AC694=IFERROR(MAX(FILTER($AC$6:$AC$1000,$C$6:$C$1000=$C694,$AB$6:$AB$1000=1)),),""WINNER"",""""))"),"")</f>
        <v/>
      </c>
      <c r="AF694" s="40" t="str">
        <f t="shared" si="5"/>
        <v/>
      </c>
      <c r="AG694" s="40" t="str">
        <f>IF($J694="","",COUNTIF(Assignments!$B:$B,$J694))</f>
        <v/>
      </c>
      <c r="AH694" s="40" t="str">
        <f>IF($J694="","",IF(AND($AG694=0,$N694&lt;$M694),Config!$B$43,0))</f>
        <v/>
      </c>
      <c r="AI694" s="40" t="str">
        <f>IF($J694="","",IF(AND($L694="Elite",$F694&gt;=Config!$B$41,$N694&lt;$M694),Config!$B$42,0))</f>
        <v/>
      </c>
      <c r="AJ694" s="22"/>
    </row>
    <row r="695" ht="15.75" customHeight="1">
      <c r="A695" s="40" t="str">
        <f t="shared" si="1"/>
        <v/>
      </c>
      <c r="B695" s="40" t="str">
        <f>IF(Bids!$A695="","",Bids!$A695)</f>
        <v/>
      </c>
      <c r="C695" s="40" t="str">
        <f>IF(Bids!$B695="","",Bids!$B695)</f>
        <v/>
      </c>
      <c r="D695" s="40" t="str">
        <f>IF($C695="","",IFERROR(VLOOKUP($C695,Orders!$A:$J,9,FALSE),""))</f>
        <v/>
      </c>
      <c r="E695" s="40" t="str">
        <f>IF($C695="","",IFERROR(VLOOKUP($C695,Orders!$A:$J,3,FALSE),""))</f>
        <v/>
      </c>
      <c r="F695" s="40" t="str">
        <f>IF($C695="","",IFERROR(VLOOKUP($C695,Orders!$A:$J,4,FALSE),""))</f>
        <v/>
      </c>
      <c r="G695" s="40" t="str">
        <f>IF($C695="","",IFERROR(VLOOKUP($C695,Orders!$A:$J,5,FALSE),""))</f>
        <v/>
      </c>
      <c r="H695" s="40" t="str">
        <f>IF($C695="","",IFERROR(VLOOKUP($C695,Orders!$A:$J,6,FALSE),""))</f>
        <v/>
      </c>
      <c r="I695" s="40" t="str">
        <f>IF($C695="","",IFERROR(VLOOKUP($C695,Orders!$A:$J,7,FALSE),""))</f>
        <v/>
      </c>
      <c r="J695" s="40" t="str">
        <f>IF(Bids!$C695="","",Bids!$C695)</f>
        <v/>
      </c>
      <c r="K695" s="40" t="str">
        <f>IF($J695="","",IFERROR(VLOOKUP($J695,Grinders!$A:$N,2,FALSE),""))</f>
        <v/>
      </c>
      <c r="L695" s="40" t="str">
        <f>IF($J695="","",IFERROR(VLOOKUP($J695,Grinders!$A:$N,3,FALSE),""))</f>
        <v/>
      </c>
      <c r="M695" s="40" t="str">
        <f>IF($J695="","",IFERROR(VLOOKUP($J695,Grinders!$A:$N,4,FALSE),""))</f>
        <v/>
      </c>
      <c r="N695" s="40" t="str">
        <f>IF($J695="","",IFERROR(VLOOKUP($J695,Grinders!$A:$N,5,FALSE),""))</f>
        <v/>
      </c>
      <c r="O695" s="40" t="str">
        <f t="shared" si="2"/>
        <v/>
      </c>
      <c r="P695" s="40" t="str">
        <f>IF($J695="","",IFERROR(VLOOKUP($J695,Grinders!$A:$N,6,FALSE),""))</f>
        <v/>
      </c>
      <c r="Q695" s="40" t="str">
        <f>IF($J695="","",IFERROR(VLOOKUP($J695,Grinders!$A:$N,8,FALSE),""))</f>
        <v/>
      </c>
      <c r="R695" s="40" t="str">
        <f>IFERROR(IF($J695="","",IF($L695="Elite",MAX(50,MIN(100,Config!$B$27*MAX(0,MIN(100,(1-IF($O695="",0,$O695))*100)) + Config!$B$28*MAX(0,MIN(100,(1-MIN(1,IF(Config!$B$30=0,1,$P695/Config!$B$30)))*100)) + Config!$B$29*MAX(0,MIN(100,MIN(1,IF($Q695="",0,$Q695)/Config!$B$23)*100)))),MIN(100,Config!$B$27*MAX(0,MIN(100,(1-IF($O695="",0,$O695))*100)) + Config!$B$28*MAX(0,MIN(100,(1-MIN(1,IF(Config!$B$30=0,1,$P695/Config!$B$30)))*100)) + Config!$B$29*MAX(0,MIN(100,MIN(1,IF($Q695="",0,$Q695)/Config!$B$23)*100))))),"")
</f>
        <v/>
      </c>
      <c r="S695" s="40" t="str">
        <f>IF(Bids!$D695="","",Bids!$D695)</f>
        <v/>
      </c>
      <c r="T695" s="40" t="str">
        <f>IF(Bids!$F695="","",Bids!$F695)</f>
        <v/>
      </c>
      <c r="U695" s="40" t="str">
        <f t="shared" si="3"/>
        <v/>
      </c>
      <c r="V695" s="40" t="str">
        <f>IF($U695="","",IF(Config!$B$17=Config!$B$16,IF($U695&gt;=Config!$B$17,100,0),MAX(0,MIN(100,($U695-Config!$B$16)/(Config!$B$17-Config!$B$16)*100))))</f>
        <v/>
      </c>
      <c r="W695" s="40">
        <f>IF($L695="Elite",Config!$B$21,0)</f>
        <v>0</v>
      </c>
      <c r="X695" s="40" t="str">
        <f>IFERROR(IF(OR($T695="",$G695=""),"",IF($T695&gt;$G695,
  MAX(0, 60-(($T695-$G695)*24/Config!$B$19)*60),
  MEDIAN(60, 100, 60+(($G695-$T695)*24/Config!$B$20)*40)
)),"")
</f>
        <v/>
      </c>
      <c r="Y695" s="40" t="str">
        <f>IF($J695="","",IFERROR(VLOOKUP($J695,Grinders!$A:$N,10,FALSE),""))</f>
        <v/>
      </c>
      <c r="Z695" s="40" t="str">
        <f>IF($J695="","",IFERROR(VLOOKUP($J695,Grinders!$A:$N,11,FALSE),""))</f>
        <v/>
      </c>
      <c r="AA695" s="40" t="str">
        <f>IF($J695="","",IFERROR(VLOOKUP($J695,Grinders!$A:$N,12,FALSE),""))</f>
        <v/>
      </c>
      <c r="AB695" s="40">
        <f>IFERROR(IF(OR($C695="",$J695=""),0,IF($D695&lt;&gt;"Open",0,IF(COUNTIFS(GrinderServices!$B:$B,$J695,GrinderServices!$C:$C,$E695,GrinderServices!$E:$E,"Y")=0,0,IF($U695&lt;Config!$B$16,0,IF(Config!$B$18=1,IF($N695&gt;=$M695,0,1),1))))),"")</f>
        <v>0</v>
      </c>
      <c r="AC695" s="40" t="str">
        <f>IFERROR(IF($AB695=0,"",((Config!$B$6*$V695 + Config!$B$7*$R695 + Config!$B$8*$W695 + Config!$B$9*$X695 + Config!$B$10*$Y695 + Config!$B$11*$Z695 - Config!$B$12*$AA695)/Config!$B$13)+$AH695+$AI695),"")</f>
        <v/>
      </c>
      <c r="AD695" s="40" t="str">
        <f t="shared" si="4"/>
        <v/>
      </c>
      <c r="AE695" s="40" t="str">
        <f>IFERROR(__xludf.DUMMYFUNCTION("IF($AC695="""","""",IF($AC695=IFERROR(MAX(FILTER($AC$6:$AC$1000,$C$6:$C$1000=$C695,$AB$6:$AB$1000=1)),),""WINNER"",""""))"),"")</f>
        <v/>
      </c>
      <c r="AF695" s="40" t="str">
        <f t="shared" si="5"/>
        <v/>
      </c>
      <c r="AG695" s="40" t="str">
        <f>IF($J695="","",COUNTIF(Assignments!$B:$B,$J695))</f>
        <v/>
      </c>
      <c r="AH695" s="40" t="str">
        <f>IF($J695="","",IF(AND($AG695=0,$N695&lt;$M695),Config!$B$43,0))</f>
        <v/>
      </c>
      <c r="AI695" s="40" t="str">
        <f>IF($J695="","",IF(AND($L695="Elite",$F695&gt;=Config!$B$41,$N695&lt;$M695),Config!$B$42,0))</f>
        <v/>
      </c>
      <c r="AJ695" s="22"/>
    </row>
    <row r="696" ht="15.75" customHeight="1">
      <c r="A696" s="40" t="str">
        <f t="shared" si="1"/>
        <v/>
      </c>
      <c r="B696" s="40" t="str">
        <f>IF(Bids!$A696="","",Bids!$A696)</f>
        <v/>
      </c>
      <c r="C696" s="40" t="str">
        <f>IF(Bids!$B696="","",Bids!$B696)</f>
        <v/>
      </c>
      <c r="D696" s="40" t="str">
        <f>IF($C696="","",IFERROR(VLOOKUP($C696,Orders!$A:$J,9,FALSE),""))</f>
        <v/>
      </c>
      <c r="E696" s="40" t="str">
        <f>IF($C696="","",IFERROR(VLOOKUP($C696,Orders!$A:$J,3,FALSE),""))</f>
        <v/>
      </c>
      <c r="F696" s="40" t="str">
        <f>IF($C696="","",IFERROR(VLOOKUP($C696,Orders!$A:$J,4,FALSE),""))</f>
        <v/>
      </c>
      <c r="G696" s="40" t="str">
        <f>IF($C696="","",IFERROR(VLOOKUP($C696,Orders!$A:$J,5,FALSE),""))</f>
        <v/>
      </c>
      <c r="H696" s="40" t="str">
        <f>IF($C696="","",IFERROR(VLOOKUP($C696,Orders!$A:$J,6,FALSE),""))</f>
        <v/>
      </c>
      <c r="I696" s="40" t="str">
        <f>IF($C696="","",IFERROR(VLOOKUP($C696,Orders!$A:$J,7,FALSE),""))</f>
        <v/>
      </c>
      <c r="J696" s="40" t="str">
        <f>IF(Bids!$C696="","",Bids!$C696)</f>
        <v/>
      </c>
      <c r="K696" s="40" t="str">
        <f>IF($J696="","",IFERROR(VLOOKUP($J696,Grinders!$A:$N,2,FALSE),""))</f>
        <v/>
      </c>
      <c r="L696" s="40" t="str">
        <f>IF($J696="","",IFERROR(VLOOKUP($J696,Grinders!$A:$N,3,FALSE),""))</f>
        <v/>
      </c>
      <c r="M696" s="40" t="str">
        <f>IF($J696="","",IFERROR(VLOOKUP($J696,Grinders!$A:$N,4,FALSE),""))</f>
        <v/>
      </c>
      <c r="N696" s="40" t="str">
        <f>IF($J696="","",IFERROR(VLOOKUP($J696,Grinders!$A:$N,5,FALSE),""))</f>
        <v/>
      </c>
      <c r="O696" s="40" t="str">
        <f t="shared" si="2"/>
        <v/>
      </c>
      <c r="P696" s="40" t="str">
        <f>IF($J696="","",IFERROR(VLOOKUP($J696,Grinders!$A:$N,6,FALSE),""))</f>
        <v/>
      </c>
      <c r="Q696" s="40" t="str">
        <f>IF($J696="","",IFERROR(VLOOKUP($J696,Grinders!$A:$N,8,FALSE),""))</f>
        <v/>
      </c>
      <c r="R696" s="40" t="str">
        <f>IFERROR(IF($J696="","",IF($L696="Elite",MAX(50,MIN(100,Config!$B$27*MAX(0,MIN(100,(1-IF($O696="",0,$O696))*100)) + Config!$B$28*MAX(0,MIN(100,(1-MIN(1,IF(Config!$B$30=0,1,$P696/Config!$B$30)))*100)) + Config!$B$29*MAX(0,MIN(100,MIN(1,IF($Q696="",0,$Q696)/Config!$B$23)*100)))),MIN(100,Config!$B$27*MAX(0,MIN(100,(1-IF($O696="",0,$O696))*100)) + Config!$B$28*MAX(0,MIN(100,(1-MIN(1,IF(Config!$B$30=0,1,$P696/Config!$B$30)))*100)) + Config!$B$29*MAX(0,MIN(100,MIN(1,IF($Q696="",0,$Q696)/Config!$B$23)*100))))),"")
</f>
        <v/>
      </c>
      <c r="S696" s="40" t="str">
        <f>IF(Bids!$D696="","",Bids!$D696)</f>
        <v/>
      </c>
      <c r="T696" s="40" t="str">
        <f>IF(Bids!$F696="","",Bids!$F696)</f>
        <v/>
      </c>
      <c r="U696" s="40" t="str">
        <f t="shared" si="3"/>
        <v/>
      </c>
      <c r="V696" s="40" t="str">
        <f>IF($U696="","",IF(Config!$B$17=Config!$B$16,IF($U696&gt;=Config!$B$17,100,0),MAX(0,MIN(100,($U696-Config!$B$16)/(Config!$B$17-Config!$B$16)*100))))</f>
        <v/>
      </c>
      <c r="W696" s="40">
        <f>IF($L696="Elite",Config!$B$21,0)</f>
        <v>0</v>
      </c>
      <c r="X696" s="40" t="str">
        <f>IFERROR(IF(OR($T696="",$G696=""),"",IF($T696&gt;$G696,
  MAX(0, 60-(($T696-$G696)*24/Config!$B$19)*60),
  MEDIAN(60, 100, 60+(($G696-$T696)*24/Config!$B$20)*40)
)),"")
</f>
        <v/>
      </c>
      <c r="Y696" s="40" t="str">
        <f>IF($J696="","",IFERROR(VLOOKUP($J696,Grinders!$A:$N,10,FALSE),""))</f>
        <v/>
      </c>
      <c r="Z696" s="40" t="str">
        <f>IF($J696="","",IFERROR(VLOOKUP($J696,Grinders!$A:$N,11,FALSE),""))</f>
        <v/>
      </c>
      <c r="AA696" s="40" t="str">
        <f>IF($J696="","",IFERROR(VLOOKUP($J696,Grinders!$A:$N,12,FALSE),""))</f>
        <v/>
      </c>
      <c r="AB696" s="40">
        <f>IFERROR(IF(OR($C696="",$J696=""),0,IF($D696&lt;&gt;"Open",0,IF(COUNTIFS(GrinderServices!$B:$B,$J696,GrinderServices!$C:$C,$E696,GrinderServices!$E:$E,"Y")=0,0,IF($U696&lt;Config!$B$16,0,IF(Config!$B$18=1,IF($N696&gt;=$M696,0,1),1))))),"")</f>
        <v>0</v>
      </c>
      <c r="AC696" s="40" t="str">
        <f>IFERROR(IF($AB696=0,"",((Config!$B$6*$V696 + Config!$B$7*$R696 + Config!$B$8*$W696 + Config!$B$9*$X696 + Config!$B$10*$Y696 + Config!$B$11*$Z696 - Config!$B$12*$AA696)/Config!$B$13)+$AH696+$AI696),"")</f>
        <v/>
      </c>
      <c r="AD696" s="40" t="str">
        <f t="shared" si="4"/>
        <v/>
      </c>
      <c r="AE696" s="40" t="str">
        <f>IFERROR(__xludf.DUMMYFUNCTION("IF($AC696="""","""",IF($AC696=IFERROR(MAX(FILTER($AC$6:$AC$1000,$C$6:$C$1000=$C696,$AB$6:$AB$1000=1)),),""WINNER"",""""))"),"")</f>
        <v/>
      </c>
      <c r="AF696" s="40" t="str">
        <f t="shared" si="5"/>
        <v/>
      </c>
      <c r="AG696" s="40" t="str">
        <f>IF($J696="","",COUNTIF(Assignments!$B:$B,$J696))</f>
        <v/>
      </c>
      <c r="AH696" s="40" t="str">
        <f>IF($J696="","",IF(AND($AG696=0,$N696&lt;$M696),Config!$B$43,0))</f>
        <v/>
      </c>
      <c r="AI696" s="40" t="str">
        <f>IF($J696="","",IF(AND($L696="Elite",$F696&gt;=Config!$B$41,$N696&lt;$M696),Config!$B$42,0))</f>
        <v/>
      </c>
      <c r="AJ696" s="22"/>
    </row>
    <row r="697" ht="15.75" customHeight="1">
      <c r="A697" s="40" t="str">
        <f t="shared" si="1"/>
        <v/>
      </c>
      <c r="B697" s="40" t="str">
        <f>IF(Bids!$A697="","",Bids!$A697)</f>
        <v/>
      </c>
      <c r="C697" s="40" t="str">
        <f>IF(Bids!$B697="","",Bids!$B697)</f>
        <v/>
      </c>
      <c r="D697" s="40" t="str">
        <f>IF($C697="","",IFERROR(VLOOKUP($C697,Orders!$A:$J,9,FALSE),""))</f>
        <v/>
      </c>
      <c r="E697" s="40" t="str">
        <f>IF($C697="","",IFERROR(VLOOKUP($C697,Orders!$A:$J,3,FALSE),""))</f>
        <v/>
      </c>
      <c r="F697" s="40" t="str">
        <f>IF($C697="","",IFERROR(VLOOKUP($C697,Orders!$A:$J,4,FALSE),""))</f>
        <v/>
      </c>
      <c r="G697" s="40" t="str">
        <f>IF($C697="","",IFERROR(VLOOKUP($C697,Orders!$A:$J,5,FALSE),""))</f>
        <v/>
      </c>
      <c r="H697" s="40" t="str">
        <f>IF($C697="","",IFERROR(VLOOKUP($C697,Orders!$A:$J,6,FALSE),""))</f>
        <v/>
      </c>
      <c r="I697" s="40" t="str">
        <f>IF($C697="","",IFERROR(VLOOKUP($C697,Orders!$A:$J,7,FALSE),""))</f>
        <v/>
      </c>
      <c r="J697" s="40" t="str">
        <f>IF(Bids!$C697="","",Bids!$C697)</f>
        <v/>
      </c>
      <c r="K697" s="40" t="str">
        <f>IF($J697="","",IFERROR(VLOOKUP($J697,Grinders!$A:$N,2,FALSE),""))</f>
        <v/>
      </c>
      <c r="L697" s="40" t="str">
        <f>IF($J697="","",IFERROR(VLOOKUP($J697,Grinders!$A:$N,3,FALSE),""))</f>
        <v/>
      </c>
      <c r="M697" s="40" t="str">
        <f>IF($J697="","",IFERROR(VLOOKUP($J697,Grinders!$A:$N,4,FALSE),""))</f>
        <v/>
      </c>
      <c r="N697" s="40" t="str">
        <f>IF($J697="","",IFERROR(VLOOKUP($J697,Grinders!$A:$N,5,FALSE),""))</f>
        <v/>
      </c>
      <c r="O697" s="40" t="str">
        <f t="shared" si="2"/>
        <v/>
      </c>
      <c r="P697" s="40" t="str">
        <f>IF($J697="","",IFERROR(VLOOKUP($J697,Grinders!$A:$N,6,FALSE),""))</f>
        <v/>
      </c>
      <c r="Q697" s="40" t="str">
        <f>IF($J697="","",IFERROR(VLOOKUP($J697,Grinders!$A:$N,8,FALSE),""))</f>
        <v/>
      </c>
      <c r="R697" s="40" t="str">
        <f>IFERROR(IF($J697="","",IF($L697="Elite",MAX(50,MIN(100,Config!$B$27*MAX(0,MIN(100,(1-IF($O697="",0,$O697))*100)) + Config!$B$28*MAX(0,MIN(100,(1-MIN(1,IF(Config!$B$30=0,1,$P697/Config!$B$30)))*100)) + Config!$B$29*MAX(0,MIN(100,MIN(1,IF($Q697="",0,$Q697)/Config!$B$23)*100)))),MIN(100,Config!$B$27*MAX(0,MIN(100,(1-IF($O697="",0,$O697))*100)) + Config!$B$28*MAX(0,MIN(100,(1-MIN(1,IF(Config!$B$30=0,1,$P697/Config!$B$30)))*100)) + Config!$B$29*MAX(0,MIN(100,MIN(1,IF($Q697="",0,$Q697)/Config!$B$23)*100))))),"")
</f>
        <v/>
      </c>
      <c r="S697" s="40" t="str">
        <f>IF(Bids!$D697="","",Bids!$D697)</f>
        <v/>
      </c>
      <c r="T697" s="40" t="str">
        <f>IF(Bids!$F697="","",Bids!$F697)</f>
        <v/>
      </c>
      <c r="U697" s="40" t="str">
        <f t="shared" si="3"/>
        <v/>
      </c>
      <c r="V697" s="40" t="str">
        <f>IF($U697="","",IF(Config!$B$17=Config!$B$16,IF($U697&gt;=Config!$B$17,100,0),MAX(0,MIN(100,($U697-Config!$B$16)/(Config!$B$17-Config!$B$16)*100))))</f>
        <v/>
      </c>
      <c r="W697" s="40">
        <f>IF($L697="Elite",Config!$B$21,0)</f>
        <v>0</v>
      </c>
      <c r="X697" s="40" t="str">
        <f>IFERROR(IF(OR($T697="",$G697=""),"",IF($T697&gt;$G697,
  MAX(0, 60-(($T697-$G697)*24/Config!$B$19)*60),
  MEDIAN(60, 100, 60+(($G697-$T697)*24/Config!$B$20)*40)
)),"")
</f>
        <v/>
      </c>
      <c r="Y697" s="40" t="str">
        <f>IF($J697="","",IFERROR(VLOOKUP($J697,Grinders!$A:$N,10,FALSE),""))</f>
        <v/>
      </c>
      <c r="Z697" s="40" t="str">
        <f>IF($J697="","",IFERROR(VLOOKUP($J697,Grinders!$A:$N,11,FALSE),""))</f>
        <v/>
      </c>
      <c r="AA697" s="40" t="str">
        <f>IF($J697="","",IFERROR(VLOOKUP($J697,Grinders!$A:$N,12,FALSE),""))</f>
        <v/>
      </c>
      <c r="AB697" s="40">
        <f>IFERROR(IF(OR($C697="",$J697=""),0,IF($D697&lt;&gt;"Open",0,IF(COUNTIFS(GrinderServices!$B:$B,$J697,GrinderServices!$C:$C,$E697,GrinderServices!$E:$E,"Y")=0,0,IF($U697&lt;Config!$B$16,0,IF(Config!$B$18=1,IF($N697&gt;=$M697,0,1),1))))),"")</f>
        <v>0</v>
      </c>
      <c r="AC697" s="40" t="str">
        <f>IFERROR(IF($AB697=0,"",((Config!$B$6*$V697 + Config!$B$7*$R697 + Config!$B$8*$W697 + Config!$B$9*$X697 + Config!$B$10*$Y697 + Config!$B$11*$Z697 - Config!$B$12*$AA697)/Config!$B$13)+$AH697+$AI697),"")</f>
        <v/>
      </c>
      <c r="AD697" s="40" t="str">
        <f t="shared" si="4"/>
        <v/>
      </c>
      <c r="AE697" s="40" t="str">
        <f>IFERROR(__xludf.DUMMYFUNCTION("IF($AC697="""","""",IF($AC697=IFERROR(MAX(FILTER($AC$6:$AC$1000,$C$6:$C$1000=$C697,$AB$6:$AB$1000=1)),),""WINNER"",""""))"),"")</f>
        <v/>
      </c>
      <c r="AF697" s="40" t="str">
        <f t="shared" si="5"/>
        <v/>
      </c>
      <c r="AG697" s="40" t="str">
        <f>IF($J697="","",COUNTIF(Assignments!$B:$B,$J697))</f>
        <v/>
      </c>
      <c r="AH697" s="40" t="str">
        <f>IF($J697="","",IF(AND($AG697=0,$N697&lt;$M697),Config!$B$43,0))</f>
        <v/>
      </c>
      <c r="AI697" s="40" t="str">
        <f>IF($J697="","",IF(AND($L697="Elite",$F697&gt;=Config!$B$41,$N697&lt;$M697),Config!$B$42,0))</f>
        <v/>
      </c>
      <c r="AJ697" s="22"/>
    </row>
    <row r="698" ht="15.75" customHeight="1">
      <c r="A698" s="40" t="str">
        <f t="shared" si="1"/>
        <v/>
      </c>
      <c r="B698" s="40" t="str">
        <f>IF(Bids!$A698="","",Bids!$A698)</f>
        <v/>
      </c>
      <c r="C698" s="40" t="str">
        <f>IF(Bids!$B698="","",Bids!$B698)</f>
        <v/>
      </c>
      <c r="D698" s="40" t="str">
        <f>IF($C698="","",IFERROR(VLOOKUP($C698,Orders!$A:$J,9,FALSE),""))</f>
        <v/>
      </c>
      <c r="E698" s="40" t="str">
        <f>IF($C698="","",IFERROR(VLOOKUP($C698,Orders!$A:$J,3,FALSE),""))</f>
        <v/>
      </c>
      <c r="F698" s="40" t="str">
        <f>IF($C698="","",IFERROR(VLOOKUP($C698,Orders!$A:$J,4,FALSE),""))</f>
        <v/>
      </c>
      <c r="G698" s="40" t="str">
        <f>IF($C698="","",IFERROR(VLOOKUP($C698,Orders!$A:$J,5,FALSE),""))</f>
        <v/>
      </c>
      <c r="H698" s="40" t="str">
        <f>IF($C698="","",IFERROR(VLOOKUP($C698,Orders!$A:$J,6,FALSE),""))</f>
        <v/>
      </c>
      <c r="I698" s="40" t="str">
        <f>IF($C698="","",IFERROR(VLOOKUP($C698,Orders!$A:$J,7,FALSE),""))</f>
        <v/>
      </c>
      <c r="J698" s="40" t="str">
        <f>IF(Bids!$C698="","",Bids!$C698)</f>
        <v/>
      </c>
      <c r="K698" s="40" t="str">
        <f>IF($J698="","",IFERROR(VLOOKUP($J698,Grinders!$A:$N,2,FALSE),""))</f>
        <v/>
      </c>
      <c r="L698" s="40" t="str">
        <f>IF($J698="","",IFERROR(VLOOKUP($J698,Grinders!$A:$N,3,FALSE),""))</f>
        <v/>
      </c>
      <c r="M698" s="40" t="str">
        <f>IF($J698="","",IFERROR(VLOOKUP($J698,Grinders!$A:$N,4,FALSE),""))</f>
        <v/>
      </c>
      <c r="N698" s="40" t="str">
        <f>IF($J698="","",IFERROR(VLOOKUP($J698,Grinders!$A:$N,5,FALSE),""))</f>
        <v/>
      </c>
      <c r="O698" s="40" t="str">
        <f t="shared" si="2"/>
        <v/>
      </c>
      <c r="P698" s="40" t="str">
        <f>IF($J698="","",IFERROR(VLOOKUP($J698,Grinders!$A:$N,6,FALSE),""))</f>
        <v/>
      </c>
      <c r="Q698" s="40" t="str">
        <f>IF($J698="","",IFERROR(VLOOKUP($J698,Grinders!$A:$N,8,FALSE),""))</f>
        <v/>
      </c>
      <c r="R698" s="40" t="str">
        <f>IFERROR(IF($J698="","",IF($L698="Elite",MAX(50,MIN(100,Config!$B$27*MAX(0,MIN(100,(1-IF($O698="",0,$O698))*100)) + Config!$B$28*MAX(0,MIN(100,(1-MIN(1,IF(Config!$B$30=0,1,$P698/Config!$B$30)))*100)) + Config!$B$29*MAX(0,MIN(100,MIN(1,IF($Q698="",0,$Q698)/Config!$B$23)*100)))),MIN(100,Config!$B$27*MAX(0,MIN(100,(1-IF($O698="",0,$O698))*100)) + Config!$B$28*MAX(0,MIN(100,(1-MIN(1,IF(Config!$B$30=0,1,$P698/Config!$B$30)))*100)) + Config!$B$29*MAX(0,MIN(100,MIN(1,IF($Q698="",0,$Q698)/Config!$B$23)*100))))),"")
</f>
        <v/>
      </c>
      <c r="S698" s="40" t="str">
        <f>IF(Bids!$D698="","",Bids!$D698)</f>
        <v/>
      </c>
      <c r="T698" s="40" t="str">
        <f>IF(Bids!$F698="","",Bids!$F698)</f>
        <v/>
      </c>
      <c r="U698" s="40" t="str">
        <f t="shared" si="3"/>
        <v/>
      </c>
      <c r="V698" s="40" t="str">
        <f>IF($U698="","",IF(Config!$B$17=Config!$B$16,IF($U698&gt;=Config!$B$17,100,0),MAX(0,MIN(100,($U698-Config!$B$16)/(Config!$B$17-Config!$B$16)*100))))</f>
        <v/>
      </c>
      <c r="W698" s="40">
        <f>IF($L698="Elite",Config!$B$21,0)</f>
        <v>0</v>
      </c>
      <c r="X698" s="40" t="str">
        <f>IFERROR(IF(OR($T698="",$G698=""),"",IF($T698&gt;$G698,
  MAX(0, 60-(($T698-$G698)*24/Config!$B$19)*60),
  MEDIAN(60, 100, 60+(($G698-$T698)*24/Config!$B$20)*40)
)),"")
</f>
        <v/>
      </c>
      <c r="Y698" s="40" t="str">
        <f>IF($J698="","",IFERROR(VLOOKUP($J698,Grinders!$A:$N,10,FALSE),""))</f>
        <v/>
      </c>
      <c r="Z698" s="40" t="str">
        <f>IF($J698="","",IFERROR(VLOOKUP($J698,Grinders!$A:$N,11,FALSE),""))</f>
        <v/>
      </c>
      <c r="AA698" s="40" t="str">
        <f>IF($J698="","",IFERROR(VLOOKUP($J698,Grinders!$A:$N,12,FALSE),""))</f>
        <v/>
      </c>
      <c r="AB698" s="40">
        <f>IFERROR(IF(OR($C698="",$J698=""),0,IF($D698&lt;&gt;"Open",0,IF(COUNTIFS(GrinderServices!$B:$B,$J698,GrinderServices!$C:$C,$E698,GrinderServices!$E:$E,"Y")=0,0,IF($U698&lt;Config!$B$16,0,IF(Config!$B$18=1,IF($N698&gt;=$M698,0,1),1))))),"")</f>
        <v>0</v>
      </c>
      <c r="AC698" s="40" t="str">
        <f>IFERROR(IF($AB698=0,"",((Config!$B$6*$V698 + Config!$B$7*$R698 + Config!$B$8*$W698 + Config!$B$9*$X698 + Config!$B$10*$Y698 + Config!$B$11*$Z698 - Config!$B$12*$AA698)/Config!$B$13)+$AH698+$AI698),"")</f>
        <v/>
      </c>
      <c r="AD698" s="40" t="str">
        <f t="shared" si="4"/>
        <v/>
      </c>
      <c r="AE698" s="40" t="str">
        <f>IFERROR(__xludf.DUMMYFUNCTION("IF($AC698="""","""",IF($AC698=IFERROR(MAX(FILTER($AC$6:$AC$1000,$C$6:$C$1000=$C698,$AB$6:$AB$1000=1)),),""WINNER"",""""))"),"")</f>
        <v/>
      </c>
      <c r="AF698" s="40" t="str">
        <f t="shared" si="5"/>
        <v/>
      </c>
      <c r="AG698" s="40" t="str">
        <f>IF($J698="","",COUNTIF(Assignments!$B:$B,$J698))</f>
        <v/>
      </c>
      <c r="AH698" s="40" t="str">
        <f>IF($J698="","",IF(AND($AG698=0,$N698&lt;$M698),Config!$B$43,0))</f>
        <v/>
      </c>
      <c r="AI698" s="40" t="str">
        <f>IF($J698="","",IF(AND($L698="Elite",$F698&gt;=Config!$B$41,$N698&lt;$M698),Config!$B$42,0))</f>
        <v/>
      </c>
      <c r="AJ698" s="22"/>
    </row>
    <row r="699" ht="15.75" customHeight="1">
      <c r="A699" s="40" t="str">
        <f t="shared" si="1"/>
        <v/>
      </c>
      <c r="B699" s="40" t="str">
        <f>IF(Bids!$A699="","",Bids!$A699)</f>
        <v/>
      </c>
      <c r="C699" s="40" t="str">
        <f>IF(Bids!$B699="","",Bids!$B699)</f>
        <v/>
      </c>
      <c r="D699" s="40" t="str">
        <f>IF($C699="","",IFERROR(VLOOKUP($C699,Orders!$A:$J,9,FALSE),""))</f>
        <v/>
      </c>
      <c r="E699" s="40" t="str">
        <f>IF($C699="","",IFERROR(VLOOKUP($C699,Orders!$A:$J,3,FALSE),""))</f>
        <v/>
      </c>
      <c r="F699" s="40" t="str">
        <f>IF($C699="","",IFERROR(VLOOKUP($C699,Orders!$A:$J,4,FALSE),""))</f>
        <v/>
      </c>
      <c r="G699" s="40" t="str">
        <f>IF($C699="","",IFERROR(VLOOKUP($C699,Orders!$A:$J,5,FALSE),""))</f>
        <v/>
      </c>
      <c r="H699" s="40" t="str">
        <f>IF($C699="","",IFERROR(VLOOKUP($C699,Orders!$A:$J,6,FALSE),""))</f>
        <v/>
      </c>
      <c r="I699" s="40" t="str">
        <f>IF($C699="","",IFERROR(VLOOKUP($C699,Orders!$A:$J,7,FALSE),""))</f>
        <v/>
      </c>
      <c r="J699" s="40" t="str">
        <f>IF(Bids!$C699="","",Bids!$C699)</f>
        <v/>
      </c>
      <c r="K699" s="40" t="str">
        <f>IF($J699="","",IFERROR(VLOOKUP($J699,Grinders!$A:$N,2,FALSE),""))</f>
        <v/>
      </c>
      <c r="L699" s="40" t="str">
        <f>IF($J699="","",IFERROR(VLOOKUP($J699,Grinders!$A:$N,3,FALSE),""))</f>
        <v/>
      </c>
      <c r="M699" s="40" t="str">
        <f>IF($J699="","",IFERROR(VLOOKUP($J699,Grinders!$A:$N,4,FALSE),""))</f>
        <v/>
      </c>
      <c r="N699" s="40" t="str">
        <f>IF($J699="","",IFERROR(VLOOKUP($J699,Grinders!$A:$N,5,FALSE),""))</f>
        <v/>
      </c>
      <c r="O699" s="40" t="str">
        <f t="shared" si="2"/>
        <v/>
      </c>
      <c r="P699" s="40" t="str">
        <f>IF($J699="","",IFERROR(VLOOKUP($J699,Grinders!$A:$N,6,FALSE),""))</f>
        <v/>
      </c>
      <c r="Q699" s="40" t="str">
        <f>IF($J699="","",IFERROR(VLOOKUP($J699,Grinders!$A:$N,8,FALSE),""))</f>
        <v/>
      </c>
      <c r="R699" s="40" t="str">
        <f>IFERROR(IF($J699="","",IF($L699="Elite",MAX(50,MIN(100,Config!$B$27*MAX(0,MIN(100,(1-IF($O699="",0,$O699))*100)) + Config!$B$28*MAX(0,MIN(100,(1-MIN(1,IF(Config!$B$30=0,1,$P699/Config!$B$30)))*100)) + Config!$B$29*MAX(0,MIN(100,MIN(1,IF($Q699="",0,$Q699)/Config!$B$23)*100)))),MIN(100,Config!$B$27*MAX(0,MIN(100,(1-IF($O699="",0,$O699))*100)) + Config!$B$28*MAX(0,MIN(100,(1-MIN(1,IF(Config!$B$30=0,1,$P699/Config!$B$30)))*100)) + Config!$B$29*MAX(0,MIN(100,MIN(1,IF($Q699="",0,$Q699)/Config!$B$23)*100))))),"")
</f>
        <v/>
      </c>
      <c r="S699" s="40" t="str">
        <f>IF(Bids!$D699="","",Bids!$D699)</f>
        <v/>
      </c>
      <c r="T699" s="40" t="str">
        <f>IF(Bids!$F699="","",Bids!$F699)</f>
        <v/>
      </c>
      <c r="U699" s="40" t="str">
        <f t="shared" si="3"/>
        <v/>
      </c>
      <c r="V699" s="40" t="str">
        <f>IF($U699="","",IF(Config!$B$17=Config!$B$16,IF($U699&gt;=Config!$B$17,100,0),MAX(0,MIN(100,($U699-Config!$B$16)/(Config!$B$17-Config!$B$16)*100))))</f>
        <v/>
      </c>
      <c r="W699" s="40">
        <f>IF($L699="Elite",Config!$B$21,0)</f>
        <v>0</v>
      </c>
      <c r="X699" s="40" t="str">
        <f>IFERROR(IF(OR($T699="",$G699=""),"",IF($T699&gt;$G699,
  MAX(0, 60-(($T699-$G699)*24/Config!$B$19)*60),
  MEDIAN(60, 100, 60+(($G699-$T699)*24/Config!$B$20)*40)
)),"")
</f>
        <v/>
      </c>
      <c r="Y699" s="40" t="str">
        <f>IF($J699="","",IFERROR(VLOOKUP($J699,Grinders!$A:$N,10,FALSE),""))</f>
        <v/>
      </c>
      <c r="Z699" s="40" t="str">
        <f>IF($J699="","",IFERROR(VLOOKUP($J699,Grinders!$A:$N,11,FALSE),""))</f>
        <v/>
      </c>
      <c r="AA699" s="40" t="str">
        <f>IF($J699="","",IFERROR(VLOOKUP($J699,Grinders!$A:$N,12,FALSE),""))</f>
        <v/>
      </c>
      <c r="AB699" s="40">
        <f>IFERROR(IF(OR($C699="",$J699=""),0,IF($D699&lt;&gt;"Open",0,IF(COUNTIFS(GrinderServices!$B:$B,$J699,GrinderServices!$C:$C,$E699,GrinderServices!$E:$E,"Y")=0,0,IF($U699&lt;Config!$B$16,0,IF(Config!$B$18=1,IF($N699&gt;=$M699,0,1),1))))),"")</f>
        <v>0</v>
      </c>
      <c r="AC699" s="40" t="str">
        <f>IFERROR(IF($AB699=0,"",((Config!$B$6*$V699 + Config!$B$7*$R699 + Config!$B$8*$W699 + Config!$B$9*$X699 + Config!$B$10*$Y699 + Config!$B$11*$Z699 - Config!$B$12*$AA699)/Config!$B$13)+$AH699+$AI699),"")</f>
        <v/>
      </c>
      <c r="AD699" s="40" t="str">
        <f t="shared" si="4"/>
        <v/>
      </c>
      <c r="AE699" s="40" t="str">
        <f>IFERROR(__xludf.DUMMYFUNCTION("IF($AC699="""","""",IF($AC699=IFERROR(MAX(FILTER($AC$6:$AC$1000,$C$6:$C$1000=$C699,$AB$6:$AB$1000=1)),),""WINNER"",""""))"),"")</f>
        <v/>
      </c>
      <c r="AF699" s="40" t="str">
        <f t="shared" si="5"/>
        <v/>
      </c>
      <c r="AG699" s="40" t="str">
        <f>IF($J699="","",COUNTIF(Assignments!$B:$B,$J699))</f>
        <v/>
      </c>
      <c r="AH699" s="40" t="str">
        <f>IF($J699="","",IF(AND($AG699=0,$N699&lt;$M699),Config!$B$43,0))</f>
        <v/>
      </c>
      <c r="AI699" s="40" t="str">
        <f>IF($J699="","",IF(AND($L699="Elite",$F699&gt;=Config!$B$41,$N699&lt;$M699),Config!$B$42,0))</f>
        <v/>
      </c>
      <c r="AJ699" s="22"/>
    </row>
    <row r="700" ht="15.75" customHeight="1">
      <c r="A700" s="40" t="str">
        <f t="shared" si="1"/>
        <v/>
      </c>
      <c r="B700" s="40" t="str">
        <f>IF(Bids!$A700="","",Bids!$A700)</f>
        <v/>
      </c>
      <c r="C700" s="40" t="str">
        <f>IF(Bids!$B700="","",Bids!$B700)</f>
        <v/>
      </c>
      <c r="D700" s="40" t="str">
        <f>IF($C700="","",IFERROR(VLOOKUP($C700,Orders!$A:$J,9,FALSE),""))</f>
        <v/>
      </c>
      <c r="E700" s="40" t="str">
        <f>IF($C700="","",IFERROR(VLOOKUP($C700,Orders!$A:$J,3,FALSE),""))</f>
        <v/>
      </c>
      <c r="F700" s="40" t="str">
        <f>IF($C700="","",IFERROR(VLOOKUP($C700,Orders!$A:$J,4,FALSE),""))</f>
        <v/>
      </c>
      <c r="G700" s="40" t="str">
        <f>IF($C700="","",IFERROR(VLOOKUP($C700,Orders!$A:$J,5,FALSE),""))</f>
        <v/>
      </c>
      <c r="H700" s="40" t="str">
        <f>IF($C700="","",IFERROR(VLOOKUP($C700,Orders!$A:$J,6,FALSE),""))</f>
        <v/>
      </c>
      <c r="I700" s="40" t="str">
        <f>IF($C700="","",IFERROR(VLOOKUP($C700,Orders!$A:$J,7,FALSE),""))</f>
        <v/>
      </c>
      <c r="J700" s="40" t="str">
        <f>IF(Bids!$C700="","",Bids!$C700)</f>
        <v/>
      </c>
      <c r="K700" s="40" t="str">
        <f>IF($J700="","",IFERROR(VLOOKUP($J700,Grinders!$A:$N,2,FALSE),""))</f>
        <v/>
      </c>
      <c r="L700" s="40" t="str">
        <f>IF($J700="","",IFERROR(VLOOKUP($J700,Grinders!$A:$N,3,FALSE),""))</f>
        <v/>
      </c>
      <c r="M700" s="40" t="str">
        <f>IF($J700="","",IFERROR(VLOOKUP($J700,Grinders!$A:$N,4,FALSE),""))</f>
        <v/>
      </c>
      <c r="N700" s="40" t="str">
        <f>IF($J700="","",IFERROR(VLOOKUP($J700,Grinders!$A:$N,5,FALSE),""))</f>
        <v/>
      </c>
      <c r="O700" s="40" t="str">
        <f t="shared" si="2"/>
        <v/>
      </c>
      <c r="P700" s="40" t="str">
        <f>IF($J700="","",IFERROR(VLOOKUP($J700,Grinders!$A:$N,6,FALSE),""))</f>
        <v/>
      </c>
      <c r="Q700" s="40" t="str">
        <f>IF($J700="","",IFERROR(VLOOKUP($J700,Grinders!$A:$N,8,FALSE),""))</f>
        <v/>
      </c>
      <c r="R700" s="40" t="str">
        <f>IFERROR(IF($J700="","",IF($L700="Elite",MAX(50,MIN(100,Config!$B$27*MAX(0,MIN(100,(1-IF($O700="",0,$O700))*100)) + Config!$B$28*MAX(0,MIN(100,(1-MIN(1,IF(Config!$B$30=0,1,$P700/Config!$B$30)))*100)) + Config!$B$29*MAX(0,MIN(100,MIN(1,IF($Q700="",0,$Q700)/Config!$B$23)*100)))),MIN(100,Config!$B$27*MAX(0,MIN(100,(1-IF($O700="",0,$O700))*100)) + Config!$B$28*MAX(0,MIN(100,(1-MIN(1,IF(Config!$B$30=0,1,$P700/Config!$B$30)))*100)) + Config!$B$29*MAX(0,MIN(100,MIN(1,IF($Q700="",0,$Q700)/Config!$B$23)*100))))),"")
</f>
        <v/>
      </c>
      <c r="S700" s="40" t="str">
        <f>IF(Bids!$D700="","",Bids!$D700)</f>
        <v/>
      </c>
      <c r="T700" s="40" t="str">
        <f>IF(Bids!$F700="","",Bids!$F700)</f>
        <v/>
      </c>
      <c r="U700" s="40" t="str">
        <f t="shared" si="3"/>
        <v/>
      </c>
      <c r="V700" s="40" t="str">
        <f>IF($U700="","",IF(Config!$B$17=Config!$B$16,IF($U700&gt;=Config!$B$17,100,0),MAX(0,MIN(100,($U700-Config!$B$16)/(Config!$B$17-Config!$B$16)*100))))</f>
        <v/>
      </c>
      <c r="W700" s="40">
        <f>IF($L700="Elite",Config!$B$21,0)</f>
        <v>0</v>
      </c>
      <c r="X700" s="40" t="str">
        <f>IFERROR(IF(OR($T700="",$G700=""),"",IF($T700&gt;$G700,
  MAX(0, 60-(($T700-$G700)*24/Config!$B$19)*60),
  MEDIAN(60, 100, 60+(($G700-$T700)*24/Config!$B$20)*40)
)),"")
</f>
        <v/>
      </c>
      <c r="Y700" s="40" t="str">
        <f>IF($J700="","",IFERROR(VLOOKUP($J700,Grinders!$A:$N,10,FALSE),""))</f>
        <v/>
      </c>
      <c r="Z700" s="40" t="str">
        <f>IF($J700="","",IFERROR(VLOOKUP($J700,Grinders!$A:$N,11,FALSE),""))</f>
        <v/>
      </c>
      <c r="AA700" s="40" t="str">
        <f>IF($J700="","",IFERROR(VLOOKUP($J700,Grinders!$A:$N,12,FALSE),""))</f>
        <v/>
      </c>
      <c r="AB700" s="40">
        <f>IFERROR(IF(OR($C700="",$J700=""),0,IF($D700&lt;&gt;"Open",0,IF(COUNTIFS(GrinderServices!$B:$B,$J700,GrinderServices!$C:$C,$E700,GrinderServices!$E:$E,"Y")=0,0,IF($U700&lt;Config!$B$16,0,IF(Config!$B$18=1,IF($N700&gt;=$M700,0,1),1))))),"")</f>
        <v>0</v>
      </c>
      <c r="AC700" s="40" t="str">
        <f>IFERROR(IF($AB700=0,"",((Config!$B$6*$V700 + Config!$B$7*$R700 + Config!$B$8*$W700 + Config!$B$9*$X700 + Config!$B$10*$Y700 + Config!$B$11*$Z700 - Config!$B$12*$AA700)/Config!$B$13)+$AH700+$AI700),"")</f>
        <v/>
      </c>
      <c r="AD700" s="40" t="str">
        <f t="shared" si="4"/>
        <v/>
      </c>
      <c r="AE700" s="40" t="str">
        <f>IFERROR(__xludf.DUMMYFUNCTION("IF($AC700="""","""",IF($AC700=IFERROR(MAX(FILTER($AC$6:$AC$1000,$C$6:$C$1000=$C700,$AB$6:$AB$1000=1)),),""WINNER"",""""))"),"")</f>
        <v/>
      </c>
      <c r="AF700" s="40" t="str">
        <f t="shared" si="5"/>
        <v/>
      </c>
      <c r="AG700" s="40" t="str">
        <f>IF($J700="","",COUNTIF(Assignments!$B:$B,$J700))</f>
        <v/>
      </c>
      <c r="AH700" s="40" t="str">
        <f>IF($J700="","",IF(AND($AG700=0,$N700&lt;$M700),Config!$B$43,0))</f>
        <v/>
      </c>
      <c r="AI700" s="40" t="str">
        <f>IF($J700="","",IF(AND($L700="Elite",$F700&gt;=Config!$B$41,$N700&lt;$M700),Config!$B$42,0))</f>
        <v/>
      </c>
      <c r="AJ700" s="22"/>
    </row>
    <row r="701" ht="15.75" customHeight="1">
      <c r="A701" s="40" t="str">
        <f t="shared" si="1"/>
        <v/>
      </c>
      <c r="B701" s="40" t="str">
        <f>IF(Bids!$A701="","",Bids!$A701)</f>
        <v/>
      </c>
      <c r="C701" s="40" t="str">
        <f>IF(Bids!$B701="","",Bids!$B701)</f>
        <v/>
      </c>
      <c r="D701" s="40" t="str">
        <f>IF($C701="","",IFERROR(VLOOKUP($C701,Orders!$A:$J,9,FALSE),""))</f>
        <v/>
      </c>
      <c r="E701" s="40" t="str">
        <f>IF($C701="","",IFERROR(VLOOKUP($C701,Orders!$A:$J,3,FALSE),""))</f>
        <v/>
      </c>
      <c r="F701" s="40" t="str">
        <f>IF($C701="","",IFERROR(VLOOKUP($C701,Orders!$A:$J,4,FALSE),""))</f>
        <v/>
      </c>
      <c r="G701" s="40" t="str">
        <f>IF($C701="","",IFERROR(VLOOKUP($C701,Orders!$A:$J,5,FALSE),""))</f>
        <v/>
      </c>
      <c r="H701" s="40" t="str">
        <f>IF($C701="","",IFERROR(VLOOKUP($C701,Orders!$A:$J,6,FALSE),""))</f>
        <v/>
      </c>
      <c r="I701" s="40" t="str">
        <f>IF($C701="","",IFERROR(VLOOKUP($C701,Orders!$A:$J,7,FALSE),""))</f>
        <v/>
      </c>
      <c r="J701" s="40" t="str">
        <f>IF(Bids!$C701="","",Bids!$C701)</f>
        <v/>
      </c>
      <c r="K701" s="40" t="str">
        <f>IF($J701="","",IFERROR(VLOOKUP($J701,Grinders!$A:$N,2,FALSE),""))</f>
        <v/>
      </c>
      <c r="L701" s="40" t="str">
        <f>IF($J701="","",IFERROR(VLOOKUP($J701,Grinders!$A:$N,3,FALSE),""))</f>
        <v/>
      </c>
      <c r="M701" s="40" t="str">
        <f>IF($J701="","",IFERROR(VLOOKUP($J701,Grinders!$A:$N,4,FALSE),""))</f>
        <v/>
      </c>
      <c r="N701" s="40" t="str">
        <f>IF($J701="","",IFERROR(VLOOKUP($J701,Grinders!$A:$N,5,FALSE),""))</f>
        <v/>
      </c>
      <c r="O701" s="40" t="str">
        <f t="shared" si="2"/>
        <v/>
      </c>
      <c r="P701" s="40" t="str">
        <f>IF($J701="","",IFERROR(VLOOKUP($J701,Grinders!$A:$N,6,FALSE),""))</f>
        <v/>
      </c>
      <c r="Q701" s="40" t="str">
        <f>IF($J701="","",IFERROR(VLOOKUP($J701,Grinders!$A:$N,8,FALSE),""))</f>
        <v/>
      </c>
      <c r="R701" s="40" t="str">
        <f>IFERROR(IF($J701="","",IF($L701="Elite",MAX(50,MIN(100,Config!$B$27*MAX(0,MIN(100,(1-IF($O701="",0,$O701))*100)) + Config!$B$28*MAX(0,MIN(100,(1-MIN(1,IF(Config!$B$30=0,1,$P701/Config!$B$30)))*100)) + Config!$B$29*MAX(0,MIN(100,MIN(1,IF($Q701="",0,$Q701)/Config!$B$23)*100)))),MIN(100,Config!$B$27*MAX(0,MIN(100,(1-IF($O701="",0,$O701))*100)) + Config!$B$28*MAX(0,MIN(100,(1-MIN(1,IF(Config!$B$30=0,1,$P701/Config!$B$30)))*100)) + Config!$B$29*MAX(0,MIN(100,MIN(1,IF($Q701="",0,$Q701)/Config!$B$23)*100))))),"")
</f>
        <v/>
      </c>
      <c r="S701" s="40" t="str">
        <f>IF(Bids!$D701="","",Bids!$D701)</f>
        <v/>
      </c>
      <c r="T701" s="40" t="str">
        <f>IF(Bids!$F701="","",Bids!$F701)</f>
        <v/>
      </c>
      <c r="U701" s="40" t="str">
        <f t="shared" si="3"/>
        <v/>
      </c>
      <c r="V701" s="40" t="str">
        <f>IF($U701="","",IF(Config!$B$17=Config!$B$16,IF($U701&gt;=Config!$B$17,100,0),MAX(0,MIN(100,($U701-Config!$B$16)/(Config!$B$17-Config!$B$16)*100))))</f>
        <v/>
      </c>
      <c r="W701" s="40">
        <f>IF($L701="Elite",Config!$B$21,0)</f>
        <v>0</v>
      </c>
      <c r="X701" s="40" t="str">
        <f>IFERROR(IF(OR($T701="",$G701=""),"",IF($T701&gt;$G701,
  MAX(0, 60-(($T701-$G701)*24/Config!$B$19)*60),
  MEDIAN(60, 100, 60+(($G701-$T701)*24/Config!$B$20)*40)
)),"")
</f>
        <v/>
      </c>
      <c r="Y701" s="40" t="str">
        <f>IF($J701="","",IFERROR(VLOOKUP($J701,Grinders!$A:$N,10,FALSE),""))</f>
        <v/>
      </c>
      <c r="Z701" s="40" t="str">
        <f>IF($J701="","",IFERROR(VLOOKUP($J701,Grinders!$A:$N,11,FALSE),""))</f>
        <v/>
      </c>
      <c r="AA701" s="40" t="str">
        <f>IF($J701="","",IFERROR(VLOOKUP($J701,Grinders!$A:$N,12,FALSE),""))</f>
        <v/>
      </c>
      <c r="AB701" s="40">
        <f>IFERROR(IF(OR($C701="",$J701=""),0,IF($D701&lt;&gt;"Open",0,IF(COUNTIFS(GrinderServices!$B:$B,$J701,GrinderServices!$C:$C,$E701,GrinderServices!$E:$E,"Y")=0,0,IF($U701&lt;Config!$B$16,0,IF(Config!$B$18=1,IF($N701&gt;=$M701,0,1),1))))),"")</f>
        <v>0</v>
      </c>
      <c r="AC701" s="40" t="str">
        <f>IFERROR(IF($AB701=0,"",((Config!$B$6*$V701 + Config!$B$7*$R701 + Config!$B$8*$W701 + Config!$B$9*$X701 + Config!$B$10*$Y701 + Config!$B$11*$Z701 - Config!$B$12*$AA701)/Config!$B$13)+$AH701+$AI701),"")</f>
        <v/>
      </c>
      <c r="AD701" s="40" t="str">
        <f t="shared" si="4"/>
        <v/>
      </c>
      <c r="AE701" s="40" t="str">
        <f>IFERROR(__xludf.DUMMYFUNCTION("IF($AC701="""","""",IF($AC701=IFERROR(MAX(FILTER($AC$6:$AC$1000,$C$6:$C$1000=$C701,$AB$6:$AB$1000=1)),),""WINNER"",""""))"),"")</f>
        <v/>
      </c>
      <c r="AF701" s="40" t="str">
        <f t="shared" si="5"/>
        <v/>
      </c>
      <c r="AG701" s="40" t="str">
        <f>IF($J701="","",COUNTIF(Assignments!$B:$B,$J701))</f>
        <v/>
      </c>
      <c r="AH701" s="40" t="str">
        <f>IF($J701="","",IF(AND($AG701=0,$N701&lt;$M701),Config!$B$43,0))</f>
        <v/>
      </c>
      <c r="AI701" s="40" t="str">
        <f>IF($J701="","",IF(AND($L701="Elite",$F701&gt;=Config!$B$41,$N701&lt;$M701),Config!$B$42,0))</f>
        <v/>
      </c>
      <c r="AJ701" s="22"/>
    </row>
    <row r="702" ht="15.75" customHeight="1">
      <c r="A702" s="40" t="str">
        <f t="shared" si="1"/>
        <v/>
      </c>
      <c r="B702" s="40" t="str">
        <f>IF(Bids!$A702="","",Bids!$A702)</f>
        <v/>
      </c>
      <c r="C702" s="40" t="str">
        <f>IF(Bids!$B702="","",Bids!$B702)</f>
        <v/>
      </c>
      <c r="D702" s="40" t="str">
        <f>IF($C702="","",IFERROR(VLOOKUP($C702,Orders!$A:$J,9,FALSE),""))</f>
        <v/>
      </c>
      <c r="E702" s="40" t="str">
        <f>IF($C702="","",IFERROR(VLOOKUP($C702,Orders!$A:$J,3,FALSE),""))</f>
        <v/>
      </c>
      <c r="F702" s="40" t="str">
        <f>IF($C702="","",IFERROR(VLOOKUP($C702,Orders!$A:$J,4,FALSE),""))</f>
        <v/>
      </c>
      <c r="G702" s="40" t="str">
        <f>IF($C702="","",IFERROR(VLOOKUP($C702,Orders!$A:$J,5,FALSE),""))</f>
        <v/>
      </c>
      <c r="H702" s="40" t="str">
        <f>IF($C702="","",IFERROR(VLOOKUP($C702,Orders!$A:$J,6,FALSE),""))</f>
        <v/>
      </c>
      <c r="I702" s="40" t="str">
        <f>IF($C702="","",IFERROR(VLOOKUP($C702,Orders!$A:$J,7,FALSE),""))</f>
        <v/>
      </c>
      <c r="J702" s="40" t="str">
        <f>IF(Bids!$C702="","",Bids!$C702)</f>
        <v/>
      </c>
      <c r="K702" s="40" t="str">
        <f>IF($J702="","",IFERROR(VLOOKUP($J702,Grinders!$A:$N,2,FALSE),""))</f>
        <v/>
      </c>
      <c r="L702" s="40" t="str">
        <f>IF($J702="","",IFERROR(VLOOKUP($J702,Grinders!$A:$N,3,FALSE),""))</f>
        <v/>
      </c>
      <c r="M702" s="40" t="str">
        <f>IF($J702="","",IFERROR(VLOOKUP($J702,Grinders!$A:$N,4,FALSE),""))</f>
        <v/>
      </c>
      <c r="N702" s="40" t="str">
        <f>IF($J702="","",IFERROR(VLOOKUP($J702,Grinders!$A:$N,5,FALSE),""))</f>
        <v/>
      </c>
      <c r="O702" s="40" t="str">
        <f t="shared" si="2"/>
        <v/>
      </c>
      <c r="P702" s="40" t="str">
        <f>IF($J702="","",IFERROR(VLOOKUP($J702,Grinders!$A:$N,6,FALSE),""))</f>
        <v/>
      </c>
      <c r="Q702" s="40" t="str">
        <f>IF($J702="","",IFERROR(VLOOKUP($J702,Grinders!$A:$N,8,FALSE),""))</f>
        <v/>
      </c>
      <c r="R702" s="40" t="str">
        <f>IFERROR(IF($J702="","",IF($L702="Elite",MAX(50,MIN(100,Config!$B$27*MAX(0,MIN(100,(1-IF($O702="",0,$O702))*100)) + Config!$B$28*MAX(0,MIN(100,(1-MIN(1,IF(Config!$B$30=0,1,$P702/Config!$B$30)))*100)) + Config!$B$29*MAX(0,MIN(100,MIN(1,IF($Q702="",0,$Q702)/Config!$B$23)*100)))),MIN(100,Config!$B$27*MAX(0,MIN(100,(1-IF($O702="",0,$O702))*100)) + Config!$B$28*MAX(0,MIN(100,(1-MIN(1,IF(Config!$B$30=0,1,$P702/Config!$B$30)))*100)) + Config!$B$29*MAX(0,MIN(100,MIN(1,IF($Q702="",0,$Q702)/Config!$B$23)*100))))),"")
</f>
        <v/>
      </c>
      <c r="S702" s="40" t="str">
        <f>IF(Bids!$D702="","",Bids!$D702)</f>
        <v/>
      </c>
      <c r="T702" s="40" t="str">
        <f>IF(Bids!$F702="","",Bids!$F702)</f>
        <v/>
      </c>
      <c r="U702" s="40" t="str">
        <f t="shared" si="3"/>
        <v/>
      </c>
      <c r="V702" s="40" t="str">
        <f>IF($U702="","",IF(Config!$B$17=Config!$B$16,IF($U702&gt;=Config!$B$17,100,0),MAX(0,MIN(100,($U702-Config!$B$16)/(Config!$B$17-Config!$B$16)*100))))</f>
        <v/>
      </c>
      <c r="W702" s="40">
        <f>IF($L702="Elite",Config!$B$21,0)</f>
        <v>0</v>
      </c>
      <c r="X702" s="40" t="str">
        <f>IFERROR(IF(OR($T702="",$G702=""),"",IF($T702&gt;$G702,
  MAX(0, 60-(($T702-$G702)*24/Config!$B$19)*60),
  MEDIAN(60, 100, 60+(($G702-$T702)*24/Config!$B$20)*40)
)),"")
</f>
        <v/>
      </c>
      <c r="Y702" s="40" t="str">
        <f>IF($J702="","",IFERROR(VLOOKUP($J702,Grinders!$A:$N,10,FALSE),""))</f>
        <v/>
      </c>
      <c r="Z702" s="40" t="str">
        <f>IF($J702="","",IFERROR(VLOOKUP($J702,Grinders!$A:$N,11,FALSE),""))</f>
        <v/>
      </c>
      <c r="AA702" s="40" t="str">
        <f>IF($J702="","",IFERROR(VLOOKUP($J702,Grinders!$A:$N,12,FALSE),""))</f>
        <v/>
      </c>
      <c r="AB702" s="40">
        <f>IFERROR(IF(OR($C702="",$J702=""),0,IF($D702&lt;&gt;"Open",0,IF(COUNTIFS(GrinderServices!$B:$B,$J702,GrinderServices!$C:$C,$E702,GrinderServices!$E:$E,"Y")=0,0,IF($U702&lt;Config!$B$16,0,IF(Config!$B$18=1,IF($N702&gt;=$M702,0,1),1))))),"")</f>
        <v>0</v>
      </c>
      <c r="AC702" s="40" t="str">
        <f>IFERROR(IF($AB702=0,"",((Config!$B$6*$V702 + Config!$B$7*$R702 + Config!$B$8*$W702 + Config!$B$9*$X702 + Config!$B$10*$Y702 + Config!$B$11*$Z702 - Config!$B$12*$AA702)/Config!$B$13)+$AH702+$AI702),"")</f>
        <v/>
      </c>
      <c r="AD702" s="40" t="str">
        <f t="shared" si="4"/>
        <v/>
      </c>
      <c r="AE702" s="40" t="str">
        <f>IFERROR(__xludf.DUMMYFUNCTION("IF($AC702="""","""",IF($AC702=IFERROR(MAX(FILTER($AC$6:$AC$1000,$C$6:$C$1000=$C702,$AB$6:$AB$1000=1)),),""WINNER"",""""))"),"")</f>
        <v/>
      </c>
      <c r="AF702" s="40" t="str">
        <f t="shared" si="5"/>
        <v/>
      </c>
      <c r="AG702" s="40" t="str">
        <f>IF($J702="","",COUNTIF(Assignments!$B:$B,$J702))</f>
        <v/>
      </c>
      <c r="AH702" s="40" t="str">
        <f>IF($J702="","",IF(AND($AG702=0,$N702&lt;$M702),Config!$B$43,0))</f>
        <v/>
      </c>
      <c r="AI702" s="40" t="str">
        <f>IF($J702="","",IF(AND($L702="Elite",$F702&gt;=Config!$B$41,$N702&lt;$M702),Config!$B$42,0))</f>
        <v/>
      </c>
      <c r="AJ702" s="22"/>
    </row>
    <row r="703" ht="15.75" customHeight="1">
      <c r="A703" s="40" t="str">
        <f t="shared" si="1"/>
        <v/>
      </c>
      <c r="B703" s="40" t="str">
        <f>IF(Bids!$A703="","",Bids!$A703)</f>
        <v/>
      </c>
      <c r="C703" s="40" t="str">
        <f>IF(Bids!$B703="","",Bids!$B703)</f>
        <v/>
      </c>
      <c r="D703" s="40" t="str">
        <f>IF($C703="","",IFERROR(VLOOKUP($C703,Orders!$A:$J,9,FALSE),""))</f>
        <v/>
      </c>
      <c r="E703" s="40" t="str">
        <f>IF($C703="","",IFERROR(VLOOKUP($C703,Orders!$A:$J,3,FALSE),""))</f>
        <v/>
      </c>
      <c r="F703" s="40" t="str">
        <f>IF($C703="","",IFERROR(VLOOKUP($C703,Orders!$A:$J,4,FALSE),""))</f>
        <v/>
      </c>
      <c r="G703" s="40" t="str">
        <f>IF($C703="","",IFERROR(VLOOKUP($C703,Orders!$A:$J,5,FALSE),""))</f>
        <v/>
      </c>
      <c r="H703" s="40" t="str">
        <f>IF($C703="","",IFERROR(VLOOKUP($C703,Orders!$A:$J,6,FALSE),""))</f>
        <v/>
      </c>
      <c r="I703" s="40" t="str">
        <f>IF($C703="","",IFERROR(VLOOKUP($C703,Orders!$A:$J,7,FALSE),""))</f>
        <v/>
      </c>
      <c r="J703" s="40" t="str">
        <f>IF(Bids!$C703="","",Bids!$C703)</f>
        <v/>
      </c>
      <c r="K703" s="40" t="str">
        <f>IF($J703="","",IFERROR(VLOOKUP($J703,Grinders!$A:$N,2,FALSE),""))</f>
        <v/>
      </c>
      <c r="L703" s="40" t="str">
        <f>IF($J703="","",IFERROR(VLOOKUP($J703,Grinders!$A:$N,3,FALSE),""))</f>
        <v/>
      </c>
      <c r="M703" s="40" t="str">
        <f>IF($J703="","",IFERROR(VLOOKUP($J703,Grinders!$A:$N,4,FALSE),""))</f>
        <v/>
      </c>
      <c r="N703" s="40" t="str">
        <f>IF($J703="","",IFERROR(VLOOKUP($J703,Grinders!$A:$N,5,FALSE),""))</f>
        <v/>
      </c>
      <c r="O703" s="40" t="str">
        <f t="shared" si="2"/>
        <v/>
      </c>
      <c r="P703" s="40" t="str">
        <f>IF($J703="","",IFERROR(VLOOKUP($J703,Grinders!$A:$N,6,FALSE),""))</f>
        <v/>
      </c>
      <c r="Q703" s="40" t="str">
        <f>IF($J703="","",IFERROR(VLOOKUP($J703,Grinders!$A:$N,8,FALSE),""))</f>
        <v/>
      </c>
      <c r="R703" s="40" t="str">
        <f>IFERROR(IF($J703="","",IF($L703="Elite",MAX(50,MIN(100,Config!$B$27*MAX(0,MIN(100,(1-IF($O703="",0,$O703))*100)) + Config!$B$28*MAX(0,MIN(100,(1-MIN(1,IF(Config!$B$30=0,1,$P703/Config!$B$30)))*100)) + Config!$B$29*MAX(0,MIN(100,MIN(1,IF($Q703="",0,$Q703)/Config!$B$23)*100)))),MIN(100,Config!$B$27*MAX(0,MIN(100,(1-IF($O703="",0,$O703))*100)) + Config!$B$28*MAX(0,MIN(100,(1-MIN(1,IF(Config!$B$30=0,1,$P703/Config!$B$30)))*100)) + Config!$B$29*MAX(0,MIN(100,MIN(1,IF($Q703="",0,$Q703)/Config!$B$23)*100))))),"")
</f>
        <v/>
      </c>
      <c r="S703" s="40" t="str">
        <f>IF(Bids!$D703="","",Bids!$D703)</f>
        <v/>
      </c>
      <c r="T703" s="40" t="str">
        <f>IF(Bids!$F703="","",Bids!$F703)</f>
        <v/>
      </c>
      <c r="U703" s="40" t="str">
        <f t="shared" si="3"/>
        <v/>
      </c>
      <c r="V703" s="40" t="str">
        <f>IF($U703="","",IF(Config!$B$17=Config!$B$16,IF($U703&gt;=Config!$B$17,100,0),MAX(0,MIN(100,($U703-Config!$B$16)/(Config!$B$17-Config!$B$16)*100))))</f>
        <v/>
      </c>
      <c r="W703" s="40">
        <f>IF($L703="Elite",Config!$B$21,0)</f>
        <v>0</v>
      </c>
      <c r="X703" s="40" t="str">
        <f>IFERROR(IF(OR($T703="",$G703=""),"",IF($T703&gt;$G703,
  MAX(0, 60-(($T703-$G703)*24/Config!$B$19)*60),
  MEDIAN(60, 100, 60+(($G703-$T703)*24/Config!$B$20)*40)
)),"")
</f>
        <v/>
      </c>
      <c r="Y703" s="40" t="str">
        <f>IF($J703="","",IFERROR(VLOOKUP($J703,Grinders!$A:$N,10,FALSE),""))</f>
        <v/>
      </c>
      <c r="Z703" s="40" t="str">
        <f>IF($J703="","",IFERROR(VLOOKUP($J703,Grinders!$A:$N,11,FALSE),""))</f>
        <v/>
      </c>
      <c r="AA703" s="40" t="str">
        <f>IF($J703="","",IFERROR(VLOOKUP($J703,Grinders!$A:$N,12,FALSE),""))</f>
        <v/>
      </c>
      <c r="AB703" s="40">
        <f>IFERROR(IF(OR($C703="",$J703=""),0,IF($D703&lt;&gt;"Open",0,IF(COUNTIFS(GrinderServices!$B:$B,$J703,GrinderServices!$C:$C,$E703,GrinderServices!$E:$E,"Y")=0,0,IF($U703&lt;Config!$B$16,0,IF(Config!$B$18=1,IF($N703&gt;=$M703,0,1),1))))),"")</f>
        <v>0</v>
      </c>
      <c r="AC703" s="40" t="str">
        <f>IFERROR(IF($AB703=0,"",((Config!$B$6*$V703 + Config!$B$7*$R703 + Config!$B$8*$W703 + Config!$B$9*$X703 + Config!$B$10*$Y703 + Config!$B$11*$Z703 - Config!$B$12*$AA703)/Config!$B$13)+$AH703+$AI703),"")</f>
        <v/>
      </c>
      <c r="AD703" s="40" t="str">
        <f t="shared" si="4"/>
        <v/>
      </c>
      <c r="AE703" s="40" t="str">
        <f>IFERROR(__xludf.DUMMYFUNCTION("IF($AC703="""","""",IF($AC703=IFERROR(MAX(FILTER($AC$6:$AC$1000,$C$6:$C$1000=$C703,$AB$6:$AB$1000=1)),),""WINNER"",""""))"),"")</f>
        <v/>
      </c>
      <c r="AF703" s="40" t="str">
        <f t="shared" si="5"/>
        <v/>
      </c>
      <c r="AG703" s="40" t="str">
        <f>IF($J703="","",COUNTIF(Assignments!$B:$B,$J703))</f>
        <v/>
      </c>
      <c r="AH703" s="40" t="str">
        <f>IF($J703="","",IF(AND($AG703=0,$N703&lt;$M703),Config!$B$43,0))</f>
        <v/>
      </c>
      <c r="AI703" s="40" t="str">
        <f>IF($J703="","",IF(AND($L703="Elite",$F703&gt;=Config!$B$41,$N703&lt;$M703),Config!$B$42,0))</f>
        <v/>
      </c>
      <c r="AJ703" s="22"/>
    </row>
    <row r="704" ht="15.75" customHeight="1">
      <c r="A704" s="40" t="str">
        <f t="shared" si="1"/>
        <v/>
      </c>
      <c r="B704" s="40" t="str">
        <f>IF(Bids!$A704="","",Bids!$A704)</f>
        <v/>
      </c>
      <c r="C704" s="40" t="str">
        <f>IF(Bids!$B704="","",Bids!$B704)</f>
        <v/>
      </c>
      <c r="D704" s="40" t="str">
        <f>IF($C704="","",IFERROR(VLOOKUP($C704,Orders!$A:$J,9,FALSE),""))</f>
        <v/>
      </c>
      <c r="E704" s="40" t="str">
        <f>IF($C704="","",IFERROR(VLOOKUP($C704,Orders!$A:$J,3,FALSE),""))</f>
        <v/>
      </c>
      <c r="F704" s="40" t="str">
        <f>IF($C704="","",IFERROR(VLOOKUP($C704,Orders!$A:$J,4,FALSE),""))</f>
        <v/>
      </c>
      <c r="G704" s="40" t="str">
        <f>IF($C704="","",IFERROR(VLOOKUP($C704,Orders!$A:$J,5,FALSE),""))</f>
        <v/>
      </c>
      <c r="H704" s="40" t="str">
        <f>IF($C704="","",IFERROR(VLOOKUP($C704,Orders!$A:$J,6,FALSE),""))</f>
        <v/>
      </c>
      <c r="I704" s="40" t="str">
        <f>IF($C704="","",IFERROR(VLOOKUP($C704,Orders!$A:$J,7,FALSE),""))</f>
        <v/>
      </c>
      <c r="J704" s="40" t="str">
        <f>IF(Bids!$C704="","",Bids!$C704)</f>
        <v/>
      </c>
      <c r="K704" s="40" t="str">
        <f>IF($J704="","",IFERROR(VLOOKUP($J704,Grinders!$A:$N,2,FALSE),""))</f>
        <v/>
      </c>
      <c r="L704" s="40" t="str">
        <f>IF($J704="","",IFERROR(VLOOKUP($J704,Grinders!$A:$N,3,FALSE),""))</f>
        <v/>
      </c>
      <c r="M704" s="40" t="str">
        <f>IF($J704="","",IFERROR(VLOOKUP($J704,Grinders!$A:$N,4,FALSE),""))</f>
        <v/>
      </c>
      <c r="N704" s="40" t="str">
        <f>IF($J704="","",IFERROR(VLOOKUP($J704,Grinders!$A:$N,5,FALSE),""))</f>
        <v/>
      </c>
      <c r="O704" s="40" t="str">
        <f t="shared" si="2"/>
        <v/>
      </c>
      <c r="P704" s="40" t="str">
        <f>IF($J704="","",IFERROR(VLOOKUP($J704,Grinders!$A:$N,6,FALSE),""))</f>
        <v/>
      </c>
      <c r="Q704" s="40" t="str">
        <f>IF($J704="","",IFERROR(VLOOKUP($J704,Grinders!$A:$N,8,FALSE),""))</f>
        <v/>
      </c>
      <c r="R704" s="40" t="str">
        <f>IFERROR(IF($J704="","",IF($L704="Elite",MAX(50,MIN(100,Config!$B$27*MAX(0,MIN(100,(1-IF($O704="",0,$O704))*100)) + Config!$B$28*MAX(0,MIN(100,(1-MIN(1,IF(Config!$B$30=0,1,$P704/Config!$B$30)))*100)) + Config!$B$29*MAX(0,MIN(100,MIN(1,IF($Q704="",0,$Q704)/Config!$B$23)*100)))),MIN(100,Config!$B$27*MAX(0,MIN(100,(1-IF($O704="",0,$O704))*100)) + Config!$B$28*MAX(0,MIN(100,(1-MIN(1,IF(Config!$B$30=0,1,$P704/Config!$B$30)))*100)) + Config!$B$29*MAX(0,MIN(100,MIN(1,IF($Q704="",0,$Q704)/Config!$B$23)*100))))),"")
</f>
        <v/>
      </c>
      <c r="S704" s="40" t="str">
        <f>IF(Bids!$D704="","",Bids!$D704)</f>
        <v/>
      </c>
      <c r="T704" s="40" t="str">
        <f>IF(Bids!$F704="","",Bids!$F704)</f>
        <v/>
      </c>
      <c r="U704" s="40" t="str">
        <f t="shared" si="3"/>
        <v/>
      </c>
      <c r="V704" s="40" t="str">
        <f>IF($U704="","",IF(Config!$B$17=Config!$B$16,IF($U704&gt;=Config!$B$17,100,0),MAX(0,MIN(100,($U704-Config!$B$16)/(Config!$B$17-Config!$B$16)*100))))</f>
        <v/>
      </c>
      <c r="W704" s="40">
        <f>IF($L704="Elite",Config!$B$21,0)</f>
        <v>0</v>
      </c>
      <c r="X704" s="40" t="str">
        <f>IFERROR(IF(OR($T704="",$G704=""),"",IF($T704&gt;$G704,
  MAX(0, 60-(($T704-$G704)*24/Config!$B$19)*60),
  MEDIAN(60, 100, 60+(($G704-$T704)*24/Config!$B$20)*40)
)),"")
</f>
        <v/>
      </c>
      <c r="Y704" s="40" t="str">
        <f>IF($J704="","",IFERROR(VLOOKUP($J704,Grinders!$A:$N,10,FALSE),""))</f>
        <v/>
      </c>
      <c r="Z704" s="40" t="str">
        <f>IF($J704="","",IFERROR(VLOOKUP($J704,Grinders!$A:$N,11,FALSE),""))</f>
        <v/>
      </c>
      <c r="AA704" s="40" t="str">
        <f>IF($J704="","",IFERROR(VLOOKUP($J704,Grinders!$A:$N,12,FALSE),""))</f>
        <v/>
      </c>
      <c r="AB704" s="40">
        <f>IFERROR(IF(OR($C704="",$J704=""),0,IF($D704&lt;&gt;"Open",0,IF(COUNTIFS(GrinderServices!$B:$B,$J704,GrinderServices!$C:$C,$E704,GrinderServices!$E:$E,"Y")=0,0,IF($U704&lt;Config!$B$16,0,IF(Config!$B$18=1,IF($N704&gt;=$M704,0,1),1))))),"")</f>
        <v>0</v>
      </c>
      <c r="AC704" s="40" t="str">
        <f>IFERROR(IF($AB704=0,"",((Config!$B$6*$V704 + Config!$B$7*$R704 + Config!$B$8*$W704 + Config!$B$9*$X704 + Config!$B$10*$Y704 + Config!$B$11*$Z704 - Config!$B$12*$AA704)/Config!$B$13)+$AH704+$AI704),"")</f>
        <v/>
      </c>
      <c r="AD704" s="40" t="str">
        <f t="shared" si="4"/>
        <v/>
      </c>
      <c r="AE704" s="40" t="str">
        <f>IFERROR(__xludf.DUMMYFUNCTION("IF($AC704="""","""",IF($AC704=IFERROR(MAX(FILTER($AC$6:$AC$1000,$C$6:$C$1000=$C704,$AB$6:$AB$1000=1)),),""WINNER"",""""))"),"")</f>
        <v/>
      </c>
      <c r="AF704" s="40" t="str">
        <f t="shared" si="5"/>
        <v/>
      </c>
      <c r="AG704" s="40" t="str">
        <f>IF($J704="","",COUNTIF(Assignments!$B:$B,$J704))</f>
        <v/>
      </c>
      <c r="AH704" s="40" t="str">
        <f>IF($J704="","",IF(AND($AG704=0,$N704&lt;$M704),Config!$B$43,0))</f>
        <v/>
      </c>
      <c r="AI704" s="40" t="str">
        <f>IF($J704="","",IF(AND($L704="Elite",$F704&gt;=Config!$B$41,$N704&lt;$M704),Config!$B$42,0))</f>
        <v/>
      </c>
      <c r="AJ704" s="22"/>
    </row>
    <row r="705" ht="15.75" customHeight="1">
      <c r="A705" s="40" t="str">
        <f t="shared" si="1"/>
        <v/>
      </c>
      <c r="B705" s="40" t="str">
        <f>IF(Bids!$A705="","",Bids!$A705)</f>
        <v/>
      </c>
      <c r="C705" s="40" t="str">
        <f>IF(Bids!$B705="","",Bids!$B705)</f>
        <v/>
      </c>
      <c r="D705" s="40" t="str">
        <f>IF($C705="","",IFERROR(VLOOKUP($C705,Orders!$A:$J,9,FALSE),""))</f>
        <v/>
      </c>
      <c r="E705" s="40" t="str">
        <f>IF($C705="","",IFERROR(VLOOKUP($C705,Orders!$A:$J,3,FALSE),""))</f>
        <v/>
      </c>
      <c r="F705" s="40" t="str">
        <f>IF($C705="","",IFERROR(VLOOKUP($C705,Orders!$A:$J,4,FALSE),""))</f>
        <v/>
      </c>
      <c r="G705" s="40" t="str">
        <f>IF($C705="","",IFERROR(VLOOKUP($C705,Orders!$A:$J,5,FALSE),""))</f>
        <v/>
      </c>
      <c r="H705" s="40" t="str">
        <f>IF($C705="","",IFERROR(VLOOKUP($C705,Orders!$A:$J,6,FALSE),""))</f>
        <v/>
      </c>
      <c r="I705" s="40" t="str">
        <f>IF($C705="","",IFERROR(VLOOKUP($C705,Orders!$A:$J,7,FALSE),""))</f>
        <v/>
      </c>
      <c r="J705" s="40" t="str">
        <f>IF(Bids!$C705="","",Bids!$C705)</f>
        <v/>
      </c>
      <c r="K705" s="40" t="str">
        <f>IF($J705="","",IFERROR(VLOOKUP($J705,Grinders!$A:$N,2,FALSE),""))</f>
        <v/>
      </c>
      <c r="L705" s="40" t="str">
        <f>IF($J705="","",IFERROR(VLOOKUP($J705,Grinders!$A:$N,3,FALSE),""))</f>
        <v/>
      </c>
      <c r="M705" s="40" t="str">
        <f>IF($J705="","",IFERROR(VLOOKUP($J705,Grinders!$A:$N,4,FALSE),""))</f>
        <v/>
      </c>
      <c r="N705" s="40" t="str">
        <f>IF($J705="","",IFERROR(VLOOKUP($J705,Grinders!$A:$N,5,FALSE),""))</f>
        <v/>
      </c>
      <c r="O705" s="40" t="str">
        <f t="shared" si="2"/>
        <v/>
      </c>
      <c r="P705" s="40" t="str">
        <f>IF($J705="","",IFERROR(VLOOKUP($J705,Grinders!$A:$N,6,FALSE),""))</f>
        <v/>
      </c>
      <c r="Q705" s="40" t="str">
        <f>IF($J705="","",IFERROR(VLOOKUP($J705,Grinders!$A:$N,8,FALSE),""))</f>
        <v/>
      </c>
      <c r="R705" s="40" t="str">
        <f>IFERROR(IF($J705="","",IF($L705="Elite",MAX(50,MIN(100,Config!$B$27*MAX(0,MIN(100,(1-IF($O705="",0,$O705))*100)) + Config!$B$28*MAX(0,MIN(100,(1-MIN(1,IF(Config!$B$30=0,1,$P705/Config!$B$30)))*100)) + Config!$B$29*MAX(0,MIN(100,MIN(1,IF($Q705="",0,$Q705)/Config!$B$23)*100)))),MIN(100,Config!$B$27*MAX(0,MIN(100,(1-IF($O705="",0,$O705))*100)) + Config!$B$28*MAX(0,MIN(100,(1-MIN(1,IF(Config!$B$30=0,1,$P705/Config!$B$30)))*100)) + Config!$B$29*MAX(0,MIN(100,MIN(1,IF($Q705="",0,$Q705)/Config!$B$23)*100))))),"")
</f>
        <v/>
      </c>
      <c r="S705" s="40" t="str">
        <f>IF(Bids!$D705="","",Bids!$D705)</f>
        <v/>
      </c>
      <c r="T705" s="40" t="str">
        <f>IF(Bids!$F705="","",Bids!$F705)</f>
        <v/>
      </c>
      <c r="U705" s="40" t="str">
        <f t="shared" si="3"/>
        <v/>
      </c>
      <c r="V705" s="40" t="str">
        <f>IF($U705="","",IF(Config!$B$17=Config!$B$16,IF($U705&gt;=Config!$B$17,100,0),MAX(0,MIN(100,($U705-Config!$B$16)/(Config!$B$17-Config!$B$16)*100))))</f>
        <v/>
      </c>
      <c r="W705" s="40">
        <f>IF($L705="Elite",Config!$B$21,0)</f>
        <v>0</v>
      </c>
      <c r="X705" s="40" t="str">
        <f>IFERROR(IF(OR($T705="",$G705=""),"",IF($T705&gt;$G705,
  MAX(0, 60-(($T705-$G705)*24/Config!$B$19)*60),
  MEDIAN(60, 100, 60+(($G705-$T705)*24/Config!$B$20)*40)
)),"")
</f>
        <v/>
      </c>
      <c r="Y705" s="40" t="str">
        <f>IF($J705="","",IFERROR(VLOOKUP($J705,Grinders!$A:$N,10,FALSE),""))</f>
        <v/>
      </c>
      <c r="Z705" s="40" t="str">
        <f>IF($J705="","",IFERROR(VLOOKUP($J705,Grinders!$A:$N,11,FALSE),""))</f>
        <v/>
      </c>
      <c r="AA705" s="40" t="str">
        <f>IF($J705="","",IFERROR(VLOOKUP($J705,Grinders!$A:$N,12,FALSE),""))</f>
        <v/>
      </c>
      <c r="AB705" s="40">
        <f>IFERROR(IF(OR($C705="",$J705=""),0,IF($D705&lt;&gt;"Open",0,IF(COUNTIFS(GrinderServices!$B:$B,$J705,GrinderServices!$C:$C,$E705,GrinderServices!$E:$E,"Y")=0,0,IF($U705&lt;Config!$B$16,0,IF(Config!$B$18=1,IF($N705&gt;=$M705,0,1),1))))),"")</f>
        <v>0</v>
      </c>
      <c r="AC705" s="40" t="str">
        <f>IFERROR(IF($AB705=0,"",((Config!$B$6*$V705 + Config!$B$7*$R705 + Config!$B$8*$W705 + Config!$B$9*$X705 + Config!$B$10*$Y705 + Config!$B$11*$Z705 - Config!$B$12*$AA705)/Config!$B$13)+$AH705+$AI705),"")</f>
        <v/>
      </c>
      <c r="AD705" s="40" t="str">
        <f t="shared" si="4"/>
        <v/>
      </c>
      <c r="AE705" s="40" t="str">
        <f>IFERROR(__xludf.DUMMYFUNCTION("IF($AC705="""","""",IF($AC705=IFERROR(MAX(FILTER($AC$6:$AC$1000,$C$6:$C$1000=$C705,$AB$6:$AB$1000=1)),),""WINNER"",""""))"),"")</f>
        <v/>
      </c>
      <c r="AF705" s="40" t="str">
        <f t="shared" si="5"/>
        <v/>
      </c>
      <c r="AG705" s="40" t="str">
        <f>IF($J705="","",COUNTIF(Assignments!$B:$B,$J705))</f>
        <v/>
      </c>
      <c r="AH705" s="40" t="str">
        <f>IF($J705="","",IF(AND($AG705=0,$N705&lt;$M705),Config!$B$43,0))</f>
        <v/>
      </c>
      <c r="AI705" s="40" t="str">
        <f>IF($J705="","",IF(AND($L705="Elite",$F705&gt;=Config!$B$41,$N705&lt;$M705),Config!$B$42,0))</f>
        <v/>
      </c>
      <c r="AJ705" s="22"/>
    </row>
    <row r="706" ht="15.75" customHeight="1">
      <c r="A706" s="40" t="str">
        <f t="shared" si="1"/>
        <v/>
      </c>
      <c r="B706" s="40" t="str">
        <f>IF(Bids!$A706="","",Bids!$A706)</f>
        <v/>
      </c>
      <c r="C706" s="40" t="str">
        <f>IF(Bids!$B706="","",Bids!$B706)</f>
        <v/>
      </c>
      <c r="D706" s="40" t="str">
        <f>IF($C706="","",IFERROR(VLOOKUP($C706,Orders!$A:$J,9,FALSE),""))</f>
        <v/>
      </c>
      <c r="E706" s="40" t="str">
        <f>IF($C706="","",IFERROR(VLOOKUP($C706,Orders!$A:$J,3,FALSE),""))</f>
        <v/>
      </c>
      <c r="F706" s="40" t="str">
        <f>IF($C706="","",IFERROR(VLOOKUP($C706,Orders!$A:$J,4,FALSE),""))</f>
        <v/>
      </c>
      <c r="G706" s="40" t="str">
        <f>IF($C706="","",IFERROR(VLOOKUP($C706,Orders!$A:$J,5,FALSE),""))</f>
        <v/>
      </c>
      <c r="H706" s="40" t="str">
        <f>IF($C706="","",IFERROR(VLOOKUP($C706,Orders!$A:$J,6,FALSE),""))</f>
        <v/>
      </c>
      <c r="I706" s="40" t="str">
        <f>IF($C706="","",IFERROR(VLOOKUP($C706,Orders!$A:$J,7,FALSE),""))</f>
        <v/>
      </c>
      <c r="J706" s="40" t="str">
        <f>IF(Bids!$C706="","",Bids!$C706)</f>
        <v/>
      </c>
      <c r="K706" s="40" t="str">
        <f>IF($J706="","",IFERROR(VLOOKUP($J706,Grinders!$A:$N,2,FALSE),""))</f>
        <v/>
      </c>
      <c r="L706" s="40" t="str">
        <f>IF($J706="","",IFERROR(VLOOKUP($J706,Grinders!$A:$N,3,FALSE),""))</f>
        <v/>
      </c>
      <c r="M706" s="40" t="str">
        <f>IF($J706="","",IFERROR(VLOOKUP($J706,Grinders!$A:$N,4,FALSE),""))</f>
        <v/>
      </c>
      <c r="N706" s="40" t="str">
        <f>IF($J706="","",IFERROR(VLOOKUP($J706,Grinders!$A:$N,5,FALSE),""))</f>
        <v/>
      </c>
      <c r="O706" s="40" t="str">
        <f t="shared" si="2"/>
        <v/>
      </c>
      <c r="P706" s="40" t="str">
        <f>IF($J706="","",IFERROR(VLOOKUP($J706,Grinders!$A:$N,6,FALSE),""))</f>
        <v/>
      </c>
      <c r="Q706" s="40" t="str">
        <f>IF($J706="","",IFERROR(VLOOKUP($J706,Grinders!$A:$N,8,FALSE),""))</f>
        <v/>
      </c>
      <c r="R706" s="40" t="str">
        <f>IFERROR(IF($J706="","",IF($L706="Elite",MAX(50,MIN(100,Config!$B$27*MAX(0,MIN(100,(1-IF($O706="",0,$O706))*100)) + Config!$B$28*MAX(0,MIN(100,(1-MIN(1,IF(Config!$B$30=0,1,$P706/Config!$B$30)))*100)) + Config!$B$29*MAX(0,MIN(100,MIN(1,IF($Q706="",0,$Q706)/Config!$B$23)*100)))),MIN(100,Config!$B$27*MAX(0,MIN(100,(1-IF($O706="",0,$O706))*100)) + Config!$B$28*MAX(0,MIN(100,(1-MIN(1,IF(Config!$B$30=0,1,$P706/Config!$B$30)))*100)) + Config!$B$29*MAX(0,MIN(100,MIN(1,IF($Q706="",0,$Q706)/Config!$B$23)*100))))),"")
</f>
        <v/>
      </c>
      <c r="S706" s="40" t="str">
        <f>IF(Bids!$D706="","",Bids!$D706)</f>
        <v/>
      </c>
      <c r="T706" s="40" t="str">
        <f>IF(Bids!$F706="","",Bids!$F706)</f>
        <v/>
      </c>
      <c r="U706" s="40" t="str">
        <f t="shared" si="3"/>
        <v/>
      </c>
      <c r="V706" s="40" t="str">
        <f>IF($U706="","",IF(Config!$B$17=Config!$B$16,IF($U706&gt;=Config!$B$17,100,0),MAX(0,MIN(100,($U706-Config!$B$16)/(Config!$B$17-Config!$B$16)*100))))</f>
        <v/>
      </c>
      <c r="W706" s="40">
        <f>IF($L706="Elite",Config!$B$21,0)</f>
        <v>0</v>
      </c>
      <c r="X706" s="40" t="str">
        <f>IFERROR(IF(OR($T706="",$G706=""),"",IF($T706&gt;$G706,
  MAX(0, 60-(($T706-$G706)*24/Config!$B$19)*60),
  MEDIAN(60, 100, 60+(($G706-$T706)*24/Config!$B$20)*40)
)),"")
</f>
        <v/>
      </c>
      <c r="Y706" s="40" t="str">
        <f>IF($J706="","",IFERROR(VLOOKUP($J706,Grinders!$A:$N,10,FALSE),""))</f>
        <v/>
      </c>
      <c r="Z706" s="40" t="str">
        <f>IF($J706="","",IFERROR(VLOOKUP($J706,Grinders!$A:$N,11,FALSE),""))</f>
        <v/>
      </c>
      <c r="AA706" s="40" t="str">
        <f>IF($J706="","",IFERROR(VLOOKUP($J706,Grinders!$A:$N,12,FALSE),""))</f>
        <v/>
      </c>
      <c r="AB706" s="40">
        <f>IFERROR(IF(OR($C706="",$J706=""),0,IF($D706&lt;&gt;"Open",0,IF(COUNTIFS(GrinderServices!$B:$B,$J706,GrinderServices!$C:$C,$E706,GrinderServices!$E:$E,"Y")=0,0,IF($U706&lt;Config!$B$16,0,IF(Config!$B$18=1,IF($N706&gt;=$M706,0,1),1))))),"")</f>
        <v>0</v>
      </c>
      <c r="AC706" s="40" t="str">
        <f>IFERROR(IF($AB706=0,"",((Config!$B$6*$V706 + Config!$B$7*$R706 + Config!$B$8*$W706 + Config!$B$9*$X706 + Config!$B$10*$Y706 + Config!$B$11*$Z706 - Config!$B$12*$AA706)/Config!$B$13)+$AH706+$AI706),"")</f>
        <v/>
      </c>
      <c r="AD706" s="40" t="str">
        <f t="shared" si="4"/>
        <v/>
      </c>
      <c r="AE706" s="40" t="str">
        <f>IFERROR(__xludf.DUMMYFUNCTION("IF($AC706="""","""",IF($AC706=IFERROR(MAX(FILTER($AC$6:$AC$1000,$C$6:$C$1000=$C706,$AB$6:$AB$1000=1)),),""WINNER"",""""))"),"")</f>
        <v/>
      </c>
      <c r="AF706" s="40" t="str">
        <f t="shared" si="5"/>
        <v/>
      </c>
      <c r="AG706" s="40" t="str">
        <f>IF($J706="","",COUNTIF(Assignments!$B:$B,$J706))</f>
        <v/>
      </c>
      <c r="AH706" s="40" t="str">
        <f>IF($J706="","",IF(AND($AG706=0,$N706&lt;$M706),Config!$B$43,0))</f>
        <v/>
      </c>
      <c r="AI706" s="40" t="str">
        <f>IF($J706="","",IF(AND($L706="Elite",$F706&gt;=Config!$B$41,$N706&lt;$M706),Config!$B$42,0))</f>
        <v/>
      </c>
      <c r="AJ706" s="22"/>
    </row>
    <row r="707" ht="15.75" customHeight="1">
      <c r="A707" s="40" t="str">
        <f t="shared" si="1"/>
        <v/>
      </c>
      <c r="B707" s="40" t="str">
        <f>IF(Bids!$A707="","",Bids!$A707)</f>
        <v/>
      </c>
      <c r="C707" s="40" t="str">
        <f>IF(Bids!$B707="","",Bids!$B707)</f>
        <v/>
      </c>
      <c r="D707" s="40" t="str">
        <f>IF($C707="","",IFERROR(VLOOKUP($C707,Orders!$A:$J,9,FALSE),""))</f>
        <v/>
      </c>
      <c r="E707" s="40" t="str">
        <f>IF($C707="","",IFERROR(VLOOKUP($C707,Orders!$A:$J,3,FALSE),""))</f>
        <v/>
      </c>
      <c r="F707" s="40" t="str">
        <f>IF($C707="","",IFERROR(VLOOKUP($C707,Orders!$A:$J,4,FALSE),""))</f>
        <v/>
      </c>
      <c r="G707" s="40" t="str">
        <f>IF($C707="","",IFERROR(VLOOKUP($C707,Orders!$A:$J,5,FALSE),""))</f>
        <v/>
      </c>
      <c r="H707" s="40" t="str">
        <f>IF($C707="","",IFERROR(VLOOKUP($C707,Orders!$A:$J,6,FALSE),""))</f>
        <v/>
      </c>
      <c r="I707" s="40" t="str">
        <f>IF($C707="","",IFERROR(VLOOKUP($C707,Orders!$A:$J,7,FALSE),""))</f>
        <v/>
      </c>
      <c r="J707" s="40" t="str">
        <f>IF(Bids!$C707="","",Bids!$C707)</f>
        <v/>
      </c>
      <c r="K707" s="40" t="str">
        <f>IF($J707="","",IFERROR(VLOOKUP($J707,Grinders!$A:$N,2,FALSE),""))</f>
        <v/>
      </c>
      <c r="L707" s="40" t="str">
        <f>IF($J707="","",IFERROR(VLOOKUP($J707,Grinders!$A:$N,3,FALSE),""))</f>
        <v/>
      </c>
      <c r="M707" s="40" t="str">
        <f>IF($J707="","",IFERROR(VLOOKUP($J707,Grinders!$A:$N,4,FALSE),""))</f>
        <v/>
      </c>
      <c r="N707" s="40" t="str">
        <f>IF($J707="","",IFERROR(VLOOKUP($J707,Grinders!$A:$N,5,FALSE),""))</f>
        <v/>
      </c>
      <c r="O707" s="40" t="str">
        <f t="shared" si="2"/>
        <v/>
      </c>
      <c r="P707" s="40" t="str">
        <f>IF($J707="","",IFERROR(VLOOKUP($J707,Grinders!$A:$N,6,FALSE),""))</f>
        <v/>
      </c>
      <c r="Q707" s="40" t="str">
        <f>IF($J707="","",IFERROR(VLOOKUP($J707,Grinders!$A:$N,8,FALSE),""))</f>
        <v/>
      </c>
      <c r="R707" s="40" t="str">
        <f>IFERROR(IF($J707="","",IF($L707="Elite",MAX(50,MIN(100,Config!$B$27*MAX(0,MIN(100,(1-IF($O707="",0,$O707))*100)) + Config!$B$28*MAX(0,MIN(100,(1-MIN(1,IF(Config!$B$30=0,1,$P707/Config!$B$30)))*100)) + Config!$B$29*MAX(0,MIN(100,MIN(1,IF($Q707="",0,$Q707)/Config!$B$23)*100)))),MIN(100,Config!$B$27*MAX(0,MIN(100,(1-IF($O707="",0,$O707))*100)) + Config!$B$28*MAX(0,MIN(100,(1-MIN(1,IF(Config!$B$30=0,1,$P707/Config!$B$30)))*100)) + Config!$B$29*MAX(0,MIN(100,MIN(1,IF($Q707="",0,$Q707)/Config!$B$23)*100))))),"")
</f>
        <v/>
      </c>
      <c r="S707" s="40" t="str">
        <f>IF(Bids!$D707="","",Bids!$D707)</f>
        <v/>
      </c>
      <c r="T707" s="40" t="str">
        <f>IF(Bids!$F707="","",Bids!$F707)</f>
        <v/>
      </c>
      <c r="U707" s="40" t="str">
        <f t="shared" si="3"/>
        <v/>
      </c>
      <c r="V707" s="40" t="str">
        <f>IF($U707="","",IF(Config!$B$17=Config!$B$16,IF($U707&gt;=Config!$B$17,100,0),MAX(0,MIN(100,($U707-Config!$B$16)/(Config!$B$17-Config!$B$16)*100))))</f>
        <v/>
      </c>
      <c r="W707" s="40">
        <f>IF($L707="Elite",Config!$B$21,0)</f>
        <v>0</v>
      </c>
      <c r="X707" s="40" t="str">
        <f>IFERROR(IF(OR($T707="",$G707=""),"",IF($T707&gt;$G707,
  MAX(0, 60-(($T707-$G707)*24/Config!$B$19)*60),
  MEDIAN(60, 100, 60+(($G707-$T707)*24/Config!$B$20)*40)
)),"")
</f>
        <v/>
      </c>
      <c r="Y707" s="40" t="str">
        <f>IF($J707="","",IFERROR(VLOOKUP($J707,Grinders!$A:$N,10,FALSE),""))</f>
        <v/>
      </c>
      <c r="Z707" s="40" t="str">
        <f>IF($J707="","",IFERROR(VLOOKUP($J707,Grinders!$A:$N,11,FALSE),""))</f>
        <v/>
      </c>
      <c r="AA707" s="40" t="str">
        <f>IF($J707="","",IFERROR(VLOOKUP($J707,Grinders!$A:$N,12,FALSE),""))</f>
        <v/>
      </c>
      <c r="AB707" s="40">
        <f>IFERROR(IF(OR($C707="",$J707=""),0,IF($D707&lt;&gt;"Open",0,IF(COUNTIFS(GrinderServices!$B:$B,$J707,GrinderServices!$C:$C,$E707,GrinderServices!$E:$E,"Y")=0,0,IF($U707&lt;Config!$B$16,0,IF(Config!$B$18=1,IF($N707&gt;=$M707,0,1),1))))),"")</f>
        <v>0</v>
      </c>
      <c r="AC707" s="40" t="str">
        <f>IFERROR(IF($AB707=0,"",((Config!$B$6*$V707 + Config!$B$7*$R707 + Config!$B$8*$W707 + Config!$B$9*$X707 + Config!$B$10*$Y707 + Config!$B$11*$Z707 - Config!$B$12*$AA707)/Config!$B$13)+$AH707+$AI707),"")</f>
        <v/>
      </c>
      <c r="AD707" s="40" t="str">
        <f t="shared" si="4"/>
        <v/>
      </c>
      <c r="AE707" s="40" t="str">
        <f>IFERROR(__xludf.DUMMYFUNCTION("IF($AC707="""","""",IF($AC707=IFERROR(MAX(FILTER($AC$6:$AC$1000,$C$6:$C$1000=$C707,$AB$6:$AB$1000=1)),),""WINNER"",""""))"),"")</f>
        <v/>
      </c>
      <c r="AF707" s="40" t="str">
        <f t="shared" si="5"/>
        <v/>
      </c>
      <c r="AG707" s="40" t="str">
        <f>IF($J707="","",COUNTIF(Assignments!$B:$B,$J707))</f>
        <v/>
      </c>
      <c r="AH707" s="40" t="str">
        <f>IF($J707="","",IF(AND($AG707=0,$N707&lt;$M707),Config!$B$43,0))</f>
        <v/>
      </c>
      <c r="AI707" s="40" t="str">
        <f>IF($J707="","",IF(AND($L707="Elite",$F707&gt;=Config!$B$41,$N707&lt;$M707),Config!$B$42,0))</f>
        <v/>
      </c>
      <c r="AJ707" s="22"/>
    </row>
    <row r="708" ht="15.75" customHeight="1">
      <c r="A708" s="40" t="str">
        <f t="shared" si="1"/>
        <v/>
      </c>
      <c r="B708" s="40" t="str">
        <f>IF(Bids!$A708="","",Bids!$A708)</f>
        <v/>
      </c>
      <c r="C708" s="40" t="str">
        <f>IF(Bids!$B708="","",Bids!$B708)</f>
        <v/>
      </c>
      <c r="D708" s="40" t="str">
        <f>IF($C708="","",IFERROR(VLOOKUP($C708,Orders!$A:$J,9,FALSE),""))</f>
        <v/>
      </c>
      <c r="E708" s="40" t="str">
        <f>IF($C708="","",IFERROR(VLOOKUP($C708,Orders!$A:$J,3,FALSE),""))</f>
        <v/>
      </c>
      <c r="F708" s="40" t="str">
        <f>IF($C708="","",IFERROR(VLOOKUP($C708,Orders!$A:$J,4,FALSE),""))</f>
        <v/>
      </c>
      <c r="G708" s="40" t="str">
        <f>IF($C708="","",IFERROR(VLOOKUP($C708,Orders!$A:$J,5,FALSE),""))</f>
        <v/>
      </c>
      <c r="H708" s="40" t="str">
        <f>IF($C708="","",IFERROR(VLOOKUP($C708,Orders!$A:$J,6,FALSE),""))</f>
        <v/>
      </c>
      <c r="I708" s="40" t="str">
        <f>IF($C708="","",IFERROR(VLOOKUP($C708,Orders!$A:$J,7,FALSE),""))</f>
        <v/>
      </c>
      <c r="J708" s="40" t="str">
        <f>IF(Bids!$C708="","",Bids!$C708)</f>
        <v/>
      </c>
      <c r="K708" s="40" t="str">
        <f>IF($J708="","",IFERROR(VLOOKUP($J708,Grinders!$A:$N,2,FALSE),""))</f>
        <v/>
      </c>
      <c r="L708" s="40" t="str">
        <f>IF($J708="","",IFERROR(VLOOKUP($J708,Grinders!$A:$N,3,FALSE),""))</f>
        <v/>
      </c>
      <c r="M708" s="40" t="str">
        <f>IF($J708="","",IFERROR(VLOOKUP($J708,Grinders!$A:$N,4,FALSE),""))</f>
        <v/>
      </c>
      <c r="N708" s="40" t="str">
        <f>IF($J708="","",IFERROR(VLOOKUP($J708,Grinders!$A:$N,5,FALSE),""))</f>
        <v/>
      </c>
      <c r="O708" s="40" t="str">
        <f t="shared" si="2"/>
        <v/>
      </c>
      <c r="P708" s="40" t="str">
        <f>IF($J708="","",IFERROR(VLOOKUP($J708,Grinders!$A:$N,6,FALSE),""))</f>
        <v/>
      </c>
      <c r="Q708" s="40" t="str">
        <f>IF($J708="","",IFERROR(VLOOKUP($J708,Grinders!$A:$N,8,FALSE),""))</f>
        <v/>
      </c>
      <c r="R708" s="40" t="str">
        <f>IFERROR(IF($J708="","",IF($L708="Elite",MAX(50,MIN(100,Config!$B$27*MAX(0,MIN(100,(1-IF($O708="",0,$O708))*100)) + Config!$B$28*MAX(0,MIN(100,(1-MIN(1,IF(Config!$B$30=0,1,$P708/Config!$B$30)))*100)) + Config!$B$29*MAX(0,MIN(100,MIN(1,IF($Q708="",0,$Q708)/Config!$B$23)*100)))),MIN(100,Config!$B$27*MAX(0,MIN(100,(1-IF($O708="",0,$O708))*100)) + Config!$B$28*MAX(0,MIN(100,(1-MIN(1,IF(Config!$B$30=0,1,$P708/Config!$B$30)))*100)) + Config!$B$29*MAX(0,MIN(100,MIN(1,IF($Q708="",0,$Q708)/Config!$B$23)*100))))),"")
</f>
        <v/>
      </c>
      <c r="S708" s="40" t="str">
        <f>IF(Bids!$D708="","",Bids!$D708)</f>
        <v/>
      </c>
      <c r="T708" s="40" t="str">
        <f>IF(Bids!$F708="","",Bids!$F708)</f>
        <v/>
      </c>
      <c r="U708" s="40" t="str">
        <f t="shared" si="3"/>
        <v/>
      </c>
      <c r="V708" s="40" t="str">
        <f>IF($U708="","",IF(Config!$B$17=Config!$B$16,IF($U708&gt;=Config!$B$17,100,0),MAX(0,MIN(100,($U708-Config!$B$16)/(Config!$B$17-Config!$B$16)*100))))</f>
        <v/>
      </c>
      <c r="W708" s="40">
        <f>IF($L708="Elite",Config!$B$21,0)</f>
        <v>0</v>
      </c>
      <c r="X708" s="40" t="str">
        <f>IFERROR(IF(OR($T708="",$G708=""),"",IF($T708&gt;$G708,
  MAX(0, 60-(($T708-$G708)*24/Config!$B$19)*60),
  MEDIAN(60, 100, 60+(($G708-$T708)*24/Config!$B$20)*40)
)),"")
</f>
        <v/>
      </c>
      <c r="Y708" s="40" t="str">
        <f>IF($J708="","",IFERROR(VLOOKUP($J708,Grinders!$A:$N,10,FALSE),""))</f>
        <v/>
      </c>
      <c r="Z708" s="40" t="str">
        <f>IF($J708="","",IFERROR(VLOOKUP($J708,Grinders!$A:$N,11,FALSE),""))</f>
        <v/>
      </c>
      <c r="AA708" s="40" t="str">
        <f>IF($J708="","",IFERROR(VLOOKUP($J708,Grinders!$A:$N,12,FALSE),""))</f>
        <v/>
      </c>
      <c r="AB708" s="40">
        <f>IFERROR(IF(OR($C708="",$J708=""),0,IF($D708&lt;&gt;"Open",0,IF(COUNTIFS(GrinderServices!$B:$B,$J708,GrinderServices!$C:$C,$E708,GrinderServices!$E:$E,"Y")=0,0,IF($U708&lt;Config!$B$16,0,IF(Config!$B$18=1,IF($N708&gt;=$M708,0,1),1))))),"")</f>
        <v>0</v>
      </c>
      <c r="AC708" s="40" t="str">
        <f>IFERROR(IF($AB708=0,"",((Config!$B$6*$V708 + Config!$B$7*$R708 + Config!$B$8*$W708 + Config!$B$9*$X708 + Config!$B$10*$Y708 + Config!$B$11*$Z708 - Config!$B$12*$AA708)/Config!$B$13)+$AH708+$AI708),"")</f>
        <v/>
      </c>
      <c r="AD708" s="40" t="str">
        <f t="shared" si="4"/>
        <v/>
      </c>
      <c r="AE708" s="40" t="str">
        <f>IFERROR(__xludf.DUMMYFUNCTION("IF($AC708="""","""",IF($AC708=IFERROR(MAX(FILTER($AC$6:$AC$1000,$C$6:$C$1000=$C708,$AB$6:$AB$1000=1)),),""WINNER"",""""))"),"")</f>
        <v/>
      </c>
      <c r="AF708" s="40" t="str">
        <f t="shared" si="5"/>
        <v/>
      </c>
      <c r="AG708" s="40" t="str">
        <f>IF($J708="","",COUNTIF(Assignments!$B:$B,$J708))</f>
        <v/>
      </c>
      <c r="AH708" s="40" t="str">
        <f>IF($J708="","",IF(AND($AG708=0,$N708&lt;$M708),Config!$B$43,0))</f>
        <v/>
      </c>
      <c r="AI708" s="40" t="str">
        <f>IF($J708="","",IF(AND($L708="Elite",$F708&gt;=Config!$B$41,$N708&lt;$M708),Config!$B$42,0))</f>
        <v/>
      </c>
      <c r="AJ708" s="22"/>
    </row>
    <row r="709" ht="15.75" customHeight="1">
      <c r="A709" s="40" t="str">
        <f t="shared" si="1"/>
        <v/>
      </c>
      <c r="B709" s="40" t="str">
        <f>IF(Bids!$A709="","",Bids!$A709)</f>
        <v/>
      </c>
      <c r="C709" s="40" t="str">
        <f>IF(Bids!$B709="","",Bids!$B709)</f>
        <v/>
      </c>
      <c r="D709" s="40" t="str">
        <f>IF($C709="","",IFERROR(VLOOKUP($C709,Orders!$A:$J,9,FALSE),""))</f>
        <v/>
      </c>
      <c r="E709" s="40" t="str">
        <f>IF($C709="","",IFERROR(VLOOKUP($C709,Orders!$A:$J,3,FALSE),""))</f>
        <v/>
      </c>
      <c r="F709" s="40" t="str">
        <f>IF($C709="","",IFERROR(VLOOKUP($C709,Orders!$A:$J,4,FALSE),""))</f>
        <v/>
      </c>
      <c r="G709" s="40" t="str">
        <f>IF($C709="","",IFERROR(VLOOKUP($C709,Orders!$A:$J,5,FALSE),""))</f>
        <v/>
      </c>
      <c r="H709" s="40" t="str">
        <f>IF($C709="","",IFERROR(VLOOKUP($C709,Orders!$A:$J,6,FALSE),""))</f>
        <v/>
      </c>
      <c r="I709" s="40" t="str">
        <f>IF($C709="","",IFERROR(VLOOKUP($C709,Orders!$A:$J,7,FALSE),""))</f>
        <v/>
      </c>
      <c r="J709" s="40" t="str">
        <f>IF(Bids!$C709="","",Bids!$C709)</f>
        <v/>
      </c>
      <c r="K709" s="40" t="str">
        <f>IF($J709="","",IFERROR(VLOOKUP($J709,Grinders!$A:$N,2,FALSE),""))</f>
        <v/>
      </c>
      <c r="L709" s="40" t="str">
        <f>IF($J709="","",IFERROR(VLOOKUP($J709,Grinders!$A:$N,3,FALSE),""))</f>
        <v/>
      </c>
      <c r="M709" s="40" t="str">
        <f>IF($J709="","",IFERROR(VLOOKUP($J709,Grinders!$A:$N,4,FALSE),""))</f>
        <v/>
      </c>
      <c r="N709" s="40" t="str">
        <f>IF($J709="","",IFERROR(VLOOKUP($J709,Grinders!$A:$N,5,FALSE),""))</f>
        <v/>
      </c>
      <c r="O709" s="40" t="str">
        <f t="shared" si="2"/>
        <v/>
      </c>
      <c r="P709" s="40" t="str">
        <f>IF($J709="","",IFERROR(VLOOKUP($J709,Grinders!$A:$N,6,FALSE),""))</f>
        <v/>
      </c>
      <c r="Q709" s="40" t="str">
        <f>IF($J709="","",IFERROR(VLOOKUP($J709,Grinders!$A:$N,8,FALSE),""))</f>
        <v/>
      </c>
      <c r="R709" s="40" t="str">
        <f>IFERROR(IF($J709="","",IF($L709="Elite",MAX(50,MIN(100,Config!$B$27*MAX(0,MIN(100,(1-IF($O709="",0,$O709))*100)) + Config!$B$28*MAX(0,MIN(100,(1-MIN(1,IF(Config!$B$30=0,1,$P709/Config!$B$30)))*100)) + Config!$B$29*MAX(0,MIN(100,MIN(1,IF($Q709="",0,$Q709)/Config!$B$23)*100)))),MIN(100,Config!$B$27*MAX(0,MIN(100,(1-IF($O709="",0,$O709))*100)) + Config!$B$28*MAX(0,MIN(100,(1-MIN(1,IF(Config!$B$30=0,1,$P709/Config!$B$30)))*100)) + Config!$B$29*MAX(0,MIN(100,MIN(1,IF($Q709="",0,$Q709)/Config!$B$23)*100))))),"")
</f>
        <v/>
      </c>
      <c r="S709" s="40" t="str">
        <f>IF(Bids!$D709="","",Bids!$D709)</f>
        <v/>
      </c>
      <c r="T709" s="40" t="str">
        <f>IF(Bids!$F709="","",Bids!$F709)</f>
        <v/>
      </c>
      <c r="U709" s="40" t="str">
        <f t="shared" si="3"/>
        <v/>
      </c>
      <c r="V709" s="40" t="str">
        <f>IF($U709="","",IF(Config!$B$17=Config!$B$16,IF($U709&gt;=Config!$B$17,100,0),MAX(0,MIN(100,($U709-Config!$B$16)/(Config!$B$17-Config!$B$16)*100))))</f>
        <v/>
      </c>
      <c r="W709" s="40">
        <f>IF($L709="Elite",Config!$B$21,0)</f>
        <v>0</v>
      </c>
      <c r="X709" s="40" t="str">
        <f>IFERROR(IF(OR($T709="",$G709=""),"",IF($T709&gt;$G709,
  MAX(0, 60-(($T709-$G709)*24/Config!$B$19)*60),
  MEDIAN(60, 100, 60+(($G709-$T709)*24/Config!$B$20)*40)
)),"")
</f>
        <v/>
      </c>
      <c r="Y709" s="40" t="str">
        <f>IF($J709="","",IFERROR(VLOOKUP($J709,Grinders!$A:$N,10,FALSE),""))</f>
        <v/>
      </c>
      <c r="Z709" s="40" t="str">
        <f>IF($J709="","",IFERROR(VLOOKUP($J709,Grinders!$A:$N,11,FALSE),""))</f>
        <v/>
      </c>
      <c r="AA709" s="40" t="str">
        <f>IF($J709="","",IFERROR(VLOOKUP($J709,Grinders!$A:$N,12,FALSE),""))</f>
        <v/>
      </c>
      <c r="AB709" s="40">
        <f>IFERROR(IF(OR($C709="",$J709=""),0,IF($D709&lt;&gt;"Open",0,IF(COUNTIFS(GrinderServices!$B:$B,$J709,GrinderServices!$C:$C,$E709,GrinderServices!$E:$E,"Y")=0,0,IF($U709&lt;Config!$B$16,0,IF(Config!$B$18=1,IF($N709&gt;=$M709,0,1),1))))),"")</f>
        <v>0</v>
      </c>
      <c r="AC709" s="40" t="str">
        <f>IFERROR(IF($AB709=0,"",((Config!$B$6*$V709 + Config!$B$7*$R709 + Config!$B$8*$W709 + Config!$B$9*$X709 + Config!$B$10*$Y709 + Config!$B$11*$Z709 - Config!$B$12*$AA709)/Config!$B$13)+$AH709+$AI709),"")</f>
        <v/>
      </c>
      <c r="AD709" s="40" t="str">
        <f t="shared" si="4"/>
        <v/>
      </c>
      <c r="AE709" s="40" t="str">
        <f>IFERROR(__xludf.DUMMYFUNCTION("IF($AC709="""","""",IF($AC709=IFERROR(MAX(FILTER($AC$6:$AC$1000,$C$6:$C$1000=$C709,$AB$6:$AB$1000=1)),),""WINNER"",""""))"),"")</f>
        <v/>
      </c>
      <c r="AF709" s="40" t="str">
        <f t="shared" si="5"/>
        <v/>
      </c>
      <c r="AG709" s="40" t="str">
        <f>IF($J709="","",COUNTIF(Assignments!$B:$B,$J709))</f>
        <v/>
      </c>
      <c r="AH709" s="40" t="str">
        <f>IF($J709="","",IF(AND($AG709=0,$N709&lt;$M709),Config!$B$43,0))</f>
        <v/>
      </c>
      <c r="AI709" s="40" t="str">
        <f>IF($J709="","",IF(AND($L709="Elite",$F709&gt;=Config!$B$41,$N709&lt;$M709),Config!$B$42,0))</f>
        <v/>
      </c>
      <c r="AJ709" s="22"/>
    </row>
    <row r="710" ht="15.75" customHeight="1">
      <c r="A710" s="40" t="str">
        <f t="shared" si="1"/>
        <v/>
      </c>
      <c r="B710" s="40" t="str">
        <f>IF(Bids!$A710="","",Bids!$A710)</f>
        <v/>
      </c>
      <c r="C710" s="40" t="str">
        <f>IF(Bids!$B710="","",Bids!$B710)</f>
        <v/>
      </c>
      <c r="D710" s="40" t="str">
        <f>IF($C710="","",IFERROR(VLOOKUP($C710,Orders!$A:$J,9,FALSE),""))</f>
        <v/>
      </c>
      <c r="E710" s="40" t="str">
        <f>IF($C710="","",IFERROR(VLOOKUP($C710,Orders!$A:$J,3,FALSE),""))</f>
        <v/>
      </c>
      <c r="F710" s="40" t="str">
        <f>IF($C710="","",IFERROR(VLOOKUP($C710,Orders!$A:$J,4,FALSE),""))</f>
        <v/>
      </c>
      <c r="G710" s="40" t="str">
        <f>IF($C710="","",IFERROR(VLOOKUP($C710,Orders!$A:$J,5,FALSE),""))</f>
        <v/>
      </c>
      <c r="H710" s="40" t="str">
        <f>IF($C710="","",IFERROR(VLOOKUP($C710,Orders!$A:$J,6,FALSE),""))</f>
        <v/>
      </c>
      <c r="I710" s="40" t="str">
        <f>IF($C710="","",IFERROR(VLOOKUP($C710,Orders!$A:$J,7,FALSE),""))</f>
        <v/>
      </c>
      <c r="J710" s="40" t="str">
        <f>IF(Bids!$C710="","",Bids!$C710)</f>
        <v/>
      </c>
      <c r="K710" s="40" t="str">
        <f>IF($J710="","",IFERROR(VLOOKUP($J710,Grinders!$A:$N,2,FALSE),""))</f>
        <v/>
      </c>
      <c r="L710" s="40" t="str">
        <f>IF($J710="","",IFERROR(VLOOKUP($J710,Grinders!$A:$N,3,FALSE),""))</f>
        <v/>
      </c>
      <c r="M710" s="40" t="str">
        <f>IF($J710="","",IFERROR(VLOOKUP($J710,Grinders!$A:$N,4,FALSE),""))</f>
        <v/>
      </c>
      <c r="N710" s="40" t="str">
        <f>IF($J710="","",IFERROR(VLOOKUP($J710,Grinders!$A:$N,5,FALSE),""))</f>
        <v/>
      </c>
      <c r="O710" s="40" t="str">
        <f t="shared" si="2"/>
        <v/>
      </c>
      <c r="P710" s="40" t="str">
        <f>IF($J710="","",IFERROR(VLOOKUP($J710,Grinders!$A:$N,6,FALSE),""))</f>
        <v/>
      </c>
      <c r="Q710" s="40" t="str">
        <f>IF($J710="","",IFERROR(VLOOKUP($J710,Grinders!$A:$N,8,FALSE),""))</f>
        <v/>
      </c>
      <c r="R710" s="40" t="str">
        <f>IFERROR(IF($J710="","",IF($L710="Elite",MAX(50,MIN(100,Config!$B$27*MAX(0,MIN(100,(1-IF($O710="",0,$O710))*100)) + Config!$B$28*MAX(0,MIN(100,(1-MIN(1,IF(Config!$B$30=0,1,$P710/Config!$B$30)))*100)) + Config!$B$29*MAX(0,MIN(100,MIN(1,IF($Q710="",0,$Q710)/Config!$B$23)*100)))),MIN(100,Config!$B$27*MAX(0,MIN(100,(1-IF($O710="",0,$O710))*100)) + Config!$B$28*MAX(0,MIN(100,(1-MIN(1,IF(Config!$B$30=0,1,$P710/Config!$B$30)))*100)) + Config!$B$29*MAX(0,MIN(100,MIN(1,IF($Q710="",0,$Q710)/Config!$B$23)*100))))),"")
</f>
        <v/>
      </c>
      <c r="S710" s="40" t="str">
        <f>IF(Bids!$D710="","",Bids!$D710)</f>
        <v/>
      </c>
      <c r="T710" s="40" t="str">
        <f>IF(Bids!$F710="","",Bids!$F710)</f>
        <v/>
      </c>
      <c r="U710" s="40" t="str">
        <f t="shared" si="3"/>
        <v/>
      </c>
      <c r="V710" s="40" t="str">
        <f>IF($U710="","",IF(Config!$B$17=Config!$B$16,IF($U710&gt;=Config!$B$17,100,0),MAX(0,MIN(100,($U710-Config!$B$16)/(Config!$B$17-Config!$B$16)*100))))</f>
        <v/>
      </c>
      <c r="W710" s="40">
        <f>IF($L710="Elite",Config!$B$21,0)</f>
        <v>0</v>
      </c>
      <c r="X710" s="40" t="str">
        <f>IFERROR(IF(OR($T710="",$G710=""),"",IF($T710&gt;$G710,
  MAX(0, 60-(($T710-$G710)*24/Config!$B$19)*60),
  MEDIAN(60, 100, 60+(($G710-$T710)*24/Config!$B$20)*40)
)),"")
</f>
        <v/>
      </c>
      <c r="Y710" s="40" t="str">
        <f>IF($J710="","",IFERROR(VLOOKUP($J710,Grinders!$A:$N,10,FALSE),""))</f>
        <v/>
      </c>
      <c r="Z710" s="40" t="str">
        <f>IF($J710="","",IFERROR(VLOOKUP($J710,Grinders!$A:$N,11,FALSE),""))</f>
        <v/>
      </c>
      <c r="AA710" s="40" t="str">
        <f>IF($J710="","",IFERROR(VLOOKUP($J710,Grinders!$A:$N,12,FALSE),""))</f>
        <v/>
      </c>
      <c r="AB710" s="40">
        <f>IFERROR(IF(OR($C710="",$J710=""),0,IF($D710&lt;&gt;"Open",0,IF(COUNTIFS(GrinderServices!$B:$B,$J710,GrinderServices!$C:$C,$E710,GrinderServices!$E:$E,"Y")=0,0,IF($U710&lt;Config!$B$16,0,IF(Config!$B$18=1,IF($N710&gt;=$M710,0,1),1))))),"")</f>
        <v>0</v>
      </c>
      <c r="AC710" s="40" t="str">
        <f>IFERROR(IF($AB710=0,"",((Config!$B$6*$V710 + Config!$B$7*$R710 + Config!$B$8*$W710 + Config!$B$9*$X710 + Config!$B$10*$Y710 + Config!$B$11*$Z710 - Config!$B$12*$AA710)/Config!$B$13)+$AH710+$AI710),"")</f>
        <v/>
      </c>
      <c r="AD710" s="40" t="str">
        <f t="shared" si="4"/>
        <v/>
      </c>
      <c r="AE710" s="40" t="str">
        <f>IFERROR(__xludf.DUMMYFUNCTION("IF($AC710="""","""",IF($AC710=IFERROR(MAX(FILTER($AC$6:$AC$1000,$C$6:$C$1000=$C710,$AB$6:$AB$1000=1)),),""WINNER"",""""))"),"")</f>
        <v/>
      </c>
      <c r="AF710" s="40" t="str">
        <f t="shared" si="5"/>
        <v/>
      </c>
      <c r="AG710" s="40" t="str">
        <f>IF($J710="","",COUNTIF(Assignments!$B:$B,$J710))</f>
        <v/>
      </c>
      <c r="AH710" s="40" t="str">
        <f>IF($J710="","",IF(AND($AG710=0,$N710&lt;$M710),Config!$B$43,0))</f>
        <v/>
      </c>
      <c r="AI710" s="40" t="str">
        <f>IF($J710="","",IF(AND($L710="Elite",$F710&gt;=Config!$B$41,$N710&lt;$M710),Config!$B$42,0))</f>
        <v/>
      </c>
      <c r="AJ710" s="22"/>
    </row>
    <row r="711" ht="15.75" customHeight="1">
      <c r="A711" s="40" t="str">
        <f t="shared" si="1"/>
        <v/>
      </c>
      <c r="B711" s="40" t="str">
        <f>IF(Bids!$A711="","",Bids!$A711)</f>
        <v/>
      </c>
      <c r="C711" s="40" t="str">
        <f>IF(Bids!$B711="","",Bids!$B711)</f>
        <v/>
      </c>
      <c r="D711" s="40" t="str">
        <f>IF($C711="","",IFERROR(VLOOKUP($C711,Orders!$A:$J,9,FALSE),""))</f>
        <v/>
      </c>
      <c r="E711" s="40" t="str">
        <f>IF($C711="","",IFERROR(VLOOKUP($C711,Orders!$A:$J,3,FALSE),""))</f>
        <v/>
      </c>
      <c r="F711" s="40" t="str">
        <f>IF($C711="","",IFERROR(VLOOKUP($C711,Orders!$A:$J,4,FALSE),""))</f>
        <v/>
      </c>
      <c r="G711" s="40" t="str">
        <f>IF($C711="","",IFERROR(VLOOKUP($C711,Orders!$A:$J,5,FALSE),""))</f>
        <v/>
      </c>
      <c r="H711" s="40" t="str">
        <f>IF($C711="","",IFERROR(VLOOKUP($C711,Orders!$A:$J,6,FALSE),""))</f>
        <v/>
      </c>
      <c r="I711" s="40" t="str">
        <f>IF($C711="","",IFERROR(VLOOKUP($C711,Orders!$A:$J,7,FALSE),""))</f>
        <v/>
      </c>
      <c r="J711" s="40" t="str">
        <f>IF(Bids!$C711="","",Bids!$C711)</f>
        <v/>
      </c>
      <c r="K711" s="40" t="str">
        <f>IF($J711="","",IFERROR(VLOOKUP($J711,Grinders!$A:$N,2,FALSE),""))</f>
        <v/>
      </c>
      <c r="L711" s="40" t="str">
        <f>IF($J711="","",IFERROR(VLOOKUP($J711,Grinders!$A:$N,3,FALSE),""))</f>
        <v/>
      </c>
      <c r="M711" s="40" t="str">
        <f>IF($J711="","",IFERROR(VLOOKUP($J711,Grinders!$A:$N,4,FALSE),""))</f>
        <v/>
      </c>
      <c r="N711" s="40" t="str">
        <f>IF($J711="","",IFERROR(VLOOKUP($J711,Grinders!$A:$N,5,FALSE),""))</f>
        <v/>
      </c>
      <c r="O711" s="40" t="str">
        <f t="shared" si="2"/>
        <v/>
      </c>
      <c r="P711" s="40" t="str">
        <f>IF($J711="","",IFERROR(VLOOKUP($J711,Grinders!$A:$N,6,FALSE),""))</f>
        <v/>
      </c>
      <c r="Q711" s="40" t="str">
        <f>IF($J711="","",IFERROR(VLOOKUP($J711,Grinders!$A:$N,8,FALSE),""))</f>
        <v/>
      </c>
      <c r="R711" s="40" t="str">
        <f>IFERROR(IF($J711="","",IF($L711="Elite",MAX(50,MIN(100,Config!$B$27*MAX(0,MIN(100,(1-IF($O711="",0,$O711))*100)) + Config!$B$28*MAX(0,MIN(100,(1-MIN(1,IF(Config!$B$30=0,1,$P711/Config!$B$30)))*100)) + Config!$B$29*MAX(0,MIN(100,MIN(1,IF($Q711="",0,$Q711)/Config!$B$23)*100)))),MIN(100,Config!$B$27*MAX(0,MIN(100,(1-IF($O711="",0,$O711))*100)) + Config!$B$28*MAX(0,MIN(100,(1-MIN(1,IF(Config!$B$30=0,1,$P711/Config!$B$30)))*100)) + Config!$B$29*MAX(0,MIN(100,MIN(1,IF($Q711="",0,$Q711)/Config!$B$23)*100))))),"")
</f>
        <v/>
      </c>
      <c r="S711" s="40" t="str">
        <f>IF(Bids!$D711="","",Bids!$D711)</f>
        <v/>
      </c>
      <c r="T711" s="40" t="str">
        <f>IF(Bids!$F711="","",Bids!$F711)</f>
        <v/>
      </c>
      <c r="U711" s="40" t="str">
        <f t="shared" si="3"/>
        <v/>
      </c>
      <c r="V711" s="40" t="str">
        <f>IF($U711="","",IF(Config!$B$17=Config!$B$16,IF($U711&gt;=Config!$B$17,100,0),MAX(0,MIN(100,($U711-Config!$B$16)/(Config!$B$17-Config!$B$16)*100))))</f>
        <v/>
      </c>
      <c r="W711" s="40">
        <f>IF($L711="Elite",Config!$B$21,0)</f>
        <v>0</v>
      </c>
      <c r="X711" s="40" t="str">
        <f>IFERROR(IF(OR($T711="",$G711=""),"",IF($T711&gt;$G711,
  MAX(0, 60-(($T711-$G711)*24/Config!$B$19)*60),
  MEDIAN(60, 100, 60+(($G711-$T711)*24/Config!$B$20)*40)
)),"")
</f>
        <v/>
      </c>
      <c r="Y711" s="40" t="str">
        <f>IF($J711="","",IFERROR(VLOOKUP($J711,Grinders!$A:$N,10,FALSE),""))</f>
        <v/>
      </c>
      <c r="Z711" s="40" t="str">
        <f>IF($J711="","",IFERROR(VLOOKUP($J711,Grinders!$A:$N,11,FALSE),""))</f>
        <v/>
      </c>
      <c r="AA711" s="40" t="str">
        <f>IF($J711="","",IFERROR(VLOOKUP($J711,Grinders!$A:$N,12,FALSE),""))</f>
        <v/>
      </c>
      <c r="AB711" s="40">
        <f>IFERROR(IF(OR($C711="",$J711=""),0,IF($D711&lt;&gt;"Open",0,IF(COUNTIFS(GrinderServices!$B:$B,$J711,GrinderServices!$C:$C,$E711,GrinderServices!$E:$E,"Y")=0,0,IF($U711&lt;Config!$B$16,0,IF(Config!$B$18=1,IF($N711&gt;=$M711,0,1),1))))),"")</f>
        <v>0</v>
      </c>
      <c r="AC711" s="40" t="str">
        <f>IFERROR(IF($AB711=0,"",((Config!$B$6*$V711 + Config!$B$7*$R711 + Config!$B$8*$W711 + Config!$B$9*$X711 + Config!$B$10*$Y711 + Config!$B$11*$Z711 - Config!$B$12*$AA711)/Config!$B$13)+$AH711+$AI711),"")</f>
        <v/>
      </c>
      <c r="AD711" s="40" t="str">
        <f t="shared" si="4"/>
        <v/>
      </c>
      <c r="AE711" s="40" t="str">
        <f>IFERROR(__xludf.DUMMYFUNCTION("IF($AC711="""","""",IF($AC711=IFERROR(MAX(FILTER($AC$6:$AC$1000,$C$6:$C$1000=$C711,$AB$6:$AB$1000=1)),),""WINNER"",""""))"),"")</f>
        <v/>
      </c>
      <c r="AF711" s="40" t="str">
        <f t="shared" si="5"/>
        <v/>
      </c>
      <c r="AG711" s="40" t="str">
        <f>IF($J711="","",COUNTIF(Assignments!$B:$B,$J711))</f>
        <v/>
      </c>
      <c r="AH711" s="40" t="str">
        <f>IF($J711="","",IF(AND($AG711=0,$N711&lt;$M711),Config!$B$43,0))</f>
        <v/>
      </c>
      <c r="AI711" s="40" t="str">
        <f>IF($J711="","",IF(AND($L711="Elite",$F711&gt;=Config!$B$41,$N711&lt;$M711),Config!$B$42,0))</f>
        <v/>
      </c>
      <c r="AJ711" s="22"/>
    </row>
    <row r="712" ht="15.75" customHeight="1">
      <c r="A712" s="40" t="str">
        <f t="shared" si="1"/>
        <v/>
      </c>
      <c r="B712" s="40" t="str">
        <f>IF(Bids!$A712="","",Bids!$A712)</f>
        <v/>
      </c>
      <c r="C712" s="40" t="str">
        <f>IF(Bids!$B712="","",Bids!$B712)</f>
        <v/>
      </c>
      <c r="D712" s="40" t="str">
        <f>IF($C712="","",IFERROR(VLOOKUP($C712,Orders!$A:$J,9,FALSE),""))</f>
        <v/>
      </c>
      <c r="E712" s="40" t="str">
        <f>IF($C712="","",IFERROR(VLOOKUP($C712,Orders!$A:$J,3,FALSE),""))</f>
        <v/>
      </c>
      <c r="F712" s="40" t="str">
        <f>IF($C712="","",IFERROR(VLOOKUP($C712,Orders!$A:$J,4,FALSE),""))</f>
        <v/>
      </c>
      <c r="G712" s="40" t="str">
        <f>IF($C712="","",IFERROR(VLOOKUP($C712,Orders!$A:$J,5,FALSE),""))</f>
        <v/>
      </c>
      <c r="H712" s="40" t="str">
        <f>IF($C712="","",IFERROR(VLOOKUP($C712,Orders!$A:$J,6,FALSE),""))</f>
        <v/>
      </c>
      <c r="I712" s="40" t="str">
        <f>IF($C712="","",IFERROR(VLOOKUP($C712,Orders!$A:$J,7,FALSE),""))</f>
        <v/>
      </c>
      <c r="J712" s="40" t="str">
        <f>IF(Bids!$C712="","",Bids!$C712)</f>
        <v/>
      </c>
      <c r="K712" s="40" t="str">
        <f>IF($J712="","",IFERROR(VLOOKUP($J712,Grinders!$A:$N,2,FALSE),""))</f>
        <v/>
      </c>
      <c r="L712" s="40" t="str">
        <f>IF($J712="","",IFERROR(VLOOKUP($J712,Grinders!$A:$N,3,FALSE),""))</f>
        <v/>
      </c>
      <c r="M712" s="40" t="str">
        <f>IF($J712="","",IFERROR(VLOOKUP($J712,Grinders!$A:$N,4,FALSE),""))</f>
        <v/>
      </c>
      <c r="N712" s="40" t="str">
        <f>IF($J712="","",IFERROR(VLOOKUP($J712,Grinders!$A:$N,5,FALSE),""))</f>
        <v/>
      </c>
      <c r="O712" s="40" t="str">
        <f t="shared" si="2"/>
        <v/>
      </c>
      <c r="P712" s="40" t="str">
        <f>IF($J712="","",IFERROR(VLOOKUP($J712,Grinders!$A:$N,6,FALSE),""))</f>
        <v/>
      </c>
      <c r="Q712" s="40" t="str">
        <f>IF($J712="","",IFERROR(VLOOKUP($J712,Grinders!$A:$N,8,FALSE),""))</f>
        <v/>
      </c>
      <c r="R712" s="40" t="str">
        <f>IFERROR(IF($J712="","",IF($L712="Elite",MAX(50,MIN(100,Config!$B$27*MAX(0,MIN(100,(1-IF($O712="",0,$O712))*100)) + Config!$B$28*MAX(0,MIN(100,(1-MIN(1,IF(Config!$B$30=0,1,$P712/Config!$B$30)))*100)) + Config!$B$29*MAX(0,MIN(100,MIN(1,IF($Q712="",0,$Q712)/Config!$B$23)*100)))),MIN(100,Config!$B$27*MAX(0,MIN(100,(1-IF($O712="",0,$O712))*100)) + Config!$B$28*MAX(0,MIN(100,(1-MIN(1,IF(Config!$B$30=0,1,$P712/Config!$B$30)))*100)) + Config!$B$29*MAX(0,MIN(100,MIN(1,IF($Q712="",0,$Q712)/Config!$B$23)*100))))),"")
</f>
        <v/>
      </c>
      <c r="S712" s="40" t="str">
        <f>IF(Bids!$D712="","",Bids!$D712)</f>
        <v/>
      </c>
      <c r="T712" s="40" t="str">
        <f>IF(Bids!$F712="","",Bids!$F712)</f>
        <v/>
      </c>
      <c r="U712" s="40" t="str">
        <f t="shared" si="3"/>
        <v/>
      </c>
      <c r="V712" s="40" t="str">
        <f>IF($U712="","",IF(Config!$B$17=Config!$B$16,IF($U712&gt;=Config!$B$17,100,0),MAX(0,MIN(100,($U712-Config!$B$16)/(Config!$B$17-Config!$B$16)*100))))</f>
        <v/>
      </c>
      <c r="W712" s="40">
        <f>IF($L712="Elite",Config!$B$21,0)</f>
        <v>0</v>
      </c>
      <c r="X712" s="40" t="str">
        <f>IFERROR(IF(OR($T712="",$G712=""),"",IF($T712&gt;$G712,
  MAX(0, 60-(($T712-$G712)*24/Config!$B$19)*60),
  MEDIAN(60, 100, 60+(($G712-$T712)*24/Config!$B$20)*40)
)),"")
</f>
        <v/>
      </c>
      <c r="Y712" s="40" t="str">
        <f>IF($J712="","",IFERROR(VLOOKUP($J712,Grinders!$A:$N,10,FALSE),""))</f>
        <v/>
      </c>
      <c r="Z712" s="40" t="str">
        <f>IF($J712="","",IFERROR(VLOOKUP($J712,Grinders!$A:$N,11,FALSE),""))</f>
        <v/>
      </c>
      <c r="AA712" s="40" t="str">
        <f>IF($J712="","",IFERROR(VLOOKUP($J712,Grinders!$A:$N,12,FALSE),""))</f>
        <v/>
      </c>
      <c r="AB712" s="40">
        <f>IFERROR(IF(OR($C712="",$J712=""),0,IF($D712&lt;&gt;"Open",0,IF(COUNTIFS(GrinderServices!$B:$B,$J712,GrinderServices!$C:$C,$E712,GrinderServices!$E:$E,"Y")=0,0,IF($U712&lt;Config!$B$16,0,IF(Config!$B$18=1,IF($N712&gt;=$M712,0,1),1))))),"")</f>
        <v>0</v>
      </c>
      <c r="AC712" s="40" t="str">
        <f>IFERROR(IF($AB712=0,"",((Config!$B$6*$V712 + Config!$B$7*$R712 + Config!$B$8*$W712 + Config!$B$9*$X712 + Config!$B$10*$Y712 + Config!$B$11*$Z712 - Config!$B$12*$AA712)/Config!$B$13)+$AH712+$AI712),"")</f>
        <v/>
      </c>
      <c r="AD712" s="40" t="str">
        <f t="shared" si="4"/>
        <v/>
      </c>
      <c r="AE712" s="40" t="str">
        <f>IFERROR(__xludf.DUMMYFUNCTION("IF($AC712="""","""",IF($AC712=IFERROR(MAX(FILTER($AC$6:$AC$1000,$C$6:$C$1000=$C712,$AB$6:$AB$1000=1)),),""WINNER"",""""))"),"")</f>
        <v/>
      </c>
      <c r="AF712" s="40" t="str">
        <f t="shared" si="5"/>
        <v/>
      </c>
      <c r="AG712" s="40" t="str">
        <f>IF($J712="","",COUNTIF(Assignments!$B:$B,$J712))</f>
        <v/>
      </c>
      <c r="AH712" s="40" t="str">
        <f>IF($J712="","",IF(AND($AG712=0,$N712&lt;$M712),Config!$B$43,0))</f>
        <v/>
      </c>
      <c r="AI712" s="40" t="str">
        <f>IF($J712="","",IF(AND($L712="Elite",$F712&gt;=Config!$B$41,$N712&lt;$M712),Config!$B$42,0))</f>
        <v/>
      </c>
      <c r="AJ712" s="22"/>
    </row>
    <row r="713" ht="15.75" customHeight="1">
      <c r="A713" s="40" t="str">
        <f t="shared" si="1"/>
        <v/>
      </c>
      <c r="B713" s="40" t="str">
        <f>IF(Bids!$A713="","",Bids!$A713)</f>
        <v/>
      </c>
      <c r="C713" s="40" t="str">
        <f>IF(Bids!$B713="","",Bids!$B713)</f>
        <v/>
      </c>
      <c r="D713" s="40" t="str">
        <f>IF($C713="","",IFERROR(VLOOKUP($C713,Orders!$A:$J,9,FALSE),""))</f>
        <v/>
      </c>
      <c r="E713" s="40" t="str">
        <f>IF($C713="","",IFERROR(VLOOKUP($C713,Orders!$A:$J,3,FALSE),""))</f>
        <v/>
      </c>
      <c r="F713" s="40" t="str">
        <f>IF($C713="","",IFERROR(VLOOKUP($C713,Orders!$A:$J,4,FALSE),""))</f>
        <v/>
      </c>
      <c r="G713" s="40" t="str">
        <f>IF($C713="","",IFERROR(VLOOKUP($C713,Orders!$A:$J,5,FALSE),""))</f>
        <v/>
      </c>
      <c r="H713" s="40" t="str">
        <f>IF($C713="","",IFERROR(VLOOKUP($C713,Orders!$A:$J,6,FALSE),""))</f>
        <v/>
      </c>
      <c r="I713" s="40" t="str">
        <f>IF($C713="","",IFERROR(VLOOKUP($C713,Orders!$A:$J,7,FALSE),""))</f>
        <v/>
      </c>
      <c r="J713" s="40" t="str">
        <f>IF(Bids!$C713="","",Bids!$C713)</f>
        <v/>
      </c>
      <c r="K713" s="40" t="str">
        <f>IF($J713="","",IFERROR(VLOOKUP($J713,Grinders!$A:$N,2,FALSE),""))</f>
        <v/>
      </c>
      <c r="L713" s="40" t="str">
        <f>IF($J713="","",IFERROR(VLOOKUP($J713,Grinders!$A:$N,3,FALSE),""))</f>
        <v/>
      </c>
      <c r="M713" s="40" t="str">
        <f>IF($J713="","",IFERROR(VLOOKUP($J713,Grinders!$A:$N,4,FALSE),""))</f>
        <v/>
      </c>
      <c r="N713" s="40" t="str">
        <f>IF($J713="","",IFERROR(VLOOKUP($J713,Grinders!$A:$N,5,FALSE),""))</f>
        <v/>
      </c>
      <c r="O713" s="40" t="str">
        <f t="shared" si="2"/>
        <v/>
      </c>
      <c r="P713" s="40" t="str">
        <f>IF($J713="","",IFERROR(VLOOKUP($J713,Grinders!$A:$N,6,FALSE),""))</f>
        <v/>
      </c>
      <c r="Q713" s="40" t="str">
        <f>IF($J713="","",IFERROR(VLOOKUP($J713,Grinders!$A:$N,8,FALSE),""))</f>
        <v/>
      </c>
      <c r="R713" s="40" t="str">
        <f>IFERROR(IF($J713="","",IF($L713="Elite",MAX(50,MIN(100,Config!$B$27*MAX(0,MIN(100,(1-IF($O713="",0,$O713))*100)) + Config!$B$28*MAX(0,MIN(100,(1-MIN(1,IF(Config!$B$30=0,1,$P713/Config!$B$30)))*100)) + Config!$B$29*MAX(0,MIN(100,MIN(1,IF($Q713="",0,$Q713)/Config!$B$23)*100)))),MIN(100,Config!$B$27*MAX(0,MIN(100,(1-IF($O713="",0,$O713))*100)) + Config!$B$28*MAX(0,MIN(100,(1-MIN(1,IF(Config!$B$30=0,1,$P713/Config!$B$30)))*100)) + Config!$B$29*MAX(0,MIN(100,MIN(1,IF($Q713="",0,$Q713)/Config!$B$23)*100))))),"")
</f>
        <v/>
      </c>
      <c r="S713" s="40" t="str">
        <f>IF(Bids!$D713="","",Bids!$D713)</f>
        <v/>
      </c>
      <c r="T713" s="40" t="str">
        <f>IF(Bids!$F713="","",Bids!$F713)</f>
        <v/>
      </c>
      <c r="U713" s="40" t="str">
        <f t="shared" si="3"/>
        <v/>
      </c>
      <c r="V713" s="40" t="str">
        <f>IF($U713="","",IF(Config!$B$17=Config!$B$16,IF($U713&gt;=Config!$B$17,100,0),MAX(0,MIN(100,($U713-Config!$B$16)/(Config!$B$17-Config!$B$16)*100))))</f>
        <v/>
      </c>
      <c r="W713" s="40">
        <f>IF($L713="Elite",Config!$B$21,0)</f>
        <v>0</v>
      </c>
      <c r="X713" s="40" t="str">
        <f>IFERROR(IF(OR($T713="",$G713=""),"",IF($T713&gt;$G713,
  MAX(0, 60-(($T713-$G713)*24/Config!$B$19)*60),
  MEDIAN(60, 100, 60+(($G713-$T713)*24/Config!$B$20)*40)
)),"")
</f>
        <v/>
      </c>
      <c r="Y713" s="40" t="str">
        <f>IF($J713="","",IFERROR(VLOOKUP($J713,Grinders!$A:$N,10,FALSE),""))</f>
        <v/>
      </c>
      <c r="Z713" s="40" t="str">
        <f>IF($J713="","",IFERROR(VLOOKUP($J713,Grinders!$A:$N,11,FALSE),""))</f>
        <v/>
      </c>
      <c r="AA713" s="40" t="str">
        <f>IF($J713="","",IFERROR(VLOOKUP($J713,Grinders!$A:$N,12,FALSE),""))</f>
        <v/>
      </c>
      <c r="AB713" s="40">
        <f>IFERROR(IF(OR($C713="",$J713=""),0,IF($D713&lt;&gt;"Open",0,IF(COUNTIFS(GrinderServices!$B:$B,$J713,GrinderServices!$C:$C,$E713,GrinderServices!$E:$E,"Y")=0,0,IF($U713&lt;Config!$B$16,0,IF(Config!$B$18=1,IF($N713&gt;=$M713,0,1),1))))),"")</f>
        <v>0</v>
      </c>
      <c r="AC713" s="40" t="str">
        <f>IFERROR(IF($AB713=0,"",((Config!$B$6*$V713 + Config!$B$7*$R713 + Config!$B$8*$W713 + Config!$B$9*$X713 + Config!$B$10*$Y713 + Config!$B$11*$Z713 - Config!$B$12*$AA713)/Config!$B$13)+$AH713+$AI713),"")</f>
        <v/>
      </c>
      <c r="AD713" s="40" t="str">
        <f t="shared" si="4"/>
        <v/>
      </c>
      <c r="AE713" s="40" t="str">
        <f>IFERROR(__xludf.DUMMYFUNCTION("IF($AC713="""","""",IF($AC713=IFERROR(MAX(FILTER($AC$6:$AC$1000,$C$6:$C$1000=$C713,$AB$6:$AB$1000=1)),),""WINNER"",""""))"),"")</f>
        <v/>
      </c>
      <c r="AF713" s="40" t="str">
        <f t="shared" si="5"/>
        <v/>
      </c>
      <c r="AG713" s="40" t="str">
        <f>IF($J713="","",COUNTIF(Assignments!$B:$B,$J713))</f>
        <v/>
      </c>
      <c r="AH713" s="40" t="str">
        <f>IF($J713="","",IF(AND($AG713=0,$N713&lt;$M713),Config!$B$43,0))</f>
        <v/>
      </c>
      <c r="AI713" s="40" t="str">
        <f>IF($J713="","",IF(AND($L713="Elite",$F713&gt;=Config!$B$41,$N713&lt;$M713),Config!$B$42,0))</f>
        <v/>
      </c>
      <c r="AJ713" s="22"/>
    </row>
    <row r="714" ht="15.75" customHeight="1">
      <c r="A714" s="40" t="str">
        <f t="shared" si="1"/>
        <v/>
      </c>
      <c r="B714" s="40" t="str">
        <f>IF(Bids!$A714="","",Bids!$A714)</f>
        <v/>
      </c>
      <c r="C714" s="40" t="str">
        <f>IF(Bids!$B714="","",Bids!$B714)</f>
        <v/>
      </c>
      <c r="D714" s="40" t="str">
        <f>IF($C714="","",IFERROR(VLOOKUP($C714,Orders!$A:$J,9,FALSE),""))</f>
        <v/>
      </c>
      <c r="E714" s="40" t="str">
        <f>IF($C714="","",IFERROR(VLOOKUP($C714,Orders!$A:$J,3,FALSE),""))</f>
        <v/>
      </c>
      <c r="F714" s="40" t="str">
        <f>IF($C714="","",IFERROR(VLOOKUP($C714,Orders!$A:$J,4,FALSE),""))</f>
        <v/>
      </c>
      <c r="G714" s="40" t="str">
        <f>IF($C714="","",IFERROR(VLOOKUP($C714,Orders!$A:$J,5,FALSE),""))</f>
        <v/>
      </c>
      <c r="H714" s="40" t="str">
        <f>IF($C714="","",IFERROR(VLOOKUP($C714,Orders!$A:$J,6,FALSE),""))</f>
        <v/>
      </c>
      <c r="I714" s="40" t="str">
        <f>IF($C714="","",IFERROR(VLOOKUP($C714,Orders!$A:$J,7,FALSE),""))</f>
        <v/>
      </c>
      <c r="J714" s="40" t="str">
        <f>IF(Bids!$C714="","",Bids!$C714)</f>
        <v/>
      </c>
      <c r="K714" s="40" t="str">
        <f>IF($J714="","",IFERROR(VLOOKUP($J714,Grinders!$A:$N,2,FALSE),""))</f>
        <v/>
      </c>
      <c r="L714" s="40" t="str">
        <f>IF($J714="","",IFERROR(VLOOKUP($J714,Grinders!$A:$N,3,FALSE),""))</f>
        <v/>
      </c>
      <c r="M714" s="40" t="str">
        <f>IF($J714="","",IFERROR(VLOOKUP($J714,Grinders!$A:$N,4,FALSE),""))</f>
        <v/>
      </c>
      <c r="N714" s="40" t="str">
        <f>IF($J714="","",IFERROR(VLOOKUP($J714,Grinders!$A:$N,5,FALSE),""))</f>
        <v/>
      </c>
      <c r="O714" s="40" t="str">
        <f t="shared" si="2"/>
        <v/>
      </c>
      <c r="P714" s="40" t="str">
        <f>IF($J714="","",IFERROR(VLOOKUP($J714,Grinders!$A:$N,6,FALSE),""))</f>
        <v/>
      </c>
      <c r="Q714" s="40" t="str">
        <f>IF($J714="","",IFERROR(VLOOKUP($J714,Grinders!$A:$N,8,FALSE),""))</f>
        <v/>
      </c>
      <c r="R714" s="40" t="str">
        <f>IFERROR(IF($J714="","",IF($L714="Elite",MAX(50,MIN(100,Config!$B$27*MAX(0,MIN(100,(1-IF($O714="",0,$O714))*100)) + Config!$B$28*MAX(0,MIN(100,(1-MIN(1,IF(Config!$B$30=0,1,$P714/Config!$B$30)))*100)) + Config!$B$29*MAX(0,MIN(100,MIN(1,IF($Q714="",0,$Q714)/Config!$B$23)*100)))),MIN(100,Config!$B$27*MAX(0,MIN(100,(1-IF($O714="",0,$O714))*100)) + Config!$B$28*MAX(0,MIN(100,(1-MIN(1,IF(Config!$B$30=0,1,$P714/Config!$B$30)))*100)) + Config!$B$29*MAX(0,MIN(100,MIN(1,IF($Q714="",0,$Q714)/Config!$B$23)*100))))),"")
</f>
        <v/>
      </c>
      <c r="S714" s="40" t="str">
        <f>IF(Bids!$D714="","",Bids!$D714)</f>
        <v/>
      </c>
      <c r="T714" s="40" t="str">
        <f>IF(Bids!$F714="","",Bids!$F714)</f>
        <v/>
      </c>
      <c r="U714" s="40" t="str">
        <f t="shared" si="3"/>
        <v/>
      </c>
      <c r="V714" s="40" t="str">
        <f>IF($U714="","",IF(Config!$B$17=Config!$B$16,IF($U714&gt;=Config!$B$17,100,0),MAX(0,MIN(100,($U714-Config!$B$16)/(Config!$B$17-Config!$B$16)*100))))</f>
        <v/>
      </c>
      <c r="W714" s="40">
        <f>IF($L714="Elite",Config!$B$21,0)</f>
        <v>0</v>
      </c>
      <c r="X714" s="40" t="str">
        <f>IFERROR(IF(OR($T714="",$G714=""),"",IF($T714&gt;$G714,
  MAX(0, 60-(($T714-$G714)*24/Config!$B$19)*60),
  MEDIAN(60, 100, 60+(($G714-$T714)*24/Config!$B$20)*40)
)),"")
</f>
        <v/>
      </c>
      <c r="Y714" s="40" t="str">
        <f>IF($J714="","",IFERROR(VLOOKUP($J714,Grinders!$A:$N,10,FALSE),""))</f>
        <v/>
      </c>
      <c r="Z714" s="40" t="str">
        <f>IF($J714="","",IFERROR(VLOOKUP($J714,Grinders!$A:$N,11,FALSE),""))</f>
        <v/>
      </c>
      <c r="AA714" s="40" t="str">
        <f>IF($J714="","",IFERROR(VLOOKUP($J714,Grinders!$A:$N,12,FALSE),""))</f>
        <v/>
      </c>
      <c r="AB714" s="40">
        <f>IFERROR(IF(OR($C714="",$J714=""),0,IF($D714&lt;&gt;"Open",0,IF(COUNTIFS(GrinderServices!$B:$B,$J714,GrinderServices!$C:$C,$E714,GrinderServices!$E:$E,"Y")=0,0,IF($U714&lt;Config!$B$16,0,IF(Config!$B$18=1,IF($N714&gt;=$M714,0,1),1))))),"")</f>
        <v>0</v>
      </c>
      <c r="AC714" s="40" t="str">
        <f>IFERROR(IF($AB714=0,"",((Config!$B$6*$V714 + Config!$B$7*$R714 + Config!$B$8*$W714 + Config!$B$9*$X714 + Config!$B$10*$Y714 + Config!$B$11*$Z714 - Config!$B$12*$AA714)/Config!$B$13)+$AH714+$AI714),"")</f>
        <v/>
      </c>
      <c r="AD714" s="40" t="str">
        <f t="shared" si="4"/>
        <v/>
      </c>
      <c r="AE714" s="40" t="str">
        <f>IFERROR(__xludf.DUMMYFUNCTION("IF($AC714="""","""",IF($AC714=IFERROR(MAX(FILTER($AC$6:$AC$1000,$C$6:$C$1000=$C714,$AB$6:$AB$1000=1)),),""WINNER"",""""))"),"")</f>
        <v/>
      </c>
      <c r="AF714" s="40" t="str">
        <f t="shared" si="5"/>
        <v/>
      </c>
      <c r="AG714" s="40" t="str">
        <f>IF($J714="","",COUNTIF(Assignments!$B:$B,$J714))</f>
        <v/>
      </c>
      <c r="AH714" s="40" t="str">
        <f>IF($J714="","",IF(AND($AG714=0,$N714&lt;$M714),Config!$B$43,0))</f>
        <v/>
      </c>
      <c r="AI714" s="40" t="str">
        <f>IF($J714="","",IF(AND($L714="Elite",$F714&gt;=Config!$B$41,$N714&lt;$M714),Config!$B$42,0))</f>
        <v/>
      </c>
      <c r="AJ714" s="22"/>
    </row>
    <row r="715" ht="15.75" customHeight="1">
      <c r="A715" s="40" t="str">
        <f t="shared" si="1"/>
        <v/>
      </c>
      <c r="B715" s="40" t="str">
        <f>IF(Bids!$A715="","",Bids!$A715)</f>
        <v/>
      </c>
      <c r="C715" s="40" t="str">
        <f>IF(Bids!$B715="","",Bids!$B715)</f>
        <v/>
      </c>
      <c r="D715" s="40" t="str">
        <f>IF($C715="","",IFERROR(VLOOKUP($C715,Orders!$A:$J,9,FALSE),""))</f>
        <v/>
      </c>
      <c r="E715" s="40" t="str">
        <f>IF($C715="","",IFERROR(VLOOKUP($C715,Orders!$A:$J,3,FALSE),""))</f>
        <v/>
      </c>
      <c r="F715" s="40" t="str">
        <f>IF($C715="","",IFERROR(VLOOKUP($C715,Orders!$A:$J,4,FALSE),""))</f>
        <v/>
      </c>
      <c r="G715" s="40" t="str">
        <f>IF($C715="","",IFERROR(VLOOKUP($C715,Orders!$A:$J,5,FALSE),""))</f>
        <v/>
      </c>
      <c r="H715" s="40" t="str">
        <f>IF($C715="","",IFERROR(VLOOKUP($C715,Orders!$A:$J,6,FALSE),""))</f>
        <v/>
      </c>
      <c r="I715" s="40" t="str">
        <f>IF($C715="","",IFERROR(VLOOKUP($C715,Orders!$A:$J,7,FALSE),""))</f>
        <v/>
      </c>
      <c r="J715" s="40" t="str">
        <f>IF(Bids!$C715="","",Bids!$C715)</f>
        <v/>
      </c>
      <c r="K715" s="40" t="str">
        <f>IF($J715="","",IFERROR(VLOOKUP($J715,Grinders!$A:$N,2,FALSE),""))</f>
        <v/>
      </c>
      <c r="L715" s="40" t="str">
        <f>IF($J715="","",IFERROR(VLOOKUP($J715,Grinders!$A:$N,3,FALSE),""))</f>
        <v/>
      </c>
      <c r="M715" s="40" t="str">
        <f>IF($J715="","",IFERROR(VLOOKUP($J715,Grinders!$A:$N,4,FALSE),""))</f>
        <v/>
      </c>
      <c r="N715" s="40" t="str">
        <f>IF($J715="","",IFERROR(VLOOKUP($J715,Grinders!$A:$N,5,FALSE),""))</f>
        <v/>
      </c>
      <c r="O715" s="40" t="str">
        <f t="shared" si="2"/>
        <v/>
      </c>
      <c r="P715" s="40" t="str">
        <f>IF($J715="","",IFERROR(VLOOKUP($J715,Grinders!$A:$N,6,FALSE),""))</f>
        <v/>
      </c>
      <c r="Q715" s="40" t="str">
        <f>IF($J715="","",IFERROR(VLOOKUP($J715,Grinders!$A:$N,8,FALSE),""))</f>
        <v/>
      </c>
      <c r="R715" s="40" t="str">
        <f>IFERROR(IF($J715="","",IF($L715="Elite",MAX(50,MIN(100,Config!$B$27*MAX(0,MIN(100,(1-IF($O715="",0,$O715))*100)) + Config!$B$28*MAX(0,MIN(100,(1-MIN(1,IF(Config!$B$30=0,1,$P715/Config!$B$30)))*100)) + Config!$B$29*MAX(0,MIN(100,MIN(1,IF($Q715="",0,$Q715)/Config!$B$23)*100)))),MIN(100,Config!$B$27*MAX(0,MIN(100,(1-IF($O715="",0,$O715))*100)) + Config!$B$28*MAX(0,MIN(100,(1-MIN(1,IF(Config!$B$30=0,1,$P715/Config!$B$30)))*100)) + Config!$B$29*MAX(0,MIN(100,MIN(1,IF($Q715="",0,$Q715)/Config!$B$23)*100))))),"")
</f>
        <v/>
      </c>
      <c r="S715" s="40" t="str">
        <f>IF(Bids!$D715="","",Bids!$D715)</f>
        <v/>
      </c>
      <c r="T715" s="40" t="str">
        <f>IF(Bids!$F715="","",Bids!$F715)</f>
        <v/>
      </c>
      <c r="U715" s="40" t="str">
        <f t="shared" si="3"/>
        <v/>
      </c>
      <c r="V715" s="40" t="str">
        <f>IF($U715="","",IF(Config!$B$17=Config!$B$16,IF($U715&gt;=Config!$B$17,100,0),MAX(0,MIN(100,($U715-Config!$B$16)/(Config!$B$17-Config!$B$16)*100))))</f>
        <v/>
      </c>
      <c r="W715" s="40">
        <f>IF($L715="Elite",Config!$B$21,0)</f>
        <v>0</v>
      </c>
      <c r="X715" s="40" t="str">
        <f>IFERROR(IF(OR($T715="",$G715=""),"",IF($T715&gt;$G715,
  MAX(0, 60-(($T715-$G715)*24/Config!$B$19)*60),
  MEDIAN(60, 100, 60+(($G715-$T715)*24/Config!$B$20)*40)
)),"")
</f>
        <v/>
      </c>
      <c r="Y715" s="40" t="str">
        <f>IF($J715="","",IFERROR(VLOOKUP($J715,Grinders!$A:$N,10,FALSE),""))</f>
        <v/>
      </c>
      <c r="Z715" s="40" t="str">
        <f>IF($J715="","",IFERROR(VLOOKUP($J715,Grinders!$A:$N,11,FALSE),""))</f>
        <v/>
      </c>
      <c r="AA715" s="40" t="str">
        <f>IF($J715="","",IFERROR(VLOOKUP($J715,Grinders!$A:$N,12,FALSE),""))</f>
        <v/>
      </c>
      <c r="AB715" s="40">
        <f>IFERROR(IF(OR($C715="",$J715=""),0,IF($D715&lt;&gt;"Open",0,IF(COUNTIFS(GrinderServices!$B:$B,$J715,GrinderServices!$C:$C,$E715,GrinderServices!$E:$E,"Y")=0,0,IF($U715&lt;Config!$B$16,0,IF(Config!$B$18=1,IF($N715&gt;=$M715,0,1),1))))),"")</f>
        <v>0</v>
      </c>
      <c r="AC715" s="40" t="str">
        <f>IFERROR(IF($AB715=0,"",((Config!$B$6*$V715 + Config!$B$7*$R715 + Config!$B$8*$W715 + Config!$B$9*$X715 + Config!$B$10*$Y715 + Config!$B$11*$Z715 - Config!$B$12*$AA715)/Config!$B$13)+$AH715+$AI715),"")</f>
        <v/>
      </c>
      <c r="AD715" s="40" t="str">
        <f t="shared" si="4"/>
        <v/>
      </c>
      <c r="AE715" s="40" t="str">
        <f>IFERROR(__xludf.DUMMYFUNCTION("IF($AC715="""","""",IF($AC715=IFERROR(MAX(FILTER($AC$6:$AC$1000,$C$6:$C$1000=$C715,$AB$6:$AB$1000=1)),),""WINNER"",""""))"),"")</f>
        <v/>
      </c>
      <c r="AF715" s="40" t="str">
        <f t="shared" si="5"/>
        <v/>
      </c>
      <c r="AG715" s="40" t="str">
        <f>IF($J715="","",COUNTIF(Assignments!$B:$B,$J715))</f>
        <v/>
      </c>
      <c r="AH715" s="40" t="str">
        <f>IF($J715="","",IF(AND($AG715=0,$N715&lt;$M715),Config!$B$43,0))</f>
        <v/>
      </c>
      <c r="AI715" s="40" t="str">
        <f>IF($J715="","",IF(AND($L715="Elite",$F715&gt;=Config!$B$41,$N715&lt;$M715),Config!$B$42,0))</f>
        <v/>
      </c>
      <c r="AJ715" s="22"/>
    </row>
    <row r="716" ht="15.75" customHeight="1">
      <c r="A716" s="40" t="str">
        <f t="shared" si="1"/>
        <v/>
      </c>
      <c r="B716" s="40" t="str">
        <f>IF(Bids!$A716="","",Bids!$A716)</f>
        <v/>
      </c>
      <c r="C716" s="40" t="str">
        <f>IF(Bids!$B716="","",Bids!$B716)</f>
        <v/>
      </c>
      <c r="D716" s="40" t="str">
        <f>IF($C716="","",IFERROR(VLOOKUP($C716,Orders!$A:$J,9,FALSE),""))</f>
        <v/>
      </c>
      <c r="E716" s="40" t="str">
        <f>IF($C716="","",IFERROR(VLOOKUP($C716,Orders!$A:$J,3,FALSE),""))</f>
        <v/>
      </c>
      <c r="F716" s="40" t="str">
        <f>IF($C716="","",IFERROR(VLOOKUP($C716,Orders!$A:$J,4,FALSE),""))</f>
        <v/>
      </c>
      <c r="G716" s="40" t="str">
        <f>IF($C716="","",IFERROR(VLOOKUP($C716,Orders!$A:$J,5,FALSE),""))</f>
        <v/>
      </c>
      <c r="H716" s="40" t="str">
        <f>IF($C716="","",IFERROR(VLOOKUP($C716,Orders!$A:$J,6,FALSE),""))</f>
        <v/>
      </c>
      <c r="I716" s="40" t="str">
        <f>IF($C716="","",IFERROR(VLOOKUP($C716,Orders!$A:$J,7,FALSE),""))</f>
        <v/>
      </c>
      <c r="J716" s="40" t="str">
        <f>IF(Bids!$C716="","",Bids!$C716)</f>
        <v/>
      </c>
      <c r="K716" s="40" t="str">
        <f>IF($J716="","",IFERROR(VLOOKUP($J716,Grinders!$A:$N,2,FALSE),""))</f>
        <v/>
      </c>
      <c r="L716" s="40" t="str">
        <f>IF($J716="","",IFERROR(VLOOKUP($J716,Grinders!$A:$N,3,FALSE),""))</f>
        <v/>
      </c>
      <c r="M716" s="40" t="str">
        <f>IF($J716="","",IFERROR(VLOOKUP($J716,Grinders!$A:$N,4,FALSE),""))</f>
        <v/>
      </c>
      <c r="N716" s="40" t="str">
        <f>IF($J716="","",IFERROR(VLOOKUP($J716,Grinders!$A:$N,5,FALSE),""))</f>
        <v/>
      </c>
      <c r="O716" s="40" t="str">
        <f t="shared" si="2"/>
        <v/>
      </c>
      <c r="P716" s="40" t="str">
        <f>IF($J716="","",IFERROR(VLOOKUP($J716,Grinders!$A:$N,6,FALSE),""))</f>
        <v/>
      </c>
      <c r="Q716" s="40" t="str">
        <f>IF($J716="","",IFERROR(VLOOKUP($J716,Grinders!$A:$N,8,FALSE),""))</f>
        <v/>
      </c>
      <c r="R716" s="40" t="str">
        <f>IFERROR(IF($J716="","",IF($L716="Elite",MAX(50,MIN(100,Config!$B$27*MAX(0,MIN(100,(1-IF($O716="",0,$O716))*100)) + Config!$B$28*MAX(0,MIN(100,(1-MIN(1,IF(Config!$B$30=0,1,$P716/Config!$B$30)))*100)) + Config!$B$29*MAX(0,MIN(100,MIN(1,IF($Q716="",0,$Q716)/Config!$B$23)*100)))),MIN(100,Config!$B$27*MAX(0,MIN(100,(1-IF($O716="",0,$O716))*100)) + Config!$B$28*MAX(0,MIN(100,(1-MIN(1,IF(Config!$B$30=0,1,$P716/Config!$B$30)))*100)) + Config!$B$29*MAX(0,MIN(100,MIN(1,IF($Q716="",0,$Q716)/Config!$B$23)*100))))),"")
</f>
        <v/>
      </c>
      <c r="S716" s="40" t="str">
        <f>IF(Bids!$D716="","",Bids!$D716)</f>
        <v/>
      </c>
      <c r="T716" s="40" t="str">
        <f>IF(Bids!$F716="","",Bids!$F716)</f>
        <v/>
      </c>
      <c r="U716" s="40" t="str">
        <f t="shared" si="3"/>
        <v/>
      </c>
      <c r="V716" s="40" t="str">
        <f>IF($U716="","",IF(Config!$B$17=Config!$B$16,IF($U716&gt;=Config!$B$17,100,0),MAX(0,MIN(100,($U716-Config!$B$16)/(Config!$B$17-Config!$B$16)*100))))</f>
        <v/>
      </c>
      <c r="W716" s="40">
        <f>IF($L716="Elite",Config!$B$21,0)</f>
        <v>0</v>
      </c>
      <c r="X716" s="40" t="str">
        <f>IFERROR(IF(OR($T716="",$G716=""),"",IF($T716&gt;$G716,
  MAX(0, 60-(($T716-$G716)*24/Config!$B$19)*60),
  MEDIAN(60, 100, 60+(($G716-$T716)*24/Config!$B$20)*40)
)),"")
</f>
        <v/>
      </c>
      <c r="Y716" s="40" t="str">
        <f>IF($J716="","",IFERROR(VLOOKUP($J716,Grinders!$A:$N,10,FALSE),""))</f>
        <v/>
      </c>
      <c r="Z716" s="40" t="str">
        <f>IF($J716="","",IFERROR(VLOOKUP($J716,Grinders!$A:$N,11,FALSE),""))</f>
        <v/>
      </c>
      <c r="AA716" s="40" t="str">
        <f>IF($J716="","",IFERROR(VLOOKUP($J716,Grinders!$A:$N,12,FALSE),""))</f>
        <v/>
      </c>
      <c r="AB716" s="40">
        <f>IFERROR(IF(OR($C716="",$J716=""),0,IF($D716&lt;&gt;"Open",0,IF(COUNTIFS(GrinderServices!$B:$B,$J716,GrinderServices!$C:$C,$E716,GrinderServices!$E:$E,"Y")=0,0,IF($U716&lt;Config!$B$16,0,IF(Config!$B$18=1,IF($N716&gt;=$M716,0,1),1))))),"")</f>
        <v>0</v>
      </c>
      <c r="AC716" s="40" t="str">
        <f>IFERROR(IF($AB716=0,"",((Config!$B$6*$V716 + Config!$B$7*$R716 + Config!$B$8*$W716 + Config!$B$9*$X716 + Config!$B$10*$Y716 + Config!$B$11*$Z716 - Config!$B$12*$AA716)/Config!$B$13)+$AH716+$AI716),"")</f>
        <v/>
      </c>
      <c r="AD716" s="40" t="str">
        <f t="shared" si="4"/>
        <v/>
      </c>
      <c r="AE716" s="40" t="str">
        <f>IFERROR(__xludf.DUMMYFUNCTION("IF($AC716="""","""",IF($AC716=IFERROR(MAX(FILTER($AC$6:$AC$1000,$C$6:$C$1000=$C716,$AB$6:$AB$1000=1)),),""WINNER"",""""))"),"")</f>
        <v/>
      </c>
      <c r="AF716" s="40" t="str">
        <f t="shared" si="5"/>
        <v/>
      </c>
      <c r="AG716" s="40" t="str">
        <f>IF($J716="","",COUNTIF(Assignments!$B:$B,$J716))</f>
        <v/>
      </c>
      <c r="AH716" s="40" t="str">
        <f>IF($J716="","",IF(AND($AG716=0,$N716&lt;$M716),Config!$B$43,0))</f>
        <v/>
      </c>
      <c r="AI716" s="40" t="str">
        <f>IF($J716="","",IF(AND($L716="Elite",$F716&gt;=Config!$B$41,$N716&lt;$M716),Config!$B$42,0))</f>
        <v/>
      </c>
      <c r="AJ716" s="22"/>
    </row>
    <row r="717" ht="15.75" customHeight="1">
      <c r="A717" s="40" t="str">
        <f t="shared" si="1"/>
        <v/>
      </c>
      <c r="B717" s="40" t="str">
        <f>IF(Bids!$A717="","",Bids!$A717)</f>
        <v/>
      </c>
      <c r="C717" s="40" t="str">
        <f>IF(Bids!$B717="","",Bids!$B717)</f>
        <v/>
      </c>
      <c r="D717" s="40" t="str">
        <f>IF($C717="","",IFERROR(VLOOKUP($C717,Orders!$A:$J,9,FALSE),""))</f>
        <v/>
      </c>
      <c r="E717" s="40" t="str">
        <f>IF($C717="","",IFERROR(VLOOKUP($C717,Orders!$A:$J,3,FALSE),""))</f>
        <v/>
      </c>
      <c r="F717" s="40" t="str">
        <f>IF($C717="","",IFERROR(VLOOKUP($C717,Orders!$A:$J,4,FALSE),""))</f>
        <v/>
      </c>
      <c r="G717" s="40" t="str">
        <f>IF($C717="","",IFERROR(VLOOKUP($C717,Orders!$A:$J,5,FALSE),""))</f>
        <v/>
      </c>
      <c r="H717" s="40" t="str">
        <f>IF($C717="","",IFERROR(VLOOKUP($C717,Orders!$A:$J,6,FALSE),""))</f>
        <v/>
      </c>
      <c r="I717" s="40" t="str">
        <f>IF($C717="","",IFERROR(VLOOKUP($C717,Orders!$A:$J,7,FALSE),""))</f>
        <v/>
      </c>
      <c r="J717" s="40" t="str">
        <f>IF(Bids!$C717="","",Bids!$C717)</f>
        <v/>
      </c>
      <c r="K717" s="40" t="str">
        <f>IF($J717="","",IFERROR(VLOOKUP($J717,Grinders!$A:$N,2,FALSE),""))</f>
        <v/>
      </c>
      <c r="L717" s="40" t="str">
        <f>IF($J717="","",IFERROR(VLOOKUP($J717,Grinders!$A:$N,3,FALSE),""))</f>
        <v/>
      </c>
      <c r="M717" s="40" t="str">
        <f>IF($J717="","",IFERROR(VLOOKUP($J717,Grinders!$A:$N,4,FALSE),""))</f>
        <v/>
      </c>
      <c r="N717" s="40" t="str">
        <f>IF($J717="","",IFERROR(VLOOKUP($J717,Grinders!$A:$N,5,FALSE),""))</f>
        <v/>
      </c>
      <c r="O717" s="40" t="str">
        <f t="shared" si="2"/>
        <v/>
      </c>
      <c r="P717" s="40" t="str">
        <f>IF($J717="","",IFERROR(VLOOKUP($J717,Grinders!$A:$N,6,FALSE),""))</f>
        <v/>
      </c>
      <c r="Q717" s="40" t="str">
        <f>IF($J717="","",IFERROR(VLOOKUP($J717,Grinders!$A:$N,8,FALSE),""))</f>
        <v/>
      </c>
      <c r="R717" s="40" t="str">
        <f>IFERROR(IF($J717="","",IF($L717="Elite",MAX(50,MIN(100,Config!$B$27*MAX(0,MIN(100,(1-IF($O717="",0,$O717))*100)) + Config!$B$28*MAX(0,MIN(100,(1-MIN(1,IF(Config!$B$30=0,1,$P717/Config!$B$30)))*100)) + Config!$B$29*MAX(0,MIN(100,MIN(1,IF($Q717="",0,$Q717)/Config!$B$23)*100)))),MIN(100,Config!$B$27*MAX(0,MIN(100,(1-IF($O717="",0,$O717))*100)) + Config!$B$28*MAX(0,MIN(100,(1-MIN(1,IF(Config!$B$30=0,1,$P717/Config!$B$30)))*100)) + Config!$B$29*MAX(0,MIN(100,MIN(1,IF($Q717="",0,$Q717)/Config!$B$23)*100))))),"")
</f>
        <v/>
      </c>
      <c r="S717" s="40" t="str">
        <f>IF(Bids!$D717="","",Bids!$D717)</f>
        <v/>
      </c>
      <c r="T717" s="40" t="str">
        <f>IF(Bids!$F717="","",Bids!$F717)</f>
        <v/>
      </c>
      <c r="U717" s="40" t="str">
        <f t="shared" si="3"/>
        <v/>
      </c>
      <c r="V717" s="40" t="str">
        <f>IF($U717="","",IF(Config!$B$17=Config!$B$16,IF($U717&gt;=Config!$B$17,100,0),MAX(0,MIN(100,($U717-Config!$B$16)/(Config!$B$17-Config!$B$16)*100))))</f>
        <v/>
      </c>
      <c r="W717" s="40">
        <f>IF($L717="Elite",Config!$B$21,0)</f>
        <v>0</v>
      </c>
      <c r="X717" s="40" t="str">
        <f>IFERROR(IF(OR($T717="",$G717=""),"",IF($T717&gt;$G717,
  MAX(0, 60-(($T717-$G717)*24/Config!$B$19)*60),
  MEDIAN(60, 100, 60+(($G717-$T717)*24/Config!$B$20)*40)
)),"")
</f>
        <v/>
      </c>
      <c r="Y717" s="40" t="str">
        <f>IF($J717="","",IFERROR(VLOOKUP($J717,Grinders!$A:$N,10,FALSE),""))</f>
        <v/>
      </c>
      <c r="Z717" s="40" t="str">
        <f>IF($J717="","",IFERROR(VLOOKUP($J717,Grinders!$A:$N,11,FALSE),""))</f>
        <v/>
      </c>
      <c r="AA717" s="40" t="str">
        <f>IF($J717="","",IFERROR(VLOOKUP($J717,Grinders!$A:$N,12,FALSE),""))</f>
        <v/>
      </c>
      <c r="AB717" s="40">
        <f>IFERROR(IF(OR($C717="",$J717=""),0,IF($D717&lt;&gt;"Open",0,IF(COUNTIFS(GrinderServices!$B:$B,$J717,GrinderServices!$C:$C,$E717,GrinderServices!$E:$E,"Y")=0,0,IF($U717&lt;Config!$B$16,0,IF(Config!$B$18=1,IF($N717&gt;=$M717,0,1),1))))),"")</f>
        <v>0</v>
      </c>
      <c r="AC717" s="40" t="str">
        <f>IFERROR(IF($AB717=0,"",((Config!$B$6*$V717 + Config!$B$7*$R717 + Config!$B$8*$W717 + Config!$B$9*$X717 + Config!$B$10*$Y717 + Config!$B$11*$Z717 - Config!$B$12*$AA717)/Config!$B$13)+$AH717+$AI717),"")</f>
        <v/>
      </c>
      <c r="AD717" s="40" t="str">
        <f t="shared" si="4"/>
        <v/>
      </c>
      <c r="AE717" s="40" t="str">
        <f>IFERROR(__xludf.DUMMYFUNCTION("IF($AC717="""","""",IF($AC717=IFERROR(MAX(FILTER($AC$6:$AC$1000,$C$6:$C$1000=$C717,$AB$6:$AB$1000=1)),),""WINNER"",""""))"),"")</f>
        <v/>
      </c>
      <c r="AF717" s="40" t="str">
        <f t="shared" si="5"/>
        <v/>
      </c>
      <c r="AG717" s="40" t="str">
        <f>IF($J717="","",COUNTIF(Assignments!$B:$B,$J717))</f>
        <v/>
      </c>
      <c r="AH717" s="40" t="str">
        <f>IF($J717="","",IF(AND($AG717=0,$N717&lt;$M717),Config!$B$43,0))</f>
        <v/>
      </c>
      <c r="AI717" s="40" t="str">
        <f>IF($J717="","",IF(AND($L717="Elite",$F717&gt;=Config!$B$41,$N717&lt;$M717),Config!$B$42,0))</f>
        <v/>
      </c>
      <c r="AJ717" s="22"/>
    </row>
    <row r="718" ht="15.75" customHeight="1">
      <c r="A718" s="40" t="str">
        <f t="shared" si="1"/>
        <v/>
      </c>
      <c r="B718" s="40" t="str">
        <f>IF(Bids!$A718="","",Bids!$A718)</f>
        <v/>
      </c>
      <c r="C718" s="40" t="str">
        <f>IF(Bids!$B718="","",Bids!$B718)</f>
        <v/>
      </c>
      <c r="D718" s="40" t="str">
        <f>IF($C718="","",IFERROR(VLOOKUP($C718,Orders!$A:$J,9,FALSE),""))</f>
        <v/>
      </c>
      <c r="E718" s="40" t="str">
        <f>IF($C718="","",IFERROR(VLOOKUP($C718,Orders!$A:$J,3,FALSE),""))</f>
        <v/>
      </c>
      <c r="F718" s="40" t="str">
        <f>IF($C718="","",IFERROR(VLOOKUP($C718,Orders!$A:$J,4,FALSE),""))</f>
        <v/>
      </c>
      <c r="G718" s="40" t="str">
        <f>IF($C718="","",IFERROR(VLOOKUP($C718,Orders!$A:$J,5,FALSE),""))</f>
        <v/>
      </c>
      <c r="H718" s="40" t="str">
        <f>IF($C718="","",IFERROR(VLOOKUP($C718,Orders!$A:$J,6,FALSE),""))</f>
        <v/>
      </c>
      <c r="I718" s="40" t="str">
        <f>IF($C718="","",IFERROR(VLOOKUP($C718,Orders!$A:$J,7,FALSE),""))</f>
        <v/>
      </c>
      <c r="J718" s="40" t="str">
        <f>IF(Bids!$C718="","",Bids!$C718)</f>
        <v/>
      </c>
      <c r="K718" s="40" t="str">
        <f>IF($J718="","",IFERROR(VLOOKUP($J718,Grinders!$A:$N,2,FALSE),""))</f>
        <v/>
      </c>
      <c r="L718" s="40" t="str">
        <f>IF($J718="","",IFERROR(VLOOKUP($J718,Grinders!$A:$N,3,FALSE),""))</f>
        <v/>
      </c>
      <c r="M718" s="40" t="str">
        <f>IF($J718="","",IFERROR(VLOOKUP($J718,Grinders!$A:$N,4,FALSE),""))</f>
        <v/>
      </c>
      <c r="N718" s="40" t="str">
        <f>IF($J718="","",IFERROR(VLOOKUP($J718,Grinders!$A:$N,5,FALSE),""))</f>
        <v/>
      </c>
      <c r="O718" s="40" t="str">
        <f t="shared" si="2"/>
        <v/>
      </c>
      <c r="P718" s="40" t="str">
        <f>IF($J718="","",IFERROR(VLOOKUP($J718,Grinders!$A:$N,6,FALSE),""))</f>
        <v/>
      </c>
      <c r="Q718" s="40" t="str">
        <f>IF($J718="","",IFERROR(VLOOKUP($J718,Grinders!$A:$N,8,FALSE),""))</f>
        <v/>
      </c>
      <c r="R718" s="40" t="str">
        <f>IFERROR(IF($J718="","",IF($L718="Elite",MAX(50,MIN(100,Config!$B$27*MAX(0,MIN(100,(1-IF($O718="",0,$O718))*100)) + Config!$B$28*MAX(0,MIN(100,(1-MIN(1,IF(Config!$B$30=0,1,$P718/Config!$B$30)))*100)) + Config!$B$29*MAX(0,MIN(100,MIN(1,IF($Q718="",0,$Q718)/Config!$B$23)*100)))),MIN(100,Config!$B$27*MAX(0,MIN(100,(1-IF($O718="",0,$O718))*100)) + Config!$B$28*MAX(0,MIN(100,(1-MIN(1,IF(Config!$B$30=0,1,$P718/Config!$B$30)))*100)) + Config!$B$29*MAX(0,MIN(100,MIN(1,IF($Q718="",0,$Q718)/Config!$B$23)*100))))),"")
</f>
        <v/>
      </c>
      <c r="S718" s="40" t="str">
        <f>IF(Bids!$D718="","",Bids!$D718)</f>
        <v/>
      </c>
      <c r="T718" s="40" t="str">
        <f>IF(Bids!$F718="","",Bids!$F718)</f>
        <v/>
      </c>
      <c r="U718" s="40" t="str">
        <f t="shared" si="3"/>
        <v/>
      </c>
      <c r="V718" s="40" t="str">
        <f>IF($U718="","",IF(Config!$B$17=Config!$B$16,IF($U718&gt;=Config!$B$17,100,0),MAX(0,MIN(100,($U718-Config!$B$16)/(Config!$B$17-Config!$B$16)*100))))</f>
        <v/>
      </c>
      <c r="W718" s="40">
        <f>IF($L718="Elite",Config!$B$21,0)</f>
        <v>0</v>
      </c>
      <c r="X718" s="40" t="str">
        <f>IFERROR(IF(OR($T718="",$G718=""),"",IF($T718&gt;$G718,
  MAX(0, 60-(($T718-$G718)*24/Config!$B$19)*60),
  MEDIAN(60, 100, 60+(($G718-$T718)*24/Config!$B$20)*40)
)),"")
</f>
        <v/>
      </c>
      <c r="Y718" s="40" t="str">
        <f>IF($J718="","",IFERROR(VLOOKUP($J718,Grinders!$A:$N,10,FALSE),""))</f>
        <v/>
      </c>
      <c r="Z718" s="40" t="str">
        <f>IF($J718="","",IFERROR(VLOOKUP($J718,Grinders!$A:$N,11,FALSE),""))</f>
        <v/>
      </c>
      <c r="AA718" s="40" t="str">
        <f>IF($J718="","",IFERROR(VLOOKUP($J718,Grinders!$A:$N,12,FALSE),""))</f>
        <v/>
      </c>
      <c r="AB718" s="40">
        <f>IFERROR(IF(OR($C718="",$J718=""),0,IF($D718&lt;&gt;"Open",0,IF(COUNTIFS(GrinderServices!$B:$B,$J718,GrinderServices!$C:$C,$E718,GrinderServices!$E:$E,"Y")=0,0,IF($U718&lt;Config!$B$16,0,IF(Config!$B$18=1,IF($N718&gt;=$M718,0,1),1))))),"")</f>
        <v>0</v>
      </c>
      <c r="AC718" s="40" t="str">
        <f>IFERROR(IF($AB718=0,"",((Config!$B$6*$V718 + Config!$B$7*$R718 + Config!$B$8*$W718 + Config!$B$9*$X718 + Config!$B$10*$Y718 + Config!$B$11*$Z718 - Config!$B$12*$AA718)/Config!$B$13)+$AH718+$AI718),"")</f>
        <v/>
      </c>
      <c r="AD718" s="40" t="str">
        <f t="shared" si="4"/>
        <v/>
      </c>
      <c r="AE718" s="40" t="str">
        <f>IFERROR(__xludf.DUMMYFUNCTION("IF($AC718="""","""",IF($AC718=IFERROR(MAX(FILTER($AC$6:$AC$1000,$C$6:$C$1000=$C718,$AB$6:$AB$1000=1)),),""WINNER"",""""))"),"")</f>
        <v/>
      </c>
      <c r="AF718" s="40" t="str">
        <f t="shared" si="5"/>
        <v/>
      </c>
      <c r="AG718" s="40" t="str">
        <f>IF($J718="","",COUNTIF(Assignments!$B:$B,$J718))</f>
        <v/>
      </c>
      <c r="AH718" s="40" t="str">
        <f>IF($J718="","",IF(AND($AG718=0,$N718&lt;$M718),Config!$B$43,0))</f>
        <v/>
      </c>
      <c r="AI718" s="40" t="str">
        <f>IF($J718="","",IF(AND($L718="Elite",$F718&gt;=Config!$B$41,$N718&lt;$M718),Config!$B$42,0))</f>
        <v/>
      </c>
      <c r="AJ718" s="22"/>
    </row>
    <row r="719" ht="15.75" customHeight="1">
      <c r="A719" s="40" t="str">
        <f t="shared" si="1"/>
        <v/>
      </c>
      <c r="B719" s="40" t="str">
        <f>IF(Bids!$A719="","",Bids!$A719)</f>
        <v/>
      </c>
      <c r="C719" s="40" t="str">
        <f>IF(Bids!$B719="","",Bids!$B719)</f>
        <v/>
      </c>
      <c r="D719" s="40" t="str">
        <f>IF($C719="","",IFERROR(VLOOKUP($C719,Orders!$A:$J,9,FALSE),""))</f>
        <v/>
      </c>
      <c r="E719" s="40" t="str">
        <f>IF($C719="","",IFERROR(VLOOKUP($C719,Orders!$A:$J,3,FALSE),""))</f>
        <v/>
      </c>
      <c r="F719" s="40" t="str">
        <f>IF($C719="","",IFERROR(VLOOKUP($C719,Orders!$A:$J,4,FALSE),""))</f>
        <v/>
      </c>
      <c r="G719" s="40" t="str">
        <f>IF($C719="","",IFERROR(VLOOKUP($C719,Orders!$A:$J,5,FALSE),""))</f>
        <v/>
      </c>
      <c r="H719" s="40" t="str">
        <f>IF($C719="","",IFERROR(VLOOKUP($C719,Orders!$A:$J,6,FALSE),""))</f>
        <v/>
      </c>
      <c r="I719" s="40" t="str">
        <f>IF($C719="","",IFERROR(VLOOKUP($C719,Orders!$A:$J,7,FALSE),""))</f>
        <v/>
      </c>
      <c r="J719" s="40" t="str">
        <f>IF(Bids!$C719="","",Bids!$C719)</f>
        <v/>
      </c>
      <c r="K719" s="40" t="str">
        <f>IF($J719="","",IFERROR(VLOOKUP($J719,Grinders!$A:$N,2,FALSE),""))</f>
        <v/>
      </c>
      <c r="L719" s="40" t="str">
        <f>IF($J719="","",IFERROR(VLOOKUP($J719,Grinders!$A:$N,3,FALSE),""))</f>
        <v/>
      </c>
      <c r="M719" s="40" t="str">
        <f>IF($J719="","",IFERROR(VLOOKUP($J719,Grinders!$A:$N,4,FALSE),""))</f>
        <v/>
      </c>
      <c r="N719" s="40" t="str">
        <f>IF($J719="","",IFERROR(VLOOKUP($J719,Grinders!$A:$N,5,FALSE),""))</f>
        <v/>
      </c>
      <c r="O719" s="40" t="str">
        <f t="shared" si="2"/>
        <v/>
      </c>
      <c r="P719" s="40" t="str">
        <f>IF($J719="","",IFERROR(VLOOKUP($J719,Grinders!$A:$N,6,FALSE),""))</f>
        <v/>
      </c>
      <c r="Q719" s="40" t="str">
        <f>IF($J719="","",IFERROR(VLOOKUP($J719,Grinders!$A:$N,8,FALSE),""))</f>
        <v/>
      </c>
      <c r="R719" s="40" t="str">
        <f>IFERROR(IF($J719="","",IF($L719="Elite",MAX(50,MIN(100,Config!$B$27*MAX(0,MIN(100,(1-IF($O719="",0,$O719))*100)) + Config!$B$28*MAX(0,MIN(100,(1-MIN(1,IF(Config!$B$30=0,1,$P719/Config!$B$30)))*100)) + Config!$B$29*MAX(0,MIN(100,MIN(1,IF($Q719="",0,$Q719)/Config!$B$23)*100)))),MIN(100,Config!$B$27*MAX(0,MIN(100,(1-IF($O719="",0,$O719))*100)) + Config!$B$28*MAX(0,MIN(100,(1-MIN(1,IF(Config!$B$30=0,1,$P719/Config!$B$30)))*100)) + Config!$B$29*MAX(0,MIN(100,MIN(1,IF($Q719="",0,$Q719)/Config!$B$23)*100))))),"")
</f>
        <v/>
      </c>
      <c r="S719" s="40" t="str">
        <f>IF(Bids!$D719="","",Bids!$D719)</f>
        <v/>
      </c>
      <c r="T719" s="40" t="str">
        <f>IF(Bids!$F719="","",Bids!$F719)</f>
        <v/>
      </c>
      <c r="U719" s="40" t="str">
        <f t="shared" si="3"/>
        <v/>
      </c>
      <c r="V719" s="40" t="str">
        <f>IF($U719="","",IF(Config!$B$17=Config!$B$16,IF($U719&gt;=Config!$B$17,100,0),MAX(0,MIN(100,($U719-Config!$B$16)/(Config!$B$17-Config!$B$16)*100))))</f>
        <v/>
      </c>
      <c r="W719" s="40">
        <f>IF($L719="Elite",Config!$B$21,0)</f>
        <v>0</v>
      </c>
      <c r="X719" s="40" t="str">
        <f>IFERROR(IF(OR($T719="",$G719=""),"",IF($T719&gt;$G719,
  MAX(0, 60-(($T719-$G719)*24/Config!$B$19)*60),
  MEDIAN(60, 100, 60+(($G719-$T719)*24/Config!$B$20)*40)
)),"")
</f>
        <v/>
      </c>
      <c r="Y719" s="40" t="str">
        <f>IF($J719="","",IFERROR(VLOOKUP($J719,Grinders!$A:$N,10,FALSE),""))</f>
        <v/>
      </c>
      <c r="Z719" s="40" t="str">
        <f>IF($J719="","",IFERROR(VLOOKUP($J719,Grinders!$A:$N,11,FALSE),""))</f>
        <v/>
      </c>
      <c r="AA719" s="40" t="str">
        <f>IF($J719="","",IFERROR(VLOOKUP($J719,Grinders!$A:$N,12,FALSE),""))</f>
        <v/>
      </c>
      <c r="AB719" s="40">
        <f>IFERROR(IF(OR($C719="",$J719=""),0,IF($D719&lt;&gt;"Open",0,IF(COUNTIFS(GrinderServices!$B:$B,$J719,GrinderServices!$C:$C,$E719,GrinderServices!$E:$E,"Y")=0,0,IF($U719&lt;Config!$B$16,0,IF(Config!$B$18=1,IF($N719&gt;=$M719,0,1),1))))),"")</f>
        <v>0</v>
      </c>
      <c r="AC719" s="40" t="str">
        <f>IFERROR(IF($AB719=0,"",((Config!$B$6*$V719 + Config!$B$7*$R719 + Config!$B$8*$W719 + Config!$B$9*$X719 + Config!$B$10*$Y719 + Config!$B$11*$Z719 - Config!$B$12*$AA719)/Config!$B$13)+$AH719+$AI719),"")</f>
        <v/>
      </c>
      <c r="AD719" s="40" t="str">
        <f t="shared" si="4"/>
        <v/>
      </c>
      <c r="AE719" s="40" t="str">
        <f>IFERROR(__xludf.DUMMYFUNCTION("IF($AC719="""","""",IF($AC719=IFERROR(MAX(FILTER($AC$6:$AC$1000,$C$6:$C$1000=$C719,$AB$6:$AB$1000=1)),),""WINNER"",""""))"),"")</f>
        <v/>
      </c>
      <c r="AF719" s="40" t="str">
        <f t="shared" si="5"/>
        <v/>
      </c>
      <c r="AG719" s="40" t="str">
        <f>IF($J719="","",COUNTIF(Assignments!$B:$B,$J719))</f>
        <v/>
      </c>
      <c r="AH719" s="40" t="str">
        <f>IF($J719="","",IF(AND($AG719=0,$N719&lt;$M719),Config!$B$43,0))</f>
        <v/>
      </c>
      <c r="AI719" s="40" t="str">
        <f>IF($J719="","",IF(AND($L719="Elite",$F719&gt;=Config!$B$41,$N719&lt;$M719),Config!$B$42,0))</f>
        <v/>
      </c>
      <c r="AJ719" s="22"/>
    </row>
    <row r="720" ht="15.75" customHeight="1">
      <c r="A720" s="40" t="str">
        <f t="shared" si="1"/>
        <v/>
      </c>
      <c r="B720" s="40" t="str">
        <f>IF(Bids!$A720="","",Bids!$A720)</f>
        <v/>
      </c>
      <c r="C720" s="40" t="str">
        <f>IF(Bids!$B720="","",Bids!$B720)</f>
        <v/>
      </c>
      <c r="D720" s="40" t="str">
        <f>IF($C720="","",IFERROR(VLOOKUP($C720,Orders!$A:$J,9,FALSE),""))</f>
        <v/>
      </c>
      <c r="E720" s="40" t="str">
        <f>IF($C720="","",IFERROR(VLOOKUP($C720,Orders!$A:$J,3,FALSE),""))</f>
        <v/>
      </c>
      <c r="F720" s="40" t="str">
        <f>IF($C720="","",IFERROR(VLOOKUP($C720,Orders!$A:$J,4,FALSE),""))</f>
        <v/>
      </c>
      <c r="G720" s="40" t="str">
        <f>IF($C720="","",IFERROR(VLOOKUP($C720,Orders!$A:$J,5,FALSE),""))</f>
        <v/>
      </c>
      <c r="H720" s="40" t="str">
        <f>IF($C720="","",IFERROR(VLOOKUP($C720,Orders!$A:$J,6,FALSE),""))</f>
        <v/>
      </c>
      <c r="I720" s="40" t="str">
        <f>IF($C720="","",IFERROR(VLOOKUP($C720,Orders!$A:$J,7,FALSE),""))</f>
        <v/>
      </c>
      <c r="J720" s="40" t="str">
        <f>IF(Bids!$C720="","",Bids!$C720)</f>
        <v/>
      </c>
      <c r="K720" s="40" t="str">
        <f>IF($J720="","",IFERROR(VLOOKUP($J720,Grinders!$A:$N,2,FALSE),""))</f>
        <v/>
      </c>
      <c r="L720" s="40" t="str">
        <f>IF($J720="","",IFERROR(VLOOKUP($J720,Grinders!$A:$N,3,FALSE),""))</f>
        <v/>
      </c>
      <c r="M720" s="40" t="str">
        <f>IF($J720="","",IFERROR(VLOOKUP($J720,Grinders!$A:$N,4,FALSE),""))</f>
        <v/>
      </c>
      <c r="N720" s="40" t="str">
        <f>IF($J720="","",IFERROR(VLOOKUP($J720,Grinders!$A:$N,5,FALSE),""))</f>
        <v/>
      </c>
      <c r="O720" s="40" t="str">
        <f t="shared" si="2"/>
        <v/>
      </c>
      <c r="P720" s="40" t="str">
        <f>IF($J720="","",IFERROR(VLOOKUP($J720,Grinders!$A:$N,6,FALSE),""))</f>
        <v/>
      </c>
      <c r="Q720" s="40" t="str">
        <f>IF($J720="","",IFERROR(VLOOKUP($J720,Grinders!$A:$N,8,FALSE),""))</f>
        <v/>
      </c>
      <c r="R720" s="40" t="str">
        <f>IFERROR(IF($J720="","",IF($L720="Elite",MAX(50,MIN(100,Config!$B$27*MAX(0,MIN(100,(1-IF($O720="",0,$O720))*100)) + Config!$B$28*MAX(0,MIN(100,(1-MIN(1,IF(Config!$B$30=0,1,$P720/Config!$B$30)))*100)) + Config!$B$29*MAX(0,MIN(100,MIN(1,IF($Q720="",0,$Q720)/Config!$B$23)*100)))),MIN(100,Config!$B$27*MAX(0,MIN(100,(1-IF($O720="",0,$O720))*100)) + Config!$B$28*MAX(0,MIN(100,(1-MIN(1,IF(Config!$B$30=0,1,$P720/Config!$B$30)))*100)) + Config!$B$29*MAX(0,MIN(100,MIN(1,IF($Q720="",0,$Q720)/Config!$B$23)*100))))),"")
</f>
        <v/>
      </c>
      <c r="S720" s="40" t="str">
        <f>IF(Bids!$D720="","",Bids!$D720)</f>
        <v/>
      </c>
      <c r="T720" s="40" t="str">
        <f>IF(Bids!$F720="","",Bids!$F720)</f>
        <v/>
      </c>
      <c r="U720" s="40" t="str">
        <f t="shared" si="3"/>
        <v/>
      </c>
      <c r="V720" s="40" t="str">
        <f>IF($U720="","",IF(Config!$B$17=Config!$B$16,IF($U720&gt;=Config!$B$17,100,0),MAX(0,MIN(100,($U720-Config!$B$16)/(Config!$B$17-Config!$B$16)*100))))</f>
        <v/>
      </c>
      <c r="W720" s="40">
        <f>IF($L720="Elite",Config!$B$21,0)</f>
        <v>0</v>
      </c>
      <c r="X720" s="40" t="str">
        <f>IFERROR(IF(OR($T720="",$G720=""),"",IF($T720&gt;$G720,
  MAX(0, 60-(($T720-$G720)*24/Config!$B$19)*60),
  MEDIAN(60, 100, 60+(($G720-$T720)*24/Config!$B$20)*40)
)),"")
</f>
        <v/>
      </c>
      <c r="Y720" s="40" t="str">
        <f>IF($J720="","",IFERROR(VLOOKUP($J720,Grinders!$A:$N,10,FALSE),""))</f>
        <v/>
      </c>
      <c r="Z720" s="40" t="str">
        <f>IF($J720="","",IFERROR(VLOOKUP($J720,Grinders!$A:$N,11,FALSE),""))</f>
        <v/>
      </c>
      <c r="AA720" s="40" t="str">
        <f>IF($J720="","",IFERROR(VLOOKUP($J720,Grinders!$A:$N,12,FALSE),""))</f>
        <v/>
      </c>
      <c r="AB720" s="40">
        <f>IFERROR(IF(OR($C720="",$J720=""),0,IF($D720&lt;&gt;"Open",0,IF(COUNTIFS(GrinderServices!$B:$B,$J720,GrinderServices!$C:$C,$E720,GrinderServices!$E:$E,"Y")=0,0,IF($U720&lt;Config!$B$16,0,IF(Config!$B$18=1,IF($N720&gt;=$M720,0,1),1))))),"")</f>
        <v>0</v>
      </c>
      <c r="AC720" s="40" t="str">
        <f>IFERROR(IF($AB720=0,"",((Config!$B$6*$V720 + Config!$B$7*$R720 + Config!$B$8*$W720 + Config!$B$9*$X720 + Config!$B$10*$Y720 + Config!$B$11*$Z720 - Config!$B$12*$AA720)/Config!$B$13)+$AH720+$AI720),"")</f>
        <v/>
      </c>
      <c r="AD720" s="40" t="str">
        <f t="shared" si="4"/>
        <v/>
      </c>
      <c r="AE720" s="40" t="str">
        <f>IFERROR(__xludf.DUMMYFUNCTION("IF($AC720="""","""",IF($AC720=IFERROR(MAX(FILTER($AC$6:$AC$1000,$C$6:$C$1000=$C720,$AB$6:$AB$1000=1)),),""WINNER"",""""))"),"")</f>
        <v/>
      </c>
      <c r="AF720" s="40" t="str">
        <f t="shared" si="5"/>
        <v/>
      </c>
      <c r="AG720" s="40" t="str">
        <f>IF($J720="","",COUNTIF(Assignments!$B:$B,$J720))</f>
        <v/>
      </c>
      <c r="AH720" s="40" t="str">
        <f>IF($J720="","",IF(AND($AG720=0,$N720&lt;$M720),Config!$B$43,0))</f>
        <v/>
      </c>
      <c r="AI720" s="40" t="str">
        <f>IF($J720="","",IF(AND($L720="Elite",$F720&gt;=Config!$B$41,$N720&lt;$M720),Config!$B$42,0))</f>
        <v/>
      </c>
      <c r="AJ720" s="22"/>
    </row>
    <row r="721" ht="15.75" customHeight="1">
      <c r="A721" s="40" t="str">
        <f t="shared" si="1"/>
        <v/>
      </c>
      <c r="B721" s="40" t="str">
        <f>IF(Bids!$A721="","",Bids!$A721)</f>
        <v/>
      </c>
      <c r="C721" s="40" t="str">
        <f>IF(Bids!$B721="","",Bids!$B721)</f>
        <v/>
      </c>
      <c r="D721" s="40" t="str">
        <f>IF($C721="","",IFERROR(VLOOKUP($C721,Orders!$A:$J,9,FALSE),""))</f>
        <v/>
      </c>
      <c r="E721" s="40" t="str">
        <f>IF($C721="","",IFERROR(VLOOKUP($C721,Orders!$A:$J,3,FALSE),""))</f>
        <v/>
      </c>
      <c r="F721" s="40" t="str">
        <f>IF($C721="","",IFERROR(VLOOKUP($C721,Orders!$A:$J,4,FALSE),""))</f>
        <v/>
      </c>
      <c r="G721" s="40" t="str">
        <f>IF($C721="","",IFERROR(VLOOKUP($C721,Orders!$A:$J,5,FALSE),""))</f>
        <v/>
      </c>
      <c r="H721" s="40" t="str">
        <f>IF($C721="","",IFERROR(VLOOKUP($C721,Orders!$A:$J,6,FALSE),""))</f>
        <v/>
      </c>
      <c r="I721" s="40" t="str">
        <f>IF($C721="","",IFERROR(VLOOKUP($C721,Orders!$A:$J,7,FALSE),""))</f>
        <v/>
      </c>
      <c r="J721" s="40" t="str">
        <f>IF(Bids!$C721="","",Bids!$C721)</f>
        <v/>
      </c>
      <c r="K721" s="40" t="str">
        <f>IF($J721="","",IFERROR(VLOOKUP($J721,Grinders!$A:$N,2,FALSE),""))</f>
        <v/>
      </c>
      <c r="L721" s="40" t="str">
        <f>IF($J721="","",IFERROR(VLOOKUP($J721,Grinders!$A:$N,3,FALSE),""))</f>
        <v/>
      </c>
      <c r="M721" s="40" t="str">
        <f>IF($J721="","",IFERROR(VLOOKUP($J721,Grinders!$A:$N,4,FALSE),""))</f>
        <v/>
      </c>
      <c r="N721" s="40" t="str">
        <f>IF($J721="","",IFERROR(VLOOKUP($J721,Grinders!$A:$N,5,FALSE),""))</f>
        <v/>
      </c>
      <c r="O721" s="40" t="str">
        <f t="shared" si="2"/>
        <v/>
      </c>
      <c r="P721" s="40" t="str">
        <f>IF($J721="","",IFERROR(VLOOKUP($J721,Grinders!$A:$N,6,FALSE),""))</f>
        <v/>
      </c>
      <c r="Q721" s="40" t="str">
        <f>IF($J721="","",IFERROR(VLOOKUP($J721,Grinders!$A:$N,8,FALSE),""))</f>
        <v/>
      </c>
      <c r="R721" s="40" t="str">
        <f>IFERROR(IF($J721="","",IF($L721="Elite",MAX(50,MIN(100,Config!$B$27*MAX(0,MIN(100,(1-IF($O721="",0,$O721))*100)) + Config!$B$28*MAX(0,MIN(100,(1-MIN(1,IF(Config!$B$30=0,1,$P721/Config!$B$30)))*100)) + Config!$B$29*MAX(0,MIN(100,MIN(1,IF($Q721="",0,$Q721)/Config!$B$23)*100)))),MIN(100,Config!$B$27*MAX(0,MIN(100,(1-IF($O721="",0,$O721))*100)) + Config!$B$28*MAX(0,MIN(100,(1-MIN(1,IF(Config!$B$30=0,1,$P721/Config!$B$30)))*100)) + Config!$B$29*MAX(0,MIN(100,MIN(1,IF($Q721="",0,$Q721)/Config!$B$23)*100))))),"")
</f>
        <v/>
      </c>
      <c r="S721" s="40" t="str">
        <f>IF(Bids!$D721="","",Bids!$D721)</f>
        <v/>
      </c>
      <c r="T721" s="40" t="str">
        <f>IF(Bids!$F721="","",Bids!$F721)</f>
        <v/>
      </c>
      <c r="U721" s="40" t="str">
        <f t="shared" si="3"/>
        <v/>
      </c>
      <c r="V721" s="40" t="str">
        <f>IF($U721="","",IF(Config!$B$17=Config!$B$16,IF($U721&gt;=Config!$B$17,100,0),MAX(0,MIN(100,($U721-Config!$B$16)/(Config!$B$17-Config!$B$16)*100))))</f>
        <v/>
      </c>
      <c r="W721" s="40">
        <f>IF($L721="Elite",Config!$B$21,0)</f>
        <v>0</v>
      </c>
      <c r="X721" s="40" t="str">
        <f>IFERROR(IF(OR($T721="",$G721=""),"",IF($T721&gt;$G721,
  MAX(0, 60-(($T721-$G721)*24/Config!$B$19)*60),
  MEDIAN(60, 100, 60+(($G721-$T721)*24/Config!$B$20)*40)
)),"")
</f>
        <v/>
      </c>
      <c r="Y721" s="40" t="str">
        <f>IF($J721="","",IFERROR(VLOOKUP($J721,Grinders!$A:$N,10,FALSE),""))</f>
        <v/>
      </c>
      <c r="Z721" s="40" t="str">
        <f>IF($J721="","",IFERROR(VLOOKUP($J721,Grinders!$A:$N,11,FALSE),""))</f>
        <v/>
      </c>
      <c r="AA721" s="40" t="str">
        <f>IF($J721="","",IFERROR(VLOOKUP($J721,Grinders!$A:$N,12,FALSE),""))</f>
        <v/>
      </c>
      <c r="AB721" s="40">
        <f>IFERROR(IF(OR($C721="",$J721=""),0,IF($D721&lt;&gt;"Open",0,IF(COUNTIFS(GrinderServices!$B:$B,$J721,GrinderServices!$C:$C,$E721,GrinderServices!$E:$E,"Y")=0,0,IF($U721&lt;Config!$B$16,0,IF(Config!$B$18=1,IF($N721&gt;=$M721,0,1),1))))),"")</f>
        <v>0</v>
      </c>
      <c r="AC721" s="40" t="str">
        <f>IFERROR(IF($AB721=0,"",((Config!$B$6*$V721 + Config!$B$7*$R721 + Config!$B$8*$W721 + Config!$B$9*$X721 + Config!$B$10*$Y721 + Config!$B$11*$Z721 - Config!$B$12*$AA721)/Config!$B$13)+$AH721+$AI721),"")</f>
        <v/>
      </c>
      <c r="AD721" s="40" t="str">
        <f t="shared" si="4"/>
        <v/>
      </c>
      <c r="AE721" s="40" t="str">
        <f>IFERROR(__xludf.DUMMYFUNCTION("IF($AC721="""","""",IF($AC721=IFERROR(MAX(FILTER($AC$6:$AC$1000,$C$6:$C$1000=$C721,$AB$6:$AB$1000=1)),),""WINNER"",""""))"),"")</f>
        <v/>
      </c>
      <c r="AF721" s="40" t="str">
        <f t="shared" si="5"/>
        <v/>
      </c>
      <c r="AG721" s="40" t="str">
        <f>IF($J721="","",COUNTIF(Assignments!$B:$B,$J721))</f>
        <v/>
      </c>
      <c r="AH721" s="40" t="str">
        <f>IF($J721="","",IF(AND($AG721=0,$N721&lt;$M721),Config!$B$43,0))</f>
        <v/>
      </c>
      <c r="AI721" s="40" t="str">
        <f>IF($J721="","",IF(AND($L721="Elite",$F721&gt;=Config!$B$41,$N721&lt;$M721),Config!$B$42,0))</f>
        <v/>
      </c>
      <c r="AJ721" s="22"/>
    </row>
    <row r="722" ht="15.75" customHeight="1">
      <c r="A722" s="40" t="str">
        <f t="shared" si="1"/>
        <v/>
      </c>
      <c r="B722" s="40" t="str">
        <f>IF(Bids!$A722="","",Bids!$A722)</f>
        <v/>
      </c>
      <c r="C722" s="40" t="str">
        <f>IF(Bids!$B722="","",Bids!$B722)</f>
        <v/>
      </c>
      <c r="D722" s="40" t="str">
        <f>IF($C722="","",IFERROR(VLOOKUP($C722,Orders!$A:$J,9,FALSE),""))</f>
        <v/>
      </c>
      <c r="E722" s="40" t="str">
        <f>IF($C722="","",IFERROR(VLOOKUP($C722,Orders!$A:$J,3,FALSE),""))</f>
        <v/>
      </c>
      <c r="F722" s="40" t="str">
        <f>IF($C722="","",IFERROR(VLOOKUP($C722,Orders!$A:$J,4,FALSE),""))</f>
        <v/>
      </c>
      <c r="G722" s="40" t="str">
        <f>IF($C722="","",IFERROR(VLOOKUP($C722,Orders!$A:$J,5,FALSE),""))</f>
        <v/>
      </c>
      <c r="H722" s="40" t="str">
        <f>IF($C722="","",IFERROR(VLOOKUP($C722,Orders!$A:$J,6,FALSE),""))</f>
        <v/>
      </c>
      <c r="I722" s="40" t="str">
        <f>IF($C722="","",IFERROR(VLOOKUP($C722,Orders!$A:$J,7,FALSE),""))</f>
        <v/>
      </c>
      <c r="J722" s="40" t="str">
        <f>IF(Bids!$C722="","",Bids!$C722)</f>
        <v/>
      </c>
      <c r="K722" s="40" t="str">
        <f>IF($J722="","",IFERROR(VLOOKUP($J722,Grinders!$A:$N,2,FALSE),""))</f>
        <v/>
      </c>
      <c r="L722" s="40" t="str">
        <f>IF($J722="","",IFERROR(VLOOKUP($J722,Grinders!$A:$N,3,FALSE),""))</f>
        <v/>
      </c>
      <c r="M722" s="40" t="str">
        <f>IF($J722="","",IFERROR(VLOOKUP($J722,Grinders!$A:$N,4,FALSE),""))</f>
        <v/>
      </c>
      <c r="N722" s="40" t="str">
        <f>IF($J722="","",IFERROR(VLOOKUP($J722,Grinders!$A:$N,5,FALSE),""))</f>
        <v/>
      </c>
      <c r="O722" s="40" t="str">
        <f t="shared" si="2"/>
        <v/>
      </c>
      <c r="P722" s="40" t="str">
        <f>IF($J722="","",IFERROR(VLOOKUP($J722,Grinders!$A:$N,6,FALSE),""))</f>
        <v/>
      </c>
      <c r="Q722" s="40" t="str">
        <f>IF($J722="","",IFERROR(VLOOKUP($J722,Grinders!$A:$N,8,FALSE),""))</f>
        <v/>
      </c>
      <c r="R722" s="40" t="str">
        <f>IFERROR(IF($J722="","",IF($L722="Elite",MAX(50,MIN(100,Config!$B$27*MAX(0,MIN(100,(1-IF($O722="",0,$O722))*100)) + Config!$B$28*MAX(0,MIN(100,(1-MIN(1,IF(Config!$B$30=0,1,$P722/Config!$B$30)))*100)) + Config!$B$29*MAX(0,MIN(100,MIN(1,IF($Q722="",0,$Q722)/Config!$B$23)*100)))),MIN(100,Config!$B$27*MAX(0,MIN(100,(1-IF($O722="",0,$O722))*100)) + Config!$B$28*MAX(0,MIN(100,(1-MIN(1,IF(Config!$B$30=0,1,$P722/Config!$B$30)))*100)) + Config!$B$29*MAX(0,MIN(100,MIN(1,IF($Q722="",0,$Q722)/Config!$B$23)*100))))),"")
</f>
        <v/>
      </c>
      <c r="S722" s="40" t="str">
        <f>IF(Bids!$D722="","",Bids!$D722)</f>
        <v/>
      </c>
      <c r="T722" s="40" t="str">
        <f>IF(Bids!$F722="","",Bids!$F722)</f>
        <v/>
      </c>
      <c r="U722" s="40" t="str">
        <f t="shared" si="3"/>
        <v/>
      </c>
      <c r="V722" s="40" t="str">
        <f>IF($U722="","",IF(Config!$B$17=Config!$B$16,IF($U722&gt;=Config!$B$17,100,0),MAX(0,MIN(100,($U722-Config!$B$16)/(Config!$B$17-Config!$B$16)*100))))</f>
        <v/>
      </c>
      <c r="W722" s="40">
        <f>IF($L722="Elite",Config!$B$21,0)</f>
        <v>0</v>
      </c>
      <c r="X722" s="40" t="str">
        <f>IFERROR(IF(OR($T722="",$G722=""),"",IF($T722&gt;$G722,
  MAX(0, 60-(($T722-$G722)*24/Config!$B$19)*60),
  MEDIAN(60, 100, 60+(($G722-$T722)*24/Config!$B$20)*40)
)),"")
</f>
        <v/>
      </c>
      <c r="Y722" s="40" t="str">
        <f>IF($J722="","",IFERROR(VLOOKUP($J722,Grinders!$A:$N,10,FALSE),""))</f>
        <v/>
      </c>
      <c r="Z722" s="40" t="str">
        <f>IF($J722="","",IFERROR(VLOOKUP($J722,Grinders!$A:$N,11,FALSE),""))</f>
        <v/>
      </c>
      <c r="AA722" s="40" t="str">
        <f>IF($J722="","",IFERROR(VLOOKUP($J722,Grinders!$A:$N,12,FALSE),""))</f>
        <v/>
      </c>
      <c r="AB722" s="40">
        <f>IFERROR(IF(OR($C722="",$J722=""),0,IF($D722&lt;&gt;"Open",0,IF(COUNTIFS(GrinderServices!$B:$B,$J722,GrinderServices!$C:$C,$E722,GrinderServices!$E:$E,"Y")=0,0,IF($U722&lt;Config!$B$16,0,IF(Config!$B$18=1,IF($N722&gt;=$M722,0,1),1))))),"")</f>
        <v>0</v>
      </c>
      <c r="AC722" s="40" t="str">
        <f>IFERROR(IF($AB722=0,"",((Config!$B$6*$V722 + Config!$B$7*$R722 + Config!$B$8*$W722 + Config!$B$9*$X722 + Config!$B$10*$Y722 + Config!$B$11*$Z722 - Config!$B$12*$AA722)/Config!$B$13)+$AH722+$AI722),"")</f>
        <v/>
      </c>
      <c r="AD722" s="40" t="str">
        <f t="shared" si="4"/>
        <v/>
      </c>
      <c r="AE722" s="40" t="str">
        <f>IFERROR(__xludf.DUMMYFUNCTION("IF($AC722="""","""",IF($AC722=IFERROR(MAX(FILTER($AC$6:$AC$1000,$C$6:$C$1000=$C722,$AB$6:$AB$1000=1)),),""WINNER"",""""))"),"")</f>
        <v/>
      </c>
      <c r="AF722" s="40" t="str">
        <f t="shared" si="5"/>
        <v/>
      </c>
      <c r="AG722" s="40" t="str">
        <f>IF($J722="","",COUNTIF(Assignments!$B:$B,$J722))</f>
        <v/>
      </c>
      <c r="AH722" s="40" t="str">
        <f>IF($J722="","",IF(AND($AG722=0,$N722&lt;$M722),Config!$B$43,0))</f>
        <v/>
      </c>
      <c r="AI722" s="40" t="str">
        <f>IF($J722="","",IF(AND($L722="Elite",$F722&gt;=Config!$B$41,$N722&lt;$M722),Config!$B$42,0))</f>
        <v/>
      </c>
      <c r="AJ722" s="22"/>
    </row>
    <row r="723" ht="15.75" customHeight="1">
      <c r="A723" s="40" t="str">
        <f t="shared" si="1"/>
        <v/>
      </c>
      <c r="B723" s="40" t="str">
        <f>IF(Bids!$A723="","",Bids!$A723)</f>
        <v/>
      </c>
      <c r="C723" s="40" t="str">
        <f>IF(Bids!$B723="","",Bids!$B723)</f>
        <v/>
      </c>
      <c r="D723" s="40" t="str">
        <f>IF($C723="","",IFERROR(VLOOKUP($C723,Orders!$A:$J,9,FALSE),""))</f>
        <v/>
      </c>
      <c r="E723" s="40" t="str">
        <f>IF($C723="","",IFERROR(VLOOKUP($C723,Orders!$A:$J,3,FALSE),""))</f>
        <v/>
      </c>
      <c r="F723" s="40" t="str">
        <f>IF($C723="","",IFERROR(VLOOKUP($C723,Orders!$A:$J,4,FALSE),""))</f>
        <v/>
      </c>
      <c r="G723" s="40" t="str">
        <f>IF($C723="","",IFERROR(VLOOKUP($C723,Orders!$A:$J,5,FALSE),""))</f>
        <v/>
      </c>
      <c r="H723" s="40" t="str">
        <f>IF($C723="","",IFERROR(VLOOKUP($C723,Orders!$A:$J,6,FALSE),""))</f>
        <v/>
      </c>
      <c r="I723" s="40" t="str">
        <f>IF($C723="","",IFERROR(VLOOKUP($C723,Orders!$A:$J,7,FALSE),""))</f>
        <v/>
      </c>
      <c r="J723" s="40" t="str">
        <f>IF(Bids!$C723="","",Bids!$C723)</f>
        <v/>
      </c>
      <c r="K723" s="40" t="str">
        <f>IF($J723="","",IFERROR(VLOOKUP($J723,Grinders!$A:$N,2,FALSE),""))</f>
        <v/>
      </c>
      <c r="L723" s="40" t="str">
        <f>IF($J723="","",IFERROR(VLOOKUP($J723,Grinders!$A:$N,3,FALSE),""))</f>
        <v/>
      </c>
      <c r="M723" s="40" t="str">
        <f>IF($J723="","",IFERROR(VLOOKUP($J723,Grinders!$A:$N,4,FALSE),""))</f>
        <v/>
      </c>
      <c r="N723" s="40" t="str">
        <f>IF($J723="","",IFERROR(VLOOKUP($J723,Grinders!$A:$N,5,FALSE),""))</f>
        <v/>
      </c>
      <c r="O723" s="40" t="str">
        <f t="shared" si="2"/>
        <v/>
      </c>
      <c r="P723" s="40" t="str">
        <f>IF($J723="","",IFERROR(VLOOKUP($J723,Grinders!$A:$N,6,FALSE),""))</f>
        <v/>
      </c>
      <c r="Q723" s="40" t="str">
        <f>IF($J723="","",IFERROR(VLOOKUP($J723,Grinders!$A:$N,8,FALSE),""))</f>
        <v/>
      </c>
      <c r="R723" s="40" t="str">
        <f>IFERROR(IF($J723="","",IF($L723="Elite",MAX(50,MIN(100,Config!$B$27*MAX(0,MIN(100,(1-IF($O723="",0,$O723))*100)) + Config!$B$28*MAX(0,MIN(100,(1-MIN(1,IF(Config!$B$30=0,1,$P723/Config!$B$30)))*100)) + Config!$B$29*MAX(0,MIN(100,MIN(1,IF($Q723="",0,$Q723)/Config!$B$23)*100)))),MIN(100,Config!$B$27*MAX(0,MIN(100,(1-IF($O723="",0,$O723))*100)) + Config!$B$28*MAX(0,MIN(100,(1-MIN(1,IF(Config!$B$30=0,1,$P723/Config!$B$30)))*100)) + Config!$B$29*MAX(0,MIN(100,MIN(1,IF($Q723="",0,$Q723)/Config!$B$23)*100))))),"")
</f>
        <v/>
      </c>
      <c r="S723" s="40" t="str">
        <f>IF(Bids!$D723="","",Bids!$D723)</f>
        <v/>
      </c>
      <c r="T723" s="40" t="str">
        <f>IF(Bids!$F723="","",Bids!$F723)</f>
        <v/>
      </c>
      <c r="U723" s="40" t="str">
        <f t="shared" si="3"/>
        <v/>
      </c>
      <c r="V723" s="40" t="str">
        <f>IF($U723="","",IF(Config!$B$17=Config!$B$16,IF($U723&gt;=Config!$B$17,100,0),MAX(0,MIN(100,($U723-Config!$B$16)/(Config!$B$17-Config!$B$16)*100))))</f>
        <v/>
      </c>
      <c r="W723" s="40">
        <f>IF($L723="Elite",Config!$B$21,0)</f>
        <v>0</v>
      </c>
      <c r="X723" s="40" t="str">
        <f>IFERROR(IF(OR($T723="",$G723=""),"",IF($T723&gt;$G723,
  MAX(0, 60-(($T723-$G723)*24/Config!$B$19)*60),
  MEDIAN(60, 100, 60+(($G723-$T723)*24/Config!$B$20)*40)
)),"")
</f>
        <v/>
      </c>
      <c r="Y723" s="40" t="str">
        <f>IF($J723="","",IFERROR(VLOOKUP($J723,Grinders!$A:$N,10,FALSE),""))</f>
        <v/>
      </c>
      <c r="Z723" s="40" t="str">
        <f>IF($J723="","",IFERROR(VLOOKUP($J723,Grinders!$A:$N,11,FALSE),""))</f>
        <v/>
      </c>
      <c r="AA723" s="40" t="str">
        <f>IF($J723="","",IFERROR(VLOOKUP($J723,Grinders!$A:$N,12,FALSE),""))</f>
        <v/>
      </c>
      <c r="AB723" s="40">
        <f>IFERROR(IF(OR($C723="",$J723=""),0,IF($D723&lt;&gt;"Open",0,IF(COUNTIFS(GrinderServices!$B:$B,$J723,GrinderServices!$C:$C,$E723,GrinderServices!$E:$E,"Y")=0,0,IF($U723&lt;Config!$B$16,0,IF(Config!$B$18=1,IF($N723&gt;=$M723,0,1),1))))),"")</f>
        <v>0</v>
      </c>
      <c r="AC723" s="40" t="str">
        <f>IFERROR(IF($AB723=0,"",((Config!$B$6*$V723 + Config!$B$7*$R723 + Config!$B$8*$W723 + Config!$B$9*$X723 + Config!$B$10*$Y723 + Config!$B$11*$Z723 - Config!$B$12*$AA723)/Config!$B$13)+$AH723+$AI723),"")</f>
        <v/>
      </c>
      <c r="AD723" s="40" t="str">
        <f t="shared" si="4"/>
        <v/>
      </c>
      <c r="AE723" s="40" t="str">
        <f>IFERROR(__xludf.DUMMYFUNCTION("IF($AC723="""","""",IF($AC723=IFERROR(MAX(FILTER($AC$6:$AC$1000,$C$6:$C$1000=$C723,$AB$6:$AB$1000=1)),),""WINNER"",""""))"),"")</f>
        <v/>
      </c>
      <c r="AF723" s="40" t="str">
        <f t="shared" si="5"/>
        <v/>
      </c>
      <c r="AG723" s="40" t="str">
        <f>IF($J723="","",COUNTIF(Assignments!$B:$B,$J723))</f>
        <v/>
      </c>
      <c r="AH723" s="40" t="str">
        <f>IF($J723="","",IF(AND($AG723=0,$N723&lt;$M723),Config!$B$43,0))</f>
        <v/>
      </c>
      <c r="AI723" s="40" t="str">
        <f>IF($J723="","",IF(AND($L723="Elite",$F723&gt;=Config!$B$41,$N723&lt;$M723),Config!$B$42,0))</f>
        <v/>
      </c>
      <c r="AJ723" s="22"/>
    </row>
    <row r="724" ht="15.75" customHeight="1">
      <c r="A724" s="40" t="str">
        <f t="shared" si="1"/>
        <v/>
      </c>
      <c r="B724" s="40" t="str">
        <f>IF(Bids!$A724="","",Bids!$A724)</f>
        <v/>
      </c>
      <c r="C724" s="40" t="str">
        <f>IF(Bids!$B724="","",Bids!$B724)</f>
        <v/>
      </c>
      <c r="D724" s="40" t="str">
        <f>IF($C724="","",IFERROR(VLOOKUP($C724,Orders!$A:$J,9,FALSE),""))</f>
        <v/>
      </c>
      <c r="E724" s="40" t="str">
        <f>IF($C724="","",IFERROR(VLOOKUP($C724,Orders!$A:$J,3,FALSE),""))</f>
        <v/>
      </c>
      <c r="F724" s="40" t="str">
        <f>IF($C724="","",IFERROR(VLOOKUP($C724,Orders!$A:$J,4,FALSE),""))</f>
        <v/>
      </c>
      <c r="G724" s="40" t="str">
        <f>IF($C724="","",IFERROR(VLOOKUP($C724,Orders!$A:$J,5,FALSE),""))</f>
        <v/>
      </c>
      <c r="H724" s="40" t="str">
        <f>IF($C724="","",IFERROR(VLOOKUP($C724,Orders!$A:$J,6,FALSE),""))</f>
        <v/>
      </c>
      <c r="I724" s="40" t="str">
        <f>IF($C724="","",IFERROR(VLOOKUP($C724,Orders!$A:$J,7,FALSE),""))</f>
        <v/>
      </c>
      <c r="J724" s="40" t="str">
        <f>IF(Bids!$C724="","",Bids!$C724)</f>
        <v/>
      </c>
      <c r="K724" s="40" t="str">
        <f>IF($J724="","",IFERROR(VLOOKUP($J724,Grinders!$A:$N,2,FALSE),""))</f>
        <v/>
      </c>
      <c r="L724" s="40" t="str">
        <f>IF($J724="","",IFERROR(VLOOKUP($J724,Grinders!$A:$N,3,FALSE),""))</f>
        <v/>
      </c>
      <c r="M724" s="40" t="str">
        <f>IF($J724="","",IFERROR(VLOOKUP($J724,Grinders!$A:$N,4,FALSE),""))</f>
        <v/>
      </c>
      <c r="N724" s="40" t="str">
        <f>IF($J724="","",IFERROR(VLOOKUP($J724,Grinders!$A:$N,5,FALSE),""))</f>
        <v/>
      </c>
      <c r="O724" s="40" t="str">
        <f t="shared" si="2"/>
        <v/>
      </c>
      <c r="P724" s="40" t="str">
        <f>IF($J724="","",IFERROR(VLOOKUP($J724,Grinders!$A:$N,6,FALSE),""))</f>
        <v/>
      </c>
      <c r="Q724" s="40" t="str">
        <f>IF($J724="","",IFERROR(VLOOKUP($J724,Grinders!$A:$N,8,FALSE),""))</f>
        <v/>
      </c>
      <c r="R724" s="40" t="str">
        <f>IFERROR(IF($J724="","",IF($L724="Elite",MAX(50,MIN(100,Config!$B$27*MAX(0,MIN(100,(1-IF($O724="",0,$O724))*100)) + Config!$B$28*MAX(0,MIN(100,(1-MIN(1,IF(Config!$B$30=0,1,$P724/Config!$B$30)))*100)) + Config!$B$29*MAX(0,MIN(100,MIN(1,IF($Q724="",0,$Q724)/Config!$B$23)*100)))),MIN(100,Config!$B$27*MAX(0,MIN(100,(1-IF($O724="",0,$O724))*100)) + Config!$B$28*MAX(0,MIN(100,(1-MIN(1,IF(Config!$B$30=0,1,$P724/Config!$B$30)))*100)) + Config!$B$29*MAX(0,MIN(100,MIN(1,IF($Q724="",0,$Q724)/Config!$B$23)*100))))),"")
</f>
        <v/>
      </c>
      <c r="S724" s="40" t="str">
        <f>IF(Bids!$D724="","",Bids!$D724)</f>
        <v/>
      </c>
      <c r="T724" s="40" t="str">
        <f>IF(Bids!$F724="","",Bids!$F724)</f>
        <v/>
      </c>
      <c r="U724" s="40" t="str">
        <f t="shared" si="3"/>
        <v/>
      </c>
      <c r="V724" s="40" t="str">
        <f>IF($U724="","",IF(Config!$B$17=Config!$B$16,IF($U724&gt;=Config!$B$17,100,0),MAX(0,MIN(100,($U724-Config!$B$16)/(Config!$B$17-Config!$B$16)*100))))</f>
        <v/>
      </c>
      <c r="W724" s="40">
        <f>IF($L724="Elite",Config!$B$21,0)</f>
        <v>0</v>
      </c>
      <c r="X724" s="40" t="str">
        <f>IFERROR(IF(OR($T724="",$G724=""),"",IF($T724&gt;$G724,
  MAX(0, 60-(($T724-$G724)*24/Config!$B$19)*60),
  MEDIAN(60, 100, 60+(($G724-$T724)*24/Config!$B$20)*40)
)),"")
</f>
        <v/>
      </c>
      <c r="Y724" s="40" t="str">
        <f>IF($J724="","",IFERROR(VLOOKUP($J724,Grinders!$A:$N,10,FALSE),""))</f>
        <v/>
      </c>
      <c r="Z724" s="40" t="str">
        <f>IF($J724="","",IFERROR(VLOOKUP($J724,Grinders!$A:$N,11,FALSE),""))</f>
        <v/>
      </c>
      <c r="AA724" s="40" t="str">
        <f>IF($J724="","",IFERROR(VLOOKUP($J724,Grinders!$A:$N,12,FALSE),""))</f>
        <v/>
      </c>
      <c r="AB724" s="40">
        <f>IFERROR(IF(OR($C724="",$J724=""),0,IF($D724&lt;&gt;"Open",0,IF(COUNTIFS(GrinderServices!$B:$B,$J724,GrinderServices!$C:$C,$E724,GrinderServices!$E:$E,"Y")=0,0,IF($U724&lt;Config!$B$16,0,IF(Config!$B$18=1,IF($N724&gt;=$M724,0,1),1))))),"")</f>
        <v>0</v>
      </c>
      <c r="AC724" s="40" t="str">
        <f>IFERROR(IF($AB724=0,"",((Config!$B$6*$V724 + Config!$B$7*$R724 + Config!$B$8*$W724 + Config!$B$9*$X724 + Config!$B$10*$Y724 + Config!$B$11*$Z724 - Config!$B$12*$AA724)/Config!$B$13)+$AH724+$AI724),"")</f>
        <v/>
      </c>
      <c r="AD724" s="40" t="str">
        <f t="shared" si="4"/>
        <v/>
      </c>
      <c r="AE724" s="40" t="str">
        <f>IFERROR(__xludf.DUMMYFUNCTION("IF($AC724="""","""",IF($AC724=IFERROR(MAX(FILTER($AC$6:$AC$1000,$C$6:$C$1000=$C724,$AB$6:$AB$1000=1)),),""WINNER"",""""))"),"")</f>
        <v/>
      </c>
      <c r="AF724" s="40" t="str">
        <f t="shared" si="5"/>
        <v/>
      </c>
      <c r="AG724" s="40" t="str">
        <f>IF($J724="","",COUNTIF(Assignments!$B:$B,$J724))</f>
        <v/>
      </c>
      <c r="AH724" s="40" t="str">
        <f>IF($J724="","",IF(AND($AG724=0,$N724&lt;$M724),Config!$B$43,0))</f>
        <v/>
      </c>
      <c r="AI724" s="40" t="str">
        <f>IF($J724="","",IF(AND($L724="Elite",$F724&gt;=Config!$B$41,$N724&lt;$M724),Config!$B$42,0))</f>
        <v/>
      </c>
      <c r="AJ724" s="22"/>
    </row>
    <row r="725" ht="15.75" customHeight="1">
      <c r="A725" s="40" t="str">
        <f t="shared" si="1"/>
        <v/>
      </c>
      <c r="B725" s="40" t="str">
        <f>IF(Bids!$A725="","",Bids!$A725)</f>
        <v/>
      </c>
      <c r="C725" s="40" t="str">
        <f>IF(Bids!$B725="","",Bids!$B725)</f>
        <v/>
      </c>
      <c r="D725" s="40" t="str">
        <f>IF($C725="","",IFERROR(VLOOKUP($C725,Orders!$A:$J,9,FALSE),""))</f>
        <v/>
      </c>
      <c r="E725" s="40" t="str">
        <f>IF($C725="","",IFERROR(VLOOKUP($C725,Orders!$A:$J,3,FALSE),""))</f>
        <v/>
      </c>
      <c r="F725" s="40" t="str">
        <f>IF($C725="","",IFERROR(VLOOKUP($C725,Orders!$A:$J,4,FALSE),""))</f>
        <v/>
      </c>
      <c r="G725" s="40" t="str">
        <f>IF($C725="","",IFERROR(VLOOKUP($C725,Orders!$A:$J,5,FALSE),""))</f>
        <v/>
      </c>
      <c r="H725" s="40" t="str">
        <f>IF($C725="","",IFERROR(VLOOKUP($C725,Orders!$A:$J,6,FALSE),""))</f>
        <v/>
      </c>
      <c r="I725" s="40" t="str">
        <f>IF($C725="","",IFERROR(VLOOKUP($C725,Orders!$A:$J,7,FALSE),""))</f>
        <v/>
      </c>
      <c r="J725" s="40" t="str">
        <f>IF(Bids!$C725="","",Bids!$C725)</f>
        <v/>
      </c>
      <c r="K725" s="40" t="str">
        <f>IF($J725="","",IFERROR(VLOOKUP($J725,Grinders!$A:$N,2,FALSE),""))</f>
        <v/>
      </c>
      <c r="L725" s="40" t="str">
        <f>IF($J725="","",IFERROR(VLOOKUP($J725,Grinders!$A:$N,3,FALSE),""))</f>
        <v/>
      </c>
      <c r="M725" s="40" t="str">
        <f>IF($J725="","",IFERROR(VLOOKUP($J725,Grinders!$A:$N,4,FALSE),""))</f>
        <v/>
      </c>
      <c r="N725" s="40" t="str">
        <f>IF($J725="","",IFERROR(VLOOKUP($J725,Grinders!$A:$N,5,FALSE),""))</f>
        <v/>
      </c>
      <c r="O725" s="40" t="str">
        <f t="shared" si="2"/>
        <v/>
      </c>
      <c r="P725" s="40" t="str">
        <f>IF($J725="","",IFERROR(VLOOKUP($J725,Grinders!$A:$N,6,FALSE),""))</f>
        <v/>
      </c>
      <c r="Q725" s="40" t="str">
        <f>IF($J725="","",IFERROR(VLOOKUP($J725,Grinders!$A:$N,8,FALSE),""))</f>
        <v/>
      </c>
      <c r="R725" s="40" t="str">
        <f>IFERROR(IF($J725="","",IF($L725="Elite",MAX(50,MIN(100,Config!$B$27*MAX(0,MIN(100,(1-IF($O725="",0,$O725))*100)) + Config!$B$28*MAX(0,MIN(100,(1-MIN(1,IF(Config!$B$30=0,1,$P725/Config!$B$30)))*100)) + Config!$B$29*MAX(0,MIN(100,MIN(1,IF($Q725="",0,$Q725)/Config!$B$23)*100)))),MIN(100,Config!$B$27*MAX(0,MIN(100,(1-IF($O725="",0,$O725))*100)) + Config!$B$28*MAX(0,MIN(100,(1-MIN(1,IF(Config!$B$30=0,1,$P725/Config!$B$30)))*100)) + Config!$B$29*MAX(0,MIN(100,MIN(1,IF($Q725="",0,$Q725)/Config!$B$23)*100))))),"")
</f>
        <v/>
      </c>
      <c r="S725" s="40" t="str">
        <f>IF(Bids!$D725="","",Bids!$D725)</f>
        <v/>
      </c>
      <c r="T725" s="40" t="str">
        <f>IF(Bids!$F725="","",Bids!$F725)</f>
        <v/>
      </c>
      <c r="U725" s="40" t="str">
        <f t="shared" si="3"/>
        <v/>
      </c>
      <c r="V725" s="40" t="str">
        <f>IF($U725="","",IF(Config!$B$17=Config!$B$16,IF($U725&gt;=Config!$B$17,100,0),MAX(0,MIN(100,($U725-Config!$B$16)/(Config!$B$17-Config!$B$16)*100))))</f>
        <v/>
      </c>
      <c r="W725" s="40">
        <f>IF($L725="Elite",Config!$B$21,0)</f>
        <v>0</v>
      </c>
      <c r="X725" s="40" t="str">
        <f>IFERROR(IF(OR($T725="",$G725=""),"",IF($T725&gt;$G725,
  MAX(0, 60-(($T725-$G725)*24/Config!$B$19)*60),
  MEDIAN(60, 100, 60+(($G725-$T725)*24/Config!$B$20)*40)
)),"")
</f>
        <v/>
      </c>
      <c r="Y725" s="40" t="str">
        <f>IF($J725="","",IFERROR(VLOOKUP($J725,Grinders!$A:$N,10,FALSE),""))</f>
        <v/>
      </c>
      <c r="Z725" s="40" t="str">
        <f>IF($J725="","",IFERROR(VLOOKUP($J725,Grinders!$A:$N,11,FALSE),""))</f>
        <v/>
      </c>
      <c r="AA725" s="40" t="str">
        <f>IF($J725="","",IFERROR(VLOOKUP($J725,Grinders!$A:$N,12,FALSE),""))</f>
        <v/>
      </c>
      <c r="AB725" s="40">
        <f>IFERROR(IF(OR($C725="",$J725=""),0,IF($D725&lt;&gt;"Open",0,IF(COUNTIFS(GrinderServices!$B:$B,$J725,GrinderServices!$C:$C,$E725,GrinderServices!$E:$E,"Y")=0,0,IF($U725&lt;Config!$B$16,0,IF(Config!$B$18=1,IF($N725&gt;=$M725,0,1),1))))),"")</f>
        <v>0</v>
      </c>
      <c r="AC725" s="40" t="str">
        <f>IFERROR(IF($AB725=0,"",((Config!$B$6*$V725 + Config!$B$7*$R725 + Config!$B$8*$W725 + Config!$B$9*$X725 + Config!$B$10*$Y725 + Config!$B$11*$Z725 - Config!$B$12*$AA725)/Config!$B$13)+$AH725+$AI725),"")</f>
        <v/>
      </c>
      <c r="AD725" s="40" t="str">
        <f t="shared" si="4"/>
        <v/>
      </c>
      <c r="AE725" s="40" t="str">
        <f>IFERROR(__xludf.DUMMYFUNCTION("IF($AC725="""","""",IF($AC725=IFERROR(MAX(FILTER($AC$6:$AC$1000,$C$6:$C$1000=$C725,$AB$6:$AB$1000=1)),),""WINNER"",""""))"),"")</f>
        <v/>
      </c>
      <c r="AF725" s="40" t="str">
        <f t="shared" si="5"/>
        <v/>
      </c>
      <c r="AG725" s="40" t="str">
        <f>IF($J725="","",COUNTIF(Assignments!$B:$B,$J725))</f>
        <v/>
      </c>
      <c r="AH725" s="40" t="str">
        <f>IF($J725="","",IF(AND($AG725=0,$N725&lt;$M725),Config!$B$43,0))</f>
        <v/>
      </c>
      <c r="AI725" s="40" t="str">
        <f>IF($J725="","",IF(AND($L725="Elite",$F725&gt;=Config!$B$41,$N725&lt;$M725),Config!$B$42,0))</f>
        <v/>
      </c>
      <c r="AJ725" s="22"/>
    </row>
    <row r="726" ht="15.75" customHeight="1">
      <c r="A726" s="40" t="str">
        <f t="shared" si="1"/>
        <v/>
      </c>
      <c r="B726" s="40" t="str">
        <f>IF(Bids!$A726="","",Bids!$A726)</f>
        <v/>
      </c>
      <c r="C726" s="40" t="str">
        <f>IF(Bids!$B726="","",Bids!$B726)</f>
        <v/>
      </c>
      <c r="D726" s="40" t="str">
        <f>IF($C726="","",IFERROR(VLOOKUP($C726,Orders!$A:$J,9,FALSE),""))</f>
        <v/>
      </c>
      <c r="E726" s="40" t="str">
        <f>IF($C726="","",IFERROR(VLOOKUP($C726,Orders!$A:$J,3,FALSE),""))</f>
        <v/>
      </c>
      <c r="F726" s="40" t="str">
        <f>IF($C726="","",IFERROR(VLOOKUP($C726,Orders!$A:$J,4,FALSE),""))</f>
        <v/>
      </c>
      <c r="G726" s="40" t="str">
        <f>IF($C726="","",IFERROR(VLOOKUP($C726,Orders!$A:$J,5,FALSE),""))</f>
        <v/>
      </c>
      <c r="H726" s="40" t="str">
        <f>IF($C726="","",IFERROR(VLOOKUP($C726,Orders!$A:$J,6,FALSE),""))</f>
        <v/>
      </c>
      <c r="I726" s="40" t="str">
        <f>IF($C726="","",IFERROR(VLOOKUP($C726,Orders!$A:$J,7,FALSE),""))</f>
        <v/>
      </c>
      <c r="J726" s="40" t="str">
        <f>IF(Bids!$C726="","",Bids!$C726)</f>
        <v/>
      </c>
      <c r="K726" s="40" t="str">
        <f>IF($J726="","",IFERROR(VLOOKUP($J726,Grinders!$A:$N,2,FALSE),""))</f>
        <v/>
      </c>
      <c r="L726" s="40" t="str">
        <f>IF($J726="","",IFERROR(VLOOKUP($J726,Grinders!$A:$N,3,FALSE),""))</f>
        <v/>
      </c>
      <c r="M726" s="40" t="str">
        <f>IF($J726="","",IFERROR(VLOOKUP($J726,Grinders!$A:$N,4,FALSE),""))</f>
        <v/>
      </c>
      <c r="N726" s="40" t="str">
        <f>IF($J726="","",IFERROR(VLOOKUP($J726,Grinders!$A:$N,5,FALSE),""))</f>
        <v/>
      </c>
      <c r="O726" s="40" t="str">
        <f t="shared" si="2"/>
        <v/>
      </c>
      <c r="P726" s="40" t="str">
        <f>IF($J726="","",IFERROR(VLOOKUP($J726,Grinders!$A:$N,6,FALSE),""))</f>
        <v/>
      </c>
      <c r="Q726" s="40" t="str">
        <f>IF($J726="","",IFERROR(VLOOKUP($J726,Grinders!$A:$N,8,FALSE),""))</f>
        <v/>
      </c>
      <c r="R726" s="40" t="str">
        <f>IFERROR(IF($J726="","",IF($L726="Elite",MAX(50,MIN(100,Config!$B$27*MAX(0,MIN(100,(1-IF($O726="",0,$O726))*100)) + Config!$B$28*MAX(0,MIN(100,(1-MIN(1,IF(Config!$B$30=0,1,$P726/Config!$B$30)))*100)) + Config!$B$29*MAX(0,MIN(100,MIN(1,IF($Q726="",0,$Q726)/Config!$B$23)*100)))),MIN(100,Config!$B$27*MAX(0,MIN(100,(1-IF($O726="",0,$O726))*100)) + Config!$B$28*MAX(0,MIN(100,(1-MIN(1,IF(Config!$B$30=0,1,$P726/Config!$B$30)))*100)) + Config!$B$29*MAX(0,MIN(100,MIN(1,IF($Q726="",0,$Q726)/Config!$B$23)*100))))),"")
</f>
        <v/>
      </c>
      <c r="S726" s="40" t="str">
        <f>IF(Bids!$D726="","",Bids!$D726)</f>
        <v/>
      </c>
      <c r="T726" s="40" t="str">
        <f>IF(Bids!$F726="","",Bids!$F726)</f>
        <v/>
      </c>
      <c r="U726" s="40" t="str">
        <f t="shared" si="3"/>
        <v/>
      </c>
      <c r="V726" s="40" t="str">
        <f>IF($U726="","",IF(Config!$B$17=Config!$B$16,IF($U726&gt;=Config!$B$17,100,0),MAX(0,MIN(100,($U726-Config!$B$16)/(Config!$B$17-Config!$B$16)*100))))</f>
        <v/>
      </c>
      <c r="W726" s="40">
        <f>IF($L726="Elite",Config!$B$21,0)</f>
        <v>0</v>
      </c>
      <c r="X726" s="40" t="str">
        <f>IFERROR(IF(OR($T726="",$G726=""),"",IF($T726&gt;$G726,
  MAX(0, 60-(($T726-$G726)*24/Config!$B$19)*60),
  MEDIAN(60, 100, 60+(($G726-$T726)*24/Config!$B$20)*40)
)),"")
</f>
        <v/>
      </c>
      <c r="Y726" s="40" t="str">
        <f>IF($J726="","",IFERROR(VLOOKUP($J726,Grinders!$A:$N,10,FALSE),""))</f>
        <v/>
      </c>
      <c r="Z726" s="40" t="str">
        <f>IF($J726="","",IFERROR(VLOOKUP($J726,Grinders!$A:$N,11,FALSE),""))</f>
        <v/>
      </c>
      <c r="AA726" s="40" t="str">
        <f>IF($J726="","",IFERROR(VLOOKUP($J726,Grinders!$A:$N,12,FALSE),""))</f>
        <v/>
      </c>
      <c r="AB726" s="40">
        <f>IFERROR(IF(OR($C726="",$J726=""),0,IF($D726&lt;&gt;"Open",0,IF(COUNTIFS(GrinderServices!$B:$B,$J726,GrinderServices!$C:$C,$E726,GrinderServices!$E:$E,"Y")=0,0,IF($U726&lt;Config!$B$16,0,IF(Config!$B$18=1,IF($N726&gt;=$M726,0,1),1))))),"")</f>
        <v>0</v>
      </c>
      <c r="AC726" s="40" t="str">
        <f>IFERROR(IF($AB726=0,"",((Config!$B$6*$V726 + Config!$B$7*$R726 + Config!$B$8*$W726 + Config!$B$9*$X726 + Config!$B$10*$Y726 + Config!$B$11*$Z726 - Config!$B$12*$AA726)/Config!$B$13)+$AH726+$AI726),"")</f>
        <v/>
      </c>
      <c r="AD726" s="40" t="str">
        <f t="shared" si="4"/>
        <v/>
      </c>
      <c r="AE726" s="40" t="str">
        <f>IFERROR(__xludf.DUMMYFUNCTION("IF($AC726="""","""",IF($AC726=IFERROR(MAX(FILTER($AC$6:$AC$1000,$C$6:$C$1000=$C726,$AB$6:$AB$1000=1)),),""WINNER"",""""))"),"")</f>
        <v/>
      </c>
      <c r="AF726" s="40" t="str">
        <f t="shared" si="5"/>
        <v/>
      </c>
      <c r="AG726" s="40" t="str">
        <f>IF($J726="","",COUNTIF(Assignments!$B:$B,$J726))</f>
        <v/>
      </c>
      <c r="AH726" s="40" t="str">
        <f>IF($J726="","",IF(AND($AG726=0,$N726&lt;$M726),Config!$B$43,0))</f>
        <v/>
      </c>
      <c r="AI726" s="40" t="str">
        <f>IF($J726="","",IF(AND($L726="Elite",$F726&gt;=Config!$B$41,$N726&lt;$M726),Config!$B$42,0))</f>
        <v/>
      </c>
      <c r="AJ726" s="22"/>
    </row>
    <row r="727" ht="15.75" customHeight="1">
      <c r="A727" s="40" t="str">
        <f t="shared" si="1"/>
        <v/>
      </c>
      <c r="B727" s="40" t="str">
        <f>IF(Bids!$A727="","",Bids!$A727)</f>
        <v/>
      </c>
      <c r="C727" s="40" t="str">
        <f>IF(Bids!$B727="","",Bids!$B727)</f>
        <v/>
      </c>
      <c r="D727" s="40" t="str">
        <f>IF($C727="","",IFERROR(VLOOKUP($C727,Orders!$A:$J,9,FALSE),""))</f>
        <v/>
      </c>
      <c r="E727" s="40" t="str">
        <f>IF($C727="","",IFERROR(VLOOKUP($C727,Orders!$A:$J,3,FALSE),""))</f>
        <v/>
      </c>
      <c r="F727" s="40" t="str">
        <f>IF($C727="","",IFERROR(VLOOKUP($C727,Orders!$A:$J,4,FALSE),""))</f>
        <v/>
      </c>
      <c r="G727" s="40" t="str">
        <f>IF($C727="","",IFERROR(VLOOKUP($C727,Orders!$A:$J,5,FALSE),""))</f>
        <v/>
      </c>
      <c r="H727" s="40" t="str">
        <f>IF($C727="","",IFERROR(VLOOKUP($C727,Orders!$A:$J,6,FALSE),""))</f>
        <v/>
      </c>
      <c r="I727" s="40" t="str">
        <f>IF($C727="","",IFERROR(VLOOKUP($C727,Orders!$A:$J,7,FALSE),""))</f>
        <v/>
      </c>
      <c r="J727" s="40" t="str">
        <f>IF(Bids!$C727="","",Bids!$C727)</f>
        <v/>
      </c>
      <c r="K727" s="40" t="str">
        <f>IF($J727="","",IFERROR(VLOOKUP($J727,Grinders!$A:$N,2,FALSE),""))</f>
        <v/>
      </c>
      <c r="L727" s="40" t="str">
        <f>IF($J727="","",IFERROR(VLOOKUP($J727,Grinders!$A:$N,3,FALSE),""))</f>
        <v/>
      </c>
      <c r="M727" s="40" t="str">
        <f>IF($J727="","",IFERROR(VLOOKUP($J727,Grinders!$A:$N,4,FALSE),""))</f>
        <v/>
      </c>
      <c r="N727" s="40" t="str">
        <f>IF($J727="","",IFERROR(VLOOKUP($J727,Grinders!$A:$N,5,FALSE),""))</f>
        <v/>
      </c>
      <c r="O727" s="40" t="str">
        <f t="shared" si="2"/>
        <v/>
      </c>
      <c r="P727" s="40" t="str">
        <f>IF($J727="","",IFERROR(VLOOKUP($J727,Grinders!$A:$N,6,FALSE),""))</f>
        <v/>
      </c>
      <c r="Q727" s="40" t="str">
        <f>IF($J727="","",IFERROR(VLOOKUP($J727,Grinders!$A:$N,8,FALSE),""))</f>
        <v/>
      </c>
      <c r="R727" s="40" t="str">
        <f>IFERROR(IF($J727="","",IF($L727="Elite",MAX(50,MIN(100,Config!$B$27*MAX(0,MIN(100,(1-IF($O727="",0,$O727))*100)) + Config!$B$28*MAX(0,MIN(100,(1-MIN(1,IF(Config!$B$30=0,1,$P727/Config!$B$30)))*100)) + Config!$B$29*MAX(0,MIN(100,MIN(1,IF($Q727="",0,$Q727)/Config!$B$23)*100)))),MIN(100,Config!$B$27*MAX(0,MIN(100,(1-IF($O727="",0,$O727))*100)) + Config!$B$28*MAX(0,MIN(100,(1-MIN(1,IF(Config!$B$30=0,1,$P727/Config!$B$30)))*100)) + Config!$B$29*MAX(0,MIN(100,MIN(1,IF($Q727="",0,$Q727)/Config!$B$23)*100))))),"")
</f>
        <v/>
      </c>
      <c r="S727" s="40" t="str">
        <f>IF(Bids!$D727="","",Bids!$D727)</f>
        <v/>
      </c>
      <c r="T727" s="40" t="str">
        <f>IF(Bids!$F727="","",Bids!$F727)</f>
        <v/>
      </c>
      <c r="U727" s="40" t="str">
        <f t="shared" si="3"/>
        <v/>
      </c>
      <c r="V727" s="40" t="str">
        <f>IF($U727="","",IF(Config!$B$17=Config!$B$16,IF($U727&gt;=Config!$B$17,100,0),MAX(0,MIN(100,($U727-Config!$B$16)/(Config!$B$17-Config!$B$16)*100))))</f>
        <v/>
      </c>
      <c r="W727" s="40">
        <f>IF($L727="Elite",Config!$B$21,0)</f>
        <v>0</v>
      </c>
      <c r="X727" s="40" t="str">
        <f>IFERROR(IF(OR($T727="",$G727=""),"",IF($T727&gt;$G727,
  MAX(0, 60-(($T727-$G727)*24/Config!$B$19)*60),
  MEDIAN(60, 100, 60+(($G727-$T727)*24/Config!$B$20)*40)
)),"")
</f>
        <v/>
      </c>
      <c r="Y727" s="40" t="str">
        <f>IF($J727="","",IFERROR(VLOOKUP($J727,Grinders!$A:$N,10,FALSE),""))</f>
        <v/>
      </c>
      <c r="Z727" s="40" t="str">
        <f>IF($J727="","",IFERROR(VLOOKUP($J727,Grinders!$A:$N,11,FALSE),""))</f>
        <v/>
      </c>
      <c r="AA727" s="40" t="str">
        <f>IF($J727="","",IFERROR(VLOOKUP($J727,Grinders!$A:$N,12,FALSE),""))</f>
        <v/>
      </c>
      <c r="AB727" s="40">
        <f>IFERROR(IF(OR($C727="",$J727=""),0,IF($D727&lt;&gt;"Open",0,IF(COUNTIFS(GrinderServices!$B:$B,$J727,GrinderServices!$C:$C,$E727,GrinderServices!$E:$E,"Y")=0,0,IF($U727&lt;Config!$B$16,0,IF(Config!$B$18=1,IF($N727&gt;=$M727,0,1),1))))),"")</f>
        <v>0</v>
      </c>
      <c r="AC727" s="40" t="str">
        <f>IFERROR(IF($AB727=0,"",((Config!$B$6*$V727 + Config!$B$7*$R727 + Config!$B$8*$W727 + Config!$B$9*$X727 + Config!$B$10*$Y727 + Config!$B$11*$Z727 - Config!$B$12*$AA727)/Config!$B$13)+$AH727+$AI727),"")</f>
        <v/>
      </c>
      <c r="AD727" s="40" t="str">
        <f t="shared" si="4"/>
        <v/>
      </c>
      <c r="AE727" s="40" t="str">
        <f>IFERROR(__xludf.DUMMYFUNCTION("IF($AC727="""","""",IF($AC727=IFERROR(MAX(FILTER($AC$6:$AC$1000,$C$6:$C$1000=$C727,$AB$6:$AB$1000=1)),),""WINNER"",""""))"),"")</f>
        <v/>
      </c>
      <c r="AF727" s="40" t="str">
        <f t="shared" si="5"/>
        <v/>
      </c>
      <c r="AG727" s="40" t="str">
        <f>IF($J727="","",COUNTIF(Assignments!$B:$B,$J727))</f>
        <v/>
      </c>
      <c r="AH727" s="40" t="str">
        <f>IF($J727="","",IF(AND($AG727=0,$N727&lt;$M727),Config!$B$43,0))</f>
        <v/>
      </c>
      <c r="AI727" s="40" t="str">
        <f>IF($J727="","",IF(AND($L727="Elite",$F727&gt;=Config!$B$41,$N727&lt;$M727),Config!$B$42,0))</f>
        <v/>
      </c>
      <c r="AJ727" s="22"/>
    </row>
    <row r="728" ht="15.75" customHeight="1">
      <c r="A728" s="40" t="str">
        <f t="shared" si="1"/>
        <v/>
      </c>
      <c r="B728" s="40" t="str">
        <f>IF(Bids!$A728="","",Bids!$A728)</f>
        <v/>
      </c>
      <c r="C728" s="40" t="str">
        <f>IF(Bids!$B728="","",Bids!$B728)</f>
        <v/>
      </c>
      <c r="D728" s="40" t="str">
        <f>IF($C728="","",IFERROR(VLOOKUP($C728,Orders!$A:$J,9,FALSE),""))</f>
        <v/>
      </c>
      <c r="E728" s="40" t="str">
        <f>IF($C728="","",IFERROR(VLOOKUP($C728,Orders!$A:$J,3,FALSE),""))</f>
        <v/>
      </c>
      <c r="F728" s="40" t="str">
        <f>IF($C728="","",IFERROR(VLOOKUP($C728,Orders!$A:$J,4,FALSE),""))</f>
        <v/>
      </c>
      <c r="G728" s="40" t="str">
        <f>IF($C728="","",IFERROR(VLOOKUP($C728,Orders!$A:$J,5,FALSE),""))</f>
        <v/>
      </c>
      <c r="H728" s="40" t="str">
        <f>IF($C728="","",IFERROR(VLOOKUP($C728,Orders!$A:$J,6,FALSE),""))</f>
        <v/>
      </c>
      <c r="I728" s="40" t="str">
        <f>IF($C728="","",IFERROR(VLOOKUP($C728,Orders!$A:$J,7,FALSE),""))</f>
        <v/>
      </c>
      <c r="J728" s="40" t="str">
        <f>IF(Bids!$C728="","",Bids!$C728)</f>
        <v/>
      </c>
      <c r="K728" s="40" t="str">
        <f>IF($J728="","",IFERROR(VLOOKUP($J728,Grinders!$A:$N,2,FALSE),""))</f>
        <v/>
      </c>
      <c r="L728" s="40" t="str">
        <f>IF($J728="","",IFERROR(VLOOKUP($J728,Grinders!$A:$N,3,FALSE),""))</f>
        <v/>
      </c>
      <c r="M728" s="40" t="str">
        <f>IF($J728="","",IFERROR(VLOOKUP($J728,Grinders!$A:$N,4,FALSE),""))</f>
        <v/>
      </c>
      <c r="N728" s="40" t="str">
        <f>IF($J728="","",IFERROR(VLOOKUP($J728,Grinders!$A:$N,5,FALSE),""))</f>
        <v/>
      </c>
      <c r="O728" s="40" t="str">
        <f t="shared" si="2"/>
        <v/>
      </c>
      <c r="P728" s="40" t="str">
        <f>IF($J728="","",IFERROR(VLOOKUP($J728,Grinders!$A:$N,6,FALSE),""))</f>
        <v/>
      </c>
      <c r="Q728" s="40" t="str">
        <f>IF($J728="","",IFERROR(VLOOKUP($J728,Grinders!$A:$N,8,FALSE),""))</f>
        <v/>
      </c>
      <c r="R728" s="40" t="str">
        <f>IFERROR(IF($J728="","",IF($L728="Elite",MAX(50,MIN(100,Config!$B$27*MAX(0,MIN(100,(1-IF($O728="",0,$O728))*100)) + Config!$B$28*MAX(0,MIN(100,(1-MIN(1,IF(Config!$B$30=0,1,$P728/Config!$B$30)))*100)) + Config!$B$29*MAX(0,MIN(100,MIN(1,IF($Q728="",0,$Q728)/Config!$B$23)*100)))),MIN(100,Config!$B$27*MAX(0,MIN(100,(1-IF($O728="",0,$O728))*100)) + Config!$B$28*MAX(0,MIN(100,(1-MIN(1,IF(Config!$B$30=0,1,$P728/Config!$B$30)))*100)) + Config!$B$29*MAX(0,MIN(100,MIN(1,IF($Q728="",0,$Q728)/Config!$B$23)*100))))),"")
</f>
        <v/>
      </c>
      <c r="S728" s="40" t="str">
        <f>IF(Bids!$D728="","",Bids!$D728)</f>
        <v/>
      </c>
      <c r="T728" s="40" t="str">
        <f>IF(Bids!$F728="","",Bids!$F728)</f>
        <v/>
      </c>
      <c r="U728" s="40" t="str">
        <f t="shared" si="3"/>
        <v/>
      </c>
      <c r="V728" s="40" t="str">
        <f>IF($U728="","",IF(Config!$B$17=Config!$B$16,IF($U728&gt;=Config!$B$17,100,0),MAX(0,MIN(100,($U728-Config!$B$16)/(Config!$B$17-Config!$B$16)*100))))</f>
        <v/>
      </c>
      <c r="W728" s="40">
        <f>IF($L728="Elite",Config!$B$21,0)</f>
        <v>0</v>
      </c>
      <c r="X728" s="40" t="str">
        <f>IFERROR(IF(OR($T728="",$G728=""),"",IF($T728&gt;$G728,
  MAX(0, 60-(($T728-$G728)*24/Config!$B$19)*60),
  MEDIAN(60, 100, 60+(($G728-$T728)*24/Config!$B$20)*40)
)),"")
</f>
        <v/>
      </c>
      <c r="Y728" s="40" t="str">
        <f>IF($J728="","",IFERROR(VLOOKUP($J728,Grinders!$A:$N,10,FALSE),""))</f>
        <v/>
      </c>
      <c r="Z728" s="40" t="str">
        <f>IF($J728="","",IFERROR(VLOOKUP($J728,Grinders!$A:$N,11,FALSE),""))</f>
        <v/>
      </c>
      <c r="AA728" s="40" t="str">
        <f>IF($J728="","",IFERROR(VLOOKUP($J728,Grinders!$A:$N,12,FALSE),""))</f>
        <v/>
      </c>
      <c r="AB728" s="40">
        <f>IFERROR(IF(OR($C728="",$J728=""),0,IF($D728&lt;&gt;"Open",0,IF(COUNTIFS(GrinderServices!$B:$B,$J728,GrinderServices!$C:$C,$E728,GrinderServices!$E:$E,"Y")=0,0,IF($U728&lt;Config!$B$16,0,IF(Config!$B$18=1,IF($N728&gt;=$M728,0,1),1))))),"")</f>
        <v>0</v>
      </c>
      <c r="AC728" s="40" t="str">
        <f>IFERROR(IF($AB728=0,"",((Config!$B$6*$V728 + Config!$B$7*$R728 + Config!$B$8*$W728 + Config!$B$9*$X728 + Config!$B$10*$Y728 + Config!$B$11*$Z728 - Config!$B$12*$AA728)/Config!$B$13)+$AH728+$AI728),"")</f>
        <v/>
      </c>
      <c r="AD728" s="40" t="str">
        <f t="shared" si="4"/>
        <v/>
      </c>
      <c r="AE728" s="40" t="str">
        <f>IFERROR(__xludf.DUMMYFUNCTION("IF($AC728="""","""",IF($AC728=IFERROR(MAX(FILTER($AC$6:$AC$1000,$C$6:$C$1000=$C728,$AB$6:$AB$1000=1)),),""WINNER"",""""))"),"")</f>
        <v/>
      </c>
      <c r="AF728" s="40" t="str">
        <f t="shared" si="5"/>
        <v/>
      </c>
      <c r="AG728" s="40" t="str">
        <f>IF($J728="","",COUNTIF(Assignments!$B:$B,$J728))</f>
        <v/>
      </c>
      <c r="AH728" s="40" t="str">
        <f>IF($J728="","",IF(AND($AG728=0,$N728&lt;$M728),Config!$B$43,0))</f>
        <v/>
      </c>
      <c r="AI728" s="40" t="str">
        <f>IF($J728="","",IF(AND($L728="Elite",$F728&gt;=Config!$B$41,$N728&lt;$M728),Config!$B$42,0))</f>
        <v/>
      </c>
      <c r="AJ728" s="22"/>
    </row>
    <row r="729" ht="15.75" customHeight="1">
      <c r="A729" s="40" t="str">
        <f t="shared" si="1"/>
        <v/>
      </c>
      <c r="B729" s="40" t="str">
        <f>IF(Bids!$A729="","",Bids!$A729)</f>
        <v/>
      </c>
      <c r="C729" s="40" t="str">
        <f>IF(Bids!$B729="","",Bids!$B729)</f>
        <v/>
      </c>
      <c r="D729" s="40" t="str">
        <f>IF($C729="","",IFERROR(VLOOKUP($C729,Orders!$A:$J,9,FALSE),""))</f>
        <v/>
      </c>
      <c r="E729" s="40" t="str">
        <f>IF($C729="","",IFERROR(VLOOKUP($C729,Orders!$A:$J,3,FALSE),""))</f>
        <v/>
      </c>
      <c r="F729" s="40" t="str">
        <f>IF($C729="","",IFERROR(VLOOKUP($C729,Orders!$A:$J,4,FALSE),""))</f>
        <v/>
      </c>
      <c r="G729" s="40" t="str">
        <f>IF($C729="","",IFERROR(VLOOKUP($C729,Orders!$A:$J,5,FALSE),""))</f>
        <v/>
      </c>
      <c r="H729" s="40" t="str">
        <f>IF($C729="","",IFERROR(VLOOKUP($C729,Orders!$A:$J,6,FALSE),""))</f>
        <v/>
      </c>
      <c r="I729" s="40" t="str">
        <f>IF($C729="","",IFERROR(VLOOKUP($C729,Orders!$A:$J,7,FALSE),""))</f>
        <v/>
      </c>
      <c r="J729" s="40" t="str">
        <f>IF(Bids!$C729="","",Bids!$C729)</f>
        <v/>
      </c>
      <c r="K729" s="40" t="str">
        <f>IF($J729="","",IFERROR(VLOOKUP($J729,Grinders!$A:$N,2,FALSE),""))</f>
        <v/>
      </c>
      <c r="L729" s="40" t="str">
        <f>IF($J729="","",IFERROR(VLOOKUP($J729,Grinders!$A:$N,3,FALSE),""))</f>
        <v/>
      </c>
      <c r="M729" s="40" t="str">
        <f>IF($J729="","",IFERROR(VLOOKUP($J729,Grinders!$A:$N,4,FALSE),""))</f>
        <v/>
      </c>
      <c r="N729" s="40" t="str">
        <f>IF($J729="","",IFERROR(VLOOKUP($J729,Grinders!$A:$N,5,FALSE),""))</f>
        <v/>
      </c>
      <c r="O729" s="40" t="str">
        <f t="shared" si="2"/>
        <v/>
      </c>
      <c r="P729" s="40" t="str">
        <f>IF($J729="","",IFERROR(VLOOKUP($J729,Grinders!$A:$N,6,FALSE),""))</f>
        <v/>
      </c>
      <c r="Q729" s="40" t="str">
        <f>IF($J729="","",IFERROR(VLOOKUP($J729,Grinders!$A:$N,8,FALSE),""))</f>
        <v/>
      </c>
      <c r="R729" s="40" t="str">
        <f>IFERROR(IF($J729="","",IF($L729="Elite",MAX(50,MIN(100,Config!$B$27*MAX(0,MIN(100,(1-IF($O729="",0,$O729))*100)) + Config!$B$28*MAX(0,MIN(100,(1-MIN(1,IF(Config!$B$30=0,1,$P729/Config!$B$30)))*100)) + Config!$B$29*MAX(0,MIN(100,MIN(1,IF($Q729="",0,$Q729)/Config!$B$23)*100)))),MIN(100,Config!$B$27*MAX(0,MIN(100,(1-IF($O729="",0,$O729))*100)) + Config!$B$28*MAX(0,MIN(100,(1-MIN(1,IF(Config!$B$30=0,1,$P729/Config!$B$30)))*100)) + Config!$B$29*MAX(0,MIN(100,MIN(1,IF($Q729="",0,$Q729)/Config!$B$23)*100))))),"")
</f>
        <v/>
      </c>
      <c r="S729" s="40" t="str">
        <f>IF(Bids!$D729="","",Bids!$D729)</f>
        <v/>
      </c>
      <c r="T729" s="40" t="str">
        <f>IF(Bids!$F729="","",Bids!$F729)</f>
        <v/>
      </c>
      <c r="U729" s="40" t="str">
        <f t="shared" si="3"/>
        <v/>
      </c>
      <c r="V729" s="40" t="str">
        <f>IF($U729="","",IF(Config!$B$17=Config!$B$16,IF($U729&gt;=Config!$B$17,100,0),MAX(0,MIN(100,($U729-Config!$B$16)/(Config!$B$17-Config!$B$16)*100))))</f>
        <v/>
      </c>
      <c r="W729" s="40">
        <f>IF($L729="Elite",Config!$B$21,0)</f>
        <v>0</v>
      </c>
      <c r="X729" s="40" t="str">
        <f>IFERROR(IF(OR($T729="",$G729=""),"",IF($T729&gt;$G729,
  MAX(0, 60-(($T729-$G729)*24/Config!$B$19)*60),
  MEDIAN(60, 100, 60+(($G729-$T729)*24/Config!$B$20)*40)
)),"")
</f>
        <v/>
      </c>
      <c r="Y729" s="40" t="str">
        <f>IF($J729="","",IFERROR(VLOOKUP($J729,Grinders!$A:$N,10,FALSE),""))</f>
        <v/>
      </c>
      <c r="Z729" s="40" t="str">
        <f>IF($J729="","",IFERROR(VLOOKUP($J729,Grinders!$A:$N,11,FALSE),""))</f>
        <v/>
      </c>
      <c r="AA729" s="40" t="str">
        <f>IF($J729="","",IFERROR(VLOOKUP($J729,Grinders!$A:$N,12,FALSE),""))</f>
        <v/>
      </c>
      <c r="AB729" s="40">
        <f>IFERROR(IF(OR($C729="",$J729=""),0,IF($D729&lt;&gt;"Open",0,IF(COUNTIFS(GrinderServices!$B:$B,$J729,GrinderServices!$C:$C,$E729,GrinderServices!$E:$E,"Y")=0,0,IF($U729&lt;Config!$B$16,0,IF(Config!$B$18=1,IF($N729&gt;=$M729,0,1),1))))),"")</f>
        <v>0</v>
      </c>
      <c r="AC729" s="40" t="str">
        <f>IFERROR(IF($AB729=0,"",((Config!$B$6*$V729 + Config!$B$7*$R729 + Config!$B$8*$W729 + Config!$B$9*$X729 + Config!$B$10*$Y729 + Config!$B$11*$Z729 - Config!$B$12*$AA729)/Config!$B$13)+$AH729+$AI729),"")</f>
        <v/>
      </c>
      <c r="AD729" s="40" t="str">
        <f t="shared" si="4"/>
        <v/>
      </c>
      <c r="AE729" s="40" t="str">
        <f>IFERROR(__xludf.DUMMYFUNCTION("IF($AC729="""","""",IF($AC729=IFERROR(MAX(FILTER($AC$6:$AC$1000,$C$6:$C$1000=$C729,$AB$6:$AB$1000=1)),),""WINNER"",""""))"),"")</f>
        <v/>
      </c>
      <c r="AF729" s="40" t="str">
        <f t="shared" si="5"/>
        <v/>
      </c>
      <c r="AG729" s="40" t="str">
        <f>IF($J729="","",COUNTIF(Assignments!$B:$B,$J729))</f>
        <v/>
      </c>
      <c r="AH729" s="40" t="str">
        <f>IF($J729="","",IF(AND($AG729=0,$N729&lt;$M729),Config!$B$43,0))</f>
        <v/>
      </c>
      <c r="AI729" s="40" t="str">
        <f>IF($J729="","",IF(AND($L729="Elite",$F729&gt;=Config!$B$41,$N729&lt;$M729),Config!$B$42,0))</f>
        <v/>
      </c>
      <c r="AJ729" s="22"/>
    </row>
    <row r="730" ht="15.75" customHeight="1">
      <c r="A730" s="40" t="str">
        <f t="shared" si="1"/>
        <v/>
      </c>
      <c r="B730" s="40" t="str">
        <f>IF(Bids!$A730="","",Bids!$A730)</f>
        <v/>
      </c>
      <c r="C730" s="40" t="str">
        <f>IF(Bids!$B730="","",Bids!$B730)</f>
        <v/>
      </c>
      <c r="D730" s="40" t="str">
        <f>IF($C730="","",IFERROR(VLOOKUP($C730,Orders!$A:$J,9,FALSE),""))</f>
        <v/>
      </c>
      <c r="E730" s="40" t="str">
        <f>IF($C730="","",IFERROR(VLOOKUP($C730,Orders!$A:$J,3,FALSE),""))</f>
        <v/>
      </c>
      <c r="F730" s="40" t="str">
        <f>IF($C730="","",IFERROR(VLOOKUP($C730,Orders!$A:$J,4,FALSE),""))</f>
        <v/>
      </c>
      <c r="G730" s="40" t="str">
        <f>IF($C730="","",IFERROR(VLOOKUP($C730,Orders!$A:$J,5,FALSE),""))</f>
        <v/>
      </c>
      <c r="H730" s="40" t="str">
        <f>IF($C730="","",IFERROR(VLOOKUP($C730,Orders!$A:$J,6,FALSE),""))</f>
        <v/>
      </c>
      <c r="I730" s="40" t="str">
        <f>IF($C730="","",IFERROR(VLOOKUP($C730,Orders!$A:$J,7,FALSE),""))</f>
        <v/>
      </c>
      <c r="J730" s="40" t="str">
        <f>IF(Bids!$C730="","",Bids!$C730)</f>
        <v/>
      </c>
      <c r="K730" s="40" t="str">
        <f>IF($J730="","",IFERROR(VLOOKUP($J730,Grinders!$A:$N,2,FALSE),""))</f>
        <v/>
      </c>
      <c r="L730" s="40" t="str">
        <f>IF($J730="","",IFERROR(VLOOKUP($J730,Grinders!$A:$N,3,FALSE),""))</f>
        <v/>
      </c>
      <c r="M730" s="40" t="str">
        <f>IF($J730="","",IFERROR(VLOOKUP($J730,Grinders!$A:$N,4,FALSE),""))</f>
        <v/>
      </c>
      <c r="N730" s="40" t="str">
        <f>IF($J730="","",IFERROR(VLOOKUP($J730,Grinders!$A:$N,5,FALSE),""))</f>
        <v/>
      </c>
      <c r="O730" s="40" t="str">
        <f t="shared" si="2"/>
        <v/>
      </c>
      <c r="P730" s="40" t="str">
        <f>IF($J730="","",IFERROR(VLOOKUP($J730,Grinders!$A:$N,6,FALSE),""))</f>
        <v/>
      </c>
      <c r="Q730" s="40" t="str">
        <f>IF($J730="","",IFERROR(VLOOKUP($J730,Grinders!$A:$N,8,FALSE),""))</f>
        <v/>
      </c>
      <c r="R730" s="40" t="str">
        <f>IFERROR(IF($J730="","",IF($L730="Elite",MAX(50,MIN(100,Config!$B$27*MAX(0,MIN(100,(1-IF($O730="",0,$O730))*100)) + Config!$B$28*MAX(0,MIN(100,(1-MIN(1,IF(Config!$B$30=0,1,$P730/Config!$B$30)))*100)) + Config!$B$29*MAX(0,MIN(100,MIN(1,IF($Q730="",0,$Q730)/Config!$B$23)*100)))),MIN(100,Config!$B$27*MAX(0,MIN(100,(1-IF($O730="",0,$O730))*100)) + Config!$B$28*MAX(0,MIN(100,(1-MIN(1,IF(Config!$B$30=0,1,$P730/Config!$B$30)))*100)) + Config!$B$29*MAX(0,MIN(100,MIN(1,IF($Q730="",0,$Q730)/Config!$B$23)*100))))),"")
</f>
        <v/>
      </c>
      <c r="S730" s="40" t="str">
        <f>IF(Bids!$D730="","",Bids!$D730)</f>
        <v/>
      </c>
      <c r="T730" s="40" t="str">
        <f>IF(Bids!$F730="","",Bids!$F730)</f>
        <v/>
      </c>
      <c r="U730" s="40" t="str">
        <f t="shared" si="3"/>
        <v/>
      </c>
      <c r="V730" s="40" t="str">
        <f>IF($U730="","",IF(Config!$B$17=Config!$B$16,IF($U730&gt;=Config!$B$17,100,0),MAX(0,MIN(100,($U730-Config!$B$16)/(Config!$B$17-Config!$B$16)*100))))</f>
        <v/>
      </c>
      <c r="W730" s="40">
        <f>IF($L730="Elite",Config!$B$21,0)</f>
        <v>0</v>
      </c>
      <c r="X730" s="40" t="str">
        <f>IFERROR(IF(OR($T730="",$G730=""),"",IF($T730&gt;$G730,
  MAX(0, 60-(($T730-$G730)*24/Config!$B$19)*60),
  MEDIAN(60, 100, 60+(($G730-$T730)*24/Config!$B$20)*40)
)),"")
</f>
        <v/>
      </c>
      <c r="Y730" s="40" t="str">
        <f>IF($J730="","",IFERROR(VLOOKUP($J730,Grinders!$A:$N,10,FALSE),""))</f>
        <v/>
      </c>
      <c r="Z730" s="40" t="str">
        <f>IF($J730="","",IFERROR(VLOOKUP($J730,Grinders!$A:$N,11,FALSE),""))</f>
        <v/>
      </c>
      <c r="AA730" s="40" t="str">
        <f>IF($J730="","",IFERROR(VLOOKUP($J730,Grinders!$A:$N,12,FALSE),""))</f>
        <v/>
      </c>
      <c r="AB730" s="40">
        <f>IFERROR(IF(OR($C730="",$J730=""),0,IF($D730&lt;&gt;"Open",0,IF(COUNTIFS(GrinderServices!$B:$B,$J730,GrinderServices!$C:$C,$E730,GrinderServices!$E:$E,"Y")=0,0,IF($U730&lt;Config!$B$16,0,IF(Config!$B$18=1,IF($N730&gt;=$M730,0,1),1))))),"")</f>
        <v>0</v>
      </c>
      <c r="AC730" s="40" t="str">
        <f>IFERROR(IF($AB730=0,"",((Config!$B$6*$V730 + Config!$B$7*$R730 + Config!$B$8*$W730 + Config!$B$9*$X730 + Config!$B$10*$Y730 + Config!$B$11*$Z730 - Config!$B$12*$AA730)/Config!$B$13)+$AH730+$AI730),"")</f>
        <v/>
      </c>
      <c r="AD730" s="40" t="str">
        <f t="shared" si="4"/>
        <v/>
      </c>
      <c r="AE730" s="40" t="str">
        <f>IFERROR(__xludf.DUMMYFUNCTION("IF($AC730="""","""",IF($AC730=IFERROR(MAX(FILTER($AC$6:$AC$1000,$C$6:$C$1000=$C730,$AB$6:$AB$1000=1)),),""WINNER"",""""))"),"")</f>
        <v/>
      </c>
      <c r="AF730" s="40" t="str">
        <f t="shared" si="5"/>
        <v/>
      </c>
      <c r="AG730" s="40" t="str">
        <f>IF($J730="","",COUNTIF(Assignments!$B:$B,$J730))</f>
        <v/>
      </c>
      <c r="AH730" s="40" t="str">
        <f>IF($J730="","",IF(AND($AG730=0,$N730&lt;$M730),Config!$B$43,0))</f>
        <v/>
      </c>
      <c r="AI730" s="40" t="str">
        <f>IF($J730="","",IF(AND($L730="Elite",$F730&gt;=Config!$B$41,$N730&lt;$M730),Config!$B$42,0))</f>
        <v/>
      </c>
      <c r="AJ730" s="22"/>
    </row>
    <row r="731" ht="15.75" customHeight="1">
      <c r="A731" s="40" t="str">
        <f t="shared" si="1"/>
        <v/>
      </c>
      <c r="B731" s="40" t="str">
        <f>IF(Bids!$A731="","",Bids!$A731)</f>
        <v/>
      </c>
      <c r="C731" s="40" t="str">
        <f>IF(Bids!$B731="","",Bids!$B731)</f>
        <v/>
      </c>
      <c r="D731" s="40" t="str">
        <f>IF($C731="","",IFERROR(VLOOKUP($C731,Orders!$A:$J,9,FALSE),""))</f>
        <v/>
      </c>
      <c r="E731" s="40" t="str">
        <f>IF($C731="","",IFERROR(VLOOKUP($C731,Orders!$A:$J,3,FALSE),""))</f>
        <v/>
      </c>
      <c r="F731" s="40" t="str">
        <f>IF($C731="","",IFERROR(VLOOKUP($C731,Orders!$A:$J,4,FALSE),""))</f>
        <v/>
      </c>
      <c r="G731" s="40" t="str">
        <f>IF($C731="","",IFERROR(VLOOKUP($C731,Orders!$A:$J,5,FALSE),""))</f>
        <v/>
      </c>
      <c r="H731" s="40" t="str">
        <f>IF($C731="","",IFERROR(VLOOKUP($C731,Orders!$A:$J,6,FALSE),""))</f>
        <v/>
      </c>
      <c r="I731" s="40" t="str">
        <f>IF($C731="","",IFERROR(VLOOKUP($C731,Orders!$A:$J,7,FALSE),""))</f>
        <v/>
      </c>
      <c r="J731" s="40" t="str">
        <f>IF(Bids!$C731="","",Bids!$C731)</f>
        <v/>
      </c>
      <c r="K731" s="40" t="str">
        <f>IF($J731="","",IFERROR(VLOOKUP($J731,Grinders!$A:$N,2,FALSE),""))</f>
        <v/>
      </c>
      <c r="L731" s="40" t="str">
        <f>IF($J731="","",IFERROR(VLOOKUP($J731,Grinders!$A:$N,3,FALSE),""))</f>
        <v/>
      </c>
      <c r="M731" s="40" t="str">
        <f>IF($J731="","",IFERROR(VLOOKUP($J731,Grinders!$A:$N,4,FALSE),""))</f>
        <v/>
      </c>
      <c r="N731" s="40" t="str">
        <f>IF($J731="","",IFERROR(VLOOKUP($J731,Grinders!$A:$N,5,FALSE),""))</f>
        <v/>
      </c>
      <c r="O731" s="40" t="str">
        <f t="shared" si="2"/>
        <v/>
      </c>
      <c r="P731" s="40" t="str">
        <f>IF($J731="","",IFERROR(VLOOKUP($J731,Grinders!$A:$N,6,FALSE),""))</f>
        <v/>
      </c>
      <c r="Q731" s="40" t="str">
        <f>IF($J731="","",IFERROR(VLOOKUP($J731,Grinders!$A:$N,8,FALSE),""))</f>
        <v/>
      </c>
      <c r="R731" s="40" t="str">
        <f>IFERROR(IF($J731="","",IF($L731="Elite",MAX(50,MIN(100,Config!$B$27*MAX(0,MIN(100,(1-IF($O731="",0,$O731))*100)) + Config!$B$28*MAX(0,MIN(100,(1-MIN(1,IF(Config!$B$30=0,1,$P731/Config!$B$30)))*100)) + Config!$B$29*MAX(0,MIN(100,MIN(1,IF($Q731="",0,$Q731)/Config!$B$23)*100)))),MIN(100,Config!$B$27*MAX(0,MIN(100,(1-IF($O731="",0,$O731))*100)) + Config!$B$28*MAX(0,MIN(100,(1-MIN(1,IF(Config!$B$30=0,1,$P731/Config!$B$30)))*100)) + Config!$B$29*MAX(0,MIN(100,MIN(1,IF($Q731="",0,$Q731)/Config!$B$23)*100))))),"")
</f>
        <v/>
      </c>
      <c r="S731" s="40" t="str">
        <f>IF(Bids!$D731="","",Bids!$D731)</f>
        <v/>
      </c>
      <c r="T731" s="40" t="str">
        <f>IF(Bids!$F731="","",Bids!$F731)</f>
        <v/>
      </c>
      <c r="U731" s="40" t="str">
        <f t="shared" si="3"/>
        <v/>
      </c>
      <c r="V731" s="40" t="str">
        <f>IF($U731="","",IF(Config!$B$17=Config!$B$16,IF($U731&gt;=Config!$B$17,100,0),MAX(0,MIN(100,($U731-Config!$B$16)/(Config!$B$17-Config!$B$16)*100))))</f>
        <v/>
      </c>
      <c r="W731" s="40">
        <f>IF($L731="Elite",Config!$B$21,0)</f>
        <v>0</v>
      </c>
      <c r="X731" s="40" t="str">
        <f>IFERROR(IF(OR($T731="",$G731=""),"",IF($T731&gt;$G731,
  MAX(0, 60-(($T731-$G731)*24/Config!$B$19)*60),
  MEDIAN(60, 100, 60+(($G731-$T731)*24/Config!$B$20)*40)
)),"")
</f>
        <v/>
      </c>
      <c r="Y731" s="40" t="str">
        <f>IF($J731="","",IFERROR(VLOOKUP($J731,Grinders!$A:$N,10,FALSE),""))</f>
        <v/>
      </c>
      <c r="Z731" s="40" t="str">
        <f>IF($J731="","",IFERROR(VLOOKUP($J731,Grinders!$A:$N,11,FALSE),""))</f>
        <v/>
      </c>
      <c r="AA731" s="40" t="str">
        <f>IF($J731="","",IFERROR(VLOOKUP($J731,Grinders!$A:$N,12,FALSE),""))</f>
        <v/>
      </c>
      <c r="AB731" s="40">
        <f>IFERROR(IF(OR($C731="",$J731=""),0,IF($D731&lt;&gt;"Open",0,IF(COUNTIFS(GrinderServices!$B:$B,$J731,GrinderServices!$C:$C,$E731,GrinderServices!$E:$E,"Y")=0,0,IF($U731&lt;Config!$B$16,0,IF(Config!$B$18=1,IF($N731&gt;=$M731,0,1),1))))),"")</f>
        <v>0</v>
      </c>
      <c r="AC731" s="40" t="str">
        <f>IFERROR(IF($AB731=0,"",((Config!$B$6*$V731 + Config!$B$7*$R731 + Config!$B$8*$W731 + Config!$B$9*$X731 + Config!$B$10*$Y731 + Config!$B$11*$Z731 - Config!$B$12*$AA731)/Config!$B$13)+$AH731+$AI731),"")</f>
        <v/>
      </c>
      <c r="AD731" s="40" t="str">
        <f t="shared" si="4"/>
        <v/>
      </c>
      <c r="AE731" s="40" t="str">
        <f>IFERROR(__xludf.DUMMYFUNCTION("IF($AC731="""","""",IF($AC731=IFERROR(MAX(FILTER($AC$6:$AC$1000,$C$6:$C$1000=$C731,$AB$6:$AB$1000=1)),),""WINNER"",""""))"),"")</f>
        <v/>
      </c>
      <c r="AF731" s="40" t="str">
        <f t="shared" si="5"/>
        <v/>
      </c>
      <c r="AG731" s="40" t="str">
        <f>IF($J731="","",COUNTIF(Assignments!$B:$B,$J731))</f>
        <v/>
      </c>
      <c r="AH731" s="40" t="str">
        <f>IF($J731="","",IF(AND($AG731=0,$N731&lt;$M731),Config!$B$43,0))</f>
        <v/>
      </c>
      <c r="AI731" s="40" t="str">
        <f>IF($J731="","",IF(AND($L731="Elite",$F731&gt;=Config!$B$41,$N731&lt;$M731),Config!$B$42,0))</f>
        <v/>
      </c>
      <c r="AJ731" s="22"/>
    </row>
    <row r="732" ht="15.75" customHeight="1">
      <c r="A732" s="40" t="str">
        <f t="shared" si="1"/>
        <v/>
      </c>
      <c r="B732" s="40" t="str">
        <f>IF(Bids!$A732="","",Bids!$A732)</f>
        <v/>
      </c>
      <c r="C732" s="40" t="str">
        <f>IF(Bids!$B732="","",Bids!$B732)</f>
        <v/>
      </c>
      <c r="D732" s="40" t="str">
        <f>IF($C732="","",IFERROR(VLOOKUP($C732,Orders!$A:$J,9,FALSE),""))</f>
        <v/>
      </c>
      <c r="E732" s="40" t="str">
        <f>IF($C732="","",IFERROR(VLOOKUP($C732,Orders!$A:$J,3,FALSE),""))</f>
        <v/>
      </c>
      <c r="F732" s="40" t="str">
        <f>IF($C732="","",IFERROR(VLOOKUP($C732,Orders!$A:$J,4,FALSE),""))</f>
        <v/>
      </c>
      <c r="G732" s="40" t="str">
        <f>IF($C732="","",IFERROR(VLOOKUP($C732,Orders!$A:$J,5,FALSE),""))</f>
        <v/>
      </c>
      <c r="H732" s="40" t="str">
        <f>IF($C732="","",IFERROR(VLOOKUP($C732,Orders!$A:$J,6,FALSE),""))</f>
        <v/>
      </c>
      <c r="I732" s="40" t="str">
        <f>IF($C732="","",IFERROR(VLOOKUP($C732,Orders!$A:$J,7,FALSE),""))</f>
        <v/>
      </c>
      <c r="J732" s="40" t="str">
        <f>IF(Bids!$C732="","",Bids!$C732)</f>
        <v/>
      </c>
      <c r="K732" s="40" t="str">
        <f>IF($J732="","",IFERROR(VLOOKUP($J732,Grinders!$A:$N,2,FALSE),""))</f>
        <v/>
      </c>
      <c r="L732" s="40" t="str">
        <f>IF($J732="","",IFERROR(VLOOKUP($J732,Grinders!$A:$N,3,FALSE),""))</f>
        <v/>
      </c>
      <c r="M732" s="40" t="str">
        <f>IF($J732="","",IFERROR(VLOOKUP($J732,Grinders!$A:$N,4,FALSE),""))</f>
        <v/>
      </c>
      <c r="N732" s="40" t="str">
        <f>IF($J732="","",IFERROR(VLOOKUP($J732,Grinders!$A:$N,5,FALSE),""))</f>
        <v/>
      </c>
      <c r="O732" s="40" t="str">
        <f t="shared" si="2"/>
        <v/>
      </c>
      <c r="P732" s="40" t="str">
        <f>IF($J732="","",IFERROR(VLOOKUP($J732,Grinders!$A:$N,6,FALSE),""))</f>
        <v/>
      </c>
      <c r="Q732" s="40" t="str">
        <f>IF($J732="","",IFERROR(VLOOKUP($J732,Grinders!$A:$N,8,FALSE),""))</f>
        <v/>
      </c>
      <c r="R732" s="40" t="str">
        <f>IFERROR(IF($J732="","",IF($L732="Elite",MAX(50,MIN(100,Config!$B$27*MAX(0,MIN(100,(1-IF($O732="",0,$O732))*100)) + Config!$B$28*MAX(0,MIN(100,(1-MIN(1,IF(Config!$B$30=0,1,$P732/Config!$B$30)))*100)) + Config!$B$29*MAX(0,MIN(100,MIN(1,IF($Q732="",0,$Q732)/Config!$B$23)*100)))),MIN(100,Config!$B$27*MAX(0,MIN(100,(1-IF($O732="",0,$O732))*100)) + Config!$B$28*MAX(0,MIN(100,(1-MIN(1,IF(Config!$B$30=0,1,$P732/Config!$B$30)))*100)) + Config!$B$29*MAX(0,MIN(100,MIN(1,IF($Q732="",0,$Q732)/Config!$B$23)*100))))),"")
</f>
        <v/>
      </c>
      <c r="S732" s="40" t="str">
        <f>IF(Bids!$D732="","",Bids!$D732)</f>
        <v/>
      </c>
      <c r="T732" s="40" t="str">
        <f>IF(Bids!$F732="","",Bids!$F732)</f>
        <v/>
      </c>
      <c r="U732" s="40" t="str">
        <f t="shared" si="3"/>
        <v/>
      </c>
      <c r="V732" s="40" t="str">
        <f>IF($U732="","",IF(Config!$B$17=Config!$B$16,IF($U732&gt;=Config!$B$17,100,0),MAX(0,MIN(100,($U732-Config!$B$16)/(Config!$B$17-Config!$B$16)*100))))</f>
        <v/>
      </c>
      <c r="W732" s="40">
        <f>IF($L732="Elite",Config!$B$21,0)</f>
        <v>0</v>
      </c>
      <c r="X732" s="40" t="str">
        <f>IFERROR(IF(OR($T732="",$G732=""),"",IF($T732&gt;$G732,
  MAX(0, 60-(($T732-$G732)*24/Config!$B$19)*60),
  MEDIAN(60, 100, 60+(($G732-$T732)*24/Config!$B$20)*40)
)),"")
</f>
        <v/>
      </c>
      <c r="Y732" s="40" t="str">
        <f>IF($J732="","",IFERROR(VLOOKUP($J732,Grinders!$A:$N,10,FALSE),""))</f>
        <v/>
      </c>
      <c r="Z732" s="40" t="str">
        <f>IF($J732="","",IFERROR(VLOOKUP($J732,Grinders!$A:$N,11,FALSE),""))</f>
        <v/>
      </c>
      <c r="AA732" s="40" t="str">
        <f>IF($J732="","",IFERROR(VLOOKUP($J732,Grinders!$A:$N,12,FALSE),""))</f>
        <v/>
      </c>
      <c r="AB732" s="40">
        <f>IFERROR(IF(OR($C732="",$J732=""),0,IF($D732&lt;&gt;"Open",0,IF(COUNTIFS(GrinderServices!$B:$B,$J732,GrinderServices!$C:$C,$E732,GrinderServices!$E:$E,"Y")=0,0,IF($U732&lt;Config!$B$16,0,IF(Config!$B$18=1,IF($N732&gt;=$M732,0,1),1))))),"")</f>
        <v>0</v>
      </c>
      <c r="AC732" s="40" t="str">
        <f>IFERROR(IF($AB732=0,"",((Config!$B$6*$V732 + Config!$B$7*$R732 + Config!$B$8*$W732 + Config!$B$9*$X732 + Config!$B$10*$Y732 + Config!$B$11*$Z732 - Config!$B$12*$AA732)/Config!$B$13)+$AH732+$AI732),"")</f>
        <v/>
      </c>
      <c r="AD732" s="40" t="str">
        <f t="shared" si="4"/>
        <v/>
      </c>
      <c r="AE732" s="40" t="str">
        <f>IFERROR(__xludf.DUMMYFUNCTION("IF($AC732="""","""",IF($AC732=IFERROR(MAX(FILTER($AC$6:$AC$1000,$C$6:$C$1000=$C732,$AB$6:$AB$1000=1)),),""WINNER"",""""))"),"")</f>
        <v/>
      </c>
      <c r="AF732" s="40" t="str">
        <f t="shared" si="5"/>
        <v/>
      </c>
      <c r="AG732" s="40" t="str">
        <f>IF($J732="","",COUNTIF(Assignments!$B:$B,$J732))</f>
        <v/>
      </c>
      <c r="AH732" s="40" t="str">
        <f>IF($J732="","",IF(AND($AG732=0,$N732&lt;$M732),Config!$B$43,0))</f>
        <v/>
      </c>
      <c r="AI732" s="40" t="str">
        <f>IF($J732="","",IF(AND($L732="Elite",$F732&gt;=Config!$B$41,$N732&lt;$M732),Config!$B$42,0))</f>
        <v/>
      </c>
      <c r="AJ732" s="22"/>
    </row>
    <row r="733" ht="15.75" customHeight="1">
      <c r="A733" s="40" t="str">
        <f t="shared" si="1"/>
        <v/>
      </c>
      <c r="B733" s="40" t="str">
        <f>IF(Bids!$A733="","",Bids!$A733)</f>
        <v/>
      </c>
      <c r="C733" s="40" t="str">
        <f>IF(Bids!$B733="","",Bids!$B733)</f>
        <v/>
      </c>
      <c r="D733" s="40" t="str">
        <f>IF($C733="","",IFERROR(VLOOKUP($C733,Orders!$A:$J,9,FALSE),""))</f>
        <v/>
      </c>
      <c r="E733" s="40" t="str">
        <f>IF($C733="","",IFERROR(VLOOKUP($C733,Orders!$A:$J,3,FALSE),""))</f>
        <v/>
      </c>
      <c r="F733" s="40" t="str">
        <f>IF($C733="","",IFERROR(VLOOKUP($C733,Orders!$A:$J,4,FALSE),""))</f>
        <v/>
      </c>
      <c r="G733" s="40" t="str">
        <f>IF($C733="","",IFERROR(VLOOKUP($C733,Orders!$A:$J,5,FALSE),""))</f>
        <v/>
      </c>
      <c r="H733" s="40" t="str">
        <f>IF($C733="","",IFERROR(VLOOKUP($C733,Orders!$A:$J,6,FALSE),""))</f>
        <v/>
      </c>
      <c r="I733" s="40" t="str">
        <f>IF($C733="","",IFERROR(VLOOKUP($C733,Orders!$A:$J,7,FALSE),""))</f>
        <v/>
      </c>
      <c r="J733" s="40" t="str">
        <f>IF(Bids!$C733="","",Bids!$C733)</f>
        <v/>
      </c>
      <c r="K733" s="40" t="str">
        <f>IF($J733="","",IFERROR(VLOOKUP($J733,Grinders!$A:$N,2,FALSE),""))</f>
        <v/>
      </c>
      <c r="L733" s="40" t="str">
        <f>IF($J733="","",IFERROR(VLOOKUP($J733,Grinders!$A:$N,3,FALSE),""))</f>
        <v/>
      </c>
      <c r="M733" s="40" t="str">
        <f>IF($J733="","",IFERROR(VLOOKUP($J733,Grinders!$A:$N,4,FALSE),""))</f>
        <v/>
      </c>
      <c r="N733" s="40" t="str">
        <f>IF($J733="","",IFERROR(VLOOKUP($J733,Grinders!$A:$N,5,FALSE),""))</f>
        <v/>
      </c>
      <c r="O733" s="40" t="str">
        <f t="shared" si="2"/>
        <v/>
      </c>
      <c r="P733" s="40" t="str">
        <f>IF($J733="","",IFERROR(VLOOKUP($J733,Grinders!$A:$N,6,FALSE),""))</f>
        <v/>
      </c>
      <c r="Q733" s="40" t="str">
        <f>IF($J733="","",IFERROR(VLOOKUP($J733,Grinders!$A:$N,8,FALSE),""))</f>
        <v/>
      </c>
      <c r="R733" s="40" t="str">
        <f>IFERROR(IF($J733="","",IF($L733="Elite",MAX(50,MIN(100,Config!$B$27*MAX(0,MIN(100,(1-IF($O733="",0,$O733))*100)) + Config!$B$28*MAX(0,MIN(100,(1-MIN(1,IF(Config!$B$30=0,1,$P733/Config!$B$30)))*100)) + Config!$B$29*MAX(0,MIN(100,MIN(1,IF($Q733="",0,$Q733)/Config!$B$23)*100)))),MIN(100,Config!$B$27*MAX(0,MIN(100,(1-IF($O733="",0,$O733))*100)) + Config!$B$28*MAX(0,MIN(100,(1-MIN(1,IF(Config!$B$30=0,1,$P733/Config!$B$30)))*100)) + Config!$B$29*MAX(0,MIN(100,MIN(1,IF($Q733="",0,$Q733)/Config!$B$23)*100))))),"")
</f>
        <v/>
      </c>
      <c r="S733" s="40" t="str">
        <f>IF(Bids!$D733="","",Bids!$D733)</f>
        <v/>
      </c>
      <c r="T733" s="40" t="str">
        <f>IF(Bids!$F733="","",Bids!$F733)</f>
        <v/>
      </c>
      <c r="U733" s="40" t="str">
        <f t="shared" si="3"/>
        <v/>
      </c>
      <c r="V733" s="40" t="str">
        <f>IF($U733="","",IF(Config!$B$17=Config!$B$16,IF($U733&gt;=Config!$B$17,100,0),MAX(0,MIN(100,($U733-Config!$B$16)/(Config!$B$17-Config!$B$16)*100))))</f>
        <v/>
      </c>
      <c r="W733" s="40">
        <f>IF($L733="Elite",Config!$B$21,0)</f>
        <v>0</v>
      </c>
      <c r="X733" s="40" t="str">
        <f>IFERROR(IF(OR($T733="",$G733=""),"",IF($T733&gt;$G733,
  MAX(0, 60-(($T733-$G733)*24/Config!$B$19)*60),
  MEDIAN(60, 100, 60+(($G733-$T733)*24/Config!$B$20)*40)
)),"")
</f>
        <v/>
      </c>
      <c r="Y733" s="40" t="str">
        <f>IF($J733="","",IFERROR(VLOOKUP($J733,Grinders!$A:$N,10,FALSE),""))</f>
        <v/>
      </c>
      <c r="Z733" s="40" t="str">
        <f>IF($J733="","",IFERROR(VLOOKUP($J733,Grinders!$A:$N,11,FALSE),""))</f>
        <v/>
      </c>
      <c r="AA733" s="40" t="str">
        <f>IF($J733="","",IFERROR(VLOOKUP($J733,Grinders!$A:$N,12,FALSE),""))</f>
        <v/>
      </c>
      <c r="AB733" s="40">
        <f>IFERROR(IF(OR($C733="",$J733=""),0,IF($D733&lt;&gt;"Open",0,IF(COUNTIFS(GrinderServices!$B:$B,$J733,GrinderServices!$C:$C,$E733,GrinderServices!$E:$E,"Y")=0,0,IF($U733&lt;Config!$B$16,0,IF(Config!$B$18=1,IF($N733&gt;=$M733,0,1),1))))),"")</f>
        <v>0</v>
      </c>
      <c r="AC733" s="40" t="str">
        <f>IFERROR(IF($AB733=0,"",((Config!$B$6*$V733 + Config!$B$7*$R733 + Config!$B$8*$W733 + Config!$B$9*$X733 + Config!$B$10*$Y733 + Config!$B$11*$Z733 - Config!$B$12*$AA733)/Config!$B$13)+$AH733+$AI733),"")</f>
        <v/>
      </c>
      <c r="AD733" s="40" t="str">
        <f t="shared" si="4"/>
        <v/>
      </c>
      <c r="AE733" s="40" t="str">
        <f>IFERROR(__xludf.DUMMYFUNCTION("IF($AC733="""","""",IF($AC733=IFERROR(MAX(FILTER($AC$6:$AC$1000,$C$6:$C$1000=$C733,$AB$6:$AB$1000=1)),),""WINNER"",""""))"),"")</f>
        <v/>
      </c>
      <c r="AF733" s="40" t="str">
        <f t="shared" si="5"/>
        <v/>
      </c>
      <c r="AG733" s="40" t="str">
        <f>IF($J733="","",COUNTIF(Assignments!$B:$B,$J733))</f>
        <v/>
      </c>
      <c r="AH733" s="40" t="str">
        <f>IF($J733="","",IF(AND($AG733=0,$N733&lt;$M733),Config!$B$43,0))</f>
        <v/>
      </c>
      <c r="AI733" s="40" t="str">
        <f>IF($J733="","",IF(AND($L733="Elite",$F733&gt;=Config!$B$41,$N733&lt;$M733),Config!$B$42,0))</f>
        <v/>
      </c>
      <c r="AJ733" s="22"/>
    </row>
    <row r="734" ht="15.75" customHeight="1">
      <c r="A734" s="40" t="str">
        <f t="shared" si="1"/>
        <v/>
      </c>
      <c r="B734" s="40" t="str">
        <f>IF(Bids!$A734="","",Bids!$A734)</f>
        <v/>
      </c>
      <c r="C734" s="40" t="str">
        <f>IF(Bids!$B734="","",Bids!$B734)</f>
        <v/>
      </c>
      <c r="D734" s="40" t="str">
        <f>IF($C734="","",IFERROR(VLOOKUP($C734,Orders!$A:$J,9,FALSE),""))</f>
        <v/>
      </c>
      <c r="E734" s="40" t="str">
        <f>IF($C734="","",IFERROR(VLOOKUP($C734,Orders!$A:$J,3,FALSE),""))</f>
        <v/>
      </c>
      <c r="F734" s="40" t="str">
        <f>IF($C734="","",IFERROR(VLOOKUP($C734,Orders!$A:$J,4,FALSE),""))</f>
        <v/>
      </c>
      <c r="G734" s="40" t="str">
        <f>IF($C734="","",IFERROR(VLOOKUP($C734,Orders!$A:$J,5,FALSE),""))</f>
        <v/>
      </c>
      <c r="H734" s="40" t="str">
        <f>IF($C734="","",IFERROR(VLOOKUP($C734,Orders!$A:$J,6,FALSE),""))</f>
        <v/>
      </c>
      <c r="I734" s="40" t="str">
        <f>IF($C734="","",IFERROR(VLOOKUP($C734,Orders!$A:$J,7,FALSE),""))</f>
        <v/>
      </c>
      <c r="J734" s="40" t="str">
        <f>IF(Bids!$C734="","",Bids!$C734)</f>
        <v/>
      </c>
      <c r="K734" s="40" t="str">
        <f>IF($J734="","",IFERROR(VLOOKUP($J734,Grinders!$A:$N,2,FALSE),""))</f>
        <v/>
      </c>
      <c r="L734" s="40" t="str">
        <f>IF($J734="","",IFERROR(VLOOKUP($J734,Grinders!$A:$N,3,FALSE),""))</f>
        <v/>
      </c>
      <c r="M734" s="40" t="str">
        <f>IF($J734="","",IFERROR(VLOOKUP($J734,Grinders!$A:$N,4,FALSE),""))</f>
        <v/>
      </c>
      <c r="N734" s="40" t="str">
        <f>IF($J734="","",IFERROR(VLOOKUP($J734,Grinders!$A:$N,5,FALSE),""))</f>
        <v/>
      </c>
      <c r="O734" s="40" t="str">
        <f t="shared" si="2"/>
        <v/>
      </c>
      <c r="P734" s="40" t="str">
        <f>IF($J734="","",IFERROR(VLOOKUP($J734,Grinders!$A:$N,6,FALSE),""))</f>
        <v/>
      </c>
      <c r="Q734" s="40" t="str">
        <f>IF($J734="","",IFERROR(VLOOKUP($J734,Grinders!$A:$N,8,FALSE),""))</f>
        <v/>
      </c>
      <c r="R734" s="40" t="str">
        <f>IFERROR(IF($J734="","",IF($L734="Elite",MAX(50,MIN(100,Config!$B$27*MAX(0,MIN(100,(1-IF($O734="",0,$O734))*100)) + Config!$B$28*MAX(0,MIN(100,(1-MIN(1,IF(Config!$B$30=0,1,$P734/Config!$B$30)))*100)) + Config!$B$29*MAX(0,MIN(100,MIN(1,IF($Q734="",0,$Q734)/Config!$B$23)*100)))),MIN(100,Config!$B$27*MAX(0,MIN(100,(1-IF($O734="",0,$O734))*100)) + Config!$B$28*MAX(0,MIN(100,(1-MIN(1,IF(Config!$B$30=0,1,$P734/Config!$B$30)))*100)) + Config!$B$29*MAX(0,MIN(100,MIN(1,IF($Q734="",0,$Q734)/Config!$B$23)*100))))),"")
</f>
        <v/>
      </c>
      <c r="S734" s="40" t="str">
        <f>IF(Bids!$D734="","",Bids!$D734)</f>
        <v/>
      </c>
      <c r="T734" s="40" t="str">
        <f>IF(Bids!$F734="","",Bids!$F734)</f>
        <v/>
      </c>
      <c r="U734" s="40" t="str">
        <f t="shared" si="3"/>
        <v/>
      </c>
      <c r="V734" s="40" t="str">
        <f>IF($U734="","",IF(Config!$B$17=Config!$B$16,IF($U734&gt;=Config!$B$17,100,0),MAX(0,MIN(100,($U734-Config!$B$16)/(Config!$B$17-Config!$B$16)*100))))</f>
        <v/>
      </c>
      <c r="W734" s="40">
        <f>IF($L734="Elite",Config!$B$21,0)</f>
        <v>0</v>
      </c>
      <c r="X734" s="40" t="str">
        <f>IFERROR(IF(OR($T734="",$G734=""),"",IF($T734&gt;$G734,
  MAX(0, 60-(($T734-$G734)*24/Config!$B$19)*60),
  MEDIAN(60, 100, 60+(($G734-$T734)*24/Config!$B$20)*40)
)),"")
</f>
        <v/>
      </c>
      <c r="Y734" s="40" t="str">
        <f>IF($J734="","",IFERROR(VLOOKUP($J734,Grinders!$A:$N,10,FALSE),""))</f>
        <v/>
      </c>
      <c r="Z734" s="40" t="str">
        <f>IF($J734="","",IFERROR(VLOOKUP($J734,Grinders!$A:$N,11,FALSE),""))</f>
        <v/>
      </c>
      <c r="AA734" s="40" t="str">
        <f>IF($J734="","",IFERROR(VLOOKUP($J734,Grinders!$A:$N,12,FALSE),""))</f>
        <v/>
      </c>
      <c r="AB734" s="40">
        <f>IFERROR(IF(OR($C734="",$J734=""),0,IF($D734&lt;&gt;"Open",0,IF(COUNTIFS(GrinderServices!$B:$B,$J734,GrinderServices!$C:$C,$E734,GrinderServices!$E:$E,"Y")=0,0,IF($U734&lt;Config!$B$16,0,IF(Config!$B$18=1,IF($N734&gt;=$M734,0,1),1))))),"")</f>
        <v>0</v>
      </c>
      <c r="AC734" s="40" t="str">
        <f>IFERROR(IF($AB734=0,"",((Config!$B$6*$V734 + Config!$B$7*$R734 + Config!$B$8*$W734 + Config!$B$9*$X734 + Config!$B$10*$Y734 + Config!$B$11*$Z734 - Config!$B$12*$AA734)/Config!$B$13)+$AH734+$AI734),"")</f>
        <v/>
      </c>
      <c r="AD734" s="40" t="str">
        <f t="shared" si="4"/>
        <v/>
      </c>
      <c r="AE734" s="40" t="str">
        <f>IFERROR(__xludf.DUMMYFUNCTION("IF($AC734="""","""",IF($AC734=IFERROR(MAX(FILTER($AC$6:$AC$1000,$C$6:$C$1000=$C734,$AB$6:$AB$1000=1)),),""WINNER"",""""))"),"")</f>
        <v/>
      </c>
      <c r="AF734" s="40" t="str">
        <f t="shared" si="5"/>
        <v/>
      </c>
      <c r="AG734" s="40" t="str">
        <f>IF($J734="","",COUNTIF(Assignments!$B:$B,$J734))</f>
        <v/>
      </c>
      <c r="AH734" s="40" t="str">
        <f>IF($J734="","",IF(AND($AG734=0,$N734&lt;$M734),Config!$B$43,0))</f>
        <v/>
      </c>
      <c r="AI734" s="40" t="str">
        <f>IF($J734="","",IF(AND($L734="Elite",$F734&gt;=Config!$B$41,$N734&lt;$M734),Config!$B$42,0))</f>
        <v/>
      </c>
      <c r="AJ734" s="22"/>
    </row>
    <row r="735" ht="15.75" customHeight="1">
      <c r="A735" s="40" t="str">
        <f t="shared" si="1"/>
        <v/>
      </c>
      <c r="B735" s="40" t="str">
        <f>IF(Bids!$A735="","",Bids!$A735)</f>
        <v/>
      </c>
      <c r="C735" s="40" t="str">
        <f>IF(Bids!$B735="","",Bids!$B735)</f>
        <v/>
      </c>
      <c r="D735" s="40" t="str">
        <f>IF($C735="","",IFERROR(VLOOKUP($C735,Orders!$A:$J,9,FALSE),""))</f>
        <v/>
      </c>
      <c r="E735" s="40" t="str">
        <f>IF($C735="","",IFERROR(VLOOKUP($C735,Orders!$A:$J,3,FALSE),""))</f>
        <v/>
      </c>
      <c r="F735" s="40" t="str">
        <f>IF($C735="","",IFERROR(VLOOKUP($C735,Orders!$A:$J,4,FALSE),""))</f>
        <v/>
      </c>
      <c r="G735" s="40" t="str">
        <f>IF($C735="","",IFERROR(VLOOKUP($C735,Orders!$A:$J,5,FALSE),""))</f>
        <v/>
      </c>
      <c r="H735" s="40" t="str">
        <f>IF($C735="","",IFERROR(VLOOKUP($C735,Orders!$A:$J,6,FALSE),""))</f>
        <v/>
      </c>
      <c r="I735" s="40" t="str">
        <f>IF($C735="","",IFERROR(VLOOKUP($C735,Orders!$A:$J,7,FALSE),""))</f>
        <v/>
      </c>
      <c r="J735" s="40" t="str">
        <f>IF(Bids!$C735="","",Bids!$C735)</f>
        <v/>
      </c>
      <c r="K735" s="40" t="str">
        <f>IF($J735="","",IFERROR(VLOOKUP($J735,Grinders!$A:$N,2,FALSE),""))</f>
        <v/>
      </c>
      <c r="L735" s="40" t="str">
        <f>IF($J735="","",IFERROR(VLOOKUP($J735,Grinders!$A:$N,3,FALSE),""))</f>
        <v/>
      </c>
      <c r="M735" s="40" t="str">
        <f>IF($J735="","",IFERROR(VLOOKUP($J735,Grinders!$A:$N,4,FALSE),""))</f>
        <v/>
      </c>
      <c r="N735" s="40" t="str">
        <f>IF($J735="","",IFERROR(VLOOKUP($J735,Grinders!$A:$N,5,FALSE),""))</f>
        <v/>
      </c>
      <c r="O735" s="40" t="str">
        <f t="shared" si="2"/>
        <v/>
      </c>
      <c r="P735" s="40" t="str">
        <f>IF($J735="","",IFERROR(VLOOKUP($J735,Grinders!$A:$N,6,FALSE),""))</f>
        <v/>
      </c>
      <c r="Q735" s="40" t="str">
        <f>IF($J735="","",IFERROR(VLOOKUP($J735,Grinders!$A:$N,8,FALSE),""))</f>
        <v/>
      </c>
      <c r="R735" s="40" t="str">
        <f>IFERROR(IF($J735="","",IF($L735="Elite",MAX(50,MIN(100,Config!$B$27*MAX(0,MIN(100,(1-IF($O735="",0,$O735))*100)) + Config!$B$28*MAX(0,MIN(100,(1-MIN(1,IF(Config!$B$30=0,1,$P735/Config!$B$30)))*100)) + Config!$B$29*MAX(0,MIN(100,MIN(1,IF($Q735="",0,$Q735)/Config!$B$23)*100)))),MIN(100,Config!$B$27*MAX(0,MIN(100,(1-IF($O735="",0,$O735))*100)) + Config!$B$28*MAX(0,MIN(100,(1-MIN(1,IF(Config!$B$30=0,1,$P735/Config!$B$30)))*100)) + Config!$B$29*MAX(0,MIN(100,MIN(1,IF($Q735="",0,$Q735)/Config!$B$23)*100))))),"")
</f>
        <v/>
      </c>
      <c r="S735" s="40" t="str">
        <f>IF(Bids!$D735="","",Bids!$D735)</f>
        <v/>
      </c>
      <c r="T735" s="40" t="str">
        <f>IF(Bids!$F735="","",Bids!$F735)</f>
        <v/>
      </c>
      <c r="U735" s="40" t="str">
        <f t="shared" si="3"/>
        <v/>
      </c>
      <c r="V735" s="40" t="str">
        <f>IF($U735="","",IF(Config!$B$17=Config!$B$16,IF($U735&gt;=Config!$B$17,100,0),MAX(0,MIN(100,($U735-Config!$B$16)/(Config!$B$17-Config!$B$16)*100))))</f>
        <v/>
      </c>
      <c r="W735" s="40">
        <f>IF($L735="Elite",Config!$B$21,0)</f>
        <v>0</v>
      </c>
      <c r="X735" s="40" t="str">
        <f>IFERROR(IF(OR($T735="",$G735=""),"",IF($T735&gt;$G735,
  MAX(0, 60-(($T735-$G735)*24/Config!$B$19)*60),
  MEDIAN(60, 100, 60+(($G735-$T735)*24/Config!$B$20)*40)
)),"")
</f>
        <v/>
      </c>
      <c r="Y735" s="40" t="str">
        <f>IF($J735="","",IFERROR(VLOOKUP($J735,Grinders!$A:$N,10,FALSE),""))</f>
        <v/>
      </c>
      <c r="Z735" s="40" t="str">
        <f>IF($J735="","",IFERROR(VLOOKUP($J735,Grinders!$A:$N,11,FALSE),""))</f>
        <v/>
      </c>
      <c r="AA735" s="40" t="str">
        <f>IF($J735="","",IFERROR(VLOOKUP($J735,Grinders!$A:$N,12,FALSE),""))</f>
        <v/>
      </c>
      <c r="AB735" s="40">
        <f>IFERROR(IF(OR($C735="",$J735=""),0,IF($D735&lt;&gt;"Open",0,IF(COUNTIFS(GrinderServices!$B:$B,$J735,GrinderServices!$C:$C,$E735,GrinderServices!$E:$E,"Y")=0,0,IF($U735&lt;Config!$B$16,0,IF(Config!$B$18=1,IF($N735&gt;=$M735,0,1),1))))),"")</f>
        <v>0</v>
      </c>
      <c r="AC735" s="40" t="str">
        <f>IFERROR(IF($AB735=0,"",((Config!$B$6*$V735 + Config!$B$7*$R735 + Config!$B$8*$W735 + Config!$B$9*$X735 + Config!$B$10*$Y735 + Config!$B$11*$Z735 - Config!$B$12*$AA735)/Config!$B$13)+$AH735+$AI735),"")</f>
        <v/>
      </c>
      <c r="AD735" s="40" t="str">
        <f t="shared" si="4"/>
        <v/>
      </c>
      <c r="AE735" s="40" t="str">
        <f>IFERROR(__xludf.DUMMYFUNCTION("IF($AC735="""","""",IF($AC735=IFERROR(MAX(FILTER($AC$6:$AC$1000,$C$6:$C$1000=$C735,$AB$6:$AB$1000=1)),),""WINNER"",""""))"),"")</f>
        <v/>
      </c>
      <c r="AF735" s="40" t="str">
        <f t="shared" si="5"/>
        <v/>
      </c>
      <c r="AG735" s="40" t="str">
        <f>IF($J735="","",COUNTIF(Assignments!$B:$B,$J735))</f>
        <v/>
      </c>
      <c r="AH735" s="40" t="str">
        <f>IF($J735="","",IF(AND($AG735=0,$N735&lt;$M735),Config!$B$43,0))</f>
        <v/>
      </c>
      <c r="AI735" s="40" t="str">
        <f>IF($J735="","",IF(AND($L735="Elite",$F735&gt;=Config!$B$41,$N735&lt;$M735),Config!$B$42,0))</f>
        <v/>
      </c>
      <c r="AJ735" s="22"/>
    </row>
    <row r="736" ht="15.75" customHeight="1">
      <c r="A736" s="40" t="str">
        <f t="shared" si="1"/>
        <v/>
      </c>
      <c r="B736" s="40" t="str">
        <f>IF(Bids!$A736="","",Bids!$A736)</f>
        <v/>
      </c>
      <c r="C736" s="40" t="str">
        <f>IF(Bids!$B736="","",Bids!$B736)</f>
        <v/>
      </c>
      <c r="D736" s="40" t="str">
        <f>IF($C736="","",IFERROR(VLOOKUP($C736,Orders!$A:$J,9,FALSE),""))</f>
        <v/>
      </c>
      <c r="E736" s="40" t="str">
        <f>IF($C736="","",IFERROR(VLOOKUP($C736,Orders!$A:$J,3,FALSE),""))</f>
        <v/>
      </c>
      <c r="F736" s="40" t="str">
        <f>IF($C736="","",IFERROR(VLOOKUP($C736,Orders!$A:$J,4,FALSE),""))</f>
        <v/>
      </c>
      <c r="G736" s="40" t="str">
        <f>IF($C736="","",IFERROR(VLOOKUP($C736,Orders!$A:$J,5,FALSE),""))</f>
        <v/>
      </c>
      <c r="H736" s="40" t="str">
        <f>IF($C736="","",IFERROR(VLOOKUP($C736,Orders!$A:$J,6,FALSE),""))</f>
        <v/>
      </c>
      <c r="I736" s="40" t="str">
        <f>IF($C736="","",IFERROR(VLOOKUP($C736,Orders!$A:$J,7,FALSE),""))</f>
        <v/>
      </c>
      <c r="J736" s="40" t="str">
        <f>IF(Bids!$C736="","",Bids!$C736)</f>
        <v/>
      </c>
      <c r="K736" s="40" t="str">
        <f>IF($J736="","",IFERROR(VLOOKUP($J736,Grinders!$A:$N,2,FALSE),""))</f>
        <v/>
      </c>
      <c r="L736" s="40" t="str">
        <f>IF($J736="","",IFERROR(VLOOKUP($J736,Grinders!$A:$N,3,FALSE),""))</f>
        <v/>
      </c>
      <c r="M736" s="40" t="str">
        <f>IF($J736="","",IFERROR(VLOOKUP($J736,Grinders!$A:$N,4,FALSE),""))</f>
        <v/>
      </c>
      <c r="N736" s="40" t="str">
        <f>IF($J736="","",IFERROR(VLOOKUP($J736,Grinders!$A:$N,5,FALSE),""))</f>
        <v/>
      </c>
      <c r="O736" s="40" t="str">
        <f t="shared" si="2"/>
        <v/>
      </c>
      <c r="P736" s="40" t="str">
        <f>IF($J736="","",IFERROR(VLOOKUP($J736,Grinders!$A:$N,6,FALSE),""))</f>
        <v/>
      </c>
      <c r="Q736" s="40" t="str">
        <f>IF($J736="","",IFERROR(VLOOKUP($J736,Grinders!$A:$N,8,FALSE),""))</f>
        <v/>
      </c>
      <c r="R736" s="40" t="str">
        <f>IFERROR(IF($J736="","",IF($L736="Elite",MAX(50,MIN(100,Config!$B$27*MAX(0,MIN(100,(1-IF($O736="",0,$O736))*100)) + Config!$B$28*MAX(0,MIN(100,(1-MIN(1,IF(Config!$B$30=0,1,$P736/Config!$B$30)))*100)) + Config!$B$29*MAX(0,MIN(100,MIN(1,IF($Q736="",0,$Q736)/Config!$B$23)*100)))),MIN(100,Config!$B$27*MAX(0,MIN(100,(1-IF($O736="",0,$O736))*100)) + Config!$B$28*MAX(0,MIN(100,(1-MIN(1,IF(Config!$B$30=0,1,$P736/Config!$B$30)))*100)) + Config!$B$29*MAX(0,MIN(100,MIN(1,IF($Q736="",0,$Q736)/Config!$B$23)*100))))),"")
</f>
        <v/>
      </c>
      <c r="S736" s="40" t="str">
        <f>IF(Bids!$D736="","",Bids!$D736)</f>
        <v/>
      </c>
      <c r="T736" s="40" t="str">
        <f>IF(Bids!$F736="","",Bids!$F736)</f>
        <v/>
      </c>
      <c r="U736" s="40" t="str">
        <f t="shared" si="3"/>
        <v/>
      </c>
      <c r="V736" s="40" t="str">
        <f>IF($U736="","",IF(Config!$B$17=Config!$B$16,IF($U736&gt;=Config!$B$17,100,0),MAX(0,MIN(100,($U736-Config!$B$16)/(Config!$B$17-Config!$B$16)*100))))</f>
        <v/>
      </c>
      <c r="W736" s="40">
        <f>IF($L736="Elite",Config!$B$21,0)</f>
        <v>0</v>
      </c>
      <c r="X736" s="40" t="str">
        <f>IFERROR(IF(OR($T736="",$G736=""),"",IF($T736&gt;$G736,
  MAX(0, 60-(($T736-$G736)*24/Config!$B$19)*60),
  MEDIAN(60, 100, 60+(($G736-$T736)*24/Config!$B$20)*40)
)),"")
</f>
        <v/>
      </c>
      <c r="Y736" s="40" t="str">
        <f>IF($J736="","",IFERROR(VLOOKUP($J736,Grinders!$A:$N,10,FALSE),""))</f>
        <v/>
      </c>
      <c r="Z736" s="40" t="str">
        <f>IF($J736="","",IFERROR(VLOOKUP($J736,Grinders!$A:$N,11,FALSE),""))</f>
        <v/>
      </c>
      <c r="AA736" s="40" t="str">
        <f>IF($J736="","",IFERROR(VLOOKUP($J736,Grinders!$A:$N,12,FALSE),""))</f>
        <v/>
      </c>
      <c r="AB736" s="40">
        <f>IFERROR(IF(OR($C736="",$J736=""),0,IF($D736&lt;&gt;"Open",0,IF(COUNTIFS(GrinderServices!$B:$B,$J736,GrinderServices!$C:$C,$E736,GrinderServices!$E:$E,"Y")=0,0,IF($U736&lt;Config!$B$16,0,IF(Config!$B$18=1,IF($N736&gt;=$M736,0,1),1))))),"")</f>
        <v>0</v>
      </c>
      <c r="AC736" s="40" t="str">
        <f>IFERROR(IF($AB736=0,"",((Config!$B$6*$V736 + Config!$B$7*$R736 + Config!$B$8*$W736 + Config!$B$9*$X736 + Config!$B$10*$Y736 + Config!$B$11*$Z736 - Config!$B$12*$AA736)/Config!$B$13)+$AH736+$AI736),"")</f>
        <v/>
      </c>
      <c r="AD736" s="40" t="str">
        <f t="shared" si="4"/>
        <v/>
      </c>
      <c r="AE736" s="40" t="str">
        <f>IFERROR(__xludf.DUMMYFUNCTION("IF($AC736="""","""",IF($AC736=IFERROR(MAX(FILTER($AC$6:$AC$1000,$C$6:$C$1000=$C736,$AB$6:$AB$1000=1)),),""WINNER"",""""))"),"")</f>
        <v/>
      </c>
      <c r="AF736" s="40" t="str">
        <f t="shared" si="5"/>
        <v/>
      </c>
      <c r="AG736" s="40" t="str">
        <f>IF($J736="","",COUNTIF(Assignments!$B:$B,$J736))</f>
        <v/>
      </c>
      <c r="AH736" s="40" t="str">
        <f>IF($J736="","",IF(AND($AG736=0,$N736&lt;$M736),Config!$B$43,0))</f>
        <v/>
      </c>
      <c r="AI736" s="40" t="str">
        <f>IF($J736="","",IF(AND($L736="Elite",$F736&gt;=Config!$B$41,$N736&lt;$M736),Config!$B$42,0))</f>
        <v/>
      </c>
      <c r="AJ736" s="22"/>
    </row>
    <row r="737" ht="15.75" customHeight="1">
      <c r="A737" s="40" t="str">
        <f t="shared" si="1"/>
        <v/>
      </c>
      <c r="B737" s="40" t="str">
        <f>IF(Bids!$A737="","",Bids!$A737)</f>
        <v/>
      </c>
      <c r="C737" s="40" t="str">
        <f>IF(Bids!$B737="","",Bids!$B737)</f>
        <v/>
      </c>
      <c r="D737" s="40" t="str">
        <f>IF($C737="","",IFERROR(VLOOKUP($C737,Orders!$A:$J,9,FALSE),""))</f>
        <v/>
      </c>
      <c r="E737" s="40" t="str">
        <f>IF($C737="","",IFERROR(VLOOKUP($C737,Orders!$A:$J,3,FALSE),""))</f>
        <v/>
      </c>
      <c r="F737" s="40" t="str">
        <f>IF($C737="","",IFERROR(VLOOKUP($C737,Orders!$A:$J,4,FALSE),""))</f>
        <v/>
      </c>
      <c r="G737" s="40" t="str">
        <f>IF($C737="","",IFERROR(VLOOKUP($C737,Orders!$A:$J,5,FALSE),""))</f>
        <v/>
      </c>
      <c r="H737" s="40" t="str">
        <f>IF($C737="","",IFERROR(VLOOKUP($C737,Orders!$A:$J,6,FALSE),""))</f>
        <v/>
      </c>
      <c r="I737" s="40" t="str">
        <f>IF($C737="","",IFERROR(VLOOKUP($C737,Orders!$A:$J,7,FALSE),""))</f>
        <v/>
      </c>
      <c r="J737" s="40" t="str">
        <f>IF(Bids!$C737="","",Bids!$C737)</f>
        <v/>
      </c>
      <c r="K737" s="40" t="str">
        <f>IF($J737="","",IFERROR(VLOOKUP($J737,Grinders!$A:$N,2,FALSE),""))</f>
        <v/>
      </c>
      <c r="L737" s="40" t="str">
        <f>IF($J737="","",IFERROR(VLOOKUP($J737,Grinders!$A:$N,3,FALSE),""))</f>
        <v/>
      </c>
      <c r="M737" s="40" t="str">
        <f>IF($J737="","",IFERROR(VLOOKUP($J737,Grinders!$A:$N,4,FALSE),""))</f>
        <v/>
      </c>
      <c r="N737" s="40" t="str">
        <f>IF($J737="","",IFERROR(VLOOKUP($J737,Grinders!$A:$N,5,FALSE),""))</f>
        <v/>
      </c>
      <c r="O737" s="40" t="str">
        <f t="shared" si="2"/>
        <v/>
      </c>
      <c r="P737" s="40" t="str">
        <f>IF($J737="","",IFERROR(VLOOKUP($J737,Grinders!$A:$N,6,FALSE),""))</f>
        <v/>
      </c>
      <c r="Q737" s="40" t="str">
        <f>IF($J737="","",IFERROR(VLOOKUP($J737,Grinders!$A:$N,8,FALSE),""))</f>
        <v/>
      </c>
      <c r="R737" s="40" t="str">
        <f>IFERROR(IF($J737="","",IF($L737="Elite",MAX(50,MIN(100,Config!$B$27*MAX(0,MIN(100,(1-IF($O737="",0,$O737))*100)) + Config!$B$28*MAX(0,MIN(100,(1-MIN(1,IF(Config!$B$30=0,1,$P737/Config!$B$30)))*100)) + Config!$B$29*MAX(0,MIN(100,MIN(1,IF($Q737="",0,$Q737)/Config!$B$23)*100)))),MIN(100,Config!$B$27*MAX(0,MIN(100,(1-IF($O737="",0,$O737))*100)) + Config!$B$28*MAX(0,MIN(100,(1-MIN(1,IF(Config!$B$30=0,1,$P737/Config!$B$30)))*100)) + Config!$B$29*MAX(0,MIN(100,MIN(1,IF($Q737="",0,$Q737)/Config!$B$23)*100))))),"")
</f>
        <v/>
      </c>
      <c r="S737" s="40" t="str">
        <f>IF(Bids!$D737="","",Bids!$D737)</f>
        <v/>
      </c>
      <c r="T737" s="40" t="str">
        <f>IF(Bids!$F737="","",Bids!$F737)</f>
        <v/>
      </c>
      <c r="U737" s="40" t="str">
        <f t="shared" si="3"/>
        <v/>
      </c>
      <c r="V737" s="40" t="str">
        <f>IF($U737="","",IF(Config!$B$17=Config!$B$16,IF($U737&gt;=Config!$B$17,100,0),MAX(0,MIN(100,($U737-Config!$B$16)/(Config!$B$17-Config!$B$16)*100))))</f>
        <v/>
      </c>
      <c r="W737" s="40">
        <f>IF($L737="Elite",Config!$B$21,0)</f>
        <v>0</v>
      </c>
      <c r="X737" s="40" t="str">
        <f>IFERROR(IF(OR($T737="",$G737=""),"",IF($T737&gt;$G737,
  MAX(0, 60-(($T737-$G737)*24/Config!$B$19)*60),
  MEDIAN(60, 100, 60+(($G737-$T737)*24/Config!$B$20)*40)
)),"")
</f>
        <v/>
      </c>
      <c r="Y737" s="40" t="str">
        <f>IF($J737="","",IFERROR(VLOOKUP($J737,Grinders!$A:$N,10,FALSE),""))</f>
        <v/>
      </c>
      <c r="Z737" s="40" t="str">
        <f>IF($J737="","",IFERROR(VLOOKUP($J737,Grinders!$A:$N,11,FALSE),""))</f>
        <v/>
      </c>
      <c r="AA737" s="40" t="str">
        <f>IF($J737="","",IFERROR(VLOOKUP($J737,Grinders!$A:$N,12,FALSE),""))</f>
        <v/>
      </c>
      <c r="AB737" s="40">
        <f>IFERROR(IF(OR($C737="",$J737=""),0,IF($D737&lt;&gt;"Open",0,IF(COUNTIFS(GrinderServices!$B:$B,$J737,GrinderServices!$C:$C,$E737,GrinderServices!$E:$E,"Y")=0,0,IF($U737&lt;Config!$B$16,0,IF(Config!$B$18=1,IF($N737&gt;=$M737,0,1),1))))),"")</f>
        <v>0</v>
      </c>
      <c r="AC737" s="40" t="str">
        <f>IFERROR(IF($AB737=0,"",((Config!$B$6*$V737 + Config!$B$7*$R737 + Config!$B$8*$W737 + Config!$B$9*$X737 + Config!$B$10*$Y737 + Config!$B$11*$Z737 - Config!$B$12*$AA737)/Config!$B$13)+$AH737+$AI737),"")</f>
        <v/>
      </c>
      <c r="AD737" s="40" t="str">
        <f t="shared" si="4"/>
        <v/>
      </c>
      <c r="AE737" s="40" t="str">
        <f>IFERROR(__xludf.DUMMYFUNCTION("IF($AC737="""","""",IF($AC737=IFERROR(MAX(FILTER($AC$6:$AC$1000,$C$6:$C$1000=$C737,$AB$6:$AB$1000=1)),),""WINNER"",""""))"),"")</f>
        <v/>
      </c>
      <c r="AF737" s="40" t="str">
        <f t="shared" si="5"/>
        <v/>
      </c>
      <c r="AG737" s="40" t="str">
        <f>IF($J737="","",COUNTIF(Assignments!$B:$B,$J737))</f>
        <v/>
      </c>
      <c r="AH737" s="40" t="str">
        <f>IF($J737="","",IF(AND($AG737=0,$N737&lt;$M737),Config!$B$43,0))</f>
        <v/>
      </c>
      <c r="AI737" s="40" t="str">
        <f>IF($J737="","",IF(AND($L737="Elite",$F737&gt;=Config!$B$41,$N737&lt;$M737),Config!$B$42,0))</f>
        <v/>
      </c>
      <c r="AJ737" s="22"/>
    </row>
    <row r="738" ht="15.75" customHeight="1">
      <c r="A738" s="40" t="str">
        <f t="shared" si="1"/>
        <v/>
      </c>
      <c r="B738" s="40" t="str">
        <f>IF(Bids!$A738="","",Bids!$A738)</f>
        <v/>
      </c>
      <c r="C738" s="40" t="str">
        <f>IF(Bids!$B738="","",Bids!$B738)</f>
        <v/>
      </c>
      <c r="D738" s="40" t="str">
        <f>IF($C738="","",IFERROR(VLOOKUP($C738,Orders!$A:$J,9,FALSE),""))</f>
        <v/>
      </c>
      <c r="E738" s="40" t="str">
        <f>IF($C738="","",IFERROR(VLOOKUP($C738,Orders!$A:$J,3,FALSE),""))</f>
        <v/>
      </c>
      <c r="F738" s="40" t="str">
        <f>IF($C738="","",IFERROR(VLOOKUP($C738,Orders!$A:$J,4,FALSE),""))</f>
        <v/>
      </c>
      <c r="G738" s="40" t="str">
        <f>IF($C738="","",IFERROR(VLOOKUP($C738,Orders!$A:$J,5,FALSE),""))</f>
        <v/>
      </c>
      <c r="H738" s="40" t="str">
        <f>IF($C738="","",IFERROR(VLOOKUP($C738,Orders!$A:$J,6,FALSE),""))</f>
        <v/>
      </c>
      <c r="I738" s="40" t="str">
        <f>IF($C738="","",IFERROR(VLOOKUP($C738,Orders!$A:$J,7,FALSE),""))</f>
        <v/>
      </c>
      <c r="J738" s="40" t="str">
        <f>IF(Bids!$C738="","",Bids!$C738)</f>
        <v/>
      </c>
      <c r="K738" s="40" t="str">
        <f>IF($J738="","",IFERROR(VLOOKUP($J738,Grinders!$A:$N,2,FALSE),""))</f>
        <v/>
      </c>
      <c r="L738" s="40" t="str">
        <f>IF($J738="","",IFERROR(VLOOKUP($J738,Grinders!$A:$N,3,FALSE),""))</f>
        <v/>
      </c>
      <c r="M738" s="40" t="str">
        <f>IF($J738="","",IFERROR(VLOOKUP($J738,Grinders!$A:$N,4,FALSE),""))</f>
        <v/>
      </c>
      <c r="N738" s="40" t="str">
        <f>IF($J738="","",IFERROR(VLOOKUP($J738,Grinders!$A:$N,5,FALSE),""))</f>
        <v/>
      </c>
      <c r="O738" s="40" t="str">
        <f t="shared" si="2"/>
        <v/>
      </c>
      <c r="P738" s="40" t="str">
        <f>IF($J738="","",IFERROR(VLOOKUP($J738,Grinders!$A:$N,6,FALSE),""))</f>
        <v/>
      </c>
      <c r="Q738" s="40" t="str">
        <f>IF($J738="","",IFERROR(VLOOKUP($J738,Grinders!$A:$N,8,FALSE),""))</f>
        <v/>
      </c>
      <c r="R738" s="40" t="str">
        <f>IFERROR(IF($J738="","",IF($L738="Elite",MAX(50,MIN(100,Config!$B$27*MAX(0,MIN(100,(1-IF($O738="",0,$O738))*100)) + Config!$B$28*MAX(0,MIN(100,(1-MIN(1,IF(Config!$B$30=0,1,$P738/Config!$B$30)))*100)) + Config!$B$29*MAX(0,MIN(100,MIN(1,IF($Q738="",0,$Q738)/Config!$B$23)*100)))),MIN(100,Config!$B$27*MAX(0,MIN(100,(1-IF($O738="",0,$O738))*100)) + Config!$B$28*MAX(0,MIN(100,(1-MIN(1,IF(Config!$B$30=0,1,$P738/Config!$B$30)))*100)) + Config!$B$29*MAX(0,MIN(100,MIN(1,IF($Q738="",0,$Q738)/Config!$B$23)*100))))),"")
</f>
        <v/>
      </c>
      <c r="S738" s="40" t="str">
        <f>IF(Bids!$D738="","",Bids!$D738)</f>
        <v/>
      </c>
      <c r="T738" s="40" t="str">
        <f>IF(Bids!$F738="","",Bids!$F738)</f>
        <v/>
      </c>
      <c r="U738" s="40" t="str">
        <f t="shared" si="3"/>
        <v/>
      </c>
      <c r="V738" s="40" t="str">
        <f>IF($U738="","",IF(Config!$B$17=Config!$B$16,IF($U738&gt;=Config!$B$17,100,0),MAX(0,MIN(100,($U738-Config!$B$16)/(Config!$B$17-Config!$B$16)*100))))</f>
        <v/>
      </c>
      <c r="W738" s="40">
        <f>IF($L738="Elite",Config!$B$21,0)</f>
        <v>0</v>
      </c>
      <c r="X738" s="40" t="str">
        <f>IFERROR(IF(OR($T738="",$G738=""),"",IF($T738&gt;$G738,
  MAX(0, 60-(($T738-$G738)*24/Config!$B$19)*60),
  MEDIAN(60, 100, 60+(($G738-$T738)*24/Config!$B$20)*40)
)),"")
</f>
        <v/>
      </c>
      <c r="Y738" s="40" t="str">
        <f>IF($J738="","",IFERROR(VLOOKUP($J738,Grinders!$A:$N,10,FALSE),""))</f>
        <v/>
      </c>
      <c r="Z738" s="40" t="str">
        <f>IF($J738="","",IFERROR(VLOOKUP($J738,Grinders!$A:$N,11,FALSE),""))</f>
        <v/>
      </c>
      <c r="AA738" s="40" t="str">
        <f>IF($J738="","",IFERROR(VLOOKUP($J738,Grinders!$A:$N,12,FALSE),""))</f>
        <v/>
      </c>
      <c r="AB738" s="40">
        <f>IFERROR(IF(OR($C738="",$J738=""),0,IF($D738&lt;&gt;"Open",0,IF(COUNTIFS(GrinderServices!$B:$B,$J738,GrinderServices!$C:$C,$E738,GrinderServices!$E:$E,"Y")=0,0,IF($U738&lt;Config!$B$16,0,IF(Config!$B$18=1,IF($N738&gt;=$M738,0,1),1))))),"")</f>
        <v>0</v>
      </c>
      <c r="AC738" s="40" t="str">
        <f>IFERROR(IF($AB738=0,"",((Config!$B$6*$V738 + Config!$B$7*$R738 + Config!$B$8*$W738 + Config!$B$9*$X738 + Config!$B$10*$Y738 + Config!$B$11*$Z738 - Config!$B$12*$AA738)/Config!$B$13)+$AH738+$AI738),"")</f>
        <v/>
      </c>
      <c r="AD738" s="40" t="str">
        <f t="shared" si="4"/>
        <v/>
      </c>
      <c r="AE738" s="40" t="str">
        <f>IFERROR(__xludf.DUMMYFUNCTION("IF($AC738="""","""",IF($AC738=IFERROR(MAX(FILTER($AC$6:$AC$1000,$C$6:$C$1000=$C738,$AB$6:$AB$1000=1)),),""WINNER"",""""))"),"")</f>
        <v/>
      </c>
      <c r="AF738" s="40" t="str">
        <f t="shared" si="5"/>
        <v/>
      </c>
      <c r="AG738" s="40" t="str">
        <f>IF($J738="","",COUNTIF(Assignments!$B:$B,$J738))</f>
        <v/>
      </c>
      <c r="AH738" s="40" t="str">
        <f>IF($J738="","",IF(AND($AG738=0,$N738&lt;$M738),Config!$B$43,0))</f>
        <v/>
      </c>
      <c r="AI738" s="40" t="str">
        <f>IF($J738="","",IF(AND($L738="Elite",$F738&gt;=Config!$B$41,$N738&lt;$M738),Config!$B$42,0))</f>
        <v/>
      </c>
      <c r="AJ738" s="22"/>
    </row>
    <row r="739" ht="15.75" customHeight="1">
      <c r="A739" s="40" t="str">
        <f t="shared" si="1"/>
        <v/>
      </c>
      <c r="B739" s="40" t="str">
        <f>IF(Bids!$A739="","",Bids!$A739)</f>
        <v/>
      </c>
      <c r="C739" s="40" t="str">
        <f>IF(Bids!$B739="","",Bids!$B739)</f>
        <v/>
      </c>
      <c r="D739" s="40" t="str">
        <f>IF($C739="","",IFERROR(VLOOKUP($C739,Orders!$A:$J,9,FALSE),""))</f>
        <v/>
      </c>
      <c r="E739" s="40" t="str">
        <f>IF($C739="","",IFERROR(VLOOKUP($C739,Orders!$A:$J,3,FALSE),""))</f>
        <v/>
      </c>
      <c r="F739" s="40" t="str">
        <f>IF($C739="","",IFERROR(VLOOKUP($C739,Orders!$A:$J,4,FALSE),""))</f>
        <v/>
      </c>
      <c r="G739" s="40" t="str">
        <f>IF($C739="","",IFERROR(VLOOKUP($C739,Orders!$A:$J,5,FALSE),""))</f>
        <v/>
      </c>
      <c r="H739" s="40" t="str">
        <f>IF($C739="","",IFERROR(VLOOKUP($C739,Orders!$A:$J,6,FALSE),""))</f>
        <v/>
      </c>
      <c r="I739" s="40" t="str">
        <f>IF($C739="","",IFERROR(VLOOKUP($C739,Orders!$A:$J,7,FALSE),""))</f>
        <v/>
      </c>
      <c r="J739" s="40" t="str">
        <f>IF(Bids!$C739="","",Bids!$C739)</f>
        <v/>
      </c>
      <c r="K739" s="40" t="str">
        <f>IF($J739="","",IFERROR(VLOOKUP($J739,Grinders!$A:$N,2,FALSE),""))</f>
        <v/>
      </c>
      <c r="L739" s="40" t="str">
        <f>IF($J739="","",IFERROR(VLOOKUP($J739,Grinders!$A:$N,3,FALSE),""))</f>
        <v/>
      </c>
      <c r="M739" s="40" t="str">
        <f>IF($J739="","",IFERROR(VLOOKUP($J739,Grinders!$A:$N,4,FALSE),""))</f>
        <v/>
      </c>
      <c r="N739" s="40" t="str">
        <f>IF($J739="","",IFERROR(VLOOKUP($J739,Grinders!$A:$N,5,FALSE),""))</f>
        <v/>
      </c>
      <c r="O739" s="40" t="str">
        <f t="shared" si="2"/>
        <v/>
      </c>
      <c r="P739" s="40" t="str">
        <f>IF($J739="","",IFERROR(VLOOKUP($J739,Grinders!$A:$N,6,FALSE),""))</f>
        <v/>
      </c>
      <c r="Q739" s="40" t="str">
        <f>IF($J739="","",IFERROR(VLOOKUP($J739,Grinders!$A:$N,8,FALSE),""))</f>
        <v/>
      </c>
      <c r="R739" s="40" t="str">
        <f>IFERROR(IF($J739="","",IF($L739="Elite",MAX(50,MIN(100,Config!$B$27*MAX(0,MIN(100,(1-IF($O739="",0,$O739))*100)) + Config!$B$28*MAX(0,MIN(100,(1-MIN(1,IF(Config!$B$30=0,1,$P739/Config!$B$30)))*100)) + Config!$B$29*MAX(0,MIN(100,MIN(1,IF($Q739="",0,$Q739)/Config!$B$23)*100)))),MIN(100,Config!$B$27*MAX(0,MIN(100,(1-IF($O739="",0,$O739))*100)) + Config!$B$28*MAX(0,MIN(100,(1-MIN(1,IF(Config!$B$30=0,1,$P739/Config!$B$30)))*100)) + Config!$B$29*MAX(0,MIN(100,MIN(1,IF($Q739="",0,$Q739)/Config!$B$23)*100))))),"")
</f>
        <v/>
      </c>
      <c r="S739" s="40" t="str">
        <f>IF(Bids!$D739="","",Bids!$D739)</f>
        <v/>
      </c>
      <c r="T739" s="40" t="str">
        <f>IF(Bids!$F739="","",Bids!$F739)</f>
        <v/>
      </c>
      <c r="U739" s="40" t="str">
        <f t="shared" si="3"/>
        <v/>
      </c>
      <c r="V739" s="40" t="str">
        <f>IF($U739="","",IF(Config!$B$17=Config!$B$16,IF($U739&gt;=Config!$B$17,100,0),MAX(0,MIN(100,($U739-Config!$B$16)/(Config!$B$17-Config!$B$16)*100))))</f>
        <v/>
      </c>
      <c r="W739" s="40">
        <f>IF($L739="Elite",Config!$B$21,0)</f>
        <v>0</v>
      </c>
      <c r="X739" s="40" t="str">
        <f>IFERROR(IF(OR($T739="",$G739=""),"",IF($T739&gt;$G739,
  MAX(0, 60-(($T739-$G739)*24/Config!$B$19)*60),
  MEDIAN(60, 100, 60+(($G739-$T739)*24/Config!$B$20)*40)
)),"")
</f>
        <v/>
      </c>
      <c r="Y739" s="40" t="str">
        <f>IF($J739="","",IFERROR(VLOOKUP($J739,Grinders!$A:$N,10,FALSE),""))</f>
        <v/>
      </c>
      <c r="Z739" s="40" t="str">
        <f>IF($J739="","",IFERROR(VLOOKUP($J739,Grinders!$A:$N,11,FALSE),""))</f>
        <v/>
      </c>
      <c r="AA739" s="40" t="str">
        <f>IF($J739="","",IFERROR(VLOOKUP($J739,Grinders!$A:$N,12,FALSE),""))</f>
        <v/>
      </c>
      <c r="AB739" s="40">
        <f>IFERROR(IF(OR($C739="",$J739=""),0,IF($D739&lt;&gt;"Open",0,IF(COUNTIFS(GrinderServices!$B:$B,$J739,GrinderServices!$C:$C,$E739,GrinderServices!$E:$E,"Y")=0,0,IF($U739&lt;Config!$B$16,0,IF(Config!$B$18=1,IF($N739&gt;=$M739,0,1),1))))),"")</f>
        <v>0</v>
      </c>
      <c r="AC739" s="40" t="str">
        <f>IFERROR(IF($AB739=0,"",((Config!$B$6*$V739 + Config!$B$7*$R739 + Config!$B$8*$W739 + Config!$B$9*$X739 + Config!$B$10*$Y739 + Config!$B$11*$Z739 - Config!$B$12*$AA739)/Config!$B$13)+$AH739+$AI739),"")</f>
        <v/>
      </c>
      <c r="AD739" s="40" t="str">
        <f t="shared" si="4"/>
        <v/>
      </c>
      <c r="AE739" s="40" t="str">
        <f>IFERROR(__xludf.DUMMYFUNCTION("IF($AC739="""","""",IF($AC739=IFERROR(MAX(FILTER($AC$6:$AC$1000,$C$6:$C$1000=$C739,$AB$6:$AB$1000=1)),),""WINNER"",""""))"),"")</f>
        <v/>
      </c>
      <c r="AF739" s="40" t="str">
        <f t="shared" si="5"/>
        <v/>
      </c>
      <c r="AG739" s="40" t="str">
        <f>IF($J739="","",COUNTIF(Assignments!$B:$B,$J739))</f>
        <v/>
      </c>
      <c r="AH739" s="40" t="str">
        <f>IF($J739="","",IF(AND($AG739=0,$N739&lt;$M739),Config!$B$43,0))</f>
        <v/>
      </c>
      <c r="AI739" s="40" t="str">
        <f>IF($J739="","",IF(AND($L739="Elite",$F739&gt;=Config!$B$41,$N739&lt;$M739),Config!$B$42,0))</f>
        <v/>
      </c>
      <c r="AJ739" s="22"/>
    </row>
    <row r="740" ht="15.75" customHeight="1">
      <c r="A740" s="40" t="str">
        <f t="shared" si="1"/>
        <v/>
      </c>
      <c r="B740" s="40" t="str">
        <f>IF(Bids!$A740="","",Bids!$A740)</f>
        <v/>
      </c>
      <c r="C740" s="40" t="str">
        <f>IF(Bids!$B740="","",Bids!$B740)</f>
        <v/>
      </c>
      <c r="D740" s="40" t="str">
        <f>IF($C740="","",IFERROR(VLOOKUP($C740,Orders!$A:$J,9,FALSE),""))</f>
        <v/>
      </c>
      <c r="E740" s="40" t="str">
        <f>IF($C740="","",IFERROR(VLOOKUP($C740,Orders!$A:$J,3,FALSE),""))</f>
        <v/>
      </c>
      <c r="F740" s="40" t="str">
        <f>IF($C740="","",IFERROR(VLOOKUP($C740,Orders!$A:$J,4,FALSE),""))</f>
        <v/>
      </c>
      <c r="G740" s="40" t="str">
        <f>IF($C740="","",IFERROR(VLOOKUP($C740,Orders!$A:$J,5,FALSE),""))</f>
        <v/>
      </c>
      <c r="H740" s="40" t="str">
        <f>IF($C740="","",IFERROR(VLOOKUP($C740,Orders!$A:$J,6,FALSE),""))</f>
        <v/>
      </c>
      <c r="I740" s="40" t="str">
        <f>IF($C740="","",IFERROR(VLOOKUP($C740,Orders!$A:$J,7,FALSE),""))</f>
        <v/>
      </c>
      <c r="J740" s="40" t="str">
        <f>IF(Bids!$C740="","",Bids!$C740)</f>
        <v/>
      </c>
      <c r="K740" s="40" t="str">
        <f>IF($J740="","",IFERROR(VLOOKUP($J740,Grinders!$A:$N,2,FALSE),""))</f>
        <v/>
      </c>
      <c r="L740" s="40" t="str">
        <f>IF($J740="","",IFERROR(VLOOKUP($J740,Grinders!$A:$N,3,FALSE),""))</f>
        <v/>
      </c>
      <c r="M740" s="40" t="str">
        <f>IF($J740="","",IFERROR(VLOOKUP($J740,Grinders!$A:$N,4,FALSE),""))</f>
        <v/>
      </c>
      <c r="N740" s="40" t="str">
        <f>IF($J740="","",IFERROR(VLOOKUP($J740,Grinders!$A:$N,5,FALSE),""))</f>
        <v/>
      </c>
      <c r="O740" s="40" t="str">
        <f t="shared" si="2"/>
        <v/>
      </c>
      <c r="P740" s="40" t="str">
        <f>IF($J740="","",IFERROR(VLOOKUP($J740,Grinders!$A:$N,6,FALSE),""))</f>
        <v/>
      </c>
      <c r="Q740" s="40" t="str">
        <f>IF($J740="","",IFERROR(VLOOKUP($J740,Grinders!$A:$N,8,FALSE),""))</f>
        <v/>
      </c>
      <c r="R740" s="40" t="str">
        <f>IFERROR(IF($J740="","",IF($L740="Elite",MAX(50,MIN(100,Config!$B$27*MAX(0,MIN(100,(1-IF($O740="",0,$O740))*100)) + Config!$B$28*MAX(0,MIN(100,(1-MIN(1,IF(Config!$B$30=0,1,$P740/Config!$B$30)))*100)) + Config!$B$29*MAX(0,MIN(100,MIN(1,IF($Q740="",0,$Q740)/Config!$B$23)*100)))),MIN(100,Config!$B$27*MAX(0,MIN(100,(1-IF($O740="",0,$O740))*100)) + Config!$B$28*MAX(0,MIN(100,(1-MIN(1,IF(Config!$B$30=0,1,$P740/Config!$B$30)))*100)) + Config!$B$29*MAX(0,MIN(100,MIN(1,IF($Q740="",0,$Q740)/Config!$B$23)*100))))),"")
</f>
        <v/>
      </c>
      <c r="S740" s="40" t="str">
        <f>IF(Bids!$D740="","",Bids!$D740)</f>
        <v/>
      </c>
      <c r="T740" s="40" t="str">
        <f>IF(Bids!$F740="","",Bids!$F740)</f>
        <v/>
      </c>
      <c r="U740" s="40" t="str">
        <f t="shared" si="3"/>
        <v/>
      </c>
      <c r="V740" s="40" t="str">
        <f>IF($U740="","",IF(Config!$B$17=Config!$B$16,IF($U740&gt;=Config!$B$17,100,0),MAX(0,MIN(100,($U740-Config!$B$16)/(Config!$B$17-Config!$B$16)*100))))</f>
        <v/>
      </c>
      <c r="W740" s="40">
        <f>IF($L740="Elite",Config!$B$21,0)</f>
        <v>0</v>
      </c>
      <c r="X740" s="40" t="str">
        <f>IFERROR(IF(OR($T740="",$G740=""),"",IF($T740&gt;$G740,
  MAX(0, 60-(($T740-$G740)*24/Config!$B$19)*60),
  MEDIAN(60, 100, 60+(($G740-$T740)*24/Config!$B$20)*40)
)),"")
</f>
        <v/>
      </c>
      <c r="Y740" s="40" t="str">
        <f>IF($J740="","",IFERROR(VLOOKUP($J740,Grinders!$A:$N,10,FALSE),""))</f>
        <v/>
      </c>
      <c r="Z740" s="40" t="str">
        <f>IF($J740="","",IFERROR(VLOOKUP($J740,Grinders!$A:$N,11,FALSE),""))</f>
        <v/>
      </c>
      <c r="AA740" s="40" t="str">
        <f>IF($J740="","",IFERROR(VLOOKUP($J740,Grinders!$A:$N,12,FALSE),""))</f>
        <v/>
      </c>
      <c r="AB740" s="40">
        <f>IFERROR(IF(OR($C740="",$J740=""),0,IF($D740&lt;&gt;"Open",0,IF(COUNTIFS(GrinderServices!$B:$B,$J740,GrinderServices!$C:$C,$E740,GrinderServices!$E:$E,"Y")=0,0,IF($U740&lt;Config!$B$16,0,IF(Config!$B$18=1,IF($N740&gt;=$M740,0,1),1))))),"")</f>
        <v>0</v>
      </c>
      <c r="AC740" s="40" t="str">
        <f>IFERROR(IF($AB740=0,"",((Config!$B$6*$V740 + Config!$B$7*$R740 + Config!$B$8*$W740 + Config!$B$9*$X740 + Config!$B$10*$Y740 + Config!$B$11*$Z740 - Config!$B$12*$AA740)/Config!$B$13)+$AH740+$AI740),"")</f>
        <v/>
      </c>
      <c r="AD740" s="40" t="str">
        <f t="shared" si="4"/>
        <v/>
      </c>
      <c r="AE740" s="40" t="str">
        <f>IFERROR(__xludf.DUMMYFUNCTION("IF($AC740="""","""",IF($AC740=IFERROR(MAX(FILTER($AC$6:$AC$1000,$C$6:$C$1000=$C740,$AB$6:$AB$1000=1)),),""WINNER"",""""))"),"")</f>
        <v/>
      </c>
      <c r="AF740" s="40" t="str">
        <f t="shared" si="5"/>
        <v/>
      </c>
      <c r="AG740" s="40" t="str">
        <f>IF($J740="","",COUNTIF(Assignments!$B:$B,$J740))</f>
        <v/>
      </c>
      <c r="AH740" s="40" t="str">
        <f>IF($J740="","",IF(AND($AG740=0,$N740&lt;$M740),Config!$B$43,0))</f>
        <v/>
      </c>
      <c r="AI740" s="40" t="str">
        <f>IF($J740="","",IF(AND($L740="Elite",$F740&gt;=Config!$B$41,$N740&lt;$M740),Config!$B$42,0))</f>
        <v/>
      </c>
      <c r="AJ740" s="22"/>
    </row>
    <row r="741" ht="15.75" customHeight="1">
      <c r="A741" s="40" t="str">
        <f t="shared" si="1"/>
        <v/>
      </c>
      <c r="B741" s="40" t="str">
        <f>IF(Bids!$A741="","",Bids!$A741)</f>
        <v/>
      </c>
      <c r="C741" s="40" t="str">
        <f>IF(Bids!$B741="","",Bids!$B741)</f>
        <v/>
      </c>
      <c r="D741" s="40" t="str">
        <f>IF($C741="","",IFERROR(VLOOKUP($C741,Orders!$A:$J,9,FALSE),""))</f>
        <v/>
      </c>
      <c r="E741" s="40" t="str">
        <f>IF($C741="","",IFERROR(VLOOKUP($C741,Orders!$A:$J,3,FALSE),""))</f>
        <v/>
      </c>
      <c r="F741" s="40" t="str">
        <f>IF($C741="","",IFERROR(VLOOKUP($C741,Orders!$A:$J,4,FALSE),""))</f>
        <v/>
      </c>
      <c r="G741" s="40" t="str">
        <f>IF($C741="","",IFERROR(VLOOKUP($C741,Orders!$A:$J,5,FALSE),""))</f>
        <v/>
      </c>
      <c r="H741" s="40" t="str">
        <f>IF($C741="","",IFERROR(VLOOKUP($C741,Orders!$A:$J,6,FALSE),""))</f>
        <v/>
      </c>
      <c r="I741" s="40" t="str">
        <f>IF($C741="","",IFERROR(VLOOKUP($C741,Orders!$A:$J,7,FALSE),""))</f>
        <v/>
      </c>
      <c r="J741" s="40" t="str">
        <f>IF(Bids!$C741="","",Bids!$C741)</f>
        <v/>
      </c>
      <c r="K741" s="40" t="str">
        <f>IF($J741="","",IFERROR(VLOOKUP($J741,Grinders!$A:$N,2,FALSE),""))</f>
        <v/>
      </c>
      <c r="L741" s="40" t="str">
        <f>IF($J741="","",IFERROR(VLOOKUP($J741,Grinders!$A:$N,3,FALSE),""))</f>
        <v/>
      </c>
      <c r="M741" s="40" t="str">
        <f>IF($J741="","",IFERROR(VLOOKUP($J741,Grinders!$A:$N,4,FALSE),""))</f>
        <v/>
      </c>
      <c r="N741" s="40" t="str">
        <f>IF($J741="","",IFERROR(VLOOKUP($J741,Grinders!$A:$N,5,FALSE),""))</f>
        <v/>
      </c>
      <c r="O741" s="40" t="str">
        <f t="shared" si="2"/>
        <v/>
      </c>
      <c r="P741" s="40" t="str">
        <f>IF($J741="","",IFERROR(VLOOKUP($J741,Grinders!$A:$N,6,FALSE),""))</f>
        <v/>
      </c>
      <c r="Q741" s="40" t="str">
        <f>IF($J741="","",IFERROR(VLOOKUP($J741,Grinders!$A:$N,8,FALSE),""))</f>
        <v/>
      </c>
      <c r="R741" s="40" t="str">
        <f>IFERROR(IF($J741="","",IF($L741="Elite",MAX(50,MIN(100,Config!$B$27*MAX(0,MIN(100,(1-IF($O741="",0,$O741))*100)) + Config!$B$28*MAX(0,MIN(100,(1-MIN(1,IF(Config!$B$30=0,1,$P741/Config!$B$30)))*100)) + Config!$B$29*MAX(0,MIN(100,MIN(1,IF($Q741="",0,$Q741)/Config!$B$23)*100)))),MIN(100,Config!$B$27*MAX(0,MIN(100,(1-IF($O741="",0,$O741))*100)) + Config!$B$28*MAX(0,MIN(100,(1-MIN(1,IF(Config!$B$30=0,1,$P741/Config!$B$30)))*100)) + Config!$B$29*MAX(0,MIN(100,MIN(1,IF($Q741="",0,$Q741)/Config!$B$23)*100))))),"")
</f>
        <v/>
      </c>
      <c r="S741" s="40" t="str">
        <f>IF(Bids!$D741="","",Bids!$D741)</f>
        <v/>
      </c>
      <c r="T741" s="40" t="str">
        <f>IF(Bids!$F741="","",Bids!$F741)</f>
        <v/>
      </c>
      <c r="U741" s="40" t="str">
        <f t="shared" si="3"/>
        <v/>
      </c>
      <c r="V741" s="40" t="str">
        <f>IF($U741="","",IF(Config!$B$17=Config!$B$16,IF($U741&gt;=Config!$B$17,100,0),MAX(0,MIN(100,($U741-Config!$B$16)/(Config!$B$17-Config!$B$16)*100))))</f>
        <v/>
      </c>
      <c r="W741" s="40">
        <f>IF($L741="Elite",Config!$B$21,0)</f>
        <v>0</v>
      </c>
      <c r="X741" s="40" t="str">
        <f>IFERROR(IF(OR($T741="",$G741=""),"",IF($T741&gt;$G741,
  MAX(0, 60-(($T741-$G741)*24/Config!$B$19)*60),
  MEDIAN(60, 100, 60+(($G741-$T741)*24/Config!$B$20)*40)
)),"")
</f>
        <v/>
      </c>
      <c r="Y741" s="40" t="str">
        <f>IF($J741="","",IFERROR(VLOOKUP($J741,Grinders!$A:$N,10,FALSE),""))</f>
        <v/>
      </c>
      <c r="Z741" s="40" t="str">
        <f>IF($J741="","",IFERROR(VLOOKUP($J741,Grinders!$A:$N,11,FALSE),""))</f>
        <v/>
      </c>
      <c r="AA741" s="40" t="str">
        <f>IF($J741="","",IFERROR(VLOOKUP($J741,Grinders!$A:$N,12,FALSE),""))</f>
        <v/>
      </c>
      <c r="AB741" s="40">
        <f>IFERROR(IF(OR($C741="",$J741=""),0,IF($D741&lt;&gt;"Open",0,IF(COUNTIFS(GrinderServices!$B:$B,$J741,GrinderServices!$C:$C,$E741,GrinderServices!$E:$E,"Y")=0,0,IF($U741&lt;Config!$B$16,0,IF(Config!$B$18=1,IF($N741&gt;=$M741,0,1),1))))),"")</f>
        <v>0</v>
      </c>
      <c r="AC741" s="40" t="str">
        <f>IFERROR(IF($AB741=0,"",((Config!$B$6*$V741 + Config!$B$7*$R741 + Config!$B$8*$W741 + Config!$B$9*$X741 + Config!$B$10*$Y741 + Config!$B$11*$Z741 - Config!$B$12*$AA741)/Config!$B$13)+$AH741+$AI741),"")</f>
        <v/>
      </c>
      <c r="AD741" s="40" t="str">
        <f t="shared" si="4"/>
        <v/>
      </c>
      <c r="AE741" s="40" t="str">
        <f>IFERROR(__xludf.DUMMYFUNCTION("IF($AC741="""","""",IF($AC741=IFERROR(MAX(FILTER($AC$6:$AC$1000,$C$6:$C$1000=$C741,$AB$6:$AB$1000=1)),),""WINNER"",""""))"),"")</f>
        <v/>
      </c>
      <c r="AF741" s="40" t="str">
        <f t="shared" si="5"/>
        <v/>
      </c>
      <c r="AG741" s="40" t="str">
        <f>IF($J741="","",COUNTIF(Assignments!$B:$B,$J741))</f>
        <v/>
      </c>
      <c r="AH741" s="40" t="str">
        <f>IF($J741="","",IF(AND($AG741=0,$N741&lt;$M741),Config!$B$43,0))</f>
        <v/>
      </c>
      <c r="AI741" s="40" t="str">
        <f>IF($J741="","",IF(AND($L741="Elite",$F741&gt;=Config!$B$41,$N741&lt;$M741),Config!$B$42,0))</f>
        <v/>
      </c>
      <c r="AJ741" s="22"/>
    </row>
    <row r="742" ht="15.75" customHeight="1">
      <c r="A742" s="40" t="str">
        <f t="shared" si="1"/>
        <v/>
      </c>
      <c r="B742" s="40" t="str">
        <f>IF(Bids!$A742="","",Bids!$A742)</f>
        <v/>
      </c>
      <c r="C742" s="40" t="str">
        <f>IF(Bids!$B742="","",Bids!$B742)</f>
        <v/>
      </c>
      <c r="D742" s="40" t="str">
        <f>IF($C742="","",IFERROR(VLOOKUP($C742,Orders!$A:$J,9,FALSE),""))</f>
        <v/>
      </c>
      <c r="E742" s="40" t="str">
        <f>IF($C742="","",IFERROR(VLOOKUP($C742,Orders!$A:$J,3,FALSE),""))</f>
        <v/>
      </c>
      <c r="F742" s="40" t="str">
        <f>IF($C742="","",IFERROR(VLOOKUP($C742,Orders!$A:$J,4,FALSE),""))</f>
        <v/>
      </c>
      <c r="G742" s="40" t="str">
        <f>IF($C742="","",IFERROR(VLOOKUP($C742,Orders!$A:$J,5,FALSE),""))</f>
        <v/>
      </c>
      <c r="H742" s="40" t="str">
        <f>IF($C742="","",IFERROR(VLOOKUP($C742,Orders!$A:$J,6,FALSE),""))</f>
        <v/>
      </c>
      <c r="I742" s="40" t="str">
        <f>IF($C742="","",IFERROR(VLOOKUP($C742,Orders!$A:$J,7,FALSE),""))</f>
        <v/>
      </c>
      <c r="J742" s="40" t="str">
        <f>IF(Bids!$C742="","",Bids!$C742)</f>
        <v/>
      </c>
      <c r="K742" s="40" t="str">
        <f>IF($J742="","",IFERROR(VLOOKUP($J742,Grinders!$A:$N,2,FALSE),""))</f>
        <v/>
      </c>
      <c r="L742" s="40" t="str">
        <f>IF($J742="","",IFERROR(VLOOKUP($J742,Grinders!$A:$N,3,FALSE),""))</f>
        <v/>
      </c>
      <c r="M742" s="40" t="str">
        <f>IF($J742="","",IFERROR(VLOOKUP($J742,Grinders!$A:$N,4,FALSE),""))</f>
        <v/>
      </c>
      <c r="N742" s="40" t="str">
        <f>IF($J742="","",IFERROR(VLOOKUP($J742,Grinders!$A:$N,5,FALSE),""))</f>
        <v/>
      </c>
      <c r="O742" s="40" t="str">
        <f t="shared" si="2"/>
        <v/>
      </c>
      <c r="P742" s="40" t="str">
        <f>IF($J742="","",IFERROR(VLOOKUP($J742,Grinders!$A:$N,6,FALSE),""))</f>
        <v/>
      </c>
      <c r="Q742" s="40" t="str">
        <f>IF($J742="","",IFERROR(VLOOKUP($J742,Grinders!$A:$N,8,FALSE),""))</f>
        <v/>
      </c>
      <c r="R742" s="40" t="str">
        <f>IFERROR(IF($J742="","",IF($L742="Elite",MAX(50,MIN(100,Config!$B$27*MAX(0,MIN(100,(1-IF($O742="",0,$O742))*100)) + Config!$B$28*MAX(0,MIN(100,(1-MIN(1,IF(Config!$B$30=0,1,$P742/Config!$B$30)))*100)) + Config!$B$29*MAX(0,MIN(100,MIN(1,IF($Q742="",0,$Q742)/Config!$B$23)*100)))),MIN(100,Config!$B$27*MAX(0,MIN(100,(1-IF($O742="",0,$O742))*100)) + Config!$B$28*MAX(0,MIN(100,(1-MIN(1,IF(Config!$B$30=0,1,$P742/Config!$B$30)))*100)) + Config!$B$29*MAX(0,MIN(100,MIN(1,IF($Q742="",0,$Q742)/Config!$B$23)*100))))),"")
</f>
        <v/>
      </c>
      <c r="S742" s="40" t="str">
        <f>IF(Bids!$D742="","",Bids!$D742)</f>
        <v/>
      </c>
      <c r="T742" s="40" t="str">
        <f>IF(Bids!$F742="","",Bids!$F742)</f>
        <v/>
      </c>
      <c r="U742" s="40" t="str">
        <f t="shared" si="3"/>
        <v/>
      </c>
      <c r="V742" s="40" t="str">
        <f>IF($U742="","",IF(Config!$B$17=Config!$B$16,IF($U742&gt;=Config!$B$17,100,0),MAX(0,MIN(100,($U742-Config!$B$16)/(Config!$B$17-Config!$B$16)*100))))</f>
        <v/>
      </c>
      <c r="W742" s="40">
        <f>IF($L742="Elite",Config!$B$21,0)</f>
        <v>0</v>
      </c>
      <c r="X742" s="40" t="str">
        <f>IFERROR(IF(OR($T742="",$G742=""),"",IF($T742&gt;$G742,
  MAX(0, 60-(($T742-$G742)*24/Config!$B$19)*60),
  MEDIAN(60, 100, 60+(($G742-$T742)*24/Config!$B$20)*40)
)),"")
</f>
        <v/>
      </c>
      <c r="Y742" s="40" t="str">
        <f>IF($J742="","",IFERROR(VLOOKUP($J742,Grinders!$A:$N,10,FALSE),""))</f>
        <v/>
      </c>
      <c r="Z742" s="40" t="str">
        <f>IF($J742="","",IFERROR(VLOOKUP($J742,Grinders!$A:$N,11,FALSE),""))</f>
        <v/>
      </c>
      <c r="AA742" s="40" t="str">
        <f>IF($J742="","",IFERROR(VLOOKUP($J742,Grinders!$A:$N,12,FALSE),""))</f>
        <v/>
      </c>
      <c r="AB742" s="40">
        <f>IFERROR(IF(OR($C742="",$J742=""),0,IF($D742&lt;&gt;"Open",0,IF(COUNTIFS(GrinderServices!$B:$B,$J742,GrinderServices!$C:$C,$E742,GrinderServices!$E:$E,"Y")=0,0,IF($U742&lt;Config!$B$16,0,IF(Config!$B$18=1,IF($N742&gt;=$M742,0,1),1))))),"")</f>
        <v>0</v>
      </c>
      <c r="AC742" s="40" t="str">
        <f>IFERROR(IF($AB742=0,"",((Config!$B$6*$V742 + Config!$B$7*$R742 + Config!$B$8*$W742 + Config!$B$9*$X742 + Config!$B$10*$Y742 + Config!$B$11*$Z742 - Config!$B$12*$AA742)/Config!$B$13)+$AH742+$AI742),"")</f>
        <v/>
      </c>
      <c r="AD742" s="40" t="str">
        <f t="shared" si="4"/>
        <v/>
      </c>
      <c r="AE742" s="40" t="str">
        <f>IFERROR(__xludf.DUMMYFUNCTION("IF($AC742="""","""",IF($AC742=IFERROR(MAX(FILTER($AC$6:$AC$1000,$C$6:$C$1000=$C742,$AB$6:$AB$1000=1)),),""WINNER"",""""))"),"")</f>
        <v/>
      </c>
      <c r="AF742" s="40" t="str">
        <f t="shared" si="5"/>
        <v/>
      </c>
      <c r="AG742" s="40" t="str">
        <f>IF($J742="","",COUNTIF(Assignments!$B:$B,$J742))</f>
        <v/>
      </c>
      <c r="AH742" s="40" t="str">
        <f>IF($J742="","",IF(AND($AG742=0,$N742&lt;$M742),Config!$B$43,0))</f>
        <v/>
      </c>
      <c r="AI742" s="40" t="str">
        <f>IF($J742="","",IF(AND($L742="Elite",$F742&gt;=Config!$B$41,$N742&lt;$M742),Config!$B$42,0))</f>
        <v/>
      </c>
      <c r="AJ742" s="22"/>
    </row>
    <row r="743" ht="15.75" customHeight="1">
      <c r="A743" s="40" t="str">
        <f t="shared" si="1"/>
        <v/>
      </c>
      <c r="B743" s="40" t="str">
        <f>IF(Bids!$A743="","",Bids!$A743)</f>
        <v/>
      </c>
      <c r="C743" s="40" t="str">
        <f>IF(Bids!$B743="","",Bids!$B743)</f>
        <v/>
      </c>
      <c r="D743" s="40" t="str">
        <f>IF($C743="","",IFERROR(VLOOKUP($C743,Orders!$A:$J,9,FALSE),""))</f>
        <v/>
      </c>
      <c r="E743" s="40" t="str">
        <f>IF($C743="","",IFERROR(VLOOKUP($C743,Orders!$A:$J,3,FALSE),""))</f>
        <v/>
      </c>
      <c r="F743" s="40" t="str">
        <f>IF($C743="","",IFERROR(VLOOKUP($C743,Orders!$A:$J,4,FALSE),""))</f>
        <v/>
      </c>
      <c r="G743" s="40" t="str">
        <f>IF($C743="","",IFERROR(VLOOKUP($C743,Orders!$A:$J,5,FALSE),""))</f>
        <v/>
      </c>
      <c r="H743" s="40" t="str">
        <f>IF($C743="","",IFERROR(VLOOKUP($C743,Orders!$A:$J,6,FALSE),""))</f>
        <v/>
      </c>
      <c r="I743" s="40" t="str">
        <f>IF($C743="","",IFERROR(VLOOKUP($C743,Orders!$A:$J,7,FALSE),""))</f>
        <v/>
      </c>
      <c r="J743" s="40" t="str">
        <f>IF(Bids!$C743="","",Bids!$C743)</f>
        <v/>
      </c>
      <c r="K743" s="40" t="str">
        <f>IF($J743="","",IFERROR(VLOOKUP($J743,Grinders!$A:$N,2,FALSE),""))</f>
        <v/>
      </c>
      <c r="L743" s="40" t="str">
        <f>IF($J743="","",IFERROR(VLOOKUP($J743,Grinders!$A:$N,3,FALSE),""))</f>
        <v/>
      </c>
      <c r="M743" s="40" t="str">
        <f>IF($J743="","",IFERROR(VLOOKUP($J743,Grinders!$A:$N,4,FALSE),""))</f>
        <v/>
      </c>
      <c r="N743" s="40" t="str">
        <f>IF($J743="","",IFERROR(VLOOKUP($J743,Grinders!$A:$N,5,FALSE),""))</f>
        <v/>
      </c>
      <c r="O743" s="40" t="str">
        <f t="shared" si="2"/>
        <v/>
      </c>
      <c r="P743" s="40" t="str">
        <f>IF($J743="","",IFERROR(VLOOKUP($J743,Grinders!$A:$N,6,FALSE),""))</f>
        <v/>
      </c>
      <c r="Q743" s="40" t="str">
        <f>IF($J743="","",IFERROR(VLOOKUP($J743,Grinders!$A:$N,8,FALSE),""))</f>
        <v/>
      </c>
      <c r="R743" s="40" t="str">
        <f>IFERROR(IF($J743="","",IF($L743="Elite",MAX(50,MIN(100,Config!$B$27*MAX(0,MIN(100,(1-IF($O743="",0,$O743))*100)) + Config!$B$28*MAX(0,MIN(100,(1-MIN(1,IF(Config!$B$30=0,1,$P743/Config!$B$30)))*100)) + Config!$B$29*MAX(0,MIN(100,MIN(1,IF($Q743="",0,$Q743)/Config!$B$23)*100)))),MIN(100,Config!$B$27*MAX(0,MIN(100,(1-IF($O743="",0,$O743))*100)) + Config!$B$28*MAX(0,MIN(100,(1-MIN(1,IF(Config!$B$30=0,1,$P743/Config!$B$30)))*100)) + Config!$B$29*MAX(0,MIN(100,MIN(1,IF($Q743="",0,$Q743)/Config!$B$23)*100))))),"")
</f>
        <v/>
      </c>
      <c r="S743" s="40" t="str">
        <f>IF(Bids!$D743="","",Bids!$D743)</f>
        <v/>
      </c>
      <c r="T743" s="40" t="str">
        <f>IF(Bids!$F743="","",Bids!$F743)</f>
        <v/>
      </c>
      <c r="U743" s="40" t="str">
        <f t="shared" si="3"/>
        <v/>
      </c>
      <c r="V743" s="40" t="str">
        <f>IF($U743="","",IF(Config!$B$17=Config!$B$16,IF($U743&gt;=Config!$B$17,100,0),MAX(0,MIN(100,($U743-Config!$B$16)/(Config!$B$17-Config!$B$16)*100))))</f>
        <v/>
      </c>
      <c r="W743" s="40">
        <f>IF($L743="Elite",Config!$B$21,0)</f>
        <v>0</v>
      </c>
      <c r="X743" s="40" t="str">
        <f>IFERROR(IF(OR($T743="",$G743=""),"",IF($T743&gt;$G743,
  MAX(0, 60-(($T743-$G743)*24/Config!$B$19)*60),
  MEDIAN(60, 100, 60+(($G743-$T743)*24/Config!$B$20)*40)
)),"")
</f>
        <v/>
      </c>
      <c r="Y743" s="40" t="str">
        <f>IF($J743="","",IFERROR(VLOOKUP($J743,Grinders!$A:$N,10,FALSE),""))</f>
        <v/>
      </c>
      <c r="Z743" s="40" t="str">
        <f>IF($J743="","",IFERROR(VLOOKUP($J743,Grinders!$A:$N,11,FALSE),""))</f>
        <v/>
      </c>
      <c r="AA743" s="40" t="str">
        <f>IF($J743="","",IFERROR(VLOOKUP($J743,Grinders!$A:$N,12,FALSE),""))</f>
        <v/>
      </c>
      <c r="AB743" s="40">
        <f>IFERROR(IF(OR($C743="",$J743=""),0,IF($D743&lt;&gt;"Open",0,IF(COUNTIFS(GrinderServices!$B:$B,$J743,GrinderServices!$C:$C,$E743,GrinderServices!$E:$E,"Y")=0,0,IF($U743&lt;Config!$B$16,0,IF(Config!$B$18=1,IF($N743&gt;=$M743,0,1),1))))),"")</f>
        <v>0</v>
      </c>
      <c r="AC743" s="40" t="str">
        <f>IFERROR(IF($AB743=0,"",((Config!$B$6*$V743 + Config!$B$7*$R743 + Config!$B$8*$W743 + Config!$B$9*$X743 + Config!$B$10*$Y743 + Config!$B$11*$Z743 - Config!$B$12*$AA743)/Config!$B$13)+$AH743+$AI743),"")</f>
        <v/>
      </c>
      <c r="AD743" s="40" t="str">
        <f t="shared" si="4"/>
        <v/>
      </c>
      <c r="AE743" s="40" t="str">
        <f>IFERROR(__xludf.DUMMYFUNCTION("IF($AC743="""","""",IF($AC743=IFERROR(MAX(FILTER($AC$6:$AC$1000,$C$6:$C$1000=$C743,$AB$6:$AB$1000=1)),),""WINNER"",""""))"),"")</f>
        <v/>
      </c>
      <c r="AF743" s="40" t="str">
        <f t="shared" si="5"/>
        <v/>
      </c>
      <c r="AG743" s="40" t="str">
        <f>IF($J743="","",COUNTIF(Assignments!$B:$B,$J743))</f>
        <v/>
      </c>
      <c r="AH743" s="40" t="str">
        <f>IF($J743="","",IF(AND($AG743=0,$N743&lt;$M743),Config!$B$43,0))</f>
        <v/>
      </c>
      <c r="AI743" s="40" t="str">
        <f>IF($J743="","",IF(AND($L743="Elite",$F743&gt;=Config!$B$41,$N743&lt;$M743),Config!$B$42,0))</f>
        <v/>
      </c>
      <c r="AJ743" s="22"/>
    </row>
    <row r="744" ht="15.75" customHeight="1">
      <c r="A744" s="40" t="str">
        <f t="shared" si="1"/>
        <v/>
      </c>
      <c r="B744" s="40" t="str">
        <f>IF(Bids!$A744="","",Bids!$A744)</f>
        <v/>
      </c>
      <c r="C744" s="40" t="str">
        <f>IF(Bids!$B744="","",Bids!$B744)</f>
        <v/>
      </c>
      <c r="D744" s="40" t="str">
        <f>IF($C744="","",IFERROR(VLOOKUP($C744,Orders!$A:$J,9,FALSE),""))</f>
        <v/>
      </c>
      <c r="E744" s="40" t="str">
        <f>IF($C744="","",IFERROR(VLOOKUP($C744,Orders!$A:$J,3,FALSE),""))</f>
        <v/>
      </c>
      <c r="F744" s="40" t="str">
        <f>IF($C744="","",IFERROR(VLOOKUP($C744,Orders!$A:$J,4,FALSE),""))</f>
        <v/>
      </c>
      <c r="G744" s="40" t="str">
        <f>IF($C744="","",IFERROR(VLOOKUP($C744,Orders!$A:$J,5,FALSE),""))</f>
        <v/>
      </c>
      <c r="H744" s="40" t="str">
        <f>IF($C744="","",IFERROR(VLOOKUP($C744,Orders!$A:$J,6,FALSE),""))</f>
        <v/>
      </c>
      <c r="I744" s="40" t="str">
        <f>IF($C744="","",IFERROR(VLOOKUP($C744,Orders!$A:$J,7,FALSE),""))</f>
        <v/>
      </c>
      <c r="J744" s="40" t="str">
        <f>IF(Bids!$C744="","",Bids!$C744)</f>
        <v/>
      </c>
      <c r="K744" s="40" t="str">
        <f>IF($J744="","",IFERROR(VLOOKUP($J744,Grinders!$A:$N,2,FALSE),""))</f>
        <v/>
      </c>
      <c r="L744" s="40" t="str">
        <f>IF($J744="","",IFERROR(VLOOKUP($J744,Grinders!$A:$N,3,FALSE),""))</f>
        <v/>
      </c>
      <c r="M744" s="40" t="str">
        <f>IF($J744="","",IFERROR(VLOOKUP($J744,Grinders!$A:$N,4,FALSE),""))</f>
        <v/>
      </c>
      <c r="N744" s="40" t="str">
        <f>IF($J744="","",IFERROR(VLOOKUP($J744,Grinders!$A:$N,5,FALSE),""))</f>
        <v/>
      </c>
      <c r="O744" s="40" t="str">
        <f t="shared" si="2"/>
        <v/>
      </c>
      <c r="P744" s="40" t="str">
        <f>IF($J744="","",IFERROR(VLOOKUP($J744,Grinders!$A:$N,6,FALSE),""))</f>
        <v/>
      </c>
      <c r="Q744" s="40" t="str">
        <f>IF($J744="","",IFERROR(VLOOKUP($J744,Grinders!$A:$N,8,FALSE),""))</f>
        <v/>
      </c>
      <c r="R744" s="40" t="str">
        <f>IFERROR(IF($J744="","",IF($L744="Elite",MAX(50,MIN(100,Config!$B$27*MAX(0,MIN(100,(1-IF($O744="",0,$O744))*100)) + Config!$B$28*MAX(0,MIN(100,(1-MIN(1,IF(Config!$B$30=0,1,$P744/Config!$B$30)))*100)) + Config!$B$29*MAX(0,MIN(100,MIN(1,IF($Q744="",0,$Q744)/Config!$B$23)*100)))),MIN(100,Config!$B$27*MAX(0,MIN(100,(1-IF($O744="",0,$O744))*100)) + Config!$B$28*MAX(0,MIN(100,(1-MIN(1,IF(Config!$B$30=0,1,$P744/Config!$B$30)))*100)) + Config!$B$29*MAX(0,MIN(100,MIN(1,IF($Q744="",0,$Q744)/Config!$B$23)*100))))),"")
</f>
        <v/>
      </c>
      <c r="S744" s="40" t="str">
        <f>IF(Bids!$D744="","",Bids!$D744)</f>
        <v/>
      </c>
      <c r="T744" s="40" t="str">
        <f>IF(Bids!$F744="","",Bids!$F744)</f>
        <v/>
      </c>
      <c r="U744" s="40" t="str">
        <f t="shared" si="3"/>
        <v/>
      </c>
      <c r="V744" s="40" t="str">
        <f>IF($U744="","",IF(Config!$B$17=Config!$B$16,IF($U744&gt;=Config!$B$17,100,0),MAX(0,MIN(100,($U744-Config!$B$16)/(Config!$B$17-Config!$B$16)*100))))</f>
        <v/>
      </c>
      <c r="W744" s="40">
        <f>IF($L744="Elite",Config!$B$21,0)</f>
        <v>0</v>
      </c>
      <c r="X744" s="40" t="str">
        <f>IFERROR(IF(OR($T744="",$G744=""),"",IF($T744&gt;$G744,
  MAX(0, 60-(($T744-$G744)*24/Config!$B$19)*60),
  MEDIAN(60, 100, 60+(($G744-$T744)*24/Config!$B$20)*40)
)),"")
</f>
        <v/>
      </c>
      <c r="Y744" s="40" t="str">
        <f>IF($J744="","",IFERROR(VLOOKUP($J744,Grinders!$A:$N,10,FALSE),""))</f>
        <v/>
      </c>
      <c r="Z744" s="40" t="str">
        <f>IF($J744="","",IFERROR(VLOOKUP($J744,Grinders!$A:$N,11,FALSE),""))</f>
        <v/>
      </c>
      <c r="AA744" s="40" t="str">
        <f>IF($J744="","",IFERROR(VLOOKUP($J744,Grinders!$A:$N,12,FALSE),""))</f>
        <v/>
      </c>
      <c r="AB744" s="40">
        <f>IFERROR(IF(OR($C744="",$J744=""),0,IF($D744&lt;&gt;"Open",0,IF(COUNTIFS(GrinderServices!$B:$B,$J744,GrinderServices!$C:$C,$E744,GrinderServices!$E:$E,"Y")=0,0,IF($U744&lt;Config!$B$16,0,IF(Config!$B$18=1,IF($N744&gt;=$M744,0,1),1))))),"")</f>
        <v>0</v>
      </c>
      <c r="AC744" s="40" t="str">
        <f>IFERROR(IF($AB744=0,"",((Config!$B$6*$V744 + Config!$B$7*$R744 + Config!$B$8*$W744 + Config!$B$9*$X744 + Config!$B$10*$Y744 + Config!$B$11*$Z744 - Config!$B$12*$AA744)/Config!$B$13)+$AH744+$AI744),"")</f>
        <v/>
      </c>
      <c r="AD744" s="40" t="str">
        <f t="shared" si="4"/>
        <v/>
      </c>
      <c r="AE744" s="40" t="str">
        <f>IFERROR(__xludf.DUMMYFUNCTION("IF($AC744="""","""",IF($AC744=IFERROR(MAX(FILTER($AC$6:$AC$1000,$C$6:$C$1000=$C744,$AB$6:$AB$1000=1)),),""WINNER"",""""))"),"")</f>
        <v/>
      </c>
      <c r="AF744" s="40" t="str">
        <f t="shared" si="5"/>
        <v/>
      </c>
      <c r="AG744" s="40" t="str">
        <f>IF($J744="","",COUNTIF(Assignments!$B:$B,$J744))</f>
        <v/>
      </c>
      <c r="AH744" s="40" t="str">
        <f>IF($J744="","",IF(AND($AG744=0,$N744&lt;$M744),Config!$B$43,0))</f>
        <v/>
      </c>
      <c r="AI744" s="40" t="str">
        <f>IF($J744="","",IF(AND($L744="Elite",$F744&gt;=Config!$B$41,$N744&lt;$M744),Config!$B$42,0))</f>
        <v/>
      </c>
      <c r="AJ744" s="22"/>
    </row>
    <row r="745" ht="15.75" customHeight="1">
      <c r="A745" s="40" t="str">
        <f t="shared" si="1"/>
        <v/>
      </c>
      <c r="B745" s="40" t="str">
        <f>IF(Bids!$A745="","",Bids!$A745)</f>
        <v/>
      </c>
      <c r="C745" s="40" t="str">
        <f>IF(Bids!$B745="","",Bids!$B745)</f>
        <v/>
      </c>
      <c r="D745" s="40" t="str">
        <f>IF($C745="","",IFERROR(VLOOKUP($C745,Orders!$A:$J,9,FALSE),""))</f>
        <v/>
      </c>
      <c r="E745" s="40" t="str">
        <f>IF($C745="","",IFERROR(VLOOKUP($C745,Orders!$A:$J,3,FALSE),""))</f>
        <v/>
      </c>
      <c r="F745" s="40" t="str">
        <f>IF($C745="","",IFERROR(VLOOKUP($C745,Orders!$A:$J,4,FALSE),""))</f>
        <v/>
      </c>
      <c r="G745" s="40" t="str">
        <f>IF($C745="","",IFERROR(VLOOKUP($C745,Orders!$A:$J,5,FALSE),""))</f>
        <v/>
      </c>
      <c r="H745" s="40" t="str">
        <f>IF($C745="","",IFERROR(VLOOKUP($C745,Orders!$A:$J,6,FALSE),""))</f>
        <v/>
      </c>
      <c r="I745" s="40" t="str">
        <f>IF($C745="","",IFERROR(VLOOKUP($C745,Orders!$A:$J,7,FALSE),""))</f>
        <v/>
      </c>
      <c r="J745" s="40" t="str">
        <f>IF(Bids!$C745="","",Bids!$C745)</f>
        <v/>
      </c>
      <c r="K745" s="40" t="str">
        <f>IF($J745="","",IFERROR(VLOOKUP($J745,Grinders!$A:$N,2,FALSE),""))</f>
        <v/>
      </c>
      <c r="L745" s="40" t="str">
        <f>IF($J745="","",IFERROR(VLOOKUP($J745,Grinders!$A:$N,3,FALSE),""))</f>
        <v/>
      </c>
      <c r="M745" s="40" t="str">
        <f>IF($J745="","",IFERROR(VLOOKUP($J745,Grinders!$A:$N,4,FALSE),""))</f>
        <v/>
      </c>
      <c r="N745" s="40" t="str">
        <f>IF($J745="","",IFERROR(VLOOKUP($J745,Grinders!$A:$N,5,FALSE),""))</f>
        <v/>
      </c>
      <c r="O745" s="40" t="str">
        <f t="shared" si="2"/>
        <v/>
      </c>
      <c r="P745" s="40" t="str">
        <f>IF($J745="","",IFERROR(VLOOKUP($J745,Grinders!$A:$N,6,FALSE),""))</f>
        <v/>
      </c>
      <c r="Q745" s="40" t="str">
        <f>IF($J745="","",IFERROR(VLOOKUP($J745,Grinders!$A:$N,8,FALSE),""))</f>
        <v/>
      </c>
      <c r="R745" s="40" t="str">
        <f>IFERROR(IF($J745="","",IF($L745="Elite",MAX(50,MIN(100,Config!$B$27*MAX(0,MIN(100,(1-IF($O745="",0,$O745))*100)) + Config!$B$28*MAX(0,MIN(100,(1-MIN(1,IF(Config!$B$30=0,1,$P745/Config!$B$30)))*100)) + Config!$B$29*MAX(0,MIN(100,MIN(1,IF($Q745="",0,$Q745)/Config!$B$23)*100)))),MIN(100,Config!$B$27*MAX(0,MIN(100,(1-IF($O745="",0,$O745))*100)) + Config!$B$28*MAX(0,MIN(100,(1-MIN(1,IF(Config!$B$30=0,1,$P745/Config!$B$30)))*100)) + Config!$B$29*MAX(0,MIN(100,MIN(1,IF($Q745="",0,$Q745)/Config!$B$23)*100))))),"")
</f>
        <v/>
      </c>
      <c r="S745" s="40" t="str">
        <f>IF(Bids!$D745="","",Bids!$D745)</f>
        <v/>
      </c>
      <c r="T745" s="40" t="str">
        <f>IF(Bids!$F745="","",Bids!$F745)</f>
        <v/>
      </c>
      <c r="U745" s="40" t="str">
        <f t="shared" si="3"/>
        <v/>
      </c>
      <c r="V745" s="40" t="str">
        <f>IF($U745="","",IF(Config!$B$17=Config!$B$16,IF($U745&gt;=Config!$B$17,100,0),MAX(0,MIN(100,($U745-Config!$B$16)/(Config!$B$17-Config!$B$16)*100))))</f>
        <v/>
      </c>
      <c r="W745" s="40">
        <f>IF($L745="Elite",Config!$B$21,0)</f>
        <v>0</v>
      </c>
      <c r="X745" s="40" t="str">
        <f>IFERROR(IF(OR($T745="",$G745=""),"",IF($T745&gt;$G745,
  MAX(0, 60-(($T745-$G745)*24/Config!$B$19)*60),
  MEDIAN(60, 100, 60+(($G745-$T745)*24/Config!$B$20)*40)
)),"")
</f>
        <v/>
      </c>
      <c r="Y745" s="40" t="str">
        <f>IF($J745="","",IFERROR(VLOOKUP($J745,Grinders!$A:$N,10,FALSE),""))</f>
        <v/>
      </c>
      <c r="Z745" s="40" t="str">
        <f>IF($J745="","",IFERROR(VLOOKUP($J745,Grinders!$A:$N,11,FALSE),""))</f>
        <v/>
      </c>
      <c r="AA745" s="40" t="str">
        <f>IF($J745="","",IFERROR(VLOOKUP($J745,Grinders!$A:$N,12,FALSE),""))</f>
        <v/>
      </c>
      <c r="AB745" s="40">
        <f>IFERROR(IF(OR($C745="",$J745=""),0,IF($D745&lt;&gt;"Open",0,IF(COUNTIFS(GrinderServices!$B:$B,$J745,GrinderServices!$C:$C,$E745,GrinderServices!$E:$E,"Y")=0,0,IF($U745&lt;Config!$B$16,0,IF(Config!$B$18=1,IF($N745&gt;=$M745,0,1),1))))),"")</f>
        <v>0</v>
      </c>
      <c r="AC745" s="40" t="str">
        <f>IFERROR(IF($AB745=0,"",((Config!$B$6*$V745 + Config!$B$7*$R745 + Config!$B$8*$W745 + Config!$B$9*$X745 + Config!$B$10*$Y745 + Config!$B$11*$Z745 - Config!$B$12*$AA745)/Config!$B$13)+$AH745+$AI745),"")</f>
        <v/>
      </c>
      <c r="AD745" s="40" t="str">
        <f t="shared" si="4"/>
        <v/>
      </c>
      <c r="AE745" s="40" t="str">
        <f>IFERROR(__xludf.DUMMYFUNCTION("IF($AC745="""","""",IF($AC745=IFERROR(MAX(FILTER($AC$6:$AC$1000,$C$6:$C$1000=$C745,$AB$6:$AB$1000=1)),),""WINNER"",""""))"),"")</f>
        <v/>
      </c>
      <c r="AF745" s="40" t="str">
        <f t="shared" si="5"/>
        <v/>
      </c>
      <c r="AG745" s="40" t="str">
        <f>IF($J745="","",COUNTIF(Assignments!$B:$B,$J745))</f>
        <v/>
      </c>
      <c r="AH745" s="40" t="str">
        <f>IF($J745="","",IF(AND($AG745=0,$N745&lt;$M745),Config!$B$43,0))</f>
        <v/>
      </c>
      <c r="AI745" s="40" t="str">
        <f>IF($J745="","",IF(AND($L745="Elite",$F745&gt;=Config!$B$41,$N745&lt;$M745),Config!$B$42,0))</f>
        <v/>
      </c>
      <c r="AJ745" s="22"/>
    </row>
    <row r="746" ht="15.75" customHeight="1">
      <c r="A746" s="40" t="str">
        <f t="shared" si="1"/>
        <v/>
      </c>
      <c r="B746" s="40" t="str">
        <f>IF(Bids!$A746="","",Bids!$A746)</f>
        <v/>
      </c>
      <c r="C746" s="40" t="str">
        <f>IF(Bids!$B746="","",Bids!$B746)</f>
        <v/>
      </c>
      <c r="D746" s="40" t="str">
        <f>IF($C746="","",IFERROR(VLOOKUP($C746,Orders!$A:$J,9,FALSE),""))</f>
        <v/>
      </c>
      <c r="E746" s="40" t="str">
        <f>IF($C746="","",IFERROR(VLOOKUP($C746,Orders!$A:$J,3,FALSE),""))</f>
        <v/>
      </c>
      <c r="F746" s="40" t="str">
        <f>IF($C746="","",IFERROR(VLOOKUP($C746,Orders!$A:$J,4,FALSE),""))</f>
        <v/>
      </c>
      <c r="G746" s="40" t="str">
        <f>IF($C746="","",IFERROR(VLOOKUP($C746,Orders!$A:$J,5,FALSE),""))</f>
        <v/>
      </c>
      <c r="H746" s="40" t="str">
        <f>IF($C746="","",IFERROR(VLOOKUP($C746,Orders!$A:$J,6,FALSE),""))</f>
        <v/>
      </c>
      <c r="I746" s="40" t="str">
        <f>IF($C746="","",IFERROR(VLOOKUP($C746,Orders!$A:$J,7,FALSE),""))</f>
        <v/>
      </c>
      <c r="J746" s="40" t="str">
        <f>IF(Bids!$C746="","",Bids!$C746)</f>
        <v/>
      </c>
      <c r="K746" s="40" t="str">
        <f>IF($J746="","",IFERROR(VLOOKUP($J746,Grinders!$A:$N,2,FALSE),""))</f>
        <v/>
      </c>
      <c r="L746" s="40" t="str">
        <f>IF($J746="","",IFERROR(VLOOKUP($J746,Grinders!$A:$N,3,FALSE),""))</f>
        <v/>
      </c>
      <c r="M746" s="40" t="str">
        <f>IF($J746="","",IFERROR(VLOOKUP($J746,Grinders!$A:$N,4,FALSE),""))</f>
        <v/>
      </c>
      <c r="N746" s="40" t="str">
        <f>IF($J746="","",IFERROR(VLOOKUP($J746,Grinders!$A:$N,5,FALSE),""))</f>
        <v/>
      </c>
      <c r="O746" s="40" t="str">
        <f t="shared" si="2"/>
        <v/>
      </c>
      <c r="P746" s="40" t="str">
        <f>IF($J746="","",IFERROR(VLOOKUP($J746,Grinders!$A:$N,6,FALSE),""))</f>
        <v/>
      </c>
      <c r="Q746" s="40" t="str">
        <f>IF($J746="","",IFERROR(VLOOKUP($J746,Grinders!$A:$N,8,FALSE),""))</f>
        <v/>
      </c>
      <c r="R746" s="40" t="str">
        <f>IFERROR(IF($J746="","",IF($L746="Elite",MAX(50,MIN(100,Config!$B$27*MAX(0,MIN(100,(1-IF($O746="",0,$O746))*100)) + Config!$B$28*MAX(0,MIN(100,(1-MIN(1,IF(Config!$B$30=0,1,$P746/Config!$B$30)))*100)) + Config!$B$29*MAX(0,MIN(100,MIN(1,IF($Q746="",0,$Q746)/Config!$B$23)*100)))),MIN(100,Config!$B$27*MAX(0,MIN(100,(1-IF($O746="",0,$O746))*100)) + Config!$B$28*MAX(0,MIN(100,(1-MIN(1,IF(Config!$B$30=0,1,$P746/Config!$B$30)))*100)) + Config!$B$29*MAX(0,MIN(100,MIN(1,IF($Q746="",0,$Q746)/Config!$B$23)*100))))),"")
</f>
        <v/>
      </c>
      <c r="S746" s="40" t="str">
        <f>IF(Bids!$D746="","",Bids!$D746)</f>
        <v/>
      </c>
      <c r="T746" s="40" t="str">
        <f>IF(Bids!$F746="","",Bids!$F746)</f>
        <v/>
      </c>
      <c r="U746" s="40" t="str">
        <f t="shared" si="3"/>
        <v/>
      </c>
      <c r="V746" s="40" t="str">
        <f>IF($U746="","",IF(Config!$B$17=Config!$B$16,IF($U746&gt;=Config!$B$17,100,0),MAX(0,MIN(100,($U746-Config!$B$16)/(Config!$B$17-Config!$B$16)*100))))</f>
        <v/>
      </c>
      <c r="W746" s="40">
        <f>IF($L746="Elite",Config!$B$21,0)</f>
        <v>0</v>
      </c>
      <c r="X746" s="40" t="str">
        <f>IFERROR(IF(OR($T746="",$G746=""),"",IF($T746&gt;$G746,
  MAX(0, 60-(($T746-$G746)*24/Config!$B$19)*60),
  MEDIAN(60, 100, 60+(($G746-$T746)*24/Config!$B$20)*40)
)),"")
</f>
        <v/>
      </c>
      <c r="Y746" s="40" t="str">
        <f>IF($J746="","",IFERROR(VLOOKUP($J746,Grinders!$A:$N,10,FALSE),""))</f>
        <v/>
      </c>
      <c r="Z746" s="40" t="str">
        <f>IF($J746="","",IFERROR(VLOOKUP($J746,Grinders!$A:$N,11,FALSE),""))</f>
        <v/>
      </c>
      <c r="AA746" s="40" t="str">
        <f>IF($J746="","",IFERROR(VLOOKUP($J746,Grinders!$A:$N,12,FALSE),""))</f>
        <v/>
      </c>
      <c r="AB746" s="40">
        <f>IFERROR(IF(OR($C746="",$J746=""),0,IF($D746&lt;&gt;"Open",0,IF(COUNTIFS(GrinderServices!$B:$B,$J746,GrinderServices!$C:$C,$E746,GrinderServices!$E:$E,"Y")=0,0,IF($U746&lt;Config!$B$16,0,IF(Config!$B$18=1,IF($N746&gt;=$M746,0,1),1))))),"")</f>
        <v>0</v>
      </c>
      <c r="AC746" s="40" t="str">
        <f>IFERROR(IF($AB746=0,"",((Config!$B$6*$V746 + Config!$B$7*$R746 + Config!$B$8*$W746 + Config!$B$9*$X746 + Config!$B$10*$Y746 + Config!$B$11*$Z746 - Config!$B$12*$AA746)/Config!$B$13)+$AH746+$AI746),"")</f>
        <v/>
      </c>
      <c r="AD746" s="40" t="str">
        <f t="shared" si="4"/>
        <v/>
      </c>
      <c r="AE746" s="40" t="str">
        <f>IFERROR(__xludf.DUMMYFUNCTION("IF($AC746="""","""",IF($AC746=IFERROR(MAX(FILTER($AC$6:$AC$1000,$C$6:$C$1000=$C746,$AB$6:$AB$1000=1)),),""WINNER"",""""))"),"")</f>
        <v/>
      </c>
      <c r="AF746" s="40" t="str">
        <f t="shared" si="5"/>
        <v/>
      </c>
      <c r="AG746" s="40" t="str">
        <f>IF($J746="","",COUNTIF(Assignments!$B:$B,$J746))</f>
        <v/>
      </c>
      <c r="AH746" s="40" t="str">
        <f>IF($J746="","",IF(AND($AG746=0,$N746&lt;$M746),Config!$B$43,0))</f>
        <v/>
      </c>
      <c r="AI746" s="40" t="str">
        <f>IF($J746="","",IF(AND($L746="Elite",$F746&gt;=Config!$B$41,$N746&lt;$M746),Config!$B$42,0))</f>
        <v/>
      </c>
      <c r="AJ746" s="22"/>
    </row>
    <row r="747" ht="15.75" customHeight="1">
      <c r="A747" s="40" t="str">
        <f t="shared" si="1"/>
        <v/>
      </c>
      <c r="B747" s="40" t="str">
        <f>IF(Bids!$A747="","",Bids!$A747)</f>
        <v/>
      </c>
      <c r="C747" s="40" t="str">
        <f>IF(Bids!$B747="","",Bids!$B747)</f>
        <v/>
      </c>
      <c r="D747" s="40" t="str">
        <f>IF($C747="","",IFERROR(VLOOKUP($C747,Orders!$A:$J,9,FALSE),""))</f>
        <v/>
      </c>
      <c r="E747" s="40" t="str">
        <f>IF($C747="","",IFERROR(VLOOKUP($C747,Orders!$A:$J,3,FALSE),""))</f>
        <v/>
      </c>
      <c r="F747" s="40" t="str">
        <f>IF($C747="","",IFERROR(VLOOKUP($C747,Orders!$A:$J,4,FALSE),""))</f>
        <v/>
      </c>
      <c r="G747" s="40" t="str">
        <f>IF($C747="","",IFERROR(VLOOKUP($C747,Orders!$A:$J,5,FALSE),""))</f>
        <v/>
      </c>
      <c r="H747" s="40" t="str">
        <f>IF($C747="","",IFERROR(VLOOKUP($C747,Orders!$A:$J,6,FALSE),""))</f>
        <v/>
      </c>
      <c r="I747" s="40" t="str">
        <f>IF($C747="","",IFERROR(VLOOKUP($C747,Orders!$A:$J,7,FALSE),""))</f>
        <v/>
      </c>
      <c r="J747" s="40" t="str">
        <f>IF(Bids!$C747="","",Bids!$C747)</f>
        <v/>
      </c>
      <c r="K747" s="40" t="str">
        <f>IF($J747="","",IFERROR(VLOOKUP($J747,Grinders!$A:$N,2,FALSE),""))</f>
        <v/>
      </c>
      <c r="L747" s="40" t="str">
        <f>IF($J747="","",IFERROR(VLOOKUP($J747,Grinders!$A:$N,3,FALSE),""))</f>
        <v/>
      </c>
      <c r="M747" s="40" t="str">
        <f>IF($J747="","",IFERROR(VLOOKUP($J747,Grinders!$A:$N,4,FALSE),""))</f>
        <v/>
      </c>
      <c r="N747" s="40" t="str">
        <f>IF($J747="","",IFERROR(VLOOKUP($J747,Grinders!$A:$N,5,FALSE),""))</f>
        <v/>
      </c>
      <c r="O747" s="40" t="str">
        <f t="shared" si="2"/>
        <v/>
      </c>
      <c r="P747" s="40" t="str">
        <f>IF($J747="","",IFERROR(VLOOKUP($J747,Grinders!$A:$N,6,FALSE),""))</f>
        <v/>
      </c>
      <c r="Q747" s="40" t="str">
        <f>IF($J747="","",IFERROR(VLOOKUP($J747,Grinders!$A:$N,8,FALSE),""))</f>
        <v/>
      </c>
      <c r="R747" s="40" t="str">
        <f>IFERROR(IF($J747="","",IF($L747="Elite",MAX(50,MIN(100,Config!$B$27*MAX(0,MIN(100,(1-IF($O747="",0,$O747))*100)) + Config!$B$28*MAX(0,MIN(100,(1-MIN(1,IF(Config!$B$30=0,1,$P747/Config!$B$30)))*100)) + Config!$B$29*MAX(0,MIN(100,MIN(1,IF($Q747="",0,$Q747)/Config!$B$23)*100)))),MIN(100,Config!$B$27*MAX(0,MIN(100,(1-IF($O747="",0,$O747))*100)) + Config!$B$28*MAX(0,MIN(100,(1-MIN(1,IF(Config!$B$30=0,1,$P747/Config!$B$30)))*100)) + Config!$B$29*MAX(0,MIN(100,MIN(1,IF($Q747="",0,$Q747)/Config!$B$23)*100))))),"")
</f>
        <v/>
      </c>
      <c r="S747" s="40" t="str">
        <f>IF(Bids!$D747="","",Bids!$D747)</f>
        <v/>
      </c>
      <c r="T747" s="40" t="str">
        <f>IF(Bids!$F747="","",Bids!$F747)</f>
        <v/>
      </c>
      <c r="U747" s="40" t="str">
        <f t="shared" si="3"/>
        <v/>
      </c>
      <c r="V747" s="40" t="str">
        <f>IF($U747="","",IF(Config!$B$17=Config!$B$16,IF($U747&gt;=Config!$B$17,100,0),MAX(0,MIN(100,($U747-Config!$B$16)/(Config!$B$17-Config!$B$16)*100))))</f>
        <v/>
      </c>
      <c r="W747" s="40">
        <f>IF($L747="Elite",Config!$B$21,0)</f>
        <v>0</v>
      </c>
      <c r="X747" s="40" t="str">
        <f>IFERROR(IF(OR($T747="",$G747=""),"",IF($T747&gt;$G747,
  MAX(0, 60-(($T747-$G747)*24/Config!$B$19)*60),
  MEDIAN(60, 100, 60+(($G747-$T747)*24/Config!$B$20)*40)
)),"")
</f>
        <v/>
      </c>
      <c r="Y747" s="40" t="str">
        <f>IF($J747="","",IFERROR(VLOOKUP($J747,Grinders!$A:$N,10,FALSE),""))</f>
        <v/>
      </c>
      <c r="Z747" s="40" t="str">
        <f>IF($J747="","",IFERROR(VLOOKUP($J747,Grinders!$A:$N,11,FALSE),""))</f>
        <v/>
      </c>
      <c r="AA747" s="40" t="str">
        <f>IF($J747="","",IFERROR(VLOOKUP($J747,Grinders!$A:$N,12,FALSE),""))</f>
        <v/>
      </c>
      <c r="AB747" s="40">
        <f>IFERROR(IF(OR($C747="",$J747=""),0,IF($D747&lt;&gt;"Open",0,IF(COUNTIFS(GrinderServices!$B:$B,$J747,GrinderServices!$C:$C,$E747,GrinderServices!$E:$E,"Y")=0,0,IF($U747&lt;Config!$B$16,0,IF(Config!$B$18=1,IF($N747&gt;=$M747,0,1),1))))),"")</f>
        <v>0</v>
      </c>
      <c r="AC747" s="40" t="str">
        <f>IFERROR(IF($AB747=0,"",((Config!$B$6*$V747 + Config!$B$7*$R747 + Config!$B$8*$W747 + Config!$B$9*$X747 + Config!$B$10*$Y747 + Config!$B$11*$Z747 - Config!$B$12*$AA747)/Config!$B$13)+$AH747+$AI747),"")</f>
        <v/>
      </c>
      <c r="AD747" s="40" t="str">
        <f t="shared" si="4"/>
        <v/>
      </c>
      <c r="AE747" s="40" t="str">
        <f>IFERROR(__xludf.DUMMYFUNCTION("IF($AC747="""","""",IF($AC747=IFERROR(MAX(FILTER($AC$6:$AC$1000,$C$6:$C$1000=$C747,$AB$6:$AB$1000=1)),),""WINNER"",""""))"),"")</f>
        <v/>
      </c>
      <c r="AF747" s="40" t="str">
        <f t="shared" si="5"/>
        <v/>
      </c>
      <c r="AG747" s="40" t="str">
        <f>IF($J747="","",COUNTIF(Assignments!$B:$B,$J747))</f>
        <v/>
      </c>
      <c r="AH747" s="40" t="str">
        <f>IF($J747="","",IF(AND($AG747=0,$N747&lt;$M747),Config!$B$43,0))</f>
        <v/>
      </c>
      <c r="AI747" s="40" t="str">
        <f>IF($J747="","",IF(AND($L747="Elite",$F747&gt;=Config!$B$41,$N747&lt;$M747),Config!$B$42,0))</f>
        <v/>
      </c>
      <c r="AJ747" s="22"/>
    </row>
    <row r="748" ht="15.75" customHeight="1">
      <c r="A748" s="40" t="str">
        <f t="shared" si="1"/>
        <v/>
      </c>
      <c r="B748" s="40" t="str">
        <f>IF(Bids!$A748="","",Bids!$A748)</f>
        <v/>
      </c>
      <c r="C748" s="40" t="str">
        <f>IF(Bids!$B748="","",Bids!$B748)</f>
        <v/>
      </c>
      <c r="D748" s="40" t="str">
        <f>IF($C748="","",IFERROR(VLOOKUP($C748,Orders!$A:$J,9,FALSE),""))</f>
        <v/>
      </c>
      <c r="E748" s="40" t="str">
        <f>IF($C748="","",IFERROR(VLOOKUP($C748,Orders!$A:$J,3,FALSE),""))</f>
        <v/>
      </c>
      <c r="F748" s="40" t="str">
        <f>IF($C748="","",IFERROR(VLOOKUP($C748,Orders!$A:$J,4,FALSE),""))</f>
        <v/>
      </c>
      <c r="G748" s="40" t="str">
        <f>IF($C748="","",IFERROR(VLOOKUP($C748,Orders!$A:$J,5,FALSE),""))</f>
        <v/>
      </c>
      <c r="H748" s="40" t="str">
        <f>IF($C748="","",IFERROR(VLOOKUP($C748,Orders!$A:$J,6,FALSE),""))</f>
        <v/>
      </c>
      <c r="I748" s="40" t="str">
        <f>IF($C748="","",IFERROR(VLOOKUP($C748,Orders!$A:$J,7,FALSE),""))</f>
        <v/>
      </c>
      <c r="J748" s="40" t="str">
        <f>IF(Bids!$C748="","",Bids!$C748)</f>
        <v/>
      </c>
      <c r="K748" s="40" t="str">
        <f>IF($J748="","",IFERROR(VLOOKUP($J748,Grinders!$A:$N,2,FALSE),""))</f>
        <v/>
      </c>
      <c r="L748" s="40" t="str">
        <f>IF($J748="","",IFERROR(VLOOKUP($J748,Grinders!$A:$N,3,FALSE),""))</f>
        <v/>
      </c>
      <c r="M748" s="40" t="str">
        <f>IF($J748="","",IFERROR(VLOOKUP($J748,Grinders!$A:$N,4,FALSE),""))</f>
        <v/>
      </c>
      <c r="N748" s="40" t="str">
        <f>IF($J748="","",IFERROR(VLOOKUP($J748,Grinders!$A:$N,5,FALSE),""))</f>
        <v/>
      </c>
      <c r="O748" s="40" t="str">
        <f t="shared" si="2"/>
        <v/>
      </c>
      <c r="P748" s="40" t="str">
        <f>IF($J748="","",IFERROR(VLOOKUP($J748,Grinders!$A:$N,6,FALSE),""))</f>
        <v/>
      </c>
      <c r="Q748" s="40" t="str">
        <f>IF($J748="","",IFERROR(VLOOKUP($J748,Grinders!$A:$N,8,FALSE),""))</f>
        <v/>
      </c>
      <c r="R748" s="40" t="str">
        <f>IFERROR(IF($J748="","",IF($L748="Elite",MAX(50,MIN(100,Config!$B$27*MAX(0,MIN(100,(1-IF($O748="",0,$O748))*100)) + Config!$B$28*MAX(0,MIN(100,(1-MIN(1,IF(Config!$B$30=0,1,$P748/Config!$B$30)))*100)) + Config!$B$29*MAX(0,MIN(100,MIN(1,IF($Q748="",0,$Q748)/Config!$B$23)*100)))),MIN(100,Config!$B$27*MAX(0,MIN(100,(1-IF($O748="",0,$O748))*100)) + Config!$B$28*MAX(0,MIN(100,(1-MIN(1,IF(Config!$B$30=0,1,$P748/Config!$B$30)))*100)) + Config!$B$29*MAX(0,MIN(100,MIN(1,IF($Q748="",0,$Q748)/Config!$B$23)*100))))),"")
</f>
        <v/>
      </c>
      <c r="S748" s="40" t="str">
        <f>IF(Bids!$D748="","",Bids!$D748)</f>
        <v/>
      </c>
      <c r="T748" s="40" t="str">
        <f>IF(Bids!$F748="","",Bids!$F748)</f>
        <v/>
      </c>
      <c r="U748" s="40" t="str">
        <f t="shared" si="3"/>
        <v/>
      </c>
      <c r="V748" s="40" t="str">
        <f>IF($U748="","",IF(Config!$B$17=Config!$B$16,IF($U748&gt;=Config!$B$17,100,0),MAX(0,MIN(100,($U748-Config!$B$16)/(Config!$B$17-Config!$B$16)*100))))</f>
        <v/>
      </c>
      <c r="W748" s="40">
        <f>IF($L748="Elite",Config!$B$21,0)</f>
        <v>0</v>
      </c>
      <c r="X748" s="40" t="str">
        <f>IFERROR(IF(OR($T748="",$G748=""),"",IF($T748&gt;$G748,
  MAX(0, 60-(($T748-$G748)*24/Config!$B$19)*60),
  MEDIAN(60, 100, 60+(($G748-$T748)*24/Config!$B$20)*40)
)),"")
</f>
        <v/>
      </c>
      <c r="Y748" s="40" t="str">
        <f>IF($J748="","",IFERROR(VLOOKUP($J748,Grinders!$A:$N,10,FALSE),""))</f>
        <v/>
      </c>
      <c r="Z748" s="40" t="str">
        <f>IF($J748="","",IFERROR(VLOOKUP($J748,Grinders!$A:$N,11,FALSE),""))</f>
        <v/>
      </c>
      <c r="AA748" s="40" t="str">
        <f>IF($J748="","",IFERROR(VLOOKUP($J748,Grinders!$A:$N,12,FALSE),""))</f>
        <v/>
      </c>
      <c r="AB748" s="40">
        <f>IFERROR(IF(OR($C748="",$J748=""),0,IF($D748&lt;&gt;"Open",0,IF(COUNTIFS(GrinderServices!$B:$B,$J748,GrinderServices!$C:$C,$E748,GrinderServices!$E:$E,"Y")=0,0,IF($U748&lt;Config!$B$16,0,IF(Config!$B$18=1,IF($N748&gt;=$M748,0,1),1))))),"")</f>
        <v>0</v>
      </c>
      <c r="AC748" s="40" t="str">
        <f>IFERROR(IF($AB748=0,"",((Config!$B$6*$V748 + Config!$B$7*$R748 + Config!$B$8*$W748 + Config!$B$9*$X748 + Config!$B$10*$Y748 + Config!$B$11*$Z748 - Config!$B$12*$AA748)/Config!$B$13)+$AH748+$AI748),"")</f>
        <v/>
      </c>
      <c r="AD748" s="40" t="str">
        <f t="shared" si="4"/>
        <v/>
      </c>
      <c r="AE748" s="40" t="str">
        <f>IFERROR(__xludf.DUMMYFUNCTION("IF($AC748="""","""",IF($AC748=IFERROR(MAX(FILTER($AC$6:$AC$1000,$C$6:$C$1000=$C748,$AB$6:$AB$1000=1)),),""WINNER"",""""))"),"")</f>
        <v/>
      </c>
      <c r="AF748" s="40" t="str">
        <f t="shared" si="5"/>
        <v/>
      </c>
      <c r="AG748" s="40" t="str">
        <f>IF($J748="","",COUNTIF(Assignments!$B:$B,$J748))</f>
        <v/>
      </c>
      <c r="AH748" s="40" t="str">
        <f>IF($J748="","",IF(AND($AG748=0,$N748&lt;$M748),Config!$B$43,0))</f>
        <v/>
      </c>
      <c r="AI748" s="40" t="str">
        <f>IF($J748="","",IF(AND($L748="Elite",$F748&gt;=Config!$B$41,$N748&lt;$M748),Config!$B$42,0))</f>
        <v/>
      </c>
      <c r="AJ748" s="22"/>
    </row>
    <row r="749" ht="15.75" customHeight="1">
      <c r="A749" s="40" t="str">
        <f t="shared" si="1"/>
        <v/>
      </c>
      <c r="B749" s="40" t="str">
        <f>IF(Bids!$A749="","",Bids!$A749)</f>
        <v/>
      </c>
      <c r="C749" s="40" t="str">
        <f>IF(Bids!$B749="","",Bids!$B749)</f>
        <v/>
      </c>
      <c r="D749" s="40" t="str">
        <f>IF($C749="","",IFERROR(VLOOKUP($C749,Orders!$A:$J,9,FALSE),""))</f>
        <v/>
      </c>
      <c r="E749" s="40" t="str">
        <f>IF($C749="","",IFERROR(VLOOKUP($C749,Orders!$A:$J,3,FALSE),""))</f>
        <v/>
      </c>
      <c r="F749" s="40" t="str">
        <f>IF($C749="","",IFERROR(VLOOKUP($C749,Orders!$A:$J,4,FALSE),""))</f>
        <v/>
      </c>
      <c r="G749" s="40" t="str">
        <f>IF($C749="","",IFERROR(VLOOKUP($C749,Orders!$A:$J,5,FALSE),""))</f>
        <v/>
      </c>
      <c r="H749" s="40" t="str">
        <f>IF($C749="","",IFERROR(VLOOKUP($C749,Orders!$A:$J,6,FALSE),""))</f>
        <v/>
      </c>
      <c r="I749" s="40" t="str">
        <f>IF($C749="","",IFERROR(VLOOKUP($C749,Orders!$A:$J,7,FALSE),""))</f>
        <v/>
      </c>
      <c r="J749" s="40" t="str">
        <f>IF(Bids!$C749="","",Bids!$C749)</f>
        <v/>
      </c>
      <c r="K749" s="40" t="str">
        <f>IF($J749="","",IFERROR(VLOOKUP($J749,Grinders!$A:$N,2,FALSE),""))</f>
        <v/>
      </c>
      <c r="L749" s="40" t="str">
        <f>IF($J749="","",IFERROR(VLOOKUP($J749,Grinders!$A:$N,3,FALSE),""))</f>
        <v/>
      </c>
      <c r="M749" s="40" t="str">
        <f>IF($J749="","",IFERROR(VLOOKUP($J749,Grinders!$A:$N,4,FALSE),""))</f>
        <v/>
      </c>
      <c r="N749" s="40" t="str">
        <f>IF($J749="","",IFERROR(VLOOKUP($J749,Grinders!$A:$N,5,FALSE),""))</f>
        <v/>
      </c>
      <c r="O749" s="40" t="str">
        <f t="shared" si="2"/>
        <v/>
      </c>
      <c r="P749" s="40" t="str">
        <f>IF($J749="","",IFERROR(VLOOKUP($J749,Grinders!$A:$N,6,FALSE),""))</f>
        <v/>
      </c>
      <c r="Q749" s="40" t="str">
        <f>IF($J749="","",IFERROR(VLOOKUP($J749,Grinders!$A:$N,8,FALSE),""))</f>
        <v/>
      </c>
      <c r="R749" s="40" t="str">
        <f>IFERROR(IF($J749="","",IF($L749="Elite",MAX(50,MIN(100,Config!$B$27*MAX(0,MIN(100,(1-IF($O749="",0,$O749))*100)) + Config!$B$28*MAX(0,MIN(100,(1-MIN(1,IF(Config!$B$30=0,1,$P749/Config!$B$30)))*100)) + Config!$B$29*MAX(0,MIN(100,MIN(1,IF($Q749="",0,$Q749)/Config!$B$23)*100)))),MIN(100,Config!$B$27*MAX(0,MIN(100,(1-IF($O749="",0,$O749))*100)) + Config!$B$28*MAX(0,MIN(100,(1-MIN(1,IF(Config!$B$30=0,1,$P749/Config!$B$30)))*100)) + Config!$B$29*MAX(0,MIN(100,MIN(1,IF($Q749="",0,$Q749)/Config!$B$23)*100))))),"")
</f>
        <v/>
      </c>
      <c r="S749" s="40" t="str">
        <f>IF(Bids!$D749="","",Bids!$D749)</f>
        <v/>
      </c>
      <c r="T749" s="40" t="str">
        <f>IF(Bids!$F749="","",Bids!$F749)</f>
        <v/>
      </c>
      <c r="U749" s="40" t="str">
        <f t="shared" si="3"/>
        <v/>
      </c>
      <c r="V749" s="40" t="str">
        <f>IF($U749="","",IF(Config!$B$17=Config!$B$16,IF($U749&gt;=Config!$B$17,100,0),MAX(0,MIN(100,($U749-Config!$B$16)/(Config!$B$17-Config!$B$16)*100))))</f>
        <v/>
      </c>
      <c r="W749" s="40">
        <f>IF($L749="Elite",Config!$B$21,0)</f>
        <v>0</v>
      </c>
      <c r="X749" s="40" t="str">
        <f>IFERROR(IF(OR($T749="",$G749=""),"",IF($T749&gt;$G749,
  MAX(0, 60-(($T749-$G749)*24/Config!$B$19)*60),
  MEDIAN(60, 100, 60+(($G749-$T749)*24/Config!$B$20)*40)
)),"")
</f>
        <v/>
      </c>
      <c r="Y749" s="40" t="str">
        <f>IF($J749="","",IFERROR(VLOOKUP($J749,Grinders!$A:$N,10,FALSE),""))</f>
        <v/>
      </c>
      <c r="Z749" s="40" t="str">
        <f>IF($J749="","",IFERROR(VLOOKUP($J749,Grinders!$A:$N,11,FALSE),""))</f>
        <v/>
      </c>
      <c r="AA749" s="40" t="str">
        <f>IF($J749="","",IFERROR(VLOOKUP($J749,Grinders!$A:$N,12,FALSE),""))</f>
        <v/>
      </c>
      <c r="AB749" s="40">
        <f>IFERROR(IF(OR($C749="",$J749=""),0,IF($D749&lt;&gt;"Open",0,IF(COUNTIFS(GrinderServices!$B:$B,$J749,GrinderServices!$C:$C,$E749,GrinderServices!$E:$E,"Y")=0,0,IF($U749&lt;Config!$B$16,0,IF(Config!$B$18=1,IF($N749&gt;=$M749,0,1),1))))),"")</f>
        <v>0</v>
      </c>
      <c r="AC749" s="40" t="str">
        <f>IFERROR(IF($AB749=0,"",((Config!$B$6*$V749 + Config!$B$7*$R749 + Config!$B$8*$W749 + Config!$B$9*$X749 + Config!$B$10*$Y749 + Config!$B$11*$Z749 - Config!$B$12*$AA749)/Config!$B$13)+$AH749+$AI749),"")</f>
        <v/>
      </c>
      <c r="AD749" s="40" t="str">
        <f t="shared" si="4"/>
        <v/>
      </c>
      <c r="AE749" s="40" t="str">
        <f>IFERROR(__xludf.DUMMYFUNCTION("IF($AC749="""","""",IF($AC749=IFERROR(MAX(FILTER($AC$6:$AC$1000,$C$6:$C$1000=$C749,$AB$6:$AB$1000=1)),),""WINNER"",""""))"),"")</f>
        <v/>
      </c>
      <c r="AF749" s="40" t="str">
        <f t="shared" si="5"/>
        <v/>
      </c>
      <c r="AG749" s="40" t="str">
        <f>IF($J749="","",COUNTIF(Assignments!$B:$B,$J749))</f>
        <v/>
      </c>
      <c r="AH749" s="40" t="str">
        <f>IF($J749="","",IF(AND($AG749=0,$N749&lt;$M749),Config!$B$43,0))</f>
        <v/>
      </c>
      <c r="AI749" s="40" t="str">
        <f>IF($J749="","",IF(AND($L749="Elite",$F749&gt;=Config!$B$41,$N749&lt;$M749),Config!$B$42,0))</f>
        <v/>
      </c>
      <c r="AJ749" s="22"/>
    </row>
    <row r="750" ht="15.75" customHeight="1">
      <c r="A750" s="40" t="str">
        <f t="shared" si="1"/>
        <v/>
      </c>
      <c r="B750" s="40" t="str">
        <f>IF(Bids!$A750="","",Bids!$A750)</f>
        <v/>
      </c>
      <c r="C750" s="40" t="str">
        <f>IF(Bids!$B750="","",Bids!$B750)</f>
        <v/>
      </c>
      <c r="D750" s="40" t="str">
        <f>IF($C750="","",IFERROR(VLOOKUP($C750,Orders!$A:$J,9,FALSE),""))</f>
        <v/>
      </c>
      <c r="E750" s="40" t="str">
        <f>IF($C750="","",IFERROR(VLOOKUP($C750,Orders!$A:$J,3,FALSE),""))</f>
        <v/>
      </c>
      <c r="F750" s="40" t="str">
        <f>IF($C750="","",IFERROR(VLOOKUP($C750,Orders!$A:$J,4,FALSE),""))</f>
        <v/>
      </c>
      <c r="G750" s="40" t="str">
        <f>IF($C750="","",IFERROR(VLOOKUP($C750,Orders!$A:$J,5,FALSE),""))</f>
        <v/>
      </c>
      <c r="H750" s="40" t="str">
        <f>IF($C750="","",IFERROR(VLOOKUP($C750,Orders!$A:$J,6,FALSE),""))</f>
        <v/>
      </c>
      <c r="I750" s="40" t="str">
        <f>IF($C750="","",IFERROR(VLOOKUP($C750,Orders!$A:$J,7,FALSE),""))</f>
        <v/>
      </c>
      <c r="J750" s="40" t="str">
        <f>IF(Bids!$C750="","",Bids!$C750)</f>
        <v/>
      </c>
      <c r="K750" s="40" t="str">
        <f>IF($J750="","",IFERROR(VLOOKUP($J750,Grinders!$A:$N,2,FALSE),""))</f>
        <v/>
      </c>
      <c r="L750" s="40" t="str">
        <f>IF($J750="","",IFERROR(VLOOKUP($J750,Grinders!$A:$N,3,FALSE),""))</f>
        <v/>
      </c>
      <c r="M750" s="40" t="str">
        <f>IF($J750="","",IFERROR(VLOOKUP($J750,Grinders!$A:$N,4,FALSE),""))</f>
        <v/>
      </c>
      <c r="N750" s="40" t="str">
        <f>IF($J750="","",IFERROR(VLOOKUP($J750,Grinders!$A:$N,5,FALSE),""))</f>
        <v/>
      </c>
      <c r="O750" s="40" t="str">
        <f t="shared" si="2"/>
        <v/>
      </c>
      <c r="P750" s="40" t="str">
        <f>IF($J750="","",IFERROR(VLOOKUP($J750,Grinders!$A:$N,6,FALSE),""))</f>
        <v/>
      </c>
      <c r="Q750" s="40" t="str">
        <f>IF($J750="","",IFERROR(VLOOKUP($J750,Grinders!$A:$N,8,FALSE),""))</f>
        <v/>
      </c>
      <c r="R750" s="40" t="str">
        <f>IFERROR(IF($J750="","",IF($L750="Elite",MAX(50,MIN(100,Config!$B$27*MAX(0,MIN(100,(1-IF($O750="",0,$O750))*100)) + Config!$B$28*MAX(0,MIN(100,(1-MIN(1,IF(Config!$B$30=0,1,$P750/Config!$B$30)))*100)) + Config!$B$29*MAX(0,MIN(100,MIN(1,IF($Q750="",0,$Q750)/Config!$B$23)*100)))),MIN(100,Config!$B$27*MAX(0,MIN(100,(1-IF($O750="",0,$O750))*100)) + Config!$B$28*MAX(0,MIN(100,(1-MIN(1,IF(Config!$B$30=0,1,$P750/Config!$B$30)))*100)) + Config!$B$29*MAX(0,MIN(100,MIN(1,IF($Q750="",0,$Q750)/Config!$B$23)*100))))),"")
</f>
        <v/>
      </c>
      <c r="S750" s="40" t="str">
        <f>IF(Bids!$D750="","",Bids!$D750)</f>
        <v/>
      </c>
      <c r="T750" s="40" t="str">
        <f>IF(Bids!$F750="","",Bids!$F750)</f>
        <v/>
      </c>
      <c r="U750" s="40" t="str">
        <f t="shared" si="3"/>
        <v/>
      </c>
      <c r="V750" s="40" t="str">
        <f>IF($U750="","",IF(Config!$B$17=Config!$B$16,IF($U750&gt;=Config!$B$17,100,0),MAX(0,MIN(100,($U750-Config!$B$16)/(Config!$B$17-Config!$B$16)*100))))</f>
        <v/>
      </c>
      <c r="W750" s="40">
        <f>IF($L750="Elite",Config!$B$21,0)</f>
        <v>0</v>
      </c>
      <c r="X750" s="40" t="str">
        <f>IFERROR(IF(OR($T750="",$G750=""),"",IF($T750&gt;$G750,
  MAX(0, 60-(($T750-$G750)*24/Config!$B$19)*60),
  MEDIAN(60, 100, 60+(($G750-$T750)*24/Config!$B$20)*40)
)),"")
</f>
        <v/>
      </c>
      <c r="Y750" s="40" t="str">
        <f>IF($J750="","",IFERROR(VLOOKUP($J750,Grinders!$A:$N,10,FALSE),""))</f>
        <v/>
      </c>
      <c r="Z750" s="40" t="str">
        <f>IF($J750="","",IFERROR(VLOOKUP($J750,Grinders!$A:$N,11,FALSE),""))</f>
        <v/>
      </c>
      <c r="AA750" s="40" t="str">
        <f>IF($J750="","",IFERROR(VLOOKUP($J750,Grinders!$A:$N,12,FALSE),""))</f>
        <v/>
      </c>
      <c r="AB750" s="40">
        <f>IFERROR(IF(OR($C750="",$J750=""),0,IF($D750&lt;&gt;"Open",0,IF(COUNTIFS(GrinderServices!$B:$B,$J750,GrinderServices!$C:$C,$E750,GrinderServices!$E:$E,"Y")=0,0,IF($U750&lt;Config!$B$16,0,IF(Config!$B$18=1,IF($N750&gt;=$M750,0,1),1))))),"")</f>
        <v>0</v>
      </c>
      <c r="AC750" s="40" t="str">
        <f>IFERROR(IF($AB750=0,"",((Config!$B$6*$V750 + Config!$B$7*$R750 + Config!$B$8*$W750 + Config!$B$9*$X750 + Config!$B$10*$Y750 + Config!$B$11*$Z750 - Config!$B$12*$AA750)/Config!$B$13)+$AH750+$AI750),"")</f>
        <v/>
      </c>
      <c r="AD750" s="40" t="str">
        <f t="shared" si="4"/>
        <v/>
      </c>
      <c r="AE750" s="40" t="str">
        <f>IFERROR(__xludf.DUMMYFUNCTION("IF($AC750="""","""",IF($AC750=IFERROR(MAX(FILTER($AC$6:$AC$1000,$C$6:$C$1000=$C750,$AB$6:$AB$1000=1)),),""WINNER"",""""))"),"")</f>
        <v/>
      </c>
      <c r="AF750" s="40" t="str">
        <f t="shared" si="5"/>
        <v/>
      </c>
      <c r="AG750" s="40" t="str">
        <f>IF($J750="","",COUNTIF(Assignments!$B:$B,$J750))</f>
        <v/>
      </c>
      <c r="AH750" s="40" t="str">
        <f>IF($J750="","",IF(AND($AG750=0,$N750&lt;$M750),Config!$B$43,0))</f>
        <v/>
      </c>
      <c r="AI750" s="40" t="str">
        <f>IF($J750="","",IF(AND($L750="Elite",$F750&gt;=Config!$B$41,$N750&lt;$M750),Config!$B$42,0))</f>
        <v/>
      </c>
      <c r="AJ750" s="22"/>
    </row>
    <row r="751" ht="15.75" customHeight="1">
      <c r="A751" s="40" t="str">
        <f t="shared" si="1"/>
        <v/>
      </c>
      <c r="B751" s="40" t="str">
        <f>IF(Bids!$A751="","",Bids!$A751)</f>
        <v/>
      </c>
      <c r="C751" s="40" t="str">
        <f>IF(Bids!$B751="","",Bids!$B751)</f>
        <v/>
      </c>
      <c r="D751" s="40" t="str">
        <f>IF($C751="","",IFERROR(VLOOKUP($C751,Orders!$A:$J,9,FALSE),""))</f>
        <v/>
      </c>
      <c r="E751" s="40" t="str">
        <f>IF($C751="","",IFERROR(VLOOKUP($C751,Orders!$A:$J,3,FALSE),""))</f>
        <v/>
      </c>
      <c r="F751" s="40" t="str">
        <f>IF($C751="","",IFERROR(VLOOKUP($C751,Orders!$A:$J,4,FALSE),""))</f>
        <v/>
      </c>
      <c r="G751" s="40" t="str">
        <f>IF($C751="","",IFERROR(VLOOKUP($C751,Orders!$A:$J,5,FALSE),""))</f>
        <v/>
      </c>
      <c r="H751" s="40" t="str">
        <f>IF($C751="","",IFERROR(VLOOKUP($C751,Orders!$A:$J,6,FALSE),""))</f>
        <v/>
      </c>
      <c r="I751" s="40" t="str">
        <f>IF($C751="","",IFERROR(VLOOKUP($C751,Orders!$A:$J,7,FALSE),""))</f>
        <v/>
      </c>
      <c r="J751" s="40" t="str">
        <f>IF(Bids!$C751="","",Bids!$C751)</f>
        <v/>
      </c>
      <c r="K751" s="40" t="str">
        <f>IF($J751="","",IFERROR(VLOOKUP($J751,Grinders!$A:$N,2,FALSE),""))</f>
        <v/>
      </c>
      <c r="L751" s="40" t="str">
        <f>IF($J751="","",IFERROR(VLOOKUP($J751,Grinders!$A:$N,3,FALSE),""))</f>
        <v/>
      </c>
      <c r="M751" s="40" t="str">
        <f>IF($J751="","",IFERROR(VLOOKUP($J751,Grinders!$A:$N,4,FALSE),""))</f>
        <v/>
      </c>
      <c r="N751" s="40" t="str">
        <f>IF($J751="","",IFERROR(VLOOKUP($J751,Grinders!$A:$N,5,FALSE),""))</f>
        <v/>
      </c>
      <c r="O751" s="40" t="str">
        <f t="shared" si="2"/>
        <v/>
      </c>
      <c r="P751" s="40" t="str">
        <f>IF($J751="","",IFERROR(VLOOKUP($J751,Grinders!$A:$N,6,FALSE),""))</f>
        <v/>
      </c>
      <c r="Q751" s="40" t="str">
        <f>IF($J751="","",IFERROR(VLOOKUP($J751,Grinders!$A:$N,8,FALSE),""))</f>
        <v/>
      </c>
      <c r="R751" s="40" t="str">
        <f>IFERROR(IF($J751="","",IF($L751="Elite",MAX(50,MIN(100,Config!$B$27*MAX(0,MIN(100,(1-IF($O751="",0,$O751))*100)) + Config!$B$28*MAX(0,MIN(100,(1-MIN(1,IF(Config!$B$30=0,1,$P751/Config!$B$30)))*100)) + Config!$B$29*MAX(0,MIN(100,MIN(1,IF($Q751="",0,$Q751)/Config!$B$23)*100)))),MIN(100,Config!$B$27*MAX(0,MIN(100,(1-IF($O751="",0,$O751))*100)) + Config!$B$28*MAX(0,MIN(100,(1-MIN(1,IF(Config!$B$30=0,1,$P751/Config!$B$30)))*100)) + Config!$B$29*MAX(0,MIN(100,MIN(1,IF($Q751="",0,$Q751)/Config!$B$23)*100))))),"")
</f>
        <v/>
      </c>
      <c r="S751" s="40" t="str">
        <f>IF(Bids!$D751="","",Bids!$D751)</f>
        <v/>
      </c>
      <c r="T751" s="40" t="str">
        <f>IF(Bids!$F751="","",Bids!$F751)</f>
        <v/>
      </c>
      <c r="U751" s="40" t="str">
        <f t="shared" si="3"/>
        <v/>
      </c>
      <c r="V751" s="40" t="str">
        <f>IF($U751="","",IF(Config!$B$17=Config!$B$16,IF($U751&gt;=Config!$B$17,100,0),MAX(0,MIN(100,($U751-Config!$B$16)/(Config!$B$17-Config!$B$16)*100))))</f>
        <v/>
      </c>
      <c r="W751" s="40">
        <f>IF($L751="Elite",Config!$B$21,0)</f>
        <v>0</v>
      </c>
      <c r="X751" s="40" t="str">
        <f>IFERROR(IF(OR($T751="",$G751=""),"",IF($T751&gt;$G751,
  MAX(0, 60-(($T751-$G751)*24/Config!$B$19)*60),
  MEDIAN(60, 100, 60+(($G751-$T751)*24/Config!$B$20)*40)
)),"")
</f>
        <v/>
      </c>
      <c r="Y751" s="40" t="str">
        <f>IF($J751="","",IFERROR(VLOOKUP($J751,Grinders!$A:$N,10,FALSE),""))</f>
        <v/>
      </c>
      <c r="Z751" s="40" t="str">
        <f>IF($J751="","",IFERROR(VLOOKUP($J751,Grinders!$A:$N,11,FALSE),""))</f>
        <v/>
      </c>
      <c r="AA751" s="40" t="str">
        <f>IF($J751="","",IFERROR(VLOOKUP($J751,Grinders!$A:$N,12,FALSE),""))</f>
        <v/>
      </c>
      <c r="AB751" s="40">
        <f>IFERROR(IF(OR($C751="",$J751=""),0,IF($D751&lt;&gt;"Open",0,IF(COUNTIFS(GrinderServices!$B:$B,$J751,GrinderServices!$C:$C,$E751,GrinderServices!$E:$E,"Y")=0,0,IF($U751&lt;Config!$B$16,0,IF(Config!$B$18=1,IF($N751&gt;=$M751,0,1),1))))),"")</f>
        <v>0</v>
      </c>
      <c r="AC751" s="40" t="str">
        <f>IFERROR(IF($AB751=0,"",((Config!$B$6*$V751 + Config!$B$7*$R751 + Config!$B$8*$W751 + Config!$B$9*$X751 + Config!$B$10*$Y751 + Config!$B$11*$Z751 - Config!$B$12*$AA751)/Config!$B$13)+$AH751+$AI751),"")</f>
        <v/>
      </c>
      <c r="AD751" s="40" t="str">
        <f t="shared" si="4"/>
        <v/>
      </c>
      <c r="AE751" s="40" t="str">
        <f>IFERROR(__xludf.DUMMYFUNCTION("IF($AC751="""","""",IF($AC751=IFERROR(MAX(FILTER($AC$6:$AC$1000,$C$6:$C$1000=$C751,$AB$6:$AB$1000=1)),),""WINNER"",""""))"),"")</f>
        <v/>
      </c>
      <c r="AF751" s="40" t="str">
        <f t="shared" si="5"/>
        <v/>
      </c>
      <c r="AG751" s="40" t="str">
        <f>IF($J751="","",COUNTIF(Assignments!$B:$B,$J751))</f>
        <v/>
      </c>
      <c r="AH751" s="40" t="str">
        <f>IF($J751="","",IF(AND($AG751=0,$N751&lt;$M751),Config!$B$43,0))</f>
        <v/>
      </c>
      <c r="AI751" s="40" t="str">
        <f>IF($J751="","",IF(AND($L751="Elite",$F751&gt;=Config!$B$41,$N751&lt;$M751),Config!$B$42,0))</f>
        <v/>
      </c>
      <c r="AJ751" s="22"/>
    </row>
    <row r="752" ht="15.75" customHeight="1">
      <c r="A752" s="40" t="str">
        <f t="shared" si="1"/>
        <v/>
      </c>
      <c r="B752" s="40" t="str">
        <f>IF(Bids!$A752="","",Bids!$A752)</f>
        <v/>
      </c>
      <c r="C752" s="40" t="str">
        <f>IF(Bids!$B752="","",Bids!$B752)</f>
        <v/>
      </c>
      <c r="D752" s="40" t="str">
        <f>IF($C752="","",IFERROR(VLOOKUP($C752,Orders!$A:$J,9,FALSE),""))</f>
        <v/>
      </c>
      <c r="E752" s="40" t="str">
        <f>IF($C752="","",IFERROR(VLOOKUP($C752,Orders!$A:$J,3,FALSE),""))</f>
        <v/>
      </c>
      <c r="F752" s="40" t="str">
        <f>IF($C752="","",IFERROR(VLOOKUP($C752,Orders!$A:$J,4,FALSE),""))</f>
        <v/>
      </c>
      <c r="G752" s="40" t="str">
        <f>IF($C752="","",IFERROR(VLOOKUP($C752,Orders!$A:$J,5,FALSE),""))</f>
        <v/>
      </c>
      <c r="H752" s="40" t="str">
        <f>IF($C752="","",IFERROR(VLOOKUP($C752,Orders!$A:$J,6,FALSE),""))</f>
        <v/>
      </c>
      <c r="I752" s="40" t="str">
        <f>IF($C752="","",IFERROR(VLOOKUP($C752,Orders!$A:$J,7,FALSE),""))</f>
        <v/>
      </c>
      <c r="J752" s="40" t="str">
        <f>IF(Bids!$C752="","",Bids!$C752)</f>
        <v/>
      </c>
      <c r="K752" s="40" t="str">
        <f>IF($J752="","",IFERROR(VLOOKUP($J752,Grinders!$A:$N,2,FALSE),""))</f>
        <v/>
      </c>
      <c r="L752" s="40" t="str">
        <f>IF($J752="","",IFERROR(VLOOKUP($J752,Grinders!$A:$N,3,FALSE),""))</f>
        <v/>
      </c>
      <c r="M752" s="40" t="str">
        <f>IF($J752="","",IFERROR(VLOOKUP($J752,Grinders!$A:$N,4,FALSE),""))</f>
        <v/>
      </c>
      <c r="N752" s="40" t="str">
        <f>IF($J752="","",IFERROR(VLOOKUP($J752,Grinders!$A:$N,5,FALSE),""))</f>
        <v/>
      </c>
      <c r="O752" s="40" t="str">
        <f t="shared" si="2"/>
        <v/>
      </c>
      <c r="P752" s="40" t="str">
        <f>IF($J752="","",IFERROR(VLOOKUP($J752,Grinders!$A:$N,6,FALSE),""))</f>
        <v/>
      </c>
      <c r="Q752" s="40" t="str">
        <f>IF($J752="","",IFERROR(VLOOKUP($J752,Grinders!$A:$N,8,FALSE),""))</f>
        <v/>
      </c>
      <c r="R752" s="40" t="str">
        <f>IFERROR(IF($J752="","",IF($L752="Elite",MAX(50,MIN(100,Config!$B$27*MAX(0,MIN(100,(1-IF($O752="",0,$O752))*100)) + Config!$B$28*MAX(0,MIN(100,(1-MIN(1,IF(Config!$B$30=0,1,$P752/Config!$B$30)))*100)) + Config!$B$29*MAX(0,MIN(100,MIN(1,IF($Q752="",0,$Q752)/Config!$B$23)*100)))),MIN(100,Config!$B$27*MAX(0,MIN(100,(1-IF($O752="",0,$O752))*100)) + Config!$B$28*MAX(0,MIN(100,(1-MIN(1,IF(Config!$B$30=0,1,$P752/Config!$B$30)))*100)) + Config!$B$29*MAX(0,MIN(100,MIN(1,IF($Q752="",0,$Q752)/Config!$B$23)*100))))),"")
</f>
        <v/>
      </c>
      <c r="S752" s="40" t="str">
        <f>IF(Bids!$D752="","",Bids!$D752)</f>
        <v/>
      </c>
      <c r="T752" s="40" t="str">
        <f>IF(Bids!$F752="","",Bids!$F752)</f>
        <v/>
      </c>
      <c r="U752" s="40" t="str">
        <f t="shared" si="3"/>
        <v/>
      </c>
      <c r="V752" s="40" t="str">
        <f>IF($U752="","",IF(Config!$B$17=Config!$B$16,IF($U752&gt;=Config!$B$17,100,0),MAX(0,MIN(100,($U752-Config!$B$16)/(Config!$B$17-Config!$B$16)*100))))</f>
        <v/>
      </c>
      <c r="W752" s="40">
        <f>IF($L752="Elite",Config!$B$21,0)</f>
        <v>0</v>
      </c>
      <c r="X752" s="40" t="str">
        <f>IFERROR(IF(OR($T752="",$G752=""),"",IF($T752&gt;$G752,
  MAX(0, 60-(($T752-$G752)*24/Config!$B$19)*60),
  MEDIAN(60, 100, 60+(($G752-$T752)*24/Config!$B$20)*40)
)),"")
</f>
        <v/>
      </c>
      <c r="Y752" s="40" t="str">
        <f>IF($J752="","",IFERROR(VLOOKUP($J752,Grinders!$A:$N,10,FALSE),""))</f>
        <v/>
      </c>
      <c r="Z752" s="40" t="str">
        <f>IF($J752="","",IFERROR(VLOOKUP($J752,Grinders!$A:$N,11,FALSE),""))</f>
        <v/>
      </c>
      <c r="AA752" s="40" t="str">
        <f>IF($J752="","",IFERROR(VLOOKUP($J752,Grinders!$A:$N,12,FALSE),""))</f>
        <v/>
      </c>
      <c r="AB752" s="40">
        <f>IFERROR(IF(OR($C752="",$J752=""),0,IF($D752&lt;&gt;"Open",0,IF(COUNTIFS(GrinderServices!$B:$B,$J752,GrinderServices!$C:$C,$E752,GrinderServices!$E:$E,"Y")=0,0,IF($U752&lt;Config!$B$16,0,IF(Config!$B$18=1,IF($N752&gt;=$M752,0,1),1))))),"")</f>
        <v>0</v>
      </c>
      <c r="AC752" s="40" t="str">
        <f>IFERROR(IF($AB752=0,"",((Config!$B$6*$V752 + Config!$B$7*$R752 + Config!$B$8*$W752 + Config!$B$9*$X752 + Config!$B$10*$Y752 + Config!$B$11*$Z752 - Config!$B$12*$AA752)/Config!$B$13)+$AH752+$AI752),"")</f>
        <v/>
      </c>
      <c r="AD752" s="40" t="str">
        <f t="shared" si="4"/>
        <v/>
      </c>
      <c r="AE752" s="40" t="str">
        <f>IFERROR(__xludf.DUMMYFUNCTION("IF($AC752="""","""",IF($AC752=IFERROR(MAX(FILTER($AC$6:$AC$1000,$C$6:$C$1000=$C752,$AB$6:$AB$1000=1)),),""WINNER"",""""))"),"")</f>
        <v/>
      </c>
      <c r="AF752" s="40" t="str">
        <f t="shared" si="5"/>
        <v/>
      </c>
      <c r="AG752" s="40" t="str">
        <f>IF($J752="","",COUNTIF(Assignments!$B:$B,$J752))</f>
        <v/>
      </c>
      <c r="AH752" s="40" t="str">
        <f>IF($J752="","",IF(AND($AG752=0,$N752&lt;$M752),Config!$B$43,0))</f>
        <v/>
      </c>
      <c r="AI752" s="40" t="str">
        <f>IF($J752="","",IF(AND($L752="Elite",$F752&gt;=Config!$B$41,$N752&lt;$M752),Config!$B$42,0))</f>
        <v/>
      </c>
      <c r="AJ752" s="22"/>
    </row>
    <row r="753" ht="15.75" customHeight="1">
      <c r="A753" s="40" t="str">
        <f t="shared" si="1"/>
        <v/>
      </c>
      <c r="B753" s="40" t="str">
        <f>IF(Bids!$A753="","",Bids!$A753)</f>
        <v/>
      </c>
      <c r="C753" s="40" t="str">
        <f>IF(Bids!$B753="","",Bids!$B753)</f>
        <v/>
      </c>
      <c r="D753" s="40" t="str">
        <f>IF($C753="","",IFERROR(VLOOKUP($C753,Orders!$A:$J,9,FALSE),""))</f>
        <v/>
      </c>
      <c r="E753" s="40" t="str">
        <f>IF($C753="","",IFERROR(VLOOKUP($C753,Orders!$A:$J,3,FALSE),""))</f>
        <v/>
      </c>
      <c r="F753" s="40" t="str">
        <f>IF($C753="","",IFERROR(VLOOKUP($C753,Orders!$A:$J,4,FALSE),""))</f>
        <v/>
      </c>
      <c r="G753" s="40" t="str">
        <f>IF($C753="","",IFERROR(VLOOKUP($C753,Orders!$A:$J,5,FALSE),""))</f>
        <v/>
      </c>
      <c r="H753" s="40" t="str">
        <f>IF($C753="","",IFERROR(VLOOKUP($C753,Orders!$A:$J,6,FALSE),""))</f>
        <v/>
      </c>
      <c r="I753" s="40" t="str">
        <f>IF($C753="","",IFERROR(VLOOKUP($C753,Orders!$A:$J,7,FALSE),""))</f>
        <v/>
      </c>
      <c r="J753" s="40" t="str">
        <f>IF(Bids!$C753="","",Bids!$C753)</f>
        <v/>
      </c>
      <c r="K753" s="40" t="str">
        <f>IF($J753="","",IFERROR(VLOOKUP($J753,Grinders!$A:$N,2,FALSE),""))</f>
        <v/>
      </c>
      <c r="L753" s="40" t="str">
        <f>IF($J753="","",IFERROR(VLOOKUP($J753,Grinders!$A:$N,3,FALSE),""))</f>
        <v/>
      </c>
      <c r="M753" s="40" t="str">
        <f>IF($J753="","",IFERROR(VLOOKUP($J753,Grinders!$A:$N,4,FALSE),""))</f>
        <v/>
      </c>
      <c r="N753" s="40" t="str">
        <f>IF($J753="","",IFERROR(VLOOKUP($J753,Grinders!$A:$N,5,FALSE),""))</f>
        <v/>
      </c>
      <c r="O753" s="40" t="str">
        <f t="shared" si="2"/>
        <v/>
      </c>
      <c r="P753" s="40" t="str">
        <f>IF($J753="","",IFERROR(VLOOKUP($J753,Grinders!$A:$N,6,FALSE),""))</f>
        <v/>
      </c>
      <c r="Q753" s="40" t="str">
        <f>IF($J753="","",IFERROR(VLOOKUP($J753,Grinders!$A:$N,8,FALSE),""))</f>
        <v/>
      </c>
      <c r="R753" s="40" t="str">
        <f>IFERROR(IF($J753="","",IF($L753="Elite",MAX(50,MIN(100,Config!$B$27*MAX(0,MIN(100,(1-IF($O753="",0,$O753))*100)) + Config!$B$28*MAX(0,MIN(100,(1-MIN(1,IF(Config!$B$30=0,1,$P753/Config!$B$30)))*100)) + Config!$B$29*MAX(0,MIN(100,MIN(1,IF($Q753="",0,$Q753)/Config!$B$23)*100)))),MIN(100,Config!$B$27*MAX(0,MIN(100,(1-IF($O753="",0,$O753))*100)) + Config!$B$28*MAX(0,MIN(100,(1-MIN(1,IF(Config!$B$30=0,1,$P753/Config!$B$30)))*100)) + Config!$B$29*MAX(0,MIN(100,MIN(1,IF($Q753="",0,$Q753)/Config!$B$23)*100))))),"")
</f>
        <v/>
      </c>
      <c r="S753" s="40" t="str">
        <f>IF(Bids!$D753="","",Bids!$D753)</f>
        <v/>
      </c>
      <c r="T753" s="40" t="str">
        <f>IF(Bids!$F753="","",Bids!$F753)</f>
        <v/>
      </c>
      <c r="U753" s="40" t="str">
        <f t="shared" si="3"/>
        <v/>
      </c>
      <c r="V753" s="40" t="str">
        <f>IF($U753="","",IF(Config!$B$17=Config!$B$16,IF($U753&gt;=Config!$B$17,100,0),MAX(0,MIN(100,($U753-Config!$B$16)/(Config!$B$17-Config!$B$16)*100))))</f>
        <v/>
      </c>
      <c r="W753" s="40">
        <f>IF($L753="Elite",Config!$B$21,0)</f>
        <v>0</v>
      </c>
      <c r="X753" s="40" t="str">
        <f>IFERROR(IF(OR($T753="",$G753=""),"",IF($T753&gt;$G753,
  MAX(0, 60-(($T753-$G753)*24/Config!$B$19)*60),
  MEDIAN(60, 100, 60+(($G753-$T753)*24/Config!$B$20)*40)
)),"")
</f>
        <v/>
      </c>
      <c r="Y753" s="40" t="str">
        <f>IF($J753="","",IFERROR(VLOOKUP($J753,Grinders!$A:$N,10,FALSE),""))</f>
        <v/>
      </c>
      <c r="Z753" s="40" t="str">
        <f>IF($J753="","",IFERROR(VLOOKUP($J753,Grinders!$A:$N,11,FALSE),""))</f>
        <v/>
      </c>
      <c r="AA753" s="40" t="str">
        <f>IF($J753="","",IFERROR(VLOOKUP($J753,Grinders!$A:$N,12,FALSE),""))</f>
        <v/>
      </c>
      <c r="AB753" s="40">
        <f>IFERROR(IF(OR($C753="",$J753=""),0,IF($D753&lt;&gt;"Open",0,IF(COUNTIFS(GrinderServices!$B:$B,$J753,GrinderServices!$C:$C,$E753,GrinderServices!$E:$E,"Y")=0,0,IF($U753&lt;Config!$B$16,0,IF(Config!$B$18=1,IF($N753&gt;=$M753,0,1),1))))),"")</f>
        <v>0</v>
      </c>
      <c r="AC753" s="40" t="str">
        <f>IFERROR(IF($AB753=0,"",((Config!$B$6*$V753 + Config!$B$7*$R753 + Config!$B$8*$W753 + Config!$B$9*$X753 + Config!$B$10*$Y753 + Config!$B$11*$Z753 - Config!$B$12*$AA753)/Config!$B$13)+$AH753+$AI753),"")</f>
        <v/>
      </c>
      <c r="AD753" s="40" t="str">
        <f t="shared" si="4"/>
        <v/>
      </c>
      <c r="AE753" s="40" t="str">
        <f>IFERROR(__xludf.DUMMYFUNCTION("IF($AC753="""","""",IF($AC753=IFERROR(MAX(FILTER($AC$6:$AC$1000,$C$6:$C$1000=$C753,$AB$6:$AB$1000=1)),),""WINNER"",""""))"),"")</f>
        <v/>
      </c>
      <c r="AF753" s="40" t="str">
        <f t="shared" si="5"/>
        <v/>
      </c>
      <c r="AG753" s="40" t="str">
        <f>IF($J753="","",COUNTIF(Assignments!$B:$B,$J753))</f>
        <v/>
      </c>
      <c r="AH753" s="40" t="str">
        <f>IF($J753="","",IF(AND($AG753=0,$N753&lt;$M753),Config!$B$43,0))</f>
        <v/>
      </c>
      <c r="AI753" s="40" t="str">
        <f>IF($J753="","",IF(AND($L753="Elite",$F753&gt;=Config!$B$41,$N753&lt;$M753),Config!$B$42,0))</f>
        <v/>
      </c>
      <c r="AJ753" s="22"/>
    </row>
    <row r="754" ht="15.75" customHeight="1">
      <c r="A754" s="40" t="str">
        <f t="shared" si="1"/>
        <v/>
      </c>
      <c r="B754" s="40" t="str">
        <f>IF(Bids!$A754="","",Bids!$A754)</f>
        <v/>
      </c>
      <c r="C754" s="40" t="str">
        <f>IF(Bids!$B754="","",Bids!$B754)</f>
        <v/>
      </c>
      <c r="D754" s="40" t="str">
        <f>IF($C754="","",IFERROR(VLOOKUP($C754,Orders!$A:$J,9,FALSE),""))</f>
        <v/>
      </c>
      <c r="E754" s="40" t="str">
        <f>IF($C754="","",IFERROR(VLOOKUP($C754,Orders!$A:$J,3,FALSE),""))</f>
        <v/>
      </c>
      <c r="F754" s="40" t="str">
        <f>IF($C754="","",IFERROR(VLOOKUP($C754,Orders!$A:$J,4,FALSE),""))</f>
        <v/>
      </c>
      <c r="G754" s="40" t="str">
        <f>IF($C754="","",IFERROR(VLOOKUP($C754,Orders!$A:$J,5,FALSE),""))</f>
        <v/>
      </c>
      <c r="H754" s="40" t="str">
        <f>IF($C754="","",IFERROR(VLOOKUP($C754,Orders!$A:$J,6,FALSE),""))</f>
        <v/>
      </c>
      <c r="I754" s="40" t="str">
        <f>IF($C754="","",IFERROR(VLOOKUP($C754,Orders!$A:$J,7,FALSE),""))</f>
        <v/>
      </c>
      <c r="J754" s="40" t="str">
        <f>IF(Bids!$C754="","",Bids!$C754)</f>
        <v/>
      </c>
      <c r="K754" s="40" t="str">
        <f>IF($J754="","",IFERROR(VLOOKUP($J754,Grinders!$A:$N,2,FALSE),""))</f>
        <v/>
      </c>
      <c r="L754" s="40" t="str">
        <f>IF($J754="","",IFERROR(VLOOKUP($J754,Grinders!$A:$N,3,FALSE),""))</f>
        <v/>
      </c>
      <c r="M754" s="40" t="str">
        <f>IF($J754="","",IFERROR(VLOOKUP($J754,Grinders!$A:$N,4,FALSE),""))</f>
        <v/>
      </c>
      <c r="N754" s="40" t="str">
        <f>IF($J754="","",IFERROR(VLOOKUP($J754,Grinders!$A:$N,5,FALSE),""))</f>
        <v/>
      </c>
      <c r="O754" s="40" t="str">
        <f t="shared" si="2"/>
        <v/>
      </c>
      <c r="P754" s="40" t="str">
        <f>IF($J754="","",IFERROR(VLOOKUP($J754,Grinders!$A:$N,6,FALSE),""))</f>
        <v/>
      </c>
      <c r="Q754" s="40" t="str">
        <f>IF($J754="","",IFERROR(VLOOKUP($J754,Grinders!$A:$N,8,FALSE),""))</f>
        <v/>
      </c>
      <c r="R754" s="40" t="str">
        <f>IFERROR(IF($J754="","",IF($L754="Elite",MAX(50,MIN(100,Config!$B$27*MAX(0,MIN(100,(1-IF($O754="",0,$O754))*100)) + Config!$B$28*MAX(0,MIN(100,(1-MIN(1,IF(Config!$B$30=0,1,$P754/Config!$B$30)))*100)) + Config!$B$29*MAX(0,MIN(100,MIN(1,IF($Q754="",0,$Q754)/Config!$B$23)*100)))),MIN(100,Config!$B$27*MAX(0,MIN(100,(1-IF($O754="",0,$O754))*100)) + Config!$B$28*MAX(0,MIN(100,(1-MIN(1,IF(Config!$B$30=0,1,$P754/Config!$B$30)))*100)) + Config!$B$29*MAX(0,MIN(100,MIN(1,IF($Q754="",0,$Q754)/Config!$B$23)*100))))),"")
</f>
        <v/>
      </c>
      <c r="S754" s="40" t="str">
        <f>IF(Bids!$D754="","",Bids!$D754)</f>
        <v/>
      </c>
      <c r="T754" s="40" t="str">
        <f>IF(Bids!$F754="","",Bids!$F754)</f>
        <v/>
      </c>
      <c r="U754" s="40" t="str">
        <f t="shared" si="3"/>
        <v/>
      </c>
      <c r="V754" s="40" t="str">
        <f>IF($U754="","",IF(Config!$B$17=Config!$B$16,IF($U754&gt;=Config!$B$17,100,0),MAX(0,MIN(100,($U754-Config!$B$16)/(Config!$B$17-Config!$B$16)*100))))</f>
        <v/>
      </c>
      <c r="W754" s="40">
        <f>IF($L754="Elite",Config!$B$21,0)</f>
        <v>0</v>
      </c>
      <c r="X754" s="40" t="str">
        <f>IFERROR(IF(OR($T754="",$G754=""),"",IF($T754&gt;$G754,
  MAX(0, 60-(($T754-$G754)*24/Config!$B$19)*60),
  MEDIAN(60, 100, 60+(($G754-$T754)*24/Config!$B$20)*40)
)),"")
</f>
        <v/>
      </c>
      <c r="Y754" s="40" t="str">
        <f>IF($J754="","",IFERROR(VLOOKUP($J754,Grinders!$A:$N,10,FALSE),""))</f>
        <v/>
      </c>
      <c r="Z754" s="40" t="str">
        <f>IF($J754="","",IFERROR(VLOOKUP($J754,Grinders!$A:$N,11,FALSE),""))</f>
        <v/>
      </c>
      <c r="AA754" s="40" t="str">
        <f>IF($J754="","",IFERROR(VLOOKUP($J754,Grinders!$A:$N,12,FALSE),""))</f>
        <v/>
      </c>
      <c r="AB754" s="40">
        <f>IFERROR(IF(OR($C754="",$J754=""),0,IF($D754&lt;&gt;"Open",0,IF(COUNTIFS(GrinderServices!$B:$B,$J754,GrinderServices!$C:$C,$E754,GrinderServices!$E:$E,"Y")=0,0,IF($U754&lt;Config!$B$16,0,IF(Config!$B$18=1,IF($N754&gt;=$M754,0,1),1))))),"")</f>
        <v>0</v>
      </c>
      <c r="AC754" s="40" t="str">
        <f>IFERROR(IF($AB754=0,"",((Config!$B$6*$V754 + Config!$B$7*$R754 + Config!$B$8*$W754 + Config!$B$9*$X754 + Config!$B$10*$Y754 + Config!$B$11*$Z754 - Config!$B$12*$AA754)/Config!$B$13)+$AH754+$AI754),"")</f>
        <v/>
      </c>
      <c r="AD754" s="40" t="str">
        <f t="shared" si="4"/>
        <v/>
      </c>
      <c r="AE754" s="40" t="str">
        <f>IFERROR(__xludf.DUMMYFUNCTION("IF($AC754="""","""",IF($AC754=IFERROR(MAX(FILTER($AC$6:$AC$1000,$C$6:$C$1000=$C754,$AB$6:$AB$1000=1)),),""WINNER"",""""))"),"")</f>
        <v/>
      </c>
      <c r="AF754" s="40" t="str">
        <f t="shared" si="5"/>
        <v/>
      </c>
      <c r="AG754" s="40" t="str">
        <f>IF($J754="","",COUNTIF(Assignments!$B:$B,$J754))</f>
        <v/>
      </c>
      <c r="AH754" s="40" t="str">
        <f>IF($J754="","",IF(AND($AG754=0,$N754&lt;$M754),Config!$B$43,0))</f>
        <v/>
      </c>
      <c r="AI754" s="40" t="str">
        <f>IF($J754="","",IF(AND($L754="Elite",$F754&gt;=Config!$B$41,$N754&lt;$M754),Config!$B$42,0))</f>
        <v/>
      </c>
      <c r="AJ754" s="22"/>
    </row>
    <row r="755" ht="15.75" customHeight="1">
      <c r="A755" s="40" t="str">
        <f t="shared" si="1"/>
        <v/>
      </c>
      <c r="B755" s="40" t="str">
        <f>IF(Bids!$A755="","",Bids!$A755)</f>
        <v/>
      </c>
      <c r="C755" s="40" t="str">
        <f>IF(Bids!$B755="","",Bids!$B755)</f>
        <v/>
      </c>
      <c r="D755" s="40" t="str">
        <f>IF($C755="","",IFERROR(VLOOKUP($C755,Orders!$A:$J,9,FALSE),""))</f>
        <v/>
      </c>
      <c r="E755" s="40" t="str">
        <f>IF($C755="","",IFERROR(VLOOKUP($C755,Orders!$A:$J,3,FALSE),""))</f>
        <v/>
      </c>
      <c r="F755" s="40" t="str">
        <f>IF($C755="","",IFERROR(VLOOKUP($C755,Orders!$A:$J,4,FALSE),""))</f>
        <v/>
      </c>
      <c r="G755" s="40" t="str">
        <f>IF($C755="","",IFERROR(VLOOKUP($C755,Orders!$A:$J,5,FALSE),""))</f>
        <v/>
      </c>
      <c r="H755" s="40" t="str">
        <f>IF($C755="","",IFERROR(VLOOKUP($C755,Orders!$A:$J,6,FALSE),""))</f>
        <v/>
      </c>
      <c r="I755" s="40" t="str">
        <f>IF($C755="","",IFERROR(VLOOKUP($C755,Orders!$A:$J,7,FALSE),""))</f>
        <v/>
      </c>
      <c r="J755" s="40" t="str">
        <f>IF(Bids!$C755="","",Bids!$C755)</f>
        <v/>
      </c>
      <c r="K755" s="40" t="str">
        <f>IF($J755="","",IFERROR(VLOOKUP($J755,Grinders!$A:$N,2,FALSE),""))</f>
        <v/>
      </c>
      <c r="L755" s="40" t="str">
        <f>IF($J755="","",IFERROR(VLOOKUP($J755,Grinders!$A:$N,3,FALSE),""))</f>
        <v/>
      </c>
      <c r="M755" s="40" t="str">
        <f>IF($J755="","",IFERROR(VLOOKUP($J755,Grinders!$A:$N,4,FALSE),""))</f>
        <v/>
      </c>
      <c r="N755" s="40" t="str">
        <f>IF($J755="","",IFERROR(VLOOKUP($J755,Grinders!$A:$N,5,FALSE),""))</f>
        <v/>
      </c>
      <c r="O755" s="40" t="str">
        <f t="shared" si="2"/>
        <v/>
      </c>
      <c r="P755" s="40" t="str">
        <f>IF($J755="","",IFERROR(VLOOKUP($J755,Grinders!$A:$N,6,FALSE),""))</f>
        <v/>
      </c>
      <c r="Q755" s="40" t="str">
        <f>IF($J755="","",IFERROR(VLOOKUP($J755,Grinders!$A:$N,8,FALSE),""))</f>
        <v/>
      </c>
      <c r="R755" s="40" t="str">
        <f>IFERROR(IF($J755="","",IF($L755="Elite",MAX(50,MIN(100,Config!$B$27*MAX(0,MIN(100,(1-IF($O755="",0,$O755))*100)) + Config!$B$28*MAX(0,MIN(100,(1-MIN(1,IF(Config!$B$30=0,1,$P755/Config!$B$30)))*100)) + Config!$B$29*MAX(0,MIN(100,MIN(1,IF($Q755="",0,$Q755)/Config!$B$23)*100)))),MIN(100,Config!$B$27*MAX(0,MIN(100,(1-IF($O755="",0,$O755))*100)) + Config!$B$28*MAX(0,MIN(100,(1-MIN(1,IF(Config!$B$30=0,1,$P755/Config!$B$30)))*100)) + Config!$B$29*MAX(0,MIN(100,MIN(1,IF($Q755="",0,$Q755)/Config!$B$23)*100))))),"")
</f>
        <v/>
      </c>
      <c r="S755" s="40" t="str">
        <f>IF(Bids!$D755="","",Bids!$D755)</f>
        <v/>
      </c>
      <c r="T755" s="40" t="str">
        <f>IF(Bids!$F755="","",Bids!$F755)</f>
        <v/>
      </c>
      <c r="U755" s="40" t="str">
        <f t="shared" si="3"/>
        <v/>
      </c>
      <c r="V755" s="40" t="str">
        <f>IF($U755="","",IF(Config!$B$17=Config!$B$16,IF($U755&gt;=Config!$B$17,100,0),MAX(0,MIN(100,($U755-Config!$B$16)/(Config!$B$17-Config!$B$16)*100))))</f>
        <v/>
      </c>
      <c r="W755" s="40">
        <f>IF($L755="Elite",Config!$B$21,0)</f>
        <v>0</v>
      </c>
      <c r="X755" s="40" t="str">
        <f>IFERROR(IF(OR($T755="",$G755=""),"",IF($T755&gt;$G755,
  MAX(0, 60-(($T755-$G755)*24/Config!$B$19)*60),
  MEDIAN(60, 100, 60+(($G755-$T755)*24/Config!$B$20)*40)
)),"")
</f>
        <v/>
      </c>
      <c r="Y755" s="40" t="str">
        <f>IF($J755="","",IFERROR(VLOOKUP($J755,Grinders!$A:$N,10,FALSE),""))</f>
        <v/>
      </c>
      <c r="Z755" s="40" t="str">
        <f>IF($J755="","",IFERROR(VLOOKUP($J755,Grinders!$A:$N,11,FALSE),""))</f>
        <v/>
      </c>
      <c r="AA755" s="40" t="str">
        <f>IF($J755="","",IFERROR(VLOOKUP($J755,Grinders!$A:$N,12,FALSE),""))</f>
        <v/>
      </c>
      <c r="AB755" s="40">
        <f>IFERROR(IF(OR($C755="",$J755=""),0,IF($D755&lt;&gt;"Open",0,IF(COUNTIFS(GrinderServices!$B:$B,$J755,GrinderServices!$C:$C,$E755,GrinderServices!$E:$E,"Y")=0,0,IF($U755&lt;Config!$B$16,0,IF(Config!$B$18=1,IF($N755&gt;=$M755,0,1),1))))),"")</f>
        <v>0</v>
      </c>
      <c r="AC755" s="40" t="str">
        <f>IFERROR(IF($AB755=0,"",((Config!$B$6*$V755 + Config!$B$7*$R755 + Config!$B$8*$W755 + Config!$B$9*$X755 + Config!$B$10*$Y755 + Config!$B$11*$Z755 - Config!$B$12*$AA755)/Config!$B$13)+$AH755+$AI755),"")</f>
        <v/>
      </c>
      <c r="AD755" s="40" t="str">
        <f t="shared" si="4"/>
        <v/>
      </c>
      <c r="AE755" s="40" t="str">
        <f>IFERROR(__xludf.DUMMYFUNCTION("IF($AC755="""","""",IF($AC755=IFERROR(MAX(FILTER($AC$6:$AC$1000,$C$6:$C$1000=$C755,$AB$6:$AB$1000=1)),),""WINNER"",""""))"),"")</f>
        <v/>
      </c>
      <c r="AF755" s="40" t="str">
        <f t="shared" si="5"/>
        <v/>
      </c>
      <c r="AG755" s="40" t="str">
        <f>IF($J755="","",COUNTIF(Assignments!$B:$B,$J755))</f>
        <v/>
      </c>
      <c r="AH755" s="40" t="str">
        <f>IF($J755="","",IF(AND($AG755=0,$N755&lt;$M755),Config!$B$43,0))</f>
        <v/>
      </c>
      <c r="AI755" s="40" t="str">
        <f>IF($J755="","",IF(AND($L755="Elite",$F755&gt;=Config!$B$41,$N755&lt;$M755),Config!$B$42,0))</f>
        <v/>
      </c>
      <c r="AJ755" s="22"/>
    </row>
    <row r="756" ht="15.75" customHeight="1">
      <c r="A756" s="40" t="str">
        <f t="shared" si="1"/>
        <v/>
      </c>
      <c r="B756" s="40" t="str">
        <f>IF(Bids!$A756="","",Bids!$A756)</f>
        <v/>
      </c>
      <c r="C756" s="40" t="str">
        <f>IF(Bids!$B756="","",Bids!$B756)</f>
        <v/>
      </c>
      <c r="D756" s="40" t="str">
        <f>IF($C756="","",IFERROR(VLOOKUP($C756,Orders!$A:$J,9,FALSE),""))</f>
        <v/>
      </c>
      <c r="E756" s="40" t="str">
        <f>IF($C756="","",IFERROR(VLOOKUP($C756,Orders!$A:$J,3,FALSE),""))</f>
        <v/>
      </c>
      <c r="F756" s="40" t="str">
        <f>IF($C756="","",IFERROR(VLOOKUP($C756,Orders!$A:$J,4,FALSE),""))</f>
        <v/>
      </c>
      <c r="G756" s="40" t="str">
        <f>IF($C756="","",IFERROR(VLOOKUP($C756,Orders!$A:$J,5,FALSE),""))</f>
        <v/>
      </c>
      <c r="H756" s="40" t="str">
        <f>IF($C756="","",IFERROR(VLOOKUP($C756,Orders!$A:$J,6,FALSE),""))</f>
        <v/>
      </c>
      <c r="I756" s="40" t="str">
        <f>IF($C756="","",IFERROR(VLOOKUP($C756,Orders!$A:$J,7,FALSE),""))</f>
        <v/>
      </c>
      <c r="J756" s="40" t="str">
        <f>IF(Bids!$C756="","",Bids!$C756)</f>
        <v/>
      </c>
      <c r="K756" s="40" t="str">
        <f>IF($J756="","",IFERROR(VLOOKUP($J756,Grinders!$A:$N,2,FALSE),""))</f>
        <v/>
      </c>
      <c r="L756" s="40" t="str">
        <f>IF($J756="","",IFERROR(VLOOKUP($J756,Grinders!$A:$N,3,FALSE),""))</f>
        <v/>
      </c>
      <c r="M756" s="40" t="str">
        <f>IF($J756="","",IFERROR(VLOOKUP($J756,Grinders!$A:$N,4,FALSE),""))</f>
        <v/>
      </c>
      <c r="N756" s="40" t="str">
        <f>IF($J756="","",IFERROR(VLOOKUP($J756,Grinders!$A:$N,5,FALSE),""))</f>
        <v/>
      </c>
      <c r="O756" s="40" t="str">
        <f t="shared" si="2"/>
        <v/>
      </c>
      <c r="P756" s="40" t="str">
        <f>IF($J756="","",IFERROR(VLOOKUP($J756,Grinders!$A:$N,6,FALSE),""))</f>
        <v/>
      </c>
      <c r="Q756" s="40" t="str">
        <f>IF($J756="","",IFERROR(VLOOKUP($J756,Grinders!$A:$N,8,FALSE),""))</f>
        <v/>
      </c>
      <c r="R756" s="40" t="str">
        <f>IFERROR(IF($J756="","",IF($L756="Elite",MAX(50,MIN(100,Config!$B$27*MAX(0,MIN(100,(1-IF($O756="",0,$O756))*100)) + Config!$B$28*MAX(0,MIN(100,(1-MIN(1,IF(Config!$B$30=0,1,$P756/Config!$B$30)))*100)) + Config!$B$29*MAX(0,MIN(100,MIN(1,IF($Q756="",0,$Q756)/Config!$B$23)*100)))),MIN(100,Config!$B$27*MAX(0,MIN(100,(1-IF($O756="",0,$O756))*100)) + Config!$B$28*MAX(0,MIN(100,(1-MIN(1,IF(Config!$B$30=0,1,$P756/Config!$B$30)))*100)) + Config!$B$29*MAX(0,MIN(100,MIN(1,IF($Q756="",0,$Q756)/Config!$B$23)*100))))),"")
</f>
        <v/>
      </c>
      <c r="S756" s="40" t="str">
        <f>IF(Bids!$D756="","",Bids!$D756)</f>
        <v/>
      </c>
      <c r="T756" s="40" t="str">
        <f>IF(Bids!$F756="","",Bids!$F756)</f>
        <v/>
      </c>
      <c r="U756" s="40" t="str">
        <f t="shared" si="3"/>
        <v/>
      </c>
      <c r="V756" s="40" t="str">
        <f>IF($U756="","",IF(Config!$B$17=Config!$B$16,IF($U756&gt;=Config!$B$17,100,0),MAX(0,MIN(100,($U756-Config!$B$16)/(Config!$B$17-Config!$B$16)*100))))</f>
        <v/>
      </c>
      <c r="W756" s="40">
        <f>IF($L756="Elite",Config!$B$21,0)</f>
        <v>0</v>
      </c>
      <c r="X756" s="40" t="str">
        <f>IFERROR(IF(OR($T756="",$G756=""),"",IF($T756&gt;$G756,
  MAX(0, 60-(($T756-$G756)*24/Config!$B$19)*60),
  MEDIAN(60, 100, 60+(($G756-$T756)*24/Config!$B$20)*40)
)),"")
</f>
        <v/>
      </c>
      <c r="Y756" s="40" t="str">
        <f>IF($J756="","",IFERROR(VLOOKUP($J756,Grinders!$A:$N,10,FALSE),""))</f>
        <v/>
      </c>
      <c r="Z756" s="40" t="str">
        <f>IF($J756="","",IFERROR(VLOOKUP($J756,Grinders!$A:$N,11,FALSE),""))</f>
        <v/>
      </c>
      <c r="AA756" s="40" t="str">
        <f>IF($J756="","",IFERROR(VLOOKUP($J756,Grinders!$A:$N,12,FALSE),""))</f>
        <v/>
      </c>
      <c r="AB756" s="40">
        <f>IFERROR(IF(OR($C756="",$J756=""),0,IF($D756&lt;&gt;"Open",0,IF(COUNTIFS(GrinderServices!$B:$B,$J756,GrinderServices!$C:$C,$E756,GrinderServices!$E:$E,"Y")=0,0,IF($U756&lt;Config!$B$16,0,IF(Config!$B$18=1,IF($N756&gt;=$M756,0,1),1))))),"")</f>
        <v>0</v>
      </c>
      <c r="AC756" s="40" t="str">
        <f>IFERROR(IF($AB756=0,"",((Config!$B$6*$V756 + Config!$B$7*$R756 + Config!$B$8*$W756 + Config!$B$9*$X756 + Config!$B$10*$Y756 + Config!$B$11*$Z756 - Config!$B$12*$AA756)/Config!$B$13)+$AH756+$AI756),"")</f>
        <v/>
      </c>
      <c r="AD756" s="40" t="str">
        <f t="shared" si="4"/>
        <v/>
      </c>
      <c r="AE756" s="40" t="str">
        <f>IFERROR(__xludf.DUMMYFUNCTION("IF($AC756="""","""",IF($AC756=IFERROR(MAX(FILTER($AC$6:$AC$1000,$C$6:$C$1000=$C756,$AB$6:$AB$1000=1)),),""WINNER"",""""))"),"")</f>
        <v/>
      </c>
      <c r="AF756" s="40" t="str">
        <f t="shared" si="5"/>
        <v/>
      </c>
      <c r="AG756" s="40" t="str">
        <f>IF($J756="","",COUNTIF(Assignments!$B:$B,$J756))</f>
        <v/>
      </c>
      <c r="AH756" s="40" t="str">
        <f>IF($J756="","",IF(AND($AG756=0,$N756&lt;$M756),Config!$B$43,0))</f>
        <v/>
      </c>
      <c r="AI756" s="40" t="str">
        <f>IF($J756="","",IF(AND($L756="Elite",$F756&gt;=Config!$B$41,$N756&lt;$M756),Config!$B$42,0))</f>
        <v/>
      </c>
      <c r="AJ756" s="22"/>
    </row>
    <row r="757" ht="15.75" customHeight="1">
      <c r="A757" s="40" t="str">
        <f t="shared" si="1"/>
        <v/>
      </c>
      <c r="B757" s="40" t="str">
        <f>IF(Bids!$A757="","",Bids!$A757)</f>
        <v/>
      </c>
      <c r="C757" s="40" t="str">
        <f>IF(Bids!$B757="","",Bids!$B757)</f>
        <v/>
      </c>
      <c r="D757" s="40" t="str">
        <f>IF($C757="","",IFERROR(VLOOKUP($C757,Orders!$A:$J,9,FALSE),""))</f>
        <v/>
      </c>
      <c r="E757" s="40" t="str">
        <f>IF($C757="","",IFERROR(VLOOKUP($C757,Orders!$A:$J,3,FALSE),""))</f>
        <v/>
      </c>
      <c r="F757" s="40" t="str">
        <f>IF($C757="","",IFERROR(VLOOKUP($C757,Orders!$A:$J,4,FALSE),""))</f>
        <v/>
      </c>
      <c r="G757" s="40" t="str">
        <f>IF($C757="","",IFERROR(VLOOKUP($C757,Orders!$A:$J,5,FALSE),""))</f>
        <v/>
      </c>
      <c r="H757" s="40" t="str">
        <f>IF($C757="","",IFERROR(VLOOKUP($C757,Orders!$A:$J,6,FALSE),""))</f>
        <v/>
      </c>
      <c r="I757" s="40" t="str">
        <f>IF($C757="","",IFERROR(VLOOKUP($C757,Orders!$A:$J,7,FALSE),""))</f>
        <v/>
      </c>
      <c r="J757" s="40" t="str">
        <f>IF(Bids!$C757="","",Bids!$C757)</f>
        <v/>
      </c>
      <c r="K757" s="40" t="str">
        <f>IF($J757="","",IFERROR(VLOOKUP($J757,Grinders!$A:$N,2,FALSE),""))</f>
        <v/>
      </c>
      <c r="L757" s="40" t="str">
        <f>IF($J757="","",IFERROR(VLOOKUP($J757,Grinders!$A:$N,3,FALSE),""))</f>
        <v/>
      </c>
      <c r="M757" s="40" t="str">
        <f>IF($J757="","",IFERROR(VLOOKUP($J757,Grinders!$A:$N,4,FALSE),""))</f>
        <v/>
      </c>
      <c r="N757" s="40" t="str">
        <f>IF($J757="","",IFERROR(VLOOKUP($J757,Grinders!$A:$N,5,FALSE),""))</f>
        <v/>
      </c>
      <c r="O757" s="40" t="str">
        <f t="shared" si="2"/>
        <v/>
      </c>
      <c r="P757" s="40" t="str">
        <f>IF($J757="","",IFERROR(VLOOKUP($J757,Grinders!$A:$N,6,FALSE),""))</f>
        <v/>
      </c>
      <c r="Q757" s="40" t="str">
        <f>IF($J757="","",IFERROR(VLOOKUP($J757,Grinders!$A:$N,8,FALSE),""))</f>
        <v/>
      </c>
      <c r="R757" s="40" t="str">
        <f>IFERROR(IF($J757="","",IF($L757="Elite",MAX(50,MIN(100,Config!$B$27*MAX(0,MIN(100,(1-IF($O757="",0,$O757))*100)) + Config!$B$28*MAX(0,MIN(100,(1-MIN(1,IF(Config!$B$30=0,1,$P757/Config!$B$30)))*100)) + Config!$B$29*MAX(0,MIN(100,MIN(1,IF($Q757="",0,$Q757)/Config!$B$23)*100)))),MIN(100,Config!$B$27*MAX(0,MIN(100,(1-IF($O757="",0,$O757))*100)) + Config!$B$28*MAX(0,MIN(100,(1-MIN(1,IF(Config!$B$30=0,1,$P757/Config!$B$30)))*100)) + Config!$B$29*MAX(0,MIN(100,MIN(1,IF($Q757="",0,$Q757)/Config!$B$23)*100))))),"")
</f>
        <v/>
      </c>
      <c r="S757" s="40" t="str">
        <f>IF(Bids!$D757="","",Bids!$D757)</f>
        <v/>
      </c>
      <c r="T757" s="40" t="str">
        <f>IF(Bids!$F757="","",Bids!$F757)</f>
        <v/>
      </c>
      <c r="U757" s="40" t="str">
        <f t="shared" si="3"/>
        <v/>
      </c>
      <c r="V757" s="40" t="str">
        <f>IF($U757="","",IF(Config!$B$17=Config!$B$16,IF($U757&gt;=Config!$B$17,100,0),MAX(0,MIN(100,($U757-Config!$B$16)/(Config!$B$17-Config!$B$16)*100))))</f>
        <v/>
      </c>
      <c r="W757" s="40">
        <f>IF($L757="Elite",Config!$B$21,0)</f>
        <v>0</v>
      </c>
      <c r="X757" s="40" t="str">
        <f>IFERROR(IF(OR($T757="",$G757=""),"",IF($T757&gt;$G757,
  MAX(0, 60-(($T757-$G757)*24/Config!$B$19)*60),
  MEDIAN(60, 100, 60+(($G757-$T757)*24/Config!$B$20)*40)
)),"")
</f>
        <v/>
      </c>
      <c r="Y757" s="40" t="str">
        <f>IF($J757="","",IFERROR(VLOOKUP($J757,Grinders!$A:$N,10,FALSE),""))</f>
        <v/>
      </c>
      <c r="Z757" s="40" t="str">
        <f>IF($J757="","",IFERROR(VLOOKUP($J757,Grinders!$A:$N,11,FALSE),""))</f>
        <v/>
      </c>
      <c r="AA757" s="40" t="str">
        <f>IF($J757="","",IFERROR(VLOOKUP($J757,Grinders!$A:$N,12,FALSE),""))</f>
        <v/>
      </c>
      <c r="AB757" s="40">
        <f>IFERROR(IF(OR($C757="",$J757=""),0,IF($D757&lt;&gt;"Open",0,IF(COUNTIFS(GrinderServices!$B:$B,$J757,GrinderServices!$C:$C,$E757,GrinderServices!$E:$E,"Y")=0,0,IF($U757&lt;Config!$B$16,0,IF(Config!$B$18=1,IF($N757&gt;=$M757,0,1),1))))),"")</f>
        <v>0</v>
      </c>
      <c r="AC757" s="40" t="str">
        <f>IFERROR(IF($AB757=0,"",((Config!$B$6*$V757 + Config!$B$7*$R757 + Config!$B$8*$W757 + Config!$B$9*$X757 + Config!$B$10*$Y757 + Config!$B$11*$Z757 - Config!$B$12*$AA757)/Config!$B$13)+$AH757+$AI757),"")</f>
        <v/>
      </c>
      <c r="AD757" s="40" t="str">
        <f t="shared" si="4"/>
        <v/>
      </c>
      <c r="AE757" s="40" t="str">
        <f>IFERROR(__xludf.DUMMYFUNCTION("IF($AC757="""","""",IF($AC757=IFERROR(MAX(FILTER($AC$6:$AC$1000,$C$6:$C$1000=$C757,$AB$6:$AB$1000=1)),),""WINNER"",""""))"),"")</f>
        <v/>
      </c>
      <c r="AF757" s="40" t="str">
        <f t="shared" si="5"/>
        <v/>
      </c>
      <c r="AG757" s="40" t="str">
        <f>IF($J757="","",COUNTIF(Assignments!$B:$B,$J757))</f>
        <v/>
      </c>
      <c r="AH757" s="40" t="str">
        <f>IF($J757="","",IF(AND($AG757=0,$N757&lt;$M757),Config!$B$43,0))</f>
        <v/>
      </c>
      <c r="AI757" s="40" t="str">
        <f>IF($J757="","",IF(AND($L757="Elite",$F757&gt;=Config!$B$41,$N757&lt;$M757),Config!$B$42,0))</f>
        <v/>
      </c>
      <c r="AJ757" s="22"/>
    </row>
    <row r="758" ht="15.75" customHeight="1">
      <c r="A758" s="40" t="str">
        <f t="shared" si="1"/>
        <v/>
      </c>
      <c r="B758" s="40" t="str">
        <f>IF(Bids!$A758="","",Bids!$A758)</f>
        <v/>
      </c>
      <c r="C758" s="40" t="str">
        <f>IF(Bids!$B758="","",Bids!$B758)</f>
        <v/>
      </c>
      <c r="D758" s="40" t="str">
        <f>IF($C758="","",IFERROR(VLOOKUP($C758,Orders!$A:$J,9,FALSE),""))</f>
        <v/>
      </c>
      <c r="E758" s="40" t="str">
        <f>IF($C758="","",IFERROR(VLOOKUP($C758,Orders!$A:$J,3,FALSE),""))</f>
        <v/>
      </c>
      <c r="F758" s="40" t="str">
        <f>IF($C758="","",IFERROR(VLOOKUP($C758,Orders!$A:$J,4,FALSE),""))</f>
        <v/>
      </c>
      <c r="G758" s="40" t="str">
        <f>IF($C758="","",IFERROR(VLOOKUP($C758,Orders!$A:$J,5,FALSE),""))</f>
        <v/>
      </c>
      <c r="H758" s="40" t="str">
        <f>IF($C758="","",IFERROR(VLOOKUP($C758,Orders!$A:$J,6,FALSE),""))</f>
        <v/>
      </c>
      <c r="I758" s="40" t="str">
        <f>IF($C758="","",IFERROR(VLOOKUP($C758,Orders!$A:$J,7,FALSE),""))</f>
        <v/>
      </c>
      <c r="J758" s="40" t="str">
        <f>IF(Bids!$C758="","",Bids!$C758)</f>
        <v/>
      </c>
      <c r="K758" s="40" t="str">
        <f>IF($J758="","",IFERROR(VLOOKUP($J758,Grinders!$A:$N,2,FALSE),""))</f>
        <v/>
      </c>
      <c r="L758" s="40" t="str">
        <f>IF($J758="","",IFERROR(VLOOKUP($J758,Grinders!$A:$N,3,FALSE),""))</f>
        <v/>
      </c>
      <c r="M758" s="40" t="str">
        <f>IF($J758="","",IFERROR(VLOOKUP($J758,Grinders!$A:$N,4,FALSE),""))</f>
        <v/>
      </c>
      <c r="N758" s="40" t="str">
        <f>IF($J758="","",IFERROR(VLOOKUP($J758,Grinders!$A:$N,5,FALSE),""))</f>
        <v/>
      </c>
      <c r="O758" s="40" t="str">
        <f t="shared" si="2"/>
        <v/>
      </c>
      <c r="P758" s="40" t="str">
        <f>IF($J758="","",IFERROR(VLOOKUP($J758,Grinders!$A:$N,6,FALSE),""))</f>
        <v/>
      </c>
      <c r="Q758" s="40" t="str">
        <f>IF($J758="","",IFERROR(VLOOKUP($J758,Grinders!$A:$N,8,FALSE),""))</f>
        <v/>
      </c>
      <c r="R758" s="40" t="str">
        <f>IFERROR(IF($J758="","",IF($L758="Elite",MAX(50,MIN(100,Config!$B$27*MAX(0,MIN(100,(1-IF($O758="",0,$O758))*100)) + Config!$B$28*MAX(0,MIN(100,(1-MIN(1,IF(Config!$B$30=0,1,$P758/Config!$B$30)))*100)) + Config!$B$29*MAX(0,MIN(100,MIN(1,IF($Q758="",0,$Q758)/Config!$B$23)*100)))),MIN(100,Config!$B$27*MAX(0,MIN(100,(1-IF($O758="",0,$O758))*100)) + Config!$B$28*MAX(0,MIN(100,(1-MIN(1,IF(Config!$B$30=0,1,$P758/Config!$B$30)))*100)) + Config!$B$29*MAX(0,MIN(100,MIN(1,IF($Q758="",0,$Q758)/Config!$B$23)*100))))),"")
</f>
        <v/>
      </c>
      <c r="S758" s="40" t="str">
        <f>IF(Bids!$D758="","",Bids!$D758)</f>
        <v/>
      </c>
      <c r="T758" s="40" t="str">
        <f>IF(Bids!$F758="","",Bids!$F758)</f>
        <v/>
      </c>
      <c r="U758" s="40" t="str">
        <f t="shared" si="3"/>
        <v/>
      </c>
      <c r="V758" s="40" t="str">
        <f>IF($U758="","",IF(Config!$B$17=Config!$B$16,IF($U758&gt;=Config!$B$17,100,0),MAX(0,MIN(100,($U758-Config!$B$16)/(Config!$B$17-Config!$B$16)*100))))</f>
        <v/>
      </c>
      <c r="W758" s="40">
        <f>IF($L758="Elite",Config!$B$21,0)</f>
        <v>0</v>
      </c>
      <c r="X758" s="40" t="str">
        <f>IFERROR(IF(OR($T758="",$G758=""),"",IF($T758&gt;$G758,
  MAX(0, 60-(($T758-$G758)*24/Config!$B$19)*60),
  MEDIAN(60, 100, 60+(($G758-$T758)*24/Config!$B$20)*40)
)),"")
</f>
        <v/>
      </c>
      <c r="Y758" s="40" t="str">
        <f>IF($J758="","",IFERROR(VLOOKUP($J758,Grinders!$A:$N,10,FALSE),""))</f>
        <v/>
      </c>
      <c r="Z758" s="40" t="str">
        <f>IF($J758="","",IFERROR(VLOOKUP($J758,Grinders!$A:$N,11,FALSE),""))</f>
        <v/>
      </c>
      <c r="AA758" s="40" t="str">
        <f>IF($J758="","",IFERROR(VLOOKUP($J758,Grinders!$A:$N,12,FALSE),""))</f>
        <v/>
      </c>
      <c r="AB758" s="40">
        <f>IFERROR(IF(OR($C758="",$J758=""),0,IF($D758&lt;&gt;"Open",0,IF(COUNTIFS(GrinderServices!$B:$B,$J758,GrinderServices!$C:$C,$E758,GrinderServices!$E:$E,"Y")=0,0,IF($U758&lt;Config!$B$16,0,IF(Config!$B$18=1,IF($N758&gt;=$M758,0,1),1))))),"")</f>
        <v>0</v>
      </c>
      <c r="AC758" s="40" t="str">
        <f>IFERROR(IF($AB758=0,"",((Config!$B$6*$V758 + Config!$B$7*$R758 + Config!$B$8*$W758 + Config!$B$9*$X758 + Config!$B$10*$Y758 + Config!$B$11*$Z758 - Config!$B$12*$AA758)/Config!$B$13)+$AH758+$AI758),"")</f>
        <v/>
      </c>
      <c r="AD758" s="40" t="str">
        <f t="shared" si="4"/>
        <v/>
      </c>
      <c r="AE758" s="40" t="str">
        <f>IFERROR(__xludf.DUMMYFUNCTION("IF($AC758="""","""",IF($AC758=IFERROR(MAX(FILTER($AC$6:$AC$1000,$C$6:$C$1000=$C758,$AB$6:$AB$1000=1)),),""WINNER"",""""))"),"")</f>
        <v/>
      </c>
      <c r="AF758" s="40" t="str">
        <f t="shared" si="5"/>
        <v/>
      </c>
      <c r="AG758" s="40" t="str">
        <f>IF($J758="","",COUNTIF(Assignments!$B:$B,$J758))</f>
        <v/>
      </c>
      <c r="AH758" s="40" t="str">
        <f>IF($J758="","",IF(AND($AG758=0,$N758&lt;$M758),Config!$B$43,0))</f>
        <v/>
      </c>
      <c r="AI758" s="40" t="str">
        <f>IF($J758="","",IF(AND($L758="Elite",$F758&gt;=Config!$B$41,$N758&lt;$M758),Config!$B$42,0))</f>
        <v/>
      </c>
      <c r="AJ758" s="22"/>
    </row>
    <row r="759" ht="15.75" customHeight="1">
      <c r="A759" s="40" t="str">
        <f t="shared" si="1"/>
        <v/>
      </c>
      <c r="B759" s="40" t="str">
        <f>IF(Bids!$A759="","",Bids!$A759)</f>
        <v/>
      </c>
      <c r="C759" s="40" t="str">
        <f>IF(Bids!$B759="","",Bids!$B759)</f>
        <v/>
      </c>
      <c r="D759" s="40" t="str">
        <f>IF($C759="","",IFERROR(VLOOKUP($C759,Orders!$A:$J,9,FALSE),""))</f>
        <v/>
      </c>
      <c r="E759" s="40" t="str">
        <f>IF($C759="","",IFERROR(VLOOKUP($C759,Orders!$A:$J,3,FALSE),""))</f>
        <v/>
      </c>
      <c r="F759" s="40" t="str">
        <f>IF($C759="","",IFERROR(VLOOKUP($C759,Orders!$A:$J,4,FALSE),""))</f>
        <v/>
      </c>
      <c r="G759" s="40" t="str">
        <f>IF($C759="","",IFERROR(VLOOKUP($C759,Orders!$A:$J,5,FALSE),""))</f>
        <v/>
      </c>
      <c r="H759" s="40" t="str">
        <f>IF($C759="","",IFERROR(VLOOKUP($C759,Orders!$A:$J,6,FALSE),""))</f>
        <v/>
      </c>
      <c r="I759" s="40" t="str">
        <f>IF($C759="","",IFERROR(VLOOKUP($C759,Orders!$A:$J,7,FALSE),""))</f>
        <v/>
      </c>
      <c r="J759" s="40" t="str">
        <f>IF(Bids!$C759="","",Bids!$C759)</f>
        <v/>
      </c>
      <c r="K759" s="40" t="str">
        <f>IF($J759="","",IFERROR(VLOOKUP($J759,Grinders!$A:$N,2,FALSE),""))</f>
        <v/>
      </c>
      <c r="L759" s="40" t="str">
        <f>IF($J759="","",IFERROR(VLOOKUP($J759,Grinders!$A:$N,3,FALSE),""))</f>
        <v/>
      </c>
      <c r="M759" s="40" t="str">
        <f>IF($J759="","",IFERROR(VLOOKUP($J759,Grinders!$A:$N,4,FALSE),""))</f>
        <v/>
      </c>
      <c r="N759" s="40" t="str">
        <f>IF($J759="","",IFERROR(VLOOKUP($J759,Grinders!$A:$N,5,FALSE),""))</f>
        <v/>
      </c>
      <c r="O759" s="40" t="str">
        <f t="shared" si="2"/>
        <v/>
      </c>
      <c r="P759" s="40" t="str">
        <f>IF($J759="","",IFERROR(VLOOKUP($J759,Grinders!$A:$N,6,FALSE),""))</f>
        <v/>
      </c>
      <c r="Q759" s="40" t="str">
        <f>IF($J759="","",IFERROR(VLOOKUP($J759,Grinders!$A:$N,8,FALSE),""))</f>
        <v/>
      </c>
      <c r="R759" s="40" t="str">
        <f>IFERROR(IF($J759="","",IF($L759="Elite",MAX(50,MIN(100,Config!$B$27*MAX(0,MIN(100,(1-IF($O759="",0,$O759))*100)) + Config!$B$28*MAX(0,MIN(100,(1-MIN(1,IF(Config!$B$30=0,1,$P759/Config!$B$30)))*100)) + Config!$B$29*MAX(0,MIN(100,MIN(1,IF($Q759="",0,$Q759)/Config!$B$23)*100)))),MIN(100,Config!$B$27*MAX(0,MIN(100,(1-IF($O759="",0,$O759))*100)) + Config!$B$28*MAX(0,MIN(100,(1-MIN(1,IF(Config!$B$30=0,1,$P759/Config!$B$30)))*100)) + Config!$B$29*MAX(0,MIN(100,MIN(1,IF($Q759="",0,$Q759)/Config!$B$23)*100))))),"")
</f>
        <v/>
      </c>
      <c r="S759" s="40" t="str">
        <f>IF(Bids!$D759="","",Bids!$D759)</f>
        <v/>
      </c>
      <c r="T759" s="40" t="str">
        <f>IF(Bids!$F759="","",Bids!$F759)</f>
        <v/>
      </c>
      <c r="U759" s="40" t="str">
        <f t="shared" si="3"/>
        <v/>
      </c>
      <c r="V759" s="40" t="str">
        <f>IF($U759="","",IF(Config!$B$17=Config!$B$16,IF($U759&gt;=Config!$B$17,100,0),MAX(0,MIN(100,($U759-Config!$B$16)/(Config!$B$17-Config!$B$16)*100))))</f>
        <v/>
      </c>
      <c r="W759" s="40">
        <f>IF($L759="Elite",Config!$B$21,0)</f>
        <v>0</v>
      </c>
      <c r="X759" s="40" t="str">
        <f>IFERROR(IF(OR($T759="",$G759=""),"",IF($T759&gt;$G759,
  MAX(0, 60-(($T759-$G759)*24/Config!$B$19)*60),
  MEDIAN(60, 100, 60+(($G759-$T759)*24/Config!$B$20)*40)
)),"")
</f>
        <v/>
      </c>
      <c r="Y759" s="40" t="str">
        <f>IF($J759="","",IFERROR(VLOOKUP($J759,Grinders!$A:$N,10,FALSE),""))</f>
        <v/>
      </c>
      <c r="Z759" s="40" t="str">
        <f>IF($J759="","",IFERROR(VLOOKUP($J759,Grinders!$A:$N,11,FALSE),""))</f>
        <v/>
      </c>
      <c r="AA759" s="40" t="str">
        <f>IF($J759="","",IFERROR(VLOOKUP($J759,Grinders!$A:$N,12,FALSE),""))</f>
        <v/>
      </c>
      <c r="AB759" s="40">
        <f>IFERROR(IF(OR($C759="",$J759=""),0,IF($D759&lt;&gt;"Open",0,IF(COUNTIFS(GrinderServices!$B:$B,$J759,GrinderServices!$C:$C,$E759,GrinderServices!$E:$E,"Y")=0,0,IF($U759&lt;Config!$B$16,0,IF(Config!$B$18=1,IF($N759&gt;=$M759,0,1),1))))),"")</f>
        <v>0</v>
      </c>
      <c r="AC759" s="40" t="str">
        <f>IFERROR(IF($AB759=0,"",((Config!$B$6*$V759 + Config!$B$7*$R759 + Config!$B$8*$W759 + Config!$B$9*$X759 + Config!$B$10*$Y759 + Config!$B$11*$Z759 - Config!$B$12*$AA759)/Config!$B$13)+$AH759+$AI759),"")</f>
        <v/>
      </c>
      <c r="AD759" s="40" t="str">
        <f t="shared" si="4"/>
        <v/>
      </c>
      <c r="AE759" s="40" t="str">
        <f>IFERROR(__xludf.DUMMYFUNCTION("IF($AC759="""","""",IF($AC759=IFERROR(MAX(FILTER($AC$6:$AC$1000,$C$6:$C$1000=$C759,$AB$6:$AB$1000=1)),),""WINNER"",""""))"),"")</f>
        <v/>
      </c>
      <c r="AF759" s="40" t="str">
        <f t="shared" si="5"/>
        <v/>
      </c>
      <c r="AG759" s="40" t="str">
        <f>IF($J759="","",COUNTIF(Assignments!$B:$B,$J759))</f>
        <v/>
      </c>
      <c r="AH759" s="40" t="str">
        <f>IF($J759="","",IF(AND($AG759=0,$N759&lt;$M759),Config!$B$43,0))</f>
        <v/>
      </c>
      <c r="AI759" s="40" t="str">
        <f>IF($J759="","",IF(AND($L759="Elite",$F759&gt;=Config!$B$41,$N759&lt;$M759),Config!$B$42,0))</f>
        <v/>
      </c>
      <c r="AJ759" s="22"/>
    </row>
    <row r="760" ht="15.75" customHeight="1">
      <c r="A760" s="40" t="str">
        <f t="shared" si="1"/>
        <v/>
      </c>
      <c r="B760" s="40" t="str">
        <f>IF(Bids!$A760="","",Bids!$A760)</f>
        <v/>
      </c>
      <c r="C760" s="40" t="str">
        <f>IF(Bids!$B760="","",Bids!$B760)</f>
        <v/>
      </c>
      <c r="D760" s="40" t="str">
        <f>IF($C760="","",IFERROR(VLOOKUP($C760,Orders!$A:$J,9,FALSE),""))</f>
        <v/>
      </c>
      <c r="E760" s="40" t="str">
        <f>IF($C760="","",IFERROR(VLOOKUP($C760,Orders!$A:$J,3,FALSE),""))</f>
        <v/>
      </c>
      <c r="F760" s="40" t="str">
        <f>IF($C760="","",IFERROR(VLOOKUP($C760,Orders!$A:$J,4,FALSE),""))</f>
        <v/>
      </c>
      <c r="G760" s="40" t="str">
        <f>IF($C760="","",IFERROR(VLOOKUP($C760,Orders!$A:$J,5,FALSE),""))</f>
        <v/>
      </c>
      <c r="H760" s="40" t="str">
        <f>IF($C760="","",IFERROR(VLOOKUP($C760,Orders!$A:$J,6,FALSE),""))</f>
        <v/>
      </c>
      <c r="I760" s="40" t="str">
        <f>IF($C760="","",IFERROR(VLOOKUP($C760,Orders!$A:$J,7,FALSE),""))</f>
        <v/>
      </c>
      <c r="J760" s="40" t="str">
        <f>IF(Bids!$C760="","",Bids!$C760)</f>
        <v/>
      </c>
      <c r="K760" s="40" t="str">
        <f>IF($J760="","",IFERROR(VLOOKUP($J760,Grinders!$A:$N,2,FALSE),""))</f>
        <v/>
      </c>
      <c r="L760" s="40" t="str">
        <f>IF($J760="","",IFERROR(VLOOKUP($J760,Grinders!$A:$N,3,FALSE),""))</f>
        <v/>
      </c>
      <c r="M760" s="40" t="str">
        <f>IF($J760="","",IFERROR(VLOOKUP($J760,Grinders!$A:$N,4,FALSE),""))</f>
        <v/>
      </c>
      <c r="N760" s="40" t="str">
        <f>IF($J760="","",IFERROR(VLOOKUP($J760,Grinders!$A:$N,5,FALSE),""))</f>
        <v/>
      </c>
      <c r="O760" s="40" t="str">
        <f t="shared" si="2"/>
        <v/>
      </c>
      <c r="P760" s="40" t="str">
        <f>IF($J760="","",IFERROR(VLOOKUP($J760,Grinders!$A:$N,6,FALSE),""))</f>
        <v/>
      </c>
      <c r="Q760" s="40" t="str">
        <f>IF($J760="","",IFERROR(VLOOKUP($J760,Grinders!$A:$N,8,FALSE),""))</f>
        <v/>
      </c>
      <c r="R760" s="40" t="str">
        <f>IFERROR(IF($J760="","",IF($L760="Elite",MAX(50,MIN(100,Config!$B$27*MAX(0,MIN(100,(1-IF($O760="",0,$O760))*100)) + Config!$B$28*MAX(0,MIN(100,(1-MIN(1,IF(Config!$B$30=0,1,$P760/Config!$B$30)))*100)) + Config!$B$29*MAX(0,MIN(100,MIN(1,IF($Q760="",0,$Q760)/Config!$B$23)*100)))),MIN(100,Config!$B$27*MAX(0,MIN(100,(1-IF($O760="",0,$O760))*100)) + Config!$B$28*MAX(0,MIN(100,(1-MIN(1,IF(Config!$B$30=0,1,$P760/Config!$B$30)))*100)) + Config!$B$29*MAX(0,MIN(100,MIN(1,IF($Q760="",0,$Q760)/Config!$B$23)*100))))),"")
</f>
        <v/>
      </c>
      <c r="S760" s="40" t="str">
        <f>IF(Bids!$D760="","",Bids!$D760)</f>
        <v/>
      </c>
      <c r="T760" s="40" t="str">
        <f>IF(Bids!$F760="","",Bids!$F760)</f>
        <v/>
      </c>
      <c r="U760" s="40" t="str">
        <f t="shared" si="3"/>
        <v/>
      </c>
      <c r="V760" s="40" t="str">
        <f>IF($U760="","",IF(Config!$B$17=Config!$B$16,IF($U760&gt;=Config!$B$17,100,0),MAX(0,MIN(100,($U760-Config!$B$16)/(Config!$B$17-Config!$B$16)*100))))</f>
        <v/>
      </c>
      <c r="W760" s="40">
        <f>IF($L760="Elite",Config!$B$21,0)</f>
        <v>0</v>
      </c>
      <c r="X760" s="40" t="str">
        <f>IFERROR(IF(OR($T760="",$G760=""),"",IF($T760&gt;$G760,
  MAX(0, 60-(($T760-$G760)*24/Config!$B$19)*60),
  MEDIAN(60, 100, 60+(($G760-$T760)*24/Config!$B$20)*40)
)),"")
</f>
        <v/>
      </c>
      <c r="Y760" s="40" t="str">
        <f>IF($J760="","",IFERROR(VLOOKUP($J760,Grinders!$A:$N,10,FALSE),""))</f>
        <v/>
      </c>
      <c r="Z760" s="40" t="str">
        <f>IF($J760="","",IFERROR(VLOOKUP($J760,Grinders!$A:$N,11,FALSE),""))</f>
        <v/>
      </c>
      <c r="AA760" s="40" t="str">
        <f>IF($J760="","",IFERROR(VLOOKUP($J760,Grinders!$A:$N,12,FALSE),""))</f>
        <v/>
      </c>
      <c r="AB760" s="40">
        <f>IFERROR(IF(OR($C760="",$J760=""),0,IF($D760&lt;&gt;"Open",0,IF(COUNTIFS(GrinderServices!$B:$B,$J760,GrinderServices!$C:$C,$E760,GrinderServices!$E:$E,"Y")=0,0,IF($U760&lt;Config!$B$16,0,IF(Config!$B$18=1,IF($N760&gt;=$M760,0,1),1))))),"")</f>
        <v>0</v>
      </c>
      <c r="AC760" s="40" t="str">
        <f>IFERROR(IF($AB760=0,"",((Config!$B$6*$V760 + Config!$B$7*$R760 + Config!$B$8*$W760 + Config!$B$9*$X760 + Config!$B$10*$Y760 + Config!$B$11*$Z760 - Config!$B$12*$AA760)/Config!$B$13)+$AH760+$AI760),"")</f>
        <v/>
      </c>
      <c r="AD760" s="40" t="str">
        <f t="shared" si="4"/>
        <v/>
      </c>
      <c r="AE760" s="40" t="str">
        <f>IFERROR(__xludf.DUMMYFUNCTION("IF($AC760="""","""",IF($AC760=IFERROR(MAX(FILTER($AC$6:$AC$1000,$C$6:$C$1000=$C760,$AB$6:$AB$1000=1)),),""WINNER"",""""))"),"")</f>
        <v/>
      </c>
      <c r="AF760" s="40" t="str">
        <f t="shared" si="5"/>
        <v/>
      </c>
      <c r="AG760" s="40" t="str">
        <f>IF($J760="","",COUNTIF(Assignments!$B:$B,$J760))</f>
        <v/>
      </c>
      <c r="AH760" s="40" t="str">
        <f>IF($J760="","",IF(AND($AG760=0,$N760&lt;$M760),Config!$B$43,0))</f>
        <v/>
      </c>
      <c r="AI760" s="40" t="str">
        <f>IF($J760="","",IF(AND($L760="Elite",$F760&gt;=Config!$B$41,$N760&lt;$M760),Config!$B$42,0))</f>
        <v/>
      </c>
      <c r="AJ760" s="22"/>
    </row>
    <row r="761" ht="15.75" customHeight="1">
      <c r="A761" s="40" t="str">
        <f t="shared" si="1"/>
        <v/>
      </c>
      <c r="B761" s="40" t="str">
        <f>IF(Bids!$A761="","",Bids!$A761)</f>
        <v/>
      </c>
      <c r="C761" s="40" t="str">
        <f>IF(Bids!$B761="","",Bids!$B761)</f>
        <v/>
      </c>
      <c r="D761" s="40" t="str">
        <f>IF($C761="","",IFERROR(VLOOKUP($C761,Orders!$A:$J,9,FALSE),""))</f>
        <v/>
      </c>
      <c r="E761" s="40" t="str">
        <f>IF($C761="","",IFERROR(VLOOKUP($C761,Orders!$A:$J,3,FALSE),""))</f>
        <v/>
      </c>
      <c r="F761" s="40" t="str">
        <f>IF($C761="","",IFERROR(VLOOKUP($C761,Orders!$A:$J,4,FALSE),""))</f>
        <v/>
      </c>
      <c r="G761" s="40" t="str">
        <f>IF($C761="","",IFERROR(VLOOKUP($C761,Orders!$A:$J,5,FALSE),""))</f>
        <v/>
      </c>
      <c r="H761" s="40" t="str">
        <f>IF($C761="","",IFERROR(VLOOKUP($C761,Orders!$A:$J,6,FALSE),""))</f>
        <v/>
      </c>
      <c r="I761" s="40" t="str">
        <f>IF($C761="","",IFERROR(VLOOKUP($C761,Orders!$A:$J,7,FALSE),""))</f>
        <v/>
      </c>
      <c r="J761" s="40" t="str">
        <f>IF(Bids!$C761="","",Bids!$C761)</f>
        <v/>
      </c>
      <c r="K761" s="40" t="str">
        <f>IF($J761="","",IFERROR(VLOOKUP($J761,Grinders!$A:$N,2,FALSE),""))</f>
        <v/>
      </c>
      <c r="L761" s="40" t="str">
        <f>IF($J761="","",IFERROR(VLOOKUP($J761,Grinders!$A:$N,3,FALSE),""))</f>
        <v/>
      </c>
      <c r="M761" s="40" t="str">
        <f>IF($J761="","",IFERROR(VLOOKUP($J761,Grinders!$A:$N,4,FALSE),""))</f>
        <v/>
      </c>
      <c r="N761" s="40" t="str">
        <f>IF($J761="","",IFERROR(VLOOKUP($J761,Grinders!$A:$N,5,FALSE),""))</f>
        <v/>
      </c>
      <c r="O761" s="40" t="str">
        <f t="shared" si="2"/>
        <v/>
      </c>
      <c r="P761" s="40" t="str">
        <f>IF($J761="","",IFERROR(VLOOKUP($J761,Grinders!$A:$N,6,FALSE),""))</f>
        <v/>
      </c>
      <c r="Q761" s="40" t="str">
        <f>IF($J761="","",IFERROR(VLOOKUP($J761,Grinders!$A:$N,8,FALSE),""))</f>
        <v/>
      </c>
      <c r="R761" s="40" t="str">
        <f>IFERROR(IF($J761="","",IF($L761="Elite",MAX(50,MIN(100,Config!$B$27*MAX(0,MIN(100,(1-IF($O761="",0,$O761))*100)) + Config!$B$28*MAX(0,MIN(100,(1-MIN(1,IF(Config!$B$30=0,1,$P761/Config!$B$30)))*100)) + Config!$B$29*MAX(0,MIN(100,MIN(1,IF($Q761="",0,$Q761)/Config!$B$23)*100)))),MIN(100,Config!$B$27*MAX(0,MIN(100,(1-IF($O761="",0,$O761))*100)) + Config!$B$28*MAX(0,MIN(100,(1-MIN(1,IF(Config!$B$30=0,1,$P761/Config!$B$30)))*100)) + Config!$B$29*MAX(0,MIN(100,MIN(1,IF($Q761="",0,$Q761)/Config!$B$23)*100))))),"")
</f>
        <v/>
      </c>
      <c r="S761" s="40" t="str">
        <f>IF(Bids!$D761="","",Bids!$D761)</f>
        <v/>
      </c>
      <c r="T761" s="40" t="str">
        <f>IF(Bids!$F761="","",Bids!$F761)</f>
        <v/>
      </c>
      <c r="U761" s="40" t="str">
        <f t="shared" si="3"/>
        <v/>
      </c>
      <c r="V761" s="40" t="str">
        <f>IF($U761="","",IF(Config!$B$17=Config!$B$16,IF($U761&gt;=Config!$B$17,100,0),MAX(0,MIN(100,($U761-Config!$B$16)/(Config!$B$17-Config!$B$16)*100))))</f>
        <v/>
      </c>
      <c r="W761" s="40">
        <f>IF($L761="Elite",Config!$B$21,0)</f>
        <v>0</v>
      </c>
      <c r="X761" s="40" t="str">
        <f>IFERROR(IF(OR($T761="",$G761=""),"",IF($T761&gt;$G761,
  MAX(0, 60-(($T761-$G761)*24/Config!$B$19)*60),
  MEDIAN(60, 100, 60+(($G761-$T761)*24/Config!$B$20)*40)
)),"")
</f>
        <v/>
      </c>
      <c r="Y761" s="40" t="str">
        <f>IF($J761="","",IFERROR(VLOOKUP($J761,Grinders!$A:$N,10,FALSE),""))</f>
        <v/>
      </c>
      <c r="Z761" s="40" t="str">
        <f>IF($J761="","",IFERROR(VLOOKUP($J761,Grinders!$A:$N,11,FALSE),""))</f>
        <v/>
      </c>
      <c r="AA761" s="40" t="str">
        <f>IF($J761="","",IFERROR(VLOOKUP($J761,Grinders!$A:$N,12,FALSE),""))</f>
        <v/>
      </c>
      <c r="AB761" s="40">
        <f>IFERROR(IF(OR($C761="",$J761=""),0,IF($D761&lt;&gt;"Open",0,IF(COUNTIFS(GrinderServices!$B:$B,$J761,GrinderServices!$C:$C,$E761,GrinderServices!$E:$E,"Y")=0,0,IF($U761&lt;Config!$B$16,0,IF(Config!$B$18=1,IF($N761&gt;=$M761,0,1),1))))),"")</f>
        <v>0</v>
      </c>
      <c r="AC761" s="40" t="str">
        <f>IFERROR(IF($AB761=0,"",((Config!$B$6*$V761 + Config!$B$7*$R761 + Config!$B$8*$W761 + Config!$B$9*$X761 + Config!$B$10*$Y761 + Config!$B$11*$Z761 - Config!$B$12*$AA761)/Config!$B$13)+$AH761+$AI761),"")</f>
        <v/>
      </c>
      <c r="AD761" s="40" t="str">
        <f t="shared" si="4"/>
        <v/>
      </c>
      <c r="AE761" s="40" t="str">
        <f>IFERROR(__xludf.DUMMYFUNCTION("IF($AC761="""","""",IF($AC761=IFERROR(MAX(FILTER($AC$6:$AC$1000,$C$6:$C$1000=$C761,$AB$6:$AB$1000=1)),),""WINNER"",""""))"),"")</f>
        <v/>
      </c>
      <c r="AF761" s="40" t="str">
        <f t="shared" si="5"/>
        <v/>
      </c>
      <c r="AG761" s="40" t="str">
        <f>IF($J761="","",COUNTIF(Assignments!$B:$B,$J761))</f>
        <v/>
      </c>
      <c r="AH761" s="40" t="str">
        <f>IF($J761="","",IF(AND($AG761=0,$N761&lt;$M761),Config!$B$43,0))</f>
        <v/>
      </c>
      <c r="AI761" s="40" t="str">
        <f>IF($J761="","",IF(AND($L761="Elite",$F761&gt;=Config!$B$41,$N761&lt;$M761),Config!$B$42,0))</f>
        <v/>
      </c>
      <c r="AJ761" s="22"/>
    </row>
    <row r="762" ht="15.75" customHeight="1">
      <c r="A762" s="40" t="str">
        <f t="shared" si="1"/>
        <v/>
      </c>
      <c r="B762" s="40" t="str">
        <f>IF(Bids!$A762="","",Bids!$A762)</f>
        <v/>
      </c>
      <c r="C762" s="40" t="str">
        <f>IF(Bids!$B762="","",Bids!$B762)</f>
        <v/>
      </c>
      <c r="D762" s="40" t="str">
        <f>IF($C762="","",IFERROR(VLOOKUP($C762,Orders!$A:$J,9,FALSE),""))</f>
        <v/>
      </c>
      <c r="E762" s="40" t="str">
        <f>IF($C762="","",IFERROR(VLOOKUP($C762,Orders!$A:$J,3,FALSE),""))</f>
        <v/>
      </c>
      <c r="F762" s="40" t="str">
        <f>IF($C762="","",IFERROR(VLOOKUP($C762,Orders!$A:$J,4,FALSE),""))</f>
        <v/>
      </c>
      <c r="G762" s="40" t="str">
        <f>IF($C762="","",IFERROR(VLOOKUP($C762,Orders!$A:$J,5,FALSE),""))</f>
        <v/>
      </c>
      <c r="H762" s="40" t="str">
        <f>IF($C762="","",IFERROR(VLOOKUP($C762,Orders!$A:$J,6,FALSE),""))</f>
        <v/>
      </c>
      <c r="I762" s="40" t="str">
        <f>IF($C762="","",IFERROR(VLOOKUP($C762,Orders!$A:$J,7,FALSE),""))</f>
        <v/>
      </c>
      <c r="J762" s="40" t="str">
        <f>IF(Bids!$C762="","",Bids!$C762)</f>
        <v/>
      </c>
      <c r="K762" s="40" t="str">
        <f>IF($J762="","",IFERROR(VLOOKUP($J762,Grinders!$A:$N,2,FALSE),""))</f>
        <v/>
      </c>
      <c r="L762" s="40" t="str">
        <f>IF($J762="","",IFERROR(VLOOKUP($J762,Grinders!$A:$N,3,FALSE),""))</f>
        <v/>
      </c>
      <c r="M762" s="40" t="str">
        <f>IF($J762="","",IFERROR(VLOOKUP($J762,Grinders!$A:$N,4,FALSE),""))</f>
        <v/>
      </c>
      <c r="N762" s="40" t="str">
        <f>IF($J762="","",IFERROR(VLOOKUP($J762,Grinders!$A:$N,5,FALSE),""))</f>
        <v/>
      </c>
      <c r="O762" s="40" t="str">
        <f t="shared" si="2"/>
        <v/>
      </c>
      <c r="P762" s="40" t="str">
        <f>IF($J762="","",IFERROR(VLOOKUP($J762,Grinders!$A:$N,6,FALSE),""))</f>
        <v/>
      </c>
      <c r="Q762" s="40" t="str">
        <f>IF($J762="","",IFERROR(VLOOKUP($J762,Grinders!$A:$N,8,FALSE),""))</f>
        <v/>
      </c>
      <c r="R762" s="40" t="str">
        <f>IFERROR(IF($J762="","",IF($L762="Elite",MAX(50,MIN(100,Config!$B$27*MAX(0,MIN(100,(1-IF($O762="",0,$O762))*100)) + Config!$B$28*MAX(0,MIN(100,(1-MIN(1,IF(Config!$B$30=0,1,$P762/Config!$B$30)))*100)) + Config!$B$29*MAX(0,MIN(100,MIN(1,IF($Q762="",0,$Q762)/Config!$B$23)*100)))),MIN(100,Config!$B$27*MAX(0,MIN(100,(1-IF($O762="",0,$O762))*100)) + Config!$B$28*MAX(0,MIN(100,(1-MIN(1,IF(Config!$B$30=0,1,$P762/Config!$B$30)))*100)) + Config!$B$29*MAX(0,MIN(100,MIN(1,IF($Q762="",0,$Q762)/Config!$B$23)*100))))),"")
</f>
        <v/>
      </c>
      <c r="S762" s="40" t="str">
        <f>IF(Bids!$D762="","",Bids!$D762)</f>
        <v/>
      </c>
      <c r="T762" s="40" t="str">
        <f>IF(Bids!$F762="","",Bids!$F762)</f>
        <v/>
      </c>
      <c r="U762" s="40" t="str">
        <f t="shared" si="3"/>
        <v/>
      </c>
      <c r="V762" s="40" t="str">
        <f>IF($U762="","",IF(Config!$B$17=Config!$B$16,IF($U762&gt;=Config!$B$17,100,0),MAX(0,MIN(100,($U762-Config!$B$16)/(Config!$B$17-Config!$B$16)*100))))</f>
        <v/>
      </c>
      <c r="W762" s="40">
        <f>IF($L762="Elite",Config!$B$21,0)</f>
        <v>0</v>
      </c>
      <c r="X762" s="40" t="str">
        <f>IFERROR(IF(OR($T762="",$G762=""),"",IF($T762&gt;$G762,
  MAX(0, 60-(($T762-$G762)*24/Config!$B$19)*60),
  MEDIAN(60, 100, 60+(($G762-$T762)*24/Config!$B$20)*40)
)),"")
</f>
        <v/>
      </c>
      <c r="Y762" s="40" t="str">
        <f>IF($J762="","",IFERROR(VLOOKUP($J762,Grinders!$A:$N,10,FALSE),""))</f>
        <v/>
      </c>
      <c r="Z762" s="40" t="str">
        <f>IF($J762="","",IFERROR(VLOOKUP($J762,Grinders!$A:$N,11,FALSE),""))</f>
        <v/>
      </c>
      <c r="AA762" s="40" t="str">
        <f>IF($J762="","",IFERROR(VLOOKUP($J762,Grinders!$A:$N,12,FALSE),""))</f>
        <v/>
      </c>
      <c r="AB762" s="40">
        <f>IFERROR(IF(OR($C762="",$J762=""),0,IF($D762&lt;&gt;"Open",0,IF(COUNTIFS(GrinderServices!$B:$B,$J762,GrinderServices!$C:$C,$E762,GrinderServices!$E:$E,"Y")=0,0,IF($U762&lt;Config!$B$16,0,IF(Config!$B$18=1,IF($N762&gt;=$M762,0,1),1))))),"")</f>
        <v>0</v>
      </c>
      <c r="AC762" s="40" t="str">
        <f>IFERROR(IF($AB762=0,"",((Config!$B$6*$V762 + Config!$B$7*$R762 + Config!$B$8*$W762 + Config!$B$9*$X762 + Config!$B$10*$Y762 + Config!$B$11*$Z762 - Config!$B$12*$AA762)/Config!$B$13)+$AH762+$AI762),"")</f>
        <v/>
      </c>
      <c r="AD762" s="40" t="str">
        <f t="shared" si="4"/>
        <v/>
      </c>
      <c r="AE762" s="40" t="str">
        <f>IFERROR(__xludf.DUMMYFUNCTION("IF($AC762="""","""",IF($AC762=IFERROR(MAX(FILTER($AC$6:$AC$1000,$C$6:$C$1000=$C762,$AB$6:$AB$1000=1)),),""WINNER"",""""))"),"")</f>
        <v/>
      </c>
      <c r="AF762" s="40" t="str">
        <f t="shared" si="5"/>
        <v/>
      </c>
      <c r="AG762" s="40" t="str">
        <f>IF($J762="","",COUNTIF(Assignments!$B:$B,$J762))</f>
        <v/>
      </c>
      <c r="AH762" s="40" t="str">
        <f>IF($J762="","",IF(AND($AG762=0,$N762&lt;$M762),Config!$B$43,0))</f>
        <v/>
      </c>
      <c r="AI762" s="40" t="str">
        <f>IF($J762="","",IF(AND($L762="Elite",$F762&gt;=Config!$B$41,$N762&lt;$M762),Config!$B$42,0))</f>
        <v/>
      </c>
      <c r="AJ762" s="22"/>
    </row>
    <row r="763" ht="15.75" customHeight="1">
      <c r="A763" s="40" t="str">
        <f t="shared" si="1"/>
        <v/>
      </c>
      <c r="B763" s="40" t="str">
        <f>IF(Bids!$A763="","",Bids!$A763)</f>
        <v/>
      </c>
      <c r="C763" s="40" t="str">
        <f>IF(Bids!$B763="","",Bids!$B763)</f>
        <v/>
      </c>
      <c r="D763" s="40" t="str">
        <f>IF($C763="","",IFERROR(VLOOKUP($C763,Orders!$A:$J,9,FALSE),""))</f>
        <v/>
      </c>
      <c r="E763" s="40" t="str">
        <f>IF($C763="","",IFERROR(VLOOKUP($C763,Orders!$A:$J,3,FALSE),""))</f>
        <v/>
      </c>
      <c r="F763" s="40" t="str">
        <f>IF($C763="","",IFERROR(VLOOKUP($C763,Orders!$A:$J,4,FALSE),""))</f>
        <v/>
      </c>
      <c r="G763" s="40" t="str">
        <f>IF($C763="","",IFERROR(VLOOKUP($C763,Orders!$A:$J,5,FALSE),""))</f>
        <v/>
      </c>
      <c r="H763" s="40" t="str">
        <f>IF($C763="","",IFERROR(VLOOKUP($C763,Orders!$A:$J,6,FALSE),""))</f>
        <v/>
      </c>
      <c r="I763" s="40" t="str">
        <f>IF($C763="","",IFERROR(VLOOKUP($C763,Orders!$A:$J,7,FALSE),""))</f>
        <v/>
      </c>
      <c r="J763" s="40" t="str">
        <f>IF(Bids!$C763="","",Bids!$C763)</f>
        <v/>
      </c>
      <c r="K763" s="40" t="str">
        <f>IF($J763="","",IFERROR(VLOOKUP($J763,Grinders!$A:$N,2,FALSE),""))</f>
        <v/>
      </c>
      <c r="L763" s="40" t="str">
        <f>IF($J763="","",IFERROR(VLOOKUP($J763,Grinders!$A:$N,3,FALSE),""))</f>
        <v/>
      </c>
      <c r="M763" s="40" t="str">
        <f>IF($J763="","",IFERROR(VLOOKUP($J763,Grinders!$A:$N,4,FALSE),""))</f>
        <v/>
      </c>
      <c r="N763" s="40" t="str">
        <f>IF($J763="","",IFERROR(VLOOKUP($J763,Grinders!$A:$N,5,FALSE),""))</f>
        <v/>
      </c>
      <c r="O763" s="40" t="str">
        <f t="shared" si="2"/>
        <v/>
      </c>
      <c r="P763" s="40" t="str">
        <f>IF($J763="","",IFERROR(VLOOKUP($J763,Grinders!$A:$N,6,FALSE),""))</f>
        <v/>
      </c>
      <c r="Q763" s="40" t="str">
        <f>IF($J763="","",IFERROR(VLOOKUP($J763,Grinders!$A:$N,8,FALSE),""))</f>
        <v/>
      </c>
      <c r="R763" s="40" t="str">
        <f>IFERROR(IF($J763="","",IF($L763="Elite",MAX(50,MIN(100,Config!$B$27*MAX(0,MIN(100,(1-IF($O763="",0,$O763))*100)) + Config!$B$28*MAX(0,MIN(100,(1-MIN(1,IF(Config!$B$30=0,1,$P763/Config!$B$30)))*100)) + Config!$B$29*MAX(0,MIN(100,MIN(1,IF($Q763="",0,$Q763)/Config!$B$23)*100)))),MIN(100,Config!$B$27*MAX(0,MIN(100,(1-IF($O763="",0,$O763))*100)) + Config!$B$28*MAX(0,MIN(100,(1-MIN(1,IF(Config!$B$30=0,1,$P763/Config!$B$30)))*100)) + Config!$B$29*MAX(0,MIN(100,MIN(1,IF($Q763="",0,$Q763)/Config!$B$23)*100))))),"")
</f>
        <v/>
      </c>
      <c r="S763" s="40" t="str">
        <f>IF(Bids!$D763="","",Bids!$D763)</f>
        <v/>
      </c>
      <c r="T763" s="40" t="str">
        <f>IF(Bids!$F763="","",Bids!$F763)</f>
        <v/>
      </c>
      <c r="U763" s="40" t="str">
        <f t="shared" si="3"/>
        <v/>
      </c>
      <c r="V763" s="40" t="str">
        <f>IF($U763="","",IF(Config!$B$17=Config!$B$16,IF($U763&gt;=Config!$B$17,100,0),MAX(0,MIN(100,($U763-Config!$B$16)/(Config!$B$17-Config!$B$16)*100))))</f>
        <v/>
      </c>
      <c r="W763" s="40">
        <f>IF($L763="Elite",Config!$B$21,0)</f>
        <v>0</v>
      </c>
      <c r="X763" s="40" t="str">
        <f>IFERROR(IF(OR($T763="",$G763=""),"",IF($T763&gt;$G763,
  MAX(0, 60-(($T763-$G763)*24/Config!$B$19)*60),
  MEDIAN(60, 100, 60+(($G763-$T763)*24/Config!$B$20)*40)
)),"")
</f>
        <v/>
      </c>
      <c r="Y763" s="40" t="str">
        <f>IF($J763="","",IFERROR(VLOOKUP($J763,Grinders!$A:$N,10,FALSE),""))</f>
        <v/>
      </c>
      <c r="Z763" s="40" t="str">
        <f>IF($J763="","",IFERROR(VLOOKUP($J763,Grinders!$A:$N,11,FALSE),""))</f>
        <v/>
      </c>
      <c r="AA763" s="40" t="str">
        <f>IF($J763="","",IFERROR(VLOOKUP($J763,Grinders!$A:$N,12,FALSE),""))</f>
        <v/>
      </c>
      <c r="AB763" s="40">
        <f>IFERROR(IF(OR($C763="",$J763=""),0,IF($D763&lt;&gt;"Open",0,IF(COUNTIFS(GrinderServices!$B:$B,$J763,GrinderServices!$C:$C,$E763,GrinderServices!$E:$E,"Y")=0,0,IF($U763&lt;Config!$B$16,0,IF(Config!$B$18=1,IF($N763&gt;=$M763,0,1),1))))),"")</f>
        <v>0</v>
      </c>
      <c r="AC763" s="40" t="str">
        <f>IFERROR(IF($AB763=0,"",((Config!$B$6*$V763 + Config!$B$7*$R763 + Config!$B$8*$W763 + Config!$B$9*$X763 + Config!$B$10*$Y763 + Config!$B$11*$Z763 - Config!$B$12*$AA763)/Config!$B$13)+$AH763+$AI763),"")</f>
        <v/>
      </c>
      <c r="AD763" s="40" t="str">
        <f t="shared" si="4"/>
        <v/>
      </c>
      <c r="AE763" s="40" t="str">
        <f>IFERROR(__xludf.DUMMYFUNCTION("IF($AC763="""","""",IF($AC763=IFERROR(MAX(FILTER($AC$6:$AC$1000,$C$6:$C$1000=$C763,$AB$6:$AB$1000=1)),),""WINNER"",""""))"),"")</f>
        <v/>
      </c>
      <c r="AF763" s="40" t="str">
        <f t="shared" si="5"/>
        <v/>
      </c>
      <c r="AG763" s="40" t="str">
        <f>IF($J763="","",COUNTIF(Assignments!$B:$B,$J763))</f>
        <v/>
      </c>
      <c r="AH763" s="40" t="str">
        <f>IF($J763="","",IF(AND($AG763=0,$N763&lt;$M763),Config!$B$43,0))</f>
        <v/>
      </c>
      <c r="AI763" s="40" t="str">
        <f>IF($J763="","",IF(AND($L763="Elite",$F763&gt;=Config!$B$41,$N763&lt;$M763),Config!$B$42,0))</f>
        <v/>
      </c>
      <c r="AJ763" s="22"/>
    </row>
    <row r="764" ht="15.75" customHeight="1">
      <c r="A764" s="40" t="str">
        <f t="shared" si="1"/>
        <v/>
      </c>
      <c r="B764" s="40" t="str">
        <f>IF(Bids!$A764="","",Bids!$A764)</f>
        <v/>
      </c>
      <c r="C764" s="40" t="str">
        <f>IF(Bids!$B764="","",Bids!$B764)</f>
        <v/>
      </c>
      <c r="D764" s="40" t="str">
        <f>IF($C764="","",IFERROR(VLOOKUP($C764,Orders!$A:$J,9,FALSE),""))</f>
        <v/>
      </c>
      <c r="E764" s="40" t="str">
        <f>IF($C764="","",IFERROR(VLOOKUP($C764,Orders!$A:$J,3,FALSE),""))</f>
        <v/>
      </c>
      <c r="F764" s="40" t="str">
        <f>IF($C764="","",IFERROR(VLOOKUP($C764,Orders!$A:$J,4,FALSE),""))</f>
        <v/>
      </c>
      <c r="G764" s="40" t="str">
        <f>IF($C764="","",IFERROR(VLOOKUP($C764,Orders!$A:$J,5,FALSE),""))</f>
        <v/>
      </c>
      <c r="H764" s="40" t="str">
        <f>IF($C764="","",IFERROR(VLOOKUP($C764,Orders!$A:$J,6,FALSE),""))</f>
        <v/>
      </c>
      <c r="I764" s="40" t="str">
        <f>IF($C764="","",IFERROR(VLOOKUP($C764,Orders!$A:$J,7,FALSE),""))</f>
        <v/>
      </c>
      <c r="J764" s="40" t="str">
        <f>IF(Bids!$C764="","",Bids!$C764)</f>
        <v/>
      </c>
      <c r="K764" s="40" t="str">
        <f>IF($J764="","",IFERROR(VLOOKUP($J764,Grinders!$A:$N,2,FALSE),""))</f>
        <v/>
      </c>
      <c r="L764" s="40" t="str">
        <f>IF($J764="","",IFERROR(VLOOKUP($J764,Grinders!$A:$N,3,FALSE),""))</f>
        <v/>
      </c>
      <c r="M764" s="40" t="str">
        <f>IF($J764="","",IFERROR(VLOOKUP($J764,Grinders!$A:$N,4,FALSE),""))</f>
        <v/>
      </c>
      <c r="N764" s="40" t="str">
        <f>IF($J764="","",IFERROR(VLOOKUP($J764,Grinders!$A:$N,5,FALSE),""))</f>
        <v/>
      </c>
      <c r="O764" s="40" t="str">
        <f t="shared" si="2"/>
        <v/>
      </c>
      <c r="P764" s="40" t="str">
        <f>IF($J764="","",IFERROR(VLOOKUP($J764,Grinders!$A:$N,6,FALSE),""))</f>
        <v/>
      </c>
      <c r="Q764" s="40" t="str">
        <f>IF($J764="","",IFERROR(VLOOKUP($J764,Grinders!$A:$N,8,FALSE),""))</f>
        <v/>
      </c>
      <c r="R764" s="40" t="str">
        <f>IFERROR(IF($J764="","",IF($L764="Elite",MAX(50,MIN(100,Config!$B$27*MAX(0,MIN(100,(1-IF($O764="",0,$O764))*100)) + Config!$B$28*MAX(0,MIN(100,(1-MIN(1,IF(Config!$B$30=0,1,$P764/Config!$B$30)))*100)) + Config!$B$29*MAX(0,MIN(100,MIN(1,IF($Q764="",0,$Q764)/Config!$B$23)*100)))),MIN(100,Config!$B$27*MAX(0,MIN(100,(1-IF($O764="",0,$O764))*100)) + Config!$B$28*MAX(0,MIN(100,(1-MIN(1,IF(Config!$B$30=0,1,$P764/Config!$B$30)))*100)) + Config!$B$29*MAX(0,MIN(100,MIN(1,IF($Q764="",0,$Q764)/Config!$B$23)*100))))),"")
</f>
        <v/>
      </c>
      <c r="S764" s="40" t="str">
        <f>IF(Bids!$D764="","",Bids!$D764)</f>
        <v/>
      </c>
      <c r="T764" s="40" t="str">
        <f>IF(Bids!$F764="","",Bids!$F764)</f>
        <v/>
      </c>
      <c r="U764" s="40" t="str">
        <f t="shared" si="3"/>
        <v/>
      </c>
      <c r="V764" s="40" t="str">
        <f>IF($U764="","",IF(Config!$B$17=Config!$B$16,IF($U764&gt;=Config!$B$17,100,0),MAX(0,MIN(100,($U764-Config!$B$16)/(Config!$B$17-Config!$B$16)*100))))</f>
        <v/>
      </c>
      <c r="W764" s="40">
        <f>IF($L764="Elite",Config!$B$21,0)</f>
        <v>0</v>
      </c>
      <c r="X764" s="40" t="str">
        <f>IFERROR(IF(OR($T764="",$G764=""),"",IF($T764&gt;$G764,
  MAX(0, 60-(($T764-$G764)*24/Config!$B$19)*60),
  MEDIAN(60, 100, 60+(($G764-$T764)*24/Config!$B$20)*40)
)),"")
</f>
        <v/>
      </c>
      <c r="Y764" s="40" t="str">
        <f>IF($J764="","",IFERROR(VLOOKUP($J764,Grinders!$A:$N,10,FALSE),""))</f>
        <v/>
      </c>
      <c r="Z764" s="40" t="str">
        <f>IF($J764="","",IFERROR(VLOOKUP($J764,Grinders!$A:$N,11,FALSE),""))</f>
        <v/>
      </c>
      <c r="AA764" s="40" t="str">
        <f>IF($J764="","",IFERROR(VLOOKUP($J764,Grinders!$A:$N,12,FALSE),""))</f>
        <v/>
      </c>
      <c r="AB764" s="40">
        <f>IFERROR(IF(OR($C764="",$J764=""),0,IF($D764&lt;&gt;"Open",0,IF(COUNTIFS(GrinderServices!$B:$B,$J764,GrinderServices!$C:$C,$E764,GrinderServices!$E:$E,"Y")=0,0,IF($U764&lt;Config!$B$16,0,IF(Config!$B$18=1,IF($N764&gt;=$M764,0,1),1))))),"")</f>
        <v>0</v>
      </c>
      <c r="AC764" s="40" t="str">
        <f>IFERROR(IF($AB764=0,"",((Config!$B$6*$V764 + Config!$B$7*$R764 + Config!$B$8*$W764 + Config!$B$9*$X764 + Config!$B$10*$Y764 + Config!$B$11*$Z764 - Config!$B$12*$AA764)/Config!$B$13)+$AH764+$AI764),"")</f>
        <v/>
      </c>
      <c r="AD764" s="40" t="str">
        <f t="shared" si="4"/>
        <v/>
      </c>
      <c r="AE764" s="40" t="str">
        <f>IFERROR(__xludf.DUMMYFUNCTION("IF($AC764="""","""",IF($AC764=IFERROR(MAX(FILTER($AC$6:$AC$1000,$C$6:$C$1000=$C764,$AB$6:$AB$1000=1)),),""WINNER"",""""))"),"")</f>
        <v/>
      </c>
      <c r="AF764" s="40" t="str">
        <f t="shared" si="5"/>
        <v/>
      </c>
      <c r="AG764" s="40" t="str">
        <f>IF($J764="","",COUNTIF(Assignments!$B:$B,$J764))</f>
        <v/>
      </c>
      <c r="AH764" s="40" t="str">
        <f>IF($J764="","",IF(AND($AG764=0,$N764&lt;$M764),Config!$B$43,0))</f>
        <v/>
      </c>
      <c r="AI764" s="40" t="str">
        <f>IF($J764="","",IF(AND($L764="Elite",$F764&gt;=Config!$B$41,$N764&lt;$M764),Config!$B$42,0))</f>
        <v/>
      </c>
      <c r="AJ764" s="22"/>
    </row>
    <row r="765" ht="15.75" customHeight="1">
      <c r="A765" s="40" t="str">
        <f t="shared" si="1"/>
        <v/>
      </c>
      <c r="B765" s="40" t="str">
        <f>IF(Bids!$A765="","",Bids!$A765)</f>
        <v/>
      </c>
      <c r="C765" s="40" t="str">
        <f>IF(Bids!$B765="","",Bids!$B765)</f>
        <v/>
      </c>
      <c r="D765" s="40" t="str">
        <f>IF($C765="","",IFERROR(VLOOKUP($C765,Orders!$A:$J,9,FALSE),""))</f>
        <v/>
      </c>
      <c r="E765" s="40" t="str">
        <f>IF($C765="","",IFERROR(VLOOKUP($C765,Orders!$A:$J,3,FALSE),""))</f>
        <v/>
      </c>
      <c r="F765" s="40" t="str">
        <f>IF($C765="","",IFERROR(VLOOKUP($C765,Orders!$A:$J,4,FALSE),""))</f>
        <v/>
      </c>
      <c r="G765" s="40" t="str">
        <f>IF($C765="","",IFERROR(VLOOKUP($C765,Orders!$A:$J,5,FALSE),""))</f>
        <v/>
      </c>
      <c r="H765" s="40" t="str">
        <f>IF($C765="","",IFERROR(VLOOKUP($C765,Orders!$A:$J,6,FALSE),""))</f>
        <v/>
      </c>
      <c r="I765" s="40" t="str">
        <f>IF($C765="","",IFERROR(VLOOKUP($C765,Orders!$A:$J,7,FALSE),""))</f>
        <v/>
      </c>
      <c r="J765" s="40" t="str">
        <f>IF(Bids!$C765="","",Bids!$C765)</f>
        <v/>
      </c>
      <c r="K765" s="40" t="str">
        <f>IF($J765="","",IFERROR(VLOOKUP($J765,Grinders!$A:$N,2,FALSE),""))</f>
        <v/>
      </c>
      <c r="L765" s="40" t="str">
        <f>IF($J765="","",IFERROR(VLOOKUP($J765,Grinders!$A:$N,3,FALSE),""))</f>
        <v/>
      </c>
      <c r="M765" s="40" t="str">
        <f>IF($J765="","",IFERROR(VLOOKUP($J765,Grinders!$A:$N,4,FALSE),""))</f>
        <v/>
      </c>
      <c r="N765" s="40" t="str">
        <f>IF($J765="","",IFERROR(VLOOKUP($J765,Grinders!$A:$N,5,FALSE),""))</f>
        <v/>
      </c>
      <c r="O765" s="40" t="str">
        <f t="shared" si="2"/>
        <v/>
      </c>
      <c r="P765" s="40" t="str">
        <f>IF($J765="","",IFERROR(VLOOKUP($J765,Grinders!$A:$N,6,FALSE),""))</f>
        <v/>
      </c>
      <c r="Q765" s="40" t="str">
        <f>IF($J765="","",IFERROR(VLOOKUP($J765,Grinders!$A:$N,8,FALSE),""))</f>
        <v/>
      </c>
      <c r="R765" s="40" t="str">
        <f>IFERROR(IF($J765="","",IF($L765="Elite",MAX(50,MIN(100,Config!$B$27*MAX(0,MIN(100,(1-IF($O765="",0,$O765))*100)) + Config!$B$28*MAX(0,MIN(100,(1-MIN(1,IF(Config!$B$30=0,1,$P765/Config!$B$30)))*100)) + Config!$B$29*MAX(0,MIN(100,MIN(1,IF($Q765="",0,$Q765)/Config!$B$23)*100)))),MIN(100,Config!$B$27*MAX(0,MIN(100,(1-IF($O765="",0,$O765))*100)) + Config!$B$28*MAX(0,MIN(100,(1-MIN(1,IF(Config!$B$30=0,1,$P765/Config!$B$30)))*100)) + Config!$B$29*MAX(0,MIN(100,MIN(1,IF($Q765="",0,$Q765)/Config!$B$23)*100))))),"")
</f>
        <v/>
      </c>
      <c r="S765" s="40" t="str">
        <f>IF(Bids!$D765="","",Bids!$D765)</f>
        <v/>
      </c>
      <c r="T765" s="40" t="str">
        <f>IF(Bids!$F765="","",Bids!$F765)</f>
        <v/>
      </c>
      <c r="U765" s="40" t="str">
        <f t="shared" si="3"/>
        <v/>
      </c>
      <c r="V765" s="40" t="str">
        <f>IF($U765="","",IF(Config!$B$17=Config!$B$16,IF($U765&gt;=Config!$B$17,100,0),MAX(0,MIN(100,($U765-Config!$B$16)/(Config!$B$17-Config!$B$16)*100))))</f>
        <v/>
      </c>
      <c r="W765" s="40">
        <f>IF($L765="Elite",Config!$B$21,0)</f>
        <v>0</v>
      </c>
      <c r="X765" s="40" t="str">
        <f>IFERROR(IF(OR($T765="",$G765=""),"",IF($T765&gt;$G765,
  MAX(0, 60-(($T765-$G765)*24/Config!$B$19)*60),
  MEDIAN(60, 100, 60+(($G765-$T765)*24/Config!$B$20)*40)
)),"")
</f>
        <v/>
      </c>
      <c r="Y765" s="40" t="str">
        <f>IF($J765="","",IFERROR(VLOOKUP($J765,Grinders!$A:$N,10,FALSE),""))</f>
        <v/>
      </c>
      <c r="Z765" s="40" t="str">
        <f>IF($J765="","",IFERROR(VLOOKUP($J765,Grinders!$A:$N,11,FALSE),""))</f>
        <v/>
      </c>
      <c r="AA765" s="40" t="str">
        <f>IF($J765="","",IFERROR(VLOOKUP($J765,Grinders!$A:$N,12,FALSE),""))</f>
        <v/>
      </c>
      <c r="AB765" s="40">
        <f>IFERROR(IF(OR($C765="",$J765=""),0,IF($D765&lt;&gt;"Open",0,IF(COUNTIFS(GrinderServices!$B:$B,$J765,GrinderServices!$C:$C,$E765,GrinderServices!$E:$E,"Y")=0,0,IF($U765&lt;Config!$B$16,0,IF(Config!$B$18=1,IF($N765&gt;=$M765,0,1),1))))),"")</f>
        <v>0</v>
      </c>
      <c r="AC765" s="40" t="str">
        <f>IFERROR(IF($AB765=0,"",((Config!$B$6*$V765 + Config!$B$7*$R765 + Config!$B$8*$W765 + Config!$B$9*$X765 + Config!$B$10*$Y765 + Config!$B$11*$Z765 - Config!$B$12*$AA765)/Config!$B$13)+$AH765+$AI765),"")</f>
        <v/>
      </c>
      <c r="AD765" s="40" t="str">
        <f t="shared" si="4"/>
        <v/>
      </c>
      <c r="AE765" s="40" t="str">
        <f>IFERROR(__xludf.DUMMYFUNCTION("IF($AC765="""","""",IF($AC765=IFERROR(MAX(FILTER($AC$6:$AC$1000,$C$6:$C$1000=$C765,$AB$6:$AB$1000=1)),),""WINNER"",""""))"),"")</f>
        <v/>
      </c>
      <c r="AF765" s="40" t="str">
        <f t="shared" si="5"/>
        <v/>
      </c>
      <c r="AG765" s="40" t="str">
        <f>IF($J765="","",COUNTIF(Assignments!$B:$B,$J765))</f>
        <v/>
      </c>
      <c r="AH765" s="40" t="str">
        <f>IF($J765="","",IF(AND($AG765=0,$N765&lt;$M765),Config!$B$43,0))</f>
        <v/>
      </c>
      <c r="AI765" s="40" t="str">
        <f>IF($J765="","",IF(AND($L765="Elite",$F765&gt;=Config!$B$41,$N765&lt;$M765),Config!$B$42,0))</f>
        <v/>
      </c>
      <c r="AJ765" s="22"/>
    </row>
    <row r="766" ht="15.75" customHeight="1">
      <c r="A766" s="40" t="str">
        <f t="shared" si="1"/>
        <v/>
      </c>
      <c r="B766" s="40" t="str">
        <f>IF(Bids!$A766="","",Bids!$A766)</f>
        <v/>
      </c>
      <c r="C766" s="40" t="str">
        <f>IF(Bids!$B766="","",Bids!$B766)</f>
        <v/>
      </c>
      <c r="D766" s="40" t="str">
        <f>IF($C766="","",IFERROR(VLOOKUP($C766,Orders!$A:$J,9,FALSE),""))</f>
        <v/>
      </c>
      <c r="E766" s="40" t="str">
        <f>IF($C766="","",IFERROR(VLOOKUP($C766,Orders!$A:$J,3,FALSE),""))</f>
        <v/>
      </c>
      <c r="F766" s="40" t="str">
        <f>IF($C766="","",IFERROR(VLOOKUP($C766,Orders!$A:$J,4,FALSE),""))</f>
        <v/>
      </c>
      <c r="G766" s="40" t="str">
        <f>IF($C766="","",IFERROR(VLOOKUP($C766,Orders!$A:$J,5,FALSE),""))</f>
        <v/>
      </c>
      <c r="H766" s="40" t="str">
        <f>IF($C766="","",IFERROR(VLOOKUP($C766,Orders!$A:$J,6,FALSE),""))</f>
        <v/>
      </c>
      <c r="I766" s="40" t="str">
        <f>IF($C766="","",IFERROR(VLOOKUP($C766,Orders!$A:$J,7,FALSE),""))</f>
        <v/>
      </c>
      <c r="J766" s="40" t="str">
        <f>IF(Bids!$C766="","",Bids!$C766)</f>
        <v/>
      </c>
      <c r="K766" s="40" t="str">
        <f>IF($J766="","",IFERROR(VLOOKUP($J766,Grinders!$A:$N,2,FALSE),""))</f>
        <v/>
      </c>
      <c r="L766" s="40" t="str">
        <f>IF($J766="","",IFERROR(VLOOKUP($J766,Grinders!$A:$N,3,FALSE),""))</f>
        <v/>
      </c>
      <c r="M766" s="40" t="str">
        <f>IF($J766="","",IFERROR(VLOOKUP($J766,Grinders!$A:$N,4,FALSE),""))</f>
        <v/>
      </c>
      <c r="N766" s="40" t="str">
        <f>IF($J766="","",IFERROR(VLOOKUP($J766,Grinders!$A:$N,5,FALSE),""))</f>
        <v/>
      </c>
      <c r="O766" s="40" t="str">
        <f t="shared" si="2"/>
        <v/>
      </c>
      <c r="P766" s="40" t="str">
        <f>IF($J766="","",IFERROR(VLOOKUP($J766,Grinders!$A:$N,6,FALSE),""))</f>
        <v/>
      </c>
      <c r="Q766" s="40" t="str">
        <f>IF($J766="","",IFERROR(VLOOKUP($J766,Grinders!$A:$N,8,FALSE),""))</f>
        <v/>
      </c>
      <c r="R766" s="40" t="str">
        <f>IFERROR(IF($J766="","",IF($L766="Elite",MAX(50,MIN(100,Config!$B$27*MAX(0,MIN(100,(1-IF($O766="",0,$O766))*100)) + Config!$B$28*MAX(0,MIN(100,(1-MIN(1,IF(Config!$B$30=0,1,$P766/Config!$B$30)))*100)) + Config!$B$29*MAX(0,MIN(100,MIN(1,IF($Q766="",0,$Q766)/Config!$B$23)*100)))),MIN(100,Config!$B$27*MAX(0,MIN(100,(1-IF($O766="",0,$O766))*100)) + Config!$B$28*MAX(0,MIN(100,(1-MIN(1,IF(Config!$B$30=0,1,$P766/Config!$B$30)))*100)) + Config!$B$29*MAX(0,MIN(100,MIN(1,IF($Q766="",0,$Q766)/Config!$B$23)*100))))),"")
</f>
        <v/>
      </c>
      <c r="S766" s="40" t="str">
        <f>IF(Bids!$D766="","",Bids!$D766)</f>
        <v/>
      </c>
      <c r="T766" s="40" t="str">
        <f>IF(Bids!$F766="","",Bids!$F766)</f>
        <v/>
      </c>
      <c r="U766" s="40" t="str">
        <f t="shared" si="3"/>
        <v/>
      </c>
      <c r="V766" s="40" t="str">
        <f>IF($U766="","",IF(Config!$B$17=Config!$B$16,IF($U766&gt;=Config!$B$17,100,0),MAX(0,MIN(100,($U766-Config!$B$16)/(Config!$B$17-Config!$B$16)*100))))</f>
        <v/>
      </c>
      <c r="W766" s="40">
        <f>IF($L766="Elite",Config!$B$21,0)</f>
        <v>0</v>
      </c>
      <c r="X766" s="40" t="str">
        <f>IFERROR(IF(OR($T766="",$G766=""),"",IF($T766&gt;$G766,
  MAX(0, 60-(($T766-$G766)*24/Config!$B$19)*60),
  MEDIAN(60, 100, 60+(($G766-$T766)*24/Config!$B$20)*40)
)),"")
</f>
        <v/>
      </c>
      <c r="Y766" s="40" t="str">
        <f>IF($J766="","",IFERROR(VLOOKUP($J766,Grinders!$A:$N,10,FALSE),""))</f>
        <v/>
      </c>
      <c r="Z766" s="40" t="str">
        <f>IF($J766="","",IFERROR(VLOOKUP($J766,Grinders!$A:$N,11,FALSE),""))</f>
        <v/>
      </c>
      <c r="AA766" s="40" t="str">
        <f>IF($J766="","",IFERROR(VLOOKUP($J766,Grinders!$A:$N,12,FALSE),""))</f>
        <v/>
      </c>
      <c r="AB766" s="40">
        <f>IFERROR(IF(OR($C766="",$J766=""),0,IF($D766&lt;&gt;"Open",0,IF(COUNTIFS(GrinderServices!$B:$B,$J766,GrinderServices!$C:$C,$E766,GrinderServices!$E:$E,"Y")=0,0,IF($U766&lt;Config!$B$16,0,IF(Config!$B$18=1,IF($N766&gt;=$M766,0,1),1))))),"")</f>
        <v>0</v>
      </c>
      <c r="AC766" s="40" t="str">
        <f>IFERROR(IF($AB766=0,"",((Config!$B$6*$V766 + Config!$B$7*$R766 + Config!$B$8*$W766 + Config!$B$9*$X766 + Config!$B$10*$Y766 + Config!$B$11*$Z766 - Config!$B$12*$AA766)/Config!$B$13)+$AH766+$AI766),"")</f>
        <v/>
      </c>
      <c r="AD766" s="40" t="str">
        <f t="shared" si="4"/>
        <v/>
      </c>
      <c r="AE766" s="40" t="str">
        <f>IFERROR(__xludf.DUMMYFUNCTION("IF($AC766="""","""",IF($AC766=IFERROR(MAX(FILTER($AC$6:$AC$1000,$C$6:$C$1000=$C766,$AB$6:$AB$1000=1)),),""WINNER"",""""))"),"")</f>
        <v/>
      </c>
      <c r="AF766" s="40" t="str">
        <f t="shared" si="5"/>
        <v/>
      </c>
      <c r="AG766" s="40" t="str">
        <f>IF($J766="","",COUNTIF(Assignments!$B:$B,$J766))</f>
        <v/>
      </c>
      <c r="AH766" s="40" t="str">
        <f>IF($J766="","",IF(AND($AG766=0,$N766&lt;$M766),Config!$B$43,0))</f>
        <v/>
      </c>
      <c r="AI766" s="40" t="str">
        <f>IF($J766="","",IF(AND($L766="Elite",$F766&gt;=Config!$B$41,$N766&lt;$M766),Config!$B$42,0))</f>
        <v/>
      </c>
      <c r="AJ766" s="22"/>
    </row>
    <row r="767" ht="15.75" customHeight="1">
      <c r="A767" s="40" t="str">
        <f t="shared" si="1"/>
        <v/>
      </c>
      <c r="B767" s="40" t="str">
        <f>IF(Bids!$A767="","",Bids!$A767)</f>
        <v/>
      </c>
      <c r="C767" s="40" t="str">
        <f>IF(Bids!$B767="","",Bids!$B767)</f>
        <v/>
      </c>
      <c r="D767" s="40" t="str">
        <f>IF($C767="","",IFERROR(VLOOKUP($C767,Orders!$A:$J,9,FALSE),""))</f>
        <v/>
      </c>
      <c r="E767" s="40" t="str">
        <f>IF($C767="","",IFERROR(VLOOKUP($C767,Orders!$A:$J,3,FALSE),""))</f>
        <v/>
      </c>
      <c r="F767" s="40" t="str">
        <f>IF($C767="","",IFERROR(VLOOKUP($C767,Orders!$A:$J,4,FALSE),""))</f>
        <v/>
      </c>
      <c r="G767" s="40" t="str">
        <f>IF($C767="","",IFERROR(VLOOKUP($C767,Orders!$A:$J,5,FALSE),""))</f>
        <v/>
      </c>
      <c r="H767" s="40" t="str">
        <f>IF($C767="","",IFERROR(VLOOKUP($C767,Orders!$A:$J,6,FALSE),""))</f>
        <v/>
      </c>
      <c r="I767" s="40" t="str">
        <f>IF($C767="","",IFERROR(VLOOKUP($C767,Orders!$A:$J,7,FALSE),""))</f>
        <v/>
      </c>
      <c r="J767" s="40" t="str">
        <f>IF(Bids!$C767="","",Bids!$C767)</f>
        <v/>
      </c>
      <c r="K767" s="40" t="str">
        <f>IF($J767="","",IFERROR(VLOOKUP($J767,Grinders!$A:$N,2,FALSE),""))</f>
        <v/>
      </c>
      <c r="L767" s="40" t="str">
        <f>IF($J767="","",IFERROR(VLOOKUP($J767,Grinders!$A:$N,3,FALSE),""))</f>
        <v/>
      </c>
      <c r="M767" s="40" t="str">
        <f>IF($J767="","",IFERROR(VLOOKUP($J767,Grinders!$A:$N,4,FALSE),""))</f>
        <v/>
      </c>
      <c r="N767" s="40" t="str">
        <f>IF($J767="","",IFERROR(VLOOKUP($J767,Grinders!$A:$N,5,FALSE),""))</f>
        <v/>
      </c>
      <c r="O767" s="40" t="str">
        <f t="shared" si="2"/>
        <v/>
      </c>
      <c r="P767" s="40" t="str">
        <f>IF($J767="","",IFERROR(VLOOKUP($J767,Grinders!$A:$N,6,FALSE),""))</f>
        <v/>
      </c>
      <c r="Q767" s="40" t="str">
        <f>IF($J767="","",IFERROR(VLOOKUP($J767,Grinders!$A:$N,8,FALSE),""))</f>
        <v/>
      </c>
      <c r="R767" s="40" t="str">
        <f>IFERROR(IF($J767="","",IF($L767="Elite",MAX(50,MIN(100,Config!$B$27*MAX(0,MIN(100,(1-IF($O767="",0,$O767))*100)) + Config!$B$28*MAX(0,MIN(100,(1-MIN(1,IF(Config!$B$30=0,1,$P767/Config!$B$30)))*100)) + Config!$B$29*MAX(0,MIN(100,MIN(1,IF($Q767="",0,$Q767)/Config!$B$23)*100)))),MIN(100,Config!$B$27*MAX(0,MIN(100,(1-IF($O767="",0,$O767))*100)) + Config!$B$28*MAX(0,MIN(100,(1-MIN(1,IF(Config!$B$30=0,1,$P767/Config!$B$30)))*100)) + Config!$B$29*MAX(0,MIN(100,MIN(1,IF($Q767="",0,$Q767)/Config!$B$23)*100))))),"")
</f>
        <v/>
      </c>
      <c r="S767" s="40" t="str">
        <f>IF(Bids!$D767="","",Bids!$D767)</f>
        <v/>
      </c>
      <c r="T767" s="40" t="str">
        <f>IF(Bids!$F767="","",Bids!$F767)</f>
        <v/>
      </c>
      <c r="U767" s="40" t="str">
        <f t="shared" si="3"/>
        <v/>
      </c>
      <c r="V767" s="40" t="str">
        <f>IF($U767="","",IF(Config!$B$17=Config!$B$16,IF($U767&gt;=Config!$B$17,100,0),MAX(0,MIN(100,($U767-Config!$B$16)/(Config!$B$17-Config!$B$16)*100))))</f>
        <v/>
      </c>
      <c r="W767" s="40">
        <f>IF($L767="Elite",Config!$B$21,0)</f>
        <v>0</v>
      </c>
      <c r="X767" s="40" t="str">
        <f>IFERROR(IF(OR($T767="",$G767=""),"",IF($T767&gt;$G767,
  MAX(0, 60-(($T767-$G767)*24/Config!$B$19)*60),
  MEDIAN(60, 100, 60+(($G767-$T767)*24/Config!$B$20)*40)
)),"")
</f>
        <v/>
      </c>
      <c r="Y767" s="40" t="str">
        <f>IF($J767="","",IFERROR(VLOOKUP($J767,Grinders!$A:$N,10,FALSE),""))</f>
        <v/>
      </c>
      <c r="Z767" s="40" t="str">
        <f>IF($J767="","",IFERROR(VLOOKUP($J767,Grinders!$A:$N,11,FALSE),""))</f>
        <v/>
      </c>
      <c r="AA767" s="40" t="str">
        <f>IF($J767="","",IFERROR(VLOOKUP($J767,Grinders!$A:$N,12,FALSE),""))</f>
        <v/>
      </c>
      <c r="AB767" s="40">
        <f>IFERROR(IF(OR($C767="",$J767=""),0,IF($D767&lt;&gt;"Open",0,IF(COUNTIFS(GrinderServices!$B:$B,$J767,GrinderServices!$C:$C,$E767,GrinderServices!$E:$E,"Y")=0,0,IF($U767&lt;Config!$B$16,0,IF(Config!$B$18=1,IF($N767&gt;=$M767,0,1),1))))),"")</f>
        <v>0</v>
      </c>
      <c r="AC767" s="40" t="str">
        <f>IFERROR(IF($AB767=0,"",((Config!$B$6*$V767 + Config!$B$7*$R767 + Config!$B$8*$W767 + Config!$B$9*$X767 + Config!$B$10*$Y767 + Config!$B$11*$Z767 - Config!$B$12*$AA767)/Config!$B$13)+$AH767+$AI767),"")</f>
        <v/>
      </c>
      <c r="AD767" s="40" t="str">
        <f t="shared" si="4"/>
        <v/>
      </c>
      <c r="AE767" s="40" t="str">
        <f>IFERROR(__xludf.DUMMYFUNCTION("IF($AC767="""","""",IF($AC767=IFERROR(MAX(FILTER($AC$6:$AC$1000,$C$6:$C$1000=$C767,$AB$6:$AB$1000=1)),),""WINNER"",""""))"),"")</f>
        <v/>
      </c>
      <c r="AF767" s="40" t="str">
        <f t="shared" si="5"/>
        <v/>
      </c>
      <c r="AG767" s="40" t="str">
        <f>IF($J767="","",COUNTIF(Assignments!$B:$B,$J767))</f>
        <v/>
      </c>
      <c r="AH767" s="40" t="str">
        <f>IF($J767="","",IF(AND($AG767=0,$N767&lt;$M767),Config!$B$43,0))</f>
        <v/>
      </c>
      <c r="AI767" s="40" t="str">
        <f>IF($J767="","",IF(AND($L767="Elite",$F767&gt;=Config!$B$41,$N767&lt;$M767),Config!$B$42,0))</f>
        <v/>
      </c>
      <c r="AJ767" s="22"/>
    </row>
    <row r="768" ht="15.75" customHeight="1">
      <c r="A768" s="40" t="str">
        <f t="shared" si="1"/>
        <v/>
      </c>
      <c r="B768" s="40" t="str">
        <f>IF(Bids!$A768="","",Bids!$A768)</f>
        <v/>
      </c>
      <c r="C768" s="40" t="str">
        <f>IF(Bids!$B768="","",Bids!$B768)</f>
        <v/>
      </c>
      <c r="D768" s="40" t="str">
        <f>IF($C768="","",IFERROR(VLOOKUP($C768,Orders!$A:$J,9,FALSE),""))</f>
        <v/>
      </c>
      <c r="E768" s="40" t="str">
        <f>IF($C768="","",IFERROR(VLOOKUP($C768,Orders!$A:$J,3,FALSE),""))</f>
        <v/>
      </c>
      <c r="F768" s="40" t="str">
        <f>IF($C768="","",IFERROR(VLOOKUP($C768,Orders!$A:$J,4,FALSE),""))</f>
        <v/>
      </c>
      <c r="G768" s="40" t="str">
        <f>IF($C768="","",IFERROR(VLOOKUP($C768,Orders!$A:$J,5,FALSE),""))</f>
        <v/>
      </c>
      <c r="H768" s="40" t="str">
        <f>IF($C768="","",IFERROR(VLOOKUP($C768,Orders!$A:$J,6,FALSE),""))</f>
        <v/>
      </c>
      <c r="I768" s="40" t="str">
        <f>IF($C768="","",IFERROR(VLOOKUP($C768,Orders!$A:$J,7,FALSE),""))</f>
        <v/>
      </c>
      <c r="J768" s="40" t="str">
        <f>IF(Bids!$C768="","",Bids!$C768)</f>
        <v/>
      </c>
      <c r="K768" s="40" t="str">
        <f>IF($J768="","",IFERROR(VLOOKUP($J768,Grinders!$A:$N,2,FALSE),""))</f>
        <v/>
      </c>
      <c r="L768" s="40" t="str">
        <f>IF($J768="","",IFERROR(VLOOKUP($J768,Grinders!$A:$N,3,FALSE),""))</f>
        <v/>
      </c>
      <c r="M768" s="40" t="str">
        <f>IF($J768="","",IFERROR(VLOOKUP($J768,Grinders!$A:$N,4,FALSE),""))</f>
        <v/>
      </c>
      <c r="N768" s="40" t="str">
        <f>IF($J768="","",IFERROR(VLOOKUP($J768,Grinders!$A:$N,5,FALSE),""))</f>
        <v/>
      </c>
      <c r="O768" s="40" t="str">
        <f t="shared" si="2"/>
        <v/>
      </c>
      <c r="P768" s="40" t="str">
        <f>IF($J768="","",IFERROR(VLOOKUP($J768,Grinders!$A:$N,6,FALSE),""))</f>
        <v/>
      </c>
      <c r="Q768" s="40" t="str">
        <f>IF($J768="","",IFERROR(VLOOKUP($J768,Grinders!$A:$N,8,FALSE),""))</f>
        <v/>
      </c>
      <c r="R768" s="40" t="str">
        <f>IFERROR(IF($J768="","",IF($L768="Elite",MAX(50,MIN(100,Config!$B$27*MAX(0,MIN(100,(1-IF($O768="",0,$O768))*100)) + Config!$B$28*MAX(0,MIN(100,(1-MIN(1,IF(Config!$B$30=0,1,$P768/Config!$B$30)))*100)) + Config!$B$29*MAX(0,MIN(100,MIN(1,IF($Q768="",0,$Q768)/Config!$B$23)*100)))),MIN(100,Config!$B$27*MAX(0,MIN(100,(1-IF($O768="",0,$O768))*100)) + Config!$B$28*MAX(0,MIN(100,(1-MIN(1,IF(Config!$B$30=0,1,$P768/Config!$B$30)))*100)) + Config!$B$29*MAX(0,MIN(100,MIN(1,IF($Q768="",0,$Q768)/Config!$B$23)*100))))),"")
</f>
        <v/>
      </c>
      <c r="S768" s="40" t="str">
        <f>IF(Bids!$D768="","",Bids!$D768)</f>
        <v/>
      </c>
      <c r="T768" s="40" t="str">
        <f>IF(Bids!$F768="","",Bids!$F768)</f>
        <v/>
      </c>
      <c r="U768" s="40" t="str">
        <f t="shared" si="3"/>
        <v/>
      </c>
      <c r="V768" s="40" t="str">
        <f>IF($U768="","",IF(Config!$B$17=Config!$B$16,IF($U768&gt;=Config!$B$17,100,0),MAX(0,MIN(100,($U768-Config!$B$16)/(Config!$B$17-Config!$B$16)*100))))</f>
        <v/>
      </c>
      <c r="W768" s="40">
        <f>IF($L768="Elite",Config!$B$21,0)</f>
        <v>0</v>
      </c>
      <c r="X768" s="40" t="str">
        <f>IFERROR(IF(OR($T768="",$G768=""),"",IF($T768&gt;$G768,
  MAX(0, 60-(($T768-$G768)*24/Config!$B$19)*60),
  MEDIAN(60, 100, 60+(($G768-$T768)*24/Config!$B$20)*40)
)),"")
</f>
        <v/>
      </c>
      <c r="Y768" s="40" t="str">
        <f>IF($J768="","",IFERROR(VLOOKUP($J768,Grinders!$A:$N,10,FALSE),""))</f>
        <v/>
      </c>
      <c r="Z768" s="40" t="str">
        <f>IF($J768="","",IFERROR(VLOOKUP($J768,Grinders!$A:$N,11,FALSE),""))</f>
        <v/>
      </c>
      <c r="AA768" s="40" t="str">
        <f>IF($J768="","",IFERROR(VLOOKUP($J768,Grinders!$A:$N,12,FALSE),""))</f>
        <v/>
      </c>
      <c r="AB768" s="40">
        <f>IFERROR(IF(OR($C768="",$J768=""),0,IF($D768&lt;&gt;"Open",0,IF(COUNTIFS(GrinderServices!$B:$B,$J768,GrinderServices!$C:$C,$E768,GrinderServices!$E:$E,"Y")=0,0,IF($U768&lt;Config!$B$16,0,IF(Config!$B$18=1,IF($N768&gt;=$M768,0,1),1))))),"")</f>
        <v>0</v>
      </c>
      <c r="AC768" s="40" t="str">
        <f>IFERROR(IF($AB768=0,"",((Config!$B$6*$V768 + Config!$B$7*$R768 + Config!$B$8*$W768 + Config!$B$9*$X768 + Config!$B$10*$Y768 + Config!$B$11*$Z768 - Config!$B$12*$AA768)/Config!$B$13)+$AH768+$AI768),"")</f>
        <v/>
      </c>
      <c r="AD768" s="40" t="str">
        <f t="shared" si="4"/>
        <v/>
      </c>
      <c r="AE768" s="40" t="str">
        <f>IFERROR(__xludf.DUMMYFUNCTION("IF($AC768="""","""",IF($AC768=IFERROR(MAX(FILTER($AC$6:$AC$1000,$C$6:$C$1000=$C768,$AB$6:$AB$1000=1)),),""WINNER"",""""))"),"")</f>
        <v/>
      </c>
      <c r="AF768" s="40" t="str">
        <f t="shared" si="5"/>
        <v/>
      </c>
      <c r="AG768" s="40" t="str">
        <f>IF($J768="","",COUNTIF(Assignments!$B:$B,$J768))</f>
        <v/>
      </c>
      <c r="AH768" s="40" t="str">
        <f>IF($J768="","",IF(AND($AG768=0,$N768&lt;$M768),Config!$B$43,0))</f>
        <v/>
      </c>
      <c r="AI768" s="40" t="str">
        <f>IF($J768="","",IF(AND($L768="Elite",$F768&gt;=Config!$B$41,$N768&lt;$M768),Config!$B$42,0))</f>
        <v/>
      </c>
      <c r="AJ768" s="22"/>
    </row>
    <row r="769" ht="15.75" customHeight="1">
      <c r="A769" s="40" t="str">
        <f t="shared" si="1"/>
        <v/>
      </c>
      <c r="B769" s="40" t="str">
        <f>IF(Bids!$A769="","",Bids!$A769)</f>
        <v/>
      </c>
      <c r="C769" s="40" t="str">
        <f>IF(Bids!$B769="","",Bids!$B769)</f>
        <v/>
      </c>
      <c r="D769" s="40" t="str">
        <f>IF($C769="","",IFERROR(VLOOKUP($C769,Orders!$A:$J,9,FALSE),""))</f>
        <v/>
      </c>
      <c r="E769" s="40" t="str">
        <f>IF($C769="","",IFERROR(VLOOKUP($C769,Orders!$A:$J,3,FALSE),""))</f>
        <v/>
      </c>
      <c r="F769" s="40" t="str">
        <f>IF($C769="","",IFERROR(VLOOKUP($C769,Orders!$A:$J,4,FALSE),""))</f>
        <v/>
      </c>
      <c r="G769" s="40" t="str">
        <f>IF($C769="","",IFERROR(VLOOKUP($C769,Orders!$A:$J,5,FALSE),""))</f>
        <v/>
      </c>
      <c r="H769" s="40" t="str">
        <f>IF($C769="","",IFERROR(VLOOKUP($C769,Orders!$A:$J,6,FALSE),""))</f>
        <v/>
      </c>
      <c r="I769" s="40" t="str">
        <f>IF($C769="","",IFERROR(VLOOKUP($C769,Orders!$A:$J,7,FALSE),""))</f>
        <v/>
      </c>
      <c r="J769" s="40" t="str">
        <f>IF(Bids!$C769="","",Bids!$C769)</f>
        <v/>
      </c>
      <c r="K769" s="40" t="str">
        <f>IF($J769="","",IFERROR(VLOOKUP($J769,Grinders!$A:$N,2,FALSE),""))</f>
        <v/>
      </c>
      <c r="L769" s="40" t="str">
        <f>IF($J769="","",IFERROR(VLOOKUP($J769,Grinders!$A:$N,3,FALSE),""))</f>
        <v/>
      </c>
      <c r="M769" s="40" t="str">
        <f>IF($J769="","",IFERROR(VLOOKUP($J769,Grinders!$A:$N,4,FALSE),""))</f>
        <v/>
      </c>
      <c r="N769" s="40" t="str">
        <f>IF($J769="","",IFERROR(VLOOKUP($J769,Grinders!$A:$N,5,FALSE),""))</f>
        <v/>
      </c>
      <c r="O769" s="40" t="str">
        <f t="shared" si="2"/>
        <v/>
      </c>
      <c r="P769" s="40" t="str">
        <f>IF($J769="","",IFERROR(VLOOKUP($J769,Grinders!$A:$N,6,FALSE),""))</f>
        <v/>
      </c>
      <c r="Q769" s="40" t="str">
        <f>IF($J769="","",IFERROR(VLOOKUP($J769,Grinders!$A:$N,8,FALSE),""))</f>
        <v/>
      </c>
      <c r="R769" s="40" t="str">
        <f>IFERROR(IF($J769="","",IF($L769="Elite",MAX(50,MIN(100,Config!$B$27*MAX(0,MIN(100,(1-IF($O769="",0,$O769))*100)) + Config!$B$28*MAX(0,MIN(100,(1-MIN(1,IF(Config!$B$30=0,1,$P769/Config!$B$30)))*100)) + Config!$B$29*MAX(0,MIN(100,MIN(1,IF($Q769="",0,$Q769)/Config!$B$23)*100)))),MIN(100,Config!$B$27*MAX(0,MIN(100,(1-IF($O769="",0,$O769))*100)) + Config!$B$28*MAX(0,MIN(100,(1-MIN(1,IF(Config!$B$30=0,1,$P769/Config!$B$30)))*100)) + Config!$B$29*MAX(0,MIN(100,MIN(1,IF($Q769="",0,$Q769)/Config!$B$23)*100))))),"")
</f>
        <v/>
      </c>
      <c r="S769" s="40" t="str">
        <f>IF(Bids!$D769="","",Bids!$D769)</f>
        <v/>
      </c>
      <c r="T769" s="40" t="str">
        <f>IF(Bids!$F769="","",Bids!$F769)</f>
        <v/>
      </c>
      <c r="U769" s="40" t="str">
        <f t="shared" si="3"/>
        <v/>
      </c>
      <c r="V769" s="40" t="str">
        <f>IF($U769="","",IF(Config!$B$17=Config!$B$16,IF($U769&gt;=Config!$B$17,100,0),MAX(0,MIN(100,($U769-Config!$B$16)/(Config!$B$17-Config!$B$16)*100))))</f>
        <v/>
      </c>
      <c r="W769" s="40">
        <f>IF($L769="Elite",Config!$B$21,0)</f>
        <v>0</v>
      </c>
      <c r="X769" s="40" t="str">
        <f>IFERROR(IF(OR($T769="",$G769=""),"",IF($T769&gt;$G769,
  MAX(0, 60-(($T769-$G769)*24/Config!$B$19)*60),
  MEDIAN(60, 100, 60+(($G769-$T769)*24/Config!$B$20)*40)
)),"")
</f>
        <v/>
      </c>
      <c r="Y769" s="40" t="str">
        <f>IF($J769="","",IFERROR(VLOOKUP($J769,Grinders!$A:$N,10,FALSE),""))</f>
        <v/>
      </c>
      <c r="Z769" s="40" t="str">
        <f>IF($J769="","",IFERROR(VLOOKUP($J769,Grinders!$A:$N,11,FALSE),""))</f>
        <v/>
      </c>
      <c r="AA769" s="40" t="str">
        <f>IF($J769="","",IFERROR(VLOOKUP($J769,Grinders!$A:$N,12,FALSE),""))</f>
        <v/>
      </c>
      <c r="AB769" s="40">
        <f>IFERROR(IF(OR($C769="",$J769=""),0,IF($D769&lt;&gt;"Open",0,IF(COUNTIFS(GrinderServices!$B:$B,$J769,GrinderServices!$C:$C,$E769,GrinderServices!$E:$E,"Y")=0,0,IF($U769&lt;Config!$B$16,0,IF(Config!$B$18=1,IF($N769&gt;=$M769,0,1),1))))),"")</f>
        <v>0</v>
      </c>
      <c r="AC769" s="40" t="str">
        <f>IFERROR(IF($AB769=0,"",((Config!$B$6*$V769 + Config!$B$7*$R769 + Config!$B$8*$W769 + Config!$B$9*$X769 + Config!$B$10*$Y769 + Config!$B$11*$Z769 - Config!$B$12*$AA769)/Config!$B$13)+$AH769+$AI769),"")</f>
        <v/>
      </c>
      <c r="AD769" s="40" t="str">
        <f t="shared" si="4"/>
        <v/>
      </c>
      <c r="AE769" s="40" t="str">
        <f>IFERROR(__xludf.DUMMYFUNCTION("IF($AC769="""","""",IF($AC769=IFERROR(MAX(FILTER($AC$6:$AC$1000,$C$6:$C$1000=$C769,$AB$6:$AB$1000=1)),),""WINNER"",""""))"),"")</f>
        <v/>
      </c>
      <c r="AF769" s="40" t="str">
        <f t="shared" si="5"/>
        <v/>
      </c>
      <c r="AG769" s="40" t="str">
        <f>IF($J769="","",COUNTIF(Assignments!$B:$B,$J769))</f>
        <v/>
      </c>
      <c r="AH769" s="40" t="str">
        <f>IF($J769="","",IF(AND($AG769=0,$N769&lt;$M769),Config!$B$43,0))</f>
        <v/>
      </c>
      <c r="AI769" s="40" t="str">
        <f>IF($J769="","",IF(AND($L769="Elite",$F769&gt;=Config!$B$41,$N769&lt;$M769),Config!$B$42,0))</f>
        <v/>
      </c>
      <c r="AJ769" s="22"/>
    </row>
    <row r="770" ht="15.75" customHeight="1">
      <c r="A770" s="40" t="str">
        <f t="shared" si="1"/>
        <v/>
      </c>
      <c r="B770" s="40" t="str">
        <f>IF(Bids!$A770="","",Bids!$A770)</f>
        <v/>
      </c>
      <c r="C770" s="40" t="str">
        <f>IF(Bids!$B770="","",Bids!$B770)</f>
        <v/>
      </c>
      <c r="D770" s="40" t="str">
        <f>IF($C770="","",IFERROR(VLOOKUP($C770,Orders!$A:$J,9,FALSE),""))</f>
        <v/>
      </c>
      <c r="E770" s="40" t="str">
        <f>IF($C770="","",IFERROR(VLOOKUP($C770,Orders!$A:$J,3,FALSE),""))</f>
        <v/>
      </c>
      <c r="F770" s="40" t="str">
        <f>IF($C770="","",IFERROR(VLOOKUP($C770,Orders!$A:$J,4,FALSE),""))</f>
        <v/>
      </c>
      <c r="G770" s="40" t="str">
        <f>IF($C770="","",IFERROR(VLOOKUP($C770,Orders!$A:$J,5,FALSE),""))</f>
        <v/>
      </c>
      <c r="H770" s="40" t="str">
        <f>IF($C770="","",IFERROR(VLOOKUP($C770,Orders!$A:$J,6,FALSE),""))</f>
        <v/>
      </c>
      <c r="I770" s="40" t="str">
        <f>IF($C770="","",IFERROR(VLOOKUP($C770,Orders!$A:$J,7,FALSE),""))</f>
        <v/>
      </c>
      <c r="J770" s="40" t="str">
        <f>IF(Bids!$C770="","",Bids!$C770)</f>
        <v/>
      </c>
      <c r="K770" s="40" t="str">
        <f>IF($J770="","",IFERROR(VLOOKUP($J770,Grinders!$A:$N,2,FALSE),""))</f>
        <v/>
      </c>
      <c r="L770" s="40" t="str">
        <f>IF($J770="","",IFERROR(VLOOKUP($J770,Grinders!$A:$N,3,FALSE),""))</f>
        <v/>
      </c>
      <c r="M770" s="40" t="str">
        <f>IF($J770="","",IFERROR(VLOOKUP($J770,Grinders!$A:$N,4,FALSE),""))</f>
        <v/>
      </c>
      <c r="N770" s="40" t="str">
        <f>IF($J770="","",IFERROR(VLOOKUP($J770,Grinders!$A:$N,5,FALSE),""))</f>
        <v/>
      </c>
      <c r="O770" s="40" t="str">
        <f t="shared" si="2"/>
        <v/>
      </c>
      <c r="P770" s="40" t="str">
        <f>IF($J770="","",IFERROR(VLOOKUP($J770,Grinders!$A:$N,6,FALSE),""))</f>
        <v/>
      </c>
      <c r="Q770" s="40" t="str">
        <f>IF($J770="","",IFERROR(VLOOKUP($J770,Grinders!$A:$N,8,FALSE),""))</f>
        <v/>
      </c>
      <c r="R770" s="40" t="str">
        <f>IFERROR(IF($J770="","",IF($L770="Elite",MAX(50,MIN(100,Config!$B$27*MAX(0,MIN(100,(1-IF($O770="",0,$O770))*100)) + Config!$B$28*MAX(0,MIN(100,(1-MIN(1,IF(Config!$B$30=0,1,$P770/Config!$B$30)))*100)) + Config!$B$29*MAX(0,MIN(100,MIN(1,IF($Q770="",0,$Q770)/Config!$B$23)*100)))),MIN(100,Config!$B$27*MAX(0,MIN(100,(1-IF($O770="",0,$O770))*100)) + Config!$B$28*MAX(0,MIN(100,(1-MIN(1,IF(Config!$B$30=0,1,$P770/Config!$B$30)))*100)) + Config!$B$29*MAX(0,MIN(100,MIN(1,IF($Q770="",0,$Q770)/Config!$B$23)*100))))),"")
</f>
        <v/>
      </c>
      <c r="S770" s="40" t="str">
        <f>IF(Bids!$D770="","",Bids!$D770)</f>
        <v/>
      </c>
      <c r="T770" s="40" t="str">
        <f>IF(Bids!$F770="","",Bids!$F770)</f>
        <v/>
      </c>
      <c r="U770" s="40" t="str">
        <f t="shared" si="3"/>
        <v/>
      </c>
      <c r="V770" s="40" t="str">
        <f>IF($U770="","",IF(Config!$B$17=Config!$B$16,IF($U770&gt;=Config!$B$17,100,0),MAX(0,MIN(100,($U770-Config!$B$16)/(Config!$B$17-Config!$B$16)*100))))</f>
        <v/>
      </c>
      <c r="W770" s="40">
        <f>IF($L770="Elite",Config!$B$21,0)</f>
        <v>0</v>
      </c>
      <c r="X770" s="40" t="str">
        <f>IFERROR(IF(OR($T770="",$G770=""),"",IF($T770&gt;$G770,
  MAX(0, 60-(($T770-$G770)*24/Config!$B$19)*60),
  MEDIAN(60, 100, 60+(($G770-$T770)*24/Config!$B$20)*40)
)),"")
</f>
        <v/>
      </c>
      <c r="Y770" s="40" t="str">
        <f>IF($J770="","",IFERROR(VLOOKUP($J770,Grinders!$A:$N,10,FALSE),""))</f>
        <v/>
      </c>
      <c r="Z770" s="40" t="str">
        <f>IF($J770="","",IFERROR(VLOOKUP($J770,Grinders!$A:$N,11,FALSE),""))</f>
        <v/>
      </c>
      <c r="AA770" s="40" t="str">
        <f>IF($J770="","",IFERROR(VLOOKUP($J770,Grinders!$A:$N,12,FALSE),""))</f>
        <v/>
      </c>
      <c r="AB770" s="40">
        <f>IFERROR(IF(OR($C770="",$J770=""),0,IF($D770&lt;&gt;"Open",0,IF(COUNTIFS(GrinderServices!$B:$B,$J770,GrinderServices!$C:$C,$E770,GrinderServices!$E:$E,"Y")=0,0,IF($U770&lt;Config!$B$16,0,IF(Config!$B$18=1,IF($N770&gt;=$M770,0,1),1))))),"")</f>
        <v>0</v>
      </c>
      <c r="AC770" s="40" t="str">
        <f>IFERROR(IF($AB770=0,"",((Config!$B$6*$V770 + Config!$B$7*$R770 + Config!$B$8*$W770 + Config!$B$9*$X770 + Config!$B$10*$Y770 + Config!$B$11*$Z770 - Config!$B$12*$AA770)/Config!$B$13)+$AH770+$AI770),"")</f>
        <v/>
      </c>
      <c r="AD770" s="40" t="str">
        <f t="shared" si="4"/>
        <v/>
      </c>
      <c r="AE770" s="40" t="str">
        <f>IFERROR(__xludf.DUMMYFUNCTION("IF($AC770="""","""",IF($AC770=IFERROR(MAX(FILTER($AC$6:$AC$1000,$C$6:$C$1000=$C770,$AB$6:$AB$1000=1)),),""WINNER"",""""))"),"")</f>
        <v/>
      </c>
      <c r="AF770" s="40" t="str">
        <f t="shared" si="5"/>
        <v/>
      </c>
      <c r="AG770" s="40" t="str">
        <f>IF($J770="","",COUNTIF(Assignments!$B:$B,$J770))</f>
        <v/>
      </c>
      <c r="AH770" s="40" t="str">
        <f>IF($J770="","",IF(AND($AG770=0,$N770&lt;$M770),Config!$B$43,0))</f>
        <v/>
      </c>
      <c r="AI770" s="40" t="str">
        <f>IF($J770="","",IF(AND($L770="Elite",$F770&gt;=Config!$B$41,$N770&lt;$M770),Config!$B$42,0))</f>
        <v/>
      </c>
      <c r="AJ770" s="22"/>
    </row>
    <row r="771" ht="15.75" customHeight="1">
      <c r="A771" s="40" t="str">
        <f t="shared" si="1"/>
        <v/>
      </c>
      <c r="B771" s="40" t="str">
        <f>IF(Bids!$A771="","",Bids!$A771)</f>
        <v/>
      </c>
      <c r="C771" s="40" t="str">
        <f>IF(Bids!$B771="","",Bids!$B771)</f>
        <v/>
      </c>
      <c r="D771" s="40" t="str">
        <f>IF($C771="","",IFERROR(VLOOKUP($C771,Orders!$A:$J,9,FALSE),""))</f>
        <v/>
      </c>
      <c r="E771" s="40" t="str">
        <f>IF($C771="","",IFERROR(VLOOKUP($C771,Orders!$A:$J,3,FALSE),""))</f>
        <v/>
      </c>
      <c r="F771" s="40" t="str">
        <f>IF($C771="","",IFERROR(VLOOKUP($C771,Orders!$A:$J,4,FALSE),""))</f>
        <v/>
      </c>
      <c r="G771" s="40" t="str">
        <f>IF($C771="","",IFERROR(VLOOKUP($C771,Orders!$A:$J,5,FALSE),""))</f>
        <v/>
      </c>
      <c r="H771" s="40" t="str">
        <f>IF($C771="","",IFERROR(VLOOKUP($C771,Orders!$A:$J,6,FALSE),""))</f>
        <v/>
      </c>
      <c r="I771" s="40" t="str">
        <f>IF($C771="","",IFERROR(VLOOKUP($C771,Orders!$A:$J,7,FALSE),""))</f>
        <v/>
      </c>
      <c r="J771" s="40" t="str">
        <f>IF(Bids!$C771="","",Bids!$C771)</f>
        <v/>
      </c>
      <c r="K771" s="40" t="str">
        <f>IF($J771="","",IFERROR(VLOOKUP($J771,Grinders!$A:$N,2,FALSE),""))</f>
        <v/>
      </c>
      <c r="L771" s="40" t="str">
        <f>IF($J771="","",IFERROR(VLOOKUP($J771,Grinders!$A:$N,3,FALSE),""))</f>
        <v/>
      </c>
      <c r="M771" s="40" t="str">
        <f>IF($J771="","",IFERROR(VLOOKUP($J771,Grinders!$A:$N,4,FALSE),""))</f>
        <v/>
      </c>
      <c r="N771" s="40" t="str">
        <f>IF($J771="","",IFERROR(VLOOKUP($J771,Grinders!$A:$N,5,FALSE),""))</f>
        <v/>
      </c>
      <c r="O771" s="40" t="str">
        <f t="shared" si="2"/>
        <v/>
      </c>
      <c r="P771" s="40" t="str">
        <f>IF($J771="","",IFERROR(VLOOKUP($J771,Grinders!$A:$N,6,FALSE),""))</f>
        <v/>
      </c>
      <c r="Q771" s="40" t="str">
        <f>IF($J771="","",IFERROR(VLOOKUP($J771,Grinders!$A:$N,8,FALSE),""))</f>
        <v/>
      </c>
      <c r="R771" s="40" t="str">
        <f>IFERROR(IF($J771="","",IF($L771="Elite",MAX(50,MIN(100,Config!$B$27*MAX(0,MIN(100,(1-IF($O771="",0,$O771))*100)) + Config!$B$28*MAX(0,MIN(100,(1-MIN(1,IF(Config!$B$30=0,1,$P771/Config!$B$30)))*100)) + Config!$B$29*MAX(0,MIN(100,MIN(1,IF($Q771="",0,$Q771)/Config!$B$23)*100)))),MIN(100,Config!$B$27*MAX(0,MIN(100,(1-IF($O771="",0,$O771))*100)) + Config!$B$28*MAX(0,MIN(100,(1-MIN(1,IF(Config!$B$30=0,1,$P771/Config!$B$30)))*100)) + Config!$B$29*MAX(0,MIN(100,MIN(1,IF($Q771="",0,$Q771)/Config!$B$23)*100))))),"")
</f>
        <v/>
      </c>
      <c r="S771" s="40" t="str">
        <f>IF(Bids!$D771="","",Bids!$D771)</f>
        <v/>
      </c>
      <c r="T771" s="40" t="str">
        <f>IF(Bids!$F771="","",Bids!$F771)</f>
        <v/>
      </c>
      <c r="U771" s="40" t="str">
        <f t="shared" si="3"/>
        <v/>
      </c>
      <c r="V771" s="40" t="str">
        <f>IF($U771="","",IF(Config!$B$17=Config!$B$16,IF($U771&gt;=Config!$B$17,100,0),MAX(0,MIN(100,($U771-Config!$B$16)/(Config!$B$17-Config!$B$16)*100))))</f>
        <v/>
      </c>
      <c r="W771" s="40">
        <f>IF($L771="Elite",Config!$B$21,0)</f>
        <v>0</v>
      </c>
      <c r="X771" s="40" t="str">
        <f>IFERROR(IF(OR($T771="",$G771=""),"",IF($T771&gt;$G771,
  MAX(0, 60-(($T771-$G771)*24/Config!$B$19)*60),
  MEDIAN(60, 100, 60+(($G771-$T771)*24/Config!$B$20)*40)
)),"")
</f>
        <v/>
      </c>
      <c r="Y771" s="40" t="str">
        <f>IF($J771="","",IFERROR(VLOOKUP($J771,Grinders!$A:$N,10,FALSE),""))</f>
        <v/>
      </c>
      <c r="Z771" s="40" t="str">
        <f>IF($J771="","",IFERROR(VLOOKUP($J771,Grinders!$A:$N,11,FALSE),""))</f>
        <v/>
      </c>
      <c r="AA771" s="40" t="str">
        <f>IF($J771="","",IFERROR(VLOOKUP($J771,Grinders!$A:$N,12,FALSE),""))</f>
        <v/>
      </c>
      <c r="AB771" s="40">
        <f>IFERROR(IF(OR($C771="",$J771=""),0,IF($D771&lt;&gt;"Open",0,IF(COUNTIFS(GrinderServices!$B:$B,$J771,GrinderServices!$C:$C,$E771,GrinderServices!$E:$E,"Y")=0,0,IF($U771&lt;Config!$B$16,0,IF(Config!$B$18=1,IF($N771&gt;=$M771,0,1),1))))),"")</f>
        <v>0</v>
      </c>
      <c r="AC771" s="40" t="str">
        <f>IFERROR(IF($AB771=0,"",((Config!$B$6*$V771 + Config!$B$7*$R771 + Config!$B$8*$W771 + Config!$B$9*$X771 + Config!$B$10*$Y771 + Config!$B$11*$Z771 - Config!$B$12*$AA771)/Config!$B$13)+$AH771+$AI771),"")</f>
        <v/>
      </c>
      <c r="AD771" s="40" t="str">
        <f t="shared" si="4"/>
        <v/>
      </c>
      <c r="AE771" s="40" t="str">
        <f>IFERROR(__xludf.DUMMYFUNCTION("IF($AC771="""","""",IF($AC771=IFERROR(MAX(FILTER($AC$6:$AC$1000,$C$6:$C$1000=$C771,$AB$6:$AB$1000=1)),),""WINNER"",""""))"),"")</f>
        <v/>
      </c>
      <c r="AF771" s="40" t="str">
        <f t="shared" si="5"/>
        <v/>
      </c>
      <c r="AG771" s="40" t="str">
        <f>IF($J771="","",COUNTIF(Assignments!$B:$B,$J771))</f>
        <v/>
      </c>
      <c r="AH771" s="40" t="str">
        <f>IF($J771="","",IF(AND($AG771=0,$N771&lt;$M771),Config!$B$43,0))</f>
        <v/>
      </c>
      <c r="AI771" s="40" t="str">
        <f>IF($J771="","",IF(AND($L771="Elite",$F771&gt;=Config!$B$41,$N771&lt;$M771),Config!$B$42,0))</f>
        <v/>
      </c>
      <c r="AJ771" s="22"/>
    </row>
    <row r="772" ht="15.75" customHeight="1">
      <c r="A772" s="40" t="str">
        <f t="shared" si="1"/>
        <v/>
      </c>
      <c r="B772" s="40" t="str">
        <f>IF(Bids!$A772="","",Bids!$A772)</f>
        <v/>
      </c>
      <c r="C772" s="40" t="str">
        <f>IF(Bids!$B772="","",Bids!$B772)</f>
        <v/>
      </c>
      <c r="D772" s="40" t="str">
        <f>IF($C772="","",IFERROR(VLOOKUP($C772,Orders!$A:$J,9,FALSE),""))</f>
        <v/>
      </c>
      <c r="E772" s="40" t="str">
        <f>IF($C772="","",IFERROR(VLOOKUP($C772,Orders!$A:$J,3,FALSE),""))</f>
        <v/>
      </c>
      <c r="F772" s="40" t="str">
        <f>IF($C772="","",IFERROR(VLOOKUP($C772,Orders!$A:$J,4,FALSE),""))</f>
        <v/>
      </c>
      <c r="G772" s="40" t="str">
        <f>IF($C772="","",IFERROR(VLOOKUP($C772,Orders!$A:$J,5,FALSE),""))</f>
        <v/>
      </c>
      <c r="H772" s="40" t="str">
        <f>IF($C772="","",IFERROR(VLOOKUP($C772,Orders!$A:$J,6,FALSE),""))</f>
        <v/>
      </c>
      <c r="I772" s="40" t="str">
        <f>IF($C772="","",IFERROR(VLOOKUP($C772,Orders!$A:$J,7,FALSE),""))</f>
        <v/>
      </c>
      <c r="J772" s="40" t="str">
        <f>IF(Bids!$C772="","",Bids!$C772)</f>
        <v/>
      </c>
      <c r="K772" s="40" t="str">
        <f>IF($J772="","",IFERROR(VLOOKUP($J772,Grinders!$A:$N,2,FALSE),""))</f>
        <v/>
      </c>
      <c r="L772" s="40" t="str">
        <f>IF($J772="","",IFERROR(VLOOKUP($J772,Grinders!$A:$N,3,FALSE),""))</f>
        <v/>
      </c>
      <c r="M772" s="40" t="str">
        <f>IF($J772="","",IFERROR(VLOOKUP($J772,Grinders!$A:$N,4,FALSE),""))</f>
        <v/>
      </c>
      <c r="N772" s="40" t="str">
        <f>IF($J772="","",IFERROR(VLOOKUP($J772,Grinders!$A:$N,5,FALSE),""))</f>
        <v/>
      </c>
      <c r="O772" s="40" t="str">
        <f t="shared" si="2"/>
        <v/>
      </c>
      <c r="P772" s="40" t="str">
        <f>IF($J772="","",IFERROR(VLOOKUP($J772,Grinders!$A:$N,6,FALSE),""))</f>
        <v/>
      </c>
      <c r="Q772" s="40" t="str">
        <f>IF($J772="","",IFERROR(VLOOKUP($J772,Grinders!$A:$N,8,FALSE),""))</f>
        <v/>
      </c>
      <c r="R772" s="40" t="str">
        <f>IFERROR(IF($J772="","",IF($L772="Elite",MAX(50,MIN(100,Config!$B$27*MAX(0,MIN(100,(1-IF($O772="",0,$O772))*100)) + Config!$B$28*MAX(0,MIN(100,(1-MIN(1,IF(Config!$B$30=0,1,$P772/Config!$B$30)))*100)) + Config!$B$29*MAX(0,MIN(100,MIN(1,IF($Q772="",0,$Q772)/Config!$B$23)*100)))),MIN(100,Config!$B$27*MAX(0,MIN(100,(1-IF($O772="",0,$O772))*100)) + Config!$B$28*MAX(0,MIN(100,(1-MIN(1,IF(Config!$B$30=0,1,$P772/Config!$B$30)))*100)) + Config!$B$29*MAX(0,MIN(100,MIN(1,IF($Q772="",0,$Q772)/Config!$B$23)*100))))),"")
</f>
        <v/>
      </c>
      <c r="S772" s="40" t="str">
        <f>IF(Bids!$D772="","",Bids!$D772)</f>
        <v/>
      </c>
      <c r="T772" s="40" t="str">
        <f>IF(Bids!$F772="","",Bids!$F772)</f>
        <v/>
      </c>
      <c r="U772" s="40" t="str">
        <f t="shared" si="3"/>
        <v/>
      </c>
      <c r="V772" s="40" t="str">
        <f>IF($U772="","",IF(Config!$B$17=Config!$B$16,IF($U772&gt;=Config!$B$17,100,0),MAX(0,MIN(100,($U772-Config!$B$16)/(Config!$B$17-Config!$B$16)*100))))</f>
        <v/>
      </c>
      <c r="W772" s="40">
        <f>IF($L772="Elite",Config!$B$21,0)</f>
        <v>0</v>
      </c>
      <c r="X772" s="40" t="str">
        <f>IFERROR(IF(OR($T772="",$G772=""),"",IF($T772&gt;$G772,
  MAX(0, 60-(($T772-$G772)*24/Config!$B$19)*60),
  MEDIAN(60, 100, 60+(($G772-$T772)*24/Config!$B$20)*40)
)),"")
</f>
        <v/>
      </c>
      <c r="Y772" s="40" t="str">
        <f>IF($J772="","",IFERROR(VLOOKUP($J772,Grinders!$A:$N,10,FALSE),""))</f>
        <v/>
      </c>
      <c r="Z772" s="40" t="str">
        <f>IF($J772="","",IFERROR(VLOOKUP($J772,Grinders!$A:$N,11,FALSE),""))</f>
        <v/>
      </c>
      <c r="AA772" s="40" t="str">
        <f>IF($J772="","",IFERROR(VLOOKUP($J772,Grinders!$A:$N,12,FALSE),""))</f>
        <v/>
      </c>
      <c r="AB772" s="40">
        <f>IFERROR(IF(OR($C772="",$J772=""),0,IF($D772&lt;&gt;"Open",0,IF(COUNTIFS(GrinderServices!$B:$B,$J772,GrinderServices!$C:$C,$E772,GrinderServices!$E:$E,"Y")=0,0,IF($U772&lt;Config!$B$16,0,IF(Config!$B$18=1,IF($N772&gt;=$M772,0,1),1))))),"")</f>
        <v>0</v>
      </c>
      <c r="AC772" s="40" t="str">
        <f>IFERROR(IF($AB772=0,"",((Config!$B$6*$V772 + Config!$B$7*$R772 + Config!$B$8*$W772 + Config!$B$9*$X772 + Config!$B$10*$Y772 + Config!$B$11*$Z772 - Config!$B$12*$AA772)/Config!$B$13)+$AH772+$AI772),"")</f>
        <v/>
      </c>
      <c r="AD772" s="40" t="str">
        <f t="shared" si="4"/>
        <v/>
      </c>
      <c r="AE772" s="40" t="str">
        <f>IFERROR(__xludf.DUMMYFUNCTION("IF($AC772="""","""",IF($AC772=IFERROR(MAX(FILTER($AC$6:$AC$1000,$C$6:$C$1000=$C772,$AB$6:$AB$1000=1)),),""WINNER"",""""))"),"")</f>
        <v/>
      </c>
      <c r="AF772" s="40" t="str">
        <f t="shared" si="5"/>
        <v/>
      </c>
      <c r="AG772" s="40" t="str">
        <f>IF($J772="","",COUNTIF(Assignments!$B:$B,$J772))</f>
        <v/>
      </c>
      <c r="AH772" s="40" t="str">
        <f>IF($J772="","",IF(AND($AG772=0,$N772&lt;$M772),Config!$B$43,0))</f>
        <v/>
      </c>
      <c r="AI772" s="40" t="str">
        <f>IF($J772="","",IF(AND($L772="Elite",$F772&gt;=Config!$B$41,$N772&lt;$M772),Config!$B$42,0))</f>
        <v/>
      </c>
      <c r="AJ772" s="22"/>
    </row>
    <row r="773" ht="15.75" customHeight="1">
      <c r="A773" s="40" t="str">
        <f t="shared" si="1"/>
        <v/>
      </c>
      <c r="B773" s="40" t="str">
        <f>IF(Bids!$A773="","",Bids!$A773)</f>
        <v/>
      </c>
      <c r="C773" s="40" t="str">
        <f>IF(Bids!$B773="","",Bids!$B773)</f>
        <v/>
      </c>
      <c r="D773" s="40" t="str">
        <f>IF($C773="","",IFERROR(VLOOKUP($C773,Orders!$A:$J,9,FALSE),""))</f>
        <v/>
      </c>
      <c r="E773" s="40" t="str">
        <f>IF($C773="","",IFERROR(VLOOKUP($C773,Orders!$A:$J,3,FALSE),""))</f>
        <v/>
      </c>
      <c r="F773" s="40" t="str">
        <f>IF($C773="","",IFERROR(VLOOKUP($C773,Orders!$A:$J,4,FALSE),""))</f>
        <v/>
      </c>
      <c r="G773" s="40" t="str">
        <f>IF($C773="","",IFERROR(VLOOKUP($C773,Orders!$A:$J,5,FALSE),""))</f>
        <v/>
      </c>
      <c r="H773" s="40" t="str">
        <f>IF($C773="","",IFERROR(VLOOKUP($C773,Orders!$A:$J,6,FALSE),""))</f>
        <v/>
      </c>
      <c r="I773" s="40" t="str">
        <f>IF($C773="","",IFERROR(VLOOKUP($C773,Orders!$A:$J,7,FALSE),""))</f>
        <v/>
      </c>
      <c r="J773" s="40" t="str">
        <f>IF(Bids!$C773="","",Bids!$C773)</f>
        <v/>
      </c>
      <c r="K773" s="40" t="str">
        <f>IF($J773="","",IFERROR(VLOOKUP($J773,Grinders!$A:$N,2,FALSE),""))</f>
        <v/>
      </c>
      <c r="L773" s="40" t="str">
        <f>IF($J773="","",IFERROR(VLOOKUP($J773,Grinders!$A:$N,3,FALSE),""))</f>
        <v/>
      </c>
      <c r="M773" s="40" t="str">
        <f>IF($J773="","",IFERROR(VLOOKUP($J773,Grinders!$A:$N,4,FALSE),""))</f>
        <v/>
      </c>
      <c r="N773" s="40" t="str">
        <f>IF($J773="","",IFERROR(VLOOKUP($J773,Grinders!$A:$N,5,FALSE),""))</f>
        <v/>
      </c>
      <c r="O773" s="40" t="str">
        <f t="shared" si="2"/>
        <v/>
      </c>
      <c r="P773" s="40" t="str">
        <f>IF($J773="","",IFERROR(VLOOKUP($J773,Grinders!$A:$N,6,FALSE),""))</f>
        <v/>
      </c>
      <c r="Q773" s="40" t="str">
        <f>IF($J773="","",IFERROR(VLOOKUP($J773,Grinders!$A:$N,8,FALSE),""))</f>
        <v/>
      </c>
      <c r="R773" s="40" t="str">
        <f>IFERROR(IF($J773="","",IF($L773="Elite",MAX(50,MIN(100,Config!$B$27*MAX(0,MIN(100,(1-IF($O773="",0,$O773))*100)) + Config!$B$28*MAX(0,MIN(100,(1-MIN(1,IF(Config!$B$30=0,1,$P773/Config!$B$30)))*100)) + Config!$B$29*MAX(0,MIN(100,MIN(1,IF($Q773="",0,$Q773)/Config!$B$23)*100)))),MIN(100,Config!$B$27*MAX(0,MIN(100,(1-IF($O773="",0,$O773))*100)) + Config!$B$28*MAX(0,MIN(100,(1-MIN(1,IF(Config!$B$30=0,1,$P773/Config!$B$30)))*100)) + Config!$B$29*MAX(0,MIN(100,MIN(1,IF($Q773="",0,$Q773)/Config!$B$23)*100))))),"")
</f>
        <v/>
      </c>
      <c r="S773" s="40" t="str">
        <f>IF(Bids!$D773="","",Bids!$D773)</f>
        <v/>
      </c>
      <c r="T773" s="40" t="str">
        <f>IF(Bids!$F773="","",Bids!$F773)</f>
        <v/>
      </c>
      <c r="U773" s="40" t="str">
        <f t="shared" si="3"/>
        <v/>
      </c>
      <c r="V773" s="40" t="str">
        <f>IF($U773="","",IF(Config!$B$17=Config!$B$16,IF($U773&gt;=Config!$B$17,100,0),MAX(0,MIN(100,($U773-Config!$B$16)/(Config!$B$17-Config!$B$16)*100))))</f>
        <v/>
      </c>
      <c r="W773" s="40">
        <f>IF($L773="Elite",Config!$B$21,0)</f>
        <v>0</v>
      </c>
      <c r="X773" s="40" t="str">
        <f>IFERROR(IF(OR($T773="",$G773=""),"",IF($T773&gt;$G773,
  MAX(0, 60-(($T773-$G773)*24/Config!$B$19)*60),
  MEDIAN(60, 100, 60+(($G773-$T773)*24/Config!$B$20)*40)
)),"")
</f>
        <v/>
      </c>
      <c r="Y773" s="40" t="str">
        <f>IF($J773="","",IFERROR(VLOOKUP($J773,Grinders!$A:$N,10,FALSE),""))</f>
        <v/>
      </c>
      <c r="Z773" s="40" t="str">
        <f>IF($J773="","",IFERROR(VLOOKUP($J773,Grinders!$A:$N,11,FALSE),""))</f>
        <v/>
      </c>
      <c r="AA773" s="40" t="str">
        <f>IF($J773="","",IFERROR(VLOOKUP($J773,Grinders!$A:$N,12,FALSE),""))</f>
        <v/>
      </c>
      <c r="AB773" s="40">
        <f>IFERROR(IF(OR($C773="",$J773=""),0,IF($D773&lt;&gt;"Open",0,IF(COUNTIFS(GrinderServices!$B:$B,$J773,GrinderServices!$C:$C,$E773,GrinderServices!$E:$E,"Y")=0,0,IF($U773&lt;Config!$B$16,0,IF(Config!$B$18=1,IF($N773&gt;=$M773,0,1),1))))),"")</f>
        <v>0</v>
      </c>
      <c r="AC773" s="40" t="str">
        <f>IFERROR(IF($AB773=0,"",((Config!$B$6*$V773 + Config!$B$7*$R773 + Config!$B$8*$W773 + Config!$B$9*$X773 + Config!$B$10*$Y773 + Config!$B$11*$Z773 - Config!$B$12*$AA773)/Config!$B$13)+$AH773+$AI773),"")</f>
        <v/>
      </c>
      <c r="AD773" s="40" t="str">
        <f t="shared" si="4"/>
        <v/>
      </c>
      <c r="AE773" s="40" t="str">
        <f>IFERROR(__xludf.DUMMYFUNCTION("IF($AC773="""","""",IF($AC773=IFERROR(MAX(FILTER($AC$6:$AC$1000,$C$6:$C$1000=$C773,$AB$6:$AB$1000=1)),),""WINNER"",""""))"),"")</f>
        <v/>
      </c>
      <c r="AF773" s="40" t="str">
        <f t="shared" si="5"/>
        <v/>
      </c>
      <c r="AG773" s="40" t="str">
        <f>IF($J773="","",COUNTIF(Assignments!$B:$B,$J773))</f>
        <v/>
      </c>
      <c r="AH773" s="40" t="str">
        <f>IF($J773="","",IF(AND($AG773=0,$N773&lt;$M773),Config!$B$43,0))</f>
        <v/>
      </c>
      <c r="AI773" s="40" t="str">
        <f>IF($J773="","",IF(AND($L773="Elite",$F773&gt;=Config!$B$41,$N773&lt;$M773),Config!$B$42,0))</f>
        <v/>
      </c>
      <c r="AJ773" s="22"/>
    </row>
    <row r="774" ht="15.75" customHeight="1">
      <c r="A774" s="40" t="str">
        <f t="shared" si="1"/>
        <v/>
      </c>
      <c r="B774" s="40" t="str">
        <f>IF(Bids!$A774="","",Bids!$A774)</f>
        <v/>
      </c>
      <c r="C774" s="40" t="str">
        <f>IF(Bids!$B774="","",Bids!$B774)</f>
        <v/>
      </c>
      <c r="D774" s="40" t="str">
        <f>IF($C774="","",IFERROR(VLOOKUP($C774,Orders!$A:$J,9,FALSE),""))</f>
        <v/>
      </c>
      <c r="E774" s="40" t="str">
        <f>IF($C774="","",IFERROR(VLOOKUP($C774,Orders!$A:$J,3,FALSE),""))</f>
        <v/>
      </c>
      <c r="F774" s="40" t="str">
        <f>IF($C774="","",IFERROR(VLOOKUP($C774,Orders!$A:$J,4,FALSE),""))</f>
        <v/>
      </c>
      <c r="G774" s="40" t="str">
        <f>IF($C774="","",IFERROR(VLOOKUP($C774,Orders!$A:$J,5,FALSE),""))</f>
        <v/>
      </c>
      <c r="H774" s="40" t="str">
        <f>IF($C774="","",IFERROR(VLOOKUP($C774,Orders!$A:$J,6,FALSE),""))</f>
        <v/>
      </c>
      <c r="I774" s="40" t="str">
        <f>IF($C774="","",IFERROR(VLOOKUP($C774,Orders!$A:$J,7,FALSE),""))</f>
        <v/>
      </c>
      <c r="J774" s="40" t="str">
        <f>IF(Bids!$C774="","",Bids!$C774)</f>
        <v/>
      </c>
      <c r="K774" s="40" t="str">
        <f>IF($J774="","",IFERROR(VLOOKUP($J774,Grinders!$A:$N,2,FALSE),""))</f>
        <v/>
      </c>
      <c r="L774" s="40" t="str">
        <f>IF($J774="","",IFERROR(VLOOKUP($J774,Grinders!$A:$N,3,FALSE),""))</f>
        <v/>
      </c>
      <c r="M774" s="40" t="str">
        <f>IF($J774="","",IFERROR(VLOOKUP($J774,Grinders!$A:$N,4,FALSE),""))</f>
        <v/>
      </c>
      <c r="N774" s="40" t="str">
        <f>IF($J774="","",IFERROR(VLOOKUP($J774,Grinders!$A:$N,5,FALSE),""))</f>
        <v/>
      </c>
      <c r="O774" s="40" t="str">
        <f t="shared" si="2"/>
        <v/>
      </c>
      <c r="P774" s="40" t="str">
        <f>IF($J774="","",IFERROR(VLOOKUP($J774,Grinders!$A:$N,6,FALSE),""))</f>
        <v/>
      </c>
      <c r="Q774" s="40" t="str">
        <f>IF($J774="","",IFERROR(VLOOKUP($J774,Grinders!$A:$N,8,FALSE),""))</f>
        <v/>
      </c>
      <c r="R774" s="40" t="str">
        <f>IFERROR(IF($J774="","",IF($L774="Elite",MAX(50,MIN(100,Config!$B$27*MAX(0,MIN(100,(1-IF($O774="",0,$O774))*100)) + Config!$B$28*MAX(0,MIN(100,(1-MIN(1,IF(Config!$B$30=0,1,$P774/Config!$B$30)))*100)) + Config!$B$29*MAX(0,MIN(100,MIN(1,IF($Q774="",0,$Q774)/Config!$B$23)*100)))),MIN(100,Config!$B$27*MAX(0,MIN(100,(1-IF($O774="",0,$O774))*100)) + Config!$B$28*MAX(0,MIN(100,(1-MIN(1,IF(Config!$B$30=0,1,$P774/Config!$B$30)))*100)) + Config!$B$29*MAX(0,MIN(100,MIN(1,IF($Q774="",0,$Q774)/Config!$B$23)*100))))),"")
</f>
        <v/>
      </c>
      <c r="S774" s="40" t="str">
        <f>IF(Bids!$D774="","",Bids!$D774)</f>
        <v/>
      </c>
      <c r="T774" s="40" t="str">
        <f>IF(Bids!$F774="","",Bids!$F774)</f>
        <v/>
      </c>
      <c r="U774" s="40" t="str">
        <f t="shared" si="3"/>
        <v/>
      </c>
      <c r="V774" s="40" t="str">
        <f>IF($U774="","",IF(Config!$B$17=Config!$B$16,IF($U774&gt;=Config!$B$17,100,0),MAX(0,MIN(100,($U774-Config!$B$16)/(Config!$B$17-Config!$B$16)*100))))</f>
        <v/>
      </c>
      <c r="W774" s="40">
        <f>IF($L774="Elite",Config!$B$21,0)</f>
        <v>0</v>
      </c>
      <c r="X774" s="40" t="str">
        <f>IFERROR(IF(OR($T774="",$G774=""),"",IF($T774&gt;$G774,
  MAX(0, 60-(($T774-$G774)*24/Config!$B$19)*60),
  MEDIAN(60, 100, 60+(($G774-$T774)*24/Config!$B$20)*40)
)),"")
</f>
        <v/>
      </c>
      <c r="Y774" s="40" t="str">
        <f>IF($J774="","",IFERROR(VLOOKUP($J774,Grinders!$A:$N,10,FALSE),""))</f>
        <v/>
      </c>
      <c r="Z774" s="40" t="str">
        <f>IF($J774="","",IFERROR(VLOOKUP($J774,Grinders!$A:$N,11,FALSE),""))</f>
        <v/>
      </c>
      <c r="AA774" s="40" t="str">
        <f>IF($J774="","",IFERROR(VLOOKUP($J774,Grinders!$A:$N,12,FALSE),""))</f>
        <v/>
      </c>
      <c r="AB774" s="40">
        <f>IFERROR(IF(OR($C774="",$J774=""),0,IF($D774&lt;&gt;"Open",0,IF(COUNTIFS(GrinderServices!$B:$B,$J774,GrinderServices!$C:$C,$E774,GrinderServices!$E:$E,"Y")=0,0,IF($U774&lt;Config!$B$16,0,IF(Config!$B$18=1,IF($N774&gt;=$M774,0,1),1))))),"")</f>
        <v>0</v>
      </c>
      <c r="AC774" s="40" t="str">
        <f>IFERROR(IF($AB774=0,"",((Config!$B$6*$V774 + Config!$B$7*$R774 + Config!$B$8*$W774 + Config!$B$9*$X774 + Config!$B$10*$Y774 + Config!$B$11*$Z774 - Config!$B$12*$AA774)/Config!$B$13)+$AH774+$AI774),"")</f>
        <v/>
      </c>
      <c r="AD774" s="40" t="str">
        <f t="shared" si="4"/>
        <v/>
      </c>
      <c r="AE774" s="40" t="str">
        <f>IFERROR(__xludf.DUMMYFUNCTION("IF($AC774="""","""",IF($AC774=IFERROR(MAX(FILTER($AC$6:$AC$1000,$C$6:$C$1000=$C774,$AB$6:$AB$1000=1)),),""WINNER"",""""))"),"")</f>
        <v/>
      </c>
      <c r="AF774" s="40" t="str">
        <f t="shared" si="5"/>
        <v/>
      </c>
      <c r="AG774" s="40" t="str">
        <f>IF($J774="","",COUNTIF(Assignments!$B:$B,$J774))</f>
        <v/>
      </c>
      <c r="AH774" s="40" t="str">
        <f>IF($J774="","",IF(AND($AG774=0,$N774&lt;$M774),Config!$B$43,0))</f>
        <v/>
      </c>
      <c r="AI774" s="40" t="str">
        <f>IF($J774="","",IF(AND($L774="Elite",$F774&gt;=Config!$B$41,$N774&lt;$M774),Config!$B$42,0))</f>
        <v/>
      </c>
      <c r="AJ774" s="22"/>
    </row>
    <row r="775" ht="15.75" customHeight="1">
      <c r="A775" s="40" t="str">
        <f t="shared" si="1"/>
        <v/>
      </c>
      <c r="B775" s="40" t="str">
        <f>IF(Bids!$A775="","",Bids!$A775)</f>
        <v/>
      </c>
      <c r="C775" s="40" t="str">
        <f>IF(Bids!$B775="","",Bids!$B775)</f>
        <v/>
      </c>
      <c r="D775" s="40" t="str">
        <f>IF($C775="","",IFERROR(VLOOKUP($C775,Orders!$A:$J,9,FALSE),""))</f>
        <v/>
      </c>
      <c r="E775" s="40" t="str">
        <f>IF($C775="","",IFERROR(VLOOKUP($C775,Orders!$A:$J,3,FALSE),""))</f>
        <v/>
      </c>
      <c r="F775" s="40" t="str">
        <f>IF($C775="","",IFERROR(VLOOKUP($C775,Orders!$A:$J,4,FALSE),""))</f>
        <v/>
      </c>
      <c r="G775" s="40" t="str">
        <f>IF($C775="","",IFERROR(VLOOKUP($C775,Orders!$A:$J,5,FALSE),""))</f>
        <v/>
      </c>
      <c r="H775" s="40" t="str">
        <f>IF($C775="","",IFERROR(VLOOKUP($C775,Orders!$A:$J,6,FALSE),""))</f>
        <v/>
      </c>
      <c r="I775" s="40" t="str">
        <f>IF($C775="","",IFERROR(VLOOKUP($C775,Orders!$A:$J,7,FALSE),""))</f>
        <v/>
      </c>
      <c r="J775" s="40" t="str">
        <f>IF(Bids!$C775="","",Bids!$C775)</f>
        <v/>
      </c>
      <c r="K775" s="40" t="str">
        <f>IF($J775="","",IFERROR(VLOOKUP($J775,Grinders!$A:$N,2,FALSE),""))</f>
        <v/>
      </c>
      <c r="L775" s="40" t="str">
        <f>IF($J775="","",IFERROR(VLOOKUP($J775,Grinders!$A:$N,3,FALSE),""))</f>
        <v/>
      </c>
      <c r="M775" s="40" t="str">
        <f>IF($J775="","",IFERROR(VLOOKUP($J775,Grinders!$A:$N,4,FALSE),""))</f>
        <v/>
      </c>
      <c r="N775" s="40" t="str">
        <f>IF($J775="","",IFERROR(VLOOKUP($J775,Grinders!$A:$N,5,FALSE),""))</f>
        <v/>
      </c>
      <c r="O775" s="40" t="str">
        <f t="shared" si="2"/>
        <v/>
      </c>
      <c r="P775" s="40" t="str">
        <f>IF($J775="","",IFERROR(VLOOKUP($J775,Grinders!$A:$N,6,FALSE),""))</f>
        <v/>
      </c>
      <c r="Q775" s="40" t="str">
        <f>IF($J775="","",IFERROR(VLOOKUP($J775,Grinders!$A:$N,8,FALSE),""))</f>
        <v/>
      </c>
      <c r="R775" s="40" t="str">
        <f>IFERROR(IF($J775="","",IF($L775="Elite",MAX(50,MIN(100,Config!$B$27*MAX(0,MIN(100,(1-IF($O775="",0,$O775))*100)) + Config!$B$28*MAX(0,MIN(100,(1-MIN(1,IF(Config!$B$30=0,1,$P775/Config!$B$30)))*100)) + Config!$B$29*MAX(0,MIN(100,MIN(1,IF($Q775="",0,$Q775)/Config!$B$23)*100)))),MIN(100,Config!$B$27*MAX(0,MIN(100,(1-IF($O775="",0,$O775))*100)) + Config!$B$28*MAX(0,MIN(100,(1-MIN(1,IF(Config!$B$30=0,1,$P775/Config!$B$30)))*100)) + Config!$B$29*MAX(0,MIN(100,MIN(1,IF($Q775="",0,$Q775)/Config!$B$23)*100))))),"")
</f>
        <v/>
      </c>
      <c r="S775" s="40" t="str">
        <f>IF(Bids!$D775="","",Bids!$D775)</f>
        <v/>
      </c>
      <c r="T775" s="40" t="str">
        <f>IF(Bids!$F775="","",Bids!$F775)</f>
        <v/>
      </c>
      <c r="U775" s="40" t="str">
        <f t="shared" si="3"/>
        <v/>
      </c>
      <c r="V775" s="40" t="str">
        <f>IF($U775="","",IF(Config!$B$17=Config!$B$16,IF($U775&gt;=Config!$B$17,100,0),MAX(0,MIN(100,($U775-Config!$B$16)/(Config!$B$17-Config!$B$16)*100))))</f>
        <v/>
      </c>
      <c r="W775" s="40">
        <f>IF($L775="Elite",Config!$B$21,0)</f>
        <v>0</v>
      </c>
      <c r="X775" s="40" t="str">
        <f>IFERROR(IF(OR($T775="",$G775=""),"",IF($T775&gt;$G775,
  MAX(0, 60-(($T775-$G775)*24/Config!$B$19)*60),
  MEDIAN(60, 100, 60+(($G775-$T775)*24/Config!$B$20)*40)
)),"")
</f>
        <v/>
      </c>
      <c r="Y775" s="40" t="str">
        <f>IF($J775="","",IFERROR(VLOOKUP($J775,Grinders!$A:$N,10,FALSE),""))</f>
        <v/>
      </c>
      <c r="Z775" s="40" t="str">
        <f>IF($J775="","",IFERROR(VLOOKUP($J775,Grinders!$A:$N,11,FALSE),""))</f>
        <v/>
      </c>
      <c r="AA775" s="40" t="str">
        <f>IF($J775="","",IFERROR(VLOOKUP($J775,Grinders!$A:$N,12,FALSE),""))</f>
        <v/>
      </c>
      <c r="AB775" s="40">
        <f>IFERROR(IF(OR($C775="",$J775=""),0,IF($D775&lt;&gt;"Open",0,IF(COUNTIFS(GrinderServices!$B:$B,$J775,GrinderServices!$C:$C,$E775,GrinderServices!$E:$E,"Y")=0,0,IF($U775&lt;Config!$B$16,0,IF(Config!$B$18=1,IF($N775&gt;=$M775,0,1),1))))),"")</f>
        <v>0</v>
      </c>
      <c r="AC775" s="40" t="str">
        <f>IFERROR(IF($AB775=0,"",((Config!$B$6*$V775 + Config!$B$7*$R775 + Config!$B$8*$W775 + Config!$B$9*$X775 + Config!$B$10*$Y775 + Config!$B$11*$Z775 - Config!$B$12*$AA775)/Config!$B$13)+$AH775+$AI775),"")</f>
        <v/>
      </c>
      <c r="AD775" s="40" t="str">
        <f t="shared" si="4"/>
        <v/>
      </c>
      <c r="AE775" s="40" t="str">
        <f>IFERROR(__xludf.DUMMYFUNCTION("IF($AC775="""","""",IF($AC775=IFERROR(MAX(FILTER($AC$6:$AC$1000,$C$6:$C$1000=$C775,$AB$6:$AB$1000=1)),),""WINNER"",""""))"),"")</f>
        <v/>
      </c>
      <c r="AF775" s="40" t="str">
        <f t="shared" si="5"/>
        <v/>
      </c>
      <c r="AG775" s="40" t="str">
        <f>IF($J775="","",COUNTIF(Assignments!$B:$B,$J775))</f>
        <v/>
      </c>
      <c r="AH775" s="40" t="str">
        <f>IF($J775="","",IF(AND($AG775=0,$N775&lt;$M775),Config!$B$43,0))</f>
        <v/>
      </c>
      <c r="AI775" s="40" t="str">
        <f>IF($J775="","",IF(AND($L775="Elite",$F775&gt;=Config!$B$41,$N775&lt;$M775),Config!$B$42,0))</f>
        <v/>
      </c>
      <c r="AJ775" s="22"/>
    </row>
    <row r="776" ht="15.75" customHeight="1">
      <c r="A776" s="40" t="str">
        <f t="shared" si="1"/>
        <v/>
      </c>
      <c r="B776" s="40" t="str">
        <f>IF(Bids!$A776="","",Bids!$A776)</f>
        <v/>
      </c>
      <c r="C776" s="40" t="str">
        <f>IF(Bids!$B776="","",Bids!$B776)</f>
        <v/>
      </c>
      <c r="D776" s="40" t="str">
        <f>IF($C776="","",IFERROR(VLOOKUP($C776,Orders!$A:$J,9,FALSE),""))</f>
        <v/>
      </c>
      <c r="E776" s="40" t="str">
        <f>IF($C776="","",IFERROR(VLOOKUP($C776,Orders!$A:$J,3,FALSE),""))</f>
        <v/>
      </c>
      <c r="F776" s="40" t="str">
        <f>IF($C776="","",IFERROR(VLOOKUP($C776,Orders!$A:$J,4,FALSE),""))</f>
        <v/>
      </c>
      <c r="G776" s="40" t="str">
        <f>IF($C776="","",IFERROR(VLOOKUP($C776,Orders!$A:$J,5,FALSE),""))</f>
        <v/>
      </c>
      <c r="H776" s="40" t="str">
        <f>IF($C776="","",IFERROR(VLOOKUP($C776,Orders!$A:$J,6,FALSE),""))</f>
        <v/>
      </c>
      <c r="I776" s="40" t="str">
        <f>IF($C776="","",IFERROR(VLOOKUP($C776,Orders!$A:$J,7,FALSE),""))</f>
        <v/>
      </c>
      <c r="J776" s="40" t="str">
        <f>IF(Bids!$C776="","",Bids!$C776)</f>
        <v/>
      </c>
      <c r="K776" s="40" t="str">
        <f>IF($J776="","",IFERROR(VLOOKUP($J776,Grinders!$A:$N,2,FALSE),""))</f>
        <v/>
      </c>
      <c r="L776" s="40" t="str">
        <f>IF($J776="","",IFERROR(VLOOKUP($J776,Grinders!$A:$N,3,FALSE),""))</f>
        <v/>
      </c>
      <c r="M776" s="40" t="str">
        <f>IF($J776="","",IFERROR(VLOOKUP($J776,Grinders!$A:$N,4,FALSE),""))</f>
        <v/>
      </c>
      <c r="N776" s="40" t="str">
        <f>IF($J776="","",IFERROR(VLOOKUP($J776,Grinders!$A:$N,5,FALSE),""))</f>
        <v/>
      </c>
      <c r="O776" s="40" t="str">
        <f t="shared" si="2"/>
        <v/>
      </c>
      <c r="P776" s="40" t="str">
        <f>IF($J776="","",IFERROR(VLOOKUP($J776,Grinders!$A:$N,6,FALSE),""))</f>
        <v/>
      </c>
      <c r="Q776" s="40" t="str">
        <f>IF($J776="","",IFERROR(VLOOKUP($J776,Grinders!$A:$N,8,FALSE),""))</f>
        <v/>
      </c>
      <c r="R776" s="40" t="str">
        <f>IFERROR(IF($J776="","",IF($L776="Elite",MAX(50,MIN(100,Config!$B$27*MAX(0,MIN(100,(1-IF($O776="",0,$O776))*100)) + Config!$B$28*MAX(0,MIN(100,(1-MIN(1,IF(Config!$B$30=0,1,$P776/Config!$B$30)))*100)) + Config!$B$29*MAX(0,MIN(100,MIN(1,IF($Q776="",0,$Q776)/Config!$B$23)*100)))),MIN(100,Config!$B$27*MAX(0,MIN(100,(1-IF($O776="",0,$O776))*100)) + Config!$B$28*MAX(0,MIN(100,(1-MIN(1,IF(Config!$B$30=0,1,$P776/Config!$B$30)))*100)) + Config!$B$29*MAX(0,MIN(100,MIN(1,IF($Q776="",0,$Q776)/Config!$B$23)*100))))),"")
</f>
        <v/>
      </c>
      <c r="S776" s="40" t="str">
        <f>IF(Bids!$D776="","",Bids!$D776)</f>
        <v/>
      </c>
      <c r="T776" s="40" t="str">
        <f>IF(Bids!$F776="","",Bids!$F776)</f>
        <v/>
      </c>
      <c r="U776" s="40" t="str">
        <f t="shared" si="3"/>
        <v/>
      </c>
      <c r="V776" s="40" t="str">
        <f>IF($U776="","",IF(Config!$B$17=Config!$B$16,IF($U776&gt;=Config!$B$17,100,0),MAX(0,MIN(100,($U776-Config!$B$16)/(Config!$B$17-Config!$B$16)*100))))</f>
        <v/>
      </c>
      <c r="W776" s="40">
        <f>IF($L776="Elite",Config!$B$21,0)</f>
        <v>0</v>
      </c>
      <c r="X776" s="40" t="str">
        <f>IFERROR(IF(OR($T776="",$G776=""),"",IF($T776&gt;$G776,
  MAX(0, 60-(($T776-$G776)*24/Config!$B$19)*60),
  MEDIAN(60, 100, 60+(($G776-$T776)*24/Config!$B$20)*40)
)),"")
</f>
        <v/>
      </c>
      <c r="Y776" s="40" t="str">
        <f>IF($J776="","",IFERROR(VLOOKUP($J776,Grinders!$A:$N,10,FALSE),""))</f>
        <v/>
      </c>
      <c r="Z776" s="40" t="str">
        <f>IF($J776="","",IFERROR(VLOOKUP($J776,Grinders!$A:$N,11,FALSE),""))</f>
        <v/>
      </c>
      <c r="AA776" s="40" t="str">
        <f>IF($J776="","",IFERROR(VLOOKUP($J776,Grinders!$A:$N,12,FALSE),""))</f>
        <v/>
      </c>
      <c r="AB776" s="40">
        <f>IFERROR(IF(OR($C776="",$J776=""),0,IF($D776&lt;&gt;"Open",0,IF(COUNTIFS(GrinderServices!$B:$B,$J776,GrinderServices!$C:$C,$E776,GrinderServices!$E:$E,"Y")=0,0,IF($U776&lt;Config!$B$16,0,IF(Config!$B$18=1,IF($N776&gt;=$M776,0,1),1))))),"")</f>
        <v>0</v>
      </c>
      <c r="AC776" s="40" t="str">
        <f>IFERROR(IF($AB776=0,"",((Config!$B$6*$V776 + Config!$B$7*$R776 + Config!$B$8*$W776 + Config!$B$9*$X776 + Config!$B$10*$Y776 + Config!$B$11*$Z776 - Config!$B$12*$AA776)/Config!$B$13)+$AH776+$AI776),"")</f>
        <v/>
      </c>
      <c r="AD776" s="40" t="str">
        <f t="shared" si="4"/>
        <v/>
      </c>
      <c r="AE776" s="40" t="str">
        <f>IFERROR(__xludf.DUMMYFUNCTION("IF($AC776="""","""",IF($AC776=IFERROR(MAX(FILTER($AC$6:$AC$1000,$C$6:$C$1000=$C776,$AB$6:$AB$1000=1)),),""WINNER"",""""))"),"")</f>
        <v/>
      </c>
      <c r="AF776" s="40" t="str">
        <f t="shared" si="5"/>
        <v/>
      </c>
      <c r="AG776" s="40" t="str">
        <f>IF($J776="","",COUNTIF(Assignments!$B:$B,$J776))</f>
        <v/>
      </c>
      <c r="AH776" s="40" t="str">
        <f>IF($J776="","",IF(AND($AG776=0,$N776&lt;$M776),Config!$B$43,0))</f>
        <v/>
      </c>
      <c r="AI776" s="40" t="str">
        <f>IF($J776="","",IF(AND($L776="Elite",$F776&gt;=Config!$B$41,$N776&lt;$M776),Config!$B$42,0))</f>
        <v/>
      </c>
      <c r="AJ776" s="22"/>
    </row>
    <row r="777" ht="15.75" customHeight="1">
      <c r="A777" s="40" t="str">
        <f t="shared" si="1"/>
        <v/>
      </c>
      <c r="B777" s="40" t="str">
        <f>IF(Bids!$A777="","",Bids!$A777)</f>
        <v/>
      </c>
      <c r="C777" s="40" t="str">
        <f>IF(Bids!$B777="","",Bids!$B777)</f>
        <v/>
      </c>
      <c r="D777" s="40" t="str">
        <f>IF($C777="","",IFERROR(VLOOKUP($C777,Orders!$A:$J,9,FALSE),""))</f>
        <v/>
      </c>
      <c r="E777" s="40" t="str">
        <f>IF($C777="","",IFERROR(VLOOKUP($C777,Orders!$A:$J,3,FALSE),""))</f>
        <v/>
      </c>
      <c r="F777" s="40" t="str">
        <f>IF($C777="","",IFERROR(VLOOKUP($C777,Orders!$A:$J,4,FALSE),""))</f>
        <v/>
      </c>
      <c r="G777" s="40" t="str">
        <f>IF($C777="","",IFERROR(VLOOKUP($C777,Orders!$A:$J,5,FALSE),""))</f>
        <v/>
      </c>
      <c r="H777" s="40" t="str">
        <f>IF($C777="","",IFERROR(VLOOKUP($C777,Orders!$A:$J,6,FALSE),""))</f>
        <v/>
      </c>
      <c r="I777" s="40" t="str">
        <f>IF($C777="","",IFERROR(VLOOKUP($C777,Orders!$A:$J,7,FALSE),""))</f>
        <v/>
      </c>
      <c r="J777" s="40" t="str">
        <f>IF(Bids!$C777="","",Bids!$C777)</f>
        <v/>
      </c>
      <c r="K777" s="40" t="str">
        <f>IF($J777="","",IFERROR(VLOOKUP($J777,Grinders!$A:$N,2,FALSE),""))</f>
        <v/>
      </c>
      <c r="L777" s="40" t="str">
        <f>IF($J777="","",IFERROR(VLOOKUP($J777,Grinders!$A:$N,3,FALSE),""))</f>
        <v/>
      </c>
      <c r="M777" s="40" t="str">
        <f>IF($J777="","",IFERROR(VLOOKUP($J777,Grinders!$A:$N,4,FALSE),""))</f>
        <v/>
      </c>
      <c r="N777" s="40" t="str">
        <f>IF($J777="","",IFERROR(VLOOKUP($J777,Grinders!$A:$N,5,FALSE),""))</f>
        <v/>
      </c>
      <c r="O777" s="40" t="str">
        <f t="shared" si="2"/>
        <v/>
      </c>
      <c r="P777" s="40" t="str">
        <f>IF($J777="","",IFERROR(VLOOKUP($J777,Grinders!$A:$N,6,FALSE),""))</f>
        <v/>
      </c>
      <c r="Q777" s="40" t="str">
        <f>IF($J777="","",IFERROR(VLOOKUP($J777,Grinders!$A:$N,8,FALSE),""))</f>
        <v/>
      </c>
      <c r="R777" s="40" t="str">
        <f>IFERROR(IF($J777="","",IF($L777="Elite",MAX(50,MIN(100,Config!$B$27*MAX(0,MIN(100,(1-IF($O777="",0,$O777))*100)) + Config!$B$28*MAX(0,MIN(100,(1-MIN(1,IF(Config!$B$30=0,1,$P777/Config!$B$30)))*100)) + Config!$B$29*MAX(0,MIN(100,MIN(1,IF($Q777="",0,$Q777)/Config!$B$23)*100)))),MIN(100,Config!$B$27*MAX(0,MIN(100,(1-IF($O777="",0,$O777))*100)) + Config!$B$28*MAX(0,MIN(100,(1-MIN(1,IF(Config!$B$30=0,1,$P777/Config!$B$30)))*100)) + Config!$B$29*MAX(0,MIN(100,MIN(1,IF($Q777="",0,$Q777)/Config!$B$23)*100))))),"")
</f>
        <v/>
      </c>
      <c r="S777" s="40" t="str">
        <f>IF(Bids!$D777="","",Bids!$D777)</f>
        <v/>
      </c>
      <c r="T777" s="40" t="str">
        <f>IF(Bids!$F777="","",Bids!$F777)</f>
        <v/>
      </c>
      <c r="U777" s="40" t="str">
        <f t="shared" si="3"/>
        <v/>
      </c>
      <c r="V777" s="40" t="str">
        <f>IF($U777="","",IF(Config!$B$17=Config!$B$16,IF($U777&gt;=Config!$B$17,100,0),MAX(0,MIN(100,($U777-Config!$B$16)/(Config!$B$17-Config!$B$16)*100))))</f>
        <v/>
      </c>
      <c r="W777" s="40">
        <f>IF($L777="Elite",Config!$B$21,0)</f>
        <v>0</v>
      </c>
      <c r="X777" s="40" t="str">
        <f>IFERROR(IF(OR($T777="",$G777=""),"",IF($T777&gt;$G777,
  MAX(0, 60-(($T777-$G777)*24/Config!$B$19)*60),
  MEDIAN(60, 100, 60+(($G777-$T777)*24/Config!$B$20)*40)
)),"")
</f>
        <v/>
      </c>
      <c r="Y777" s="40" t="str">
        <f>IF($J777="","",IFERROR(VLOOKUP($J777,Grinders!$A:$N,10,FALSE),""))</f>
        <v/>
      </c>
      <c r="Z777" s="40" t="str">
        <f>IF($J777="","",IFERROR(VLOOKUP($J777,Grinders!$A:$N,11,FALSE),""))</f>
        <v/>
      </c>
      <c r="AA777" s="40" t="str">
        <f>IF($J777="","",IFERROR(VLOOKUP($J777,Grinders!$A:$N,12,FALSE),""))</f>
        <v/>
      </c>
      <c r="AB777" s="40">
        <f>IFERROR(IF(OR($C777="",$J777=""),0,IF($D777&lt;&gt;"Open",0,IF(COUNTIFS(GrinderServices!$B:$B,$J777,GrinderServices!$C:$C,$E777,GrinderServices!$E:$E,"Y")=0,0,IF($U777&lt;Config!$B$16,0,IF(Config!$B$18=1,IF($N777&gt;=$M777,0,1),1))))),"")</f>
        <v>0</v>
      </c>
      <c r="AC777" s="40" t="str">
        <f>IFERROR(IF($AB777=0,"",((Config!$B$6*$V777 + Config!$B$7*$R777 + Config!$B$8*$W777 + Config!$B$9*$X777 + Config!$B$10*$Y777 + Config!$B$11*$Z777 - Config!$B$12*$AA777)/Config!$B$13)+$AH777+$AI777),"")</f>
        <v/>
      </c>
      <c r="AD777" s="40" t="str">
        <f t="shared" si="4"/>
        <v/>
      </c>
      <c r="AE777" s="40" t="str">
        <f>IFERROR(__xludf.DUMMYFUNCTION("IF($AC777="""","""",IF($AC777=IFERROR(MAX(FILTER($AC$6:$AC$1000,$C$6:$C$1000=$C777,$AB$6:$AB$1000=1)),),""WINNER"",""""))"),"")</f>
        <v/>
      </c>
      <c r="AF777" s="40" t="str">
        <f t="shared" si="5"/>
        <v/>
      </c>
      <c r="AG777" s="40" t="str">
        <f>IF($J777="","",COUNTIF(Assignments!$B:$B,$J777))</f>
        <v/>
      </c>
      <c r="AH777" s="40" t="str">
        <f>IF($J777="","",IF(AND($AG777=0,$N777&lt;$M777),Config!$B$43,0))</f>
        <v/>
      </c>
      <c r="AI777" s="40" t="str">
        <f>IF($J777="","",IF(AND($L777="Elite",$F777&gt;=Config!$B$41,$N777&lt;$M777),Config!$B$42,0))</f>
        <v/>
      </c>
      <c r="AJ777" s="22"/>
    </row>
    <row r="778" ht="15.75" customHeight="1">
      <c r="A778" s="40" t="str">
        <f t="shared" si="1"/>
        <v/>
      </c>
      <c r="B778" s="40" t="str">
        <f>IF(Bids!$A778="","",Bids!$A778)</f>
        <v/>
      </c>
      <c r="C778" s="40" t="str">
        <f>IF(Bids!$B778="","",Bids!$B778)</f>
        <v/>
      </c>
      <c r="D778" s="40" t="str">
        <f>IF($C778="","",IFERROR(VLOOKUP($C778,Orders!$A:$J,9,FALSE),""))</f>
        <v/>
      </c>
      <c r="E778" s="40" t="str">
        <f>IF($C778="","",IFERROR(VLOOKUP($C778,Orders!$A:$J,3,FALSE),""))</f>
        <v/>
      </c>
      <c r="F778" s="40" t="str">
        <f>IF($C778="","",IFERROR(VLOOKUP($C778,Orders!$A:$J,4,FALSE),""))</f>
        <v/>
      </c>
      <c r="G778" s="40" t="str">
        <f>IF($C778="","",IFERROR(VLOOKUP($C778,Orders!$A:$J,5,FALSE),""))</f>
        <v/>
      </c>
      <c r="H778" s="40" t="str">
        <f>IF($C778="","",IFERROR(VLOOKUP($C778,Orders!$A:$J,6,FALSE),""))</f>
        <v/>
      </c>
      <c r="I778" s="40" t="str">
        <f>IF($C778="","",IFERROR(VLOOKUP($C778,Orders!$A:$J,7,FALSE),""))</f>
        <v/>
      </c>
      <c r="J778" s="40" t="str">
        <f>IF(Bids!$C778="","",Bids!$C778)</f>
        <v/>
      </c>
      <c r="K778" s="40" t="str">
        <f>IF($J778="","",IFERROR(VLOOKUP($J778,Grinders!$A:$N,2,FALSE),""))</f>
        <v/>
      </c>
      <c r="L778" s="40" t="str">
        <f>IF($J778="","",IFERROR(VLOOKUP($J778,Grinders!$A:$N,3,FALSE),""))</f>
        <v/>
      </c>
      <c r="M778" s="40" t="str">
        <f>IF($J778="","",IFERROR(VLOOKUP($J778,Grinders!$A:$N,4,FALSE),""))</f>
        <v/>
      </c>
      <c r="N778" s="40" t="str">
        <f>IF($J778="","",IFERROR(VLOOKUP($J778,Grinders!$A:$N,5,FALSE),""))</f>
        <v/>
      </c>
      <c r="O778" s="40" t="str">
        <f t="shared" si="2"/>
        <v/>
      </c>
      <c r="P778" s="40" t="str">
        <f>IF($J778="","",IFERROR(VLOOKUP($J778,Grinders!$A:$N,6,FALSE),""))</f>
        <v/>
      </c>
      <c r="Q778" s="40" t="str">
        <f>IF($J778="","",IFERROR(VLOOKUP($J778,Grinders!$A:$N,8,FALSE),""))</f>
        <v/>
      </c>
      <c r="R778" s="40" t="str">
        <f>IFERROR(IF($J778="","",IF($L778="Elite",MAX(50,MIN(100,Config!$B$27*MAX(0,MIN(100,(1-IF($O778="",0,$O778))*100)) + Config!$B$28*MAX(0,MIN(100,(1-MIN(1,IF(Config!$B$30=0,1,$P778/Config!$B$30)))*100)) + Config!$B$29*MAX(0,MIN(100,MIN(1,IF($Q778="",0,$Q778)/Config!$B$23)*100)))),MIN(100,Config!$B$27*MAX(0,MIN(100,(1-IF($O778="",0,$O778))*100)) + Config!$B$28*MAX(0,MIN(100,(1-MIN(1,IF(Config!$B$30=0,1,$P778/Config!$B$30)))*100)) + Config!$B$29*MAX(0,MIN(100,MIN(1,IF($Q778="",0,$Q778)/Config!$B$23)*100))))),"")
</f>
        <v/>
      </c>
      <c r="S778" s="40" t="str">
        <f>IF(Bids!$D778="","",Bids!$D778)</f>
        <v/>
      </c>
      <c r="T778" s="40" t="str">
        <f>IF(Bids!$F778="","",Bids!$F778)</f>
        <v/>
      </c>
      <c r="U778" s="40" t="str">
        <f t="shared" si="3"/>
        <v/>
      </c>
      <c r="V778" s="40" t="str">
        <f>IF($U778="","",IF(Config!$B$17=Config!$B$16,IF($U778&gt;=Config!$B$17,100,0),MAX(0,MIN(100,($U778-Config!$B$16)/(Config!$B$17-Config!$B$16)*100))))</f>
        <v/>
      </c>
      <c r="W778" s="40">
        <f>IF($L778="Elite",Config!$B$21,0)</f>
        <v>0</v>
      </c>
      <c r="X778" s="40" t="str">
        <f>IFERROR(IF(OR($T778="",$G778=""),"",IF($T778&gt;$G778,
  MAX(0, 60-(($T778-$G778)*24/Config!$B$19)*60),
  MEDIAN(60, 100, 60+(($G778-$T778)*24/Config!$B$20)*40)
)),"")
</f>
        <v/>
      </c>
      <c r="Y778" s="40" t="str">
        <f>IF($J778="","",IFERROR(VLOOKUP($J778,Grinders!$A:$N,10,FALSE),""))</f>
        <v/>
      </c>
      <c r="Z778" s="40" t="str">
        <f>IF($J778="","",IFERROR(VLOOKUP($J778,Grinders!$A:$N,11,FALSE),""))</f>
        <v/>
      </c>
      <c r="AA778" s="40" t="str">
        <f>IF($J778="","",IFERROR(VLOOKUP($J778,Grinders!$A:$N,12,FALSE),""))</f>
        <v/>
      </c>
      <c r="AB778" s="40">
        <f>IFERROR(IF(OR($C778="",$J778=""),0,IF($D778&lt;&gt;"Open",0,IF(COUNTIFS(GrinderServices!$B:$B,$J778,GrinderServices!$C:$C,$E778,GrinderServices!$E:$E,"Y")=0,0,IF($U778&lt;Config!$B$16,0,IF(Config!$B$18=1,IF($N778&gt;=$M778,0,1),1))))),"")</f>
        <v>0</v>
      </c>
      <c r="AC778" s="40" t="str">
        <f>IFERROR(IF($AB778=0,"",((Config!$B$6*$V778 + Config!$B$7*$R778 + Config!$B$8*$W778 + Config!$B$9*$X778 + Config!$B$10*$Y778 + Config!$B$11*$Z778 - Config!$B$12*$AA778)/Config!$B$13)+$AH778+$AI778),"")</f>
        <v/>
      </c>
      <c r="AD778" s="40" t="str">
        <f t="shared" si="4"/>
        <v/>
      </c>
      <c r="AE778" s="40" t="str">
        <f>IFERROR(__xludf.DUMMYFUNCTION("IF($AC778="""","""",IF($AC778=IFERROR(MAX(FILTER($AC$6:$AC$1000,$C$6:$C$1000=$C778,$AB$6:$AB$1000=1)),),""WINNER"",""""))"),"")</f>
        <v/>
      </c>
      <c r="AF778" s="40" t="str">
        <f t="shared" si="5"/>
        <v/>
      </c>
      <c r="AG778" s="40" t="str">
        <f>IF($J778="","",COUNTIF(Assignments!$B:$B,$J778))</f>
        <v/>
      </c>
      <c r="AH778" s="40" t="str">
        <f>IF($J778="","",IF(AND($AG778=0,$N778&lt;$M778),Config!$B$43,0))</f>
        <v/>
      </c>
      <c r="AI778" s="40" t="str">
        <f>IF($J778="","",IF(AND($L778="Elite",$F778&gt;=Config!$B$41,$N778&lt;$M778),Config!$B$42,0))</f>
        <v/>
      </c>
      <c r="AJ778" s="22"/>
    </row>
    <row r="779" ht="15.75" customHeight="1">
      <c r="A779" s="40" t="str">
        <f t="shared" si="1"/>
        <v/>
      </c>
      <c r="B779" s="40" t="str">
        <f>IF(Bids!$A779="","",Bids!$A779)</f>
        <v/>
      </c>
      <c r="C779" s="40" t="str">
        <f>IF(Bids!$B779="","",Bids!$B779)</f>
        <v/>
      </c>
      <c r="D779" s="40" t="str">
        <f>IF($C779="","",IFERROR(VLOOKUP($C779,Orders!$A:$J,9,FALSE),""))</f>
        <v/>
      </c>
      <c r="E779" s="40" t="str">
        <f>IF($C779="","",IFERROR(VLOOKUP($C779,Orders!$A:$J,3,FALSE),""))</f>
        <v/>
      </c>
      <c r="F779" s="40" t="str">
        <f>IF($C779="","",IFERROR(VLOOKUP($C779,Orders!$A:$J,4,FALSE),""))</f>
        <v/>
      </c>
      <c r="G779" s="40" t="str">
        <f>IF($C779="","",IFERROR(VLOOKUP($C779,Orders!$A:$J,5,FALSE),""))</f>
        <v/>
      </c>
      <c r="H779" s="40" t="str">
        <f>IF($C779="","",IFERROR(VLOOKUP($C779,Orders!$A:$J,6,FALSE),""))</f>
        <v/>
      </c>
      <c r="I779" s="40" t="str">
        <f>IF($C779="","",IFERROR(VLOOKUP($C779,Orders!$A:$J,7,FALSE),""))</f>
        <v/>
      </c>
      <c r="J779" s="40" t="str">
        <f>IF(Bids!$C779="","",Bids!$C779)</f>
        <v/>
      </c>
      <c r="K779" s="40" t="str">
        <f>IF($J779="","",IFERROR(VLOOKUP($J779,Grinders!$A:$N,2,FALSE),""))</f>
        <v/>
      </c>
      <c r="L779" s="40" t="str">
        <f>IF($J779="","",IFERROR(VLOOKUP($J779,Grinders!$A:$N,3,FALSE),""))</f>
        <v/>
      </c>
      <c r="M779" s="40" t="str">
        <f>IF($J779="","",IFERROR(VLOOKUP($J779,Grinders!$A:$N,4,FALSE),""))</f>
        <v/>
      </c>
      <c r="N779" s="40" t="str">
        <f>IF($J779="","",IFERROR(VLOOKUP($J779,Grinders!$A:$N,5,FALSE),""))</f>
        <v/>
      </c>
      <c r="O779" s="40" t="str">
        <f t="shared" si="2"/>
        <v/>
      </c>
      <c r="P779" s="40" t="str">
        <f>IF($J779="","",IFERROR(VLOOKUP($J779,Grinders!$A:$N,6,FALSE),""))</f>
        <v/>
      </c>
      <c r="Q779" s="40" t="str">
        <f>IF($J779="","",IFERROR(VLOOKUP($J779,Grinders!$A:$N,8,FALSE),""))</f>
        <v/>
      </c>
      <c r="R779" s="40" t="str">
        <f>IFERROR(IF($J779="","",IF($L779="Elite",MAX(50,MIN(100,Config!$B$27*MAX(0,MIN(100,(1-IF($O779="",0,$O779))*100)) + Config!$B$28*MAX(0,MIN(100,(1-MIN(1,IF(Config!$B$30=0,1,$P779/Config!$B$30)))*100)) + Config!$B$29*MAX(0,MIN(100,MIN(1,IF($Q779="",0,$Q779)/Config!$B$23)*100)))),MIN(100,Config!$B$27*MAX(0,MIN(100,(1-IF($O779="",0,$O779))*100)) + Config!$B$28*MAX(0,MIN(100,(1-MIN(1,IF(Config!$B$30=0,1,$P779/Config!$B$30)))*100)) + Config!$B$29*MAX(0,MIN(100,MIN(1,IF($Q779="",0,$Q779)/Config!$B$23)*100))))),"")
</f>
        <v/>
      </c>
      <c r="S779" s="40" t="str">
        <f>IF(Bids!$D779="","",Bids!$D779)</f>
        <v/>
      </c>
      <c r="T779" s="40" t="str">
        <f>IF(Bids!$F779="","",Bids!$F779)</f>
        <v/>
      </c>
      <c r="U779" s="40" t="str">
        <f t="shared" si="3"/>
        <v/>
      </c>
      <c r="V779" s="40" t="str">
        <f>IF($U779="","",IF(Config!$B$17=Config!$B$16,IF($U779&gt;=Config!$B$17,100,0),MAX(0,MIN(100,($U779-Config!$B$16)/(Config!$B$17-Config!$B$16)*100))))</f>
        <v/>
      </c>
      <c r="W779" s="40">
        <f>IF($L779="Elite",Config!$B$21,0)</f>
        <v>0</v>
      </c>
      <c r="X779" s="40" t="str">
        <f>IFERROR(IF(OR($T779="",$G779=""),"",IF($T779&gt;$G779,
  MAX(0, 60-(($T779-$G779)*24/Config!$B$19)*60),
  MEDIAN(60, 100, 60+(($G779-$T779)*24/Config!$B$20)*40)
)),"")
</f>
        <v/>
      </c>
      <c r="Y779" s="40" t="str">
        <f>IF($J779="","",IFERROR(VLOOKUP($J779,Grinders!$A:$N,10,FALSE),""))</f>
        <v/>
      </c>
      <c r="Z779" s="40" t="str">
        <f>IF($J779="","",IFERROR(VLOOKUP($J779,Grinders!$A:$N,11,FALSE),""))</f>
        <v/>
      </c>
      <c r="AA779" s="40" t="str">
        <f>IF($J779="","",IFERROR(VLOOKUP($J779,Grinders!$A:$N,12,FALSE),""))</f>
        <v/>
      </c>
      <c r="AB779" s="40">
        <f>IFERROR(IF(OR($C779="",$J779=""),0,IF($D779&lt;&gt;"Open",0,IF(COUNTIFS(GrinderServices!$B:$B,$J779,GrinderServices!$C:$C,$E779,GrinderServices!$E:$E,"Y")=0,0,IF($U779&lt;Config!$B$16,0,IF(Config!$B$18=1,IF($N779&gt;=$M779,0,1),1))))),"")</f>
        <v>0</v>
      </c>
      <c r="AC779" s="40" t="str">
        <f>IFERROR(IF($AB779=0,"",((Config!$B$6*$V779 + Config!$B$7*$R779 + Config!$B$8*$W779 + Config!$B$9*$X779 + Config!$B$10*$Y779 + Config!$B$11*$Z779 - Config!$B$12*$AA779)/Config!$B$13)+$AH779+$AI779),"")</f>
        <v/>
      </c>
      <c r="AD779" s="40" t="str">
        <f t="shared" si="4"/>
        <v/>
      </c>
      <c r="AE779" s="40" t="str">
        <f>IFERROR(__xludf.DUMMYFUNCTION("IF($AC779="""","""",IF($AC779=IFERROR(MAX(FILTER($AC$6:$AC$1000,$C$6:$C$1000=$C779,$AB$6:$AB$1000=1)),),""WINNER"",""""))"),"")</f>
        <v/>
      </c>
      <c r="AF779" s="40" t="str">
        <f t="shared" si="5"/>
        <v/>
      </c>
      <c r="AG779" s="40" t="str">
        <f>IF($J779="","",COUNTIF(Assignments!$B:$B,$J779))</f>
        <v/>
      </c>
      <c r="AH779" s="40" t="str">
        <f>IF($J779="","",IF(AND($AG779=0,$N779&lt;$M779),Config!$B$43,0))</f>
        <v/>
      </c>
      <c r="AI779" s="40" t="str">
        <f>IF($J779="","",IF(AND($L779="Elite",$F779&gt;=Config!$B$41,$N779&lt;$M779),Config!$B$42,0))</f>
        <v/>
      </c>
      <c r="AJ779" s="22"/>
    </row>
    <row r="780" ht="15.75" customHeight="1">
      <c r="A780" s="40" t="str">
        <f t="shared" si="1"/>
        <v/>
      </c>
      <c r="B780" s="40" t="str">
        <f>IF(Bids!$A780="","",Bids!$A780)</f>
        <v/>
      </c>
      <c r="C780" s="40" t="str">
        <f>IF(Bids!$B780="","",Bids!$B780)</f>
        <v/>
      </c>
      <c r="D780" s="40" t="str">
        <f>IF($C780="","",IFERROR(VLOOKUP($C780,Orders!$A:$J,9,FALSE),""))</f>
        <v/>
      </c>
      <c r="E780" s="40" t="str">
        <f>IF($C780="","",IFERROR(VLOOKUP($C780,Orders!$A:$J,3,FALSE),""))</f>
        <v/>
      </c>
      <c r="F780" s="40" t="str">
        <f>IF($C780="","",IFERROR(VLOOKUP($C780,Orders!$A:$J,4,FALSE),""))</f>
        <v/>
      </c>
      <c r="G780" s="40" t="str">
        <f>IF($C780="","",IFERROR(VLOOKUP($C780,Orders!$A:$J,5,FALSE),""))</f>
        <v/>
      </c>
      <c r="H780" s="40" t="str">
        <f>IF($C780="","",IFERROR(VLOOKUP($C780,Orders!$A:$J,6,FALSE),""))</f>
        <v/>
      </c>
      <c r="I780" s="40" t="str">
        <f>IF($C780="","",IFERROR(VLOOKUP($C780,Orders!$A:$J,7,FALSE),""))</f>
        <v/>
      </c>
      <c r="J780" s="40" t="str">
        <f>IF(Bids!$C780="","",Bids!$C780)</f>
        <v/>
      </c>
      <c r="K780" s="40" t="str">
        <f>IF($J780="","",IFERROR(VLOOKUP($J780,Grinders!$A:$N,2,FALSE),""))</f>
        <v/>
      </c>
      <c r="L780" s="40" t="str">
        <f>IF($J780="","",IFERROR(VLOOKUP($J780,Grinders!$A:$N,3,FALSE),""))</f>
        <v/>
      </c>
      <c r="M780" s="40" t="str">
        <f>IF($J780="","",IFERROR(VLOOKUP($J780,Grinders!$A:$N,4,FALSE),""))</f>
        <v/>
      </c>
      <c r="N780" s="40" t="str">
        <f>IF($J780="","",IFERROR(VLOOKUP($J780,Grinders!$A:$N,5,FALSE),""))</f>
        <v/>
      </c>
      <c r="O780" s="40" t="str">
        <f t="shared" si="2"/>
        <v/>
      </c>
      <c r="P780" s="40" t="str">
        <f>IF($J780="","",IFERROR(VLOOKUP($J780,Grinders!$A:$N,6,FALSE),""))</f>
        <v/>
      </c>
      <c r="Q780" s="40" t="str">
        <f>IF($J780="","",IFERROR(VLOOKUP($J780,Grinders!$A:$N,8,FALSE),""))</f>
        <v/>
      </c>
      <c r="R780" s="40" t="str">
        <f>IFERROR(IF($J780="","",IF($L780="Elite",MAX(50,MIN(100,Config!$B$27*MAX(0,MIN(100,(1-IF($O780="",0,$O780))*100)) + Config!$B$28*MAX(0,MIN(100,(1-MIN(1,IF(Config!$B$30=0,1,$P780/Config!$B$30)))*100)) + Config!$B$29*MAX(0,MIN(100,MIN(1,IF($Q780="",0,$Q780)/Config!$B$23)*100)))),MIN(100,Config!$B$27*MAX(0,MIN(100,(1-IF($O780="",0,$O780))*100)) + Config!$B$28*MAX(0,MIN(100,(1-MIN(1,IF(Config!$B$30=0,1,$P780/Config!$B$30)))*100)) + Config!$B$29*MAX(0,MIN(100,MIN(1,IF($Q780="",0,$Q780)/Config!$B$23)*100))))),"")
</f>
        <v/>
      </c>
      <c r="S780" s="40" t="str">
        <f>IF(Bids!$D780="","",Bids!$D780)</f>
        <v/>
      </c>
      <c r="T780" s="40" t="str">
        <f>IF(Bids!$F780="","",Bids!$F780)</f>
        <v/>
      </c>
      <c r="U780" s="40" t="str">
        <f t="shared" si="3"/>
        <v/>
      </c>
      <c r="V780" s="40" t="str">
        <f>IF($U780="","",IF(Config!$B$17=Config!$B$16,IF($U780&gt;=Config!$B$17,100,0),MAX(0,MIN(100,($U780-Config!$B$16)/(Config!$B$17-Config!$B$16)*100))))</f>
        <v/>
      </c>
      <c r="W780" s="40">
        <f>IF($L780="Elite",Config!$B$21,0)</f>
        <v>0</v>
      </c>
      <c r="X780" s="40" t="str">
        <f>IFERROR(IF(OR($T780="",$G780=""),"",IF($T780&gt;$G780,
  MAX(0, 60-(($T780-$G780)*24/Config!$B$19)*60),
  MEDIAN(60, 100, 60+(($G780-$T780)*24/Config!$B$20)*40)
)),"")
</f>
        <v/>
      </c>
      <c r="Y780" s="40" t="str">
        <f>IF($J780="","",IFERROR(VLOOKUP($J780,Grinders!$A:$N,10,FALSE),""))</f>
        <v/>
      </c>
      <c r="Z780" s="40" t="str">
        <f>IF($J780="","",IFERROR(VLOOKUP($J780,Grinders!$A:$N,11,FALSE),""))</f>
        <v/>
      </c>
      <c r="AA780" s="40" t="str">
        <f>IF($J780="","",IFERROR(VLOOKUP($J780,Grinders!$A:$N,12,FALSE),""))</f>
        <v/>
      </c>
      <c r="AB780" s="40">
        <f>IFERROR(IF(OR($C780="",$J780=""),0,IF($D780&lt;&gt;"Open",0,IF(COUNTIFS(GrinderServices!$B:$B,$J780,GrinderServices!$C:$C,$E780,GrinderServices!$E:$E,"Y")=0,0,IF($U780&lt;Config!$B$16,0,IF(Config!$B$18=1,IF($N780&gt;=$M780,0,1),1))))),"")</f>
        <v>0</v>
      </c>
      <c r="AC780" s="40" t="str">
        <f>IFERROR(IF($AB780=0,"",((Config!$B$6*$V780 + Config!$B$7*$R780 + Config!$B$8*$W780 + Config!$B$9*$X780 + Config!$B$10*$Y780 + Config!$B$11*$Z780 - Config!$B$12*$AA780)/Config!$B$13)+$AH780+$AI780),"")</f>
        <v/>
      </c>
      <c r="AD780" s="40" t="str">
        <f t="shared" si="4"/>
        <v/>
      </c>
      <c r="AE780" s="40" t="str">
        <f>IFERROR(__xludf.DUMMYFUNCTION("IF($AC780="""","""",IF($AC780=IFERROR(MAX(FILTER($AC$6:$AC$1000,$C$6:$C$1000=$C780,$AB$6:$AB$1000=1)),),""WINNER"",""""))"),"")</f>
        <v/>
      </c>
      <c r="AF780" s="40" t="str">
        <f t="shared" si="5"/>
        <v/>
      </c>
      <c r="AG780" s="40" t="str">
        <f>IF($J780="","",COUNTIF(Assignments!$B:$B,$J780))</f>
        <v/>
      </c>
      <c r="AH780" s="40" t="str">
        <f>IF($J780="","",IF(AND($AG780=0,$N780&lt;$M780),Config!$B$43,0))</f>
        <v/>
      </c>
      <c r="AI780" s="40" t="str">
        <f>IF($J780="","",IF(AND($L780="Elite",$F780&gt;=Config!$B$41,$N780&lt;$M780),Config!$B$42,0))</f>
        <v/>
      </c>
      <c r="AJ780" s="22"/>
    </row>
    <row r="781" ht="15.75" customHeight="1">
      <c r="A781" s="40" t="str">
        <f t="shared" si="1"/>
        <v/>
      </c>
      <c r="B781" s="40" t="str">
        <f>IF(Bids!$A781="","",Bids!$A781)</f>
        <v/>
      </c>
      <c r="C781" s="40" t="str">
        <f>IF(Bids!$B781="","",Bids!$B781)</f>
        <v/>
      </c>
      <c r="D781" s="40" t="str">
        <f>IF($C781="","",IFERROR(VLOOKUP($C781,Orders!$A:$J,9,FALSE),""))</f>
        <v/>
      </c>
      <c r="E781" s="40" t="str">
        <f>IF($C781="","",IFERROR(VLOOKUP($C781,Orders!$A:$J,3,FALSE),""))</f>
        <v/>
      </c>
      <c r="F781" s="40" t="str">
        <f>IF($C781="","",IFERROR(VLOOKUP($C781,Orders!$A:$J,4,FALSE),""))</f>
        <v/>
      </c>
      <c r="G781" s="40" t="str">
        <f>IF($C781="","",IFERROR(VLOOKUP($C781,Orders!$A:$J,5,FALSE),""))</f>
        <v/>
      </c>
      <c r="H781" s="40" t="str">
        <f>IF($C781="","",IFERROR(VLOOKUP($C781,Orders!$A:$J,6,FALSE),""))</f>
        <v/>
      </c>
      <c r="I781" s="40" t="str">
        <f>IF($C781="","",IFERROR(VLOOKUP($C781,Orders!$A:$J,7,FALSE),""))</f>
        <v/>
      </c>
      <c r="J781" s="40" t="str">
        <f>IF(Bids!$C781="","",Bids!$C781)</f>
        <v/>
      </c>
      <c r="K781" s="40" t="str">
        <f>IF($J781="","",IFERROR(VLOOKUP($J781,Grinders!$A:$N,2,FALSE),""))</f>
        <v/>
      </c>
      <c r="L781" s="40" t="str">
        <f>IF($J781="","",IFERROR(VLOOKUP($J781,Grinders!$A:$N,3,FALSE),""))</f>
        <v/>
      </c>
      <c r="M781" s="40" t="str">
        <f>IF($J781="","",IFERROR(VLOOKUP($J781,Grinders!$A:$N,4,FALSE),""))</f>
        <v/>
      </c>
      <c r="N781" s="40" t="str">
        <f>IF($J781="","",IFERROR(VLOOKUP($J781,Grinders!$A:$N,5,FALSE),""))</f>
        <v/>
      </c>
      <c r="O781" s="40" t="str">
        <f t="shared" si="2"/>
        <v/>
      </c>
      <c r="P781" s="40" t="str">
        <f>IF($J781="","",IFERROR(VLOOKUP($J781,Grinders!$A:$N,6,FALSE),""))</f>
        <v/>
      </c>
      <c r="Q781" s="40" t="str">
        <f>IF($J781="","",IFERROR(VLOOKUP($J781,Grinders!$A:$N,8,FALSE),""))</f>
        <v/>
      </c>
      <c r="R781" s="40" t="str">
        <f>IFERROR(IF($J781="","",IF($L781="Elite",MAX(50,MIN(100,Config!$B$27*MAX(0,MIN(100,(1-IF($O781="",0,$O781))*100)) + Config!$B$28*MAX(0,MIN(100,(1-MIN(1,IF(Config!$B$30=0,1,$P781/Config!$B$30)))*100)) + Config!$B$29*MAX(0,MIN(100,MIN(1,IF($Q781="",0,$Q781)/Config!$B$23)*100)))),MIN(100,Config!$B$27*MAX(0,MIN(100,(1-IF($O781="",0,$O781))*100)) + Config!$B$28*MAX(0,MIN(100,(1-MIN(1,IF(Config!$B$30=0,1,$P781/Config!$B$30)))*100)) + Config!$B$29*MAX(0,MIN(100,MIN(1,IF($Q781="",0,$Q781)/Config!$B$23)*100))))),"")
</f>
        <v/>
      </c>
      <c r="S781" s="40" t="str">
        <f>IF(Bids!$D781="","",Bids!$D781)</f>
        <v/>
      </c>
      <c r="T781" s="40" t="str">
        <f>IF(Bids!$F781="","",Bids!$F781)</f>
        <v/>
      </c>
      <c r="U781" s="40" t="str">
        <f t="shared" si="3"/>
        <v/>
      </c>
      <c r="V781" s="40" t="str">
        <f>IF($U781="","",IF(Config!$B$17=Config!$B$16,IF($U781&gt;=Config!$B$17,100,0),MAX(0,MIN(100,($U781-Config!$B$16)/(Config!$B$17-Config!$B$16)*100))))</f>
        <v/>
      </c>
      <c r="W781" s="40">
        <f>IF($L781="Elite",Config!$B$21,0)</f>
        <v>0</v>
      </c>
      <c r="X781" s="40" t="str">
        <f>IFERROR(IF(OR($T781="",$G781=""),"",IF($T781&gt;$G781,
  MAX(0, 60-(($T781-$G781)*24/Config!$B$19)*60),
  MEDIAN(60, 100, 60+(($G781-$T781)*24/Config!$B$20)*40)
)),"")
</f>
        <v/>
      </c>
      <c r="Y781" s="40" t="str">
        <f>IF($J781="","",IFERROR(VLOOKUP($J781,Grinders!$A:$N,10,FALSE),""))</f>
        <v/>
      </c>
      <c r="Z781" s="40" t="str">
        <f>IF($J781="","",IFERROR(VLOOKUP($J781,Grinders!$A:$N,11,FALSE),""))</f>
        <v/>
      </c>
      <c r="AA781" s="40" t="str">
        <f>IF($J781="","",IFERROR(VLOOKUP($J781,Grinders!$A:$N,12,FALSE),""))</f>
        <v/>
      </c>
      <c r="AB781" s="40">
        <f>IFERROR(IF(OR($C781="",$J781=""),0,IF($D781&lt;&gt;"Open",0,IF(COUNTIFS(GrinderServices!$B:$B,$J781,GrinderServices!$C:$C,$E781,GrinderServices!$E:$E,"Y")=0,0,IF($U781&lt;Config!$B$16,0,IF(Config!$B$18=1,IF($N781&gt;=$M781,0,1),1))))),"")</f>
        <v>0</v>
      </c>
      <c r="AC781" s="40" t="str">
        <f>IFERROR(IF($AB781=0,"",((Config!$B$6*$V781 + Config!$B$7*$R781 + Config!$B$8*$W781 + Config!$B$9*$X781 + Config!$B$10*$Y781 + Config!$B$11*$Z781 - Config!$B$12*$AA781)/Config!$B$13)+$AH781+$AI781),"")</f>
        <v/>
      </c>
      <c r="AD781" s="40" t="str">
        <f t="shared" si="4"/>
        <v/>
      </c>
      <c r="AE781" s="40" t="str">
        <f>IFERROR(__xludf.DUMMYFUNCTION("IF($AC781="""","""",IF($AC781=IFERROR(MAX(FILTER($AC$6:$AC$1000,$C$6:$C$1000=$C781,$AB$6:$AB$1000=1)),),""WINNER"",""""))"),"")</f>
        <v/>
      </c>
      <c r="AF781" s="40" t="str">
        <f t="shared" si="5"/>
        <v/>
      </c>
      <c r="AG781" s="40" t="str">
        <f>IF($J781="","",COUNTIF(Assignments!$B:$B,$J781))</f>
        <v/>
      </c>
      <c r="AH781" s="40" t="str">
        <f>IF($J781="","",IF(AND($AG781=0,$N781&lt;$M781),Config!$B$43,0))</f>
        <v/>
      </c>
      <c r="AI781" s="40" t="str">
        <f>IF($J781="","",IF(AND($L781="Elite",$F781&gt;=Config!$B$41,$N781&lt;$M781),Config!$B$42,0))</f>
        <v/>
      </c>
      <c r="AJ781" s="22"/>
    </row>
    <row r="782" ht="15.75" customHeight="1">
      <c r="A782" s="40" t="str">
        <f t="shared" si="1"/>
        <v/>
      </c>
      <c r="B782" s="40" t="str">
        <f>IF(Bids!$A782="","",Bids!$A782)</f>
        <v/>
      </c>
      <c r="C782" s="40" t="str">
        <f>IF(Bids!$B782="","",Bids!$B782)</f>
        <v/>
      </c>
      <c r="D782" s="40" t="str">
        <f>IF($C782="","",IFERROR(VLOOKUP($C782,Orders!$A:$J,9,FALSE),""))</f>
        <v/>
      </c>
      <c r="E782" s="40" t="str">
        <f>IF($C782="","",IFERROR(VLOOKUP($C782,Orders!$A:$J,3,FALSE),""))</f>
        <v/>
      </c>
      <c r="F782" s="40" t="str">
        <f>IF($C782="","",IFERROR(VLOOKUP($C782,Orders!$A:$J,4,FALSE),""))</f>
        <v/>
      </c>
      <c r="G782" s="40" t="str">
        <f>IF($C782="","",IFERROR(VLOOKUP($C782,Orders!$A:$J,5,FALSE),""))</f>
        <v/>
      </c>
      <c r="H782" s="40" t="str">
        <f>IF($C782="","",IFERROR(VLOOKUP($C782,Orders!$A:$J,6,FALSE),""))</f>
        <v/>
      </c>
      <c r="I782" s="40" t="str">
        <f>IF($C782="","",IFERROR(VLOOKUP($C782,Orders!$A:$J,7,FALSE),""))</f>
        <v/>
      </c>
      <c r="J782" s="40" t="str">
        <f>IF(Bids!$C782="","",Bids!$C782)</f>
        <v/>
      </c>
      <c r="K782" s="40" t="str">
        <f>IF($J782="","",IFERROR(VLOOKUP($J782,Grinders!$A:$N,2,FALSE),""))</f>
        <v/>
      </c>
      <c r="L782" s="40" t="str">
        <f>IF($J782="","",IFERROR(VLOOKUP($J782,Grinders!$A:$N,3,FALSE),""))</f>
        <v/>
      </c>
      <c r="M782" s="40" t="str">
        <f>IF($J782="","",IFERROR(VLOOKUP($J782,Grinders!$A:$N,4,FALSE),""))</f>
        <v/>
      </c>
      <c r="N782" s="40" t="str">
        <f>IF($J782="","",IFERROR(VLOOKUP($J782,Grinders!$A:$N,5,FALSE),""))</f>
        <v/>
      </c>
      <c r="O782" s="40" t="str">
        <f t="shared" si="2"/>
        <v/>
      </c>
      <c r="P782" s="40" t="str">
        <f>IF($J782="","",IFERROR(VLOOKUP($J782,Grinders!$A:$N,6,FALSE),""))</f>
        <v/>
      </c>
      <c r="Q782" s="40" t="str">
        <f>IF($J782="","",IFERROR(VLOOKUP($J782,Grinders!$A:$N,8,FALSE),""))</f>
        <v/>
      </c>
      <c r="R782" s="40" t="str">
        <f>IFERROR(IF($J782="","",IF($L782="Elite",MAX(50,MIN(100,Config!$B$27*MAX(0,MIN(100,(1-IF($O782="",0,$O782))*100)) + Config!$B$28*MAX(0,MIN(100,(1-MIN(1,IF(Config!$B$30=0,1,$P782/Config!$B$30)))*100)) + Config!$B$29*MAX(0,MIN(100,MIN(1,IF($Q782="",0,$Q782)/Config!$B$23)*100)))),MIN(100,Config!$B$27*MAX(0,MIN(100,(1-IF($O782="",0,$O782))*100)) + Config!$B$28*MAX(0,MIN(100,(1-MIN(1,IF(Config!$B$30=0,1,$P782/Config!$B$30)))*100)) + Config!$B$29*MAX(0,MIN(100,MIN(1,IF($Q782="",0,$Q782)/Config!$B$23)*100))))),"")
</f>
        <v/>
      </c>
      <c r="S782" s="40" t="str">
        <f>IF(Bids!$D782="","",Bids!$D782)</f>
        <v/>
      </c>
      <c r="T782" s="40" t="str">
        <f>IF(Bids!$F782="","",Bids!$F782)</f>
        <v/>
      </c>
      <c r="U782" s="40" t="str">
        <f t="shared" si="3"/>
        <v/>
      </c>
      <c r="V782" s="40" t="str">
        <f>IF($U782="","",IF(Config!$B$17=Config!$B$16,IF($U782&gt;=Config!$B$17,100,0),MAX(0,MIN(100,($U782-Config!$B$16)/(Config!$B$17-Config!$B$16)*100))))</f>
        <v/>
      </c>
      <c r="W782" s="40">
        <f>IF($L782="Elite",Config!$B$21,0)</f>
        <v>0</v>
      </c>
      <c r="X782" s="40" t="str">
        <f>IFERROR(IF(OR($T782="",$G782=""),"",IF($T782&gt;$G782,
  MAX(0, 60-(($T782-$G782)*24/Config!$B$19)*60),
  MEDIAN(60, 100, 60+(($G782-$T782)*24/Config!$B$20)*40)
)),"")
</f>
        <v/>
      </c>
      <c r="Y782" s="40" t="str">
        <f>IF($J782="","",IFERROR(VLOOKUP($J782,Grinders!$A:$N,10,FALSE),""))</f>
        <v/>
      </c>
      <c r="Z782" s="40" t="str">
        <f>IF($J782="","",IFERROR(VLOOKUP($J782,Grinders!$A:$N,11,FALSE),""))</f>
        <v/>
      </c>
      <c r="AA782" s="40" t="str">
        <f>IF($J782="","",IFERROR(VLOOKUP($J782,Grinders!$A:$N,12,FALSE),""))</f>
        <v/>
      </c>
      <c r="AB782" s="40">
        <f>IFERROR(IF(OR($C782="",$J782=""),0,IF($D782&lt;&gt;"Open",0,IF(COUNTIFS(GrinderServices!$B:$B,$J782,GrinderServices!$C:$C,$E782,GrinderServices!$E:$E,"Y")=0,0,IF($U782&lt;Config!$B$16,0,IF(Config!$B$18=1,IF($N782&gt;=$M782,0,1),1))))),"")</f>
        <v>0</v>
      </c>
      <c r="AC782" s="40" t="str">
        <f>IFERROR(IF($AB782=0,"",((Config!$B$6*$V782 + Config!$B$7*$R782 + Config!$B$8*$W782 + Config!$B$9*$X782 + Config!$B$10*$Y782 + Config!$B$11*$Z782 - Config!$B$12*$AA782)/Config!$B$13)+$AH782+$AI782),"")</f>
        <v/>
      </c>
      <c r="AD782" s="40" t="str">
        <f t="shared" si="4"/>
        <v/>
      </c>
      <c r="AE782" s="40" t="str">
        <f>IFERROR(__xludf.DUMMYFUNCTION("IF($AC782="""","""",IF($AC782=IFERROR(MAX(FILTER($AC$6:$AC$1000,$C$6:$C$1000=$C782,$AB$6:$AB$1000=1)),),""WINNER"",""""))"),"")</f>
        <v/>
      </c>
      <c r="AF782" s="40" t="str">
        <f t="shared" si="5"/>
        <v/>
      </c>
      <c r="AG782" s="40" t="str">
        <f>IF($J782="","",COUNTIF(Assignments!$B:$B,$J782))</f>
        <v/>
      </c>
      <c r="AH782" s="40" t="str">
        <f>IF($J782="","",IF(AND($AG782=0,$N782&lt;$M782),Config!$B$43,0))</f>
        <v/>
      </c>
      <c r="AI782" s="40" t="str">
        <f>IF($J782="","",IF(AND($L782="Elite",$F782&gt;=Config!$B$41,$N782&lt;$M782),Config!$B$42,0))</f>
        <v/>
      </c>
      <c r="AJ782" s="22"/>
    </row>
    <row r="783" ht="15.75" customHeight="1">
      <c r="A783" s="40" t="str">
        <f t="shared" si="1"/>
        <v/>
      </c>
      <c r="B783" s="40" t="str">
        <f>IF(Bids!$A783="","",Bids!$A783)</f>
        <v/>
      </c>
      <c r="C783" s="40" t="str">
        <f>IF(Bids!$B783="","",Bids!$B783)</f>
        <v/>
      </c>
      <c r="D783" s="40" t="str">
        <f>IF($C783="","",IFERROR(VLOOKUP($C783,Orders!$A:$J,9,FALSE),""))</f>
        <v/>
      </c>
      <c r="E783" s="40" t="str">
        <f>IF($C783="","",IFERROR(VLOOKUP($C783,Orders!$A:$J,3,FALSE),""))</f>
        <v/>
      </c>
      <c r="F783" s="40" t="str">
        <f>IF($C783="","",IFERROR(VLOOKUP($C783,Orders!$A:$J,4,FALSE),""))</f>
        <v/>
      </c>
      <c r="G783" s="40" t="str">
        <f>IF($C783="","",IFERROR(VLOOKUP($C783,Orders!$A:$J,5,FALSE),""))</f>
        <v/>
      </c>
      <c r="H783" s="40" t="str">
        <f>IF($C783="","",IFERROR(VLOOKUP($C783,Orders!$A:$J,6,FALSE),""))</f>
        <v/>
      </c>
      <c r="I783" s="40" t="str">
        <f>IF($C783="","",IFERROR(VLOOKUP($C783,Orders!$A:$J,7,FALSE),""))</f>
        <v/>
      </c>
      <c r="J783" s="40" t="str">
        <f>IF(Bids!$C783="","",Bids!$C783)</f>
        <v/>
      </c>
      <c r="K783" s="40" t="str">
        <f>IF($J783="","",IFERROR(VLOOKUP($J783,Grinders!$A:$N,2,FALSE),""))</f>
        <v/>
      </c>
      <c r="L783" s="40" t="str">
        <f>IF($J783="","",IFERROR(VLOOKUP($J783,Grinders!$A:$N,3,FALSE),""))</f>
        <v/>
      </c>
      <c r="M783" s="40" t="str">
        <f>IF($J783="","",IFERROR(VLOOKUP($J783,Grinders!$A:$N,4,FALSE),""))</f>
        <v/>
      </c>
      <c r="N783" s="40" t="str">
        <f>IF($J783="","",IFERROR(VLOOKUP($J783,Grinders!$A:$N,5,FALSE),""))</f>
        <v/>
      </c>
      <c r="O783" s="40" t="str">
        <f t="shared" si="2"/>
        <v/>
      </c>
      <c r="P783" s="40" t="str">
        <f>IF($J783="","",IFERROR(VLOOKUP($J783,Grinders!$A:$N,6,FALSE),""))</f>
        <v/>
      </c>
      <c r="Q783" s="40" t="str">
        <f>IF($J783="","",IFERROR(VLOOKUP($J783,Grinders!$A:$N,8,FALSE),""))</f>
        <v/>
      </c>
      <c r="R783" s="40" t="str">
        <f>IFERROR(IF($J783="","",IF($L783="Elite",MAX(50,MIN(100,Config!$B$27*MAX(0,MIN(100,(1-IF($O783="",0,$O783))*100)) + Config!$B$28*MAX(0,MIN(100,(1-MIN(1,IF(Config!$B$30=0,1,$P783/Config!$B$30)))*100)) + Config!$B$29*MAX(0,MIN(100,MIN(1,IF($Q783="",0,$Q783)/Config!$B$23)*100)))),MIN(100,Config!$B$27*MAX(0,MIN(100,(1-IF($O783="",0,$O783))*100)) + Config!$B$28*MAX(0,MIN(100,(1-MIN(1,IF(Config!$B$30=0,1,$P783/Config!$B$30)))*100)) + Config!$B$29*MAX(0,MIN(100,MIN(1,IF($Q783="",0,$Q783)/Config!$B$23)*100))))),"")
</f>
        <v/>
      </c>
      <c r="S783" s="40" t="str">
        <f>IF(Bids!$D783="","",Bids!$D783)</f>
        <v/>
      </c>
      <c r="T783" s="40" t="str">
        <f>IF(Bids!$F783="","",Bids!$F783)</f>
        <v/>
      </c>
      <c r="U783" s="40" t="str">
        <f t="shared" si="3"/>
        <v/>
      </c>
      <c r="V783" s="40" t="str">
        <f>IF($U783="","",IF(Config!$B$17=Config!$B$16,IF($U783&gt;=Config!$B$17,100,0),MAX(0,MIN(100,($U783-Config!$B$16)/(Config!$B$17-Config!$B$16)*100))))</f>
        <v/>
      </c>
      <c r="W783" s="40">
        <f>IF($L783="Elite",Config!$B$21,0)</f>
        <v>0</v>
      </c>
      <c r="X783" s="40" t="str">
        <f>IFERROR(IF(OR($T783="",$G783=""),"",IF($T783&gt;$G783,
  MAX(0, 60-(($T783-$G783)*24/Config!$B$19)*60),
  MEDIAN(60, 100, 60+(($G783-$T783)*24/Config!$B$20)*40)
)),"")
</f>
        <v/>
      </c>
      <c r="Y783" s="40" t="str">
        <f>IF($J783="","",IFERROR(VLOOKUP($J783,Grinders!$A:$N,10,FALSE),""))</f>
        <v/>
      </c>
      <c r="Z783" s="40" t="str">
        <f>IF($J783="","",IFERROR(VLOOKUP($J783,Grinders!$A:$N,11,FALSE),""))</f>
        <v/>
      </c>
      <c r="AA783" s="40" t="str">
        <f>IF($J783="","",IFERROR(VLOOKUP($J783,Grinders!$A:$N,12,FALSE),""))</f>
        <v/>
      </c>
      <c r="AB783" s="40">
        <f>IFERROR(IF(OR($C783="",$J783=""),0,IF($D783&lt;&gt;"Open",0,IF(COUNTIFS(GrinderServices!$B:$B,$J783,GrinderServices!$C:$C,$E783,GrinderServices!$E:$E,"Y")=0,0,IF($U783&lt;Config!$B$16,0,IF(Config!$B$18=1,IF($N783&gt;=$M783,0,1),1))))),"")</f>
        <v>0</v>
      </c>
      <c r="AC783" s="40" t="str">
        <f>IFERROR(IF($AB783=0,"",((Config!$B$6*$V783 + Config!$B$7*$R783 + Config!$B$8*$W783 + Config!$B$9*$X783 + Config!$B$10*$Y783 + Config!$B$11*$Z783 - Config!$B$12*$AA783)/Config!$B$13)+$AH783+$AI783),"")</f>
        <v/>
      </c>
      <c r="AD783" s="40" t="str">
        <f t="shared" si="4"/>
        <v/>
      </c>
      <c r="AE783" s="40" t="str">
        <f>IFERROR(__xludf.DUMMYFUNCTION("IF($AC783="""","""",IF($AC783=IFERROR(MAX(FILTER($AC$6:$AC$1000,$C$6:$C$1000=$C783,$AB$6:$AB$1000=1)),),""WINNER"",""""))"),"")</f>
        <v/>
      </c>
      <c r="AF783" s="40" t="str">
        <f t="shared" si="5"/>
        <v/>
      </c>
      <c r="AG783" s="40" t="str">
        <f>IF($J783="","",COUNTIF(Assignments!$B:$B,$J783))</f>
        <v/>
      </c>
      <c r="AH783" s="40" t="str">
        <f>IF($J783="","",IF(AND($AG783=0,$N783&lt;$M783),Config!$B$43,0))</f>
        <v/>
      </c>
      <c r="AI783" s="40" t="str">
        <f>IF($J783="","",IF(AND($L783="Elite",$F783&gt;=Config!$B$41,$N783&lt;$M783),Config!$B$42,0))</f>
        <v/>
      </c>
      <c r="AJ783" s="22"/>
    </row>
    <row r="784" ht="15.75" customHeight="1">
      <c r="A784" s="40" t="str">
        <f t="shared" si="1"/>
        <v/>
      </c>
      <c r="B784" s="40" t="str">
        <f>IF(Bids!$A784="","",Bids!$A784)</f>
        <v/>
      </c>
      <c r="C784" s="40" t="str">
        <f>IF(Bids!$B784="","",Bids!$B784)</f>
        <v/>
      </c>
      <c r="D784" s="40" t="str">
        <f>IF($C784="","",IFERROR(VLOOKUP($C784,Orders!$A:$J,9,FALSE),""))</f>
        <v/>
      </c>
      <c r="E784" s="40" t="str">
        <f>IF($C784="","",IFERROR(VLOOKUP($C784,Orders!$A:$J,3,FALSE),""))</f>
        <v/>
      </c>
      <c r="F784" s="40" t="str">
        <f>IF($C784="","",IFERROR(VLOOKUP($C784,Orders!$A:$J,4,FALSE),""))</f>
        <v/>
      </c>
      <c r="G784" s="40" t="str">
        <f>IF($C784="","",IFERROR(VLOOKUP($C784,Orders!$A:$J,5,FALSE),""))</f>
        <v/>
      </c>
      <c r="H784" s="40" t="str">
        <f>IF($C784="","",IFERROR(VLOOKUP($C784,Orders!$A:$J,6,FALSE),""))</f>
        <v/>
      </c>
      <c r="I784" s="40" t="str">
        <f>IF($C784="","",IFERROR(VLOOKUP($C784,Orders!$A:$J,7,FALSE),""))</f>
        <v/>
      </c>
      <c r="J784" s="40" t="str">
        <f>IF(Bids!$C784="","",Bids!$C784)</f>
        <v/>
      </c>
      <c r="K784" s="40" t="str">
        <f>IF($J784="","",IFERROR(VLOOKUP($J784,Grinders!$A:$N,2,FALSE),""))</f>
        <v/>
      </c>
      <c r="L784" s="40" t="str">
        <f>IF($J784="","",IFERROR(VLOOKUP($J784,Grinders!$A:$N,3,FALSE),""))</f>
        <v/>
      </c>
      <c r="M784" s="40" t="str">
        <f>IF($J784="","",IFERROR(VLOOKUP($J784,Grinders!$A:$N,4,FALSE),""))</f>
        <v/>
      </c>
      <c r="N784" s="40" t="str">
        <f>IF($J784="","",IFERROR(VLOOKUP($J784,Grinders!$A:$N,5,FALSE),""))</f>
        <v/>
      </c>
      <c r="O784" s="40" t="str">
        <f t="shared" si="2"/>
        <v/>
      </c>
      <c r="P784" s="40" t="str">
        <f>IF($J784="","",IFERROR(VLOOKUP($J784,Grinders!$A:$N,6,FALSE),""))</f>
        <v/>
      </c>
      <c r="Q784" s="40" t="str">
        <f>IF($J784="","",IFERROR(VLOOKUP($J784,Grinders!$A:$N,8,FALSE),""))</f>
        <v/>
      </c>
      <c r="R784" s="40" t="str">
        <f>IFERROR(IF($J784="","",IF($L784="Elite",MAX(50,MIN(100,Config!$B$27*MAX(0,MIN(100,(1-IF($O784="",0,$O784))*100)) + Config!$B$28*MAX(0,MIN(100,(1-MIN(1,IF(Config!$B$30=0,1,$P784/Config!$B$30)))*100)) + Config!$B$29*MAX(0,MIN(100,MIN(1,IF($Q784="",0,$Q784)/Config!$B$23)*100)))),MIN(100,Config!$B$27*MAX(0,MIN(100,(1-IF($O784="",0,$O784))*100)) + Config!$B$28*MAX(0,MIN(100,(1-MIN(1,IF(Config!$B$30=0,1,$P784/Config!$B$30)))*100)) + Config!$B$29*MAX(0,MIN(100,MIN(1,IF($Q784="",0,$Q784)/Config!$B$23)*100))))),"")
</f>
        <v/>
      </c>
      <c r="S784" s="40" t="str">
        <f>IF(Bids!$D784="","",Bids!$D784)</f>
        <v/>
      </c>
      <c r="T784" s="40" t="str">
        <f>IF(Bids!$F784="","",Bids!$F784)</f>
        <v/>
      </c>
      <c r="U784" s="40" t="str">
        <f t="shared" si="3"/>
        <v/>
      </c>
      <c r="V784" s="40" t="str">
        <f>IF($U784="","",IF(Config!$B$17=Config!$B$16,IF($U784&gt;=Config!$B$17,100,0),MAX(0,MIN(100,($U784-Config!$B$16)/(Config!$B$17-Config!$B$16)*100))))</f>
        <v/>
      </c>
      <c r="W784" s="40">
        <f>IF($L784="Elite",Config!$B$21,0)</f>
        <v>0</v>
      </c>
      <c r="X784" s="40" t="str">
        <f>IFERROR(IF(OR($T784="",$G784=""),"",IF($T784&gt;$G784,
  MAX(0, 60-(($T784-$G784)*24/Config!$B$19)*60),
  MEDIAN(60, 100, 60+(($G784-$T784)*24/Config!$B$20)*40)
)),"")
</f>
        <v/>
      </c>
      <c r="Y784" s="40" t="str">
        <f>IF($J784="","",IFERROR(VLOOKUP($J784,Grinders!$A:$N,10,FALSE),""))</f>
        <v/>
      </c>
      <c r="Z784" s="40" t="str">
        <f>IF($J784="","",IFERROR(VLOOKUP($J784,Grinders!$A:$N,11,FALSE),""))</f>
        <v/>
      </c>
      <c r="AA784" s="40" t="str">
        <f>IF($J784="","",IFERROR(VLOOKUP($J784,Grinders!$A:$N,12,FALSE),""))</f>
        <v/>
      </c>
      <c r="AB784" s="40">
        <f>IFERROR(IF(OR($C784="",$J784=""),0,IF($D784&lt;&gt;"Open",0,IF(COUNTIFS(GrinderServices!$B:$B,$J784,GrinderServices!$C:$C,$E784,GrinderServices!$E:$E,"Y")=0,0,IF($U784&lt;Config!$B$16,0,IF(Config!$B$18=1,IF($N784&gt;=$M784,0,1),1))))),"")</f>
        <v>0</v>
      </c>
      <c r="AC784" s="40" t="str">
        <f>IFERROR(IF($AB784=0,"",((Config!$B$6*$V784 + Config!$B$7*$R784 + Config!$B$8*$W784 + Config!$B$9*$X784 + Config!$B$10*$Y784 + Config!$B$11*$Z784 - Config!$B$12*$AA784)/Config!$B$13)+$AH784+$AI784),"")</f>
        <v/>
      </c>
      <c r="AD784" s="40" t="str">
        <f t="shared" si="4"/>
        <v/>
      </c>
      <c r="AE784" s="40" t="str">
        <f>IFERROR(__xludf.DUMMYFUNCTION("IF($AC784="""","""",IF($AC784=IFERROR(MAX(FILTER($AC$6:$AC$1000,$C$6:$C$1000=$C784,$AB$6:$AB$1000=1)),),""WINNER"",""""))"),"")</f>
        <v/>
      </c>
      <c r="AF784" s="40" t="str">
        <f t="shared" si="5"/>
        <v/>
      </c>
      <c r="AG784" s="40" t="str">
        <f>IF($J784="","",COUNTIF(Assignments!$B:$B,$J784))</f>
        <v/>
      </c>
      <c r="AH784" s="40" t="str">
        <f>IF($J784="","",IF(AND($AG784=0,$N784&lt;$M784),Config!$B$43,0))</f>
        <v/>
      </c>
      <c r="AI784" s="40" t="str">
        <f>IF($J784="","",IF(AND($L784="Elite",$F784&gt;=Config!$B$41,$N784&lt;$M784),Config!$B$42,0))</f>
        <v/>
      </c>
      <c r="AJ784" s="22"/>
    </row>
    <row r="785" ht="15.75" customHeight="1">
      <c r="A785" s="40" t="str">
        <f t="shared" si="1"/>
        <v/>
      </c>
      <c r="B785" s="40" t="str">
        <f>IF(Bids!$A785="","",Bids!$A785)</f>
        <v/>
      </c>
      <c r="C785" s="40" t="str">
        <f>IF(Bids!$B785="","",Bids!$B785)</f>
        <v/>
      </c>
      <c r="D785" s="40" t="str">
        <f>IF($C785="","",IFERROR(VLOOKUP($C785,Orders!$A:$J,9,FALSE),""))</f>
        <v/>
      </c>
      <c r="E785" s="40" t="str">
        <f>IF($C785="","",IFERROR(VLOOKUP($C785,Orders!$A:$J,3,FALSE),""))</f>
        <v/>
      </c>
      <c r="F785" s="40" t="str">
        <f>IF($C785="","",IFERROR(VLOOKUP($C785,Orders!$A:$J,4,FALSE),""))</f>
        <v/>
      </c>
      <c r="G785" s="40" t="str">
        <f>IF($C785="","",IFERROR(VLOOKUP($C785,Orders!$A:$J,5,FALSE),""))</f>
        <v/>
      </c>
      <c r="H785" s="40" t="str">
        <f>IF($C785="","",IFERROR(VLOOKUP($C785,Orders!$A:$J,6,FALSE),""))</f>
        <v/>
      </c>
      <c r="I785" s="40" t="str">
        <f>IF($C785="","",IFERROR(VLOOKUP($C785,Orders!$A:$J,7,FALSE),""))</f>
        <v/>
      </c>
      <c r="J785" s="40" t="str">
        <f>IF(Bids!$C785="","",Bids!$C785)</f>
        <v/>
      </c>
      <c r="K785" s="40" t="str">
        <f>IF($J785="","",IFERROR(VLOOKUP($J785,Grinders!$A:$N,2,FALSE),""))</f>
        <v/>
      </c>
      <c r="L785" s="40" t="str">
        <f>IF($J785="","",IFERROR(VLOOKUP($J785,Grinders!$A:$N,3,FALSE),""))</f>
        <v/>
      </c>
      <c r="M785" s="40" t="str">
        <f>IF($J785="","",IFERROR(VLOOKUP($J785,Grinders!$A:$N,4,FALSE),""))</f>
        <v/>
      </c>
      <c r="N785" s="40" t="str">
        <f>IF($J785="","",IFERROR(VLOOKUP($J785,Grinders!$A:$N,5,FALSE),""))</f>
        <v/>
      </c>
      <c r="O785" s="40" t="str">
        <f t="shared" si="2"/>
        <v/>
      </c>
      <c r="P785" s="40" t="str">
        <f>IF($J785="","",IFERROR(VLOOKUP($J785,Grinders!$A:$N,6,FALSE),""))</f>
        <v/>
      </c>
      <c r="Q785" s="40" t="str">
        <f>IF($J785="","",IFERROR(VLOOKUP($J785,Grinders!$A:$N,8,FALSE),""))</f>
        <v/>
      </c>
      <c r="R785" s="40" t="str">
        <f>IFERROR(IF($J785="","",IF($L785="Elite",MAX(50,MIN(100,Config!$B$27*MAX(0,MIN(100,(1-IF($O785="",0,$O785))*100)) + Config!$B$28*MAX(0,MIN(100,(1-MIN(1,IF(Config!$B$30=0,1,$P785/Config!$B$30)))*100)) + Config!$B$29*MAX(0,MIN(100,MIN(1,IF($Q785="",0,$Q785)/Config!$B$23)*100)))),MIN(100,Config!$B$27*MAX(0,MIN(100,(1-IF($O785="",0,$O785))*100)) + Config!$B$28*MAX(0,MIN(100,(1-MIN(1,IF(Config!$B$30=0,1,$P785/Config!$B$30)))*100)) + Config!$B$29*MAX(0,MIN(100,MIN(1,IF($Q785="",0,$Q785)/Config!$B$23)*100))))),"")
</f>
        <v/>
      </c>
      <c r="S785" s="40" t="str">
        <f>IF(Bids!$D785="","",Bids!$D785)</f>
        <v/>
      </c>
      <c r="T785" s="40" t="str">
        <f>IF(Bids!$F785="","",Bids!$F785)</f>
        <v/>
      </c>
      <c r="U785" s="40" t="str">
        <f t="shared" si="3"/>
        <v/>
      </c>
      <c r="V785" s="40" t="str">
        <f>IF($U785="","",IF(Config!$B$17=Config!$B$16,IF($U785&gt;=Config!$B$17,100,0),MAX(0,MIN(100,($U785-Config!$B$16)/(Config!$B$17-Config!$B$16)*100))))</f>
        <v/>
      </c>
      <c r="W785" s="40">
        <f>IF($L785="Elite",Config!$B$21,0)</f>
        <v>0</v>
      </c>
      <c r="X785" s="40" t="str">
        <f>IFERROR(IF(OR($T785="",$G785=""),"",IF($T785&gt;$G785,
  MAX(0, 60-(($T785-$G785)*24/Config!$B$19)*60),
  MEDIAN(60, 100, 60+(($G785-$T785)*24/Config!$B$20)*40)
)),"")
</f>
        <v/>
      </c>
      <c r="Y785" s="40" t="str">
        <f>IF($J785="","",IFERROR(VLOOKUP($J785,Grinders!$A:$N,10,FALSE),""))</f>
        <v/>
      </c>
      <c r="Z785" s="40" t="str">
        <f>IF($J785="","",IFERROR(VLOOKUP($J785,Grinders!$A:$N,11,FALSE),""))</f>
        <v/>
      </c>
      <c r="AA785" s="40" t="str">
        <f>IF($J785="","",IFERROR(VLOOKUP($J785,Grinders!$A:$N,12,FALSE),""))</f>
        <v/>
      </c>
      <c r="AB785" s="40">
        <f>IFERROR(IF(OR($C785="",$J785=""),0,IF($D785&lt;&gt;"Open",0,IF(COUNTIFS(GrinderServices!$B:$B,$J785,GrinderServices!$C:$C,$E785,GrinderServices!$E:$E,"Y")=0,0,IF($U785&lt;Config!$B$16,0,IF(Config!$B$18=1,IF($N785&gt;=$M785,0,1),1))))),"")</f>
        <v>0</v>
      </c>
      <c r="AC785" s="40" t="str">
        <f>IFERROR(IF($AB785=0,"",((Config!$B$6*$V785 + Config!$B$7*$R785 + Config!$B$8*$W785 + Config!$B$9*$X785 + Config!$B$10*$Y785 + Config!$B$11*$Z785 - Config!$B$12*$AA785)/Config!$B$13)+$AH785+$AI785),"")</f>
        <v/>
      </c>
      <c r="AD785" s="40" t="str">
        <f t="shared" si="4"/>
        <v/>
      </c>
      <c r="AE785" s="40" t="str">
        <f>IFERROR(__xludf.DUMMYFUNCTION("IF($AC785="""","""",IF($AC785=IFERROR(MAX(FILTER($AC$6:$AC$1000,$C$6:$C$1000=$C785,$AB$6:$AB$1000=1)),),""WINNER"",""""))"),"")</f>
        <v/>
      </c>
      <c r="AF785" s="40" t="str">
        <f t="shared" si="5"/>
        <v/>
      </c>
      <c r="AG785" s="40" t="str">
        <f>IF($J785="","",COUNTIF(Assignments!$B:$B,$J785))</f>
        <v/>
      </c>
      <c r="AH785" s="40" t="str">
        <f>IF($J785="","",IF(AND($AG785=0,$N785&lt;$M785),Config!$B$43,0))</f>
        <v/>
      </c>
      <c r="AI785" s="40" t="str">
        <f>IF($J785="","",IF(AND($L785="Elite",$F785&gt;=Config!$B$41,$N785&lt;$M785),Config!$B$42,0))</f>
        <v/>
      </c>
      <c r="AJ785" s="22"/>
    </row>
    <row r="786" ht="15.75" customHeight="1">
      <c r="A786" s="40" t="str">
        <f t="shared" si="1"/>
        <v/>
      </c>
      <c r="B786" s="40" t="str">
        <f>IF(Bids!$A786="","",Bids!$A786)</f>
        <v/>
      </c>
      <c r="C786" s="40" t="str">
        <f>IF(Bids!$B786="","",Bids!$B786)</f>
        <v/>
      </c>
      <c r="D786" s="40" t="str">
        <f>IF($C786="","",IFERROR(VLOOKUP($C786,Orders!$A:$J,9,FALSE),""))</f>
        <v/>
      </c>
      <c r="E786" s="40" t="str">
        <f>IF($C786="","",IFERROR(VLOOKUP($C786,Orders!$A:$J,3,FALSE),""))</f>
        <v/>
      </c>
      <c r="F786" s="40" t="str">
        <f>IF($C786="","",IFERROR(VLOOKUP($C786,Orders!$A:$J,4,FALSE),""))</f>
        <v/>
      </c>
      <c r="G786" s="40" t="str">
        <f>IF($C786="","",IFERROR(VLOOKUP($C786,Orders!$A:$J,5,FALSE),""))</f>
        <v/>
      </c>
      <c r="H786" s="40" t="str">
        <f>IF($C786="","",IFERROR(VLOOKUP($C786,Orders!$A:$J,6,FALSE),""))</f>
        <v/>
      </c>
      <c r="I786" s="40" t="str">
        <f>IF($C786="","",IFERROR(VLOOKUP($C786,Orders!$A:$J,7,FALSE),""))</f>
        <v/>
      </c>
      <c r="J786" s="40" t="str">
        <f>IF(Bids!$C786="","",Bids!$C786)</f>
        <v/>
      </c>
      <c r="K786" s="40" t="str">
        <f>IF($J786="","",IFERROR(VLOOKUP($J786,Grinders!$A:$N,2,FALSE),""))</f>
        <v/>
      </c>
      <c r="L786" s="40" t="str">
        <f>IF($J786="","",IFERROR(VLOOKUP($J786,Grinders!$A:$N,3,FALSE),""))</f>
        <v/>
      </c>
      <c r="M786" s="40" t="str">
        <f>IF($J786="","",IFERROR(VLOOKUP($J786,Grinders!$A:$N,4,FALSE),""))</f>
        <v/>
      </c>
      <c r="N786" s="40" t="str">
        <f>IF($J786="","",IFERROR(VLOOKUP($J786,Grinders!$A:$N,5,FALSE),""))</f>
        <v/>
      </c>
      <c r="O786" s="40" t="str">
        <f t="shared" si="2"/>
        <v/>
      </c>
      <c r="P786" s="40" t="str">
        <f>IF($J786="","",IFERROR(VLOOKUP($J786,Grinders!$A:$N,6,FALSE),""))</f>
        <v/>
      </c>
      <c r="Q786" s="40" t="str">
        <f>IF($J786="","",IFERROR(VLOOKUP($J786,Grinders!$A:$N,8,FALSE),""))</f>
        <v/>
      </c>
      <c r="R786" s="40" t="str">
        <f>IFERROR(IF($J786="","",IF($L786="Elite",MAX(50,MIN(100,Config!$B$27*MAX(0,MIN(100,(1-IF($O786="",0,$O786))*100)) + Config!$B$28*MAX(0,MIN(100,(1-MIN(1,IF(Config!$B$30=0,1,$P786/Config!$B$30)))*100)) + Config!$B$29*MAX(0,MIN(100,MIN(1,IF($Q786="",0,$Q786)/Config!$B$23)*100)))),MIN(100,Config!$B$27*MAX(0,MIN(100,(1-IF($O786="",0,$O786))*100)) + Config!$B$28*MAX(0,MIN(100,(1-MIN(1,IF(Config!$B$30=0,1,$P786/Config!$B$30)))*100)) + Config!$B$29*MAX(0,MIN(100,MIN(1,IF($Q786="",0,$Q786)/Config!$B$23)*100))))),"")
</f>
        <v/>
      </c>
      <c r="S786" s="40" t="str">
        <f>IF(Bids!$D786="","",Bids!$D786)</f>
        <v/>
      </c>
      <c r="T786" s="40" t="str">
        <f>IF(Bids!$F786="","",Bids!$F786)</f>
        <v/>
      </c>
      <c r="U786" s="40" t="str">
        <f t="shared" si="3"/>
        <v/>
      </c>
      <c r="V786" s="40" t="str">
        <f>IF($U786="","",IF(Config!$B$17=Config!$B$16,IF($U786&gt;=Config!$B$17,100,0),MAX(0,MIN(100,($U786-Config!$B$16)/(Config!$B$17-Config!$B$16)*100))))</f>
        <v/>
      </c>
      <c r="W786" s="40">
        <f>IF($L786="Elite",Config!$B$21,0)</f>
        <v>0</v>
      </c>
      <c r="X786" s="40" t="str">
        <f>IFERROR(IF(OR($T786="",$G786=""),"",IF($T786&gt;$G786,
  MAX(0, 60-(($T786-$G786)*24/Config!$B$19)*60),
  MEDIAN(60, 100, 60+(($G786-$T786)*24/Config!$B$20)*40)
)),"")
</f>
        <v/>
      </c>
      <c r="Y786" s="40" t="str">
        <f>IF($J786="","",IFERROR(VLOOKUP($J786,Grinders!$A:$N,10,FALSE),""))</f>
        <v/>
      </c>
      <c r="Z786" s="40" t="str">
        <f>IF($J786="","",IFERROR(VLOOKUP($J786,Grinders!$A:$N,11,FALSE),""))</f>
        <v/>
      </c>
      <c r="AA786" s="40" t="str">
        <f>IF($J786="","",IFERROR(VLOOKUP($J786,Grinders!$A:$N,12,FALSE),""))</f>
        <v/>
      </c>
      <c r="AB786" s="40">
        <f>IFERROR(IF(OR($C786="",$J786=""),0,IF($D786&lt;&gt;"Open",0,IF(COUNTIFS(GrinderServices!$B:$B,$J786,GrinderServices!$C:$C,$E786,GrinderServices!$E:$E,"Y")=0,0,IF($U786&lt;Config!$B$16,0,IF(Config!$B$18=1,IF($N786&gt;=$M786,0,1),1))))),"")</f>
        <v>0</v>
      </c>
      <c r="AC786" s="40" t="str">
        <f>IFERROR(IF($AB786=0,"",((Config!$B$6*$V786 + Config!$B$7*$R786 + Config!$B$8*$W786 + Config!$B$9*$X786 + Config!$B$10*$Y786 + Config!$B$11*$Z786 - Config!$B$12*$AA786)/Config!$B$13)+$AH786+$AI786),"")</f>
        <v/>
      </c>
      <c r="AD786" s="40" t="str">
        <f t="shared" si="4"/>
        <v/>
      </c>
      <c r="AE786" s="40" t="str">
        <f>IFERROR(__xludf.DUMMYFUNCTION("IF($AC786="""","""",IF($AC786=IFERROR(MAX(FILTER($AC$6:$AC$1000,$C$6:$C$1000=$C786,$AB$6:$AB$1000=1)),),""WINNER"",""""))"),"")</f>
        <v/>
      </c>
      <c r="AF786" s="40" t="str">
        <f t="shared" si="5"/>
        <v/>
      </c>
      <c r="AG786" s="40" t="str">
        <f>IF($J786="","",COUNTIF(Assignments!$B:$B,$J786))</f>
        <v/>
      </c>
      <c r="AH786" s="40" t="str">
        <f>IF($J786="","",IF(AND($AG786=0,$N786&lt;$M786),Config!$B$43,0))</f>
        <v/>
      </c>
      <c r="AI786" s="40" t="str">
        <f>IF($J786="","",IF(AND($L786="Elite",$F786&gt;=Config!$B$41,$N786&lt;$M786),Config!$B$42,0))</f>
        <v/>
      </c>
      <c r="AJ786" s="22"/>
    </row>
    <row r="787" ht="15.75" customHeight="1">
      <c r="A787" s="40" t="str">
        <f t="shared" si="1"/>
        <v/>
      </c>
      <c r="B787" s="40" t="str">
        <f>IF(Bids!$A787="","",Bids!$A787)</f>
        <v/>
      </c>
      <c r="C787" s="40" t="str">
        <f>IF(Bids!$B787="","",Bids!$B787)</f>
        <v/>
      </c>
      <c r="D787" s="40" t="str">
        <f>IF($C787="","",IFERROR(VLOOKUP($C787,Orders!$A:$J,9,FALSE),""))</f>
        <v/>
      </c>
      <c r="E787" s="40" t="str">
        <f>IF($C787="","",IFERROR(VLOOKUP($C787,Orders!$A:$J,3,FALSE),""))</f>
        <v/>
      </c>
      <c r="F787" s="40" t="str">
        <f>IF($C787="","",IFERROR(VLOOKUP($C787,Orders!$A:$J,4,FALSE),""))</f>
        <v/>
      </c>
      <c r="G787" s="40" t="str">
        <f>IF($C787="","",IFERROR(VLOOKUP($C787,Orders!$A:$J,5,FALSE),""))</f>
        <v/>
      </c>
      <c r="H787" s="40" t="str">
        <f>IF($C787="","",IFERROR(VLOOKUP($C787,Orders!$A:$J,6,FALSE),""))</f>
        <v/>
      </c>
      <c r="I787" s="40" t="str">
        <f>IF($C787="","",IFERROR(VLOOKUP($C787,Orders!$A:$J,7,FALSE),""))</f>
        <v/>
      </c>
      <c r="J787" s="40" t="str">
        <f>IF(Bids!$C787="","",Bids!$C787)</f>
        <v/>
      </c>
      <c r="K787" s="40" t="str">
        <f>IF($J787="","",IFERROR(VLOOKUP($J787,Grinders!$A:$N,2,FALSE),""))</f>
        <v/>
      </c>
      <c r="L787" s="40" t="str">
        <f>IF($J787="","",IFERROR(VLOOKUP($J787,Grinders!$A:$N,3,FALSE),""))</f>
        <v/>
      </c>
      <c r="M787" s="40" t="str">
        <f>IF($J787="","",IFERROR(VLOOKUP($J787,Grinders!$A:$N,4,FALSE),""))</f>
        <v/>
      </c>
      <c r="N787" s="40" t="str">
        <f>IF($J787="","",IFERROR(VLOOKUP($J787,Grinders!$A:$N,5,FALSE),""))</f>
        <v/>
      </c>
      <c r="O787" s="40" t="str">
        <f t="shared" si="2"/>
        <v/>
      </c>
      <c r="P787" s="40" t="str">
        <f>IF($J787="","",IFERROR(VLOOKUP($J787,Grinders!$A:$N,6,FALSE),""))</f>
        <v/>
      </c>
      <c r="Q787" s="40" t="str">
        <f>IF($J787="","",IFERROR(VLOOKUP($J787,Grinders!$A:$N,8,FALSE),""))</f>
        <v/>
      </c>
      <c r="R787" s="40" t="str">
        <f>IFERROR(IF($J787="","",IF($L787="Elite",MAX(50,MIN(100,Config!$B$27*MAX(0,MIN(100,(1-IF($O787="",0,$O787))*100)) + Config!$B$28*MAX(0,MIN(100,(1-MIN(1,IF(Config!$B$30=0,1,$P787/Config!$B$30)))*100)) + Config!$B$29*MAX(0,MIN(100,MIN(1,IF($Q787="",0,$Q787)/Config!$B$23)*100)))),MIN(100,Config!$B$27*MAX(0,MIN(100,(1-IF($O787="",0,$O787))*100)) + Config!$B$28*MAX(0,MIN(100,(1-MIN(1,IF(Config!$B$30=0,1,$P787/Config!$B$30)))*100)) + Config!$B$29*MAX(0,MIN(100,MIN(1,IF($Q787="",0,$Q787)/Config!$B$23)*100))))),"")
</f>
        <v/>
      </c>
      <c r="S787" s="40" t="str">
        <f>IF(Bids!$D787="","",Bids!$D787)</f>
        <v/>
      </c>
      <c r="T787" s="40" t="str">
        <f>IF(Bids!$F787="","",Bids!$F787)</f>
        <v/>
      </c>
      <c r="U787" s="40" t="str">
        <f t="shared" si="3"/>
        <v/>
      </c>
      <c r="V787" s="40" t="str">
        <f>IF($U787="","",IF(Config!$B$17=Config!$B$16,IF($U787&gt;=Config!$B$17,100,0),MAX(0,MIN(100,($U787-Config!$B$16)/(Config!$B$17-Config!$B$16)*100))))</f>
        <v/>
      </c>
      <c r="W787" s="40">
        <f>IF($L787="Elite",Config!$B$21,0)</f>
        <v>0</v>
      </c>
      <c r="X787" s="40" t="str">
        <f>IFERROR(IF(OR($T787="",$G787=""),"",IF($T787&gt;$G787,
  MAX(0, 60-(($T787-$G787)*24/Config!$B$19)*60),
  MEDIAN(60, 100, 60+(($G787-$T787)*24/Config!$B$20)*40)
)),"")
</f>
        <v/>
      </c>
      <c r="Y787" s="40" t="str">
        <f>IF($J787="","",IFERROR(VLOOKUP($J787,Grinders!$A:$N,10,FALSE),""))</f>
        <v/>
      </c>
      <c r="Z787" s="40" t="str">
        <f>IF($J787="","",IFERROR(VLOOKUP($J787,Grinders!$A:$N,11,FALSE),""))</f>
        <v/>
      </c>
      <c r="AA787" s="40" t="str">
        <f>IF($J787="","",IFERROR(VLOOKUP($J787,Grinders!$A:$N,12,FALSE),""))</f>
        <v/>
      </c>
      <c r="AB787" s="40">
        <f>IFERROR(IF(OR($C787="",$J787=""),0,IF($D787&lt;&gt;"Open",0,IF(COUNTIFS(GrinderServices!$B:$B,$J787,GrinderServices!$C:$C,$E787,GrinderServices!$E:$E,"Y")=0,0,IF($U787&lt;Config!$B$16,0,IF(Config!$B$18=1,IF($N787&gt;=$M787,0,1),1))))),"")</f>
        <v>0</v>
      </c>
      <c r="AC787" s="40" t="str">
        <f>IFERROR(IF($AB787=0,"",((Config!$B$6*$V787 + Config!$B$7*$R787 + Config!$B$8*$W787 + Config!$B$9*$X787 + Config!$B$10*$Y787 + Config!$B$11*$Z787 - Config!$B$12*$AA787)/Config!$B$13)+$AH787+$AI787),"")</f>
        <v/>
      </c>
      <c r="AD787" s="40" t="str">
        <f t="shared" si="4"/>
        <v/>
      </c>
      <c r="AE787" s="40" t="str">
        <f>IFERROR(__xludf.DUMMYFUNCTION("IF($AC787="""","""",IF($AC787=IFERROR(MAX(FILTER($AC$6:$AC$1000,$C$6:$C$1000=$C787,$AB$6:$AB$1000=1)),),""WINNER"",""""))"),"")</f>
        <v/>
      </c>
      <c r="AF787" s="40" t="str">
        <f t="shared" si="5"/>
        <v/>
      </c>
      <c r="AG787" s="40" t="str">
        <f>IF($J787="","",COUNTIF(Assignments!$B:$B,$J787))</f>
        <v/>
      </c>
      <c r="AH787" s="40" t="str">
        <f>IF($J787="","",IF(AND($AG787=0,$N787&lt;$M787),Config!$B$43,0))</f>
        <v/>
      </c>
      <c r="AI787" s="40" t="str">
        <f>IF($J787="","",IF(AND($L787="Elite",$F787&gt;=Config!$B$41,$N787&lt;$M787),Config!$B$42,0))</f>
        <v/>
      </c>
      <c r="AJ787" s="22"/>
    </row>
    <row r="788" ht="15.75" customHeight="1">
      <c r="A788" s="40" t="str">
        <f t="shared" si="1"/>
        <v/>
      </c>
      <c r="B788" s="40" t="str">
        <f>IF(Bids!$A788="","",Bids!$A788)</f>
        <v/>
      </c>
      <c r="C788" s="40" t="str">
        <f>IF(Bids!$B788="","",Bids!$B788)</f>
        <v/>
      </c>
      <c r="D788" s="40" t="str">
        <f>IF($C788="","",IFERROR(VLOOKUP($C788,Orders!$A:$J,9,FALSE),""))</f>
        <v/>
      </c>
      <c r="E788" s="40" t="str">
        <f>IF($C788="","",IFERROR(VLOOKUP($C788,Orders!$A:$J,3,FALSE),""))</f>
        <v/>
      </c>
      <c r="F788" s="40" t="str">
        <f>IF($C788="","",IFERROR(VLOOKUP($C788,Orders!$A:$J,4,FALSE),""))</f>
        <v/>
      </c>
      <c r="G788" s="40" t="str">
        <f>IF($C788="","",IFERROR(VLOOKUP($C788,Orders!$A:$J,5,FALSE),""))</f>
        <v/>
      </c>
      <c r="H788" s="40" t="str">
        <f>IF($C788="","",IFERROR(VLOOKUP($C788,Orders!$A:$J,6,FALSE),""))</f>
        <v/>
      </c>
      <c r="I788" s="40" t="str">
        <f>IF($C788="","",IFERROR(VLOOKUP($C788,Orders!$A:$J,7,FALSE),""))</f>
        <v/>
      </c>
      <c r="J788" s="40" t="str">
        <f>IF(Bids!$C788="","",Bids!$C788)</f>
        <v/>
      </c>
      <c r="K788" s="40" t="str">
        <f>IF($J788="","",IFERROR(VLOOKUP($J788,Grinders!$A:$N,2,FALSE),""))</f>
        <v/>
      </c>
      <c r="L788" s="40" t="str">
        <f>IF($J788="","",IFERROR(VLOOKUP($J788,Grinders!$A:$N,3,FALSE),""))</f>
        <v/>
      </c>
      <c r="M788" s="40" t="str">
        <f>IF($J788="","",IFERROR(VLOOKUP($J788,Grinders!$A:$N,4,FALSE),""))</f>
        <v/>
      </c>
      <c r="N788" s="40" t="str">
        <f>IF($J788="","",IFERROR(VLOOKUP($J788,Grinders!$A:$N,5,FALSE),""))</f>
        <v/>
      </c>
      <c r="O788" s="40" t="str">
        <f t="shared" si="2"/>
        <v/>
      </c>
      <c r="P788" s="40" t="str">
        <f>IF($J788="","",IFERROR(VLOOKUP($J788,Grinders!$A:$N,6,FALSE),""))</f>
        <v/>
      </c>
      <c r="Q788" s="40" t="str">
        <f>IF($J788="","",IFERROR(VLOOKUP($J788,Grinders!$A:$N,8,FALSE),""))</f>
        <v/>
      </c>
      <c r="R788" s="40" t="str">
        <f>IFERROR(IF($J788="","",IF($L788="Elite",MAX(50,MIN(100,Config!$B$27*MAX(0,MIN(100,(1-IF($O788="",0,$O788))*100)) + Config!$B$28*MAX(0,MIN(100,(1-MIN(1,IF(Config!$B$30=0,1,$P788/Config!$B$30)))*100)) + Config!$B$29*MAX(0,MIN(100,MIN(1,IF($Q788="",0,$Q788)/Config!$B$23)*100)))),MIN(100,Config!$B$27*MAX(0,MIN(100,(1-IF($O788="",0,$O788))*100)) + Config!$B$28*MAX(0,MIN(100,(1-MIN(1,IF(Config!$B$30=0,1,$P788/Config!$B$30)))*100)) + Config!$B$29*MAX(0,MIN(100,MIN(1,IF($Q788="",0,$Q788)/Config!$B$23)*100))))),"")
</f>
        <v/>
      </c>
      <c r="S788" s="40" t="str">
        <f>IF(Bids!$D788="","",Bids!$D788)</f>
        <v/>
      </c>
      <c r="T788" s="40" t="str">
        <f>IF(Bids!$F788="","",Bids!$F788)</f>
        <v/>
      </c>
      <c r="U788" s="40" t="str">
        <f t="shared" si="3"/>
        <v/>
      </c>
      <c r="V788" s="40" t="str">
        <f>IF($U788="","",IF(Config!$B$17=Config!$B$16,IF($U788&gt;=Config!$B$17,100,0),MAX(0,MIN(100,($U788-Config!$B$16)/(Config!$B$17-Config!$B$16)*100))))</f>
        <v/>
      </c>
      <c r="W788" s="40">
        <f>IF($L788="Elite",Config!$B$21,0)</f>
        <v>0</v>
      </c>
      <c r="X788" s="40" t="str">
        <f>IFERROR(IF(OR($T788="",$G788=""),"",IF($T788&gt;$G788,
  MAX(0, 60-(($T788-$G788)*24/Config!$B$19)*60),
  MEDIAN(60, 100, 60+(($G788-$T788)*24/Config!$B$20)*40)
)),"")
</f>
        <v/>
      </c>
      <c r="Y788" s="40" t="str">
        <f>IF($J788="","",IFERROR(VLOOKUP($J788,Grinders!$A:$N,10,FALSE),""))</f>
        <v/>
      </c>
      <c r="Z788" s="40" t="str">
        <f>IF($J788="","",IFERROR(VLOOKUP($J788,Grinders!$A:$N,11,FALSE),""))</f>
        <v/>
      </c>
      <c r="AA788" s="40" t="str">
        <f>IF($J788="","",IFERROR(VLOOKUP($J788,Grinders!$A:$N,12,FALSE),""))</f>
        <v/>
      </c>
      <c r="AB788" s="40">
        <f>IFERROR(IF(OR($C788="",$J788=""),0,IF($D788&lt;&gt;"Open",0,IF(COUNTIFS(GrinderServices!$B:$B,$J788,GrinderServices!$C:$C,$E788,GrinderServices!$E:$E,"Y")=0,0,IF($U788&lt;Config!$B$16,0,IF(Config!$B$18=1,IF($N788&gt;=$M788,0,1),1))))),"")</f>
        <v>0</v>
      </c>
      <c r="AC788" s="40" t="str">
        <f>IFERROR(IF($AB788=0,"",((Config!$B$6*$V788 + Config!$B$7*$R788 + Config!$B$8*$W788 + Config!$B$9*$X788 + Config!$B$10*$Y788 + Config!$B$11*$Z788 - Config!$B$12*$AA788)/Config!$B$13)+$AH788+$AI788),"")</f>
        <v/>
      </c>
      <c r="AD788" s="40" t="str">
        <f t="shared" si="4"/>
        <v/>
      </c>
      <c r="AE788" s="40" t="str">
        <f>IFERROR(__xludf.DUMMYFUNCTION("IF($AC788="""","""",IF($AC788=IFERROR(MAX(FILTER($AC$6:$AC$1000,$C$6:$C$1000=$C788,$AB$6:$AB$1000=1)),),""WINNER"",""""))"),"")</f>
        <v/>
      </c>
      <c r="AF788" s="40" t="str">
        <f t="shared" si="5"/>
        <v/>
      </c>
      <c r="AG788" s="40" t="str">
        <f>IF($J788="","",COUNTIF(Assignments!$B:$B,$J788))</f>
        <v/>
      </c>
      <c r="AH788" s="40" t="str">
        <f>IF($J788="","",IF(AND($AG788=0,$N788&lt;$M788),Config!$B$43,0))</f>
        <v/>
      </c>
      <c r="AI788" s="40" t="str">
        <f>IF($J788="","",IF(AND($L788="Elite",$F788&gt;=Config!$B$41,$N788&lt;$M788),Config!$B$42,0))</f>
        <v/>
      </c>
      <c r="AJ788" s="22"/>
    </row>
    <row r="789" ht="15.75" customHeight="1">
      <c r="A789" s="40" t="str">
        <f t="shared" si="1"/>
        <v/>
      </c>
      <c r="B789" s="40" t="str">
        <f>IF(Bids!$A789="","",Bids!$A789)</f>
        <v/>
      </c>
      <c r="C789" s="40" t="str">
        <f>IF(Bids!$B789="","",Bids!$B789)</f>
        <v/>
      </c>
      <c r="D789" s="40" t="str">
        <f>IF($C789="","",IFERROR(VLOOKUP($C789,Orders!$A:$J,9,FALSE),""))</f>
        <v/>
      </c>
      <c r="E789" s="40" t="str">
        <f>IF($C789="","",IFERROR(VLOOKUP($C789,Orders!$A:$J,3,FALSE),""))</f>
        <v/>
      </c>
      <c r="F789" s="40" t="str">
        <f>IF($C789="","",IFERROR(VLOOKUP($C789,Orders!$A:$J,4,FALSE),""))</f>
        <v/>
      </c>
      <c r="G789" s="40" t="str">
        <f>IF($C789="","",IFERROR(VLOOKUP($C789,Orders!$A:$J,5,FALSE),""))</f>
        <v/>
      </c>
      <c r="H789" s="40" t="str">
        <f>IF($C789="","",IFERROR(VLOOKUP($C789,Orders!$A:$J,6,FALSE),""))</f>
        <v/>
      </c>
      <c r="I789" s="40" t="str">
        <f>IF($C789="","",IFERROR(VLOOKUP($C789,Orders!$A:$J,7,FALSE),""))</f>
        <v/>
      </c>
      <c r="J789" s="40" t="str">
        <f>IF(Bids!$C789="","",Bids!$C789)</f>
        <v/>
      </c>
      <c r="K789" s="40" t="str">
        <f>IF($J789="","",IFERROR(VLOOKUP($J789,Grinders!$A:$N,2,FALSE),""))</f>
        <v/>
      </c>
      <c r="L789" s="40" t="str">
        <f>IF($J789="","",IFERROR(VLOOKUP($J789,Grinders!$A:$N,3,FALSE),""))</f>
        <v/>
      </c>
      <c r="M789" s="40" t="str">
        <f>IF($J789="","",IFERROR(VLOOKUP($J789,Grinders!$A:$N,4,FALSE),""))</f>
        <v/>
      </c>
      <c r="N789" s="40" t="str">
        <f>IF($J789="","",IFERROR(VLOOKUP($J789,Grinders!$A:$N,5,FALSE),""))</f>
        <v/>
      </c>
      <c r="O789" s="40" t="str">
        <f t="shared" si="2"/>
        <v/>
      </c>
      <c r="P789" s="40" t="str">
        <f>IF($J789="","",IFERROR(VLOOKUP($J789,Grinders!$A:$N,6,FALSE),""))</f>
        <v/>
      </c>
      <c r="Q789" s="40" t="str">
        <f>IF($J789="","",IFERROR(VLOOKUP($J789,Grinders!$A:$N,8,FALSE),""))</f>
        <v/>
      </c>
      <c r="R789" s="40" t="str">
        <f>IFERROR(IF($J789="","",IF($L789="Elite",MAX(50,MIN(100,Config!$B$27*MAX(0,MIN(100,(1-IF($O789="",0,$O789))*100)) + Config!$B$28*MAX(0,MIN(100,(1-MIN(1,IF(Config!$B$30=0,1,$P789/Config!$B$30)))*100)) + Config!$B$29*MAX(0,MIN(100,MIN(1,IF($Q789="",0,$Q789)/Config!$B$23)*100)))),MIN(100,Config!$B$27*MAX(0,MIN(100,(1-IF($O789="",0,$O789))*100)) + Config!$B$28*MAX(0,MIN(100,(1-MIN(1,IF(Config!$B$30=0,1,$P789/Config!$B$30)))*100)) + Config!$B$29*MAX(0,MIN(100,MIN(1,IF($Q789="",0,$Q789)/Config!$B$23)*100))))),"")
</f>
        <v/>
      </c>
      <c r="S789" s="40" t="str">
        <f>IF(Bids!$D789="","",Bids!$D789)</f>
        <v/>
      </c>
      <c r="T789" s="40" t="str">
        <f>IF(Bids!$F789="","",Bids!$F789)</f>
        <v/>
      </c>
      <c r="U789" s="40" t="str">
        <f t="shared" si="3"/>
        <v/>
      </c>
      <c r="V789" s="40" t="str">
        <f>IF($U789="","",IF(Config!$B$17=Config!$B$16,IF($U789&gt;=Config!$B$17,100,0),MAX(0,MIN(100,($U789-Config!$B$16)/(Config!$B$17-Config!$B$16)*100))))</f>
        <v/>
      </c>
      <c r="W789" s="40">
        <f>IF($L789="Elite",Config!$B$21,0)</f>
        <v>0</v>
      </c>
      <c r="X789" s="40" t="str">
        <f>IFERROR(IF(OR($T789="",$G789=""),"",IF($T789&gt;$G789,
  MAX(0, 60-(($T789-$G789)*24/Config!$B$19)*60),
  MEDIAN(60, 100, 60+(($G789-$T789)*24/Config!$B$20)*40)
)),"")
</f>
        <v/>
      </c>
      <c r="Y789" s="40" t="str">
        <f>IF($J789="","",IFERROR(VLOOKUP($J789,Grinders!$A:$N,10,FALSE),""))</f>
        <v/>
      </c>
      <c r="Z789" s="40" t="str">
        <f>IF($J789="","",IFERROR(VLOOKUP($J789,Grinders!$A:$N,11,FALSE),""))</f>
        <v/>
      </c>
      <c r="AA789" s="40" t="str">
        <f>IF($J789="","",IFERROR(VLOOKUP($J789,Grinders!$A:$N,12,FALSE),""))</f>
        <v/>
      </c>
      <c r="AB789" s="40">
        <f>IFERROR(IF(OR($C789="",$J789=""),0,IF($D789&lt;&gt;"Open",0,IF(COUNTIFS(GrinderServices!$B:$B,$J789,GrinderServices!$C:$C,$E789,GrinderServices!$E:$E,"Y")=0,0,IF($U789&lt;Config!$B$16,0,IF(Config!$B$18=1,IF($N789&gt;=$M789,0,1),1))))),"")</f>
        <v>0</v>
      </c>
      <c r="AC789" s="40" t="str">
        <f>IFERROR(IF($AB789=0,"",((Config!$B$6*$V789 + Config!$B$7*$R789 + Config!$B$8*$W789 + Config!$B$9*$X789 + Config!$B$10*$Y789 + Config!$B$11*$Z789 - Config!$B$12*$AA789)/Config!$B$13)+$AH789+$AI789),"")</f>
        <v/>
      </c>
      <c r="AD789" s="40" t="str">
        <f t="shared" si="4"/>
        <v/>
      </c>
      <c r="AE789" s="40" t="str">
        <f>IFERROR(__xludf.DUMMYFUNCTION("IF($AC789="""","""",IF($AC789=IFERROR(MAX(FILTER($AC$6:$AC$1000,$C$6:$C$1000=$C789,$AB$6:$AB$1000=1)),),""WINNER"",""""))"),"")</f>
        <v/>
      </c>
      <c r="AF789" s="40" t="str">
        <f t="shared" si="5"/>
        <v/>
      </c>
      <c r="AG789" s="40" t="str">
        <f>IF($J789="","",COUNTIF(Assignments!$B:$B,$J789))</f>
        <v/>
      </c>
      <c r="AH789" s="40" t="str">
        <f>IF($J789="","",IF(AND($AG789=0,$N789&lt;$M789),Config!$B$43,0))</f>
        <v/>
      </c>
      <c r="AI789" s="40" t="str">
        <f>IF($J789="","",IF(AND($L789="Elite",$F789&gt;=Config!$B$41,$N789&lt;$M789),Config!$B$42,0))</f>
        <v/>
      </c>
      <c r="AJ789" s="22"/>
    </row>
    <row r="790" ht="15.75" customHeight="1">
      <c r="A790" s="40" t="str">
        <f t="shared" si="1"/>
        <v/>
      </c>
      <c r="B790" s="40" t="str">
        <f>IF(Bids!$A790="","",Bids!$A790)</f>
        <v/>
      </c>
      <c r="C790" s="40" t="str">
        <f>IF(Bids!$B790="","",Bids!$B790)</f>
        <v/>
      </c>
      <c r="D790" s="40" t="str">
        <f>IF($C790="","",IFERROR(VLOOKUP($C790,Orders!$A:$J,9,FALSE),""))</f>
        <v/>
      </c>
      <c r="E790" s="40" t="str">
        <f>IF($C790="","",IFERROR(VLOOKUP($C790,Orders!$A:$J,3,FALSE),""))</f>
        <v/>
      </c>
      <c r="F790" s="40" t="str">
        <f>IF($C790="","",IFERROR(VLOOKUP($C790,Orders!$A:$J,4,FALSE),""))</f>
        <v/>
      </c>
      <c r="G790" s="40" t="str">
        <f>IF($C790="","",IFERROR(VLOOKUP($C790,Orders!$A:$J,5,FALSE),""))</f>
        <v/>
      </c>
      <c r="H790" s="40" t="str">
        <f>IF($C790="","",IFERROR(VLOOKUP($C790,Orders!$A:$J,6,FALSE),""))</f>
        <v/>
      </c>
      <c r="I790" s="40" t="str">
        <f>IF($C790="","",IFERROR(VLOOKUP($C790,Orders!$A:$J,7,FALSE),""))</f>
        <v/>
      </c>
      <c r="J790" s="40" t="str">
        <f>IF(Bids!$C790="","",Bids!$C790)</f>
        <v/>
      </c>
      <c r="K790" s="40" t="str">
        <f>IF($J790="","",IFERROR(VLOOKUP($J790,Grinders!$A:$N,2,FALSE),""))</f>
        <v/>
      </c>
      <c r="L790" s="40" t="str">
        <f>IF($J790="","",IFERROR(VLOOKUP($J790,Grinders!$A:$N,3,FALSE),""))</f>
        <v/>
      </c>
      <c r="M790" s="40" t="str">
        <f>IF($J790="","",IFERROR(VLOOKUP($J790,Grinders!$A:$N,4,FALSE),""))</f>
        <v/>
      </c>
      <c r="N790" s="40" t="str">
        <f>IF($J790="","",IFERROR(VLOOKUP($J790,Grinders!$A:$N,5,FALSE),""))</f>
        <v/>
      </c>
      <c r="O790" s="40" t="str">
        <f t="shared" si="2"/>
        <v/>
      </c>
      <c r="P790" s="40" t="str">
        <f>IF($J790="","",IFERROR(VLOOKUP($J790,Grinders!$A:$N,6,FALSE),""))</f>
        <v/>
      </c>
      <c r="Q790" s="40" t="str">
        <f>IF($J790="","",IFERROR(VLOOKUP($J790,Grinders!$A:$N,8,FALSE),""))</f>
        <v/>
      </c>
      <c r="R790" s="40" t="str">
        <f>IFERROR(IF($J790="","",IF($L790="Elite",MAX(50,MIN(100,Config!$B$27*MAX(0,MIN(100,(1-IF($O790="",0,$O790))*100)) + Config!$B$28*MAX(0,MIN(100,(1-MIN(1,IF(Config!$B$30=0,1,$P790/Config!$B$30)))*100)) + Config!$B$29*MAX(0,MIN(100,MIN(1,IF($Q790="",0,$Q790)/Config!$B$23)*100)))),MIN(100,Config!$B$27*MAX(0,MIN(100,(1-IF($O790="",0,$O790))*100)) + Config!$B$28*MAX(0,MIN(100,(1-MIN(1,IF(Config!$B$30=0,1,$P790/Config!$B$30)))*100)) + Config!$B$29*MAX(0,MIN(100,MIN(1,IF($Q790="",0,$Q790)/Config!$B$23)*100))))),"")
</f>
        <v/>
      </c>
      <c r="S790" s="40" t="str">
        <f>IF(Bids!$D790="","",Bids!$D790)</f>
        <v/>
      </c>
      <c r="T790" s="40" t="str">
        <f>IF(Bids!$F790="","",Bids!$F790)</f>
        <v/>
      </c>
      <c r="U790" s="40" t="str">
        <f t="shared" si="3"/>
        <v/>
      </c>
      <c r="V790" s="40" t="str">
        <f>IF($U790="","",IF(Config!$B$17=Config!$B$16,IF($U790&gt;=Config!$B$17,100,0),MAX(0,MIN(100,($U790-Config!$B$16)/(Config!$B$17-Config!$B$16)*100))))</f>
        <v/>
      </c>
      <c r="W790" s="40">
        <f>IF($L790="Elite",Config!$B$21,0)</f>
        <v>0</v>
      </c>
      <c r="X790" s="40" t="str">
        <f>IFERROR(IF(OR($T790="",$G790=""),"",IF($T790&gt;$G790,
  MAX(0, 60-(($T790-$G790)*24/Config!$B$19)*60),
  MEDIAN(60, 100, 60+(($G790-$T790)*24/Config!$B$20)*40)
)),"")
</f>
        <v/>
      </c>
      <c r="Y790" s="40" t="str">
        <f>IF($J790="","",IFERROR(VLOOKUP($J790,Grinders!$A:$N,10,FALSE),""))</f>
        <v/>
      </c>
      <c r="Z790" s="40" t="str">
        <f>IF($J790="","",IFERROR(VLOOKUP($J790,Grinders!$A:$N,11,FALSE),""))</f>
        <v/>
      </c>
      <c r="AA790" s="40" t="str">
        <f>IF($J790="","",IFERROR(VLOOKUP($J790,Grinders!$A:$N,12,FALSE),""))</f>
        <v/>
      </c>
      <c r="AB790" s="40">
        <f>IFERROR(IF(OR($C790="",$J790=""),0,IF($D790&lt;&gt;"Open",0,IF(COUNTIFS(GrinderServices!$B:$B,$J790,GrinderServices!$C:$C,$E790,GrinderServices!$E:$E,"Y")=0,0,IF($U790&lt;Config!$B$16,0,IF(Config!$B$18=1,IF($N790&gt;=$M790,0,1),1))))),"")</f>
        <v>0</v>
      </c>
      <c r="AC790" s="40" t="str">
        <f>IFERROR(IF($AB790=0,"",((Config!$B$6*$V790 + Config!$B$7*$R790 + Config!$B$8*$W790 + Config!$B$9*$X790 + Config!$B$10*$Y790 + Config!$B$11*$Z790 - Config!$B$12*$AA790)/Config!$B$13)+$AH790+$AI790),"")</f>
        <v/>
      </c>
      <c r="AD790" s="40" t="str">
        <f t="shared" si="4"/>
        <v/>
      </c>
      <c r="AE790" s="40" t="str">
        <f>IFERROR(__xludf.DUMMYFUNCTION("IF($AC790="""","""",IF($AC790=IFERROR(MAX(FILTER($AC$6:$AC$1000,$C$6:$C$1000=$C790,$AB$6:$AB$1000=1)),),""WINNER"",""""))"),"")</f>
        <v/>
      </c>
      <c r="AF790" s="40" t="str">
        <f t="shared" si="5"/>
        <v/>
      </c>
      <c r="AG790" s="40" t="str">
        <f>IF($J790="","",COUNTIF(Assignments!$B:$B,$J790))</f>
        <v/>
      </c>
      <c r="AH790" s="40" t="str">
        <f>IF($J790="","",IF(AND($AG790=0,$N790&lt;$M790),Config!$B$43,0))</f>
        <v/>
      </c>
      <c r="AI790" s="40" t="str">
        <f>IF($J790="","",IF(AND($L790="Elite",$F790&gt;=Config!$B$41,$N790&lt;$M790),Config!$B$42,0))</f>
        <v/>
      </c>
      <c r="AJ790" s="22"/>
    </row>
    <row r="791" ht="15.75" customHeight="1">
      <c r="A791" s="40" t="str">
        <f t="shared" si="1"/>
        <v/>
      </c>
      <c r="B791" s="40" t="str">
        <f>IF(Bids!$A791="","",Bids!$A791)</f>
        <v/>
      </c>
      <c r="C791" s="40" t="str">
        <f>IF(Bids!$B791="","",Bids!$B791)</f>
        <v/>
      </c>
      <c r="D791" s="40" t="str">
        <f>IF($C791="","",IFERROR(VLOOKUP($C791,Orders!$A:$J,9,FALSE),""))</f>
        <v/>
      </c>
      <c r="E791" s="40" t="str">
        <f>IF($C791="","",IFERROR(VLOOKUP($C791,Orders!$A:$J,3,FALSE),""))</f>
        <v/>
      </c>
      <c r="F791" s="40" t="str">
        <f>IF($C791="","",IFERROR(VLOOKUP($C791,Orders!$A:$J,4,FALSE),""))</f>
        <v/>
      </c>
      <c r="G791" s="40" t="str">
        <f>IF($C791="","",IFERROR(VLOOKUP($C791,Orders!$A:$J,5,FALSE),""))</f>
        <v/>
      </c>
      <c r="H791" s="40" t="str">
        <f>IF($C791="","",IFERROR(VLOOKUP($C791,Orders!$A:$J,6,FALSE),""))</f>
        <v/>
      </c>
      <c r="I791" s="40" t="str">
        <f>IF($C791="","",IFERROR(VLOOKUP($C791,Orders!$A:$J,7,FALSE),""))</f>
        <v/>
      </c>
      <c r="J791" s="40" t="str">
        <f>IF(Bids!$C791="","",Bids!$C791)</f>
        <v/>
      </c>
      <c r="K791" s="40" t="str">
        <f>IF($J791="","",IFERROR(VLOOKUP($J791,Grinders!$A:$N,2,FALSE),""))</f>
        <v/>
      </c>
      <c r="L791" s="40" t="str">
        <f>IF($J791="","",IFERROR(VLOOKUP($J791,Grinders!$A:$N,3,FALSE),""))</f>
        <v/>
      </c>
      <c r="M791" s="40" t="str">
        <f>IF($J791="","",IFERROR(VLOOKUP($J791,Grinders!$A:$N,4,FALSE),""))</f>
        <v/>
      </c>
      <c r="N791" s="40" t="str">
        <f>IF($J791="","",IFERROR(VLOOKUP($J791,Grinders!$A:$N,5,FALSE),""))</f>
        <v/>
      </c>
      <c r="O791" s="40" t="str">
        <f t="shared" si="2"/>
        <v/>
      </c>
      <c r="P791" s="40" t="str">
        <f>IF($J791="","",IFERROR(VLOOKUP($J791,Grinders!$A:$N,6,FALSE),""))</f>
        <v/>
      </c>
      <c r="Q791" s="40" t="str">
        <f>IF($J791="","",IFERROR(VLOOKUP($J791,Grinders!$A:$N,8,FALSE),""))</f>
        <v/>
      </c>
      <c r="R791" s="40" t="str">
        <f>IFERROR(IF($J791="","",IF($L791="Elite",MAX(50,MIN(100,Config!$B$27*MAX(0,MIN(100,(1-IF($O791="",0,$O791))*100)) + Config!$B$28*MAX(0,MIN(100,(1-MIN(1,IF(Config!$B$30=0,1,$P791/Config!$B$30)))*100)) + Config!$B$29*MAX(0,MIN(100,MIN(1,IF($Q791="",0,$Q791)/Config!$B$23)*100)))),MIN(100,Config!$B$27*MAX(0,MIN(100,(1-IF($O791="",0,$O791))*100)) + Config!$B$28*MAX(0,MIN(100,(1-MIN(1,IF(Config!$B$30=0,1,$P791/Config!$B$30)))*100)) + Config!$B$29*MAX(0,MIN(100,MIN(1,IF($Q791="",0,$Q791)/Config!$B$23)*100))))),"")
</f>
        <v/>
      </c>
      <c r="S791" s="40" t="str">
        <f>IF(Bids!$D791="","",Bids!$D791)</f>
        <v/>
      </c>
      <c r="T791" s="40" t="str">
        <f>IF(Bids!$F791="","",Bids!$F791)</f>
        <v/>
      </c>
      <c r="U791" s="40" t="str">
        <f t="shared" si="3"/>
        <v/>
      </c>
      <c r="V791" s="40" t="str">
        <f>IF($U791="","",IF(Config!$B$17=Config!$B$16,IF($U791&gt;=Config!$B$17,100,0),MAX(0,MIN(100,($U791-Config!$B$16)/(Config!$B$17-Config!$B$16)*100))))</f>
        <v/>
      </c>
      <c r="W791" s="40">
        <f>IF($L791="Elite",Config!$B$21,0)</f>
        <v>0</v>
      </c>
      <c r="X791" s="40" t="str">
        <f>IFERROR(IF(OR($T791="",$G791=""),"",IF($T791&gt;$G791,
  MAX(0, 60-(($T791-$G791)*24/Config!$B$19)*60),
  MEDIAN(60, 100, 60+(($G791-$T791)*24/Config!$B$20)*40)
)),"")
</f>
        <v/>
      </c>
      <c r="Y791" s="40" t="str">
        <f>IF($J791="","",IFERROR(VLOOKUP($J791,Grinders!$A:$N,10,FALSE),""))</f>
        <v/>
      </c>
      <c r="Z791" s="40" t="str">
        <f>IF($J791="","",IFERROR(VLOOKUP($J791,Grinders!$A:$N,11,FALSE),""))</f>
        <v/>
      </c>
      <c r="AA791" s="40" t="str">
        <f>IF($J791="","",IFERROR(VLOOKUP($J791,Grinders!$A:$N,12,FALSE),""))</f>
        <v/>
      </c>
      <c r="AB791" s="40">
        <f>IFERROR(IF(OR($C791="",$J791=""),0,IF($D791&lt;&gt;"Open",0,IF(COUNTIFS(GrinderServices!$B:$B,$J791,GrinderServices!$C:$C,$E791,GrinderServices!$E:$E,"Y")=0,0,IF($U791&lt;Config!$B$16,0,IF(Config!$B$18=1,IF($N791&gt;=$M791,0,1),1))))),"")</f>
        <v>0</v>
      </c>
      <c r="AC791" s="40" t="str">
        <f>IFERROR(IF($AB791=0,"",((Config!$B$6*$V791 + Config!$B$7*$R791 + Config!$B$8*$W791 + Config!$B$9*$X791 + Config!$B$10*$Y791 + Config!$B$11*$Z791 - Config!$B$12*$AA791)/Config!$B$13)+$AH791+$AI791),"")</f>
        <v/>
      </c>
      <c r="AD791" s="40" t="str">
        <f t="shared" si="4"/>
        <v/>
      </c>
      <c r="AE791" s="40" t="str">
        <f>IFERROR(__xludf.DUMMYFUNCTION("IF($AC791="""","""",IF($AC791=IFERROR(MAX(FILTER($AC$6:$AC$1000,$C$6:$C$1000=$C791,$AB$6:$AB$1000=1)),),""WINNER"",""""))"),"")</f>
        <v/>
      </c>
      <c r="AF791" s="40" t="str">
        <f t="shared" si="5"/>
        <v/>
      </c>
      <c r="AG791" s="40" t="str">
        <f>IF($J791="","",COUNTIF(Assignments!$B:$B,$J791))</f>
        <v/>
      </c>
      <c r="AH791" s="40" t="str">
        <f>IF($J791="","",IF(AND($AG791=0,$N791&lt;$M791),Config!$B$43,0))</f>
        <v/>
      </c>
      <c r="AI791" s="40" t="str">
        <f>IF($J791="","",IF(AND($L791="Elite",$F791&gt;=Config!$B$41,$N791&lt;$M791),Config!$B$42,0))</f>
        <v/>
      </c>
      <c r="AJ791" s="22"/>
    </row>
    <row r="792" ht="15.75" customHeight="1">
      <c r="A792" s="40" t="str">
        <f t="shared" si="1"/>
        <v/>
      </c>
      <c r="B792" s="40" t="str">
        <f>IF(Bids!$A792="","",Bids!$A792)</f>
        <v/>
      </c>
      <c r="C792" s="40" t="str">
        <f>IF(Bids!$B792="","",Bids!$B792)</f>
        <v/>
      </c>
      <c r="D792" s="40" t="str">
        <f>IF($C792="","",IFERROR(VLOOKUP($C792,Orders!$A:$J,9,FALSE),""))</f>
        <v/>
      </c>
      <c r="E792" s="40" t="str">
        <f>IF($C792="","",IFERROR(VLOOKUP($C792,Orders!$A:$J,3,FALSE),""))</f>
        <v/>
      </c>
      <c r="F792" s="40" t="str">
        <f>IF($C792="","",IFERROR(VLOOKUP($C792,Orders!$A:$J,4,FALSE),""))</f>
        <v/>
      </c>
      <c r="G792" s="40" t="str">
        <f>IF($C792="","",IFERROR(VLOOKUP($C792,Orders!$A:$J,5,FALSE),""))</f>
        <v/>
      </c>
      <c r="H792" s="40" t="str">
        <f>IF($C792="","",IFERROR(VLOOKUP($C792,Orders!$A:$J,6,FALSE),""))</f>
        <v/>
      </c>
      <c r="I792" s="40" t="str">
        <f>IF($C792="","",IFERROR(VLOOKUP($C792,Orders!$A:$J,7,FALSE),""))</f>
        <v/>
      </c>
      <c r="J792" s="40" t="str">
        <f>IF(Bids!$C792="","",Bids!$C792)</f>
        <v/>
      </c>
      <c r="K792" s="40" t="str">
        <f>IF($J792="","",IFERROR(VLOOKUP($J792,Grinders!$A:$N,2,FALSE),""))</f>
        <v/>
      </c>
      <c r="L792" s="40" t="str">
        <f>IF($J792="","",IFERROR(VLOOKUP($J792,Grinders!$A:$N,3,FALSE),""))</f>
        <v/>
      </c>
      <c r="M792" s="40" t="str">
        <f>IF($J792="","",IFERROR(VLOOKUP($J792,Grinders!$A:$N,4,FALSE),""))</f>
        <v/>
      </c>
      <c r="N792" s="40" t="str">
        <f>IF($J792="","",IFERROR(VLOOKUP($J792,Grinders!$A:$N,5,FALSE),""))</f>
        <v/>
      </c>
      <c r="O792" s="40" t="str">
        <f t="shared" si="2"/>
        <v/>
      </c>
      <c r="P792" s="40" t="str">
        <f>IF($J792="","",IFERROR(VLOOKUP($J792,Grinders!$A:$N,6,FALSE),""))</f>
        <v/>
      </c>
      <c r="Q792" s="40" t="str">
        <f>IF($J792="","",IFERROR(VLOOKUP($J792,Grinders!$A:$N,8,FALSE),""))</f>
        <v/>
      </c>
      <c r="R792" s="40" t="str">
        <f>IFERROR(IF($J792="","",IF($L792="Elite",MAX(50,MIN(100,Config!$B$27*MAX(0,MIN(100,(1-IF($O792="",0,$O792))*100)) + Config!$B$28*MAX(0,MIN(100,(1-MIN(1,IF(Config!$B$30=0,1,$P792/Config!$B$30)))*100)) + Config!$B$29*MAX(0,MIN(100,MIN(1,IF($Q792="",0,$Q792)/Config!$B$23)*100)))),MIN(100,Config!$B$27*MAX(0,MIN(100,(1-IF($O792="",0,$O792))*100)) + Config!$B$28*MAX(0,MIN(100,(1-MIN(1,IF(Config!$B$30=0,1,$P792/Config!$B$30)))*100)) + Config!$B$29*MAX(0,MIN(100,MIN(1,IF($Q792="",0,$Q792)/Config!$B$23)*100))))),"")
</f>
        <v/>
      </c>
      <c r="S792" s="40" t="str">
        <f>IF(Bids!$D792="","",Bids!$D792)</f>
        <v/>
      </c>
      <c r="T792" s="40" t="str">
        <f>IF(Bids!$F792="","",Bids!$F792)</f>
        <v/>
      </c>
      <c r="U792" s="40" t="str">
        <f t="shared" si="3"/>
        <v/>
      </c>
      <c r="V792" s="40" t="str">
        <f>IF($U792="","",IF(Config!$B$17=Config!$B$16,IF($U792&gt;=Config!$B$17,100,0),MAX(0,MIN(100,($U792-Config!$B$16)/(Config!$B$17-Config!$B$16)*100))))</f>
        <v/>
      </c>
      <c r="W792" s="40">
        <f>IF($L792="Elite",Config!$B$21,0)</f>
        <v>0</v>
      </c>
      <c r="X792" s="40" t="str">
        <f>IFERROR(IF(OR($T792="",$G792=""),"",IF($T792&gt;$G792,
  MAX(0, 60-(($T792-$G792)*24/Config!$B$19)*60),
  MEDIAN(60, 100, 60+(($G792-$T792)*24/Config!$B$20)*40)
)),"")
</f>
        <v/>
      </c>
      <c r="Y792" s="40" t="str">
        <f>IF($J792="","",IFERROR(VLOOKUP($J792,Grinders!$A:$N,10,FALSE),""))</f>
        <v/>
      </c>
      <c r="Z792" s="40" t="str">
        <f>IF($J792="","",IFERROR(VLOOKUP($J792,Grinders!$A:$N,11,FALSE),""))</f>
        <v/>
      </c>
      <c r="AA792" s="40" t="str">
        <f>IF($J792="","",IFERROR(VLOOKUP($J792,Grinders!$A:$N,12,FALSE),""))</f>
        <v/>
      </c>
      <c r="AB792" s="40">
        <f>IFERROR(IF(OR($C792="",$J792=""),0,IF($D792&lt;&gt;"Open",0,IF(COUNTIFS(GrinderServices!$B:$B,$J792,GrinderServices!$C:$C,$E792,GrinderServices!$E:$E,"Y")=0,0,IF($U792&lt;Config!$B$16,0,IF(Config!$B$18=1,IF($N792&gt;=$M792,0,1),1))))),"")</f>
        <v>0</v>
      </c>
      <c r="AC792" s="40" t="str">
        <f>IFERROR(IF($AB792=0,"",((Config!$B$6*$V792 + Config!$B$7*$R792 + Config!$B$8*$W792 + Config!$B$9*$X792 + Config!$B$10*$Y792 + Config!$B$11*$Z792 - Config!$B$12*$AA792)/Config!$B$13)+$AH792+$AI792),"")</f>
        <v/>
      </c>
      <c r="AD792" s="40" t="str">
        <f t="shared" si="4"/>
        <v/>
      </c>
      <c r="AE792" s="40" t="str">
        <f>IFERROR(__xludf.DUMMYFUNCTION("IF($AC792="""","""",IF($AC792=IFERROR(MAX(FILTER($AC$6:$AC$1000,$C$6:$C$1000=$C792,$AB$6:$AB$1000=1)),),""WINNER"",""""))"),"")</f>
        <v/>
      </c>
      <c r="AF792" s="40" t="str">
        <f t="shared" si="5"/>
        <v/>
      </c>
      <c r="AG792" s="40" t="str">
        <f>IF($J792="","",COUNTIF(Assignments!$B:$B,$J792))</f>
        <v/>
      </c>
      <c r="AH792" s="40" t="str">
        <f>IF($J792="","",IF(AND($AG792=0,$N792&lt;$M792),Config!$B$43,0))</f>
        <v/>
      </c>
      <c r="AI792" s="40" t="str">
        <f>IF($J792="","",IF(AND($L792="Elite",$F792&gt;=Config!$B$41,$N792&lt;$M792),Config!$B$42,0))</f>
        <v/>
      </c>
      <c r="AJ792" s="22"/>
    </row>
    <row r="793" ht="15.75" customHeight="1">
      <c r="A793" s="40" t="str">
        <f t="shared" si="1"/>
        <v/>
      </c>
      <c r="B793" s="40" t="str">
        <f>IF(Bids!$A793="","",Bids!$A793)</f>
        <v/>
      </c>
      <c r="C793" s="40" t="str">
        <f>IF(Bids!$B793="","",Bids!$B793)</f>
        <v/>
      </c>
      <c r="D793" s="40" t="str">
        <f>IF($C793="","",IFERROR(VLOOKUP($C793,Orders!$A:$J,9,FALSE),""))</f>
        <v/>
      </c>
      <c r="E793" s="40" t="str">
        <f>IF($C793="","",IFERROR(VLOOKUP($C793,Orders!$A:$J,3,FALSE),""))</f>
        <v/>
      </c>
      <c r="F793" s="40" t="str">
        <f>IF($C793="","",IFERROR(VLOOKUP($C793,Orders!$A:$J,4,FALSE),""))</f>
        <v/>
      </c>
      <c r="G793" s="40" t="str">
        <f>IF($C793="","",IFERROR(VLOOKUP($C793,Orders!$A:$J,5,FALSE),""))</f>
        <v/>
      </c>
      <c r="H793" s="40" t="str">
        <f>IF($C793="","",IFERROR(VLOOKUP($C793,Orders!$A:$J,6,FALSE),""))</f>
        <v/>
      </c>
      <c r="I793" s="40" t="str">
        <f>IF($C793="","",IFERROR(VLOOKUP($C793,Orders!$A:$J,7,FALSE),""))</f>
        <v/>
      </c>
      <c r="J793" s="40" t="str">
        <f>IF(Bids!$C793="","",Bids!$C793)</f>
        <v/>
      </c>
      <c r="K793" s="40" t="str">
        <f>IF($J793="","",IFERROR(VLOOKUP($J793,Grinders!$A:$N,2,FALSE),""))</f>
        <v/>
      </c>
      <c r="L793" s="40" t="str">
        <f>IF($J793="","",IFERROR(VLOOKUP($J793,Grinders!$A:$N,3,FALSE),""))</f>
        <v/>
      </c>
      <c r="M793" s="40" t="str">
        <f>IF($J793="","",IFERROR(VLOOKUP($J793,Grinders!$A:$N,4,FALSE),""))</f>
        <v/>
      </c>
      <c r="N793" s="40" t="str">
        <f>IF($J793="","",IFERROR(VLOOKUP($J793,Grinders!$A:$N,5,FALSE),""))</f>
        <v/>
      </c>
      <c r="O793" s="40" t="str">
        <f t="shared" si="2"/>
        <v/>
      </c>
      <c r="P793" s="40" t="str">
        <f>IF($J793="","",IFERROR(VLOOKUP($J793,Grinders!$A:$N,6,FALSE),""))</f>
        <v/>
      </c>
      <c r="Q793" s="40" t="str">
        <f>IF($J793="","",IFERROR(VLOOKUP($J793,Grinders!$A:$N,8,FALSE),""))</f>
        <v/>
      </c>
      <c r="R793" s="40" t="str">
        <f>IFERROR(IF($J793="","",IF($L793="Elite",MAX(50,MIN(100,Config!$B$27*MAX(0,MIN(100,(1-IF($O793="",0,$O793))*100)) + Config!$B$28*MAX(0,MIN(100,(1-MIN(1,IF(Config!$B$30=0,1,$P793/Config!$B$30)))*100)) + Config!$B$29*MAX(0,MIN(100,MIN(1,IF($Q793="",0,$Q793)/Config!$B$23)*100)))),MIN(100,Config!$B$27*MAX(0,MIN(100,(1-IF($O793="",0,$O793))*100)) + Config!$B$28*MAX(0,MIN(100,(1-MIN(1,IF(Config!$B$30=0,1,$P793/Config!$B$30)))*100)) + Config!$B$29*MAX(0,MIN(100,MIN(1,IF($Q793="",0,$Q793)/Config!$B$23)*100))))),"")
</f>
        <v/>
      </c>
      <c r="S793" s="40" t="str">
        <f>IF(Bids!$D793="","",Bids!$D793)</f>
        <v/>
      </c>
      <c r="T793" s="40" t="str">
        <f>IF(Bids!$F793="","",Bids!$F793)</f>
        <v/>
      </c>
      <c r="U793" s="40" t="str">
        <f t="shared" si="3"/>
        <v/>
      </c>
      <c r="V793" s="40" t="str">
        <f>IF($U793="","",IF(Config!$B$17=Config!$B$16,IF($U793&gt;=Config!$B$17,100,0),MAX(0,MIN(100,($U793-Config!$B$16)/(Config!$B$17-Config!$B$16)*100))))</f>
        <v/>
      </c>
      <c r="W793" s="40">
        <f>IF($L793="Elite",Config!$B$21,0)</f>
        <v>0</v>
      </c>
      <c r="X793" s="40" t="str">
        <f>IFERROR(IF(OR($T793="",$G793=""),"",IF($T793&gt;$G793,
  MAX(0, 60-(($T793-$G793)*24/Config!$B$19)*60),
  MEDIAN(60, 100, 60+(($G793-$T793)*24/Config!$B$20)*40)
)),"")
</f>
        <v/>
      </c>
      <c r="Y793" s="40" t="str">
        <f>IF($J793="","",IFERROR(VLOOKUP($J793,Grinders!$A:$N,10,FALSE),""))</f>
        <v/>
      </c>
      <c r="Z793" s="40" t="str">
        <f>IF($J793="","",IFERROR(VLOOKUP($J793,Grinders!$A:$N,11,FALSE),""))</f>
        <v/>
      </c>
      <c r="AA793" s="40" t="str">
        <f>IF($J793="","",IFERROR(VLOOKUP($J793,Grinders!$A:$N,12,FALSE),""))</f>
        <v/>
      </c>
      <c r="AB793" s="40">
        <f>IFERROR(IF(OR($C793="",$J793=""),0,IF($D793&lt;&gt;"Open",0,IF(COUNTIFS(GrinderServices!$B:$B,$J793,GrinderServices!$C:$C,$E793,GrinderServices!$E:$E,"Y")=0,0,IF($U793&lt;Config!$B$16,0,IF(Config!$B$18=1,IF($N793&gt;=$M793,0,1),1))))),"")</f>
        <v>0</v>
      </c>
      <c r="AC793" s="40" t="str">
        <f>IFERROR(IF($AB793=0,"",((Config!$B$6*$V793 + Config!$B$7*$R793 + Config!$B$8*$W793 + Config!$B$9*$X793 + Config!$B$10*$Y793 + Config!$B$11*$Z793 - Config!$B$12*$AA793)/Config!$B$13)+$AH793+$AI793),"")</f>
        <v/>
      </c>
      <c r="AD793" s="40" t="str">
        <f t="shared" si="4"/>
        <v/>
      </c>
      <c r="AE793" s="40" t="str">
        <f>IFERROR(__xludf.DUMMYFUNCTION("IF($AC793="""","""",IF($AC793=IFERROR(MAX(FILTER($AC$6:$AC$1000,$C$6:$C$1000=$C793,$AB$6:$AB$1000=1)),),""WINNER"",""""))"),"")</f>
        <v/>
      </c>
      <c r="AF793" s="40" t="str">
        <f t="shared" si="5"/>
        <v/>
      </c>
      <c r="AG793" s="40" t="str">
        <f>IF($J793="","",COUNTIF(Assignments!$B:$B,$J793))</f>
        <v/>
      </c>
      <c r="AH793" s="40" t="str">
        <f>IF($J793="","",IF(AND($AG793=0,$N793&lt;$M793),Config!$B$43,0))</f>
        <v/>
      </c>
      <c r="AI793" s="40" t="str">
        <f>IF($J793="","",IF(AND($L793="Elite",$F793&gt;=Config!$B$41,$N793&lt;$M793),Config!$B$42,0))</f>
        <v/>
      </c>
      <c r="AJ793" s="22"/>
    </row>
    <row r="794" ht="15.75" customHeight="1">
      <c r="A794" s="40" t="str">
        <f t="shared" si="1"/>
        <v/>
      </c>
      <c r="B794" s="40" t="str">
        <f>IF(Bids!$A794="","",Bids!$A794)</f>
        <v/>
      </c>
      <c r="C794" s="40" t="str">
        <f>IF(Bids!$B794="","",Bids!$B794)</f>
        <v/>
      </c>
      <c r="D794" s="40" t="str">
        <f>IF($C794="","",IFERROR(VLOOKUP($C794,Orders!$A:$J,9,FALSE),""))</f>
        <v/>
      </c>
      <c r="E794" s="40" t="str">
        <f>IF($C794="","",IFERROR(VLOOKUP($C794,Orders!$A:$J,3,FALSE),""))</f>
        <v/>
      </c>
      <c r="F794" s="40" t="str">
        <f>IF($C794="","",IFERROR(VLOOKUP($C794,Orders!$A:$J,4,FALSE),""))</f>
        <v/>
      </c>
      <c r="G794" s="40" t="str">
        <f>IF($C794="","",IFERROR(VLOOKUP($C794,Orders!$A:$J,5,FALSE),""))</f>
        <v/>
      </c>
      <c r="H794" s="40" t="str">
        <f>IF($C794="","",IFERROR(VLOOKUP($C794,Orders!$A:$J,6,FALSE),""))</f>
        <v/>
      </c>
      <c r="I794" s="40" t="str">
        <f>IF($C794="","",IFERROR(VLOOKUP($C794,Orders!$A:$J,7,FALSE),""))</f>
        <v/>
      </c>
      <c r="J794" s="40" t="str">
        <f>IF(Bids!$C794="","",Bids!$C794)</f>
        <v/>
      </c>
      <c r="K794" s="40" t="str">
        <f>IF($J794="","",IFERROR(VLOOKUP($J794,Grinders!$A:$N,2,FALSE),""))</f>
        <v/>
      </c>
      <c r="L794" s="40" t="str">
        <f>IF($J794="","",IFERROR(VLOOKUP($J794,Grinders!$A:$N,3,FALSE),""))</f>
        <v/>
      </c>
      <c r="M794" s="40" t="str">
        <f>IF($J794="","",IFERROR(VLOOKUP($J794,Grinders!$A:$N,4,FALSE),""))</f>
        <v/>
      </c>
      <c r="N794" s="40" t="str">
        <f>IF($J794="","",IFERROR(VLOOKUP($J794,Grinders!$A:$N,5,FALSE),""))</f>
        <v/>
      </c>
      <c r="O794" s="40" t="str">
        <f t="shared" si="2"/>
        <v/>
      </c>
      <c r="P794" s="40" t="str">
        <f>IF($J794="","",IFERROR(VLOOKUP($J794,Grinders!$A:$N,6,FALSE),""))</f>
        <v/>
      </c>
      <c r="Q794" s="40" t="str">
        <f>IF($J794="","",IFERROR(VLOOKUP($J794,Grinders!$A:$N,8,FALSE),""))</f>
        <v/>
      </c>
      <c r="R794" s="40" t="str">
        <f>IFERROR(IF($J794="","",IF($L794="Elite",MAX(50,MIN(100,Config!$B$27*MAX(0,MIN(100,(1-IF($O794="",0,$O794))*100)) + Config!$B$28*MAX(0,MIN(100,(1-MIN(1,IF(Config!$B$30=0,1,$P794/Config!$B$30)))*100)) + Config!$B$29*MAX(0,MIN(100,MIN(1,IF($Q794="",0,$Q794)/Config!$B$23)*100)))),MIN(100,Config!$B$27*MAX(0,MIN(100,(1-IF($O794="",0,$O794))*100)) + Config!$B$28*MAX(0,MIN(100,(1-MIN(1,IF(Config!$B$30=0,1,$P794/Config!$B$30)))*100)) + Config!$B$29*MAX(0,MIN(100,MIN(1,IF($Q794="",0,$Q794)/Config!$B$23)*100))))),"")
</f>
        <v/>
      </c>
      <c r="S794" s="40" t="str">
        <f>IF(Bids!$D794="","",Bids!$D794)</f>
        <v/>
      </c>
      <c r="T794" s="40" t="str">
        <f>IF(Bids!$F794="","",Bids!$F794)</f>
        <v/>
      </c>
      <c r="U794" s="40" t="str">
        <f t="shared" si="3"/>
        <v/>
      </c>
      <c r="V794" s="40" t="str">
        <f>IF($U794="","",IF(Config!$B$17=Config!$B$16,IF($U794&gt;=Config!$B$17,100,0),MAX(0,MIN(100,($U794-Config!$B$16)/(Config!$B$17-Config!$B$16)*100))))</f>
        <v/>
      </c>
      <c r="W794" s="40">
        <f>IF($L794="Elite",Config!$B$21,0)</f>
        <v>0</v>
      </c>
      <c r="X794" s="40" t="str">
        <f>IFERROR(IF(OR($T794="",$G794=""),"",IF($T794&gt;$G794,
  MAX(0, 60-(($T794-$G794)*24/Config!$B$19)*60),
  MEDIAN(60, 100, 60+(($G794-$T794)*24/Config!$B$20)*40)
)),"")
</f>
        <v/>
      </c>
      <c r="Y794" s="40" t="str">
        <f>IF($J794="","",IFERROR(VLOOKUP($J794,Grinders!$A:$N,10,FALSE),""))</f>
        <v/>
      </c>
      <c r="Z794" s="40" t="str">
        <f>IF($J794="","",IFERROR(VLOOKUP($J794,Grinders!$A:$N,11,FALSE),""))</f>
        <v/>
      </c>
      <c r="AA794" s="40" t="str">
        <f>IF($J794="","",IFERROR(VLOOKUP($J794,Grinders!$A:$N,12,FALSE),""))</f>
        <v/>
      </c>
      <c r="AB794" s="40">
        <f>IFERROR(IF(OR($C794="",$J794=""),0,IF($D794&lt;&gt;"Open",0,IF(COUNTIFS(GrinderServices!$B:$B,$J794,GrinderServices!$C:$C,$E794,GrinderServices!$E:$E,"Y")=0,0,IF($U794&lt;Config!$B$16,0,IF(Config!$B$18=1,IF($N794&gt;=$M794,0,1),1))))),"")</f>
        <v>0</v>
      </c>
      <c r="AC794" s="40" t="str">
        <f>IFERROR(IF($AB794=0,"",((Config!$B$6*$V794 + Config!$B$7*$R794 + Config!$B$8*$W794 + Config!$B$9*$X794 + Config!$B$10*$Y794 + Config!$B$11*$Z794 - Config!$B$12*$AA794)/Config!$B$13)+$AH794+$AI794),"")</f>
        <v/>
      </c>
      <c r="AD794" s="40" t="str">
        <f t="shared" si="4"/>
        <v/>
      </c>
      <c r="AE794" s="40" t="str">
        <f>IFERROR(__xludf.DUMMYFUNCTION("IF($AC794="""","""",IF($AC794=IFERROR(MAX(FILTER($AC$6:$AC$1000,$C$6:$C$1000=$C794,$AB$6:$AB$1000=1)),),""WINNER"",""""))"),"")</f>
        <v/>
      </c>
      <c r="AF794" s="40" t="str">
        <f t="shared" si="5"/>
        <v/>
      </c>
      <c r="AG794" s="40" t="str">
        <f>IF($J794="","",COUNTIF(Assignments!$B:$B,$J794))</f>
        <v/>
      </c>
      <c r="AH794" s="40" t="str">
        <f>IF($J794="","",IF(AND($AG794=0,$N794&lt;$M794),Config!$B$43,0))</f>
        <v/>
      </c>
      <c r="AI794" s="40" t="str">
        <f>IF($J794="","",IF(AND($L794="Elite",$F794&gt;=Config!$B$41,$N794&lt;$M794),Config!$B$42,0))</f>
        <v/>
      </c>
      <c r="AJ794" s="22"/>
    </row>
    <row r="795" ht="15.75" customHeight="1">
      <c r="A795" s="40" t="str">
        <f t="shared" si="1"/>
        <v/>
      </c>
      <c r="B795" s="40" t="str">
        <f>IF(Bids!$A795="","",Bids!$A795)</f>
        <v/>
      </c>
      <c r="C795" s="40" t="str">
        <f>IF(Bids!$B795="","",Bids!$B795)</f>
        <v/>
      </c>
      <c r="D795" s="40" t="str">
        <f>IF($C795="","",IFERROR(VLOOKUP($C795,Orders!$A:$J,9,FALSE),""))</f>
        <v/>
      </c>
      <c r="E795" s="40" t="str">
        <f>IF($C795="","",IFERROR(VLOOKUP($C795,Orders!$A:$J,3,FALSE),""))</f>
        <v/>
      </c>
      <c r="F795" s="40" t="str">
        <f>IF($C795="","",IFERROR(VLOOKUP($C795,Orders!$A:$J,4,FALSE),""))</f>
        <v/>
      </c>
      <c r="G795" s="40" t="str">
        <f>IF($C795="","",IFERROR(VLOOKUP($C795,Orders!$A:$J,5,FALSE),""))</f>
        <v/>
      </c>
      <c r="H795" s="40" t="str">
        <f>IF($C795="","",IFERROR(VLOOKUP($C795,Orders!$A:$J,6,FALSE),""))</f>
        <v/>
      </c>
      <c r="I795" s="40" t="str">
        <f>IF($C795="","",IFERROR(VLOOKUP($C795,Orders!$A:$J,7,FALSE),""))</f>
        <v/>
      </c>
      <c r="J795" s="40" t="str">
        <f>IF(Bids!$C795="","",Bids!$C795)</f>
        <v/>
      </c>
      <c r="K795" s="40" t="str">
        <f>IF($J795="","",IFERROR(VLOOKUP($J795,Grinders!$A:$N,2,FALSE),""))</f>
        <v/>
      </c>
      <c r="L795" s="40" t="str">
        <f>IF($J795="","",IFERROR(VLOOKUP($J795,Grinders!$A:$N,3,FALSE),""))</f>
        <v/>
      </c>
      <c r="M795" s="40" t="str">
        <f>IF($J795="","",IFERROR(VLOOKUP($J795,Grinders!$A:$N,4,FALSE),""))</f>
        <v/>
      </c>
      <c r="N795" s="40" t="str">
        <f>IF($J795="","",IFERROR(VLOOKUP($J795,Grinders!$A:$N,5,FALSE),""))</f>
        <v/>
      </c>
      <c r="O795" s="40" t="str">
        <f t="shared" si="2"/>
        <v/>
      </c>
      <c r="P795" s="40" t="str">
        <f>IF($J795="","",IFERROR(VLOOKUP($J795,Grinders!$A:$N,6,FALSE),""))</f>
        <v/>
      </c>
      <c r="Q795" s="40" t="str">
        <f>IF($J795="","",IFERROR(VLOOKUP($J795,Grinders!$A:$N,8,FALSE),""))</f>
        <v/>
      </c>
      <c r="R795" s="40" t="str">
        <f>IFERROR(IF($J795="","",IF($L795="Elite",MAX(50,MIN(100,Config!$B$27*MAX(0,MIN(100,(1-IF($O795="",0,$O795))*100)) + Config!$B$28*MAX(0,MIN(100,(1-MIN(1,IF(Config!$B$30=0,1,$P795/Config!$B$30)))*100)) + Config!$B$29*MAX(0,MIN(100,MIN(1,IF($Q795="",0,$Q795)/Config!$B$23)*100)))),MIN(100,Config!$B$27*MAX(0,MIN(100,(1-IF($O795="",0,$O795))*100)) + Config!$B$28*MAX(0,MIN(100,(1-MIN(1,IF(Config!$B$30=0,1,$P795/Config!$B$30)))*100)) + Config!$B$29*MAX(0,MIN(100,MIN(1,IF($Q795="",0,$Q795)/Config!$B$23)*100))))),"")
</f>
        <v/>
      </c>
      <c r="S795" s="40" t="str">
        <f>IF(Bids!$D795="","",Bids!$D795)</f>
        <v/>
      </c>
      <c r="T795" s="40" t="str">
        <f>IF(Bids!$F795="","",Bids!$F795)</f>
        <v/>
      </c>
      <c r="U795" s="40" t="str">
        <f t="shared" si="3"/>
        <v/>
      </c>
      <c r="V795" s="40" t="str">
        <f>IF($U795="","",IF(Config!$B$17=Config!$B$16,IF($U795&gt;=Config!$B$17,100,0),MAX(0,MIN(100,($U795-Config!$B$16)/(Config!$B$17-Config!$B$16)*100))))</f>
        <v/>
      </c>
      <c r="W795" s="40">
        <f>IF($L795="Elite",Config!$B$21,0)</f>
        <v>0</v>
      </c>
      <c r="X795" s="40" t="str">
        <f>IFERROR(IF(OR($T795="",$G795=""),"",IF($T795&gt;$G795,
  MAX(0, 60-(($T795-$G795)*24/Config!$B$19)*60),
  MEDIAN(60, 100, 60+(($G795-$T795)*24/Config!$B$20)*40)
)),"")
</f>
        <v/>
      </c>
      <c r="Y795" s="40" t="str">
        <f>IF($J795="","",IFERROR(VLOOKUP($J795,Grinders!$A:$N,10,FALSE),""))</f>
        <v/>
      </c>
      <c r="Z795" s="40" t="str">
        <f>IF($J795="","",IFERROR(VLOOKUP($J795,Grinders!$A:$N,11,FALSE),""))</f>
        <v/>
      </c>
      <c r="AA795" s="40" t="str">
        <f>IF($J795="","",IFERROR(VLOOKUP($J795,Grinders!$A:$N,12,FALSE),""))</f>
        <v/>
      </c>
      <c r="AB795" s="40">
        <f>IFERROR(IF(OR($C795="",$J795=""),0,IF($D795&lt;&gt;"Open",0,IF(COUNTIFS(GrinderServices!$B:$B,$J795,GrinderServices!$C:$C,$E795,GrinderServices!$E:$E,"Y")=0,0,IF($U795&lt;Config!$B$16,0,IF(Config!$B$18=1,IF($N795&gt;=$M795,0,1),1))))),"")</f>
        <v>0</v>
      </c>
      <c r="AC795" s="40" t="str">
        <f>IFERROR(IF($AB795=0,"",((Config!$B$6*$V795 + Config!$B$7*$R795 + Config!$B$8*$W795 + Config!$B$9*$X795 + Config!$B$10*$Y795 + Config!$B$11*$Z795 - Config!$B$12*$AA795)/Config!$B$13)+$AH795+$AI795),"")</f>
        <v/>
      </c>
      <c r="AD795" s="40" t="str">
        <f t="shared" si="4"/>
        <v/>
      </c>
      <c r="AE795" s="40" t="str">
        <f>IFERROR(__xludf.DUMMYFUNCTION("IF($AC795="""","""",IF($AC795=IFERROR(MAX(FILTER($AC$6:$AC$1000,$C$6:$C$1000=$C795,$AB$6:$AB$1000=1)),),""WINNER"",""""))"),"")</f>
        <v/>
      </c>
      <c r="AF795" s="40" t="str">
        <f t="shared" si="5"/>
        <v/>
      </c>
      <c r="AG795" s="40" t="str">
        <f>IF($J795="","",COUNTIF(Assignments!$B:$B,$J795))</f>
        <v/>
      </c>
      <c r="AH795" s="40" t="str">
        <f>IF($J795="","",IF(AND($AG795=0,$N795&lt;$M795),Config!$B$43,0))</f>
        <v/>
      </c>
      <c r="AI795" s="40" t="str">
        <f>IF($J795="","",IF(AND($L795="Elite",$F795&gt;=Config!$B$41,$N795&lt;$M795),Config!$B$42,0))</f>
        <v/>
      </c>
      <c r="AJ795" s="22"/>
    </row>
    <row r="796" ht="15.75" customHeight="1">
      <c r="A796" s="40" t="str">
        <f t="shared" si="1"/>
        <v/>
      </c>
      <c r="B796" s="40" t="str">
        <f>IF(Bids!$A796="","",Bids!$A796)</f>
        <v/>
      </c>
      <c r="C796" s="40" t="str">
        <f>IF(Bids!$B796="","",Bids!$B796)</f>
        <v/>
      </c>
      <c r="D796" s="40" t="str">
        <f>IF($C796="","",IFERROR(VLOOKUP($C796,Orders!$A:$J,9,FALSE),""))</f>
        <v/>
      </c>
      <c r="E796" s="40" t="str">
        <f>IF($C796="","",IFERROR(VLOOKUP($C796,Orders!$A:$J,3,FALSE),""))</f>
        <v/>
      </c>
      <c r="F796" s="40" t="str">
        <f>IF($C796="","",IFERROR(VLOOKUP($C796,Orders!$A:$J,4,FALSE),""))</f>
        <v/>
      </c>
      <c r="G796" s="40" t="str">
        <f>IF($C796="","",IFERROR(VLOOKUP($C796,Orders!$A:$J,5,FALSE),""))</f>
        <v/>
      </c>
      <c r="H796" s="40" t="str">
        <f>IF($C796="","",IFERROR(VLOOKUP($C796,Orders!$A:$J,6,FALSE),""))</f>
        <v/>
      </c>
      <c r="I796" s="40" t="str">
        <f>IF($C796="","",IFERROR(VLOOKUP($C796,Orders!$A:$J,7,FALSE),""))</f>
        <v/>
      </c>
      <c r="J796" s="40" t="str">
        <f>IF(Bids!$C796="","",Bids!$C796)</f>
        <v/>
      </c>
      <c r="K796" s="40" t="str">
        <f>IF($J796="","",IFERROR(VLOOKUP($J796,Grinders!$A:$N,2,FALSE),""))</f>
        <v/>
      </c>
      <c r="L796" s="40" t="str">
        <f>IF($J796="","",IFERROR(VLOOKUP($J796,Grinders!$A:$N,3,FALSE),""))</f>
        <v/>
      </c>
      <c r="M796" s="40" t="str">
        <f>IF($J796="","",IFERROR(VLOOKUP($J796,Grinders!$A:$N,4,FALSE),""))</f>
        <v/>
      </c>
      <c r="N796" s="40" t="str">
        <f>IF($J796="","",IFERROR(VLOOKUP($J796,Grinders!$A:$N,5,FALSE),""))</f>
        <v/>
      </c>
      <c r="O796" s="40" t="str">
        <f t="shared" si="2"/>
        <v/>
      </c>
      <c r="P796" s="40" t="str">
        <f>IF($J796="","",IFERROR(VLOOKUP($J796,Grinders!$A:$N,6,FALSE),""))</f>
        <v/>
      </c>
      <c r="Q796" s="40" t="str">
        <f>IF($J796="","",IFERROR(VLOOKUP($J796,Grinders!$A:$N,8,FALSE),""))</f>
        <v/>
      </c>
      <c r="R796" s="40" t="str">
        <f>IFERROR(IF($J796="","",IF($L796="Elite",MAX(50,MIN(100,Config!$B$27*MAX(0,MIN(100,(1-IF($O796="",0,$O796))*100)) + Config!$B$28*MAX(0,MIN(100,(1-MIN(1,IF(Config!$B$30=0,1,$P796/Config!$B$30)))*100)) + Config!$B$29*MAX(0,MIN(100,MIN(1,IF($Q796="",0,$Q796)/Config!$B$23)*100)))),MIN(100,Config!$B$27*MAX(0,MIN(100,(1-IF($O796="",0,$O796))*100)) + Config!$B$28*MAX(0,MIN(100,(1-MIN(1,IF(Config!$B$30=0,1,$P796/Config!$B$30)))*100)) + Config!$B$29*MAX(0,MIN(100,MIN(1,IF($Q796="",0,$Q796)/Config!$B$23)*100))))),"")
</f>
        <v/>
      </c>
      <c r="S796" s="40" t="str">
        <f>IF(Bids!$D796="","",Bids!$D796)</f>
        <v/>
      </c>
      <c r="T796" s="40" t="str">
        <f>IF(Bids!$F796="","",Bids!$F796)</f>
        <v/>
      </c>
      <c r="U796" s="40" t="str">
        <f t="shared" si="3"/>
        <v/>
      </c>
      <c r="V796" s="40" t="str">
        <f>IF($U796="","",IF(Config!$B$17=Config!$B$16,IF($U796&gt;=Config!$B$17,100,0),MAX(0,MIN(100,($U796-Config!$B$16)/(Config!$B$17-Config!$B$16)*100))))</f>
        <v/>
      </c>
      <c r="W796" s="40">
        <f>IF($L796="Elite",Config!$B$21,0)</f>
        <v>0</v>
      </c>
      <c r="X796" s="40" t="str">
        <f>IFERROR(IF(OR($T796="",$G796=""),"",IF($T796&gt;$G796,
  MAX(0, 60-(($T796-$G796)*24/Config!$B$19)*60),
  MEDIAN(60, 100, 60+(($G796-$T796)*24/Config!$B$20)*40)
)),"")
</f>
        <v/>
      </c>
      <c r="Y796" s="40" t="str">
        <f>IF($J796="","",IFERROR(VLOOKUP($J796,Grinders!$A:$N,10,FALSE),""))</f>
        <v/>
      </c>
      <c r="Z796" s="40" t="str">
        <f>IF($J796="","",IFERROR(VLOOKUP($J796,Grinders!$A:$N,11,FALSE),""))</f>
        <v/>
      </c>
      <c r="AA796" s="40" t="str">
        <f>IF($J796="","",IFERROR(VLOOKUP($J796,Grinders!$A:$N,12,FALSE),""))</f>
        <v/>
      </c>
      <c r="AB796" s="40">
        <f>IFERROR(IF(OR($C796="",$J796=""),0,IF($D796&lt;&gt;"Open",0,IF(COUNTIFS(GrinderServices!$B:$B,$J796,GrinderServices!$C:$C,$E796,GrinderServices!$E:$E,"Y")=0,0,IF($U796&lt;Config!$B$16,0,IF(Config!$B$18=1,IF($N796&gt;=$M796,0,1),1))))),"")</f>
        <v>0</v>
      </c>
      <c r="AC796" s="40" t="str">
        <f>IFERROR(IF($AB796=0,"",((Config!$B$6*$V796 + Config!$B$7*$R796 + Config!$B$8*$W796 + Config!$B$9*$X796 + Config!$B$10*$Y796 + Config!$B$11*$Z796 - Config!$B$12*$AA796)/Config!$B$13)+$AH796+$AI796),"")</f>
        <v/>
      </c>
      <c r="AD796" s="40" t="str">
        <f t="shared" si="4"/>
        <v/>
      </c>
      <c r="AE796" s="40" t="str">
        <f>IFERROR(__xludf.DUMMYFUNCTION("IF($AC796="""","""",IF($AC796=IFERROR(MAX(FILTER($AC$6:$AC$1000,$C$6:$C$1000=$C796,$AB$6:$AB$1000=1)),),""WINNER"",""""))"),"")</f>
        <v/>
      </c>
      <c r="AF796" s="40" t="str">
        <f t="shared" si="5"/>
        <v/>
      </c>
      <c r="AG796" s="40" t="str">
        <f>IF($J796="","",COUNTIF(Assignments!$B:$B,$J796))</f>
        <v/>
      </c>
      <c r="AH796" s="40" t="str">
        <f>IF($J796="","",IF(AND($AG796=0,$N796&lt;$M796),Config!$B$43,0))</f>
        <v/>
      </c>
      <c r="AI796" s="40" t="str">
        <f>IF($J796="","",IF(AND($L796="Elite",$F796&gt;=Config!$B$41,$N796&lt;$M796),Config!$B$42,0))</f>
        <v/>
      </c>
      <c r="AJ796" s="22"/>
    </row>
    <row r="797" ht="15.75" customHeight="1">
      <c r="A797" s="40" t="str">
        <f t="shared" si="1"/>
        <v/>
      </c>
      <c r="B797" s="40" t="str">
        <f>IF(Bids!$A797="","",Bids!$A797)</f>
        <v/>
      </c>
      <c r="C797" s="40" t="str">
        <f>IF(Bids!$B797="","",Bids!$B797)</f>
        <v/>
      </c>
      <c r="D797" s="40" t="str">
        <f>IF($C797="","",IFERROR(VLOOKUP($C797,Orders!$A:$J,9,FALSE),""))</f>
        <v/>
      </c>
      <c r="E797" s="40" t="str">
        <f>IF($C797="","",IFERROR(VLOOKUP($C797,Orders!$A:$J,3,FALSE),""))</f>
        <v/>
      </c>
      <c r="F797" s="40" t="str">
        <f>IF($C797="","",IFERROR(VLOOKUP($C797,Orders!$A:$J,4,FALSE),""))</f>
        <v/>
      </c>
      <c r="G797" s="40" t="str">
        <f>IF($C797="","",IFERROR(VLOOKUP($C797,Orders!$A:$J,5,FALSE),""))</f>
        <v/>
      </c>
      <c r="H797" s="40" t="str">
        <f>IF($C797="","",IFERROR(VLOOKUP($C797,Orders!$A:$J,6,FALSE),""))</f>
        <v/>
      </c>
      <c r="I797" s="40" t="str">
        <f>IF($C797="","",IFERROR(VLOOKUP($C797,Orders!$A:$J,7,FALSE),""))</f>
        <v/>
      </c>
      <c r="J797" s="40" t="str">
        <f>IF(Bids!$C797="","",Bids!$C797)</f>
        <v/>
      </c>
      <c r="K797" s="40" t="str">
        <f>IF($J797="","",IFERROR(VLOOKUP($J797,Grinders!$A:$N,2,FALSE),""))</f>
        <v/>
      </c>
      <c r="L797" s="40" t="str">
        <f>IF($J797="","",IFERROR(VLOOKUP($J797,Grinders!$A:$N,3,FALSE),""))</f>
        <v/>
      </c>
      <c r="M797" s="40" t="str">
        <f>IF($J797="","",IFERROR(VLOOKUP($J797,Grinders!$A:$N,4,FALSE),""))</f>
        <v/>
      </c>
      <c r="N797" s="40" t="str">
        <f>IF($J797="","",IFERROR(VLOOKUP($J797,Grinders!$A:$N,5,FALSE),""))</f>
        <v/>
      </c>
      <c r="O797" s="40" t="str">
        <f t="shared" si="2"/>
        <v/>
      </c>
      <c r="P797" s="40" t="str">
        <f>IF($J797="","",IFERROR(VLOOKUP($J797,Grinders!$A:$N,6,FALSE),""))</f>
        <v/>
      </c>
      <c r="Q797" s="40" t="str">
        <f>IF($J797="","",IFERROR(VLOOKUP($J797,Grinders!$A:$N,8,FALSE),""))</f>
        <v/>
      </c>
      <c r="R797" s="40" t="str">
        <f>IFERROR(IF($J797="","",IF($L797="Elite",MAX(50,MIN(100,Config!$B$27*MAX(0,MIN(100,(1-IF($O797="",0,$O797))*100)) + Config!$B$28*MAX(0,MIN(100,(1-MIN(1,IF(Config!$B$30=0,1,$P797/Config!$B$30)))*100)) + Config!$B$29*MAX(0,MIN(100,MIN(1,IF($Q797="",0,$Q797)/Config!$B$23)*100)))),MIN(100,Config!$B$27*MAX(0,MIN(100,(1-IF($O797="",0,$O797))*100)) + Config!$B$28*MAX(0,MIN(100,(1-MIN(1,IF(Config!$B$30=0,1,$P797/Config!$B$30)))*100)) + Config!$B$29*MAX(0,MIN(100,MIN(1,IF($Q797="",0,$Q797)/Config!$B$23)*100))))),"")
</f>
        <v/>
      </c>
      <c r="S797" s="40" t="str">
        <f>IF(Bids!$D797="","",Bids!$D797)</f>
        <v/>
      </c>
      <c r="T797" s="40" t="str">
        <f>IF(Bids!$F797="","",Bids!$F797)</f>
        <v/>
      </c>
      <c r="U797" s="40" t="str">
        <f t="shared" si="3"/>
        <v/>
      </c>
      <c r="V797" s="40" t="str">
        <f>IF($U797="","",IF(Config!$B$17=Config!$B$16,IF($U797&gt;=Config!$B$17,100,0),MAX(0,MIN(100,($U797-Config!$B$16)/(Config!$B$17-Config!$B$16)*100))))</f>
        <v/>
      </c>
      <c r="W797" s="40">
        <f>IF($L797="Elite",Config!$B$21,0)</f>
        <v>0</v>
      </c>
      <c r="X797" s="40" t="str">
        <f>IFERROR(IF(OR($T797="",$G797=""),"",IF($T797&gt;$G797,
  MAX(0, 60-(($T797-$G797)*24/Config!$B$19)*60),
  MEDIAN(60, 100, 60+(($G797-$T797)*24/Config!$B$20)*40)
)),"")
</f>
        <v/>
      </c>
      <c r="Y797" s="40" t="str">
        <f>IF($J797="","",IFERROR(VLOOKUP($J797,Grinders!$A:$N,10,FALSE),""))</f>
        <v/>
      </c>
      <c r="Z797" s="40" t="str">
        <f>IF($J797="","",IFERROR(VLOOKUP($J797,Grinders!$A:$N,11,FALSE),""))</f>
        <v/>
      </c>
      <c r="AA797" s="40" t="str">
        <f>IF($J797="","",IFERROR(VLOOKUP($J797,Grinders!$A:$N,12,FALSE),""))</f>
        <v/>
      </c>
      <c r="AB797" s="40">
        <f>IFERROR(IF(OR($C797="",$J797=""),0,IF($D797&lt;&gt;"Open",0,IF(COUNTIFS(GrinderServices!$B:$B,$J797,GrinderServices!$C:$C,$E797,GrinderServices!$E:$E,"Y")=0,0,IF($U797&lt;Config!$B$16,0,IF(Config!$B$18=1,IF($N797&gt;=$M797,0,1),1))))),"")</f>
        <v>0</v>
      </c>
      <c r="AC797" s="40" t="str">
        <f>IFERROR(IF($AB797=0,"",((Config!$B$6*$V797 + Config!$B$7*$R797 + Config!$B$8*$W797 + Config!$B$9*$X797 + Config!$B$10*$Y797 + Config!$B$11*$Z797 - Config!$B$12*$AA797)/Config!$B$13)+$AH797+$AI797),"")</f>
        <v/>
      </c>
      <c r="AD797" s="40" t="str">
        <f t="shared" si="4"/>
        <v/>
      </c>
      <c r="AE797" s="40" t="str">
        <f>IFERROR(__xludf.DUMMYFUNCTION("IF($AC797="""","""",IF($AC797=IFERROR(MAX(FILTER($AC$6:$AC$1000,$C$6:$C$1000=$C797,$AB$6:$AB$1000=1)),),""WINNER"",""""))"),"")</f>
        <v/>
      </c>
      <c r="AF797" s="40" t="str">
        <f t="shared" si="5"/>
        <v/>
      </c>
      <c r="AG797" s="40" t="str">
        <f>IF($J797="","",COUNTIF(Assignments!$B:$B,$J797))</f>
        <v/>
      </c>
      <c r="AH797" s="40" t="str">
        <f>IF($J797="","",IF(AND($AG797=0,$N797&lt;$M797),Config!$B$43,0))</f>
        <v/>
      </c>
      <c r="AI797" s="40" t="str">
        <f>IF($J797="","",IF(AND($L797="Elite",$F797&gt;=Config!$B$41,$N797&lt;$M797),Config!$B$42,0))</f>
        <v/>
      </c>
      <c r="AJ797" s="22"/>
    </row>
    <row r="798" ht="15.75" customHeight="1">
      <c r="A798" s="40" t="str">
        <f t="shared" si="1"/>
        <v/>
      </c>
      <c r="B798" s="40" t="str">
        <f>IF(Bids!$A798="","",Bids!$A798)</f>
        <v/>
      </c>
      <c r="C798" s="40" t="str">
        <f>IF(Bids!$B798="","",Bids!$B798)</f>
        <v/>
      </c>
      <c r="D798" s="40" t="str">
        <f>IF($C798="","",IFERROR(VLOOKUP($C798,Orders!$A:$J,9,FALSE),""))</f>
        <v/>
      </c>
      <c r="E798" s="40" t="str">
        <f>IF($C798="","",IFERROR(VLOOKUP($C798,Orders!$A:$J,3,FALSE),""))</f>
        <v/>
      </c>
      <c r="F798" s="40" t="str">
        <f>IF($C798="","",IFERROR(VLOOKUP($C798,Orders!$A:$J,4,FALSE),""))</f>
        <v/>
      </c>
      <c r="G798" s="40" t="str">
        <f>IF($C798="","",IFERROR(VLOOKUP($C798,Orders!$A:$J,5,FALSE),""))</f>
        <v/>
      </c>
      <c r="H798" s="40" t="str">
        <f>IF($C798="","",IFERROR(VLOOKUP($C798,Orders!$A:$J,6,FALSE),""))</f>
        <v/>
      </c>
      <c r="I798" s="40" t="str">
        <f>IF($C798="","",IFERROR(VLOOKUP($C798,Orders!$A:$J,7,FALSE),""))</f>
        <v/>
      </c>
      <c r="J798" s="40" t="str">
        <f>IF(Bids!$C798="","",Bids!$C798)</f>
        <v/>
      </c>
      <c r="K798" s="40" t="str">
        <f>IF($J798="","",IFERROR(VLOOKUP($J798,Grinders!$A:$N,2,FALSE),""))</f>
        <v/>
      </c>
      <c r="L798" s="40" t="str">
        <f>IF($J798="","",IFERROR(VLOOKUP($J798,Grinders!$A:$N,3,FALSE),""))</f>
        <v/>
      </c>
      <c r="M798" s="40" t="str">
        <f>IF($J798="","",IFERROR(VLOOKUP($J798,Grinders!$A:$N,4,FALSE),""))</f>
        <v/>
      </c>
      <c r="N798" s="40" t="str">
        <f>IF($J798="","",IFERROR(VLOOKUP($J798,Grinders!$A:$N,5,FALSE),""))</f>
        <v/>
      </c>
      <c r="O798" s="40" t="str">
        <f t="shared" si="2"/>
        <v/>
      </c>
      <c r="P798" s="40" t="str">
        <f>IF($J798="","",IFERROR(VLOOKUP($J798,Grinders!$A:$N,6,FALSE),""))</f>
        <v/>
      </c>
      <c r="Q798" s="40" t="str">
        <f>IF($J798="","",IFERROR(VLOOKUP($J798,Grinders!$A:$N,8,FALSE),""))</f>
        <v/>
      </c>
      <c r="R798" s="40" t="str">
        <f>IFERROR(IF($J798="","",IF($L798="Elite",MAX(50,MIN(100,Config!$B$27*MAX(0,MIN(100,(1-IF($O798="",0,$O798))*100)) + Config!$B$28*MAX(0,MIN(100,(1-MIN(1,IF(Config!$B$30=0,1,$P798/Config!$B$30)))*100)) + Config!$B$29*MAX(0,MIN(100,MIN(1,IF($Q798="",0,$Q798)/Config!$B$23)*100)))),MIN(100,Config!$B$27*MAX(0,MIN(100,(1-IF($O798="",0,$O798))*100)) + Config!$B$28*MAX(0,MIN(100,(1-MIN(1,IF(Config!$B$30=0,1,$P798/Config!$B$30)))*100)) + Config!$B$29*MAX(0,MIN(100,MIN(1,IF($Q798="",0,$Q798)/Config!$B$23)*100))))),"")
</f>
        <v/>
      </c>
      <c r="S798" s="40" t="str">
        <f>IF(Bids!$D798="","",Bids!$D798)</f>
        <v/>
      </c>
      <c r="T798" s="40" t="str">
        <f>IF(Bids!$F798="","",Bids!$F798)</f>
        <v/>
      </c>
      <c r="U798" s="40" t="str">
        <f t="shared" si="3"/>
        <v/>
      </c>
      <c r="V798" s="40" t="str">
        <f>IF($U798="","",IF(Config!$B$17=Config!$B$16,IF($U798&gt;=Config!$B$17,100,0),MAX(0,MIN(100,($U798-Config!$B$16)/(Config!$B$17-Config!$B$16)*100))))</f>
        <v/>
      </c>
      <c r="W798" s="40">
        <f>IF($L798="Elite",Config!$B$21,0)</f>
        <v>0</v>
      </c>
      <c r="X798" s="40" t="str">
        <f>IFERROR(IF(OR($T798="",$G798=""),"",IF($T798&gt;$G798,
  MAX(0, 60-(($T798-$G798)*24/Config!$B$19)*60),
  MEDIAN(60, 100, 60+(($G798-$T798)*24/Config!$B$20)*40)
)),"")
</f>
        <v/>
      </c>
      <c r="Y798" s="40" t="str">
        <f>IF($J798="","",IFERROR(VLOOKUP($J798,Grinders!$A:$N,10,FALSE),""))</f>
        <v/>
      </c>
      <c r="Z798" s="40" t="str">
        <f>IF($J798="","",IFERROR(VLOOKUP($J798,Grinders!$A:$N,11,FALSE),""))</f>
        <v/>
      </c>
      <c r="AA798" s="40" t="str">
        <f>IF($J798="","",IFERROR(VLOOKUP($J798,Grinders!$A:$N,12,FALSE),""))</f>
        <v/>
      </c>
      <c r="AB798" s="40">
        <f>IFERROR(IF(OR($C798="",$J798=""),0,IF($D798&lt;&gt;"Open",0,IF(COUNTIFS(GrinderServices!$B:$B,$J798,GrinderServices!$C:$C,$E798,GrinderServices!$E:$E,"Y")=0,0,IF($U798&lt;Config!$B$16,0,IF(Config!$B$18=1,IF($N798&gt;=$M798,0,1),1))))),"")</f>
        <v>0</v>
      </c>
      <c r="AC798" s="40" t="str">
        <f>IFERROR(IF($AB798=0,"",((Config!$B$6*$V798 + Config!$B$7*$R798 + Config!$B$8*$W798 + Config!$B$9*$X798 + Config!$B$10*$Y798 + Config!$B$11*$Z798 - Config!$B$12*$AA798)/Config!$B$13)+$AH798+$AI798),"")</f>
        <v/>
      </c>
      <c r="AD798" s="40" t="str">
        <f t="shared" si="4"/>
        <v/>
      </c>
      <c r="AE798" s="40" t="str">
        <f>IFERROR(__xludf.DUMMYFUNCTION("IF($AC798="""","""",IF($AC798=IFERROR(MAX(FILTER($AC$6:$AC$1000,$C$6:$C$1000=$C798,$AB$6:$AB$1000=1)),),""WINNER"",""""))"),"")</f>
        <v/>
      </c>
      <c r="AF798" s="40" t="str">
        <f t="shared" si="5"/>
        <v/>
      </c>
      <c r="AG798" s="40" t="str">
        <f>IF($J798="","",COUNTIF(Assignments!$B:$B,$J798))</f>
        <v/>
      </c>
      <c r="AH798" s="40" t="str">
        <f>IF($J798="","",IF(AND($AG798=0,$N798&lt;$M798),Config!$B$43,0))</f>
        <v/>
      </c>
      <c r="AI798" s="40" t="str">
        <f>IF($J798="","",IF(AND($L798="Elite",$F798&gt;=Config!$B$41,$N798&lt;$M798),Config!$B$42,0))</f>
        <v/>
      </c>
      <c r="AJ798" s="22"/>
    </row>
    <row r="799" ht="15.75" customHeight="1">
      <c r="A799" s="40" t="str">
        <f t="shared" si="1"/>
        <v/>
      </c>
      <c r="B799" s="40" t="str">
        <f>IF(Bids!$A799="","",Bids!$A799)</f>
        <v/>
      </c>
      <c r="C799" s="40" t="str">
        <f>IF(Bids!$B799="","",Bids!$B799)</f>
        <v/>
      </c>
      <c r="D799" s="40" t="str">
        <f>IF($C799="","",IFERROR(VLOOKUP($C799,Orders!$A:$J,9,FALSE),""))</f>
        <v/>
      </c>
      <c r="E799" s="40" t="str">
        <f>IF($C799="","",IFERROR(VLOOKUP($C799,Orders!$A:$J,3,FALSE),""))</f>
        <v/>
      </c>
      <c r="F799" s="40" t="str">
        <f>IF($C799="","",IFERROR(VLOOKUP($C799,Orders!$A:$J,4,FALSE),""))</f>
        <v/>
      </c>
      <c r="G799" s="40" t="str">
        <f>IF($C799="","",IFERROR(VLOOKUP($C799,Orders!$A:$J,5,FALSE),""))</f>
        <v/>
      </c>
      <c r="H799" s="40" t="str">
        <f>IF($C799="","",IFERROR(VLOOKUP($C799,Orders!$A:$J,6,FALSE),""))</f>
        <v/>
      </c>
      <c r="I799" s="40" t="str">
        <f>IF($C799="","",IFERROR(VLOOKUP($C799,Orders!$A:$J,7,FALSE),""))</f>
        <v/>
      </c>
      <c r="J799" s="40" t="str">
        <f>IF(Bids!$C799="","",Bids!$C799)</f>
        <v/>
      </c>
      <c r="K799" s="40" t="str">
        <f>IF($J799="","",IFERROR(VLOOKUP($J799,Grinders!$A:$N,2,FALSE),""))</f>
        <v/>
      </c>
      <c r="L799" s="40" t="str">
        <f>IF($J799="","",IFERROR(VLOOKUP($J799,Grinders!$A:$N,3,FALSE),""))</f>
        <v/>
      </c>
      <c r="M799" s="40" t="str">
        <f>IF($J799="","",IFERROR(VLOOKUP($J799,Grinders!$A:$N,4,FALSE),""))</f>
        <v/>
      </c>
      <c r="N799" s="40" t="str">
        <f>IF($J799="","",IFERROR(VLOOKUP($J799,Grinders!$A:$N,5,FALSE),""))</f>
        <v/>
      </c>
      <c r="O799" s="40" t="str">
        <f t="shared" si="2"/>
        <v/>
      </c>
      <c r="P799" s="40" t="str">
        <f>IF($J799="","",IFERROR(VLOOKUP($J799,Grinders!$A:$N,6,FALSE),""))</f>
        <v/>
      </c>
      <c r="Q799" s="40" t="str">
        <f>IF($J799="","",IFERROR(VLOOKUP($J799,Grinders!$A:$N,8,FALSE),""))</f>
        <v/>
      </c>
      <c r="R799" s="40" t="str">
        <f>IFERROR(IF($J799="","",IF($L799="Elite",MAX(50,MIN(100,Config!$B$27*MAX(0,MIN(100,(1-IF($O799="",0,$O799))*100)) + Config!$B$28*MAX(0,MIN(100,(1-MIN(1,IF(Config!$B$30=0,1,$P799/Config!$B$30)))*100)) + Config!$B$29*MAX(0,MIN(100,MIN(1,IF($Q799="",0,$Q799)/Config!$B$23)*100)))),MIN(100,Config!$B$27*MAX(0,MIN(100,(1-IF($O799="",0,$O799))*100)) + Config!$B$28*MAX(0,MIN(100,(1-MIN(1,IF(Config!$B$30=0,1,$P799/Config!$B$30)))*100)) + Config!$B$29*MAX(0,MIN(100,MIN(1,IF($Q799="",0,$Q799)/Config!$B$23)*100))))),"")
</f>
        <v/>
      </c>
      <c r="S799" s="40" t="str">
        <f>IF(Bids!$D799="","",Bids!$D799)</f>
        <v/>
      </c>
      <c r="T799" s="40" t="str">
        <f>IF(Bids!$F799="","",Bids!$F799)</f>
        <v/>
      </c>
      <c r="U799" s="40" t="str">
        <f t="shared" si="3"/>
        <v/>
      </c>
      <c r="V799" s="40" t="str">
        <f>IF($U799="","",IF(Config!$B$17=Config!$B$16,IF($U799&gt;=Config!$B$17,100,0),MAX(0,MIN(100,($U799-Config!$B$16)/(Config!$B$17-Config!$B$16)*100))))</f>
        <v/>
      </c>
      <c r="W799" s="40">
        <f>IF($L799="Elite",Config!$B$21,0)</f>
        <v>0</v>
      </c>
      <c r="X799" s="40" t="str">
        <f>IFERROR(IF(OR($T799="",$G799=""),"",IF($T799&gt;$G799,
  MAX(0, 60-(($T799-$G799)*24/Config!$B$19)*60),
  MEDIAN(60, 100, 60+(($G799-$T799)*24/Config!$B$20)*40)
)),"")
</f>
        <v/>
      </c>
      <c r="Y799" s="40" t="str">
        <f>IF($J799="","",IFERROR(VLOOKUP($J799,Grinders!$A:$N,10,FALSE),""))</f>
        <v/>
      </c>
      <c r="Z799" s="40" t="str">
        <f>IF($J799="","",IFERROR(VLOOKUP($J799,Grinders!$A:$N,11,FALSE),""))</f>
        <v/>
      </c>
      <c r="AA799" s="40" t="str">
        <f>IF($J799="","",IFERROR(VLOOKUP($J799,Grinders!$A:$N,12,FALSE),""))</f>
        <v/>
      </c>
      <c r="AB799" s="40">
        <f>IFERROR(IF(OR($C799="",$J799=""),0,IF($D799&lt;&gt;"Open",0,IF(COUNTIFS(GrinderServices!$B:$B,$J799,GrinderServices!$C:$C,$E799,GrinderServices!$E:$E,"Y")=0,0,IF($U799&lt;Config!$B$16,0,IF(Config!$B$18=1,IF($N799&gt;=$M799,0,1),1))))),"")</f>
        <v>0</v>
      </c>
      <c r="AC799" s="40" t="str">
        <f>IFERROR(IF($AB799=0,"",((Config!$B$6*$V799 + Config!$B$7*$R799 + Config!$B$8*$W799 + Config!$B$9*$X799 + Config!$B$10*$Y799 + Config!$B$11*$Z799 - Config!$B$12*$AA799)/Config!$B$13)+$AH799+$AI799),"")</f>
        <v/>
      </c>
      <c r="AD799" s="40" t="str">
        <f t="shared" si="4"/>
        <v/>
      </c>
      <c r="AE799" s="40" t="str">
        <f>IFERROR(__xludf.DUMMYFUNCTION("IF($AC799="""","""",IF($AC799=IFERROR(MAX(FILTER($AC$6:$AC$1000,$C$6:$C$1000=$C799,$AB$6:$AB$1000=1)),),""WINNER"",""""))"),"")</f>
        <v/>
      </c>
      <c r="AF799" s="40" t="str">
        <f t="shared" si="5"/>
        <v/>
      </c>
      <c r="AG799" s="40" t="str">
        <f>IF($J799="","",COUNTIF(Assignments!$B:$B,$J799))</f>
        <v/>
      </c>
      <c r="AH799" s="40" t="str">
        <f>IF($J799="","",IF(AND($AG799=0,$N799&lt;$M799),Config!$B$43,0))</f>
        <v/>
      </c>
      <c r="AI799" s="40" t="str">
        <f>IF($J799="","",IF(AND($L799="Elite",$F799&gt;=Config!$B$41,$N799&lt;$M799),Config!$B$42,0))</f>
        <v/>
      </c>
      <c r="AJ799" s="22"/>
    </row>
    <row r="800" ht="15.75" customHeight="1">
      <c r="A800" s="40" t="str">
        <f t="shared" si="1"/>
        <v/>
      </c>
      <c r="B800" s="40" t="str">
        <f>IF(Bids!$A800="","",Bids!$A800)</f>
        <v/>
      </c>
      <c r="C800" s="40" t="str">
        <f>IF(Bids!$B800="","",Bids!$B800)</f>
        <v/>
      </c>
      <c r="D800" s="40" t="str">
        <f>IF($C800="","",IFERROR(VLOOKUP($C800,Orders!$A:$J,9,FALSE),""))</f>
        <v/>
      </c>
      <c r="E800" s="40" t="str">
        <f>IF($C800="","",IFERROR(VLOOKUP($C800,Orders!$A:$J,3,FALSE),""))</f>
        <v/>
      </c>
      <c r="F800" s="40" t="str">
        <f>IF($C800="","",IFERROR(VLOOKUP($C800,Orders!$A:$J,4,FALSE),""))</f>
        <v/>
      </c>
      <c r="G800" s="40" t="str">
        <f>IF($C800="","",IFERROR(VLOOKUP($C800,Orders!$A:$J,5,FALSE),""))</f>
        <v/>
      </c>
      <c r="H800" s="40" t="str">
        <f>IF($C800="","",IFERROR(VLOOKUP($C800,Orders!$A:$J,6,FALSE),""))</f>
        <v/>
      </c>
      <c r="I800" s="40" t="str">
        <f>IF($C800="","",IFERROR(VLOOKUP($C800,Orders!$A:$J,7,FALSE),""))</f>
        <v/>
      </c>
      <c r="J800" s="40" t="str">
        <f>IF(Bids!$C800="","",Bids!$C800)</f>
        <v/>
      </c>
      <c r="K800" s="40" t="str">
        <f>IF($J800="","",IFERROR(VLOOKUP($J800,Grinders!$A:$N,2,FALSE),""))</f>
        <v/>
      </c>
      <c r="L800" s="40" t="str">
        <f>IF($J800="","",IFERROR(VLOOKUP($J800,Grinders!$A:$N,3,FALSE),""))</f>
        <v/>
      </c>
      <c r="M800" s="40" t="str">
        <f>IF($J800="","",IFERROR(VLOOKUP($J800,Grinders!$A:$N,4,FALSE),""))</f>
        <v/>
      </c>
      <c r="N800" s="40" t="str">
        <f>IF($J800="","",IFERROR(VLOOKUP($J800,Grinders!$A:$N,5,FALSE),""))</f>
        <v/>
      </c>
      <c r="O800" s="40" t="str">
        <f t="shared" si="2"/>
        <v/>
      </c>
      <c r="P800" s="40" t="str">
        <f>IF($J800="","",IFERROR(VLOOKUP($J800,Grinders!$A:$N,6,FALSE),""))</f>
        <v/>
      </c>
      <c r="Q800" s="40" t="str">
        <f>IF($J800="","",IFERROR(VLOOKUP($J800,Grinders!$A:$N,8,FALSE),""))</f>
        <v/>
      </c>
      <c r="R800" s="40" t="str">
        <f>IFERROR(IF($J800="","",IF($L800="Elite",MAX(50,MIN(100,Config!$B$27*MAX(0,MIN(100,(1-IF($O800="",0,$O800))*100)) + Config!$B$28*MAX(0,MIN(100,(1-MIN(1,IF(Config!$B$30=0,1,$P800/Config!$B$30)))*100)) + Config!$B$29*MAX(0,MIN(100,MIN(1,IF($Q800="",0,$Q800)/Config!$B$23)*100)))),MIN(100,Config!$B$27*MAX(0,MIN(100,(1-IF($O800="",0,$O800))*100)) + Config!$B$28*MAX(0,MIN(100,(1-MIN(1,IF(Config!$B$30=0,1,$P800/Config!$B$30)))*100)) + Config!$B$29*MAX(0,MIN(100,MIN(1,IF($Q800="",0,$Q800)/Config!$B$23)*100))))),"")
</f>
        <v/>
      </c>
      <c r="S800" s="40" t="str">
        <f>IF(Bids!$D800="","",Bids!$D800)</f>
        <v/>
      </c>
      <c r="T800" s="40" t="str">
        <f>IF(Bids!$F800="","",Bids!$F800)</f>
        <v/>
      </c>
      <c r="U800" s="40" t="str">
        <f t="shared" si="3"/>
        <v/>
      </c>
      <c r="V800" s="40" t="str">
        <f>IF($U800="","",IF(Config!$B$17=Config!$B$16,IF($U800&gt;=Config!$B$17,100,0),MAX(0,MIN(100,($U800-Config!$B$16)/(Config!$B$17-Config!$B$16)*100))))</f>
        <v/>
      </c>
      <c r="W800" s="40">
        <f>IF($L800="Elite",Config!$B$21,0)</f>
        <v>0</v>
      </c>
      <c r="X800" s="40" t="str">
        <f>IFERROR(IF(OR($T800="",$G800=""),"",IF($T800&gt;$G800,
  MAX(0, 60-(($T800-$G800)*24/Config!$B$19)*60),
  MEDIAN(60, 100, 60+(($G800-$T800)*24/Config!$B$20)*40)
)),"")
</f>
        <v/>
      </c>
      <c r="Y800" s="40" t="str">
        <f>IF($J800="","",IFERROR(VLOOKUP($J800,Grinders!$A:$N,10,FALSE),""))</f>
        <v/>
      </c>
      <c r="Z800" s="40" t="str">
        <f>IF($J800="","",IFERROR(VLOOKUP($J800,Grinders!$A:$N,11,FALSE),""))</f>
        <v/>
      </c>
      <c r="AA800" s="40" t="str">
        <f>IF($J800="","",IFERROR(VLOOKUP($J800,Grinders!$A:$N,12,FALSE),""))</f>
        <v/>
      </c>
      <c r="AB800" s="40">
        <f>IFERROR(IF(OR($C800="",$J800=""),0,IF($D800&lt;&gt;"Open",0,IF(COUNTIFS(GrinderServices!$B:$B,$J800,GrinderServices!$C:$C,$E800,GrinderServices!$E:$E,"Y")=0,0,IF($U800&lt;Config!$B$16,0,IF(Config!$B$18=1,IF($N800&gt;=$M800,0,1),1))))),"")</f>
        <v>0</v>
      </c>
      <c r="AC800" s="40" t="str">
        <f>IFERROR(IF($AB800=0,"",((Config!$B$6*$V800 + Config!$B$7*$R800 + Config!$B$8*$W800 + Config!$B$9*$X800 + Config!$B$10*$Y800 + Config!$B$11*$Z800 - Config!$B$12*$AA800)/Config!$B$13)+$AH800+$AI800),"")</f>
        <v/>
      </c>
      <c r="AD800" s="40" t="str">
        <f t="shared" si="4"/>
        <v/>
      </c>
      <c r="AE800" s="40" t="str">
        <f>IFERROR(__xludf.DUMMYFUNCTION("IF($AC800="""","""",IF($AC800=IFERROR(MAX(FILTER($AC$6:$AC$1000,$C$6:$C$1000=$C800,$AB$6:$AB$1000=1)),),""WINNER"",""""))"),"")</f>
        <v/>
      </c>
      <c r="AF800" s="40" t="str">
        <f t="shared" si="5"/>
        <v/>
      </c>
      <c r="AG800" s="40" t="str">
        <f>IF($J800="","",COUNTIF(Assignments!$B:$B,$J800))</f>
        <v/>
      </c>
      <c r="AH800" s="40" t="str">
        <f>IF($J800="","",IF(AND($AG800=0,$N800&lt;$M800),Config!$B$43,0))</f>
        <v/>
      </c>
      <c r="AI800" s="40" t="str">
        <f>IF($J800="","",IF(AND($L800="Elite",$F800&gt;=Config!$B$41,$N800&lt;$M800),Config!$B$42,0))</f>
        <v/>
      </c>
      <c r="AJ800" s="22"/>
    </row>
    <row r="801" ht="15.75" customHeight="1">
      <c r="A801" s="40" t="str">
        <f t="shared" si="1"/>
        <v/>
      </c>
      <c r="B801" s="40" t="str">
        <f>IF(Bids!$A801="","",Bids!$A801)</f>
        <v/>
      </c>
      <c r="C801" s="40" t="str">
        <f>IF(Bids!$B801="","",Bids!$B801)</f>
        <v/>
      </c>
      <c r="D801" s="40" t="str">
        <f>IF($C801="","",IFERROR(VLOOKUP($C801,Orders!$A:$J,9,FALSE),""))</f>
        <v/>
      </c>
      <c r="E801" s="40" t="str">
        <f>IF($C801="","",IFERROR(VLOOKUP($C801,Orders!$A:$J,3,FALSE),""))</f>
        <v/>
      </c>
      <c r="F801" s="40" t="str">
        <f>IF($C801="","",IFERROR(VLOOKUP($C801,Orders!$A:$J,4,FALSE),""))</f>
        <v/>
      </c>
      <c r="G801" s="40" t="str">
        <f>IF($C801="","",IFERROR(VLOOKUP($C801,Orders!$A:$J,5,FALSE),""))</f>
        <v/>
      </c>
      <c r="H801" s="40" t="str">
        <f>IF($C801="","",IFERROR(VLOOKUP($C801,Orders!$A:$J,6,FALSE),""))</f>
        <v/>
      </c>
      <c r="I801" s="40" t="str">
        <f>IF($C801="","",IFERROR(VLOOKUP($C801,Orders!$A:$J,7,FALSE),""))</f>
        <v/>
      </c>
      <c r="J801" s="40" t="str">
        <f>IF(Bids!$C801="","",Bids!$C801)</f>
        <v/>
      </c>
      <c r="K801" s="40" t="str">
        <f>IF($J801="","",IFERROR(VLOOKUP($J801,Grinders!$A:$N,2,FALSE),""))</f>
        <v/>
      </c>
      <c r="L801" s="40" t="str">
        <f>IF($J801="","",IFERROR(VLOOKUP($J801,Grinders!$A:$N,3,FALSE),""))</f>
        <v/>
      </c>
      <c r="M801" s="40" t="str">
        <f>IF($J801="","",IFERROR(VLOOKUP($J801,Grinders!$A:$N,4,FALSE),""))</f>
        <v/>
      </c>
      <c r="N801" s="40" t="str">
        <f>IF($J801="","",IFERROR(VLOOKUP($J801,Grinders!$A:$N,5,FALSE),""))</f>
        <v/>
      </c>
      <c r="O801" s="40" t="str">
        <f t="shared" si="2"/>
        <v/>
      </c>
      <c r="P801" s="40" t="str">
        <f>IF($J801="","",IFERROR(VLOOKUP($J801,Grinders!$A:$N,6,FALSE),""))</f>
        <v/>
      </c>
      <c r="Q801" s="40" t="str">
        <f>IF($J801="","",IFERROR(VLOOKUP($J801,Grinders!$A:$N,8,FALSE),""))</f>
        <v/>
      </c>
      <c r="R801" s="40" t="str">
        <f>IFERROR(IF($J801="","",IF($L801="Elite",MAX(50,MIN(100,Config!$B$27*MAX(0,MIN(100,(1-IF($O801="",0,$O801))*100)) + Config!$B$28*MAX(0,MIN(100,(1-MIN(1,IF(Config!$B$30=0,1,$P801/Config!$B$30)))*100)) + Config!$B$29*MAX(0,MIN(100,MIN(1,IF($Q801="",0,$Q801)/Config!$B$23)*100)))),MIN(100,Config!$B$27*MAX(0,MIN(100,(1-IF($O801="",0,$O801))*100)) + Config!$B$28*MAX(0,MIN(100,(1-MIN(1,IF(Config!$B$30=0,1,$P801/Config!$B$30)))*100)) + Config!$B$29*MAX(0,MIN(100,MIN(1,IF($Q801="",0,$Q801)/Config!$B$23)*100))))),"")
</f>
        <v/>
      </c>
      <c r="S801" s="40" t="str">
        <f>IF(Bids!$D801="","",Bids!$D801)</f>
        <v/>
      </c>
      <c r="T801" s="40" t="str">
        <f>IF(Bids!$F801="","",Bids!$F801)</f>
        <v/>
      </c>
      <c r="U801" s="40" t="str">
        <f t="shared" si="3"/>
        <v/>
      </c>
      <c r="V801" s="40" t="str">
        <f>IF($U801="","",IF(Config!$B$17=Config!$B$16,IF($U801&gt;=Config!$B$17,100,0),MAX(0,MIN(100,($U801-Config!$B$16)/(Config!$B$17-Config!$B$16)*100))))</f>
        <v/>
      </c>
      <c r="W801" s="40">
        <f>IF($L801="Elite",Config!$B$21,0)</f>
        <v>0</v>
      </c>
      <c r="X801" s="40" t="str">
        <f>IFERROR(IF(OR($T801="",$G801=""),"",IF($T801&gt;$G801,
  MAX(0, 60-(($T801-$G801)*24/Config!$B$19)*60),
  MEDIAN(60, 100, 60+(($G801-$T801)*24/Config!$B$20)*40)
)),"")
</f>
        <v/>
      </c>
      <c r="Y801" s="40" t="str">
        <f>IF($J801="","",IFERROR(VLOOKUP($J801,Grinders!$A:$N,10,FALSE),""))</f>
        <v/>
      </c>
      <c r="Z801" s="40" t="str">
        <f>IF($J801="","",IFERROR(VLOOKUP($J801,Grinders!$A:$N,11,FALSE),""))</f>
        <v/>
      </c>
      <c r="AA801" s="40" t="str">
        <f>IF($J801="","",IFERROR(VLOOKUP($J801,Grinders!$A:$N,12,FALSE),""))</f>
        <v/>
      </c>
      <c r="AB801" s="40">
        <f>IFERROR(IF(OR($C801="",$J801=""),0,IF($D801&lt;&gt;"Open",0,IF(COUNTIFS(GrinderServices!$B:$B,$J801,GrinderServices!$C:$C,$E801,GrinderServices!$E:$E,"Y")=0,0,IF($U801&lt;Config!$B$16,0,IF(Config!$B$18=1,IF($N801&gt;=$M801,0,1),1))))),"")</f>
        <v>0</v>
      </c>
      <c r="AC801" s="40" t="str">
        <f>IFERROR(IF($AB801=0,"",((Config!$B$6*$V801 + Config!$B$7*$R801 + Config!$B$8*$W801 + Config!$B$9*$X801 + Config!$B$10*$Y801 + Config!$B$11*$Z801 - Config!$B$12*$AA801)/Config!$B$13)+$AH801+$AI801),"")</f>
        <v/>
      </c>
      <c r="AD801" s="40" t="str">
        <f t="shared" si="4"/>
        <v/>
      </c>
      <c r="AE801" s="40" t="str">
        <f>IFERROR(__xludf.DUMMYFUNCTION("IF($AC801="""","""",IF($AC801=IFERROR(MAX(FILTER($AC$6:$AC$1000,$C$6:$C$1000=$C801,$AB$6:$AB$1000=1)),),""WINNER"",""""))"),"")</f>
        <v/>
      </c>
      <c r="AF801" s="40" t="str">
        <f t="shared" si="5"/>
        <v/>
      </c>
      <c r="AG801" s="40" t="str">
        <f>IF($J801="","",COUNTIF(Assignments!$B:$B,$J801))</f>
        <v/>
      </c>
      <c r="AH801" s="40" t="str">
        <f>IF($J801="","",IF(AND($AG801=0,$N801&lt;$M801),Config!$B$43,0))</f>
        <v/>
      </c>
      <c r="AI801" s="40" t="str">
        <f>IF($J801="","",IF(AND($L801="Elite",$F801&gt;=Config!$B$41,$N801&lt;$M801),Config!$B$42,0))</f>
        <v/>
      </c>
      <c r="AJ801" s="22"/>
    </row>
    <row r="802" ht="15.75" customHeight="1">
      <c r="A802" s="40" t="str">
        <f t="shared" si="1"/>
        <v/>
      </c>
      <c r="B802" s="40" t="str">
        <f>IF(Bids!$A802="","",Bids!$A802)</f>
        <v/>
      </c>
      <c r="C802" s="40" t="str">
        <f>IF(Bids!$B802="","",Bids!$B802)</f>
        <v/>
      </c>
      <c r="D802" s="40" t="str">
        <f>IF($C802="","",IFERROR(VLOOKUP($C802,Orders!$A:$J,9,FALSE),""))</f>
        <v/>
      </c>
      <c r="E802" s="40" t="str">
        <f>IF($C802="","",IFERROR(VLOOKUP($C802,Orders!$A:$J,3,FALSE),""))</f>
        <v/>
      </c>
      <c r="F802" s="40" t="str">
        <f>IF($C802="","",IFERROR(VLOOKUP($C802,Orders!$A:$J,4,FALSE),""))</f>
        <v/>
      </c>
      <c r="G802" s="40" t="str">
        <f>IF($C802="","",IFERROR(VLOOKUP($C802,Orders!$A:$J,5,FALSE),""))</f>
        <v/>
      </c>
      <c r="H802" s="40" t="str">
        <f>IF($C802="","",IFERROR(VLOOKUP($C802,Orders!$A:$J,6,FALSE),""))</f>
        <v/>
      </c>
      <c r="I802" s="40" t="str">
        <f>IF($C802="","",IFERROR(VLOOKUP($C802,Orders!$A:$J,7,FALSE),""))</f>
        <v/>
      </c>
      <c r="J802" s="40" t="str">
        <f>IF(Bids!$C802="","",Bids!$C802)</f>
        <v/>
      </c>
      <c r="K802" s="40" t="str">
        <f>IF($J802="","",IFERROR(VLOOKUP($J802,Grinders!$A:$N,2,FALSE),""))</f>
        <v/>
      </c>
      <c r="L802" s="40" t="str">
        <f>IF($J802="","",IFERROR(VLOOKUP($J802,Grinders!$A:$N,3,FALSE),""))</f>
        <v/>
      </c>
      <c r="M802" s="40" t="str">
        <f>IF($J802="","",IFERROR(VLOOKUP($J802,Grinders!$A:$N,4,FALSE),""))</f>
        <v/>
      </c>
      <c r="N802" s="40" t="str">
        <f>IF($J802="","",IFERROR(VLOOKUP($J802,Grinders!$A:$N,5,FALSE),""))</f>
        <v/>
      </c>
      <c r="O802" s="40" t="str">
        <f t="shared" si="2"/>
        <v/>
      </c>
      <c r="P802" s="40" t="str">
        <f>IF($J802="","",IFERROR(VLOOKUP($J802,Grinders!$A:$N,6,FALSE),""))</f>
        <v/>
      </c>
      <c r="Q802" s="40" t="str">
        <f>IF($J802="","",IFERROR(VLOOKUP($J802,Grinders!$A:$N,8,FALSE),""))</f>
        <v/>
      </c>
      <c r="R802" s="40" t="str">
        <f>IFERROR(IF($J802="","",IF($L802="Elite",MAX(50,MIN(100,Config!$B$27*MAX(0,MIN(100,(1-IF($O802="",0,$O802))*100)) + Config!$B$28*MAX(0,MIN(100,(1-MIN(1,IF(Config!$B$30=0,1,$P802/Config!$B$30)))*100)) + Config!$B$29*MAX(0,MIN(100,MIN(1,IF($Q802="",0,$Q802)/Config!$B$23)*100)))),MIN(100,Config!$B$27*MAX(0,MIN(100,(1-IF($O802="",0,$O802))*100)) + Config!$B$28*MAX(0,MIN(100,(1-MIN(1,IF(Config!$B$30=0,1,$P802/Config!$B$30)))*100)) + Config!$B$29*MAX(0,MIN(100,MIN(1,IF($Q802="",0,$Q802)/Config!$B$23)*100))))),"")
</f>
        <v/>
      </c>
      <c r="S802" s="40" t="str">
        <f>IF(Bids!$D802="","",Bids!$D802)</f>
        <v/>
      </c>
      <c r="T802" s="40" t="str">
        <f>IF(Bids!$F802="","",Bids!$F802)</f>
        <v/>
      </c>
      <c r="U802" s="40" t="str">
        <f t="shared" si="3"/>
        <v/>
      </c>
      <c r="V802" s="40" t="str">
        <f>IF($U802="","",IF(Config!$B$17=Config!$B$16,IF($U802&gt;=Config!$B$17,100,0),MAX(0,MIN(100,($U802-Config!$B$16)/(Config!$B$17-Config!$B$16)*100))))</f>
        <v/>
      </c>
      <c r="W802" s="40">
        <f>IF($L802="Elite",Config!$B$21,0)</f>
        <v>0</v>
      </c>
      <c r="X802" s="40" t="str">
        <f>IFERROR(IF(OR($T802="",$G802=""),"",IF($T802&gt;$G802,
  MAX(0, 60-(($T802-$G802)*24/Config!$B$19)*60),
  MEDIAN(60, 100, 60+(($G802-$T802)*24/Config!$B$20)*40)
)),"")
</f>
        <v/>
      </c>
      <c r="Y802" s="40" t="str">
        <f>IF($J802="","",IFERROR(VLOOKUP($J802,Grinders!$A:$N,10,FALSE),""))</f>
        <v/>
      </c>
      <c r="Z802" s="40" t="str">
        <f>IF($J802="","",IFERROR(VLOOKUP($J802,Grinders!$A:$N,11,FALSE),""))</f>
        <v/>
      </c>
      <c r="AA802" s="40" t="str">
        <f>IF($J802="","",IFERROR(VLOOKUP($J802,Grinders!$A:$N,12,FALSE),""))</f>
        <v/>
      </c>
      <c r="AB802" s="40">
        <f>IFERROR(IF(OR($C802="",$J802=""),0,IF($D802&lt;&gt;"Open",0,IF(COUNTIFS(GrinderServices!$B:$B,$J802,GrinderServices!$C:$C,$E802,GrinderServices!$E:$E,"Y")=0,0,IF($U802&lt;Config!$B$16,0,IF(Config!$B$18=1,IF($N802&gt;=$M802,0,1),1))))),"")</f>
        <v>0</v>
      </c>
      <c r="AC802" s="40" t="str">
        <f>IFERROR(IF($AB802=0,"",((Config!$B$6*$V802 + Config!$B$7*$R802 + Config!$B$8*$W802 + Config!$B$9*$X802 + Config!$B$10*$Y802 + Config!$B$11*$Z802 - Config!$B$12*$AA802)/Config!$B$13)+$AH802+$AI802),"")</f>
        <v/>
      </c>
      <c r="AD802" s="40" t="str">
        <f t="shared" si="4"/>
        <v/>
      </c>
      <c r="AE802" s="40" t="str">
        <f>IFERROR(__xludf.DUMMYFUNCTION("IF($AC802="""","""",IF($AC802=IFERROR(MAX(FILTER($AC$6:$AC$1000,$C$6:$C$1000=$C802,$AB$6:$AB$1000=1)),),""WINNER"",""""))"),"")</f>
        <v/>
      </c>
      <c r="AF802" s="40" t="str">
        <f t="shared" si="5"/>
        <v/>
      </c>
      <c r="AG802" s="40" t="str">
        <f>IF($J802="","",COUNTIF(Assignments!$B:$B,$J802))</f>
        <v/>
      </c>
      <c r="AH802" s="40" t="str">
        <f>IF($J802="","",IF(AND($AG802=0,$N802&lt;$M802),Config!$B$43,0))</f>
        <v/>
      </c>
      <c r="AI802" s="40" t="str">
        <f>IF($J802="","",IF(AND($L802="Elite",$F802&gt;=Config!$B$41,$N802&lt;$M802),Config!$B$42,0))</f>
        <v/>
      </c>
      <c r="AJ802" s="22"/>
    </row>
    <row r="803" ht="15.75" customHeight="1">
      <c r="A803" s="40" t="str">
        <f t="shared" si="1"/>
        <v/>
      </c>
      <c r="B803" s="40" t="str">
        <f>IF(Bids!$A803="","",Bids!$A803)</f>
        <v/>
      </c>
      <c r="C803" s="40" t="str">
        <f>IF(Bids!$B803="","",Bids!$B803)</f>
        <v/>
      </c>
      <c r="D803" s="40" t="str">
        <f>IF($C803="","",IFERROR(VLOOKUP($C803,Orders!$A:$J,9,FALSE),""))</f>
        <v/>
      </c>
      <c r="E803" s="40" t="str">
        <f>IF($C803="","",IFERROR(VLOOKUP($C803,Orders!$A:$J,3,FALSE),""))</f>
        <v/>
      </c>
      <c r="F803" s="40" t="str">
        <f>IF($C803="","",IFERROR(VLOOKUP($C803,Orders!$A:$J,4,FALSE),""))</f>
        <v/>
      </c>
      <c r="G803" s="40" t="str">
        <f>IF($C803="","",IFERROR(VLOOKUP($C803,Orders!$A:$J,5,FALSE),""))</f>
        <v/>
      </c>
      <c r="H803" s="40" t="str">
        <f>IF($C803="","",IFERROR(VLOOKUP($C803,Orders!$A:$J,6,FALSE),""))</f>
        <v/>
      </c>
      <c r="I803" s="40" t="str">
        <f>IF($C803="","",IFERROR(VLOOKUP($C803,Orders!$A:$J,7,FALSE),""))</f>
        <v/>
      </c>
      <c r="J803" s="40" t="str">
        <f>IF(Bids!$C803="","",Bids!$C803)</f>
        <v/>
      </c>
      <c r="K803" s="40" t="str">
        <f>IF($J803="","",IFERROR(VLOOKUP($J803,Grinders!$A:$N,2,FALSE),""))</f>
        <v/>
      </c>
      <c r="L803" s="40" t="str">
        <f>IF($J803="","",IFERROR(VLOOKUP($J803,Grinders!$A:$N,3,FALSE),""))</f>
        <v/>
      </c>
      <c r="M803" s="40" t="str">
        <f>IF($J803="","",IFERROR(VLOOKUP($J803,Grinders!$A:$N,4,FALSE),""))</f>
        <v/>
      </c>
      <c r="N803" s="40" t="str">
        <f>IF($J803="","",IFERROR(VLOOKUP($J803,Grinders!$A:$N,5,FALSE),""))</f>
        <v/>
      </c>
      <c r="O803" s="40" t="str">
        <f t="shared" si="2"/>
        <v/>
      </c>
      <c r="P803" s="40" t="str">
        <f>IF($J803="","",IFERROR(VLOOKUP($J803,Grinders!$A:$N,6,FALSE),""))</f>
        <v/>
      </c>
      <c r="Q803" s="40" t="str">
        <f>IF($J803="","",IFERROR(VLOOKUP($J803,Grinders!$A:$N,8,FALSE),""))</f>
        <v/>
      </c>
      <c r="R803" s="40" t="str">
        <f>IFERROR(IF($J803="","",IF($L803="Elite",MAX(50,MIN(100,Config!$B$27*MAX(0,MIN(100,(1-IF($O803="",0,$O803))*100)) + Config!$B$28*MAX(0,MIN(100,(1-MIN(1,IF(Config!$B$30=0,1,$P803/Config!$B$30)))*100)) + Config!$B$29*MAX(0,MIN(100,MIN(1,IF($Q803="",0,$Q803)/Config!$B$23)*100)))),MIN(100,Config!$B$27*MAX(0,MIN(100,(1-IF($O803="",0,$O803))*100)) + Config!$B$28*MAX(0,MIN(100,(1-MIN(1,IF(Config!$B$30=0,1,$P803/Config!$B$30)))*100)) + Config!$B$29*MAX(0,MIN(100,MIN(1,IF($Q803="",0,$Q803)/Config!$B$23)*100))))),"")
</f>
        <v/>
      </c>
      <c r="S803" s="40" t="str">
        <f>IF(Bids!$D803="","",Bids!$D803)</f>
        <v/>
      </c>
      <c r="T803" s="40" t="str">
        <f>IF(Bids!$F803="","",Bids!$F803)</f>
        <v/>
      </c>
      <c r="U803" s="40" t="str">
        <f t="shared" si="3"/>
        <v/>
      </c>
      <c r="V803" s="40" t="str">
        <f>IF($U803="","",IF(Config!$B$17=Config!$B$16,IF($U803&gt;=Config!$B$17,100,0),MAX(0,MIN(100,($U803-Config!$B$16)/(Config!$B$17-Config!$B$16)*100))))</f>
        <v/>
      </c>
      <c r="W803" s="40">
        <f>IF($L803="Elite",Config!$B$21,0)</f>
        <v>0</v>
      </c>
      <c r="X803" s="40" t="str">
        <f>IFERROR(IF(OR($T803="",$G803=""),"",IF($T803&gt;$G803,
  MAX(0, 60-(($T803-$G803)*24/Config!$B$19)*60),
  MEDIAN(60, 100, 60+(($G803-$T803)*24/Config!$B$20)*40)
)),"")
</f>
        <v/>
      </c>
      <c r="Y803" s="40" t="str">
        <f>IF($J803="","",IFERROR(VLOOKUP($J803,Grinders!$A:$N,10,FALSE),""))</f>
        <v/>
      </c>
      <c r="Z803" s="40" t="str">
        <f>IF($J803="","",IFERROR(VLOOKUP($J803,Grinders!$A:$N,11,FALSE),""))</f>
        <v/>
      </c>
      <c r="AA803" s="40" t="str">
        <f>IF($J803="","",IFERROR(VLOOKUP($J803,Grinders!$A:$N,12,FALSE),""))</f>
        <v/>
      </c>
      <c r="AB803" s="40">
        <f>IFERROR(IF(OR($C803="",$J803=""),0,IF($D803&lt;&gt;"Open",0,IF(COUNTIFS(GrinderServices!$B:$B,$J803,GrinderServices!$C:$C,$E803,GrinderServices!$E:$E,"Y")=0,0,IF($U803&lt;Config!$B$16,0,IF(Config!$B$18=1,IF($N803&gt;=$M803,0,1),1))))),"")</f>
        <v>0</v>
      </c>
      <c r="AC803" s="40" t="str">
        <f>IFERROR(IF($AB803=0,"",((Config!$B$6*$V803 + Config!$B$7*$R803 + Config!$B$8*$W803 + Config!$B$9*$X803 + Config!$B$10*$Y803 + Config!$B$11*$Z803 - Config!$B$12*$AA803)/Config!$B$13)+$AH803+$AI803),"")</f>
        <v/>
      </c>
      <c r="AD803" s="40" t="str">
        <f t="shared" si="4"/>
        <v/>
      </c>
      <c r="AE803" s="40" t="str">
        <f>IFERROR(__xludf.DUMMYFUNCTION("IF($AC803="""","""",IF($AC803=IFERROR(MAX(FILTER($AC$6:$AC$1000,$C$6:$C$1000=$C803,$AB$6:$AB$1000=1)),),""WINNER"",""""))"),"")</f>
        <v/>
      </c>
      <c r="AF803" s="40" t="str">
        <f t="shared" si="5"/>
        <v/>
      </c>
      <c r="AG803" s="40" t="str">
        <f>IF($J803="","",COUNTIF(Assignments!$B:$B,$J803))</f>
        <v/>
      </c>
      <c r="AH803" s="40" t="str">
        <f>IF($J803="","",IF(AND($AG803=0,$N803&lt;$M803),Config!$B$43,0))</f>
        <v/>
      </c>
      <c r="AI803" s="40" t="str">
        <f>IF($J803="","",IF(AND($L803="Elite",$F803&gt;=Config!$B$41,$N803&lt;$M803),Config!$B$42,0))</f>
        <v/>
      </c>
      <c r="AJ803" s="22"/>
    </row>
    <row r="804" ht="15.75" customHeight="1">
      <c r="A804" s="40" t="str">
        <f t="shared" si="1"/>
        <v/>
      </c>
      <c r="B804" s="40" t="str">
        <f>IF(Bids!$A804="","",Bids!$A804)</f>
        <v/>
      </c>
      <c r="C804" s="40" t="str">
        <f>IF(Bids!$B804="","",Bids!$B804)</f>
        <v/>
      </c>
      <c r="D804" s="40" t="str">
        <f>IF($C804="","",IFERROR(VLOOKUP($C804,Orders!$A:$J,9,FALSE),""))</f>
        <v/>
      </c>
      <c r="E804" s="40" t="str">
        <f>IF($C804="","",IFERROR(VLOOKUP($C804,Orders!$A:$J,3,FALSE),""))</f>
        <v/>
      </c>
      <c r="F804" s="40" t="str">
        <f>IF($C804="","",IFERROR(VLOOKUP($C804,Orders!$A:$J,4,FALSE),""))</f>
        <v/>
      </c>
      <c r="G804" s="40" t="str">
        <f>IF($C804="","",IFERROR(VLOOKUP($C804,Orders!$A:$J,5,FALSE),""))</f>
        <v/>
      </c>
      <c r="H804" s="40" t="str">
        <f>IF($C804="","",IFERROR(VLOOKUP($C804,Orders!$A:$J,6,FALSE),""))</f>
        <v/>
      </c>
      <c r="I804" s="40" t="str">
        <f>IF($C804="","",IFERROR(VLOOKUP($C804,Orders!$A:$J,7,FALSE),""))</f>
        <v/>
      </c>
      <c r="J804" s="40" t="str">
        <f>IF(Bids!$C804="","",Bids!$C804)</f>
        <v/>
      </c>
      <c r="K804" s="40" t="str">
        <f>IF($J804="","",IFERROR(VLOOKUP($J804,Grinders!$A:$N,2,FALSE),""))</f>
        <v/>
      </c>
      <c r="L804" s="40" t="str">
        <f>IF($J804="","",IFERROR(VLOOKUP($J804,Grinders!$A:$N,3,FALSE),""))</f>
        <v/>
      </c>
      <c r="M804" s="40" t="str">
        <f>IF($J804="","",IFERROR(VLOOKUP($J804,Grinders!$A:$N,4,FALSE),""))</f>
        <v/>
      </c>
      <c r="N804" s="40" t="str">
        <f>IF($J804="","",IFERROR(VLOOKUP($J804,Grinders!$A:$N,5,FALSE),""))</f>
        <v/>
      </c>
      <c r="O804" s="40" t="str">
        <f t="shared" si="2"/>
        <v/>
      </c>
      <c r="P804" s="40" t="str">
        <f>IF($J804="","",IFERROR(VLOOKUP($J804,Grinders!$A:$N,6,FALSE),""))</f>
        <v/>
      </c>
      <c r="Q804" s="40" t="str">
        <f>IF($J804="","",IFERROR(VLOOKUP($J804,Grinders!$A:$N,8,FALSE),""))</f>
        <v/>
      </c>
      <c r="R804" s="40" t="str">
        <f>IFERROR(IF($J804="","",IF($L804="Elite",MAX(50,MIN(100,Config!$B$27*MAX(0,MIN(100,(1-IF($O804="",0,$O804))*100)) + Config!$B$28*MAX(0,MIN(100,(1-MIN(1,IF(Config!$B$30=0,1,$P804/Config!$B$30)))*100)) + Config!$B$29*MAX(0,MIN(100,MIN(1,IF($Q804="",0,$Q804)/Config!$B$23)*100)))),MIN(100,Config!$B$27*MAX(0,MIN(100,(1-IF($O804="",0,$O804))*100)) + Config!$B$28*MAX(0,MIN(100,(1-MIN(1,IF(Config!$B$30=0,1,$P804/Config!$B$30)))*100)) + Config!$B$29*MAX(0,MIN(100,MIN(1,IF($Q804="",0,$Q804)/Config!$B$23)*100))))),"")
</f>
        <v/>
      </c>
      <c r="S804" s="40" t="str">
        <f>IF(Bids!$D804="","",Bids!$D804)</f>
        <v/>
      </c>
      <c r="T804" s="40" t="str">
        <f>IF(Bids!$F804="","",Bids!$F804)</f>
        <v/>
      </c>
      <c r="U804" s="40" t="str">
        <f t="shared" si="3"/>
        <v/>
      </c>
      <c r="V804" s="40" t="str">
        <f>IF($U804="","",IF(Config!$B$17=Config!$B$16,IF($U804&gt;=Config!$B$17,100,0),MAX(0,MIN(100,($U804-Config!$B$16)/(Config!$B$17-Config!$B$16)*100))))</f>
        <v/>
      </c>
      <c r="W804" s="40">
        <f>IF($L804="Elite",Config!$B$21,0)</f>
        <v>0</v>
      </c>
      <c r="X804" s="40" t="str">
        <f>IFERROR(IF(OR($T804="",$G804=""),"",IF($T804&gt;$G804,
  MAX(0, 60-(($T804-$G804)*24/Config!$B$19)*60),
  MEDIAN(60, 100, 60+(($G804-$T804)*24/Config!$B$20)*40)
)),"")
</f>
        <v/>
      </c>
      <c r="Y804" s="40" t="str">
        <f>IF($J804="","",IFERROR(VLOOKUP($J804,Grinders!$A:$N,10,FALSE),""))</f>
        <v/>
      </c>
      <c r="Z804" s="40" t="str">
        <f>IF($J804="","",IFERROR(VLOOKUP($J804,Grinders!$A:$N,11,FALSE),""))</f>
        <v/>
      </c>
      <c r="AA804" s="40" t="str">
        <f>IF($J804="","",IFERROR(VLOOKUP($J804,Grinders!$A:$N,12,FALSE),""))</f>
        <v/>
      </c>
      <c r="AB804" s="40">
        <f>IFERROR(IF(OR($C804="",$J804=""),0,IF($D804&lt;&gt;"Open",0,IF(COUNTIFS(GrinderServices!$B:$B,$J804,GrinderServices!$C:$C,$E804,GrinderServices!$E:$E,"Y")=0,0,IF($U804&lt;Config!$B$16,0,IF(Config!$B$18=1,IF($N804&gt;=$M804,0,1),1))))),"")</f>
        <v>0</v>
      </c>
      <c r="AC804" s="40" t="str">
        <f>IFERROR(IF($AB804=0,"",((Config!$B$6*$V804 + Config!$B$7*$R804 + Config!$B$8*$W804 + Config!$B$9*$X804 + Config!$B$10*$Y804 + Config!$B$11*$Z804 - Config!$B$12*$AA804)/Config!$B$13)+$AH804+$AI804),"")</f>
        <v/>
      </c>
      <c r="AD804" s="40" t="str">
        <f t="shared" si="4"/>
        <v/>
      </c>
      <c r="AE804" s="40" t="str">
        <f>IFERROR(__xludf.DUMMYFUNCTION("IF($AC804="""","""",IF($AC804=IFERROR(MAX(FILTER($AC$6:$AC$1000,$C$6:$C$1000=$C804,$AB$6:$AB$1000=1)),),""WINNER"",""""))"),"")</f>
        <v/>
      </c>
      <c r="AF804" s="40" t="str">
        <f t="shared" si="5"/>
        <v/>
      </c>
      <c r="AG804" s="40" t="str">
        <f>IF($J804="","",COUNTIF(Assignments!$B:$B,$J804))</f>
        <v/>
      </c>
      <c r="AH804" s="40" t="str">
        <f>IF($J804="","",IF(AND($AG804=0,$N804&lt;$M804),Config!$B$43,0))</f>
        <v/>
      </c>
      <c r="AI804" s="40" t="str">
        <f>IF($J804="","",IF(AND($L804="Elite",$F804&gt;=Config!$B$41,$N804&lt;$M804),Config!$B$42,0))</f>
        <v/>
      </c>
      <c r="AJ804" s="22"/>
    </row>
    <row r="805" ht="15.75" customHeight="1">
      <c r="A805" s="40" t="str">
        <f t="shared" si="1"/>
        <v/>
      </c>
      <c r="B805" s="40" t="str">
        <f>IF(Bids!$A805="","",Bids!$A805)</f>
        <v/>
      </c>
      <c r="C805" s="40" t="str">
        <f>IF(Bids!$B805="","",Bids!$B805)</f>
        <v/>
      </c>
      <c r="D805" s="40" t="str">
        <f>IF($C805="","",IFERROR(VLOOKUP($C805,Orders!$A:$J,9,FALSE),""))</f>
        <v/>
      </c>
      <c r="E805" s="40" t="str">
        <f>IF($C805="","",IFERROR(VLOOKUP($C805,Orders!$A:$J,3,FALSE),""))</f>
        <v/>
      </c>
      <c r="F805" s="40" t="str">
        <f>IF($C805="","",IFERROR(VLOOKUP($C805,Orders!$A:$J,4,FALSE),""))</f>
        <v/>
      </c>
      <c r="G805" s="40" t="str">
        <f>IF($C805="","",IFERROR(VLOOKUP($C805,Orders!$A:$J,5,FALSE),""))</f>
        <v/>
      </c>
      <c r="H805" s="40" t="str">
        <f>IF($C805="","",IFERROR(VLOOKUP($C805,Orders!$A:$J,6,FALSE),""))</f>
        <v/>
      </c>
      <c r="I805" s="40" t="str">
        <f>IF($C805="","",IFERROR(VLOOKUP($C805,Orders!$A:$J,7,FALSE),""))</f>
        <v/>
      </c>
      <c r="J805" s="40" t="str">
        <f>IF(Bids!$C805="","",Bids!$C805)</f>
        <v/>
      </c>
      <c r="K805" s="40" t="str">
        <f>IF($J805="","",IFERROR(VLOOKUP($J805,Grinders!$A:$N,2,FALSE),""))</f>
        <v/>
      </c>
      <c r="L805" s="40" t="str">
        <f>IF($J805="","",IFERROR(VLOOKUP($J805,Grinders!$A:$N,3,FALSE),""))</f>
        <v/>
      </c>
      <c r="M805" s="40" t="str">
        <f>IF($J805="","",IFERROR(VLOOKUP($J805,Grinders!$A:$N,4,FALSE),""))</f>
        <v/>
      </c>
      <c r="N805" s="40" t="str">
        <f>IF($J805="","",IFERROR(VLOOKUP($J805,Grinders!$A:$N,5,FALSE),""))</f>
        <v/>
      </c>
      <c r="O805" s="40" t="str">
        <f t="shared" si="2"/>
        <v/>
      </c>
      <c r="P805" s="40" t="str">
        <f>IF($J805="","",IFERROR(VLOOKUP($J805,Grinders!$A:$N,6,FALSE),""))</f>
        <v/>
      </c>
      <c r="Q805" s="40" t="str">
        <f>IF($J805="","",IFERROR(VLOOKUP($J805,Grinders!$A:$N,8,FALSE),""))</f>
        <v/>
      </c>
      <c r="R805" s="40" t="str">
        <f>IFERROR(IF($J805="","",IF($L805="Elite",MAX(50,MIN(100,Config!$B$27*MAX(0,MIN(100,(1-IF($O805="",0,$O805))*100)) + Config!$B$28*MAX(0,MIN(100,(1-MIN(1,IF(Config!$B$30=0,1,$P805/Config!$B$30)))*100)) + Config!$B$29*MAX(0,MIN(100,MIN(1,IF($Q805="",0,$Q805)/Config!$B$23)*100)))),MIN(100,Config!$B$27*MAX(0,MIN(100,(1-IF($O805="",0,$O805))*100)) + Config!$B$28*MAX(0,MIN(100,(1-MIN(1,IF(Config!$B$30=0,1,$P805/Config!$B$30)))*100)) + Config!$B$29*MAX(0,MIN(100,MIN(1,IF($Q805="",0,$Q805)/Config!$B$23)*100))))),"")
</f>
        <v/>
      </c>
      <c r="S805" s="40" t="str">
        <f>IF(Bids!$D805="","",Bids!$D805)</f>
        <v/>
      </c>
      <c r="T805" s="40" t="str">
        <f>IF(Bids!$F805="","",Bids!$F805)</f>
        <v/>
      </c>
      <c r="U805" s="40" t="str">
        <f t="shared" si="3"/>
        <v/>
      </c>
      <c r="V805" s="40" t="str">
        <f>IF($U805="","",IF(Config!$B$17=Config!$B$16,IF($U805&gt;=Config!$B$17,100,0),MAX(0,MIN(100,($U805-Config!$B$16)/(Config!$B$17-Config!$B$16)*100))))</f>
        <v/>
      </c>
      <c r="W805" s="40">
        <f>IF($L805="Elite",Config!$B$21,0)</f>
        <v>0</v>
      </c>
      <c r="X805" s="40" t="str">
        <f>IFERROR(IF(OR($T805="",$G805=""),"",IF($T805&gt;$G805,
  MAX(0, 60-(($T805-$G805)*24/Config!$B$19)*60),
  MEDIAN(60, 100, 60+(($G805-$T805)*24/Config!$B$20)*40)
)),"")
</f>
        <v/>
      </c>
      <c r="Y805" s="40" t="str">
        <f>IF($J805="","",IFERROR(VLOOKUP($J805,Grinders!$A:$N,10,FALSE),""))</f>
        <v/>
      </c>
      <c r="Z805" s="40" t="str">
        <f>IF($J805="","",IFERROR(VLOOKUP($J805,Grinders!$A:$N,11,FALSE),""))</f>
        <v/>
      </c>
      <c r="AA805" s="40" t="str">
        <f>IF($J805="","",IFERROR(VLOOKUP($J805,Grinders!$A:$N,12,FALSE),""))</f>
        <v/>
      </c>
      <c r="AB805" s="40">
        <f>IFERROR(IF(OR($C805="",$J805=""),0,IF($D805&lt;&gt;"Open",0,IF(COUNTIFS(GrinderServices!$B:$B,$J805,GrinderServices!$C:$C,$E805,GrinderServices!$E:$E,"Y")=0,0,IF($U805&lt;Config!$B$16,0,IF(Config!$B$18=1,IF($N805&gt;=$M805,0,1),1))))),"")</f>
        <v>0</v>
      </c>
      <c r="AC805" s="40" t="str">
        <f>IFERROR(IF($AB805=0,"",((Config!$B$6*$V805 + Config!$B$7*$R805 + Config!$B$8*$W805 + Config!$B$9*$X805 + Config!$B$10*$Y805 + Config!$B$11*$Z805 - Config!$B$12*$AA805)/Config!$B$13)+$AH805+$AI805),"")</f>
        <v/>
      </c>
      <c r="AD805" s="40" t="str">
        <f t="shared" si="4"/>
        <v/>
      </c>
      <c r="AE805" s="40" t="str">
        <f>IFERROR(__xludf.DUMMYFUNCTION("IF($AC805="""","""",IF($AC805=IFERROR(MAX(FILTER($AC$6:$AC$1000,$C$6:$C$1000=$C805,$AB$6:$AB$1000=1)),),""WINNER"",""""))"),"")</f>
        <v/>
      </c>
      <c r="AF805" s="40" t="str">
        <f t="shared" si="5"/>
        <v/>
      </c>
      <c r="AG805" s="40" t="str">
        <f>IF($J805="","",COUNTIF(Assignments!$B:$B,$J805))</f>
        <v/>
      </c>
      <c r="AH805" s="40" t="str">
        <f>IF($J805="","",IF(AND($AG805=0,$N805&lt;$M805),Config!$B$43,0))</f>
        <v/>
      </c>
      <c r="AI805" s="40" t="str">
        <f>IF($J805="","",IF(AND($L805="Elite",$F805&gt;=Config!$B$41,$N805&lt;$M805),Config!$B$42,0))</f>
        <v/>
      </c>
      <c r="AJ805" s="22"/>
    </row>
    <row r="806" ht="15.75" customHeight="1">
      <c r="A806" s="40" t="str">
        <f t="shared" si="1"/>
        <v/>
      </c>
      <c r="B806" s="40" t="str">
        <f>IF(Bids!$A806="","",Bids!$A806)</f>
        <v/>
      </c>
      <c r="C806" s="40" t="str">
        <f>IF(Bids!$B806="","",Bids!$B806)</f>
        <v/>
      </c>
      <c r="D806" s="40" t="str">
        <f>IF($C806="","",IFERROR(VLOOKUP($C806,Orders!$A:$J,9,FALSE),""))</f>
        <v/>
      </c>
      <c r="E806" s="40" t="str">
        <f>IF($C806="","",IFERROR(VLOOKUP($C806,Orders!$A:$J,3,FALSE),""))</f>
        <v/>
      </c>
      <c r="F806" s="40" t="str">
        <f>IF($C806="","",IFERROR(VLOOKUP($C806,Orders!$A:$J,4,FALSE),""))</f>
        <v/>
      </c>
      <c r="G806" s="40" t="str">
        <f>IF($C806="","",IFERROR(VLOOKUP($C806,Orders!$A:$J,5,FALSE),""))</f>
        <v/>
      </c>
      <c r="H806" s="40" t="str">
        <f>IF($C806="","",IFERROR(VLOOKUP($C806,Orders!$A:$J,6,FALSE),""))</f>
        <v/>
      </c>
      <c r="I806" s="40" t="str">
        <f>IF($C806="","",IFERROR(VLOOKUP($C806,Orders!$A:$J,7,FALSE),""))</f>
        <v/>
      </c>
      <c r="J806" s="40" t="str">
        <f>IF(Bids!$C806="","",Bids!$C806)</f>
        <v/>
      </c>
      <c r="K806" s="40" t="str">
        <f>IF($J806="","",IFERROR(VLOOKUP($J806,Grinders!$A:$N,2,FALSE),""))</f>
        <v/>
      </c>
      <c r="L806" s="40" t="str">
        <f>IF($J806="","",IFERROR(VLOOKUP($J806,Grinders!$A:$N,3,FALSE),""))</f>
        <v/>
      </c>
      <c r="M806" s="40" t="str">
        <f>IF($J806="","",IFERROR(VLOOKUP($J806,Grinders!$A:$N,4,FALSE),""))</f>
        <v/>
      </c>
      <c r="N806" s="40" t="str">
        <f>IF($J806="","",IFERROR(VLOOKUP($J806,Grinders!$A:$N,5,FALSE),""))</f>
        <v/>
      </c>
      <c r="O806" s="40" t="str">
        <f t="shared" si="2"/>
        <v/>
      </c>
      <c r="P806" s="40" t="str">
        <f>IF($J806="","",IFERROR(VLOOKUP($J806,Grinders!$A:$N,6,FALSE),""))</f>
        <v/>
      </c>
      <c r="Q806" s="40" t="str">
        <f>IF($J806="","",IFERROR(VLOOKUP($J806,Grinders!$A:$N,8,FALSE),""))</f>
        <v/>
      </c>
      <c r="R806" s="40" t="str">
        <f>IFERROR(IF($J806="","",IF($L806="Elite",MAX(50,MIN(100,Config!$B$27*MAX(0,MIN(100,(1-IF($O806="",0,$O806))*100)) + Config!$B$28*MAX(0,MIN(100,(1-MIN(1,IF(Config!$B$30=0,1,$P806/Config!$B$30)))*100)) + Config!$B$29*MAX(0,MIN(100,MIN(1,IF($Q806="",0,$Q806)/Config!$B$23)*100)))),MIN(100,Config!$B$27*MAX(0,MIN(100,(1-IF($O806="",0,$O806))*100)) + Config!$B$28*MAX(0,MIN(100,(1-MIN(1,IF(Config!$B$30=0,1,$P806/Config!$B$30)))*100)) + Config!$B$29*MAX(0,MIN(100,MIN(1,IF($Q806="",0,$Q806)/Config!$B$23)*100))))),"")
</f>
        <v/>
      </c>
      <c r="S806" s="40" t="str">
        <f>IF(Bids!$D806="","",Bids!$D806)</f>
        <v/>
      </c>
      <c r="T806" s="40" t="str">
        <f>IF(Bids!$F806="","",Bids!$F806)</f>
        <v/>
      </c>
      <c r="U806" s="40" t="str">
        <f t="shared" si="3"/>
        <v/>
      </c>
      <c r="V806" s="40" t="str">
        <f>IF($U806="","",IF(Config!$B$17=Config!$B$16,IF($U806&gt;=Config!$B$17,100,0),MAX(0,MIN(100,($U806-Config!$B$16)/(Config!$B$17-Config!$B$16)*100))))</f>
        <v/>
      </c>
      <c r="W806" s="40">
        <f>IF($L806="Elite",Config!$B$21,0)</f>
        <v>0</v>
      </c>
      <c r="X806" s="40" t="str">
        <f>IFERROR(IF(OR($T806="",$G806=""),"",IF($T806&gt;$G806,
  MAX(0, 60-(($T806-$G806)*24/Config!$B$19)*60),
  MEDIAN(60, 100, 60+(($G806-$T806)*24/Config!$B$20)*40)
)),"")
</f>
        <v/>
      </c>
      <c r="Y806" s="40" t="str">
        <f>IF($J806="","",IFERROR(VLOOKUP($J806,Grinders!$A:$N,10,FALSE),""))</f>
        <v/>
      </c>
      <c r="Z806" s="40" t="str">
        <f>IF($J806="","",IFERROR(VLOOKUP($J806,Grinders!$A:$N,11,FALSE),""))</f>
        <v/>
      </c>
      <c r="AA806" s="40" t="str">
        <f>IF($J806="","",IFERROR(VLOOKUP($J806,Grinders!$A:$N,12,FALSE),""))</f>
        <v/>
      </c>
      <c r="AB806" s="40">
        <f>IFERROR(IF(OR($C806="",$J806=""),0,IF($D806&lt;&gt;"Open",0,IF(COUNTIFS(GrinderServices!$B:$B,$J806,GrinderServices!$C:$C,$E806,GrinderServices!$E:$E,"Y")=0,0,IF($U806&lt;Config!$B$16,0,IF(Config!$B$18=1,IF($N806&gt;=$M806,0,1),1))))),"")</f>
        <v>0</v>
      </c>
      <c r="AC806" s="40" t="str">
        <f>IFERROR(IF($AB806=0,"",((Config!$B$6*$V806 + Config!$B$7*$R806 + Config!$B$8*$W806 + Config!$B$9*$X806 + Config!$B$10*$Y806 + Config!$B$11*$Z806 - Config!$B$12*$AA806)/Config!$B$13)+$AH806+$AI806),"")</f>
        <v/>
      </c>
      <c r="AD806" s="40" t="str">
        <f t="shared" si="4"/>
        <v/>
      </c>
      <c r="AE806" s="40" t="str">
        <f>IFERROR(__xludf.DUMMYFUNCTION("IF($AC806="""","""",IF($AC806=IFERROR(MAX(FILTER($AC$6:$AC$1000,$C$6:$C$1000=$C806,$AB$6:$AB$1000=1)),),""WINNER"",""""))"),"")</f>
        <v/>
      </c>
      <c r="AF806" s="40" t="str">
        <f t="shared" si="5"/>
        <v/>
      </c>
      <c r="AG806" s="40" t="str">
        <f>IF($J806="","",COUNTIF(Assignments!$B:$B,$J806))</f>
        <v/>
      </c>
      <c r="AH806" s="40" t="str">
        <f>IF($J806="","",IF(AND($AG806=0,$N806&lt;$M806),Config!$B$43,0))</f>
        <v/>
      </c>
      <c r="AI806" s="40" t="str">
        <f>IF($J806="","",IF(AND($L806="Elite",$F806&gt;=Config!$B$41,$N806&lt;$M806),Config!$B$42,0))</f>
        <v/>
      </c>
      <c r="AJ806" s="22"/>
    </row>
    <row r="807" ht="15.75" customHeight="1">
      <c r="A807" s="40" t="str">
        <f t="shared" si="1"/>
        <v/>
      </c>
      <c r="B807" s="40" t="str">
        <f>IF(Bids!$A807="","",Bids!$A807)</f>
        <v/>
      </c>
      <c r="C807" s="40" t="str">
        <f>IF(Bids!$B807="","",Bids!$B807)</f>
        <v/>
      </c>
      <c r="D807" s="40" t="str">
        <f>IF($C807="","",IFERROR(VLOOKUP($C807,Orders!$A:$J,9,FALSE),""))</f>
        <v/>
      </c>
      <c r="E807" s="40" t="str">
        <f>IF($C807="","",IFERROR(VLOOKUP($C807,Orders!$A:$J,3,FALSE),""))</f>
        <v/>
      </c>
      <c r="F807" s="40" t="str">
        <f>IF($C807="","",IFERROR(VLOOKUP($C807,Orders!$A:$J,4,FALSE),""))</f>
        <v/>
      </c>
      <c r="G807" s="40" t="str">
        <f>IF($C807="","",IFERROR(VLOOKUP($C807,Orders!$A:$J,5,FALSE),""))</f>
        <v/>
      </c>
      <c r="H807" s="40" t="str">
        <f>IF($C807="","",IFERROR(VLOOKUP($C807,Orders!$A:$J,6,FALSE),""))</f>
        <v/>
      </c>
      <c r="I807" s="40" t="str">
        <f>IF($C807="","",IFERROR(VLOOKUP($C807,Orders!$A:$J,7,FALSE),""))</f>
        <v/>
      </c>
      <c r="J807" s="40" t="str">
        <f>IF(Bids!$C807="","",Bids!$C807)</f>
        <v/>
      </c>
      <c r="K807" s="40" t="str">
        <f>IF($J807="","",IFERROR(VLOOKUP($J807,Grinders!$A:$N,2,FALSE),""))</f>
        <v/>
      </c>
      <c r="L807" s="40" t="str">
        <f>IF($J807="","",IFERROR(VLOOKUP($J807,Grinders!$A:$N,3,FALSE),""))</f>
        <v/>
      </c>
      <c r="M807" s="40" t="str">
        <f>IF($J807="","",IFERROR(VLOOKUP($J807,Grinders!$A:$N,4,FALSE),""))</f>
        <v/>
      </c>
      <c r="N807" s="40" t="str">
        <f>IF($J807="","",IFERROR(VLOOKUP($J807,Grinders!$A:$N,5,FALSE),""))</f>
        <v/>
      </c>
      <c r="O807" s="40" t="str">
        <f t="shared" si="2"/>
        <v/>
      </c>
      <c r="P807" s="40" t="str">
        <f>IF($J807="","",IFERROR(VLOOKUP($J807,Grinders!$A:$N,6,FALSE),""))</f>
        <v/>
      </c>
      <c r="Q807" s="40" t="str">
        <f>IF($J807="","",IFERROR(VLOOKUP($J807,Grinders!$A:$N,8,FALSE),""))</f>
        <v/>
      </c>
      <c r="R807" s="40" t="str">
        <f>IFERROR(IF($J807="","",IF($L807="Elite",MAX(50,MIN(100,Config!$B$27*MAX(0,MIN(100,(1-IF($O807="",0,$O807))*100)) + Config!$B$28*MAX(0,MIN(100,(1-MIN(1,IF(Config!$B$30=0,1,$P807/Config!$B$30)))*100)) + Config!$B$29*MAX(0,MIN(100,MIN(1,IF($Q807="",0,$Q807)/Config!$B$23)*100)))),MIN(100,Config!$B$27*MAX(0,MIN(100,(1-IF($O807="",0,$O807))*100)) + Config!$B$28*MAX(0,MIN(100,(1-MIN(1,IF(Config!$B$30=0,1,$P807/Config!$B$30)))*100)) + Config!$B$29*MAX(0,MIN(100,MIN(1,IF($Q807="",0,$Q807)/Config!$B$23)*100))))),"")
</f>
        <v/>
      </c>
      <c r="S807" s="40" t="str">
        <f>IF(Bids!$D807="","",Bids!$D807)</f>
        <v/>
      </c>
      <c r="T807" s="40" t="str">
        <f>IF(Bids!$F807="","",Bids!$F807)</f>
        <v/>
      </c>
      <c r="U807" s="40" t="str">
        <f t="shared" si="3"/>
        <v/>
      </c>
      <c r="V807" s="40" t="str">
        <f>IF($U807="","",IF(Config!$B$17=Config!$B$16,IF($U807&gt;=Config!$B$17,100,0),MAX(0,MIN(100,($U807-Config!$B$16)/(Config!$B$17-Config!$B$16)*100))))</f>
        <v/>
      </c>
      <c r="W807" s="40">
        <f>IF($L807="Elite",Config!$B$21,0)</f>
        <v>0</v>
      </c>
      <c r="X807" s="40" t="str">
        <f>IFERROR(IF(OR($T807="",$G807=""),"",IF($T807&gt;$G807,
  MAX(0, 60-(($T807-$G807)*24/Config!$B$19)*60),
  MEDIAN(60, 100, 60+(($G807-$T807)*24/Config!$B$20)*40)
)),"")
</f>
        <v/>
      </c>
      <c r="Y807" s="40" t="str">
        <f>IF($J807="","",IFERROR(VLOOKUP($J807,Grinders!$A:$N,10,FALSE),""))</f>
        <v/>
      </c>
      <c r="Z807" s="40" t="str">
        <f>IF($J807="","",IFERROR(VLOOKUP($J807,Grinders!$A:$N,11,FALSE),""))</f>
        <v/>
      </c>
      <c r="AA807" s="40" t="str">
        <f>IF($J807="","",IFERROR(VLOOKUP($J807,Grinders!$A:$N,12,FALSE),""))</f>
        <v/>
      </c>
      <c r="AB807" s="40">
        <f>IFERROR(IF(OR($C807="",$J807=""),0,IF($D807&lt;&gt;"Open",0,IF(COUNTIFS(GrinderServices!$B:$B,$J807,GrinderServices!$C:$C,$E807,GrinderServices!$E:$E,"Y")=0,0,IF($U807&lt;Config!$B$16,0,IF(Config!$B$18=1,IF($N807&gt;=$M807,0,1),1))))),"")</f>
        <v>0</v>
      </c>
      <c r="AC807" s="40" t="str">
        <f>IFERROR(IF($AB807=0,"",((Config!$B$6*$V807 + Config!$B$7*$R807 + Config!$B$8*$W807 + Config!$B$9*$X807 + Config!$B$10*$Y807 + Config!$B$11*$Z807 - Config!$B$12*$AA807)/Config!$B$13)+$AH807+$AI807),"")</f>
        <v/>
      </c>
      <c r="AD807" s="40" t="str">
        <f t="shared" si="4"/>
        <v/>
      </c>
      <c r="AE807" s="40" t="str">
        <f>IFERROR(__xludf.DUMMYFUNCTION("IF($AC807="""","""",IF($AC807=IFERROR(MAX(FILTER($AC$6:$AC$1000,$C$6:$C$1000=$C807,$AB$6:$AB$1000=1)),),""WINNER"",""""))"),"")</f>
        <v/>
      </c>
      <c r="AF807" s="40" t="str">
        <f t="shared" si="5"/>
        <v/>
      </c>
      <c r="AG807" s="40" t="str">
        <f>IF($J807="","",COUNTIF(Assignments!$B:$B,$J807))</f>
        <v/>
      </c>
      <c r="AH807" s="40" t="str">
        <f>IF($J807="","",IF(AND($AG807=0,$N807&lt;$M807),Config!$B$43,0))</f>
        <v/>
      </c>
      <c r="AI807" s="40" t="str">
        <f>IF($J807="","",IF(AND($L807="Elite",$F807&gt;=Config!$B$41,$N807&lt;$M807),Config!$B$42,0))</f>
        <v/>
      </c>
      <c r="AJ807" s="22"/>
    </row>
    <row r="808" ht="15.75" customHeight="1">
      <c r="A808" s="40" t="str">
        <f t="shared" si="1"/>
        <v/>
      </c>
      <c r="B808" s="40" t="str">
        <f>IF(Bids!$A808="","",Bids!$A808)</f>
        <v/>
      </c>
      <c r="C808" s="40" t="str">
        <f>IF(Bids!$B808="","",Bids!$B808)</f>
        <v/>
      </c>
      <c r="D808" s="40" t="str">
        <f>IF($C808="","",IFERROR(VLOOKUP($C808,Orders!$A:$J,9,FALSE),""))</f>
        <v/>
      </c>
      <c r="E808" s="40" t="str">
        <f>IF($C808="","",IFERROR(VLOOKUP($C808,Orders!$A:$J,3,FALSE),""))</f>
        <v/>
      </c>
      <c r="F808" s="40" t="str">
        <f>IF($C808="","",IFERROR(VLOOKUP($C808,Orders!$A:$J,4,FALSE),""))</f>
        <v/>
      </c>
      <c r="G808" s="40" t="str">
        <f>IF($C808="","",IFERROR(VLOOKUP($C808,Orders!$A:$J,5,FALSE),""))</f>
        <v/>
      </c>
      <c r="H808" s="40" t="str">
        <f>IF($C808="","",IFERROR(VLOOKUP($C808,Orders!$A:$J,6,FALSE),""))</f>
        <v/>
      </c>
      <c r="I808" s="40" t="str">
        <f>IF($C808="","",IFERROR(VLOOKUP($C808,Orders!$A:$J,7,FALSE),""))</f>
        <v/>
      </c>
      <c r="J808" s="40" t="str">
        <f>IF(Bids!$C808="","",Bids!$C808)</f>
        <v/>
      </c>
      <c r="K808" s="40" t="str">
        <f>IF($J808="","",IFERROR(VLOOKUP($J808,Grinders!$A:$N,2,FALSE),""))</f>
        <v/>
      </c>
      <c r="L808" s="40" t="str">
        <f>IF($J808="","",IFERROR(VLOOKUP($J808,Grinders!$A:$N,3,FALSE),""))</f>
        <v/>
      </c>
      <c r="M808" s="40" t="str">
        <f>IF($J808="","",IFERROR(VLOOKUP($J808,Grinders!$A:$N,4,FALSE),""))</f>
        <v/>
      </c>
      <c r="N808" s="40" t="str">
        <f>IF($J808="","",IFERROR(VLOOKUP($J808,Grinders!$A:$N,5,FALSE),""))</f>
        <v/>
      </c>
      <c r="O808" s="40" t="str">
        <f t="shared" si="2"/>
        <v/>
      </c>
      <c r="P808" s="40" t="str">
        <f>IF($J808="","",IFERROR(VLOOKUP($J808,Grinders!$A:$N,6,FALSE),""))</f>
        <v/>
      </c>
      <c r="Q808" s="40" t="str">
        <f>IF($J808="","",IFERROR(VLOOKUP($J808,Grinders!$A:$N,8,FALSE),""))</f>
        <v/>
      </c>
      <c r="R808" s="40" t="str">
        <f>IFERROR(IF($J808="","",IF($L808="Elite",MAX(50,MIN(100,Config!$B$27*MAX(0,MIN(100,(1-IF($O808="",0,$O808))*100)) + Config!$B$28*MAX(0,MIN(100,(1-MIN(1,IF(Config!$B$30=0,1,$P808/Config!$B$30)))*100)) + Config!$B$29*MAX(0,MIN(100,MIN(1,IF($Q808="",0,$Q808)/Config!$B$23)*100)))),MIN(100,Config!$B$27*MAX(0,MIN(100,(1-IF($O808="",0,$O808))*100)) + Config!$B$28*MAX(0,MIN(100,(1-MIN(1,IF(Config!$B$30=0,1,$P808/Config!$B$30)))*100)) + Config!$B$29*MAX(0,MIN(100,MIN(1,IF($Q808="",0,$Q808)/Config!$B$23)*100))))),"")
</f>
        <v/>
      </c>
      <c r="S808" s="40" t="str">
        <f>IF(Bids!$D808="","",Bids!$D808)</f>
        <v/>
      </c>
      <c r="T808" s="40" t="str">
        <f>IF(Bids!$F808="","",Bids!$F808)</f>
        <v/>
      </c>
      <c r="U808" s="40" t="str">
        <f t="shared" si="3"/>
        <v/>
      </c>
      <c r="V808" s="40" t="str">
        <f>IF($U808="","",IF(Config!$B$17=Config!$B$16,IF($U808&gt;=Config!$B$17,100,0),MAX(0,MIN(100,($U808-Config!$B$16)/(Config!$B$17-Config!$B$16)*100))))</f>
        <v/>
      </c>
      <c r="W808" s="40">
        <f>IF($L808="Elite",Config!$B$21,0)</f>
        <v>0</v>
      </c>
      <c r="X808" s="40" t="str">
        <f>IFERROR(IF(OR($T808="",$G808=""),"",IF($T808&gt;$G808,
  MAX(0, 60-(($T808-$G808)*24/Config!$B$19)*60),
  MEDIAN(60, 100, 60+(($G808-$T808)*24/Config!$B$20)*40)
)),"")
</f>
        <v/>
      </c>
      <c r="Y808" s="40" t="str">
        <f>IF($J808="","",IFERROR(VLOOKUP($J808,Grinders!$A:$N,10,FALSE),""))</f>
        <v/>
      </c>
      <c r="Z808" s="40" t="str">
        <f>IF($J808="","",IFERROR(VLOOKUP($J808,Grinders!$A:$N,11,FALSE),""))</f>
        <v/>
      </c>
      <c r="AA808" s="40" t="str">
        <f>IF($J808="","",IFERROR(VLOOKUP($J808,Grinders!$A:$N,12,FALSE),""))</f>
        <v/>
      </c>
      <c r="AB808" s="40">
        <f>IFERROR(IF(OR($C808="",$J808=""),0,IF($D808&lt;&gt;"Open",0,IF(COUNTIFS(GrinderServices!$B:$B,$J808,GrinderServices!$C:$C,$E808,GrinderServices!$E:$E,"Y")=0,0,IF($U808&lt;Config!$B$16,0,IF(Config!$B$18=1,IF($N808&gt;=$M808,0,1),1))))),"")</f>
        <v>0</v>
      </c>
      <c r="AC808" s="40" t="str">
        <f>IFERROR(IF($AB808=0,"",((Config!$B$6*$V808 + Config!$B$7*$R808 + Config!$B$8*$W808 + Config!$B$9*$X808 + Config!$B$10*$Y808 + Config!$B$11*$Z808 - Config!$B$12*$AA808)/Config!$B$13)+$AH808+$AI808),"")</f>
        <v/>
      </c>
      <c r="AD808" s="40" t="str">
        <f t="shared" si="4"/>
        <v/>
      </c>
      <c r="AE808" s="40" t="str">
        <f>IFERROR(__xludf.DUMMYFUNCTION("IF($AC808="""","""",IF($AC808=IFERROR(MAX(FILTER($AC$6:$AC$1000,$C$6:$C$1000=$C808,$AB$6:$AB$1000=1)),),""WINNER"",""""))"),"")</f>
        <v/>
      </c>
      <c r="AF808" s="40" t="str">
        <f t="shared" si="5"/>
        <v/>
      </c>
      <c r="AG808" s="40" t="str">
        <f>IF($J808="","",COUNTIF(Assignments!$B:$B,$J808))</f>
        <v/>
      </c>
      <c r="AH808" s="40" t="str">
        <f>IF($J808="","",IF(AND($AG808=0,$N808&lt;$M808),Config!$B$43,0))</f>
        <v/>
      </c>
      <c r="AI808" s="40" t="str">
        <f>IF($J808="","",IF(AND($L808="Elite",$F808&gt;=Config!$B$41,$N808&lt;$M808),Config!$B$42,0))</f>
        <v/>
      </c>
      <c r="AJ808" s="22"/>
    </row>
    <row r="809" ht="15.75" customHeight="1">
      <c r="A809" s="40" t="str">
        <f t="shared" si="1"/>
        <v/>
      </c>
      <c r="B809" s="40" t="str">
        <f>IF(Bids!$A809="","",Bids!$A809)</f>
        <v/>
      </c>
      <c r="C809" s="40" t="str">
        <f>IF(Bids!$B809="","",Bids!$B809)</f>
        <v/>
      </c>
      <c r="D809" s="40" t="str">
        <f>IF($C809="","",IFERROR(VLOOKUP($C809,Orders!$A:$J,9,FALSE),""))</f>
        <v/>
      </c>
      <c r="E809" s="40" t="str">
        <f>IF($C809="","",IFERROR(VLOOKUP($C809,Orders!$A:$J,3,FALSE),""))</f>
        <v/>
      </c>
      <c r="F809" s="40" t="str">
        <f>IF($C809="","",IFERROR(VLOOKUP($C809,Orders!$A:$J,4,FALSE),""))</f>
        <v/>
      </c>
      <c r="G809" s="40" t="str">
        <f>IF($C809="","",IFERROR(VLOOKUP($C809,Orders!$A:$J,5,FALSE),""))</f>
        <v/>
      </c>
      <c r="H809" s="40" t="str">
        <f>IF($C809="","",IFERROR(VLOOKUP($C809,Orders!$A:$J,6,FALSE),""))</f>
        <v/>
      </c>
      <c r="I809" s="40" t="str">
        <f>IF($C809="","",IFERROR(VLOOKUP($C809,Orders!$A:$J,7,FALSE),""))</f>
        <v/>
      </c>
      <c r="J809" s="40" t="str">
        <f>IF(Bids!$C809="","",Bids!$C809)</f>
        <v/>
      </c>
      <c r="K809" s="40" t="str">
        <f>IF($J809="","",IFERROR(VLOOKUP($J809,Grinders!$A:$N,2,FALSE),""))</f>
        <v/>
      </c>
      <c r="L809" s="40" t="str">
        <f>IF($J809="","",IFERROR(VLOOKUP($J809,Grinders!$A:$N,3,FALSE),""))</f>
        <v/>
      </c>
      <c r="M809" s="40" t="str">
        <f>IF($J809="","",IFERROR(VLOOKUP($J809,Grinders!$A:$N,4,FALSE),""))</f>
        <v/>
      </c>
      <c r="N809" s="40" t="str">
        <f>IF($J809="","",IFERROR(VLOOKUP($J809,Grinders!$A:$N,5,FALSE),""))</f>
        <v/>
      </c>
      <c r="O809" s="40" t="str">
        <f t="shared" si="2"/>
        <v/>
      </c>
      <c r="P809" s="40" t="str">
        <f>IF($J809="","",IFERROR(VLOOKUP($J809,Grinders!$A:$N,6,FALSE),""))</f>
        <v/>
      </c>
      <c r="Q809" s="40" t="str">
        <f>IF($J809="","",IFERROR(VLOOKUP($J809,Grinders!$A:$N,8,FALSE),""))</f>
        <v/>
      </c>
      <c r="R809" s="40" t="str">
        <f>IFERROR(IF($J809="","",IF($L809="Elite",MAX(50,MIN(100,Config!$B$27*MAX(0,MIN(100,(1-IF($O809="",0,$O809))*100)) + Config!$B$28*MAX(0,MIN(100,(1-MIN(1,IF(Config!$B$30=0,1,$P809/Config!$B$30)))*100)) + Config!$B$29*MAX(0,MIN(100,MIN(1,IF($Q809="",0,$Q809)/Config!$B$23)*100)))),MIN(100,Config!$B$27*MAX(0,MIN(100,(1-IF($O809="",0,$O809))*100)) + Config!$B$28*MAX(0,MIN(100,(1-MIN(1,IF(Config!$B$30=0,1,$P809/Config!$B$30)))*100)) + Config!$B$29*MAX(0,MIN(100,MIN(1,IF($Q809="",0,$Q809)/Config!$B$23)*100))))),"")
</f>
        <v/>
      </c>
      <c r="S809" s="40" t="str">
        <f>IF(Bids!$D809="","",Bids!$D809)</f>
        <v/>
      </c>
      <c r="T809" s="40" t="str">
        <f>IF(Bids!$F809="","",Bids!$F809)</f>
        <v/>
      </c>
      <c r="U809" s="40" t="str">
        <f t="shared" si="3"/>
        <v/>
      </c>
      <c r="V809" s="40" t="str">
        <f>IF($U809="","",IF(Config!$B$17=Config!$B$16,IF($U809&gt;=Config!$B$17,100,0),MAX(0,MIN(100,($U809-Config!$B$16)/(Config!$B$17-Config!$B$16)*100))))</f>
        <v/>
      </c>
      <c r="W809" s="40">
        <f>IF($L809="Elite",Config!$B$21,0)</f>
        <v>0</v>
      </c>
      <c r="X809" s="40" t="str">
        <f>IFERROR(IF(OR($T809="",$G809=""),"",IF($T809&gt;$G809,
  MAX(0, 60-(($T809-$G809)*24/Config!$B$19)*60),
  MEDIAN(60, 100, 60+(($G809-$T809)*24/Config!$B$20)*40)
)),"")
</f>
        <v/>
      </c>
      <c r="Y809" s="40" t="str">
        <f>IF($J809="","",IFERROR(VLOOKUP($J809,Grinders!$A:$N,10,FALSE),""))</f>
        <v/>
      </c>
      <c r="Z809" s="40" t="str">
        <f>IF($J809="","",IFERROR(VLOOKUP($J809,Grinders!$A:$N,11,FALSE),""))</f>
        <v/>
      </c>
      <c r="AA809" s="40" t="str">
        <f>IF($J809="","",IFERROR(VLOOKUP($J809,Grinders!$A:$N,12,FALSE),""))</f>
        <v/>
      </c>
      <c r="AB809" s="40">
        <f>IFERROR(IF(OR($C809="",$J809=""),0,IF($D809&lt;&gt;"Open",0,IF(COUNTIFS(GrinderServices!$B:$B,$J809,GrinderServices!$C:$C,$E809,GrinderServices!$E:$E,"Y")=0,0,IF($U809&lt;Config!$B$16,0,IF(Config!$B$18=1,IF($N809&gt;=$M809,0,1),1))))),"")</f>
        <v>0</v>
      </c>
      <c r="AC809" s="40" t="str">
        <f>IFERROR(IF($AB809=0,"",((Config!$B$6*$V809 + Config!$B$7*$R809 + Config!$B$8*$W809 + Config!$B$9*$X809 + Config!$B$10*$Y809 + Config!$B$11*$Z809 - Config!$B$12*$AA809)/Config!$B$13)+$AH809+$AI809),"")</f>
        <v/>
      </c>
      <c r="AD809" s="40" t="str">
        <f t="shared" si="4"/>
        <v/>
      </c>
      <c r="AE809" s="40" t="str">
        <f>IFERROR(__xludf.DUMMYFUNCTION("IF($AC809="""","""",IF($AC809=IFERROR(MAX(FILTER($AC$6:$AC$1000,$C$6:$C$1000=$C809,$AB$6:$AB$1000=1)),),""WINNER"",""""))"),"")</f>
        <v/>
      </c>
      <c r="AF809" s="40" t="str">
        <f t="shared" si="5"/>
        <v/>
      </c>
      <c r="AG809" s="40" t="str">
        <f>IF($J809="","",COUNTIF(Assignments!$B:$B,$J809))</f>
        <v/>
      </c>
      <c r="AH809" s="40" t="str">
        <f>IF($J809="","",IF(AND($AG809=0,$N809&lt;$M809),Config!$B$43,0))</f>
        <v/>
      </c>
      <c r="AI809" s="40" t="str">
        <f>IF($J809="","",IF(AND($L809="Elite",$F809&gt;=Config!$B$41,$N809&lt;$M809),Config!$B$42,0))</f>
        <v/>
      </c>
      <c r="AJ809" s="22"/>
    </row>
    <row r="810" ht="15.75" customHeight="1">
      <c r="A810" s="40" t="str">
        <f t="shared" si="1"/>
        <v/>
      </c>
      <c r="B810" s="40" t="str">
        <f>IF(Bids!$A810="","",Bids!$A810)</f>
        <v/>
      </c>
      <c r="C810" s="40" t="str">
        <f>IF(Bids!$B810="","",Bids!$B810)</f>
        <v/>
      </c>
      <c r="D810" s="40" t="str">
        <f>IF($C810="","",IFERROR(VLOOKUP($C810,Orders!$A:$J,9,FALSE),""))</f>
        <v/>
      </c>
      <c r="E810" s="40" t="str">
        <f>IF($C810="","",IFERROR(VLOOKUP($C810,Orders!$A:$J,3,FALSE),""))</f>
        <v/>
      </c>
      <c r="F810" s="40" t="str">
        <f>IF($C810="","",IFERROR(VLOOKUP($C810,Orders!$A:$J,4,FALSE),""))</f>
        <v/>
      </c>
      <c r="G810" s="40" t="str">
        <f>IF($C810="","",IFERROR(VLOOKUP($C810,Orders!$A:$J,5,FALSE),""))</f>
        <v/>
      </c>
      <c r="H810" s="40" t="str">
        <f>IF($C810="","",IFERROR(VLOOKUP($C810,Orders!$A:$J,6,FALSE),""))</f>
        <v/>
      </c>
      <c r="I810" s="40" t="str">
        <f>IF($C810="","",IFERROR(VLOOKUP($C810,Orders!$A:$J,7,FALSE),""))</f>
        <v/>
      </c>
      <c r="J810" s="40" t="str">
        <f>IF(Bids!$C810="","",Bids!$C810)</f>
        <v/>
      </c>
      <c r="K810" s="40" t="str">
        <f>IF($J810="","",IFERROR(VLOOKUP($J810,Grinders!$A:$N,2,FALSE),""))</f>
        <v/>
      </c>
      <c r="L810" s="40" t="str">
        <f>IF($J810="","",IFERROR(VLOOKUP($J810,Grinders!$A:$N,3,FALSE),""))</f>
        <v/>
      </c>
      <c r="M810" s="40" t="str">
        <f>IF($J810="","",IFERROR(VLOOKUP($J810,Grinders!$A:$N,4,FALSE),""))</f>
        <v/>
      </c>
      <c r="N810" s="40" t="str">
        <f>IF($J810="","",IFERROR(VLOOKUP($J810,Grinders!$A:$N,5,FALSE),""))</f>
        <v/>
      </c>
      <c r="O810" s="40" t="str">
        <f t="shared" si="2"/>
        <v/>
      </c>
      <c r="P810" s="40" t="str">
        <f>IF($J810="","",IFERROR(VLOOKUP($J810,Grinders!$A:$N,6,FALSE),""))</f>
        <v/>
      </c>
      <c r="Q810" s="40" t="str">
        <f>IF($J810="","",IFERROR(VLOOKUP($J810,Grinders!$A:$N,8,FALSE),""))</f>
        <v/>
      </c>
      <c r="R810" s="40" t="str">
        <f>IFERROR(IF($J810="","",IF($L810="Elite",MAX(50,MIN(100,Config!$B$27*MAX(0,MIN(100,(1-IF($O810="",0,$O810))*100)) + Config!$B$28*MAX(0,MIN(100,(1-MIN(1,IF(Config!$B$30=0,1,$P810/Config!$B$30)))*100)) + Config!$B$29*MAX(0,MIN(100,MIN(1,IF($Q810="",0,$Q810)/Config!$B$23)*100)))),MIN(100,Config!$B$27*MAX(0,MIN(100,(1-IF($O810="",0,$O810))*100)) + Config!$B$28*MAX(0,MIN(100,(1-MIN(1,IF(Config!$B$30=0,1,$P810/Config!$B$30)))*100)) + Config!$B$29*MAX(0,MIN(100,MIN(1,IF($Q810="",0,$Q810)/Config!$B$23)*100))))),"")
</f>
        <v/>
      </c>
      <c r="S810" s="40" t="str">
        <f>IF(Bids!$D810="","",Bids!$D810)</f>
        <v/>
      </c>
      <c r="T810" s="40" t="str">
        <f>IF(Bids!$F810="","",Bids!$F810)</f>
        <v/>
      </c>
      <c r="U810" s="40" t="str">
        <f t="shared" si="3"/>
        <v/>
      </c>
      <c r="V810" s="40" t="str">
        <f>IF($U810="","",IF(Config!$B$17=Config!$B$16,IF($U810&gt;=Config!$B$17,100,0),MAX(0,MIN(100,($U810-Config!$B$16)/(Config!$B$17-Config!$B$16)*100))))</f>
        <v/>
      </c>
      <c r="W810" s="40">
        <f>IF($L810="Elite",Config!$B$21,0)</f>
        <v>0</v>
      </c>
      <c r="X810" s="40" t="str">
        <f>IFERROR(IF(OR($T810="",$G810=""),"",IF($T810&gt;$G810,
  MAX(0, 60-(($T810-$G810)*24/Config!$B$19)*60),
  MEDIAN(60, 100, 60+(($G810-$T810)*24/Config!$B$20)*40)
)),"")
</f>
        <v/>
      </c>
      <c r="Y810" s="40" t="str">
        <f>IF($J810="","",IFERROR(VLOOKUP($J810,Grinders!$A:$N,10,FALSE),""))</f>
        <v/>
      </c>
      <c r="Z810" s="40" t="str">
        <f>IF($J810="","",IFERROR(VLOOKUP($J810,Grinders!$A:$N,11,FALSE),""))</f>
        <v/>
      </c>
      <c r="AA810" s="40" t="str">
        <f>IF($J810="","",IFERROR(VLOOKUP($J810,Grinders!$A:$N,12,FALSE),""))</f>
        <v/>
      </c>
      <c r="AB810" s="40">
        <f>IFERROR(IF(OR($C810="",$J810=""),0,IF($D810&lt;&gt;"Open",0,IF(COUNTIFS(GrinderServices!$B:$B,$J810,GrinderServices!$C:$C,$E810,GrinderServices!$E:$E,"Y")=0,0,IF($U810&lt;Config!$B$16,0,IF(Config!$B$18=1,IF($N810&gt;=$M810,0,1),1))))),"")</f>
        <v>0</v>
      </c>
      <c r="AC810" s="40" t="str">
        <f>IFERROR(IF($AB810=0,"",((Config!$B$6*$V810 + Config!$B$7*$R810 + Config!$B$8*$W810 + Config!$B$9*$X810 + Config!$B$10*$Y810 + Config!$B$11*$Z810 - Config!$B$12*$AA810)/Config!$B$13)+$AH810+$AI810),"")</f>
        <v/>
      </c>
      <c r="AD810" s="40" t="str">
        <f t="shared" si="4"/>
        <v/>
      </c>
      <c r="AE810" s="40" t="str">
        <f>IFERROR(__xludf.DUMMYFUNCTION("IF($AC810="""","""",IF($AC810=IFERROR(MAX(FILTER($AC$6:$AC$1000,$C$6:$C$1000=$C810,$AB$6:$AB$1000=1)),),""WINNER"",""""))"),"")</f>
        <v/>
      </c>
      <c r="AF810" s="40" t="str">
        <f t="shared" si="5"/>
        <v/>
      </c>
      <c r="AG810" s="40" t="str">
        <f>IF($J810="","",COUNTIF(Assignments!$B:$B,$J810))</f>
        <v/>
      </c>
      <c r="AH810" s="40" t="str">
        <f>IF($J810="","",IF(AND($AG810=0,$N810&lt;$M810),Config!$B$43,0))</f>
        <v/>
      </c>
      <c r="AI810" s="40" t="str">
        <f>IF($J810="","",IF(AND($L810="Elite",$F810&gt;=Config!$B$41,$N810&lt;$M810),Config!$B$42,0))</f>
        <v/>
      </c>
      <c r="AJ810" s="22"/>
    </row>
    <row r="811" ht="15.75" customHeight="1">
      <c r="A811" s="40" t="str">
        <f t="shared" si="1"/>
        <v/>
      </c>
      <c r="B811" s="40" t="str">
        <f>IF(Bids!$A811="","",Bids!$A811)</f>
        <v/>
      </c>
      <c r="C811" s="40" t="str">
        <f>IF(Bids!$B811="","",Bids!$B811)</f>
        <v/>
      </c>
      <c r="D811" s="40" t="str">
        <f>IF($C811="","",IFERROR(VLOOKUP($C811,Orders!$A:$J,9,FALSE),""))</f>
        <v/>
      </c>
      <c r="E811" s="40" t="str">
        <f>IF($C811="","",IFERROR(VLOOKUP($C811,Orders!$A:$J,3,FALSE),""))</f>
        <v/>
      </c>
      <c r="F811" s="40" t="str">
        <f>IF($C811="","",IFERROR(VLOOKUP($C811,Orders!$A:$J,4,FALSE),""))</f>
        <v/>
      </c>
      <c r="G811" s="40" t="str">
        <f>IF($C811="","",IFERROR(VLOOKUP($C811,Orders!$A:$J,5,FALSE),""))</f>
        <v/>
      </c>
      <c r="H811" s="40" t="str">
        <f>IF($C811="","",IFERROR(VLOOKUP($C811,Orders!$A:$J,6,FALSE),""))</f>
        <v/>
      </c>
      <c r="I811" s="40" t="str">
        <f>IF($C811="","",IFERROR(VLOOKUP($C811,Orders!$A:$J,7,FALSE),""))</f>
        <v/>
      </c>
      <c r="J811" s="40" t="str">
        <f>IF(Bids!$C811="","",Bids!$C811)</f>
        <v/>
      </c>
      <c r="K811" s="40" t="str">
        <f>IF($J811="","",IFERROR(VLOOKUP($J811,Grinders!$A:$N,2,FALSE),""))</f>
        <v/>
      </c>
      <c r="L811" s="40" t="str">
        <f>IF($J811="","",IFERROR(VLOOKUP($J811,Grinders!$A:$N,3,FALSE),""))</f>
        <v/>
      </c>
      <c r="M811" s="40" t="str">
        <f>IF($J811="","",IFERROR(VLOOKUP($J811,Grinders!$A:$N,4,FALSE),""))</f>
        <v/>
      </c>
      <c r="N811" s="40" t="str">
        <f>IF($J811="","",IFERROR(VLOOKUP($J811,Grinders!$A:$N,5,FALSE),""))</f>
        <v/>
      </c>
      <c r="O811" s="40" t="str">
        <f t="shared" si="2"/>
        <v/>
      </c>
      <c r="P811" s="40" t="str">
        <f>IF($J811="","",IFERROR(VLOOKUP($J811,Grinders!$A:$N,6,FALSE),""))</f>
        <v/>
      </c>
      <c r="Q811" s="40" t="str">
        <f>IF($J811="","",IFERROR(VLOOKUP($J811,Grinders!$A:$N,8,FALSE),""))</f>
        <v/>
      </c>
      <c r="R811" s="40" t="str">
        <f>IFERROR(IF($J811="","",IF($L811="Elite",MAX(50,MIN(100,Config!$B$27*MAX(0,MIN(100,(1-IF($O811="",0,$O811))*100)) + Config!$B$28*MAX(0,MIN(100,(1-MIN(1,IF(Config!$B$30=0,1,$P811/Config!$B$30)))*100)) + Config!$B$29*MAX(0,MIN(100,MIN(1,IF($Q811="",0,$Q811)/Config!$B$23)*100)))),MIN(100,Config!$B$27*MAX(0,MIN(100,(1-IF($O811="",0,$O811))*100)) + Config!$B$28*MAX(0,MIN(100,(1-MIN(1,IF(Config!$B$30=0,1,$P811/Config!$B$30)))*100)) + Config!$B$29*MAX(0,MIN(100,MIN(1,IF($Q811="",0,$Q811)/Config!$B$23)*100))))),"")
</f>
        <v/>
      </c>
      <c r="S811" s="40" t="str">
        <f>IF(Bids!$D811="","",Bids!$D811)</f>
        <v/>
      </c>
      <c r="T811" s="40" t="str">
        <f>IF(Bids!$F811="","",Bids!$F811)</f>
        <v/>
      </c>
      <c r="U811" s="40" t="str">
        <f t="shared" si="3"/>
        <v/>
      </c>
      <c r="V811" s="40" t="str">
        <f>IF($U811="","",IF(Config!$B$17=Config!$B$16,IF($U811&gt;=Config!$B$17,100,0),MAX(0,MIN(100,($U811-Config!$B$16)/(Config!$B$17-Config!$B$16)*100))))</f>
        <v/>
      </c>
      <c r="W811" s="40">
        <f>IF($L811="Elite",Config!$B$21,0)</f>
        <v>0</v>
      </c>
      <c r="X811" s="40" t="str">
        <f>IFERROR(IF(OR($T811="",$G811=""),"",IF($T811&gt;$G811,
  MAX(0, 60-(($T811-$G811)*24/Config!$B$19)*60),
  MEDIAN(60, 100, 60+(($G811-$T811)*24/Config!$B$20)*40)
)),"")
</f>
        <v/>
      </c>
      <c r="Y811" s="40" t="str">
        <f>IF($J811="","",IFERROR(VLOOKUP($J811,Grinders!$A:$N,10,FALSE),""))</f>
        <v/>
      </c>
      <c r="Z811" s="40" t="str">
        <f>IF($J811="","",IFERROR(VLOOKUP($J811,Grinders!$A:$N,11,FALSE),""))</f>
        <v/>
      </c>
      <c r="AA811" s="40" t="str">
        <f>IF($J811="","",IFERROR(VLOOKUP($J811,Grinders!$A:$N,12,FALSE),""))</f>
        <v/>
      </c>
      <c r="AB811" s="40">
        <f>IFERROR(IF(OR($C811="",$J811=""),0,IF($D811&lt;&gt;"Open",0,IF(COUNTIFS(GrinderServices!$B:$B,$J811,GrinderServices!$C:$C,$E811,GrinderServices!$E:$E,"Y")=0,0,IF($U811&lt;Config!$B$16,0,IF(Config!$B$18=1,IF($N811&gt;=$M811,0,1),1))))),"")</f>
        <v>0</v>
      </c>
      <c r="AC811" s="40" t="str">
        <f>IFERROR(IF($AB811=0,"",((Config!$B$6*$V811 + Config!$B$7*$R811 + Config!$B$8*$W811 + Config!$B$9*$X811 + Config!$B$10*$Y811 + Config!$B$11*$Z811 - Config!$B$12*$AA811)/Config!$B$13)+$AH811+$AI811),"")</f>
        <v/>
      </c>
      <c r="AD811" s="40" t="str">
        <f t="shared" si="4"/>
        <v/>
      </c>
      <c r="AE811" s="40" t="str">
        <f>IFERROR(__xludf.DUMMYFUNCTION("IF($AC811="""","""",IF($AC811=IFERROR(MAX(FILTER($AC$6:$AC$1000,$C$6:$C$1000=$C811,$AB$6:$AB$1000=1)),),""WINNER"",""""))"),"")</f>
        <v/>
      </c>
      <c r="AF811" s="40" t="str">
        <f t="shared" si="5"/>
        <v/>
      </c>
      <c r="AG811" s="40" t="str">
        <f>IF($J811="","",COUNTIF(Assignments!$B:$B,$J811))</f>
        <v/>
      </c>
      <c r="AH811" s="40" t="str">
        <f>IF($J811="","",IF(AND($AG811=0,$N811&lt;$M811),Config!$B$43,0))</f>
        <v/>
      </c>
      <c r="AI811" s="40" t="str">
        <f>IF($J811="","",IF(AND($L811="Elite",$F811&gt;=Config!$B$41,$N811&lt;$M811),Config!$B$42,0))</f>
        <v/>
      </c>
      <c r="AJ811" s="22"/>
    </row>
    <row r="812" ht="15.75" customHeight="1">
      <c r="A812" s="40" t="str">
        <f t="shared" si="1"/>
        <v/>
      </c>
      <c r="B812" s="40" t="str">
        <f>IF(Bids!$A812="","",Bids!$A812)</f>
        <v/>
      </c>
      <c r="C812" s="40" t="str">
        <f>IF(Bids!$B812="","",Bids!$B812)</f>
        <v/>
      </c>
      <c r="D812" s="40" t="str">
        <f>IF($C812="","",IFERROR(VLOOKUP($C812,Orders!$A:$J,9,FALSE),""))</f>
        <v/>
      </c>
      <c r="E812" s="40" t="str">
        <f>IF($C812="","",IFERROR(VLOOKUP($C812,Orders!$A:$J,3,FALSE),""))</f>
        <v/>
      </c>
      <c r="F812" s="40" t="str">
        <f>IF($C812="","",IFERROR(VLOOKUP($C812,Orders!$A:$J,4,FALSE),""))</f>
        <v/>
      </c>
      <c r="G812" s="40" t="str">
        <f>IF($C812="","",IFERROR(VLOOKUP($C812,Orders!$A:$J,5,FALSE),""))</f>
        <v/>
      </c>
      <c r="H812" s="40" t="str">
        <f>IF($C812="","",IFERROR(VLOOKUP($C812,Orders!$A:$J,6,FALSE),""))</f>
        <v/>
      </c>
      <c r="I812" s="40" t="str">
        <f>IF($C812="","",IFERROR(VLOOKUP($C812,Orders!$A:$J,7,FALSE),""))</f>
        <v/>
      </c>
      <c r="J812" s="40" t="str">
        <f>IF(Bids!$C812="","",Bids!$C812)</f>
        <v/>
      </c>
      <c r="K812" s="40" t="str">
        <f>IF($J812="","",IFERROR(VLOOKUP($J812,Grinders!$A:$N,2,FALSE),""))</f>
        <v/>
      </c>
      <c r="L812" s="40" t="str">
        <f>IF($J812="","",IFERROR(VLOOKUP($J812,Grinders!$A:$N,3,FALSE),""))</f>
        <v/>
      </c>
      <c r="M812" s="40" t="str">
        <f>IF($J812="","",IFERROR(VLOOKUP($J812,Grinders!$A:$N,4,FALSE),""))</f>
        <v/>
      </c>
      <c r="N812" s="40" t="str">
        <f>IF($J812="","",IFERROR(VLOOKUP($J812,Grinders!$A:$N,5,FALSE),""))</f>
        <v/>
      </c>
      <c r="O812" s="40" t="str">
        <f t="shared" si="2"/>
        <v/>
      </c>
      <c r="P812" s="40" t="str">
        <f>IF($J812="","",IFERROR(VLOOKUP($J812,Grinders!$A:$N,6,FALSE),""))</f>
        <v/>
      </c>
      <c r="Q812" s="40" t="str">
        <f>IF($J812="","",IFERROR(VLOOKUP($J812,Grinders!$A:$N,8,FALSE),""))</f>
        <v/>
      </c>
      <c r="R812" s="40" t="str">
        <f>IFERROR(IF($J812="","",IF($L812="Elite",MAX(50,MIN(100,Config!$B$27*MAX(0,MIN(100,(1-IF($O812="",0,$O812))*100)) + Config!$B$28*MAX(0,MIN(100,(1-MIN(1,IF(Config!$B$30=0,1,$P812/Config!$B$30)))*100)) + Config!$B$29*MAX(0,MIN(100,MIN(1,IF($Q812="",0,$Q812)/Config!$B$23)*100)))),MIN(100,Config!$B$27*MAX(0,MIN(100,(1-IF($O812="",0,$O812))*100)) + Config!$B$28*MAX(0,MIN(100,(1-MIN(1,IF(Config!$B$30=0,1,$P812/Config!$B$30)))*100)) + Config!$B$29*MAX(0,MIN(100,MIN(1,IF($Q812="",0,$Q812)/Config!$B$23)*100))))),"")
</f>
        <v/>
      </c>
      <c r="S812" s="40" t="str">
        <f>IF(Bids!$D812="","",Bids!$D812)</f>
        <v/>
      </c>
      <c r="T812" s="40" t="str">
        <f>IF(Bids!$F812="","",Bids!$F812)</f>
        <v/>
      </c>
      <c r="U812" s="40" t="str">
        <f t="shared" si="3"/>
        <v/>
      </c>
      <c r="V812" s="40" t="str">
        <f>IF($U812="","",IF(Config!$B$17=Config!$B$16,IF($U812&gt;=Config!$B$17,100,0),MAX(0,MIN(100,($U812-Config!$B$16)/(Config!$B$17-Config!$B$16)*100))))</f>
        <v/>
      </c>
      <c r="W812" s="40">
        <f>IF($L812="Elite",Config!$B$21,0)</f>
        <v>0</v>
      </c>
      <c r="X812" s="40" t="str">
        <f>IFERROR(IF(OR($T812="",$G812=""),"",IF($T812&gt;$G812,
  MAX(0, 60-(($T812-$G812)*24/Config!$B$19)*60),
  MEDIAN(60, 100, 60+(($G812-$T812)*24/Config!$B$20)*40)
)),"")
</f>
        <v/>
      </c>
      <c r="Y812" s="40" t="str">
        <f>IF($J812="","",IFERROR(VLOOKUP($J812,Grinders!$A:$N,10,FALSE),""))</f>
        <v/>
      </c>
      <c r="Z812" s="40" t="str">
        <f>IF($J812="","",IFERROR(VLOOKUP($J812,Grinders!$A:$N,11,FALSE),""))</f>
        <v/>
      </c>
      <c r="AA812" s="40" t="str">
        <f>IF($J812="","",IFERROR(VLOOKUP($J812,Grinders!$A:$N,12,FALSE),""))</f>
        <v/>
      </c>
      <c r="AB812" s="40">
        <f>IFERROR(IF(OR($C812="",$J812=""),0,IF($D812&lt;&gt;"Open",0,IF(COUNTIFS(GrinderServices!$B:$B,$J812,GrinderServices!$C:$C,$E812,GrinderServices!$E:$E,"Y")=0,0,IF($U812&lt;Config!$B$16,0,IF(Config!$B$18=1,IF($N812&gt;=$M812,0,1),1))))),"")</f>
        <v>0</v>
      </c>
      <c r="AC812" s="40" t="str">
        <f>IFERROR(IF($AB812=0,"",((Config!$B$6*$V812 + Config!$B$7*$R812 + Config!$B$8*$W812 + Config!$B$9*$X812 + Config!$B$10*$Y812 + Config!$B$11*$Z812 - Config!$B$12*$AA812)/Config!$B$13)+$AH812+$AI812),"")</f>
        <v/>
      </c>
      <c r="AD812" s="40" t="str">
        <f t="shared" si="4"/>
        <v/>
      </c>
      <c r="AE812" s="40" t="str">
        <f>IFERROR(__xludf.DUMMYFUNCTION("IF($AC812="""","""",IF($AC812=IFERROR(MAX(FILTER($AC$6:$AC$1000,$C$6:$C$1000=$C812,$AB$6:$AB$1000=1)),),""WINNER"",""""))"),"")</f>
        <v/>
      </c>
      <c r="AF812" s="40" t="str">
        <f t="shared" si="5"/>
        <v/>
      </c>
      <c r="AG812" s="40" t="str">
        <f>IF($J812="","",COUNTIF(Assignments!$B:$B,$J812))</f>
        <v/>
      </c>
      <c r="AH812" s="40" t="str">
        <f>IF($J812="","",IF(AND($AG812=0,$N812&lt;$M812),Config!$B$43,0))</f>
        <v/>
      </c>
      <c r="AI812" s="40" t="str">
        <f>IF($J812="","",IF(AND($L812="Elite",$F812&gt;=Config!$B$41,$N812&lt;$M812),Config!$B$42,0))</f>
        <v/>
      </c>
      <c r="AJ812" s="22"/>
    </row>
    <row r="813" ht="15.75" customHeight="1">
      <c r="A813" s="40" t="str">
        <f t="shared" si="1"/>
        <v/>
      </c>
      <c r="B813" s="40" t="str">
        <f>IF(Bids!$A813="","",Bids!$A813)</f>
        <v/>
      </c>
      <c r="C813" s="40" t="str">
        <f>IF(Bids!$B813="","",Bids!$B813)</f>
        <v/>
      </c>
      <c r="D813" s="40" t="str">
        <f>IF($C813="","",IFERROR(VLOOKUP($C813,Orders!$A:$J,9,FALSE),""))</f>
        <v/>
      </c>
      <c r="E813" s="40" t="str">
        <f>IF($C813="","",IFERROR(VLOOKUP($C813,Orders!$A:$J,3,FALSE),""))</f>
        <v/>
      </c>
      <c r="F813" s="40" t="str">
        <f>IF($C813="","",IFERROR(VLOOKUP($C813,Orders!$A:$J,4,FALSE),""))</f>
        <v/>
      </c>
      <c r="G813" s="40" t="str">
        <f>IF($C813="","",IFERROR(VLOOKUP($C813,Orders!$A:$J,5,FALSE),""))</f>
        <v/>
      </c>
      <c r="H813" s="40" t="str">
        <f>IF($C813="","",IFERROR(VLOOKUP($C813,Orders!$A:$J,6,FALSE),""))</f>
        <v/>
      </c>
      <c r="I813" s="40" t="str">
        <f>IF($C813="","",IFERROR(VLOOKUP($C813,Orders!$A:$J,7,FALSE),""))</f>
        <v/>
      </c>
      <c r="J813" s="40" t="str">
        <f>IF(Bids!$C813="","",Bids!$C813)</f>
        <v/>
      </c>
      <c r="K813" s="40" t="str">
        <f>IF($J813="","",IFERROR(VLOOKUP($J813,Grinders!$A:$N,2,FALSE),""))</f>
        <v/>
      </c>
      <c r="L813" s="40" t="str">
        <f>IF($J813="","",IFERROR(VLOOKUP($J813,Grinders!$A:$N,3,FALSE),""))</f>
        <v/>
      </c>
      <c r="M813" s="40" t="str">
        <f>IF($J813="","",IFERROR(VLOOKUP($J813,Grinders!$A:$N,4,FALSE),""))</f>
        <v/>
      </c>
      <c r="N813" s="40" t="str">
        <f>IF($J813="","",IFERROR(VLOOKUP($J813,Grinders!$A:$N,5,FALSE),""))</f>
        <v/>
      </c>
      <c r="O813" s="40" t="str">
        <f t="shared" si="2"/>
        <v/>
      </c>
      <c r="P813" s="40" t="str">
        <f>IF($J813="","",IFERROR(VLOOKUP($J813,Grinders!$A:$N,6,FALSE),""))</f>
        <v/>
      </c>
      <c r="Q813" s="40" t="str">
        <f>IF($J813="","",IFERROR(VLOOKUP($J813,Grinders!$A:$N,8,FALSE),""))</f>
        <v/>
      </c>
      <c r="R813" s="40" t="str">
        <f>IFERROR(IF($J813="","",IF($L813="Elite",MAX(50,MIN(100,Config!$B$27*MAX(0,MIN(100,(1-IF($O813="",0,$O813))*100)) + Config!$B$28*MAX(0,MIN(100,(1-MIN(1,IF(Config!$B$30=0,1,$P813/Config!$B$30)))*100)) + Config!$B$29*MAX(0,MIN(100,MIN(1,IF($Q813="",0,$Q813)/Config!$B$23)*100)))),MIN(100,Config!$B$27*MAX(0,MIN(100,(1-IF($O813="",0,$O813))*100)) + Config!$B$28*MAX(0,MIN(100,(1-MIN(1,IF(Config!$B$30=0,1,$P813/Config!$B$30)))*100)) + Config!$B$29*MAX(0,MIN(100,MIN(1,IF($Q813="",0,$Q813)/Config!$B$23)*100))))),"")
</f>
        <v/>
      </c>
      <c r="S813" s="40" t="str">
        <f>IF(Bids!$D813="","",Bids!$D813)</f>
        <v/>
      </c>
      <c r="T813" s="40" t="str">
        <f>IF(Bids!$F813="","",Bids!$F813)</f>
        <v/>
      </c>
      <c r="U813" s="40" t="str">
        <f t="shared" si="3"/>
        <v/>
      </c>
      <c r="V813" s="40" t="str">
        <f>IF($U813="","",IF(Config!$B$17=Config!$B$16,IF($U813&gt;=Config!$B$17,100,0),MAX(0,MIN(100,($U813-Config!$B$16)/(Config!$B$17-Config!$B$16)*100))))</f>
        <v/>
      </c>
      <c r="W813" s="40">
        <f>IF($L813="Elite",Config!$B$21,0)</f>
        <v>0</v>
      </c>
      <c r="X813" s="40" t="str">
        <f>IFERROR(IF(OR($T813="",$G813=""),"",IF($T813&gt;$G813,
  MAX(0, 60-(($T813-$G813)*24/Config!$B$19)*60),
  MEDIAN(60, 100, 60+(($G813-$T813)*24/Config!$B$20)*40)
)),"")
</f>
        <v/>
      </c>
      <c r="Y813" s="40" t="str">
        <f>IF($J813="","",IFERROR(VLOOKUP($J813,Grinders!$A:$N,10,FALSE),""))</f>
        <v/>
      </c>
      <c r="Z813" s="40" t="str">
        <f>IF($J813="","",IFERROR(VLOOKUP($J813,Grinders!$A:$N,11,FALSE),""))</f>
        <v/>
      </c>
      <c r="AA813" s="40" t="str">
        <f>IF($J813="","",IFERROR(VLOOKUP($J813,Grinders!$A:$N,12,FALSE),""))</f>
        <v/>
      </c>
      <c r="AB813" s="40">
        <f>IFERROR(IF(OR($C813="",$J813=""),0,IF($D813&lt;&gt;"Open",0,IF(COUNTIFS(GrinderServices!$B:$B,$J813,GrinderServices!$C:$C,$E813,GrinderServices!$E:$E,"Y")=0,0,IF($U813&lt;Config!$B$16,0,IF(Config!$B$18=1,IF($N813&gt;=$M813,0,1),1))))),"")</f>
        <v>0</v>
      </c>
      <c r="AC813" s="40" t="str">
        <f>IFERROR(IF($AB813=0,"",((Config!$B$6*$V813 + Config!$B$7*$R813 + Config!$B$8*$W813 + Config!$B$9*$X813 + Config!$B$10*$Y813 + Config!$B$11*$Z813 - Config!$B$12*$AA813)/Config!$B$13)+$AH813+$AI813),"")</f>
        <v/>
      </c>
      <c r="AD813" s="40" t="str">
        <f t="shared" si="4"/>
        <v/>
      </c>
      <c r="AE813" s="40" t="str">
        <f>IFERROR(__xludf.DUMMYFUNCTION("IF($AC813="""","""",IF($AC813=IFERROR(MAX(FILTER($AC$6:$AC$1000,$C$6:$C$1000=$C813,$AB$6:$AB$1000=1)),),""WINNER"",""""))"),"")</f>
        <v/>
      </c>
      <c r="AF813" s="40" t="str">
        <f t="shared" si="5"/>
        <v/>
      </c>
      <c r="AG813" s="40" t="str">
        <f>IF($J813="","",COUNTIF(Assignments!$B:$B,$J813))</f>
        <v/>
      </c>
      <c r="AH813" s="40" t="str">
        <f>IF($J813="","",IF(AND($AG813=0,$N813&lt;$M813),Config!$B$43,0))</f>
        <v/>
      </c>
      <c r="AI813" s="40" t="str">
        <f>IF($J813="","",IF(AND($L813="Elite",$F813&gt;=Config!$B$41,$N813&lt;$M813),Config!$B$42,0))</f>
        <v/>
      </c>
      <c r="AJ813" s="22"/>
    </row>
    <row r="814" ht="15.75" customHeight="1">
      <c r="A814" s="40" t="str">
        <f t="shared" si="1"/>
        <v/>
      </c>
      <c r="B814" s="40" t="str">
        <f>IF(Bids!$A814="","",Bids!$A814)</f>
        <v/>
      </c>
      <c r="C814" s="40" t="str">
        <f>IF(Bids!$B814="","",Bids!$B814)</f>
        <v/>
      </c>
      <c r="D814" s="40" t="str">
        <f>IF($C814="","",IFERROR(VLOOKUP($C814,Orders!$A:$J,9,FALSE),""))</f>
        <v/>
      </c>
      <c r="E814" s="40" t="str">
        <f>IF($C814="","",IFERROR(VLOOKUP($C814,Orders!$A:$J,3,FALSE),""))</f>
        <v/>
      </c>
      <c r="F814" s="40" t="str">
        <f>IF($C814="","",IFERROR(VLOOKUP($C814,Orders!$A:$J,4,FALSE),""))</f>
        <v/>
      </c>
      <c r="G814" s="40" t="str">
        <f>IF($C814="","",IFERROR(VLOOKUP($C814,Orders!$A:$J,5,FALSE),""))</f>
        <v/>
      </c>
      <c r="H814" s="40" t="str">
        <f>IF($C814="","",IFERROR(VLOOKUP($C814,Orders!$A:$J,6,FALSE),""))</f>
        <v/>
      </c>
      <c r="I814" s="40" t="str">
        <f>IF($C814="","",IFERROR(VLOOKUP($C814,Orders!$A:$J,7,FALSE),""))</f>
        <v/>
      </c>
      <c r="J814" s="40" t="str">
        <f>IF(Bids!$C814="","",Bids!$C814)</f>
        <v/>
      </c>
      <c r="K814" s="40" t="str">
        <f>IF($J814="","",IFERROR(VLOOKUP($J814,Grinders!$A:$N,2,FALSE),""))</f>
        <v/>
      </c>
      <c r="L814" s="40" t="str">
        <f>IF($J814="","",IFERROR(VLOOKUP($J814,Grinders!$A:$N,3,FALSE),""))</f>
        <v/>
      </c>
      <c r="M814" s="40" t="str">
        <f>IF($J814="","",IFERROR(VLOOKUP($J814,Grinders!$A:$N,4,FALSE),""))</f>
        <v/>
      </c>
      <c r="N814" s="40" t="str">
        <f>IF($J814="","",IFERROR(VLOOKUP($J814,Grinders!$A:$N,5,FALSE),""))</f>
        <v/>
      </c>
      <c r="O814" s="40" t="str">
        <f t="shared" si="2"/>
        <v/>
      </c>
      <c r="P814" s="40" t="str">
        <f>IF($J814="","",IFERROR(VLOOKUP($J814,Grinders!$A:$N,6,FALSE),""))</f>
        <v/>
      </c>
      <c r="Q814" s="40" t="str">
        <f>IF($J814="","",IFERROR(VLOOKUP($J814,Grinders!$A:$N,8,FALSE),""))</f>
        <v/>
      </c>
      <c r="R814" s="40" t="str">
        <f>IFERROR(IF($J814="","",IF($L814="Elite",MAX(50,MIN(100,Config!$B$27*MAX(0,MIN(100,(1-IF($O814="",0,$O814))*100)) + Config!$B$28*MAX(0,MIN(100,(1-MIN(1,IF(Config!$B$30=0,1,$P814/Config!$B$30)))*100)) + Config!$B$29*MAX(0,MIN(100,MIN(1,IF($Q814="",0,$Q814)/Config!$B$23)*100)))),MIN(100,Config!$B$27*MAX(0,MIN(100,(1-IF($O814="",0,$O814))*100)) + Config!$B$28*MAX(0,MIN(100,(1-MIN(1,IF(Config!$B$30=0,1,$P814/Config!$B$30)))*100)) + Config!$B$29*MAX(0,MIN(100,MIN(1,IF($Q814="",0,$Q814)/Config!$B$23)*100))))),"")
</f>
        <v/>
      </c>
      <c r="S814" s="40" t="str">
        <f>IF(Bids!$D814="","",Bids!$D814)</f>
        <v/>
      </c>
      <c r="T814" s="40" t="str">
        <f>IF(Bids!$F814="","",Bids!$F814)</f>
        <v/>
      </c>
      <c r="U814" s="40" t="str">
        <f t="shared" si="3"/>
        <v/>
      </c>
      <c r="V814" s="40" t="str">
        <f>IF($U814="","",IF(Config!$B$17=Config!$B$16,IF($U814&gt;=Config!$B$17,100,0),MAX(0,MIN(100,($U814-Config!$B$16)/(Config!$B$17-Config!$B$16)*100))))</f>
        <v/>
      </c>
      <c r="W814" s="40">
        <f>IF($L814="Elite",Config!$B$21,0)</f>
        <v>0</v>
      </c>
      <c r="X814" s="40" t="str">
        <f>IFERROR(IF(OR($T814="",$G814=""),"",IF($T814&gt;$G814,
  MAX(0, 60-(($T814-$G814)*24/Config!$B$19)*60),
  MEDIAN(60, 100, 60+(($G814-$T814)*24/Config!$B$20)*40)
)),"")
</f>
        <v/>
      </c>
      <c r="Y814" s="40" t="str">
        <f>IF($J814="","",IFERROR(VLOOKUP($J814,Grinders!$A:$N,10,FALSE),""))</f>
        <v/>
      </c>
      <c r="Z814" s="40" t="str">
        <f>IF($J814="","",IFERROR(VLOOKUP($J814,Grinders!$A:$N,11,FALSE),""))</f>
        <v/>
      </c>
      <c r="AA814" s="40" t="str">
        <f>IF($J814="","",IFERROR(VLOOKUP($J814,Grinders!$A:$N,12,FALSE),""))</f>
        <v/>
      </c>
      <c r="AB814" s="40">
        <f>IFERROR(IF(OR($C814="",$J814=""),0,IF($D814&lt;&gt;"Open",0,IF(COUNTIFS(GrinderServices!$B:$B,$J814,GrinderServices!$C:$C,$E814,GrinderServices!$E:$E,"Y")=0,0,IF($U814&lt;Config!$B$16,0,IF(Config!$B$18=1,IF($N814&gt;=$M814,0,1),1))))),"")</f>
        <v>0</v>
      </c>
      <c r="AC814" s="40" t="str">
        <f>IFERROR(IF($AB814=0,"",((Config!$B$6*$V814 + Config!$B$7*$R814 + Config!$B$8*$W814 + Config!$B$9*$X814 + Config!$B$10*$Y814 + Config!$B$11*$Z814 - Config!$B$12*$AA814)/Config!$B$13)+$AH814+$AI814),"")</f>
        <v/>
      </c>
      <c r="AD814" s="40" t="str">
        <f t="shared" si="4"/>
        <v/>
      </c>
      <c r="AE814" s="40" t="str">
        <f>IFERROR(__xludf.DUMMYFUNCTION("IF($AC814="""","""",IF($AC814=IFERROR(MAX(FILTER($AC$6:$AC$1000,$C$6:$C$1000=$C814,$AB$6:$AB$1000=1)),),""WINNER"",""""))"),"")</f>
        <v/>
      </c>
      <c r="AF814" s="40" t="str">
        <f t="shared" si="5"/>
        <v/>
      </c>
      <c r="AG814" s="40" t="str">
        <f>IF($J814="","",COUNTIF(Assignments!$B:$B,$J814))</f>
        <v/>
      </c>
      <c r="AH814" s="40" t="str">
        <f>IF($J814="","",IF(AND($AG814=0,$N814&lt;$M814),Config!$B$43,0))</f>
        <v/>
      </c>
      <c r="AI814" s="40" t="str">
        <f>IF($J814="","",IF(AND($L814="Elite",$F814&gt;=Config!$B$41,$N814&lt;$M814),Config!$B$42,0))</f>
        <v/>
      </c>
      <c r="AJ814" s="22"/>
    </row>
    <row r="815" ht="15.75" customHeight="1">
      <c r="A815" s="40" t="str">
        <f t="shared" si="1"/>
        <v/>
      </c>
      <c r="B815" s="40" t="str">
        <f>IF(Bids!$A815="","",Bids!$A815)</f>
        <v/>
      </c>
      <c r="C815" s="40" t="str">
        <f>IF(Bids!$B815="","",Bids!$B815)</f>
        <v/>
      </c>
      <c r="D815" s="40" t="str">
        <f>IF($C815="","",IFERROR(VLOOKUP($C815,Orders!$A:$J,9,FALSE),""))</f>
        <v/>
      </c>
      <c r="E815" s="40" t="str">
        <f>IF($C815="","",IFERROR(VLOOKUP($C815,Orders!$A:$J,3,FALSE),""))</f>
        <v/>
      </c>
      <c r="F815" s="40" t="str">
        <f>IF($C815="","",IFERROR(VLOOKUP($C815,Orders!$A:$J,4,FALSE),""))</f>
        <v/>
      </c>
      <c r="G815" s="40" t="str">
        <f>IF($C815="","",IFERROR(VLOOKUP($C815,Orders!$A:$J,5,FALSE),""))</f>
        <v/>
      </c>
      <c r="H815" s="40" t="str">
        <f>IF($C815="","",IFERROR(VLOOKUP($C815,Orders!$A:$J,6,FALSE),""))</f>
        <v/>
      </c>
      <c r="I815" s="40" t="str">
        <f>IF($C815="","",IFERROR(VLOOKUP($C815,Orders!$A:$J,7,FALSE),""))</f>
        <v/>
      </c>
      <c r="J815" s="40" t="str">
        <f>IF(Bids!$C815="","",Bids!$C815)</f>
        <v/>
      </c>
      <c r="K815" s="40" t="str">
        <f>IF($J815="","",IFERROR(VLOOKUP($J815,Grinders!$A:$N,2,FALSE),""))</f>
        <v/>
      </c>
      <c r="L815" s="40" t="str">
        <f>IF($J815="","",IFERROR(VLOOKUP($J815,Grinders!$A:$N,3,FALSE),""))</f>
        <v/>
      </c>
      <c r="M815" s="40" t="str">
        <f>IF($J815="","",IFERROR(VLOOKUP($J815,Grinders!$A:$N,4,FALSE),""))</f>
        <v/>
      </c>
      <c r="N815" s="40" t="str">
        <f>IF($J815="","",IFERROR(VLOOKUP($J815,Grinders!$A:$N,5,FALSE),""))</f>
        <v/>
      </c>
      <c r="O815" s="40" t="str">
        <f t="shared" si="2"/>
        <v/>
      </c>
      <c r="P815" s="40" t="str">
        <f>IF($J815="","",IFERROR(VLOOKUP($J815,Grinders!$A:$N,6,FALSE),""))</f>
        <v/>
      </c>
      <c r="Q815" s="40" t="str">
        <f>IF($J815="","",IFERROR(VLOOKUP($J815,Grinders!$A:$N,8,FALSE),""))</f>
        <v/>
      </c>
      <c r="R815" s="40" t="str">
        <f>IFERROR(IF($J815="","",IF($L815="Elite",MAX(50,MIN(100,Config!$B$27*MAX(0,MIN(100,(1-IF($O815="",0,$O815))*100)) + Config!$B$28*MAX(0,MIN(100,(1-MIN(1,IF(Config!$B$30=0,1,$P815/Config!$B$30)))*100)) + Config!$B$29*MAX(0,MIN(100,MIN(1,IF($Q815="",0,$Q815)/Config!$B$23)*100)))),MIN(100,Config!$B$27*MAX(0,MIN(100,(1-IF($O815="",0,$O815))*100)) + Config!$B$28*MAX(0,MIN(100,(1-MIN(1,IF(Config!$B$30=0,1,$P815/Config!$B$30)))*100)) + Config!$B$29*MAX(0,MIN(100,MIN(1,IF($Q815="",0,$Q815)/Config!$B$23)*100))))),"")
</f>
        <v/>
      </c>
      <c r="S815" s="40" t="str">
        <f>IF(Bids!$D815="","",Bids!$D815)</f>
        <v/>
      </c>
      <c r="T815" s="40" t="str">
        <f>IF(Bids!$F815="","",Bids!$F815)</f>
        <v/>
      </c>
      <c r="U815" s="40" t="str">
        <f t="shared" si="3"/>
        <v/>
      </c>
      <c r="V815" s="40" t="str">
        <f>IF($U815="","",IF(Config!$B$17=Config!$B$16,IF($U815&gt;=Config!$B$17,100,0),MAX(0,MIN(100,($U815-Config!$B$16)/(Config!$B$17-Config!$B$16)*100))))</f>
        <v/>
      </c>
      <c r="W815" s="40">
        <f>IF($L815="Elite",Config!$B$21,0)</f>
        <v>0</v>
      </c>
      <c r="X815" s="40" t="str">
        <f>IFERROR(IF(OR($T815="",$G815=""),"",IF($T815&gt;$G815,
  MAX(0, 60-(($T815-$G815)*24/Config!$B$19)*60),
  MEDIAN(60, 100, 60+(($G815-$T815)*24/Config!$B$20)*40)
)),"")
</f>
        <v/>
      </c>
      <c r="Y815" s="40" t="str">
        <f>IF($J815="","",IFERROR(VLOOKUP($J815,Grinders!$A:$N,10,FALSE),""))</f>
        <v/>
      </c>
      <c r="Z815" s="40" t="str">
        <f>IF($J815="","",IFERROR(VLOOKUP($J815,Grinders!$A:$N,11,FALSE),""))</f>
        <v/>
      </c>
      <c r="AA815" s="40" t="str">
        <f>IF($J815="","",IFERROR(VLOOKUP($J815,Grinders!$A:$N,12,FALSE),""))</f>
        <v/>
      </c>
      <c r="AB815" s="40">
        <f>IFERROR(IF(OR($C815="",$J815=""),0,IF($D815&lt;&gt;"Open",0,IF(COUNTIFS(GrinderServices!$B:$B,$J815,GrinderServices!$C:$C,$E815,GrinderServices!$E:$E,"Y")=0,0,IF($U815&lt;Config!$B$16,0,IF(Config!$B$18=1,IF($N815&gt;=$M815,0,1),1))))),"")</f>
        <v>0</v>
      </c>
      <c r="AC815" s="40" t="str">
        <f>IFERROR(IF($AB815=0,"",((Config!$B$6*$V815 + Config!$B$7*$R815 + Config!$B$8*$W815 + Config!$B$9*$X815 + Config!$B$10*$Y815 + Config!$B$11*$Z815 - Config!$B$12*$AA815)/Config!$B$13)+$AH815+$AI815),"")</f>
        <v/>
      </c>
      <c r="AD815" s="40" t="str">
        <f t="shared" si="4"/>
        <v/>
      </c>
      <c r="AE815" s="40" t="str">
        <f>IFERROR(__xludf.DUMMYFUNCTION("IF($AC815="""","""",IF($AC815=IFERROR(MAX(FILTER($AC$6:$AC$1000,$C$6:$C$1000=$C815,$AB$6:$AB$1000=1)),),""WINNER"",""""))"),"")</f>
        <v/>
      </c>
      <c r="AF815" s="40" t="str">
        <f t="shared" si="5"/>
        <v/>
      </c>
      <c r="AG815" s="40" t="str">
        <f>IF($J815="","",COUNTIF(Assignments!$B:$B,$J815))</f>
        <v/>
      </c>
      <c r="AH815" s="40" t="str">
        <f>IF($J815="","",IF(AND($AG815=0,$N815&lt;$M815),Config!$B$43,0))</f>
        <v/>
      </c>
      <c r="AI815" s="40" t="str">
        <f>IF($J815="","",IF(AND($L815="Elite",$F815&gt;=Config!$B$41,$N815&lt;$M815),Config!$B$42,0))</f>
        <v/>
      </c>
      <c r="AJ815" s="22"/>
    </row>
    <row r="816" ht="15.75" customHeight="1">
      <c r="A816" s="40" t="str">
        <f t="shared" si="1"/>
        <v/>
      </c>
      <c r="B816" s="40" t="str">
        <f>IF(Bids!$A816="","",Bids!$A816)</f>
        <v/>
      </c>
      <c r="C816" s="40" t="str">
        <f>IF(Bids!$B816="","",Bids!$B816)</f>
        <v/>
      </c>
      <c r="D816" s="40" t="str">
        <f>IF($C816="","",IFERROR(VLOOKUP($C816,Orders!$A:$J,9,FALSE),""))</f>
        <v/>
      </c>
      <c r="E816" s="40" t="str">
        <f>IF($C816="","",IFERROR(VLOOKUP($C816,Orders!$A:$J,3,FALSE),""))</f>
        <v/>
      </c>
      <c r="F816" s="40" t="str">
        <f>IF($C816="","",IFERROR(VLOOKUP($C816,Orders!$A:$J,4,FALSE),""))</f>
        <v/>
      </c>
      <c r="G816" s="40" t="str">
        <f>IF($C816="","",IFERROR(VLOOKUP($C816,Orders!$A:$J,5,FALSE),""))</f>
        <v/>
      </c>
      <c r="H816" s="40" t="str">
        <f>IF($C816="","",IFERROR(VLOOKUP($C816,Orders!$A:$J,6,FALSE),""))</f>
        <v/>
      </c>
      <c r="I816" s="40" t="str">
        <f>IF($C816="","",IFERROR(VLOOKUP($C816,Orders!$A:$J,7,FALSE),""))</f>
        <v/>
      </c>
      <c r="J816" s="40" t="str">
        <f>IF(Bids!$C816="","",Bids!$C816)</f>
        <v/>
      </c>
      <c r="K816" s="40" t="str">
        <f>IF($J816="","",IFERROR(VLOOKUP($J816,Grinders!$A:$N,2,FALSE),""))</f>
        <v/>
      </c>
      <c r="L816" s="40" t="str">
        <f>IF($J816="","",IFERROR(VLOOKUP($J816,Grinders!$A:$N,3,FALSE),""))</f>
        <v/>
      </c>
      <c r="M816" s="40" t="str">
        <f>IF($J816="","",IFERROR(VLOOKUP($J816,Grinders!$A:$N,4,FALSE),""))</f>
        <v/>
      </c>
      <c r="N816" s="40" t="str">
        <f>IF($J816="","",IFERROR(VLOOKUP($J816,Grinders!$A:$N,5,FALSE),""))</f>
        <v/>
      </c>
      <c r="O816" s="40" t="str">
        <f t="shared" si="2"/>
        <v/>
      </c>
      <c r="P816" s="40" t="str">
        <f>IF($J816="","",IFERROR(VLOOKUP($J816,Grinders!$A:$N,6,FALSE),""))</f>
        <v/>
      </c>
      <c r="Q816" s="40" t="str">
        <f>IF($J816="","",IFERROR(VLOOKUP($J816,Grinders!$A:$N,8,FALSE),""))</f>
        <v/>
      </c>
      <c r="R816" s="40" t="str">
        <f>IFERROR(IF($J816="","",IF($L816="Elite",MAX(50,MIN(100,Config!$B$27*MAX(0,MIN(100,(1-IF($O816="",0,$O816))*100)) + Config!$B$28*MAX(0,MIN(100,(1-MIN(1,IF(Config!$B$30=0,1,$P816/Config!$B$30)))*100)) + Config!$B$29*MAX(0,MIN(100,MIN(1,IF($Q816="",0,$Q816)/Config!$B$23)*100)))),MIN(100,Config!$B$27*MAX(0,MIN(100,(1-IF($O816="",0,$O816))*100)) + Config!$B$28*MAX(0,MIN(100,(1-MIN(1,IF(Config!$B$30=0,1,$P816/Config!$B$30)))*100)) + Config!$B$29*MAX(0,MIN(100,MIN(1,IF($Q816="",0,$Q816)/Config!$B$23)*100))))),"")
</f>
        <v/>
      </c>
      <c r="S816" s="40" t="str">
        <f>IF(Bids!$D816="","",Bids!$D816)</f>
        <v/>
      </c>
      <c r="T816" s="40" t="str">
        <f>IF(Bids!$F816="","",Bids!$F816)</f>
        <v/>
      </c>
      <c r="U816" s="40" t="str">
        <f t="shared" si="3"/>
        <v/>
      </c>
      <c r="V816" s="40" t="str">
        <f>IF($U816="","",IF(Config!$B$17=Config!$B$16,IF($U816&gt;=Config!$B$17,100,0),MAX(0,MIN(100,($U816-Config!$B$16)/(Config!$B$17-Config!$B$16)*100))))</f>
        <v/>
      </c>
      <c r="W816" s="40">
        <f>IF($L816="Elite",Config!$B$21,0)</f>
        <v>0</v>
      </c>
      <c r="X816" s="40" t="str">
        <f>IFERROR(IF(OR($T816="",$G816=""),"",IF($T816&gt;$G816,
  MAX(0, 60-(($T816-$G816)*24/Config!$B$19)*60),
  MEDIAN(60, 100, 60+(($G816-$T816)*24/Config!$B$20)*40)
)),"")
</f>
        <v/>
      </c>
      <c r="Y816" s="40" t="str">
        <f>IF($J816="","",IFERROR(VLOOKUP($J816,Grinders!$A:$N,10,FALSE),""))</f>
        <v/>
      </c>
      <c r="Z816" s="40" t="str">
        <f>IF($J816="","",IFERROR(VLOOKUP($J816,Grinders!$A:$N,11,FALSE),""))</f>
        <v/>
      </c>
      <c r="AA816" s="40" t="str">
        <f>IF($J816="","",IFERROR(VLOOKUP($J816,Grinders!$A:$N,12,FALSE),""))</f>
        <v/>
      </c>
      <c r="AB816" s="40">
        <f>IFERROR(IF(OR($C816="",$J816=""),0,IF($D816&lt;&gt;"Open",0,IF(COUNTIFS(GrinderServices!$B:$B,$J816,GrinderServices!$C:$C,$E816,GrinderServices!$E:$E,"Y")=0,0,IF($U816&lt;Config!$B$16,0,IF(Config!$B$18=1,IF($N816&gt;=$M816,0,1),1))))),"")</f>
        <v>0</v>
      </c>
      <c r="AC816" s="40" t="str">
        <f>IFERROR(IF($AB816=0,"",((Config!$B$6*$V816 + Config!$B$7*$R816 + Config!$B$8*$W816 + Config!$B$9*$X816 + Config!$B$10*$Y816 + Config!$B$11*$Z816 - Config!$B$12*$AA816)/Config!$B$13)+$AH816+$AI816),"")</f>
        <v/>
      </c>
      <c r="AD816" s="40" t="str">
        <f t="shared" si="4"/>
        <v/>
      </c>
      <c r="AE816" s="40" t="str">
        <f>IFERROR(__xludf.DUMMYFUNCTION("IF($AC816="""","""",IF($AC816=IFERROR(MAX(FILTER($AC$6:$AC$1000,$C$6:$C$1000=$C816,$AB$6:$AB$1000=1)),),""WINNER"",""""))"),"")</f>
        <v/>
      </c>
      <c r="AF816" s="40" t="str">
        <f t="shared" si="5"/>
        <v/>
      </c>
      <c r="AG816" s="40" t="str">
        <f>IF($J816="","",COUNTIF(Assignments!$B:$B,$J816))</f>
        <v/>
      </c>
      <c r="AH816" s="40" t="str">
        <f>IF($J816="","",IF(AND($AG816=0,$N816&lt;$M816),Config!$B$43,0))</f>
        <v/>
      </c>
      <c r="AI816" s="40" t="str">
        <f>IF($J816="","",IF(AND($L816="Elite",$F816&gt;=Config!$B$41,$N816&lt;$M816),Config!$B$42,0))</f>
        <v/>
      </c>
      <c r="AJ816" s="22"/>
    </row>
    <row r="817" ht="15.75" customHeight="1">
      <c r="A817" s="40" t="str">
        <f t="shared" si="1"/>
        <v/>
      </c>
      <c r="B817" s="40" t="str">
        <f>IF(Bids!$A817="","",Bids!$A817)</f>
        <v/>
      </c>
      <c r="C817" s="40" t="str">
        <f>IF(Bids!$B817="","",Bids!$B817)</f>
        <v/>
      </c>
      <c r="D817" s="40" t="str">
        <f>IF($C817="","",IFERROR(VLOOKUP($C817,Orders!$A:$J,9,FALSE),""))</f>
        <v/>
      </c>
      <c r="E817" s="40" t="str">
        <f>IF($C817="","",IFERROR(VLOOKUP($C817,Orders!$A:$J,3,FALSE),""))</f>
        <v/>
      </c>
      <c r="F817" s="40" t="str">
        <f>IF($C817="","",IFERROR(VLOOKUP($C817,Orders!$A:$J,4,FALSE),""))</f>
        <v/>
      </c>
      <c r="G817" s="40" t="str">
        <f>IF($C817="","",IFERROR(VLOOKUP($C817,Orders!$A:$J,5,FALSE),""))</f>
        <v/>
      </c>
      <c r="H817" s="40" t="str">
        <f>IF($C817="","",IFERROR(VLOOKUP($C817,Orders!$A:$J,6,FALSE),""))</f>
        <v/>
      </c>
      <c r="I817" s="40" t="str">
        <f>IF($C817="","",IFERROR(VLOOKUP($C817,Orders!$A:$J,7,FALSE),""))</f>
        <v/>
      </c>
      <c r="J817" s="40" t="str">
        <f>IF(Bids!$C817="","",Bids!$C817)</f>
        <v/>
      </c>
      <c r="K817" s="40" t="str">
        <f>IF($J817="","",IFERROR(VLOOKUP($J817,Grinders!$A:$N,2,FALSE),""))</f>
        <v/>
      </c>
      <c r="L817" s="40" t="str">
        <f>IF($J817="","",IFERROR(VLOOKUP($J817,Grinders!$A:$N,3,FALSE),""))</f>
        <v/>
      </c>
      <c r="M817" s="40" t="str">
        <f>IF($J817="","",IFERROR(VLOOKUP($J817,Grinders!$A:$N,4,FALSE),""))</f>
        <v/>
      </c>
      <c r="N817" s="40" t="str">
        <f>IF($J817="","",IFERROR(VLOOKUP($J817,Grinders!$A:$N,5,FALSE),""))</f>
        <v/>
      </c>
      <c r="O817" s="40" t="str">
        <f t="shared" si="2"/>
        <v/>
      </c>
      <c r="P817" s="40" t="str">
        <f>IF($J817="","",IFERROR(VLOOKUP($J817,Grinders!$A:$N,6,FALSE),""))</f>
        <v/>
      </c>
      <c r="Q817" s="40" t="str">
        <f>IF($J817="","",IFERROR(VLOOKUP($J817,Grinders!$A:$N,8,FALSE),""))</f>
        <v/>
      </c>
      <c r="R817" s="40" t="str">
        <f>IFERROR(IF($J817="","",IF($L817="Elite",MAX(50,MIN(100,Config!$B$27*MAX(0,MIN(100,(1-IF($O817="",0,$O817))*100)) + Config!$B$28*MAX(0,MIN(100,(1-MIN(1,IF(Config!$B$30=0,1,$P817/Config!$B$30)))*100)) + Config!$B$29*MAX(0,MIN(100,MIN(1,IF($Q817="",0,$Q817)/Config!$B$23)*100)))),MIN(100,Config!$B$27*MAX(0,MIN(100,(1-IF($O817="",0,$O817))*100)) + Config!$B$28*MAX(0,MIN(100,(1-MIN(1,IF(Config!$B$30=0,1,$P817/Config!$B$30)))*100)) + Config!$B$29*MAX(0,MIN(100,MIN(1,IF($Q817="",0,$Q817)/Config!$B$23)*100))))),"")
</f>
        <v/>
      </c>
      <c r="S817" s="40" t="str">
        <f>IF(Bids!$D817="","",Bids!$D817)</f>
        <v/>
      </c>
      <c r="T817" s="40" t="str">
        <f>IF(Bids!$F817="","",Bids!$F817)</f>
        <v/>
      </c>
      <c r="U817" s="40" t="str">
        <f t="shared" si="3"/>
        <v/>
      </c>
      <c r="V817" s="40" t="str">
        <f>IF($U817="","",IF(Config!$B$17=Config!$B$16,IF($U817&gt;=Config!$B$17,100,0),MAX(0,MIN(100,($U817-Config!$B$16)/(Config!$B$17-Config!$B$16)*100))))</f>
        <v/>
      </c>
      <c r="W817" s="40">
        <f>IF($L817="Elite",Config!$B$21,0)</f>
        <v>0</v>
      </c>
      <c r="X817" s="40" t="str">
        <f>IFERROR(IF(OR($T817="",$G817=""),"",IF($T817&gt;$G817,
  MAX(0, 60-(($T817-$G817)*24/Config!$B$19)*60),
  MEDIAN(60, 100, 60+(($G817-$T817)*24/Config!$B$20)*40)
)),"")
</f>
        <v/>
      </c>
      <c r="Y817" s="40" t="str">
        <f>IF($J817="","",IFERROR(VLOOKUP($J817,Grinders!$A:$N,10,FALSE),""))</f>
        <v/>
      </c>
      <c r="Z817" s="40" t="str">
        <f>IF($J817="","",IFERROR(VLOOKUP($J817,Grinders!$A:$N,11,FALSE),""))</f>
        <v/>
      </c>
      <c r="AA817" s="40" t="str">
        <f>IF($J817="","",IFERROR(VLOOKUP($J817,Grinders!$A:$N,12,FALSE),""))</f>
        <v/>
      </c>
      <c r="AB817" s="40">
        <f>IFERROR(IF(OR($C817="",$J817=""),0,IF($D817&lt;&gt;"Open",0,IF(COUNTIFS(GrinderServices!$B:$B,$J817,GrinderServices!$C:$C,$E817,GrinderServices!$E:$E,"Y")=0,0,IF($U817&lt;Config!$B$16,0,IF(Config!$B$18=1,IF($N817&gt;=$M817,0,1),1))))),"")</f>
        <v>0</v>
      </c>
      <c r="AC817" s="40" t="str">
        <f>IFERROR(IF($AB817=0,"",((Config!$B$6*$V817 + Config!$B$7*$R817 + Config!$B$8*$W817 + Config!$B$9*$X817 + Config!$B$10*$Y817 + Config!$B$11*$Z817 - Config!$B$12*$AA817)/Config!$B$13)+$AH817+$AI817),"")</f>
        <v/>
      </c>
      <c r="AD817" s="40" t="str">
        <f t="shared" si="4"/>
        <v/>
      </c>
      <c r="AE817" s="40" t="str">
        <f>IFERROR(__xludf.DUMMYFUNCTION("IF($AC817="""","""",IF($AC817=IFERROR(MAX(FILTER($AC$6:$AC$1000,$C$6:$C$1000=$C817,$AB$6:$AB$1000=1)),),""WINNER"",""""))"),"")</f>
        <v/>
      </c>
      <c r="AF817" s="40" t="str">
        <f t="shared" si="5"/>
        <v/>
      </c>
      <c r="AG817" s="40" t="str">
        <f>IF($J817="","",COUNTIF(Assignments!$B:$B,$J817))</f>
        <v/>
      </c>
      <c r="AH817" s="40" t="str">
        <f>IF($J817="","",IF(AND($AG817=0,$N817&lt;$M817),Config!$B$43,0))</f>
        <v/>
      </c>
      <c r="AI817" s="40" t="str">
        <f>IF($J817="","",IF(AND($L817="Elite",$F817&gt;=Config!$B$41,$N817&lt;$M817),Config!$B$42,0))</f>
        <v/>
      </c>
      <c r="AJ817" s="22"/>
    </row>
    <row r="818" ht="15.75" customHeight="1">
      <c r="A818" s="40" t="str">
        <f t="shared" si="1"/>
        <v/>
      </c>
      <c r="B818" s="40" t="str">
        <f>IF(Bids!$A818="","",Bids!$A818)</f>
        <v/>
      </c>
      <c r="C818" s="40" t="str">
        <f>IF(Bids!$B818="","",Bids!$B818)</f>
        <v/>
      </c>
      <c r="D818" s="40" t="str">
        <f>IF($C818="","",IFERROR(VLOOKUP($C818,Orders!$A:$J,9,FALSE),""))</f>
        <v/>
      </c>
      <c r="E818" s="40" t="str">
        <f>IF($C818="","",IFERROR(VLOOKUP($C818,Orders!$A:$J,3,FALSE),""))</f>
        <v/>
      </c>
      <c r="F818" s="40" t="str">
        <f>IF($C818="","",IFERROR(VLOOKUP($C818,Orders!$A:$J,4,FALSE),""))</f>
        <v/>
      </c>
      <c r="G818" s="40" t="str">
        <f>IF($C818="","",IFERROR(VLOOKUP($C818,Orders!$A:$J,5,FALSE),""))</f>
        <v/>
      </c>
      <c r="H818" s="40" t="str">
        <f>IF($C818="","",IFERROR(VLOOKUP($C818,Orders!$A:$J,6,FALSE),""))</f>
        <v/>
      </c>
      <c r="I818" s="40" t="str">
        <f>IF($C818="","",IFERROR(VLOOKUP($C818,Orders!$A:$J,7,FALSE),""))</f>
        <v/>
      </c>
      <c r="J818" s="40" t="str">
        <f>IF(Bids!$C818="","",Bids!$C818)</f>
        <v/>
      </c>
      <c r="K818" s="40" t="str">
        <f>IF($J818="","",IFERROR(VLOOKUP($J818,Grinders!$A:$N,2,FALSE),""))</f>
        <v/>
      </c>
      <c r="L818" s="40" t="str">
        <f>IF($J818="","",IFERROR(VLOOKUP($J818,Grinders!$A:$N,3,FALSE),""))</f>
        <v/>
      </c>
      <c r="M818" s="40" t="str">
        <f>IF($J818="","",IFERROR(VLOOKUP($J818,Grinders!$A:$N,4,FALSE),""))</f>
        <v/>
      </c>
      <c r="N818" s="40" t="str">
        <f>IF($J818="","",IFERROR(VLOOKUP($J818,Grinders!$A:$N,5,FALSE),""))</f>
        <v/>
      </c>
      <c r="O818" s="40" t="str">
        <f t="shared" si="2"/>
        <v/>
      </c>
      <c r="P818" s="40" t="str">
        <f>IF($J818="","",IFERROR(VLOOKUP($J818,Grinders!$A:$N,6,FALSE),""))</f>
        <v/>
      </c>
      <c r="Q818" s="40" t="str">
        <f>IF($J818="","",IFERROR(VLOOKUP($J818,Grinders!$A:$N,8,FALSE),""))</f>
        <v/>
      </c>
      <c r="R818" s="40" t="str">
        <f>IFERROR(IF($J818="","",IF($L818="Elite",MAX(50,MIN(100,Config!$B$27*MAX(0,MIN(100,(1-IF($O818="",0,$O818))*100)) + Config!$B$28*MAX(0,MIN(100,(1-MIN(1,IF(Config!$B$30=0,1,$P818/Config!$B$30)))*100)) + Config!$B$29*MAX(0,MIN(100,MIN(1,IF($Q818="",0,$Q818)/Config!$B$23)*100)))),MIN(100,Config!$B$27*MAX(0,MIN(100,(1-IF($O818="",0,$O818))*100)) + Config!$B$28*MAX(0,MIN(100,(1-MIN(1,IF(Config!$B$30=0,1,$P818/Config!$B$30)))*100)) + Config!$B$29*MAX(0,MIN(100,MIN(1,IF($Q818="",0,$Q818)/Config!$B$23)*100))))),"")
</f>
        <v/>
      </c>
      <c r="S818" s="40" t="str">
        <f>IF(Bids!$D818="","",Bids!$D818)</f>
        <v/>
      </c>
      <c r="T818" s="40" t="str">
        <f>IF(Bids!$F818="","",Bids!$F818)</f>
        <v/>
      </c>
      <c r="U818" s="40" t="str">
        <f t="shared" si="3"/>
        <v/>
      </c>
      <c r="V818" s="40" t="str">
        <f>IF($U818="","",IF(Config!$B$17=Config!$B$16,IF($U818&gt;=Config!$B$17,100,0),MAX(0,MIN(100,($U818-Config!$B$16)/(Config!$B$17-Config!$B$16)*100))))</f>
        <v/>
      </c>
      <c r="W818" s="40">
        <f>IF($L818="Elite",Config!$B$21,0)</f>
        <v>0</v>
      </c>
      <c r="X818" s="40" t="str">
        <f>IFERROR(IF(OR($T818="",$G818=""),"",IF($T818&gt;$G818,
  MAX(0, 60-(($T818-$G818)*24/Config!$B$19)*60),
  MEDIAN(60, 100, 60+(($G818-$T818)*24/Config!$B$20)*40)
)),"")
</f>
        <v/>
      </c>
      <c r="Y818" s="40" t="str">
        <f>IF($J818="","",IFERROR(VLOOKUP($J818,Grinders!$A:$N,10,FALSE),""))</f>
        <v/>
      </c>
      <c r="Z818" s="40" t="str">
        <f>IF($J818="","",IFERROR(VLOOKUP($J818,Grinders!$A:$N,11,FALSE),""))</f>
        <v/>
      </c>
      <c r="AA818" s="40" t="str">
        <f>IF($J818="","",IFERROR(VLOOKUP($J818,Grinders!$A:$N,12,FALSE),""))</f>
        <v/>
      </c>
      <c r="AB818" s="40">
        <f>IFERROR(IF(OR($C818="",$J818=""),0,IF($D818&lt;&gt;"Open",0,IF(COUNTIFS(GrinderServices!$B:$B,$J818,GrinderServices!$C:$C,$E818,GrinderServices!$E:$E,"Y")=0,0,IF($U818&lt;Config!$B$16,0,IF(Config!$B$18=1,IF($N818&gt;=$M818,0,1),1))))),"")</f>
        <v>0</v>
      </c>
      <c r="AC818" s="40" t="str">
        <f>IFERROR(IF($AB818=0,"",((Config!$B$6*$V818 + Config!$B$7*$R818 + Config!$B$8*$W818 + Config!$B$9*$X818 + Config!$B$10*$Y818 + Config!$B$11*$Z818 - Config!$B$12*$AA818)/Config!$B$13)+$AH818+$AI818),"")</f>
        <v/>
      </c>
      <c r="AD818" s="40" t="str">
        <f t="shared" si="4"/>
        <v/>
      </c>
      <c r="AE818" s="40" t="str">
        <f>IFERROR(__xludf.DUMMYFUNCTION("IF($AC818="""","""",IF($AC818=IFERROR(MAX(FILTER($AC$6:$AC$1000,$C$6:$C$1000=$C818,$AB$6:$AB$1000=1)),),""WINNER"",""""))"),"")</f>
        <v/>
      </c>
      <c r="AF818" s="40" t="str">
        <f t="shared" si="5"/>
        <v/>
      </c>
      <c r="AG818" s="40" t="str">
        <f>IF($J818="","",COUNTIF(Assignments!$B:$B,$J818))</f>
        <v/>
      </c>
      <c r="AH818" s="40" t="str">
        <f>IF($J818="","",IF(AND($AG818=0,$N818&lt;$M818),Config!$B$43,0))</f>
        <v/>
      </c>
      <c r="AI818" s="40" t="str">
        <f>IF($J818="","",IF(AND($L818="Elite",$F818&gt;=Config!$B$41,$N818&lt;$M818),Config!$B$42,0))</f>
        <v/>
      </c>
      <c r="AJ818" s="22"/>
    </row>
    <row r="819" ht="15.75" customHeight="1">
      <c r="A819" s="40" t="str">
        <f t="shared" si="1"/>
        <v/>
      </c>
      <c r="B819" s="40" t="str">
        <f>IF(Bids!$A819="","",Bids!$A819)</f>
        <v/>
      </c>
      <c r="C819" s="40" t="str">
        <f>IF(Bids!$B819="","",Bids!$B819)</f>
        <v/>
      </c>
      <c r="D819" s="40" t="str">
        <f>IF($C819="","",IFERROR(VLOOKUP($C819,Orders!$A:$J,9,FALSE),""))</f>
        <v/>
      </c>
      <c r="E819" s="40" t="str">
        <f>IF($C819="","",IFERROR(VLOOKUP($C819,Orders!$A:$J,3,FALSE),""))</f>
        <v/>
      </c>
      <c r="F819" s="40" t="str">
        <f>IF($C819="","",IFERROR(VLOOKUP($C819,Orders!$A:$J,4,FALSE),""))</f>
        <v/>
      </c>
      <c r="G819" s="40" t="str">
        <f>IF($C819="","",IFERROR(VLOOKUP($C819,Orders!$A:$J,5,FALSE),""))</f>
        <v/>
      </c>
      <c r="H819" s="40" t="str">
        <f>IF($C819="","",IFERROR(VLOOKUP($C819,Orders!$A:$J,6,FALSE),""))</f>
        <v/>
      </c>
      <c r="I819" s="40" t="str">
        <f>IF($C819="","",IFERROR(VLOOKUP($C819,Orders!$A:$J,7,FALSE),""))</f>
        <v/>
      </c>
      <c r="J819" s="40" t="str">
        <f>IF(Bids!$C819="","",Bids!$C819)</f>
        <v/>
      </c>
      <c r="K819" s="40" t="str">
        <f>IF($J819="","",IFERROR(VLOOKUP($J819,Grinders!$A:$N,2,FALSE),""))</f>
        <v/>
      </c>
      <c r="L819" s="40" t="str">
        <f>IF($J819="","",IFERROR(VLOOKUP($J819,Grinders!$A:$N,3,FALSE),""))</f>
        <v/>
      </c>
      <c r="M819" s="40" t="str">
        <f>IF($J819="","",IFERROR(VLOOKUP($J819,Grinders!$A:$N,4,FALSE),""))</f>
        <v/>
      </c>
      <c r="N819" s="40" t="str">
        <f>IF($J819="","",IFERROR(VLOOKUP($J819,Grinders!$A:$N,5,FALSE),""))</f>
        <v/>
      </c>
      <c r="O819" s="40" t="str">
        <f t="shared" si="2"/>
        <v/>
      </c>
      <c r="P819" s="40" t="str">
        <f>IF($J819="","",IFERROR(VLOOKUP($J819,Grinders!$A:$N,6,FALSE),""))</f>
        <v/>
      </c>
      <c r="Q819" s="40" t="str">
        <f>IF($J819="","",IFERROR(VLOOKUP($J819,Grinders!$A:$N,8,FALSE),""))</f>
        <v/>
      </c>
      <c r="R819" s="40" t="str">
        <f>IFERROR(IF($J819="","",IF($L819="Elite",MAX(50,MIN(100,Config!$B$27*MAX(0,MIN(100,(1-IF($O819="",0,$O819))*100)) + Config!$B$28*MAX(0,MIN(100,(1-MIN(1,IF(Config!$B$30=0,1,$P819/Config!$B$30)))*100)) + Config!$B$29*MAX(0,MIN(100,MIN(1,IF($Q819="",0,$Q819)/Config!$B$23)*100)))),MIN(100,Config!$B$27*MAX(0,MIN(100,(1-IF($O819="",0,$O819))*100)) + Config!$B$28*MAX(0,MIN(100,(1-MIN(1,IF(Config!$B$30=0,1,$P819/Config!$B$30)))*100)) + Config!$B$29*MAX(0,MIN(100,MIN(1,IF($Q819="",0,$Q819)/Config!$B$23)*100))))),"")
</f>
        <v/>
      </c>
      <c r="S819" s="40" t="str">
        <f>IF(Bids!$D819="","",Bids!$D819)</f>
        <v/>
      </c>
      <c r="T819" s="40" t="str">
        <f>IF(Bids!$F819="","",Bids!$F819)</f>
        <v/>
      </c>
      <c r="U819" s="40" t="str">
        <f t="shared" si="3"/>
        <v/>
      </c>
      <c r="V819" s="40" t="str">
        <f>IF($U819="","",IF(Config!$B$17=Config!$B$16,IF($U819&gt;=Config!$B$17,100,0),MAX(0,MIN(100,($U819-Config!$B$16)/(Config!$B$17-Config!$B$16)*100))))</f>
        <v/>
      </c>
      <c r="W819" s="40">
        <f>IF($L819="Elite",Config!$B$21,0)</f>
        <v>0</v>
      </c>
      <c r="X819" s="40" t="str">
        <f>IFERROR(IF(OR($T819="",$G819=""),"",IF($T819&gt;$G819,
  MAX(0, 60-(($T819-$G819)*24/Config!$B$19)*60),
  MEDIAN(60, 100, 60+(($G819-$T819)*24/Config!$B$20)*40)
)),"")
</f>
        <v/>
      </c>
      <c r="Y819" s="40" t="str">
        <f>IF($J819="","",IFERROR(VLOOKUP($J819,Grinders!$A:$N,10,FALSE),""))</f>
        <v/>
      </c>
      <c r="Z819" s="40" t="str">
        <f>IF($J819="","",IFERROR(VLOOKUP($J819,Grinders!$A:$N,11,FALSE),""))</f>
        <v/>
      </c>
      <c r="AA819" s="40" t="str">
        <f>IF($J819="","",IFERROR(VLOOKUP($J819,Grinders!$A:$N,12,FALSE),""))</f>
        <v/>
      </c>
      <c r="AB819" s="40">
        <f>IFERROR(IF(OR($C819="",$J819=""),0,IF($D819&lt;&gt;"Open",0,IF(COUNTIFS(GrinderServices!$B:$B,$J819,GrinderServices!$C:$C,$E819,GrinderServices!$E:$E,"Y")=0,0,IF($U819&lt;Config!$B$16,0,IF(Config!$B$18=1,IF($N819&gt;=$M819,0,1),1))))),"")</f>
        <v>0</v>
      </c>
      <c r="AC819" s="40" t="str">
        <f>IFERROR(IF($AB819=0,"",((Config!$B$6*$V819 + Config!$B$7*$R819 + Config!$B$8*$W819 + Config!$B$9*$X819 + Config!$B$10*$Y819 + Config!$B$11*$Z819 - Config!$B$12*$AA819)/Config!$B$13)+$AH819+$AI819),"")</f>
        <v/>
      </c>
      <c r="AD819" s="40" t="str">
        <f t="shared" si="4"/>
        <v/>
      </c>
      <c r="AE819" s="40" t="str">
        <f>IFERROR(__xludf.DUMMYFUNCTION("IF($AC819="""","""",IF($AC819=IFERROR(MAX(FILTER($AC$6:$AC$1000,$C$6:$C$1000=$C819,$AB$6:$AB$1000=1)),),""WINNER"",""""))"),"")</f>
        <v/>
      </c>
      <c r="AF819" s="40" t="str">
        <f t="shared" si="5"/>
        <v/>
      </c>
      <c r="AG819" s="40" t="str">
        <f>IF($J819="","",COUNTIF(Assignments!$B:$B,$J819))</f>
        <v/>
      </c>
      <c r="AH819" s="40" t="str">
        <f>IF($J819="","",IF(AND($AG819=0,$N819&lt;$M819),Config!$B$43,0))</f>
        <v/>
      </c>
      <c r="AI819" s="40" t="str">
        <f>IF($J819="","",IF(AND($L819="Elite",$F819&gt;=Config!$B$41,$N819&lt;$M819),Config!$B$42,0))</f>
        <v/>
      </c>
      <c r="AJ819" s="22"/>
    </row>
    <row r="820" ht="15.75" customHeight="1">
      <c r="A820" s="40" t="str">
        <f t="shared" si="1"/>
        <v/>
      </c>
      <c r="B820" s="40" t="str">
        <f>IF(Bids!$A820="","",Bids!$A820)</f>
        <v/>
      </c>
      <c r="C820" s="40" t="str">
        <f>IF(Bids!$B820="","",Bids!$B820)</f>
        <v/>
      </c>
      <c r="D820" s="40" t="str">
        <f>IF($C820="","",IFERROR(VLOOKUP($C820,Orders!$A:$J,9,FALSE),""))</f>
        <v/>
      </c>
      <c r="E820" s="40" t="str">
        <f>IF($C820="","",IFERROR(VLOOKUP($C820,Orders!$A:$J,3,FALSE),""))</f>
        <v/>
      </c>
      <c r="F820" s="40" t="str">
        <f>IF($C820="","",IFERROR(VLOOKUP($C820,Orders!$A:$J,4,FALSE),""))</f>
        <v/>
      </c>
      <c r="G820" s="40" t="str">
        <f>IF($C820="","",IFERROR(VLOOKUP($C820,Orders!$A:$J,5,FALSE),""))</f>
        <v/>
      </c>
      <c r="H820" s="40" t="str">
        <f>IF($C820="","",IFERROR(VLOOKUP($C820,Orders!$A:$J,6,FALSE),""))</f>
        <v/>
      </c>
      <c r="I820" s="40" t="str">
        <f>IF($C820="","",IFERROR(VLOOKUP($C820,Orders!$A:$J,7,FALSE),""))</f>
        <v/>
      </c>
      <c r="J820" s="40" t="str">
        <f>IF(Bids!$C820="","",Bids!$C820)</f>
        <v/>
      </c>
      <c r="K820" s="40" t="str">
        <f>IF($J820="","",IFERROR(VLOOKUP($J820,Grinders!$A:$N,2,FALSE),""))</f>
        <v/>
      </c>
      <c r="L820" s="40" t="str">
        <f>IF($J820="","",IFERROR(VLOOKUP($J820,Grinders!$A:$N,3,FALSE),""))</f>
        <v/>
      </c>
      <c r="M820" s="40" t="str">
        <f>IF($J820="","",IFERROR(VLOOKUP($J820,Grinders!$A:$N,4,FALSE),""))</f>
        <v/>
      </c>
      <c r="N820" s="40" t="str">
        <f>IF($J820="","",IFERROR(VLOOKUP($J820,Grinders!$A:$N,5,FALSE),""))</f>
        <v/>
      </c>
      <c r="O820" s="40" t="str">
        <f t="shared" si="2"/>
        <v/>
      </c>
      <c r="P820" s="40" t="str">
        <f>IF($J820="","",IFERROR(VLOOKUP($J820,Grinders!$A:$N,6,FALSE),""))</f>
        <v/>
      </c>
      <c r="Q820" s="40" t="str">
        <f>IF($J820="","",IFERROR(VLOOKUP($J820,Grinders!$A:$N,8,FALSE),""))</f>
        <v/>
      </c>
      <c r="R820" s="40" t="str">
        <f>IFERROR(IF($J820="","",IF($L820="Elite",MAX(50,MIN(100,Config!$B$27*MAX(0,MIN(100,(1-IF($O820="",0,$O820))*100)) + Config!$B$28*MAX(0,MIN(100,(1-MIN(1,IF(Config!$B$30=0,1,$P820/Config!$B$30)))*100)) + Config!$B$29*MAX(0,MIN(100,MIN(1,IF($Q820="",0,$Q820)/Config!$B$23)*100)))),MIN(100,Config!$B$27*MAX(0,MIN(100,(1-IF($O820="",0,$O820))*100)) + Config!$B$28*MAX(0,MIN(100,(1-MIN(1,IF(Config!$B$30=0,1,$P820/Config!$B$30)))*100)) + Config!$B$29*MAX(0,MIN(100,MIN(1,IF($Q820="",0,$Q820)/Config!$B$23)*100))))),"")
</f>
        <v/>
      </c>
      <c r="S820" s="40" t="str">
        <f>IF(Bids!$D820="","",Bids!$D820)</f>
        <v/>
      </c>
      <c r="T820" s="40" t="str">
        <f>IF(Bids!$F820="","",Bids!$F820)</f>
        <v/>
      </c>
      <c r="U820" s="40" t="str">
        <f t="shared" si="3"/>
        <v/>
      </c>
      <c r="V820" s="40" t="str">
        <f>IF($U820="","",IF(Config!$B$17=Config!$B$16,IF($U820&gt;=Config!$B$17,100,0),MAX(0,MIN(100,($U820-Config!$B$16)/(Config!$B$17-Config!$B$16)*100))))</f>
        <v/>
      </c>
      <c r="W820" s="40">
        <f>IF($L820="Elite",Config!$B$21,0)</f>
        <v>0</v>
      </c>
      <c r="X820" s="40" t="str">
        <f>IFERROR(IF(OR($T820="",$G820=""),"",IF($T820&gt;$G820,
  MAX(0, 60-(($T820-$G820)*24/Config!$B$19)*60),
  MEDIAN(60, 100, 60+(($G820-$T820)*24/Config!$B$20)*40)
)),"")
</f>
        <v/>
      </c>
      <c r="Y820" s="40" t="str">
        <f>IF($J820="","",IFERROR(VLOOKUP($J820,Grinders!$A:$N,10,FALSE),""))</f>
        <v/>
      </c>
      <c r="Z820" s="40" t="str">
        <f>IF($J820="","",IFERROR(VLOOKUP($J820,Grinders!$A:$N,11,FALSE),""))</f>
        <v/>
      </c>
      <c r="AA820" s="40" t="str">
        <f>IF($J820="","",IFERROR(VLOOKUP($J820,Grinders!$A:$N,12,FALSE),""))</f>
        <v/>
      </c>
      <c r="AB820" s="40">
        <f>IFERROR(IF(OR($C820="",$J820=""),0,IF($D820&lt;&gt;"Open",0,IF(COUNTIFS(GrinderServices!$B:$B,$J820,GrinderServices!$C:$C,$E820,GrinderServices!$E:$E,"Y")=0,0,IF($U820&lt;Config!$B$16,0,IF(Config!$B$18=1,IF($N820&gt;=$M820,0,1),1))))),"")</f>
        <v>0</v>
      </c>
      <c r="AC820" s="40" t="str">
        <f>IFERROR(IF($AB820=0,"",((Config!$B$6*$V820 + Config!$B$7*$R820 + Config!$B$8*$W820 + Config!$B$9*$X820 + Config!$B$10*$Y820 + Config!$B$11*$Z820 - Config!$B$12*$AA820)/Config!$B$13)+$AH820+$AI820),"")</f>
        <v/>
      </c>
      <c r="AD820" s="40" t="str">
        <f t="shared" si="4"/>
        <v/>
      </c>
      <c r="AE820" s="40" t="str">
        <f>IFERROR(__xludf.DUMMYFUNCTION("IF($AC820="""","""",IF($AC820=IFERROR(MAX(FILTER($AC$6:$AC$1000,$C$6:$C$1000=$C820,$AB$6:$AB$1000=1)),),""WINNER"",""""))"),"")</f>
        <v/>
      </c>
      <c r="AF820" s="40" t="str">
        <f t="shared" si="5"/>
        <v/>
      </c>
      <c r="AG820" s="40" t="str">
        <f>IF($J820="","",COUNTIF(Assignments!$B:$B,$J820))</f>
        <v/>
      </c>
      <c r="AH820" s="40" t="str">
        <f>IF($J820="","",IF(AND($AG820=0,$N820&lt;$M820),Config!$B$43,0))</f>
        <v/>
      </c>
      <c r="AI820" s="40" t="str">
        <f>IF($J820="","",IF(AND($L820="Elite",$F820&gt;=Config!$B$41,$N820&lt;$M820),Config!$B$42,0))</f>
        <v/>
      </c>
      <c r="AJ820" s="22"/>
    </row>
    <row r="821" ht="15.75" customHeight="1">
      <c r="A821" s="40" t="str">
        <f t="shared" si="1"/>
        <v/>
      </c>
      <c r="B821" s="40" t="str">
        <f>IF(Bids!$A821="","",Bids!$A821)</f>
        <v/>
      </c>
      <c r="C821" s="40" t="str">
        <f>IF(Bids!$B821="","",Bids!$B821)</f>
        <v/>
      </c>
      <c r="D821" s="40" t="str">
        <f>IF($C821="","",IFERROR(VLOOKUP($C821,Orders!$A:$J,9,FALSE),""))</f>
        <v/>
      </c>
      <c r="E821" s="40" t="str">
        <f>IF($C821="","",IFERROR(VLOOKUP($C821,Orders!$A:$J,3,FALSE),""))</f>
        <v/>
      </c>
      <c r="F821" s="40" t="str">
        <f>IF($C821="","",IFERROR(VLOOKUP($C821,Orders!$A:$J,4,FALSE),""))</f>
        <v/>
      </c>
      <c r="G821" s="40" t="str">
        <f>IF($C821="","",IFERROR(VLOOKUP($C821,Orders!$A:$J,5,FALSE),""))</f>
        <v/>
      </c>
      <c r="H821" s="40" t="str">
        <f>IF($C821="","",IFERROR(VLOOKUP($C821,Orders!$A:$J,6,FALSE),""))</f>
        <v/>
      </c>
      <c r="I821" s="40" t="str">
        <f>IF($C821="","",IFERROR(VLOOKUP($C821,Orders!$A:$J,7,FALSE),""))</f>
        <v/>
      </c>
      <c r="J821" s="40" t="str">
        <f>IF(Bids!$C821="","",Bids!$C821)</f>
        <v/>
      </c>
      <c r="K821" s="40" t="str">
        <f>IF($J821="","",IFERROR(VLOOKUP($J821,Grinders!$A:$N,2,FALSE),""))</f>
        <v/>
      </c>
      <c r="L821" s="40" t="str">
        <f>IF($J821="","",IFERROR(VLOOKUP($J821,Grinders!$A:$N,3,FALSE),""))</f>
        <v/>
      </c>
      <c r="M821" s="40" t="str">
        <f>IF($J821="","",IFERROR(VLOOKUP($J821,Grinders!$A:$N,4,FALSE),""))</f>
        <v/>
      </c>
      <c r="N821" s="40" t="str">
        <f>IF($J821="","",IFERROR(VLOOKUP($J821,Grinders!$A:$N,5,FALSE),""))</f>
        <v/>
      </c>
      <c r="O821" s="40" t="str">
        <f t="shared" si="2"/>
        <v/>
      </c>
      <c r="P821" s="40" t="str">
        <f>IF($J821="","",IFERROR(VLOOKUP($J821,Grinders!$A:$N,6,FALSE),""))</f>
        <v/>
      </c>
      <c r="Q821" s="40" t="str">
        <f>IF($J821="","",IFERROR(VLOOKUP($J821,Grinders!$A:$N,8,FALSE),""))</f>
        <v/>
      </c>
      <c r="R821" s="40" t="str">
        <f>IFERROR(IF($J821="","",IF($L821="Elite",MAX(50,MIN(100,Config!$B$27*MAX(0,MIN(100,(1-IF($O821="",0,$O821))*100)) + Config!$B$28*MAX(0,MIN(100,(1-MIN(1,IF(Config!$B$30=0,1,$P821/Config!$B$30)))*100)) + Config!$B$29*MAX(0,MIN(100,MIN(1,IF($Q821="",0,$Q821)/Config!$B$23)*100)))),MIN(100,Config!$B$27*MAX(0,MIN(100,(1-IF($O821="",0,$O821))*100)) + Config!$B$28*MAX(0,MIN(100,(1-MIN(1,IF(Config!$B$30=0,1,$P821/Config!$B$30)))*100)) + Config!$B$29*MAX(0,MIN(100,MIN(1,IF($Q821="",0,$Q821)/Config!$B$23)*100))))),"")
</f>
        <v/>
      </c>
      <c r="S821" s="40" t="str">
        <f>IF(Bids!$D821="","",Bids!$D821)</f>
        <v/>
      </c>
      <c r="T821" s="40" t="str">
        <f>IF(Bids!$F821="","",Bids!$F821)</f>
        <v/>
      </c>
      <c r="U821" s="40" t="str">
        <f t="shared" si="3"/>
        <v/>
      </c>
      <c r="V821" s="40" t="str">
        <f>IF($U821="","",IF(Config!$B$17=Config!$B$16,IF($U821&gt;=Config!$B$17,100,0),MAX(0,MIN(100,($U821-Config!$B$16)/(Config!$B$17-Config!$B$16)*100))))</f>
        <v/>
      </c>
      <c r="W821" s="40">
        <f>IF($L821="Elite",Config!$B$21,0)</f>
        <v>0</v>
      </c>
      <c r="X821" s="40" t="str">
        <f>IFERROR(IF(OR($T821="",$G821=""),"",IF($T821&gt;$G821,
  MAX(0, 60-(($T821-$G821)*24/Config!$B$19)*60),
  MEDIAN(60, 100, 60+(($G821-$T821)*24/Config!$B$20)*40)
)),"")
</f>
        <v/>
      </c>
      <c r="Y821" s="40" t="str">
        <f>IF($J821="","",IFERROR(VLOOKUP($J821,Grinders!$A:$N,10,FALSE),""))</f>
        <v/>
      </c>
      <c r="Z821" s="40" t="str">
        <f>IF($J821="","",IFERROR(VLOOKUP($J821,Grinders!$A:$N,11,FALSE),""))</f>
        <v/>
      </c>
      <c r="AA821" s="40" t="str">
        <f>IF($J821="","",IFERROR(VLOOKUP($J821,Grinders!$A:$N,12,FALSE),""))</f>
        <v/>
      </c>
      <c r="AB821" s="40">
        <f>IFERROR(IF(OR($C821="",$J821=""),0,IF($D821&lt;&gt;"Open",0,IF(COUNTIFS(GrinderServices!$B:$B,$J821,GrinderServices!$C:$C,$E821,GrinderServices!$E:$E,"Y")=0,0,IF($U821&lt;Config!$B$16,0,IF(Config!$B$18=1,IF($N821&gt;=$M821,0,1),1))))),"")</f>
        <v>0</v>
      </c>
      <c r="AC821" s="40" t="str">
        <f>IFERROR(IF($AB821=0,"",((Config!$B$6*$V821 + Config!$B$7*$R821 + Config!$B$8*$W821 + Config!$B$9*$X821 + Config!$B$10*$Y821 + Config!$B$11*$Z821 - Config!$B$12*$AA821)/Config!$B$13)+$AH821+$AI821),"")</f>
        <v/>
      </c>
      <c r="AD821" s="40" t="str">
        <f t="shared" si="4"/>
        <v/>
      </c>
      <c r="AE821" s="40" t="str">
        <f>IFERROR(__xludf.DUMMYFUNCTION("IF($AC821="""","""",IF($AC821=IFERROR(MAX(FILTER($AC$6:$AC$1000,$C$6:$C$1000=$C821,$AB$6:$AB$1000=1)),),""WINNER"",""""))"),"")</f>
        <v/>
      </c>
      <c r="AF821" s="40" t="str">
        <f t="shared" si="5"/>
        <v/>
      </c>
      <c r="AG821" s="40" t="str">
        <f>IF($J821="","",COUNTIF(Assignments!$B:$B,$J821))</f>
        <v/>
      </c>
      <c r="AH821" s="40" t="str">
        <f>IF($J821="","",IF(AND($AG821=0,$N821&lt;$M821),Config!$B$43,0))</f>
        <v/>
      </c>
      <c r="AI821" s="40" t="str">
        <f>IF($J821="","",IF(AND($L821="Elite",$F821&gt;=Config!$B$41,$N821&lt;$M821),Config!$B$42,0))</f>
        <v/>
      </c>
      <c r="AJ821" s="22"/>
    </row>
    <row r="822" ht="15.75" customHeight="1">
      <c r="A822" s="40" t="str">
        <f t="shared" si="1"/>
        <v/>
      </c>
      <c r="B822" s="40" t="str">
        <f>IF(Bids!$A822="","",Bids!$A822)</f>
        <v/>
      </c>
      <c r="C822" s="40" t="str">
        <f>IF(Bids!$B822="","",Bids!$B822)</f>
        <v/>
      </c>
      <c r="D822" s="40" t="str">
        <f>IF($C822="","",IFERROR(VLOOKUP($C822,Orders!$A:$J,9,FALSE),""))</f>
        <v/>
      </c>
      <c r="E822" s="40" t="str">
        <f>IF($C822="","",IFERROR(VLOOKUP($C822,Orders!$A:$J,3,FALSE),""))</f>
        <v/>
      </c>
      <c r="F822" s="40" t="str">
        <f>IF($C822="","",IFERROR(VLOOKUP($C822,Orders!$A:$J,4,FALSE),""))</f>
        <v/>
      </c>
      <c r="G822" s="40" t="str">
        <f>IF($C822="","",IFERROR(VLOOKUP($C822,Orders!$A:$J,5,FALSE),""))</f>
        <v/>
      </c>
      <c r="H822" s="40" t="str">
        <f>IF($C822="","",IFERROR(VLOOKUP($C822,Orders!$A:$J,6,FALSE),""))</f>
        <v/>
      </c>
      <c r="I822" s="40" t="str">
        <f>IF($C822="","",IFERROR(VLOOKUP($C822,Orders!$A:$J,7,FALSE),""))</f>
        <v/>
      </c>
      <c r="J822" s="40" t="str">
        <f>IF(Bids!$C822="","",Bids!$C822)</f>
        <v/>
      </c>
      <c r="K822" s="40" t="str">
        <f>IF($J822="","",IFERROR(VLOOKUP($J822,Grinders!$A:$N,2,FALSE),""))</f>
        <v/>
      </c>
      <c r="L822" s="40" t="str">
        <f>IF($J822="","",IFERROR(VLOOKUP($J822,Grinders!$A:$N,3,FALSE),""))</f>
        <v/>
      </c>
      <c r="M822" s="40" t="str">
        <f>IF($J822="","",IFERROR(VLOOKUP($J822,Grinders!$A:$N,4,FALSE),""))</f>
        <v/>
      </c>
      <c r="N822" s="40" t="str">
        <f>IF($J822="","",IFERROR(VLOOKUP($J822,Grinders!$A:$N,5,FALSE),""))</f>
        <v/>
      </c>
      <c r="O822" s="40" t="str">
        <f t="shared" si="2"/>
        <v/>
      </c>
      <c r="P822" s="40" t="str">
        <f>IF($J822="","",IFERROR(VLOOKUP($J822,Grinders!$A:$N,6,FALSE),""))</f>
        <v/>
      </c>
      <c r="Q822" s="40" t="str">
        <f>IF($J822="","",IFERROR(VLOOKUP($J822,Grinders!$A:$N,8,FALSE),""))</f>
        <v/>
      </c>
      <c r="R822" s="40" t="str">
        <f>IFERROR(IF($J822="","",IF($L822="Elite",MAX(50,MIN(100,Config!$B$27*MAX(0,MIN(100,(1-IF($O822="",0,$O822))*100)) + Config!$B$28*MAX(0,MIN(100,(1-MIN(1,IF(Config!$B$30=0,1,$P822/Config!$B$30)))*100)) + Config!$B$29*MAX(0,MIN(100,MIN(1,IF($Q822="",0,$Q822)/Config!$B$23)*100)))),MIN(100,Config!$B$27*MAX(0,MIN(100,(1-IF($O822="",0,$O822))*100)) + Config!$B$28*MAX(0,MIN(100,(1-MIN(1,IF(Config!$B$30=0,1,$P822/Config!$B$30)))*100)) + Config!$B$29*MAX(0,MIN(100,MIN(1,IF($Q822="",0,$Q822)/Config!$B$23)*100))))),"")
</f>
        <v/>
      </c>
      <c r="S822" s="40" t="str">
        <f>IF(Bids!$D822="","",Bids!$D822)</f>
        <v/>
      </c>
      <c r="T822" s="40" t="str">
        <f>IF(Bids!$F822="","",Bids!$F822)</f>
        <v/>
      </c>
      <c r="U822" s="40" t="str">
        <f t="shared" si="3"/>
        <v/>
      </c>
      <c r="V822" s="40" t="str">
        <f>IF($U822="","",IF(Config!$B$17=Config!$B$16,IF($U822&gt;=Config!$B$17,100,0),MAX(0,MIN(100,($U822-Config!$B$16)/(Config!$B$17-Config!$B$16)*100))))</f>
        <v/>
      </c>
      <c r="W822" s="40">
        <f>IF($L822="Elite",Config!$B$21,0)</f>
        <v>0</v>
      </c>
      <c r="X822" s="40" t="str">
        <f>IFERROR(IF(OR($T822="",$G822=""),"",IF($T822&gt;$G822,
  MAX(0, 60-(($T822-$G822)*24/Config!$B$19)*60),
  MEDIAN(60, 100, 60+(($G822-$T822)*24/Config!$B$20)*40)
)),"")
</f>
        <v/>
      </c>
      <c r="Y822" s="40" t="str">
        <f>IF($J822="","",IFERROR(VLOOKUP($J822,Grinders!$A:$N,10,FALSE),""))</f>
        <v/>
      </c>
      <c r="Z822" s="40" t="str">
        <f>IF($J822="","",IFERROR(VLOOKUP($J822,Grinders!$A:$N,11,FALSE),""))</f>
        <v/>
      </c>
      <c r="AA822" s="40" t="str">
        <f>IF($J822="","",IFERROR(VLOOKUP($J822,Grinders!$A:$N,12,FALSE),""))</f>
        <v/>
      </c>
      <c r="AB822" s="40">
        <f>IFERROR(IF(OR($C822="",$J822=""),0,IF($D822&lt;&gt;"Open",0,IF(COUNTIFS(GrinderServices!$B:$B,$J822,GrinderServices!$C:$C,$E822,GrinderServices!$E:$E,"Y")=0,0,IF($U822&lt;Config!$B$16,0,IF(Config!$B$18=1,IF($N822&gt;=$M822,0,1),1))))),"")</f>
        <v>0</v>
      </c>
      <c r="AC822" s="40" t="str">
        <f>IFERROR(IF($AB822=0,"",((Config!$B$6*$V822 + Config!$B$7*$R822 + Config!$B$8*$W822 + Config!$B$9*$X822 + Config!$B$10*$Y822 + Config!$B$11*$Z822 - Config!$B$12*$AA822)/Config!$B$13)+$AH822+$AI822),"")</f>
        <v/>
      </c>
      <c r="AD822" s="40" t="str">
        <f t="shared" si="4"/>
        <v/>
      </c>
      <c r="AE822" s="40" t="str">
        <f>IFERROR(__xludf.DUMMYFUNCTION("IF($AC822="""","""",IF($AC822=IFERROR(MAX(FILTER($AC$6:$AC$1000,$C$6:$C$1000=$C822,$AB$6:$AB$1000=1)),),""WINNER"",""""))"),"")</f>
        <v/>
      </c>
      <c r="AF822" s="40" t="str">
        <f t="shared" si="5"/>
        <v/>
      </c>
      <c r="AG822" s="40" t="str">
        <f>IF($J822="","",COUNTIF(Assignments!$B:$B,$J822))</f>
        <v/>
      </c>
      <c r="AH822" s="40" t="str">
        <f>IF($J822="","",IF(AND($AG822=0,$N822&lt;$M822),Config!$B$43,0))</f>
        <v/>
      </c>
      <c r="AI822" s="40" t="str">
        <f>IF($J822="","",IF(AND($L822="Elite",$F822&gt;=Config!$B$41,$N822&lt;$M822),Config!$B$42,0))</f>
        <v/>
      </c>
      <c r="AJ822" s="22"/>
    </row>
    <row r="823" ht="15.75" customHeight="1">
      <c r="A823" s="40" t="str">
        <f t="shared" si="1"/>
        <v/>
      </c>
      <c r="B823" s="40" t="str">
        <f>IF(Bids!$A823="","",Bids!$A823)</f>
        <v/>
      </c>
      <c r="C823" s="40" t="str">
        <f>IF(Bids!$B823="","",Bids!$B823)</f>
        <v/>
      </c>
      <c r="D823" s="40" t="str">
        <f>IF($C823="","",IFERROR(VLOOKUP($C823,Orders!$A:$J,9,FALSE),""))</f>
        <v/>
      </c>
      <c r="E823" s="40" t="str">
        <f>IF($C823="","",IFERROR(VLOOKUP($C823,Orders!$A:$J,3,FALSE),""))</f>
        <v/>
      </c>
      <c r="F823" s="40" t="str">
        <f>IF($C823="","",IFERROR(VLOOKUP($C823,Orders!$A:$J,4,FALSE),""))</f>
        <v/>
      </c>
      <c r="G823" s="40" t="str">
        <f>IF($C823="","",IFERROR(VLOOKUP($C823,Orders!$A:$J,5,FALSE),""))</f>
        <v/>
      </c>
      <c r="H823" s="40" t="str">
        <f>IF($C823="","",IFERROR(VLOOKUP($C823,Orders!$A:$J,6,FALSE),""))</f>
        <v/>
      </c>
      <c r="I823" s="40" t="str">
        <f>IF($C823="","",IFERROR(VLOOKUP($C823,Orders!$A:$J,7,FALSE),""))</f>
        <v/>
      </c>
      <c r="J823" s="40" t="str">
        <f>IF(Bids!$C823="","",Bids!$C823)</f>
        <v/>
      </c>
      <c r="K823" s="40" t="str">
        <f>IF($J823="","",IFERROR(VLOOKUP($J823,Grinders!$A:$N,2,FALSE),""))</f>
        <v/>
      </c>
      <c r="L823" s="40" t="str">
        <f>IF($J823="","",IFERROR(VLOOKUP($J823,Grinders!$A:$N,3,FALSE),""))</f>
        <v/>
      </c>
      <c r="M823" s="40" t="str">
        <f>IF($J823="","",IFERROR(VLOOKUP($J823,Grinders!$A:$N,4,FALSE),""))</f>
        <v/>
      </c>
      <c r="N823" s="40" t="str">
        <f>IF($J823="","",IFERROR(VLOOKUP($J823,Grinders!$A:$N,5,FALSE),""))</f>
        <v/>
      </c>
      <c r="O823" s="40" t="str">
        <f t="shared" si="2"/>
        <v/>
      </c>
      <c r="P823" s="40" t="str">
        <f>IF($J823="","",IFERROR(VLOOKUP($J823,Grinders!$A:$N,6,FALSE),""))</f>
        <v/>
      </c>
      <c r="Q823" s="40" t="str">
        <f>IF($J823="","",IFERROR(VLOOKUP($J823,Grinders!$A:$N,8,FALSE),""))</f>
        <v/>
      </c>
      <c r="R823" s="40" t="str">
        <f>IFERROR(IF($J823="","",IF($L823="Elite",MAX(50,MIN(100,Config!$B$27*MAX(0,MIN(100,(1-IF($O823="",0,$O823))*100)) + Config!$B$28*MAX(0,MIN(100,(1-MIN(1,IF(Config!$B$30=0,1,$P823/Config!$B$30)))*100)) + Config!$B$29*MAX(0,MIN(100,MIN(1,IF($Q823="",0,$Q823)/Config!$B$23)*100)))),MIN(100,Config!$B$27*MAX(0,MIN(100,(1-IF($O823="",0,$O823))*100)) + Config!$B$28*MAX(0,MIN(100,(1-MIN(1,IF(Config!$B$30=0,1,$P823/Config!$B$30)))*100)) + Config!$B$29*MAX(0,MIN(100,MIN(1,IF($Q823="",0,$Q823)/Config!$B$23)*100))))),"")
</f>
        <v/>
      </c>
      <c r="S823" s="40" t="str">
        <f>IF(Bids!$D823="","",Bids!$D823)</f>
        <v/>
      </c>
      <c r="T823" s="40" t="str">
        <f>IF(Bids!$F823="","",Bids!$F823)</f>
        <v/>
      </c>
      <c r="U823" s="40" t="str">
        <f t="shared" si="3"/>
        <v/>
      </c>
      <c r="V823" s="40" t="str">
        <f>IF($U823="","",IF(Config!$B$17=Config!$B$16,IF($U823&gt;=Config!$B$17,100,0),MAX(0,MIN(100,($U823-Config!$B$16)/(Config!$B$17-Config!$B$16)*100))))</f>
        <v/>
      </c>
      <c r="W823" s="40">
        <f>IF($L823="Elite",Config!$B$21,0)</f>
        <v>0</v>
      </c>
      <c r="X823" s="40" t="str">
        <f>IFERROR(IF(OR($T823="",$G823=""),"",IF($T823&gt;$G823,
  MAX(0, 60-(($T823-$G823)*24/Config!$B$19)*60),
  MEDIAN(60, 100, 60+(($G823-$T823)*24/Config!$B$20)*40)
)),"")
</f>
        <v/>
      </c>
      <c r="Y823" s="40" t="str">
        <f>IF($J823="","",IFERROR(VLOOKUP($J823,Grinders!$A:$N,10,FALSE),""))</f>
        <v/>
      </c>
      <c r="Z823" s="40" t="str">
        <f>IF($J823="","",IFERROR(VLOOKUP($J823,Grinders!$A:$N,11,FALSE),""))</f>
        <v/>
      </c>
      <c r="AA823" s="40" t="str">
        <f>IF($J823="","",IFERROR(VLOOKUP($J823,Grinders!$A:$N,12,FALSE),""))</f>
        <v/>
      </c>
      <c r="AB823" s="40">
        <f>IFERROR(IF(OR($C823="",$J823=""),0,IF($D823&lt;&gt;"Open",0,IF(COUNTIFS(GrinderServices!$B:$B,$J823,GrinderServices!$C:$C,$E823,GrinderServices!$E:$E,"Y")=0,0,IF($U823&lt;Config!$B$16,0,IF(Config!$B$18=1,IF($N823&gt;=$M823,0,1),1))))),"")</f>
        <v>0</v>
      </c>
      <c r="AC823" s="40" t="str">
        <f>IFERROR(IF($AB823=0,"",((Config!$B$6*$V823 + Config!$B$7*$R823 + Config!$B$8*$W823 + Config!$B$9*$X823 + Config!$B$10*$Y823 + Config!$B$11*$Z823 - Config!$B$12*$AA823)/Config!$B$13)+$AH823+$AI823),"")</f>
        <v/>
      </c>
      <c r="AD823" s="40" t="str">
        <f t="shared" si="4"/>
        <v/>
      </c>
      <c r="AE823" s="40" t="str">
        <f>IFERROR(__xludf.DUMMYFUNCTION("IF($AC823="""","""",IF($AC823=IFERROR(MAX(FILTER($AC$6:$AC$1000,$C$6:$C$1000=$C823,$AB$6:$AB$1000=1)),),""WINNER"",""""))"),"")</f>
        <v/>
      </c>
      <c r="AF823" s="40" t="str">
        <f t="shared" si="5"/>
        <v/>
      </c>
      <c r="AG823" s="40" t="str">
        <f>IF($J823="","",COUNTIF(Assignments!$B:$B,$J823))</f>
        <v/>
      </c>
      <c r="AH823" s="40" t="str">
        <f>IF($J823="","",IF(AND($AG823=0,$N823&lt;$M823),Config!$B$43,0))</f>
        <v/>
      </c>
      <c r="AI823" s="40" t="str">
        <f>IF($J823="","",IF(AND($L823="Elite",$F823&gt;=Config!$B$41,$N823&lt;$M823),Config!$B$42,0))</f>
        <v/>
      </c>
      <c r="AJ823" s="22"/>
    </row>
    <row r="824" ht="15.75" customHeight="1">
      <c r="A824" s="40" t="str">
        <f t="shared" si="1"/>
        <v/>
      </c>
      <c r="B824" s="40" t="str">
        <f>IF(Bids!$A824="","",Bids!$A824)</f>
        <v/>
      </c>
      <c r="C824" s="40" t="str">
        <f>IF(Bids!$B824="","",Bids!$B824)</f>
        <v/>
      </c>
      <c r="D824" s="40" t="str">
        <f>IF($C824="","",IFERROR(VLOOKUP($C824,Orders!$A:$J,9,FALSE),""))</f>
        <v/>
      </c>
      <c r="E824" s="40" t="str">
        <f>IF($C824="","",IFERROR(VLOOKUP($C824,Orders!$A:$J,3,FALSE),""))</f>
        <v/>
      </c>
      <c r="F824" s="40" t="str">
        <f>IF($C824="","",IFERROR(VLOOKUP($C824,Orders!$A:$J,4,FALSE),""))</f>
        <v/>
      </c>
      <c r="G824" s="40" t="str">
        <f>IF($C824="","",IFERROR(VLOOKUP($C824,Orders!$A:$J,5,FALSE),""))</f>
        <v/>
      </c>
      <c r="H824" s="40" t="str">
        <f>IF($C824="","",IFERROR(VLOOKUP($C824,Orders!$A:$J,6,FALSE),""))</f>
        <v/>
      </c>
      <c r="I824" s="40" t="str">
        <f>IF($C824="","",IFERROR(VLOOKUP($C824,Orders!$A:$J,7,FALSE),""))</f>
        <v/>
      </c>
      <c r="J824" s="40" t="str">
        <f>IF(Bids!$C824="","",Bids!$C824)</f>
        <v/>
      </c>
      <c r="K824" s="40" t="str">
        <f>IF($J824="","",IFERROR(VLOOKUP($J824,Grinders!$A:$N,2,FALSE),""))</f>
        <v/>
      </c>
      <c r="L824" s="40" t="str">
        <f>IF($J824="","",IFERROR(VLOOKUP($J824,Grinders!$A:$N,3,FALSE),""))</f>
        <v/>
      </c>
      <c r="M824" s="40" t="str">
        <f>IF($J824="","",IFERROR(VLOOKUP($J824,Grinders!$A:$N,4,FALSE),""))</f>
        <v/>
      </c>
      <c r="N824" s="40" t="str">
        <f>IF($J824="","",IFERROR(VLOOKUP($J824,Grinders!$A:$N,5,FALSE),""))</f>
        <v/>
      </c>
      <c r="O824" s="40" t="str">
        <f t="shared" si="2"/>
        <v/>
      </c>
      <c r="P824" s="40" t="str">
        <f>IF($J824="","",IFERROR(VLOOKUP($J824,Grinders!$A:$N,6,FALSE),""))</f>
        <v/>
      </c>
      <c r="Q824" s="40" t="str">
        <f>IF($J824="","",IFERROR(VLOOKUP($J824,Grinders!$A:$N,8,FALSE),""))</f>
        <v/>
      </c>
      <c r="R824" s="40" t="str">
        <f>IFERROR(IF($J824="","",IF($L824="Elite",MAX(50,MIN(100,Config!$B$27*MAX(0,MIN(100,(1-IF($O824="",0,$O824))*100)) + Config!$B$28*MAX(0,MIN(100,(1-MIN(1,IF(Config!$B$30=0,1,$P824/Config!$B$30)))*100)) + Config!$B$29*MAX(0,MIN(100,MIN(1,IF($Q824="",0,$Q824)/Config!$B$23)*100)))),MIN(100,Config!$B$27*MAX(0,MIN(100,(1-IF($O824="",0,$O824))*100)) + Config!$B$28*MAX(0,MIN(100,(1-MIN(1,IF(Config!$B$30=0,1,$P824/Config!$B$30)))*100)) + Config!$B$29*MAX(0,MIN(100,MIN(1,IF($Q824="",0,$Q824)/Config!$B$23)*100))))),"")
</f>
        <v/>
      </c>
      <c r="S824" s="40" t="str">
        <f>IF(Bids!$D824="","",Bids!$D824)</f>
        <v/>
      </c>
      <c r="T824" s="40" t="str">
        <f>IF(Bids!$F824="","",Bids!$F824)</f>
        <v/>
      </c>
      <c r="U824" s="40" t="str">
        <f t="shared" si="3"/>
        <v/>
      </c>
      <c r="V824" s="40" t="str">
        <f>IF($U824="","",IF(Config!$B$17=Config!$B$16,IF($U824&gt;=Config!$B$17,100,0),MAX(0,MIN(100,($U824-Config!$B$16)/(Config!$B$17-Config!$B$16)*100))))</f>
        <v/>
      </c>
      <c r="W824" s="40">
        <f>IF($L824="Elite",Config!$B$21,0)</f>
        <v>0</v>
      </c>
      <c r="X824" s="40" t="str">
        <f>IFERROR(IF(OR($T824="",$G824=""),"",IF($T824&gt;$G824,
  MAX(0, 60-(($T824-$G824)*24/Config!$B$19)*60),
  MEDIAN(60, 100, 60+(($G824-$T824)*24/Config!$B$20)*40)
)),"")
</f>
        <v/>
      </c>
      <c r="Y824" s="40" t="str">
        <f>IF($J824="","",IFERROR(VLOOKUP($J824,Grinders!$A:$N,10,FALSE),""))</f>
        <v/>
      </c>
      <c r="Z824" s="40" t="str">
        <f>IF($J824="","",IFERROR(VLOOKUP($J824,Grinders!$A:$N,11,FALSE),""))</f>
        <v/>
      </c>
      <c r="AA824" s="40" t="str">
        <f>IF($J824="","",IFERROR(VLOOKUP($J824,Grinders!$A:$N,12,FALSE),""))</f>
        <v/>
      </c>
      <c r="AB824" s="40">
        <f>IFERROR(IF(OR($C824="",$J824=""),0,IF($D824&lt;&gt;"Open",0,IF(COUNTIFS(GrinderServices!$B:$B,$J824,GrinderServices!$C:$C,$E824,GrinderServices!$E:$E,"Y")=0,0,IF($U824&lt;Config!$B$16,0,IF(Config!$B$18=1,IF($N824&gt;=$M824,0,1),1))))),"")</f>
        <v>0</v>
      </c>
      <c r="AC824" s="40" t="str">
        <f>IFERROR(IF($AB824=0,"",((Config!$B$6*$V824 + Config!$B$7*$R824 + Config!$B$8*$W824 + Config!$B$9*$X824 + Config!$B$10*$Y824 + Config!$B$11*$Z824 - Config!$B$12*$AA824)/Config!$B$13)+$AH824+$AI824),"")</f>
        <v/>
      </c>
      <c r="AD824" s="40" t="str">
        <f t="shared" si="4"/>
        <v/>
      </c>
      <c r="AE824" s="40" t="str">
        <f>IFERROR(__xludf.DUMMYFUNCTION("IF($AC824="""","""",IF($AC824=IFERROR(MAX(FILTER($AC$6:$AC$1000,$C$6:$C$1000=$C824,$AB$6:$AB$1000=1)),),""WINNER"",""""))"),"")</f>
        <v/>
      </c>
      <c r="AF824" s="40" t="str">
        <f t="shared" si="5"/>
        <v/>
      </c>
      <c r="AG824" s="40" t="str">
        <f>IF($J824="","",COUNTIF(Assignments!$B:$B,$J824))</f>
        <v/>
      </c>
      <c r="AH824" s="40" t="str">
        <f>IF($J824="","",IF(AND($AG824=0,$N824&lt;$M824),Config!$B$43,0))</f>
        <v/>
      </c>
      <c r="AI824" s="40" t="str">
        <f>IF($J824="","",IF(AND($L824="Elite",$F824&gt;=Config!$B$41,$N824&lt;$M824),Config!$B$42,0))</f>
        <v/>
      </c>
      <c r="AJ824" s="22"/>
    </row>
    <row r="825" ht="15.75" customHeight="1">
      <c r="A825" s="40" t="str">
        <f t="shared" si="1"/>
        <v/>
      </c>
      <c r="B825" s="40" t="str">
        <f>IF(Bids!$A825="","",Bids!$A825)</f>
        <v/>
      </c>
      <c r="C825" s="40" t="str">
        <f>IF(Bids!$B825="","",Bids!$B825)</f>
        <v/>
      </c>
      <c r="D825" s="40" t="str">
        <f>IF($C825="","",IFERROR(VLOOKUP($C825,Orders!$A:$J,9,FALSE),""))</f>
        <v/>
      </c>
      <c r="E825" s="40" t="str">
        <f>IF($C825="","",IFERROR(VLOOKUP($C825,Orders!$A:$J,3,FALSE),""))</f>
        <v/>
      </c>
      <c r="F825" s="40" t="str">
        <f>IF($C825="","",IFERROR(VLOOKUP($C825,Orders!$A:$J,4,FALSE),""))</f>
        <v/>
      </c>
      <c r="G825" s="40" t="str">
        <f>IF($C825="","",IFERROR(VLOOKUP($C825,Orders!$A:$J,5,FALSE),""))</f>
        <v/>
      </c>
      <c r="H825" s="40" t="str">
        <f>IF($C825="","",IFERROR(VLOOKUP($C825,Orders!$A:$J,6,FALSE),""))</f>
        <v/>
      </c>
      <c r="I825" s="40" t="str">
        <f>IF($C825="","",IFERROR(VLOOKUP($C825,Orders!$A:$J,7,FALSE),""))</f>
        <v/>
      </c>
      <c r="J825" s="40" t="str">
        <f>IF(Bids!$C825="","",Bids!$C825)</f>
        <v/>
      </c>
      <c r="K825" s="40" t="str">
        <f>IF($J825="","",IFERROR(VLOOKUP($J825,Grinders!$A:$N,2,FALSE),""))</f>
        <v/>
      </c>
      <c r="L825" s="40" t="str">
        <f>IF($J825="","",IFERROR(VLOOKUP($J825,Grinders!$A:$N,3,FALSE),""))</f>
        <v/>
      </c>
      <c r="M825" s="40" t="str">
        <f>IF($J825="","",IFERROR(VLOOKUP($J825,Grinders!$A:$N,4,FALSE),""))</f>
        <v/>
      </c>
      <c r="N825" s="40" t="str">
        <f>IF($J825="","",IFERROR(VLOOKUP($J825,Grinders!$A:$N,5,FALSE),""))</f>
        <v/>
      </c>
      <c r="O825" s="40" t="str">
        <f t="shared" si="2"/>
        <v/>
      </c>
      <c r="P825" s="40" t="str">
        <f>IF($J825="","",IFERROR(VLOOKUP($J825,Grinders!$A:$N,6,FALSE),""))</f>
        <v/>
      </c>
      <c r="Q825" s="40" t="str">
        <f>IF($J825="","",IFERROR(VLOOKUP($J825,Grinders!$A:$N,8,FALSE),""))</f>
        <v/>
      </c>
      <c r="R825" s="40" t="str">
        <f>IFERROR(IF($J825="","",IF($L825="Elite",MAX(50,MIN(100,Config!$B$27*MAX(0,MIN(100,(1-IF($O825="",0,$O825))*100)) + Config!$B$28*MAX(0,MIN(100,(1-MIN(1,IF(Config!$B$30=0,1,$P825/Config!$B$30)))*100)) + Config!$B$29*MAX(0,MIN(100,MIN(1,IF($Q825="",0,$Q825)/Config!$B$23)*100)))),MIN(100,Config!$B$27*MAX(0,MIN(100,(1-IF($O825="",0,$O825))*100)) + Config!$B$28*MAX(0,MIN(100,(1-MIN(1,IF(Config!$B$30=0,1,$P825/Config!$B$30)))*100)) + Config!$B$29*MAX(0,MIN(100,MIN(1,IF($Q825="",0,$Q825)/Config!$B$23)*100))))),"")
</f>
        <v/>
      </c>
      <c r="S825" s="40" t="str">
        <f>IF(Bids!$D825="","",Bids!$D825)</f>
        <v/>
      </c>
      <c r="T825" s="40" t="str">
        <f>IF(Bids!$F825="","",Bids!$F825)</f>
        <v/>
      </c>
      <c r="U825" s="40" t="str">
        <f t="shared" si="3"/>
        <v/>
      </c>
      <c r="V825" s="40" t="str">
        <f>IF($U825="","",IF(Config!$B$17=Config!$B$16,IF($U825&gt;=Config!$B$17,100,0),MAX(0,MIN(100,($U825-Config!$B$16)/(Config!$B$17-Config!$B$16)*100))))</f>
        <v/>
      </c>
      <c r="W825" s="40">
        <f>IF($L825="Elite",Config!$B$21,0)</f>
        <v>0</v>
      </c>
      <c r="X825" s="40" t="str">
        <f>IFERROR(IF(OR($T825="",$G825=""),"",IF($T825&gt;$G825,
  MAX(0, 60-(($T825-$G825)*24/Config!$B$19)*60),
  MEDIAN(60, 100, 60+(($G825-$T825)*24/Config!$B$20)*40)
)),"")
</f>
        <v/>
      </c>
      <c r="Y825" s="40" t="str">
        <f>IF($J825="","",IFERROR(VLOOKUP($J825,Grinders!$A:$N,10,FALSE),""))</f>
        <v/>
      </c>
      <c r="Z825" s="40" t="str">
        <f>IF($J825="","",IFERROR(VLOOKUP($J825,Grinders!$A:$N,11,FALSE),""))</f>
        <v/>
      </c>
      <c r="AA825" s="40" t="str">
        <f>IF($J825="","",IFERROR(VLOOKUP($J825,Grinders!$A:$N,12,FALSE),""))</f>
        <v/>
      </c>
      <c r="AB825" s="40">
        <f>IFERROR(IF(OR($C825="",$J825=""),0,IF($D825&lt;&gt;"Open",0,IF(COUNTIFS(GrinderServices!$B:$B,$J825,GrinderServices!$C:$C,$E825,GrinderServices!$E:$E,"Y")=0,0,IF($U825&lt;Config!$B$16,0,IF(Config!$B$18=1,IF($N825&gt;=$M825,0,1),1))))),"")</f>
        <v>0</v>
      </c>
      <c r="AC825" s="40" t="str">
        <f>IFERROR(IF($AB825=0,"",((Config!$B$6*$V825 + Config!$B$7*$R825 + Config!$B$8*$W825 + Config!$B$9*$X825 + Config!$B$10*$Y825 + Config!$B$11*$Z825 - Config!$B$12*$AA825)/Config!$B$13)+$AH825+$AI825),"")</f>
        <v/>
      </c>
      <c r="AD825" s="40" t="str">
        <f t="shared" si="4"/>
        <v/>
      </c>
      <c r="AE825" s="40" t="str">
        <f>IFERROR(__xludf.DUMMYFUNCTION("IF($AC825="""","""",IF($AC825=IFERROR(MAX(FILTER($AC$6:$AC$1000,$C$6:$C$1000=$C825,$AB$6:$AB$1000=1)),),""WINNER"",""""))"),"")</f>
        <v/>
      </c>
      <c r="AF825" s="40" t="str">
        <f t="shared" si="5"/>
        <v/>
      </c>
      <c r="AG825" s="40" t="str">
        <f>IF($J825="","",COUNTIF(Assignments!$B:$B,$J825))</f>
        <v/>
      </c>
      <c r="AH825" s="40" t="str">
        <f>IF($J825="","",IF(AND($AG825=0,$N825&lt;$M825),Config!$B$43,0))</f>
        <v/>
      </c>
      <c r="AI825" s="40" t="str">
        <f>IF($J825="","",IF(AND($L825="Elite",$F825&gt;=Config!$B$41,$N825&lt;$M825),Config!$B$42,0))</f>
        <v/>
      </c>
      <c r="AJ825" s="22"/>
    </row>
    <row r="826" ht="15.75" customHeight="1">
      <c r="A826" s="40" t="str">
        <f t="shared" si="1"/>
        <v/>
      </c>
      <c r="B826" s="40" t="str">
        <f>IF(Bids!$A826="","",Bids!$A826)</f>
        <v/>
      </c>
      <c r="C826" s="40" t="str">
        <f>IF(Bids!$B826="","",Bids!$B826)</f>
        <v/>
      </c>
      <c r="D826" s="40" t="str">
        <f>IF($C826="","",IFERROR(VLOOKUP($C826,Orders!$A:$J,9,FALSE),""))</f>
        <v/>
      </c>
      <c r="E826" s="40" t="str">
        <f>IF($C826="","",IFERROR(VLOOKUP($C826,Orders!$A:$J,3,FALSE),""))</f>
        <v/>
      </c>
      <c r="F826" s="40" t="str">
        <f>IF($C826="","",IFERROR(VLOOKUP($C826,Orders!$A:$J,4,FALSE),""))</f>
        <v/>
      </c>
      <c r="G826" s="40" t="str">
        <f>IF($C826="","",IFERROR(VLOOKUP($C826,Orders!$A:$J,5,FALSE),""))</f>
        <v/>
      </c>
      <c r="H826" s="40" t="str">
        <f>IF($C826="","",IFERROR(VLOOKUP($C826,Orders!$A:$J,6,FALSE),""))</f>
        <v/>
      </c>
      <c r="I826" s="40" t="str">
        <f>IF($C826="","",IFERROR(VLOOKUP($C826,Orders!$A:$J,7,FALSE),""))</f>
        <v/>
      </c>
      <c r="J826" s="40" t="str">
        <f>IF(Bids!$C826="","",Bids!$C826)</f>
        <v/>
      </c>
      <c r="K826" s="40" t="str">
        <f>IF($J826="","",IFERROR(VLOOKUP($J826,Grinders!$A:$N,2,FALSE),""))</f>
        <v/>
      </c>
      <c r="L826" s="40" t="str">
        <f>IF($J826="","",IFERROR(VLOOKUP($J826,Grinders!$A:$N,3,FALSE),""))</f>
        <v/>
      </c>
      <c r="M826" s="40" t="str">
        <f>IF($J826="","",IFERROR(VLOOKUP($J826,Grinders!$A:$N,4,FALSE),""))</f>
        <v/>
      </c>
      <c r="N826" s="40" t="str">
        <f>IF($J826="","",IFERROR(VLOOKUP($J826,Grinders!$A:$N,5,FALSE),""))</f>
        <v/>
      </c>
      <c r="O826" s="40" t="str">
        <f t="shared" si="2"/>
        <v/>
      </c>
      <c r="P826" s="40" t="str">
        <f>IF($J826="","",IFERROR(VLOOKUP($J826,Grinders!$A:$N,6,FALSE),""))</f>
        <v/>
      </c>
      <c r="Q826" s="40" t="str">
        <f>IF($J826="","",IFERROR(VLOOKUP($J826,Grinders!$A:$N,8,FALSE),""))</f>
        <v/>
      </c>
      <c r="R826" s="40" t="str">
        <f>IFERROR(IF($J826="","",IF($L826="Elite",MAX(50,MIN(100,Config!$B$27*MAX(0,MIN(100,(1-IF($O826="",0,$O826))*100)) + Config!$B$28*MAX(0,MIN(100,(1-MIN(1,IF(Config!$B$30=0,1,$P826/Config!$B$30)))*100)) + Config!$B$29*MAX(0,MIN(100,MIN(1,IF($Q826="",0,$Q826)/Config!$B$23)*100)))),MIN(100,Config!$B$27*MAX(0,MIN(100,(1-IF($O826="",0,$O826))*100)) + Config!$B$28*MAX(0,MIN(100,(1-MIN(1,IF(Config!$B$30=0,1,$P826/Config!$B$30)))*100)) + Config!$B$29*MAX(0,MIN(100,MIN(1,IF($Q826="",0,$Q826)/Config!$B$23)*100))))),"")
</f>
        <v/>
      </c>
      <c r="S826" s="40" t="str">
        <f>IF(Bids!$D826="","",Bids!$D826)</f>
        <v/>
      </c>
      <c r="T826" s="40" t="str">
        <f>IF(Bids!$F826="","",Bids!$F826)</f>
        <v/>
      </c>
      <c r="U826" s="40" t="str">
        <f t="shared" si="3"/>
        <v/>
      </c>
      <c r="V826" s="40" t="str">
        <f>IF($U826="","",IF(Config!$B$17=Config!$B$16,IF($U826&gt;=Config!$B$17,100,0),MAX(0,MIN(100,($U826-Config!$B$16)/(Config!$B$17-Config!$B$16)*100))))</f>
        <v/>
      </c>
      <c r="W826" s="40">
        <f>IF($L826="Elite",Config!$B$21,0)</f>
        <v>0</v>
      </c>
      <c r="X826" s="40" t="str">
        <f>IFERROR(IF(OR($T826="",$G826=""),"",IF($T826&gt;$G826,
  MAX(0, 60-(($T826-$G826)*24/Config!$B$19)*60),
  MEDIAN(60, 100, 60+(($G826-$T826)*24/Config!$B$20)*40)
)),"")
</f>
        <v/>
      </c>
      <c r="Y826" s="40" t="str">
        <f>IF($J826="","",IFERROR(VLOOKUP($J826,Grinders!$A:$N,10,FALSE),""))</f>
        <v/>
      </c>
      <c r="Z826" s="40" t="str">
        <f>IF($J826="","",IFERROR(VLOOKUP($J826,Grinders!$A:$N,11,FALSE),""))</f>
        <v/>
      </c>
      <c r="AA826" s="40" t="str">
        <f>IF($J826="","",IFERROR(VLOOKUP($J826,Grinders!$A:$N,12,FALSE),""))</f>
        <v/>
      </c>
      <c r="AB826" s="40">
        <f>IFERROR(IF(OR($C826="",$J826=""),0,IF($D826&lt;&gt;"Open",0,IF(COUNTIFS(GrinderServices!$B:$B,$J826,GrinderServices!$C:$C,$E826,GrinderServices!$E:$E,"Y")=0,0,IF($U826&lt;Config!$B$16,0,IF(Config!$B$18=1,IF($N826&gt;=$M826,0,1),1))))),"")</f>
        <v>0</v>
      </c>
      <c r="AC826" s="40" t="str">
        <f>IFERROR(IF($AB826=0,"",((Config!$B$6*$V826 + Config!$B$7*$R826 + Config!$B$8*$W826 + Config!$B$9*$X826 + Config!$B$10*$Y826 + Config!$B$11*$Z826 - Config!$B$12*$AA826)/Config!$B$13)+$AH826+$AI826),"")</f>
        <v/>
      </c>
      <c r="AD826" s="40" t="str">
        <f t="shared" si="4"/>
        <v/>
      </c>
      <c r="AE826" s="40" t="str">
        <f>IFERROR(__xludf.DUMMYFUNCTION("IF($AC826="""","""",IF($AC826=IFERROR(MAX(FILTER($AC$6:$AC$1000,$C$6:$C$1000=$C826,$AB$6:$AB$1000=1)),),""WINNER"",""""))"),"")</f>
        <v/>
      </c>
      <c r="AF826" s="40" t="str">
        <f t="shared" si="5"/>
        <v/>
      </c>
      <c r="AG826" s="40" t="str">
        <f>IF($J826="","",COUNTIF(Assignments!$B:$B,$J826))</f>
        <v/>
      </c>
      <c r="AH826" s="40" t="str">
        <f>IF($J826="","",IF(AND($AG826=0,$N826&lt;$M826),Config!$B$43,0))</f>
        <v/>
      </c>
      <c r="AI826" s="40" t="str">
        <f>IF($J826="","",IF(AND($L826="Elite",$F826&gt;=Config!$B$41,$N826&lt;$M826),Config!$B$42,0))</f>
        <v/>
      </c>
      <c r="AJ826" s="22"/>
    </row>
    <row r="827" ht="15.75" customHeight="1">
      <c r="A827" s="40" t="str">
        <f t="shared" si="1"/>
        <v/>
      </c>
      <c r="B827" s="40" t="str">
        <f>IF(Bids!$A827="","",Bids!$A827)</f>
        <v/>
      </c>
      <c r="C827" s="40" t="str">
        <f>IF(Bids!$B827="","",Bids!$B827)</f>
        <v/>
      </c>
      <c r="D827" s="40" t="str">
        <f>IF($C827="","",IFERROR(VLOOKUP($C827,Orders!$A:$J,9,FALSE),""))</f>
        <v/>
      </c>
      <c r="E827" s="40" t="str">
        <f>IF($C827="","",IFERROR(VLOOKUP($C827,Orders!$A:$J,3,FALSE),""))</f>
        <v/>
      </c>
      <c r="F827" s="40" t="str">
        <f>IF($C827="","",IFERROR(VLOOKUP($C827,Orders!$A:$J,4,FALSE),""))</f>
        <v/>
      </c>
      <c r="G827" s="40" t="str">
        <f>IF($C827="","",IFERROR(VLOOKUP($C827,Orders!$A:$J,5,FALSE),""))</f>
        <v/>
      </c>
      <c r="H827" s="40" t="str">
        <f>IF($C827="","",IFERROR(VLOOKUP($C827,Orders!$A:$J,6,FALSE),""))</f>
        <v/>
      </c>
      <c r="I827" s="40" t="str">
        <f>IF($C827="","",IFERROR(VLOOKUP($C827,Orders!$A:$J,7,FALSE),""))</f>
        <v/>
      </c>
      <c r="J827" s="40" t="str">
        <f>IF(Bids!$C827="","",Bids!$C827)</f>
        <v/>
      </c>
      <c r="K827" s="40" t="str">
        <f>IF($J827="","",IFERROR(VLOOKUP($J827,Grinders!$A:$N,2,FALSE),""))</f>
        <v/>
      </c>
      <c r="L827" s="40" t="str">
        <f>IF($J827="","",IFERROR(VLOOKUP($J827,Grinders!$A:$N,3,FALSE),""))</f>
        <v/>
      </c>
      <c r="M827" s="40" t="str">
        <f>IF($J827="","",IFERROR(VLOOKUP($J827,Grinders!$A:$N,4,FALSE),""))</f>
        <v/>
      </c>
      <c r="N827" s="40" t="str">
        <f>IF($J827="","",IFERROR(VLOOKUP($J827,Grinders!$A:$N,5,FALSE),""))</f>
        <v/>
      </c>
      <c r="O827" s="40" t="str">
        <f t="shared" si="2"/>
        <v/>
      </c>
      <c r="P827" s="40" t="str">
        <f>IF($J827="","",IFERROR(VLOOKUP($J827,Grinders!$A:$N,6,FALSE),""))</f>
        <v/>
      </c>
      <c r="Q827" s="40" t="str">
        <f>IF($J827="","",IFERROR(VLOOKUP($J827,Grinders!$A:$N,8,FALSE),""))</f>
        <v/>
      </c>
      <c r="R827" s="40" t="str">
        <f>IFERROR(IF($J827="","",IF($L827="Elite",MAX(50,MIN(100,Config!$B$27*MAX(0,MIN(100,(1-IF($O827="",0,$O827))*100)) + Config!$B$28*MAX(0,MIN(100,(1-MIN(1,IF(Config!$B$30=0,1,$P827/Config!$B$30)))*100)) + Config!$B$29*MAX(0,MIN(100,MIN(1,IF($Q827="",0,$Q827)/Config!$B$23)*100)))),MIN(100,Config!$B$27*MAX(0,MIN(100,(1-IF($O827="",0,$O827))*100)) + Config!$B$28*MAX(0,MIN(100,(1-MIN(1,IF(Config!$B$30=0,1,$P827/Config!$B$30)))*100)) + Config!$B$29*MAX(0,MIN(100,MIN(1,IF($Q827="",0,$Q827)/Config!$B$23)*100))))),"")
</f>
        <v/>
      </c>
      <c r="S827" s="40" t="str">
        <f>IF(Bids!$D827="","",Bids!$D827)</f>
        <v/>
      </c>
      <c r="T827" s="40" t="str">
        <f>IF(Bids!$F827="","",Bids!$F827)</f>
        <v/>
      </c>
      <c r="U827" s="40" t="str">
        <f t="shared" si="3"/>
        <v/>
      </c>
      <c r="V827" s="40" t="str">
        <f>IF($U827="","",IF(Config!$B$17=Config!$B$16,IF($U827&gt;=Config!$B$17,100,0),MAX(0,MIN(100,($U827-Config!$B$16)/(Config!$B$17-Config!$B$16)*100))))</f>
        <v/>
      </c>
      <c r="W827" s="40">
        <f>IF($L827="Elite",Config!$B$21,0)</f>
        <v>0</v>
      </c>
      <c r="X827" s="40" t="str">
        <f>IFERROR(IF(OR($T827="",$G827=""),"",IF($T827&gt;$G827,
  MAX(0, 60-(($T827-$G827)*24/Config!$B$19)*60),
  MEDIAN(60, 100, 60+(($G827-$T827)*24/Config!$B$20)*40)
)),"")
</f>
        <v/>
      </c>
      <c r="Y827" s="40" t="str">
        <f>IF($J827="","",IFERROR(VLOOKUP($J827,Grinders!$A:$N,10,FALSE),""))</f>
        <v/>
      </c>
      <c r="Z827" s="40" t="str">
        <f>IF($J827="","",IFERROR(VLOOKUP($J827,Grinders!$A:$N,11,FALSE),""))</f>
        <v/>
      </c>
      <c r="AA827" s="40" t="str">
        <f>IF($J827="","",IFERROR(VLOOKUP($J827,Grinders!$A:$N,12,FALSE),""))</f>
        <v/>
      </c>
      <c r="AB827" s="40">
        <f>IFERROR(IF(OR($C827="",$J827=""),0,IF($D827&lt;&gt;"Open",0,IF(COUNTIFS(GrinderServices!$B:$B,$J827,GrinderServices!$C:$C,$E827,GrinderServices!$E:$E,"Y")=0,0,IF($U827&lt;Config!$B$16,0,IF(Config!$B$18=1,IF($N827&gt;=$M827,0,1),1))))),"")</f>
        <v>0</v>
      </c>
      <c r="AC827" s="40" t="str">
        <f>IFERROR(IF($AB827=0,"",((Config!$B$6*$V827 + Config!$B$7*$R827 + Config!$B$8*$W827 + Config!$B$9*$X827 + Config!$B$10*$Y827 + Config!$B$11*$Z827 - Config!$B$12*$AA827)/Config!$B$13)+$AH827+$AI827),"")</f>
        <v/>
      </c>
      <c r="AD827" s="40" t="str">
        <f t="shared" si="4"/>
        <v/>
      </c>
      <c r="AE827" s="40" t="str">
        <f>IFERROR(__xludf.DUMMYFUNCTION("IF($AC827="""","""",IF($AC827=IFERROR(MAX(FILTER($AC$6:$AC$1000,$C$6:$C$1000=$C827,$AB$6:$AB$1000=1)),),""WINNER"",""""))"),"")</f>
        <v/>
      </c>
      <c r="AF827" s="40" t="str">
        <f t="shared" si="5"/>
        <v/>
      </c>
      <c r="AG827" s="40" t="str">
        <f>IF($J827="","",COUNTIF(Assignments!$B:$B,$J827))</f>
        <v/>
      </c>
      <c r="AH827" s="40" t="str">
        <f>IF($J827="","",IF(AND($AG827=0,$N827&lt;$M827),Config!$B$43,0))</f>
        <v/>
      </c>
      <c r="AI827" s="40" t="str">
        <f>IF($J827="","",IF(AND($L827="Elite",$F827&gt;=Config!$B$41,$N827&lt;$M827),Config!$B$42,0))</f>
        <v/>
      </c>
      <c r="AJ827" s="22"/>
    </row>
    <row r="828" ht="15.75" customHeight="1">
      <c r="A828" s="40" t="str">
        <f t="shared" si="1"/>
        <v/>
      </c>
      <c r="B828" s="40" t="str">
        <f>IF(Bids!$A828="","",Bids!$A828)</f>
        <v/>
      </c>
      <c r="C828" s="40" t="str">
        <f>IF(Bids!$B828="","",Bids!$B828)</f>
        <v/>
      </c>
      <c r="D828" s="40" t="str">
        <f>IF($C828="","",IFERROR(VLOOKUP($C828,Orders!$A:$J,9,FALSE),""))</f>
        <v/>
      </c>
      <c r="E828" s="40" t="str">
        <f>IF($C828="","",IFERROR(VLOOKUP($C828,Orders!$A:$J,3,FALSE),""))</f>
        <v/>
      </c>
      <c r="F828" s="40" t="str">
        <f>IF($C828="","",IFERROR(VLOOKUP($C828,Orders!$A:$J,4,FALSE),""))</f>
        <v/>
      </c>
      <c r="G828" s="40" t="str">
        <f>IF($C828="","",IFERROR(VLOOKUP($C828,Orders!$A:$J,5,FALSE),""))</f>
        <v/>
      </c>
      <c r="H828" s="40" t="str">
        <f>IF($C828="","",IFERROR(VLOOKUP($C828,Orders!$A:$J,6,FALSE),""))</f>
        <v/>
      </c>
      <c r="I828" s="40" t="str">
        <f>IF($C828="","",IFERROR(VLOOKUP($C828,Orders!$A:$J,7,FALSE),""))</f>
        <v/>
      </c>
      <c r="J828" s="40" t="str">
        <f>IF(Bids!$C828="","",Bids!$C828)</f>
        <v/>
      </c>
      <c r="K828" s="40" t="str">
        <f>IF($J828="","",IFERROR(VLOOKUP($J828,Grinders!$A:$N,2,FALSE),""))</f>
        <v/>
      </c>
      <c r="L828" s="40" t="str">
        <f>IF($J828="","",IFERROR(VLOOKUP($J828,Grinders!$A:$N,3,FALSE),""))</f>
        <v/>
      </c>
      <c r="M828" s="40" t="str">
        <f>IF($J828="","",IFERROR(VLOOKUP($J828,Grinders!$A:$N,4,FALSE),""))</f>
        <v/>
      </c>
      <c r="N828" s="40" t="str">
        <f>IF($J828="","",IFERROR(VLOOKUP($J828,Grinders!$A:$N,5,FALSE),""))</f>
        <v/>
      </c>
      <c r="O828" s="40" t="str">
        <f t="shared" si="2"/>
        <v/>
      </c>
      <c r="P828" s="40" t="str">
        <f>IF($J828="","",IFERROR(VLOOKUP($J828,Grinders!$A:$N,6,FALSE),""))</f>
        <v/>
      </c>
      <c r="Q828" s="40" t="str">
        <f>IF($J828="","",IFERROR(VLOOKUP($J828,Grinders!$A:$N,8,FALSE),""))</f>
        <v/>
      </c>
      <c r="R828" s="40" t="str">
        <f>IFERROR(IF($J828="","",IF($L828="Elite",MAX(50,MIN(100,Config!$B$27*MAX(0,MIN(100,(1-IF($O828="",0,$O828))*100)) + Config!$B$28*MAX(0,MIN(100,(1-MIN(1,IF(Config!$B$30=0,1,$P828/Config!$B$30)))*100)) + Config!$B$29*MAX(0,MIN(100,MIN(1,IF($Q828="",0,$Q828)/Config!$B$23)*100)))),MIN(100,Config!$B$27*MAX(0,MIN(100,(1-IF($O828="",0,$O828))*100)) + Config!$B$28*MAX(0,MIN(100,(1-MIN(1,IF(Config!$B$30=0,1,$P828/Config!$B$30)))*100)) + Config!$B$29*MAX(0,MIN(100,MIN(1,IF($Q828="",0,$Q828)/Config!$B$23)*100))))),"")
</f>
        <v/>
      </c>
      <c r="S828" s="40" t="str">
        <f>IF(Bids!$D828="","",Bids!$D828)</f>
        <v/>
      </c>
      <c r="T828" s="40" t="str">
        <f>IF(Bids!$F828="","",Bids!$F828)</f>
        <v/>
      </c>
      <c r="U828" s="40" t="str">
        <f t="shared" si="3"/>
        <v/>
      </c>
      <c r="V828" s="40" t="str">
        <f>IF($U828="","",IF(Config!$B$17=Config!$B$16,IF($U828&gt;=Config!$B$17,100,0),MAX(0,MIN(100,($U828-Config!$B$16)/(Config!$B$17-Config!$B$16)*100))))</f>
        <v/>
      </c>
      <c r="W828" s="40">
        <f>IF($L828="Elite",Config!$B$21,0)</f>
        <v>0</v>
      </c>
      <c r="X828" s="40" t="str">
        <f>IFERROR(IF(OR($T828="",$G828=""),"",IF($T828&gt;$G828,
  MAX(0, 60-(($T828-$G828)*24/Config!$B$19)*60),
  MEDIAN(60, 100, 60+(($G828-$T828)*24/Config!$B$20)*40)
)),"")
</f>
        <v/>
      </c>
      <c r="Y828" s="40" t="str">
        <f>IF($J828="","",IFERROR(VLOOKUP($J828,Grinders!$A:$N,10,FALSE),""))</f>
        <v/>
      </c>
      <c r="Z828" s="40" t="str">
        <f>IF($J828="","",IFERROR(VLOOKUP($J828,Grinders!$A:$N,11,FALSE),""))</f>
        <v/>
      </c>
      <c r="AA828" s="40" t="str">
        <f>IF($J828="","",IFERROR(VLOOKUP($J828,Grinders!$A:$N,12,FALSE),""))</f>
        <v/>
      </c>
      <c r="AB828" s="40">
        <f>IFERROR(IF(OR($C828="",$J828=""),0,IF($D828&lt;&gt;"Open",0,IF(COUNTIFS(GrinderServices!$B:$B,$J828,GrinderServices!$C:$C,$E828,GrinderServices!$E:$E,"Y")=0,0,IF($U828&lt;Config!$B$16,0,IF(Config!$B$18=1,IF($N828&gt;=$M828,0,1),1))))),"")</f>
        <v>0</v>
      </c>
      <c r="AC828" s="40" t="str">
        <f>IFERROR(IF($AB828=0,"",((Config!$B$6*$V828 + Config!$B$7*$R828 + Config!$B$8*$W828 + Config!$B$9*$X828 + Config!$B$10*$Y828 + Config!$B$11*$Z828 - Config!$B$12*$AA828)/Config!$B$13)+$AH828+$AI828),"")</f>
        <v/>
      </c>
      <c r="AD828" s="40" t="str">
        <f t="shared" si="4"/>
        <v/>
      </c>
      <c r="AE828" s="40" t="str">
        <f>IFERROR(__xludf.DUMMYFUNCTION("IF($AC828="""","""",IF($AC828=IFERROR(MAX(FILTER($AC$6:$AC$1000,$C$6:$C$1000=$C828,$AB$6:$AB$1000=1)),),""WINNER"",""""))"),"")</f>
        <v/>
      </c>
      <c r="AF828" s="40" t="str">
        <f t="shared" si="5"/>
        <v/>
      </c>
      <c r="AG828" s="40" t="str">
        <f>IF($J828="","",COUNTIF(Assignments!$B:$B,$J828))</f>
        <v/>
      </c>
      <c r="AH828" s="40" t="str">
        <f>IF($J828="","",IF(AND($AG828=0,$N828&lt;$M828),Config!$B$43,0))</f>
        <v/>
      </c>
      <c r="AI828" s="40" t="str">
        <f>IF($J828="","",IF(AND($L828="Elite",$F828&gt;=Config!$B$41,$N828&lt;$M828),Config!$B$42,0))</f>
        <v/>
      </c>
      <c r="AJ828" s="22"/>
    </row>
    <row r="829" ht="15.75" customHeight="1">
      <c r="A829" s="40" t="str">
        <f t="shared" si="1"/>
        <v/>
      </c>
      <c r="B829" s="40" t="str">
        <f>IF(Bids!$A829="","",Bids!$A829)</f>
        <v/>
      </c>
      <c r="C829" s="40" t="str">
        <f>IF(Bids!$B829="","",Bids!$B829)</f>
        <v/>
      </c>
      <c r="D829" s="40" t="str">
        <f>IF($C829="","",IFERROR(VLOOKUP($C829,Orders!$A:$J,9,FALSE),""))</f>
        <v/>
      </c>
      <c r="E829" s="40" t="str">
        <f>IF($C829="","",IFERROR(VLOOKUP($C829,Orders!$A:$J,3,FALSE),""))</f>
        <v/>
      </c>
      <c r="F829" s="40" t="str">
        <f>IF($C829="","",IFERROR(VLOOKUP($C829,Orders!$A:$J,4,FALSE),""))</f>
        <v/>
      </c>
      <c r="G829" s="40" t="str">
        <f>IF($C829="","",IFERROR(VLOOKUP($C829,Orders!$A:$J,5,FALSE),""))</f>
        <v/>
      </c>
      <c r="H829" s="40" t="str">
        <f>IF($C829="","",IFERROR(VLOOKUP($C829,Orders!$A:$J,6,FALSE),""))</f>
        <v/>
      </c>
      <c r="I829" s="40" t="str">
        <f>IF($C829="","",IFERROR(VLOOKUP($C829,Orders!$A:$J,7,FALSE),""))</f>
        <v/>
      </c>
      <c r="J829" s="40" t="str">
        <f>IF(Bids!$C829="","",Bids!$C829)</f>
        <v/>
      </c>
      <c r="K829" s="40" t="str">
        <f>IF($J829="","",IFERROR(VLOOKUP($J829,Grinders!$A:$N,2,FALSE),""))</f>
        <v/>
      </c>
      <c r="L829" s="40" t="str">
        <f>IF($J829="","",IFERROR(VLOOKUP($J829,Grinders!$A:$N,3,FALSE),""))</f>
        <v/>
      </c>
      <c r="M829" s="40" t="str">
        <f>IF($J829="","",IFERROR(VLOOKUP($J829,Grinders!$A:$N,4,FALSE),""))</f>
        <v/>
      </c>
      <c r="N829" s="40" t="str">
        <f>IF($J829="","",IFERROR(VLOOKUP($J829,Grinders!$A:$N,5,FALSE),""))</f>
        <v/>
      </c>
      <c r="O829" s="40" t="str">
        <f t="shared" si="2"/>
        <v/>
      </c>
      <c r="P829" s="40" t="str">
        <f>IF($J829="","",IFERROR(VLOOKUP($J829,Grinders!$A:$N,6,FALSE),""))</f>
        <v/>
      </c>
      <c r="Q829" s="40" t="str">
        <f>IF($J829="","",IFERROR(VLOOKUP($J829,Grinders!$A:$N,8,FALSE),""))</f>
        <v/>
      </c>
      <c r="R829" s="40" t="str">
        <f>IFERROR(IF($J829="","",IF($L829="Elite",MAX(50,MIN(100,Config!$B$27*MAX(0,MIN(100,(1-IF($O829="",0,$O829))*100)) + Config!$B$28*MAX(0,MIN(100,(1-MIN(1,IF(Config!$B$30=0,1,$P829/Config!$B$30)))*100)) + Config!$B$29*MAX(0,MIN(100,MIN(1,IF($Q829="",0,$Q829)/Config!$B$23)*100)))),MIN(100,Config!$B$27*MAX(0,MIN(100,(1-IF($O829="",0,$O829))*100)) + Config!$B$28*MAX(0,MIN(100,(1-MIN(1,IF(Config!$B$30=0,1,$P829/Config!$B$30)))*100)) + Config!$B$29*MAX(0,MIN(100,MIN(1,IF($Q829="",0,$Q829)/Config!$B$23)*100))))),"")
</f>
        <v/>
      </c>
      <c r="S829" s="40" t="str">
        <f>IF(Bids!$D829="","",Bids!$D829)</f>
        <v/>
      </c>
      <c r="T829" s="40" t="str">
        <f>IF(Bids!$F829="","",Bids!$F829)</f>
        <v/>
      </c>
      <c r="U829" s="40" t="str">
        <f t="shared" si="3"/>
        <v/>
      </c>
      <c r="V829" s="40" t="str">
        <f>IF($U829="","",IF(Config!$B$17=Config!$B$16,IF($U829&gt;=Config!$B$17,100,0),MAX(0,MIN(100,($U829-Config!$B$16)/(Config!$B$17-Config!$B$16)*100))))</f>
        <v/>
      </c>
      <c r="W829" s="40">
        <f>IF($L829="Elite",Config!$B$21,0)</f>
        <v>0</v>
      </c>
      <c r="X829" s="40" t="str">
        <f>IFERROR(IF(OR($T829="",$G829=""),"",IF($T829&gt;$G829,
  MAX(0, 60-(($T829-$G829)*24/Config!$B$19)*60),
  MEDIAN(60, 100, 60+(($G829-$T829)*24/Config!$B$20)*40)
)),"")
</f>
        <v/>
      </c>
      <c r="Y829" s="40" t="str">
        <f>IF($J829="","",IFERROR(VLOOKUP($J829,Grinders!$A:$N,10,FALSE),""))</f>
        <v/>
      </c>
      <c r="Z829" s="40" t="str">
        <f>IF($J829="","",IFERROR(VLOOKUP($J829,Grinders!$A:$N,11,FALSE),""))</f>
        <v/>
      </c>
      <c r="AA829" s="40" t="str">
        <f>IF($J829="","",IFERROR(VLOOKUP($J829,Grinders!$A:$N,12,FALSE),""))</f>
        <v/>
      </c>
      <c r="AB829" s="40">
        <f>IFERROR(IF(OR($C829="",$J829=""),0,IF($D829&lt;&gt;"Open",0,IF(COUNTIFS(GrinderServices!$B:$B,$J829,GrinderServices!$C:$C,$E829,GrinderServices!$E:$E,"Y")=0,0,IF($U829&lt;Config!$B$16,0,IF(Config!$B$18=1,IF($N829&gt;=$M829,0,1),1))))),"")</f>
        <v>0</v>
      </c>
      <c r="AC829" s="40" t="str">
        <f>IFERROR(IF($AB829=0,"",((Config!$B$6*$V829 + Config!$B$7*$R829 + Config!$B$8*$W829 + Config!$B$9*$X829 + Config!$B$10*$Y829 + Config!$B$11*$Z829 - Config!$B$12*$AA829)/Config!$B$13)+$AH829+$AI829),"")</f>
        <v/>
      </c>
      <c r="AD829" s="40" t="str">
        <f t="shared" si="4"/>
        <v/>
      </c>
      <c r="AE829" s="40" t="str">
        <f>IFERROR(__xludf.DUMMYFUNCTION("IF($AC829="""","""",IF($AC829=IFERROR(MAX(FILTER($AC$6:$AC$1000,$C$6:$C$1000=$C829,$AB$6:$AB$1000=1)),),""WINNER"",""""))"),"")</f>
        <v/>
      </c>
      <c r="AF829" s="40" t="str">
        <f t="shared" si="5"/>
        <v/>
      </c>
      <c r="AG829" s="40" t="str">
        <f>IF($J829="","",COUNTIF(Assignments!$B:$B,$J829))</f>
        <v/>
      </c>
      <c r="AH829" s="40" t="str">
        <f>IF($J829="","",IF(AND($AG829=0,$N829&lt;$M829),Config!$B$43,0))</f>
        <v/>
      </c>
      <c r="AI829" s="40" t="str">
        <f>IF($J829="","",IF(AND($L829="Elite",$F829&gt;=Config!$B$41,$N829&lt;$M829),Config!$B$42,0))</f>
        <v/>
      </c>
      <c r="AJ829" s="22"/>
    </row>
    <row r="830" ht="15.75" customHeight="1">
      <c r="A830" s="40" t="str">
        <f t="shared" si="1"/>
        <v/>
      </c>
      <c r="B830" s="40" t="str">
        <f>IF(Bids!$A830="","",Bids!$A830)</f>
        <v/>
      </c>
      <c r="C830" s="40" t="str">
        <f>IF(Bids!$B830="","",Bids!$B830)</f>
        <v/>
      </c>
      <c r="D830" s="40" t="str">
        <f>IF($C830="","",IFERROR(VLOOKUP($C830,Orders!$A:$J,9,FALSE),""))</f>
        <v/>
      </c>
      <c r="E830" s="40" t="str">
        <f>IF($C830="","",IFERROR(VLOOKUP($C830,Orders!$A:$J,3,FALSE),""))</f>
        <v/>
      </c>
      <c r="F830" s="40" t="str">
        <f>IF($C830="","",IFERROR(VLOOKUP($C830,Orders!$A:$J,4,FALSE),""))</f>
        <v/>
      </c>
      <c r="G830" s="40" t="str">
        <f>IF($C830="","",IFERROR(VLOOKUP($C830,Orders!$A:$J,5,FALSE),""))</f>
        <v/>
      </c>
      <c r="H830" s="40" t="str">
        <f>IF($C830="","",IFERROR(VLOOKUP($C830,Orders!$A:$J,6,FALSE),""))</f>
        <v/>
      </c>
      <c r="I830" s="40" t="str">
        <f>IF($C830="","",IFERROR(VLOOKUP($C830,Orders!$A:$J,7,FALSE),""))</f>
        <v/>
      </c>
      <c r="J830" s="40" t="str">
        <f>IF(Bids!$C830="","",Bids!$C830)</f>
        <v/>
      </c>
      <c r="K830" s="40" t="str">
        <f>IF($J830="","",IFERROR(VLOOKUP($J830,Grinders!$A:$N,2,FALSE),""))</f>
        <v/>
      </c>
      <c r="L830" s="40" t="str">
        <f>IF($J830="","",IFERROR(VLOOKUP($J830,Grinders!$A:$N,3,FALSE),""))</f>
        <v/>
      </c>
      <c r="M830" s="40" t="str">
        <f>IF($J830="","",IFERROR(VLOOKUP($J830,Grinders!$A:$N,4,FALSE),""))</f>
        <v/>
      </c>
      <c r="N830" s="40" t="str">
        <f>IF($J830="","",IFERROR(VLOOKUP($J830,Grinders!$A:$N,5,FALSE),""))</f>
        <v/>
      </c>
      <c r="O830" s="40" t="str">
        <f t="shared" si="2"/>
        <v/>
      </c>
      <c r="P830" s="40" t="str">
        <f>IF($J830="","",IFERROR(VLOOKUP($J830,Grinders!$A:$N,6,FALSE),""))</f>
        <v/>
      </c>
      <c r="Q830" s="40" t="str">
        <f>IF($J830="","",IFERROR(VLOOKUP($J830,Grinders!$A:$N,8,FALSE),""))</f>
        <v/>
      </c>
      <c r="R830" s="40" t="str">
        <f>IFERROR(IF($J830="","",IF($L830="Elite",MAX(50,MIN(100,Config!$B$27*MAX(0,MIN(100,(1-IF($O830="",0,$O830))*100)) + Config!$B$28*MAX(0,MIN(100,(1-MIN(1,IF(Config!$B$30=0,1,$P830/Config!$B$30)))*100)) + Config!$B$29*MAX(0,MIN(100,MIN(1,IF($Q830="",0,$Q830)/Config!$B$23)*100)))),MIN(100,Config!$B$27*MAX(0,MIN(100,(1-IF($O830="",0,$O830))*100)) + Config!$B$28*MAX(0,MIN(100,(1-MIN(1,IF(Config!$B$30=0,1,$P830/Config!$B$30)))*100)) + Config!$B$29*MAX(0,MIN(100,MIN(1,IF($Q830="",0,$Q830)/Config!$B$23)*100))))),"")
</f>
        <v/>
      </c>
      <c r="S830" s="40" t="str">
        <f>IF(Bids!$D830="","",Bids!$D830)</f>
        <v/>
      </c>
      <c r="T830" s="40" t="str">
        <f>IF(Bids!$F830="","",Bids!$F830)</f>
        <v/>
      </c>
      <c r="U830" s="40" t="str">
        <f t="shared" si="3"/>
        <v/>
      </c>
      <c r="V830" s="40" t="str">
        <f>IF($U830="","",IF(Config!$B$17=Config!$B$16,IF($U830&gt;=Config!$B$17,100,0),MAX(0,MIN(100,($U830-Config!$B$16)/(Config!$B$17-Config!$B$16)*100))))</f>
        <v/>
      </c>
      <c r="W830" s="40">
        <f>IF($L830="Elite",Config!$B$21,0)</f>
        <v>0</v>
      </c>
      <c r="X830" s="40" t="str">
        <f>IFERROR(IF(OR($T830="",$G830=""),"",IF($T830&gt;$G830,
  MAX(0, 60-(($T830-$G830)*24/Config!$B$19)*60),
  MEDIAN(60, 100, 60+(($G830-$T830)*24/Config!$B$20)*40)
)),"")
</f>
        <v/>
      </c>
      <c r="Y830" s="40" t="str">
        <f>IF($J830="","",IFERROR(VLOOKUP($J830,Grinders!$A:$N,10,FALSE),""))</f>
        <v/>
      </c>
      <c r="Z830" s="40" t="str">
        <f>IF($J830="","",IFERROR(VLOOKUP($J830,Grinders!$A:$N,11,FALSE),""))</f>
        <v/>
      </c>
      <c r="AA830" s="40" t="str">
        <f>IF($J830="","",IFERROR(VLOOKUP($J830,Grinders!$A:$N,12,FALSE),""))</f>
        <v/>
      </c>
      <c r="AB830" s="40">
        <f>IFERROR(IF(OR($C830="",$J830=""),0,IF($D830&lt;&gt;"Open",0,IF(COUNTIFS(GrinderServices!$B:$B,$J830,GrinderServices!$C:$C,$E830,GrinderServices!$E:$E,"Y")=0,0,IF($U830&lt;Config!$B$16,0,IF(Config!$B$18=1,IF($N830&gt;=$M830,0,1),1))))),"")</f>
        <v>0</v>
      </c>
      <c r="AC830" s="40" t="str">
        <f>IFERROR(IF($AB830=0,"",((Config!$B$6*$V830 + Config!$B$7*$R830 + Config!$B$8*$W830 + Config!$B$9*$X830 + Config!$B$10*$Y830 + Config!$B$11*$Z830 - Config!$B$12*$AA830)/Config!$B$13)+$AH830+$AI830),"")</f>
        <v/>
      </c>
      <c r="AD830" s="40" t="str">
        <f t="shared" si="4"/>
        <v/>
      </c>
      <c r="AE830" s="40" t="str">
        <f>IFERROR(__xludf.DUMMYFUNCTION("IF($AC830="""","""",IF($AC830=IFERROR(MAX(FILTER($AC$6:$AC$1000,$C$6:$C$1000=$C830,$AB$6:$AB$1000=1)),),""WINNER"",""""))"),"")</f>
        <v/>
      </c>
      <c r="AF830" s="40" t="str">
        <f t="shared" si="5"/>
        <v/>
      </c>
      <c r="AG830" s="40" t="str">
        <f>IF($J830="","",COUNTIF(Assignments!$B:$B,$J830))</f>
        <v/>
      </c>
      <c r="AH830" s="40" t="str">
        <f>IF($J830="","",IF(AND($AG830=0,$N830&lt;$M830),Config!$B$43,0))</f>
        <v/>
      </c>
      <c r="AI830" s="40" t="str">
        <f>IF($J830="","",IF(AND($L830="Elite",$F830&gt;=Config!$B$41,$N830&lt;$M830),Config!$B$42,0))</f>
        <v/>
      </c>
      <c r="AJ830" s="22"/>
    </row>
    <row r="831" ht="15.75" customHeight="1">
      <c r="A831" s="40" t="str">
        <f t="shared" si="1"/>
        <v/>
      </c>
      <c r="B831" s="40" t="str">
        <f>IF(Bids!$A831="","",Bids!$A831)</f>
        <v/>
      </c>
      <c r="C831" s="40" t="str">
        <f>IF(Bids!$B831="","",Bids!$B831)</f>
        <v/>
      </c>
      <c r="D831" s="40" t="str">
        <f>IF($C831="","",IFERROR(VLOOKUP($C831,Orders!$A:$J,9,FALSE),""))</f>
        <v/>
      </c>
      <c r="E831" s="40" t="str">
        <f>IF($C831="","",IFERROR(VLOOKUP($C831,Orders!$A:$J,3,FALSE),""))</f>
        <v/>
      </c>
      <c r="F831" s="40" t="str">
        <f>IF($C831="","",IFERROR(VLOOKUP($C831,Orders!$A:$J,4,FALSE),""))</f>
        <v/>
      </c>
      <c r="G831" s="40" t="str">
        <f>IF($C831="","",IFERROR(VLOOKUP($C831,Orders!$A:$J,5,FALSE),""))</f>
        <v/>
      </c>
      <c r="H831" s="40" t="str">
        <f>IF($C831="","",IFERROR(VLOOKUP($C831,Orders!$A:$J,6,FALSE),""))</f>
        <v/>
      </c>
      <c r="I831" s="40" t="str">
        <f>IF($C831="","",IFERROR(VLOOKUP($C831,Orders!$A:$J,7,FALSE),""))</f>
        <v/>
      </c>
      <c r="J831" s="40" t="str">
        <f>IF(Bids!$C831="","",Bids!$C831)</f>
        <v/>
      </c>
      <c r="K831" s="40" t="str">
        <f>IF($J831="","",IFERROR(VLOOKUP($J831,Grinders!$A:$N,2,FALSE),""))</f>
        <v/>
      </c>
      <c r="L831" s="40" t="str">
        <f>IF($J831="","",IFERROR(VLOOKUP($J831,Grinders!$A:$N,3,FALSE),""))</f>
        <v/>
      </c>
      <c r="M831" s="40" t="str">
        <f>IF($J831="","",IFERROR(VLOOKUP($J831,Grinders!$A:$N,4,FALSE),""))</f>
        <v/>
      </c>
      <c r="N831" s="40" t="str">
        <f>IF($J831="","",IFERROR(VLOOKUP($J831,Grinders!$A:$N,5,FALSE),""))</f>
        <v/>
      </c>
      <c r="O831" s="40" t="str">
        <f t="shared" si="2"/>
        <v/>
      </c>
      <c r="P831" s="40" t="str">
        <f>IF($J831="","",IFERROR(VLOOKUP($J831,Grinders!$A:$N,6,FALSE),""))</f>
        <v/>
      </c>
      <c r="Q831" s="40" t="str">
        <f>IF($J831="","",IFERROR(VLOOKUP($J831,Grinders!$A:$N,8,FALSE),""))</f>
        <v/>
      </c>
      <c r="R831" s="40" t="str">
        <f>IFERROR(IF($J831="","",IF($L831="Elite",MAX(50,MIN(100,Config!$B$27*MAX(0,MIN(100,(1-IF($O831="",0,$O831))*100)) + Config!$B$28*MAX(0,MIN(100,(1-MIN(1,IF(Config!$B$30=0,1,$P831/Config!$B$30)))*100)) + Config!$B$29*MAX(0,MIN(100,MIN(1,IF($Q831="",0,$Q831)/Config!$B$23)*100)))),MIN(100,Config!$B$27*MAX(0,MIN(100,(1-IF($O831="",0,$O831))*100)) + Config!$B$28*MAX(0,MIN(100,(1-MIN(1,IF(Config!$B$30=0,1,$P831/Config!$B$30)))*100)) + Config!$B$29*MAX(0,MIN(100,MIN(1,IF($Q831="",0,$Q831)/Config!$B$23)*100))))),"")
</f>
        <v/>
      </c>
      <c r="S831" s="40" t="str">
        <f>IF(Bids!$D831="","",Bids!$D831)</f>
        <v/>
      </c>
      <c r="T831" s="40" t="str">
        <f>IF(Bids!$F831="","",Bids!$F831)</f>
        <v/>
      </c>
      <c r="U831" s="40" t="str">
        <f t="shared" si="3"/>
        <v/>
      </c>
      <c r="V831" s="40" t="str">
        <f>IF($U831="","",IF(Config!$B$17=Config!$B$16,IF($U831&gt;=Config!$B$17,100,0),MAX(0,MIN(100,($U831-Config!$B$16)/(Config!$B$17-Config!$B$16)*100))))</f>
        <v/>
      </c>
      <c r="W831" s="40">
        <f>IF($L831="Elite",Config!$B$21,0)</f>
        <v>0</v>
      </c>
      <c r="X831" s="40" t="str">
        <f>IFERROR(IF(OR($T831="",$G831=""),"",IF($T831&gt;$G831,
  MAX(0, 60-(($T831-$G831)*24/Config!$B$19)*60),
  MEDIAN(60, 100, 60+(($G831-$T831)*24/Config!$B$20)*40)
)),"")
</f>
        <v/>
      </c>
      <c r="Y831" s="40" t="str">
        <f>IF($J831="","",IFERROR(VLOOKUP($J831,Grinders!$A:$N,10,FALSE),""))</f>
        <v/>
      </c>
      <c r="Z831" s="40" t="str">
        <f>IF($J831="","",IFERROR(VLOOKUP($J831,Grinders!$A:$N,11,FALSE),""))</f>
        <v/>
      </c>
      <c r="AA831" s="40" t="str">
        <f>IF($J831="","",IFERROR(VLOOKUP($J831,Grinders!$A:$N,12,FALSE),""))</f>
        <v/>
      </c>
      <c r="AB831" s="40">
        <f>IFERROR(IF(OR($C831="",$J831=""),0,IF($D831&lt;&gt;"Open",0,IF(COUNTIFS(GrinderServices!$B:$B,$J831,GrinderServices!$C:$C,$E831,GrinderServices!$E:$E,"Y")=0,0,IF($U831&lt;Config!$B$16,0,IF(Config!$B$18=1,IF($N831&gt;=$M831,0,1),1))))),"")</f>
        <v>0</v>
      </c>
      <c r="AC831" s="40" t="str">
        <f>IFERROR(IF($AB831=0,"",((Config!$B$6*$V831 + Config!$B$7*$R831 + Config!$B$8*$W831 + Config!$B$9*$X831 + Config!$B$10*$Y831 + Config!$B$11*$Z831 - Config!$B$12*$AA831)/Config!$B$13)+$AH831+$AI831),"")</f>
        <v/>
      </c>
      <c r="AD831" s="40" t="str">
        <f t="shared" si="4"/>
        <v/>
      </c>
      <c r="AE831" s="40" t="str">
        <f>IFERROR(__xludf.DUMMYFUNCTION("IF($AC831="""","""",IF($AC831=IFERROR(MAX(FILTER($AC$6:$AC$1000,$C$6:$C$1000=$C831,$AB$6:$AB$1000=1)),),""WINNER"",""""))"),"")</f>
        <v/>
      </c>
      <c r="AF831" s="40" t="str">
        <f t="shared" si="5"/>
        <v/>
      </c>
      <c r="AG831" s="40" t="str">
        <f>IF($J831="","",COUNTIF(Assignments!$B:$B,$J831))</f>
        <v/>
      </c>
      <c r="AH831" s="40" t="str">
        <f>IF($J831="","",IF(AND($AG831=0,$N831&lt;$M831),Config!$B$43,0))</f>
        <v/>
      </c>
      <c r="AI831" s="40" t="str">
        <f>IF($J831="","",IF(AND($L831="Elite",$F831&gt;=Config!$B$41,$N831&lt;$M831),Config!$B$42,0))</f>
        <v/>
      </c>
      <c r="AJ831" s="22"/>
    </row>
    <row r="832" ht="15.75" customHeight="1">
      <c r="A832" s="40" t="str">
        <f t="shared" si="1"/>
        <v/>
      </c>
      <c r="B832" s="40" t="str">
        <f>IF(Bids!$A832="","",Bids!$A832)</f>
        <v/>
      </c>
      <c r="C832" s="40" t="str">
        <f>IF(Bids!$B832="","",Bids!$B832)</f>
        <v/>
      </c>
      <c r="D832" s="40" t="str">
        <f>IF($C832="","",IFERROR(VLOOKUP($C832,Orders!$A:$J,9,FALSE),""))</f>
        <v/>
      </c>
      <c r="E832" s="40" t="str">
        <f>IF($C832="","",IFERROR(VLOOKUP($C832,Orders!$A:$J,3,FALSE),""))</f>
        <v/>
      </c>
      <c r="F832" s="40" t="str">
        <f>IF($C832="","",IFERROR(VLOOKUP($C832,Orders!$A:$J,4,FALSE),""))</f>
        <v/>
      </c>
      <c r="G832" s="40" t="str">
        <f>IF($C832="","",IFERROR(VLOOKUP($C832,Orders!$A:$J,5,FALSE),""))</f>
        <v/>
      </c>
      <c r="H832" s="40" t="str">
        <f>IF($C832="","",IFERROR(VLOOKUP($C832,Orders!$A:$J,6,FALSE),""))</f>
        <v/>
      </c>
      <c r="I832" s="40" t="str">
        <f>IF($C832="","",IFERROR(VLOOKUP($C832,Orders!$A:$J,7,FALSE),""))</f>
        <v/>
      </c>
      <c r="J832" s="40" t="str">
        <f>IF(Bids!$C832="","",Bids!$C832)</f>
        <v/>
      </c>
      <c r="K832" s="40" t="str">
        <f>IF($J832="","",IFERROR(VLOOKUP($J832,Grinders!$A:$N,2,FALSE),""))</f>
        <v/>
      </c>
      <c r="L832" s="40" t="str">
        <f>IF($J832="","",IFERROR(VLOOKUP($J832,Grinders!$A:$N,3,FALSE),""))</f>
        <v/>
      </c>
      <c r="M832" s="40" t="str">
        <f>IF($J832="","",IFERROR(VLOOKUP($J832,Grinders!$A:$N,4,FALSE),""))</f>
        <v/>
      </c>
      <c r="N832" s="40" t="str">
        <f>IF($J832="","",IFERROR(VLOOKUP($J832,Grinders!$A:$N,5,FALSE),""))</f>
        <v/>
      </c>
      <c r="O832" s="40" t="str">
        <f t="shared" si="2"/>
        <v/>
      </c>
      <c r="P832" s="40" t="str">
        <f>IF($J832="","",IFERROR(VLOOKUP($J832,Grinders!$A:$N,6,FALSE),""))</f>
        <v/>
      </c>
      <c r="Q832" s="40" t="str">
        <f>IF($J832="","",IFERROR(VLOOKUP($J832,Grinders!$A:$N,8,FALSE),""))</f>
        <v/>
      </c>
      <c r="R832" s="40" t="str">
        <f>IFERROR(IF($J832="","",IF($L832="Elite",MAX(50,MIN(100,Config!$B$27*MAX(0,MIN(100,(1-IF($O832="",0,$O832))*100)) + Config!$B$28*MAX(0,MIN(100,(1-MIN(1,IF(Config!$B$30=0,1,$P832/Config!$B$30)))*100)) + Config!$B$29*MAX(0,MIN(100,MIN(1,IF($Q832="",0,$Q832)/Config!$B$23)*100)))),MIN(100,Config!$B$27*MAX(0,MIN(100,(1-IF($O832="",0,$O832))*100)) + Config!$B$28*MAX(0,MIN(100,(1-MIN(1,IF(Config!$B$30=0,1,$P832/Config!$B$30)))*100)) + Config!$B$29*MAX(0,MIN(100,MIN(1,IF($Q832="",0,$Q832)/Config!$B$23)*100))))),"")
</f>
        <v/>
      </c>
      <c r="S832" s="40" t="str">
        <f>IF(Bids!$D832="","",Bids!$D832)</f>
        <v/>
      </c>
      <c r="T832" s="40" t="str">
        <f>IF(Bids!$F832="","",Bids!$F832)</f>
        <v/>
      </c>
      <c r="U832" s="40" t="str">
        <f t="shared" si="3"/>
        <v/>
      </c>
      <c r="V832" s="40" t="str">
        <f>IF($U832="","",IF(Config!$B$17=Config!$B$16,IF($U832&gt;=Config!$B$17,100,0),MAX(0,MIN(100,($U832-Config!$B$16)/(Config!$B$17-Config!$B$16)*100))))</f>
        <v/>
      </c>
      <c r="W832" s="40">
        <f>IF($L832="Elite",Config!$B$21,0)</f>
        <v>0</v>
      </c>
      <c r="X832" s="40" t="str">
        <f>IFERROR(IF(OR($T832="",$G832=""),"",IF($T832&gt;$G832,
  MAX(0, 60-(($T832-$G832)*24/Config!$B$19)*60),
  MEDIAN(60, 100, 60+(($G832-$T832)*24/Config!$B$20)*40)
)),"")
</f>
        <v/>
      </c>
      <c r="Y832" s="40" t="str">
        <f>IF($J832="","",IFERROR(VLOOKUP($J832,Grinders!$A:$N,10,FALSE),""))</f>
        <v/>
      </c>
      <c r="Z832" s="40" t="str">
        <f>IF($J832="","",IFERROR(VLOOKUP($J832,Grinders!$A:$N,11,FALSE),""))</f>
        <v/>
      </c>
      <c r="AA832" s="40" t="str">
        <f>IF($J832="","",IFERROR(VLOOKUP($J832,Grinders!$A:$N,12,FALSE),""))</f>
        <v/>
      </c>
      <c r="AB832" s="40">
        <f>IFERROR(IF(OR($C832="",$J832=""),0,IF($D832&lt;&gt;"Open",0,IF(COUNTIFS(GrinderServices!$B:$B,$J832,GrinderServices!$C:$C,$E832,GrinderServices!$E:$E,"Y")=0,0,IF($U832&lt;Config!$B$16,0,IF(Config!$B$18=1,IF($N832&gt;=$M832,0,1),1))))),"")</f>
        <v>0</v>
      </c>
      <c r="AC832" s="40" t="str">
        <f>IFERROR(IF($AB832=0,"",((Config!$B$6*$V832 + Config!$B$7*$R832 + Config!$B$8*$W832 + Config!$B$9*$X832 + Config!$B$10*$Y832 + Config!$B$11*$Z832 - Config!$B$12*$AA832)/Config!$B$13)+$AH832+$AI832),"")</f>
        <v/>
      </c>
      <c r="AD832" s="40" t="str">
        <f t="shared" si="4"/>
        <v/>
      </c>
      <c r="AE832" s="40" t="str">
        <f>IFERROR(__xludf.DUMMYFUNCTION("IF($AC832="""","""",IF($AC832=IFERROR(MAX(FILTER($AC$6:$AC$1000,$C$6:$C$1000=$C832,$AB$6:$AB$1000=1)),),""WINNER"",""""))"),"")</f>
        <v/>
      </c>
      <c r="AF832" s="40" t="str">
        <f t="shared" si="5"/>
        <v/>
      </c>
      <c r="AG832" s="40" t="str">
        <f>IF($J832="","",COUNTIF(Assignments!$B:$B,$J832))</f>
        <v/>
      </c>
      <c r="AH832" s="40" t="str">
        <f>IF($J832="","",IF(AND($AG832=0,$N832&lt;$M832),Config!$B$43,0))</f>
        <v/>
      </c>
      <c r="AI832" s="40" t="str">
        <f>IF($J832="","",IF(AND($L832="Elite",$F832&gt;=Config!$B$41,$N832&lt;$M832),Config!$B$42,0))</f>
        <v/>
      </c>
      <c r="AJ832" s="22"/>
    </row>
    <row r="833" ht="15.75" customHeight="1">
      <c r="A833" s="40" t="str">
        <f t="shared" si="1"/>
        <v/>
      </c>
      <c r="B833" s="40" t="str">
        <f>IF(Bids!$A833="","",Bids!$A833)</f>
        <v/>
      </c>
      <c r="C833" s="40" t="str">
        <f>IF(Bids!$B833="","",Bids!$B833)</f>
        <v/>
      </c>
      <c r="D833" s="40" t="str">
        <f>IF($C833="","",IFERROR(VLOOKUP($C833,Orders!$A:$J,9,FALSE),""))</f>
        <v/>
      </c>
      <c r="E833" s="40" t="str">
        <f>IF($C833="","",IFERROR(VLOOKUP($C833,Orders!$A:$J,3,FALSE),""))</f>
        <v/>
      </c>
      <c r="F833" s="40" t="str">
        <f>IF($C833="","",IFERROR(VLOOKUP($C833,Orders!$A:$J,4,FALSE),""))</f>
        <v/>
      </c>
      <c r="G833" s="40" t="str">
        <f>IF($C833="","",IFERROR(VLOOKUP($C833,Orders!$A:$J,5,FALSE),""))</f>
        <v/>
      </c>
      <c r="H833" s="40" t="str">
        <f>IF($C833="","",IFERROR(VLOOKUP($C833,Orders!$A:$J,6,FALSE),""))</f>
        <v/>
      </c>
      <c r="I833" s="40" t="str">
        <f>IF($C833="","",IFERROR(VLOOKUP($C833,Orders!$A:$J,7,FALSE),""))</f>
        <v/>
      </c>
      <c r="J833" s="40" t="str">
        <f>IF(Bids!$C833="","",Bids!$C833)</f>
        <v/>
      </c>
      <c r="K833" s="40" t="str">
        <f>IF($J833="","",IFERROR(VLOOKUP($J833,Grinders!$A:$N,2,FALSE),""))</f>
        <v/>
      </c>
      <c r="L833" s="40" t="str">
        <f>IF($J833="","",IFERROR(VLOOKUP($J833,Grinders!$A:$N,3,FALSE),""))</f>
        <v/>
      </c>
      <c r="M833" s="40" t="str">
        <f>IF($J833="","",IFERROR(VLOOKUP($J833,Grinders!$A:$N,4,FALSE),""))</f>
        <v/>
      </c>
      <c r="N833" s="40" t="str">
        <f>IF($J833="","",IFERROR(VLOOKUP($J833,Grinders!$A:$N,5,FALSE),""))</f>
        <v/>
      </c>
      <c r="O833" s="40" t="str">
        <f t="shared" si="2"/>
        <v/>
      </c>
      <c r="P833" s="40" t="str">
        <f>IF($J833="","",IFERROR(VLOOKUP($J833,Grinders!$A:$N,6,FALSE),""))</f>
        <v/>
      </c>
      <c r="Q833" s="40" t="str">
        <f>IF($J833="","",IFERROR(VLOOKUP($J833,Grinders!$A:$N,8,FALSE),""))</f>
        <v/>
      </c>
      <c r="R833" s="40" t="str">
        <f>IFERROR(IF($J833="","",IF($L833="Elite",MAX(50,MIN(100,Config!$B$27*MAX(0,MIN(100,(1-IF($O833="",0,$O833))*100)) + Config!$B$28*MAX(0,MIN(100,(1-MIN(1,IF(Config!$B$30=0,1,$P833/Config!$B$30)))*100)) + Config!$B$29*MAX(0,MIN(100,MIN(1,IF($Q833="",0,$Q833)/Config!$B$23)*100)))),MIN(100,Config!$B$27*MAX(0,MIN(100,(1-IF($O833="",0,$O833))*100)) + Config!$B$28*MAX(0,MIN(100,(1-MIN(1,IF(Config!$B$30=0,1,$P833/Config!$B$30)))*100)) + Config!$B$29*MAX(0,MIN(100,MIN(1,IF($Q833="",0,$Q833)/Config!$B$23)*100))))),"")
</f>
        <v/>
      </c>
      <c r="S833" s="40" t="str">
        <f>IF(Bids!$D833="","",Bids!$D833)</f>
        <v/>
      </c>
      <c r="T833" s="40" t="str">
        <f>IF(Bids!$F833="","",Bids!$F833)</f>
        <v/>
      </c>
      <c r="U833" s="40" t="str">
        <f t="shared" si="3"/>
        <v/>
      </c>
      <c r="V833" s="40" t="str">
        <f>IF($U833="","",IF(Config!$B$17=Config!$B$16,IF($U833&gt;=Config!$B$17,100,0),MAX(0,MIN(100,($U833-Config!$B$16)/(Config!$B$17-Config!$B$16)*100))))</f>
        <v/>
      </c>
      <c r="W833" s="40">
        <f>IF($L833="Elite",Config!$B$21,0)</f>
        <v>0</v>
      </c>
      <c r="X833" s="40" t="str">
        <f>IFERROR(IF(OR($T833="",$G833=""),"",IF($T833&gt;$G833,
  MAX(0, 60-(($T833-$G833)*24/Config!$B$19)*60),
  MEDIAN(60, 100, 60+(($G833-$T833)*24/Config!$B$20)*40)
)),"")
</f>
        <v/>
      </c>
      <c r="Y833" s="40" t="str">
        <f>IF($J833="","",IFERROR(VLOOKUP($J833,Grinders!$A:$N,10,FALSE),""))</f>
        <v/>
      </c>
      <c r="Z833" s="40" t="str">
        <f>IF($J833="","",IFERROR(VLOOKUP($J833,Grinders!$A:$N,11,FALSE),""))</f>
        <v/>
      </c>
      <c r="AA833" s="40" t="str">
        <f>IF($J833="","",IFERROR(VLOOKUP($J833,Grinders!$A:$N,12,FALSE),""))</f>
        <v/>
      </c>
      <c r="AB833" s="40">
        <f>IFERROR(IF(OR($C833="",$J833=""),0,IF($D833&lt;&gt;"Open",0,IF(COUNTIFS(GrinderServices!$B:$B,$J833,GrinderServices!$C:$C,$E833,GrinderServices!$E:$E,"Y")=0,0,IF($U833&lt;Config!$B$16,0,IF(Config!$B$18=1,IF($N833&gt;=$M833,0,1),1))))),"")</f>
        <v>0</v>
      </c>
      <c r="AC833" s="40" t="str">
        <f>IFERROR(IF($AB833=0,"",((Config!$B$6*$V833 + Config!$B$7*$R833 + Config!$B$8*$W833 + Config!$B$9*$X833 + Config!$B$10*$Y833 + Config!$B$11*$Z833 - Config!$B$12*$AA833)/Config!$B$13)+$AH833+$AI833),"")</f>
        <v/>
      </c>
      <c r="AD833" s="40" t="str">
        <f t="shared" si="4"/>
        <v/>
      </c>
      <c r="AE833" s="40" t="str">
        <f>IFERROR(__xludf.DUMMYFUNCTION("IF($AC833="""","""",IF($AC833=IFERROR(MAX(FILTER($AC$6:$AC$1000,$C$6:$C$1000=$C833,$AB$6:$AB$1000=1)),),""WINNER"",""""))"),"")</f>
        <v/>
      </c>
      <c r="AF833" s="40" t="str">
        <f t="shared" si="5"/>
        <v/>
      </c>
      <c r="AG833" s="40" t="str">
        <f>IF($J833="","",COUNTIF(Assignments!$B:$B,$J833))</f>
        <v/>
      </c>
      <c r="AH833" s="40" t="str">
        <f>IF($J833="","",IF(AND($AG833=0,$N833&lt;$M833),Config!$B$43,0))</f>
        <v/>
      </c>
      <c r="AI833" s="40" t="str">
        <f>IF($J833="","",IF(AND($L833="Elite",$F833&gt;=Config!$B$41,$N833&lt;$M833),Config!$B$42,0))</f>
        <v/>
      </c>
      <c r="AJ833" s="22"/>
    </row>
    <row r="834" ht="15.75" customHeight="1">
      <c r="A834" s="40" t="str">
        <f t="shared" si="1"/>
        <v/>
      </c>
      <c r="B834" s="40" t="str">
        <f>IF(Bids!$A834="","",Bids!$A834)</f>
        <v/>
      </c>
      <c r="C834" s="40" t="str">
        <f>IF(Bids!$B834="","",Bids!$B834)</f>
        <v/>
      </c>
      <c r="D834" s="40" t="str">
        <f>IF($C834="","",IFERROR(VLOOKUP($C834,Orders!$A:$J,9,FALSE),""))</f>
        <v/>
      </c>
      <c r="E834" s="40" t="str">
        <f>IF($C834="","",IFERROR(VLOOKUP($C834,Orders!$A:$J,3,FALSE),""))</f>
        <v/>
      </c>
      <c r="F834" s="40" t="str">
        <f>IF($C834="","",IFERROR(VLOOKUP($C834,Orders!$A:$J,4,FALSE),""))</f>
        <v/>
      </c>
      <c r="G834" s="40" t="str">
        <f>IF($C834="","",IFERROR(VLOOKUP($C834,Orders!$A:$J,5,FALSE),""))</f>
        <v/>
      </c>
      <c r="H834" s="40" t="str">
        <f>IF($C834="","",IFERROR(VLOOKUP($C834,Orders!$A:$J,6,FALSE),""))</f>
        <v/>
      </c>
      <c r="I834" s="40" t="str">
        <f>IF($C834="","",IFERROR(VLOOKUP($C834,Orders!$A:$J,7,FALSE),""))</f>
        <v/>
      </c>
      <c r="J834" s="40" t="str">
        <f>IF(Bids!$C834="","",Bids!$C834)</f>
        <v/>
      </c>
      <c r="K834" s="40" t="str">
        <f>IF($J834="","",IFERROR(VLOOKUP($J834,Grinders!$A:$N,2,FALSE),""))</f>
        <v/>
      </c>
      <c r="L834" s="40" t="str">
        <f>IF($J834="","",IFERROR(VLOOKUP($J834,Grinders!$A:$N,3,FALSE),""))</f>
        <v/>
      </c>
      <c r="M834" s="40" t="str">
        <f>IF($J834="","",IFERROR(VLOOKUP($J834,Grinders!$A:$N,4,FALSE),""))</f>
        <v/>
      </c>
      <c r="N834" s="40" t="str">
        <f>IF($J834="","",IFERROR(VLOOKUP($J834,Grinders!$A:$N,5,FALSE),""))</f>
        <v/>
      </c>
      <c r="O834" s="40" t="str">
        <f t="shared" si="2"/>
        <v/>
      </c>
      <c r="P834" s="40" t="str">
        <f>IF($J834="","",IFERROR(VLOOKUP($J834,Grinders!$A:$N,6,FALSE),""))</f>
        <v/>
      </c>
      <c r="Q834" s="40" t="str">
        <f>IF($J834="","",IFERROR(VLOOKUP($J834,Grinders!$A:$N,8,FALSE),""))</f>
        <v/>
      </c>
      <c r="R834" s="40" t="str">
        <f>IFERROR(IF($J834="","",IF($L834="Elite",MAX(50,MIN(100,Config!$B$27*MAX(0,MIN(100,(1-IF($O834="",0,$O834))*100)) + Config!$B$28*MAX(0,MIN(100,(1-MIN(1,IF(Config!$B$30=0,1,$P834/Config!$B$30)))*100)) + Config!$B$29*MAX(0,MIN(100,MIN(1,IF($Q834="",0,$Q834)/Config!$B$23)*100)))),MIN(100,Config!$B$27*MAX(0,MIN(100,(1-IF($O834="",0,$O834))*100)) + Config!$B$28*MAX(0,MIN(100,(1-MIN(1,IF(Config!$B$30=0,1,$P834/Config!$B$30)))*100)) + Config!$B$29*MAX(0,MIN(100,MIN(1,IF($Q834="",0,$Q834)/Config!$B$23)*100))))),"")
</f>
        <v/>
      </c>
      <c r="S834" s="40" t="str">
        <f>IF(Bids!$D834="","",Bids!$D834)</f>
        <v/>
      </c>
      <c r="T834" s="40" t="str">
        <f>IF(Bids!$F834="","",Bids!$F834)</f>
        <v/>
      </c>
      <c r="U834" s="40" t="str">
        <f t="shared" si="3"/>
        <v/>
      </c>
      <c r="V834" s="40" t="str">
        <f>IF($U834="","",IF(Config!$B$17=Config!$B$16,IF($U834&gt;=Config!$B$17,100,0),MAX(0,MIN(100,($U834-Config!$B$16)/(Config!$B$17-Config!$B$16)*100))))</f>
        <v/>
      </c>
      <c r="W834" s="40">
        <f>IF($L834="Elite",Config!$B$21,0)</f>
        <v>0</v>
      </c>
      <c r="X834" s="40" t="str">
        <f>IFERROR(IF(OR($T834="",$G834=""),"",IF($T834&gt;$G834,
  MAX(0, 60-(($T834-$G834)*24/Config!$B$19)*60),
  MEDIAN(60, 100, 60+(($G834-$T834)*24/Config!$B$20)*40)
)),"")
</f>
        <v/>
      </c>
      <c r="Y834" s="40" t="str">
        <f>IF($J834="","",IFERROR(VLOOKUP($J834,Grinders!$A:$N,10,FALSE),""))</f>
        <v/>
      </c>
      <c r="Z834" s="40" t="str">
        <f>IF($J834="","",IFERROR(VLOOKUP($J834,Grinders!$A:$N,11,FALSE),""))</f>
        <v/>
      </c>
      <c r="AA834" s="40" t="str">
        <f>IF($J834="","",IFERROR(VLOOKUP($J834,Grinders!$A:$N,12,FALSE),""))</f>
        <v/>
      </c>
      <c r="AB834" s="40">
        <f>IFERROR(IF(OR($C834="",$J834=""),0,IF($D834&lt;&gt;"Open",0,IF(COUNTIFS(GrinderServices!$B:$B,$J834,GrinderServices!$C:$C,$E834,GrinderServices!$E:$E,"Y")=0,0,IF($U834&lt;Config!$B$16,0,IF(Config!$B$18=1,IF($N834&gt;=$M834,0,1),1))))),"")</f>
        <v>0</v>
      </c>
      <c r="AC834" s="40" t="str">
        <f>IFERROR(IF($AB834=0,"",((Config!$B$6*$V834 + Config!$B$7*$R834 + Config!$B$8*$W834 + Config!$B$9*$X834 + Config!$B$10*$Y834 + Config!$B$11*$Z834 - Config!$B$12*$AA834)/Config!$B$13)+$AH834+$AI834),"")</f>
        <v/>
      </c>
      <c r="AD834" s="40" t="str">
        <f t="shared" si="4"/>
        <v/>
      </c>
      <c r="AE834" s="40" t="str">
        <f>IFERROR(__xludf.DUMMYFUNCTION("IF($AC834="""","""",IF($AC834=IFERROR(MAX(FILTER($AC$6:$AC$1000,$C$6:$C$1000=$C834,$AB$6:$AB$1000=1)),),""WINNER"",""""))"),"")</f>
        <v/>
      </c>
      <c r="AF834" s="40" t="str">
        <f t="shared" si="5"/>
        <v/>
      </c>
      <c r="AG834" s="40" t="str">
        <f>IF($J834="","",COUNTIF(Assignments!$B:$B,$J834))</f>
        <v/>
      </c>
      <c r="AH834" s="40" t="str">
        <f>IF($J834="","",IF(AND($AG834=0,$N834&lt;$M834),Config!$B$43,0))</f>
        <v/>
      </c>
      <c r="AI834" s="40" t="str">
        <f>IF($J834="","",IF(AND($L834="Elite",$F834&gt;=Config!$B$41,$N834&lt;$M834),Config!$B$42,0))</f>
        <v/>
      </c>
      <c r="AJ834" s="22"/>
    </row>
    <row r="835" ht="15.75" customHeight="1">
      <c r="A835" s="40" t="str">
        <f t="shared" si="1"/>
        <v/>
      </c>
      <c r="B835" s="40" t="str">
        <f>IF(Bids!$A835="","",Bids!$A835)</f>
        <v/>
      </c>
      <c r="C835" s="40" t="str">
        <f>IF(Bids!$B835="","",Bids!$B835)</f>
        <v/>
      </c>
      <c r="D835" s="40" t="str">
        <f>IF($C835="","",IFERROR(VLOOKUP($C835,Orders!$A:$J,9,FALSE),""))</f>
        <v/>
      </c>
      <c r="E835" s="40" t="str">
        <f>IF($C835="","",IFERROR(VLOOKUP($C835,Orders!$A:$J,3,FALSE),""))</f>
        <v/>
      </c>
      <c r="F835" s="40" t="str">
        <f>IF($C835="","",IFERROR(VLOOKUP($C835,Orders!$A:$J,4,FALSE),""))</f>
        <v/>
      </c>
      <c r="G835" s="40" t="str">
        <f>IF($C835="","",IFERROR(VLOOKUP($C835,Orders!$A:$J,5,FALSE),""))</f>
        <v/>
      </c>
      <c r="H835" s="40" t="str">
        <f>IF($C835="","",IFERROR(VLOOKUP($C835,Orders!$A:$J,6,FALSE),""))</f>
        <v/>
      </c>
      <c r="I835" s="40" t="str">
        <f>IF($C835="","",IFERROR(VLOOKUP($C835,Orders!$A:$J,7,FALSE),""))</f>
        <v/>
      </c>
      <c r="J835" s="40" t="str">
        <f>IF(Bids!$C835="","",Bids!$C835)</f>
        <v/>
      </c>
      <c r="K835" s="40" t="str">
        <f>IF($J835="","",IFERROR(VLOOKUP($J835,Grinders!$A:$N,2,FALSE),""))</f>
        <v/>
      </c>
      <c r="L835" s="40" t="str">
        <f>IF($J835="","",IFERROR(VLOOKUP($J835,Grinders!$A:$N,3,FALSE),""))</f>
        <v/>
      </c>
      <c r="M835" s="40" t="str">
        <f>IF($J835="","",IFERROR(VLOOKUP($J835,Grinders!$A:$N,4,FALSE),""))</f>
        <v/>
      </c>
      <c r="N835" s="40" t="str">
        <f>IF($J835="","",IFERROR(VLOOKUP($J835,Grinders!$A:$N,5,FALSE),""))</f>
        <v/>
      </c>
      <c r="O835" s="40" t="str">
        <f t="shared" si="2"/>
        <v/>
      </c>
      <c r="P835" s="40" t="str">
        <f>IF($J835="","",IFERROR(VLOOKUP($J835,Grinders!$A:$N,6,FALSE),""))</f>
        <v/>
      </c>
      <c r="Q835" s="40" t="str">
        <f>IF($J835="","",IFERROR(VLOOKUP($J835,Grinders!$A:$N,8,FALSE),""))</f>
        <v/>
      </c>
      <c r="R835" s="40" t="str">
        <f>IFERROR(IF($J835="","",IF($L835="Elite",MAX(50,MIN(100,Config!$B$27*MAX(0,MIN(100,(1-IF($O835="",0,$O835))*100)) + Config!$B$28*MAX(0,MIN(100,(1-MIN(1,IF(Config!$B$30=0,1,$P835/Config!$B$30)))*100)) + Config!$B$29*MAX(0,MIN(100,MIN(1,IF($Q835="",0,$Q835)/Config!$B$23)*100)))),MIN(100,Config!$B$27*MAX(0,MIN(100,(1-IF($O835="",0,$O835))*100)) + Config!$B$28*MAX(0,MIN(100,(1-MIN(1,IF(Config!$B$30=0,1,$P835/Config!$B$30)))*100)) + Config!$B$29*MAX(0,MIN(100,MIN(1,IF($Q835="",0,$Q835)/Config!$B$23)*100))))),"")
</f>
        <v/>
      </c>
      <c r="S835" s="40" t="str">
        <f>IF(Bids!$D835="","",Bids!$D835)</f>
        <v/>
      </c>
      <c r="T835" s="40" t="str">
        <f>IF(Bids!$F835="","",Bids!$F835)</f>
        <v/>
      </c>
      <c r="U835" s="40" t="str">
        <f t="shared" si="3"/>
        <v/>
      </c>
      <c r="V835" s="40" t="str">
        <f>IF($U835="","",IF(Config!$B$17=Config!$B$16,IF($U835&gt;=Config!$B$17,100,0),MAX(0,MIN(100,($U835-Config!$B$16)/(Config!$B$17-Config!$B$16)*100))))</f>
        <v/>
      </c>
      <c r="W835" s="40">
        <f>IF($L835="Elite",Config!$B$21,0)</f>
        <v>0</v>
      </c>
      <c r="X835" s="40" t="str">
        <f>IFERROR(IF(OR($T835="",$G835=""),"",IF($T835&gt;$G835,
  MAX(0, 60-(($T835-$G835)*24/Config!$B$19)*60),
  MEDIAN(60, 100, 60+(($G835-$T835)*24/Config!$B$20)*40)
)),"")
</f>
        <v/>
      </c>
      <c r="Y835" s="40" t="str">
        <f>IF($J835="","",IFERROR(VLOOKUP($J835,Grinders!$A:$N,10,FALSE),""))</f>
        <v/>
      </c>
      <c r="Z835" s="40" t="str">
        <f>IF($J835="","",IFERROR(VLOOKUP($J835,Grinders!$A:$N,11,FALSE),""))</f>
        <v/>
      </c>
      <c r="AA835" s="40" t="str">
        <f>IF($J835="","",IFERROR(VLOOKUP($J835,Grinders!$A:$N,12,FALSE),""))</f>
        <v/>
      </c>
      <c r="AB835" s="40">
        <f>IFERROR(IF(OR($C835="",$J835=""),0,IF($D835&lt;&gt;"Open",0,IF(COUNTIFS(GrinderServices!$B:$B,$J835,GrinderServices!$C:$C,$E835,GrinderServices!$E:$E,"Y")=0,0,IF($U835&lt;Config!$B$16,0,IF(Config!$B$18=1,IF($N835&gt;=$M835,0,1),1))))),"")</f>
        <v>0</v>
      </c>
      <c r="AC835" s="40" t="str">
        <f>IFERROR(IF($AB835=0,"",((Config!$B$6*$V835 + Config!$B$7*$R835 + Config!$B$8*$W835 + Config!$B$9*$X835 + Config!$B$10*$Y835 + Config!$B$11*$Z835 - Config!$B$12*$AA835)/Config!$B$13)+$AH835+$AI835),"")</f>
        <v/>
      </c>
      <c r="AD835" s="40" t="str">
        <f t="shared" si="4"/>
        <v/>
      </c>
      <c r="AE835" s="40" t="str">
        <f>IFERROR(__xludf.DUMMYFUNCTION("IF($AC835="""","""",IF($AC835=IFERROR(MAX(FILTER($AC$6:$AC$1000,$C$6:$C$1000=$C835,$AB$6:$AB$1000=1)),),""WINNER"",""""))"),"")</f>
        <v/>
      </c>
      <c r="AF835" s="40" t="str">
        <f t="shared" si="5"/>
        <v/>
      </c>
      <c r="AG835" s="40" t="str">
        <f>IF($J835="","",COUNTIF(Assignments!$B:$B,$J835))</f>
        <v/>
      </c>
      <c r="AH835" s="40" t="str">
        <f>IF($J835="","",IF(AND($AG835=0,$N835&lt;$M835),Config!$B$43,0))</f>
        <v/>
      </c>
      <c r="AI835" s="40" t="str">
        <f>IF($J835="","",IF(AND($L835="Elite",$F835&gt;=Config!$B$41,$N835&lt;$M835),Config!$B$42,0))</f>
        <v/>
      </c>
      <c r="AJ835" s="22"/>
    </row>
    <row r="836" ht="15.75" customHeight="1">
      <c r="A836" s="40" t="str">
        <f t="shared" si="1"/>
        <v/>
      </c>
      <c r="B836" s="40" t="str">
        <f>IF(Bids!$A836="","",Bids!$A836)</f>
        <v/>
      </c>
      <c r="C836" s="40" t="str">
        <f>IF(Bids!$B836="","",Bids!$B836)</f>
        <v/>
      </c>
      <c r="D836" s="40" t="str">
        <f>IF($C836="","",IFERROR(VLOOKUP($C836,Orders!$A:$J,9,FALSE),""))</f>
        <v/>
      </c>
      <c r="E836" s="40" t="str">
        <f>IF($C836="","",IFERROR(VLOOKUP($C836,Orders!$A:$J,3,FALSE),""))</f>
        <v/>
      </c>
      <c r="F836" s="40" t="str">
        <f>IF($C836="","",IFERROR(VLOOKUP($C836,Orders!$A:$J,4,FALSE),""))</f>
        <v/>
      </c>
      <c r="G836" s="40" t="str">
        <f>IF($C836="","",IFERROR(VLOOKUP($C836,Orders!$A:$J,5,FALSE),""))</f>
        <v/>
      </c>
      <c r="H836" s="40" t="str">
        <f>IF($C836="","",IFERROR(VLOOKUP($C836,Orders!$A:$J,6,FALSE),""))</f>
        <v/>
      </c>
      <c r="I836" s="40" t="str">
        <f>IF($C836="","",IFERROR(VLOOKUP($C836,Orders!$A:$J,7,FALSE),""))</f>
        <v/>
      </c>
      <c r="J836" s="40" t="str">
        <f>IF(Bids!$C836="","",Bids!$C836)</f>
        <v/>
      </c>
      <c r="K836" s="40" t="str">
        <f>IF($J836="","",IFERROR(VLOOKUP($J836,Grinders!$A:$N,2,FALSE),""))</f>
        <v/>
      </c>
      <c r="L836" s="40" t="str">
        <f>IF($J836="","",IFERROR(VLOOKUP($J836,Grinders!$A:$N,3,FALSE),""))</f>
        <v/>
      </c>
      <c r="M836" s="40" t="str">
        <f>IF($J836="","",IFERROR(VLOOKUP($J836,Grinders!$A:$N,4,FALSE),""))</f>
        <v/>
      </c>
      <c r="N836" s="40" t="str">
        <f>IF($J836="","",IFERROR(VLOOKUP($J836,Grinders!$A:$N,5,FALSE),""))</f>
        <v/>
      </c>
      <c r="O836" s="40" t="str">
        <f t="shared" si="2"/>
        <v/>
      </c>
      <c r="P836" s="40" t="str">
        <f>IF($J836="","",IFERROR(VLOOKUP($J836,Grinders!$A:$N,6,FALSE),""))</f>
        <v/>
      </c>
      <c r="Q836" s="40" t="str">
        <f>IF($J836="","",IFERROR(VLOOKUP($J836,Grinders!$A:$N,8,FALSE),""))</f>
        <v/>
      </c>
      <c r="R836" s="40" t="str">
        <f>IFERROR(IF($J836="","",IF($L836="Elite",MAX(50,MIN(100,Config!$B$27*MAX(0,MIN(100,(1-IF($O836="",0,$O836))*100)) + Config!$B$28*MAX(0,MIN(100,(1-MIN(1,IF(Config!$B$30=0,1,$P836/Config!$B$30)))*100)) + Config!$B$29*MAX(0,MIN(100,MIN(1,IF($Q836="",0,$Q836)/Config!$B$23)*100)))),MIN(100,Config!$B$27*MAX(0,MIN(100,(1-IF($O836="",0,$O836))*100)) + Config!$B$28*MAX(0,MIN(100,(1-MIN(1,IF(Config!$B$30=0,1,$P836/Config!$B$30)))*100)) + Config!$B$29*MAX(0,MIN(100,MIN(1,IF($Q836="",0,$Q836)/Config!$B$23)*100))))),"")
</f>
        <v/>
      </c>
      <c r="S836" s="40" t="str">
        <f>IF(Bids!$D836="","",Bids!$D836)</f>
        <v/>
      </c>
      <c r="T836" s="40" t="str">
        <f>IF(Bids!$F836="","",Bids!$F836)</f>
        <v/>
      </c>
      <c r="U836" s="40" t="str">
        <f t="shared" si="3"/>
        <v/>
      </c>
      <c r="V836" s="40" t="str">
        <f>IF($U836="","",IF(Config!$B$17=Config!$B$16,IF($U836&gt;=Config!$B$17,100,0),MAX(0,MIN(100,($U836-Config!$B$16)/(Config!$B$17-Config!$B$16)*100))))</f>
        <v/>
      </c>
      <c r="W836" s="40">
        <f>IF($L836="Elite",Config!$B$21,0)</f>
        <v>0</v>
      </c>
      <c r="X836" s="40" t="str">
        <f>IFERROR(IF(OR($T836="",$G836=""),"",IF($T836&gt;$G836,
  MAX(0, 60-(($T836-$G836)*24/Config!$B$19)*60),
  MEDIAN(60, 100, 60+(($G836-$T836)*24/Config!$B$20)*40)
)),"")
</f>
        <v/>
      </c>
      <c r="Y836" s="40" t="str">
        <f>IF($J836="","",IFERROR(VLOOKUP($J836,Grinders!$A:$N,10,FALSE),""))</f>
        <v/>
      </c>
      <c r="Z836" s="40" t="str">
        <f>IF($J836="","",IFERROR(VLOOKUP($J836,Grinders!$A:$N,11,FALSE),""))</f>
        <v/>
      </c>
      <c r="AA836" s="40" t="str">
        <f>IF($J836="","",IFERROR(VLOOKUP($J836,Grinders!$A:$N,12,FALSE),""))</f>
        <v/>
      </c>
      <c r="AB836" s="40">
        <f>IFERROR(IF(OR($C836="",$J836=""),0,IF($D836&lt;&gt;"Open",0,IF(COUNTIFS(GrinderServices!$B:$B,$J836,GrinderServices!$C:$C,$E836,GrinderServices!$E:$E,"Y")=0,0,IF($U836&lt;Config!$B$16,0,IF(Config!$B$18=1,IF($N836&gt;=$M836,0,1),1))))),"")</f>
        <v>0</v>
      </c>
      <c r="AC836" s="40" t="str">
        <f>IFERROR(IF($AB836=0,"",((Config!$B$6*$V836 + Config!$B$7*$R836 + Config!$B$8*$W836 + Config!$B$9*$X836 + Config!$B$10*$Y836 + Config!$B$11*$Z836 - Config!$B$12*$AA836)/Config!$B$13)+$AH836+$AI836),"")</f>
        <v/>
      </c>
      <c r="AD836" s="40" t="str">
        <f t="shared" si="4"/>
        <v/>
      </c>
      <c r="AE836" s="40" t="str">
        <f>IFERROR(__xludf.DUMMYFUNCTION("IF($AC836="""","""",IF($AC836=IFERROR(MAX(FILTER($AC$6:$AC$1000,$C$6:$C$1000=$C836,$AB$6:$AB$1000=1)),),""WINNER"",""""))"),"")</f>
        <v/>
      </c>
      <c r="AF836" s="40" t="str">
        <f t="shared" si="5"/>
        <v/>
      </c>
      <c r="AG836" s="40" t="str">
        <f>IF($J836="","",COUNTIF(Assignments!$B:$B,$J836))</f>
        <v/>
      </c>
      <c r="AH836" s="40" t="str">
        <f>IF($J836="","",IF(AND($AG836=0,$N836&lt;$M836),Config!$B$43,0))</f>
        <v/>
      </c>
      <c r="AI836" s="40" t="str">
        <f>IF($J836="","",IF(AND($L836="Elite",$F836&gt;=Config!$B$41,$N836&lt;$M836),Config!$B$42,0))</f>
        <v/>
      </c>
      <c r="AJ836" s="22"/>
    </row>
    <row r="837" ht="15.75" customHeight="1">
      <c r="A837" s="40" t="str">
        <f t="shared" si="1"/>
        <v/>
      </c>
      <c r="B837" s="40" t="str">
        <f>IF(Bids!$A837="","",Bids!$A837)</f>
        <v/>
      </c>
      <c r="C837" s="40" t="str">
        <f>IF(Bids!$B837="","",Bids!$B837)</f>
        <v/>
      </c>
      <c r="D837" s="40" t="str">
        <f>IF($C837="","",IFERROR(VLOOKUP($C837,Orders!$A:$J,9,FALSE),""))</f>
        <v/>
      </c>
      <c r="E837" s="40" t="str">
        <f>IF($C837="","",IFERROR(VLOOKUP($C837,Orders!$A:$J,3,FALSE),""))</f>
        <v/>
      </c>
      <c r="F837" s="40" t="str">
        <f>IF($C837="","",IFERROR(VLOOKUP($C837,Orders!$A:$J,4,FALSE),""))</f>
        <v/>
      </c>
      <c r="G837" s="40" t="str">
        <f>IF($C837="","",IFERROR(VLOOKUP($C837,Orders!$A:$J,5,FALSE),""))</f>
        <v/>
      </c>
      <c r="H837" s="40" t="str">
        <f>IF($C837="","",IFERROR(VLOOKUP($C837,Orders!$A:$J,6,FALSE),""))</f>
        <v/>
      </c>
      <c r="I837" s="40" t="str">
        <f>IF($C837="","",IFERROR(VLOOKUP($C837,Orders!$A:$J,7,FALSE),""))</f>
        <v/>
      </c>
      <c r="J837" s="40" t="str">
        <f>IF(Bids!$C837="","",Bids!$C837)</f>
        <v/>
      </c>
      <c r="K837" s="40" t="str">
        <f>IF($J837="","",IFERROR(VLOOKUP($J837,Grinders!$A:$N,2,FALSE),""))</f>
        <v/>
      </c>
      <c r="L837" s="40" t="str">
        <f>IF($J837="","",IFERROR(VLOOKUP($J837,Grinders!$A:$N,3,FALSE),""))</f>
        <v/>
      </c>
      <c r="M837" s="40" t="str">
        <f>IF($J837="","",IFERROR(VLOOKUP($J837,Grinders!$A:$N,4,FALSE),""))</f>
        <v/>
      </c>
      <c r="N837" s="40" t="str">
        <f>IF($J837="","",IFERROR(VLOOKUP($J837,Grinders!$A:$N,5,FALSE),""))</f>
        <v/>
      </c>
      <c r="O837" s="40" t="str">
        <f t="shared" si="2"/>
        <v/>
      </c>
      <c r="P837" s="40" t="str">
        <f>IF($J837="","",IFERROR(VLOOKUP($J837,Grinders!$A:$N,6,FALSE),""))</f>
        <v/>
      </c>
      <c r="Q837" s="40" t="str">
        <f>IF($J837="","",IFERROR(VLOOKUP($J837,Grinders!$A:$N,8,FALSE),""))</f>
        <v/>
      </c>
      <c r="R837" s="40" t="str">
        <f>IFERROR(IF($J837="","",IF($L837="Elite",MAX(50,MIN(100,Config!$B$27*MAX(0,MIN(100,(1-IF($O837="",0,$O837))*100)) + Config!$B$28*MAX(0,MIN(100,(1-MIN(1,IF(Config!$B$30=0,1,$P837/Config!$B$30)))*100)) + Config!$B$29*MAX(0,MIN(100,MIN(1,IF($Q837="",0,$Q837)/Config!$B$23)*100)))),MIN(100,Config!$B$27*MAX(0,MIN(100,(1-IF($O837="",0,$O837))*100)) + Config!$B$28*MAX(0,MIN(100,(1-MIN(1,IF(Config!$B$30=0,1,$P837/Config!$B$30)))*100)) + Config!$B$29*MAX(0,MIN(100,MIN(1,IF($Q837="",0,$Q837)/Config!$B$23)*100))))),"")
</f>
        <v/>
      </c>
      <c r="S837" s="40" t="str">
        <f>IF(Bids!$D837="","",Bids!$D837)</f>
        <v/>
      </c>
      <c r="T837" s="40" t="str">
        <f>IF(Bids!$F837="","",Bids!$F837)</f>
        <v/>
      </c>
      <c r="U837" s="40" t="str">
        <f t="shared" si="3"/>
        <v/>
      </c>
      <c r="V837" s="40" t="str">
        <f>IF($U837="","",IF(Config!$B$17=Config!$B$16,IF($U837&gt;=Config!$B$17,100,0),MAX(0,MIN(100,($U837-Config!$B$16)/(Config!$B$17-Config!$B$16)*100))))</f>
        <v/>
      </c>
      <c r="W837" s="40">
        <f>IF($L837="Elite",Config!$B$21,0)</f>
        <v>0</v>
      </c>
      <c r="X837" s="40" t="str">
        <f>IFERROR(IF(OR($T837="",$G837=""),"",IF($T837&gt;$G837,
  MAX(0, 60-(($T837-$G837)*24/Config!$B$19)*60),
  MEDIAN(60, 100, 60+(($G837-$T837)*24/Config!$B$20)*40)
)),"")
</f>
        <v/>
      </c>
      <c r="Y837" s="40" t="str">
        <f>IF($J837="","",IFERROR(VLOOKUP($J837,Grinders!$A:$N,10,FALSE),""))</f>
        <v/>
      </c>
      <c r="Z837" s="40" t="str">
        <f>IF($J837="","",IFERROR(VLOOKUP($J837,Grinders!$A:$N,11,FALSE),""))</f>
        <v/>
      </c>
      <c r="AA837" s="40" t="str">
        <f>IF($J837="","",IFERROR(VLOOKUP($J837,Grinders!$A:$N,12,FALSE),""))</f>
        <v/>
      </c>
      <c r="AB837" s="40">
        <f>IFERROR(IF(OR($C837="",$J837=""),0,IF($D837&lt;&gt;"Open",0,IF(COUNTIFS(GrinderServices!$B:$B,$J837,GrinderServices!$C:$C,$E837,GrinderServices!$E:$E,"Y")=0,0,IF($U837&lt;Config!$B$16,0,IF(Config!$B$18=1,IF($N837&gt;=$M837,0,1),1))))),"")</f>
        <v>0</v>
      </c>
      <c r="AC837" s="40" t="str">
        <f>IFERROR(IF($AB837=0,"",((Config!$B$6*$V837 + Config!$B$7*$R837 + Config!$B$8*$W837 + Config!$B$9*$X837 + Config!$B$10*$Y837 + Config!$B$11*$Z837 - Config!$B$12*$AA837)/Config!$B$13)+$AH837+$AI837),"")</f>
        <v/>
      </c>
      <c r="AD837" s="40" t="str">
        <f t="shared" si="4"/>
        <v/>
      </c>
      <c r="AE837" s="40" t="str">
        <f>IFERROR(__xludf.DUMMYFUNCTION("IF($AC837="""","""",IF($AC837=IFERROR(MAX(FILTER($AC$6:$AC$1000,$C$6:$C$1000=$C837,$AB$6:$AB$1000=1)),),""WINNER"",""""))"),"")</f>
        <v/>
      </c>
      <c r="AF837" s="40" t="str">
        <f t="shared" si="5"/>
        <v/>
      </c>
      <c r="AG837" s="40" t="str">
        <f>IF($J837="","",COUNTIF(Assignments!$B:$B,$J837))</f>
        <v/>
      </c>
      <c r="AH837" s="40" t="str">
        <f>IF($J837="","",IF(AND($AG837=0,$N837&lt;$M837),Config!$B$43,0))</f>
        <v/>
      </c>
      <c r="AI837" s="40" t="str">
        <f>IF($J837="","",IF(AND($L837="Elite",$F837&gt;=Config!$B$41,$N837&lt;$M837),Config!$B$42,0))</f>
        <v/>
      </c>
      <c r="AJ837" s="22"/>
    </row>
    <row r="838" ht="15.75" customHeight="1">
      <c r="A838" s="40" t="str">
        <f t="shared" si="1"/>
        <v/>
      </c>
      <c r="B838" s="40" t="str">
        <f>IF(Bids!$A838="","",Bids!$A838)</f>
        <v/>
      </c>
      <c r="C838" s="40" t="str">
        <f>IF(Bids!$B838="","",Bids!$B838)</f>
        <v/>
      </c>
      <c r="D838" s="40" t="str">
        <f>IF($C838="","",IFERROR(VLOOKUP($C838,Orders!$A:$J,9,FALSE),""))</f>
        <v/>
      </c>
      <c r="E838" s="40" t="str">
        <f>IF($C838="","",IFERROR(VLOOKUP($C838,Orders!$A:$J,3,FALSE),""))</f>
        <v/>
      </c>
      <c r="F838" s="40" t="str">
        <f>IF($C838="","",IFERROR(VLOOKUP($C838,Orders!$A:$J,4,FALSE),""))</f>
        <v/>
      </c>
      <c r="G838" s="40" t="str">
        <f>IF($C838="","",IFERROR(VLOOKUP($C838,Orders!$A:$J,5,FALSE),""))</f>
        <v/>
      </c>
      <c r="H838" s="40" t="str">
        <f>IF($C838="","",IFERROR(VLOOKUP($C838,Orders!$A:$J,6,FALSE),""))</f>
        <v/>
      </c>
      <c r="I838" s="40" t="str">
        <f>IF($C838="","",IFERROR(VLOOKUP($C838,Orders!$A:$J,7,FALSE),""))</f>
        <v/>
      </c>
      <c r="J838" s="40" t="str">
        <f>IF(Bids!$C838="","",Bids!$C838)</f>
        <v/>
      </c>
      <c r="K838" s="40" t="str">
        <f>IF($J838="","",IFERROR(VLOOKUP($J838,Grinders!$A:$N,2,FALSE),""))</f>
        <v/>
      </c>
      <c r="L838" s="40" t="str">
        <f>IF($J838="","",IFERROR(VLOOKUP($J838,Grinders!$A:$N,3,FALSE),""))</f>
        <v/>
      </c>
      <c r="M838" s="40" t="str">
        <f>IF($J838="","",IFERROR(VLOOKUP($J838,Grinders!$A:$N,4,FALSE),""))</f>
        <v/>
      </c>
      <c r="N838" s="40" t="str">
        <f>IF($J838="","",IFERROR(VLOOKUP($J838,Grinders!$A:$N,5,FALSE),""))</f>
        <v/>
      </c>
      <c r="O838" s="40" t="str">
        <f t="shared" si="2"/>
        <v/>
      </c>
      <c r="P838" s="40" t="str">
        <f>IF($J838="","",IFERROR(VLOOKUP($J838,Grinders!$A:$N,6,FALSE),""))</f>
        <v/>
      </c>
      <c r="Q838" s="40" t="str">
        <f>IF($J838="","",IFERROR(VLOOKUP($J838,Grinders!$A:$N,8,FALSE),""))</f>
        <v/>
      </c>
      <c r="R838" s="40" t="str">
        <f>IFERROR(IF($J838="","",IF($L838="Elite",MAX(50,MIN(100,Config!$B$27*MAX(0,MIN(100,(1-IF($O838="",0,$O838))*100)) + Config!$B$28*MAX(0,MIN(100,(1-MIN(1,IF(Config!$B$30=0,1,$P838/Config!$B$30)))*100)) + Config!$B$29*MAX(0,MIN(100,MIN(1,IF($Q838="",0,$Q838)/Config!$B$23)*100)))),MIN(100,Config!$B$27*MAX(0,MIN(100,(1-IF($O838="",0,$O838))*100)) + Config!$B$28*MAX(0,MIN(100,(1-MIN(1,IF(Config!$B$30=0,1,$P838/Config!$B$30)))*100)) + Config!$B$29*MAX(0,MIN(100,MIN(1,IF($Q838="",0,$Q838)/Config!$B$23)*100))))),"")
</f>
        <v/>
      </c>
      <c r="S838" s="40" t="str">
        <f>IF(Bids!$D838="","",Bids!$D838)</f>
        <v/>
      </c>
      <c r="T838" s="40" t="str">
        <f>IF(Bids!$F838="","",Bids!$F838)</f>
        <v/>
      </c>
      <c r="U838" s="40" t="str">
        <f t="shared" si="3"/>
        <v/>
      </c>
      <c r="V838" s="40" t="str">
        <f>IF($U838="","",IF(Config!$B$17=Config!$B$16,IF($U838&gt;=Config!$B$17,100,0),MAX(0,MIN(100,($U838-Config!$B$16)/(Config!$B$17-Config!$B$16)*100))))</f>
        <v/>
      </c>
      <c r="W838" s="40">
        <f>IF($L838="Elite",Config!$B$21,0)</f>
        <v>0</v>
      </c>
      <c r="X838" s="40" t="str">
        <f>IFERROR(IF(OR($T838="",$G838=""),"",IF($T838&gt;$G838,
  MAX(0, 60-(($T838-$G838)*24/Config!$B$19)*60),
  MEDIAN(60, 100, 60+(($G838-$T838)*24/Config!$B$20)*40)
)),"")
</f>
        <v/>
      </c>
      <c r="Y838" s="40" t="str">
        <f>IF($J838="","",IFERROR(VLOOKUP($J838,Grinders!$A:$N,10,FALSE),""))</f>
        <v/>
      </c>
      <c r="Z838" s="40" t="str">
        <f>IF($J838="","",IFERROR(VLOOKUP($J838,Grinders!$A:$N,11,FALSE),""))</f>
        <v/>
      </c>
      <c r="AA838" s="40" t="str">
        <f>IF($J838="","",IFERROR(VLOOKUP($J838,Grinders!$A:$N,12,FALSE),""))</f>
        <v/>
      </c>
      <c r="AB838" s="40">
        <f>IFERROR(IF(OR($C838="",$J838=""),0,IF($D838&lt;&gt;"Open",0,IF(COUNTIFS(GrinderServices!$B:$B,$J838,GrinderServices!$C:$C,$E838,GrinderServices!$E:$E,"Y")=0,0,IF($U838&lt;Config!$B$16,0,IF(Config!$B$18=1,IF($N838&gt;=$M838,0,1),1))))),"")</f>
        <v>0</v>
      </c>
      <c r="AC838" s="40" t="str">
        <f>IFERROR(IF($AB838=0,"",((Config!$B$6*$V838 + Config!$B$7*$R838 + Config!$B$8*$W838 + Config!$B$9*$X838 + Config!$B$10*$Y838 + Config!$B$11*$Z838 - Config!$B$12*$AA838)/Config!$B$13)+$AH838+$AI838),"")</f>
        <v/>
      </c>
      <c r="AD838" s="40" t="str">
        <f t="shared" si="4"/>
        <v/>
      </c>
      <c r="AE838" s="40" t="str">
        <f>IFERROR(__xludf.DUMMYFUNCTION("IF($AC838="""","""",IF($AC838=IFERROR(MAX(FILTER($AC$6:$AC$1000,$C$6:$C$1000=$C838,$AB$6:$AB$1000=1)),),""WINNER"",""""))"),"")</f>
        <v/>
      </c>
      <c r="AF838" s="40" t="str">
        <f t="shared" si="5"/>
        <v/>
      </c>
      <c r="AG838" s="40" t="str">
        <f>IF($J838="","",COUNTIF(Assignments!$B:$B,$J838))</f>
        <v/>
      </c>
      <c r="AH838" s="40" t="str">
        <f>IF($J838="","",IF(AND($AG838=0,$N838&lt;$M838),Config!$B$43,0))</f>
        <v/>
      </c>
      <c r="AI838" s="40" t="str">
        <f>IF($J838="","",IF(AND($L838="Elite",$F838&gt;=Config!$B$41,$N838&lt;$M838),Config!$B$42,0))</f>
        <v/>
      </c>
      <c r="AJ838" s="22"/>
    </row>
    <row r="839" ht="15.75" customHeight="1">
      <c r="A839" s="40" t="str">
        <f t="shared" si="1"/>
        <v/>
      </c>
      <c r="B839" s="40" t="str">
        <f>IF(Bids!$A839="","",Bids!$A839)</f>
        <v/>
      </c>
      <c r="C839" s="40" t="str">
        <f>IF(Bids!$B839="","",Bids!$B839)</f>
        <v/>
      </c>
      <c r="D839" s="40" t="str">
        <f>IF($C839="","",IFERROR(VLOOKUP($C839,Orders!$A:$J,9,FALSE),""))</f>
        <v/>
      </c>
      <c r="E839" s="40" t="str">
        <f>IF($C839="","",IFERROR(VLOOKUP($C839,Orders!$A:$J,3,FALSE),""))</f>
        <v/>
      </c>
      <c r="F839" s="40" t="str">
        <f>IF($C839="","",IFERROR(VLOOKUP($C839,Orders!$A:$J,4,FALSE),""))</f>
        <v/>
      </c>
      <c r="G839" s="40" t="str">
        <f>IF($C839="","",IFERROR(VLOOKUP($C839,Orders!$A:$J,5,FALSE),""))</f>
        <v/>
      </c>
      <c r="H839" s="40" t="str">
        <f>IF($C839="","",IFERROR(VLOOKUP($C839,Orders!$A:$J,6,FALSE),""))</f>
        <v/>
      </c>
      <c r="I839" s="40" t="str">
        <f>IF($C839="","",IFERROR(VLOOKUP($C839,Orders!$A:$J,7,FALSE),""))</f>
        <v/>
      </c>
      <c r="J839" s="40" t="str">
        <f>IF(Bids!$C839="","",Bids!$C839)</f>
        <v/>
      </c>
      <c r="K839" s="40" t="str">
        <f>IF($J839="","",IFERROR(VLOOKUP($J839,Grinders!$A:$N,2,FALSE),""))</f>
        <v/>
      </c>
      <c r="L839" s="40" t="str">
        <f>IF($J839="","",IFERROR(VLOOKUP($J839,Grinders!$A:$N,3,FALSE),""))</f>
        <v/>
      </c>
      <c r="M839" s="40" t="str">
        <f>IF($J839="","",IFERROR(VLOOKUP($J839,Grinders!$A:$N,4,FALSE),""))</f>
        <v/>
      </c>
      <c r="N839" s="40" t="str">
        <f>IF($J839="","",IFERROR(VLOOKUP($J839,Grinders!$A:$N,5,FALSE),""))</f>
        <v/>
      </c>
      <c r="O839" s="40" t="str">
        <f t="shared" si="2"/>
        <v/>
      </c>
      <c r="P839" s="40" t="str">
        <f>IF($J839="","",IFERROR(VLOOKUP($J839,Grinders!$A:$N,6,FALSE),""))</f>
        <v/>
      </c>
      <c r="Q839" s="40" t="str">
        <f>IF($J839="","",IFERROR(VLOOKUP($J839,Grinders!$A:$N,8,FALSE),""))</f>
        <v/>
      </c>
      <c r="R839" s="40" t="str">
        <f>IFERROR(IF($J839="","",IF($L839="Elite",MAX(50,MIN(100,Config!$B$27*MAX(0,MIN(100,(1-IF($O839="",0,$O839))*100)) + Config!$B$28*MAX(0,MIN(100,(1-MIN(1,IF(Config!$B$30=0,1,$P839/Config!$B$30)))*100)) + Config!$B$29*MAX(0,MIN(100,MIN(1,IF($Q839="",0,$Q839)/Config!$B$23)*100)))),MIN(100,Config!$B$27*MAX(0,MIN(100,(1-IF($O839="",0,$O839))*100)) + Config!$B$28*MAX(0,MIN(100,(1-MIN(1,IF(Config!$B$30=0,1,$P839/Config!$B$30)))*100)) + Config!$B$29*MAX(0,MIN(100,MIN(1,IF($Q839="",0,$Q839)/Config!$B$23)*100))))),"")
</f>
        <v/>
      </c>
      <c r="S839" s="40" t="str">
        <f>IF(Bids!$D839="","",Bids!$D839)</f>
        <v/>
      </c>
      <c r="T839" s="40" t="str">
        <f>IF(Bids!$F839="","",Bids!$F839)</f>
        <v/>
      </c>
      <c r="U839" s="40" t="str">
        <f t="shared" si="3"/>
        <v/>
      </c>
      <c r="V839" s="40" t="str">
        <f>IF($U839="","",IF(Config!$B$17=Config!$B$16,IF($U839&gt;=Config!$B$17,100,0),MAX(0,MIN(100,($U839-Config!$B$16)/(Config!$B$17-Config!$B$16)*100))))</f>
        <v/>
      </c>
      <c r="W839" s="40">
        <f>IF($L839="Elite",Config!$B$21,0)</f>
        <v>0</v>
      </c>
      <c r="X839" s="40" t="str">
        <f>IFERROR(IF(OR($T839="",$G839=""),"",IF($T839&gt;$G839,
  MAX(0, 60-(($T839-$G839)*24/Config!$B$19)*60),
  MEDIAN(60, 100, 60+(($G839-$T839)*24/Config!$B$20)*40)
)),"")
</f>
        <v/>
      </c>
      <c r="Y839" s="40" t="str">
        <f>IF($J839="","",IFERROR(VLOOKUP($J839,Grinders!$A:$N,10,FALSE),""))</f>
        <v/>
      </c>
      <c r="Z839" s="40" t="str">
        <f>IF($J839="","",IFERROR(VLOOKUP($J839,Grinders!$A:$N,11,FALSE),""))</f>
        <v/>
      </c>
      <c r="AA839" s="40" t="str">
        <f>IF($J839="","",IFERROR(VLOOKUP($J839,Grinders!$A:$N,12,FALSE),""))</f>
        <v/>
      </c>
      <c r="AB839" s="40">
        <f>IFERROR(IF(OR($C839="",$J839=""),0,IF($D839&lt;&gt;"Open",0,IF(COUNTIFS(GrinderServices!$B:$B,$J839,GrinderServices!$C:$C,$E839,GrinderServices!$E:$E,"Y")=0,0,IF($U839&lt;Config!$B$16,0,IF(Config!$B$18=1,IF($N839&gt;=$M839,0,1),1))))),"")</f>
        <v>0</v>
      </c>
      <c r="AC839" s="40" t="str">
        <f>IFERROR(IF($AB839=0,"",((Config!$B$6*$V839 + Config!$B$7*$R839 + Config!$B$8*$W839 + Config!$B$9*$X839 + Config!$B$10*$Y839 + Config!$B$11*$Z839 - Config!$B$12*$AA839)/Config!$B$13)+$AH839+$AI839),"")</f>
        <v/>
      </c>
      <c r="AD839" s="40" t="str">
        <f t="shared" si="4"/>
        <v/>
      </c>
      <c r="AE839" s="40" t="str">
        <f>IFERROR(__xludf.DUMMYFUNCTION("IF($AC839="""","""",IF($AC839=IFERROR(MAX(FILTER($AC$6:$AC$1000,$C$6:$C$1000=$C839,$AB$6:$AB$1000=1)),),""WINNER"",""""))"),"")</f>
        <v/>
      </c>
      <c r="AF839" s="40" t="str">
        <f t="shared" si="5"/>
        <v/>
      </c>
      <c r="AG839" s="40" t="str">
        <f>IF($J839="","",COUNTIF(Assignments!$B:$B,$J839))</f>
        <v/>
      </c>
      <c r="AH839" s="40" t="str">
        <f>IF($J839="","",IF(AND($AG839=0,$N839&lt;$M839),Config!$B$43,0))</f>
        <v/>
      </c>
      <c r="AI839" s="40" t="str">
        <f>IF($J839="","",IF(AND($L839="Elite",$F839&gt;=Config!$B$41,$N839&lt;$M839),Config!$B$42,0))</f>
        <v/>
      </c>
      <c r="AJ839" s="22"/>
    </row>
    <row r="840" ht="15.75" customHeight="1">
      <c r="A840" s="40" t="str">
        <f t="shared" si="1"/>
        <v/>
      </c>
      <c r="B840" s="40" t="str">
        <f>IF(Bids!$A840="","",Bids!$A840)</f>
        <v/>
      </c>
      <c r="C840" s="40" t="str">
        <f>IF(Bids!$B840="","",Bids!$B840)</f>
        <v/>
      </c>
      <c r="D840" s="40" t="str">
        <f>IF($C840="","",IFERROR(VLOOKUP($C840,Orders!$A:$J,9,FALSE),""))</f>
        <v/>
      </c>
      <c r="E840" s="40" t="str">
        <f>IF($C840="","",IFERROR(VLOOKUP($C840,Orders!$A:$J,3,FALSE),""))</f>
        <v/>
      </c>
      <c r="F840" s="40" t="str">
        <f>IF($C840="","",IFERROR(VLOOKUP($C840,Orders!$A:$J,4,FALSE),""))</f>
        <v/>
      </c>
      <c r="G840" s="40" t="str">
        <f>IF($C840="","",IFERROR(VLOOKUP($C840,Orders!$A:$J,5,FALSE),""))</f>
        <v/>
      </c>
      <c r="H840" s="40" t="str">
        <f>IF($C840="","",IFERROR(VLOOKUP($C840,Orders!$A:$J,6,FALSE),""))</f>
        <v/>
      </c>
      <c r="I840" s="40" t="str">
        <f>IF($C840="","",IFERROR(VLOOKUP($C840,Orders!$A:$J,7,FALSE),""))</f>
        <v/>
      </c>
      <c r="J840" s="40" t="str">
        <f>IF(Bids!$C840="","",Bids!$C840)</f>
        <v/>
      </c>
      <c r="K840" s="40" t="str">
        <f>IF($J840="","",IFERROR(VLOOKUP($J840,Grinders!$A:$N,2,FALSE),""))</f>
        <v/>
      </c>
      <c r="L840" s="40" t="str">
        <f>IF($J840="","",IFERROR(VLOOKUP($J840,Grinders!$A:$N,3,FALSE),""))</f>
        <v/>
      </c>
      <c r="M840" s="40" t="str">
        <f>IF($J840="","",IFERROR(VLOOKUP($J840,Grinders!$A:$N,4,FALSE),""))</f>
        <v/>
      </c>
      <c r="N840" s="40" t="str">
        <f>IF($J840="","",IFERROR(VLOOKUP($J840,Grinders!$A:$N,5,FALSE),""))</f>
        <v/>
      </c>
      <c r="O840" s="40" t="str">
        <f t="shared" si="2"/>
        <v/>
      </c>
      <c r="P840" s="40" t="str">
        <f>IF($J840="","",IFERROR(VLOOKUP($J840,Grinders!$A:$N,6,FALSE),""))</f>
        <v/>
      </c>
      <c r="Q840" s="40" t="str">
        <f>IF($J840="","",IFERROR(VLOOKUP($J840,Grinders!$A:$N,8,FALSE),""))</f>
        <v/>
      </c>
      <c r="R840" s="40" t="str">
        <f>IFERROR(IF($J840="","",IF($L840="Elite",MAX(50,MIN(100,Config!$B$27*MAX(0,MIN(100,(1-IF($O840="",0,$O840))*100)) + Config!$B$28*MAX(0,MIN(100,(1-MIN(1,IF(Config!$B$30=0,1,$P840/Config!$B$30)))*100)) + Config!$B$29*MAX(0,MIN(100,MIN(1,IF($Q840="",0,$Q840)/Config!$B$23)*100)))),MIN(100,Config!$B$27*MAX(0,MIN(100,(1-IF($O840="",0,$O840))*100)) + Config!$B$28*MAX(0,MIN(100,(1-MIN(1,IF(Config!$B$30=0,1,$P840/Config!$B$30)))*100)) + Config!$B$29*MAX(0,MIN(100,MIN(1,IF($Q840="",0,$Q840)/Config!$B$23)*100))))),"")
</f>
        <v/>
      </c>
      <c r="S840" s="40" t="str">
        <f>IF(Bids!$D840="","",Bids!$D840)</f>
        <v/>
      </c>
      <c r="T840" s="40" t="str">
        <f>IF(Bids!$F840="","",Bids!$F840)</f>
        <v/>
      </c>
      <c r="U840" s="40" t="str">
        <f t="shared" si="3"/>
        <v/>
      </c>
      <c r="V840" s="40" t="str">
        <f>IF($U840="","",IF(Config!$B$17=Config!$B$16,IF($U840&gt;=Config!$B$17,100,0),MAX(0,MIN(100,($U840-Config!$B$16)/(Config!$B$17-Config!$B$16)*100))))</f>
        <v/>
      </c>
      <c r="W840" s="40">
        <f>IF($L840="Elite",Config!$B$21,0)</f>
        <v>0</v>
      </c>
      <c r="X840" s="40" t="str">
        <f>IFERROR(IF(OR($T840="",$G840=""),"",IF($T840&gt;$G840,
  MAX(0, 60-(($T840-$G840)*24/Config!$B$19)*60),
  MEDIAN(60, 100, 60+(($G840-$T840)*24/Config!$B$20)*40)
)),"")
</f>
        <v/>
      </c>
      <c r="Y840" s="40" t="str">
        <f>IF($J840="","",IFERROR(VLOOKUP($J840,Grinders!$A:$N,10,FALSE),""))</f>
        <v/>
      </c>
      <c r="Z840" s="40" t="str">
        <f>IF($J840="","",IFERROR(VLOOKUP($J840,Grinders!$A:$N,11,FALSE),""))</f>
        <v/>
      </c>
      <c r="AA840" s="40" t="str">
        <f>IF($J840="","",IFERROR(VLOOKUP($J840,Grinders!$A:$N,12,FALSE),""))</f>
        <v/>
      </c>
      <c r="AB840" s="40">
        <f>IFERROR(IF(OR($C840="",$J840=""),0,IF($D840&lt;&gt;"Open",0,IF(COUNTIFS(GrinderServices!$B:$B,$J840,GrinderServices!$C:$C,$E840,GrinderServices!$E:$E,"Y")=0,0,IF($U840&lt;Config!$B$16,0,IF(Config!$B$18=1,IF($N840&gt;=$M840,0,1),1))))),"")</f>
        <v>0</v>
      </c>
      <c r="AC840" s="40" t="str">
        <f>IFERROR(IF($AB840=0,"",((Config!$B$6*$V840 + Config!$B$7*$R840 + Config!$B$8*$W840 + Config!$B$9*$X840 + Config!$B$10*$Y840 + Config!$B$11*$Z840 - Config!$B$12*$AA840)/Config!$B$13)+$AH840+$AI840),"")</f>
        <v/>
      </c>
      <c r="AD840" s="40" t="str">
        <f t="shared" si="4"/>
        <v/>
      </c>
      <c r="AE840" s="40" t="str">
        <f>IFERROR(__xludf.DUMMYFUNCTION("IF($AC840="""","""",IF($AC840=IFERROR(MAX(FILTER($AC$6:$AC$1000,$C$6:$C$1000=$C840,$AB$6:$AB$1000=1)),),""WINNER"",""""))"),"")</f>
        <v/>
      </c>
      <c r="AF840" s="40" t="str">
        <f t="shared" si="5"/>
        <v/>
      </c>
      <c r="AG840" s="40" t="str">
        <f>IF($J840="","",COUNTIF(Assignments!$B:$B,$J840))</f>
        <v/>
      </c>
      <c r="AH840" s="40" t="str">
        <f>IF($J840="","",IF(AND($AG840=0,$N840&lt;$M840),Config!$B$43,0))</f>
        <v/>
      </c>
      <c r="AI840" s="40" t="str">
        <f>IF($J840="","",IF(AND($L840="Elite",$F840&gt;=Config!$B$41,$N840&lt;$M840),Config!$B$42,0))</f>
        <v/>
      </c>
      <c r="AJ840" s="22"/>
    </row>
    <row r="841" ht="15.75" customHeight="1">
      <c r="A841" s="40" t="str">
        <f t="shared" si="1"/>
        <v/>
      </c>
      <c r="B841" s="40" t="str">
        <f>IF(Bids!$A841="","",Bids!$A841)</f>
        <v/>
      </c>
      <c r="C841" s="40" t="str">
        <f>IF(Bids!$B841="","",Bids!$B841)</f>
        <v/>
      </c>
      <c r="D841" s="40" t="str">
        <f>IF($C841="","",IFERROR(VLOOKUP($C841,Orders!$A:$J,9,FALSE),""))</f>
        <v/>
      </c>
      <c r="E841" s="40" t="str">
        <f>IF($C841="","",IFERROR(VLOOKUP($C841,Orders!$A:$J,3,FALSE),""))</f>
        <v/>
      </c>
      <c r="F841" s="40" t="str">
        <f>IF($C841="","",IFERROR(VLOOKUP($C841,Orders!$A:$J,4,FALSE),""))</f>
        <v/>
      </c>
      <c r="G841" s="40" t="str">
        <f>IF($C841="","",IFERROR(VLOOKUP($C841,Orders!$A:$J,5,FALSE),""))</f>
        <v/>
      </c>
      <c r="H841" s="40" t="str">
        <f>IF($C841="","",IFERROR(VLOOKUP($C841,Orders!$A:$J,6,FALSE),""))</f>
        <v/>
      </c>
      <c r="I841" s="40" t="str">
        <f>IF($C841="","",IFERROR(VLOOKUP($C841,Orders!$A:$J,7,FALSE),""))</f>
        <v/>
      </c>
      <c r="J841" s="40" t="str">
        <f>IF(Bids!$C841="","",Bids!$C841)</f>
        <v/>
      </c>
      <c r="K841" s="40" t="str">
        <f>IF($J841="","",IFERROR(VLOOKUP($J841,Grinders!$A:$N,2,FALSE),""))</f>
        <v/>
      </c>
      <c r="L841" s="40" t="str">
        <f>IF($J841="","",IFERROR(VLOOKUP($J841,Grinders!$A:$N,3,FALSE),""))</f>
        <v/>
      </c>
      <c r="M841" s="40" t="str">
        <f>IF($J841="","",IFERROR(VLOOKUP($J841,Grinders!$A:$N,4,FALSE),""))</f>
        <v/>
      </c>
      <c r="N841" s="40" t="str">
        <f>IF($J841="","",IFERROR(VLOOKUP($J841,Grinders!$A:$N,5,FALSE),""))</f>
        <v/>
      </c>
      <c r="O841" s="40" t="str">
        <f t="shared" si="2"/>
        <v/>
      </c>
      <c r="P841" s="40" t="str">
        <f>IF($J841="","",IFERROR(VLOOKUP($J841,Grinders!$A:$N,6,FALSE),""))</f>
        <v/>
      </c>
      <c r="Q841" s="40" t="str">
        <f>IF($J841="","",IFERROR(VLOOKUP($J841,Grinders!$A:$N,8,FALSE),""))</f>
        <v/>
      </c>
      <c r="R841" s="40" t="str">
        <f>IFERROR(IF($J841="","",IF($L841="Elite",MAX(50,MIN(100,Config!$B$27*MAX(0,MIN(100,(1-IF($O841="",0,$O841))*100)) + Config!$B$28*MAX(0,MIN(100,(1-MIN(1,IF(Config!$B$30=0,1,$P841/Config!$B$30)))*100)) + Config!$B$29*MAX(0,MIN(100,MIN(1,IF($Q841="",0,$Q841)/Config!$B$23)*100)))),MIN(100,Config!$B$27*MAX(0,MIN(100,(1-IF($O841="",0,$O841))*100)) + Config!$B$28*MAX(0,MIN(100,(1-MIN(1,IF(Config!$B$30=0,1,$P841/Config!$B$30)))*100)) + Config!$B$29*MAX(0,MIN(100,MIN(1,IF($Q841="",0,$Q841)/Config!$B$23)*100))))),"")
</f>
        <v/>
      </c>
      <c r="S841" s="40" t="str">
        <f>IF(Bids!$D841="","",Bids!$D841)</f>
        <v/>
      </c>
      <c r="T841" s="40" t="str">
        <f>IF(Bids!$F841="","",Bids!$F841)</f>
        <v/>
      </c>
      <c r="U841" s="40" t="str">
        <f t="shared" si="3"/>
        <v/>
      </c>
      <c r="V841" s="40" t="str">
        <f>IF($U841="","",IF(Config!$B$17=Config!$B$16,IF($U841&gt;=Config!$B$17,100,0),MAX(0,MIN(100,($U841-Config!$B$16)/(Config!$B$17-Config!$B$16)*100))))</f>
        <v/>
      </c>
      <c r="W841" s="40">
        <f>IF($L841="Elite",Config!$B$21,0)</f>
        <v>0</v>
      </c>
      <c r="X841" s="40" t="str">
        <f>IFERROR(IF(OR($T841="",$G841=""),"",IF($T841&gt;$G841,
  MAX(0, 60-(($T841-$G841)*24/Config!$B$19)*60),
  MEDIAN(60, 100, 60+(($G841-$T841)*24/Config!$B$20)*40)
)),"")
</f>
        <v/>
      </c>
      <c r="Y841" s="40" t="str">
        <f>IF($J841="","",IFERROR(VLOOKUP($J841,Grinders!$A:$N,10,FALSE),""))</f>
        <v/>
      </c>
      <c r="Z841" s="40" t="str">
        <f>IF($J841="","",IFERROR(VLOOKUP($J841,Grinders!$A:$N,11,FALSE),""))</f>
        <v/>
      </c>
      <c r="AA841" s="40" t="str">
        <f>IF($J841="","",IFERROR(VLOOKUP($J841,Grinders!$A:$N,12,FALSE),""))</f>
        <v/>
      </c>
      <c r="AB841" s="40">
        <f>IFERROR(IF(OR($C841="",$J841=""),0,IF($D841&lt;&gt;"Open",0,IF(COUNTIFS(GrinderServices!$B:$B,$J841,GrinderServices!$C:$C,$E841,GrinderServices!$E:$E,"Y")=0,0,IF($U841&lt;Config!$B$16,0,IF(Config!$B$18=1,IF($N841&gt;=$M841,0,1),1))))),"")</f>
        <v>0</v>
      </c>
      <c r="AC841" s="40" t="str">
        <f>IFERROR(IF($AB841=0,"",((Config!$B$6*$V841 + Config!$B$7*$R841 + Config!$B$8*$W841 + Config!$B$9*$X841 + Config!$B$10*$Y841 + Config!$B$11*$Z841 - Config!$B$12*$AA841)/Config!$B$13)+$AH841+$AI841),"")</f>
        <v/>
      </c>
      <c r="AD841" s="40" t="str">
        <f t="shared" si="4"/>
        <v/>
      </c>
      <c r="AE841" s="40" t="str">
        <f>IFERROR(__xludf.DUMMYFUNCTION("IF($AC841="""","""",IF($AC841=IFERROR(MAX(FILTER($AC$6:$AC$1000,$C$6:$C$1000=$C841,$AB$6:$AB$1000=1)),),""WINNER"",""""))"),"")</f>
        <v/>
      </c>
      <c r="AF841" s="40" t="str">
        <f t="shared" si="5"/>
        <v/>
      </c>
      <c r="AG841" s="40" t="str">
        <f>IF($J841="","",COUNTIF(Assignments!$B:$B,$J841))</f>
        <v/>
      </c>
      <c r="AH841" s="40" t="str">
        <f>IF($J841="","",IF(AND($AG841=0,$N841&lt;$M841),Config!$B$43,0))</f>
        <v/>
      </c>
      <c r="AI841" s="40" t="str">
        <f>IF($J841="","",IF(AND($L841="Elite",$F841&gt;=Config!$B$41,$N841&lt;$M841),Config!$B$42,0))</f>
        <v/>
      </c>
      <c r="AJ841" s="22"/>
    </row>
    <row r="842" ht="15.75" customHeight="1">
      <c r="A842" s="40" t="str">
        <f t="shared" si="1"/>
        <v/>
      </c>
      <c r="B842" s="40" t="str">
        <f>IF(Bids!$A842="","",Bids!$A842)</f>
        <v/>
      </c>
      <c r="C842" s="40" t="str">
        <f>IF(Bids!$B842="","",Bids!$B842)</f>
        <v/>
      </c>
      <c r="D842" s="40" t="str">
        <f>IF($C842="","",IFERROR(VLOOKUP($C842,Orders!$A:$J,9,FALSE),""))</f>
        <v/>
      </c>
      <c r="E842" s="40" t="str">
        <f>IF($C842="","",IFERROR(VLOOKUP($C842,Orders!$A:$J,3,FALSE),""))</f>
        <v/>
      </c>
      <c r="F842" s="40" t="str">
        <f>IF($C842="","",IFERROR(VLOOKUP($C842,Orders!$A:$J,4,FALSE),""))</f>
        <v/>
      </c>
      <c r="G842" s="40" t="str">
        <f>IF($C842="","",IFERROR(VLOOKUP($C842,Orders!$A:$J,5,FALSE),""))</f>
        <v/>
      </c>
      <c r="H842" s="40" t="str">
        <f>IF($C842="","",IFERROR(VLOOKUP($C842,Orders!$A:$J,6,FALSE),""))</f>
        <v/>
      </c>
      <c r="I842" s="40" t="str">
        <f>IF($C842="","",IFERROR(VLOOKUP($C842,Orders!$A:$J,7,FALSE),""))</f>
        <v/>
      </c>
      <c r="J842" s="40" t="str">
        <f>IF(Bids!$C842="","",Bids!$C842)</f>
        <v/>
      </c>
      <c r="K842" s="40" t="str">
        <f>IF($J842="","",IFERROR(VLOOKUP($J842,Grinders!$A:$N,2,FALSE),""))</f>
        <v/>
      </c>
      <c r="L842" s="40" t="str">
        <f>IF($J842="","",IFERROR(VLOOKUP($J842,Grinders!$A:$N,3,FALSE),""))</f>
        <v/>
      </c>
      <c r="M842" s="40" t="str">
        <f>IF($J842="","",IFERROR(VLOOKUP($J842,Grinders!$A:$N,4,FALSE),""))</f>
        <v/>
      </c>
      <c r="N842" s="40" t="str">
        <f>IF($J842="","",IFERROR(VLOOKUP($J842,Grinders!$A:$N,5,FALSE),""))</f>
        <v/>
      </c>
      <c r="O842" s="40" t="str">
        <f t="shared" si="2"/>
        <v/>
      </c>
      <c r="P842" s="40" t="str">
        <f>IF($J842="","",IFERROR(VLOOKUP($J842,Grinders!$A:$N,6,FALSE),""))</f>
        <v/>
      </c>
      <c r="Q842" s="40" t="str">
        <f>IF($J842="","",IFERROR(VLOOKUP($J842,Grinders!$A:$N,8,FALSE),""))</f>
        <v/>
      </c>
      <c r="R842" s="40" t="str">
        <f>IFERROR(IF($J842="","",IF($L842="Elite",MAX(50,MIN(100,Config!$B$27*MAX(0,MIN(100,(1-IF($O842="",0,$O842))*100)) + Config!$B$28*MAX(0,MIN(100,(1-MIN(1,IF(Config!$B$30=0,1,$P842/Config!$B$30)))*100)) + Config!$B$29*MAX(0,MIN(100,MIN(1,IF($Q842="",0,$Q842)/Config!$B$23)*100)))),MIN(100,Config!$B$27*MAX(0,MIN(100,(1-IF($O842="",0,$O842))*100)) + Config!$B$28*MAX(0,MIN(100,(1-MIN(1,IF(Config!$B$30=0,1,$P842/Config!$B$30)))*100)) + Config!$B$29*MAX(0,MIN(100,MIN(1,IF($Q842="",0,$Q842)/Config!$B$23)*100))))),"")
</f>
        <v/>
      </c>
      <c r="S842" s="40" t="str">
        <f>IF(Bids!$D842="","",Bids!$D842)</f>
        <v/>
      </c>
      <c r="T842" s="40" t="str">
        <f>IF(Bids!$F842="","",Bids!$F842)</f>
        <v/>
      </c>
      <c r="U842" s="40" t="str">
        <f t="shared" si="3"/>
        <v/>
      </c>
      <c r="V842" s="40" t="str">
        <f>IF($U842="","",IF(Config!$B$17=Config!$B$16,IF($U842&gt;=Config!$B$17,100,0),MAX(0,MIN(100,($U842-Config!$B$16)/(Config!$B$17-Config!$B$16)*100))))</f>
        <v/>
      </c>
      <c r="W842" s="40">
        <f>IF($L842="Elite",Config!$B$21,0)</f>
        <v>0</v>
      </c>
      <c r="X842" s="40" t="str">
        <f>IFERROR(IF(OR($T842="",$G842=""),"",IF($T842&gt;$G842,
  MAX(0, 60-(($T842-$G842)*24/Config!$B$19)*60),
  MEDIAN(60, 100, 60+(($G842-$T842)*24/Config!$B$20)*40)
)),"")
</f>
        <v/>
      </c>
      <c r="Y842" s="40" t="str">
        <f>IF($J842="","",IFERROR(VLOOKUP($J842,Grinders!$A:$N,10,FALSE),""))</f>
        <v/>
      </c>
      <c r="Z842" s="40" t="str">
        <f>IF($J842="","",IFERROR(VLOOKUP($J842,Grinders!$A:$N,11,FALSE),""))</f>
        <v/>
      </c>
      <c r="AA842" s="40" t="str">
        <f>IF($J842="","",IFERROR(VLOOKUP($J842,Grinders!$A:$N,12,FALSE),""))</f>
        <v/>
      </c>
      <c r="AB842" s="40">
        <f>IFERROR(IF(OR($C842="",$J842=""),0,IF($D842&lt;&gt;"Open",0,IF(COUNTIFS(GrinderServices!$B:$B,$J842,GrinderServices!$C:$C,$E842,GrinderServices!$E:$E,"Y")=0,0,IF($U842&lt;Config!$B$16,0,IF(Config!$B$18=1,IF($N842&gt;=$M842,0,1),1))))),"")</f>
        <v>0</v>
      </c>
      <c r="AC842" s="40" t="str">
        <f>IFERROR(IF($AB842=0,"",((Config!$B$6*$V842 + Config!$B$7*$R842 + Config!$B$8*$W842 + Config!$B$9*$X842 + Config!$B$10*$Y842 + Config!$B$11*$Z842 - Config!$B$12*$AA842)/Config!$B$13)+$AH842+$AI842),"")</f>
        <v/>
      </c>
      <c r="AD842" s="40" t="str">
        <f t="shared" si="4"/>
        <v/>
      </c>
      <c r="AE842" s="40" t="str">
        <f>IFERROR(__xludf.DUMMYFUNCTION("IF($AC842="""","""",IF($AC842=IFERROR(MAX(FILTER($AC$6:$AC$1000,$C$6:$C$1000=$C842,$AB$6:$AB$1000=1)),),""WINNER"",""""))"),"")</f>
        <v/>
      </c>
      <c r="AF842" s="40" t="str">
        <f t="shared" si="5"/>
        <v/>
      </c>
      <c r="AG842" s="40" t="str">
        <f>IF($J842="","",COUNTIF(Assignments!$B:$B,$J842))</f>
        <v/>
      </c>
      <c r="AH842" s="40" t="str">
        <f>IF($J842="","",IF(AND($AG842=0,$N842&lt;$M842),Config!$B$43,0))</f>
        <v/>
      </c>
      <c r="AI842" s="40" t="str">
        <f>IF($J842="","",IF(AND($L842="Elite",$F842&gt;=Config!$B$41,$N842&lt;$M842),Config!$B$42,0))</f>
        <v/>
      </c>
      <c r="AJ842" s="22"/>
    </row>
    <row r="843" ht="15.75" customHeight="1">
      <c r="A843" s="40" t="str">
        <f t="shared" si="1"/>
        <v/>
      </c>
      <c r="B843" s="40" t="str">
        <f>IF(Bids!$A843="","",Bids!$A843)</f>
        <v/>
      </c>
      <c r="C843" s="40" t="str">
        <f>IF(Bids!$B843="","",Bids!$B843)</f>
        <v/>
      </c>
      <c r="D843" s="40" t="str">
        <f>IF($C843="","",IFERROR(VLOOKUP($C843,Orders!$A:$J,9,FALSE),""))</f>
        <v/>
      </c>
      <c r="E843" s="40" t="str">
        <f>IF($C843="","",IFERROR(VLOOKUP($C843,Orders!$A:$J,3,FALSE),""))</f>
        <v/>
      </c>
      <c r="F843" s="40" t="str">
        <f>IF($C843="","",IFERROR(VLOOKUP($C843,Orders!$A:$J,4,FALSE),""))</f>
        <v/>
      </c>
      <c r="G843" s="40" t="str">
        <f>IF($C843="","",IFERROR(VLOOKUP($C843,Orders!$A:$J,5,FALSE),""))</f>
        <v/>
      </c>
      <c r="H843" s="40" t="str">
        <f>IF($C843="","",IFERROR(VLOOKUP($C843,Orders!$A:$J,6,FALSE),""))</f>
        <v/>
      </c>
      <c r="I843" s="40" t="str">
        <f>IF($C843="","",IFERROR(VLOOKUP($C843,Orders!$A:$J,7,FALSE),""))</f>
        <v/>
      </c>
      <c r="J843" s="40" t="str">
        <f>IF(Bids!$C843="","",Bids!$C843)</f>
        <v/>
      </c>
      <c r="K843" s="40" t="str">
        <f>IF($J843="","",IFERROR(VLOOKUP($J843,Grinders!$A:$N,2,FALSE),""))</f>
        <v/>
      </c>
      <c r="L843" s="40" t="str">
        <f>IF($J843="","",IFERROR(VLOOKUP($J843,Grinders!$A:$N,3,FALSE),""))</f>
        <v/>
      </c>
      <c r="M843" s="40" t="str">
        <f>IF($J843="","",IFERROR(VLOOKUP($J843,Grinders!$A:$N,4,FALSE),""))</f>
        <v/>
      </c>
      <c r="N843" s="40" t="str">
        <f>IF($J843="","",IFERROR(VLOOKUP($J843,Grinders!$A:$N,5,FALSE),""))</f>
        <v/>
      </c>
      <c r="O843" s="40" t="str">
        <f t="shared" si="2"/>
        <v/>
      </c>
      <c r="P843" s="40" t="str">
        <f>IF($J843="","",IFERROR(VLOOKUP($J843,Grinders!$A:$N,6,FALSE),""))</f>
        <v/>
      </c>
      <c r="Q843" s="40" t="str">
        <f>IF($J843="","",IFERROR(VLOOKUP($J843,Grinders!$A:$N,8,FALSE),""))</f>
        <v/>
      </c>
      <c r="R843" s="40" t="str">
        <f>IFERROR(IF($J843="","",IF($L843="Elite",MAX(50,MIN(100,Config!$B$27*MAX(0,MIN(100,(1-IF($O843="",0,$O843))*100)) + Config!$B$28*MAX(0,MIN(100,(1-MIN(1,IF(Config!$B$30=0,1,$P843/Config!$B$30)))*100)) + Config!$B$29*MAX(0,MIN(100,MIN(1,IF($Q843="",0,$Q843)/Config!$B$23)*100)))),MIN(100,Config!$B$27*MAX(0,MIN(100,(1-IF($O843="",0,$O843))*100)) + Config!$B$28*MAX(0,MIN(100,(1-MIN(1,IF(Config!$B$30=0,1,$P843/Config!$B$30)))*100)) + Config!$B$29*MAX(0,MIN(100,MIN(1,IF($Q843="",0,$Q843)/Config!$B$23)*100))))),"")
</f>
        <v/>
      </c>
      <c r="S843" s="40" t="str">
        <f>IF(Bids!$D843="","",Bids!$D843)</f>
        <v/>
      </c>
      <c r="T843" s="40" t="str">
        <f>IF(Bids!$F843="","",Bids!$F843)</f>
        <v/>
      </c>
      <c r="U843" s="40" t="str">
        <f t="shared" si="3"/>
        <v/>
      </c>
      <c r="V843" s="40" t="str">
        <f>IF($U843="","",IF(Config!$B$17=Config!$B$16,IF($U843&gt;=Config!$B$17,100,0),MAX(0,MIN(100,($U843-Config!$B$16)/(Config!$B$17-Config!$B$16)*100))))</f>
        <v/>
      </c>
      <c r="W843" s="40">
        <f>IF($L843="Elite",Config!$B$21,0)</f>
        <v>0</v>
      </c>
      <c r="X843" s="40" t="str">
        <f>IFERROR(IF(OR($T843="",$G843=""),"",IF($T843&gt;$G843,
  MAX(0, 60-(($T843-$G843)*24/Config!$B$19)*60),
  MEDIAN(60, 100, 60+(($G843-$T843)*24/Config!$B$20)*40)
)),"")
</f>
        <v/>
      </c>
      <c r="Y843" s="40" t="str">
        <f>IF($J843="","",IFERROR(VLOOKUP($J843,Grinders!$A:$N,10,FALSE),""))</f>
        <v/>
      </c>
      <c r="Z843" s="40" t="str">
        <f>IF($J843="","",IFERROR(VLOOKUP($J843,Grinders!$A:$N,11,FALSE),""))</f>
        <v/>
      </c>
      <c r="AA843" s="40" t="str">
        <f>IF($J843="","",IFERROR(VLOOKUP($J843,Grinders!$A:$N,12,FALSE),""))</f>
        <v/>
      </c>
      <c r="AB843" s="40">
        <f>IFERROR(IF(OR($C843="",$J843=""),0,IF($D843&lt;&gt;"Open",0,IF(COUNTIFS(GrinderServices!$B:$B,$J843,GrinderServices!$C:$C,$E843,GrinderServices!$E:$E,"Y")=0,0,IF($U843&lt;Config!$B$16,0,IF(Config!$B$18=1,IF($N843&gt;=$M843,0,1),1))))),"")</f>
        <v>0</v>
      </c>
      <c r="AC843" s="40" t="str">
        <f>IFERROR(IF($AB843=0,"",((Config!$B$6*$V843 + Config!$B$7*$R843 + Config!$B$8*$W843 + Config!$B$9*$X843 + Config!$B$10*$Y843 + Config!$B$11*$Z843 - Config!$B$12*$AA843)/Config!$B$13)+$AH843+$AI843),"")</f>
        <v/>
      </c>
      <c r="AD843" s="40" t="str">
        <f t="shared" si="4"/>
        <v/>
      </c>
      <c r="AE843" s="40" t="str">
        <f>IFERROR(__xludf.DUMMYFUNCTION("IF($AC843="""","""",IF($AC843=IFERROR(MAX(FILTER($AC$6:$AC$1000,$C$6:$C$1000=$C843,$AB$6:$AB$1000=1)),),""WINNER"",""""))"),"")</f>
        <v/>
      </c>
      <c r="AF843" s="40" t="str">
        <f t="shared" si="5"/>
        <v/>
      </c>
      <c r="AG843" s="40" t="str">
        <f>IF($J843="","",COUNTIF(Assignments!$B:$B,$J843))</f>
        <v/>
      </c>
      <c r="AH843" s="40" t="str">
        <f>IF($J843="","",IF(AND($AG843=0,$N843&lt;$M843),Config!$B$43,0))</f>
        <v/>
      </c>
      <c r="AI843" s="40" t="str">
        <f>IF($J843="","",IF(AND($L843="Elite",$F843&gt;=Config!$B$41,$N843&lt;$M843),Config!$B$42,0))</f>
        <v/>
      </c>
      <c r="AJ843" s="22"/>
    </row>
    <row r="844" ht="15.75" customHeight="1">
      <c r="A844" s="40" t="str">
        <f t="shared" si="1"/>
        <v/>
      </c>
      <c r="B844" s="40" t="str">
        <f>IF(Bids!$A844="","",Bids!$A844)</f>
        <v/>
      </c>
      <c r="C844" s="40" t="str">
        <f>IF(Bids!$B844="","",Bids!$B844)</f>
        <v/>
      </c>
      <c r="D844" s="40" t="str">
        <f>IF($C844="","",IFERROR(VLOOKUP($C844,Orders!$A:$J,9,FALSE),""))</f>
        <v/>
      </c>
      <c r="E844" s="40" t="str">
        <f>IF($C844="","",IFERROR(VLOOKUP($C844,Orders!$A:$J,3,FALSE),""))</f>
        <v/>
      </c>
      <c r="F844" s="40" t="str">
        <f>IF($C844="","",IFERROR(VLOOKUP($C844,Orders!$A:$J,4,FALSE),""))</f>
        <v/>
      </c>
      <c r="G844" s="40" t="str">
        <f>IF($C844="","",IFERROR(VLOOKUP($C844,Orders!$A:$J,5,FALSE),""))</f>
        <v/>
      </c>
      <c r="H844" s="40" t="str">
        <f>IF($C844="","",IFERROR(VLOOKUP($C844,Orders!$A:$J,6,FALSE),""))</f>
        <v/>
      </c>
      <c r="I844" s="40" t="str">
        <f>IF($C844="","",IFERROR(VLOOKUP($C844,Orders!$A:$J,7,FALSE),""))</f>
        <v/>
      </c>
      <c r="J844" s="40" t="str">
        <f>IF(Bids!$C844="","",Bids!$C844)</f>
        <v/>
      </c>
      <c r="K844" s="40" t="str">
        <f>IF($J844="","",IFERROR(VLOOKUP($J844,Grinders!$A:$N,2,FALSE),""))</f>
        <v/>
      </c>
      <c r="L844" s="40" t="str">
        <f>IF($J844="","",IFERROR(VLOOKUP($J844,Grinders!$A:$N,3,FALSE),""))</f>
        <v/>
      </c>
      <c r="M844" s="40" t="str">
        <f>IF($J844="","",IFERROR(VLOOKUP($J844,Grinders!$A:$N,4,FALSE),""))</f>
        <v/>
      </c>
      <c r="N844" s="40" t="str">
        <f>IF($J844="","",IFERROR(VLOOKUP($J844,Grinders!$A:$N,5,FALSE),""))</f>
        <v/>
      </c>
      <c r="O844" s="40" t="str">
        <f t="shared" si="2"/>
        <v/>
      </c>
      <c r="P844" s="40" t="str">
        <f>IF($J844="","",IFERROR(VLOOKUP($J844,Grinders!$A:$N,6,FALSE),""))</f>
        <v/>
      </c>
      <c r="Q844" s="40" t="str">
        <f>IF($J844="","",IFERROR(VLOOKUP($J844,Grinders!$A:$N,8,FALSE),""))</f>
        <v/>
      </c>
      <c r="R844" s="40" t="str">
        <f>IFERROR(IF($J844="","",IF($L844="Elite",MAX(50,MIN(100,Config!$B$27*MAX(0,MIN(100,(1-IF($O844="",0,$O844))*100)) + Config!$B$28*MAX(0,MIN(100,(1-MIN(1,IF(Config!$B$30=0,1,$P844/Config!$B$30)))*100)) + Config!$B$29*MAX(0,MIN(100,MIN(1,IF($Q844="",0,$Q844)/Config!$B$23)*100)))),MIN(100,Config!$B$27*MAX(0,MIN(100,(1-IF($O844="",0,$O844))*100)) + Config!$B$28*MAX(0,MIN(100,(1-MIN(1,IF(Config!$B$30=0,1,$P844/Config!$B$30)))*100)) + Config!$B$29*MAX(0,MIN(100,MIN(1,IF($Q844="",0,$Q844)/Config!$B$23)*100))))),"")
</f>
        <v/>
      </c>
      <c r="S844" s="40" t="str">
        <f>IF(Bids!$D844="","",Bids!$D844)</f>
        <v/>
      </c>
      <c r="T844" s="40" t="str">
        <f>IF(Bids!$F844="","",Bids!$F844)</f>
        <v/>
      </c>
      <c r="U844" s="40" t="str">
        <f t="shared" si="3"/>
        <v/>
      </c>
      <c r="V844" s="40" t="str">
        <f>IF($U844="","",IF(Config!$B$17=Config!$B$16,IF($U844&gt;=Config!$B$17,100,0),MAX(0,MIN(100,($U844-Config!$B$16)/(Config!$B$17-Config!$B$16)*100))))</f>
        <v/>
      </c>
      <c r="W844" s="40">
        <f>IF($L844="Elite",Config!$B$21,0)</f>
        <v>0</v>
      </c>
      <c r="X844" s="40" t="str">
        <f>IFERROR(IF(OR($T844="",$G844=""),"",IF($T844&gt;$G844,
  MAX(0, 60-(($T844-$G844)*24/Config!$B$19)*60),
  MEDIAN(60, 100, 60+(($G844-$T844)*24/Config!$B$20)*40)
)),"")
</f>
        <v/>
      </c>
      <c r="Y844" s="40" t="str">
        <f>IF($J844="","",IFERROR(VLOOKUP($J844,Grinders!$A:$N,10,FALSE),""))</f>
        <v/>
      </c>
      <c r="Z844" s="40" t="str">
        <f>IF($J844="","",IFERROR(VLOOKUP($J844,Grinders!$A:$N,11,FALSE),""))</f>
        <v/>
      </c>
      <c r="AA844" s="40" t="str">
        <f>IF($J844="","",IFERROR(VLOOKUP($J844,Grinders!$A:$N,12,FALSE),""))</f>
        <v/>
      </c>
      <c r="AB844" s="40">
        <f>IFERROR(IF(OR($C844="",$J844=""),0,IF($D844&lt;&gt;"Open",0,IF(COUNTIFS(GrinderServices!$B:$B,$J844,GrinderServices!$C:$C,$E844,GrinderServices!$E:$E,"Y")=0,0,IF($U844&lt;Config!$B$16,0,IF(Config!$B$18=1,IF($N844&gt;=$M844,0,1),1))))),"")</f>
        <v>0</v>
      </c>
      <c r="AC844" s="40" t="str">
        <f>IFERROR(IF($AB844=0,"",((Config!$B$6*$V844 + Config!$B$7*$R844 + Config!$B$8*$W844 + Config!$B$9*$X844 + Config!$B$10*$Y844 + Config!$B$11*$Z844 - Config!$B$12*$AA844)/Config!$B$13)+$AH844+$AI844),"")</f>
        <v/>
      </c>
      <c r="AD844" s="40" t="str">
        <f t="shared" si="4"/>
        <v/>
      </c>
      <c r="AE844" s="40" t="str">
        <f>IFERROR(__xludf.DUMMYFUNCTION("IF($AC844="""","""",IF($AC844=IFERROR(MAX(FILTER($AC$6:$AC$1000,$C$6:$C$1000=$C844,$AB$6:$AB$1000=1)),),""WINNER"",""""))"),"")</f>
        <v/>
      </c>
      <c r="AF844" s="40" t="str">
        <f t="shared" si="5"/>
        <v/>
      </c>
      <c r="AG844" s="40" t="str">
        <f>IF($J844="","",COUNTIF(Assignments!$B:$B,$J844))</f>
        <v/>
      </c>
      <c r="AH844" s="40" t="str">
        <f>IF($J844="","",IF(AND($AG844=0,$N844&lt;$M844),Config!$B$43,0))</f>
        <v/>
      </c>
      <c r="AI844" s="40" t="str">
        <f>IF($J844="","",IF(AND($L844="Elite",$F844&gt;=Config!$B$41,$N844&lt;$M844),Config!$B$42,0))</f>
        <v/>
      </c>
      <c r="AJ844" s="22"/>
    </row>
    <row r="845" ht="15.75" customHeight="1">
      <c r="A845" s="40" t="str">
        <f t="shared" si="1"/>
        <v/>
      </c>
      <c r="B845" s="40" t="str">
        <f>IF(Bids!$A845="","",Bids!$A845)</f>
        <v/>
      </c>
      <c r="C845" s="40" t="str">
        <f>IF(Bids!$B845="","",Bids!$B845)</f>
        <v/>
      </c>
      <c r="D845" s="40" t="str">
        <f>IF($C845="","",IFERROR(VLOOKUP($C845,Orders!$A:$J,9,FALSE),""))</f>
        <v/>
      </c>
      <c r="E845" s="40" t="str">
        <f>IF($C845="","",IFERROR(VLOOKUP($C845,Orders!$A:$J,3,FALSE),""))</f>
        <v/>
      </c>
      <c r="F845" s="40" t="str">
        <f>IF($C845="","",IFERROR(VLOOKUP($C845,Orders!$A:$J,4,FALSE),""))</f>
        <v/>
      </c>
      <c r="G845" s="40" t="str">
        <f>IF($C845="","",IFERROR(VLOOKUP($C845,Orders!$A:$J,5,FALSE),""))</f>
        <v/>
      </c>
      <c r="H845" s="40" t="str">
        <f>IF($C845="","",IFERROR(VLOOKUP($C845,Orders!$A:$J,6,FALSE),""))</f>
        <v/>
      </c>
      <c r="I845" s="40" t="str">
        <f>IF($C845="","",IFERROR(VLOOKUP($C845,Orders!$A:$J,7,FALSE),""))</f>
        <v/>
      </c>
      <c r="J845" s="40" t="str">
        <f>IF(Bids!$C845="","",Bids!$C845)</f>
        <v/>
      </c>
      <c r="K845" s="40" t="str">
        <f>IF($J845="","",IFERROR(VLOOKUP($J845,Grinders!$A:$N,2,FALSE),""))</f>
        <v/>
      </c>
      <c r="L845" s="40" t="str">
        <f>IF($J845="","",IFERROR(VLOOKUP($J845,Grinders!$A:$N,3,FALSE),""))</f>
        <v/>
      </c>
      <c r="M845" s="40" t="str">
        <f>IF($J845="","",IFERROR(VLOOKUP($J845,Grinders!$A:$N,4,FALSE),""))</f>
        <v/>
      </c>
      <c r="N845" s="40" t="str">
        <f>IF($J845="","",IFERROR(VLOOKUP($J845,Grinders!$A:$N,5,FALSE),""))</f>
        <v/>
      </c>
      <c r="O845" s="40" t="str">
        <f t="shared" si="2"/>
        <v/>
      </c>
      <c r="P845" s="40" t="str">
        <f>IF($J845="","",IFERROR(VLOOKUP($J845,Grinders!$A:$N,6,FALSE),""))</f>
        <v/>
      </c>
      <c r="Q845" s="40" t="str">
        <f>IF($J845="","",IFERROR(VLOOKUP($J845,Grinders!$A:$N,8,FALSE),""))</f>
        <v/>
      </c>
      <c r="R845" s="40" t="str">
        <f>IFERROR(IF($J845="","",IF($L845="Elite",MAX(50,MIN(100,Config!$B$27*MAX(0,MIN(100,(1-IF($O845="",0,$O845))*100)) + Config!$B$28*MAX(0,MIN(100,(1-MIN(1,IF(Config!$B$30=0,1,$P845/Config!$B$30)))*100)) + Config!$B$29*MAX(0,MIN(100,MIN(1,IF($Q845="",0,$Q845)/Config!$B$23)*100)))),MIN(100,Config!$B$27*MAX(0,MIN(100,(1-IF($O845="",0,$O845))*100)) + Config!$B$28*MAX(0,MIN(100,(1-MIN(1,IF(Config!$B$30=0,1,$P845/Config!$B$30)))*100)) + Config!$B$29*MAX(0,MIN(100,MIN(1,IF($Q845="",0,$Q845)/Config!$B$23)*100))))),"")
</f>
        <v/>
      </c>
      <c r="S845" s="40" t="str">
        <f>IF(Bids!$D845="","",Bids!$D845)</f>
        <v/>
      </c>
      <c r="T845" s="40" t="str">
        <f>IF(Bids!$F845="","",Bids!$F845)</f>
        <v/>
      </c>
      <c r="U845" s="40" t="str">
        <f t="shared" si="3"/>
        <v/>
      </c>
      <c r="V845" s="40" t="str">
        <f>IF($U845="","",IF(Config!$B$17=Config!$B$16,IF($U845&gt;=Config!$B$17,100,0),MAX(0,MIN(100,($U845-Config!$B$16)/(Config!$B$17-Config!$B$16)*100))))</f>
        <v/>
      </c>
      <c r="W845" s="40">
        <f>IF($L845="Elite",Config!$B$21,0)</f>
        <v>0</v>
      </c>
      <c r="X845" s="40" t="str">
        <f>IFERROR(IF(OR($T845="",$G845=""),"",IF($T845&gt;$G845,
  MAX(0, 60-(($T845-$G845)*24/Config!$B$19)*60),
  MEDIAN(60, 100, 60+(($G845-$T845)*24/Config!$B$20)*40)
)),"")
</f>
        <v/>
      </c>
      <c r="Y845" s="40" t="str">
        <f>IF($J845="","",IFERROR(VLOOKUP($J845,Grinders!$A:$N,10,FALSE),""))</f>
        <v/>
      </c>
      <c r="Z845" s="40" t="str">
        <f>IF($J845="","",IFERROR(VLOOKUP($J845,Grinders!$A:$N,11,FALSE),""))</f>
        <v/>
      </c>
      <c r="AA845" s="40" t="str">
        <f>IF($J845="","",IFERROR(VLOOKUP($J845,Grinders!$A:$N,12,FALSE),""))</f>
        <v/>
      </c>
      <c r="AB845" s="40">
        <f>IFERROR(IF(OR($C845="",$J845=""),0,IF($D845&lt;&gt;"Open",0,IF(COUNTIFS(GrinderServices!$B:$B,$J845,GrinderServices!$C:$C,$E845,GrinderServices!$E:$E,"Y")=0,0,IF($U845&lt;Config!$B$16,0,IF(Config!$B$18=1,IF($N845&gt;=$M845,0,1),1))))),"")</f>
        <v>0</v>
      </c>
      <c r="AC845" s="40" t="str">
        <f>IFERROR(IF($AB845=0,"",((Config!$B$6*$V845 + Config!$B$7*$R845 + Config!$B$8*$W845 + Config!$B$9*$X845 + Config!$B$10*$Y845 + Config!$B$11*$Z845 - Config!$B$12*$AA845)/Config!$B$13)+$AH845+$AI845),"")</f>
        <v/>
      </c>
      <c r="AD845" s="40" t="str">
        <f t="shared" si="4"/>
        <v/>
      </c>
      <c r="AE845" s="40" t="str">
        <f>IFERROR(__xludf.DUMMYFUNCTION("IF($AC845="""","""",IF($AC845=IFERROR(MAX(FILTER($AC$6:$AC$1000,$C$6:$C$1000=$C845,$AB$6:$AB$1000=1)),),""WINNER"",""""))"),"")</f>
        <v/>
      </c>
      <c r="AF845" s="40" t="str">
        <f t="shared" si="5"/>
        <v/>
      </c>
      <c r="AG845" s="40" t="str">
        <f>IF($J845="","",COUNTIF(Assignments!$B:$B,$J845))</f>
        <v/>
      </c>
      <c r="AH845" s="40" t="str">
        <f>IF($J845="","",IF(AND($AG845=0,$N845&lt;$M845),Config!$B$43,0))</f>
        <v/>
      </c>
      <c r="AI845" s="40" t="str">
        <f>IF($J845="","",IF(AND($L845="Elite",$F845&gt;=Config!$B$41,$N845&lt;$M845),Config!$B$42,0))</f>
        <v/>
      </c>
      <c r="AJ845" s="22"/>
    </row>
    <row r="846" ht="15.75" customHeight="1">
      <c r="A846" s="40" t="str">
        <f t="shared" si="1"/>
        <v/>
      </c>
      <c r="B846" s="40" t="str">
        <f>IF(Bids!$A846="","",Bids!$A846)</f>
        <v/>
      </c>
      <c r="C846" s="40" t="str">
        <f>IF(Bids!$B846="","",Bids!$B846)</f>
        <v/>
      </c>
      <c r="D846" s="40" t="str">
        <f>IF($C846="","",IFERROR(VLOOKUP($C846,Orders!$A:$J,9,FALSE),""))</f>
        <v/>
      </c>
      <c r="E846" s="40" t="str">
        <f>IF($C846="","",IFERROR(VLOOKUP($C846,Orders!$A:$J,3,FALSE),""))</f>
        <v/>
      </c>
      <c r="F846" s="40" t="str">
        <f>IF($C846="","",IFERROR(VLOOKUP($C846,Orders!$A:$J,4,FALSE),""))</f>
        <v/>
      </c>
      <c r="G846" s="40" t="str">
        <f>IF($C846="","",IFERROR(VLOOKUP($C846,Orders!$A:$J,5,FALSE),""))</f>
        <v/>
      </c>
      <c r="H846" s="40" t="str">
        <f>IF($C846="","",IFERROR(VLOOKUP($C846,Orders!$A:$J,6,FALSE),""))</f>
        <v/>
      </c>
      <c r="I846" s="40" t="str">
        <f>IF($C846="","",IFERROR(VLOOKUP($C846,Orders!$A:$J,7,FALSE),""))</f>
        <v/>
      </c>
      <c r="J846" s="40" t="str">
        <f>IF(Bids!$C846="","",Bids!$C846)</f>
        <v/>
      </c>
      <c r="K846" s="40" t="str">
        <f>IF($J846="","",IFERROR(VLOOKUP($J846,Grinders!$A:$N,2,FALSE),""))</f>
        <v/>
      </c>
      <c r="L846" s="40" t="str">
        <f>IF($J846="","",IFERROR(VLOOKUP($J846,Grinders!$A:$N,3,FALSE),""))</f>
        <v/>
      </c>
      <c r="M846" s="40" t="str">
        <f>IF($J846="","",IFERROR(VLOOKUP($J846,Grinders!$A:$N,4,FALSE),""))</f>
        <v/>
      </c>
      <c r="N846" s="40" t="str">
        <f>IF($J846="","",IFERROR(VLOOKUP($J846,Grinders!$A:$N,5,FALSE),""))</f>
        <v/>
      </c>
      <c r="O846" s="40" t="str">
        <f t="shared" si="2"/>
        <v/>
      </c>
      <c r="P846" s="40" t="str">
        <f>IF($J846="","",IFERROR(VLOOKUP($J846,Grinders!$A:$N,6,FALSE),""))</f>
        <v/>
      </c>
      <c r="Q846" s="40" t="str">
        <f>IF($J846="","",IFERROR(VLOOKUP($J846,Grinders!$A:$N,8,FALSE),""))</f>
        <v/>
      </c>
      <c r="R846" s="40" t="str">
        <f>IFERROR(IF($J846="","",IF($L846="Elite",MAX(50,MIN(100,Config!$B$27*MAX(0,MIN(100,(1-IF($O846="",0,$O846))*100)) + Config!$B$28*MAX(0,MIN(100,(1-MIN(1,IF(Config!$B$30=0,1,$P846/Config!$B$30)))*100)) + Config!$B$29*MAX(0,MIN(100,MIN(1,IF($Q846="",0,$Q846)/Config!$B$23)*100)))),MIN(100,Config!$B$27*MAX(0,MIN(100,(1-IF($O846="",0,$O846))*100)) + Config!$B$28*MAX(0,MIN(100,(1-MIN(1,IF(Config!$B$30=0,1,$P846/Config!$B$30)))*100)) + Config!$B$29*MAX(0,MIN(100,MIN(1,IF($Q846="",0,$Q846)/Config!$B$23)*100))))),"")
</f>
        <v/>
      </c>
      <c r="S846" s="40" t="str">
        <f>IF(Bids!$D846="","",Bids!$D846)</f>
        <v/>
      </c>
      <c r="T846" s="40" t="str">
        <f>IF(Bids!$F846="","",Bids!$F846)</f>
        <v/>
      </c>
      <c r="U846" s="40" t="str">
        <f t="shared" si="3"/>
        <v/>
      </c>
      <c r="V846" s="40" t="str">
        <f>IF($U846="","",IF(Config!$B$17=Config!$B$16,IF($U846&gt;=Config!$B$17,100,0),MAX(0,MIN(100,($U846-Config!$B$16)/(Config!$B$17-Config!$B$16)*100))))</f>
        <v/>
      </c>
      <c r="W846" s="40">
        <f>IF($L846="Elite",Config!$B$21,0)</f>
        <v>0</v>
      </c>
      <c r="X846" s="40" t="str">
        <f>IFERROR(IF(OR($T846="",$G846=""),"",IF($T846&gt;$G846,
  MAX(0, 60-(($T846-$G846)*24/Config!$B$19)*60),
  MEDIAN(60, 100, 60+(($G846-$T846)*24/Config!$B$20)*40)
)),"")
</f>
        <v/>
      </c>
      <c r="Y846" s="40" t="str">
        <f>IF($J846="","",IFERROR(VLOOKUP($J846,Grinders!$A:$N,10,FALSE),""))</f>
        <v/>
      </c>
      <c r="Z846" s="40" t="str">
        <f>IF($J846="","",IFERROR(VLOOKUP($J846,Grinders!$A:$N,11,FALSE),""))</f>
        <v/>
      </c>
      <c r="AA846" s="40" t="str">
        <f>IF($J846="","",IFERROR(VLOOKUP($J846,Grinders!$A:$N,12,FALSE),""))</f>
        <v/>
      </c>
      <c r="AB846" s="40">
        <f>IFERROR(IF(OR($C846="",$J846=""),0,IF($D846&lt;&gt;"Open",0,IF(COUNTIFS(GrinderServices!$B:$B,$J846,GrinderServices!$C:$C,$E846,GrinderServices!$E:$E,"Y")=0,0,IF($U846&lt;Config!$B$16,0,IF(Config!$B$18=1,IF($N846&gt;=$M846,0,1),1))))),"")</f>
        <v>0</v>
      </c>
      <c r="AC846" s="40" t="str">
        <f>IFERROR(IF($AB846=0,"",((Config!$B$6*$V846 + Config!$B$7*$R846 + Config!$B$8*$W846 + Config!$B$9*$X846 + Config!$B$10*$Y846 + Config!$B$11*$Z846 - Config!$B$12*$AA846)/Config!$B$13)+$AH846+$AI846),"")</f>
        <v/>
      </c>
      <c r="AD846" s="40" t="str">
        <f t="shared" si="4"/>
        <v/>
      </c>
      <c r="AE846" s="40" t="str">
        <f>IFERROR(__xludf.DUMMYFUNCTION("IF($AC846="""","""",IF($AC846=IFERROR(MAX(FILTER($AC$6:$AC$1000,$C$6:$C$1000=$C846,$AB$6:$AB$1000=1)),),""WINNER"",""""))"),"")</f>
        <v/>
      </c>
      <c r="AF846" s="40" t="str">
        <f t="shared" si="5"/>
        <v/>
      </c>
      <c r="AG846" s="40" t="str">
        <f>IF($J846="","",COUNTIF(Assignments!$B:$B,$J846))</f>
        <v/>
      </c>
      <c r="AH846" s="40" t="str">
        <f>IF($J846="","",IF(AND($AG846=0,$N846&lt;$M846),Config!$B$43,0))</f>
        <v/>
      </c>
      <c r="AI846" s="40" t="str">
        <f>IF($J846="","",IF(AND($L846="Elite",$F846&gt;=Config!$B$41,$N846&lt;$M846),Config!$B$42,0))</f>
        <v/>
      </c>
      <c r="AJ846" s="22"/>
    </row>
    <row r="847" ht="15.75" customHeight="1">
      <c r="A847" s="40" t="str">
        <f t="shared" si="1"/>
        <v/>
      </c>
      <c r="B847" s="40" t="str">
        <f>IF(Bids!$A847="","",Bids!$A847)</f>
        <v/>
      </c>
      <c r="C847" s="40" t="str">
        <f>IF(Bids!$B847="","",Bids!$B847)</f>
        <v/>
      </c>
      <c r="D847" s="40" t="str">
        <f>IF($C847="","",IFERROR(VLOOKUP($C847,Orders!$A:$J,9,FALSE),""))</f>
        <v/>
      </c>
      <c r="E847" s="40" t="str">
        <f>IF($C847="","",IFERROR(VLOOKUP($C847,Orders!$A:$J,3,FALSE),""))</f>
        <v/>
      </c>
      <c r="F847" s="40" t="str">
        <f>IF($C847="","",IFERROR(VLOOKUP($C847,Orders!$A:$J,4,FALSE),""))</f>
        <v/>
      </c>
      <c r="G847" s="40" t="str">
        <f>IF($C847="","",IFERROR(VLOOKUP($C847,Orders!$A:$J,5,FALSE),""))</f>
        <v/>
      </c>
      <c r="H847" s="40" t="str">
        <f>IF($C847="","",IFERROR(VLOOKUP($C847,Orders!$A:$J,6,FALSE),""))</f>
        <v/>
      </c>
      <c r="I847" s="40" t="str">
        <f>IF($C847="","",IFERROR(VLOOKUP($C847,Orders!$A:$J,7,FALSE),""))</f>
        <v/>
      </c>
      <c r="J847" s="40" t="str">
        <f>IF(Bids!$C847="","",Bids!$C847)</f>
        <v/>
      </c>
      <c r="K847" s="40" t="str">
        <f>IF($J847="","",IFERROR(VLOOKUP($J847,Grinders!$A:$N,2,FALSE),""))</f>
        <v/>
      </c>
      <c r="L847" s="40" t="str">
        <f>IF($J847="","",IFERROR(VLOOKUP($J847,Grinders!$A:$N,3,FALSE),""))</f>
        <v/>
      </c>
      <c r="M847" s="40" t="str">
        <f>IF($J847="","",IFERROR(VLOOKUP($J847,Grinders!$A:$N,4,FALSE),""))</f>
        <v/>
      </c>
      <c r="N847" s="40" t="str">
        <f>IF($J847="","",IFERROR(VLOOKUP($J847,Grinders!$A:$N,5,FALSE),""))</f>
        <v/>
      </c>
      <c r="O847" s="40" t="str">
        <f t="shared" si="2"/>
        <v/>
      </c>
      <c r="P847" s="40" t="str">
        <f>IF($J847="","",IFERROR(VLOOKUP($J847,Grinders!$A:$N,6,FALSE),""))</f>
        <v/>
      </c>
      <c r="Q847" s="40" t="str">
        <f>IF($J847="","",IFERROR(VLOOKUP($J847,Grinders!$A:$N,8,FALSE),""))</f>
        <v/>
      </c>
      <c r="R847" s="40" t="str">
        <f>IFERROR(IF($J847="","",IF($L847="Elite",MAX(50,MIN(100,Config!$B$27*MAX(0,MIN(100,(1-IF($O847="",0,$O847))*100)) + Config!$B$28*MAX(0,MIN(100,(1-MIN(1,IF(Config!$B$30=0,1,$P847/Config!$B$30)))*100)) + Config!$B$29*MAX(0,MIN(100,MIN(1,IF($Q847="",0,$Q847)/Config!$B$23)*100)))),MIN(100,Config!$B$27*MAX(0,MIN(100,(1-IF($O847="",0,$O847))*100)) + Config!$B$28*MAX(0,MIN(100,(1-MIN(1,IF(Config!$B$30=0,1,$P847/Config!$B$30)))*100)) + Config!$B$29*MAX(0,MIN(100,MIN(1,IF($Q847="",0,$Q847)/Config!$B$23)*100))))),"")
</f>
        <v/>
      </c>
      <c r="S847" s="40" t="str">
        <f>IF(Bids!$D847="","",Bids!$D847)</f>
        <v/>
      </c>
      <c r="T847" s="40" t="str">
        <f>IF(Bids!$F847="","",Bids!$F847)</f>
        <v/>
      </c>
      <c r="U847" s="40" t="str">
        <f t="shared" si="3"/>
        <v/>
      </c>
      <c r="V847" s="40" t="str">
        <f>IF($U847="","",IF(Config!$B$17=Config!$B$16,IF($U847&gt;=Config!$B$17,100,0),MAX(0,MIN(100,($U847-Config!$B$16)/(Config!$B$17-Config!$B$16)*100))))</f>
        <v/>
      </c>
      <c r="W847" s="40">
        <f>IF($L847="Elite",Config!$B$21,0)</f>
        <v>0</v>
      </c>
      <c r="X847" s="40" t="str">
        <f>IFERROR(IF(OR($T847="",$G847=""),"",IF($T847&gt;$G847,
  MAX(0, 60-(($T847-$G847)*24/Config!$B$19)*60),
  MEDIAN(60, 100, 60+(($G847-$T847)*24/Config!$B$20)*40)
)),"")
</f>
        <v/>
      </c>
      <c r="Y847" s="40" t="str">
        <f>IF($J847="","",IFERROR(VLOOKUP($J847,Grinders!$A:$N,10,FALSE),""))</f>
        <v/>
      </c>
      <c r="Z847" s="40" t="str">
        <f>IF($J847="","",IFERROR(VLOOKUP($J847,Grinders!$A:$N,11,FALSE),""))</f>
        <v/>
      </c>
      <c r="AA847" s="40" t="str">
        <f>IF($J847="","",IFERROR(VLOOKUP($J847,Grinders!$A:$N,12,FALSE),""))</f>
        <v/>
      </c>
      <c r="AB847" s="40">
        <f>IFERROR(IF(OR($C847="",$J847=""),0,IF($D847&lt;&gt;"Open",0,IF(COUNTIFS(GrinderServices!$B:$B,$J847,GrinderServices!$C:$C,$E847,GrinderServices!$E:$E,"Y")=0,0,IF($U847&lt;Config!$B$16,0,IF(Config!$B$18=1,IF($N847&gt;=$M847,0,1),1))))),"")</f>
        <v>0</v>
      </c>
      <c r="AC847" s="40" t="str">
        <f>IFERROR(IF($AB847=0,"",((Config!$B$6*$V847 + Config!$B$7*$R847 + Config!$B$8*$W847 + Config!$B$9*$X847 + Config!$B$10*$Y847 + Config!$B$11*$Z847 - Config!$B$12*$AA847)/Config!$B$13)+$AH847+$AI847),"")</f>
        <v/>
      </c>
      <c r="AD847" s="40" t="str">
        <f t="shared" si="4"/>
        <v/>
      </c>
      <c r="AE847" s="40" t="str">
        <f>IFERROR(__xludf.DUMMYFUNCTION("IF($AC847="""","""",IF($AC847=IFERROR(MAX(FILTER($AC$6:$AC$1000,$C$6:$C$1000=$C847,$AB$6:$AB$1000=1)),),""WINNER"",""""))"),"")</f>
        <v/>
      </c>
      <c r="AF847" s="40" t="str">
        <f t="shared" si="5"/>
        <v/>
      </c>
      <c r="AG847" s="40" t="str">
        <f>IF($J847="","",COUNTIF(Assignments!$B:$B,$J847))</f>
        <v/>
      </c>
      <c r="AH847" s="40" t="str">
        <f>IF($J847="","",IF(AND($AG847=0,$N847&lt;$M847),Config!$B$43,0))</f>
        <v/>
      </c>
      <c r="AI847" s="40" t="str">
        <f>IF($J847="","",IF(AND($L847="Elite",$F847&gt;=Config!$B$41,$N847&lt;$M847),Config!$B$42,0))</f>
        <v/>
      </c>
      <c r="AJ847" s="22"/>
    </row>
    <row r="848" ht="15.75" customHeight="1">
      <c r="A848" s="40" t="str">
        <f t="shared" si="1"/>
        <v/>
      </c>
      <c r="B848" s="40" t="str">
        <f>IF(Bids!$A848="","",Bids!$A848)</f>
        <v/>
      </c>
      <c r="C848" s="40" t="str">
        <f>IF(Bids!$B848="","",Bids!$B848)</f>
        <v/>
      </c>
      <c r="D848" s="40" t="str">
        <f>IF($C848="","",IFERROR(VLOOKUP($C848,Orders!$A:$J,9,FALSE),""))</f>
        <v/>
      </c>
      <c r="E848" s="40" t="str">
        <f>IF($C848="","",IFERROR(VLOOKUP($C848,Orders!$A:$J,3,FALSE),""))</f>
        <v/>
      </c>
      <c r="F848" s="40" t="str">
        <f>IF($C848="","",IFERROR(VLOOKUP($C848,Orders!$A:$J,4,FALSE),""))</f>
        <v/>
      </c>
      <c r="G848" s="40" t="str">
        <f>IF($C848="","",IFERROR(VLOOKUP($C848,Orders!$A:$J,5,FALSE),""))</f>
        <v/>
      </c>
      <c r="H848" s="40" t="str">
        <f>IF($C848="","",IFERROR(VLOOKUP($C848,Orders!$A:$J,6,FALSE),""))</f>
        <v/>
      </c>
      <c r="I848" s="40" t="str">
        <f>IF($C848="","",IFERROR(VLOOKUP($C848,Orders!$A:$J,7,FALSE),""))</f>
        <v/>
      </c>
      <c r="J848" s="40" t="str">
        <f>IF(Bids!$C848="","",Bids!$C848)</f>
        <v/>
      </c>
      <c r="K848" s="40" t="str">
        <f>IF($J848="","",IFERROR(VLOOKUP($J848,Grinders!$A:$N,2,FALSE),""))</f>
        <v/>
      </c>
      <c r="L848" s="40" t="str">
        <f>IF($J848="","",IFERROR(VLOOKUP($J848,Grinders!$A:$N,3,FALSE),""))</f>
        <v/>
      </c>
      <c r="M848" s="40" t="str">
        <f>IF($J848="","",IFERROR(VLOOKUP($J848,Grinders!$A:$N,4,FALSE),""))</f>
        <v/>
      </c>
      <c r="N848" s="40" t="str">
        <f>IF($J848="","",IFERROR(VLOOKUP($J848,Grinders!$A:$N,5,FALSE),""))</f>
        <v/>
      </c>
      <c r="O848" s="40" t="str">
        <f t="shared" si="2"/>
        <v/>
      </c>
      <c r="P848" s="40" t="str">
        <f>IF($J848="","",IFERROR(VLOOKUP($J848,Grinders!$A:$N,6,FALSE),""))</f>
        <v/>
      </c>
      <c r="Q848" s="40" t="str">
        <f>IF($J848="","",IFERROR(VLOOKUP($J848,Grinders!$A:$N,8,FALSE),""))</f>
        <v/>
      </c>
      <c r="R848" s="40" t="str">
        <f>IFERROR(IF($J848="","",IF($L848="Elite",MAX(50,MIN(100,Config!$B$27*MAX(0,MIN(100,(1-IF($O848="",0,$O848))*100)) + Config!$B$28*MAX(0,MIN(100,(1-MIN(1,IF(Config!$B$30=0,1,$P848/Config!$B$30)))*100)) + Config!$B$29*MAX(0,MIN(100,MIN(1,IF($Q848="",0,$Q848)/Config!$B$23)*100)))),MIN(100,Config!$B$27*MAX(0,MIN(100,(1-IF($O848="",0,$O848))*100)) + Config!$B$28*MAX(0,MIN(100,(1-MIN(1,IF(Config!$B$30=0,1,$P848/Config!$B$30)))*100)) + Config!$B$29*MAX(0,MIN(100,MIN(1,IF($Q848="",0,$Q848)/Config!$B$23)*100))))),"")
</f>
        <v/>
      </c>
      <c r="S848" s="40" t="str">
        <f>IF(Bids!$D848="","",Bids!$D848)</f>
        <v/>
      </c>
      <c r="T848" s="40" t="str">
        <f>IF(Bids!$F848="","",Bids!$F848)</f>
        <v/>
      </c>
      <c r="U848" s="40" t="str">
        <f t="shared" si="3"/>
        <v/>
      </c>
      <c r="V848" s="40" t="str">
        <f>IF($U848="","",IF(Config!$B$17=Config!$B$16,IF($U848&gt;=Config!$B$17,100,0),MAX(0,MIN(100,($U848-Config!$B$16)/(Config!$B$17-Config!$B$16)*100))))</f>
        <v/>
      </c>
      <c r="W848" s="40">
        <f>IF($L848="Elite",Config!$B$21,0)</f>
        <v>0</v>
      </c>
      <c r="X848" s="40" t="str">
        <f>IFERROR(IF(OR($T848="",$G848=""),"",IF($T848&gt;$G848,
  MAX(0, 60-(($T848-$G848)*24/Config!$B$19)*60),
  MEDIAN(60, 100, 60+(($G848-$T848)*24/Config!$B$20)*40)
)),"")
</f>
        <v/>
      </c>
      <c r="Y848" s="40" t="str">
        <f>IF($J848="","",IFERROR(VLOOKUP($J848,Grinders!$A:$N,10,FALSE),""))</f>
        <v/>
      </c>
      <c r="Z848" s="40" t="str">
        <f>IF($J848="","",IFERROR(VLOOKUP($J848,Grinders!$A:$N,11,FALSE),""))</f>
        <v/>
      </c>
      <c r="AA848" s="40" t="str">
        <f>IF($J848="","",IFERROR(VLOOKUP($J848,Grinders!$A:$N,12,FALSE),""))</f>
        <v/>
      </c>
      <c r="AB848" s="40">
        <f>IFERROR(IF(OR($C848="",$J848=""),0,IF($D848&lt;&gt;"Open",0,IF(COUNTIFS(GrinderServices!$B:$B,$J848,GrinderServices!$C:$C,$E848,GrinderServices!$E:$E,"Y")=0,0,IF($U848&lt;Config!$B$16,0,IF(Config!$B$18=1,IF($N848&gt;=$M848,0,1),1))))),"")</f>
        <v>0</v>
      </c>
      <c r="AC848" s="40" t="str">
        <f>IFERROR(IF($AB848=0,"",((Config!$B$6*$V848 + Config!$B$7*$R848 + Config!$B$8*$W848 + Config!$B$9*$X848 + Config!$B$10*$Y848 + Config!$B$11*$Z848 - Config!$B$12*$AA848)/Config!$B$13)+$AH848+$AI848),"")</f>
        <v/>
      </c>
      <c r="AD848" s="40" t="str">
        <f t="shared" si="4"/>
        <v/>
      </c>
      <c r="AE848" s="40" t="str">
        <f>IFERROR(__xludf.DUMMYFUNCTION("IF($AC848="""","""",IF($AC848=IFERROR(MAX(FILTER($AC$6:$AC$1000,$C$6:$C$1000=$C848,$AB$6:$AB$1000=1)),),""WINNER"",""""))"),"")</f>
        <v/>
      </c>
      <c r="AF848" s="40" t="str">
        <f t="shared" si="5"/>
        <v/>
      </c>
      <c r="AG848" s="40" t="str">
        <f>IF($J848="","",COUNTIF(Assignments!$B:$B,$J848))</f>
        <v/>
      </c>
      <c r="AH848" s="40" t="str">
        <f>IF($J848="","",IF(AND($AG848=0,$N848&lt;$M848),Config!$B$43,0))</f>
        <v/>
      </c>
      <c r="AI848" s="40" t="str">
        <f>IF($J848="","",IF(AND($L848="Elite",$F848&gt;=Config!$B$41,$N848&lt;$M848),Config!$B$42,0))</f>
        <v/>
      </c>
      <c r="AJ848" s="22"/>
    </row>
    <row r="849" ht="15.75" customHeight="1">
      <c r="A849" s="40" t="str">
        <f t="shared" si="1"/>
        <v/>
      </c>
      <c r="B849" s="40" t="str">
        <f>IF(Bids!$A849="","",Bids!$A849)</f>
        <v/>
      </c>
      <c r="C849" s="40" t="str">
        <f>IF(Bids!$B849="","",Bids!$B849)</f>
        <v/>
      </c>
      <c r="D849" s="40" t="str">
        <f>IF($C849="","",IFERROR(VLOOKUP($C849,Orders!$A:$J,9,FALSE),""))</f>
        <v/>
      </c>
      <c r="E849" s="40" t="str">
        <f>IF($C849="","",IFERROR(VLOOKUP($C849,Orders!$A:$J,3,FALSE),""))</f>
        <v/>
      </c>
      <c r="F849" s="40" t="str">
        <f>IF($C849="","",IFERROR(VLOOKUP($C849,Orders!$A:$J,4,FALSE),""))</f>
        <v/>
      </c>
      <c r="G849" s="40" t="str">
        <f>IF($C849="","",IFERROR(VLOOKUP($C849,Orders!$A:$J,5,FALSE),""))</f>
        <v/>
      </c>
      <c r="H849" s="40" t="str">
        <f>IF($C849="","",IFERROR(VLOOKUP($C849,Orders!$A:$J,6,FALSE),""))</f>
        <v/>
      </c>
      <c r="I849" s="40" t="str">
        <f>IF($C849="","",IFERROR(VLOOKUP($C849,Orders!$A:$J,7,FALSE),""))</f>
        <v/>
      </c>
      <c r="J849" s="40" t="str">
        <f>IF(Bids!$C849="","",Bids!$C849)</f>
        <v/>
      </c>
      <c r="K849" s="40" t="str">
        <f>IF($J849="","",IFERROR(VLOOKUP($J849,Grinders!$A:$N,2,FALSE),""))</f>
        <v/>
      </c>
      <c r="L849" s="40" t="str">
        <f>IF($J849="","",IFERROR(VLOOKUP($J849,Grinders!$A:$N,3,FALSE),""))</f>
        <v/>
      </c>
      <c r="M849" s="40" t="str">
        <f>IF($J849="","",IFERROR(VLOOKUP($J849,Grinders!$A:$N,4,FALSE),""))</f>
        <v/>
      </c>
      <c r="N849" s="40" t="str">
        <f>IF($J849="","",IFERROR(VLOOKUP($J849,Grinders!$A:$N,5,FALSE),""))</f>
        <v/>
      </c>
      <c r="O849" s="40" t="str">
        <f t="shared" si="2"/>
        <v/>
      </c>
      <c r="P849" s="40" t="str">
        <f>IF($J849="","",IFERROR(VLOOKUP($J849,Grinders!$A:$N,6,FALSE),""))</f>
        <v/>
      </c>
      <c r="Q849" s="40" t="str">
        <f>IF($J849="","",IFERROR(VLOOKUP($J849,Grinders!$A:$N,8,FALSE),""))</f>
        <v/>
      </c>
      <c r="R849" s="40" t="str">
        <f>IFERROR(IF($J849="","",IF($L849="Elite",MAX(50,MIN(100,Config!$B$27*MAX(0,MIN(100,(1-IF($O849="",0,$O849))*100)) + Config!$B$28*MAX(0,MIN(100,(1-MIN(1,IF(Config!$B$30=0,1,$P849/Config!$B$30)))*100)) + Config!$B$29*MAX(0,MIN(100,MIN(1,IF($Q849="",0,$Q849)/Config!$B$23)*100)))),MIN(100,Config!$B$27*MAX(0,MIN(100,(1-IF($O849="",0,$O849))*100)) + Config!$B$28*MAX(0,MIN(100,(1-MIN(1,IF(Config!$B$30=0,1,$P849/Config!$B$30)))*100)) + Config!$B$29*MAX(0,MIN(100,MIN(1,IF($Q849="",0,$Q849)/Config!$B$23)*100))))),"")
</f>
        <v/>
      </c>
      <c r="S849" s="40" t="str">
        <f>IF(Bids!$D849="","",Bids!$D849)</f>
        <v/>
      </c>
      <c r="T849" s="40" t="str">
        <f>IF(Bids!$F849="","",Bids!$F849)</f>
        <v/>
      </c>
      <c r="U849" s="40" t="str">
        <f t="shared" si="3"/>
        <v/>
      </c>
      <c r="V849" s="40" t="str">
        <f>IF($U849="","",IF(Config!$B$17=Config!$B$16,IF($U849&gt;=Config!$B$17,100,0),MAX(0,MIN(100,($U849-Config!$B$16)/(Config!$B$17-Config!$B$16)*100))))</f>
        <v/>
      </c>
      <c r="W849" s="40">
        <f>IF($L849="Elite",Config!$B$21,0)</f>
        <v>0</v>
      </c>
      <c r="X849" s="40" t="str">
        <f>IFERROR(IF(OR($T849="",$G849=""),"",IF($T849&gt;$G849,
  MAX(0, 60-(($T849-$G849)*24/Config!$B$19)*60),
  MEDIAN(60, 100, 60+(($G849-$T849)*24/Config!$B$20)*40)
)),"")
</f>
        <v/>
      </c>
      <c r="Y849" s="40" t="str">
        <f>IF($J849="","",IFERROR(VLOOKUP($J849,Grinders!$A:$N,10,FALSE),""))</f>
        <v/>
      </c>
      <c r="Z849" s="40" t="str">
        <f>IF($J849="","",IFERROR(VLOOKUP($J849,Grinders!$A:$N,11,FALSE),""))</f>
        <v/>
      </c>
      <c r="AA849" s="40" t="str">
        <f>IF($J849="","",IFERROR(VLOOKUP($J849,Grinders!$A:$N,12,FALSE),""))</f>
        <v/>
      </c>
      <c r="AB849" s="40">
        <f>IFERROR(IF(OR($C849="",$J849=""),0,IF($D849&lt;&gt;"Open",0,IF(COUNTIFS(GrinderServices!$B:$B,$J849,GrinderServices!$C:$C,$E849,GrinderServices!$E:$E,"Y")=0,0,IF($U849&lt;Config!$B$16,0,IF(Config!$B$18=1,IF($N849&gt;=$M849,0,1),1))))),"")</f>
        <v>0</v>
      </c>
      <c r="AC849" s="40" t="str">
        <f>IFERROR(IF($AB849=0,"",((Config!$B$6*$V849 + Config!$B$7*$R849 + Config!$B$8*$W849 + Config!$B$9*$X849 + Config!$B$10*$Y849 + Config!$B$11*$Z849 - Config!$B$12*$AA849)/Config!$B$13)+$AH849+$AI849),"")</f>
        <v/>
      </c>
      <c r="AD849" s="40" t="str">
        <f t="shared" si="4"/>
        <v/>
      </c>
      <c r="AE849" s="40" t="str">
        <f>IFERROR(__xludf.DUMMYFUNCTION("IF($AC849="""","""",IF($AC849=IFERROR(MAX(FILTER($AC$6:$AC$1000,$C$6:$C$1000=$C849,$AB$6:$AB$1000=1)),),""WINNER"",""""))"),"")</f>
        <v/>
      </c>
      <c r="AF849" s="40" t="str">
        <f t="shared" si="5"/>
        <v/>
      </c>
      <c r="AG849" s="40" t="str">
        <f>IF($J849="","",COUNTIF(Assignments!$B:$B,$J849))</f>
        <v/>
      </c>
      <c r="AH849" s="40" t="str">
        <f>IF($J849="","",IF(AND($AG849=0,$N849&lt;$M849),Config!$B$43,0))</f>
        <v/>
      </c>
      <c r="AI849" s="40" t="str">
        <f>IF($J849="","",IF(AND($L849="Elite",$F849&gt;=Config!$B$41,$N849&lt;$M849),Config!$B$42,0))</f>
        <v/>
      </c>
      <c r="AJ849" s="22"/>
    </row>
    <row r="850" ht="15.75" customHeight="1">
      <c r="A850" s="40" t="str">
        <f t="shared" si="1"/>
        <v/>
      </c>
      <c r="B850" s="40" t="str">
        <f>IF(Bids!$A850="","",Bids!$A850)</f>
        <v/>
      </c>
      <c r="C850" s="40" t="str">
        <f>IF(Bids!$B850="","",Bids!$B850)</f>
        <v/>
      </c>
      <c r="D850" s="40" t="str">
        <f>IF($C850="","",IFERROR(VLOOKUP($C850,Orders!$A:$J,9,FALSE),""))</f>
        <v/>
      </c>
      <c r="E850" s="40" t="str">
        <f>IF($C850="","",IFERROR(VLOOKUP($C850,Orders!$A:$J,3,FALSE),""))</f>
        <v/>
      </c>
      <c r="F850" s="40" t="str">
        <f>IF($C850="","",IFERROR(VLOOKUP($C850,Orders!$A:$J,4,FALSE),""))</f>
        <v/>
      </c>
      <c r="G850" s="40" t="str">
        <f>IF($C850="","",IFERROR(VLOOKUP($C850,Orders!$A:$J,5,FALSE),""))</f>
        <v/>
      </c>
      <c r="H850" s="40" t="str">
        <f>IF($C850="","",IFERROR(VLOOKUP($C850,Orders!$A:$J,6,FALSE),""))</f>
        <v/>
      </c>
      <c r="I850" s="40" t="str">
        <f>IF($C850="","",IFERROR(VLOOKUP($C850,Orders!$A:$J,7,FALSE),""))</f>
        <v/>
      </c>
      <c r="J850" s="40" t="str">
        <f>IF(Bids!$C850="","",Bids!$C850)</f>
        <v/>
      </c>
      <c r="K850" s="40" t="str">
        <f>IF($J850="","",IFERROR(VLOOKUP($J850,Grinders!$A:$N,2,FALSE),""))</f>
        <v/>
      </c>
      <c r="L850" s="40" t="str">
        <f>IF($J850="","",IFERROR(VLOOKUP($J850,Grinders!$A:$N,3,FALSE),""))</f>
        <v/>
      </c>
      <c r="M850" s="40" t="str">
        <f>IF($J850="","",IFERROR(VLOOKUP($J850,Grinders!$A:$N,4,FALSE),""))</f>
        <v/>
      </c>
      <c r="N850" s="40" t="str">
        <f>IF($J850="","",IFERROR(VLOOKUP($J850,Grinders!$A:$N,5,FALSE),""))</f>
        <v/>
      </c>
      <c r="O850" s="40" t="str">
        <f t="shared" si="2"/>
        <v/>
      </c>
      <c r="P850" s="40" t="str">
        <f>IF($J850="","",IFERROR(VLOOKUP($J850,Grinders!$A:$N,6,FALSE),""))</f>
        <v/>
      </c>
      <c r="Q850" s="40" t="str">
        <f>IF($J850="","",IFERROR(VLOOKUP($J850,Grinders!$A:$N,8,FALSE),""))</f>
        <v/>
      </c>
      <c r="R850" s="40" t="str">
        <f>IFERROR(IF($J850="","",IF($L850="Elite",MAX(50,MIN(100,Config!$B$27*MAX(0,MIN(100,(1-IF($O850="",0,$O850))*100)) + Config!$B$28*MAX(0,MIN(100,(1-MIN(1,IF(Config!$B$30=0,1,$P850/Config!$B$30)))*100)) + Config!$B$29*MAX(0,MIN(100,MIN(1,IF($Q850="",0,$Q850)/Config!$B$23)*100)))),MIN(100,Config!$B$27*MAX(0,MIN(100,(1-IF($O850="",0,$O850))*100)) + Config!$B$28*MAX(0,MIN(100,(1-MIN(1,IF(Config!$B$30=0,1,$P850/Config!$B$30)))*100)) + Config!$B$29*MAX(0,MIN(100,MIN(1,IF($Q850="",0,$Q850)/Config!$B$23)*100))))),"")
</f>
        <v/>
      </c>
      <c r="S850" s="40" t="str">
        <f>IF(Bids!$D850="","",Bids!$D850)</f>
        <v/>
      </c>
      <c r="T850" s="40" t="str">
        <f>IF(Bids!$F850="","",Bids!$F850)</f>
        <v/>
      </c>
      <c r="U850" s="40" t="str">
        <f t="shared" si="3"/>
        <v/>
      </c>
      <c r="V850" s="40" t="str">
        <f>IF($U850="","",IF(Config!$B$17=Config!$B$16,IF($U850&gt;=Config!$B$17,100,0),MAX(0,MIN(100,($U850-Config!$B$16)/(Config!$B$17-Config!$B$16)*100))))</f>
        <v/>
      </c>
      <c r="W850" s="40">
        <f>IF($L850="Elite",Config!$B$21,0)</f>
        <v>0</v>
      </c>
      <c r="X850" s="40" t="str">
        <f>IFERROR(IF(OR($T850="",$G850=""),"",IF($T850&gt;$G850,
  MAX(0, 60-(($T850-$G850)*24/Config!$B$19)*60),
  MEDIAN(60, 100, 60+(($G850-$T850)*24/Config!$B$20)*40)
)),"")
</f>
        <v/>
      </c>
      <c r="Y850" s="40" t="str">
        <f>IF($J850="","",IFERROR(VLOOKUP($J850,Grinders!$A:$N,10,FALSE),""))</f>
        <v/>
      </c>
      <c r="Z850" s="40" t="str">
        <f>IF($J850="","",IFERROR(VLOOKUP($J850,Grinders!$A:$N,11,FALSE),""))</f>
        <v/>
      </c>
      <c r="AA850" s="40" t="str">
        <f>IF($J850="","",IFERROR(VLOOKUP($J850,Grinders!$A:$N,12,FALSE),""))</f>
        <v/>
      </c>
      <c r="AB850" s="40">
        <f>IFERROR(IF(OR($C850="",$J850=""),0,IF($D850&lt;&gt;"Open",0,IF(COUNTIFS(GrinderServices!$B:$B,$J850,GrinderServices!$C:$C,$E850,GrinderServices!$E:$E,"Y")=0,0,IF($U850&lt;Config!$B$16,0,IF(Config!$B$18=1,IF($N850&gt;=$M850,0,1),1))))),"")</f>
        <v>0</v>
      </c>
      <c r="AC850" s="40" t="str">
        <f>IFERROR(IF($AB850=0,"",((Config!$B$6*$V850 + Config!$B$7*$R850 + Config!$B$8*$W850 + Config!$B$9*$X850 + Config!$B$10*$Y850 + Config!$B$11*$Z850 - Config!$B$12*$AA850)/Config!$B$13)+$AH850+$AI850),"")</f>
        <v/>
      </c>
      <c r="AD850" s="40" t="str">
        <f t="shared" si="4"/>
        <v/>
      </c>
      <c r="AE850" s="40" t="str">
        <f>IFERROR(__xludf.DUMMYFUNCTION("IF($AC850="""","""",IF($AC850=IFERROR(MAX(FILTER($AC$6:$AC$1000,$C$6:$C$1000=$C850,$AB$6:$AB$1000=1)),),""WINNER"",""""))"),"")</f>
        <v/>
      </c>
      <c r="AF850" s="40" t="str">
        <f t="shared" si="5"/>
        <v/>
      </c>
      <c r="AG850" s="40" t="str">
        <f>IF($J850="","",COUNTIF(Assignments!$B:$B,$J850))</f>
        <v/>
      </c>
      <c r="AH850" s="40" t="str">
        <f>IF($J850="","",IF(AND($AG850=0,$N850&lt;$M850),Config!$B$43,0))</f>
        <v/>
      </c>
      <c r="AI850" s="40" t="str">
        <f>IF($J850="","",IF(AND($L850="Elite",$F850&gt;=Config!$B$41,$N850&lt;$M850),Config!$B$42,0))</f>
        <v/>
      </c>
      <c r="AJ850" s="22"/>
    </row>
    <row r="851" ht="15.75" customHeight="1">
      <c r="A851" s="40" t="str">
        <f t="shared" si="1"/>
        <v/>
      </c>
      <c r="B851" s="40" t="str">
        <f>IF(Bids!$A851="","",Bids!$A851)</f>
        <v/>
      </c>
      <c r="C851" s="40" t="str">
        <f>IF(Bids!$B851="","",Bids!$B851)</f>
        <v/>
      </c>
      <c r="D851" s="40" t="str">
        <f>IF($C851="","",IFERROR(VLOOKUP($C851,Orders!$A:$J,9,FALSE),""))</f>
        <v/>
      </c>
      <c r="E851" s="40" t="str">
        <f>IF($C851="","",IFERROR(VLOOKUP($C851,Orders!$A:$J,3,FALSE),""))</f>
        <v/>
      </c>
      <c r="F851" s="40" t="str">
        <f>IF($C851="","",IFERROR(VLOOKUP($C851,Orders!$A:$J,4,FALSE),""))</f>
        <v/>
      </c>
      <c r="G851" s="40" t="str">
        <f>IF($C851="","",IFERROR(VLOOKUP($C851,Orders!$A:$J,5,FALSE),""))</f>
        <v/>
      </c>
      <c r="H851" s="40" t="str">
        <f>IF($C851="","",IFERROR(VLOOKUP($C851,Orders!$A:$J,6,FALSE),""))</f>
        <v/>
      </c>
      <c r="I851" s="40" t="str">
        <f>IF($C851="","",IFERROR(VLOOKUP($C851,Orders!$A:$J,7,FALSE),""))</f>
        <v/>
      </c>
      <c r="J851" s="40" t="str">
        <f>IF(Bids!$C851="","",Bids!$C851)</f>
        <v/>
      </c>
      <c r="K851" s="40" t="str">
        <f>IF($J851="","",IFERROR(VLOOKUP($J851,Grinders!$A:$N,2,FALSE),""))</f>
        <v/>
      </c>
      <c r="L851" s="40" t="str">
        <f>IF($J851="","",IFERROR(VLOOKUP($J851,Grinders!$A:$N,3,FALSE),""))</f>
        <v/>
      </c>
      <c r="M851" s="40" t="str">
        <f>IF($J851="","",IFERROR(VLOOKUP($J851,Grinders!$A:$N,4,FALSE),""))</f>
        <v/>
      </c>
      <c r="N851" s="40" t="str">
        <f>IF($J851="","",IFERROR(VLOOKUP($J851,Grinders!$A:$N,5,FALSE),""))</f>
        <v/>
      </c>
      <c r="O851" s="40" t="str">
        <f t="shared" si="2"/>
        <v/>
      </c>
      <c r="P851" s="40" t="str">
        <f>IF($J851="","",IFERROR(VLOOKUP($J851,Grinders!$A:$N,6,FALSE),""))</f>
        <v/>
      </c>
      <c r="Q851" s="40" t="str">
        <f>IF($J851="","",IFERROR(VLOOKUP($J851,Grinders!$A:$N,8,FALSE),""))</f>
        <v/>
      </c>
      <c r="R851" s="40" t="str">
        <f>IFERROR(IF($J851="","",IF($L851="Elite",MAX(50,MIN(100,Config!$B$27*MAX(0,MIN(100,(1-IF($O851="",0,$O851))*100)) + Config!$B$28*MAX(0,MIN(100,(1-MIN(1,IF(Config!$B$30=0,1,$P851/Config!$B$30)))*100)) + Config!$B$29*MAX(0,MIN(100,MIN(1,IF($Q851="",0,$Q851)/Config!$B$23)*100)))),MIN(100,Config!$B$27*MAX(0,MIN(100,(1-IF($O851="",0,$O851))*100)) + Config!$B$28*MAX(0,MIN(100,(1-MIN(1,IF(Config!$B$30=0,1,$P851/Config!$B$30)))*100)) + Config!$B$29*MAX(0,MIN(100,MIN(1,IF($Q851="",0,$Q851)/Config!$B$23)*100))))),"")
</f>
        <v/>
      </c>
      <c r="S851" s="40" t="str">
        <f>IF(Bids!$D851="","",Bids!$D851)</f>
        <v/>
      </c>
      <c r="T851" s="40" t="str">
        <f>IF(Bids!$F851="","",Bids!$F851)</f>
        <v/>
      </c>
      <c r="U851" s="40" t="str">
        <f t="shared" si="3"/>
        <v/>
      </c>
      <c r="V851" s="40" t="str">
        <f>IF($U851="","",IF(Config!$B$17=Config!$B$16,IF($U851&gt;=Config!$B$17,100,0),MAX(0,MIN(100,($U851-Config!$B$16)/(Config!$B$17-Config!$B$16)*100))))</f>
        <v/>
      </c>
      <c r="W851" s="40">
        <f>IF($L851="Elite",Config!$B$21,0)</f>
        <v>0</v>
      </c>
      <c r="X851" s="40" t="str">
        <f>IFERROR(IF(OR($T851="",$G851=""),"",IF($T851&gt;$G851,
  MAX(0, 60-(($T851-$G851)*24/Config!$B$19)*60),
  MEDIAN(60, 100, 60+(($G851-$T851)*24/Config!$B$20)*40)
)),"")
</f>
        <v/>
      </c>
      <c r="Y851" s="40" t="str">
        <f>IF($J851="","",IFERROR(VLOOKUP($J851,Grinders!$A:$N,10,FALSE),""))</f>
        <v/>
      </c>
      <c r="Z851" s="40" t="str">
        <f>IF($J851="","",IFERROR(VLOOKUP($J851,Grinders!$A:$N,11,FALSE),""))</f>
        <v/>
      </c>
      <c r="AA851" s="40" t="str">
        <f>IF($J851="","",IFERROR(VLOOKUP($J851,Grinders!$A:$N,12,FALSE),""))</f>
        <v/>
      </c>
      <c r="AB851" s="40">
        <f>IFERROR(IF(OR($C851="",$J851=""),0,IF($D851&lt;&gt;"Open",0,IF(COUNTIFS(GrinderServices!$B:$B,$J851,GrinderServices!$C:$C,$E851,GrinderServices!$E:$E,"Y")=0,0,IF($U851&lt;Config!$B$16,0,IF(Config!$B$18=1,IF($N851&gt;=$M851,0,1),1))))),"")</f>
        <v>0</v>
      </c>
      <c r="AC851" s="40" t="str">
        <f>IFERROR(IF($AB851=0,"",((Config!$B$6*$V851 + Config!$B$7*$R851 + Config!$B$8*$W851 + Config!$B$9*$X851 + Config!$B$10*$Y851 + Config!$B$11*$Z851 - Config!$B$12*$AA851)/Config!$B$13)+$AH851+$AI851),"")</f>
        <v/>
      </c>
      <c r="AD851" s="40" t="str">
        <f t="shared" si="4"/>
        <v/>
      </c>
      <c r="AE851" s="40" t="str">
        <f>IFERROR(__xludf.DUMMYFUNCTION("IF($AC851="""","""",IF($AC851=IFERROR(MAX(FILTER($AC$6:$AC$1000,$C$6:$C$1000=$C851,$AB$6:$AB$1000=1)),),""WINNER"",""""))"),"")</f>
        <v/>
      </c>
      <c r="AF851" s="40" t="str">
        <f t="shared" si="5"/>
        <v/>
      </c>
      <c r="AG851" s="40" t="str">
        <f>IF($J851="","",COUNTIF(Assignments!$B:$B,$J851))</f>
        <v/>
      </c>
      <c r="AH851" s="40" t="str">
        <f>IF($J851="","",IF(AND($AG851=0,$N851&lt;$M851),Config!$B$43,0))</f>
        <v/>
      </c>
      <c r="AI851" s="40" t="str">
        <f>IF($J851="","",IF(AND($L851="Elite",$F851&gt;=Config!$B$41,$N851&lt;$M851),Config!$B$42,0))</f>
        <v/>
      </c>
      <c r="AJ851" s="22"/>
    </row>
    <row r="852" ht="15.75" customHeight="1">
      <c r="A852" s="40" t="str">
        <f t="shared" si="1"/>
        <v/>
      </c>
      <c r="B852" s="40" t="str">
        <f>IF(Bids!$A852="","",Bids!$A852)</f>
        <v/>
      </c>
      <c r="C852" s="40" t="str">
        <f>IF(Bids!$B852="","",Bids!$B852)</f>
        <v/>
      </c>
      <c r="D852" s="40" t="str">
        <f>IF($C852="","",IFERROR(VLOOKUP($C852,Orders!$A:$J,9,FALSE),""))</f>
        <v/>
      </c>
      <c r="E852" s="40" t="str">
        <f>IF($C852="","",IFERROR(VLOOKUP($C852,Orders!$A:$J,3,FALSE),""))</f>
        <v/>
      </c>
      <c r="F852" s="40" t="str">
        <f>IF($C852="","",IFERROR(VLOOKUP($C852,Orders!$A:$J,4,FALSE),""))</f>
        <v/>
      </c>
      <c r="G852" s="40" t="str">
        <f>IF($C852="","",IFERROR(VLOOKUP($C852,Orders!$A:$J,5,FALSE),""))</f>
        <v/>
      </c>
      <c r="H852" s="40" t="str">
        <f>IF($C852="","",IFERROR(VLOOKUP($C852,Orders!$A:$J,6,FALSE),""))</f>
        <v/>
      </c>
      <c r="I852" s="40" t="str">
        <f>IF($C852="","",IFERROR(VLOOKUP($C852,Orders!$A:$J,7,FALSE),""))</f>
        <v/>
      </c>
      <c r="J852" s="40" t="str">
        <f>IF(Bids!$C852="","",Bids!$C852)</f>
        <v/>
      </c>
      <c r="K852" s="40" t="str">
        <f>IF($J852="","",IFERROR(VLOOKUP($J852,Grinders!$A:$N,2,FALSE),""))</f>
        <v/>
      </c>
      <c r="L852" s="40" t="str">
        <f>IF($J852="","",IFERROR(VLOOKUP($J852,Grinders!$A:$N,3,FALSE),""))</f>
        <v/>
      </c>
      <c r="M852" s="40" t="str">
        <f>IF($J852="","",IFERROR(VLOOKUP($J852,Grinders!$A:$N,4,FALSE),""))</f>
        <v/>
      </c>
      <c r="N852" s="40" t="str">
        <f>IF($J852="","",IFERROR(VLOOKUP($J852,Grinders!$A:$N,5,FALSE),""))</f>
        <v/>
      </c>
      <c r="O852" s="40" t="str">
        <f t="shared" si="2"/>
        <v/>
      </c>
      <c r="P852" s="40" t="str">
        <f>IF($J852="","",IFERROR(VLOOKUP($J852,Grinders!$A:$N,6,FALSE),""))</f>
        <v/>
      </c>
      <c r="Q852" s="40" t="str">
        <f>IF($J852="","",IFERROR(VLOOKUP($J852,Grinders!$A:$N,8,FALSE),""))</f>
        <v/>
      </c>
      <c r="R852" s="40" t="str">
        <f>IFERROR(IF($J852="","",IF($L852="Elite",MAX(50,MIN(100,Config!$B$27*MAX(0,MIN(100,(1-IF($O852="",0,$O852))*100)) + Config!$B$28*MAX(0,MIN(100,(1-MIN(1,IF(Config!$B$30=0,1,$P852/Config!$B$30)))*100)) + Config!$B$29*MAX(0,MIN(100,MIN(1,IF($Q852="",0,$Q852)/Config!$B$23)*100)))),MIN(100,Config!$B$27*MAX(0,MIN(100,(1-IF($O852="",0,$O852))*100)) + Config!$B$28*MAX(0,MIN(100,(1-MIN(1,IF(Config!$B$30=0,1,$P852/Config!$B$30)))*100)) + Config!$B$29*MAX(0,MIN(100,MIN(1,IF($Q852="",0,$Q852)/Config!$B$23)*100))))),"")
</f>
        <v/>
      </c>
      <c r="S852" s="40" t="str">
        <f>IF(Bids!$D852="","",Bids!$D852)</f>
        <v/>
      </c>
      <c r="T852" s="40" t="str">
        <f>IF(Bids!$F852="","",Bids!$F852)</f>
        <v/>
      </c>
      <c r="U852" s="40" t="str">
        <f t="shared" si="3"/>
        <v/>
      </c>
      <c r="V852" s="40" t="str">
        <f>IF($U852="","",IF(Config!$B$17=Config!$B$16,IF($U852&gt;=Config!$B$17,100,0),MAX(0,MIN(100,($U852-Config!$B$16)/(Config!$B$17-Config!$B$16)*100))))</f>
        <v/>
      </c>
      <c r="W852" s="40">
        <f>IF($L852="Elite",Config!$B$21,0)</f>
        <v>0</v>
      </c>
      <c r="X852" s="40" t="str">
        <f>IFERROR(IF(OR($T852="",$G852=""),"",IF($T852&gt;$G852,
  MAX(0, 60-(($T852-$G852)*24/Config!$B$19)*60),
  MEDIAN(60, 100, 60+(($G852-$T852)*24/Config!$B$20)*40)
)),"")
</f>
        <v/>
      </c>
      <c r="Y852" s="40" t="str">
        <f>IF($J852="","",IFERROR(VLOOKUP($J852,Grinders!$A:$N,10,FALSE),""))</f>
        <v/>
      </c>
      <c r="Z852" s="40" t="str">
        <f>IF($J852="","",IFERROR(VLOOKUP($J852,Grinders!$A:$N,11,FALSE),""))</f>
        <v/>
      </c>
      <c r="AA852" s="40" t="str">
        <f>IF($J852="","",IFERROR(VLOOKUP($J852,Grinders!$A:$N,12,FALSE),""))</f>
        <v/>
      </c>
      <c r="AB852" s="40">
        <f>IFERROR(IF(OR($C852="",$J852=""),0,IF($D852&lt;&gt;"Open",0,IF(COUNTIFS(GrinderServices!$B:$B,$J852,GrinderServices!$C:$C,$E852,GrinderServices!$E:$E,"Y")=0,0,IF($U852&lt;Config!$B$16,0,IF(Config!$B$18=1,IF($N852&gt;=$M852,0,1),1))))),"")</f>
        <v>0</v>
      </c>
      <c r="AC852" s="40" t="str">
        <f>IFERROR(IF($AB852=0,"",((Config!$B$6*$V852 + Config!$B$7*$R852 + Config!$B$8*$W852 + Config!$B$9*$X852 + Config!$B$10*$Y852 + Config!$B$11*$Z852 - Config!$B$12*$AA852)/Config!$B$13)+$AH852+$AI852),"")</f>
        <v/>
      </c>
      <c r="AD852" s="40" t="str">
        <f t="shared" si="4"/>
        <v/>
      </c>
      <c r="AE852" s="40" t="str">
        <f>IFERROR(__xludf.DUMMYFUNCTION("IF($AC852="""","""",IF($AC852=IFERROR(MAX(FILTER($AC$6:$AC$1000,$C$6:$C$1000=$C852,$AB$6:$AB$1000=1)),),""WINNER"",""""))"),"")</f>
        <v/>
      </c>
      <c r="AF852" s="40" t="str">
        <f t="shared" si="5"/>
        <v/>
      </c>
      <c r="AG852" s="40" t="str">
        <f>IF($J852="","",COUNTIF(Assignments!$B:$B,$J852))</f>
        <v/>
      </c>
      <c r="AH852" s="40" t="str">
        <f>IF($J852="","",IF(AND($AG852=0,$N852&lt;$M852),Config!$B$43,0))</f>
        <v/>
      </c>
      <c r="AI852" s="40" t="str">
        <f>IF($J852="","",IF(AND($L852="Elite",$F852&gt;=Config!$B$41,$N852&lt;$M852),Config!$B$42,0))</f>
        <v/>
      </c>
      <c r="AJ852" s="22"/>
    </row>
    <row r="853" ht="15.75" customHeight="1">
      <c r="A853" s="40" t="str">
        <f t="shared" si="1"/>
        <v/>
      </c>
      <c r="B853" s="40" t="str">
        <f>IF(Bids!$A853="","",Bids!$A853)</f>
        <v/>
      </c>
      <c r="C853" s="40" t="str">
        <f>IF(Bids!$B853="","",Bids!$B853)</f>
        <v/>
      </c>
      <c r="D853" s="40" t="str">
        <f>IF($C853="","",IFERROR(VLOOKUP($C853,Orders!$A:$J,9,FALSE),""))</f>
        <v/>
      </c>
      <c r="E853" s="40" t="str">
        <f>IF($C853="","",IFERROR(VLOOKUP($C853,Orders!$A:$J,3,FALSE),""))</f>
        <v/>
      </c>
      <c r="F853" s="40" t="str">
        <f>IF($C853="","",IFERROR(VLOOKUP($C853,Orders!$A:$J,4,FALSE),""))</f>
        <v/>
      </c>
      <c r="G853" s="40" t="str">
        <f>IF($C853="","",IFERROR(VLOOKUP($C853,Orders!$A:$J,5,FALSE),""))</f>
        <v/>
      </c>
      <c r="H853" s="40" t="str">
        <f>IF($C853="","",IFERROR(VLOOKUP($C853,Orders!$A:$J,6,FALSE),""))</f>
        <v/>
      </c>
      <c r="I853" s="40" t="str">
        <f>IF($C853="","",IFERROR(VLOOKUP($C853,Orders!$A:$J,7,FALSE),""))</f>
        <v/>
      </c>
      <c r="J853" s="40" t="str">
        <f>IF(Bids!$C853="","",Bids!$C853)</f>
        <v/>
      </c>
      <c r="K853" s="40" t="str">
        <f>IF($J853="","",IFERROR(VLOOKUP($J853,Grinders!$A:$N,2,FALSE),""))</f>
        <v/>
      </c>
      <c r="L853" s="40" t="str">
        <f>IF($J853="","",IFERROR(VLOOKUP($J853,Grinders!$A:$N,3,FALSE),""))</f>
        <v/>
      </c>
      <c r="M853" s="40" t="str">
        <f>IF($J853="","",IFERROR(VLOOKUP($J853,Grinders!$A:$N,4,FALSE),""))</f>
        <v/>
      </c>
      <c r="N853" s="40" t="str">
        <f>IF($J853="","",IFERROR(VLOOKUP($J853,Grinders!$A:$N,5,FALSE),""))</f>
        <v/>
      </c>
      <c r="O853" s="40" t="str">
        <f t="shared" si="2"/>
        <v/>
      </c>
      <c r="P853" s="40" t="str">
        <f>IF($J853="","",IFERROR(VLOOKUP($J853,Grinders!$A:$N,6,FALSE),""))</f>
        <v/>
      </c>
      <c r="Q853" s="40" t="str">
        <f>IF($J853="","",IFERROR(VLOOKUP($J853,Grinders!$A:$N,8,FALSE),""))</f>
        <v/>
      </c>
      <c r="R853" s="40" t="str">
        <f>IFERROR(IF($J853="","",IF($L853="Elite",MAX(50,MIN(100,Config!$B$27*MAX(0,MIN(100,(1-IF($O853="",0,$O853))*100)) + Config!$B$28*MAX(0,MIN(100,(1-MIN(1,IF(Config!$B$30=0,1,$P853/Config!$B$30)))*100)) + Config!$B$29*MAX(0,MIN(100,MIN(1,IF($Q853="",0,$Q853)/Config!$B$23)*100)))),MIN(100,Config!$B$27*MAX(0,MIN(100,(1-IF($O853="",0,$O853))*100)) + Config!$B$28*MAX(0,MIN(100,(1-MIN(1,IF(Config!$B$30=0,1,$P853/Config!$B$30)))*100)) + Config!$B$29*MAX(0,MIN(100,MIN(1,IF($Q853="",0,$Q853)/Config!$B$23)*100))))),"")
</f>
        <v/>
      </c>
      <c r="S853" s="40" t="str">
        <f>IF(Bids!$D853="","",Bids!$D853)</f>
        <v/>
      </c>
      <c r="T853" s="40" t="str">
        <f>IF(Bids!$F853="","",Bids!$F853)</f>
        <v/>
      </c>
      <c r="U853" s="40" t="str">
        <f t="shared" si="3"/>
        <v/>
      </c>
      <c r="V853" s="40" t="str">
        <f>IF($U853="","",IF(Config!$B$17=Config!$B$16,IF($U853&gt;=Config!$B$17,100,0),MAX(0,MIN(100,($U853-Config!$B$16)/(Config!$B$17-Config!$B$16)*100))))</f>
        <v/>
      </c>
      <c r="W853" s="40">
        <f>IF($L853="Elite",Config!$B$21,0)</f>
        <v>0</v>
      </c>
      <c r="X853" s="40" t="str">
        <f>IFERROR(IF(OR($T853="",$G853=""),"",IF($T853&gt;$G853,
  MAX(0, 60-(($T853-$G853)*24/Config!$B$19)*60),
  MEDIAN(60, 100, 60+(($G853-$T853)*24/Config!$B$20)*40)
)),"")
</f>
        <v/>
      </c>
      <c r="Y853" s="40" t="str">
        <f>IF($J853="","",IFERROR(VLOOKUP($J853,Grinders!$A:$N,10,FALSE),""))</f>
        <v/>
      </c>
      <c r="Z853" s="40" t="str">
        <f>IF($J853="","",IFERROR(VLOOKUP($J853,Grinders!$A:$N,11,FALSE),""))</f>
        <v/>
      </c>
      <c r="AA853" s="40" t="str">
        <f>IF($J853="","",IFERROR(VLOOKUP($J853,Grinders!$A:$N,12,FALSE),""))</f>
        <v/>
      </c>
      <c r="AB853" s="40">
        <f>IFERROR(IF(OR($C853="",$J853=""),0,IF($D853&lt;&gt;"Open",0,IF(COUNTIFS(GrinderServices!$B:$B,$J853,GrinderServices!$C:$C,$E853,GrinderServices!$E:$E,"Y")=0,0,IF($U853&lt;Config!$B$16,0,IF(Config!$B$18=1,IF($N853&gt;=$M853,0,1),1))))),"")</f>
        <v>0</v>
      </c>
      <c r="AC853" s="40" t="str">
        <f>IFERROR(IF($AB853=0,"",((Config!$B$6*$V853 + Config!$B$7*$R853 + Config!$B$8*$W853 + Config!$B$9*$X853 + Config!$B$10*$Y853 + Config!$B$11*$Z853 - Config!$B$12*$AA853)/Config!$B$13)+$AH853+$AI853),"")</f>
        <v/>
      </c>
      <c r="AD853" s="40" t="str">
        <f t="shared" si="4"/>
        <v/>
      </c>
      <c r="AE853" s="40" t="str">
        <f>IFERROR(__xludf.DUMMYFUNCTION("IF($AC853="""","""",IF($AC853=IFERROR(MAX(FILTER($AC$6:$AC$1000,$C$6:$C$1000=$C853,$AB$6:$AB$1000=1)),),""WINNER"",""""))"),"")</f>
        <v/>
      </c>
      <c r="AF853" s="40" t="str">
        <f t="shared" si="5"/>
        <v/>
      </c>
      <c r="AG853" s="40" t="str">
        <f>IF($J853="","",COUNTIF(Assignments!$B:$B,$J853))</f>
        <v/>
      </c>
      <c r="AH853" s="40" t="str">
        <f>IF($J853="","",IF(AND($AG853=0,$N853&lt;$M853),Config!$B$43,0))</f>
        <v/>
      </c>
      <c r="AI853" s="40" t="str">
        <f>IF($J853="","",IF(AND($L853="Elite",$F853&gt;=Config!$B$41,$N853&lt;$M853),Config!$B$42,0))</f>
        <v/>
      </c>
      <c r="AJ853" s="22"/>
    </row>
    <row r="854" ht="15.75" customHeight="1">
      <c r="A854" s="40" t="str">
        <f t="shared" si="1"/>
        <v/>
      </c>
      <c r="B854" s="40" t="str">
        <f>IF(Bids!$A854="","",Bids!$A854)</f>
        <v/>
      </c>
      <c r="C854" s="40" t="str">
        <f>IF(Bids!$B854="","",Bids!$B854)</f>
        <v/>
      </c>
      <c r="D854" s="40" t="str">
        <f>IF($C854="","",IFERROR(VLOOKUP($C854,Orders!$A:$J,9,FALSE),""))</f>
        <v/>
      </c>
      <c r="E854" s="40" t="str">
        <f>IF($C854="","",IFERROR(VLOOKUP($C854,Orders!$A:$J,3,FALSE),""))</f>
        <v/>
      </c>
      <c r="F854" s="40" t="str">
        <f>IF($C854="","",IFERROR(VLOOKUP($C854,Orders!$A:$J,4,FALSE),""))</f>
        <v/>
      </c>
      <c r="G854" s="40" t="str">
        <f>IF($C854="","",IFERROR(VLOOKUP($C854,Orders!$A:$J,5,FALSE),""))</f>
        <v/>
      </c>
      <c r="H854" s="40" t="str">
        <f>IF($C854="","",IFERROR(VLOOKUP($C854,Orders!$A:$J,6,FALSE),""))</f>
        <v/>
      </c>
      <c r="I854" s="40" t="str">
        <f>IF($C854="","",IFERROR(VLOOKUP($C854,Orders!$A:$J,7,FALSE),""))</f>
        <v/>
      </c>
      <c r="J854" s="40" t="str">
        <f>IF(Bids!$C854="","",Bids!$C854)</f>
        <v/>
      </c>
      <c r="K854" s="40" t="str">
        <f>IF($J854="","",IFERROR(VLOOKUP($J854,Grinders!$A:$N,2,FALSE),""))</f>
        <v/>
      </c>
      <c r="L854" s="40" t="str">
        <f>IF($J854="","",IFERROR(VLOOKUP($J854,Grinders!$A:$N,3,FALSE),""))</f>
        <v/>
      </c>
      <c r="M854" s="40" t="str">
        <f>IF($J854="","",IFERROR(VLOOKUP($J854,Grinders!$A:$N,4,FALSE),""))</f>
        <v/>
      </c>
      <c r="N854" s="40" t="str">
        <f>IF($J854="","",IFERROR(VLOOKUP($J854,Grinders!$A:$N,5,FALSE),""))</f>
        <v/>
      </c>
      <c r="O854" s="40" t="str">
        <f t="shared" si="2"/>
        <v/>
      </c>
      <c r="P854" s="40" t="str">
        <f>IF($J854="","",IFERROR(VLOOKUP($J854,Grinders!$A:$N,6,FALSE),""))</f>
        <v/>
      </c>
      <c r="Q854" s="40" t="str">
        <f>IF($J854="","",IFERROR(VLOOKUP($J854,Grinders!$A:$N,8,FALSE),""))</f>
        <v/>
      </c>
      <c r="R854" s="40" t="str">
        <f>IFERROR(IF($J854="","",IF($L854="Elite",MAX(50,MIN(100,Config!$B$27*MAX(0,MIN(100,(1-IF($O854="",0,$O854))*100)) + Config!$B$28*MAX(0,MIN(100,(1-MIN(1,IF(Config!$B$30=0,1,$P854/Config!$B$30)))*100)) + Config!$B$29*MAX(0,MIN(100,MIN(1,IF($Q854="",0,$Q854)/Config!$B$23)*100)))),MIN(100,Config!$B$27*MAX(0,MIN(100,(1-IF($O854="",0,$O854))*100)) + Config!$B$28*MAX(0,MIN(100,(1-MIN(1,IF(Config!$B$30=0,1,$P854/Config!$B$30)))*100)) + Config!$B$29*MAX(0,MIN(100,MIN(1,IF($Q854="",0,$Q854)/Config!$B$23)*100))))),"")
</f>
        <v/>
      </c>
      <c r="S854" s="40" t="str">
        <f>IF(Bids!$D854="","",Bids!$D854)</f>
        <v/>
      </c>
      <c r="T854" s="40" t="str">
        <f>IF(Bids!$F854="","",Bids!$F854)</f>
        <v/>
      </c>
      <c r="U854" s="40" t="str">
        <f t="shared" si="3"/>
        <v/>
      </c>
      <c r="V854" s="40" t="str">
        <f>IF($U854="","",IF(Config!$B$17=Config!$B$16,IF($U854&gt;=Config!$B$17,100,0),MAX(0,MIN(100,($U854-Config!$B$16)/(Config!$B$17-Config!$B$16)*100))))</f>
        <v/>
      </c>
      <c r="W854" s="40">
        <f>IF($L854="Elite",Config!$B$21,0)</f>
        <v>0</v>
      </c>
      <c r="X854" s="40" t="str">
        <f>IFERROR(IF(OR($T854="",$G854=""),"",IF($T854&gt;$G854,
  MAX(0, 60-(($T854-$G854)*24/Config!$B$19)*60),
  MEDIAN(60, 100, 60+(($G854-$T854)*24/Config!$B$20)*40)
)),"")
</f>
        <v/>
      </c>
      <c r="Y854" s="40" t="str">
        <f>IF($J854="","",IFERROR(VLOOKUP($J854,Grinders!$A:$N,10,FALSE),""))</f>
        <v/>
      </c>
      <c r="Z854" s="40" t="str">
        <f>IF($J854="","",IFERROR(VLOOKUP($J854,Grinders!$A:$N,11,FALSE),""))</f>
        <v/>
      </c>
      <c r="AA854" s="40" t="str">
        <f>IF($J854="","",IFERROR(VLOOKUP($J854,Grinders!$A:$N,12,FALSE),""))</f>
        <v/>
      </c>
      <c r="AB854" s="40">
        <f>IFERROR(IF(OR($C854="",$J854=""),0,IF($D854&lt;&gt;"Open",0,IF(COUNTIFS(GrinderServices!$B:$B,$J854,GrinderServices!$C:$C,$E854,GrinderServices!$E:$E,"Y")=0,0,IF($U854&lt;Config!$B$16,0,IF(Config!$B$18=1,IF($N854&gt;=$M854,0,1),1))))),"")</f>
        <v>0</v>
      </c>
      <c r="AC854" s="40" t="str">
        <f>IFERROR(IF($AB854=0,"",((Config!$B$6*$V854 + Config!$B$7*$R854 + Config!$B$8*$W854 + Config!$B$9*$X854 + Config!$B$10*$Y854 + Config!$B$11*$Z854 - Config!$B$12*$AA854)/Config!$B$13)+$AH854+$AI854),"")</f>
        <v/>
      </c>
      <c r="AD854" s="40" t="str">
        <f t="shared" si="4"/>
        <v/>
      </c>
      <c r="AE854" s="40" t="str">
        <f>IFERROR(__xludf.DUMMYFUNCTION("IF($AC854="""","""",IF($AC854=IFERROR(MAX(FILTER($AC$6:$AC$1000,$C$6:$C$1000=$C854,$AB$6:$AB$1000=1)),),""WINNER"",""""))"),"")</f>
        <v/>
      </c>
      <c r="AF854" s="40" t="str">
        <f t="shared" si="5"/>
        <v/>
      </c>
      <c r="AG854" s="40" t="str">
        <f>IF($J854="","",COUNTIF(Assignments!$B:$B,$J854))</f>
        <v/>
      </c>
      <c r="AH854" s="40" t="str">
        <f>IF($J854="","",IF(AND($AG854=0,$N854&lt;$M854),Config!$B$43,0))</f>
        <v/>
      </c>
      <c r="AI854" s="40" t="str">
        <f>IF($J854="","",IF(AND($L854="Elite",$F854&gt;=Config!$B$41,$N854&lt;$M854),Config!$B$42,0))</f>
        <v/>
      </c>
      <c r="AJ854" s="22"/>
    </row>
    <row r="855" ht="15.75" customHeight="1">
      <c r="A855" s="40" t="str">
        <f t="shared" si="1"/>
        <v/>
      </c>
      <c r="B855" s="40" t="str">
        <f>IF(Bids!$A855="","",Bids!$A855)</f>
        <v/>
      </c>
      <c r="C855" s="40" t="str">
        <f>IF(Bids!$B855="","",Bids!$B855)</f>
        <v/>
      </c>
      <c r="D855" s="40" t="str">
        <f>IF($C855="","",IFERROR(VLOOKUP($C855,Orders!$A:$J,9,FALSE),""))</f>
        <v/>
      </c>
      <c r="E855" s="40" t="str">
        <f>IF($C855="","",IFERROR(VLOOKUP($C855,Orders!$A:$J,3,FALSE),""))</f>
        <v/>
      </c>
      <c r="F855" s="40" t="str">
        <f>IF($C855="","",IFERROR(VLOOKUP($C855,Orders!$A:$J,4,FALSE),""))</f>
        <v/>
      </c>
      <c r="G855" s="40" t="str">
        <f>IF($C855="","",IFERROR(VLOOKUP($C855,Orders!$A:$J,5,FALSE),""))</f>
        <v/>
      </c>
      <c r="H855" s="40" t="str">
        <f>IF($C855="","",IFERROR(VLOOKUP($C855,Orders!$A:$J,6,FALSE),""))</f>
        <v/>
      </c>
      <c r="I855" s="40" t="str">
        <f>IF($C855="","",IFERROR(VLOOKUP($C855,Orders!$A:$J,7,FALSE),""))</f>
        <v/>
      </c>
      <c r="J855" s="40" t="str">
        <f>IF(Bids!$C855="","",Bids!$C855)</f>
        <v/>
      </c>
      <c r="K855" s="40" t="str">
        <f>IF($J855="","",IFERROR(VLOOKUP($J855,Grinders!$A:$N,2,FALSE),""))</f>
        <v/>
      </c>
      <c r="L855" s="40" t="str">
        <f>IF($J855="","",IFERROR(VLOOKUP($J855,Grinders!$A:$N,3,FALSE),""))</f>
        <v/>
      </c>
      <c r="M855" s="40" t="str">
        <f>IF($J855="","",IFERROR(VLOOKUP($J855,Grinders!$A:$N,4,FALSE),""))</f>
        <v/>
      </c>
      <c r="N855" s="40" t="str">
        <f>IF($J855="","",IFERROR(VLOOKUP($J855,Grinders!$A:$N,5,FALSE),""))</f>
        <v/>
      </c>
      <c r="O855" s="40" t="str">
        <f t="shared" si="2"/>
        <v/>
      </c>
      <c r="P855" s="40" t="str">
        <f>IF($J855="","",IFERROR(VLOOKUP($J855,Grinders!$A:$N,6,FALSE),""))</f>
        <v/>
      </c>
      <c r="Q855" s="40" t="str">
        <f>IF($J855="","",IFERROR(VLOOKUP($J855,Grinders!$A:$N,8,FALSE),""))</f>
        <v/>
      </c>
      <c r="R855" s="40" t="str">
        <f>IFERROR(IF($J855="","",IF($L855="Elite",MAX(50,MIN(100,Config!$B$27*MAX(0,MIN(100,(1-IF($O855="",0,$O855))*100)) + Config!$B$28*MAX(0,MIN(100,(1-MIN(1,IF(Config!$B$30=0,1,$P855/Config!$B$30)))*100)) + Config!$B$29*MAX(0,MIN(100,MIN(1,IF($Q855="",0,$Q855)/Config!$B$23)*100)))),MIN(100,Config!$B$27*MAX(0,MIN(100,(1-IF($O855="",0,$O855))*100)) + Config!$B$28*MAX(0,MIN(100,(1-MIN(1,IF(Config!$B$30=0,1,$P855/Config!$B$30)))*100)) + Config!$B$29*MAX(0,MIN(100,MIN(1,IF($Q855="",0,$Q855)/Config!$B$23)*100))))),"")
</f>
        <v/>
      </c>
      <c r="S855" s="40" t="str">
        <f>IF(Bids!$D855="","",Bids!$D855)</f>
        <v/>
      </c>
      <c r="T855" s="40" t="str">
        <f>IF(Bids!$F855="","",Bids!$F855)</f>
        <v/>
      </c>
      <c r="U855" s="40" t="str">
        <f t="shared" si="3"/>
        <v/>
      </c>
      <c r="V855" s="40" t="str">
        <f>IF($U855="","",IF(Config!$B$17=Config!$B$16,IF($U855&gt;=Config!$B$17,100,0),MAX(0,MIN(100,($U855-Config!$B$16)/(Config!$B$17-Config!$B$16)*100))))</f>
        <v/>
      </c>
      <c r="W855" s="40">
        <f>IF($L855="Elite",Config!$B$21,0)</f>
        <v>0</v>
      </c>
      <c r="X855" s="40" t="str">
        <f>IFERROR(IF(OR($T855="",$G855=""),"",IF($T855&gt;$G855,
  MAX(0, 60-(($T855-$G855)*24/Config!$B$19)*60),
  MEDIAN(60, 100, 60+(($G855-$T855)*24/Config!$B$20)*40)
)),"")
</f>
        <v/>
      </c>
      <c r="Y855" s="40" t="str">
        <f>IF($J855="","",IFERROR(VLOOKUP($J855,Grinders!$A:$N,10,FALSE),""))</f>
        <v/>
      </c>
      <c r="Z855" s="40" t="str">
        <f>IF($J855="","",IFERROR(VLOOKUP($J855,Grinders!$A:$N,11,FALSE),""))</f>
        <v/>
      </c>
      <c r="AA855" s="40" t="str">
        <f>IF($J855="","",IFERROR(VLOOKUP($J855,Grinders!$A:$N,12,FALSE),""))</f>
        <v/>
      </c>
      <c r="AB855" s="40">
        <f>IFERROR(IF(OR($C855="",$J855=""),0,IF($D855&lt;&gt;"Open",0,IF(COUNTIFS(GrinderServices!$B:$B,$J855,GrinderServices!$C:$C,$E855,GrinderServices!$E:$E,"Y")=0,0,IF($U855&lt;Config!$B$16,0,IF(Config!$B$18=1,IF($N855&gt;=$M855,0,1),1))))),"")</f>
        <v>0</v>
      </c>
      <c r="AC855" s="40" t="str">
        <f>IFERROR(IF($AB855=0,"",((Config!$B$6*$V855 + Config!$B$7*$R855 + Config!$B$8*$W855 + Config!$B$9*$X855 + Config!$B$10*$Y855 + Config!$B$11*$Z855 - Config!$B$12*$AA855)/Config!$B$13)+$AH855+$AI855),"")</f>
        <v/>
      </c>
      <c r="AD855" s="40" t="str">
        <f t="shared" si="4"/>
        <v/>
      </c>
      <c r="AE855" s="40" t="str">
        <f>IFERROR(__xludf.DUMMYFUNCTION("IF($AC855="""","""",IF($AC855=IFERROR(MAX(FILTER($AC$6:$AC$1000,$C$6:$C$1000=$C855,$AB$6:$AB$1000=1)),),""WINNER"",""""))"),"")</f>
        <v/>
      </c>
      <c r="AF855" s="40" t="str">
        <f t="shared" si="5"/>
        <v/>
      </c>
      <c r="AG855" s="40" t="str">
        <f>IF($J855="","",COUNTIF(Assignments!$B:$B,$J855))</f>
        <v/>
      </c>
      <c r="AH855" s="40" t="str">
        <f>IF($J855="","",IF(AND($AG855=0,$N855&lt;$M855),Config!$B$43,0))</f>
        <v/>
      </c>
      <c r="AI855" s="40" t="str">
        <f>IF($J855="","",IF(AND($L855="Elite",$F855&gt;=Config!$B$41,$N855&lt;$M855),Config!$B$42,0))</f>
        <v/>
      </c>
      <c r="AJ855" s="22"/>
    </row>
    <row r="856" ht="15.75" customHeight="1">
      <c r="A856" s="40" t="str">
        <f t="shared" si="1"/>
        <v/>
      </c>
      <c r="B856" s="40" t="str">
        <f>IF(Bids!$A856="","",Bids!$A856)</f>
        <v/>
      </c>
      <c r="C856" s="40" t="str">
        <f>IF(Bids!$B856="","",Bids!$B856)</f>
        <v/>
      </c>
      <c r="D856" s="40" t="str">
        <f>IF($C856="","",IFERROR(VLOOKUP($C856,Orders!$A:$J,9,FALSE),""))</f>
        <v/>
      </c>
      <c r="E856" s="40" t="str">
        <f>IF($C856="","",IFERROR(VLOOKUP($C856,Orders!$A:$J,3,FALSE),""))</f>
        <v/>
      </c>
      <c r="F856" s="40" t="str">
        <f>IF($C856="","",IFERROR(VLOOKUP($C856,Orders!$A:$J,4,FALSE),""))</f>
        <v/>
      </c>
      <c r="G856" s="40" t="str">
        <f>IF($C856="","",IFERROR(VLOOKUP($C856,Orders!$A:$J,5,FALSE),""))</f>
        <v/>
      </c>
      <c r="H856" s="40" t="str">
        <f>IF($C856="","",IFERROR(VLOOKUP($C856,Orders!$A:$J,6,FALSE),""))</f>
        <v/>
      </c>
      <c r="I856" s="40" t="str">
        <f>IF($C856="","",IFERROR(VLOOKUP($C856,Orders!$A:$J,7,FALSE),""))</f>
        <v/>
      </c>
      <c r="J856" s="40" t="str">
        <f>IF(Bids!$C856="","",Bids!$C856)</f>
        <v/>
      </c>
      <c r="K856" s="40" t="str">
        <f>IF($J856="","",IFERROR(VLOOKUP($J856,Grinders!$A:$N,2,FALSE),""))</f>
        <v/>
      </c>
      <c r="L856" s="40" t="str">
        <f>IF($J856="","",IFERROR(VLOOKUP($J856,Grinders!$A:$N,3,FALSE),""))</f>
        <v/>
      </c>
      <c r="M856" s="40" t="str">
        <f>IF($J856="","",IFERROR(VLOOKUP($J856,Grinders!$A:$N,4,FALSE),""))</f>
        <v/>
      </c>
      <c r="N856" s="40" t="str">
        <f>IF($J856="","",IFERROR(VLOOKUP($J856,Grinders!$A:$N,5,FALSE),""))</f>
        <v/>
      </c>
      <c r="O856" s="40" t="str">
        <f t="shared" si="2"/>
        <v/>
      </c>
      <c r="P856" s="40" t="str">
        <f>IF($J856="","",IFERROR(VLOOKUP($J856,Grinders!$A:$N,6,FALSE),""))</f>
        <v/>
      </c>
      <c r="Q856" s="40" t="str">
        <f>IF($J856="","",IFERROR(VLOOKUP($J856,Grinders!$A:$N,8,FALSE),""))</f>
        <v/>
      </c>
      <c r="R856" s="40" t="str">
        <f>IFERROR(IF($J856="","",IF($L856="Elite",MAX(50,MIN(100,Config!$B$27*MAX(0,MIN(100,(1-IF($O856="",0,$O856))*100)) + Config!$B$28*MAX(0,MIN(100,(1-MIN(1,IF(Config!$B$30=0,1,$P856/Config!$B$30)))*100)) + Config!$B$29*MAX(0,MIN(100,MIN(1,IF($Q856="",0,$Q856)/Config!$B$23)*100)))),MIN(100,Config!$B$27*MAX(0,MIN(100,(1-IF($O856="",0,$O856))*100)) + Config!$B$28*MAX(0,MIN(100,(1-MIN(1,IF(Config!$B$30=0,1,$P856/Config!$B$30)))*100)) + Config!$B$29*MAX(0,MIN(100,MIN(1,IF($Q856="",0,$Q856)/Config!$B$23)*100))))),"")
</f>
        <v/>
      </c>
      <c r="S856" s="40" t="str">
        <f>IF(Bids!$D856="","",Bids!$D856)</f>
        <v/>
      </c>
      <c r="T856" s="40" t="str">
        <f>IF(Bids!$F856="","",Bids!$F856)</f>
        <v/>
      </c>
      <c r="U856" s="40" t="str">
        <f t="shared" si="3"/>
        <v/>
      </c>
      <c r="V856" s="40" t="str">
        <f>IF($U856="","",IF(Config!$B$17=Config!$B$16,IF($U856&gt;=Config!$B$17,100,0),MAX(0,MIN(100,($U856-Config!$B$16)/(Config!$B$17-Config!$B$16)*100))))</f>
        <v/>
      </c>
      <c r="W856" s="40">
        <f>IF($L856="Elite",Config!$B$21,0)</f>
        <v>0</v>
      </c>
      <c r="X856" s="40" t="str">
        <f>IFERROR(IF(OR($T856="",$G856=""),"",IF($T856&gt;$G856,
  MAX(0, 60-(($T856-$G856)*24/Config!$B$19)*60),
  MEDIAN(60, 100, 60+(($G856-$T856)*24/Config!$B$20)*40)
)),"")
</f>
        <v/>
      </c>
      <c r="Y856" s="40" t="str">
        <f>IF($J856="","",IFERROR(VLOOKUP($J856,Grinders!$A:$N,10,FALSE),""))</f>
        <v/>
      </c>
      <c r="Z856" s="40" t="str">
        <f>IF($J856="","",IFERROR(VLOOKUP($J856,Grinders!$A:$N,11,FALSE),""))</f>
        <v/>
      </c>
      <c r="AA856" s="40" t="str">
        <f>IF($J856="","",IFERROR(VLOOKUP($J856,Grinders!$A:$N,12,FALSE),""))</f>
        <v/>
      </c>
      <c r="AB856" s="40">
        <f>IFERROR(IF(OR($C856="",$J856=""),0,IF($D856&lt;&gt;"Open",0,IF(COUNTIFS(GrinderServices!$B:$B,$J856,GrinderServices!$C:$C,$E856,GrinderServices!$E:$E,"Y")=0,0,IF($U856&lt;Config!$B$16,0,IF(Config!$B$18=1,IF($N856&gt;=$M856,0,1),1))))),"")</f>
        <v>0</v>
      </c>
      <c r="AC856" s="40" t="str">
        <f>IFERROR(IF($AB856=0,"",((Config!$B$6*$V856 + Config!$B$7*$R856 + Config!$B$8*$W856 + Config!$B$9*$X856 + Config!$B$10*$Y856 + Config!$B$11*$Z856 - Config!$B$12*$AA856)/Config!$B$13)+$AH856+$AI856),"")</f>
        <v/>
      </c>
      <c r="AD856" s="40" t="str">
        <f t="shared" si="4"/>
        <v/>
      </c>
      <c r="AE856" s="40" t="str">
        <f>IFERROR(__xludf.DUMMYFUNCTION("IF($AC856="""","""",IF($AC856=IFERROR(MAX(FILTER($AC$6:$AC$1000,$C$6:$C$1000=$C856,$AB$6:$AB$1000=1)),),""WINNER"",""""))"),"")</f>
        <v/>
      </c>
      <c r="AF856" s="40" t="str">
        <f t="shared" si="5"/>
        <v/>
      </c>
      <c r="AG856" s="40" t="str">
        <f>IF($J856="","",COUNTIF(Assignments!$B:$B,$J856))</f>
        <v/>
      </c>
      <c r="AH856" s="40" t="str">
        <f>IF($J856="","",IF(AND($AG856=0,$N856&lt;$M856),Config!$B$43,0))</f>
        <v/>
      </c>
      <c r="AI856" s="40" t="str">
        <f>IF($J856="","",IF(AND($L856="Elite",$F856&gt;=Config!$B$41,$N856&lt;$M856),Config!$B$42,0))</f>
        <v/>
      </c>
      <c r="AJ856" s="22"/>
    </row>
    <row r="857" ht="15.75" customHeight="1">
      <c r="A857" s="40" t="str">
        <f t="shared" si="1"/>
        <v/>
      </c>
      <c r="B857" s="40" t="str">
        <f>IF(Bids!$A857="","",Bids!$A857)</f>
        <v/>
      </c>
      <c r="C857" s="40" t="str">
        <f>IF(Bids!$B857="","",Bids!$B857)</f>
        <v/>
      </c>
      <c r="D857" s="40" t="str">
        <f>IF($C857="","",IFERROR(VLOOKUP($C857,Orders!$A:$J,9,FALSE),""))</f>
        <v/>
      </c>
      <c r="E857" s="40" t="str">
        <f>IF($C857="","",IFERROR(VLOOKUP($C857,Orders!$A:$J,3,FALSE),""))</f>
        <v/>
      </c>
      <c r="F857" s="40" t="str">
        <f>IF($C857="","",IFERROR(VLOOKUP($C857,Orders!$A:$J,4,FALSE),""))</f>
        <v/>
      </c>
      <c r="G857" s="40" t="str">
        <f>IF($C857="","",IFERROR(VLOOKUP($C857,Orders!$A:$J,5,FALSE),""))</f>
        <v/>
      </c>
      <c r="H857" s="40" t="str">
        <f>IF($C857="","",IFERROR(VLOOKUP($C857,Orders!$A:$J,6,FALSE),""))</f>
        <v/>
      </c>
      <c r="I857" s="40" t="str">
        <f>IF($C857="","",IFERROR(VLOOKUP($C857,Orders!$A:$J,7,FALSE),""))</f>
        <v/>
      </c>
      <c r="J857" s="40" t="str">
        <f>IF(Bids!$C857="","",Bids!$C857)</f>
        <v/>
      </c>
      <c r="K857" s="40" t="str">
        <f>IF($J857="","",IFERROR(VLOOKUP($J857,Grinders!$A:$N,2,FALSE),""))</f>
        <v/>
      </c>
      <c r="L857" s="40" t="str">
        <f>IF($J857="","",IFERROR(VLOOKUP($J857,Grinders!$A:$N,3,FALSE),""))</f>
        <v/>
      </c>
      <c r="M857" s="40" t="str">
        <f>IF($J857="","",IFERROR(VLOOKUP($J857,Grinders!$A:$N,4,FALSE),""))</f>
        <v/>
      </c>
      <c r="N857" s="40" t="str">
        <f>IF($J857="","",IFERROR(VLOOKUP($J857,Grinders!$A:$N,5,FALSE),""))</f>
        <v/>
      </c>
      <c r="O857" s="40" t="str">
        <f t="shared" si="2"/>
        <v/>
      </c>
      <c r="P857" s="40" t="str">
        <f>IF($J857="","",IFERROR(VLOOKUP($J857,Grinders!$A:$N,6,FALSE),""))</f>
        <v/>
      </c>
      <c r="Q857" s="40" t="str">
        <f>IF($J857="","",IFERROR(VLOOKUP($J857,Grinders!$A:$N,8,FALSE),""))</f>
        <v/>
      </c>
      <c r="R857" s="40" t="str">
        <f>IFERROR(IF($J857="","",IF($L857="Elite",MAX(50,MIN(100,Config!$B$27*MAX(0,MIN(100,(1-IF($O857="",0,$O857))*100)) + Config!$B$28*MAX(0,MIN(100,(1-MIN(1,IF(Config!$B$30=0,1,$P857/Config!$B$30)))*100)) + Config!$B$29*MAX(0,MIN(100,MIN(1,IF($Q857="",0,$Q857)/Config!$B$23)*100)))),MIN(100,Config!$B$27*MAX(0,MIN(100,(1-IF($O857="",0,$O857))*100)) + Config!$B$28*MAX(0,MIN(100,(1-MIN(1,IF(Config!$B$30=0,1,$P857/Config!$B$30)))*100)) + Config!$B$29*MAX(0,MIN(100,MIN(1,IF($Q857="",0,$Q857)/Config!$B$23)*100))))),"")
</f>
        <v/>
      </c>
      <c r="S857" s="40" t="str">
        <f>IF(Bids!$D857="","",Bids!$D857)</f>
        <v/>
      </c>
      <c r="T857" s="40" t="str">
        <f>IF(Bids!$F857="","",Bids!$F857)</f>
        <v/>
      </c>
      <c r="U857" s="40" t="str">
        <f t="shared" si="3"/>
        <v/>
      </c>
      <c r="V857" s="40" t="str">
        <f>IF($U857="","",IF(Config!$B$17=Config!$B$16,IF($U857&gt;=Config!$B$17,100,0),MAX(0,MIN(100,($U857-Config!$B$16)/(Config!$B$17-Config!$B$16)*100))))</f>
        <v/>
      </c>
      <c r="W857" s="40">
        <f>IF($L857="Elite",Config!$B$21,0)</f>
        <v>0</v>
      </c>
      <c r="X857" s="40" t="str">
        <f>IFERROR(IF(OR($T857="",$G857=""),"",IF($T857&gt;$G857,
  MAX(0, 60-(($T857-$G857)*24/Config!$B$19)*60),
  MEDIAN(60, 100, 60+(($G857-$T857)*24/Config!$B$20)*40)
)),"")
</f>
        <v/>
      </c>
      <c r="Y857" s="40" t="str">
        <f>IF($J857="","",IFERROR(VLOOKUP($J857,Grinders!$A:$N,10,FALSE),""))</f>
        <v/>
      </c>
      <c r="Z857" s="40" t="str">
        <f>IF($J857="","",IFERROR(VLOOKUP($J857,Grinders!$A:$N,11,FALSE),""))</f>
        <v/>
      </c>
      <c r="AA857" s="40" t="str">
        <f>IF($J857="","",IFERROR(VLOOKUP($J857,Grinders!$A:$N,12,FALSE),""))</f>
        <v/>
      </c>
      <c r="AB857" s="40">
        <f>IFERROR(IF(OR($C857="",$J857=""),0,IF($D857&lt;&gt;"Open",0,IF(COUNTIFS(GrinderServices!$B:$B,$J857,GrinderServices!$C:$C,$E857,GrinderServices!$E:$E,"Y")=0,0,IF($U857&lt;Config!$B$16,0,IF(Config!$B$18=1,IF($N857&gt;=$M857,0,1),1))))),"")</f>
        <v>0</v>
      </c>
      <c r="AC857" s="40" t="str">
        <f>IFERROR(IF($AB857=0,"",((Config!$B$6*$V857 + Config!$B$7*$R857 + Config!$B$8*$W857 + Config!$B$9*$X857 + Config!$B$10*$Y857 + Config!$B$11*$Z857 - Config!$B$12*$AA857)/Config!$B$13)+$AH857+$AI857),"")</f>
        <v/>
      </c>
      <c r="AD857" s="40" t="str">
        <f t="shared" si="4"/>
        <v/>
      </c>
      <c r="AE857" s="40" t="str">
        <f>IFERROR(__xludf.DUMMYFUNCTION("IF($AC857="""","""",IF($AC857=IFERROR(MAX(FILTER($AC$6:$AC$1000,$C$6:$C$1000=$C857,$AB$6:$AB$1000=1)),),""WINNER"",""""))"),"")</f>
        <v/>
      </c>
      <c r="AF857" s="40" t="str">
        <f t="shared" si="5"/>
        <v/>
      </c>
      <c r="AG857" s="40" t="str">
        <f>IF($J857="","",COUNTIF(Assignments!$B:$B,$J857))</f>
        <v/>
      </c>
      <c r="AH857" s="40" t="str">
        <f>IF($J857="","",IF(AND($AG857=0,$N857&lt;$M857),Config!$B$43,0))</f>
        <v/>
      </c>
      <c r="AI857" s="40" t="str">
        <f>IF($J857="","",IF(AND($L857="Elite",$F857&gt;=Config!$B$41,$N857&lt;$M857),Config!$B$42,0))</f>
        <v/>
      </c>
      <c r="AJ857" s="22"/>
    </row>
    <row r="858" ht="15.75" customHeight="1">
      <c r="A858" s="40" t="str">
        <f t="shared" si="1"/>
        <v/>
      </c>
      <c r="B858" s="40" t="str">
        <f>IF(Bids!$A858="","",Bids!$A858)</f>
        <v/>
      </c>
      <c r="C858" s="40" t="str">
        <f>IF(Bids!$B858="","",Bids!$B858)</f>
        <v/>
      </c>
      <c r="D858" s="40" t="str">
        <f>IF($C858="","",IFERROR(VLOOKUP($C858,Orders!$A:$J,9,FALSE),""))</f>
        <v/>
      </c>
      <c r="E858" s="40" t="str">
        <f>IF($C858="","",IFERROR(VLOOKUP($C858,Orders!$A:$J,3,FALSE),""))</f>
        <v/>
      </c>
      <c r="F858" s="40" t="str">
        <f>IF($C858="","",IFERROR(VLOOKUP($C858,Orders!$A:$J,4,FALSE),""))</f>
        <v/>
      </c>
      <c r="G858" s="40" t="str">
        <f>IF($C858="","",IFERROR(VLOOKUP($C858,Orders!$A:$J,5,FALSE),""))</f>
        <v/>
      </c>
      <c r="H858" s="40" t="str">
        <f>IF($C858="","",IFERROR(VLOOKUP($C858,Orders!$A:$J,6,FALSE),""))</f>
        <v/>
      </c>
      <c r="I858" s="40" t="str">
        <f>IF($C858="","",IFERROR(VLOOKUP($C858,Orders!$A:$J,7,FALSE),""))</f>
        <v/>
      </c>
      <c r="J858" s="40" t="str">
        <f>IF(Bids!$C858="","",Bids!$C858)</f>
        <v/>
      </c>
      <c r="K858" s="40" t="str">
        <f>IF($J858="","",IFERROR(VLOOKUP($J858,Grinders!$A:$N,2,FALSE),""))</f>
        <v/>
      </c>
      <c r="L858" s="40" t="str">
        <f>IF($J858="","",IFERROR(VLOOKUP($J858,Grinders!$A:$N,3,FALSE),""))</f>
        <v/>
      </c>
      <c r="M858" s="40" t="str">
        <f>IF($J858="","",IFERROR(VLOOKUP($J858,Grinders!$A:$N,4,FALSE),""))</f>
        <v/>
      </c>
      <c r="N858" s="40" t="str">
        <f>IF($J858="","",IFERROR(VLOOKUP($J858,Grinders!$A:$N,5,FALSE),""))</f>
        <v/>
      </c>
      <c r="O858" s="40" t="str">
        <f t="shared" si="2"/>
        <v/>
      </c>
      <c r="P858" s="40" t="str">
        <f>IF($J858="","",IFERROR(VLOOKUP($J858,Grinders!$A:$N,6,FALSE),""))</f>
        <v/>
      </c>
      <c r="Q858" s="40" t="str">
        <f>IF($J858="","",IFERROR(VLOOKUP($J858,Grinders!$A:$N,8,FALSE),""))</f>
        <v/>
      </c>
      <c r="R858" s="40" t="str">
        <f>IFERROR(IF($J858="","",IF($L858="Elite",MAX(50,MIN(100,Config!$B$27*MAX(0,MIN(100,(1-IF($O858="",0,$O858))*100)) + Config!$B$28*MAX(0,MIN(100,(1-MIN(1,IF(Config!$B$30=0,1,$P858/Config!$B$30)))*100)) + Config!$B$29*MAX(0,MIN(100,MIN(1,IF($Q858="",0,$Q858)/Config!$B$23)*100)))),MIN(100,Config!$B$27*MAX(0,MIN(100,(1-IF($O858="",0,$O858))*100)) + Config!$B$28*MAX(0,MIN(100,(1-MIN(1,IF(Config!$B$30=0,1,$P858/Config!$B$30)))*100)) + Config!$B$29*MAX(0,MIN(100,MIN(1,IF($Q858="",0,$Q858)/Config!$B$23)*100))))),"")
</f>
        <v/>
      </c>
      <c r="S858" s="40" t="str">
        <f>IF(Bids!$D858="","",Bids!$D858)</f>
        <v/>
      </c>
      <c r="T858" s="40" t="str">
        <f>IF(Bids!$F858="","",Bids!$F858)</f>
        <v/>
      </c>
      <c r="U858" s="40" t="str">
        <f t="shared" si="3"/>
        <v/>
      </c>
      <c r="V858" s="40" t="str">
        <f>IF($U858="","",IF(Config!$B$17=Config!$B$16,IF($U858&gt;=Config!$B$17,100,0),MAX(0,MIN(100,($U858-Config!$B$16)/(Config!$B$17-Config!$B$16)*100))))</f>
        <v/>
      </c>
      <c r="W858" s="40">
        <f>IF($L858="Elite",Config!$B$21,0)</f>
        <v>0</v>
      </c>
      <c r="X858" s="40" t="str">
        <f>IFERROR(IF(OR($T858="",$G858=""),"",IF($T858&gt;$G858,
  MAX(0, 60-(($T858-$G858)*24/Config!$B$19)*60),
  MEDIAN(60, 100, 60+(($G858-$T858)*24/Config!$B$20)*40)
)),"")
</f>
        <v/>
      </c>
      <c r="Y858" s="40" t="str">
        <f>IF($J858="","",IFERROR(VLOOKUP($J858,Grinders!$A:$N,10,FALSE),""))</f>
        <v/>
      </c>
      <c r="Z858" s="40" t="str">
        <f>IF($J858="","",IFERROR(VLOOKUP($J858,Grinders!$A:$N,11,FALSE),""))</f>
        <v/>
      </c>
      <c r="AA858" s="40" t="str">
        <f>IF($J858="","",IFERROR(VLOOKUP($J858,Grinders!$A:$N,12,FALSE),""))</f>
        <v/>
      </c>
      <c r="AB858" s="40">
        <f>IFERROR(IF(OR($C858="",$J858=""),0,IF($D858&lt;&gt;"Open",0,IF(COUNTIFS(GrinderServices!$B:$B,$J858,GrinderServices!$C:$C,$E858,GrinderServices!$E:$E,"Y")=0,0,IF($U858&lt;Config!$B$16,0,IF(Config!$B$18=1,IF($N858&gt;=$M858,0,1),1))))),"")</f>
        <v>0</v>
      </c>
      <c r="AC858" s="40" t="str">
        <f>IFERROR(IF($AB858=0,"",((Config!$B$6*$V858 + Config!$B$7*$R858 + Config!$B$8*$W858 + Config!$B$9*$X858 + Config!$B$10*$Y858 + Config!$B$11*$Z858 - Config!$B$12*$AA858)/Config!$B$13)+$AH858+$AI858),"")</f>
        <v/>
      </c>
      <c r="AD858" s="40" t="str">
        <f t="shared" si="4"/>
        <v/>
      </c>
      <c r="AE858" s="40" t="str">
        <f>IFERROR(__xludf.DUMMYFUNCTION("IF($AC858="""","""",IF($AC858=IFERROR(MAX(FILTER($AC$6:$AC$1000,$C$6:$C$1000=$C858,$AB$6:$AB$1000=1)),),""WINNER"",""""))"),"")</f>
        <v/>
      </c>
      <c r="AF858" s="40" t="str">
        <f t="shared" si="5"/>
        <v/>
      </c>
      <c r="AG858" s="40" t="str">
        <f>IF($J858="","",COUNTIF(Assignments!$B:$B,$J858))</f>
        <v/>
      </c>
      <c r="AH858" s="40" t="str">
        <f>IF($J858="","",IF(AND($AG858=0,$N858&lt;$M858),Config!$B$43,0))</f>
        <v/>
      </c>
      <c r="AI858" s="40" t="str">
        <f>IF($J858="","",IF(AND($L858="Elite",$F858&gt;=Config!$B$41,$N858&lt;$M858),Config!$B$42,0))</f>
        <v/>
      </c>
      <c r="AJ858" s="22"/>
    </row>
    <row r="859" ht="15.75" customHeight="1">
      <c r="A859" s="40" t="str">
        <f t="shared" si="1"/>
        <v/>
      </c>
      <c r="B859" s="40" t="str">
        <f>IF(Bids!$A859="","",Bids!$A859)</f>
        <v/>
      </c>
      <c r="C859" s="40" t="str">
        <f>IF(Bids!$B859="","",Bids!$B859)</f>
        <v/>
      </c>
      <c r="D859" s="40" t="str">
        <f>IF($C859="","",IFERROR(VLOOKUP($C859,Orders!$A:$J,9,FALSE),""))</f>
        <v/>
      </c>
      <c r="E859" s="40" t="str">
        <f>IF($C859="","",IFERROR(VLOOKUP($C859,Orders!$A:$J,3,FALSE),""))</f>
        <v/>
      </c>
      <c r="F859" s="40" t="str">
        <f>IF($C859="","",IFERROR(VLOOKUP($C859,Orders!$A:$J,4,FALSE),""))</f>
        <v/>
      </c>
      <c r="G859" s="40" t="str">
        <f>IF($C859="","",IFERROR(VLOOKUP($C859,Orders!$A:$J,5,FALSE),""))</f>
        <v/>
      </c>
      <c r="H859" s="40" t="str">
        <f>IF($C859="","",IFERROR(VLOOKUP($C859,Orders!$A:$J,6,FALSE),""))</f>
        <v/>
      </c>
      <c r="I859" s="40" t="str">
        <f>IF($C859="","",IFERROR(VLOOKUP($C859,Orders!$A:$J,7,FALSE),""))</f>
        <v/>
      </c>
      <c r="J859" s="40" t="str">
        <f>IF(Bids!$C859="","",Bids!$C859)</f>
        <v/>
      </c>
      <c r="K859" s="40" t="str">
        <f>IF($J859="","",IFERROR(VLOOKUP($J859,Grinders!$A:$N,2,FALSE),""))</f>
        <v/>
      </c>
      <c r="L859" s="40" t="str">
        <f>IF($J859="","",IFERROR(VLOOKUP($J859,Grinders!$A:$N,3,FALSE),""))</f>
        <v/>
      </c>
      <c r="M859" s="40" t="str">
        <f>IF($J859="","",IFERROR(VLOOKUP($J859,Grinders!$A:$N,4,FALSE),""))</f>
        <v/>
      </c>
      <c r="N859" s="40" t="str">
        <f>IF($J859="","",IFERROR(VLOOKUP($J859,Grinders!$A:$N,5,FALSE),""))</f>
        <v/>
      </c>
      <c r="O859" s="40" t="str">
        <f t="shared" si="2"/>
        <v/>
      </c>
      <c r="P859" s="40" t="str">
        <f>IF($J859="","",IFERROR(VLOOKUP($J859,Grinders!$A:$N,6,FALSE),""))</f>
        <v/>
      </c>
      <c r="Q859" s="40" t="str">
        <f>IF($J859="","",IFERROR(VLOOKUP($J859,Grinders!$A:$N,8,FALSE),""))</f>
        <v/>
      </c>
      <c r="R859" s="40" t="str">
        <f>IFERROR(IF($J859="","",IF($L859="Elite",MAX(50,MIN(100,Config!$B$27*MAX(0,MIN(100,(1-IF($O859="",0,$O859))*100)) + Config!$B$28*MAX(0,MIN(100,(1-MIN(1,IF(Config!$B$30=0,1,$P859/Config!$B$30)))*100)) + Config!$B$29*MAX(0,MIN(100,MIN(1,IF($Q859="",0,$Q859)/Config!$B$23)*100)))),MIN(100,Config!$B$27*MAX(0,MIN(100,(1-IF($O859="",0,$O859))*100)) + Config!$B$28*MAX(0,MIN(100,(1-MIN(1,IF(Config!$B$30=0,1,$P859/Config!$B$30)))*100)) + Config!$B$29*MAX(0,MIN(100,MIN(1,IF($Q859="",0,$Q859)/Config!$B$23)*100))))),"")
</f>
        <v/>
      </c>
      <c r="S859" s="40" t="str">
        <f>IF(Bids!$D859="","",Bids!$D859)</f>
        <v/>
      </c>
      <c r="T859" s="40" t="str">
        <f>IF(Bids!$F859="","",Bids!$F859)</f>
        <v/>
      </c>
      <c r="U859" s="40" t="str">
        <f t="shared" si="3"/>
        <v/>
      </c>
      <c r="V859" s="40" t="str">
        <f>IF($U859="","",IF(Config!$B$17=Config!$B$16,IF($U859&gt;=Config!$B$17,100,0),MAX(0,MIN(100,($U859-Config!$B$16)/(Config!$B$17-Config!$B$16)*100))))</f>
        <v/>
      </c>
      <c r="W859" s="40">
        <f>IF($L859="Elite",Config!$B$21,0)</f>
        <v>0</v>
      </c>
      <c r="X859" s="40" t="str">
        <f>IFERROR(IF(OR($T859="",$G859=""),"",IF($T859&gt;$G859,
  MAX(0, 60-(($T859-$G859)*24/Config!$B$19)*60),
  MEDIAN(60, 100, 60+(($G859-$T859)*24/Config!$B$20)*40)
)),"")
</f>
        <v/>
      </c>
      <c r="Y859" s="40" t="str">
        <f>IF($J859="","",IFERROR(VLOOKUP($J859,Grinders!$A:$N,10,FALSE),""))</f>
        <v/>
      </c>
      <c r="Z859" s="40" t="str">
        <f>IF($J859="","",IFERROR(VLOOKUP($J859,Grinders!$A:$N,11,FALSE),""))</f>
        <v/>
      </c>
      <c r="AA859" s="40" t="str">
        <f>IF($J859="","",IFERROR(VLOOKUP($J859,Grinders!$A:$N,12,FALSE),""))</f>
        <v/>
      </c>
      <c r="AB859" s="40">
        <f>IFERROR(IF(OR($C859="",$J859=""),0,IF($D859&lt;&gt;"Open",0,IF(COUNTIFS(GrinderServices!$B:$B,$J859,GrinderServices!$C:$C,$E859,GrinderServices!$E:$E,"Y")=0,0,IF($U859&lt;Config!$B$16,0,IF(Config!$B$18=1,IF($N859&gt;=$M859,0,1),1))))),"")</f>
        <v>0</v>
      </c>
      <c r="AC859" s="40" t="str">
        <f>IFERROR(IF($AB859=0,"",((Config!$B$6*$V859 + Config!$B$7*$R859 + Config!$B$8*$W859 + Config!$B$9*$X859 + Config!$B$10*$Y859 + Config!$B$11*$Z859 - Config!$B$12*$AA859)/Config!$B$13)+$AH859+$AI859),"")</f>
        <v/>
      </c>
      <c r="AD859" s="40" t="str">
        <f t="shared" si="4"/>
        <v/>
      </c>
      <c r="AE859" s="40" t="str">
        <f>IFERROR(__xludf.DUMMYFUNCTION("IF($AC859="""","""",IF($AC859=IFERROR(MAX(FILTER($AC$6:$AC$1000,$C$6:$C$1000=$C859,$AB$6:$AB$1000=1)),),""WINNER"",""""))"),"")</f>
        <v/>
      </c>
      <c r="AF859" s="40" t="str">
        <f t="shared" si="5"/>
        <v/>
      </c>
      <c r="AG859" s="40" t="str">
        <f>IF($J859="","",COUNTIF(Assignments!$B:$B,$J859))</f>
        <v/>
      </c>
      <c r="AH859" s="40" t="str">
        <f>IF($J859="","",IF(AND($AG859=0,$N859&lt;$M859),Config!$B$43,0))</f>
        <v/>
      </c>
      <c r="AI859" s="40" t="str">
        <f>IF($J859="","",IF(AND($L859="Elite",$F859&gt;=Config!$B$41,$N859&lt;$M859),Config!$B$42,0))</f>
        <v/>
      </c>
      <c r="AJ859" s="22"/>
    </row>
    <row r="860" ht="15.75" customHeight="1">
      <c r="A860" s="40" t="str">
        <f t="shared" si="1"/>
        <v/>
      </c>
      <c r="B860" s="40" t="str">
        <f>IF(Bids!$A860="","",Bids!$A860)</f>
        <v/>
      </c>
      <c r="C860" s="40" t="str">
        <f>IF(Bids!$B860="","",Bids!$B860)</f>
        <v/>
      </c>
      <c r="D860" s="40" t="str">
        <f>IF($C860="","",IFERROR(VLOOKUP($C860,Orders!$A:$J,9,FALSE),""))</f>
        <v/>
      </c>
      <c r="E860" s="40" t="str">
        <f>IF($C860="","",IFERROR(VLOOKUP($C860,Orders!$A:$J,3,FALSE),""))</f>
        <v/>
      </c>
      <c r="F860" s="40" t="str">
        <f>IF($C860="","",IFERROR(VLOOKUP($C860,Orders!$A:$J,4,FALSE),""))</f>
        <v/>
      </c>
      <c r="G860" s="40" t="str">
        <f>IF($C860="","",IFERROR(VLOOKUP($C860,Orders!$A:$J,5,FALSE),""))</f>
        <v/>
      </c>
      <c r="H860" s="40" t="str">
        <f>IF($C860="","",IFERROR(VLOOKUP($C860,Orders!$A:$J,6,FALSE),""))</f>
        <v/>
      </c>
      <c r="I860" s="40" t="str">
        <f>IF($C860="","",IFERROR(VLOOKUP($C860,Orders!$A:$J,7,FALSE),""))</f>
        <v/>
      </c>
      <c r="J860" s="40" t="str">
        <f>IF(Bids!$C860="","",Bids!$C860)</f>
        <v/>
      </c>
      <c r="K860" s="40" t="str">
        <f>IF($J860="","",IFERROR(VLOOKUP($J860,Grinders!$A:$N,2,FALSE),""))</f>
        <v/>
      </c>
      <c r="L860" s="40" t="str">
        <f>IF($J860="","",IFERROR(VLOOKUP($J860,Grinders!$A:$N,3,FALSE),""))</f>
        <v/>
      </c>
      <c r="M860" s="40" t="str">
        <f>IF($J860="","",IFERROR(VLOOKUP($J860,Grinders!$A:$N,4,FALSE),""))</f>
        <v/>
      </c>
      <c r="N860" s="40" t="str">
        <f>IF($J860="","",IFERROR(VLOOKUP($J860,Grinders!$A:$N,5,FALSE),""))</f>
        <v/>
      </c>
      <c r="O860" s="40" t="str">
        <f t="shared" si="2"/>
        <v/>
      </c>
      <c r="P860" s="40" t="str">
        <f>IF($J860="","",IFERROR(VLOOKUP($J860,Grinders!$A:$N,6,FALSE),""))</f>
        <v/>
      </c>
      <c r="Q860" s="40" t="str">
        <f>IF($J860="","",IFERROR(VLOOKUP($J860,Grinders!$A:$N,8,FALSE),""))</f>
        <v/>
      </c>
      <c r="R860" s="40" t="str">
        <f>IFERROR(IF($J860="","",IF($L860="Elite",MAX(50,MIN(100,Config!$B$27*MAX(0,MIN(100,(1-IF($O860="",0,$O860))*100)) + Config!$B$28*MAX(0,MIN(100,(1-MIN(1,IF(Config!$B$30=0,1,$P860/Config!$B$30)))*100)) + Config!$B$29*MAX(0,MIN(100,MIN(1,IF($Q860="",0,$Q860)/Config!$B$23)*100)))),MIN(100,Config!$B$27*MAX(0,MIN(100,(1-IF($O860="",0,$O860))*100)) + Config!$B$28*MAX(0,MIN(100,(1-MIN(1,IF(Config!$B$30=0,1,$P860/Config!$B$30)))*100)) + Config!$B$29*MAX(0,MIN(100,MIN(1,IF($Q860="",0,$Q860)/Config!$B$23)*100))))),"")
</f>
        <v/>
      </c>
      <c r="S860" s="40" t="str">
        <f>IF(Bids!$D860="","",Bids!$D860)</f>
        <v/>
      </c>
      <c r="T860" s="40" t="str">
        <f>IF(Bids!$F860="","",Bids!$F860)</f>
        <v/>
      </c>
      <c r="U860" s="40" t="str">
        <f t="shared" si="3"/>
        <v/>
      </c>
      <c r="V860" s="40" t="str">
        <f>IF($U860="","",IF(Config!$B$17=Config!$B$16,IF($U860&gt;=Config!$B$17,100,0),MAX(0,MIN(100,($U860-Config!$B$16)/(Config!$B$17-Config!$B$16)*100))))</f>
        <v/>
      </c>
      <c r="W860" s="40">
        <f>IF($L860="Elite",Config!$B$21,0)</f>
        <v>0</v>
      </c>
      <c r="X860" s="40" t="str">
        <f>IFERROR(IF(OR($T860="",$G860=""),"",IF($T860&gt;$G860,
  MAX(0, 60-(($T860-$G860)*24/Config!$B$19)*60),
  MEDIAN(60, 100, 60+(($G860-$T860)*24/Config!$B$20)*40)
)),"")
</f>
        <v/>
      </c>
      <c r="Y860" s="40" t="str">
        <f>IF($J860="","",IFERROR(VLOOKUP($J860,Grinders!$A:$N,10,FALSE),""))</f>
        <v/>
      </c>
      <c r="Z860" s="40" t="str">
        <f>IF($J860="","",IFERROR(VLOOKUP($J860,Grinders!$A:$N,11,FALSE),""))</f>
        <v/>
      </c>
      <c r="AA860" s="40" t="str">
        <f>IF($J860="","",IFERROR(VLOOKUP($J860,Grinders!$A:$N,12,FALSE),""))</f>
        <v/>
      </c>
      <c r="AB860" s="40">
        <f>IFERROR(IF(OR($C860="",$J860=""),0,IF($D860&lt;&gt;"Open",0,IF(COUNTIFS(GrinderServices!$B:$B,$J860,GrinderServices!$C:$C,$E860,GrinderServices!$E:$E,"Y")=0,0,IF($U860&lt;Config!$B$16,0,IF(Config!$B$18=1,IF($N860&gt;=$M860,0,1),1))))),"")</f>
        <v>0</v>
      </c>
      <c r="AC860" s="40" t="str">
        <f>IFERROR(IF($AB860=0,"",((Config!$B$6*$V860 + Config!$B$7*$R860 + Config!$B$8*$W860 + Config!$B$9*$X860 + Config!$B$10*$Y860 + Config!$B$11*$Z860 - Config!$B$12*$AA860)/Config!$B$13)+$AH860+$AI860),"")</f>
        <v/>
      </c>
      <c r="AD860" s="40" t="str">
        <f t="shared" si="4"/>
        <v/>
      </c>
      <c r="AE860" s="40" t="str">
        <f>IFERROR(__xludf.DUMMYFUNCTION("IF($AC860="""","""",IF($AC860=IFERROR(MAX(FILTER($AC$6:$AC$1000,$C$6:$C$1000=$C860,$AB$6:$AB$1000=1)),),""WINNER"",""""))"),"")</f>
        <v/>
      </c>
      <c r="AF860" s="40" t="str">
        <f t="shared" si="5"/>
        <v/>
      </c>
      <c r="AG860" s="40" t="str">
        <f>IF($J860="","",COUNTIF(Assignments!$B:$B,$J860))</f>
        <v/>
      </c>
      <c r="AH860" s="40" t="str">
        <f>IF($J860="","",IF(AND($AG860=0,$N860&lt;$M860),Config!$B$43,0))</f>
        <v/>
      </c>
      <c r="AI860" s="40" t="str">
        <f>IF($J860="","",IF(AND($L860="Elite",$F860&gt;=Config!$B$41,$N860&lt;$M860),Config!$B$42,0))</f>
        <v/>
      </c>
      <c r="AJ860" s="22"/>
    </row>
    <row r="861" ht="15.75" customHeight="1">
      <c r="A861" s="40" t="str">
        <f t="shared" si="1"/>
        <v/>
      </c>
      <c r="B861" s="40" t="str">
        <f>IF(Bids!$A861="","",Bids!$A861)</f>
        <v/>
      </c>
      <c r="C861" s="40" t="str">
        <f>IF(Bids!$B861="","",Bids!$B861)</f>
        <v/>
      </c>
      <c r="D861" s="40" t="str">
        <f>IF($C861="","",IFERROR(VLOOKUP($C861,Orders!$A:$J,9,FALSE),""))</f>
        <v/>
      </c>
      <c r="E861" s="40" t="str">
        <f>IF($C861="","",IFERROR(VLOOKUP($C861,Orders!$A:$J,3,FALSE),""))</f>
        <v/>
      </c>
      <c r="F861" s="40" t="str">
        <f>IF($C861="","",IFERROR(VLOOKUP($C861,Orders!$A:$J,4,FALSE),""))</f>
        <v/>
      </c>
      <c r="G861" s="40" t="str">
        <f>IF($C861="","",IFERROR(VLOOKUP($C861,Orders!$A:$J,5,FALSE),""))</f>
        <v/>
      </c>
      <c r="H861" s="40" t="str">
        <f>IF($C861="","",IFERROR(VLOOKUP($C861,Orders!$A:$J,6,FALSE),""))</f>
        <v/>
      </c>
      <c r="I861" s="40" t="str">
        <f>IF($C861="","",IFERROR(VLOOKUP($C861,Orders!$A:$J,7,FALSE),""))</f>
        <v/>
      </c>
      <c r="J861" s="40" t="str">
        <f>IF(Bids!$C861="","",Bids!$C861)</f>
        <v/>
      </c>
      <c r="K861" s="40" t="str">
        <f>IF($J861="","",IFERROR(VLOOKUP($J861,Grinders!$A:$N,2,FALSE),""))</f>
        <v/>
      </c>
      <c r="L861" s="40" t="str">
        <f>IF($J861="","",IFERROR(VLOOKUP($J861,Grinders!$A:$N,3,FALSE),""))</f>
        <v/>
      </c>
      <c r="M861" s="40" t="str">
        <f>IF($J861="","",IFERROR(VLOOKUP($J861,Grinders!$A:$N,4,FALSE),""))</f>
        <v/>
      </c>
      <c r="N861" s="40" t="str">
        <f>IF($J861="","",IFERROR(VLOOKUP($J861,Grinders!$A:$N,5,FALSE),""))</f>
        <v/>
      </c>
      <c r="O861" s="40" t="str">
        <f t="shared" si="2"/>
        <v/>
      </c>
      <c r="P861" s="40" t="str">
        <f>IF($J861="","",IFERROR(VLOOKUP($J861,Grinders!$A:$N,6,FALSE),""))</f>
        <v/>
      </c>
      <c r="Q861" s="40" t="str">
        <f>IF($J861="","",IFERROR(VLOOKUP($J861,Grinders!$A:$N,8,FALSE),""))</f>
        <v/>
      </c>
      <c r="R861" s="40" t="str">
        <f>IFERROR(IF($J861="","",IF($L861="Elite",MAX(50,MIN(100,Config!$B$27*MAX(0,MIN(100,(1-IF($O861="",0,$O861))*100)) + Config!$B$28*MAX(0,MIN(100,(1-MIN(1,IF(Config!$B$30=0,1,$P861/Config!$B$30)))*100)) + Config!$B$29*MAX(0,MIN(100,MIN(1,IF($Q861="",0,$Q861)/Config!$B$23)*100)))),MIN(100,Config!$B$27*MAX(0,MIN(100,(1-IF($O861="",0,$O861))*100)) + Config!$B$28*MAX(0,MIN(100,(1-MIN(1,IF(Config!$B$30=0,1,$P861/Config!$B$30)))*100)) + Config!$B$29*MAX(0,MIN(100,MIN(1,IF($Q861="",0,$Q861)/Config!$B$23)*100))))),"")
</f>
        <v/>
      </c>
      <c r="S861" s="40" t="str">
        <f>IF(Bids!$D861="","",Bids!$D861)</f>
        <v/>
      </c>
      <c r="T861" s="40" t="str">
        <f>IF(Bids!$F861="","",Bids!$F861)</f>
        <v/>
      </c>
      <c r="U861" s="40" t="str">
        <f t="shared" si="3"/>
        <v/>
      </c>
      <c r="V861" s="40" t="str">
        <f>IF($U861="","",IF(Config!$B$17=Config!$B$16,IF($U861&gt;=Config!$B$17,100,0),MAX(0,MIN(100,($U861-Config!$B$16)/(Config!$B$17-Config!$B$16)*100))))</f>
        <v/>
      </c>
      <c r="W861" s="40">
        <f>IF($L861="Elite",Config!$B$21,0)</f>
        <v>0</v>
      </c>
      <c r="X861" s="40" t="str">
        <f>IFERROR(IF(OR($T861="",$G861=""),"",IF($T861&gt;$G861,
  MAX(0, 60-(($T861-$G861)*24/Config!$B$19)*60),
  MEDIAN(60, 100, 60+(($G861-$T861)*24/Config!$B$20)*40)
)),"")
</f>
        <v/>
      </c>
      <c r="Y861" s="40" t="str">
        <f>IF($J861="","",IFERROR(VLOOKUP($J861,Grinders!$A:$N,10,FALSE),""))</f>
        <v/>
      </c>
      <c r="Z861" s="40" t="str">
        <f>IF($J861="","",IFERROR(VLOOKUP($J861,Grinders!$A:$N,11,FALSE),""))</f>
        <v/>
      </c>
      <c r="AA861" s="40" t="str">
        <f>IF($J861="","",IFERROR(VLOOKUP($J861,Grinders!$A:$N,12,FALSE),""))</f>
        <v/>
      </c>
      <c r="AB861" s="40">
        <f>IFERROR(IF(OR($C861="",$J861=""),0,IF($D861&lt;&gt;"Open",0,IF(COUNTIFS(GrinderServices!$B:$B,$J861,GrinderServices!$C:$C,$E861,GrinderServices!$E:$E,"Y")=0,0,IF($U861&lt;Config!$B$16,0,IF(Config!$B$18=1,IF($N861&gt;=$M861,0,1),1))))),"")</f>
        <v>0</v>
      </c>
      <c r="AC861" s="40" t="str">
        <f>IFERROR(IF($AB861=0,"",((Config!$B$6*$V861 + Config!$B$7*$R861 + Config!$B$8*$W861 + Config!$B$9*$X861 + Config!$B$10*$Y861 + Config!$B$11*$Z861 - Config!$B$12*$AA861)/Config!$B$13)+$AH861+$AI861),"")</f>
        <v/>
      </c>
      <c r="AD861" s="40" t="str">
        <f t="shared" si="4"/>
        <v/>
      </c>
      <c r="AE861" s="40" t="str">
        <f>IFERROR(__xludf.DUMMYFUNCTION("IF($AC861="""","""",IF($AC861=IFERROR(MAX(FILTER($AC$6:$AC$1000,$C$6:$C$1000=$C861,$AB$6:$AB$1000=1)),),""WINNER"",""""))"),"")</f>
        <v/>
      </c>
      <c r="AF861" s="40" t="str">
        <f t="shared" si="5"/>
        <v/>
      </c>
      <c r="AG861" s="40" t="str">
        <f>IF($J861="","",COUNTIF(Assignments!$B:$B,$J861))</f>
        <v/>
      </c>
      <c r="AH861" s="40" t="str">
        <f>IF($J861="","",IF(AND($AG861=0,$N861&lt;$M861),Config!$B$43,0))</f>
        <v/>
      </c>
      <c r="AI861" s="40" t="str">
        <f>IF($J861="","",IF(AND($L861="Elite",$F861&gt;=Config!$B$41,$N861&lt;$M861),Config!$B$42,0))</f>
        <v/>
      </c>
      <c r="AJ861" s="22"/>
    </row>
    <row r="862" ht="15.75" customHeight="1">
      <c r="A862" s="40" t="str">
        <f t="shared" si="1"/>
        <v/>
      </c>
      <c r="B862" s="40" t="str">
        <f>IF(Bids!$A862="","",Bids!$A862)</f>
        <v/>
      </c>
      <c r="C862" s="40" t="str">
        <f>IF(Bids!$B862="","",Bids!$B862)</f>
        <v/>
      </c>
      <c r="D862" s="40" t="str">
        <f>IF($C862="","",IFERROR(VLOOKUP($C862,Orders!$A:$J,9,FALSE),""))</f>
        <v/>
      </c>
      <c r="E862" s="40" t="str">
        <f>IF($C862="","",IFERROR(VLOOKUP($C862,Orders!$A:$J,3,FALSE),""))</f>
        <v/>
      </c>
      <c r="F862" s="40" t="str">
        <f>IF($C862="","",IFERROR(VLOOKUP($C862,Orders!$A:$J,4,FALSE),""))</f>
        <v/>
      </c>
      <c r="G862" s="40" t="str">
        <f>IF($C862="","",IFERROR(VLOOKUP($C862,Orders!$A:$J,5,FALSE),""))</f>
        <v/>
      </c>
      <c r="H862" s="40" t="str">
        <f>IF($C862="","",IFERROR(VLOOKUP($C862,Orders!$A:$J,6,FALSE),""))</f>
        <v/>
      </c>
      <c r="I862" s="40" t="str">
        <f>IF($C862="","",IFERROR(VLOOKUP($C862,Orders!$A:$J,7,FALSE),""))</f>
        <v/>
      </c>
      <c r="J862" s="40" t="str">
        <f>IF(Bids!$C862="","",Bids!$C862)</f>
        <v/>
      </c>
      <c r="K862" s="40" t="str">
        <f>IF($J862="","",IFERROR(VLOOKUP($J862,Grinders!$A:$N,2,FALSE),""))</f>
        <v/>
      </c>
      <c r="L862" s="40" t="str">
        <f>IF($J862="","",IFERROR(VLOOKUP($J862,Grinders!$A:$N,3,FALSE),""))</f>
        <v/>
      </c>
      <c r="M862" s="40" t="str">
        <f>IF($J862="","",IFERROR(VLOOKUP($J862,Grinders!$A:$N,4,FALSE),""))</f>
        <v/>
      </c>
      <c r="N862" s="40" t="str">
        <f>IF($J862="","",IFERROR(VLOOKUP($J862,Grinders!$A:$N,5,FALSE),""))</f>
        <v/>
      </c>
      <c r="O862" s="40" t="str">
        <f t="shared" si="2"/>
        <v/>
      </c>
      <c r="P862" s="40" t="str">
        <f>IF($J862="","",IFERROR(VLOOKUP($J862,Grinders!$A:$N,6,FALSE),""))</f>
        <v/>
      </c>
      <c r="Q862" s="40" t="str">
        <f>IF($J862="","",IFERROR(VLOOKUP($J862,Grinders!$A:$N,8,FALSE),""))</f>
        <v/>
      </c>
      <c r="R862" s="40" t="str">
        <f>IFERROR(IF($J862="","",IF($L862="Elite",MAX(50,MIN(100,Config!$B$27*MAX(0,MIN(100,(1-IF($O862="",0,$O862))*100)) + Config!$B$28*MAX(0,MIN(100,(1-MIN(1,IF(Config!$B$30=0,1,$P862/Config!$B$30)))*100)) + Config!$B$29*MAX(0,MIN(100,MIN(1,IF($Q862="",0,$Q862)/Config!$B$23)*100)))),MIN(100,Config!$B$27*MAX(0,MIN(100,(1-IF($O862="",0,$O862))*100)) + Config!$B$28*MAX(0,MIN(100,(1-MIN(1,IF(Config!$B$30=0,1,$P862/Config!$B$30)))*100)) + Config!$B$29*MAX(0,MIN(100,MIN(1,IF($Q862="",0,$Q862)/Config!$B$23)*100))))),"")
</f>
        <v/>
      </c>
      <c r="S862" s="40" t="str">
        <f>IF(Bids!$D862="","",Bids!$D862)</f>
        <v/>
      </c>
      <c r="T862" s="40" t="str">
        <f>IF(Bids!$F862="","",Bids!$F862)</f>
        <v/>
      </c>
      <c r="U862" s="40" t="str">
        <f t="shared" si="3"/>
        <v/>
      </c>
      <c r="V862" s="40" t="str">
        <f>IF($U862="","",IF(Config!$B$17=Config!$B$16,IF($U862&gt;=Config!$B$17,100,0),MAX(0,MIN(100,($U862-Config!$B$16)/(Config!$B$17-Config!$B$16)*100))))</f>
        <v/>
      </c>
      <c r="W862" s="40">
        <f>IF($L862="Elite",Config!$B$21,0)</f>
        <v>0</v>
      </c>
      <c r="X862" s="40" t="str">
        <f>IFERROR(IF(OR($T862="",$G862=""),"",IF($T862&gt;$G862,
  MAX(0, 60-(($T862-$G862)*24/Config!$B$19)*60),
  MEDIAN(60, 100, 60+(($G862-$T862)*24/Config!$B$20)*40)
)),"")
</f>
        <v/>
      </c>
      <c r="Y862" s="40" t="str">
        <f>IF($J862="","",IFERROR(VLOOKUP($J862,Grinders!$A:$N,10,FALSE),""))</f>
        <v/>
      </c>
      <c r="Z862" s="40" t="str">
        <f>IF($J862="","",IFERROR(VLOOKUP($J862,Grinders!$A:$N,11,FALSE),""))</f>
        <v/>
      </c>
      <c r="AA862" s="40" t="str">
        <f>IF($J862="","",IFERROR(VLOOKUP($J862,Grinders!$A:$N,12,FALSE),""))</f>
        <v/>
      </c>
      <c r="AB862" s="40">
        <f>IFERROR(IF(OR($C862="",$J862=""),0,IF($D862&lt;&gt;"Open",0,IF(COUNTIFS(GrinderServices!$B:$B,$J862,GrinderServices!$C:$C,$E862,GrinderServices!$E:$E,"Y")=0,0,IF($U862&lt;Config!$B$16,0,IF(Config!$B$18=1,IF($N862&gt;=$M862,0,1),1))))),"")</f>
        <v>0</v>
      </c>
      <c r="AC862" s="40" t="str">
        <f>IFERROR(IF($AB862=0,"",((Config!$B$6*$V862 + Config!$B$7*$R862 + Config!$B$8*$W862 + Config!$B$9*$X862 + Config!$B$10*$Y862 + Config!$B$11*$Z862 - Config!$B$12*$AA862)/Config!$B$13)+$AH862+$AI862),"")</f>
        <v/>
      </c>
      <c r="AD862" s="40" t="str">
        <f t="shared" si="4"/>
        <v/>
      </c>
      <c r="AE862" s="40" t="str">
        <f>IFERROR(__xludf.DUMMYFUNCTION("IF($AC862="""","""",IF($AC862=IFERROR(MAX(FILTER($AC$6:$AC$1000,$C$6:$C$1000=$C862,$AB$6:$AB$1000=1)),),""WINNER"",""""))"),"")</f>
        <v/>
      </c>
      <c r="AF862" s="40" t="str">
        <f t="shared" si="5"/>
        <v/>
      </c>
      <c r="AG862" s="40" t="str">
        <f>IF($J862="","",COUNTIF(Assignments!$B:$B,$J862))</f>
        <v/>
      </c>
      <c r="AH862" s="40" t="str">
        <f>IF($J862="","",IF(AND($AG862=0,$N862&lt;$M862),Config!$B$43,0))</f>
        <v/>
      </c>
      <c r="AI862" s="40" t="str">
        <f>IF($J862="","",IF(AND($L862="Elite",$F862&gt;=Config!$B$41,$N862&lt;$M862),Config!$B$42,0))</f>
        <v/>
      </c>
      <c r="AJ862" s="22"/>
    </row>
    <row r="863" ht="15.75" customHeight="1">
      <c r="A863" s="40" t="str">
        <f t="shared" si="1"/>
        <v/>
      </c>
      <c r="B863" s="40" t="str">
        <f>IF(Bids!$A863="","",Bids!$A863)</f>
        <v/>
      </c>
      <c r="C863" s="40" t="str">
        <f>IF(Bids!$B863="","",Bids!$B863)</f>
        <v/>
      </c>
      <c r="D863" s="40" t="str">
        <f>IF($C863="","",IFERROR(VLOOKUP($C863,Orders!$A:$J,9,FALSE),""))</f>
        <v/>
      </c>
      <c r="E863" s="40" t="str">
        <f>IF($C863="","",IFERROR(VLOOKUP($C863,Orders!$A:$J,3,FALSE),""))</f>
        <v/>
      </c>
      <c r="F863" s="40" t="str">
        <f>IF($C863="","",IFERROR(VLOOKUP($C863,Orders!$A:$J,4,FALSE),""))</f>
        <v/>
      </c>
      <c r="G863" s="40" t="str">
        <f>IF($C863="","",IFERROR(VLOOKUP($C863,Orders!$A:$J,5,FALSE),""))</f>
        <v/>
      </c>
      <c r="H863" s="40" t="str">
        <f>IF($C863="","",IFERROR(VLOOKUP($C863,Orders!$A:$J,6,FALSE),""))</f>
        <v/>
      </c>
      <c r="I863" s="40" t="str">
        <f>IF($C863="","",IFERROR(VLOOKUP($C863,Orders!$A:$J,7,FALSE),""))</f>
        <v/>
      </c>
      <c r="J863" s="40" t="str">
        <f>IF(Bids!$C863="","",Bids!$C863)</f>
        <v/>
      </c>
      <c r="K863" s="40" t="str">
        <f>IF($J863="","",IFERROR(VLOOKUP($J863,Grinders!$A:$N,2,FALSE),""))</f>
        <v/>
      </c>
      <c r="L863" s="40" t="str">
        <f>IF($J863="","",IFERROR(VLOOKUP($J863,Grinders!$A:$N,3,FALSE),""))</f>
        <v/>
      </c>
      <c r="M863" s="40" t="str">
        <f>IF($J863="","",IFERROR(VLOOKUP($J863,Grinders!$A:$N,4,FALSE),""))</f>
        <v/>
      </c>
      <c r="N863" s="40" t="str">
        <f>IF($J863="","",IFERROR(VLOOKUP($J863,Grinders!$A:$N,5,FALSE),""))</f>
        <v/>
      </c>
      <c r="O863" s="40" t="str">
        <f t="shared" si="2"/>
        <v/>
      </c>
      <c r="P863" s="40" t="str">
        <f>IF($J863="","",IFERROR(VLOOKUP($J863,Grinders!$A:$N,6,FALSE),""))</f>
        <v/>
      </c>
      <c r="Q863" s="40" t="str">
        <f>IF($J863="","",IFERROR(VLOOKUP($J863,Grinders!$A:$N,8,FALSE),""))</f>
        <v/>
      </c>
      <c r="R863" s="40" t="str">
        <f>IFERROR(IF($J863="","",IF($L863="Elite",MAX(50,MIN(100,Config!$B$27*MAX(0,MIN(100,(1-IF($O863="",0,$O863))*100)) + Config!$B$28*MAX(0,MIN(100,(1-MIN(1,IF(Config!$B$30=0,1,$P863/Config!$B$30)))*100)) + Config!$B$29*MAX(0,MIN(100,MIN(1,IF($Q863="",0,$Q863)/Config!$B$23)*100)))),MIN(100,Config!$B$27*MAX(0,MIN(100,(1-IF($O863="",0,$O863))*100)) + Config!$B$28*MAX(0,MIN(100,(1-MIN(1,IF(Config!$B$30=0,1,$P863/Config!$B$30)))*100)) + Config!$B$29*MAX(0,MIN(100,MIN(1,IF($Q863="",0,$Q863)/Config!$B$23)*100))))),"")
</f>
        <v/>
      </c>
      <c r="S863" s="40" t="str">
        <f>IF(Bids!$D863="","",Bids!$D863)</f>
        <v/>
      </c>
      <c r="T863" s="40" t="str">
        <f>IF(Bids!$F863="","",Bids!$F863)</f>
        <v/>
      </c>
      <c r="U863" s="40" t="str">
        <f t="shared" si="3"/>
        <v/>
      </c>
      <c r="V863" s="40" t="str">
        <f>IF($U863="","",IF(Config!$B$17=Config!$B$16,IF($U863&gt;=Config!$B$17,100,0),MAX(0,MIN(100,($U863-Config!$B$16)/(Config!$B$17-Config!$B$16)*100))))</f>
        <v/>
      </c>
      <c r="W863" s="40">
        <f>IF($L863="Elite",Config!$B$21,0)</f>
        <v>0</v>
      </c>
      <c r="X863" s="40" t="str">
        <f>IFERROR(IF(OR($T863="",$G863=""),"",IF($T863&gt;$G863,
  MAX(0, 60-(($T863-$G863)*24/Config!$B$19)*60),
  MEDIAN(60, 100, 60+(($G863-$T863)*24/Config!$B$20)*40)
)),"")
</f>
        <v/>
      </c>
      <c r="Y863" s="40" t="str">
        <f>IF($J863="","",IFERROR(VLOOKUP($J863,Grinders!$A:$N,10,FALSE),""))</f>
        <v/>
      </c>
      <c r="Z863" s="40" t="str">
        <f>IF($J863="","",IFERROR(VLOOKUP($J863,Grinders!$A:$N,11,FALSE),""))</f>
        <v/>
      </c>
      <c r="AA863" s="40" t="str">
        <f>IF($J863="","",IFERROR(VLOOKUP($J863,Grinders!$A:$N,12,FALSE),""))</f>
        <v/>
      </c>
      <c r="AB863" s="40">
        <f>IFERROR(IF(OR($C863="",$J863=""),0,IF($D863&lt;&gt;"Open",0,IF(COUNTIFS(GrinderServices!$B:$B,$J863,GrinderServices!$C:$C,$E863,GrinderServices!$E:$E,"Y")=0,0,IF($U863&lt;Config!$B$16,0,IF(Config!$B$18=1,IF($N863&gt;=$M863,0,1),1))))),"")</f>
        <v>0</v>
      </c>
      <c r="AC863" s="40" t="str">
        <f>IFERROR(IF($AB863=0,"",((Config!$B$6*$V863 + Config!$B$7*$R863 + Config!$B$8*$W863 + Config!$B$9*$X863 + Config!$B$10*$Y863 + Config!$B$11*$Z863 - Config!$B$12*$AA863)/Config!$B$13)+$AH863+$AI863),"")</f>
        <v/>
      </c>
      <c r="AD863" s="40" t="str">
        <f t="shared" si="4"/>
        <v/>
      </c>
      <c r="AE863" s="40" t="str">
        <f>IFERROR(__xludf.DUMMYFUNCTION("IF($AC863="""","""",IF($AC863=IFERROR(MAX(FILTER($AC$6:$AC$1000,$C$6:$C$1000=$C863,$AB$6:$AB$1000=1)),),""WINNER"",""""))"),"")</f>
        <v/>
      </c>
      <c r="AF863" s="40" t="str">
        <f t="shared" si="5"/>
        <v/>
      </c>
      <c r="AG863" s="40" t="str">
        <f>IF($J863="","",COUNTIF(Assignments!$B:$B,$J863))</f>
        <v/>
      </c>
      <c r="AH863" s="40" t="str">
        <f>IF($J863="","",IF(AND($AG863=0,$N863&lt;$M863),Config!$B$43,0))</f>
        <v/>
      </c>
      <c r="AI863" s="40" t="str">
        <f>IF($J863="","",IF(AND($L863="Elite",$F863&gt;=Config!$B$41,$N863&lt;$M863),Config!$B$42,0))</f>
        <v/>
      </c>
      <c r="AJ863" s="22"/>
    </row>
    <row r="864" ht="15.75" customHeight="1">
      <c r="A864" s="40" t="str">
        <f t="shared" si="1"/>
        <v/>
      </c>
      <c r="B864" s="40" t="str">
        <f>IF(Bids!$A864="","",Bids!$A864)</f>
        <v/>
      </c>
      <c r="C864" s="40" t="str">
        <f>IF(Bids!$B864="","",Bids!$B864)</f>
        <v/>
      </c>
      <c r="D864" s="40" t="str">
        <f>IF($C864="","",IFERROR(VLOOKUP($C864,Orders!$A:$J,9,FALSE),""))</f>
        <v/>
      </c>
      <c r="E864" s="40" t="str">
        <f>IF($C864="","",IFERROR(VLOOKUP($C864,Orders!$A:$J,3,FALSE),""))</f>
        <v/>
      </c>
      <c r="F864" s="40" t="str">
        <f>IF($C864="","",IFERROR(VLOOKUP($C864,Orders!$A:$J,4,FALSE),""))</f>
        <v/>
      </c>
      <c r="G864" s="40" t="str">
        <f>IF($C864="","",IFERROR(VLOOKUP($C864,Orders!$A:$J,5,FALSE),""))</f>
        <v/>
      </c>
      <c r="H864" s="40" t="str">
        <f>IF($C864="","",IFERROR(VLOOKUP($C864,Orders!$A:$J,6,FALSE),""))</f>
        <v/>
      </c>
      <c r="I864" s="40" t="str">
        <f>IF($C864="","",IFERROR(VLOOKUP($C864,Orders!$A:$J,7,FALSE),""))</f>
        <v/>
      </c>
      <c r="J864" s="40" t="str">
        <f>IF(Bids!$C864="","",Bids!$C864)</f>
        <v/>
      </c>
      <c r="K864" s="40" t="str">
        <f>IF($J864="","",IFERROR(VLOOKUP($J864,Grinders!$A:$N,2,FALSE),""))</f>
        <v/>
      </c>
      <c r="L864" s="40" t="str">
        <f>IF($J864="","",IFERROR(VLOOKUP($J864,Grinders!$A:$N,3,FALSE),""))</f>
        <v/>
      </c>
      <c r="M864" s="40" t="str">
        <f>IF($J864="","",IFERROR(VLOOKUP($J864,Grinders!$A:$N,4,FALSE),""))</f>
        <v/>
      </c>
      <c r="N864" s="40" t="str">
        <f>IF($J864="","",IFERROR(VLOOKUP($J864,Grinders!$A:$N,5,FALSE),""))</f>
        <v/>
      </c>
      <c r="O864" s="40" t="str">
        <f t="shared" si="2"/>
        <v/>
      </c>
      <c r="P864" s="40" t="str">
        <f>IF($J864="","",IFERROR(VLOOKUP($J864,Grinders!$A:$N,6,FALSE),""))</f>
        <v/>
      </c>
      <c r="Q864" s="40" t="str">
        <f>IF($J864="","",IFERROR(VLOOKUP($J864,Grinders!$A:$N,8,FALSE),""))</f>
        <v/>
      </c>
      <c r="R864" s="40" t="str">
        <f>IFERROR(IF($J864="","",IF($L864="Elite",MAX(50,MIN(100,Config!$B$27*MAX(0,MIN(100,(1-IF($O864="",0,$O864))*100)) + Config!$B$28*MAX(0,MIN(100,(1-MIN(1,IF(Config!$B$30=0,1,$P864/Config!$B$30)))*100)) + Config!$B$29*MAX(0,MIN(100,MIN(1,IF($Q864="",0,$Q864)/Config!$B$23)*100)))),MIN(100,Config!$B$27*MAX(0,MIN(100,(1-IF($O864="",0,$O864))*100)) + Config!$B$28*MAX(0,MIN(100,(1-MIN(1,IF(Config!$B$30=0,1,$P864/Config!$B$30)))*100)) + Config!$B$29*MAX(0,MIN(100,MIN(1,IF($Q864="",0,$Q864)/Config!$B$23)*100))))),"")
</f>
        <v/>
      </c>
      <c r="S864" s="40" t="str">
        <f>IF(Bids!$D864="","",Bids!$D864)</f>
        <v/>
      </c>
      <c r="T864" s="40" t="str">
        <f>IF(Bids!$F864="","",Bids!$F864)</f>
        <v/>
      </c>
      <c r="U864" s="40" t="str">
        <f t="shared" si="3"/>
        <v/>
      </c>
      <c r="V864" s="40" t="str">
        <f>IF($U864="","",IF(Config!$B$17=Config!$B$16,IF($U864&gt;=Config!$B$17,100,0),MAX(0,MIN(100,($U864-Config!$B$16)/(Config!$B$17-Config!$B$16)*100))))</f>
        <v/>
      </c>
      <c r="W864" s="40">
        <f>IF($L864="Elite",Config!$B$21,0)</f>
        <v>0</v>
      </c>
      <c r="X864" s="40" t="str">
        <f>IFERROR(IF(OR($T864="",$G864=""),"",IF($T864&gt;$G864,
  MAX(0, 60-(($T864-$G864)*24/Config!$B$19)*60),
  MEDIAN(60, 100, 60+(($G864-$T864)*24/Config!$B$20)*40)
)),"")
</f>
        <v/>
      </c>
      <c r="Y864" s="40" t="str">
        <f>IF($J864="","",IFERROR(VLOOKUP($J864,Grinders!$A:$N,10,FALSE),""))</f>
        <v/>
      </c>
      <c r="Z864" s="40" t="str">
        <f>IF($J864="","",IFERROR(VLOOKUP($J864,Grinders!$A:$N,11,FALSE),""))</f>
        <v/>
      </c>
      <c r="AA864" s="40" t="str">
        <f>IF($J864="","",IFERROR(VLOOKUP($J864,Grinders!$A:$N,12,FALSE),""))</f>
        <v/>
      </c>
      <c r="AB864" s="40">
        <f>IFERROR(IF(OR($C864="",$J864=""),0,IF($D864&lt;&gt;"Open",0,IF(COUNTIFS(GrinderServices!$B:$B,$J864,GrinderServices!$C:$C,$E864,GrinderServices!$E:$E,"Y")=0,0,IF($U864&lt;Config!$B$16,0,IF(Config!$B$18=1,IF($N864&gt;=$M864,0,1),1))))),"")</f>
        <v>0</v>
      </c>
      <c r="AC864" s="40" t="str">
        <f>IFERROR(IF($AB864=0,"",((Config!$B$6*$V864 + Config!$B$7*$R864 + Config!$B$8*$W864 + Config!$B$9*$X864 + Config!$B$10*$Y864 + Config!$B$11*$Z864 - Config!$B$12*$AA864)/Config!$B$13)+$AH864+$AI864),"")</f>
        <v/>
      </c>
      <c r="AD864" s="40" t="str">
        <f t="shared" si="4"/>
        <v/>
      </c>
      <c r="AE864" s="40" t="str">
        <f>IFERROR(__xludf.DUMMYFUNCTION("IF($AC864="""","""",IF($AC864=IFERROR(MAX(FILTER($AC$6:$AC$1000,$C$6:$C$1000=$C864,$AB$6:$AB$1000=1)),),""WINNER"",""""))"),"")</f>
        <v/>
      </c>
      <c r="AF864" s="40" t="str">
        <f t="shared" si="5"/>
        <v/>
      </c>
      <c r="AG864" s="40" t="str">
        <f>IF($J864="","",COUNTIF(Assignments!$B:$B,$J864))</f>
        <v/>
      </c>
      <c r="AH864" s="40" t="str">
        <f>IF($J864="","",IF(AND($AG864=0,$N864&lt;$M864),Config!$B$43,0))</f>
        <v/>
      </c>
      <c r="AI864" s="40" t="str">
        <f>IF($J864="","",IF(AND($L864="Elite",$F864&gt;=Config!$B$41,$N864&lt;$M864),Config!$B$42,0))</f>
        <v/>
      </c>
      <c r="AJ864" s="22"/>
    </row>
    <row r="865" ht="15.75" customHeight="1">
      <c r="A865" s="40" t="str">
        <f t="shared" si="1"/>
        <v/>
      </c>
      <c r="B865" s="40" t="str">
        <f>IF(Bids!$A865="","",Bids!$A865)</f>
        <v/>
      </c>
      <c r="C865" s="40" t="str">
        <f>IF(Bids!$B865="","",Bids!$B865)</f>
        <v/>
      </c>
      <c r="D865" s="40" t="str">
        <f>IF($C865="","",IFERROR(VLOOKUP($C865,Orders!$A:$J,9,FALSE),""))</f>
        <v/>
      </c>
      <c r="E865" s="40" t="str">
        <f>IF($C865="","",IFERROR(VLOOKUP($C865,Orders!$A:$J,3,FALSE),""))</f>
        <v/>
      </c>
      <c r="F865" s="40" t="str">
        <f>IF($C865="","",IFERROR(VLOOKUP($C865,Orders!$A:$J,4,FALSE),""))</f>
        <v/>
      </c>
      <c r="G865" s="40" t="str">
        <f>IF($C865="","",IFERROR(VLOOKUP($C865,Orders!$A:$J,5,FALSE),""))</f>
        <v/>
      </c>
      <c r="H865" s="40" t="str">
        <f>IF($C865="","",IFERROR(VLOOKUP($C865,Orders!$A:$J,6,FALSE),""))</f>
        <v/>
      </c>
      <c r="I865" s="40" t="str">
        <f>IF($C865="","",IFERROR(VLOOKUP($C865,Orders!$A:$J,7,FALSE),""))</f>
        <v/>
      </c>
      <c r="J865" s="40" t="str">
        <f>IF(Bids!$C865="","",Bids!$C865)</f>
        <v/>
      </c>
      <c r="K865" s="40" t="str">
        <f>IF($J865="","",IFERROR(VLOOKUP($J865,Grinders!$A:$N,2,FALSE),""))</f>
        <v/>
      </c>
      <c r="L865" s="40" t="str">
        <f>IF($J865="","",IFERROR(VLOOKUP($J865,Grinders!$A:$N,3,FALSE),""))</f>
        <v/>
      </c>
      <c r="M865" s="40" t="str">
        <f>IF($J865="","",IFERROR(VLOOKUP($J865,Grinders!$A:$N,4,FALSE),""))</f>
        <v/>
      </c>
      <c r="N865" s="40" t="str">
        <f>IF($J865="","",IFERROR(VLOOKUP($J865,Grinders!$A:$N,5,FALSE),""))</f>
        <v/>
      </c>
      <c r="O865" s="40" t="str">
        <f t="shared" si="2"/>
        <v/>
      </c>
      <c r="P865" s="40" t="str">
        <f>IF($J865="","",IFERROR(VLOOKUP($J865,Grinders!$A:$N,6,FALSE),""))</f>
        <v/>
      </c>
      <c r="Q865" s="40" t="str">
        <f>IF($J865="","",IFERROR(VLOOKUP($J865,Grinders!$A:$N,8,FALSE),""))</f>
        <v/>
      </c>
      <c r="R865" s="40" t="str">
        <f>IFERROR(IF($J865="","",IF($L865="Elite",MAX(50,MIN(100,Config!$B$27*MAX(0,MIN(100,(1-IF($O865="",0,$O865))*100)) + Config!$B$28*MAX(0,MIN(100,(1-MIN(1,IF(Config!$B$30=0,1,$P865/Config!$B$30)))*100)) + Config!$B$29*MAX(0,MIN(100,MIN(1,IF($Q865="",0,$Q865)/Config!$B$23)*100)))),MIN(100,Config!$B$27*MAX(0,MIN(100,(1-IF($O865="",0,$O865))*100)) + Config!$B$28*MAX(0,MIN(100,(1-MIN(1,IF(Config!$B$30=0,1,$P865/Config!$B$30)))*100)) + Config!$B$29*MAX(0,MIN(100,MIN(1,IF($Q865="",0,$Q865)/Config!$B$23)*100))))),"")
</f>
        <v/>
      </c>
      <c r="S865" s="40" t="str">
        <f>IF(Bids!$D865="","",Bids!$D865)</f>
        <v/>
      </c>
      <c r="T865" s="40" t="str">
        <f>IF(Bids!$F865="","",Bids!$F865)</f>
        <v/>
      </c>
      <c r="U865" s="40" t="str">
        <f t="shared" si="3"/>
        <v/>
      </c>
      <c r="V865" s="40" t="str">
        <f>IF($U865="","",IF(Config!$B$17=Config!$B$16,IF($U865&gt;=Config!$B$17,100,0),MAX(0,MIN(100,($U865-Config!$B$16)/(Config!$B$17-Config!$B$16)*100))))</f>
        <v/>
      </c>
      <c r="W865" s="40">
        <f>IF($L865="Elite",Config!$B$21,0)</f>
        <v>0</v>
      </c>
      <c r="X865" s="40" t="str">
        <f>IFERROR(IF(OR($T865="",$G865=""),"",IF($T865&gt;$G865,
  MAX(0, 60-(($T865-$G865)*24/Config!$B$19)*60),
  MEDIAN(60, 100, 60+(($G865-$T865)*24/Config!$B$20)*40)
)),"")
</f>
        <v/>
      </c>
      <c r="Y865" s="40" t="str">
        <f>IF($J865="","",IFERROR(VLOOKUP($J865,Grinders!$A:$N,10,FALSE),""))</f>
        <v/>
      </c>
      <c r="Z865" s="40" t="str">
        <f>IF($J865="","",IFERROR(VLOOKUP($J865,Grinders!$A:$N,11,FALSE),""))</f>
        <v/>
      </c>
      <c r="AA865" s="40" t="str">
        <f>IF($J865="","",IFERROR(VLOOKUP($J865,Grinders!$A:$N,12,FALSE),""))</f>
        <v/>
      </c>
      <c r="AB865" s="40">
        <f>IFERROR(IF(OR($C865="",$J865=""),0,IF($D865&lt;&gt;"Open",0,IF(COUNTIFS(GrinderServices!$B:$B,$J865,GrinderServices!$C:$C,$E865,GrinderServices!$E:$E,"Y")=0,0,IF($U865&lt;Config!$B$16,0,IF(Config!$B$18=1,IF($N865&gt;=$M865,0,1),1))))),"")</f>
        <v>0</v>
      </c>
      <c r="AC865" s="40" t="str">
        <f>IFERROR(IF($AB865=0,"",((Config!$B$6*$V865 + Config!$B$7*$R865 + Config!$B$8*$W865 + Config!$B$9*$X865 + Config!$B$10*$Y865 + Config!$B$11*$Z865 - Config!$B$12*$AA865)/Config!$B$13)+$AH865+$AI865),"")</f>
        <v/>
      </c>
      <c r="AD865" s="40" t="str">
        <f t="shared" si="4"/>
        <v/>
      </c>
      <c r="AE865" s="40" t="str">
        <f>IFERROR(__xludf.DUMMYFUNCTION("IF($AC865="""","""",IF($AC865=IFERROR(MAX(FILTER($AC$6:$AC$1000,$C$6:$C$1000=$C865,$AB$6:$AB$1000=1)),),""WINNER"",""""))"),"")</f>
        <v/>
      </c>
      <c r="AF865" s="40" t="str">
        <f t="shared" si="5"/>
        <v/>
      </c>
      <c r="AG865" s="40" t="str">
        <f>IF($J865="","",COUNTIF(Assignments!$B:$B,$J865))</f>
        <v/>
      </c>
      <c r="AH865" s="40" t="str">
        <f>IF($J865="","",IF(AND($AG865=0,$N865&lt;$M865),Config!$B$43,0))</f>
        <v/>
      </c>
      <c r="AI865" s="40" t="str">
        <f>IF($J865="","",IF(AND($L865="Elite",$F865&gt;=Config!$B$41,$N865&lt;$M865),Config!$B$42,0))</f>
        <v/>
      </c>
      <c r="AJ865" s="22"/>
    </row>
    <row r="866" ht="15.75" customHeight="1">
      <c r="A866" s="40" t="str">
        <f t="shared" si="1"/>
        <v/>
      </c>
      <c r="B866" s="40" t="str">
        <f>IF(Bids!$A866="","",Bids!$A866)</f>
        <v/>
      </c>
      <c r="C866" s="40" t="str">
        <f>IF(Bids!$B866="","",Bids!$B866)</f>
        <v/>
      </c>
      <c r="D866" s="40" t="str">
        <f>IF($C866="","",IFERROR(VLOOKUP($C866,Orders!$A:$J,9,FALSE),""))</f>
        <v/>
      </c>
      <c r="E866" s="40" t="str">
        <f>IF($C866="","",IFERROR(VLOOKUP($C866,Orders!$A:$J,3,FALSE),""))</f>
        <v/>
      </c>
      <c r="F866" s="40" t="str">
        <f>IF($C866="","",IFERROR(VLOOKUP($C866,Orders!$A:$J,4,FALSE),""))</f>
        <v/>
      </c>
      <c r="G866" s="40" t="str">
        <f>IF($C866="","",IFERROR(VLOOKUP($C866,Orders!$A:$J,5,FALSE),""))</f>
        <v/>
      </c>
      <c r="H866" s="40" t="str">
        <f>IF($C866="","",IFERROR(VLOOKUP($C866,Orders!$A:$J,6,FALSE),""))</f>
        <v/>
      </c>
      <c r="I866" s="40" t="str">
        <f>IF($C866="","",IFERROR(VLOOKUP($C866,Orders!$A:$J,7,FALSE),""))</f>
        <v/>
      </c>
      <c r="J866" s="40" t="str">
        <f>IF(Bids!$C866="","",Bids!$C866)</f>
        <v/>
      </c>
      <c r="K866" s="40" t="str">
        <f>IF($J866="","",IFERROR(VLOOKUP($J866,Grinders!$A:$N,2,FALSE),""))</f>
        <v/>
      </c>
      <c r="L866" s="40" t="str">
        <f>IF($J866="","",IFERROR(VLOOKUP($J866,Grinders!$A:$N,3,FALSE),""))</f>
        <v/>
      </c>
      <c r="M866" s="40" t="str">
        <f>IF($J866="","",IFERROR(VLOOKUP($J866,Grinders!$A:$N,4,FALSE),""))</f>
        <v/>
      </c>
      <c r="N866" s="40" t="str">
        <f>IF($J866="","",IFERROR(VLOOKUP($J866,Grinders!$A:$N,5,FALSE),""))</f>
        <v/>
      </c>
      <c r="O866" s="40" t="str">
        <f t="shared" si="2"/>
        <v/>
      </c>
      <c r="P866" s="40" t="str">
        <f>IF($J866="","",IFERROR(VLOOKUP($J866,Grinders!$A:$N,6,FALSE),""))</f>
        <v/>
      </c>
      <c r="Q866" s="40" t="str">
        <f>IF($J866="","",IFERROR(VLOOKUP($J866,Grinders!$A:$N,8,FALSE),""))</f>
        <v/>
      </c>
      <c r="R866" s="40" t="str">
        <f>IFERROR(IF($J866="","",IF($L866="Elite",MAX(50,MIN(100,Config!$B$27*MAX(0,MIN(100,(1-IF($O866="",0,$O866))*100)) + Config!$B$28*MAX(0,MIN(100,(1-MIN(1,IF(Config!$B$30=0,1,$P866/Config!$B$30)))*100)) + Config!$B$29*MAX(0,MIN(100,MIN(1,IF($Q866="",0,$Q866)/Config!$B$23)*100)))),MIN(100,Config!$B$27*MAX(0,MIN(100,(1-IF($O866="",0,$O866))*100)) + Config!$B$28*MAX(0,MIN(100,(1-MIN(1,IF(Config!$B$30=0,1,$P866/Config!$B$30)))*100)) + Config!$B$29*MAX(0,MIN(100,MIN(1,IF($Q866="",0,$Q866)/Config!$B$23)*100))))),"")
</f>
        <v/>
      </c>
      <c r="S866" s="40" t="str">
        <f>IF(Bids!$D866="","",Bids!$D866)</f>
        <v/>
      </c>
      <c r="T866" s="40" t="str">
        <f>IF(Bids!$F866="","",Bids!$F866)</f>
        <v/>
      </c>
      <c r="U866" s="40" t="str">
        <f t="shared" si="3"/>
        <v/>
      </c>
      <c r="V866" s="40" t="str">
        <f>IF($U866="","",IF(Config!$B$17=Config!$B$16,IF($U866&gt;=Config!$B$17,100,0),MAX(0,MIN(100,($U866-Config!$B$16)/(Config!$B$17-Config!$B$16)*100))))</f>
        <v/>
      </c>
      <c r="W866" s="40">
        <f>IF($L866="Elite",Config!$B$21,0)</f>
        <v>0</v>
      </c>
      <c r="X866" s="40" t="str">
        <f>IFERROR(IF(OR($T866="",$G866=""),"",IF($T866&gt;$G866,
  MAX(0, 60-(($T866-$G866)*24/Config!$B$19)*60),
  MEDIAN(60, 100, 60+(($G866-$T866)*24/Config!$B$20)*40)
)),"")
</f>
        <v/>
      </c>
      <c r="Y866" s="40" t="str">
        <f>IF($J866="","",IFERROR(VLOOKUP($J866,Grinders!$A:$N,10,FALSE),""))</f>
        <v/>
      </c>
      <c r="Z866" s="40" t="str">
        <f>IF($J866="","",IFERROR(VLOOKUP($J866,Grinders!$A:$N,11,FALSE),""))</f>
        <v/>
      </c>
      <c r="AA866" s="40" t="str">
        <f>IF($J866="","",IFERROR(VLOOKUP($J866,Grinders!$A:$N,12,FALSE),""))</f>
        <v/>
      </c>
      <c r="AB866" s="40">
        <f>IFERROR(IF(OR($C866="",$J866=""),0,IF($D866&lt;&gt;"Open",0,IF(COUNTIFS(GrinderServices!$B:$B,$J866,GrinderServices!$C:$C,$E866,GrinderServices!$E:$E,"Y")=0,0,IF($U866&lt;Config!$B$16,0,IF(Config!$B$18=1,IF($N866&gt;=$M866,0,1),1))))),"")</f>
        <v>0</v>
      </c>
      <c r="AC866" s="40" t="str">
        <f>IFERROR(IF($AB866=0,"",((Config!$B$6*$V866 + Config!$B$7*$R866 + Config!$B$8*$W866 + Config!$B$9*$X866 + Config!$B$10*$Y866 + Config!$B$11*$Z866 - Config!$B$12*$AA866)/Config!$B$13)+$AH866+$AI866),"")</f>
        <v/>
      </c>
      <c r="AD866" s="40" t="str">
        <f t="shared" si="4"/>
        <v/>
      </c>
      <c r="AE866" s="40" t="str">
        <f>IFERROR(__xludf.DUMMYFUNCTION("IF($AC866="""","""",IF($AC866=IFERROR(MAX(FILTER($AC$6:$AC$1000,$C$6:$C$1000=$C866,$AB$6:$AB$1000=1)),),""WINNER"",""""))"),"")</f>
        <v/>
      </c>
      <c r="AF866" s="40" t="str">
        <f t="shared" si="5"/>
        <v/>
      </c>
      <c r="AG866" s="40" t="str">
        <f>IF($J866="","",COUNTIF(Assignments!$B:$B,$J866))</f>
        <v/>
      </c>
      <c r="AH866" s="40" t="str">
        <f>IF($J866="","",IF(AND($AG866=0,$N866&lt;$M866),Config!$B$43,0))</f>
        <v/>
      </c>
      <c r="AI866" s="40" t="str">
        <f>IF($J866="","",IF(AND($L866="Elite",$F866&gt;=Config!$B$41,$N866&lt;$M866),Config!$B$42,0))</f>
        <v/>
      </c>
      <c r="AJ866" s="22"/>
    </row>
    <row r="867" ht="15.75" customHeight="1">
      <c r="A867" s="40" t="str">
        <f t="shared" si="1"/>
        <v/>
      </c>
      <c r="B867" s="40" t="str">
        <f>IF(Bids!$A867="","",Bids!$A867)</f>
        <v/>
      </c>
      <c r="C867" s="40" t="str">
        <f>IF(Bids!$B867="","",Bids!$B867)</f>
        <v/>
      </c>
      <c r="D867" s="40" t="str">
        <f>IF($C867="","",IFERROR(VLOOKUP($C867,Orders!$A:$J,9,FALSE),""))</f>
        <v/>
      </c>
      <c r="E867" s="40" t="str">
        <f>IF($C867="","",IFERROR(VLOOKUP($C867,Orders!$A:$J,3,FALSE),""))</f>
        <v/>
      </c>
      <c r="F867" s="40" t="str">
        <f>IF($C867="","",IFERROR(VLOOKUP($C867,Orders!$A:$J,4,FALSE),""))</f>
        <v/>
      </c>
      <c r="G867" s="40" t="str">
        <f>IF($C867="","",IFERROR(VLOOKUP($C867,Orders!$A:$J,5,FALSE),""))</f>
        <v/>
      </c>
      <c r="H867" s="40" t="str">
        <f>IF($C867="","",IFERROR(VLOOKUP($C867,Orders!$A:$J,6,FALSE),""))</f>
        <v/>
      </c>
      <c r="I867" s="40" t="str">
        <f>IF($C867="","",IFERROR(VLOOKUP($C867,Orders!$A:$J,7,FALSE),""))</f>
        <v/>
      </c>
      <c r="J867" s="40" t="str">
        <f>IF(Bids!$C867="","",Bids!$C867)</f>
        <v/>
      </c>
      <c r="K867" s="40" t="str">
        <f>IF($J867="","",IFERROR(VLOOKUP($J867,Grinders!$A:$N,2,FALSE),""))</f>
        <v/>
      </c>
      <c r="L867" s="40" t="str">
        <f>IF($J867="","",IFERROR(VLOOKUP($J867,Grinders!$A:$N,3,FALSE),""))</f>
        <v/>
      </c>
      <c r="M867" s="40" t="str">
        <f>IF($J867="","",IFERROR(VLOOKUP($J867,Grinders!$A:$N,4,FALSE),""))</f>
        <v/>
      </c>
      <c r="N867" s="40" t="str">
        <f>IF($J867="","",IFERROR(VLOOKUP($J867,Grinders!$A:$N,5,FALSE),""))</f>
        <v/>
      </c>
      <c r="O867" s="40" t="str">
        <f t="shared" si="2"/>
        <v/>
      </c>
      <c r="P867" s="40" t="str">
        <f>IF($J867="","",IFERROR(VLOOKUP($J867,Grinders!$A:$N,6,FALSE),""))</f>
        <v/>
      </c>
      <c r="Q867" s="40" t="str">
        <f>IF($J867="","",IFERROR(VLOOKUP($J867,Grinders!$A:$N,8,FALSE),""))</f>
        <v/>
      </c>
      <c r="R867" s="40" t="str">
        <f>IFERROR(IF($J867="","",IF($L867="Elite",MAX(50,MIN(100,Config!$B$27*MAX(0,MIN(100,(1-IF($O867="",0,$O867))*100)) + Config!$B$28*MAX(0,MIN(100,(1-MIN(1,IF(Config!$B$30=0,1,$P867/Config!$B$30)))*100)) + Config!$B$29*MAX(0,MIN(100,MIN(1,IF($Q867="",0,$Q867)/Config!$B$23)*100)))),MIN(100,Config!$B$27*MAX(0,MIN(100,(1-IF($O867="",0,$O867))*100)) + Config!$B$28*MAX(0,MIN(100,(1-MIN(1,IF(Config!$B$30=0,1,$P867/Config!$B$30)))*100)) + Config!$B$29*MAX(0,MIN(100,MIN(1,IF($Q867="",0,$Q867)/Config!$B$23)*100))))),"")
</f>
        <v/>
      </c>
      <c r="S867" s="40" t="str">
        <f>IF(Bids!$D867="","",Bids!$D867)</f>
        <v/>
      </c>
      <c r="T867" s="40" t="str">
        <f>IF(Bids!$F867="","",Bids!$F867)</f>
        <v/>
      </c>
      <c r="U867" s="40" t="str">
        <f t="shared" si="3"/>
        <v/>
      </c>
      <c r="V867" s="40" t="str">
        <f>IF($U867="","",IF(Config!$B$17=Config!$B$16,IF($U867&gt;=Config!$B$17,100,0),MAX(0,MIN(100,($U867-Config!$B$16)/(Config!$B$17-Config!$B$16)*100))))</f>
        <v/>
      </c>
      <c r="W867" s="40">
        <f>IF($L867="Elite",Config!$B$21,0)</f>
        <v>0</v>
      </c>
      <c r="X867" s="40" t="str">
        <f>IFERROR(IF(OR($T867="",$G867=""),"",IF($T867&gt;$G867,
  MAX(0, 60-(($T867-$G867)*24/Config!$B$19)*60),
  MEDIAN(60, 100, 60+(($G867-$T867)*24/Config!$B$20)*40)
)),"")
</f>
        <v/>
      </c>
      <c r="Y867" s="40" t="str">
        <f>IF($J867="","",IFERROR(VLOOKUP($J867,Grinders!$A:$N,10,FALSE),""))</f>
        <v/>
      </c>
      <c r="Z867" s="40" t="str">
        <f>IF($J867="","",IFERROR(VLOOKUP($J867,Grinders!$A:$N,11,FALSE),""))</f>
        <v/>
      </c>
      <c r="AA867" s="40" t="str">
        <f>IF($J867="","",IFERROR(VLOOKUP($J867,Grinders!$A:$N,12,FALSE),""))</f>
        <v/>
      </c>
      <c r="AB867" s="40">
        <f>IFERROR(IF(OR($C867="",$J867=""),0,IF($D867&lt;&gt;"Open",0,IF(COUNTIFS(GrinderServices!$B:$B,$J867,GrinderServices!$C:$C,$E867,GrinderServices!$E:$E,"Y")=0,0,IF($U867&lt;Config!$B$16,0,IF(Config!$B$18=1,IF($N867&gt;=$M867,0,1),1))))),"")</f>
        <v>0</v>
      </c>
      <c r="AC867" s="40" t="str">
        <f>IFERROR(IF($AB867=0,"",((Config!$B$6*$V867 + Config!$B$7*$R867 + Config!$B$8*$W867 + Config!$B$9*$X867 + Config!$B$10*$Y867 + Config!$B$11*$Z867 - Config!$B$12*$AA867)/Config!$B$13)+$AH867+$AI867),"")</f>
        <v/>
      </c>
      <c r="AD867" s="40" t="str">
        <f t="shared" si="4"/>
        <v/>
      </c>
      <c r="AE867" s="40" t="str">
        <f>IFERROR(__xludf.DUMMYFUNCTION("IF($AC867="""","""",IF($AC867=IFERROR(MAX(FILTER($AC$6:$AC$1000,$C$6:$C$1000=$C867,$AB$6:$AB$1000=1)),),""WINNER"",""""))"),"")</f>
        <v/>
      </c>
      <c r="AF867" s="40" t="str">
        <f t="shared" si="5"/>
        <v/>
      </c>
      <c r="AG867" s="40" t="str">
        <f>IF($J867="","",COUNTIF(Assignments!$B:$B,$J867))</f>
        <v/>
      </c>
      <c r="AH867" s="40" t="str">
        <f>IF($J867="","",IF(AND($AG867=0,$N867&lt;$M867),Config!$B$43,0))</f>
        <v/>
      </c>
      <c r="AI867" s="40" t="str">
        <f>IF($J867="","",IF(AND($L867="Elite",$F867&gt;=Config!$B$41,$N867&lt;$M867),Config!$B$42,0))</f>
        <v/>
      </c>
      <c r="AJ867" s="22"/>
    </row>
    <row r="868" ht="15.75" customHeight="1">
      <c r="A868" s="40" t="str">
        <f t="shared" si="1"/>
        <v/>
      </c>
      <c r="B868" s="40" t="str">
        <f>IF(Bids!$A868="","",Bids!$A868)</f>
        <v/>
      </c>
      <c r="C868" s="40" t="str">
        <f>IF(Bids!$B868="","",Bids!$B868)</f>
        <v/>
      </c>
      <c r="D868" s="40" t="str">
        <f>IF($C868="","",IFERROR(VLOOKUP($C868,Orders!$A:$J,9,FALSE),""))</f>
        <v/>
      </c>
      <c r="E868" s="40" t="str">
        <f>IF($C868="","",IFERROR(VLOOKUP($C868,Orders!$A:$J,3,FALSE),""))</f>
        <v/>
      </c>
      <c r="F868" s="40" t="str">
        <f>IF($C868="","",IFERROR(VLOOKUP($C868,Orders!$A:$J,4,FALSE),""))</f>
        <v/>
      </c>
      <c r="G868" s="40" t="str">
        <f>IF($C868="","",IFERROR(VLOOKUP($C868,Orders!$A:$J,5,FALSE),""))</f>
        <v/>
      </c>
      <c r="H868" s="40" t="str">
        <f>IF($C868="","",IFERROR(VLOOKUP($C868,Orders!$A:$J,6,FALSE),""))</f>
        <v/>
      </c>
      <c r="I868" s="40" t="str">
        <f>IF($C868="","",IFERROR(VLOOKUP($C868,Orders!$A:$J,7,FALSE),""))</f>
        <v/>
      </c>
      <c r="J868" s="40" t="str">
        <f>IF(Bids!$C868="","",Bids!$C868)</f>
        <v/>
      </c>
      <c r="K868" s="40" t="str">
        <f>IF($J868="","",IFERROR(VLOOKUP($J868,Grinders!$A:$N,2,FALSE),""))</f>
        <v/>
      </c>
      <c r="L868" s="40" t="str">
        <f>IF($J868="","",IFERROR(VLOOKUP($J868,Grinders!$A:$N,3,FALSE),""))</f>
        <v/>
      </c>
      <c r="M868" s="40" t="str">
        <f>IF($J868="","",IFERROR(VLOOKUP($J868,Grinders!$A:$N,4,FALSE),""))</f>
        <v/>
      </c>
      <c r="N868" s="40" t="str">
        <f>IF($J868="","",IFERROR(VLOOKUP($J868,Grinders!$A:$N,5,FALSE),""))</f>
        <v/>
      </c>
      <c r="O868" s="40" t="str">
        <f t="shared" si="2"/>
        <v/>
      </c>
      <c r="P868" s="40" t="str">
        <f>IF($J868="","",IFERROR(VLOOKUP($J868,Grinders!$A:$N,6,FALSE),""))</f>
        <v/>
      </c>
      <c r="Q868" s="40" t="str">
        <f>IF($J868="","",IFERROR(VLOOKUP($J868,Grinders!$A:$N,8,FALSE),""))</f>
        <v/>
      </c>
      <c r="R868" s="40" t="str">
        <f>IFERROR(IF($J868="","",IF($L868="Elite",MAX(50,MIN(100,Config!$B$27*MAX(0,MIN(100,(1-IF($O868="",0,$O868))*100)) + Config!$B$28*MAX(0,MIN(100,(1-MIN(1,IF(Config!$B$30=0,1,$P868/Config!$B$30)))*100)) + Config!$B$29*MAX(0,MIN(100,MIN(1,IF($Q868="",0,$Q868)/Config!$B$23)*100)))),MIN(100,Config!$B$27*MAX(0,MIN(100,(1-IF($O868="",0,$O868))*100)) + Config!$B$28*MAX(0,MIN(100,(1-MIN(1,IF(Config!$B$30=0,1,$P868/Config!$B$30)))*100)) + Config!$B$29*MAX(0,MIN(100,MIN(1,IF($Q868="",0,$Q868)/Config!$B$23)*100))))),"")
</f>
        <v/>
      </c>
      <c r="S868" s="40" t="str">
        <f>IF(Bids!$D868="","",Bids!$D868)</f>
        <v/>
      </c>
      <c r="T868" s="40" t="str">
        <f>IF(Bids!$F868="","",Bids!$F868)</f>
        <v/>
      </c>
      <c r="U868" s="40" t="str">
        <f t="shared" si="3"/>
        <v/>
      </c>
      <c r="V868" s="40" t="str">
        <f>IF($U868="","",IF(Config!$B$17=Config!$B$16,IF($U868&gt;=Config!$B$17,100,0),MAX(0,MIN(100,($U868-Config!$B$16)/(Config!$B$17-Config!$B$16)*100))))</f>
        <v/>
      </c>
      <c r="W868" s="40">
        <f>IF($L868="Elite",Config!$B$21,0)</f>
        <v>0</v>
      </c>
      <c r="X868" s="40" t="str">
        <f>IFERROR(IF(OR($T868="",$G868=""),"",IF($T868&gt;$G868,
  MAX(0, 60-(($T868-$G868)*24/Config!$B$19)*60),
  MEDIAN(60, 100, 60+(($G868-$T868)*24/Config!$B$20)*40)
)),"")
</f>
        <v/>
      </c>
      <c r="Y868" s="40" t="str">
        <f>IF($J868="","",IFERROR(VLOOKUP($J868,Grinders!$A:$N,10,FALSE),""))</f>
        <v/>
      </c>
      <c r="Z868" s="40" t="str">
        <f>IF($J868="","",IFERROR(VLOOKUP($J868,Grinders!$A:$N,11,FALSE),""))</f>
        <v/>
      </c>
      <c r="AA868" s="40" t="str">
        <f>IF($J868="","",IFERROR(VLOOKUP($J868,Grinders!$A:$N,12,FALSE),""))</f>
        <v/>
      </c>
      <c r="AB868" s="40">
        <f>IFERROR(IF(OR($C868="",$J868=""),0,IF($D868&lt;&gt;"Open",0,IF(COUNTIFS(GrinderServices!$B:$B,$J868,GrinderServices!$C:$C,$E868,GrinderServices!$E:$E,"Y")=0,0,IF($U868&lt;Config!$B$16,0,IF(Config!$B$18=1,IF($N868&gt;=$M868,0,1),1))))),"")</f>
        <v>0</v>
      </c>
      <c r="AC868" s="40" t="str">
        <f>IFERROR(IF($AB868=0,"",((Config!$B$6*$V868 + Config!$B$7*$R868 + Config!$B$8*$W868 + Config!$B$9*$X868 + Config!$B$10*$Y868 + Config!$B$11*$Z868 - Config!$B$12*$AA868)/Config!$B$13)+$AH868+$AI868),"")</f>
        <v/>
      </c>
      <c r="AD868" s="40" t="str">
        <f t="shared" si="4"/>
        <v/>
      </c>
      <c r="AE868" s="40" t="str">
        <f>IFERROR(__xludf.DUMMYFUNCTION("IF($AC868="""","""",IF($AC868=IFERROR(MAX(FILTER($AC$6:$AC$1000,$C$6:$C$1000=$C868,$AB$6:$AB$1000=1)),),""WINNER"",""""))"),"")</f>
        <v/>
      </c>
      <c r="AF868" s="40" t="str">
        <f t="shared" si="5"/>
        <v/>
      </c>
      <c r="AG868" s="40" t="str">
        <f>IF($J868="","",COUNTIF(Assignments!$B:$B,$J868))</f>
        <v/>
      </c>
      <c r="AH868" s="40" t="str">
        <f>IF($J868="","",IF(AND($AG868=0,$N868&lt;$M868),Config!$B$43,0))</f>
        <v/>
      </c>
      <c r="AI868" s="40" t="str">
        <f>IF($J868="","",IF(AND($L868="Elite",$F868&gt;=Config!$B$41,$N868&lt;$M868),Config!$B$42,0))</f>
        <v/>
      </c>
      <c r="AJ868" s="22"/>
    </row>
    <row r="869" ht="15.75" customHeight="1">
      <c r="A869" s="40" t="str">
        <f t="shared" si="1"/>
        <v/>
      </c>
      <c r="B869" s="40" t="str">
        <f>IF(Bids!$A869="","",Bids!$A869)</f>
        <v/>
      </c>
      <c r="C869" s="40" t="str">
        <f>IF(Bids!$B869="","",Bids!$B869)</f>
        <v/>
      </c>
      <c r="D869" s="40" t="str">
        <f>IF($C869="","",IFERROR(VLOOKUP($C869,Orders!$A:$J,9,FALSE),""))</f>
        <v/>
      </c>
      <c r="E869" s="40" t="str">
        <f>IF($C869="","",IFERROR(VLOOKUP($C869,Orders!$A:$J,3,FALSE),""))</f>
        <v/>
      </c>
      <c r="F869" s="40" t="str">
        <f>IF($C869="","",IFERROR(VLOOKUP($C869,Orders!$A:$J,4,FALSE),""))</f>
        <v/>
      </c>
      <c r="G869" s="40" t="str">
        <f>IF($C869="","",IFERROR(VLOOKUP($C869,Orders!$A:$J,5,FALSE),""))</f>
        <v/>
      </c>
      <c r="H869" s="40" t="str">
        <f>IF($C869="","",IFERROR(VLOOKUP($C869,Orders!$A:$J,6,FALSE),""))</f>
        <v/>
      </c>
      <c r="I869" s="40" t="str">
        <f>IF($C869="","",IFERROR(VLOOKUP($C869,Orders!$A:$J,7,FALSE),""))</f>
        <v/>
      </c>
      <c r="J869" s="40" t="str">
        <f>IF(Bids!$C869="","",Bids!$C869)</f>
        <v/>
      </c>
      <c r="K869" s="40" t="str">
        <f>IF($J869="","",IFERROR(VLOOKUP($J869,Grinders!$A:$N,2,FALSE),""))</f>
        <v/>
      </c>
      <c r="L869" s="40" t="str">
        <f>IF($J869="","",IFERROR(VLOOKUP($J869,Grinders!$A:$N,3,FALSE),""))</f>
        <v/>
      </c>
      <c r="M869" s="40" t="str">
        <f>IF($J869="","",IFERROR(VLOOKUP($J869,Grinders!$A:$N,4,FALSE),""))</f>
        <v/>
      </c>
      <c r="N869" s="40" t="str">
        <f>IF($J869="","",IFERROR(VLOOKUP($J869,Grinders!$A:$N,5,FALSE),""))</f>
        <v/>
      </c>
      <c r="O869" s="40" t="str">
        <f t="shared" si="2"/>
        <v/>
      </c>
      <c r="P869" s="40" t="str">
        <f>IF($J869="","",IFERROR(VLOOKUP($J869,Grinders!$A:$N,6,FALSE),""))</f>
        <v/>
      </c>
      <c r="Q869" s="40" t="str">
        <f>IF($J869="","",IFERROR(VLOOKUP($J869,Grinders!$A:$N,8,FALSE),""))</f>
        <v/>
      </c>
      <c r="R869" s="40" t="str">
        <f>IFERROR(IF($J869="","",IF($L869="Elite",MAX(50,MIN(100,Config!$B$27*MAX(0,MIN(100,(1-IF($O869="",0,$O869))*100)) + Config!$B$28*MAX(0,MIN(100,(1-MIN(1,IF(Config!$B$30=0,1,$P869/Config!$B$30)))*100)) + Config!$B$29*MAX(0,MIN(100,MIN(1,IF($Q869="",0,$Q869)/Config!$B$23)*100)))),MIN(100,Config!$B$27*MAX(0,MIN(100,(1-IF($O869="",0,$O869))*100)) + Config!$B$28*MAX(0,MIN(100,(1-MIN(1,IF(Config!$B$30=0,1,$P869/Config!$B$30)))*100)) + Config!$B$29*MAX(0,MIN(100,MIN(1,IF($Q869="",0,$Q869)/Config!$B$23)*100))))),"")
</f>
        <v/>
      </c>
      <c r="S869" s="40" t="str">
        <f>IF(Bids!$D869="","",Bids!$D869)</f>
        <v/>
      </c>
      <c r="T869" s="40" t="str">
        <f>IF(Bids!$F869="","",Bids!$F869)</f>
        <v/>
      </c>
      <c r="U869" s="40" t="str">
        <f t="shared" si="3"/>
        <v/>
      </c>
      <c r="V869" s="40" t="str">
        <f>IF($U869="","",IF(Config!$B$17=Config!$B$16,IF($U869&gt;=Config!$B$17,100,0),MAX(0,MIN(100,($U869-Config!$B$16)/(Config!$B$17-Config!$B$16)*100))))</f>
        <v/>
      </c>
      <c r="W869" s="40">
        <f>IF($L869="Elite",Config!$B$21,0)</f>
        <v>0</v>
      </c>
      <c r="X869" s="40" t="str">
        <f>IFERROR(IF(OR($T869="",$G869=""),"",IF($T869&gt;$G869,
  MAX(0, 60-(($T869-$G869)*24/Config!$B$19)*60),
  MEDIAN(60, 100, 60+(($G869-$T869)*24/Config!$B$20)*40)
)),"")
</f>
        <v/>
      </c>
      <c r="Y869" s="40" t="str">
        <f>IF($J869="","",IFERROR(VLOOKUP($J869,Grinders!$A:$N,10,FALSE),""))</f>
        <v/>
      </c>
      <c r="Z869" s="40" t="str">
        <f>IF($J869="","",IFERROR(VLOOKUP($J869,Grinders!$A:$N,11,FALSE),""))</f>
        <v/>
      </c>
      <c r="AA869" s="40" t="str">
        <f>IF($J869="","",IFERROR(VLOOKUP($J869,Grinders!$A:$N,12,FALSE),""))</f>
        <v/>
      </c>
      <c r="AB869" s="40">
        <f>IFERROR(IF(OR($C869="",$J869=""),0,IF($D869&lt;&gt;"Open",0,IF(COUNTIFS(GrinderServices!$B:$B,$J869,GrinderServices!$C:$C,$E869,GrinderServices!$E:$E,"Y")=0,0,IF($U869&lt;Config!$B$16,0,IF(Config!$B$18=1,IF($N869&gt;=$M869,0,1),1))))),"")</f>
        <v>0</v>
      </c>
      <c r="AC869" s="40" t="str">
        <f>IFERROR(IF($AB869=0,"",((Config!$B$6*$V869 + Config!$B$7*$R869 + Config!$B$8*$W869 + Config!$B$9*$X869 + Config!$B$10*$Y869 + Config!$B$11*$Z869 - Config!$B$12*$AA869)/Config!$B$13)+$AH869+$AI869),"")</f>
        <v/>
      </c>
      <c r="AD869" s="40" t="str">
        <f t="shared" si="4"/>
        <v/>
      </c>
      <c r="AE869" s="40" t="str">
        <f>IFERROR(__xludf.DUMMYFUNCTION("IF($AC869="""","""",IF($AC869=IFERROR(MAX(FILTER($AC$6:$AC$1000,$C$6:$C$1000=$C869,$AB$6:$AB$1000=1)),),""WINNER"",""""))"),"")</f>
        <v/>
      </c>
      <c r="AF869" s="40" t="str">
        <f t="shared" si="5"/>
        <v/>
      </c>
      <c r="AG869" s="40" t="str">
        <f>IF($J869="","",COUNTIF(Assignments!$B:$B,$J869))</f>
        <v/>
      </c>
      <c r="AH869" s="40" t="str">
        <f>IF($J869="","",IF(AND($AG869=0,$N869&lt;$M869),Config!$B$43,0))</f>
        <v/>
      </c>
      <c r="AI869" s="40" t="str">
        <f>IF($J869="","",IF(AND($L869="Elite",$F869&gt;=Config!$B$41,$N869&lt;$M869),Config!$B$42,0))</f>
        <v/>
      </c>
      <c r="AJ869" s="22"/>
    </row>
    <row r="870" ht="15.75" customHeight="1">
      <c r="A870" s="40" t="str">
        <f t="shared" si="1"/>
        <v/>
      </c>
      <c r="B870" s="40" t="str">
        <f>IF(Bids!$A870="","",Bids!$A870)</f>
        <v/>
      </c>
      <c r="C870" s="40" t="str">
        <f>IF(Bids!$B870="","",Bids!$B870)</f>
        <v/>
      </c>
      <c r="D870" s="40" t="str">
        <f>IF($C870="","",IFERROR(VLOOKUP($C870,Orders!$A:$J,9,FALSE),""))</f>
        <v/>
      </c>
      <c r="E870" s="40" t="str">
        <f>IF($C870="","",IFERROR(VLOOKUP($C870,Orders!$A:$J,3,FALSE),""))</f>
        <v/>
      </c>
      <c r="F870" s="40" t="str">
        <f>IF($C870="","",IFERROR(VLOOKUP($C870,Orders!$A:$J,4,FALSE),""))</f>
        <v/>
      </c>
      <c r="G870" s="40" t="str">
        <f>IF($C870="","",IFERROR(VLOOKUP($C870,Orders!$A:$J,5,FALSE),""))</f>
        <v/>
      </c>
      <c r="H870" s="40" t="str">
        <f>IF($C870="","",IFERROR(VLOOKUP($C870,Orders!$A:$J,6,FALSE),""))</f>
        <v/>
      </c>
      <c r="I870" s="40" t="str">
        <f>IF($C870="","",IFERROR(VLOOKUP($C870,Orders!$A:$J,7,FALSE),""))</f>
        <v/>
      </c>
      <c r="J870" s="40" t="str">
        <f>IF(Bids!$C870="","",Bids!$C870)</f>
        <v/>
      </c>
      <c r="K870" s="40" t="str">
        <f>IF($J870="","",IFERROR(VLOOKUP($J870,Grinders!$A:$N,2,FALSE),""))</f>
        <v/>
      </c>
      <c r="L870" s="40" t="str">
        <f>IF($J870="","",IFERROR(VLOOKUP($J870,Grinders!$A:$N,3,FALSE),""))</f>
        <v/>
      </c>
      <c r="M870" s="40" t="str">
        <f>IF($J870="","",IFERROR(VLOOKUP($J870,Grinders!$A:$N,4,FALSE),""))</f>
        <v/>
      </c>
      <c r="N870" s="40" t="str">
        <f>IF($J870="","",IFERROR(VLOOKUP($J870,Grinders!$A:$N,5,FALSE),""))</f>
        <v/>
      </c>
      <c r="O870" s="40" t="str">
        <f t="shared" si="2"/>
        <v/>
      </c>
      <c r="P870" s="40" t="str">
        <f>IF($J870="","",IFERROR(VLOOKUP($J870,Grinders!$A:$N,6,FALSE),""))</f>
        <v/>
      </c>
      <c r="Q870" s="40" t="str">
        <f>IF($J870="","",IFERROR(VLOOKUP($J870,Grinders!$A:$N,8,FALSE),""))</f>
        <v/>
      </c>
      <c r="R870" s="40" t="str">
        <f>IFERROR(IF($J870="","",IF($L870="Elite",MAX(50,MIN(100,Config!$B$27*MAX(0,MIN(100,(1-IF($O870="",0,$O870))*100)) + Config!$B$28*MAX(0,MIN(100,(1-MIN(1,IF(Config!$B$30=0,1,$P870/Config!$B$30)))*100)) + Config!$B$29*MAX(0,MIN(100,MIN(1,IF($Q870="",0,$Q870)/Config!$B$23)*100)))),MIN(100,Config!$B$27*MAX(0,MIN(100,(1-IF($O870="",0,$O870))*100)) + Config!$B$28*MAX(0,MIN(100,(1-MIN(1,IF(Config!$B$30=0,1,$P870/Config!$B$30)))*100)) + Config!$B$29*MAX(0,MIN(100,MIN(1,IF($Q870="",0,$Q870)/Config!$B$23)*100))))),"")
</f>
        <v/>
      </c>
      <c r="S870" s="40" t="str">
        <f>IF(Bids!$D870="","",Bids!$D870)</f>
        <v/>
      </c>
      <c r="T870" s="40" t="str">
        <f>IF(Bids!$F870="","",Bids!$F870)</f>
        <v/>
      </c>
      <c r="U870" s="40" t="str">
        <f t="shared" si="3"/>
        <v/>
      </c>
      <c r="V870" s="40" t="str">
        <f>IF($U870="","",IF(Config!$B$17=Config!$B$16,IF($U870&gt;=Config!$B$17,100,0),MAX(0,MIN(100,($U870-Config!$B$16)/(Config!$B$17-Config!$B$16)*100))))</f>
        <v/>
      </c>
      <c r="W870" s="40">
        <f>IF($L870="Elite",Config!$B$21,0)</f>
        <v>0</v>
      </c>
      <c r="X870" s="40" t="str">
        <f>IFERROR(IF(OR($T870="",$G870=""),"",IF($T870&gt;$G870,
  MAX(0, 60-(($T870-$G870)*24/Config!$B$19)*60),
  MEDIAN(60, 100, 60+(($G870-$T870)*24/Config!$B$20)*40)
)),"")
</f>
        <v/>
      </c>
      <c r="Y870" s="40" t="str">
        <f>IF($J870="","",IFERROR(VLOOKUP($J870,Grinders!$A:$N,10,FALSE),""))</f>
        <v/>
      </c>
      <c r="Z870" s="40" t="str">
        <f>IF($J870="","",IFERROR(VLOOKUP($J870,Grinders!$A:$N,11,FALSE),""))</f>
        <v/>
      </c>
      <c r="AA870" s="40" t="str">
        <f>IF($J870="","",IFERROR(VLOOKUP($J870,Grinders!$A:$N,12,FALSE),""))</f>
        <v/>
      </c>
      <c r="AB870" s="40">
        <f>IFERROR(IF(OR($C870="",$J870=""),0,IF($D870&lt;&gt;"Open",0,IF(COUNTIFS(GrinderServices!$B:$B,$J870,GrinderServices!$C:$C,$E870,GrinderServices!$E:$E,"Y")=0,0,IF($U870&lt;Config!$B$16,0,IF(Config!$B$18=1,IF($N870&gt;=$M870,0,1),1))))),"")</f>
        <v>0</v>
      </c>
      <c r="AC870" s="40" t="str">
        <f>IFERROR(IF($AB870=0,"",((Config!$B$6*$V870 + Config!$B$7*$R870 + Config!$B$8*$W870 + Config!$B$9*$X870 + Config!$B$10*$Y870 + Config!$B$11*$Z870 - Config!$B$12*$AA870)/Config!$B$13)+$AH870+$AI870),"")</f>
        <v/>
      </c>
      <c r="AD870" s="40" t="str">
        <f t="shared" si="4"/>
        <v/>
      </c>
      <c r="AE870" s="40" t="str">
        <f>IFERROR(__xludf.DUMMYFUNCTION("IF($AC870="""","""",IF($AC870=IFERROR(MAX(FILTER($AC$6:$AC$1000,$C$6:$C$1000=$C870,$AB$6:$AB$1000=1)),),""WINNER"",""""))"),"")</f>
        <v/>
      </c>
      <c r="AF870" s="40" t="str">
        <f t="shared" si="5"/>
        <v/>
      </c>
      <c r="AG870" s="40" t="str">
        <f>IF($J870="","",COUNTIF(Assignments!$B:$B,$J870))</f>
        <v/>
      </c>
      <c r="AH870" s="40" t="str">
        <f>IF($J870="","",IF(AND($AG870=0,$N870&lt;$M870),Config!$B$43,0))</f>
        <v/>
      </c>
      <c r="AI870" s="40" t="str">
        <f>IF($J870="","",IF(AND($L870="Elite",$F870&gt;=Config!$B$41,$N870&lt;$M870),Config!$B$42,0))</f>
        <v/>
      </c>
      <c r="AJ870" s="22"/>
    </row>
    <row r="871" ht="15.75" customHeight="1">
      <c r="A871" s="40" t="str">
        <f t="shared" si="1"/>
        <v/>
      </c>
      <c r="B871" s="40" t="str">
        <f>IF(Bids!$A871="","",Bids!$A871)</f>
        <v/>
      </c>
      <c r="C871" s="40" t="str">
        <f>IF(Bids!$B871="","",Bids!$B871)</f>
        <v/>
      </c>
      <c r="D871" s="40" t="str">
        <f>IF($C871="","",IFERROR(VLOOKUP($C871,Orders!$A:$J,9,FALSE),""))</f>
        <v/>
      </c>
      <c r="E871" s="40" t="str">
        <f>IF($C871="","",IFERROR(VLOOKUP($C871,Orders!$A:$J,3,FALSE),""))</f>
        <v/>
      </c>
      <c r="F871" s="40" t="str">
        <f>IF($C871="","",IFERROR(VLOOKUP($C871,Orders!$A:$J,4,FALSE),""))</f>
        <v/>
      </c>
      <c r="G871" s="40" t="str">
        <f>IF($C871="","",IFERROR(VLOOKUP($C871,Orders!$A:$J,5,FALSE),""))</f>
        <v/>
      </c>
      <c r="H871" s="40" t="str">
        <f>IF($C871="","",IFERROR(VLOOKUP($C871,Orders!$A:$J,6,FALSE),""))</f>
        <v/>
      </c>
      <c r="I871" s="40" t="str">
        <f>IF($C871="","",IFERROR(VLOOKUP($C871,Orders!$A:$J,7,FALSE),""))</f>
        <v/>
      </c>
      <c r="J871" s="40" t="str">
        <f>IF(Bids!$C871="","",Bids!$C871)</f>
        <v/>
      </c>
      <c r="K871" s="40" t="str">
        <f>IF($J871="","",IFERROR(VLOOKUP($J871,Grinders!$A:$N,2,FALSE),""))</f>
        <v/>
      </c>
      <c r="L871" s="40" t="str">
        <f>IF($J871="","",IFERROR(VLOOKUP($J871,Grinders!$A:$N,3,FALSE),""))</f>
        <v/>
      </c>
      <c r="M871" s="40" t="str">
        <f>IF($J871="","",IFERROR(VLOOKUP($J871,Grinders!$A:$N,4,FALSE),""))</f>
        <v/>
      </c>
      <c r="N871" s="40" t="str">
        <f>IF($J871="","",IFERROR(VLOOKUP($J871,Grinders!$A:$N,5,FALSE),""))</f>
        <v/>
      </c>
      <c r="O871" s="40" t="str">
        <f t="shared" si="2"/>
        <v/>
      </c>
      <c r="P871" s="40" t="str">
        <f>IF($J871="","",IFERROR(VLOOKUP($J871,Grinders!$A:$N,6,FALSE),""))</f>
        <v/>
      </c>
      <c r="Q871" s="40" t="str">
        <f>IF($J871="","",IFERROR(VLOOKUP($J871,Grinders!$A:$N,8,FALSE),""))</f>
        <v/>
      </c>
      <c r="R871" s="40" t="str">
        <f>IFERROR(IF($J871="","",IF($L871="Elite",MAX(50,MIN(100,Config!$B$27*MAX(0,MIN(100,(1-IF($O871="",0,$O871))*100)) + Config!$B$28*MAX(0,MIN(100,(1-MIN(1,IF(Config!$B$30=0,1,$P871/Config!$B$30)))*100)) + Config!$B$29*MAX(0,MIN(100,MIN(1,IF($Q871="",0,$Q871)/Config!$B$23)*100)))),MIN(100,Config!$B$27*MAX(0,MIN(100,(1-IF($O871="",0,$O871))*100)) + Config!$B$28*MAX(0,MIN(100,(1-MIN(1,IF(Config!$B$30=0,1,$P871/Config!$B$30)))*100)) + Config!$B$29*MAX(0,MIN(100,MIN(1,IF($Q871="",0,$Q871)/Config!$B$23)*100))))),"")
</f>
        <v/>
      </c>
      <c r="S871" s="40" t="str">
        <f>IF(Bids!$D871="","",Bids!$D871)</f>
        <v/>
      </c>
      <c r="T871" s="40" t="str">
        <f>IF(Bids!$F871="","",Bids!$F871)</f>
        <v/>
      </c>
      <c r="U871" s="40" t="str">
        <f t="shared" si="3"/>
        <v/>
      </c>
      <c r="V871" s="40" t="str">
        <f>IF($U871="","",IF(Config!$B$17=Config!$B$16,IF($U871&gt;=Config!$B$17,100,0),MAX(0,MIN(100,($U871-Config!$B$16)/(Config!$B$17-Config!$B$16)*100))))</f>
        <v/>
      </c>
      <c r="W871" s="40">
        <f>IF($L871="Elite",Config!$B$21,0)</f>
        <v>0</v>
      </c>
      <c r="X871" s="40" t="str">
        <f>IFERROR(IF(OR($T871="",$G871=""),"",IF($T871&gt;$G871,
  MAX(0, 60-(($T871-$G871)*24/Config!$B$19)*60),
  MEDIAN(60, 100, 60+(($G871-$T871)*24/Config!$B$20)*40)
)),"")
</f>
        <v/>
      </c>
      <c r="Y871" s="40" t="str">
        <f>IF($J871="","",IFERROR(VLOOKUP($J871,Grinders!$A:$N,10,FALSE),""))</f>
        <v/>
      </c>
      <c r="Z871" s="40" t="str">
        <f>IF($J871="","",IFERROR(VLOOKUP($J871,Grinders!$A:$N,11,FALSE),""))</f>
        <v/>
      </c>
      <c r="AA871" s="40" t="str">
        <f>IF($J871="","",IFERROR(VLOOKUP($J871,Grinders!$A:$N,12,FALSE),""))</f>
        <v/>
      </c>
      <c r="AB871" s="40">
        <f>IFERROR(IF(OR($C871="",$J871=""),0,IF($D871&lt;&gt;"Open",0,IF(COUNTIFS(GrinderServices!$B:$B,$J871,GrinderServices!$C:$C,$E871,GrinderServices!$E:$E,"Y")=0,0,IF($U871&lt;Config!$B$16,0,IF(Config!$B$18=1,IF($N871&gt;=$M871,0,1),1))))),"")</f>
        <v>0</v>
      </c>
      <c r="AC871" s="40" t="str">
        <f>IFERROR(IF($AB871=0,"",((Config!$B$6*$V871 + Config!$B$7*$R871 + Config!$B$8*$W871 + Config!$B$9*$X871 + Config!$B$10*$Y871 + Config!$B$11*$Z871 - Config!$B$12*$AA871)/Config!$B$13)+$AH871+$AI871),"")</f>
        <v/>
      </c>
      <c r="AD871" s="40" t="str">
        <f t="shared" si="4"/>
        <v/>
      </c>
      <c r="AE871" s="40" t="str">
        <f>IFERROR(__xludf.DUMMYFUNCTION("IF($AC871="""","""",IF($AC871=IFERROR(MAX(FILTER($AC$6:$AC$1000,$C$6:$C$1000=$C871,$AB$6:$AB$1000=1)),),""WINNER"",""""))"),"")</f>
        <v/>
      </c>
      <c r="AF871" s="40" t="str">
        <f t="shared" si="5"/>
        <v/>
      </c>
      <c r="AG871" s="40" t="str">
        <f>IF($J871="","",COUNTIF(Assignments!$B:$B,$J871))</f>
        <v/>
      </c>
      <c r="AH871" s="40" t="str">
        <f>IF($J871="","",IF(AND($AG871=0,$N871&lt;$M871),Config!$B$43,0))</f>
        <v/>
      </c>
      <c r="AI871" s="40" t="str">
        <f>IF($J871="","",IF(AND($L871="Elite",$F871&gt;=Config!$B$41,$N871&lt;$M871),Config!$B$42,0))</f>
        <v/>
      </c>
      <c r="AJ871" s="22"/>
    </row>
    <row r="872" ht="15.75" customHeight="1">
      <c r="A872" s="40" t="str">
        <f t="shared" si="1"/>
        <v/>
      </c>
      <c r="B872" s="40" t="str">
        <f>IF(Bids!$A872="","",Bids!$A872)</f>
        <v/>
      </c>
      <c r="C872" s="40" t="str">
        <f>IF(Bids!$B872="","",Bids!$B872)</f>
        <v/>
      </c>
      <c r="D872" s="40" t="str">
        <f>IF($C872="","",IFERROR(VLOOKUP($C872,Orders!$A:$J,9,FALSE),""))</f>
        <v/>
      </c>
      <c r="E872" s="40" t="str">
        <f>IF($C872="","",IFERROR(VLOOKUP($C872,Orders!$A:$J,3,FALSE),""))</f>
        <v/>
      </c>
      <c r="F872" s="40" t="str">
        <f>IF($C872="","",IFERROR(VLOOKUP($C872,Orders!$A:$J,4,FALSE),""))</f>
        <v/>
      </c>
      <c r="G872" s="40" t="str">
        <f>IF($C872="","",IFERROR(VLOOKUP($C872,Orders!$A:$J,5,FALSE),""))</f>
        <v/>
      </c>
      <c r="H872" s="40" t="str">
        <f>IF($C872="","",IFERROR(VLOOKUP($C872,Orders!$A:$J,6,FALSE),""))</f>
        <v/>
      </c>
      <c r="I872" s="40" t="str">
        <f>IF($C872="","",IFERROR(VLOOKUP($C872,Orders!$A:$J,7,FALSE),""))</f>
        <v/>
      </c>
      <c r="J872" s="40" t="str">
        <f>IF(Bids!$C872="","",Bids!$C872)</f>
        <v/>
      </c>
      <c r="K872" s="40" t="str">
        <f>IF($J872="","",IFERROR(VLOOKUP($J872,Grinders!$A:$N,2,FALSE),""))</f>
        <v/>
      </c>
      <c r="L872" s="40" t="str">
        <f>IF($J872="","",IFERROR(VLOOKUP($J872,Grinders!$A:$N,3,FALSE),""))</f>
        <v/>
      </c>
      <c r="M872" s="40" t="str">
        <f>IF($J872="","",IFERROR(VLOOKUP($J872,Grinders!$A:$N,4,FALSE),""))</f>
        <v/>
      </c>
      <c r="N872" s="40" t="str">
        <f>IF($J872="","",IFERROR(VLOOKUP($J872,Grinders!$A:$N,5,FALSE),""))</f>
        <v/>
      </c>
      <c r="O872" s="40" t="str">
        <f t="shared" si="2"/>
        <v/>
      </c>
      <c r="P872" s="40" t="str">
        <f>IF($J872="","",IFERROR(VLOOKUP($J872,Grinders!$A:$N,6,FALSE),""))</f>
        <v/>
      </c>
      <c r="Q872" s="40" t="str">
        <f>IF($J872="","",IFERROR(VLOOKUP($J872,Grinders!$A:$N,8,FALSE),""))</f>
        <v/>
      </c>
      <c r="R872" s="40" t="str">
        <f>IFERROR(IF($J872="","",IF($L872="Elite",MAX(50,MIN(100,Config!$B$27*MAX(0,MIN(100,(1-IF($O872="",0,$O872))*100)) + Config!$B$28*MAX(0,MIN(100,(1-MIN(1,IF(Config!$B$30=0,1,$P872/Config!$B$30)))*100)) + Config!$B$29*MAX(0,MIN(100,MIN(1,IF($Q872="",0,$Q872)/Config!$B$23)*100)))),MIN(100,Config!$B$27*MAX(0,MIN(100,(1-IF($O872="",0,$O872))*100)) + Config!$B$28*MAX(0,MIN(100,(1-MIN(1,IF(Config!$B$30=0,1,$P872/Config!$B$30)))*100)) + Config!$B$29*MAX(0,MIN(100,MIN(1,IF($Q872="",0,$Q872)/Config!$B$23)*100))))),"")
</f>
        <v/>
      </c>
      <c r="S872" s="40" t="str">
        <f>IF(Bids!$D872="","",Bids!$D872)</f>
        <v/>
      </c>
      <c r="T872" s="40" t="str">
        <f>IF(Bids!$F872="","",Bids!$F872)</f>
        <v/>
      </c>
      <c r="U872" s="40" t="str">
        <f t="shared" si="3"/>
        <v/>
      </c>
      <c r="V872" s="40" t="str">
        <f>IF($U872="","",IF(Config!$B$17=Config!$B$16,IF($U872&gt;=Config!$B$17,100,0),MAX(0,MIN(100,($U872-Config!$B$16)/(Config!$B$17-Config!$B$16)*100))))</f>
        <v/>
      </c>
      <c r="W872" s="40">
        <f>IF($L872="Elite",Config!$B$21,0)</f>
        <v>0</v>
      </c>
      <c r="X872" s="40" t="str">
        <f>IFERROR(IF(OR($T872="",$G872=""),"",IF($T872&gt;$G872,
  MAX(0, 60-(($T872-$G872)*24/Config!$B$19)*60),
  MEDIAN(60, 100, 60+(($G872-$T872)*24/Config!$B$20)*40)
)),"")
</f>
        <v/>
      </c>
      <c r="Y872" s="40" t="str">
        <f>IF($J872="","",IFERROR(VLOOKUP($J872,Grinders!$A:$N,10,FALSE),""))</f>
        <v/>
      </c>
      <c r="Z872" s="40" t="str">
        <f>IF($J872="","",IFERROR(VLOOKUP($J872,Grinders!$A:$N,11,FALSE),""))</f>
        <v/>
      </c>
      <c r="AA872" s="40" t="str">
        <f>IF($J872="","",IFERROR(VLOOKUP($J872,Grinders!$A:$N,12,FALSE),""))</f>
        <v/>
      </c>
      <c r="AB872" s="40">
        <f>IFERROR(IF(OR($C872="",$J872=""),0,IF($D872&lt;&gt;"Open",0,IF(COUNTIFS(GrinderServices!$B:$B,$J872,GrinderServices!$C:$C,$E872,GrinderServices!$E:$E,"Y")=0,0,IF($U872&lt;Config!$B$16,0,IF(Config!$B$18=1,IF($N872&gt;=$M872,0,1),1))))),"")</f>
        <v>0</v>
      </c>
      <c r="AC872" s="40" t="str">
        <f>IFERROR(IF($AB872=0,"",((Config!$B$6*$V872 + Config!$B$7*$R872 + Config!$B$8*$W872 + Config!$B$9*$X872 + Config!$B$10*$Y872 + Config!$B$11*$Z872 - Config!$B$12*$AA872)/Config!$B$13)+$AH872+$AI872),"")</f>
        <v/>
      </c>
      <c r="AD872" s="40" t="str">
        <f t="shared" si="4"/>
        <v/>
      </c>
      <c r="AE872" s="40" t="str">
        <f>IFERROR(__xludf.DUMMYFUNCTION("IF($AC872="""","""",IF($AC872=IFERROR(MAX(FILTER($AC$6:$AC$1000,$C$6:$C$1000=$C872,$AB$6:$AB$1000=1)),),""WINNER"",""""))"),"")</f>
        <v/>
      </c>
      <c r="AF872" s="40" t="str">
        <f t="shared" si="5"/>
        <v/>
      </c>
      <c r="AG872" s="40" t="str">
        <f>IF($J872="","",COUNTIF(Assignments!$B:$B,$J872))</f>
        <v/>
      </c>
      <c r="AH872" s="40" t="str">
        <f>IF($J872="","",IF(AND($AG872=0,$N872&lt;$M872),Config!$B$43,0))</f>
        <v/>
      </c>
      <c r="AI872" s="40" t="str">
        <f>IF($J872="","",IF(AND($L872="Elite",$F872&gt;=Config!$B$41,$N872&lt;$M872),Config!$B$42,0))</f>
        <v/>
      </c>
      <c r="AJ872" s="22"/>
    </row>
    <row r="873" ht="15.75" customHeight="1">
      <c r="A873" s="40" t="str">
        <f t="shared" si="1"/>
        <v/>
      </c>
      <c r="B873" s="40" t="str">
        <f>IF(Bids!$A873="","",Bids!$A873)</f>
        <v/>
      </c>
      <c r="C873" s="40" t="str">
        <f>IF(Bids!$B873="","",Bids!$B873)</f>
        <v/>
      </c>
      <c r="D873" s="40" t="str">
        <f>IF($C873="","",IFERROR(VLOOKUP($C873,Orders!$A:$J,9,FALSE),""))</f>
        <v/>
      </c>
      <c r="E873" s="40" t="str">
        <f>IF($C873="","",IFERROR(VLOOKUP($C873,Orders!$A:$J,3,FALSE),""))</f>
        <v/>
      </c>
      <c r="F873" s="40" t="str">
        <f>IF($C873="","",IFERROR(VLOOKUP($C873,Orders!$A:$J,4,FALSE),""))</f>
        <v/>
      </c>
      <c r="G873" s="40" t="str">
        <f>IF($C873="","",IFERROR(VLOOKUP($C873,Orders!$A:$J,5,FALSE),""))</f>
        <v/>
      </c>
      <c r="H873" s="40" t="str">
        <f>IF($C873="","",IFERROR(VLOOKUP($C873,Orders!$A:$J,6,FALSE),""))</f>
        <v/>
      </c>
      <c r="I873" s="40" t="str">
        <f>IF($C873="","",IFERROR(VLOOKUP($C873,Orders!$A:$J,7,FALSE),""))</f>
        <v/>
      </c>
      <c r="J873" s="40" t="str">
        <f>IF(Bids!$C873="","",Bids!$C873)</f>
        <v/>
      </c>
      <c r="K873" s="40" t="str">
        <f>IF($J873="","",IFERROR(VLOOKUP($J873,Grinders!$A:$N,2,FALSE),""))</f>
        <v/>
      </c>
      <c r="L873" s="40" t="str">
        <f>IF($J873="","",IFERROR(VLOOKUP($J873,Grinders!$A:$N,3,FALSE),""))</f>
        <v/>
      </c>
      <c r="M873" s="40" t="str">
        <f>IF($J873="","",IFERROR(VLOOKUP($J873,Grinders!$A:$N,4,FALSE),""))</f>
        <v/>
      </c>
      <c r="N873" s="40" t="str">
        <f>IF($J873="","",IFERROR(VLOOKUP($J873,Grinders!$A:$N,5,FALSE),""))</f>
        <v/>
      </c>
      <c r="O873" s="40" t="str">
        <f t="shared" si="2"/>
        <v/>
      </c>
      <c r="P873" s="40" t="str">
        <f>IF($J873="","",IFERROR(VLOOKUP($J873,Grinders!$A:$N,6,FALSE),""))</f>
        <v/>
      </c>
      <c r="Q873" s="40" t="str">
        <f>IF($J873="","",IFERROR(VLOOKUP($J873,Grinders!$A:$N,8,FALSE),""))</f>
        <v/>
      </c>
      <c r="R873" s="40" t="str">
        <f>IFERROR(IF($J873="","",IF($L873="Elite",MAX(50,MIN(100,Config!$B$27*MAX(0,MIN(100,(1-IF($O873="",0,$O873))*100)) + Config!$B$28*MAX(0,MIN(100,(1-MIN(1,IF(Config!$B$30=0,1,$P873/Config!$B$30)))*100)) + Config!$B$29*MAX(0,MIN(100,MIN(1,IF($Q873="",0,$Q873)/Config!$B$23)*100)))),MIN(100,Config!$B$27*MAX(0,MIN(100,(1-IF($O873="",0,$O873))*100)) + Config!$B$28*MAX(0,MIN(100,(1-MIN(1,IF(Config!$B$30=0,1,$P873/Config!$B$30)))*100)) + Config!$B$29*MAX(0,MIN(100,MIN(1,IF($Q873="",0,$Q873)/Config!$B$23)*100))))),"")
</f>
        <v/>
      </c>
      <c r="S873" s="40" t="str">
        <f>IF(Bids!$D873="","",Bids!$D873)</f>
        <v/>
      </c>
      <c r="T873" s="40" t="str">
        <f>IF(Bids!$F873="","",Bids!$F873)</f>
        <v/>
      </c>
      <c r="U873" s="40" t="str">
        <f t="shared" si="3"/>
        <v/>
      </c>
      <c r="V873" s="40" t="str">
        <f>IF($U873="","",IF(Config!$B$17=Config!$B$16,IF($U873&gt;=Config!$B$17,100,0),MAX(0,MIN(100,($U873-Config!$B$16)/(Config!$B$17-Config!$B$16)*100))))</f>
        <v/>
      </c>
      <c r="W873" s="40">
        <f>IF($L873="Elite",Config!$B$21,0)</f>
        <v>0</v>
      </c>
      <c r="X873" s="40" t="str">
        <f>IFERROR(IF(OR($T873="",$G873=""),"",IF($T873&gt;$G873,
  MAX(0, 60-(($T873-$G873)*24/Config!$B$19)*60),
  MEDIAN(60, 100, 60+(($G873-$T873)*24/Config!$B$20)*40)
)),"")
</f>
        <v/>
      </c>
      <c r="Y873" s="40" t="str">
        <f>IF($J873="","",IFERROR(VLOOKUP($J873,Grinders!$A:$N,10,FALSE),""))</f>
        <v/>
      </c>
      <c r="Z873" s="40" t="str">
        <f>IF($J873="","",IFERROR(VLOOKUP($J873,Grinders!$A:$N,11,FALSE),""))</f>
        <v/>
      </c>
      <c r="AA873" s="40" t="str">
        <f>IF($J873="","",IFERROR(VLOOKUP($J873,Grinders!$A:$N,12,FALSE),""))</f>
        <v/>
      </c>
      <c r="AB873" s="40">
        <f>IFERROR(IF(OR($C873="",$J873=""),0,IF($D873&lt;&gt;"Open",0,IF(COUNTIFS(GrinderServices!$B:$B,$J873,GrinderServices!$C:$C,$E873,GrinderServices!$E:$E,"Y")=0,0,IF($U873&lt;Config!$B$16,0,IF(Config!$B$18=1,IF($N873&gt;=$M873,0,1),1))))),"")</f>
        <v>0</v>
      </c>
      <c r="AC873" s="40" t="str">
        <f>IFERROR(IF($AB873=0,"",((Config!$B$6*$V873 + Config!$B$7*$R873 + Config!$B$8*$W873 + Config!$B$9*$X873 + Config!$B$10*$Y873 + Config!$B$11*$Z873 - Config!$B$12*$AA873)/Config!$B$13)+$AH873+$AI873),"")</f>
        <v/>
      </c>
      <c r="AD873" s="40" t="str">
        <f t="shared" si="4"/>
        <v/>
      </c>
      <c r="AE873" s="40" t="str">
        <f>IFERROR(__xludf.DUMMYFUNCTION("IF($AC873="""","""",IF($AC873=IFERROR(MAX(FILTER($AC$6:$AC$1000,$C$6:$C$1000=$C873,$AB$6:$AB$1000=1)),),""WINNER"",""""))"),"")</f>
        <v/>
      </c>
      <c r="AF873" s="40" t="str">
        <f t="shared" si="5"/>
        <v/>
      </c>
      <c r="AG873" s="40" t="str">
        <f>IF($J873="","",COUNTIF(Assignments!$B:$B,$J873))</f>
        <v/>
      </c>
      <c r="AH873" s="40" t="str">
        <f>IF($J873="","",IF(AND($AG873=0,$N873&lt;$M873),Config!$B$43,0))</f>
        <v/>
      </c>
      <c r="AI873" s="40" t="str">
        <f>IF($J873="","",IF(AND($L873="Elite",$F873&gt;=Config!$B$41,$N873&lt;$M873),Config!$B$42,0))</f>
        <v/>
      </c>
      <c r="AJ873" s="22"/>
    </row>
    <row r="874" ht="15.75" customHeight="1">
      <c r="A874" s="40" t="str">
        <f t="shared" si="1"/>
        <v/>
      </c>
      <c r="B874" s="40" t="str">
        <f>IF(Bids!$A874="","",Bids!$A874)</f>
        <v/>
      </c>
      <c r="C874" s="40" t="str">
        <f>IF(Bids!$B874="","",Bids!$B874)</f>
        <v/>
      </c>
      <c r="D874" s="40" t="str">
        <f>IF($C874="","",IFERROR(VLOOKUP($C874,Orders!$A:$J,9,FALSE),""))</f>
        <v/>
      </c>
      <c r="E874" s="40" t="str">
        <f>IF($C874="","",IFERROR(VLOOKUP($C874,Orders!$A:$J,3,FALSE),""))</f>
        <v/>
      </c>
      <c r="F874" s="40" t="str">
        <f>IF($C874="","",IFERROR(VLOOKUP($C874,Orders!$A:$J,4,FALSE),""))</f>
        <v/>
      </c>
      <c r="G874" s="40" t="str">
        <f>IF($C874="","",IFERROR(VLOOKUP($C874,Orders!$A:$J,5,FALSE),""))</f>
        <v/>
      </c>
      <c r="H874" s="40" t="str">
        <f>IF($C874="","",IFERROR(VLOOKUP($C874,Orders!$A:$J,6,FALSE),""))</f>
        <v/>
      </c>
      <c r="I874" s="40" t="str">
        <f>IF($C874="","",IFERROR(VLOOKUP($C874,Orders!$A:$J,7,FALSE),""))</f>
        <v/>
      </c>
      <c r="J874" s="40" t="str">
        <f>IF(Bids!$C874="","",Bids!$C874)</f>
        <v/>
      </c>
      <c r="K874" s="40" t="str">
        <f>IF($J874="","",IFERROR(VLOOKUP($J874,Grinders!$A:$N,2,FALSE),""))</f>
        <v/>
      </c>
      <c r="L874" s="40" t="str">
        <f>IF($J874="","",IFERROR(VLOOKUP($J874,Grinders!$A:$N,3,FALSE),""))</f>
        <v/>
      </c>
      <c r="M874" s="40" t="str">
        <f>IF($J874="","",IFERROR(VLOOKUP($J874,Grinders!$A:$N,4,FALSE),""))</f>
        <v/>
      </c>
      <c r="N874" s="40" t="str">
        <f>IF($J874="","",IFERROR(VLOOKUP($J874,Grinders!$A:$N,5,FALSE),""))</f>
        <v/>
      </c>
      <c r="O874" s="40" t="str">
        <f t="shared" si="2"/>
        <v/>
      </c>
      <c r="P874" s="40" t="str">
        <f>IF($J874="","",IFERROR(VLOOKUP($J874,Grinders!$A:$N,6,FALSE),""))</f>
        <v/>
      </c>
      <c r="Q874" s="40" t="str">
        <f>IF($J874="","",IFERROR(VLOOKUP($J874,Grinders!$A:$N,8,FALSE),""))</f>
        <v/>
      </c>
      <c r="R874" s="40" t="str">
        <f>IFERROR(IF($J874="","",IF($L874="Elite",MAX(50,MIN(100,Config!$B$27*MAX(0,MIN(100,(1-IF($O874="",0,$O874))*100)) + Config!$B$28*MAX(0,MIN(100,(1-MIN(1,IF(Config!$B$30=0,1,$P874/Config!$B$30)))*100)) + Config!$B$29*MAX(0,MIN(100,MIN(1,IF($Q874="",0,$Q874)/Config!$B$23)*100)))),MIN(100,Config!$B$27*MAX(0,MIN(100,(1-IF($O874="",0,$O874))*100)) + Config!$B$28*MAX(0,MIN(100,(1-MIN(1,IF(Config!$B$30=0,1,$P874/Config!$B$30)))*100)) + Config!$B$29*MAX(0,MIN(100,MIN(1,IF($Q874="",0,$Q874)/Config!$B$23)*100))))),"")
</f>
        <v/>
      </c>
      <c r="S874" s="40" t="str">
        <f>IF(Bids!$D874="","",Bids!$D874)</f>
        <v/>
      </c>
      <c r="T874" s="40" t="str">
        <f>IF(Bids!$F874="","",Bids!$F874)</f>
        <v/>
      </c>
      <c r="U874" s="40" t="str">
        <f t="shared" si="3"/>
        <v/>
      </c>
      <c r="V874" s="40" t="str">
        <f>IF($U874="","",IF(Config!$B$17=Config!$B$16,IF($U874&gt;=Config!$B$17,100,0),MAX(0,MIN(100,($U874-Config!$B$16)/(Config!$B$17-Config!$B$16)*100))))</f>
        <v/>
      </c>
      <c r="W874" s="40">
        <f>IF($L874="Elite",Config!$B$21,0)</f>
        <v>0</v>
      </c>
      <c r="X874" s="40" t="str">
        <f>IFERROR(IF(OR($T874="",$G874=""),"",IF($T874&gt;$G874,
  MAX(0, 60-(($T874-$G874)*24/Config!$B$19)*60),
  MEDIAN(60, 100, 60+(($G874-$T874)*24/Config!$B$20)*40)
)),"")
</f>
        <v/>
      </c>
      <c r="Y874" s="40" t="str">
        <f>IF($J874="","",IFERROR(VLOOKUP($J874,Grinders!$A:$N,10,FALSE),""))</f>
        <v/>
      </c>
      <c r="Z874" s="40" t="str">
        <f>IF($J874="","",IFERROR(VLOOKUP($J874,Grinders!$A:$N,11,FALSE),""))</f>
        <v/>
      </c>
      <c r="AA874" s="40" t="str">
        <f>IF($J874="","",IFERROR(VLOOKUP($J874,Grinders!$A:$N,12,FALSE),""))</f>
        <v/>
      </c>
      <c r="AB874" s="40">
        <f>IFERROR(IF(OR($C874="",$J874=""),0,IF($D874&lt;&gt;"Open",0,IF(COUNTIFS(GrinderServices!$B:$B,$J874,GrinderServices!$C:$C,$E874,GrinderServices!$E:$E,"Y")=0,0,IF($U874&lt;Config!$B$16,0,IF(Config!$B$18=1,IF($N874&gt;=$M874,0,1),1))))),"")</f>
        <v>0</v>
      </c>
      <c r="AC874" s="40" t="str">
        <f>IFERROR(IF($AB874=0,"",((Config!$B$6*$V874 + Config!$B$7*$R874 + Config!$B$8*$W874 + Config!$B$9*$X874 + Config!$B$10*$Y874 + Config!$B$11*$Z874 - Config!$B$12*$AA874)/Config!$B$13)+$AH874+$AI874),"")</f>
        <v/>
      </c>
      <c r="AD874" s="40" t="str">
        <f t="shared" si="4"/>
        <v/>
      </c>
      <c r="AE874" s="40" t="str">
        <f>IFERROR(__xludf.DUMMYFUNCTION("IF($AC874="""","""",IF($AC874=IFERROR(MAX(FILTER($AC$6:$AC$1000,$C$6:$C$1000=$C874,$AB$6:$AB$1000=1)),),""WINNER"",""""))"),"")</f>
        <v/>
      </c>
      <c r="AF874" s="40" t="str">
        <f t="shared" si="5"/>
        <v/>
      </c>
      <c r="AG874" s="40" t="str">
        <f>IF($J874="","",COUNTIF(Assignments!$B:$B,$J874))</f>
        <v/>
      </c>
      <c r="AH874" s="40" t="str">
        <f>IF($J874="","",IF(AND($AG874=0,$N874&lt;$M874),Config!$B$43,0))</f>
        <v/>
      </c>
      <c r="AI874" s="40" t="str">
        <f>IF($J874="","",IF(AND($L874="Elite",$F874&gt;=Config!$B$41,$N874&lt;$M874),Config!$B$42,0))</f>
        <v/>
      </c>
      <c r="AJ874" s="22"/>
    </row>
    <row r="875" ht="15.75" customHeight="1">
      <c r="A875" s="40" t="str">
        <f t="shared" si="1"/>
        <v/>
      </c>
      <c r="B875" s="40" t="str">
        <f>IF(Bids!$A875="","",Bids!$A875)</f>
        <v/>
      </c>
      <c r="C875" s="40" t="str">
        <f>IF(Bids!$B875="","",Bids!$B875)</f>
        <v/>
      </c>
      <c r="D875" s="40" t="str">
        <f>IF($C875="","",IFERROR(VLOOKUP($C875,Orders!$A:$J,9,FALSE),""))</f>
        <v/>
      </c>
      <c r="E875" s="40" t="str">
        <f>IF($C875="","",IFERROR(VLOOKUP($C875,Orders!$A:$J,3,FALSE),""))</f>
        <v/>
      </c>
      <c r="F875" s="40" t="str">
        <f>IF($C875="","",IFERROR(VLOOKUP($C875,Orders!$A:$J,4,FALSE),""))</f>
        <v/>
      </c>
      <c r="G875" s="40" t="str">
        <f>IF($C875="","",IFERROR(VLOOKUP($C875,Orders!$A:$J,5,FALSE),""))</f>
        <v/>
      </c>
      <c r="H875" s="40" t="str">
        <f>IF($C875="","",IFERROR(VLOOKUP($C875,Orders!$A:$J,6,FALSE),""))</f>
        <v/>
      </c>
      <c r="I875" s="40" t="str">
        <f>IF($C875="","",IFERROR(VLOOKUP($C875,Orders!$A:$J,7,FALSE),""))</f>
        <v/>
      </c>
      <c r="J875" s="40" t="str">
        <f>IF(Bids!$C875="","",Bids!$C875)</f>
        <v/>
      </c>
      <c r="K875" s="40" t="str">
        <f>IF($J875="","",IFERROR(VLOOKUP($J875,Grinders!$A:$N,2,FALSE),""))</f>
        <v/>
      </c>
      <c r="L875" s="40" t="str">
        <f>IF($J875="","",IFERROR(VLOOKUP($J875,Grinders!$A:$N,3,FALSE),""))</f>
        <v/>
      </c>
      <c r="M875" s="40" t="str">
        <f>IF($J875="","",IFERROR(VLOOKUP($J875,Grinders!$A:$N,4,FALSE),""))</f>
        <v/>
      </c>
      <c r="N875" s="40" t="str">
        <f>IF($J875="","",IFERROR(VLOOKUP($J875,Grinders!$A:$N,5,FALSE),""))</f>
        <v/>
      </c>
      <c r="O875" s="40" t="str">
        <f t="shared" si="2"/>
        <v/>
      </c>
      <c r="P875" s="40" t="str">
        <f>IF($J875="","",IFERROR(VLOOKUP($J875,Grinders!$A:$N,6,FALSE),""))</f>
        <v/>
      </c>
      <c r="Q875" s="40" t="str">
        <f>IF($J875="","",IFERROR(VLOOKUP($J875,Grinders!$A:$N,8,FALSE),""))</f>
        <v/>
      </c>
      <c r="R875" s="40" t="str">
        <f>IFERROR(IF($J875="","",IF($L875="Elite",MAX(50,MIN(100,Config!$B$27*MAX(0,MIN(100,(1-IF($O875="",0,$O875))*100)) + Config!$B$28*MAX(0,MIN(100,(1-MIN(1,IF(Config!$B$30=0,1,$P875/Config!$B$30)))*100)) + Config!$B$29*MAX(0,MIN(100,MIN(1,IF($Q875="",0,$Q875)/Config!$B$23)*100)))),MIN(100,Config!$B$27*MAX(0,MIN(100,(1-IF($O875="",0,$O875))*100)) + Config!$B$28*MAX(0,MIN(100,(1-MIN(1,IF(Config!$B$30=0,1,$P875/Config!$B$30)))*100)) + Config!$B$29*MAX(0,MIN(100,MIN(1,IF($Q875="",0,$Q875)/Config!$B$23)*100))))),"")
</f>
        <v/>
      </c>
      <c r="S875" s="40" t="str">
        <f>IF(Bids!$D875="","",Bids!$D875)</f>
        <v/>
      </c>
      <c r="T875" s="40" t="str">
        <f>IF(Bids!$F875="","",Bids!$F875)</f>
        <v/>
      </c>
      <c r="U875" s="40" t="str">
        <f t="shared" si="3"/>
        <v/>
      </c>
      <c r="V875" s="40" t="str">
        <f>IF($U875="","",IF(Config!$B$17=Config!$B$16,IF($U875&gt;=Config!$B$17,100,0),MAX(0,MIN(100,($U875-Config!$B$16)/(Config!$B$17-Config!$B$16)*100))))</f>
        <v/>
      </c>
      <c r="W875" s="40">
        <f>IF($L875="Elite",Config!$B$21,0)</f>
        <v>0</v>
      </c>
      <c r="X875" s="40" t="str">
        <f>IFERROR(IF(OR($T875="",$G875=""),"",IF($T875&gt;$G875,
  MAX(0, 60-(($T875-$G875)*24/Config!$B$19)*60),
  MEDIAN(60, 100, 60+(($G875-$T875)*24/Config!$B$20)*40)
)),"")
</f>
        <v/>
      </c>
      <c r="Y875" s="40" t="str">
        <f>IF($J875="","",IFERROR(VLOOKUP($J875,Grinders!$A:$N,10,FALSE),""))</f>
        <v/>
      </c>
      <c r="Z875" s="40" t="str">
        <f>IF($J875="","",IFERROR(VLOOKUP($J875,Grinders!$A:$N,11,FALSE),""))</f>
        <v/>
      </c>
      <c r="AA875" s="40" t="str">
        <f>IF($J875="","",IFERROR(VLOOKUP($J875,Grinders!$A:$N,12,FALSE),""))</f>
        <v/>
      </c>
      <c r="AB875" s="40">
        <f>IFERROR(IF(OR($C875="",$J875=""),0,IF($D875&lt;&gt;"Open",0,IF(COUNTIFS(GrinderServices!$B:$B,$J875,GrinderServices!$C:$C,$E875,GrinderServices!$E:$E,"Y")=0,0,IF($U875&lt;Config!$B$16,0,IF(Config!$B$18=1,IF($N875&gt;=$M875,0,1),1))))),"")</f>
        <v>0</v>
      </c>
      <c r="AC875" s="40" t="str">
        <f>IFERROR(IF($AB875=0,"",((Config!$B$6*$V875 + Config!$B$7*$R875 + Config!$B$8*$W875 + Config!$B$9*$X875 + Config!$B$10*$Y875 + Config!$B$11*$Z875 - Config!$B$12*$AA875)/Config!$B$13)+$AH875+$AI875),"")</f>
        <v/>
      </c>
      <c r="AD875" s="40" t="str">
        <f t="shared" si="4"/>
        <v/>
      </c>
      <c r="AE875" s="40" t="str">
        <f>IFERROR(__xludf.DUMMYFUNCTION("IF($AC875="""","""",IF($AC875=IFERROR(MAX(FILTER($AC$6:$AC$1000,$C$6:$C$1000=$C875,$AB$6:$AB$1000=1)),),""WINNER"",""""))"),"")</f>
        <v/>
      </c>
      <c r="AF875" s="40" t="str">
        <f t="shared" si="5"/>
        <v/>
      </c>
      <c r="AG875" s="40" t="str">
        <f>IF($J875="","",COUNTIF(Assignments!$B:$B,$J875))</f>
        <v/>
      </c>
      <c r="AH875" s="40" t="str">
        <f>IF($J875="","",IF(AND($AG875=0,$N875&lt;$M875),Config!$B$43,0))</f>
        <v/>
      </c>
      <c r="AI875" s="40" t="str">
        <f>IF($J875="","",IF(AND($L875="Elite",$F875&gt;=Config!$B$41,$N875&lt;$M875),Config!$B$42,0))</f>
        <v/>
      </c>
      <c r="AJ875" s="22"/>
    </row>
    <row r="876" ht="15.75" customHeight="1">
      <c r="A876" s="40" t="str">
        <f t="shared" si="1"/>
        <v/>
      </c>
      <c r="B876" s="40" t="str">
        <f>IF(Bids!$A876="","",Bids!$A876)</f>
        <v/>
      </c>
      <c r="C876" s="40" t="str">
        <f>IF(Bids!$B876="","",Bids!$B876)</f>
        <v/>
      </c>
      <c r="D876" s="40" t="str">
        <f>IF($C876="","",IFERROR(VLOOKUP($C876,Orders!$A:$J,9,FALSE),""))</f>
        <v/>
      </c>
      <c r="E876" s="40" t="str">
        <f>IF($C876="","",IFERROR(VLOOKUP($C876,Orders!$A:$J,3,FALSE),""))</f>
        <v/>
      </c>
      <c r="F876" s="40" t="str">
        <f>IF($C876="","",IFERROR(VLOOKUP($C876,Orders!$A:$J,4,FALSE),""))</f>
        <v/>
      </c>
      <c r="G876" s="40" t="str">
        <f>IF($C876="","",IFERROR(VLOOKUP($C876,Orders!$A:$J,5,FALSE),""))</f>
        <v/>
      </c>
      <c r="H876" s="40" t="str">
        <f>IF($C876="","",IFERROR(VLOOKUP($C876,Orders!$A:$J,6,FALSE),""))</f>
        <v/>
      </c>
      <c r="I876" s="40" t="str">
        <f>IF($C876="","",IFERROR(VLOOKUP($C876,Orders!$A:$J,7,FALSE),""))</f>
        <v/>
      </c>
      <c r="J876" s="40" t="str">
        <f>IF(Bids!$C876="","",Bids!$C876)</f>
        <v/>
      </c>
      <c r="K876" s="40" t="str">
        <f>IF($J876="","",IFERROR(VLOOKUP($J876,Grinders!$A:$N,2,FALSE),""))</f>
        <v/>
      </c>
      <c r="L876" s="40" t="str">
        <f>IF($J876="","",IFERROR(VLOOKUP($J876,Grinders!$A:$N,3,FALSE),""))</f>
        <v/>
      </c>
      <c r="M876" s="40" t="str">
        <f>IF($J876="","",IFERROR(VLOOKUP($J876,Grinders!$A:$N,4,FALSE),""))</f>
        <v/>
      </c>
      <c r="N876" s="40" t="str">
        <f>IF($J876="","",IFERROR(VLOOKUP($J876,Grinders!$A:$N,5,FALSE),""))</f>
        <v/>
      </c>
      <c r="O876" s="40" t="str">
        <f t="shared" si="2"/>
        <v/>
      </c>
      <c r="P876" s="40" t="str">
        <f>IF($J876="","",IFERROR(VLOOKUP($J876,Grinders!$A:$N,6,FALSE),""))</f>
        <v/>
      </c>
      <c r="Q876" s="40" t="str">
        <f>IF($J876="","",IFERROR(VLOOKUP($J876,Grinders!$A:$N,8,FALSE),""))</f>
        <v/>
      </c>
      <c r="R876" s="40" t="str">
        <f>IFERROR(IF($J876="","",IF($L876="Elite",MAX(50,MIN(100,Config!$B$27*MAX(0,MIN(100,(1-IF($O876="",0,$O876))*100)) + Config!$B$28*MAX(0,MIN(100,(1-MIN(1,IF(Config!$B$30=0,1,$P876/Config!$B$30)))*100)) + Config!$B$29*MAX(0,MIN(100,MIN(1,IF($Q876="",0,$Q876)/Config!$B$23)*100)))),MIN(100,Config!$B$27*MAX(0,MIN(100,(1-IF($O876="",0,$O876))*100)) + Config!$B$28*MAX(0,MIN(100,(1-MIN(1,IF(Config!$B$30=0,1,$P876/Config!$B$30)))*100)) + Config!$B$29*MAX(0,MIN(100,MIN(1,IF($Q876="",0,$Q876)/Config!$B$23)*100))))),"")
</f>
        <v/>
      </c>
      <c r="S876" s="40" t="str">
        <f>IF(Bids!$D876="","",Bids!$D876)</f>
        <v/>
      </c>
      <c r="T876" s="40" t="str">
        <f>IF(Bids!$F876="","",Bids!$F876)</f>
        <v/>
      </c>
      <c r="U876" s="40" t="str">
        <f t="shared" si="3"/>
        <v/>
      </c>
      <c r="V876" s="40" t="str">
        <f>IF($U876="","",IF(Config!$B$17=Config!$B$16,IF($U876&gt;=Config!$B$17,100,0),MAX(0,MIN(100,($U876-Config!$B$16)/(Config!$B$17-Config!$B$16)*100))))</f>
        <v/>
      </c>
      <c r="W876" s="40">
        <f>IF($L876="Elite",Config!$B$21,0)</f>
        <v>0</v>
      </c>
      <c r="X876" s="40" t="str">
        <f>IFERROR(IF(OR($T876="",$G876=""),"",IF($T876&gt;$G876,
  MAX(0, 60-(($T876-$G876)*24/Config!$B$19)*60),
  MEDIAN(60, 100, 60+(($G876-$T876)*24/Config!$B$20)*40)
)),"")
</f>
        <v/>
      </c>
      <c r="Y876" s="40" t="str">
        <f>IF($J876="","",IFERROR(VLOOKUP($J876,Grinders!$A:$N,10,FALSE),""))</f>
        <v/>
      </c>
      <c r="Z876" s="40" t="str">
        <f>IF($J876="","",IFERROR(VLOOKUP($J876,Grinders!$A:$N,11,FALSE),""))</f>
        <v/>
      </c>
      <c r="AA876" s="40" t="str">
        <f>IF($J876="","",IFERROR(VLOOKUP($J876,Grinders!$A:$N,12,FALSE),""))</f>
        <v/>
      </c>
      <c r="AB876" s="40">
        <f>IFERROR(IF(OR($C876="",$J876=""),0,IF($D876&lt;&gt;"Open",0,IF(COUNTIFS(GrinderServices!$B:$B,$J876,GrinderServices!$C:$C,$E876,GrinderServices!$E:$E,"Y")=0,0,IF($U876&lt;Config!$B$16,0,IF(Config!$B$18=1,IF($N876&gt;=$M876,0,1),1))))),"")</f>
        <v>0</v>
      </c>
      <c r="AC876" s="40" t="str">
        <f>IFERROR(IF($AB876=0,"",((Config!$B$6*$V876 + Config!$B$7*$R876 + Config!$B$8*$W876 + Config!$B$9*$X876 + Config!$B$10*$Y876 + Config!$B$11*$Z876 - Config!$B$12*$AA876)/Config!$B$13)+$AH876+$AI876),"")</f>
        <v/>
      </c>
      <c r="AD876" s="40" t="str">
        <f t="shared" si="4"/>
        <v/>
      </c>
      <c r="AE876" s="40" t="str">
        <f>IFERROR(__xludf.DUMMYFUNCTION("IF($AC876="""","""",IF($AC876=IFERROR(MAX(FILTER($AC$6:$AC$1000,$C$6:$C$1000=$C876,$AB$6:$AB$1000=1)),),""WINNER"",""""))"),"")</f>
        <v/>
      </c>
      <c r="AF876" s="40" t="str">
        <f t="shared" si="5"/>
        <v/>
      </c>
      <c r="AG876" s="40" t="str">
        <f>IF($J876="","",COUNTIF(Assignments!$B:$B,$J876))</f>
        <v/>
      </c>
      <c r="AH876" s="40" t="str">
        <f>IF($J876="","",IF(AND($AG876=0,$N876&lt;$M876),Config!$B$43,0))</f>
        <v/>
      </c>
      <c r="AI876" s="40" t="str">
        <f>IF($J876="","",IF(AND($L876="Elite",$F876&gt;=Config!$B$41,$N876&lt;$M876),Config!$B$42,0))</f>
        <v/>
      </c>
      <c r="AJ876" s="22"/>
    </row>
    <row r="877" ht="15.75" customHeight="1">
      <c r="A877" s="40" t="str">
        <f t="shared" si="1"/>
        <v/>
      </c>
      <c r="B877" s="40" t="str">
        <f>IF(Bids!$A877="","",Bids!$A877)</f>
        <v/>
      </c>
      <c r="C877" s="40" t="str">
        <f>IF(Bids!$B877="","",Bids!$B877)</f>
        <v/>
      </c>
      <c r="D877" s="40" t="str">
        <f>IF($C877="","",IFERROR(VLOOKUP($C877,Orders!$A:$J,9,FALSE),""))</f>
        <v/>
      </c>
      <c r="E877" s="40" t="str">
        <f>IF($C877="","",IFERROR(VLOOKUP($C877,Orders!$A:$J,3,FALSE),""))</f>
        <v/>
      </c>
      <c r="F877" s="40" t="str">
        <f>IF($C877="","",IFERROR(VLOOKUP($C877,Orders!$A:$J,4,FALSE),""))</f>
        <v/>
      </c>
      <c r="G877" s="40" t="str">
        <f>IF($C877="","",IFERROR(VLOOKUP($C877,Orders!$A:$J,5,FALSE),""))</f>
        <v/>
      </c>
      <c r="H877" s="40" t="str">
        <f>IF($C877="","",IFERROR(VLOOKUP($C877,Orders!$A:$J,6,FALSE),""))</f>
        <v/>
      </c>
      <c r="I877" s="40" t="str">
        <f>IF($C877="","",IFERROR(VLOOKUP($C877,Orders!$A:$J,7,FALSE),""))</f>
        <v/>
      </c>
      <c r="J877" s="40" t="str">
        <f>IF(Bids!$C877="","",Bids!$C877)</f>
        <v/>
      </c>
      <c r="K877" s="40" t="str">
        <f>IF($J877="","",IFERROR(VLOOKUP($J877,Grinders!$A:$N,2,FALSE),""))</f>
        <v/>
      </c>
      <c r="L877" s="40" t="str">
        <f>IF($J877="","",IFERROR(VLOOKUP($J877,Grinders!$A:$N,3,FALSE),""))</f>
        <v/>
      </c>
      <c r="M877" s="40" t="str">
        <f>IF($J877="","",IFERROR(VLOOKUP($J877,Grinders!$A:$N,4,FALSE),""))</f>
        <v/>
      </c>
      <c r="N877" s="40" t="str">
        <f>IF($J877="","",IFERROR(VLOOKUP($J877,Grinders!$A:$N,5,FALSE),""))</f>
        <v/>
      </c>
      <c r="O877" s="40" t="str">
        <f t="shared" si="2"/>
        <v/>
      </c>
      <c r="P877" s="40" t="str">
        <f>IF($J877="","",IFERROR(VLOOKUP($J877,Grinders!$A:$N,6,FALSE),""))</f>
        <v/>
      </c>
      <c r="Q877" s="40" t="str">
        <f>IF($J877="","",IFERROR(VLOOKUP($J877,Grinders!$A:$N,8,FALSE),""))</f>
        <v/>
      </c>
      <c r="R877" s="40" t="str">
        <f>IFERROR(IF($J877="","",IF($L877="Elite",MAX(50,MIN(100,Config!$B$27*MAX(0,MIN(100,(1-IF($O877="",0,$O877))*100)) + Config!$B$28*MAX(0,MIN(100,(1-MIN(1,IF(Config!$B$30=0,1,$P877/Config!$B$30)))*100)) + Config!$B$29*MAX(0,MIN(100,MIN(1,IF($Q877="",0,$Q877)/Config!$B$23)*100)))),MIN(100,Config!$B$27*MAX(0,MIN(100,(1-IF($O877="",0,$O877))*100)) + Config!$B$28*MAX(0,MIN(100,(1-MIN(1,IF(Config!$B$30=0,1,$P877/Config!$B$30)))*100)) + Config!$B$29*MAX(0,MIN(100,MIN(1,IF($Q877="",0,$Q877)/Config!$B$23)*100))))),"")
</f>
        <v/>
      </c>
      <c r="S877" s="40" t="str">
        <f>IF(Bids!$D877="","",Bids!$D877)</f>
        <v/>
      </c>
      <c r="T877" s="40" t="str">
        <f>IF(Bids!$F877="","",Bids!$F877)</f>
        <v/>
      </c>
      <c r="U877" s="40" t="str">
        <f t="shared" si="3"/>
        <v/>
      </c>
      <c r="V877" s="40" t="str">
        <f>IF($U877="","",IF(Config!$B$17=Config!$B$16,IF($U877&gt;=Config!$B$17,100,0),MAX(0,MIN(100,($U877-Config!$B$16)/(Config!$B$17-Config!$B$16)*100))))</f>
        <v/>
      </c>
      <c r="W877" s="40">
        <f>IF($L877="Elite",Config!$B$21,0)</f>
        <v>0</v>
      </c>
      <c r="X877" s="40" t="str">
        <f>IFERROR(IF(OR($T877="",$G877=""),"",IF($T877&gt;$G877,
  MAX(0, 60-(($T877-$G877)*24/Config!$B$19)*60),
  MEDIAN(60, 100, 60+(($G877-$T877)*24/Config!$B$20)*40)
)),"")
</f>
        <v/>
      </c>
      <c r="Y877" s="40" t="str">
        <f>IF($J877="","",IFERROR(VLOOKUP($J877,Grinders!$A:$N,10,FALSE),""))</f>
        <v/>
      </c>
      <c r="Z877" s="40" t="str">
        <f>IF($J877="","",IFERROR(VLOOKUP($J877,Grinders!$A:$N,11,FALSE),""))</f>
        <v/>
      </c>
      <c r="AA877" s="40" t="str">
        <f>IF($J877="","",IFERROR(VLOOKUP($J877,Grinders!$A:$N,12,FALSE),""))</f>
        <v/>
      </c>
      <c r="AB877" s="40">
        <f>IFERROR(IF(OR($C877="",$J877=""),0,IF($D877&lt;&gt;"Open",0,IF(COUNTIFS(GrinderServices!$B:$B,$J877,GrinderServices!$C:$C,$E877,GrinderServices!$E:$E,"Y")=0,0,IF($U877&lt;Config!$B$16,0,IF(Config!$B$18=1,IF($N877&gt;=$M877,0,1),1))))),"")</f>
        <v>0</v>
      </c>
      <c r="AC877" s="40" t="str">
        <f>IFERROR(IF($AB877=0,"",((Config!$B$6*$V877 + Config!$B$7*$R877 + Config!$B$8*$W877 + Config!$B$9*$X877 + Config!$B$10*$Y877 + Config!$B$11*$Z877 - Config!$B$12*$AA877)/Config!$B$13)+$AH877+$AI877),"")</f>
        <v/>
      </c>
      <c r="AD877" s="40" t="str">
        <f t="shared" si="4"/>
        <v/>
      </c>
      <c r="AE877" s="40" t="str">
        <f>IFERROR(__xludf.DUMMYFUNCTION("IF($AC877="""","""",IF($AC877=IFERROR(MAX(FILTER($AC$6:$AC$1000,$C$6:$C$1000=$C877,$AB$6:$AB$1000=1)),),""WINNER"",""""))"),"")</f>
        <v/>
      </c>
      <c r="AF877" s="40" t="str">
        <f t="shared" si="5"/>
        <v/>
      </c>
      <c r="AG877" s="40" t="str">
        <f>IF($J877="","",COUNTIF(Assignments!$B:$B,$J877))</f>
        <v/>
      </c>
      <c r="AH877" s="40" t="str">
        <f>IF($J877="","",IF(AND($AG877=0,$N877&lt;$M877),Config!$B$43,0))</f>
        <v/>
      </c>
      <c r="AI877" s="40" t="str">
        <f>IF($J877="","",IF(AND($L877="Elite",$F877&gt;=Config!$B$41,$N877&lt;$M877),Config!$B$42,0))</f>
        <v/>
      </c>
      <c r="AJ877" s="22"/>
    </row>
    <row r="878" ht="15.75" customHeight="1">
      <c r="A878" s="40" t="str">
        <f t="shared" si="1"/>
        <v/>
      </c>
      <c r="B878" s="40" t="str">
        <f>IF(Bids!$A878="","",Bids!$A878)</f>
        <v/>
      </c>
      <c r="C878" s="40" t="str">
        <f>IF(Bids!$B878="","",Bids!$B878)</f>
        <v/>
      </c>
      <c r="D878" s="40" t="str">
        <f>IF($C878="","",IFERROR(VLOOKUP($C878,Orders!$A:$J,9,FALSE),""))</f>
        <v/>
      </c>
      <c r="E878" s="40" t="str">
        <f>IF($C878="","",IFERROR(VLOOKUP($C878,Orders!$A:$J,3,FALSE),""))</f>
        <v/>
      </c>
      <c r="F878" s="40" t="str">
        <f>IF($C878="","",IFERROR(VLOOKUP($C878,Orders!$A:$J,4,FALSE),""))</f>
        <v/>
      </c>
      <c r="G878" s="40" t="str">
        <f>IF($C878="","",IFERROR(VLOOKUP($C878,Orders!$A:$J,5,FALSE),""))</f>
        <v/>
      </c>
      <c r="H878" s="40" t="str">
        <f>IF($C878="","",IFERROR(VLOOKUP($C878,Orders!$A:$J,6,FALSE),""))</f>
        <v/>
      </c>
      <c r="I878" s="40" t="str">
        <f>IF($C878="","",IFERROR(VLOOKUP($C878,Orders!$A:$J,7,FALSE),""))</f>
        <v/>
      </c>
      <c r="J878" s="40" t="str">
        <f>IF(Bids!$C878="","",Bids!$C878)</f>
        <v/>
      </c>
      <c r="K878" s="40" t="str">
        <f>IF($J878="","",IFERROR(VLOOKUP($J878,Grinders!$A:$N,2,FALSE),""))</f>
        <v/>
      </c>
      <c r="L878" s="40" t="str">
        <f>IF($J878="","",IFERROR(VLOOKUP($J878,Grinders!$A:$N,3,FALSE),""))</f>
        <v/>
      </c>
      <c r="M878" s="40" t="str">
        <f>IF($J878="","",IFERROR(VLOOKUP($J878,Grinders!$A:$N,4,FALSE),""))</f>
        <v/>
      </c>
      <c r="N878" s="40" t="str">
        <f>IF($J878="","",IFERROR(VLOOKUP($J878,Grinders!$A:$N,5,FALSE),""))</f>
        <v/>
      </c>
      <c r="O878" s="40" t="str">
        <f t="shared" si="2"/>
        <v/>
      </c>
      <c r="P878" s="40" t="str">
        <f>IF($J878="","",IFERROR(VLOOKUP($J878,Grinders!$A:$N,6,FALSE),""))</f>
        <v/>
      </c>
      <c r="Q878" s="40" t="str">
        <f>IF($J878="","",IFERROR(VLOOKUP($J878,Grinders!$A:$N,8,FALSE),""))</f>
        <v/>
      </c>
      <c r="R878" s="40" t="str">
        <f>IFERROR(IF($J878="","",IF($L878="Elite",MAX(50,MIN(100,Config!$B$27*MAX(0,MIN(100,(1-IF($O878="",0,$O878))*100)) + Config!$B$28*MAX(0,MIN(100,(1-MIN(1,IF(Config!$B$30=0,1,$P878/Config!$B$30)))*100)) + Config!$B$29*MAX(0,MIN(100,MIN(1,IF($Q878="",0,$Q878)/Config!$B$23)*100)))),MIN(100,Config!$B$27*MAX(0,MIN(100,(1-IF($O878="",0,$O878))*100)) + Config!$B$28*MAX(0,MIN(100,(1-MIN(1,IF(Config!$B$30=0,1,$P878/Config!$B$30)))*100)) + Config!$B$29*MAX(0,MIN(100,MIN(1,IF($Q878="",0,$Q878)/Config!$B$23)*100))))),"")
</f>
        <v/>
      </c>
      <c r="S878" s="40" t="str">
        <f>IF(Bids!$D878="","",Bids!$D878)</f>
        <v/>
      </c>
      <c r="T878" s="40" t="str">
        <f>IF(Bids!$F878="","",Bids!$F878)</f>
        <v/>
      </c>
      <c r="U878" s="40" t="str">
        <f t="shared" si="3"/>
        <v/>
      </c>
      <c r="V878" s="40" t="str">
        <f>IF($U878="","",IF(Config!$B$17=Config!$B$16,IF($U878&gt;=Config!$B$17,100,0),MAX(0,MIN(100,($U878-Config!$B$16)/(Config!$B$17-Config!$B$16)*100))))</f>
        <v/>
      </c>
      <c r="W878" s="40">
        <f>IF($L878="Elite",Config!$B$21,0)</f>
        <v>0</v>
      </c>
      <c r="X878" s="40" t="str">
        <f>IFERROR(IF(OR($T878="",$G878=""),"",IF($T878&gt;$G878,
  MAX(0, 60-(($T878-$G878)*24/Config!$B$19)*60),
  MEDIAN(60, 100, 60+(($G878-$T878)*24/Config!$B$20)*40)
)),"")
</f>
        <v/>
      </c>
      <c r="Y878" s="40" t="str">
        <f>IF($J878="","",IFERROR(VLOOKUP($J878,Grinders!$A:$N,10,FALSE),""))</f>
        <v/>
      </c>
      <c r="Z878" s="40" t="str">
        <f>IF($J878="","",IFERROR(VLOOKUP($J878,Grinders!$A:$N,11,FALSE),""))</f>
        <v/>
      </c>
      <c r="AA878" s="40" t="str">
        <f>IF($J878="","",IFERROR(VLOOKUP($J878,Grinders!$A:$N,12,FALSE),""))</f>
        <v/>
      </c>
      <c r="AB878" s="40">
        <f>IFERROR(IF(OR($C878="",$J878=""),0,IF($D878&lt;&gt;"Open",0,IF(COUNTIFS(GrinderServices!$B:$B,$J878,GrinderServices!$C:$C,$E878,GrinderServices!$E:$E,"Y")=0,0,IF($U878&lt;Config!$B$16,0,IF(Config!$B$18=1,IF($N878&gt;=$M878,0,1),1))))),"")</f>
        <v>0</v>
      </c>
      <c r="AC878" s="40" t="str">
        <f>IFERROR(IF($AB878=0,"",((Config!$B$6*$V878 + Config!$B$7*$R878 + Config!$B$8*$W878 + Config!$B$9*$X878 + Config!$B$10*$Y878 + Config!$B$11*$Z878 - Config!$B$12*$AA878)/Config!$B$13)+$AH878+$AI878),"")</f>
        <v/>
      </c>
      <c r="AD878" s="40" t="str">
        <f t="shared" si="4"/>
        <v/>
      </c>
      <c r="AE878" s="40" t="str">
        <f>IFERROR(__xludf.DUMMYFUNCTION("IF($AC878="""","""",IF($AC878=IFERROR(MAX(FILTER($AC$6:$AC$1000,$C$6:$C$1000=$C878,$AB$6:$AB$1000=1)),),""WINNER"",""""))"),"")</f>
        <v/>
      </c>
      <c r="AF878" s="40" t="str">
        <f t="shared" si="5"/>
        <v/>
      </c>
      <c r="AG878" s="40" t="str">
        <f>IF($J878="","",COUNTIF(Assignments!$B:$B,$J878))</f>
        <v/>
      </c>
      <c r="AH878" s="40" t="str">
        <f>IF($J878="","",IF(AND($AG878=0,$N878&lt;$M878),Config!$B$43,0))</f>
        <v/>
      </c>
      <c r="AI878" s="40" t="str">
        <f>IF($J878="","",IF(AND($L878="Elite",$F878&gt;=Config!$B$41,$N878&lt;$M878),Config!$B$42,0))</f>
        <v/>
      </c>
      <c r="AJ878" s="22"/>
    </row>
    <row r="879" ht="15.75" customHeight="1">
      <c r="A879" s="40" t="str">
        <f t="shared" si="1"/>
        <v/>
      </c>
      <c r="B879" s="40" t="str">
        <f>IF(Bids!$A879="","",Bids!$A879)</f>
        <v/>
      </c>
      <c r="C879" s="40" t="str">
        <f>IF(Bids!$B879="","",Bids!$B879)</f>
        <v/>
      </c>
      <c r="D879" s="40" t="str">
        <f>IF($C879="","",IFERROR(VLOOKUP($C879,Orders!$A:$J,9,FALSE),""))</f>
        <v/>
      </c>
      <c r="E879" s="40" t="str">
        <f>IF($C879="","",IFERROR(VLOOKUP($C879,Orders!$A:$J,3,FALSE),""))</f>
        <v/>
      </c>
      <c r="F879" s="40" t="str">
        <f>IF($C879="","",IFERROR(VLOOKUP($C879,Orders!$A:$J,4,FALSE),""))</f>
        <v/>
      </c>
      <c r="G879" s="40" t="str">
        <f>IF($C879="","",IFERROR(VLOOKUP($C879,Orders!$A:$J,5,FALSE),""))</f>
        <v/>
      </c>
      <c r="H879" s="40" t="str">
        <f>IF($C879="","",IFERROR(VLOOKUP($C879,Orders!$A:$J,6,FALSE),""))</f>
        <v/>
      </c>
      <c r="I879" s="40" t="str">
        <f>IF($C879="","",IFERROR(VLOOKUP($C879,Orders!$A:$J,7,FALSE),""))</f>
        <v/>
      </c>
      <c r="J879" s="40" t="str">
        <f>IF(Bids!$C879="","",Bids!$C879)</f>
        <v/>
      </c>
      <c r="K879" s="40" t="str">
        <f>IF($J879="","",IFERROR(VLOOKUP($J879,Grinders!$A:$N,2,FALSE),""))</f>
        <v/>
      </c>
      <c r="L879" s="40" t="str">
        <f>IF($J879="","",IFERROR(VLOOKUP($J879,Grinders!$A:$N,3,FALSE),""))</f>
        <v/>
      </c>
      <c r="M879" s="40" t="str">
        <f>IF($J879="","",IFERROR(VLOOKUP($J879,Grinders!$A:$N,4,FALSE),""))</f>
        <v/>
      </c>
      <c r="N879" s="40" t="str">
        <f>IF($J879="","",IFERROR(VLOOKUP($J879,Grinders!$A:$N,5,FALSE),""))</f>
        <v/>
      </c>
      <c r="O879" s="40" t="str">
        <f t="shared" si="2"/>
        <v/>
      </c>
      <c r="P879" s="40" t="str">
        <f>IF($J879="","",IFERROR(VLOOKUP($J879,Grinders!$A:$N,6,FALSE),""))</f>
        <v/>
      </c>
      <c r="Q879" s="40" t="str">
        <f>IF($J879="","",IFERROR(VLOOKUP($J879,Grinders!$A:$N,8,FALSE),""))</f>
        <v/>
      </c>
      <c r="R879" s="40" t="str">
        <f>IFERROR(IF($J879="","",IF($L879="Elite",MAX(50,MIN(100,Config!$B$27*MAX(0,MIN(100,(1-IF($O879="",0,$O879))*100)) + Config!$B$28*MAX(0,MIN(100,(1-MIN(1,IF(Config!$B$30=0,1,$P879/Config!$B$30)))*100)) + Config!$B$29*MAX(0,MIN(100,MIN(1,IF($Q879="",0,$Q879)/Config!$B$23)*100)))),MIN(100,Config!$B$27*MAX(0,MIN(100,(1-IF($O879="",0,$O879))*100)) + Config!$B$28*MAX(0,MIN(100,(1-MIN(1,IF(Config!$B$30=0,1,$P879/Config!$B$30)))*100)) + Config!$B$29*MAX(0,MIN(100,MIN(1,IF($Q879="",0,$Q879)/Config!$B$23)*100))))),"")
</f>
        <v/>
      </c>
      <c r="S879" s="40" t="str">
        <f>IF(Bids!$D879="","",Bids!$D879)</f>
        <v/>
      </c>
      <c r="T879" s="40" t="str">
        <f>IF(Bids!$F879="","",Bids!$F879)</f>
        <v/>
      </c>
      <c r="U879" s="40" t="str">
        <f t="shared" si="3"/>
        <v/>
      </c>
      <c r="V879" s="40" t="str">
        <f>IF($U879="","",IF(Config!$B$17=Config!$B$16,IF($U879&gt;=Config!$B$17,100,0),MAX(0,MIN(100,($U879-Config!$B$16)/(Config!$B$17-Config!$B$16)*100))))</f>
        <v/>
      </c>
      <c r="W879" s="40">
        <f>IF($L879="Elite",Config!$B$21,0)</f>
        <v>0</v>
      </c>
      <c r="X879" s="40" t="str">
        <f>IFERROR(IF(OR($T879="",$G879=""),"",IF($T879&gt;$G879,
  MAX(0, 60-(($T879-$G879)*24/Config!$B$19)*60),
  MEDIAN(60, 100, 60+(($G879-$T879)*24/Config!$B$20)*40)
)),"")
</f>
        <v/>
      </c>
      <c r="Y879" s="40" t="str">
        <f>IF($J879="","",IFERROR(VLOOKUP($J879,Grinders!$A:$N,10,FALSE),""))</f>
        <v/>
      </c>
      <c r="Z879" s="40" t="str">
        <f>IF($J879="","",IFERROR(VLOOKUP($J879,Grinders!$A:$N,11,FALSE),""))</f>
        <v/>
      </c>
      <c r="AA879" s="40" t="str">
        <f>IF($J879="","",IFERROR(VLOOKUP($J879,Grinders!$A:$N,12,FALSE),""))</f>
        <v/>
      </c>
      <c r="AB879" s="40">
        <f>IFERROR(IF(OR($C879="",$J879=""),0,IF($D879&lt;&gt;"Open",0,IF(COUNTIFS(GrinderServices!$B:$B,$J879,GrinderServices!$C:$C,$E879,GrinderServices!$E:$E,"Y")=0,0,IF($U879&lt;Config!$B$16,0,IF(Config!$B$18=1,IF($N879&gt;=$M879,0,1),1))))),"")</f>
        <v>0</v>
      </c>
      <c r="AC879" s="40" t="str">
        <f>IFERROR(IF($AB879=0,"",((Config!$B$6*$V879 + Config!$B$7*$R879 + Config!$B$8*$W879 + Config!$B$9*$X879 + Config!$B$10*$Y879 + Config!$B$11*$Z879 - Config!$B$12*$AA879)/Config!$B$13)+$AH879+$AI879),"")</f>
        <v/>
      </c>
      <c r="AD879" s="40" t="str">
        <f t="shared" si="4"/>
        <v/>
      </c>
      <c r="AE879" s="40" t="str">
        <f>IFERROR(__xludf.DUMMYFUNCTION("IF($AC879="""","""",IF($AC879=IFERROR(MAX(FILTER($AC$6:$AC$1000,$C$6:$C$1000=$C879,$AB$6:$AB$1000=1)),),""WINNER"",""""))"),"")</f>
        <v/>
      </c>
      <c r="AF879" s="40" t="str">
        <f t="shared" si="5"/>
        <v/>
      </c>
      <c r="AG879" s="40" t="str">
        <f>IF($J879="","",COUNTIF(Assignments!$B:$B,$J879))</f>
        <v/>
      </c>
      <c r="AH879" s="40" t="str">
        <f>IF($J879="","",IF(AND($AG879=0,$N879&lt;$M879),Config!$B$43,0))</f>
        <v/>
      </c>
      <c r="AI879" s="40" t="str">
        <f>IF($J879="","",IF(AND($L879="Elite",$F879&gt;=Config!$B$41,$N879&lt;$M879),Config!$B$42,0))</f>
        <v/>
      </c>
      <c r="AJ879" s="22"/>
    </row>
    <row r="880" ht="15.75" customHeight="1">
      <c r="A880" s="40" t="str">
        <f t="shared" si="1"/>
        <v/>
      </c>
      <c r="B880" s="40" t="str">
        <f>IF(Bids!$A880="","",Bids!$A880)</f>
        <v/>
      </c>
      <c r="C880" s="40" t="str">
        <f>IF(Bids!$B880="","",Bids!$B880)</f>
        <v/>
      </c>
      <c r="D880" s="40" t="str">
        <f>IF($C880="","",IFERROR(VLOOKUP($C880,Orders!$A:$J,9,FALSE),""))</f>
        <v/>
      </c>
      <c r="E880" s="40" t="str">
        <f>IF($C880="","",IFERROR(VLOOKUP($C880,Orders!$A:$J,3,FALSE),""))</f>
        <v/>
      </c>
      <c r="F880" s="40" t="str">
        <f>IF($C880="","",IFERROR(VLOOKUP($C880,Orders!$A:$J,4,FALSE),""))</f>
        <v/>
      </c>
      <c r="G880" s="40" t="str">
        <f>IF($C880="","",IFERROR(VLOOKUP($C880,Orders!$A:$J,5,FALSE),""))</f>
        <v/>
      </c>
      <c r="H880" s="40" t="str">
        <f>IF($C880="","",IFERROR(VLOOKUP($C880,Orders!$A:$J,6,FALSE),""))</f>
        <v/>
      </c>
      <c r="I880" s="40" t="str">
        <f>IF($C880="","",IFERROR(VLOOKUP($C880,Orders!$A:$J,7,FALSE),""))</f>
        <v/>
      </c>
      <c r="J880" s="40" t="str">
        <f>IF(Bids!$C880="","",Bids!$C880)</f>
        <v/>
      </c>
      <c r="K880" s="40" t="str">
        <f>IF($J880="","",IFERROR(VLOOKUP($J880,Grinders!$A:$N,2,FALSE),""))</f>
        <v/>
      </c>
      <c r="L880" s="40" t="str">
        <f>IF($J880="","",IFERROR(VLOOKUP($J880,Grinders!$A:$N,3,FALSE),""))</f>
        <v/>
      </c>
      <c r="M880" s="40" t="str">
        <f>IF($J880="","",IFERROR(VLOOKUP($J880,Grinders!$A:$N,4,FALSE),""))</f>
        <v/>
      </c>
      <c r="N880" s="40" t="str">
        <f>IF($J880="","",IFERROR(VLOOKUP($J880,Grinders!$A:$N,5,FALSE),""))</f>
        <v/>
      </c>
      <c r="O880" s="40" t="str">
        <f t="shared" si="2"/>
        <v/>
      </c>
      <c r="P880" s="40" t="str">
        <f>IF($J880="","",IFERROR(VLOOKUP($J880,Grinders!$A:$N,6,FALSE),""))</f>
        <v/>
      </c>
      <c r="Q880" s="40" t="str">
        <f>IF($J880="","",IFERROR(VLOOKUP($J880,Grinders!$A:$N,8,FALSE),""))</f>
        <v/>
      </c>
      <c r="R880" s="40" t="str">
        <f>IFERROR(IF($J880="","",IF($L880="Elite",MAX(50,MIN(100,Config!$B$27*MAX(0,MIN(100,(1-IF($O880="",0,$O880))*100)) + Config!$B$28*MAX(0,MIN(100,(1-MIN(1,IF(Config!$B$30=0,1,$P880/Config!$B$30)))*100)) + Config!$B$29*MAX(0,MIN(100,MIN(1,IF($Q880="",0,$Q880)/Config!$B$23)*100)))),MIN(100,Config!$B$27*MAX(0,MIN(100,(1-IF($O880="",0,$O880))*100)) + Config!$B$28*MAX(0,MIN(100,(1-MIN(1,IF(Config!$B$30=0,1,$P880/Config!$B$30)))*100)) + Config!$B$29*MAX(0,MIN(100,MIN(1,IF($Q880="",0,$Q880)/Config!$B$23)*100))))),"")
</f>
        <v/>
      </c>
      <c r="S880" s="40" t="str">
        <f>IF(Bids!$D880="","",Bids!$D880)</f>
        <v/>
      </c>
      <c r="T880" s="40" t="str">
        <f>IF(Bids!$F880="","",Bids!$F880)</f>
        <v/>
      </c>
      <c r="U880" s="40" t="str">
        <f t="shared" si="3"/>
        <v/>
      </c>
      <c r="V880" s="40" t="str">
        <f>IF($U880="","",IF(Config!$B$17=Config!$B$16,IF($U880&gt;=Config!$B$17,100,0),MAX(0,MIN(100,($U880-Config!$B$16)/(Config!$B$17-Config!$B$16)*100))))</f>
        <v/>
      </c>
      <c r="W880" s="40">
        <f>IF($L880="Elite",Config!$B$21,0)</f>
        <v>0</v>
      </c>
      <c r="X880" s="40" t="str">
        <f>IFERROR(IF(OR($T880="",$G880=""),"",IF($T880&gt;$G880,
  MAX(0, 60-(($T880-$G880)*24/Config!$B$19)*60),
  MEDIAN(60, 100, 60+(($G880-$T880)*24/Config!$B$20)*40)
)),"")
</f>
        <v/>
      </c>
      <c r="Y880" s="40" t="str">
        <f>IF($J880="","",IFERROR(VLOOKUP($J880,Grinders!$A:$N,10,FALSE),""))</f>
        <v/>
      </c>
      <c r="Z880" s="40" t="str">
        <f>IF($J880="","",IFERROR(VLOOKUP($J880,Grinders!$A:$N,11,FALSE),""))</f>
        <v/>
      </c>
      <c r="AA880" s="40" t="str">
        <f>IF($J880="","",IFERROR(VLOOKUP($J880,Grinders!$A:$N,12,FALSE),""))</f>
        <v/>
      </c>
      <c r="AB880" s="40">
        <f>IFERROR(IF(OR($C880="",$J880=""),0,IF($D880&lt;&gt;"Open",0,IF(COUNTIFS(GrinderServices!$B:$B,$J880,GrinderServices!$C:$C,$E880,GrinderServices!$E:$E,"Y")=0,0,IF($U880&lt;Config!$B$16,0,IF(Config!$B$18=1,IF($N880&gt;=$M880,0,1),1))))),"")</f>
        <v>0</v>
      </c>
      <c r="AC880" s="40" t="str">
        <f>IFERROR(IF($AB880=0,"",((Config!$B$6*$V880 + Config!$B$7*$R880 + Config!$B$8*$W880 + Config!$B$9*$X880 + Config!$B$10*$Y880 + Config!$B$11*$Z880 - Config!$B$12*$AA880)/Config!$B$13)+$AH880+$AI880),"")</f>
        <v/>
      </c>
      <c r="AD880" s="40" t="str">
        <f t="shared" si="4"/>
        <v/>
      </c>
      <c r="AE880" s="40" t="str">
        <f>IFERROR(__xludf.DUMMYFUNCTION("IF($AC880="""","""",IF($AC880=IFERROR(MAX(FILTER($AC$6:$AC$1000,$C$6:$C$1000=$C880,$AB$6:$AB$1000=1)),),""WINNER"",""""))"),"")</f>
        <v/>
      </c>
      <c r="AF880" s="40" t="str">
        <f t="shared" si="5"/>
        <v/>
      </c>
      <c r="AG880" s="40" t="str">
        <f>IF($J880="","",COUNTIF(Assignments!$B:$B,$J880))</f>
        <v/>
      </c>
      <c r="AH880" s="40" t="str">
        <f>IF($J880="","",IF(AND($AG880=0,$N880&lt;$M880),Config!$B$43,0))</f>
        <v/>
      </c>
      <c r="AI880" s="40" t="str">
        <f>IF($J880="","",IF(AND($L880="Elite",$F880&gt;=Config!$B$41,$N880&lt;$M880),Config!$B$42,0))</f>
        <v/>
      </c>
      <c r="AJ880" s="22"/>
    </row>
    <row r="881" ht="15.75" customHeight="1">
      <c r="A881" s="40" t="str">
        <f t="shared" si="1"/>
        <v/>
      </c>
      <c r="B881" s="40" t="str">
        <f>IF(Bids!$A881="","",Bids!$A881)</f>
        <v/>
      </c>
      <c r="C881" s="40" t="str">
        <f>IF(Bids!$B881="","",Bids!$B881)</f>
        <v/>
      </c>
      <c r="D881" s="40" t="str">
        <f>IF($C881="","",IFERROR(VLOOKUP($C881,Orders!$A:$J,9,FALSE),""))</f>
        <v/>
      </c>
      <c r="E881" s="40" t="str">
        <f>IF($C881="","",IFERROR(VLOOKUP($C881,Orders!$A:$J,3,FALSE),""))</f>
        <v/>
      </c>
      <c r="F881" s="40" t="str">
        <f>IF($C881="","",IFERROR(VLOOKUP($C881,Orders!$A:$J,4,FALSE),""))</f>
        <v/>
      </c>
      <c r="G881" s="40" t="str">
        <f>IF($C881="","",IFERROR(VLOOKUP($C881,Orders!$A:$J,5,FALSE),""))</f>
        <v/>
      </c>
      <c r="H881" s="40" t="str">
        <f>IF($C881="","",IFERROR(VLOOKUP($C881,Orders!$A:$J,6,FALSE),""))</f>
        <v/>
      </c>
      <c r="I881" s="40" t="str">
        <f>IF($C881="","",IFERROR(VLOOKUP($C881,Orders!$A:$J,7,FALSE),""))</f>
        <v/>
      </c>
      <c r="J881" s="40" t="str">
        <f>IF(Bids!$C881="","",Bids!$C881)</f>
        <v/>
      </c>
      <c r="K881" s="40" t="str">
        <f>IF($J881="","",IFERROR(VLOOKUP($J881,Grinders!$A:$N,2,FALSE),""))</f>
        <v/>
      </c>
      <c r="L881" s="40" t="str">
        <f>IF($J881="","",IFERROR(VLOOKUP($J881,Grinders!$A:$N,3,FALSE),""))</f>
        <v/>
      </c>
      <c r="M881" s="40" t="str">
        <f>IF($J881="","",IFERROR(VLOOKUP($J881,Grinders!$A:$N,4,FALSE),""))</f>
        <v/>
      </c>
      <c r="N881" s="40" t="str">
        <f>IF($J881="","",IFERROR(VLOOKUP($J881,Grinders!$A:$N,5,FALSE),""))</f>
        <v/>
      </c>
      <c r="O881" s="40" t="str">
        <f t="shared" si="2"/>
        <v/>
      </c>
      <c r="P881" s="40" t="str">
        <f>IF($J881="","",IFERROR(VLOOKUP($J881,Grinders!$A:$N,6,FALSE),""))</f>
        <v/>
      </c>
      <c r="Q881" s="40" t="str">
        <f>IF($J881="","",IFERROR(VLOOKUP($J881,Grinders!$A:$N,8,FALSE),""))</f>
        <v/>
      </c>
      <c r="R881" s="40" t="str">
        <f>IFERROR(IF($J881="","",IF($L881="Elite",MAX(50,MIN(100,Config!$B$27*MAX(0,MIN(100,(1-IF($O881="",0,$O881))*100)) + Config!$B$28*MAX(0,MIN(100,(1-MIN(1,IF(Config!$B$30=0,1,$P881/Config!$B$30)))*100)) + Config!$B$29*MAX(0,MIN(100,MIN(1,IF($Q881="",0,$Q881)/Config!$B$23)*100)))),MIN(100,Config!$B$27*MAX(0,MIN(100,(1-IF($O881="",0,$O881))*100)) + Config!$B$28*MAX(0,MIN(100,(1-MIN(1,IF(Config!$B$30=0,1,$P881/Config!$B$30)))*100)) + Config!$B$29*MAX(0,MIN(100,MIN(1,IF($Q881="",0,$Q881)/Config!$B$23)*100))))),"")
</f>
        <v/>
      </c>
      <c r="S881" s="40" t="str">
        <f>IF(Bids!$D881="","",Bids!$D881)</f>
        <v/>
      </c>
      <c r="T881" s="40" t="str">
        <f>IF(Bids!$F881="","",Bids!$F881)</f>
        <v/>
      </c>
      <c r="U881" s="40" t="str">
        <f t="shared" si="3"/>
        <v/>
      </c>
      <c r="V881" s="40" t="str">
        <f>IF($U881="","",IF(Config!$B$17=Config!$B$16,IF($U881&gt;=Config!$B$17,100,0),MAX(0,MIN(100,($U881-Config!$B$16)/(Config!$B$17-Config!$B$16)*100))))</f>
        <v/>
      </c>
      <c r="W881" s="40">
        <f>IF($L881="Elite",Config!$B$21,0)</f>
        <v>0</v>
      </c>
      <c r="X881" s="40" t="str">
        <f>IFERROR(IF(OR($T881="",$G881=""),"",IF($T881&gt;$G881,
  MAX(0, 60-(($T881-$G881)*24/Config!$B$19)*60),
  MEDIAN(60, 100, 60+(($G881-$T881)*24/Config!$B$20)*40)
)),"")
</f>
        <v/>
      </c>
      <c r="Y881" s="40" t="str">
        <f>IF($J881="","",IFERROR(VLOOKUP($J881,Grinders!$A:$N,10,FALSE),""))</f>
        <v/>
      </c>
      <c r="Z881" s="40" t="str">
        <f>IF($J881="","",IFERROR(VLOOKUP($J881,Grinders!$A:$N,11,FALSE),""))</f>
        <v/>
      </c>
      <c r="AA881" s="40" t="str">
        <f>IF($J881="","",IFERROR(VLOOKUP($J881,Grinders!$A:$N,12,FALSE),""))</f>
        <v/>
      </c>
      <c r="AB881" s="40">
        <f>IFERROR(IF(OR($C881="",$J881=""),0,IF($D881&lt;&gt;"Open",0,IF(COUNTIFS(GrinderServices!$B:$B,$J881,GrinderServices!$C:$C,$E881,GrinderServices!$E:$E,"Y")=0,0,IF($U881&lt;Config!$B$16,0,IF(Config!$B$18=1,IF($N881&gt;=$M881,0,1),1))))),"")</f>
        <v>0</v>
      </c>
      <c r="AC881" s="40" t="str">
        <f>IFERROR(IF($AB881=0,"",((Config!$B$6*$V881 + Config!$B$7*$R881 + Config!$B$8*$W881 + Config!$B$9*$X881 + Config!$B$10*$Y881 + Config!$B$11*$Z881 - Config!$B$12*$AA881)/Config!$B$13)+$AH881+$AI881),"")</f>
        <v/>
      </c>
      <c r="AD881" s="40" t="str">
        <f t="shared" si="4"/>
        <v/>
      </c>
      <c r="AE881" s="40" t="str">
        <f>IFERROR(__xludf.DUMMYFUNCTION("IF($AC881="""","""",IF($AC881=IFERROR(MAX(FILTER($AC$6:$AC$1000,$C$6:$C$1000=$C881,$AB$6:$AB$1000=1)),),""WINNER"",""""))"),"")</f>
        <v/>
      </c>
      <c r="AF881" s="40" t="str">
        <f t="shared" si="5"/>
        <v/>
      </c>
      <c r="AG881" s="40" t="str">
        <f>IF($J881="","",COUNTIF(Assignments!$B:$B,$J881))</f>
        <v/>
      </c>
      <c r="AH881" s="40" t="str">
        <f>IF($J881="","",IF(AND($AG881=0,$N881&lt;$M881),Config!$B$43,0))</f>
        <v/>
      </c>
      <c r="AI881" s="40" t="str">
        <f>IF($J881="","",IF(AND($L881="Elite",$F881&gt;=Config!$B$41,$N881&lt;$M881),Config!$B$42,0))</f>
        <v/>
      </c>
      <c r="AJ881" s="22"/>
    </row>
    <row r="882" ht="15.75" customHeight="1">
      <c r="A882" s="40" t="str">
        <f t="shared" si="1"/>
        <v/>
      </c>
      <c r="B882" s="40" t="str">
        <f>IF(Bids!$A882="","",Bids!$A882)</f>
        <v/>
      </c>
      <c r="C882" s="40" t="str">
        <f>IF(Bids!$B882="","",Bids!$B882)</f>
        <v/>
      </c>
      <c r="D882" s="40" t="str">
        <f>IF($C882="","",IFERROR(VLOOKUP($C882,Orders!$A:$J,9,FALSE),""))</f>
        <v/>
      </c>
      <c r="E882" s="40" t="str">
        <f>IF($C882="","",IFERROR(VLOOKUP($C882,Orders!$A:$J,3,FALSE),""))</f>
        <v/>
      </c>
      <c r="F882" s="40" t="str">
        <f>IF($C882="","",IFERROR(VLOOKUP($C882,Orders!$A:$J,4,FALSE),""))</f>
        <v/>
      </c>
      <c r="G882" s="40" t="str">
        <f>IF($C882="","",IFERROR(VLOOKUP($C882,Orders!$A:$J,5,FALSE),""))</f>
        <v/>
      </c>
      <c r="H882" s="40" t="str">
        <f>IF($C882="","",IFERROR(VLOOKUP($C882,Orders!$A:$J,6,FALSE),""))</f>
        <v/>
      </c>
      <c r="I882" s="40" t="str">
        <f>IF($C882="","",IFERROR(VLOOKUP($C882,Orders!$A:$J,7,FALSE),""))</f>
        <v/>
      </c>
      <c r="J882" s="40" t="str">
        <f>IF(Bids!$C882="","",Bids!$C882)</f>
        <v/>
      </c>
      <c r="K882" s="40" t="str">
        <f>IF($J882="","",IFERROR(VLOOKUP($J882,Grinders!$A:$N,2,FALSE),""))</f>
        <v/>
      </c>
      <c r="L882" s="40" t="str">
        <f>IF($J882="","",IFERROR(VLOOKUP($J882,Grinders!$A:$N,3,FALSE),""))</f>
        <v/>
      </c>
      <c r="M882" s="40" t="str">
        <f>IF($J882="","",IFERROR(VLOOKUP($J882,Grinders!$A:$N,4,FALSE),""))</f>
        <v/>
      </c>
      <c r="N882" s="40" t="str">
        <f>IF($J882="","",IFERROR(VLOOKUP($J882,Grinders!$A:$N,5,FALSE),""))</f>
        <v/>
      </c>
      <c r="O882" s="40" t="str">
        <f t="shared" si="2"/>
        <v/>
      </c>
      <c r="P882" s="40" t="str">
        <f>IF($J882="","",IFERROR(VLOOKUP($J882,Grinders!$A:$N,6,FALSE),""))</f>
        <v/>
      </c>
      <c r="Q882" s="40" t="str">
        <f>IF($J882="","",IFERROR(VLOOKUP($J882,Grinders!$A:$N,8,FALSE),""))</f>
        <v/>
      </c>
      <c r="R882" s="40" t="str">
        <f>IFERROR(IF($J882="","",IF($L882="Elite",MAX(50,MIN(100,Config!$B$27*MAX(0,MIN(100,(1-IF($O882="",0,$O882))*100)) + Config!$B$28*MAX(0,MIN(100,(1-MIN(1,IF(Config!$B$30=0,1,$P882/Config!$B$30)))*100)) + Config!$B$29*MAX(0,MIN(100,MIN(1,IF($Q882="",0,$Q882)/Config!$B$23)*100)))),MIN(100,Config!$B$27*MAX(0,MIN(100,(1-IF($O882="",0,$O882))*100)) + Config!$B$28*MAX(0,MIN(100,(1-MIN(1,IF(Config!$B$30=0,1,$P882/Config!$B$30)))*100)) + Config!$B$29*MAX(0,MIN(100,MIN(1,IF($Q882="",0,$Q882)/Config!$B$23)*100))))),"")
</f>
        <v/>
      </c>
      <c r="S882" s="40" t="str">
        <f>IF(Bids!$D882="","",Bids!$D882)</f>
        <v/>
      </c>
      <c r="T882" s="40" t="str">
        <f>IF(Bids!$F882="","",Bids!$F882)</f>
        <v/>
      </c>
      <c r="U882" s="40" t="str">
        <f t="shared" si="3"/>
        <v/>
      </c>
      <c r="V882" s="40" t="str">
        <f>IF($U882="","",IF(Config!$B$17=Config!$B$16,IF($U882&gt;=Config!$B$17,100,0),MAX(0,MIN(100,($U882-Config!$B$16)/(Config!$B$17-Config!$B$16)*100))))</f>
        <v/>
      </c>
      <c r="W882" s="40">
        <f>IF($L882="Elite",Config!$B$21,0)</f>
        <v>0</v>
      </c>
      <c r="X882" s="40" t="str">
        <f>IFERROR(IF(OR($T882="",$G882=""),"",IF($T882&gt;$G882,
  MAX(0, 60-(($T882-$G882)*24/Config!$B$19)*60),
  MEDIAN(60, 100, 60+(($G882-$T882)*24/Config!$B$20)*40)
)),"")
</f>
        <v/>
      </c>
      <c r="Y882" s="40" t="str">
        <f>IF($J882="","",IFERROR(VLOOKUP($J882,Grinders!$A:$N,10,FALSE),""))</f>
        <v/>
      </c>
      <c r="Z882" s="40" t="str">
        <f>IF($J882="","",IFERROR(VLOOKUP($J882,Grinders!$A:$N,11,FALSE),""))</f>
        <v/>
      </c>
      <c r="AA882" s="40" t="str">
        <f>IF($J882="","",IFERROR(VLOOKUP($J882,Grinders!$A:$N,12,FALSE),""))</f>
        <v/>
      </c>
      <c r="AB882" s="40">
        <f>IFERROR(IF(OR($C882="",$J882=""),0,IF($D882&lt;&gt;"Open",0,IF(COUNTIFS(GrinderServices!$B:$B,$J882,GrinderServices!$C:$C,$E882,GrinderServices!$E:$E,"Y")=0,0,IF($U882&lt;Config!$B$16,0,IF(Config!$B$18=1,IF($N882&gt;=$M882,0,1),1))))),"")</f>
        <v>0</v>
      </c>
      <c r="AC882" s="40" t="str">
        <f>IFERROR(IF($AB882=0,"",((Config!$B$6*$V882 + Config!$B$7*$R882 + Config!$B$8*$W882 + Config!$B$9*$X882 + Config!$B$10*$Y882 + Config!$B$11*$Z882 - Config!$B$12*$AA882)/Config!$B$13)+$AH882+$AI882),"")</f>
        <v/>
      </c>
      <c r="AD882" s="40" t="str">
        <f t="shared" si="4"/>
        <v/>
      </c>
      <c r="AE882" s="40" t="str">
        <f>IFERROR(__xludf.DUMMYFUNCTION("IF($AC882="""","""",IF($AC882=IFERROR(MAX(FILTER($AC$6:$AC$1000,$C$6:$C$1000=$C882,$AB$6:$AB$1000=1)),),""WINNER"",""""))"),"")</f>
        <v/>
      </c>
      <c r="AF882" s="40" t="str">
        <f t="shared" si="5"/>
        <v/>
      </c>
      <c r="AG882" s="40" t="str">
        <f>IF($J882="","",COUNTIF(Assignments!$B:$B,$J882))</f>
        <v/>
      </c>
      <c r="AH882" s="40" t="str">
        <f>IF($J882="","",IF(AND($AG882=0,$N882&lt;$M882),Config!$B$43,0))</f>
        <v/>
      </c>
      <c r="AI882" s="40" t="str">
        <f>IF($J882="","",IF(AND($L882="Elite",$F882&gt;=Config!$B$41,$N882&lt;$M882),Config!$B$42,0))</f>
        <v/>
      </c>
      <c r="AJ882" s="22"/>
    </row>
    <row r="883" ht="15.75" customHeight="1">
      <c r="A883" s="40" t="str">
        <f t="shared" si="1"/>
        <v/>
      </c>
      <c r="B883" s="40" t="str">
        <f>IF(Bids!$A883="","",Bids!$A883)</f>
        <v/>
      </c>
      <c r="C883" s="40" t="str">
        <f>IF(Bids!$B883="","",Bids!$B883)</f>
        <v/>
      </c>
      <c r="D883" s="40" t="str">
        <f>IF($C883="","",IFERROR(VLOOKUP($C883,Orders!$A:$J,9,FALSE),""))</f>
        <v/>
      </c>
      <c r="E883" s="40" t="str">
        <f>IF($C883="","",IFERROR(VLOOKUP($C883,Orders!$A:$J,3,FALSE),""))</f>
        <v/>
      </c>
      <c r="F883" s="40" t="str">
        <f>IF($C883="","",IFERROR(VLOOKUP($C883,Orders!$A:$J,4,FALSE),""))</f>
        <v/>
      </c>
      <c r="G883" s="40" t="str">
        <f>IF($C883="","",IFERROR(VLOOKUP($C883,Orders!$A:$J,5,FALSE),""))</f>
        <v/>
      </c>
      <c r="H883" s="40" t="str">
        <f>IF($C883="","",IFERROR(VLOOKUP($C883,Orders!$A:$J,6,FALSE),""))</f>
        <v/>
      </c>
      <c r="I883" s="40" t="str">
        <f>IF($C883="","",IFERROR(VLOOKUP($C883,Orders!$A:$J,7,FALSE),""))</f>
        <v/>
      </c>
      <c r="J883" s="40" t="str">
        <f>IF(Bids!$C883="","",Bids!$C883)</f>
        <v/>
      </c>
      <c r="K883" s="40" t="str">
        <f>IF($J883="","",IFERROR(VLOOKUP($J883,Grinders!$A:$N,2,FALSE),""))</f>
        <v/>
      </c>
      <c r="L883" s="40" t="str">
        <f>IF($J883="","",IFERROR(VLOOKUP($J883,Grinders!$A:$N,3,FALSE),""))</f>
        <v/>
      </c>
      <c r="M883" s="40" t="str">
        <f>IF($J883="","",IFERROR(VLOOKUP($J883,Grinders!$A:$N,4,FALSE),""))</f>
        <v/>
      </c>
      <c r="N883" s="40" t="str">
        <f>IF($J883="","",IFERROR(VLOOKUP($J883,Grinders!$A:$N,5,FALSE),""))</f>
        <v/>
      </c>
      <c r="O883" s="40" t="str">
        <f t="shared" si="2"/>
        <v/>
      </c>
      <c r="P883" s="40" t="str">
        <f>IF($J883="","",IFERROR(VLOOKUP($J883,Grinders!$A:$N,6,FALSE),""))</f>
        <v/>
      </c>
      <c r="Q883" s="40" t="str">
        <f>IF($J883="","",IFERROR(VLOOKUP($J883,Grinders!$A:$N,8,FALSE),""))</f>
        <v/>
      </c>
      <c r="R883" s="40" t="str">
        <f>IFERROR(IF($J883="","",IF($L883="Elite",MAX(50,MIN(100,Config!$B$27*MAX(0,MIN(100,(1-IF($O883="",0,$O883))*100)) + Config!$B$28*MAX(0,MIN(100,(1-MIN(1,IF(Config!$B$30=0,1,$P883/Config!$B$30)))*100)) + Config!$B$29*MAX(0,MIN(100,MIN(1,IF($Q883="",0,$Q883)/Config!$B$23)*100)))),MIN(100,Config!$B$27*MAX(0,MIN(100,(1-IF($O883="",0,$O883))*100)) + Config!$B$28*MAX(0,MIN(100,(1-MIN(1,IF(Config!$B$30=0,1,$P883/Config!$B$30)))*100)) + Config!$B$29*MAX(0,MIN(100,MIN(1,IF($Q883="",0,$Q883)/Config!$B$23)*100))))),"")
</f>
        <v/>
      </c>
      <c r="S883" s="40" t="str">
        <f>IF(Bids!$D883="","",Bids!$D883)</f>
        <v/>
      </c>
      <c r="T883" s="40" t="str">
        <f>IF(Bids!$F883="","",Bids!$F883)</f>
        <v/>
      </c>
      <c r="U883" s="40" t="str">
        <f t="shared" si="3"/>
        <v/>
      </c>
      <c r="V883" s="40" t="str">
        <f>IF($U883="","",IF(Config!$B$17=Config!$B$16,IF($U883&gt;=Config!$B$17,100,0),MAX(0,MIN(100,($U883-Config!$B$16)/(Config!$B$17-Config!$B$16)*100))))</f>
        <v/>
      </c>
      <c r="W883" s="40">
        <f>IF($L883="Elite",Config!$B$21,0)</f>
        <v>0</v>
      </c>
      <c r="X883" s="40" t="str">
        <f>IFERROR(IF(OR($T883="",$G883=""),"",IF($T883&gt;$G883,
  MAX(0, 60-(($T883-$G883)*24/Config!$B$19)*60),
  MEDIAN(60, 100, 60+(($G883-$T883)*24/Config!$B$20)*40)
)),"")
</f>
        <v/>
      </c>
      <c r="Y883" s="40" t="str">
        <f>IF($J883="","",IFERROR(VLOOKUP($J883,Grinders!$A:$N,10,FALSE),""))</f>
        <v/>
      </c>
      <c r="Z883" s="40" t="str">
        <f>IF($J883="","",IFERROR(VLOOKUP($J883,Grinders!$A:$N,11,FALSE),""))</f>
        <v/>
      </c>
      <c r="AA883" s="40" t="str">
        <f>IF($J883="","",IFERROR(VLOOKUP($J883,Grinders!$A:$N,12,FALSE),""))</f>
        <v/>
      </c>
      <c r="AB883" s="40">
        <f>IFERROR(IF(OR($C883="",$J883=""),0,IF($D883&lt;&gt;"Open",0,IF(COUNTIFS(GrinderServices!$B:$B,$J883,GrinderServices!$C:$C,$E883,GrinderServices!$E:$E,"Y")=0,0,IF($U883&lt;Config!$B$16,0,IF(Config!$B$18=1,IF($N883&gt;=$M883,0,1),1))))),"")</f>
        <v>0</v>
      </c>
      <c r="AC883" s="40" t="str">
        <f>IFERROR(IF($AB883=0,"",((Config!$B$6*$V883 + Config!$B$7*$R883 + Config!$B$8*$W883 + Config!$B$9*$X883 + Config!$B$10*$Y883 + Config!$B$11*$Z883 - Config!$B$12*$AA883)/Config!$B$13)+$AH883+$AI883),"")</f>
        <v/>
      </c>
      <c r="AD883" s="40" t="str">
        <f t="shared" si="4"/>
        <v/>
      </c>
      <c r="AE883" s="40" t="str">
        <f>IFERROR(__xludf.DUMMYFUNCTION("IF($AC883="""","""",IF($AC883=IFERROR(MAX(FILTER($AC$6:$AC$1000,$C$6:$C$1000=$C883,$AB$6:$AB$1000=1)),),""WINNER"",""""))"),"")</f>
        <v/>
      </c>
      <c r="AF883" s="40" t="str">
        <f t="shared" si="5"/>
        <v/>
      </c>
      <c r="AG883" s="40" t="str">
        <f>IF($J883="","",COUNTIF(Assignments!$B:$B,$J883))</f>
        <v/>
      </c>
      <c r="AH883" s="40" t="str">
        <f>IF($J883="","",IF(AND($AG883=0,$N883&lt;$M883),Config!$B$43,0))</f>
        <v/>
      </c>
      <c r="AI883" s="40" t="str">
        <f>IF($J883="","",IF(AND($L883="Elite",$F883&gt;=Config!$B$41,$N883&lt;$M883),Config!$B$42,0))</f>
        <v/>
      </c>
      <c r="AJ883" s="22"/>
    </row>
    <row r="884" ht="15.75" customHeight="1">
      <c r="A884" s="40" t="str">
        <f t="shared" si="1"/>
        <v/>
      </c>
      <c r="B884" s="40" t="str">
        <f>IF(Bids!$A884="","",Bids!$A884)</f>
        <v/>
      </c>
      <c r="C884" s="40" t="str">
        <f>IF(Bids!$B884="","",Bids!$B884)</f>
        <v/>
      </c>
      <c r="D884" s="40" t="str">
        <f>IF($C884="","",IFERROR(VLOOKUP($C884,Orders!$A:$J,9,FALSE),""))</f>
        <v/>
      </c>
      <c r="E884" s="40" t="str">
        <f>IF($C884="","",IFERROR(VLOOKUP($C884,Orders!$A:$J,3,FALSE),""))</f>
        <v/>
      </c>
      <c r="F884" s="40" t="str">
        <f>IF($C884="","",IFERROR(VLOOKUP($C884,Orders!$A:$J,4,FALSE),""))</f>
        <v/>
      </c>
      <c r="G884" s="40" t="str">
        <f>IF($C884="","",IFERROR(VLOOKUP($C884,Orders!$A:$J,5,FALSE),""))</f>
        <v/>
      </c>
      <c r="H884" s="40" t="str">
        <f>IF($C884="","",IFERROR(VLOOKUP($C884,Orders!$A:$J,6,FALSE),""))</f>
        <v/>
      </c>
      <c r="I884" s="40" t="str">
        <f>IF($C884="","",IFERROR(VLOOKUP($C884,Orders!$A:$J,7,FALSE),""))</f>
        <v/>
      </c>
      <c r="J884" s="40" t="str">
        <f>IF(Bids!$C884="","",Bids!$C884)</f>
        <v/>
      </c>
      <c r="K884" s="40" t="str">
        <f>IF($J884="","",IFERROR(VLOOKUP($J884,Grinders!$A:$N,2,FALSE),""))</f>
        <v/>
      </c>
      <c r="L884" s="40" t="str">
        <f>IF($J884="","",IFERROR(VLOOKUP($J884,Grinders!$A:$N,3,FALSE),""))</f>
        <v/>
      </c>
      <c r="M884" s="40" t="str">
        <f>IF($J884="","",IFERROR(VLOOKUP($J884,Grinders!$A:$N,4,FALSE),""))</f>
        <v/>
      </c>
      <c r="N884" s="40" t="str">
        <f>IF($J884="","",IFERROR(VLOOKUP($J884,Grinders!$A:$N,5,FALSE),""))</f>
        <v/>
      </c>
      <c r="O884" s="40" t="str">
        <f t="shared" si="2"/>
        <v/>
      </c>
      <c r="P884" s="40" t="str">
        <f>IF($J884="","",IFERROR(VLOOKUP($J884,Grinders!$A:$N,6,FALSE),""))</f>
        <v/>
      </c>
      <c r="Q884" s="40" t="str">
        <f>IF($J884="","",IFERROR(VLOOKUP($J884,Grinders!$A:$N,8,FALSE),""))</f>
        <v/>
      </c>
      <c r="R884" s="40" t="str">
        <f>IFERROR(IF($J884="","",IF($L884="Elite",MAX(50,MIN(100,Config!$B$27*MAX(0,MIN(100,(1-IF($O884="",0,$O884))*100)) + Config!$B$28*MAX(0,MIN(100,(1-MIN(1,IF(Config!$B$30=0,1,$P884/Config!$B$30)))*100)) + Config!$B$29*MAX(0,MIN(100,MIN(1,IF($Q884="",0,$Q884)/Config!$B$23)*100)))),MIN(100,Config!$B$27*MAX(0,MIN(100,(1-IF($O884="",0,$O884))*100)) + Config!$B$28*MAX(0,MIN(100,(1-MIN(1,IF(Config!$B$30=0,1,$P884/Config!$B$30)))*100)) + Config!$B$29*MAX(0,MIN(100,MIN(1,IF($Q884="",0,$Q884)/Config!$B$23)*100))))),"")
</f>
        <v/>
      </c>
      <c r="S884" s="40" t="str">
        <f>IF(Bids!$D884="","",Bids!$D884)</f>
        <v/>
      </c>
      <c r="T884" s="40" t="str">
        <f>IF(Bids!$F884="","",Bids!$F884)</f>
        <v/>
      </c>
      <c r="U884" s="40" t="str">
        <f t="shared" si="3"/>
        <v/>
      </c>
      <c r="V884" s="40" t="str">
        <f>IF($U884="","",IF(Config!$B$17=Config!$B$16,IF($U884&gt;=Config!$B$17,100,0),MAX(0,MIN(100,($U884-Config!$B$16)/(Config!$B$17-Config!$B$16)*100))))</f>
        <v/>
      </c>
      <c r="W884" s="40">
        <f>IF($L884="Elite",Config!$B$21,0)</f>
        <v>0</v>
      </c>
      <c r="X884" s="40" t="str">
        <f>IFERROR(IF(OR($T884="",$G884=""),"",IF($T884&gt;$G884,
  MAX(0, 60-(($T884-$G884)*24/Config!$B$19)*60),
  MEDIAN(60, 100, 60+(($G884-$T884)*24/Config!$B$20)*40)
)),"")
</f>
        <v/>
      </c>
      <c r="Y884" s="40" t="str">
        <f>IF($J884="","",IFERROR(VLOOKUP($J884,Grinders!$A:$N,10,FALSE),""))</f>
        <v/>
      </c>
      <c r="Z884" s="40" t="str">
        <f>IF($J884="","",IFERROR(VLOOKUP($J884,Grinders!$A:$N,11,FALSE),""))</f>
        <v/>
      </c>
      <c r="AA884" s="40" t="str">
        <f>IF($J884="","",IFERROR(VLOOKUP($J884,Grinders!$A:$N,12,FALSE),""))</f>
        <v/>
      </c>
      <c r="AB884" s="40">
        <f>IFERROR(IF(OR($C884="",$J884=""),0,IF($D884&lt;&gt;"Open",0,IF(COUNTIFS(GrinderServices!$B:$B,$J884,GrinderServices!$C:$C,$E884,GrinderServices!$E:$E,"Y")=0,0,IF($U884&lt;Config!$B$16,0,IF(Config!$B$18=1,IF($N884&gt;=$M884,0,1),1))))),"")</f>
        <v>0</v>
      </c>
      <c r="AC884" s="40" t="str">
        <f>IFERROR(IF($AB884=0,"",((Config!$B$6*$V884 + Config!$B$7*$R884 + Config!$B$8*$W884 + Config!$B$9*$X884 + Config!$B$10*$Y884 + Config!$B$11*$Z884 - Config!$B$12*$AA884)/Config!$B$13)+$AH884+$AI884),"")</f>
        <v/>
      </c>
      <c r="AD884" s="40" t="str">
        <f t="shared" si="4"/>
        <v/>
      </c>
      <c r="AE884" s="40" t="str">
        <f>IFERROR(__xludf.DUMMYFUNCTION("IF($AC884="""","""",IF($AC884=IFERROR(MAX(FILTER($AC$6:$AC$1000,$C$6:$C$1000=$C884,$AB$6:$AB$1000=1)),),""WINNER"",""""))"),"")</f>
        <v/>
      </c>
      <c r="AF884" s="40" t="str">
        <f t="shared" si="5"/>
        <v/>
      </c>
      <c r="AG884" s="40" t="str">
        <f>IF($J884="","",COUNTIF(Assignments!$B:$B,$J884))</f>
        <v/>
      </c>
      <c r="AH884" s="40" t="str">
        <f>IF($J884="","",IF(AND($AG884=0,$N884&lt;$M884),Config!$B$43,0))</f>
        <v/>
      </c>
      <c r="AI884" s="40" t="str">
        <f>IF($J884="","",IF(AND($L884="Elite",$F884&gt;=Config!$B$41,$N884&lt;$M884),Config!$B$42,0))</f>
        <v/>
      </c>
      <c r="AJ884" s="22"/>
    </row>
    <row r="885" ht="15.75" customHeight="1">
      <c r="A885" s="40" t="str">
        <f t="shared" si="1"/>
        <v/>
      </c>
      <c r="B885" s="40" t="str">
        <f>IF(Bids!$A885="","",Bids!$A885)</f>
        <v/>
      </c>
      <c r="C885" s="40" t="str">
        <f>IF(Bids!$B885="","",Bids!$B885)</f>
        <v/>
      </c>
      <c r="D885" s="40" t="str">
        <f>IF($C885="","",IFERROR(VLOOKUP($C885,Orders!$A:$J,9,FALSE),""))</f>
        <v/>
      </c>
      <c r="E885" s="40" t="str">
        <f>IF($C885="","",IFERROR(VLOOKUP($C885,Orders!$A:$J,3,FALSE),""))</f>
        <v/>
      </c>
      <c r="F885" s="40" t="str">
        <f>IF($C885="","",IFERROR(VLOOKUP($C885,Orders!$A:$J,4,FALSE),""))</f>
        <v/>
      </c>
      <c r="G885" s="40" t="str">
        <f>IF($C885="","",IFERROR(VLOOKUP($C885,Orders!$A:$J,5,FALSE),""))</f>
        <v/>
      </c>
      <c r="H885" s="40" t="str">
        <f>IF($C885="","",IFERROR(VLOOKUP($C885,Orders!$A:$J,6,FALSE),""))</f>
        <v/>
      </c>
      <c r="I885" s="40" t="str">
        <f>IF($C885="","",IFERROR(VLOOKUP($C885,Orders!$A:$J,7,FALSE),""))</f>
        <v/>
      </c>
      <c r="J885" s="40" t="str">
        <f>IF(Bids!$C885="","",Bids!$C885)</f>
        <v/>
      </c>
      <c r="K885" s="40" t="str">
        <f>IF($J885="","",IFERROR(VLOOKUP($J885,Grinders!$A:$N,2,FALSE),""))</f>
        <v/>
      </c>
      <c r="L885" s="40" t="str">
        <f>IF($J885="","",IFERROR(VLOOKUP($J885,Grinders!$A:$N,3,FALSE),""))</f>
        <v/>
      </c>
      <c r="M885" s="40" t="str">
        <f>IF($J885="","",IFERROR(VLOOKUP($J885,Grinders!$A:$N,4,FALSE),""))</f>
        <v/>
      </c>
      <c r="N885" s="40" t="str">
        <f>IF($J885="","",IFERROR(VLOOKUP($J885,Grinders!$A:$N,5,FALSE),""))</f>
        <v/>
      </c>
      <c r="O885" s="40" t="str">
        <f t="shared" si="2"/>
        <v/>
      </c>
      <c r="P885" s="40" t="str">
        <f>IF($J885="","",IFERROR(VLOOKUP($J885,Grinders!$A:$N,6,FALSE),""))</f>
        <v/>
      </c>
      <c r="Q885" s="40" t="str">
        <f>IF($J885="","",IFERROR(VLOOKUP($J885,Grinders!$A:$N,8,FALSE),""))</f>
        <v/>
      </c>
      <c r="R885" s="40" t="str">
        <f>IFERROR(IF($J885="","",IF($L885="Elite",MAX(50,MIN(100,Config!$B$27*MAX(0,MIN(100,(1-IF($O885="",0,$O885))*100)) + Config!$B$28*MAX(0,MIN(100,(1-MIN(1,IF(Config!$B$30=0,1,$P885/Config!$B$30)))*100)) + Config!$B$29*MAX(0,MIN(100,MIN(1,IF($Q885="",0,$Q885)/Config!$B$23)*100)))),MIN(100,Config!$B$27*MAX(0,MIN(100,(1-IF($O885="",0,$O885))*100)) + Config!$B$28*MAX(0,MIN(100,(1-MIN(1,IF(Config!$B$30=0,1,$P885/Config!$B$30)))*100)) + Config!$B$29*MAX(0,MIN(100,MIN(1,IF($Q885="",0,$Q885)/Config!$B$23)*100))))),"")
</f>
        <v/>
      </c>
      <c r="S885" s="40" t="str">
        <f>IF(Bids!$D885="","",Bids!$D885)</f>
        <v/>
      </c>
      <c r="T885" s="40" t="str">
        <f>IF(Bids!$F885="","",Bids!$F885)</f>
        <v/>
      </c>
      <c r="U885" s="40" t="str">
        <f t="shared" si="3"/>
        <v/>
      </c>
      <c r="V885" s="40" t="str">
        <f>IF($U885="","",IF(Config!$B$17=Config!$B$16,IF($U885&gt;=Config!$B$17,100,0),MAX(0,MIN(100,($U885-Config!$B$16)/(Config!$B$17-Config!$B$16)*100))))</f>
        <v/>
      </c>
      <c r="W885" s="40">
        <f>IF($L885="Elite",Config!$B$21,0)</f>
        <v>0</v>
      </c>
      <c r="X885" s="40" t="str">
        <f>IFERROR(IF(OR($T885="",$G885=""),"",IF($T885&gt;$G885,
  MAX(0, 60-(($T885-$G885)*24/Config!$B$19)*60),
  MEDIAN(60, 100, 60+(($G885-$T885)*24/Config!$B$20)*40)
)),"")
</f>
        <v/>
      </c>
      <c r="Y885" s="40" t="str">
        <f>IF($J885="","",IFERROR(VLOOKUP($J885,Grinders!$A:$N,10,FALSE),""))</f>
        <v/>
      </c>
      <c r="Z885" s="40" t="str">
        <f>IF($J885="","",IFERROR(VLOOKUP($J885,Grinders!$A:$N,11,FALSE),""))</f>
        <v/>
      </c>
      <c r="AA885" s="40" t="str">
        <f>IF($J885="","",IFERROR(VLOOKUP($J885,Grinders!$A:$N,12,FALSE),""))</f>
        <v/>
      </c>
      <c r="AB885" s="40">
        <f>IFERROR(IF(OR($C885="",$J885=""),0,IF($D885&lt;&gt;"Open",0,IF(COUNTIFS(GrinderServices!$B:$B,$J885,GrinderServices!$C:$C,$E885,GrinderServices!$E:$E,"Y")=0,0,IF($U885&lt;Config!$B$16,0,IF(Config!$B$18=1,IF($N885&gt;=$M885,0,1),1))))),"")</f>
        <v>0</v>
      </c>
      <c r="AC885" s="40" t="str">
        <f>IFERROR(IF($AB885=0,"",((Config!$B$6*$V885 + Config!$B$7*$R885 + Config!$B$8*$W885 + Config!$B$9*$X885 + Config!$B$10*$Y885 + Config!$B$11*$Z885 - Config!$B$12*$AA885)/Config!$B$13)+$AH885+$AI885),"")</f>
        <v/>
      </c>
      <c r="AD885" s="40" t="str">
        <f t="shared" si="4"/>
        <v/>
      </c>
      <c r="AE885" s="40" t="str">
        <f>IFERROR(__xludf.DUMMYFUNCTION("IF($AC885="""","""",IF($AC885=IFERROR(MAX(FILTER($AC$6:$AC$1000,$C$6:$C$1000=$C885,$AB$6:$AB$1000=1)),),""WINNER"",""""))"),"")</f>
        <v/>
      </c>
      <c r="AF885" s="40" t="str">
        <f t="shared" si="5"/>
        <v/>
      </c>
      <c r="AG885" s="40" t="str">
        <f>IF($J885="","",COUNTIF(Assignments!$B:$B,$J885))</f>
        <v/>
      </c>
      <c r="AH885" s="40" t="str">
        <f>IF($J885="","",IF(AND($AG885=0,$N885&lt;$M885),Config!$B$43,0))</f>
        <v/>
      </c>
      <c r="AI885" s="40" t="str">
        <f>IF($J885="","",IF(AND($L885="Elite",$F885&gt;=Config!$B$41,$N885&lt;$M885),Config!$B$42,0))</f>
        <v/>
      </c>
      <c r="AJ885" s="22"/>
    </row>
    <row r="886" ht="15.75" customHeight="1">
      <c r="A886" s="40" t="str">
        <f t="shared" si="1"/>
        <v/>
      </c>
      <c r="B886" s="40" t="str">
        <f>IF(Bids!$A886="","",Bids!$A886)</f>
        <v/>
      </c>
      <c r="C886" s="40" t="str">
        <f>IF(Bids!$B886="","",Bids!$B886)</f>
        <v/>
      </c>
      <c r="D886" s="40" t="str">
        <f>IF($C886="","",IFERROR(VLOOKUP($C886,Orders!$A:$J,9,FALSE),""))</f>
        <v/>
      </c>
      <c r="E886" s="40" t="str">
        <f>IF($C886="","",IFERROR(VLOOKUP($C886,Orders!$A:$J,3,FALSE),""))</f>
        <v/>
      </c>
      <c r="F886" s="40" t="str">
        <f>IF($C886="","",IFERROR(VLOOKUP($C886,Orders!$A:$J,4,FALSE),""))</f>
        <v/>
      </c>
      <c r="G886" s="40" t="str">
        <f>IF($C886="","",IFERROR(VLOOKUP($C886,Orders!$A:$J,5,FALSE),""))</f>
        <v/>
      </c>
      <c r="H886" s="40" t="str">
        <f>IF($C886="","",IFERROR(VLOOKUP($C886,Orders!$A:$J,6,FALSE),""))</f>
        <v/>
      </c>
      <c r="I886" s="40" t="str">
        <f>IF($C886="","",IFERROR(VLOOKUP($C886,Orders!$A:$J,7,FALSE),""))</f>
        <v/>
      </c>
      <c r="J886" s="40" t="str">
        <f>IF(Bids!$C886="","",Bids!$C886)</f>
        <v/>
      </c>
      <c r="K886" s="40" t="str">
        <f>IF($J886="","",IFERROR(VLOOKUP($J886,Grinders!$A:$N,2,FALSE),""))</f>
        <v/>
      </c>
      <c r="L886" s="40" t="str">
        <f>IF($J886="","",IFERROR(VLOOKUP($J886,Grinders!$A:$N,3,FALSE),""))</f>
        <v/>
      </c>
      <c r="M886" s="40" t="str">
        <f>IF($J886="","",IFERROR(VLOOKUP($J886,Grinders!$A:$N,4,FALSE),""))</f>
        <v/>
      </c>
      <c r="N886" s="40" t="str">
        <f>IF($J886="","",IFERROR(VLOOKUP($J886,Grinders!$A:$N,5,FALSE),""))</f>
        <v/>
      </c>
      <c r="O886" s="40" t="str">
        <f t="shared" si="2"/>
        <v/>
      </c>
      <c r="P886" s="40" t="str">
        <f>IF($J886="","",IFERROR(VLOOKUP($J886,Grinders!$A:$N,6,FALSE),""))</f>
        <v/>
      </c>
      <c r="Q886" s="40" t="str">
        <f>IF($J886="","",IFERROR(VLOOKUP($J886,Grinders!$A:$N,8,FALSE),""))</f>
        <v/>
      </c>
      <c r="R886" s="40" t="str">
        <f>IFERROR(IF($J886="","",IF($L886="Elite",MAX(50,MIN(100,Config!$B$27*MAX(0,MIN(100,(1-IF($O886="",0,$O886))*100)) + Config!$B$28*MAX(0,MIN(100,(1-MIN(1,IF(Config!$B$30=0,1,$P886/Config!$B$30)))*100)) + Config!$B$29*MAX(0,MIN(100,MIN(1,IF($Q886="",0,$Q886)/Config!$B$23)*100)))),MIN(100,Config!$B$27*MAX(0,MIN(100,(1-IF($O886="",0,$O886))*100)) + Config!$B$28*MAX(0,MIN(100,(1-MIN(1,IF(Config!$B$30=0,1,$P886/Config!$B$30)))*100)) + Config!$B$29*MAX(0,MIN(100,MIN(1,IF($Q886="",0,$Q886)/Config!$B$23)*100))))),"")
</f>
        <v/>
      </c>
      <c r="S886" s="40" t="str">
        <f>IF(Bids!$D886="","",Bids!$D886)</f>
        <v/>
      </c>
      <c r="T886" s="40" t="str">
        <f>IF(Bids!$F886="","",Bids!$F886)</f>
        <v/>
      </c>
      <c r="U886" s="40" t="str">
        <f t="shared" si="3"/>
        <v/>
      </c>
      <c r="V886" s="40" t="str">
        <f>IF($U886="","",IF(Config!$B$17=Config!$B$16,IF($U886&gt;=Config!$B$17,100,0),MAX(0,MIN(100,($U886-Config!$B$16)/(Config!$B$17-Config!$B$16)*100))))</f>
        <v/>
      </c>
      <c r="W886" s="40">
        <f>IF($L886="Elite",Config!$B$21,0)</f>
        <v>0</v>
      </c>
      <c r="X886" s="40" t="str">
        <f>IFERROR(IF(OR($T886="",$G886=""),"",IF($T886&gt;$G886,
  MAX(0, 60-(($T886-$G886)*24/Config!$B$19)*60),
  MEDIAN(60, 100, 60+(($G886-$T886)*24/Config!$B$20)*40)
)),"")
</f>
        <v/>
      </c>
      <c r="Y886" s="40" t="str">
        <f>IF($J886="","",IFERROR(VLOOKUP($J886,Grinders!$A:$N,10,FALSE),""))</f>
        <v/>
      </c>
      <c r="Z886" s="40" t="str">
        <f>IF($J886="","",IFERROR(VLOOKUP($J886,Grinders!$A:$N,11,FALSE),""))</f>
        <v/>
      </c>
      <c r="AA886" s="40" t="str">
        <f>IF($J886="","",IFERROR(VLOOKUP($J886,Grinders!$A:$N,12,FALSE),""))</f>
        <v/>
      </c>
      <c r="AB886" s="40">
        <f>IFERROR(IF(OR($C886="",$J886=""),0,IF($D886&lt;&gt;"Open",0,IF(COUNTIFS(GrinderServices!$B:$B,$J886,GrinderServices!$C:$C,$E886,GrinderServices!$E:$E,"Y")=0,0,IF($U886&lt;Config!$B$16,0,IF(Config!$B$18=1,IF($N886&gt;=$M886,0,1),1))))),"")</f>
        <v>0</v>
      </c>
      <c r="AC886" s="40" t="str">
        <f>IFERROR(IF($AB886=0,"",((Config!$B$6*$V886 + Config!$B$7*$R886 + Config!$B$8*$W886 + Config!$B$9*$X886 + Config!$B$10*$Y886 + Config!$B$11*$Z886 - Config!$B$12*$AA886)/Config!$B$13)+$AH886+$AI886),"")</f>
        <v/>
      </c>
      <c r="AD886" s="40" t="str">
        <f t="shared" si="4"/>
        <v/>
      </c>
      <c r="AE886" s="40" t="str">
        <f>IFERROR(__xludf.DUMMYFUNCTION("IF($AC886="""","""",IF($AC886=IFERROR(MAX(FILTER($AC$6:$AC$1000,$C$6:$C$1000=$C886,$AB$6:$AB$1000=1)),),""WINNER"",""""))"),"")</f>
        <v/>
      </c>
      <c r="AF886" s="40" t="str">
        <f t="shared" si="5"/>
        <v/>
      </c>
      <c r="AG886" s="40" t="str">
        <f>IF($J886="","",COUNTIF(Assignments!$B:$B,$J886))</f>
        <v/>
      </c>
      <c r="AH886" s="40" t="str">
        <f>IF($J886="","",IF(AND($AG886=0,$N886&lt;$M886),Config!$B$43,0))</f>
        <v/>
      </c>
      <c r="AI886" s="40" t="str">
        <f>IF($J886="","",IF(AND($L886="Elite",$F886&gt;=Config!$B$41,$N886&lt;$M886),Config!$B$42,0))</f>
        <v/>
      </c>
      <c r="AJ886" s="22"/>
    </row>
    <row r="887" ht="15.75" customHeight="1">
      <c r="A887" s="40" t="str">
        <f t="shared" si="1"/>
        <v/>
      </c>
      <c r="B887" s="40" t="str">
        <f>IF(Bids!$A887="","",Bids!$A887)</f>
        <v/>
      </c>
      <c r="C887" s="40" t="str">
        <f>IF(Bids!$B887="","",Bids!$B887)</f>
        <v/>
      </c>
      <c r="D887" s="40" t="str">
        <f>IF($C887="","",IFERROR(VLOOKUP($C887,Orders!$A:$J,9,FALSE),""))</f>
        <v/>
      </c>
      <c r="E887" s="40" t="str">
        <f>IF($C887="","",IFERROR(VLOOKUP($C887,Orders!$A:$J,3,FALSE),""))</f>
        <v/>
      </c>
      <c r="F887" s="40" t="str">
        <f>IF($C887="","",IFERROR(VLOOKUP($C887,Orders!$A:$J,4,FALSE),""))</f>
        <v/>
      </c>
      <c r="G887" s="40" t="str">
        <f>IF($C887="","",IFERROR(VLOOKUP($C887,Orders!$A:$J,5,FALSE),""))</f>
        <v/>
      </c>
      <c r="H887" s="40" t="str">
        <f>IF($C887="","",IFERROR(VLOOKUP($C887,Orders!$A:$J,6,FALSE),""))</f>
        <v/>
      </c>
      <c r="I887" s="40" t="str">
        <f>IF($C887="","",IFERROR(VLOOKUP($C887,Orders!$A:$J,7,FALSE),""))</f>
        <v/>
      </c>
      <c r="J887" s="40" t="str">
        <f>IF(Bids!$C887="","",Bids!$C887)</f>
        <v/>
      </c>
      <c r="K887" s="40" t="str">
        <f>IF($J887="","",IFERROR(VLOOKUP($J887,Grinders!$A:$N,2,FALSE),""))</f>
        <v/>
      </c>
      <c r="L887" s="40" t="str">
        <f>IF($J887="","",IFERROR(VLOOKUP($J887,Grinders!$A:$N,3,FALSE),""))</f>
        <v/>
      </c>
      <c r="M887" s="40" t="str">
        <f>IF($J887="","",IFERROR(VLOOKUP($J887,Grinders!$A:$N,4,FALSE),""))</f>
        <v/>
      </c>
      <c r="N887" s="40" t="str">
        <f>IF($J887="","",IFERROR(VLOOKUP($J887,Grinders!$A:$N,5,FALSE),""))</f>
        <v/>
      </c>
      <c r="O887" s="40" t="str">
        <f t="shared" si="2"/>
        <v/>
      </c>
      <c r="P887" s="40" t="str">
        <f>IF($J887="","",IFERROR(VLOOKUP($J887,Grinders!$A:$N,6,FALSE),""))</f>
        <v/>
      </c>
      <c r="Q887" s="40" t="str">
        <f>IF($J887="","",IFERROR(VLOOKUP($J887,Grinders!$A:$N,8,FALSE),""))</f>
        <v/>
      </c>
      <c r="R887" s="40" t="str">
        <f>IFERROR(IF($J887="","",IF($L887="Elite",MAX(50,MIN(100,Config!$B$27*MAX(0,MIN(100,(1-IF($O887="",0,$O887))*100)) + Config!$B$28*MAX(0,MIN(100,(1-MIN(1,IF(Config!$B$30=0,1,$P887/Config!$B$30)))*100)) + Config!$B$29*MAX(0,MIN(100,MIN(1,IF($Q887="",0,$Q887)/Config!$B$23)*100)))),MIN(100,Config!$B$27*MAX(0,MIN(100,(1-IF($O887="",0,$O887))*100)) + Config!$B$28*MAX(0,MIN(100,(1-MIN(1,IF(Config!$B$30=0,1,$P887/Config!$B$30)))*100)) + Config!$B$29*MAX(0,MIN(100,MIN(1,IF($Q887="",0,$Q887)/Config!$B$23)*100))))),"")
</f>
        <v/>
      </c>
      <c r="S887" s="40" t="str">
        <f>IF(Bids!$D887="","",Bids!$D887)</f>
        <v/>
      </c>
      <c r="T887" s="40" t="str">
        <f>IF(Bids!$F887="","",Bids!$F887)</f>
        <v/>
      </c>
      <c r="U887" s="40" t="str">
        <f t="shared" si="3"/>
        <v/>
      </c>
      <c r="V887" s="40" t="str">
        <f>IF($U887="","",IF(Config!$B$17=Config!$B$16,IF($U887&gt;=Config!$B$17,100,0),MAX(0,MIN(100,($U887-Config!$B$16)/(Config!$B$17-Config!$B$16)*100))))</f>
        <v/>
      </c>
      <c r="W887" s="40">
        <f>IF($L887="Elite",Config!$B$21,0)</f>
        <v>0</v>
      </c>
      <c r="X887" s="40" t="str">
        <f>IFERROR(IF(OR($T887="",$G887=""),"",IF($T887&gt;$G887,
  MAX(0, 60-(($T887-$G887)*24/Config!$B$19)*60),
  MEDIAN(60, 100, 60+(($G887-$T887)*24/Config!$B$20)*40)
)),"")
</f>
        <v/>
      </c>
      <c r="Y887" s="40" t="str">
        <f>IF($J887="","",IFERROR(VLOOKUP($J887,Grinders!$A:$N,10,FALSE),""))</f>
        <v/>
      </c>
      <c r="Z887" s="40" t="str">
        <f>IF($J887="","",IFERROR(VLOOKUP($J887,Grinders!$A:$N,11,FALSE),""))</f>
        <v/>
      </c>
      <c r="AA887" s="40" t="str">
        <f>IF($J887="","",IFERROR(VLOOKUP($J887,Grinders!$A:$N,12,FALSE),""))</f>
        <v/>
      </c>
      <c r="AB887" s="40">
        <f>IFERROR(IF(OR($C887="",$J887=""),0,IF($D887&lt;&gt;"Open",0,IF(COUNTIFS(GrinderServices!$B:$B,$J887,GrinderServices!$C:$C,$E887,GrinderServices!$E:$E,"Y")=0,0,IF($U887&lt;Config!$B$16,0,IF(Config!$B$18=1,IF($N887&gt;=$M887,0,1),1))))),"")</f>
        <v>0</v>
      </c>
      <c r="AC887" s="40" t="str">
        <f>IFERROR(IF($AB887=0,"",((Config!$B$6*$V887 + Config!$B$7*$R887 + Config!$B$8*$W887 + Config!$B$9*$X887 + Config!$B$10*$Y887 + Config!$B$11*$Z887 - Config!$B$12*$AA887)/Config!$B$13)+$AH887+$AI887),"")</f>
        <v/>
      </c>
      <c r="AD887" s="40" t="str">
        <f t="shared" si="4"/>
        <v/>
      </c>
      <c r="AE887" s="40" t="str">
        <f>IFERROR(__xludf.DUMMYFUNCTION("IF($AC887="""","""",IF($AC887=IFERROR(MAX(FILTER($AC$6:$AC$1000,$C$6:$C$1000=$C887,$AB$6:$AB$1000=1)),),""WINNER"",""""))"),"")</f>
        <v/>
      </c>
      <c r="AF887" s="40" t="str">
        <f t="shared" si="5"/>
        <v/>
      </c>
      <c r="AG887" s="40" t="str">
        <f>IF($J887="","",COUNTIF(Assignments!$B:$B,$J887))</f>
        <v/>
      </c>
      <c r="AH887" s="40" t="str">
        <f>IF($J887="","",IF(AND($AG887=0,$N887&lt;$M887),Config!$B$43,0))</f>
        <v/>
      </c>
      <c r="AI887" s="40" t="str">
        <f>IF($J887="","",IF(AND($L887="Elite",$F887&gt;=Config!$B$41,$N887&lt;$M887),Config!$B$42,0))</f>
        <v/>
      </c>
      <c r="AJ887" s="22"/>
    </row>
    <row r="888" ht="15.75" customHeight="1">
      <c r="A888" s="40" t="str">
        <f t="shared" si="1"/>
        <v/>
      </c>
      <c r="B888" s="40" t="str">
        <f>IF(Bids!$A888="","",Bids!$A888)</f>
        <v/>
      </c>
      <c r="C888" s="40" t="str">
        <f>IF(Bids!$B888="","",Bids!$B888)</f>
        <v/>
      </c>
      <c r="D888" s="40" t="str">
        <f>IF($C888="","",IFERROR(VLOOKUP($C888,Orders!$A:$J,9,FALSE),""))</f>
        <v/>
      </c>
      <c r="E888" s="40" t="str">
        <f>IF($C888="","",IFERROR(VLOOKUP($C888,Orders!$A:$J,3,FALSE),""))</f>
        <v/>
      </c>
      <c r="F888" s="40" t="str">
        <f>IF($C888="","",IFERROR(VLOOKUP($C888,Orders!$A:$J,4,FALSE),""))</f>
        <v/>
      </c>
      <c r="G888" s="40" t="str">
        <f>IF($C888="","",IFERROR(VLOOKUP($C888,Orders!$A:$J,5,FALSE),""))</f>
        <v/>
      </c>
      <c r="H888" s="40" t="str">
        <f>IF($C888="","",IFERROR(VLOOKUP($C888,Orders!$A:$J,6,FALSE),""))</f>
        <v/>
      </c>
      <c r="I888" s="40" t="str">
        <f>IF($C888="","",IFERROR(VLOOKUP($C888,Orders!$A:$J,7,FALSE),""))</f>
        <v/>
      </c>
      <c r="J888" s="40" t="str">
        <f>IF(Bids!$C888="","",Bids!$C888)</f>
        <v/>
      </c>
      <c r="K888" s="40" t="str">
        <f>IF($J888="","",IFERROR(VLOOKUP($J888,Grinders!$A:$N,2,FALSE),""))</f>
        <v/>
      </c>
      <c r="L888" s="40" t="str">
        <f>IF($J888="","",IFERROR(VLOOKUP($J888,Grinders!$A:$N,3,FALSE),""))</f>
        <v/>
      </c>
      <c r="M888" s="40" t="str">
        <f>IF($J888="","",IFERROR(VLOOKUP($J888,Grinders!$A:$N,4,FALSE),""))</f>
        <v/>
      </c>
      <c r="N888" s="40" t="str">
        <f>IF($J888="","",IFERROR(VLOOKUP($J888,Grinders!$A:$N,5,FALSE),""))</f>
        <v/>
      </c>
      <c r="O888" s="40" t="str">
        <f t="shared" si="2"/>
        <v/>
      </c>
      <c r="P888" s="40" t="str">
        <f>IF($J888="","",IFERROR(VLOOKUP($J888,Grinders!$A:$N,6,FALSE),""))</f>
        <v/>
      </c>
      <c r="Q888" s="40" t="str">
        <f>IF($J888="","",IFERROR(VLOOKUP($J888,Grinders!$A:$N,8,FALSE),""))</f>
        <v/>
      </c>
      <c r="R888" s="40" t="str">
        <f>IFERROR(IF($J888="","",IF($L888="Elite",MAX(50,MIN(100,Config!$B$27*MAX(0,MIN(100,(1-IF($O888="",0,$O888))*100)) + Config!$B$28*MAX(0,MIN(100,(1-MIN(1,IF(Config!$B$30=0,1,$P888/Config!$B$30)))*100)) + Config!$B$29*MAX(0,MIN(100,MIN(1,IF($Q888="",0,$Q888)/Config!$B$23)*100)))),MIN(100,Config!$B$27*MAX(0,MIN(100,(1-IF($O888="",0,$O888))*100)) + Config!$B$28*MAX(0,MIN(100,(1-MIN(1,IF(Config!$B$30=0,1,$P888/Config!$B$30)))*100)) + Config!$B$29*MAX(0,MIN(100,MIN(1,IF($Q888="",0,$Q888)/Config!$B$23)*100))))),"")
</f>
        <v/>
      </c>
      <c r="S888" s="40" t="str">
        <f>IF(Bids!$D888="","",Bids!$D888)</f>
        <v/>
      </c>
      <c r="T888" s="40" t="str">
        <f>IF(Bids!$F888="","",Bids!$F888)</f>
        <v/>
      </c>
      <c r="U888" s="40" t="str">
        <f t="shared" si="3"/>
        <v/>
      </c>
      <c r="V888" s="40" t="str">
        <f>IF($U888="","",IF(Config!$B$17=Config!$B$16,IF($U888&gt;=Config!$B$17,100,0),MAX(0,MIN(100,($U888-Config!$B$16)/(Config!$B$17-Config!$B$16)*100))))</f>
        <v/>
      </c>
      <c r="W888" s="40">
        <f>IF($L888="Elite",Config!$B$21,0)</f>
        <v>0</v>
      </c>
      <c r="X888" s="40" t="str">
        <f>IFERROR(IF(OR($T888="",$G888=""),"",IF($T888&gt;$G888,
  MAX(0, 60-(($T888-$G888)*24/Config!$B$19)*60),
  MEDIAN(60, 100, 60+(($G888-$T888)*24/Config!$B$20)*40)
)),"")
</f>
        <v/>
      </c>
      <c r="Y888" s="40" t="str">
        <f>IF($J888="","",IFERROR(VLOOKUP($J888,Grinders!$A:$N,10,FALSE),""))</f>
        <v/>
      </c>
      <c r="Z888" s="40" t="str">
        <f>IF($J888="","",IFERROR(VLOOKUP($J888,Grinders!$A:$N,11,FALSE),""))</f>
        <v/>
      </c>
      <c r="AA888" s="40" t="str">
        <f>IF($J888="","",IFERROR(VLOOKUP($J888,Grinders!$A:$N,12,FALSE),""))</f>
        <v/>
      </c>
      <c r="AB888" s="40">
        <f>IFERROR(IF(OR($C888="",$J888=""),0,IF($D888&lt;&gt;"Open",0,IF(COUNTIFS(GrinderServices!$B:$B,$J888,GrinderServices!$C:$C,$E888,GrinderServices!$E:$E,"Y")=0,0,IF($U888&lt;Config!$B$16,0,IF(Config!$B$18=1,IF($N888&gt;=$M888,0,1),1))))),"")</f>
        <v>0</v>
      </c>
      <c r="AC888" s="40" t="str">
        <f>IFERROR(IF($AB888=0,"",((Config!$B$6*$V888 + Config!$B$7*$R888 + Config!$B$8*$W888 + Config!$B$9*$X888 + Config!$B$10*$Y888 + Config!$B$11*$Z888 - Config!$B$12*$AA888)/Config!$B$13)+$AH888+$AI888),"")</f>
        <v/>
      </c>
      <c r="AD888" s="40" t="str">
        <f t="shared" si="4"/>
        <v/>
      </c>
      <c r="AE888" s="40" t="str">
        <f>IFERROR(__xludf.DUMMYFUNCTION("IF($AC888="""","""",IF($AC888=IFERROR(MAX(FILTER($AC$6:$AC$1000,$C$6:$C$1000=$C888,$AB$6:$AB$1000=1)),),""WINNER"",""""))"),"")</f>
        <v/>
      </c>
      <c r="AF888" s="40" t="str">
        <f t="shared" si="5"/>
        <v/>
      </c>
      <c r="AG888" s="40" t="str">
        <f>IF($J888="","",COUNTIF(Assignments!$B:$B,$J888))</f>
        <v/>
      </c>
      <c r="AH888" s="40" t="str">
        <f>IF($J888="","",IF(AND($AG888=0,$N888&lt;$M888),Config!$B$43,0))</f>
        <v/>
      </c>
      <c r="AI888" s="40" t="str">
        <f>IF($J888="","",IF(AND($L888="Elite",$F888&gt;=Config!$B$41,$N888&lt;$M888),Config!$B$42,0))</f>
        <v/>
      </c>
      <c r="AJ888" s="22"/>
    </row>
    <row r="889" ht="15.75" customHeight="1">
      <c r="A889" s="40" t="str">
        <f t="shared" si="1"/>
        <v/>
      </c>
      <c r="B889" s="40" t="str">
        <f>IF(Bids!$A889="","",Bids!$A889)</f>
        <v/>
      </c>
      <c r="C889" s="40" t="str">
        <f>IF(Bids!$B889="","",Bids!$B889)</f>
        <v/>
      </c>
      <c r="D889" s="40" t="str">
        <f>IF($C889="","",IFERROR(VLOOKUP($C889,Orders!$A:$J,9,FALSE),""))</f>
        <v/>
      </c>
      <c r="E889" s="40" t="str">
        <f>IF($C889="","",IFERROR(VLOOKUP($C889,Orders!$A:$J,3,FALSE),""))</f>
        <v/>
      </c>
      <c r="F889" s="40" t="str">
        <f>IF($C889="","",IFERROR(VLOOKUP($C889,Orders!$A:$J,4,FALSE),""))</f>
        <v/>
      </c>
      <c r="G889" s="40" t="str">
        <f>IF($C889="","",IFERROR(VLOOKUP($C889,Orders!$A:$J,5,FALSE),""))</f>
        <v/>
      </c>
      <c r="H889" s="40" t="str">
        <f>IF($C889="","",IFERROR(VLOOKUP($C889,Orders!$A:$J,6,FALSE),""))</f>
        <v/>
      </c>
      <c r="I889" s="40" t="str">
        <f>IF($C889="","",IFERROR(VLOOKUP($C889,Orders!$A:$J,7,FALSE),""))</f>
        <v/>
      </c>
      <c r="J889" s="40" t="str">
        <f>IF(Bids!$C889="","",Bids!$C889)</f>
        <v/>
      </c>
      <c r="K889" s="40" t="str">
        <f>IF($J889="","",IFERROR(VLOOKUP($J889,Grinders!$A:$N,2,FALSE),""))</f>
        <v/>
      </c>
      <c r="L889" s="40" t="str">
        <f>IF($J889="","",IFERROR(VLOOKUP($J889,Grinders!$A:$N,3,FALSE),""))</f>
        <v/>
      </c>
      <c r="M889" s="40" t="str">
        <f>IF($J889="","",IFERROR(VLOOKUP($J889,Grinders!$A:$N,4,FALSE),""))</f>
        <v/>
      </c>
      <c r="N889" s="40" t="str">
        <f>IF($J889="","",IFERROR(VLOOKUP($J889,Grinders!$A:$N,5,FALSE),""))</f>
        <v/>
      </c>
      <c r="O889" s="40" t="str">
        <f t="shared" si="2"/>
        <v/>
      </c>
      <c r="P889" s="40" t="str">
        <f>IF($J889="","",IFERROR(VLOOKUP($J889,Grinders!$A:$N,6,FALSE),""))</f>
        <v/>
      </c>
      <c r="Q889" s="40" t="str">
        <f>IF($J889="","",IFERROR(VLOOKUP($J889,Grinders!$A:$N,8,FALSE),""))</f>
        <v/>
      </c>
      <c r="R889" s="40" t="str">
        <f>IFERROR(IF($J889="","",IF($L889="Elite",MAX(50,MIN(100,Config!$B$27*MAX(0,MIN(100,(1-IF($O889="",0,$O889))*100)) + Config!$B$28*MAX(0,MIN(100,(1-MIN(1,IF(Config!$B$30=0,1,$P889/Config!$B$30)))*100)) + Config!$B$29*MAX(0,MIN(100,MIN(1,IF($Q889="",0,$Q889)/Config!$B$23)*100)))),MIN(100,Config!$B$27*MAX(0,MIN(100,(1-IF($O889="",0,$O889))*100)) + Config!$B$28*MAX(0,MIN(100,(1-MIN(1,IF(Config!$B$30=0,1,$P889/Config!$B$30)))*100)) + Config!$B$29*MAX(0,MIN(100,MIN(1,IF($Q889="",0,$Q889)/Config!$B$23)*100))))),"")
</f>
        <v/>
      </c>
      <c r="S889" s="40" t="str">
        <f>IF(Bids!$D889="","",Bids!$D889)</f>
        <v/>
      </c>
      <c r="T889" s="40" t="str">
        <f>IF(Bids!$F889="","",Bids!$F889)</f>
        <v/>
      </c>
      <c r="U889" s="40" t="str">
        <f t="shared" si="3"/>
        <v/>
      </c>
      <c r="V889" s="40" t="str">
        <f>IF($U889="","",IF(Config!$B$17=Config!$B$16,IF($U889&gt;=Config!$B$17,100,0),MAX(0,MIN(100,($U889-Config!$B$16)/(Config!$B$17-Config!$B$16)*100))))</f>
        <v/>
      </c>
      <c r="W889" s="40">
        <f>IF($L889="Elite",Config!$B$21,0)</f>
        <v>0</v>
      </c>
      <c r="X889" s="40" t="str">
        <f>IFERROR(IF(OR($T889="",$G889=""),"",IF($T889&gt;$G889,
  MAX(0, 60-(($T889-$G889)*24/Config!$B$19)*60),
  MEDIAN(60, 100, 60+(($G889-$T889)*24/Config!$B$20)*40)
)),"")
</f>
        <v/>
      </c>
      <c r="Y889" s="40" t="str">
        <f>IF($J889="","",IFERROR(VLOOKUP($J889,Grinders!$A:$N,10,FALSE),""))</f>
        <v/>
      </c>
      <c r="Z889" s="40" t="str">
        <f>IF($J889="","",IFERROR(VLOOKUP($J889,Grinders!$A:$N,11,FALSE),""))</f>
        <v/>
      </c>
      <c r="AA889" s="40" t="str">
        <f>IF($J889="","",IFERROR(VLOOKUP($J889,Grinders!$A:$N,12,FALSE),""))</f>
        <v/>
      </c>
      <c r="AB889" s="40">
        <f>IFERROR(IF(OR($C889="",$J889=""),0,IF($D889&lt;&gt;"Open",0,IF(COUNTIFS(GrinderServices!$B:$B,$J889,GrinderServices!$C:$C,$E889,GrinderServices!$E:$E,"Y")=0,0,IF($U889&lt;Config!$B$16,0,IF(Config!$B$18=1,IF($N889&gt;=$M889,0,1),1))))),"")</f>
        <v>0</v>
      </c>
      <c r="AC889" s="40" t="str">
        <f>IFERROR(IF($AB889=0,"",((Config!$B$6*$V889 + Config!$B$7*$R889 + Config!$B$8*$W889 + Config!$B$9*$X889 + Config!$B$10*$Y889 + Config!$B$11*$Z889 - Config!$B$12*$AA889)/Config!$B$13)+$AH889+$AI889),"")</f>
        <v/>
      </c>
      <c r="AD889" s="40" t="str">
        <f t="shared" si="4"/>
        <v/>
      </c>
      <c r="AE889" s="40" t="str">
        <f>IFERROR(__xludf.DUMMYFUNCTION("IF($AC889="""","""",IF($AC889=IFERROR(MAX(FILTER($AC$6:$AC$1000,$C$6:$C$1000=$C889,$AB$6:$AB$1000=1)),),""WINNER"",""""))"),"")</f>
        <v/>
      </c>
      <c r="AF889" s="40" t="str">
        <f t="shared" si="5"/>
        <v/>
      </c>
      <c r="AG889" s="40" t="str">
        <f>IF($J889="","",COUNTIF(Assignments!$B:$B,$J889))</f>
        <v/>
      </c>
      <c r="AH889" s="40" t="str">
        <f>IF($J889="","",IF(AND($AG889=0,$N889&lt;$M889),Config!$B$43,0))</f>
        <v/>
      </c>
      <c r="AI889" s="40" t="str">
        <f>IF($J889="","",IF(AND($L889="Elite",$F889&gt;=Config!$B$41,$N889&lt;$M889),Config!$B$42,0))</f>
        <v/>
      </c>
      <c r="AJ889" s="22"/>
    </row>
    <row r="890" ht="15.75" customHeight="1">
      <c r="A890" s="40" t="str">
        <f t="shared" si="1"/>
        <v/>
      </c>
      <c r="B890" s="40" t="str">
        <f>IF(Bids!$A890="","",Bids!$A890)</f>
        <v/>
      </c>
      <c r="C890" s="40" t="str">
        <f>IF(Bids!$B890="","",Bids!$B890)</f>
        <v/>
      </c>
      <c r="D890" s="40" t="str">
        <f>IF($C890="","",IFERROR(VLOOKUP($C890,Orders!$A:$J,9,FALSE),""))</f>
        <v/>
      </c>
      <c r="E890" s="40" t="str">
        <f>IF($C890="","",IFERROR(VLOOKUP($C890,Orders!$A:$J,3,FALSE),""))</f>
        <v/>
      </c>
      <c r="F890" s="40" t="str">
        <f>IF($C890="","",IFERROR(VLOOKUP($C890,Orders!$A:$J,4,FALSE),""))</f>
        <v/>
      </c>
      <c r="G890" s="40" t="str">
        <f>IF($C890="","",IFERROR(VLOOKUP($C890,Orders!$A:$J,5,FALSE),""))</f>
        <v/>
      </c>
      <c r="H890" s="40" t="str">
        <f>IF($C890="","",IFERROR(VLOOKUP($C890,Orders!$A:$J,6,FALSE),""))</f>
        <v/>
      </c>
      <c r="I890" s="40" t="str">
        <f>IF($C890="","",IFERROR(VLOOKUP($C890,Orders!$A:$J,7,FALSE),""))</f>
        <v/>
      </c>
      <c r="J890" s="40" t="str">
        <f>IF(Bids!$C890="","",Bids!$C890)</f>
        <v/>
      </c>
      <c r="K890" s="40" t="str">
        <f>IF($J890="","",IFERROR(VLOOKUP($J890,Grinders!$A:$N,2,FALSE),""))</f>
        <v/>
      </c>
      <c r="L890" s="40" t="str">
        <f>IF($J890="","",IFERROR(VLOOKUP($J890,Grinders!$A:$N,3,FALSE),""))</f>
        <v/>
      </c>
      <c r="M890" s="40" t="str">
        <f>IF($J890="","",IFERROR(VLOOKUP($J890,Grinders!$A:$N,4,FALSE),""))</f>
        <v/>
      </c>
      <c r="N890" s="40" t="str">
        <f>IF($J890="","",IFERROR(VLOOKUP($J890,Grinders!$A:$N,5,FALSE),""))</f>
        <v/>
      </c>
      <c r="O890" s="40" t="str">
        <f t="shared" si="2"/>
        <v/>
      </c>
      <c r="P890" s="40" t="str">
        <f>IF($J890="","",IFERROR(VLOOKUP($J890,Grinders!$A:$N,6,FALSE),""))</f>
        <v/>
      </c>
      <c r="Q890" s="40" t="str">
        <f>IF($J890="","",IFERROR(VLOOKUP($J890,Grinders!$A:$N,8,FALSE),""))</f>
        <v/>
      </c>
      <c r="R890" s="40" t="str">
        <f>IFERROR(IF($J890="","",IF($L890="Elite",MAX(50,MIN(100,Config!$B$27*MAX(0,MIN(100,(1-IF($O890="",0,$O890))*100)) + Config!$B$28*MAX(0,MIN(100,(1-MIN(1,IF(Config!$B$30=0,1,$P890/Config!$B$30)))*100)) + Config!$B$29*MAX(0,MIN(100,MIN(1,IF($Q890="",0,$Q890)/Config!$B$23)*100)))),MIN(100,Config!$B$27*MAX(0,MIN(100,(1-IF($O890="",0,$O890))*100)) + Config!$B$28*MAX(0,MIN(100,(1-MIN(1,IF(Config!$B$30=0,1,$P890/Config!$B$30)))*100)) + Config!$B$29*MAX(0,MIN(100,MIN(1,IF($Q890="",0,$Q890)/Config!$B$23)*100))))),"")
</f>
        <v/>
      </c>
      <c r="S890" s="40" t="str">
        <f>IF(Bids!$D890="","",Bids!$D890)</f>
        <v/>
      </c>
      <c r="T890" s="40" t="str">
        <f>IF(Bids!$F890="","",Bids!$F890)</f>
        <v/>
      </c>
      <c r="U890" s="40" t="str">
        <f t="shared" si="3"/>
        <v/>
      </c>
      <c r="V890" s="40" t="str">
        <f>IF($U890="","",IF(Config!$B$17=Config!$B$16,IF($U890&gt;=Config!$B$17,100,0),MAX(0,MIN(100,($U890-Config!$B$16)/(Config!$B$17-Config!$B$16)*100))))</f>
        <v/>
      </c>
      <c r="W890" s="40">
        <f>IF($L890="Elite",Config!$B$21,0)</f>
        <v>0</v>
      </c>
      <c r="X890" s="40" t="str">
        <f>IFERROR(IF(OR($T890="",$G890=""),"",IF($T890&gt;$G890,
  MAX(0, 60-(($T890-$G890)*24/Config!$B$19)*60),
  MEDIAN(60, 100, 60+(($G890-$T890)*24/Config!$B$20)*40)
)),"")
</f>
        <v/>
      </c>
      <c r="Y890" s="40" t="str">
        <f>IF($J890="","",IFERROR(VLOOKUP($J890,Grinders!$A:$N,10,FALSE),""))</f>
        <v/>
      </c>
      <c r="Z890" s="40" t="str">
        <f>IF($J890="","",IFERROR(VLOOKUP($J890,Grinders!$A:$N,11,FALSE),""))</f>
        <v/>
      </c>
      <c r="AA890" s="40" t="str">
        <f>IF($J890="","",IFERROR(VLOOKUP($J890,Grinders!$A:$N,12,FALSE),""))</f>
        <v/>
      </c>
      <c r="AB890" s="40">
        <f>IFERROR(IF(OR($C890="",$J890=""),0,IF($D890&lt;&gt;"Open",0,IF(COUNTIFS(GrinderServices!$B:$B,$J890,GrinderServices!$C:$C,$E890,GrinderServices!$E:$E,"Y")=0,0,IF($U890&lt;Config!$B$16,0,IF(Config!$B$18=1,IF($N890&gt;=$M890,0,1),1))))),"")</f>
        <v>0</v>
      </c>
      <c r="AC890" s="40" t="str">
        <f>IFERROR(IF($AB890=0,"",((Config!$B$6*$V890 + Config!$B$7*$R890 + Config!$B$8*$W890 + Config!$B$9*$X890 + Config!$B$10*$Y890 + Config!$B$11*$Z890 - Config!$B$12*$AA890)/Config!$B$13)+$AH890+$AI890),"")</f>
        <v/>
      </c>
      <c r="AD890" s="40" t="str">
        <f t="shared" si="4"/>
        <v/>
      </c>
      <c r="AE890" s="40" t="str">
        <f>IFERROR(__xludf.DUMMYFUNCTION("IF($AC890="""","""",IF($AC890=IFERROR(MAX(FILTER($AC$6:$AC$1000,$C$6:$C$1000=$C890,$AB$6:$AB$1000=1)),),""WINNER"",""""))"),"")</f>
        <v/>
      </c>
      <c r="AF890" s="40" t="str">
        <f t="shared" si="5"/>
        <v/>
      </c>
      <c r="AG890" s="40" t="str">
        <f>IF($J890="","",COUNTIF(Assignments!$B:$B,$J890))</f>
        <v/>
      </c>
      <c r="AH890" s="40" t="str">
        <f>IF($J890="","",IF(AND($AG890=0,$N890&lt;$M890),Config!$B$43,0))</f>
        <v/>
      </c>
      <c r="AI890" s="40" t="str">
        <f>IF($J890="","",IF(AND($L890="Elite",$F890&gt;=Config!$B$41,$N890&lt;$M890),Config!$B$42,0))</f>
        <v/>
      </c>
      <c r="AJ890" s="22"/>
    </row>
    <row r="891" ht="15.75" customHeight="1">
      <c r="A891" s="40" t="str">
        <f t="shared" si="1"/>
        <v/>
      </c>
      <c r="B891" s="40" t="str">
        <f>IF(Bids!$A891="","",Bids!$A891)</f>
        <v/>
      </c>
      <c r="C891" s="40" t="str">
        <f>IF(Bids!$B891="","",Bids!$B891)</f>
        <v/>
      </c>
      <c r="D891" s="40" t="str">
        <f>IF($C891="","",IFERROR(VLOOKUP($C891,Orders!$A:$J,9,FALSE),""))</f>
        <v/>
      </c>
      <c r="E891" s="40" t="str">
        <f>IF($C891="","",IFERROR(VLOOKUP($C891,Orders!$A:$J,3,FALSE),""))</f>
        <v/>
      </c>
      <c r="F891" s="40" t="str">
        <f>IF($C891="","",IFERROR(VLOOKUP($C891,Orders!$A:$J,4,FALSE),""))</f>
        <v/>
      </c>
      <c r="G891" s="40" t="str">
        <f>IF($C891="","",IFERROR(VLOOKUP($C891,Orders!$A:$J,5,FALSE),""))</f>
        <v/>
      </c>
      <c r="H891" s="40" t="str">
        <f>IF($C891="","",IFERROR(VLOOKUP($C891,Orders!$A:$J,6,FALSE),""))</f>
        <v/>
      </c>
      <c r="I891" s="40" t="str">
        <f>IF($C891="","",IFERROR(VLOOKUP($C891,Orders!$A:$J,7,FALSE),""))</f>
        <v/>
      </c>
      <c r="J891" s="40" t="str">
        <f>IF(Bids!$C891="","",Bids!$C891)</f>
        <v/>
      </c>
      <c r="K891" s="40" t="str">
        <f>IF($J891="","",IFERROR(VLOOKUP($J891,Grinders!$A:$N,2,FALSE),""))</f>
        <v/>
      </c>
      <c r="L891" s="40" t="str">
        <f>IF($J891="","",IFERROR(VLOOKUP($J891,Grinders!$A:$N,3,FALSE),""))</f>
        <v/>
      </c>
      <c r="M891" s="40" t="str">
        <f>IF($J891="","",IFERROR(VLOOKUP($J891,Grinders!$A:$N,4,FALSE),""))</f>
        <v/>
      </c>
      <c r="N891" s="40" t="str">
        <f>IF($J891="","",IFERROR(VLOOKUP($J891,Grinders!$A:$N,5,FALSE),""))</f>
        <v/>
      </c>
      <c r="O891" s="40" t="str">
        <f t="shared" si="2"/>
        <v/>
      </c>
      <c r="P891" s="40" t="str">
        <f>IF($J891="","",IFERROR(VLOOKUP($J891,Grinders!$A:$N,6,FALSE),""))</f>
        <v/>
      </c>
      <c r="Q891" s="40" t="str">
        <f>IF($J891="","",IFERROR(VLOOKUP($J891,Grinders!$A:$N,8,FALSE),""))</f>
        <v/>
      </c>
      <c r="R891" s="40" t="str">
        <f>IFERROR(IF($J891="","",IF($L891="Elite",MAX(50,MIN(100,Config!$B$27*MAX(0,MIN(100,(1-IF($O891="",0,$O891))*100)) + Config!$B$28*MAX(0,MIN(100,(1-MIN(1,IF(Config!$B$30=0,1,$P891/Config!$B$30)))*100)) + Config!$B$29*MAX(0,MIN(100,MIN(1,IF($Q891="",0,$Q891)/Config!$B$23)*100)))),MIN(100,Config!$B$27*MAX(0,MIN(100,(1-IF($O891="",0,$O891))*100)) + Config!$B$28*MAX(0,MIN(100,(1-MIN(1,IF(Config!$B$30=0,1,$P891/Config!$B$30)))*100)) + Config!$B$29*MAX(0,MIN(100,MIN(1,IF($Q891="",0,$Q891)/Config!$B$23)*100))))),"")
</f>
        <v/>
      </c>
      <c r="S891" s="40" t="str">
        <f>IF(Bids!$D891="","",Bids!$D891)</f>
        <v/>
      </c>
      <c r="T891" s="40" t="str">
        <f>IF(Bids!$F891="","",Bids!$F891)</f>
        <v/>
      </c>
      <c r="U891" s="40" t="str">
        <f t="shared" si="3"/>
        <v/>
      </c>
      <c r="V891" s="40" t="str">
        <f>IF($U891="","",IF(Config!$B$17=Config!$B$16,IF($U891&gt;=Config!$B$17,100,0),MAX(0,MIN(100,($U891-Config!$B$16)/(Config!$B$17-Config!$B$16)*100))))</f>
        <v/>
      </c>
      <c r="W891" s="40">
        <f>IF($L891="Elite",Config!$B$21,0)</f>
        <v>0</v>
      </c>
      <c r="X891" s="40" t="str">
        <f>IFERROR(IF(OR($T891="",$G891=""),"",IF($T891&gt;$G891,
  MAX(0, 60-(($T891-$G891)*24/Config!$B$19)*60),
  MEDIAN(60, 100, 60+(($G891-$T891)*24/Config!$B$20)*40)
)),"")
</f>
        <v/>
      </c>
      <c r="Y891" s="40" t="str">
        <f>IF($J891="","",IFERROR(VLOOKUP($J891,Grinders!$A:$N,10,FALSE),""))</f>
        <v/>
      </c>
      <c r="Z891" s="40" t="str">
        <f>IF($J891="","",IFERROR(VLOOKUP($J891,Grinders!$A:$N,11,FALSE),""))</f>
        <v/>
      </c>
      <c r="AA891" s="40" t="str">
        <f>IF($J891="","",IFERROR(VLOOKUP($J891,Grinders!$A:$N,12,FALSE),""))</f>
        <v/>
      </c>
      <c r="AB891" s="40">
        <f>IFERROR(IF(OR($C891="",$J891=""),0,IF($D891&lt;&gt;"Open",0,IF(COUNTIFS(GrinderServices!$B:$B,$J891,GrinderServices!$C:$C,$E891,GrinderServices!$E:$E,"Y")=0,0,IF($U891&lt;Config!$B$16,0,IF(Config!$B$18=1,IF($N891&gt;=$M891,0,1),1))))),"")</f>
        <v>0</v>
      </c>
      <c r="AC891" s="40" t="str">
        <f>IFERROR(IF($AB891=0,"",((Config!$B$6*$V891 + Config!$B$7*$R891 + Config!$B$8*$W891 + Config!$B$9*$X891 + Config!$B$10*$Y891 + Config!$B$11*$Z891 - Config!$B$12*$AA891)/Config!$B$13)+$AH891+$AI891),"")</f>
        <v/>
      </c>
      <c r="AD891" s="40" t="str">
        <f t="shared" si="4"/>
        <v/>
      </c>
      <c r="AE891" s="40" t="str">
        <f>IFERROR(__xludf.DUMMYFUNCTION("IF($AC891="""","""",IF($AC891=IFERROR(MAX(FILTER($AC$6:$AC$1000,$C$6:$C$1000=$C891,$AB$6:$AB$1000=1)),),""WINNER"",""""))"),"")</f>
        <v/>
      </c>
      <c r="AF891" s="40" t="str">
        <f t="shared" si="5"/>
        <v/>
      </c>
      <c r="AG891" s="40" t="str">
        <f>IF($J891="","",COUNTIF(Assignments!$B:$B,$J891))</f>
        <v/>
      </c>
      <c r="AH891" s="40" t="str">
        <f>IF($J891="","",IF(AND($AG891=0,$N891&lt;$M891),Config!$B$43,0))</f>
        <v/>
      </c>
      <c r="AI891" s="40" t="str">
        <f>IF($J891="","",IF(AND($L891="Elite",$F891&gt;=Config!$B$41,$N891&lt;$M891),Config!$B$42,0))</f>
        <v/>
      </c>
      <c r="AJ891" s="22"/>
    </row>
    <row r="892" ht="15.75" customHeight="1">
      <c r="A892" s="40" t="str">
        <f t="shared" si="1"/>
        <v/>
      </c>
      <c r="B892" s="40" t="str">
        <f>IF(Bids!$A892="","",Bids!$A892)</f>
        <v/>
      </c>
      <c r="C892" s="40" t="str">
        <f>IF(Bids!$B892="","",Bids!$B892)</f>
        <v/>
      </c>
      <c r="D892" s="40" t="str">
        <f>IF($C892="","",IFERROR(VLOOKUP($C892,Orders!$A:$J,9,FALSE),""))</f>
        <v/>
      </c>
      <c r="E892" s="40" t="str">
        <f>IF($C892="","",IFERROR(VLOOKUP($C892,Orders!$A:$J,3,FALSE),""))</f>
        <v/>
      </c>
      <c r="F892" s="40" t="str">
        <f>IF($C892="","",IFERROR(VLOOKUP($C892,Orders!$A:$J,4,FALSE),""))</f>
        <v/>
      </c>
      <c r="G892" s="40" t="str">
        <f>IF($C892="","",IFERROR(VLOOKUP($C892,Orders!$A:$J,5,FALSE),""))</f>
        <v/>
      </c>
      <c r="H892" s="40" t="str">
        <f>IF($C892="","",IFERROR(VLOOKUP($C892,Orders!$A:$J,6,FALSE),""))</f>
        <v/>
      </c>
      <c r="I892" s="40" t="str">
        <f>IF($C892="","",IFERROR(VLOOKUP($C892,Orders!$A:$J,7,FALSE),""))</f>
        <v/>
      </c>
      <c r="J892" s="40" t="str">
        <f>IF(Bids!$C892="","",Bids!$C892)</f>
        <v/>
      </c>
      <c r="K892" s="40" t="str">
        <f>IF($J892="","",IFERROR(VLOOKUP($J892,Grinders!$A:$N,2,FALSE),""))</f>
        <v/>
      </c>
      <c r="L892" s="40" t="str">
        <f>IF($J892="","",IFERROR(VLOOKUP($J892,Grinders!$A:$N,3,FALSE),""))</f>
        <v/>
      </c>
      <c r="M892" s="40" t="str">
        <f>IF($J892="","",IFERROR(VLOOKUP($J892,Grinders!$A:$N,4,FALSE),""))</f>
        <v/>
      </c>
      <c r="N892" s="40" t="str">
        <f>IF($J892="","",IFERROR(VLOOKUP($J892,Grinders!$A:$N,5,FALSE),""))</f>
        <v/>
      </c>
      <c r="O892" s="40" t="str">
        <f t="shared" si="2"/>
        <v/>
      </c>
      <c r="P892" s="40" t="str">
        <f>IF($J892="","",IFERROR(VLOOKUP($J892,Grinders!$A:$N,6,FALSE),""))</f>
        <v/>
      </c>
      <c r="Q892" s="40" t="str">
        <f>IF($J892="","",IFERROR(VLOOKUP($J892,Grinders!$A:$N,8,FALSE),""))</f>
        <v/>
      </c>
      <c r="R892" s="40" t="str">
        <f>IFERROR(IF($J892="","",IF($L892="Elite",MAX(50,MIN(100,Config!$B$27*MAX(0,MIN(100,(1-IF($O892="",0,$O892))*100)) + Config!$B$28*MAX(0,MIN(100,(1-MIN(1,IF(Config!$B$30=0,1,$P892/Config!$B$30)))*100)) + Config!$B$29*MAX(0,MIN(100,MIN(1,IF($Q892="",0,$Q892)/Config!$B$23)*100)))),MIN(100,Config!$B$27*MAX(0,MIN(100,(1-IF($O892="",0,$O892))*100)) + Config!$B$28*MAX(0,MIN(100,(1-MIN(1,IF(Config!$B$30=0,1,$P892/Config!$B$30)))*100)) + Config!$B$29*MAX(0,MIN(100,MIN(1,IF($Q892="",0,$Q892)/Config!$B$23)*100))))),"")
</f>
        <v/>
      </c>
      <c r="S892" s="40" t="str">
        <f>IF(Bids!$D892="","",Bids!$D892)</f>
        <v/>
      </c>
      <c r="T892" s="40" t="str">
        <f>IF(Bids!$F892="","",Bids!$F892)</f>
        <v/>
      </c>
      <c r="U892" s="40" t="str">
        <f t="shared" si="3"/>
        <v/>
      </c>
      <c r="V892" s="40" t="str">
        <f>IF($U892="","",IF(Config!$B$17=Config!$B$16,IF($U892&gt;=Config!$B$17,100,0),MAX(0,MIN(100,($U892-Config!$B$16)/(Config!$B$17-Config!$B$16)*100))))</f>
        <v/>
      </c>
      <c r="W892" s="40">
        <f>IF($L892="Elite",Config!$B$21,0)</f>
        <v>0</v>
      </c>
      <c r="X892" s="40" t="str">
        <f>IFERROR(IF(OR($T892="",$G892=""),"",IF($T892&gt;$G892,
  MAX(0, 60-(($T892-$G892)*24/Config!$B$19)*60),
  MEDIAN(60, 100, 60+(($G892-$T892)*24/Config!$B$20)*40)
)),"")
</f>
        <v/>
      </c>
      <c r="Y892" s="40" t="str">
        <f>IF($J892="","",IFERROR(VLOOKUP($J892,Grinders!$A:$N,10,FALSE),""))</f>
        <v/>
      </c>
      <c r="Z892" s="40" t="str">
        <f>IF($J892="","",IFERROR(VLOOKUP($J892,Grinders!$A:$N,11,FALSE),""))</f>
        <v/>
      </c>
      <c r="AA892" s="40" t="str">
        <f>IF($J892="","",IFERROR(VLOOKUP($J892,Grinders!$A:$N,12,FALSE),""))</f>
        <v/>
      </c>
      <c r="AB892" s="40">
        <f>IFERROR(IF(OR($C892="",$J892=""),0,IF($D892&lt;&gt;"Open",0,IF(COUNTIFS(GrinderServices!$B:$B,$J892,GrinderServices!$C:$C,$E892,GrinderServices!$E:$E,"Y")=0,0,IF($U892&lt;Config!$B$16,0,IF(Config!$B$18=1,IF($N892&gt;=$M892,0,1),1))))),"")</f>
        <v>0</v>
      </c>
      <c r="AC892" s="40" t="str">
        <f>IFERROR(IF($AB892=0,"",((Config!$B$6*$V892 + Config!$B$7*$R892 + Config!$B$8*$W892 + Config!$B$9*$X892 + Config!$B$10*$Y892 + Config!$B$11*$Z892 - Config!$B$12*$AA892)/Config!$B$13)+$AH892+$AI892),"")</f>
        <v/>
      </c>
      <c r="AD892" s="40" t="str">
        <f t="shared" si="4"/>
        <v/>
      </c>
      <c r="AE892" s="40" t="str">
        <f>IFERROR(__xludf.DUMMYFUNCTION("IF($AC892="""","""",IF($AC892=IFERROR(MAX(FILTER($AC$6:$AC$1000,$C$6:$C$1000=$C892,$AB$6:$AB$1000=1)),),""WINNER"",""""))"),"")</f>
        <v/>
      </c>
      <c r="AF892" s="40" t="str">
        <f t="shared" si="5"/>
        <v/>
      </c>
      <c r="AG892" s="40" t="str">
        <f>IF($J892="","",COUNTIF(Assignments!$B:$B,$J892))</f>
        <v/>
      </c>
      <c r="AH892" s="40" t="str">
        <f>IF($J892="","",IF(AND($AG892=0,$N892&lt;$M892),Config!$B$43,0))</f>
        <v/>
      </c>
      <c r="AI892" s="40" t="str">
        <f>IF($J892="","",IF(AND($L892="Elite",$F892&gt;=Config!$B$41,$N892&lt;$M892),Config!$B$42,0))</f>
        <v/>
      </c>
      <c r="AJ892" s="22"/>
    </row>
    <row r="893" ht="15.75" customHeight="1">
      <c r="A893" s="40" t="str">
        <f t="shared" si="1"/>
        <v/>
      </c>
      <c r="B893" s="40" t="str">
        <f>IF(Bids!$A893="","",Bids!$A893)</f>
        <v/>
      </c>
      <c r="C893" s="40" t="str">
        <f>IF(Bids!$B893="","",Bids!$B893)</f>
        <v/>
      </c>
      <c r="D893" s="40" t="str">
        <f>IF($C893="","",IFERROR(VLOOKUP($C893,Orders!$A:$J,9,FALSE),""))</f>
        <v/>
      </c>
      <c r="E893" s="40" t="str">
        <f>IF($C893="","",IFERROR(VLOOKUP($C893,Orders!$A:$J,3,FALSE),""))</f>
        <v/>
      </c>
      <c r="F893" s="40" t="str">
        <f>IF($C893="","",IFERROR(VLOOKUP($C893,Orders!$A:$J,4,FALSE),""))</f>
        <v/>
      </c>
      <c r="G893" s="40" t="str">
        <f>IF($C893="","",IFERROR(VLOOKUP($C893,Orders!$A:$J,5,FALSE),""))</f>
        <v/>
      </c>
      <c r="H893" s="40" t="str">
        <f>IF($C893="","",IFERROR(VLOOKUP($C893,Orders!$A:$J,6,FALSE),""))</f>
        <v/>
      </c>
      <c r="I893" s="40" t="str">
        <f>IF($C893="","",IFERROR(VLOOKUP($C893,Orders!$A:$J,7,FALSE),""))</f>
        <v/>
      </c>
      <c r="J893" s="40" t="str">
        <f>IF(Bids!$C893="","",Bids!$C893)</f>
        <v/>
      </c>
      <c r="K893" s="40" t="str">
        <f>IF($J893="","",IFERROR(VLOOKUP($J893,Grinders!$A:$N,2,FALSE),""))</f>
        <v/>
      </c>
      <c r="L893" s="40" t="str">
        <f>IF($J893="","",IFERROR(VLOOKUP($J893,Grinders!$A:$N,3,FALSE),""))</f>
        <v/>
      </c>
      <c r="M893" s="40" t="str">
        <f>IF($J893="","",IFERROR(VLOOKUP($J893,Grinders!$A:$N,4,FALSE),""))</f>
        <v/>
      </c>
      <c r="N893" s="40" t="str">
        <f>IF($J893="","",IFERROR(VLOOKUP($J893,Grinders!$A:$N,5,FALSE),""))</f>
        <v/>
      </c>
      <c r="O893" s="40" t="str">
        <f t="shared" si="2"/>
        <v/>
      </c>
      <c r="P893" s="40" t="str">
        <f>IF($J893="","",IFERROR(VLOOKUP($J893,Grinders!$A:$N,6,FALSE),""))</f>
        <v/>
      </c>
      <c r="Q893" s="40" t="str">
        <f>IF($J893="","",IFERROR(VLOOKUP($J893,Grinders!$A:$N,8,FALSE),""))</f>
        <v/>
      </c>
      <c r="R893" s="40" t="str">
        <f>IFERROR(IF($J893="","",IF($L893="Elite",MAX(50,MIN(100,Config!$B$27*MAX(0,MIN(100,(1-IF($O893="",0,$O893))*100)) + Config!$B$28*MAX(0,MIN(100,(1-MIN(1,IF(Config!$B$30=0,1,$P893/Config!$B$30)))*100)) + Config!$B$29*MAX(0,MIN(100,MIN(1,IF($Q893="",0,$Q893)/Config!$B$23)*100)))),MIN(100,Config!$B$27*MAX(0,MIN(100,(1-IF($O893="",0,$O893))*100)) + Config!$B$28*MAX(0,MIN(100,(1-MIN(1,IF(Config!$B$30=0,1,$P893/Config!$B$30)))*100)) + Config!$B$29*MAX(0,MIN(100,MIN(1,IF($Q893="",0,$Q893)/Config!$B$23)*100))))),"")
</f>
        <v/>
      </c>
      <c r="S893" s="40" t="str">
        <f>IF(Bids!$D893="","",Bids!$D893)</f>
        <v/>
      </c>
      <c r="T893" s="40" t="str">
        <f>IF(Bids!$F893="","",Bids!$F893)</f>
        <v/>
      </c>
      <c r="U893" s="40" t="str">
        <f t="shared" si="3"/>
        <v/>
      </c>
      <c r="V893" s="40" t="str">
        <f>IF($U893="","",IF(Config!$B$17=Config!$B$16,IF($U893&gt;=Config!$B$17,100,0),MAX(0,MIN(100,($U893-Config!$B$16)/(Config!$B$17-Config!$B$16)*100))))</f>
        <v/>
      </c>
      <c r="W893" s="40">
        <f>IF($L893="Elite",Config!$B$21,0)</f>
        <v>0</v>
      </c>
      <c r="X893" s="40" t="str">
        <f>IFERROR(IF(OR($T893="",$G893=""),"",IF($T893&gt;$G893,
  MAX(0, 60-(($T893-$G893)*24/Config!$B$19)*60),
  MEDIAN(60, 100, 60+(($G893-$T893)*24/Config!$B$20)*40)
)),"")
</f>
        <v/>
      </c>
      <c r="Y893" s="40" t="str">
        <f>IF($J893="","",IFERROR(VLOOKUP($J893,Grinders!$A:$N,10,FALSE),""))</f>
        <v/>
      </c>
      <c r="Z893" s="40" t="str">
        <f>IF($J893="","",IFERROR(VLOOKUP($J893,Grinders!$A:$N,11,FALSE),""))</f>
        <v/>
      </c>
      <c r="AA893" s="40" t="str">
        <f>IF($J893="","",IFERROR(VLOOKUP($J893,Grinders!$A:$N,12,FALSE),""))</f>
        <v/>
      </c>
      <c r="AB893" s="40">
        <f>IFERROR(IF(OR($C893="",$J893=""),0,IF($D893&lt;&gt;"Open",0,IF(COUNTIFS(GrinderServices!$B:$B,$J893,GrinderServices!$C:$C,$E893,GrinderServices!$E:$E,"Y")=0,0,IF($U893&lt;Config!$B$16,0,IF(Config!$B$18=1,IF($N893&gt;=$M893,0,1),1))))),"")</f>
        <v>0</v>
      </c>
      <c r="AC893" s="40" t="str">
        <f>IFERROR(IF($AB893=0,"",((Config!$B$6*$V893 + Config!$B$7*$R893 + Config!$B$8*$W893 + Config!$B$9*$X893 + Config!$B$10*$Y893 + Config!$B$11*$Z893 - Config!$B$12*$AA893)/Config!$B$13)+$AH893+$AI893),"")</f>
        <v/>
      </c>
      <c r="AD893" s="40" t="str">
        <f t="shared" si="4"/>
        <v/>
      </c>
      <c r="AE893" s="40" t="str">
        <f>IFERROR(__xludf.DUMMYFUNCTION("IF($AC893="""","""",IF($AC893=IFERROR(MAX(FILTER($AC$6:$AC$1000,$C$6:$C$1000=$C893,$AB$6:$AB$1000=1)),),""WINNER"",""""))"),"")</f>
        <v/>
      </c>
      <c r="AF893" s="40" t="str">
        <f t="shared" si="5"/>
        <v/>
      </c>
      <c r="AG893" s="40" t="str">
        <f>IF($J893="","",COUNTIF(Assignments!$B:$B,$J893))</f>
        <v/>
      </c>
      <c r="AH893" s="40" t="str">
        <f>IF($J893="","",IF(AND($AG893=0,$N893&lt;$M893),Config!$B$43,0))</f>
        <v/>
      </c>
      <c r="AI893" s="40" t="str">
        <f>IF($J893="","",IF(AND($L893="Elite",$F893&gt;=Config!$B$41,$N893&lt;$M893),Config!$B$42,0))</f>
        <v/>
      </c>
      <c r="AJ893" s="22"/>
    </row>
    <row r="894" ht="15.75" customHeight="1">
      <c r="A894" s="40" t="str">
        <f t="shared" si="1"/>
        <v/>
      </c>
      <c r="B894" s="40" t="str">
        <f>IF(Bids!$A894="","",Bids!$A894)</f>
        <v/>
      </c>
      <c r="C894" s="40" t="str">
        <f>IF(Bids!$B894="","",Bids!$B894)</f>
        <v/>
      </c>
      <c r="D894" s="40" t="str">
        <f>IF($C894="","",IFERROR(VLOOKUP($C894,Orders!$A:$J,9,FALSE),""))</f>
        <v/>
      </c>
      <c r="E894" s="40" t="str">
        <f>IF($C894="","",IFERROR(VLOOKUP($C894,Orders!$A:$J,3,FALSE),""))</f>
        <v/>
      </c>
      <c r="F894" s="40" t="str">
        <f>IF($C894="","",IFERROR(VLOOKUP($C894,Orders!$A:$J,4,FALSE),""))</f>
        <v/>
      </c>
      <c r="G894" s="40" t="str">
        <f>IF($C894="","",IFERROR(VLOOKUP($C894,Orders!$A:$J,5,FALSE),""))</f>
        <v/>
      </c>
      <c r="H894" s="40" t="str">
        <f>IF($C894="","",IFERROR(VLOOKUP($C894,Orders!$A:$J,6,FALSE),""))</f>
        <v/>
      </c>
      <c r="I894" s="40" t="str">
        <f>IF($C894="","",IFERROR(VLOOKUP($C894,Orders!$A:$J,7,FALSE),""))</f>
        <v/>
      </c>
      <c r="J894" s="40" t="str">
        <f>IF(Bids!$C894="","",Bids!$C894)</f>
        <v/>
      </c>
      <c r="K894" s="40" t="str">
        <f>IF($J894="","",IFERROR(VLOOKUP($J894,Grinders!$A:$N,2,FALSE),""))</f>
        <v/>
      </c>
      <c r="L894" s="40" t="str">
        <f>IF($J894="","",IFERROR(VLOOKUP($J894,Grinders!$A:$N,3,FALSE),""))</f>
        <v/>
      </c>
      <c r="M894" s="40" t="str">
        <f>IF($J894="","",IFERROR(VLOOKUP($J894,Grinders!$A:$N,4,FALSE),""))</f>
        <v/>
      </c>
      <c r="N894" s="40" t="str">
        <f>IF($J894="","",IFERROR(VLOOKUP($J894,Grinders!$A:$N,5,FALSE),""))</f>
        <v/>
      </c>
      <c r="O894" s="40" t="str">
        <f t="shared" si="2"/>
        <v/>
      </c>
      <c r="P894" s="40" t="str">
        <f>IF($J894="","",IFERROR(VLOOKUP($J894,Grinders!$A:$N,6,FALSE),""))</f>
        <v/>
      </c>
      <c r="Q894" s="40" t="str">
        <f>IF($J894="","",IFERROR(VLOOKUP($J894,Grinders!$A:$N,8,FALSE),""))</f>
        <v/>
      </c>
      <c r="R894" s="40" t="str">
        <f>IFERROR(IF($J894="","",IF($L894="Elite",MAX(50,MIN(100,Config!$B$27*MAX(0,MIN(100,(1-IF($O894="",0,$O894))*100)) + Config!$B$28*MAX(0,MIN(100,(1-MIN(1,IF(Config!$B$30=0,1,$P894/Config!$B$30)))*100)) + Config!$B$29*MAX(0,MIN(100,MIN(1,IF($Q894="",0,$Q894)/Config!$B$23)*100)))),MIN(100,Config!$B$27*MAX(0,MIN(100,(1-IF($O894="",0,$O894))*100)) + Config!$B$28*MAX(0,MIN(100,(1-MIN(1,IF(Config!$B$30=0,1,$P894/Config!$B$30)))*100)) + Config!$B$29*MAX(0,MIN(100,MIN(1,IF($Q894="",0,$Q894)/Config!$B$23)*100))))),"")
</f>
        <v/>
      </c>
      <c r="S894" s="40" t="str">
        <f>IF(Bids!$D894="","",Bids!$D894)</f>
        <v/>
      </c>
      <c r="T894" s="40" t="str">
        <f>IF(Bids!$F894="","",Bids!$F894)</f>
        <v/>
      </c>
      <c r="U894" s="40" t="str">
        <f t="shared" si="3"/>
        <v/>
      </c>
      <c r="V894" s="40" t="str">
        <f>IF($U894="","",IF(Config!$B$17=Config!$B$16,IF($U894&gt;=Config!$B$17,100,0),MAX(0,MIN(100,($U894-Config!$B$16)/(Config!$B$17-Config!$B$16)*100))))</f>
        <v/>
      </c>
      <c r="W894" s="40">
        <f>IF($L894="Elite",Config!$B$21,0)</f>
        <v>0</v>
      </c>
      <c r="X894" s="40" t="str">
        <f>IFERROR(IF(OR($T894="",$G894=""),"",IF($T894&gt;$G894,
  MAX(0, 60-(($T894-$G894)*24/Config!$B$19)*60),
  MEDIAN(60, 100, 60+(($G894-$T894)*24/Config!$B$20)*40)
)),"")
</f>
        <v/>
      </c>
      <c r="Y894" s="40" t="str">
        <f>IF($J894="","",IFERROR(VLOOKUP($J894,Grinders!$A:$N,10,FALSE),""))</f>
        <v/>
      </c>
      <c r="Z894" s="40" t="str">
        <f>IF($J894="","",IFERROR(VLOOKUP($J894,Grinders!$A:$N,11,FALSE),""))</f>
        <v/>
      </c>
      <c r="AA894" s="40" t="str">
        <f>IF($J894="","",IFERROR(VLOOKUP($J894,Grinders!$A:$N,12,FALSE),""))</f>
        <v/>
      </c>
      <c r="AB894" s="40">
        <f>IFERROR(IF(OR($C894="",$J894=""),0,IF($D894&lt;&gt;"Open",0,IF(COUNTIFS(GrinderServices!$B:$B,$J894,GrinderServices!$C:$C,$E894,GrinderServices!$E:$E,"Y")=0,0,IF($U894&lt;Config!$B$16,0,IF(Config!$B$18=1,IF($N894&gt;=$M894,0,1),1))))),"")</f>
        <v>0</v>
      </c>
      <c r="AC894" s="40" t="str">
        <f>IFERROR(IF($AB894=0,"",((Config!$B$6*$V894 + Config!$B$7*$R894 + Config!$B$8*$W894 + Config!$B$9*$X894 + Config!$B$10*$Y894 + Config!$B$11*$Z894 - Config!$B$12*$AA894)/Config!$B$13)+$AH894+$AI894),"")</f>
        <v/>
      </c>
      <c r="AD894" s="40" t="str">
        <f t="shared" si="4"/>
        <v/>
      </c>
      <c r="AE894" s="40" t="str">
        <f>IFERROR(__xludf.DUMMYFUNCTION("IF($AC894="""","""",IF($AC894=IFERROR(MAX(FILTER($AC$6:$AC$1000,$C$6:$C$1000=$C894,$AB$6:$AB$1000=1)),),""WINNER"",""""))"),"")</f>
        <v/>
      </c>
      <c r="AF894" s="40" t="str">
        <f t="shared" si="5"/>
        <v/>
      </c>
      <c r="AG894" s="40" t="str">
        <f>IF($J894="","",COUNTIF(Assignments!$B:$B,$J894))</f>
        <v/>
      </c>
      <c r="AH894" s="40" t="str">
        <f>IF($J894="","",IF(AND($AG894=0,$N894&lt;$M894),Config!$B$43,0))</f>
        <v/>
      </c>
      <c r="AI894" s="40" t="str">
        <f>IF($J894="","",IF(AND($L894="Elite",$F894&gt;=Config!$B$41,$N894&lt;$M894),Config!$B$42,0))</f>
        <v/>
      </c>
      <c r="AJ894" s="22"/>
    </row>
    <row r="895" ht="15.75" customHeight="1">
      <c r="A895" s="40" t="str">
        <f t="shared" si="1"/>
        <v/>
      </c>
      <c r="B895" s="40" t="str">
        <f>IF(Bids!$A895="","",Bids!$A895)</f>
        <v/>
      </c>
      <c r="C895" s="40" t="str">
        <f>IF(Bids!$B895="","",Bids!$B895)</f>
        <v/>
      </c>
      <c r="D895" s="40" t="str">
        <f>IF($C895="","",IFERROR(VLOOKUP($C895,Orders!$A:$J,9,FALSE),""))</f>
        <v/>
      </c>
      <c r="E895" s="40" t="str">
        <f>IF($C895="","",IFERROR(VLOOKUP($C895,Orders!$A:$J,3,FALSE),""))</f>
        <v/>
      </c>
      <c r="F895" s="40" t="str">
        <f>IF($C895="","",IFERROR(VLOOKUP($C895,Orders!$A:$J,4,FALSE),""))</f>
        <v/>
      </c>
      <c r="G895" s="40" t="str">
        <f>IF($C895="","",IFERROR(VLOOKUP($C895,Orders!$A:$J,5,FALSE),""))</f>
        <v/>
      </c>
      <c r="H895" s="40" t="str">
        <f>IF($C895="","",IFERROR(VLOOKUP($C895,Orders!$A:$J,6,FALSE),""))</f>
        <v/>
      </c>
      <c r="I895" s="40" t="str">
        <f>IF($C895="","",IFERROR(VLOOKUP($C895,Orders!$A:$J,7,FALSE),""))</f>
        <v/>
      </c>
      <c r="J895" s="40" t="str">
        <f>IF(Bids!$C895="","",Bids!$C895)</f>
        <v/>
      </c>
      <c r="K895" s="40" t="str">
        <f>IF($J895="","",IFERROR(VLOOKUP($J895,Grinders!$A:$N,2,FALSE),""))</f>
        <v/>
      </c>
      <c r="L895" s="40" t="str">
        <f>IF($J895="","",IFERROR(VLOOKUP($J895,Grinders!$A:$N,3,FALSE),""))</f>
        <v/>
      </c>
      <c r="M895" s="40" t="str">
        <f>IF($J895="","",IFERROR(VLOOKUP($J895,Grinders!$A:$N,4,FALSE),""))</f>
        <v/>
      </c>
      <c r="N895" s="40" t="str">
        <f>IF($J895="","",IFERROR(VLOOKUP($J895,Grinders!$A:$N,5,FALSE),""))</f>
        <v/>
      </c>
      <c r="O895" s="40" t="str">
        <f t="shared" si="2"/>
        <v/>
      </c>
      <c r="P895" s="40" t="str">
        <f>IF($J895="","",IFERROR(VLOOKUP($J895,Grinders!$A:$N,6,FALSE),""))</f>
        <v/>
      </c>
      <c r="Q895" s="40" t="str">
        <f>IF($J895="","",IFERROR(VLOOKUP($J895,Grinders!$A:$N,8,FALSE),""))</f>
        <v/>
      </c>
      <c r="R895" s="40" t="str">
        <f>IFERROR(IF($J895="","",IF($L895="Elite",MAX(50,MIN(100,Config!$B$27*MAX(0,MIN(100,(1-IF($O895="",0,$O895))*100)) + Config!$B$28*MAX(0,MIN(100,(1-MIN(1,IF(Config!$B$30=0,1,$P895/Config!$B$30)))*100)) + Config!$B$29*MAX(0,MIN(100,MIN(1,IF($Q895="",0,$Q895)/Config!$B$23)*100)))),MIN(100,Config!$B$27*MAX(0,MIN(100,(1-IF($O895="",0,$O895))*100)) + Config!$B$28*MAX(0,MIN(100,(1-MIN(1,IF(Config!$B$30=0,1,$P895/Config!$B$30)))*100)) + Config!$B$29*MAX(0,MIN(100,MIN(1,IF($Q895="",0,$Q895)/Config!$B$23)*100))))),"")
</f>
        <v/>
      </c>
      <c r="S895" s="40" t="str">
        <f>IF(Bids!$D895="","",Bids!$D895)</f>
        <v/>
      </c>
      <c r="T895" s="40" t="str">
        <f>IF(Bids!$F895="","",Bids!$F895)</f>
        <v/>
      </c>
      <c r="U895" s="40" t="str">
        <f t="shared" si="3"/>
        <v/>
      </c>
      <c r="V895" s="40" t="str">
        <f>IF($U895="","",IF(Config!$B$17=Config!$B$16,IF($U895&gt;=Config!$B$17,100,0),MAX(0,MIN(100,($U895-Config!$B$16)/(Config!$B$17-Config!$B$16)*100))))</f>
        <v/>
      </c>
      <c r="W895" s="40">
        <f>IF($L895="Elite",Config!$B$21,0)</f>
        <v>0</v>
      </c>
      <c r="X895" s="40" t="str">
        <f>IFERROR(IF(OR($T895="",$G895=""),"",IF($T895&gt;$G895,
  MAX(0, 60-(($T895-$G895)*24/Config!$B$19)*60),
  MEDIAN(60, 100, 60+(($G895-$T895)*24/Config!$B$20)*40)
)),"")
</f>
        <v/>
      </c>
      <c r="Y895" s="40" t="str">
        <f>IF($J895="","",IFERROR(VLOOKUP($J895,Grinders!$A:$N,10,FALSE),""))</f>
        <v/>
      </c>
      <c r="Z895" s="40" t="str">
        <f>IF($J895="","",IFERROR(VLOOKUP($J895,Grinders!$A:$N,11,FALSE),""))</f>
        <v/>
      </c>
      <c r="AA895" s="40" t="str">
        <f>IF($J895="","",IFERROR(VLOOKUP($J895,Grinders!$A:$N,12,FALSE),""))</f>
        <v/>
      </c>
      <c r="AB895" s="40">
        <f>IFERROR(IF(OR($C895="",$J895=""),0,IF($D895&lt;&gt;"Open",0,IF(COUNTIFS(GrinderServices!$B:$B,$J895,GrinderServices!$C:$C,$E895,GrinderServices!$E:$E,"Y")=0,0,IF($U895&lt;Config!$B$16,0,IF(Config!$B$18=1,IF($N895&gt;=$M895,0,1),1))))),"")</f>
        <v>0</v>
      </c>
      <c r="AC895" s="40" t="str">
        <f>IFERROR(IF($AB895=0,"",((Config!$B$6*$V895 + Config!$B$7*$R895 + Config!$B$8*$W895 + Config!$B$9*$X895 + Config!$B$10*$Y895 + Config!$B$11*$Z895 - Config!$B$12*$AA895)/Config!$B$13)+$AH895+$AI895),"")</f>
        <v/>
      </c>
      <c r="AD895" s="40" t="str">
        <f t="shared" si="4"/>
        <v/>
      </c>
      <c r="AE895" s="40" t="str">
        <f>IFERROR(__xludf.DUMMYFUNCTION("IF($AC895="""","""",IF($AC895=IFERROR(MAX(FILTER($AC$6:$AC$1000,$C$6:$C$1000=$C895,$AB$6:$AB$1000=1)),),""WINNER"",""""))"),"")</f>
        <v/>
      </c>
      <c r="AF895" s="40" t="str">
        <f t="shared" si="5"/>
        <v/>
      </c>
      <c r="AG895" s="40" t="str">
        <f>IF($J895="","",COUNTIF(Assignments!$B:$B,$J895))</f>
        <v/>
      </c>
      <c r="AH895" s="40" t="str">
        <f>IF($J895="","",IF(AND($AG895=0,$N895&lt;$M895),Config!$B$43,0))</f>
        <v/>
      </c>
      <c r="AI895" s="40" t="str">
        <f>IF($J895="","",IF(AND($L895="Elite",$F895&gt;=Config!$B$41,$N895&lt;$M895),Config!$B$42,0))</f>
        <v/>
      </c>
      <c r="AJ895" s="22"/>
    </row>
    <row r="896" ht="15.75" customHeight="1">
      <c r="A896" s="40" t="str">
        <f t="shared" si="1"/>
        <v/>
      </c>
      <c r="B896" s="40" t="str">
        <f>IF(Bids!$A896="","",Bids!$A896)</f>
        <v/>
      </c>
      <c r="C896" s="40" t="str">
        <f>IF(Bids!$B896="","",Bids!$B896)</f>
        <v/>
      </c>
      <c r="D896" s="40" t="str">
        <f>IF($C896="","",IFERROR(VLOOKUP($C896,Orders!$A:$J,9,FALSE),""))</f>
        <v/>
      </c>
      <c r="E896" s="40" t="str">
        <f>IF($C896="","",IFERROR(VLOOKUP($C896,Orders!$A:$J,3,FALSE),""))</f>
        <v/>
      </c>
      <c r="F896" s="40" t="str">
        <f>IF($C896="","",IFERROR(VLOOKUP($C896,Orders!$A:$J,4,FALSE),""))</f>
        <v/>
      </c>
      <c r="G896" s="40" t="str">
        <f>IF($C896="","",IFERROR(VLOOKUP($C896,Orders!$A:$J,5,FALSE),""))</f>
        <v/>
      </c>
      <c r="H896" s="40" t="str">
        <f>IF($C896="","",IFERROR(VLOOKUP($C896,Orders!$A:$J,6,FALSE),""))</f>
        <v/>
      </c>
      <c r="I896" s="40" t="str">
        <f>IF($C896="","",IFERROR(VLOOKUP($C896,Orders!$A:$J,7,FALSE),""))</f>
        <v/>
      </c>
      <c r="J896" s="40" t="str">
        <f>IF(Bids!$C896="","",Bids!$C896)</f>
        <v/>
      </c>
      <c r="K896" s="40" t="str">
        <f>IF($J896="","",IFERROR(VLOOKUP($J896,Grinders!$A:$N,2,FALSE),""))</f>
        <v/>
      </c>
      <c r="L896" s="40" t="str">
        <f>IF($J896="","",IFERROR(VLOOKUP($J896,Grinders!$A:$N,3,FALSE),""))</f>
        <v/>
      </c>
      <c r="M896" s="40" t="str">
        <f>IF($J896="","",IFERROR(VLOOKUP($J896,Grinders!$A:$N,4,FALSE),""))</f>
        <v/>
      </c>
      <c r="N896" s="40" t="str">
        <f>IF($J896="","",IFERROR(VLOOKUP($J896,Grinders!$A:$N,5,FALSE),""))</f>
        <v/>
      </c>
      <c r="O896" s="40" t="str">
        <f t="shared" si="2"/>
        <v/>
      </c>
      <c r="P896" s="40" t="str">
        <f>IF($J896="","",IFERROR(VLOOKUP($J896,Grinders!$A:$N,6,FALSE),""))</f>
        <v/>
      </c>
      <c r="Q896" s="40" t="str">
        <f>IF($J896="","",IFERROR(VLOOKUP($J896,Grinders!$A:$N,8,FALSE),""))</f>
        <v/>
      </c>
      <c r="R896" s="40" t="str">
        <f>IFERROR(IF($J896="","",IF($L896="Elite",MAX(50,MIN(100,Config!$B$27*MAX(0,MIN(100,(1-IF($O896="",0,$O896))*100)) + Config!$B$28*MAX(0,MIN(100,(1-MIN(1,IF(Config!$B$30=0,1,$P896/Config!$B$30)))*100)) + Config!$B$29*MAX(0,MIN(100,MIN(1,IF($Q896="",0,$Q896)/Config!$B$23)*100)))),MIN(100,Config!$B$27*MAX(0,MIN(100,(1-IF($O896="",0,$O896))*100)) + Config!$B$28*MAX(0,MIN(100,(1-MIN(1,IF(Config!$B$30=0,1,$P896/Config!$B$30)))*100)) + Config!$B$29*MAX(0,MIN(100,MIN(1,IF($Q896="",0,$Q896)/Config!$B$23)*100))))),"")
</f>
        <v/>
      </c>
      <c r="S896" s="40" t="str">
        <f>IF(Bids!$D896="","",Bids!$D896)</f>
        <v/>
      </c>
      <c r="T896" s="40" t="str">
        <f>IF(Bids!$F896="","",Bids!$F896)</f>
        <v/>
      </c>
      <c r="U896" s="40" t="str">
        <f t="shared" si="3"/>
        <v/>
      </c>
      <c r="V896" s="40" t="str">
        <f>IF($U896="","",IF(Config!$B$17=Config!$B$16,IF($U896&gt;=Config!$B$17,100,0),MAX(0,MIN(100,($U896-Config!$B$16)/(Config!$B$17-Config!$B$16)*100))))</f>
        <v/>
      </c>
      <c r="W896" s="40">
        <f>IF($L896="Elite",Config!$B$21,0)</f>
        <v>0</v>
      </c>
      <c r="X896" s="40" t="str">
        <f>IFERROR(IF(OR($T896="",$G896=""),"",IF($T896&gt;$G896,
  MAX(0, 60-(($T896-$G896)*24/Config!$B$19)*60),
  MEDIAN(60, 100, 60+(($G896-$T896)*24/Config!$B$20)*40)
)),"")
</f>
        <v/>
      </c>
      <c r="Y896" s="40" t="str">
        <f>IF($J896="","",IFERROR(VLOOKUP($J896,Grinders!$A:$N,10,FALSE),""))</f>
        <v/>
      </c>
      <c r="Z896" s="40" t="str">
        <f>IF($J896="","",IFERROR(VLOOKUP($J896,Grinders!$A:$N,11,FALSE),""))</f>
        <v/>
      </c>
      <c r="AA896" s="40" t="str">
        <f>IF($J896="","",IFERROR(VLOOKUP($J896,Grinders!$A:$N,12,FALSE),""))</f>
        <v/>
      </c>
      <c r="AB896" s="40">
        <f>IFERROR(IF(OR($C896="",$J896=""),0,IF($D896&lt;&gt;"Open",0,IF(COUNTIFS(GrinderServices!$B:$B,$J896,GrinderServices!$C:$C,$E896,GrinderServices!$E:$E,"Y")=0,0,IF($U896&lt;Config!$B$16,0,IF(Config!$B$18=1,IF($N896&gt;=$M896,0,1),1))))),"")</f>
        <v>0</v>
      </c>
      <c r="AC896" s="40" t="str">
        <f>IFERROR(IF($AB896=0,"",((Config!$B$6*$V896 + Config!$B$7*$R896 + Config!$B$8*$W896 + Config!$B$9*$X896 + Config!$B$10*$Y896 + Config!$B$11*$Z896 - Config!$B$12*$AA896)/Config!$B$13)+$AH896+$AI896),"")</f>
        <v/>
      </c>
      <c r="AD896" s="40" t="str">
        <f t="shared" si="4"/>
        <v/>
      </c>
      <c r="AE896" s="40" t="str">
        <f>IFERROR(__xludf.DUMMYFUNCTION("IF($AC896="""","""",IF($AC896=IFERROR(MAX(FILTER($AC$6:$AC$1000,$C$6:$C$1000=$C896,$AB$6:$AB$1000=1)),),""WINNER"",""""))"),"")</f>
        <v/>
      </c>
      <c r="AF896" s="40" t="str">
        <f t="shared" si="5"/>
        <v/>
      </c>
      <c r="AG896" s="40" t="str">
        <f>IF($J896="","",COUNTIF(Assignments!$B:$B,$J896))</f>
        <v/>
      </c>
      <c r="AH896" s="40" t="str">
        <f>IF($J896="","",IF(AND($AG896=0,$N896&lt;$M896),Config!$B$43,0))</f>
        <v/>
      </c>
      <c r="AI896" s="40" t="str">
        <f>IF($J896="","",IF(AND($L896="Elite",$F896&gt;=Config!$B$41,$N896&lt;$M896),Config!$B$42,0))</f>
        <v/>
      </c>
      <c r="AJ896" s="22"/>
    </row>
    <row r="897" ht="15.75" customHeight="1">
      <c r="A897" s="40" t="str">
        <f t="shared" si="1"/>
        <v/>
      </c>
      <c r="B897" s="40" t="str">
        <f>IF(Bids!$A897="","",Bids!$A897)</f>
        <v/>
      </c>
      <c r="C897" s="40" t="str">
        <f>IF(Bids!$B897="","",Bids!$B897)</f>
        <v/>
      </c>
      <c r="D897" s="40" t="str">
        <f>IF($C897="","",IFERROR(VLOOKUP($C897,Orders!$A:$J,9,FALSE),""))</f>
        <v/>
      </c>
      <c r="E897" s="40" t="str">
        <f>IF($C897="","",IFERROR(VLOOKUP($C897,Orders!$A:$J,3,FALSE),""))</f>
        <v/>
      </c>
      <c r="F897" s="40" t="str">
        <f>IF($C897="","",IFERROR(VLOOKUP($C897,Orders!$A:$J,4,FALSE),""))</f>
        <v/>
      </c>
      <c r="G897" s="40" t="str">
        <f>IF($C897="","",IFERROR(VLOOKUP($C897,Orders!$A:$J,5,FALSE),""))</f>
        <v/>
      </c>
      <c r="H897" s="40" t="str">
        <f>IF($C897="","",IFERROR(VLOOKUP($C897,Orders!$A:$J,6,FALSE),""))</f>
        <v/>
      </c>
      <c r="I897" s="40" t="str">
        <f>IF($C897="","",IFERROR(VLOOKUP($C897,Orders!$A:$J,7,FALSE),""))</f>
        <v/>
      </c>
      <c r="J897" s="40" t="str">
        <f>IF(Bids!$C897="","",Bids!$C897)</f>
        <v/>
      </c>
      <c r="K897" s="40" t="str">
        <f>IF($J897="","",IFERROR(VLOOKUP($J897,Grinders!$A:$N,2,FALSE),""))</f>
        <v/>
      </c>
      <c r="L897" s="40" t="str">
        <f>IF($J897="","",IFERROR(VLOOKUP($J897,Grinders!$A:$N,3,FALSE),""))</f>
        <v/>
      </c>
      <c r="M897" s="40" t="str">
        <f>IF($J897="","",IFERROR(VLOOKUP($J897,Grinders!$A:$N,4,FALSE),""))</f>
        <v/>
      </c>
      <c r="N897" s="40" t="str">
        <f>IF($J897="","",IFERROR(VLOOKUP($J897,Grinders!$A:$N,5,FALSE),""))</f>
        <v/>
      </c>
      <c r="O897" s="40" t="str">
        <f t="shared" si="2"/>
        <v/>
      </c>
      <c r="P897" s="40" t="str">
        <f>IF($J897="","",IFERROR(VLOOKUP($J897,Grinders!$A:$N,6,FALSE),""))</f>
        <v/>
      </c>
      <c r="Q897" s="40" t="str">
        <f>IF($J897="","",IFERROR(VLOOKUP($J897,Grinders!$A:$N,8,FALSE),""))</f>
        <v/>
      </c>
      <c r="R897" s="40" t="str">
        <f>IFERROR(IF($J897="","",IF($L897="Elite",MAX(50,MIN(100,Config!$B$27*MAX(0,MIN(100,(1-IF($O897="",0,$O897))*100)) + Config!$B$28*MAX(0,MIN(100,(1-MIN(1,IF(Config!$B$30=0,1,$P897/Config!$B$30)))*100)) + Config!$B$29*MAX(0,MIN(100,MIN(1,IF($Q897="",0,$Q897)/Config!$B$23)*100)))),MIN(100,Config!$B$27*MAX(0,MIN(100,(1-IF($O897="",0,$O897))*100)) + Config!$B$28*MAX(0,MIN(100,(1-MIN(1,IF(Config!$B$30=0,1,$P897/Config!$B$30)))*100)) + Config!$B$29*MAX(0,MIN(100,MIN(1,IF($Q897="",0,$Q897)/Config!$B$23)*100))))),"")
</f>
        <v/>
      </c>
      <c r="S897" s="40" t="str">
        <f>IF(Bids!$D897="","",Bids!$D897)</f>
        <v/>
      </c>
      <c r="T897" s="40" t="str">
        <f>IF(Bids!$F897="","",Bids!$F897)</f>
        <v/>
      </c>
      <c r="U897" s="40" t="str">
        <f t="shared" si="3"/>
        <v/>
      </c>
      <c r="V897" s="40" t="str">
        <f>IF($U897="","",IF(Config!$B$17=Config!$B$16,IF($U897&gt;=Config!$B$17,100,0),MAX(0,MIN(100,($U897-Config!$B$16)/(Config!$B$17-Config!$B$16)*100))))</f>
        <v/>
      </c>
      <c r="W897" s="40">
        <f>IF($L897="Elite",Config!$B$21,0)</f>
        <v>0</v>
      </c>
      <c r="X897" s="40" t="str">
        <f>IFERROR(IF(OR($T897="",$G897=""),"",IF($T897&gt;$G897,
  MAX(0, 60-(($T897-$G897)*24/Config!$B$19)*60),
  MEDIAN(60, 100, 60+(($G897-$T897)*24/Config!$B$20)*40)
)),"")
</f>
        <v/>
      </c>
      <c r="Y897" s="40" t="str">
        <f>IF($J897="","",IFERROR(VLOOKUP($J897,Grinders!$A:$N,10,FALSE),""))</f>
        <v/>
      </c>
      <c r="Z897" s="40" t="str">
        <f>IF($J897="","",IFERROR(VLOOKUP($J897,Grinders!$A:$N,11,FALSE),""))</f>
        <v/>
      </c>
      <c r="AA897" s="40" t="str">
        <f>IF($J897="","",IFERROR(VLOOKUP($J897,Grinders!$A:$N,12,FALSE),""))</f>
        <v/>
      </c>
      <c r="AB897" s="40">
        <f>IFERROR(IF(OR($C897="",$J897=""),0,IF($D897&lt;&gt;"Open",0,IF(COUNTIFS(GrinderServices!$B:$B,$J897,GrinderServices!$C:$C,$E897,GrinderServices!$E:$E,"Y")=0,0,IF($U897&lt;Config!$B$16,0,IF(Config!$B$18=1,IF($N897&gt;=$M897,0,1),1))))),"")</f>
        <v>0</v>
      </c>
      <c r="AC897" s="40" t="str">
        <f>IFERROR(IF($AB897=0,"",((Config!$B$6*$V897 + Config!$B$7*$R897 + Config!$B$8*$W897 + Config!$B$9*$X897 + Config!$B$10*$Y897 + Config!$B$11*$Z897 - Config!$B$12*$AA897)/Config!$B$13)+$AH897+$AI897),"")</f>
        <v/>
      </c>
      <c r="AD897" s="40" t="str">
        <f t="shared" si="4"/>
        <v/>
      </c>
      <c r="AE897" s="40" t="str">
        <f>IFERROR(__xludf.DUMMYFUNCTION("IF($AC897="""","""",IF($AC897=IFERROR(MAX(FILTER($AC$6:$AC$1000,$C$6:$C$1000=$C897,$AB$6:$AB$1000=1)),),""WINNER"",""""))"),"")</f>
        <v/>
      </c>
      <c r="AF897" s="40" t="str">
        <f t="shared" si="5"/>
        <v/>
      </c>
      <c r="AG897" s="40" t="str">
        <f>IF($J897="","",COUNTIF(Assignments!$B:$B,$J897))</f>
        <v/>
      </c>
      <c r="AH897" s="40" t="str">
        <f>IF($J897="","",IF(AND($AG897=0,$N897&lt;$M897),Config!$B$43,0))</f>
        <v/>
      </c>
      <c r="AI897" s="40" t="str">
        <f>IF($J897="","",IF(AND($L897="Elite",$F897&gt;=Config!$B$41,$N897&lt;$M897),Config!$B$42,0))</f>
        <v/>
      </c>
      <c r="AJ897" s="22"/>
    </row>
    <row r="898" ht="15.75" customHeight="1">
      <c r="A898" s="40" t="str">
        <f t="shared" si="1"/>
        <v/>
      </c>
      <c r="B898" s="40" t="str">
        <f>IF(Bids!$A898="","",Bids!$A898)</f>
        <v/>
      </c>
      <c r="C898" s="40" t="str">
        <f>IF(Bids!$B898="","",Bids!$B898)</f>
        <v/>
      </c>
      <c r="D898" s="40" t="str">
        <f>IF($C898="","",IFERROR(VLOOKUP($C898,Orders!$A:$J,9,FALSE),""))</f>
        <v/>
      </c>
      <c r="E898" s="40" t="str">
        <f>IF($C898="","",IFERROR(VLOOKUP($C898,Orders!$A:$J,3,FALSE),""))</f>
        <v/>
      </c>
      <c r="F898" s="40" t="str">
        <f>IF($C898="","",IFERROR(VLOOKUP($C898,Orders!$A:$J,4,FALSE),""))</f>
        <v/>
      </c>
      <c r="G898" s="40" t="str">
        <f>IF($C898="","",IFERROR(VLOOKUP($C898,Orders!$A:$J,5,FALSE),""))</f>
        <v/>
      </c>
      <c r="H898" s="40" t="str">
        <f>IF($C898="","",IFERROR(VLOOKUP($C898,Orders!$A:$J,6,FALSE),""))</f>
        <v/>
      </c>
      <c r="I898" s="40" t="str">
        <f>IF($C898="","",IFERROR(VLOOKUP($C898,Orders!$A:$J,7,FALSE),""))</f>
        <v/>
      </c>
      <c r="J898" s="40" t="str">
        <f>IF(Bids!$C898="","",Bids!$C898)</f>
        <v/>
      </c>
      <c r="K898" s="40" t="str">
        <f>IF($J898="","",IFERROR(VLOOKUP($J898,Grinders!$A:$N,2,FALSE),""))</f>
        <v/>
      </c>
      <c r="L898" s="40" t="str">
        <f>IF($J898="","",IFERROR(VLOOKUP($J898,Grinders!$A:$N,3,FALSE),""))</f>
        <v/>
      </c>
      <c r="M898" s="40" t="str">
        <f>IF($J898="","",IFERROR(VLOOKUP($J898,Grinders!$A:$N,4,FALSE),""))</f>
        <v/>
      </c>
      <c r="N898" s="40" t="str">
        <f>IF($J898="","",IFERROR(VLOOKUP($J898,Grinders!$A:$N,5,FALSE),""))</f>
        <v/>
      </c>
      <c r="O898" s="40" t="str">
        <f t="shared" si="2"/>
        <v/>
      </c>
      <c r="P898" s="40" t="str">
        <f>IF($J898="","",IFERROR(VLOOKUP($J898,Grinders!$A:$N,6,FALSE),""))</f>
        <v/>
      </c>
      <c r="Q898" s="40" t="str">
        <f>IF($J898="","",IFERROR(VLOOKUP($J898,Grinders!$A:$N,8,FALSE),""))</f>
        <v/>
      </c>
      <c r="R898" s="40" t="str">
        <f>IFERROR(IF($J898="","",IF($L898="Elite",MAX(50,MIN(100,Config!$B$27*MAX(0,MIN(100,(1-IF($O898="",0,$O898))*100)) + Config!$B$28*MAX(0,MIN(100,(1-MIN(1,IF(Config!$B$30=0,1,$P898/Config!$B$30)))*100)) + Config!$B$29*MAX(0,MIN(100,MIN(1,IF($Q898="",0,$Q898)/Config!$B$23)*100)))),MIN(100,Config!$B$27*MAX(0,MIN(100,(1-IF($O898="",0,$O898))*100)) + Config!$B$28*MAX(0,MIN(100,(1-MIN(1,IF(Config!$B$30=0,1,$P898/Config!$B$30)))*100)) + Config!$B$29*MAX(0,MIN(100,MIN(1,IF($Q898="",0,$Q898)/Config!$B$23)*100))))),"")
</f>
        <v/>
      </c>
      <c r="S898" s="40" t="str">
        <f>IF(Bids!$D898="","",Bids!$D898)</f>
        <v/>
      </c>
      <c r="T898" s="40" t="str">
        <f>IF(Bids!$F898="","",Bids!$F898)</f>
        <v/>
      </c>
      <c r="U898" s="40" t="str">
        <f t="shared" si="3"/>
        <v/>
      </c>
      <c r="V898" s="40" t="str">
        <f>IF($U898="","",IF(Config!$B$17=Config!$B$16,IF($U898&gt;=Config!$B$17,100,0),MAX(0,MIN(100,($U898-Config!$B$16)/(Config!$B$17-Config!$B$16)*100))))</f>
        <v/>
      </c>
      <c r="W898" s="40">
        <f>IF($L898="Elite",Config!$B$21,0)</f>
        <v>0</v>
      </c>
      <c r="X898" s="40" t="str">
        <f>IFERROR(IF(OR($T898="",$G898=""),"",IF($T898&gt;$G898,
  MAX(0, 60-(($T898-$G898)*24/Config!$B$19)*60),
  MEDIAN(60, 100, 60+(($G898-$T898)*24/Config!$B$20)*40)
)),"")
</f>
        <v/>
      </c>
      <c r="Y898" s="40" t="str">
        <f>IF($J898="","",IFERROR(VLOOKUP($J898,Grinders!$A:$N,10,FALSE),""))</f>
        <v/>
      </c>
      <c r="Z898" s="40" t="str">
        <f>IF($J898="","",IFERROR(VLOOKUP($J898,Grinders!$A:$N,11,FALSE),""))</f>
        <v/>
      </c>
      <c r="AA898" s="40" t="str">
        <f>IF($J898="","",IFERROR(VLOOKUP($J898,Grinders!$A:$N,12,FALSE),""))</f>
        <v/>
      </c>
      <c r="AB898" s="40">
        <f>IFERROR(IF(OR($C898="",$J898=""),0,IF($D898&lt;&gt;"Open",0,IF(COUNTIFS(GrinderServices!$B:$B,$J898,GrinderServices!$C:$C,$E898,GrinderServices!$E:$E,"Y")=0,0,IF($U898&lt;Config!$B$16,0,IF(Config!$B$18=1,IF($N898&gt;=$M898,0,1),1))))),"")</f>
        <v>0</v>
      </c>
      <c r="AC898" s="40" t="str">
        <f>IFERROR(IF($AB898=0,"",((Config!$B$6*$V898 + Config!$B$7*$R898 + Config!$B$8*$W898 + Config!$B$9*$X898 + Config!$B$10*$Y898 + Config!$B$11*$Z898 - Config!$B$12*$AA898)/Config!$B$13)+$AH898+$AI898),"")</f>
        <v/>
      </c>
      <c r="AD898" s="40" t="str">
        <f t="shared" si="4"/>
        <v/>
      </c>
      <c r="AE898" s="40" t="str">
        <f>IFERROR(__xludf.DUMMYFUNCTION("IF($AC898="""","""",IF($AC898=IFERROR(MAX(FILTER($AC$6:$AC$1000,$C$6:$C$1000=$C898,$AB$6:$AB$1000=1)),),""WINNER"",""""))"),"")</f>
        <v/>
      </c>
      <c r="AF898" s="40" t="str">
        <f t="shared" si="5"/>
        <v/>
      </c>
      <c r="AG898" s="40" t="str">
        <f>IF($J898="","",COUNTIF(Assignments!$B:$B,$J898))</f>
        <v/>
      </c>
      <c r="AH898" s="40" t="str">
        <f>IF($J898="","",IF(AND($AG898=0,$N898&lt;$M898),Config!$B$43,0))</f>
        <v/>
      </c>
      <c r="AI898" s="40" t="str">
        <f>IF($J898="","",IF(AND($L898="Elite",$F898&gt;=Config!$B$41,$N898&lt;$M898),Config!$B$42,0))</f>
        <v/>
      </c>
      <c r="AJ898" s="22"/>
    </row>
    <row r="899" ht="15.75" customHeight="1">
      <c r="A899" s="40" t="str">
        <f t="shared" si="1"/>
        <v/>
      </c>
      <c r="B899" s="40" t="str">
        <f>IF(Bids!$A899="","",Bids!$A899)</f>
        <v/>
      </c>
      <c r="C899" s="40" t="str">
        <f>IF(Bids!$B899="","",Bids!$B899)</f>
        <v/>
      </c>
      <c r="D899" s="40" t="str">
        <f>IF($C899="","",IFERROR(VLOOKUP($C899,Orders!$A:$J,9,FALSE),""))</f>
        <v/>
      </c>
      <c r="E899" s="40" t="str">
        <f>IF($C899="","",IFERROR(VLOOKUP($C899,Orders!$A:$J,3,FALSE),""))</f>
        <v/>
      </c>
      <c r="F899" s="40" t="str">
        <f>IF($C899="","",IFERROR(VLOOKUP($C899,Orders!$A:$J,4,FALSE),""))</f>
        <v/>
      </c>
      <c r="G899" s="40" t="str">
        <f>IF($C899="","",IFERROR(VLOOKUP($C899,Orders!$A:$J,5,FALSE),""))</f>
        <v/>
      </c>
      <c r="H899" s="40" t="str">
        <f>IF($C899="","",IFERROR(VLOOKUP($C899,Orders!$A:$J,6,FALSE),""))</f>
        <v/>
      </c>
      <c r="I899" s="40" t="str">
        <f>IF($C899="","",IFERROR(VLOOKUP($C899,Orders!$A:$J,7,FALSE),""))</f>
        <v/>
      </c>
      <c r="J899" s="40" t="str">
        <f>IF(Bids!$C899="","",Bids!$C899)</f>
        <v/>
      </c>
      <c r="K899" s="40" t="str">
        <f>IF($J899="","",IFERROR(VLOOKUP($J899,Grinders!$A:$N,2,FALSE),""))</f>
        <v/>
      </c>
      <c r="L899" s="40" t="str">
        <f>IF($J899="","",IFERROR(VLOOKUP($J899,Grinders!$A:$N,3,FALSE),""))</f>
        <v/>
      </c>
      <c r="M899" s="40" t="str">
        <f>IF($J899="","",IFERROR(VLOOKUP($J899,Grinders!$A:$N,4,FALSE),""))</f>
        <v/>
      </c>
      <c r="N899" s="40" t="str">
        <f>IF($J899="","",IFERROR(VLOOKUP($J899,Grinders!$A:$N,5,FALSE),""))</f>
        <v/>
      </c>
      <c r="O899" s="40" t="str">
        <f t="shared" si="2"/>
        <v/>
      </c>
      <c r="P899" s="40" t="str">
        <f>IF($J899="","",IFERROR(VLOOKUP($J899,Grinders!$A:$N,6,FALSE),""))</f>
        <v/>
      </c>
      <c r="Q899" s="40" t="str">
        <f>IF($J899="","",IFERROR(VLOOKUP($J899,Grinders!$A:$N,8,FALSE),""))</f>
        <v/>
      </c>
      <c r="R899" s="40" t="str">
        <f>IFERROR(IF($J899="","",IF($L899="Elite",MAX(50,MIN(100,Config!$B$27*MAX(0,MIN(100,(1-IF($O899="",0,$O899))*100)) + Config!$B$28*MAX(0,MIN(100,(1-MIN(1,IF(Config!$B$30=0,1,$P899/Config!$B$30)))*100)) + Config!$B$29*MAX(0,MIN(100,MIN(1,IF($Q899="",0,$Q899)/Config!$B$23)*100)))),MIN(100,Config!$B$27*MAX(0,MIN(100,(1-IF($O899="",0,$O899))*100)) + Config!$B$28*MAX(0,MIN(100,(1-MIN(1,IF(Config!$B$30=0,1,$P899/Config!$B$30)))*100)) + Config!$B$29*MAX(0,MIN(100,MIN(1,IF($Q899="",0,$Q899)/Config!$B$23)*100))))),"")
</f>
        <v/>
      </c>
      <c r="S899" s="40" t="str">
        <f>IF(Bids!$D899="","",Bids!$D899)</f>
        <v/>
      </c>
      <c r="T899" s="40" t="str">
        <f>IF(Bids!$F899="","",Bids!$F899)</f>
        <v/>
      </c>
      <c r="U899" s="40" t="str">
        <f t="shared" si="3"/>
        <v/>
      </c>
      <c r="V899" s="40" t="str">
        <f>IF($U899="","",IF(Config!$B$17=Config!$B$16,IF($U899&gt;=Config!$B$17,100,0),MAX(0,MIN(100,($U899-Config!$B$16)/(Config!$B$17-Config!$B$16)*100))))</f>
        <v/>
      </c>
      <c r="W899" s="40">
        <f>IF($L899="Elite",Config!$B$21,0)</f>
        <v>0</v>
      </c>
      <c r="X899" s="40" t="str">
        <f>IFERROR(IF(OR($T899="",$G899=""),"",IF($T899&gt;$G899,
  MAX(0, 60-(($T899-$G899)*24/Config!$B$19)*60),
  MEDIAN(60, 100, 60+(($G899-$T899)*24/Config!$B$20)*40)
)),"")
</f>
        <v/>
      </c>
      <c r="Y899" s="40" t="str">
        <f>IF($J899="","",IFERROR(VLOOKUP($J899,Grinders!$A:$N,10,FALSE),""))</f>
        <v/>
      </c>
      <c r="Z899" s="40" t="str">
        <f>IF($J899="","",IFERROR(VLOOKUP($J899,Grinders!$A:$N,11,FALSE),""))</f>
        <v/>
      </c>
      <c r="AA899" s="40" t="str">
        <f>IF($J899="","",IFERROR(VLOOKUP($J899,Grinders!$A:$N,12,FALSE),""))</f>
        <v/>
      </c>
      <c r="AB899" s="40">
        <f>IFERROR(IF(OR($C899="",$J899=""),0,IF($D899&lt;&gt;"Open",0,IF(COUNTIFS(GrinderServices!$B:$B,$J899,GrinderServices!$C:$C,$E899,GrinderServices!$E:$E,"Y")=0,0,IF($U899&lt;Config!$B$16,0,IF(Config!$B$18=1,IF($N899&gt;=$M899,0,1),1))))),"")</f>
        <v>0</v>
      </c>
      <c r="AC899" s="40" t="str">
        <f>IFERROR(IF($AB899=0,"",((Config!$B$6*$V899 + Config!$B$7*$R899 + Config!$B$8*$W899 + Config!$B$9*$X899 + Config!$B$10*$Y899 + Config!$B$11*$Z899 - Config!$B$12*$AA899)/Config!$B$13)+$AH899+$AI899),"")</f>
        <v/>
      </c>
      <c r="AD899" s="40" t="str">
        <f t="shared" si="4"/>
        <v/>
      </c>
      <c r="AE899" s="40" t="str">
        <f>IFERROR(__xludf.DUMMYFUNCTION("IF($AC899="""","""",IF($AC899=IFERROR(MAX(FILTER($AC$6:$AC$1000,$C$6:$C$1000=$C899,$AB$6:$AB$1000=1)),),""WINNER"",""""))"),"")</f>
        <v/>
      </c>
      <c r="AF899" s="40" t="str">
        <f t="shared" si="5"/>
        <v/>
      </c>
      <c r="AG899" s="40" t="str">
        <f>IF($J899="","",COUNTIF(Assignments!$B:$B,$J899))</f>
        <v/>
      </c>
      <c r="AH899" s="40" t="str">
        <f>IF($J899="","",IF(AND($AG899=0,$N899&lt;$M899),Config!$B$43,0))</f>
        <v/>
      </c>
      <c r="AI899" s="40" t="str">
        <f>IF($J899="","",IF(AND($L899="Elite",$F899&gt;=Config!$B$41,$N899&lt;$M899),Config!$B$42,0))</f>
        <v/>
      </c>
      <c r="AJ899" s="22"/>
    </row>
    <row r="900" ht="15.75" customHeight="1">
      <c r="A900" s="40" t="str">
        <f t="shared" si="1"/>
        <v/>
      </c>
      <c r="B900" s="40" t="str">
        <f>IF(Bids!$A900="","",Bids!$A900)</f>
        <v/>
      </c>
      <c r="C900" s="40" t="str">
        <f>IF(Bids!$B900="","",Bids!$B900)</f>
        <v/>
      </c>
      <c r="D900" s="40" t="str">
        <f>IF($C900="","",IFERROR(VLOOKUP($C900,Orders!$A:$J,9,FALSE),""))</f>
        <v/>
      </c>
      <c r="E900" s="40" t="str">
        <f>IF($C900="","",IFERROR(VLOOKUP($C900,Orders!$A:$J,3,FALSE),""))</f>
        <v/>
      </c>
      <c r="F900" s="40" t="str">
        <f>IF($C900="","",IFERROR(VLOOKUP($C900,Orders!$A:$J,4,FALSE),""))</f>
        <v/>
      </c>
      <c r="G900" s="40" t="str">
        <f>IF($C900="","",IFERROR(VLOOKUP($C900,Orders!$A:$J,5,FALSE),""))</f>
        <v/>
      </c>
      <c r="H900" s="40" t="str">
        <f>IF($C900="","",IFERROR(VLOOKUP($C900,Orders!$A:$J,6,FALSE),""))</f>
        <v/>
      </c>
      <c r="I900" s="40" t="str">
        <f>IF($C900="","",IFERROR(VLOOKUP($C900,Orders!$A:$J,7,FALSE),""))</f>
        <v/>
      </c>
      <c r="J900" s="40" t="str">
        <f>IF(Bids!$C900="","",Bids!$C900)</f>
        <v/>
      </c>
      <c r="K900" s="40" t="str">
        <f>IF($J900="","",IFERROR(VLOOKUP($J900,Grinders!$A:$N,2,FALSE),""))</f>
        <v/>
      </c>
      <c r="L900" s="40" t="str">
        <f>IF($J900="","",IFERROR(VLOOKUP($J900,Grinders!$A:$N,3,FALSE),""))</f>
        <v/>
      </c>
      <c r="M900" s="40" t="str">
        <f>IF($J900="","",IFERROR(VLOOKUP($J900,Grinders!$A:$N,4,FALSE),""))</f>
        <v/>
      </c>
      <c r="N900" s="40" t="str">
        <f>IF($J900="","",IFERROR(VLOOKUP($J900,Grinders!$A:$N,5,FALSE),""))</f>
        <v/>
      </c>
      <c r="O900" s="40" t="str">
        <f t="shared" si="2"/>
        <v/>
      </c>
      <c r="P900" s="40" t="str">
        <f>IF($J900="","",IFERROR(VLOOKUP($J900,Grinders!$A:$N,6,FALSE),""))</f>
        <v/>
      </c>
      <c r="Q900" s="40" t="str">
        <f>IF($J900="","",IFERROR(VLOOKUP($J900,Grinders!$A:$N,8,FALSE),""))</f>
        <v/>
      </c>
      <c r="R900" s="40" t="str">
        <f>IFERROR(IF($J900="","",IF($L900="Elite",MAX(50,MIN(100,Config!$B$27*MAX(0,MIN(100,(1-IF($O900="",0,$O900))*100)) + Config!$B$28*MAX(0,MIN(100,(1-MIN(1,IF(Config!$B$30=0,1,$P900/Config!$B$30)))*100)) + Config!$B$29*MAX(0,MIN(100,MIN(1,IF($Q900="",0,$Q900)/Config!$B$23)*100)))),MIN(100,Config!$B$27*MAX(0,MIN(100,(1-IF($O900="",0,$O900))*100)) + Config!$B$28*MAX(0,MIN(100,(1-MIN(1,IF(Config!$B$30=0,1,$P900/Config!$B$30)))*100)) + Config!$B$29*MAX(0,MIN(100,MIN(1,IF($Q900="",0,$Q900)/Config!$B$23)*100))))),"")
</f>
        <v/>
      </c>
      <c r="S900" s="40" t="str">
        <f>IF(Bids!$D900="","",Bids!$D900)</f>
        <v/>
      </c>
      <c r="T900" s="40" t="str">
        <f>IF(Bids!$F900="","",Bids!$F900)</f>
        <v/>
      </c>
      <c r="U900" s="40" t="str">
        <f t="shared" si="3"/>
        <v/>
      </c>
      <c r="V900" s="40" t="str">
        <f>IF($U900="","",IF(Config!$B$17=Config!$B$16,IF($U900&gt;=Config!$B$17,100,0),MAX(0,MIN(100,($U900-Config!$B$16)/(Config!$B$17-Config!$B$16)*100))))</f>
        <v/>
      </c>
      <c r="W900" s="40">
        <f>IF($L900="Elite",Config!$B$21,0)</f>
        <v>0</v>
      </c>
      <c r="X900" s="40" t="str">
        <f>IFERROR(IF(OR($T900="",$G900=""),"",IF($T900&gt;$G900,
  MAX(0, 60-(($T900-$G900)*24/Config!$B$19)*60),
  MEDIAN(60, 100, 60+(($G900-$T900)*24/Config!$B$20)*40)
)),"")
</f>
        <v/>
      </c>
      <c r="Y900" s="40" t="str">
        <f>IF($J900="","",IFERROR(VLOOKUP($J900,Grinders!$A:$N,10,FALSE),""))</f>
        <v/>
      </c>
      <c r="Z900" s="40" t="str">
        <f>IF($J900="","",IFERROR(VLOOKUP($J900,Grinders!$A:$N,11,FALSE),""))</f>
        <v/>
      </c>
      <c r="AA900" s="40" t="str">
        <f>IF($J900="","",IFERROR(VLOOKUP($J900,Grinders!$A:$N,12,FALSE),""))</f>
        <v/>
      </c>
      <c r="AB900" s="40">
        <f>IFERROR(IF(OR($C900="",$J900=""),0,IF($D900&lt;&gt;"Open",0,IF(COUNTIFS(GrinderServices!$B:$B,$J900,GrinderServices!$C:$C,$E900,GrinderServices!$E:$E,"Y")=0,0,IF($U900&lt;Config!$B$16,0,IF(Config!$B$18=1,IF($N900&gt;=$M900,0,1),1))))),"")</f>
        <v>0</v>
      </c>
      <c r="AC900" s="40" t="str">
        <f>IFERROR(IF($AB900=0,"",((Config!$B$6*$V900 + Config!$B$7*$R900 + Config!$B$8*$W900 + Config!$B$9*$X900 + Config!$B$10*$Y900 + Config!$B$11*$Z900 - Config!$B$12*$AA900)/Config!$B$13)+$AH900+$AI900),"")</f>
        <v/>
      </c>
      <c r="AD900" s="40" t="str">
        <f t="shared" si="4"/>
        <v/>
      </c>
      <c r="AE900" s="40" t="str">
        <f>IFERROR(__xludf.DUMMYFUNCTION("IF($AC900="""","""",IF($AC900=IFERROR(MAX(FILTER($AC$6:$AC$1000,$C$6:$C$1000=$C900,$AB$6:$AB$1000=1)),),""WINNER"",""""))"),"")</f>
        <v/>
      </c>
      <c r="AF900" s="40" t="str">
        <f t="shared" si="5"/>
        <v/>
      </c>
      <c r="AG900" s="40" t="str">
        <f>IF($J900="","",COUNTIF(Assignments!$B:$B,$J900))</f>
        <v/>
      </c>
      <c r="AH900" s="40" t="str">
        <f>IF($J900="","",IF(AND($AG900=0,$N900&lt;$M900),Config!$B$43,0))</f>
        <v/>
      </c>
      <c r="AI900" s="40" t="str">
        <f>IF($J900="","",IF(AND($L900="Elite",$F900&gt;=Config!$B$41,$N900&lt;$M900),Config!$B$42,0))</f>
        <v/>
      </c>
      <c r="AJ900" s="22"/>
    </row>
    <row r="901" ht="15.75" customHeight="1">
      <c r="A901" s="40" t="str">
        <f t="shared" si="1"/>
        <v/>
      </c>
      <c r="B901" s="40" t="str">
        <f>IF(Bids!$A901="","",Bids!$A901)</f>
        <v/>
      </c>
      <c r="C901" s="40" t="str">
        <f>IF(Bids!$B901="","",Bids!$B901)</f>
        <v/>
      </c>
      <c r="D901" s="40" t="str">
        <f>IF($C901="","",IFERROR(VLOOKUP($C901,Orders!$A:$J,9,FALSE),""))</f>
        <v/>
      </c>
      <c r="E901" s="40" t="str">
        <f>IF($C901="","",IFERROR(VLOOKUP($C901,Orders!$A:$J,3,FALSE),""))</f>
        <v/>
      </c>
      <c r="F901" s="40" t="str">
        <f>IF($C901="","",IFERROR(VLOOKUP($C901,Orders!$A:$J,4,FALSE),""))</f>
        <v/>
      </c>
      <c r="G901" s="40" t="str">
        <f>IF($C901="","",IFERROR(VLOOKUP($C901,Orders!$A:$J,5,FALSE),""))</f>
        <v/>
      </c>
      <c r="H901" s="40" t="str">
        <f>IF($C901="","",IFERROR(VLOOKUP($C901,Orders!$A:$J,6,FALSE),""))</f>
        <v/>
      </c>
      <c r="I901" s="40" t="str">
        <f>IF($C901="","",IFERROR(VLOOKUP($C901,Orders!$A:$J,7,FALSE),""))</f>
        <v/>
      </c>
      <c r="J901" s="40" t="str">
        <f>IF(Bids!$C901="","",Bids!$C901)</f>
        <v/>
      </c>
      <c r="K901" s="40" t="str">
        <f>IF($J901="","",IFERROR(VLOOKUP($J901,Grinders!$A:$N,2,FALSE),""))</f>
        <v/>
      </c>
      <c r="L901" s="40" t="str">
        <f>IF($J901="","",IFERROR(VLOOKUP($J901,Grinders!$A:$N,3,FALSE),""))</f>
        <v/>
      </c>
      <c r="M901" s="40" t="str">
        <f>IF($J901="","",IFERROR(VLOOKUP($J901,Grinders!$A:$N,4,FALSE),""))</f>
        <v/>
      </c>
      <c r="N901" s="40" t="str">
        <f>IF($J901="","",IFERROR(VLOOKUP($J901,Grinders!$A:$N,5,FALSE),""))</f>
        <v/>
      </c>
      <c r="O901" s="40" t="str">
        <f t="shared" si="2"/>
        <v/>
      </c>
      <c r="P901" s="40" t="str">
        <f>IF($J901="","",IFERROR(VLOOKUP($J901,Grinders!$A:$N,6,FALSE),""))</f>
        <v/>
      </c>
      <c r="Q901" s="40" t="str">
        <f>IF($J901="","",IFERROR(VLOOKUP($J901,Grinders!$A:$N,8,FALSE),""))</f>
        <v/>
      </c>
      <c r="R901" s="40" t="str">
        <f>IFERROR(IF($J901="","",IF($L901="Elite",MAX(50,MIN(100,Config!$B$27*MAX(0,MIN(100,(1-IF($O901="",0,$O901))*100)) + Config!$B$28*MAX(0,MIN(100,(1-MIN(1,IF(Config!$B$30=0,1,$P901/Config!$B$30)))*100)) + Config!$B$29*MAX(0,MIN(100,MIN(1,IF($Q901="",0,$Q901)/Config!$B$23)*100)))),MIN(100,Config!$B$27*MAX(0,MIN(100,(1-IF($O901="",0,$O901))*100)) + Config!$B$28*MAX(0,MIN(100,(1-MIN(1,IF(Config!$B$30=0,1,$P901/Config!$B$30)))*100)) + Config!$B$29*MAX(0,MIN(100,MIN(1,IF($Q901="",0,$Q901)/Config!$B$23)*100))))),"")
</f>
        <v/>
      </c>
      <c r="S901" s="40" t="str">
        <f>IF(Bids!$D901="","",Bids!$D901)</f>
        <v/>
      </c>
      <c r="T901" s="40" t="str">
        <f>IF(Bids!$F901="","",Bids!$F901)</f>
        <v/>
      </c>
      <c r="U901" s="40" t="str">
        <f t="shared" si="3"/>
        <v/>
      </c>
      <c r="V901" s="40" t="str">
        <f>IF($U901="","",IF(Config!$B$17=Config!$B$16,IF($U901&gt;=Config!$B$17,100,0),MAX(0,MIN(100,($U901-Config!$B$16)/(Config!$B$17-Config!$B$16)*100))))</f>
        <v/>
      </c>
      <c r="W901" s="40">
        <f>IF($L901="Elite",Config!$B$21,0)</f>
        <v>0</v>
      </c>
      <c r="X901" s="40" t="str">
        <f>IFERROR(IF(OR($T901="",$G901=""),"",IF($T901&gt;$G901,
  MAX(0, 60-(($T901-$G901)*24/Config!$B$19)*60),
  MEDIAN(60, 100, 60+(($G901-$T901)*24/Config!$B$20)*40)
)),"")
</f>
        <v/>
      </c>
      <c r="Y901" s="40" t="str">
        <f>IF($J901="","",IFERROR(VLOOKUP($J901,Grinders!$A:$N,10,FALSE),""))</f>
        <v/>
      </c>
      <c r="Z901" s="40" t="str">
        <f>IF($J901="","",IFERROR(VLOOKUP($J901,Grinders!$A:$N,11,FALSE),""))</f>
        <v/>
      </c>
      <c r="AA901" s="40" t="str">
        <f>IF($J901="","",IFERROR(VLOOKUP($J901,Grinders!$A:$N,12,FALSE),""))</f>
        <v/>
      </c>
      <c r="AB901" s="40">
        <f>IFERROR(IF(OR($C901="",$J901=""),0,IF($D901&lt;&gt;"Open",0,IF(COUNTIFS(GrinderServices!$B:$B,$J901,GrinderServices!$C:$C,$E901,GrinderServices!$E:$E,"Y")=0,0,IF($U901&lt;Config!$B$16,0,IF(Config!$B$18=1,IF($N901&gt;=$M901,0,1),1))))),"")</f>
        <v>0</v>
      </c>
      <c r="AC901" s="40" t="str">
        <f>IFERROR(IF($AB901=0,"",((Config!$B$6*$V901 + Config!$B$7*$R901 + Config!$B$8*$W901 + Config!$B$9*$X901 + Config!$B$10*$Y901 + Config!$B$11*$Z901 - Config!$B$12*$AA901)/Config!$B$13)+$AH901+$AI901),"")</f>
        <v/>
      </c>
      <c r="AD901" s="40" t="str">
        <f t="shared" si="4"/>
        <v/>
      </c>
      <c r="AE901" s="40" t="str">
        <f>IFERROR(__xludf.DUMMYFUNCTION("IF($AC901="""","""",IF($AC901=IFERROR(MAX(FILTER($AC$6:$AC$1000,$C$6:$C$1000=$C901,$AB$6:$AB$1000=1)),),""WINNER"",""""))"),"")</f>
        <v/>
      </c>
      <c r="AF901" s="40" t="str">
        <f t="shared" si="5"/>
        <v/>
      </c>
      <c r="AG901" s="40" t="str">
        <f>IF($J901="","",COUNTIF(Assignments!$B:$B,$J901))</f>
        <v/>
      </c>
      <c r="AH901" s="40" t="str">
        <f>IF($J901="","",IF(AND($AG901=0,$N901&lt;$M901),Config!$B$43,0))</f>
        <v/>
      </c>
      <c r="AI901" s="40" t="str">
        <f>IF($J901="","",IF(AND($L901="Elite",$F901&gt;=Config!$B$41,$N901&lt;$M901),Config!$B$42,0))</f>
        <v/>
      </c>
      <c r="AJ901" s="22"/>
    </row>
    <row r="902" ht="15.75" customHeight="1">
      <c r="A902" s="40" t="str">
        <f t="shared" si="1"/>
        <v/>
      </c>
      <c r="B902" s="40" t="str">
        <f>IF(Bids!$A902="","",Bids!$A902)</f>
        <v/>
      </c>
      <c r="C902" s="40" t="str">
        <f>IF(Bids!$B902="","",Bids!$B902)</f>
        <v/>
      </c>
      <c r="D902" s="40" t="str">
        <f>IF($C902="","",IFERROR(VLOOKUP($C902,Orders!$A:$J,9,FALSE),""))</f>
        <v/>
      </c>
      <c r="E902" s="40" t="str">
        <f>IF($C902="","",IFERROR(VLOOKUP($C902,Orders!$A:$J,3,FALSE),""))</f>
        <v/>
      </c>
      <c r="F902" s="40" t="str">
        <f>IF($C902="","",IFERROR(VLOOKUP($C902,Orders!$A:$J,4,FALSE),""))</f>
        <v/>
      </c>
      <c r="G902" s="40" t="str">
        <f>IF($C902="","",IFERROR(VLOOKUP($C902,Orders!$A:$J,5,FALSE),""))</f>
        <v/>
      </c>
      <c r="H902" s="40" t="str">
        <f>IF($C902="","",IFERROR(VLOOKUP($C902,Orders!$A:$J,6,FALSE),""))</f>
        <v/>
      </c>
      <c r="I902" s="40" t="str">
        <f>IF($C902="","",IFERROR(VLOOKUP($C902,Orders!$A:$J,7,FALSE),""))</f>
        <v/>
      </c>
      <c r="J902" s="40" t="str">
        <f>IF(Bids!$C902="","",Bids!$C902)</f>
        <v/>
      </c>
      <c r="K902" s="40" t="str">
        <f>IF($J902="","",IFERROR(VLOOKUP($J902,Grinders!$A:$N,2,FALSE),""))</f>
        <v/>
      </c>
      <c r="L902" s="40" t="str">
        <f>IF($J902="","",IFERROR(VLOOKUP($J902,Grinders!$A:$N,3,FALSE),""))</f>
        <v/>
      </c>
      <c r="M902" s="40" t="str">
        <f>IF($J902="","",IFERROR(VLOOKUP($J902,Grinders!$A:$N,4,FALSE),""))</f>
        <v/>
      </c>
      <c r="N902" s="40" t="str">
        <f>IF($J902="","",IFERROR(VLOOKUP($J902,Grinders!$A:$N,5,FALSE),""))</f>
        <v/>
      </c>
      <c r="O902" s="40" t="str">
        <f t="shared" si="2"/>
        <v/>
      </c>
      <c r="P902" s="40" t="str">
        <f>IF($J902="","",IFERROR(VLOOKUP($J902,Grinders!$A:$N,6,FALSE),""))</f>
        <v/>
      </c>
      <c r="Q902" s="40" t="str">
        <f>IF($J902="","",IFERROR(VLOOKUP($J902,Grinders!$A:$N,8,FALSE),""))</f>
        <v/>
      </c>
      <c r="R902" s="40" t="str">
        <f>IFERROR(IF($J902="","",IF($L902="Elite",MAX(50,MIN(100,Config!$B$27*MAX(0,MIN(100,(1-IF($O902="",0,$O902))*100)) + Config!$B$28*MAX(0,MIN(100,(1-MIN(1,IF(Config!$B$30=0,1,$P902/Config!$B$30)))*100)) + Config!$B$29*MAX(0,MIN(100,MIN(1,IF($Q902="",0,$Q902)/Config!$B$23)*100)))),MIN(100,Config!$B$27*MAX(0,MIN(100,(1-IF($O902="",0,$O902))*100)) + Config!$B$28*MAX(0,MIN(100,(1-MIN(1,IF(Config!$B$30=0,1,$P902/Config!$B$30)))*100)) + Config!$B$29*MAX(0,MIN(100,MIN(1,IF($Q902="",0,$Q902)/Config!$B$23)*100))))),"")
</f>
        <v/>
      </c>
      <c r="S902" s="40" t="str">
        <f>IF(Bids!$D902="","",Bids!$D902)</f>
        <v/>
      </c>
      <c r="T902" s="40" t="str">
        <f>IF(Bids!$F902="","",Bids!$F902)</f>
        <v/>
      </c>
      <c r="U902" s="40" t="str">
        <f t="shared" si="3"/>
        <v/>
      </c>
      <c r="V902" s="40" t="str">
        <f>IF($U902="","",IF(Config!$B$17=Config!$B$16,IF($U902&gt;=Config!$B$17,100,0),MAX(0,MIN(100,($U902-Config!$B$16)/(Config!$B$17-Config!$B$16)*100))))</f>
        <v/>
      </c>
      <c r="W902" s="40">
        <f>IF($L902="Elite",Config!$B$21,0)</f>
        <v>0</v>
      </c>
      <c r="X902" s="40" t="str">
        <f>IFERROR(IF(OR($T902="",$G902=""),"",IF($T902&gt;$G902,
  MAX(0, 60-(($T902-$G902)*24/Config!$B$19)*60),
  MEDIAN(60, 100, 60+(($G902-$T902)*24/Config!$B$20)*40)
)),"")
</f>
        <v/>
      </c>
      <c r="Y902" s="40" t="str">
        <f>IF($J902="","",IFERROR(VLOOKUP($J902,Grinders!$A:$N,10,FALSE),""))</f>
        <v/>
      </c>
      <c r="Z902" s="40" t="str">
        <f>IF($J902="","",IFERROR(VLOOKUP($J902,Grinders!$A:$N,11,FALSE),""))</f>
        <v/>
      </c>
      <c r="AA902" s="40" t="str">
        <f>IF($J902="","",IFERROR(VLOOKUP($J902,Grinders!$A:$N,12,FALSE),""))</f>
        <v/>
      </c>
      <c r="AB902" s="40">
        <f>IFERROR(IF(OR($C902="",$J902=""),0,IF($D902&lt;&gt;"Open",0,IF(COUNTIFS(GrinderServices!$B:$B,$J902,GrinderServices!$C:$C,$E902,GrinderServices!$E:$E,"Y")=0,0,IF($U902&lt;Config!$B$16,0,IF(Config!$B$18=1,IF($N902&gt;=$M902,0,1),1))))),"")</f>
        <v>0</v>
      </c>
      <c r="AC902" s="40" t="str">
        <f>IFERROR(IF($AB902=0,"",((Config!$B$6*$V902 + Config!$B$7*$R902 + Config!$B$8*$W902 + Config!$B$9*$X902 + Config!$B$10*$Y902 + Config!$B$11*$Z902 - Config!$B$12*$AA902)/Config!$B$13)+$AH902+$AI902),"")</f>
        <v/>
      </c>
      <c r="AD902" s="40" t="str">
        <f t="shared" si="4"/>
        <v/>
      </c>
      <c r="AE902" s="40" t="str">
        <f>IFERROR(__xludf.DUMMYFUNCTION("IF($AC902="""","""",IF($AC902=IFERROR(MAX(FILTER($AC$6:$AC$1000,$C$6:$C$1000=$C902,$AB$6:$AB$1000=1)),),""WINNER"",""""))"),"")</f>
        <v/>
      </c>
      <c r="AF902" s="40" t="str">
        <f t="shared" si="5"/>
        <v/>
      </c>
      <c r="AG902" s="40" t="str">
        <f>IF($J902="","",COUNTIF(Assignments!$B:$B,$J902))</f>
        <v/>
      </c>
      <c r="AH902" s="40" t="str">
        <f>IF($J902="","",IF(AND($AG902=0,$N902&lt;$M902),Config!$B$43,0))</f>
        <v/>
      </c>
      <c r="AI902" s="40" t="str">
        <f>IF($J902="","",IF(AND($L902="Elite",$F902&gt;=Config!$B$41,$N902&lt;$M902),Config!$B$42,0))</f>
        <v/>
      </c>
      <c r="AJ902" s="22"/>
    </row>
    <row r="903" ht="15.75" customHeight="1">
      <c r="A903" s="40" t="str">
        <f t="shared" si="1"/>
        <v/>
      </c>
      <c r="B903" s="40" t="str">
        <f>IF(Bids!$A903="","",Bids!$A903)</f>
        <v/>
      </c>
      <c r="C903" s="40" t="str">
        <f>IF(Bids!$B903="","",Bids!$B903)</f>
        <v/>
      </c>
      <c r="D903" s="40" t="str">
        <f>IF($C903="","",IFERROR(VLOOKUP($C903,Orders!$A:$J,9,FALSE),""))</f>
        <v/>
      </c>
      <c r="E903" s="40" t="str">
        <f>IF($C903="","",IFERROR(VLOOKUP($C903,Orders!$A:$J,3,FALSE),""))</f>
        <v/>
      </c>
      <c r="F903" s="40" t="str">
        <f>IF($C903="","",IFERROR(VLOOKUP($C903,Orders!$A:$J,4,FALSE),""))</f>
        <v/>
      </c>
      <c r="G903" s="40" t="str">
        <f>IF($C903="","",IFERROR(VLOOKUP($C903,Orders!$A:$J,5,FALSE),""))</f>
        <v/>
      </c>
      <c r="H903" s="40" t="str">
        <f>IF($C903="","",IFERROR(VLOOKUP($C903,Orders!$A:$J,6,FALSE),""))</f>
        <v/>
      </c>
      <c r="I903" s="40" t="str">
        <f>IF($C903="","",IFERROR(VLOOKUP($C903,Orders!$A:$J,7,FALSE),""))</f>
        <v/>
      </c>
      <c r="J903" s="40" t="str">
        <f>IF(Bids!$C903="","",Bids!$C903)</f>
        <v/>
      </c>
      <c r="K903" s="40" t="str">
        <f>IF($J903="","",IFERROR(VLOOKUP($J903,Grinders!$A:$N,2,FALSE),""))</f>
        <v/>
      </c>
      <c r="L903" s="40" t="str">
        <f>IF($J903="","",IFERROR(VLOOKUP($J903,Grinders!$A:$N,3,FALSE),""))</f>
        <v/>
      </c>
      <c r="M903" s="40" t="str">
        <f>IF($J903="","",IFERROR(VLOOKUP($J903,Grinders!$A:$N,4,FALSE),""))</f>
        <v/>
      </c>
      <c r="N903" s="40" t="str">
        <f>IF($J903="","",IFERROR(VLOOKUP($J903,Grinders!$A:$N,5,FALSE),""))</f>
        <v/>
      </c>
      <c r="O903" s="40" t="str">
        <f t="shared" si="2"/>
        <v/>
      </c>
      <c r="P903" s="40" t="str">
        <f>IF($J903="","",IFERROR(VLOOKUP($J903,Grinders!$A:$N,6,FALSE),""))</f>
        <v/>
      </c>
      <c r="Q903" s="40" t="str">
        <f>IF($J903="","",IFERROR(VLOOKUP($J903,Grinders!$A:$N,8,FALSE),""))</f>
        <v/>
      </c>
      <c r="R903" s="40" t="str">
        <f>IFERROR(IF($J903="","",IF($L903="Elite",MAX(50,MIN(100,Config!$B$27*MAX(0,MIN(100,(1-IF($O903="",0,$O903))*100)) + Config!$B$28*MAX(0,MIN(100,(1-MIN(1,IF(Config!$B$30=0,1,$P903/Config!$B$30)))*100)) + Config!$B$29*MAX(0,MIN(100,MIN(1,IF($Q903="",0,$Q903)/Config!$B$23)*100)))),MIN(100,Config!$B$27*MAX(0,MIN(100,(1-IF($O903="",0,$O903))*100)) + Config!$B$28*MAX(0,MIN(100,(1-MIN(1,IF(Config!$B$30=0,1,$P903/Config!$B$30)))*100)) + Config!$B$29*MAX(0,MIN(100,MIN(1,IF($Q903="",0,$Q903)/Config!$B$23)*100))))),"")
</f>
        <v/>
      </c>
      <c r="S903" s="40" t="str">
        <f>IF(Bids!$D903="","",Bids!$D903)</f>
        <v/>
      </c>
      <c r="T903" s="40" t="str">
        <f>IF(Bids!$F903="","",Bids!$F903)</f>
        <v/>
      </c>
      <c r="U903" s="40" t="str">
        <f t="shared" si="3"/>
        <v/>
      </c>
      <c r="V903" s="40" t="str">
        <f>IF($U903="","",IF(Config!$B$17=Config!$B$16,IF($U903&gt;=Config!$B$17,100,0),MAX(0,MIN(100,($U903-Config!$B$16)/(Config!$B$17-Config!$B$16)*100))))</f>
        <v/>
      </c>
      <c r="W903" s="40">
        <f>IF($L903="Elite",Config!$B$21,0)</f>
        <v>0</v>
      </c>
      <c r="X903" s="40" t="str">
        <f>IFERROR(IF(OR($T903="",$G903=""),"",IF($T903&gt;$G903,
  MAX(0, 60-(($T903-$G903)*24/Config!$B$19)*60),
  MEDIAN(60, 100, 60+(($G903-$T903)*24/Config!$B$20)*40)
)),"")
</f>
        <v/>
      </c>
      <c r="Y903" s="40" t="str">
        <f>IF($J903="","",IFERROR(VLOOKUP($J903,Grinders!$A:$N,10,FALSE),""))</f>
        <v/>
      </c>
      <c r="Z903" s="40" t="str">
        <f>IF($J903="","",IFERROR(VLOOKUP($J903,Grinders!$A:$N,11,FALSE),""))</f>
        <v/>
      </c>
      <c r="AA903" s="40" t="str">
        <f>IF($J903="","",IFERROR(VLOOKUP($J903,Grinders!$A:$N,12,FALSE),""))</f>
        <v/>
      </c>
      <c r="AB903" s="40">
        <f>IFERROR(IF(OR($C903="",$J903=""),0,IF($D903&lt;&gt;"Open",0,IF(COUNTIFS(GrinderServices!$B:$B,$J903,GrinderServices!$C:$C,$E903,GrinderServices!$E:$E,"Y")=0,0,IF($U903&lt;Config!$B$16,0,IF(Config!$B$18=1,IF($N903&gt;=$M903,0,1),1))))),"")</f>
        <v>0</v>
      </c>
      <c r="AC903" s="40" t="str">
        <f>IFERROR(IF($AB903=0,"",((Config!$B$6*$V903 + Config!$B$7*$R903 + Config!$B$8*$W903 + Config!$B$9*$X903 + Config!$B$10*$Y903 + Config!$B$11*$Z903 - Config!$B$12*$AA903)/Config!$B$13)+$AH903+$AI903),"")</f>
        <v/>
      </c>
      <c r="AD903" s="40" t="str">
        <f t="shared" si="4"/>
        <v/>
      </c>
      <c r="AE903" s="40" t="str">
        <f>IFERROR(__xludf.DUMMYFUNCTION("IF($AC903="""","""",IF($AC903=IFERROR(MAX(FILTER($AC$6:$AC$1000,$C$6:$C$1000=$C903,$AB$6:$AB$1000=1)),),""WINNER"",""""))"),"")</f>
        <v/>
      </c>
      <c r="AF903" s="40" t="str">
        <f t="shared" si="5"/>
        <v/>
      </c>
      <c r="AG903" s="40" t="str">
        <f>IF($J903="","",COUNTIF(Assignments!$B:$B,$J903))</f>
        <v/>
      </c>
      <c r="AH903" s="40" t="str">
        <f>IF($J903="","",IF(AND($AG903=0,$N903&lt;$M903),Config!$B$43,0))</f>
        <v/>
      </c>
      <c r="AI903" s="40" t="str">
        <f>IF($J903="","",IF(AND($L903="Elite",$F903&gt;=Config!$B$41,$N903&lt;$M903),Config!$B$42,0))</f>
        <v/>
      </c>
      <c r="AJ903" s="22"/>
    </row>
    <row r="904" ht="15.75" customHeight="1">
      <c r="A904" s="40" t="str">
        <f t="shared" si="1"/>
        <v/>
      </c>
      <c r="B904" s="40" t="str">
        <f>IF(Bids!$A904="","",Bids!$A904)</f>
        <v/>
      </c>
      <c r="C904" s="40" t="str">
        <f>IF(Bids!$B904="","",Bids!$B904)</f>
        <v/>
      </c>
      <c r="D904" s="40" t="str">
        <f>IF($C904="","",IFERROR(VLOOKUP($C904,Orders!$A:$J,9,FALSE),""))</f>
        <v/>
      </c>
      <c r="E904" s="40" t="str">
        <f>IF($C904="","",IFERROR(VLOOKUP($C904,Orders!$A:$J,3,FALSE),""))</f>
        <v/>
      </c>
      <c r="F904" s="40" t="str">
        <f>IF($C904="","",IFERROR(VLOOKUP($C904,Orders!$A:$J,4,FALSE),""))</f>
        <v/>
      </c>
      <c r="G904" s="40" t="str">
        <f>IF($C904="","",IFERROR(VLOOKUP($C904,Orders!$A:$J,5,FALSE),""))</f>
        <v/>
      </c>
      <c r="H904" s="40" t="str">
        <f>IF($C904="","",IFERROR(VLOOKUP($C904,Orders!$A:$J,6,FALSE),""))</f>
        <v/>
      </c>
      <c r="I904" s="40" t="str">
        <f>IF($C904="","",IFERROR(VLOOKUP($C904,Orders!$A:$J,7,FALSE),""))</f>
        <v/>
      </c>
      <c r="J904" s="40" t="str">
        <f>IF(Bids!$C904="","",Bids!$C904)</f>
        <v/>
      </c>
      <c r="K904" s="40" t="str">
        <f>IF($J904="","",IFERROR(VLOOKUP($J904,Grinders!$A:$N,2,FALSE),""))</f>
        <v/>
      </c>
      <c r="L904" s="40" t="str">
        <f>IF($J904="","",IFERROR(VLOOKUP($J904,Grinders!$A:$N,3,FALSE),""))</f>
        <v/>
      </c>
      <c r="M904" s="40" t="str">
        <f>IF($J904="","",IFERROR(VLOOKUP($J904,Grinders!$A:$N,4,FALSE),""))</f>
        <v/>
      </c>
      <c r="N904" s="40" t="str">
        <f>IF($J904="","",IFERROR(VLOOKUP($J904,Grinders!$A:$N,5,FALSE),""))</f>
        <v/>
      </c>
      <c r="O904" s="40" t="str">
        <f t="shared" si="2"/>
        <v/>
      </c>
      <c r="P904" s="40" t="str">
        <f>IF($J904="","",IFERROR(VLOOKUP($J904,Grinders!$A:$N,6,FALSE),""))</f>
        <v/>
      </c>
      <c r="Q904" s="40" t="str">
        <f>IF($J904="","",IFERROR(VLOOKUP($J904,Grinders!$A:$N,8,FALSE),""))</f>
        <v/>
      </c>
      <c r="R904" s="40" t="str">
        <f>IFERROR(IF($J904="","",IF($L904="Elite",MAX(50,MIN(100,Config!$B$27*MAX(0,MIN(100,(1-IF($O904="",0,$O904))*100)) + Config!$B$28*MAX(0,MIN(100,(1-MIN(1,IF(Config!$B$30=0,1,$P904/Config!$B$30)))*100)) + Config!$B$29*MAX(0,MIN(100,MIN(1,IF($Q904="",0,$Q904)/Config!$B$23)*100)))),MIN(100,Config!$B$27*MAX(0,MIN(100,(1-IF($O904="",0,$O904))*100)) + Config!$B$28*MAX(0,MIN(100,(1-MIN(1,IF(Config!$B$30=0,1,$P904/Config!$B$30)))*100)) + Config!$B$29*MAX(0,MIN(100,MIN(1,IF($Q904="",0,$Q904)/Config!$B$23)*100))))),"")
</f>
        <v/>
      </c>
      <c r="S904" s="40" t="str">
        <f>IF(Bids!$D904="","",Bids!$D904)</f>
        <v/>
      </c>
      <c r="T904" s="40" t="str">
        <f>IF(Bids!$F904="","",Bids!$F904)</f>
        <v/>
      </c>
      <c r="U904" s="40" t="str">
        <f t="shared" si="3"/>
        <v/>
      </c>
      <c r="V904" s="40" t="str">
        <f>IF($U904="","",IF(Config!$B$17=Config!$B$16,IF($U904&gt;=Config!$B$17,100,0),MAX(0,MIN(100,($U904-Config!$B$16)/(Config!$B$17-Config!$B$16)*100))))</f>
        <v/>
      </c>
      <c r="W904" s="40">
        <f>IF($L904="Elite",Config!$B$21,0)</f>
        <v>0</v>
      </c>
      <c r="X904" s="40" t="str">
        <f>IFERROR(IF(OR($T904="",$G904=""),"",IF($T904&gt;$G904,
  MAX(0, 60-(($T904-$G904)*24/Config!$B$19)*60),
  MEDIAN(60, 100, 60+(($G904-$T904)*24/Config!$B$20)*40)
)),"")
</f>
        <v/>
      </c>
      <c r="Y904" s="40" t="str">
        <f>IF($J904="","",IFERROR(VLOOKUP($J904,Grinders!$A:$N,10,FALSE),""))</f>
        <v/>
      </c>
      <c r="Z904" s="40" t="str">
        <f>IF($J904="","",IFERROR(VLOOKUP($J904,Grinders!$A:$N,11,FALSE),""))</f>
        <v/>
      </c>
      <c r="AA904" s="40" t="str">
        <f>IF($J904="","",IFERROR(VLOOKUP($J904,Grinders!$A:$N,12,FALSE),""))</f>
        <v/>
      </c>
      <c r="AB904" s="40">
        <f>IFERROR(IF(OR($C904="",$J904=""),0,IF($D904&lt;&gt;"Open",0,IF(COUNTIFS(GrinderServices!$B:$B,$J904,GrinderServices!$C:$C,$E904,GrinderServices!$E:$E,"Y")=0,0,IF($U904&lt;Config!$B$16,0,IF(Config!$B$18=1,IF($N904&gt;=$M904,0,1),1))))),"")</f>
        <v>0</v>
      </c>
      <c r="AC904" s="40" t="str">
        <f>IFERROR(IF($AB904=0,"",((Config!$B$6*$V904 + Config!$B$7*$R904 + Config!$B$8*$W904 + Config!$B$9*$X904 + Config!$B$10*$Y904 + Config!$B$11*$Z904 - Config!$B$12*$AA904)/Config!$B$13)+$AH904+$AI904),"")</f>
        <v/>
      </c>
      <c r="AD904" s="40" t="str">
        <f t="shared" si="4"/>
        <v/>
      </c>
      <c r="AE904" s="40" t="str">
        <f>IFERROR(__xludf.DUMMYFUNCTION("IF($AC904="""","""",IF($AC904=IFERROR(MAX(FILTER($AC$6:$AC$1000,$C$6:$C$1000=$C904,$AB$6:$AB$1000=1)),),""WINNER"",""""))"),"")</f>
        <v/>
      </c>
      <c r="AF904" s="40" t="str">
        <f t="shared" si="5"/>
        <v/>
      </c>
      <c r="AG904" s="40" t="str">
        <f>IF($J904="","",COUNTIF(Assignments!$B:$B,$J904))</f>
        <v/>
      </c>
      <c r="AH904" s="40" t="str">
        <f>IF($J904="","",IF(AND($AG904=0,$N904&lt;$M904),Config!$B$43,0))</f>
        <v/>
      </c>
      <c r="AI904" s="40" t="str">
        <f>IF($J904="","",IF(AND($L904="Elite",$F904&gt;=Config!$B$41,$N904&lt;$M904),Config!$B$42,0))</f>
        <v/>
      </c>
      <c r="AJ904" s="22"/>
    </row>
    <row r="905" ht="15.75" customHeight="1">
      <c r="A905" s="40" t="str">
        <f t="shared" si="1"/>
        <v/>
      </c>
      <c r="B905" s="40" t="str">
        <f>IF(Bids!$A905="","",Bids!$A905)</f>
        <v/>
      </c>
      <c r="C905" s="40" t="str">
        <f>IF(Bids!$B905="","",Bids!$B905)</f>
        <v/>
      </c>
      <c r="D905" s="40" t="str">
        <f>IF($C905="","",IFERROR(VLOOKUP($C905,Orders!$A:$J,9,FALSE),""))</f>
        <v/>
      </c>
      <c r="E905" s="40" t="str">
        <f>IF($C905="","",IFERROR(VLOOKUP($C905,Orders!$A:$J,3,FALSE),""))</f>
        <v/>
      </c>
      <c r="F905" s="40" t="str">
        <f>IF($C905="","",IFERROR(VLOOKUP($C905,Orders!$A:$J,4,FALSE),""))</f>
        <v/>
      </c>
      <c r="G905" s="40" t="str">
        <f>IF($C905="","",IFERROR(VLOOKUP($C905,Orders!$A:$J,5,FALSE),""))</f>
        <v/>
      </c>
      <c r="H905" s="40" t="str">
        <f>IF($C905="","",IFERROR(VLOOKUP($C905,Orders!$A:$J,6,FALSE),""))</f>
        <v/>
      </c>
      <c r="I905" s="40" t="str">
        <f>IF($C905="","",IFERROR(VLOOKUP($C905,Orders!$A:$J,7,FALSE),""))</f>
        <v/>
      </c>
      <c r="J905" s="40" t="str">
        <f>IF(Bids!$C905="","",Bids!$C905)</f>
        <v/>
      </c>
      <c r="K905" s="40" t="str">
        <f>IF($J905="","",IFERROR(VLOOKUP($J905,Grinders!$A:$N,2,FALSE),""))</f>
        <v/>
      </c>
      <c r="L905" s="40" t="str">
        <f>IF($J905="","",IFERROR(VLOOKUP($J905,Grinders!$A:$N,3,FALSE),""))</f>
        <v/>
      </c>
      <c r="M905" s="40" t="str">
        <f>IF($J905="","",IFERROR(VLOOKUP($J905,Grinders!$A:$N,4,FALSE),""))</f>
        <v/>
      </c>
      <c r="N905" s="40" t="str">
        <f>IF($J905="","",IFERROR(VLOOKUP($J905,Grinders!$A:$N,5,FALSE),""))</f>
        <v/>
      </c>
      <c r="O905" s="40" t="str">
        <f t="shared" si="2"/>
        <v/>
      </c>
      <c r="P905" s="40" t="str">
        <f>IF($J905="","",IFERROR(VLOOKUP($J905,Grinders!$A:$N,6,FALSE),""))</f>
        <v/>
      </c>
      <c r="Q905" s="40" t="str">
        <f>IF($J905="","",IFERROR(VLOOKUP($J905,Grinders!$A:$N,8,FALSE),""))</f>
        <v/>
      </c>
      <c r="R905" s="40" t="str">
        <f>IFERROR(IF($J905="","",IF($L905="Elite",MAX(50,MIN(100,Config!$B$27*MAX(0,MIN(100,(1-IF($O905="",0,$O905))*100)) + Config!$B$28*MAX(0,MIN(100,(1-MIN(1,IF(Config!$B$30=0,1,$P905/Config!$B$30)))*100)) + Config!$B$29*MAX(0,MIN(100,MIN(1,IF($Q905="",0,$Q905)/Config!$B$23)*100)))),MIN(100,Config!$B$27*MAX(0,MIN(100,(1-IF($O905="",0,$O905))*100)) + Config!$B$28*MAX(0,MIN(100,(1-MIN(1,IF(Config!$B$30=0,1,$P905/Config!$B$30)))*100)) + Config!$B$29*MAX(0,MIN(100,MIN(1,IF($Q905="",0,$Q905)/Config!$B$23)*100))))),"")
</f>
        <v/>
      </c>
      <c r="S905" s="40" t="str">
        <f>IF(Bids!$D905="","",Bids!$D905)</f>
        <v/>
      </c>
      <c r="T905" s="40" t="str">
        <f>IF(Bids!$F905="","",Bids!$F905)</f>
        <v/>
      </c>
      <c r="U905" s="40" t="str">
        <f t="shared" si="3"/>
        <v/>
      </c>
      <c r="V905" s="40" t="str">
        <f>IF($U905="","",IF(Config!$B$17=Config!$B$16,IF($U905&gt;=Config!$B$17,100,0),MAX(0,MIN(100,($U905-Config!$B$16)/(Config!$B$17-Config!$B$16)*100))))</f>
        <v/>
      </c>
      <c r="W905" s="40">
        <f>IF($L905="Elite",Config!$B$21,0)</f>
        <v>0</v>
      </c>
      <c r="X905" s="40" t="str">
        <f>IFERROR(IF(OR($T905="",$G905=""),"",IF($T905&gt;$G905,
  MAX(0, 60-(($T905-$G905)*24/Config!$B$19)*60),
  MEDIAN(60, 100, 60+(($G905-$T905)*24/Config!$B$20)*40)
)),"")
</f>
        <v/>
      </c>
      <c r="Y905" s="40" t="str">
        <f>IF($J905="","",IFERROR(VLOOKUP($J905,Grinders!$A:$N,10,FALSE),""))</f>
        <v/>
      </c>
      <c r="Z905" s="40" t="str">
        <f>IF($J905="","",IFERROR(VLOOKUP($J905,Grinders!$A:$N,11,FALSE),""))</f>
        <v/>
      </c>
      <c r="AA905" s="40" t="str">
        <f>IF($J905="","",IFERROR(VLOOKUP($J905,Grinders!$A:$N,12,FALSE),""))</f>
        <v/>
      </c>
      <c r="AB905" s="40">
        <f>IFERROR(IF(OR($C905="",$J905=""),0,IF($D905&lt;&gt;"Open",0,IF(COUNTIFS(GrinderServices!$B:$B,$J905,GrinderServices!$C:$C,$E905,GrinderServices!$E:$E,"Y")=0,0,IF($U905&lt;Config!$B$16,0,IF(Config!$B$18=1,IF($N905&gt;=$M905,0,1),1))))),"")</f>
        <v>0</v>
      </c>
      <c r="AC905" s="40" t="str">
        <f>IFERROR(IF($AB905=0,"",((Config!$B$6*$V905 + Config!$B$7*$R905 + Config!$B$8*$W905 + Config!$B$9*$X905 + Config!$B$10*$Y905 + Config!$B$11*$Z905 - Config!$B$12*$AA905)/Config!$B$13)+$AH905+$AI905),"")</f>
        <v/>
      </c>
      <c r="AD905" s="40" t="str">
        <f t="shared" si="4"/>
        <v/>
      </c>
      <c r="AE905" s="40" t="str">
        <f>IFERROR(__xludf.DUMMYFUNCTION("IF($AC905="""","""",IF($AC905=IFERROR(MAX(FILTER($AC$6:$AC$1000,$C$6:$C$1000=$C905,$AB$6:$AB$1000=1)),),""WINNER"",""""))"),"")</f>
        <v/>
      </c>
      <c r="AF905" s="40" t="str">
        <f t="shared" si="5"/>
        <v/>
      </c>
      <c r="AG905" s="40" t="str">
        <f>IF($J905="","",COUNTIF(Assignments!$B:$B,$J905))</f>
        <v/>
      </c>
      <c r="AH905" s="40" t="str">
        <f>IF($J905="","",IF(AND($AG905=0,$N905&lt;$M905),Config!$B$43,0))</f>
        <v/>
      </c>
      <c r="AI905" s="40" t="str">
        <f>IF($J905="","",IF(AND($L905="Elite",$F905&gt;=Config!$B$41,$N905&lt;$M905),Config!$B$42,0))</f>
        <v/>
      </c>
      <c r="AJ905" s="22"/>
    </row>
    <row r="906" ht="15.75" customHeight="1">
      <c r="A906" s="40" t="str">
        <f t="shared" si="1"/>
        <v/>
      </c>
      <c r="B906" s="40" t="str">
        <f>IF(Bids!$A906="","",Bids!$A906)</f>
        <v/>
      </c>
      <c r="C906" s="40" t="str">
        <f>IF(Bids!$B906="","",Bids!$B906)</f>
        <v/>
      </c>
      <c r="D906" s="40" t="str">
        <f>IF($C906="","",IFERROR(VLOOKUP($C906,Orders!$A:$J,9,FALSE),""))</f>
        <v/>
      </c>
      <c r="E906" s="40" t="str">
        <f>IF($C906="","",IFERROR(VLOOKUP($C906,Orders!$A:$J,3,FALSE),""))</f>
        <v/>
      </c>
      <c r="F906" s="40" t="str">
        <f>IF($C906="","",IFERROR(VLOOKUP($C906,Orders!$A:$J,4,FALSE),""))</f>
        <v/>
      </c>
      <c r="G906" s="40" t="str">
        <f>IF($C906="","",IFERROR(VLOOKUP($C906,Orders!$A:$J,5,FALSE),""))</f>
        <v/>
      </c>
      <c r="H906" s="40" t="str">
        <f>IF($C906="","",IFERROR(VLOOKUP($C906,Orders!$A:$J,6,FALSE),""))</f>
        <v/>
      </c>
      <c r="I906" s="40" t="str">
        <f>IF($C906="","",IFERROR(VLOOKUP($C906,Orders!$A:$J,7,FALSE),""))</f>
        <v/>
      </c>
      <c r="J906" s="40" t="str">
        <f>IF(Bids!$C906="","",Bids!$C906)</f>
        <v/>
      </c>
      <c r="K906" s="40" t="str">
        <f>IF($J906="","",IFERROR(VLOOKUP($J906,Grinders!$A:$N,2,FALSE),""))</f>
        <v/>
      </c>
      <c r="L906" s="40" t="str">
        <f>IF($J906="","",IFERROR(VLOOKUP($J906,Grinders!$A:$N,3,FALSE),""))</f>
        <v/>
      </c>
      <c r="M906" s="40" t="str">
        <f>IF($J906="","",IFERROR(VLOOKUP($J906,Grinders!$A:$N,4,FALSE),""))</f>
        <v/>
      </c>
      <c r="N906" s="40" t="str">
        <f>IF($J906="","",IFERROR(VLOOKUP($J906,Grinders!$A:$N,5,FALSE),""))</f>
        <v/>
      </c>
      <c r="O906" s="40" t="str">
        <f t="shared" si="2"/>
        <v/>
      </c>
      <c r="P906" s="40" t="str">
        <f>IF($J906="","",IFERROR(VLOOKUP($J906,Grinders!$A:$N,6,FALSE),""))</f>
        <v/>
      </c>
      <c r="Q906" s="40" t="str">
        <f>IF($J906="","",IFERROR(VLOOKUP($J906,Grinders!$A:$N,8,FALSE),""))</f>
        <v/>
      </c>
      <c r="R906" s="40" t="str">
        <f>IFERROR(IF($J906="","",IF($L906="Elite",MAX(50,MIN(100,Config!$B$27*MAX(0,MIN(100,(1-IF($O906="",0,$O906))*100)) + Config!$B$28*MAX(0,MIN(100,(1-MIN(1,IF(Config!$B$30=0,1,$P906/Config!$B$30)))*100)) + Config!$B$29*MAX(0,MIN(100,MIN(1,IF($Q906="",0,$Q906)/Config!$B$23)*100)))),MIN(100,Config!$B$27*MAX(0,MIN(100,(1-IF($O906="",0,$O906))*100)) + Config!$B$28*MAX(0,MIN(100,(1-MIN(1,IF(Config!$B$30=0,1,$P906/Config!$B$30)))*100)) + Config!$B$29*MAX(0,MIN(100,MIN(1,IF($Q906="",0,$Q906)/Config!$B$23)*100))))),"")
</f>
        <v/>
      </c>
      <c r="S906" s="40" t="str">
        <f>IF(Bids!$D906="","",Bids!$D906)</f>
        <v/>
      </c>
      <c r="T906" s="40" t="str">
        <f>IF(Bids!$F906="","",Bids!$F906)</f>
        <v/>
      </c>
      <c r="U906" s="40" t="str">
        <f t="shared" si="3"/>
        <v/>
      </c>
      <c r="V906" s="40" t="str">
        <f>IF($U906="","",IF(Config!$B$17=Config!$B$16,IF($U906&gt;=Config!$B$17,100,0),MAX(0,MIN(100,($U906-Config!$B$16)/(Config!$B$17-Config!$B$16)*100))))</f>
        <v/>
      </c>
      <c r="W906" s="40">
        <f>IF($L906="Elite",Config!$B$21,0)</f>
        <v>0</v>
      </c>
      <c r="X906" s="40" t="str">
        <f>IFERROR(IF(OR($T906="",$G906=""),"",IF($T906&gt;$G906,
  MAX(0, 60-(($T906-$G906)*24/Config!$B$19)*60),
  MEDIAN(60, 100, 60+(($G906-$T906)*24/Config!$B$20)*40)
)),"")
</f>
        <v/>
      </c>
      <c r="Y906" s="40" t="str">
        <f>IF($J906="","",IFERROR(VLOOKUP($J906,Grinders!$A:$N,10,FALSE),""))</f>
        <v/>
      </c>
      <c r="Z906" s="40" t="str">
        <f>IF($J906="","",IFERROR(VLOOKUP($J906,Grinders!$A:$N,11,FALSE),""))</f>
        <v/>
      </c>
      <c r="AA906" s="40" t="str">
        <f>IF($J906="","",IFERROR(VLOOKUP($J906,Grinders!$A:$N,12,FALSE),""))</f>
        <v/>
      </c>
      <c r="AB906" s="40">
        <f>IFERROR(IF(OR($C906="",$J906=""),0,IF($D906&lt;&gt;"Open",0,IF(COUNTIFS(GrinderServices!$B:$B,$J906,GrinderServices!$C:$C,$E906,GrinderServices!$E:$E,"Y")=0,0,IF($U906&lt;Config!$B$16,0,IF(Config!$B$18=1,IF($N906&gt;=$M906,0,1),1))))),"")</f>
        <v>0</v>
      </c>
      <c r="AC906" s="40" t="str">
        <f>IFERROR(IF($AB906=0,"",((Config!$B$6*$V906 + Config!$B$7*$R906 + Config!$B$8*$W906 + Config!$B$9*$X906 + Config!$B$10*$Y906 + Config!$B$11*$Z906 - Config!$B$12*$AA906)/Config!$B$13)+$AH906+$AI906),"")</f>
        <v/>
      </c>
      <c r="AD906" s="40" t="str">
        <f t="shared" si="4"/>
        <v/>
      </c>
      <c r="AE906" s="40" t="str">
        <f>IFERROR(__xludf.DUMMYFUNCTION("IF($AC906="""","""",IF($AC906=IFERROR(MAX(FILTER($AC$6:$AC$1000,$C$6:$C$1000=$C906,$AB$6:$AB$1000=1)),),""WINNER"",""""))"),"")</f>
        <v/>
      </c>
      <c r="AF906" s="40" t="str">
        <f t="shared" si="5"/>
        <v/>
      </c>
      <c r="AG906" s="40" t="str">
        <f>IF($J906="","",COUNTIF(Assignments!$B:$B,$J906))</f>
        <v/>
      </c>
      <c r="AH906" s="40" t="str">
        <f>IF($J906="","",IF(AND($AG906=0,$N906&lt;$M906),Config!$B$43,0))</f>
        <v/>
      </c>
      <c r="AI906" s="40" t="str">
        <f>IF($J906="","",IF(AND($L906="Elite",$F906&gt;=Config!$B$41,$N906&lt;$M906),Config!$B$42,0))</f>
        <v/>
      </c>
      <c r="AJ906" s="22"/>
    </row>
    <row r="907" ht="15.75" customHeight="1">
      <c r="A907" s="40" t="str">
        <f t="shared" si="1"/>
        <v/>
      </c>
      <c r="B907" s="40" t="str">
        <f>IF(Bids!$A907="","",Bids!$A907)</f>
        <v/>
      </c>
      <c r="C907" s="40" t="str">
        <f>IF(Bids!$B907="","",Bids!$B907)</f>
        <v/>
      </c>
      <c r="D907" s="40" t="str">
        <f>IF($C907="","",IFERROR(VLOOKUP($C907,Orders!$A:$J,9,FALSE),""))</f>
        <v/>
      </c>
      <c r="E907" s="40" t="str">
        <f>IF($C907="","",IFERROR(VLOOKUP($C907,Orders!$A:$J,3,FALSE),""))</f>
        <v/>
      </c>
      <c r="F907" s="40" t="str">
        <f>IF($C907="","",IFERROR(VLOOKUP($C907,Orders!$A:$J,4,FALSE),""))</f>
        <v/>
      </c>
      <c r="G907" s="40" t="str">
        <f>IF($C907="","",IFERROR(VLOOKUP($C907,Orders!$A:$J,5,FALSE),""))</f>
        <v/>
      </c>
      <c r="H907" s="40" t="str">
        <f>IF($C907="","",IFERROR(VLOOKUP($C907,Orders!$A:$J,6,FALSE),""))</f>
        <v/>
      </c>
      <c r="I907" s="40" t="str">
        <f>IF($C907="","",IFERROR(VLOOKUP($C907,Orders!$A:$J,7,FALSE),""))</f>
        <v/>
      </c>
      <c r="J907" s="40" t="str">
        <f>IF(Bids!$C907="","",Bids!$C907)</f>
        <v/>
      </c>
      <c r="K907" s="40" t="str">
        <f>IF($J907="","",IFERROR(VLOOKUP($J907,Grinders!$A:$N,2,FALSE),""))</f>
        <v/>
      </c>
      <c r="L907" s="40" t="str">
        <f>IF($J907="","",IFERROR(VLOOKUP($J907,Grinders!$A:$N,3,FALSE),""))</f>
        <v/>
      </c>
      <c r="M907" s="40" t="str">
        <f>IF($J907="","",IFERROR(VLOOKUP($J907,Grinders!$A:$N,4,FALSE),""))</f>
        <v/>
      </c>
      <c r="N907" s="40" t="str">
        <f>IF($J907="","",IFERROR(VLOOKUP($J907,Grinders!$A:$N,5,FALSE),""))</f>
        <v/>
      </c>
      <c r="O907" s="40" t="str">
        <f t="shared" si="2"/>
        <v/>
      </c>
      <c r="P907" s="40" t="str">
        <f>IF($J907="","",IFERROR(VLOOKUP($J907,Grinders!$A:$N,6,FALSE),""))</f>
        <v/>
      </c>
      <c r="Q907" s="40" t="str">
        <f>IF($J907="","",IFERROR(VLOOKUP($J907,Grinders!$A:$N,8,FALSE),""))</f>
        <v/>
      </c>
      <c r="R907" s="40" t="str">
        <f>IFERROR(IF($J907="","",IF($L907="Elite",MAX(50,MIN(100,Config!$B$27*MAX(0,MIN(100,(1-IF($O907="",0,$O907))*100)) + Config!$B$28*MAX(0,MIN(100,(1-MIN(1,IF(Config!$B$30=0,1,$P907/Config!$B$30)))*100)) + Config!$B$29*MAX(0,MIN(100,MIN(1,IF($Q907="",0,$Q907)/Config!$B$23)*100)))),MIN(100,Config!$B$27*MAX(0,MIN(100,(1-IF($O907="",0,$O907))*100)) + Config!$B$28*MAX(0,MIN(100,(1-MIN(1,IF(Config!$B$30=0,1,$P907/Config!$B$30)))*100)) + Config!$B$29*MAX(0,MIN(100,MIN(1,IF($Q907="",0,$Q907)/Config!$B$23)*100))))),"")
</f>
        <v/>
      </c>
      <c r="S907" s="40" t="str">
        <f>IF(Bids!$D907="","",Bids!$D907)</f>
        <v/>
      </c>
      <c r="T907" s="40" t="str">
        <f>IF(Bids!$F907="","",Bids!$F907)</f>
        <v/>
      </c>
      <c r="U907" s="40" t="str">
        <f t="shared" si="3"/>
        <v/>
      </c>
      <c r="V907" s="40" t="str">
        <f>IF($U907="","",IF(Config!$B$17=Config!$B$16,IF($U907&gt;=Config!$B$17,100,0),MAX(0,MIN(100,($U907-Config!$B$16)/(Config!$B$17-Config!$B$16)*100))))</f>
        <v/>
      </c>
      <c r="W907" s="40">
        <f>IF($L907="Elite",Config!$B$21,0)</f>
        <v>0</v>
      </c>
      <c r="X907" s="40" t="str">
        <f>IFERROR(IF(OR($T907="",$G907=""),"",IF($T907&gt;$G907,
  MAX(0, 60-(($T907-$G907)*24/Config!$B$19)*60),
  MEDIAN(60, 100, 60+(($G907-$T907)*24/Config!$B$20)*40)
)),"")
</f>
        <v/>
      </c>
      <c r="Y907" s="40" t="str">
        <f>IF($J907="","",IFERROR(VLOOKUP($J907,Grinders!$A:$N,10,FALSE),""))</f>
        <v/>
      </c>
      <c r="Z907" s="40" t="str">
        <f>IF($J907="","",IFERROR(VLOOKUP($J907,Grinders!$A:$N,11,FALSE),""))</f>
        <v/>
      </c>
      <c r="AA907" s="40" t="str">
        <f>IF($J907="","",IFERROR(VLOOKUP($J907,Grinders!$A:$N,12,FALSE),""))</f>
        <v/>
      </c>
      <c r="AB907" s="40">
        <f>IFERROR(IF(OR($C907="",$J907=""),0,IF($D907&lt;&gt;"Open",0,IF(COUNTIFS(GrinderServices!$B:$B,$J907,GrinderServices!$C:$C,$E907,GrinderServices!$E:$E,"Y")=0,0,IF($U907&lt;Config!$B$16,0,IF(Config!$B$18=1,IF($N907&gt;=$M907,0,1),1))))),"")</f>
        <v>0</v>
      </c>
      <c r="AC907" s="40" t="str">
        <f>IFERROR(IF($AB907=0,"",((Config!$B$6*$V907 + Config!$B$7*$R907 + Config!$B$8*$W907 + Config!$B$9*$X907 + Config!$B$10*$Y907 + Config!$B$11*$Z907 - Config!$B$12*$AA907)/Config!$B$13)+$AH907+$AI907),"")</f>
        <v/>
      </c>
      <c r="AD907" s="40" t="str">
        <f t="shared" si="4"/>
        <v/>
      </c>
      <c r="AE907" s="40" t="str">
        <f>IFERROR(__xludf.DUMMYFUNCTION("IF($AC907="""","""",IF($AC907=IFERROR(MAX(FILTER($AC$6:$AC$1000,$C$6:$C$1000=$C907,$AB$6:$AB$1000=1)),),""WINNER"",""""))"),"")</f>
        <v/>
      </c>
      <c r="AF907" s="40" t="str">
        <f t="shared" si="5"/>
        <v/>
      </c>
      <c r="AG907" s="40" t="str">
        <f>IF($J907="","",COUNTIF(Assignments!$B:$B,$J907))</f>
        <v/>
      </c>
      <c r="AH907" s="40" t="str">
        <f>IF($J907="","",IF(AND($AG907=0,$N907&lt;$M907),Config!$B$43,0))</f>
        <v/>
      </c>
      <c r="AI907" s="40" t="str">
        <f>IF($J907="","",IF(AND($L907="Elite",$F907&gt;=Config!$B$41,$N907&lt;$M907),Config!$B$42,0))</f>
        <v/>
      </c>
      <c r="AJ907" s="22"/>
    </row>
    <row r="908" ht="15.75" customHeight="1">
      <c r="A908" s="40" t="str">
        <f t="shared" si="1"/>
        <v/>
      </c>
      <c r="B908" s="40" t="str">
        <f>IF(Bids!$A908="","",Bids!$A908)</f>
        <v/>
      </c>
      <c r="C908" s="40" t="str">
        <f>IF(Bids!$B908="","",Bids!$B908)</f>
        <v/>
      </c>
      <c r="D908" s="40" t="str">
        <f>IF($C908="","",IFERROR(VLOOKUP($C908,Orders!$A:$J,9,FALSE),""))</f>
        <v/>
      </c>
      <c r="E908" s="40" t="str">
        <f>IF($C908="","",IFERROR(VLOOKUP($C908,Orders!$A:$J,3,FALSE),""))</f>
        <v/>
      </c>
      <c r="F908" s="40" t="str">
        <f>IF($C908="","",IFERROR(VLOOKUP($C908,Orders!$A:$J,4,FALSE),""))</f>
        <v/>
      </c>
      <c r="G908" s="40" t="str">
        <f>IF($C908="","",IFERROR(VLOOKUP($C908,Orders!$A:$J,5,FALSE),""))</f>
        <v/>
      </c>
      <c r="H908" s="40" t="str">
        <f>IF($C908="","",IFERROR(VLOOKUP($C908,Orders!$A:$J,6,FALSE),""))</f>
        <v/>
      </c>
      <c r="I908" s="40" t="str">
        <f>IF($C908="","",IFERROR(VLOOKUP($C908,Orders!$A:$J,7,FALSE),""))</f>
        <v/>
      </c>
      <c r="J908" s="40" t="str">
        <f>IF(Bids!$C908="","",Bids!$C908)</f>
        <v/>
      </c>
      <c r="K908" s="40" t="str">
        <f>IF($J908="","",IFERROR(VLOOKUP($J908,Grinders!$A:$N,2,FALSE),""))</f>
        <v/>
      </c>
      <c r="L908" s="40" t="str">
        <f>IF($J908="","",IFERROR(VLOOKUP($J908,Grinders!$A:$N,3,FALSE),""))</f>
        <v/>
      </c>
      <c r="M908" s="40" t="str">
        <f>IF($J908="","",IFERROR(VLOOKUP($J908,Grinders!$A:$N,4,FALSE),""))</f>
        <v/>
      </c>
      <c r="N908" s="40" t="str">
        <f>IF($J908="","",IFERROR(VLOOKUP($J908,Grinders!$A:$N,5,FALSE),""))</f>
        <v/>
      </c>
      <c r="O908" s="40" t="str">
        <f t="shared" si="2"/>
        <v/>
      </c>
      <c r="P908" s="40" t="str">
        <f>IF($J908="","",IFERROR(VLOOKUP($J908,Grinders!$A:$N,6,FALSE),""))</f>
        <v/>
      </c>
      <c r="Q908" s="40" t="str">
        <f>IF($J908="","",IFERROR(VLOOKUP($J908,Grinders!$A:$N,8,FALSE),""))</f>
        <v/>
      </c>
      <c r="R908" s="40" t="str">
        <f>IFERROR(IF($J908="","",IF($L908="Elite",MAX(50,MIN(100,Config!$B$27*MAX(0,MIN(100,(1-IF($O908="",0,$O908))*100)) + Config!$B$28*MAX(0,MIN(100,(1-MIN(1,IF(Config!$B$30=0,1,$P908/Config!$B$30)))*100)) + Config!$B$29*MAX(0,MIN(100,MIN(1,IF($Q908="",0,$Q908)/Config!$B$23)*100)))),MIN(100,Config!$B$27*MAX(0,MIN(100,(1-IF($O908="",0,$O908))*100)) + Config!$B$28*MAX(0,MIN(100,(1-MIN(1,IF(Config!$B$30=0,1,$P908/Config!$B$30)))*100)) + Config!$B$29*MAX(0,MIN(100,MIN(1,IF($Q908="",0,$Q908)/Config!$B$23)*100))))),"")
</f>
        <v/>
      </c>
      <c r="S908" s="40" t="str">
        <f>IF(Bids!$D908="","",Bids!$D908)</f>
        <v/>
      </c>
      <c r="T908" s="40" t="str">
        <f>IF(Bids!$F908="","",Bids!$F908)</f>
        <v/>
      </c>
      <c r="U908" s="40" t="str">
        <f t="shared" si="3"/>
        <v/>
      </c>
      <c r="V908" s="40" t="str">
        <f>IF($U908="","",IF(Config!$B$17=Config!$B$16,IF($U908&gt;=Config!$B$17,100,0),MAX(0,MIN(100,($U908-Config!$B$16)/(Config!$B$17-Config!$B$16)*100))))</f>
        <v/>
      </c>
      <c r="W908" s="40">
        <f>IF($L908="Elite",Config!$B$21,0)</f>
        <v>0</v>
      </c>
      <c r="X908" s="40" t="str">
        <f>IFERROR(IF(OR($T908="",$G908=""),"",IF($T908&gt;$G908,
  MAX(0, 60-(($T908-$G908)*24/Config!$B$19)*60),
  MEDIAN(60, 100, 60+(($G908-$T908)*24/Config!$B$20)*40)
)),"")
</f>
        <v/>
      </c>
      <c r="Y908" s="40" t="str">
        <f>IF($J908="","",IFERROR(VLOOKUP($J908,Grinders!$A:$N,10,FALSE),""))</f>
        <v/>
      </c>
      <c r="Z908" s="40" t="str">
        <f>IF($J908="","",IFERROR(VLOOKUP($J908,Grinders!$A:$N,11,FALSE),""))</f>
        <v/>
      </c>
      <c r="AA908" s="40" t="str">
        <f>IF($J908="","",IFERROR(VLOOKUP($J908,Grinders!$A:$N,12,FALSE),""))</f>
        <v/>
      </c>
      <c r="AB908" s="40">
        <f>IFERROR(IF(OR($C908="",$J908=""),0,IF($D908&lt;&gt;"Open",0,IF(COUNTIFS(GrinderServices!$B:$B,$J908,GrinderServices!$C:$C,$E908,GrinderServices!$E:$E,"Y")=0,0,IF($U908&lt;Config!$B$16,0,IF(Config!$B$18=1,IF($N908&gt;=$M908,0,1),1))))),"")</f>
        <v>0</v>
      </c>
      <c r="AC908" s="40" t="str">
        <f>IFERROR(IF($AB908=0,"",((Config!$B$6*$V908 + Config!$B$7*$R908 + Config!$B$8*$W908 + Config!$B$9*$X908 + Config!$B$10*$Y908 + Config!$B$11*$Z908 - Config!$B$12*$AA908)/Config!$B$13)+$AH908+$AI908),"")</f>
        <v/>
      </c>
      <c r="AD908" s="40" t="str">
        <f t="shared" si="4"/>
        <v/>
      </c>
      <c r="AE908" s="40" t="str">
        <f>IFERROR(__xludf.DUMMYFUNCTION("IF($AC908="""","""",IF($AC908=IFERROR(MAX(FILTER($AC$6:$AC$1000,$C$6:$C$1000=$C908,$AB$6:$AB$1000=1)),),""WINNER"",""""))"),"")</f>
        <v/>
      </c>
      <c r="AF908" s="40" t="str">
        <f t="shared" si="5"/>
        <v/>
      </c>
      <c r="AG908" s="40" t="str">
        <f>IF($J908="","",COUNTIF(Assignments!$B:$B,$J908))</f>
        <v/>
      </c>
      <c r="AH908" s="40" t="str">
        <f>IF($J908="","",IF(AND($AG908=0,$N908&lt;$M908),Config!$B$43,0))</f>
        <v/>
      </c>
      <c r="AI908" s="40" t="str">
        <f>IF($J908="","",IF(AND($L908="Elite",$F908&gt;=Config!$B$41,$N908&lt;$M908),Config!$B$42,0))</f>
        <v/>
      </c>
      <c r="AJ908" s="22"/>
    </row>
    <row r="909" ht="15.75" customHeight="1">
      <c r="A909" s="40" t="str">
        <f t="shared" si="1"/>
        <v/>
      </c>
      <c r="B909" s="40" t="str">
        <f>IF(Bids!$A909="","",Bids!$A909)</f>
        <v/>
      </c>
      <c r="C909" s="40" t="str">
        <f>IF(Bids!$B909="","",Bids!$B909)</f>
        <v/>
      </c>
      <c r="D909" s="40" t="str">
        <f>IF($C909="","",IFERROR(VLOOKUP($C909,Orders!$A:$J,9,FALSE),""))</f>
        <v/>
      </c>
      <c r="E909" s="40" t="str">
        <f>IF($C909="","",IFERROR(VLOOKUP($C909,Orders!$A:$J,3,FALSE),""))</f>
        <v/>
      </c>
      <c r="F909" s="40" t="str">
        <f>IF($C909="","",IFERROR(VLOOKUP($C909,Orders!$A:$J,4,FALSE),""))</f>
        <v/>
      </c>
      <c r="G909" s="40" t="str">
        <f>IF($C909="","",IFERROR(VLOOKUP($C909,Orders!$A:$J,5,FALSE),""))</f>
        <v/>
      </c>
      <c r="H909" s="40" t="str">
        <f>IF($C909="","",IFERROR(VLOOKUP($C909,Orders!$A:$J,6,FALSE),""))</f>
        <v/>
      </c>
      <c r="I909" s="40" t="str">
        <f>IF($C909="","",IFERROR(VLOOKUP($C909,Orders!$A:$J,7,FALSE),""))</f>
        <v/>
      </c>
      <c r="J909" s="40" t="str">
        <f>IF(Bids!$C909="","",Bids!$C909)</f>
        <v/>
      </c>
      <c r="K909" s="40" t="str">
        <f>IF($J909="","",IFERROR(VLOOKUP($J909,Grinders!$A:$N,2,FALSE),""))</f>
        <v/>
      </c>
      <c r="L909" s="40" t="str">
        <f>IF($J909="","",IFERROR(VLOOKUP($J909,Grinders!$A:$N,3,FALSE),""))</f>
        <v/>
      </c>
      <c r="M909" s="40" t="str">
        <f>IF($J909="","",IFERROR(VLOOKUP($J909,Grinders!$A:$N,4,FALSE),""))</f>
        <v/>
      </c>
      <c r="N909" s="40" t="str">
        <f>IF($J909="","",IFERROR(VLOOKUP($J909,Grinders!$A:$N,5,FALSE),""))</f>
        <v/>
      </c>
      <c r="O909" s="40" t="str">
        <f t="shared" si="2"/>
        <v/>
      </c>
      <c r="P909" s="40" t="str">
        <f>IF($J909="","",IFERROR(VLOOKUP($J909,Grinders!$A:$N,6,FALSE),""))</f>
        <v/>
      </c>
      <c r="Q909" s="40" t="str">
        <f>IF($J909="","",IFERROR(VLOOKUP($J909,Grinders!$A:$N,8,FALSE),""))</f>
        <v/>
      </c>
      <c r="R909" s="40" t="str">
        <f>IFERROR(IF($J909="","",IF($L909="Elite",MAX(50,MIN(100,Config!$B$27*MAX(0,MIN(100,(1-IF($O909="",0,$O909))*100)) + Config!$B$28*MAX(0,MIN(100,(1-MIN(1,IF(Config!$B$30=0,1,$P909/Config!$B$30)))*100)) + Config!$B$29*MAX(0,MIN(100,MIN(1,IF($Q909="",0,$Q909)/Config!$B$23)*100)))),MIN(100,Config!$B$27*MAX(0,MIN(100,(1-IF($O909="",0,$O909))*100)) + Config!$B$28*MAX(0,MIN(100,(1-MIN(1,IF(Config!$B$30=0,1,$P909/Config!$B$30)))*100)) + Config!$B$29*MAX(0,MIN(100,MIN(1,IF($Q909="",0,$Q909)/Config!$B$23)*100))))),"")
</f>
        <v/>
      </c>
      <c r="S909" s="40" t="str">
        <f>IF(Bids!$D909="","",Bids!$D909)</f>
        <v/>
      </c>
      <c r="T909" s="40" t="str">
        <f>IF(Bids!$F909="","",Bids!$F909)</f>
        <v/>
      </c>
      <c r="U909" s="40" t="str">
        <f t="shared" si="3"/>
        <v/>
      </c>
      <c r="V909" s="40" t="str">
        <f>IF($U909="","",IF(Config!$B$17=Config!$B$16,IF($U909&gt;=Config!$B$17,100,0),MAX(0,MIN(100,($U909-Config!$B$16)/(Config!$B$17-Config!$B$16)*100))))</f>
        <v/>
      </c>
      <c r="W909" s="40">
        <f>IF($L909="Elite",Config!$B$21,0)</f>
        <v>0</v>
      </c>
      <c r="X909" s="40" t="str">
        <f>IFERROR(IF(OR($T909="",$G909=""),"",IF($T909&gt;$G909,
  MAX(0, 60-(($T909-$G909)*24/Config!$B$19)*60),
  MEDIAN(60, 100, 60+(($G909-$T909)*24/Config!$B$20)*40)
)),"")
</f>
        <v/>
      </c>
      <c r="Y909" s="40" t="str">
        <f>IF($J909="","",IFERROR(VLOOKUP($J909,Grinders!$A:$N,10,FALSE),""))</f>
        <v/>
      </c>
      <c r="Z909" s="40" t="str">
        <f>IF($J909="","",IFERROR(VLOOKUP($J909,Grinders!$A:$N,11,FALSE),""))</f>
        <v/>
      </c>
      <c r="AA909" s="40" t="str">
        <f>IF($J909="","",IFERROR(VLOOKUP($J909,Grinders!$A:$N,12,FALSE),""))</f>
        <v/>
      </c>
      <c r="AB909" s="40">
        <f>IFERROR(IF(OR($C909="",$J909=""),0,IF($D909&lt;&gt;"Open",0,IF(COUNTIFS(GrinderServices!$B:$B,$J909,GrinderServices!$C:$C,$E909,GrinderServices!$E:$E,"Y")=0,0,IF($U909&lt;Config!$B$16,0,IF(Config!$B$18=1,IF($N909&gt;=$M909,0,1),1))))),"")</f>
        <v>0</v>
      </c>
      <c r="AC909" s="40" t="str">
        <f>IFERROR(IF($AB909=0,"",((Config!$B$6*$V909 + Config!$B$7*$R909 + Config!$B$8*$W909 + Config!$B$9*$X909 + Config!$B$10*$Y909 + Config!$B$11*$Z909 - Config!$B$12*$AA909)/Config!$B$13)+$AH909+$AI909),"")</f>
        <v/>
      </c>
      <c r="AD909" s="40" t="str">
        <f t="shared" si="4"/>
        <v/>
      </c>
      <c r="AE909" s="40" t="str">
        <f>IFERROR(__xludf.DUMMYFUNCTION("IF($AC909="""","""",IF($AC909=IFERROR(MAX(FILTER($AC$6:$AC$1000,$C$6:$C$1000=$C909,$AB$6:$AB$1000=1)),),""WINNER"",""""))"),"")</f>
        <v/>
      </c>
      <c r="AF909" s="40" t="str">
        <f t="shared" si="5"/>
        <v/>
      </c>
      <c r="AG909" s="40" t="str">
        <f>IF($J909="","",COUNTIF(Assignments!$B:$B,$J909))</f>
        <v/>
      </c>
      <c r="AH909" s="40" t="str">
        <f>IF($J909="","",IF(AND($AG909=0,$N909&lt;$M909),Config!$B$43,0))</f>
        <v/>
      </c>
      <c r="AI909" s="40" t="str">
        <f>IF($J909="","",IF(AND($L909="Elite",$F909&gt;=Config!$B$41,$N909&lt;$M909),Config!$B$42,0))</f>
        <v/>
      </c>
      <c r="AJ909" s="22"/>
    </row>
    <row r="910" ht="15.75" customHeight="1">
      <c r="A910" s="40" t="str">
        <f t="shared" si="1"/>
        <v/>
      </c>
      <c r="B910" s="40" t="str">
        <f>IF(Bids!$A910="","",Bids!$A910)</f>
        <v/>
      </c>
      <c r="C910" s="40" t="str">
        <f>IF(Bids!$B910="","",Bids!$B910)</f>
        <v/>
      </c>
      <c r="D910" s="40" t="str">
        <f>IF($C910="","",IFERROR(VLOOKUP($C910,Orders!$A:$J,9,FALSE),""))</f>
        <v/>
      </c>
      <c r="E910" s="40" t="str">
        <f>IF($C910="","",IFERROR(VLOOKUP($C910,Orders!$A:$J,3,FALSE),""))</f>
        <v/>
      </c>
      <c r="F910" s="40" t="str">
        <f>IF($C910="","",IFERROR(VLOOKUP($C910,Orders!$A:$J,4,FALSE),""))</f>
        <v/>
      </c>
      <c r="G910" s="40" t="str">
        <f>IF($C910="","",IFERROR(VLOOKUP($C910,Orders!$A:$J,5,FALSE),""))</f>
        <v/>
      </c>
      <c r="H910" s="40" t="str">
        <f>IF($C910="","",IFERROR(VLOOKUP($C910,Orders!$A:$J,6,FALSE),""))</f>
        <v/>
      </c>
      <c r="I910" s="40" t="str">
        <f>IF($C910="","",IFERROR(VLOOKUP($C910,Orders!$A:$J,7,FALSE),""))</f>
        <v/>
      </c>
      <c r="J910" s="40" t="str">
        <f>IF(Bids!$C910="","",Bids!$C910)</f>
        <v/>
      </c>
      <c r="K910" s="40" t="str">
        <f>IF($J910="","",IFERROR(VLOOKUP($J910,Grinders!$A:$N,2,FALSE),""))</f>
        <v/>
      </c>
      <c r="L910" s="40" t="str">
        <f>IF($J910="","",IFERROR(VLOOKUP($J910,Grinders!$A:$N,3,FALSE),""))</f>
        <v/>
      </c>
      <c r="M910" s="40" t="str">
        <f>IF($J910="","",IFERROR(VLOOKUP($J910,Grinders!$A:$N,4,FALSE),""))</f>
        <v/>
      </c>
      <c r="N910" s="40" t="str">
        <f>IF($J910="","",IFERROR(VLOOKUP($J910,Grinders!$A:$N,5,FALSE),""))</f>
        <v/>
      </c>
      <c r="O910" s="40" t="str">
        <f t="shared" si="2"/>
        <v/>
      </c>
      <c r="P910" s="40" t="str">
        <f>IF($J910="","",IFERROR(VLOOKUP($J910,Grinders!$A:$N,6,FALSE),""))</f>
        <v/>
      </c>
      <c r="Q910" s="40" t="str">
        <f>IF($J910="","",IFERROR(VLOOKUP($J910,Grinders!$A:$N,8,FALSE),""))</f>
        <v/>
      </c>
      <c r="R910" s="40" t="str">
        <f>IFERROR(IF($J910="","",IF($L910="Elite",MAX(50,MIN(100,Config!$B$27*MAX(0,MIN(100,(1-IF($O910="",0,$O910))*100)) + Config!$B$28*MAX(0,MIN(100,(1-MIN(1,IF(Config!$B$30=0,1,$P910/Config!$B$30)))*100)) + Config!$B$29*MAX(0,MIN(100,MIN(1,IF($Q910="",0,$Q910)/Config!$B$23)*100)))),MIN(100,Config!$B$27*MAX(0,MIN(100,(1-IF($O910="",0,$O910))*100)) + Config!$B$28*MAX(0,MIN(100,(1-MIN(1,IF(Config!$B$30=0,1,$P910/Config!$B$30)))*100)) + Config!$B$29*MAX(0,MIN(100,MIN(1,IF($Q910="",0,$Q910)/Config!$B$23)*100))))),"")
</f>
        <v/>
      </c>
      <c r="S910" s="40" t="str">
        <f>IF(Bids!$D910="","",Bids!$D910)</f>
        <v/>
      </c>
      <c r="T910" s="40" t="str">
        <f>IF(Bids!$F910="","",Bids!$F910)</f>
        <v/>
      </c>
      <c r="U910" s="40" t="str">
        <f t="shared" si="3"/>
        <v/>
      </c>
      <c r="V910" s="40" t="str">
        <f>IF($U910="","",IF(Config!$B$17=Config!$B$16,IF($U910&gt;=Config!$B$17,100,0),MAX(0,MIN(100,($U910-Config!$B$16)/(Config!$B$17-Config!$B$16)*100))))</f>
        <v/>
      </c>
      <c r="W910" s="40">
        <f>IF($L910="Elite",Config!$B$21,0)</f>
        <v>0</v>
      </c>
      <c r="X910" s="40" t="str">
        <f>IFERROR(IF(OR($T910="",$G910=""),"",IF($T910&gt;$G910,
  MAX(0, 60-(($T910-$G910)*24/Config!$B$19)*60),
  MEDIAN(60, 100, 60+(($G910-$T910)*24/Config!$B$20)*40)
)),"")
</f>
        <v/>
      </c>
      <c r="Y910" s="40" t="str">
        <f>IF($J910="","",IFERROR(VLOOKUP($J910,Grinders!$A:$N,10,FALSE),""))</f>
        <v/>
      </c>
      <c r="Z910" s="40" t="str">
        <f>IF($J910="","",IFERROR(VLOOKUP($J910,Grinders!$A:$N,11,FALSE),""))</f>
        <v/>
      </c>
      <c r="AA910" s="40" t="str">
        <f>IF($J910="","",IFERROR(VLOOKUP($J910,Grinders!$A:$N,12,FALSE),""))</f>
        <v/>
      </c>
      <c r="AB910" s="40">
        <f>IFERROR(IF(OR($C910="",$J910=""),0,IF($D910&lt;&gt;"Open",0,IF(COUNTIFS(GrinderServices!$B:$B,$J910,GrinderServices!$C:$C,$E910,GrinderServices!$E:$E,"Y")=0,0,IF($U910&lt;Config!$B$16,0,IF(Config!$B$18=1,IF($N910&gt;=$M910,0,1),1))))),"")</f>
        <v>0</v>
      </c>
      <c r="AC910" s="40" t="str">
        <f>IFERROR(IF($AB910=0,"",((Config!$B$6*$V910 + Config!$B$7*$R910 + Config!$B$8*$W910 + Config!$B$9*$X910 + Config!$B$10*$Y910 + Config!$B$11*$Z910 - Config!$B$12*$AA910)/Config!$B$13)+$AH910+$AI910),"")</f>
        <v/>
      </c>
      <c r="AD910" s="40" t="str">
        <f t="shared" si="4"/>
        <v/>
      </c>
      <c r="AE910" s="40" t="str">
        <f>IFERROR(__xludf.DUMMYFUNCTION("IF($AC910="""","""",IF($AC910=IFERROR(MAX(FILTER($AC$6:$AC$1000,$C$6:$C$1000=$C910,$AB$6:$AB$1000=1)),),""WINNER"",""""))"),"")</f>
        <v/>
      </c>
      <c r="AF910" s="40" t="str">
        <f t="shared" si="5"/>
        <v/>
      </c>
      <c r="AG910" s="40" t="str">
        <f>IF($J910="","",COUNTIF(Assignments!$B:$B,$J910))</f>
        <v/>
      </c>
      <c r="AH910" s="40" t="str">
        <f>IF($J910="","",IF(AND($AG910=0,$N910&lt;$M910),Config!$B$43,0))</f>
        <v/>
      </c>
      <c r="AI910" s="40" t="str">
        <f>IF($J910="","",IF(AND($L910="Elite",$F910&gt;=Config!$B$41,$N910&lt;$M910),Config!$B$42,0))</f>
        <v/>
      </c>
      <c r="AJ910" s="22"/>
    </row>
    <row r="911" ht="15.75" customHeight="1">
      <c r="A911" s="40" t="str">
        <f t="shared" si="1"/>
        <v/>
      </c>
      <c r="B911" s="40" t="str">
        <f>IF(Bids!$A911="","",Bids!$A911)</f>
        <v/>
      </c>
      <c r="C911" s="40" t="str">
        <f>IF(Bids!$B911="","",Bids!$B911)</f>
        <v/>
      </c>
      <c r="D911" s="40" t="str">
        <f>IF($C911="","",IFERROR(VLOOKUP($C911,Orders!$A:$J,9,FALSE),""))</f>
        <v/>
      </c>
      <c r="E911" s="40" t="str">
        <f>IF($C911="","",IFERROR(VLOOKUP($C911,Orders!$A:$J,3,FALSE),""))</f>
        <v/>
      </c>
      <c r="F911" s="40" t="str">
        <f>IF($C911="","",IFERROR(VLOOKUP($C911,Orders!$A:$J,4,FALSE),""))</f>
        <v/>
      </c>
      <c r="G911" s="40" t="str">
        <f>IF($C911="","",IFERROR(VLOOKUP($C911,Orders!$A:$J,5,FALSE),""))</f>
        <v/>
      </c>
      <c r="H911" s="40" t="str">
        <f>IF($C911="","",IFERROR(VLOOKUP($C911,Orders!$A:$J,6,FALSE),""))</f>
        <v/>
      </c>
      <c r="I911" s="40" t="str">
        <f>IF($C911="","",IFERROR(VLOOKUP($C911,Orders!$A:$J,7,FALSE),""))</f>
        <v/>
      </c>
      <c r="J911" s="40" t="str">
        <f>IF(Bids!$C911="","",Bids!$C911)</f>
        <v/>
      </c>
      <c r="K911" s="40" t="str">
        <f>IF($J911="","",IFERROR(VLOOKUP($J911,Grinders!$A:$N,2,FALSE),""))</f>
        <v/>
      </c>
      <c r="L911" s="40" t="str">
        <f>IF($J911="","",IFERROR(VLOOKUP($J911,Grinders!$A:$N,3,FALSE),""))</f>
        <v/>
      </c>
      <c r="M911" s="40" t="str">
        <f>IF($J911="","",IFERROR(VLOOKUP($J911,Grinders!$A:$N,4,FALSE),""))</f>
        <v/>
      </c>
      <c r="N911" s="40" t="str">
        <f>IF($J911="","",IFERROR(VLOOKUP($J911,Grinders!$A:$N,5,FALSE),""))</f>
        <v/>
      </c>
      <c r="O911" s="40" t="str">
        <f t="shared" si="2"/>
        <v/>
      </c>
      <c r="P911" s="40" t="str">
        <f>IF($J911="","",IFERROR(VLOOKUP($J911,Grinders!$A:$N,6,FALSE),""))</f>
        <v/>
      </c>
      <c r="Q911" s="40" t="str">
        <f>IF($J911="","",IFERROR(VLOOKUP($J911,Grinders!$A:$N,8,FALSE),""))</f>
        <v/>
      </c>
      <c r="R911" s="40" t="str">
        <f>IFERROR(IF($J911="","",IF($L911="Elite",MAX(50,MIN(100,Config!$B$27*MAX(0,MIN(100,(1-IF($O911="",0,$O911))*100)) + Config!$B$28*MAX(0,MIN(100,(1-MIN(1,IF(Config!$B$30=0,1,$P911/Config!$B$30)))*100)) + Config!$B$29*MAX(0,MIN(100,MIN(1,IF($Q911="",0,$Q911)/Config!$B$23)*100)))),MIN(100,Config!$B$27*MAX(0,MIN(100,(1-IF($O911="",0,$O911))*100)) + Config!$B$28*MAX(0,MIN(100,(1-MIN(1,IF(Config!$B$30=0,1,$P911/Config!$B$30)))*100)) + Config!$B$29*MAX(0,MIN(100,MIN(1,IF($Q911="",0,$Q911)/Config!$B$23)*100))))),"")
</f>
        <v/>
      </c>
      <c r="S911" s="40" t="str">
        <f>IF(Bids!$D911="","",Bids!$D911)</f>
        <v/>
      </c>
      <c r="T911" s="40" t="str">
        <f>IF(Bids!$F911="","",Bids!$F911)</f>
        <v/>
      </c>
      <c r="U911" s="40" t="str">
        <f t="shared" si="3"/>
        <v/>
      </c>
      <c r="V911" s="40" t="str">
        <f>IF($U911="","",IF(Config!$B$17=Config!$B$16,IF($U911&gt;=Config!$B$17,100,0),MAX(0,MIN(100,($U911-Config!$B$16)/(Config!$B$17-Config!$B$16)*100))))</f>
        <v/>
      </c>
      <c r="W911" s="40">
        <f>IF($L911="Elite",Config!$B$21,0)</f>
        <v>0</v>
      </c>
      <c r="X911" s="40" t="str">
        <f>IFERROR(IF(OR($T911="",$G911=""),"",IF($T911&gt;$G911,
  MAX(0, 60-(($T911-$G911)*24/Config!$B$19)*60),
  MEDIAN(60, 100, 60+(($G911-$T911)*24/Config!$B$20)*40)
)),"")
</f>
        <v/>
      </c>
      <c r="Y911" s="40" t="str">
        <f>IF($J911="","",IFERROR(VLOOKUP($J911,Grinders!$A:$N,10,FALSE),""))</f>
        <v/>
      </c>
      <c r="Z911" s="40" t="str">
        <f>IF($J911="","",IFERROR(VLOOKUP($J911,Grinders!$A:$N,11,FALSE),""))</f>
        <v/>
      </c>
      <c r="AA911" s="40" t="str">
        <f>IF($J911="","",IFERROR(VLOOKUP($J911,Grinders!$A:$N,12,FALSE),""))</f>
        <v/>
      </c>
      <c r="AB911" s="40">
        <f>IFERROR(IF(OR($C911="",$J911=""),0,IF($D911&lt;&gt;"Open",0,IF(COUNTIFS(GrinderServices!$B:$B,$J911,GrinderServices!$C:$C,$E911,GrinderServices!$E:$E,"Y")=0,0,IF($U911&lt;Config!$B$16,0,IF(Config!$B$18=1,IF($N911&gt;=$M911,0,1),1))))),"")</f>
        <v>0</v>
      </c>
      <c r="AC911" s="40" t="str">
        <f>IFERROR(IF($AB911=0,"",((Config!$B$6*$V911 + Config!$B$7*$R911 + Config!$B$8*$W911 + Config!$B$9*$X911 + Config!$B$10*$Y911 + Config!$B$11*$Z911 - Config!$B$12*$AA911)/Config!$B$13)+$AH911+$AI911),"")</f>
        <v/>
      </c>
      <c r="AD911" s="40" t="str">
        <f t="shared" si="4"/>
        <v/>
      </c>
      <c r="AE911" s="40" t="str">
        <f>IFERROR(__xludf.DUMMYFUNCTION("IF($AC911="""","""",IF($AC911=IFERROR(MAX(FILTER($AC$6:$AC$1000,$C$6:$C$1000=$C911,$AB$6:$AB$1000=1)),),""WINNER"",""""))"),"")</f>
        <v/>
      </c>
      <c r="AF911" s="40" t="str">
        <f t="shared" si="5"/>
        <v/>
      </c>
      <c r="AG911" s="40" t="str">
        <f>IF($J911="","",COUNTIF(Assignments!$B:$B,$J911))</f>
        <v/>
      </c>
      <c r="AH911" s="40" t="str">
        <f>IF($J911="","",IF(AND($AG911=0,$N911&lt;$M911),Config!$B$43,0))</f>
        <v/>
      </c>
      <c r="AI911" s="40" t="str">
        <f>IF($J911="","",IF(AND($L911="Elite",$F911&gt;=Config!$B$41,$N911&lt;$M911),Config!$B$42,0))</f>
        <v/>
      </c>
      <c r="AJ911" s="22"/>
    </row>
    <row r="912" ht="15.75" customHeight="1">
      <c r="A912" s="40" t="str">
        <f t="shared" si="1"/>
        <v/>
      </c>
      <c r="B912" s="40" t="str">
        <f>IF(Bids!$A912="","",Bids!$A912)</f>
        <v/>
      </c>
      <c r="C912" s="40" t="str">
        <f>IF(Bids!$B912="","",Bids!$B912)</f>
        <v/>
      </c>
      <c r="D912" s="40" t="str">
        <f>IF($C912="","",IFERROR(VLOOKUP($C912,Orders!$A:$J,9,FALSE),""))</f>
        <v/>
      </c>
      <c r="E912" s="40" t="str">
        <f>IF($C912="","",IFERROR(VLOOKUP($C912,Orders!$A:$J,3,FALSE),""))</f>
        <v/>
      </c>
      <c r="F912" s="40" t="str">
        <f>IF($C912="","",IFERROR(VLOOKUP($C912,Orders!$A:$J,4,FALSE),""))</f>
        <v/>
      </c>
      <c r="G912" s="40" t="str">
        <f>IF($C912="","",IFERROR(VLOOKUP($C912,Orders!$A:$J,5,FALSE),""))</f>
        <v/>
      </c>
      <c r="H912" s="40" t="str">
        <f>IF($C912="","",IFERROR(VLOOKUP($C912,Orders!$A:$J,6,FALSE),""))</f>
        <v/>
      </c>
      <c r="I912" s="40" t="str">
        <f>IF($C912="","",IFERROR(VLOOKUP($C912,Orders!$A:$J,7,FALSE),""))</f>
        <v/>
      </c>
      <c r="J912" s="40" t="str">
        <f>IF(Bids!$C912="","",Bids!$C912)</f>
        <v/>
      </c>
      <c r="K912" s="40" t="str">
        <f>IF($J912="","",IFERROR(VLOOKUP($J912,Grinders!$A:$N,2,FALSE),""))</f>
        <v/>
      </c>
      <c r="L912" s="40" t="str">
        <f>IF($J912="","",IFERROR(VLOOKUP($J912,Grinders!$A:$N,3,FALSE),""))</f>
        <v/>
      </c>
      <c r="M912" s="40" t="str">
        <f>IF($J912="","",IFERROR(VLOOKUP($J912,Grinders!$A:$N,4,FALSE),""))</f>
        <v/>
      </c>
      <c r="N912" s="40" t="str">
        <f>IF($J912="","",IFERROR(VLOOKUP($J912,Grinders!$A:$N,5,FALSE),""))</f>
        <v/>
      </c>
      <c r="O912" s="40" t="str">
        <f t="shared" si="2"/>
        <v/>
      </c>
      <c r="P912" s="40" t="str">
        <f>IF($J912="","",IFERROR(VLOOKUP($J912,Grinders!$A:$N,6,FALSE),""))</f>
        <v/>
      </c>
      <c r="Q912" s="40" t="str">
        <f>IF($J912="","",IFERROR(VLOOKUP($J912,Grinders!$A:$N,8,FALSE),""))</f>
        <v/>
      </c>
      <c r="R912" s="40" t="str">
        <f>IFERROR(IF($J912="","",IF($L912="Elite",MAX(50,MIN(100,Config!$B$27*MAX(0,MIN(100,(1-IF($O912="",0,$O912))*100)) + Config!$B$28*MAX(0,MIN(100,(1-MIN(1,IF(Config!$B$30=0,1,$P912/Config!$B$30)))*100)) + Config!$B$29*MAX(0,MIN(100,MIN(1,IF($Q912="",0,$Q912)/Config!$B$23)*100)))),MIN(100,Config!$B$27*MAX(0,MIN(100,(1-IF($O912="",0,$O912))*100)) + Config!$B$28*MAX(0,MIN(100,(1-MIN(1,IF(Config!$B$30=0,1,$P912/Config!$B$30)))*100)) + Config!$B$29*MAX(0,MIN(100,MIN(1,IF($Q912="",0,$Q912)/Config!$B$23)*100))))),"")
</f>
        <v/>
      </c>
      <c r="S912" s="40" t="str">
        <f>IF(Bids!$D912="","",Bids!$D912)</f>
        <v/>
      </c>
      <c r="T912" s="40" t="str">
        <f>IF(Bids!$F912="","",Bids!$F912)</f>
        <v/>
      </c>
      <c r="U912" s="40" t="str">
        <f t="shared" si="3"/>
        <v/>
      </c>
      <c r="V912" s="40" t="str">
        <f>IF($U912="","",IF(Config!$B$17=Config!$B$16,IF($U912&gt;=Config!$B$17,100,0),MAX(0,MIN(100,($U912-Config!$B$16)/(Config!$B$17-Config!$B$16)*100))))</f>
        <v/>
      </c>
      <c r="W912" s="40">
        <f>IF($L912="Elite",Config!$B$21,0)</f>
        <v>0</v>
      </c>
      <c r="X912" s="40" t="str">
        <f>IFERROR(IF(OR($T912="",$G912=""),"",IF($T912&gt;$G912,
  MAX(0, 60-(($T912-$G912)*24/Config!$B$19)*60),
  MEDIAN(60, 100, 60+(($G912-$T912)*24/Config!$B$20)*40)
)),"")
</f>
        <v/>
      </c>
      <c r="Y912" s="40" t="str">
        <f>IF($J912="","",IFERROR(VLOOKUP($J912,Grinders!$A:$N,10,FALSE),""))</f>
        <v/>
      </c>
      <c r="Z912" s="40" t="str">
        <f>IF($J912="","",IFERROR(VLOOKUP($J912,Grinders!$A:$N,11,FALSE),""))</f>
        <v/>
      </c>
      <c r="AA912" s="40" t="str">
        <f>IF($J912="","",IFERROR(VLOOKUP($J912,Grinders!$A:$N,12,FALSE),""))</f>
        <v/>
      </c>
      <c r="AB912" s="40">
        <f>IFERROR(IF(OR($C912="",$J912=""),0,IF($D912&lt;&gt;"Open",0,IF(COUNTIFS(GrinderServices!$B:$B,$J912,GrinderServices!$C:$C,$E912,GrinderServices!$E:$E,"Y")=0,0,IF($U912&lt;Config!$B$16,0,IF(Config!$B$18=1,IF($N912&gt;=$M912,0,1),1))))),"")</f>
        <v>0</v>
      </c>
      <c r="AC912" s="40" t="str">
        <f>IFERROR(IF($AB912=0,"",((Config!$B$6*$V912 + Config!$B$7*$R912 + Config!$B$8*$W912 + Config!$B$9*$X912 + Config!$B$10*$Y912 + Config!$B$11*$Z912 - Config!$B$12*$AA912)/Config!$B$13)+$AH912+$AI912),"")</f>
        <v/>
      </c>
      <c r="AD912" s="40" t="str">
        <f t="shared" si="4"/>
        <v/>
      </c>
      <c r="AE912" s="40" t="str">
        <f>IFERROR(__xludf.DUMMYFUNCTION("IF($AC912="""","""",IF($AC912=IFERROR(MAX(FILTER($AC$6:$AC$1000,$C$6:$C$1000=$C912,$AB$6:$AB$1000=1)),),""WINNER"",""""))"),"")</f>
        <v/>
      </c>
      <c r="AF912" s="40" t="str">
        <f t="shared" si="5"/>
        <v/>
      </c>
      <c r="AG912" s="40" t="str">
        <f>IF($J912="","",COUNTIF(Assignments!$B:$B,$J912))</f>
        <v/>
      </c>
      <c r="AH912" s="40" t="str">
        <f>IF($J912="","",IF(AND($AG912=0,$N912&lt;$M912),Config!$B$43,0))</f>
        <v/>
      </c>
      <c r="AI912" s="40" t="str">
        <f>IF($J912="","",IF(AND($L912="Elite",$F912&gt;=Config!$B$41,$N912&lt;$M912),Config!$B$42,0))</f>
        <v/>
      </c>
      <c r="AJ912" s="22"/>
    </row>
    <row r="913" ht="15.75" customHeight="1">
      <c r="A913" s="40" t="str">
        <f t="shared" si="1"/>
        <v/>
      </c>
      <c r="B913" s="40" t="str">
        <f>IF(Bids!$A913="","",Bids!$A913)</f>
        <v/>
      </c>
      <c r="C913" s="40" t="str">
        <f>IF(Bids!$B913="","",Bids!$B913)</f>
        <v/>
      </c>
      <c r="D913" s="40" t="str">
        <f>IF($C913="","",IFERROR(VLOOKUP($C913,Orders!$A:$J,9,FALSE),""))</f>
        <v/>
      </c>
      <c r="E913" s="40" t="str">
        <f>IF($C913="","",IFERROR(VLOOKUP($C913,Orders!$A:$J,3,FALSE),""))</f>
        <v/>
      </c>
      <c r="F913" s="40" t="str">
        <f>IF($C913="","",IFERROR(VLOOKUP($C913,Orders!$A:$J,4,FALSE),""))</f>
        <v/>
      </c>
      <c r="G913" s="40" t="str">
        <f>IF($C913="","",IFERROR(VLOOKUP($C913,Orders!$A:$J,5,FALSE),""))</f>
        <v/>
      </c>
      <c r="H913" s="40" t="str">
        <f>IF($C913="","",IFERROR(VLOOKUP($C913,Orders!$A:$J,6,FALSE),""))</f>
        <v/>
      </c>
      <c r="I913" s="40" t="str">
        <f>IF($C913="","",IFERROR(VLOOKUP($C913,Orders!$A:$J,7,FALSE),""))</f>
        <v/>
      </c>
      <c r="J913" s="40" t="str">
        <f>IF(Bids!$C913="","",Bids!$C913)</f>
        <v/>
      </c>
      <c r="K913" s="40" t="str">
        <f>IF($J913="","",IFERROR(VLOOKUP($J913,Grinders!$A:$N,2,FALSE),""))</f>
        <v/>
      </c>
      <c r="L913" s="40" t="str">
        <f>IF($J913="","",IFERROR(VLOOKUP($J913,Grinders!$A:$N,3,FALSE),""))</f>
        <v/>
      </c>
      <c r="M913" s="40" t="str">
        <f>IF($J913="","",IFERROR(VLOOKUP($J913,Grinders!$A:$N,4,FALSE),""))</f>
        <v/>
      </c>
      <c r="N913" s="40" t="str">
        <f>IF($J913="","",IFERROR(VLOOKUP($J913,Grinders!$A:$N,5,FALSE),""))</f>
        <v/>
      </c>
      <c r="O913" s="40" t="str">
        <f t="shared" si="2"/>
        <v/>
      </c>
      <c r="P913" s="40" t="str">
        <f>IF($J913="","",IFERROR(VLOOKUP($J913,Grinders!$A:$N,6,FALSE),""))</f>
        <v/>
      </c>
      <c r="Q913" s="40" t="str">
        <f>IF($J913="","",IFERROR(VLOOKUP($J913,Grinders!$A:$N,8,FALSE),""))</f>
        <v/>
      </c>
      <c r="R913" s="40" t="str">
        <f>IFERROR(IF($J913="","",IF($L913="Elite",MAX(50,MIN(100,Config!$B$27*MAX(0,MIN(100,(1-IF($O913="",0,$O913))*100)) + Config!$B$28*MAX(0,MIN(100,(1-MIN(1,IF(Config!$B$30=0,1,$P913/Config!$B$30)))*100)) + Config!$B$29*MAX(0,MIN(100,MIN(1,IF($Q913="",0,$Q913)/Config!$B$23)*100)))),MIN(100,Config!$B$27*MAX(0,MIN(100,(1-IF($O913="",0,$O913))*100)) + Config!$B$28*MAX(0,MIN(100,(1-MIN(1,IF(Config!$B$30=0,1,$P913/Config!$B$30)))*100)) + Config!$B$29*MAX(0,MIN(100,MIN(1,IF($Q913="",0,$Q913)/Config!$B$23)*100))))),"")
</f>
        <v/>
      </c>
      <c r="S913" s="40" t="str">
        <f>IF(Bids!$D913="","",Bids!$D913)</f>
        <v/>
      </c>
      <c r="T913" s="40" t="str">
        <f>IF(Bids!$F913="","",Bids!$F913)</f>
        <v/>
      </c>
      <c r="U913" s="40" t="str">
        <f t="shared" si="3"/>
        <v/>
      </c>
      <c r="V913" s="40" t="str">
        <f>IF($U913="","",IF(Config!$B$17=Config!$B$16,IF($U913&gt;=Config!$B$17,100,0),MAX(0,MIN(100,($U913-Config!$B$16)/(Config!$B$17-Config!$B$16)*100))))</f>
        <v/>
      </c>
      <c r="W913" s="40">
        <f>IF($L913="Elite",Config!$B$21,0)</f>
        <v>0</v>
      </c>
      <c r="X913" s="40" t="str">
        <f>IFERROR(IF(OR($T913="",$G913=""),"",IF($T913&gt;$G913,
  MAX(0, 60-(($T913-$G913)*24/Config!$B$19)*60),
  MEDIAN(60, 100, 60+(($G913-$T913)*24/Config!$B$20)*40)
)),"")
</f>
        <v/>
      </c>
      <c r="Y913" s="40" t="str">
        <f>IF($J913="","",IFERROR(VLOOKUP($J913,Grinders!$A:$N,10,FALSE),""))</f>
        <v/>
      </c>
      <c r="Z913" s="40" t="str">
        <f>IF($J913="","",IFERROR(VLOOKUP($J913,Grinders!$A:$N,11,FALSE),""))</f>
        <v/>
      </c>
      <c r="AA913" s="40" t="str">
        <f>IF($J913="","",IFERROR(VLOOKUP($J913,Grinders!$A:$N,12,FALSE),""))</f>
        <v/>
      </c>
      <c r="AB913" s="40">
        <f>IFERROR(IF(OR($C913="",$J913=""),0,IF($D913&lt;&gt;"Open",0,IF(COUNTIFS(GrinderServices!$B:$B,$J913,GrinderServices!$C:$C,$E913,GrinderServices!$E:$E,"Y")=0,0,IF($U913&lt;Config!$B$16,0,IF(Config!$B$18=1,IF($N913&gt;=$M913,0,1),1))))),"")</f>
        <v>0</v>
      </c>
      <c r="AC913" s="40" t="str">
        <f>IFERROR(IF($AB913=0,"",((Config!$B$6*$V913 + Config!$B$7*$R913 + Config!$B$8*$W913 + Config!$B$9*$X913 + Config!$B$10*$Y913 + Config!$B$11*$Z913 - Config!$B$12*$AA913)/Config!$B$13)+$AH913+$AI913),"")</f>
        <v/>
      </c>
      <c r="AD913" s="40" t="str">
        <f t="shared" si="4"/>
        <v/>
      </c>
      <c r="AE913" s="40" t="str">
        <f>IFERROR(__xludf.DUMMYFUNCTION("IF($AC913="""","""",IF($AC913=IFERROR(MAX(FILTER($AC$6:$AC$1000,$C$6:$C$1000=$C913,$AB$6:$AB$1000=1)),),""WINNER"",""""))"),"")</f>
        <v/>
      </c>
      <c r="AF913" s="40" t="str">
        <f t="shared" si="5"/>
        <v/>
      </c>
      <c r="AG913" s="40" t="str">
        <f>IF($J913="","",COUNTIF(Assignments!$B:$B,$J913))</f>
        <v/>
      </c>
      <c r="AH913" s="40" t="str">
        <f>IF($J913="","",IF(AND($AG913=0,$N913&lt;$M913),Config!$B$43,0))</f>
        <v/>
      </c>
      <c r="AI913" s="40" t="str">
        <f>IF($J913="","",IF(AND($L913="Elite",$F913&gt;=Config!$B$41,$N913&lt;$M913),Config!$B$42,0))</f>
        <v/>
      </c>
      <c r="AJ913" s="22"/>
    </row>
    <row r="914" ht="15.75" customHeight="1">
      <c r="A914" s="40" t="str">
        <f t="shared" si="1"/>
        <v/>
      </c>
      <c r="B914" s="40" t="str">
        <f>IF(Bids!$A914="","",Bids!$A914)</f>
        <v/>
      </c>
      <c r="C914" s="40" t="str">
        <f>IF(Bids!$B914="","",Bids!$B914)</f>
        <v/>
      </c>
      <c r="D914" s="40" t="str">
        <f>IF($C914="","",IFERROR(VLOOKUP($C914,Orders!$A:$J,9,FALSE),""))</f>
        <v/>
      </c>
      <c r="E914" s="40" t="str">
        <f>IF($C914="","",IFERROR(VLOOKUP($C914,Orders!$A:$J,3,FALSE),""))</f>
        <v/>
      </c>
      <c r="F914" s="40" t="str">
        <f>IF($C914="","",IFERROR(VLOOKUP($C914,Orders!$A:$J,4,FALSE),""))</f>
        <v/>
      </c>
      <c r="G914" s="40" t="str">
        <f>IF($C914="","",IFERROR(VLOOKUP($C914,Orders!$A:$J,5,FALSE),""))</f>
        <v/>
      </c>
      <c r="H914" s="40" t="str">
        <f>IF($C914="","",IFERROR(VLOOKUP($C914,Orders!$A:$J,6,FALSE),""))</f>
        <v/>
      </c>
      <c r="I914" s="40" t="str">
        <f>IF($C914="","",IFERROR(VLOOKUP($C914,Orders!$A:$J,7,FALSE),""))</f>
        <v/>
      </c>
      <c r="J914" s="40" t="str">
        <f>IF(Bids!$C914="","",Bids!$C914)</f>
        <v/>
      </c>
      <c r="K914" s="40" t="str">
        <f>IF($J914="","",IFERROR(VLOOKUP($J914,Grinders!$A:$N,2,FALSE),""))</f>
        <v/>
      </c>
      <c r="L914" s="40" t="str">
        <f>IF($J914="","",IFERROR(VLOOKUP($J914,Grinders!$A:$N,3,FALSE),""))</f>
        <v/>
      </c>
      <c r="M914" s="40" t="str">
        <f>IF($J914="","",IFERROR(VLOOKUP($J914,Grinders!$A:$N,4,FALSE),""))</f>
        <v/>
      </c>
      <c r="N914" s="40" t="str">
        <f>IF($J914="","",IFERROR(VLOOKUP($J914,Grinders!$A:$N,5,FALSE),""))</f>
        <v/>
      </c>
      <c r="O914" s="40" t="str">
        <f t="shared" si="2"/>
        <v/>
      </c>
      <c r="P914" s="40" t="str">
        <f>IF($J914="","",IFERROR(VLOOKUP($J914,Grinders!$A:$N,6,FALSE),""))</f>
        <v/>
      </c>
      <c r="Q914" s="40" t="str">
        <f>IF($J914="","",IFERROR(VLOOKUP($J914,Grinders!$A:$N,8,FALSE),""))</f>
        <v/>
      </c>
      <c r="R914" s="40" t="str">
        <f>IFERROR(IF($J914="","",IF($L914="Elite",MAX(50,MIN(100,Config!$B$27*MAX(0,MIN(100,(1-IF($O914="",0,$O914))*100)) + Config!$B$28*MAX(0,MIN(100,(1-MIN(1,IF(Config!$B$30=0,1,$P914/Config!$B$30)))*100)) + Config!$B$29*MAX(0,MIN(100,MIN(1,IF($Q914="",0,$Q914)/Config!$B$23)*100)))),MIN(100,Config!$B$27*MAX(0,MIN(100,(1-IF($O914="",0,$O914))*100)) + Config!$B$28*MAX(0,MIN(100,(1-MIN(1,IF(Config!$B$30=0,1,$P914/Config!$B$30)))*100)) + Config!$B$29*MAX(0,MIN(100,MIN(1,IF($Q914="",0,$Q914)/Config!$B$23)*100))))),"")
</f>
        <v/>
      </c>
      <c r="S914" s="40" t="str">
        <f>IF(Bids!$D914="","",Bids!$D914)</f>
        <v/>
      </c>
      <c r="T914" s="40" t="str">
        <f>IF(Bids!$F914="","",Bids!$F914)</f>
        <v/>
      </c>
      <c r="U914" s="40" t="str">
        <f t="shared" si="3"/>
        <v/>
      </c>
      <c r="V914" s="40" t="str">
        <f>IF($U914="","",IF(Config!$B$17=Config!$B$16,IF($U914&gt;=Config!$B$17,100,0),MAX(0,MIN(100,($U914-Config!$B$16)/(Config!$B$17-Config!$B$16)*100))))</f>
        <v/>
      </c>
      <c r="W914" s="40">
        <f>IF($L914="Elite",Config!$B$21,0)</f>
        <v>0</v>
      </c>
      <c r="X914" s="40" t="str">
        <f>IFERROR(IF(OR($T914="",$G914=""),"",IF($T914&gt;$G914,
  MAX(0, 60-(($T914-$G914)*24/Config!$B$19)*60),
  MEDIAN(60, 100, 60+(($G914-$T914)*24/Config!$B$20)*40)
)),"")
</f>
        <v/>
      </c>
      <c r="Y914" s="40" t="str">
        <f>IF($J914="","",IFERROR(VLOOKUP($J914,Grinders!$A:$N,10,FALSE),""))</f>
        <v/>
      </c>
      <c r="Z914" s="40" t="str">
        <f>IF($J914="","",IFERROR(VLOOKUP($J914,Grinders!$A:$N,11,FALSE),""))</f>
        <v/>
      </c>
      <c r="AA914" s="40" t="str">
        <f>IF($J914="","",IFERROR(VLOOKUP($J914,Grinders!$A:$N,12,FALSE),""))</f>
        <v/>
      </c>
      <c r="AB914" s="40">
        <f>IFERROR(IF(OR($C914="",$J914=""),0,IF($D914&lt;&gt;"Open",0,IF(COUNTIFS(GrinderServices!$B:$B,$J914,GrinderServices!$C:$C,$E914,GrinderServices!$E:$E,"Y")=0,0,IF($U914&lt;Config!$B$16,0,IF(Config!$B$18=1,IF($N914&gt;=$M914,0,1),1))))),"")</f>
        <v>0</v>
      </c>
      <c r="AC914" s="40" t="str">
        <f>IFERROR(IF($AB914=0,"",((Config!$B$6*$V914 + Config!$B$7*$R914 + Config!$B$8*$W914 + Config!$B$9*$X914 + Config!$B$10*$Y914 + Config!$B$11*$Z914 - Config!$B$12*$AA914)/Config!$B$13)+$AH914+$AI914),"")</f>
        <v/>
      </c>
      <c r="AD914" s="40" t="str">
        <f t="shared" si="4"/>
        <v/>
      </c>
      <c r="AE914" s="40" t="str">
        <f>IFERROR(__xludf.DUMMYFUNCTION("IF($AC914="""","""",IF($AC914=IFERROR(MAX(FILTER($AC$6:$AC$1000,$C$6:$C$1000=$C914,$AB$6:$AB$1000=1)),),""WINNER"",""""))"),"")</f>
        <v/>
      </c>
      <c r="AF914" s="40" t="str">
        <f t="shared" si="5"/>
        <v/>
      </c>
      <c r="AG914" s="40" t="str">
        <f>IF($J914="","",COUNTIF(Assignments!$B:$B,$J914))</f>
        <v/>
      </c>
      <c r="AH914" s="40" t="str">
        <f>IF($J914="","",IF(AND($AG914=0,$N914&lt;$M914),Config!$B$43,0))</f>
        <v/>
      </c>
      <c r="AI914" s="40" t="str">
        <f>IF($J914="","",IF(AND($L914="Elite",$F914&gt;=Config!$B$41,$N914&lt;$M914),Config!$B$42,0))</f>
        <v/>
      </c>
      <c r="AJ914" s="22"/>
    </row>
    <row r="915" ht="15.75" customHeight="1">
      <c r="A915" s="40" t="str">
        <f t="shared" si="1"/>
        <v/>
      </c>
      <c r="B915" s="40" t="str">
        <f>IF(Bids!$A915="","",Bids!$A915)</f>
        <v/>
      </c>
      <c r="C915" s="40" t="str">
        <f>IF(Bids!$B915="","",Bids!$B915)</f>
        <v/>
      </c>
      <c r="D915" s="40" t="str">
        <f>IF($C915="","",IFERROR(VLOOKUP($C915,Orders!$A:$J,9,FALSE),""))</f>
        <v/>
      </c>
      <c r="E915" s="40" t="str">
        <f>IF($C915="","",IFERROR(VLOOKUP($C915,Orders!$A:$J,3,FALSE),""))</f>
        <v/>
      </c>
      <c r="F915" s="40" t="str">
        <f>IF($C915="","",IFERROR(VLOOKUP($C915,Orders!$A:$J,4,FALSE),""))</f>
        <v/>
      </c>
      <c r="G915" s="40" t="str">
        <f>IF($C915="","",IFERROR(VLOOKUP($C915,Orders!$A:$J,5,FALSE),""))</f>
        <v/>
      </c>
      <c r="H915" s="40" t="str">
        <f>IF($C915="","",IFERROR(VLOOKUP($C915,Orders!$A:$J,6,FALSE),""))</f>
        <v/>
      </c>
      <c r="I915" s="40" t="str">
        <f>IF($C915="","",IFERROR(VLOOKUP($C915,Orders!$A:$J,7,FALSE),""))</f>
        <v/>
      </c>
      <c r="J915" s="40" t="str">
        <f>IF(Bids!$C915="","",Bids!$C915)</f>
        <v/>
      </c>
      <c r="K915" s="40" t="str">
        <f>IF($J915="","",IFERROR(VLOOKUP($J915,Grinders!$A:$N,2,FALSE),""))</f>
        <v/>
      </c>
      <c r="L915" s="40" t="str">
        <f>IF($J915="","",IFERROR(VLOOKUP($J915,Grinders!$A:$N,3,FALSE),""))</f>
        <v/>
      </c>
      <c r="M915" s="40" t="str">
        <f>IF($J915="","",IFERROR(VLOOKUP($J915,Grinders!$A:$N,4,FALSE),""))</f>
        <v/>
      </c>
      <c r="N915" s="40" t="str">
        <f>IF($J915="","",IFERROR(VLOOKUP($J915,Grinders!$A:$N,5,FALSE),""))</f>
        <v/>
      </c>
      <c r="O915" s="40" t="str">
        <f t="shared" si="2"/>
        <v/>
      </c>
      <c r="P915" s="40" t="str">
        <f>IF($J915="","",IFERROR(VLOOKUP($J915,Grinders!$A:$N,6,FALSE),""))</f>
        <v/>
      </c>
      <c r="Q915" s="40" t="str">
        <f>IF($J915="","",IFERROR(VLOOKUP($J915,Grinders!$A:$N,8,FALSE),""))</f>
        <v/>
      </c>
      <c r="R915" s="40" t="str">
        <f>IFERROR(IF($J915="","",IF($L915="Elite",MAX(50,MIN(100,Config!$B$27*MAX(0,MIN(100,(1-IF($O915="",0,$O915))*100)) + Config!$B$28*MAX(0,MIN(100,(1-MIN(1,IF(Config!$B$30=0,1,$P915/Config!$B$30)))*100)) + Config!$B$29*MAX(0,MIN(100,MIN(1,IF($Q915="",0,$Q915)/Config!$B$23)*100)))),MIN(100,Config!$B$27*MAX(0,MIN(100,(1-IF($O915="",0,$O915))*100)) + Config!$B$28*MAX(0,MIN(100,(1-MIN(1,IF(Config!$B$30=0,1,$P915/Config!$B$30)))*100)) + Config!$B$29*MAX(0,MIN(100,MIN(1,IF($Q915="",0,$Q915)/Config!$B$23)*100))))),"")
</f>
        <v/>
      </c>
      <c r="S915" s="40" t="str">
        <f>IF(Bids!$D915="","",Bids!$D915)</f>
        <v/>
      </c>
      <c r="T915" s="40" t="str">
        <f>IF(Bids!$F915="","",Bids!$F915)</f>
        <v/>
      </c>
      <c r="U915" s="40" t="str">
        <f t="shared" si="3"/>
        <v/>
      </c>
      <c r="V915" s="40" t="str">
        <f>IF($U915="","",IF(Config!$B$17=Config!$B$16,IF($U915&gt;=Config!$B$17,100,0),MAX(0,MIN(100,($U915-Config!$B$16)/(Config!$B$17-Config!$B$16)*100))))</f>
        <v/>
      </c>
      <c r="W915" s="40">
        <f>IF($L915="Elite",Config!$B$21,0)</f>
        <v>0</v>
      </c>
      <c r="X915" s="40" t="str">
        <f>IFERROR(IF(OR($T915="",$G915=""),"",IF($T915&gt;$G915,
  MAX(0, 60-(($T915-$G915)*24/Config!$B$19)*60),
  MEDIAN(60, 100, 60+(($G915-$T915)*24/Config!$B$20)*40)
)),"")
</f>
        <v/>
      </c>
      <c r="Y915" s="40" t="str">
        <f>IF($J915="","",IFERROR(VLOOKUP($J915,Grinders!$A:$N,10,FALSE),""))</f>
        <v/>
      </c>
      <c r="Z915" s="40" t="str">
        <f>IF($J915="","",IFERROR(VLOOKUP($J915,Grinders!$A:$N,11,FALSE),""))</f>
        <v/>
      </c>
      <c r="AA915" s="40" t="str">
        <f>IF($J915="","",IFERROR(VLOOKUP($J915,Grinders!$A:$N,12,FALSE),""))</f>
        <v/>
      </c>
      <c r="AB915" s="40">
        <f>IFERROR(IF(OR($C915="",$J915=""),0,IF($D915&lt;&gt;"Open",0,IF(COUNTIFS(GrinderServices!$B:$B,$J915,GrinderServices!$C:$C,$E915,GrinderServices!$E:$E,"Y")=0,0,IF($U915&lt;Config!$B$16,0,IF(Config!$B$18=1,IF($N915&gt;=$M915,0,1),1))))),"")</f>
        <v>0</v>
      </c>
      <c r="AC915" s="40" t="str">
        <f>IFERROR(IF($AB915=0,"",((Config!$B$6*$V915 + Config!$B$7*$R915 + Config!$B$8*$W915 + Config!$B$9*$X915 + Config!$B$10*$Y915 + Config!$B$11*$Z915 - Config!$B$12*$AA915)/Config!$B$13)+$AH915+$AI915),"")</f>
        <v/>
      </c>
      <c r="AD915" s="40" t="str">
        <f t="shared" si="4"/>
        <v/>
      </c>
      <c r="AE915" s="40" t="str">
        <f>IFERROR(__xludf.DUMMYFUNCTION("IF($AC915="""","""",IF($AC915=IFERROR(MAX(FILTER($AC$6:$AC$1000,$C$6:$C$1000=$C915,$AB$6:$AB$1000=1)),),""WINNER"",""""))"),"")</f>
        <v/>
      </c>
      <c r="AF915" s="40" t="str">
        <f t="shared" si="5"/>
        <v/>
      </c>
      <c r="AG915" s="40" t="str">
        <f>IF($J915="","",COUNTIF(Assignments!$B:$B,$J915))</f>
        <v/>
      </c>
      <c r="AH915" s="40" t="str">
        <f>IF($J915="","",IF(AND($AG915=0,$N915&lt;$M915),Config!$B$43,0))</f>
        <v/>
      </c>
      <c r="AI915" s="40" t="str">
        <f>IF($J915="","",IF(AND($L915="Elite",$F915&gt;=Config!$B$41,$N915&lt;$M915),Config!$B$42,0))</f>
        <v/>
      </c>
      <c r="AJ915" s="22"/>
    </row>
    <row r="916" ht="15.75" customHeight="1">
      <c r="A916" s="40" t="str">
        <f t="shared" si="1"/>
        <v/>
      </c>
      <c r="B916" s="40" t="str">
        <f>IF(Bids!$A916="","",Bids!$A916)</f>
        <v/>
      </c>
      <c r="C916" s="40" t="str">
        <f>IF(Bids!$B916="","",Bids!$B916)</f>
        <v/>
      </c>
      <c r="D916" s="40" t="str">
        <f>IF($C916="","",IFERROR(VLOOKUP($C916,Orders!$A:$J,9,FALSE),""))</f>
        <v/>
      </c>
      <c r="E916" s="40" t="str">
        <f>IF($C916="","",IFERROR(VLOOKUP($C916,Orders!$A:$J,3,FALSE),""))</f>
        <v/>
      </c>
      <c r="F916" s="40" t="str">
        <f>IF($C916="","",IFERROR(VLOOKUP($C916,Orders!$A:$J,4,FALSE),""))</f>
        <v/>
      </c>
      <c r="G916" s="40" t="str">
        <f>IF($C916="","",IFERROR(VLOOKUP($C916,Orders!$A:$J,5,FALSE),""))</f>
        <v/>
      </c>
      <c r="H916" s="40" t="str">
        <f>IF($C916="","",IFERROR(VLOOKUP($C916,Orders!$A:$J,6,FALSE),""))</f>
        <v/>
      </c>
      <c r="I916" s="40" t="str">
        <f>IF($C916="","",IFERROR(VLOOKUP($C916,Orders!$A:$J,7,FALSE),""))</f>
        <v/>
      </c>
      <c r="J916" s="40" t="str">
        <f>IF(Bids!$C916="","",Bids!$C916)</f>
        <v/>
      </c>
      <c r="K916" s="40" t="str">
        <f>IF($J916="","",IFERROR(VLOOKUP($J916,Grinders!$A:$N,2,FALSE),""))</f>
        <v/>
      </c>
      <c r="L916" s="40" t="str">
        <f>IF($J916="","",IFERROR(VLOOKUP($J916,Grinders!$A:$N,3,FALSE),""))</f>
        <v/>
      </c>
      <c r="M916" s="40" t="str">
        <f>IF($J916="","",IFERROR(VLOOKUP($J916,Grinders!$A:$N,4,FALSE),""))</f>
        <v/>
      </c>
      <c r="N916" s="40" t="str">
        <f>IF($J916="","",IFERROR(VLOOKUP($J916,Grinders!$A:$N,5,FALSE),""))</f>
        <v/>
      </c>
      <c r="O916" s="40" t="str">
        <f t="shared" si="2"/>
        <v/>
      </c>
      <c r="P916" s="40" t="str">
        <f>IF($J916="","",IFERROR(VLOOKUP($J916,Grinders!$A:$N,6,FALSE),""))</f>
        <v/>
      </c>
      <c r="Q916" s="40" t="str">
        <f>IF($J916="","",IFERROR(VLOOKUP($J916,Grinders!$A:$N,8,FALSE),""))</f>
        <v/>
      </c>
      <c r="R916" s="40" t="str">
        <f>IFERROR(IF($J916="","",IF($L916="Elite",MAX(50,MIN(100,Config!$B$27*MAX(0,MIN(100,(1-IF($O916="",0,$O916))*100)) + Config!$B$28*MAX(0,MIN(100,(1-MIN(1,IF(Config!$B$30=0,1,$P916/Config!$B$30)))*100)) + Config!$B$29*MAX(0,MIN(100,MIN(1,IF($Q916="",0,$Q916)/Config!$B$23)*100)))),MIN(100,Config!$B$27*MAX(0,MIN(100,(1-IF($O916="",0,$O916))*100)) + Config!$B$28*MAX(0,MIN(100,(1-MIN(1,IF(Config!$B$30=0,1,$P916/Config!$B$30)))*100)) + Config!$B$29*MAX(0,MIN(100,MIN(1,IF($Q916="",0,$Q916)/Config!$B$23)*100))))),"")
</f>
        <v/>
      </c>
      <c r="S916" s="40" t="str">
        <f>IF(Bids!$D916="","",Bids!$D916)</f>
        <v/>
      </c>
      <c r="T916" s="40" t="str">
        <f>IF(Bids!$F916="","",Bids!$F916)</f>
        <v/>
      </c>
      <c r="U916" s="40" t="str">
        <f t="shared" si="3"/>
        <v/>
      </c>
      <c r="V916" s="40" t="str">
        <f>IF($U916="","",IF(Config!$B$17=Config!$B$16,IF($U916&gt;=Config!$B$17,100,0),MAX(0,MIN(100,($U916-Config!$B$16)/(Config!$B$17-Config!$B$16)*100))))</f>
        <v/>
      </c>
      <c r="W916" s="40">
        <f>IF($L916="Elite",Config!$B$21,0)</f>
        <v>0</v>
      </c>
      <c r="X916" s="40" t="str">
        <f>IFERROR(IF(OR($T916="",$G916=""),"",IF($T916&gt;$G916,
  MAX(0, 60-(($T916-$G916)*24/Config!$B$19)*60),
  MEDIAN(60, 100, 60+(($G916-$T916)*24/Config!$B$20)*40)
)),"")
</f>
        <v/>
      </c>
      <c r="Y916" s="40" t="str">
        <f>IF($J916="","",IFERROR(VLOOKUP($J916,Grinders!$A:$N,10,FALSE),""))</f>
        <v/>
      </c>
      <c r="Z916" s="40" t="str">
        <f>IF($J916="","",IFERROR(VLOOKUP($J916,Grinders!$A:$N,11,FALSE),""))</f>
        <v/>
      </c>
      <c r="AA916" s="40" t="str">
        <f>IF($J916="","",IFERROR(VLOOKUP($J916,Grinders!$A:$N,12,FALSE),""))</f>
        <v/>
      </c>
      <c r="AB916" s="40">
        <f>IFERROR(IF(OR($C916="",$J916=""),0,IF($D916&lt;&gt;"Open",0,IF(COUNTIFS(GrinderServices!$B:$B,$J916,GrinderServices!$C:$C,$E916,GrinderServices!$E:$E,"Y")=0,0,IF($U916&lt;Config!$B$16,0,IF(Config!$B$18=1,IF($N916&gt;=$M916,0,1),1))))),"")</f>
        <v>0</v>
      </c>
      <c r="AC916" s="40" t="str">
        <f>IFERROR(IF($AB916=0,"",((Config!$B$6*$V916 + Config!$B$7*$R916 + Config!$B$8*$W916 + Config!$B$9*$X916 + Config!$B$10*$Y916 + Config!$B$11*$Z916 - Config!$B$12*$AA916)/Config!$B$13)+$AH916+$AI916),"")</f>
        <v/>
      </c>
      <c r="AD916" s="40" t="str">
        <f t="shared" si="4"/>
        <v/>
      </c>
      <c r="AE916" s="40" t="str">
        <f>IFERROR(__xludf.DUMMYFUNCTION("IF($AC916="""","""",IF($AC916=IFERROR(MAX(FILTER($AC$6:$AC$1000,$C$6:$C$1000=$C916,$AB$6:$AB$1000=1)),),""WINNER"",""""))"),"")</f>
        <v/>
      </c>
      <c r="AF916" s="40" t="str">
        <f t="shared" si="5"/>
        <v/>
      </c>
      <c r="AG916" s="40" t="str">
        <f>IF($J916="","",COUNTIF(Assignments!$B:$B,$J916))</f>
        <v/>
      </c>
      <c r="AH916" s="40" t="str">
        <f>IF($J916="","",IF(AND($AG916=0,$N916&lt;$M916),Config!$B$43,0))</f>
        <v/>
      </c>
      <c r="AI916" s="40" t="str">
        <f>IF($J916="","",IF(AND($L916="Elite",$F916&gt;=Config!$B$41,$N916&lt;$M916),Config!$B$42,0))</f>
        <v/>
      </c>
      <c r="AJ916" s="22"/>
    </row>
    <row r="917" ht="15.75" customHeight="1">
      <c r="A917" s="40" t="str">
        <f t="shared" si="1"/>
        <v/>
      </c>
      <c r="B917" s="40" t="str">
        <f>IF(Bids!$A917="","",Bids!$A917)</f>
        <v/>
      </c>
      <c r="C917" s="40" t="str">
        <f>IF(Bids!$B917="","",Bids!$B917)</f>
        <v/>
      </c>
      <c r="D917" s="40" t="str">
        <f>IF($C917="","",IFERROR(VLOOKUP($C917,Orders!$A:$J,9,FALSE),""))</f>
        <v/>
      </c>
      <c r="E917" s="40" t="str">
        <f>IF($C917="","",IFERROR(VLOOKUP($C917,Orders!$A:$J,3,FALSE),""))</f>
        <v/>
      </c>
      <c r="F917" s="40" t="str">
        <f>IF($C917="","",IFERROR(VLOOKUP($C917,Orders!$A:$J,4,FALSE),""))</f>
        <v/>
      </c>
      <c r="G917" s="40" t="str">
        <f>IF($C917="","",IFERROR(VLOOKUP($C917,Orders!$A:$J,5,FALSE),""))</f>
        <v/>
      </c>
      <c r="H917" s="40" t="str">
        <f>IF($C917="","",IFERROR(VLOOKUP($C917,Orders!$A:$J,6,FALSE),""))</f>
        <v/>
      </c>
      <c r="I917" s="40" t="str">
        <f>IF($C917="","",IFERROR(VLOOKUP($C917,Orders!$A:$J,7,FALSE),""))</f>
        <v/>
      </c>
      <c r="J917" s="40" t="str">
        <f>IF(Bids!$C917="","",Bids!$C917)</f>
        <v/>
      </c>
      <c r="K917" s="40" t="str">
        <f>IF($J917="","",IFERROR(VLOOKUP($J917,Grinders!$A:$N,2,FALSE),""))</f>
        <v/>
      </c>
      <c r="L917" s="40" t="str">
        <f>IF($J917="","",IFERROR(VLOOKUP($J917,Grinders!$A:$N,3,FALSE),""))</f>
        <v/>
      </c>
      <c r="M917" s="40" t="str">
        <f>IF($J917="","",IFERROR(VLOOKUP($J917,Grinders!$A:$N,4,FALSE),""))</f>
        <v/>
      </c>
      <c r="N917" s="40" t="str">
        <f>IF($J917="","",IFERROR(VLOOKUP($J917,Grinders!$A:$N,5,FALSE),""))</f>
        <v/>
      </c>
      <c r="O917" s="40" t="str">
        <f t="shared" si="2"/>
        <v/>
      </c>
      <c r="P917" s="40" t="str">
        <f>IF($J917="","",IFERROR(VLOOKUP($J917,Grinders!$A:$N,6,FALSE),""))</f>
        <v/>
      </c>
      <c r="Q917" s="40" t="str">
        <f>IF($J917="","",IFERROR(VLOOKUP($J917,Grinders!$A:$N,8,FALSE),""))</f>
        <v/>
      </c>
      <c r="R917" s="40" t="str">
        <f>IFERROR(IF($J917="","",IF($L917="Elite",MAX(50,MIN(100,Config!$B$27*MAX(0,MIN(100,(1-IF($O917="",0,$O917))*100)) + Config!$B$28*MAX(0,MIN(100,(1-MIN(1,IF(Config!$B$30=0,1,$P917/Config!$B$30)))*100)) + Config!$B$29*MAX(0,MIN(100,MIN(1,IF($Q917="",0,$Q917)/Config!$B$23)*100)))),MIN(100,Config!$B$27*MAX(0,MIN(100,(1-IF($O917="",0,$O917))*100)) + Config!$B$28*MAX(0,MIN(100,(1-MIN(1,IF(Config!$B$30=0,1,$P917/Config!$B$30)))*100)) + Config!$B$29*MAX(0,MIN(100,MIN(1,IF($Q917="",0,$Q917)/Config!$B$23)*100))))),"")
</f>
        <v/>
      </c>
      <c r="S917" s="40" t="str">
        <f>IF(Bids!$D917="","",Bids!$D917)</f>
        <v/>
      </c>
      <c r="T917" s="40" t="str">
        <f>IF(Bids!$F917="","",Bids!$F917)</f>
        <v/>
      </c>
      <c r="U917" s="40" t="str">
        <f t="shared" si="3"/>
        <v/>
      </c>
      <c r="V917" s="40" t="str">
        <f>IF($U917="","",IF(Config!$B$17=Config!$B$16,IF($U917&gt;=Config!$B$17,100,0),MAX(0,MIN(100,($U917-Config!$B$16)/(Config!$B$17-Config!$B$16)*100))))</f>
        <v/>
      </c>
      <c r="W917" s="40">
        <f>IF($L917="Elite",Config!$B$21,0)</f>
        <v>0</v>
      </c>
      <c r="X917" s="40" t="str">
        <f>IFERROR(IF(OR($T917="",$G917=""),"",IF($T917&gt;$G917,
  MAX(0, 60-(($T917-$G917)*24/Config!$B$19)*60),
  MEDIAN(60, 100, 60+(($G917-$T917)*24/Config!$B$20)*40)
)),"")
</f>
        <v/>
      </c>
      <c r="Y917" s="40" t="str">
        <f>IF($J917="","",IFERROR(VLOOKUP($J917,Grinders!$A:$N,10,FALSE),""))</f>
        <v/>
      </c>
      <c r="Z917" s="40" t="str">
        <f>IF($J917="","",IFERROR(VLOOKUP($J917,Grinders!$A:$N,11,FALSE),""))</f>
        <v/>
      </c>
      <c r="AA917" s="40" t="str">
        <f>IF($J917="","",IFERROR(VLOOKUP($J917,Grinders!$A:$N,12,FALSE),""))</f>
        <v/>
      </c>
      <c r="AB917" s="40">
        <f>IFERROR(IF(OR($C917="",$J917=""),0,IF($D917&lt;&gt;"Open",0,IF(COUNTIFS(GrinderServices!$B:$B,$J917,GrinderServices!$C:$C,$E917,GrinderServices!$E:$E,"Y")=0,0,IF($U917&lt;Config!$B$16,0,IF(Config!$B$18=1,IF($N917&gt;=$M917,0,1),1))))),"")</f>
        <v>0</v>
      </c>
      <c r="AC917" s="40" t="str">
        <f>IFERROR(IF($AB917=0,"",((Config!$B$6*$V917 + Config!$B$7*$R917 + Config!$B$8*$W917 + Config!$B$9*$X917 + Config!$B$10*$Y917 + Config!$B$11*$Z917 - Config!$B$12*$AA917)/Config!$B$13)+$AH917+$AI917),"")</f>
        <v/>
      </c>
      <c r="AD917" s="40" t="str">
        <f t="shared" si="4"/>
        <v/>
      </c>
      <c r="AE917" s="40" t="str">
        <f>IFERROR(__xludf.DUMMYFUNCTION("IF($AC917="""","""",IF($AC917=IFERROR(MAX(FILTER($AC$6:$AC$1000,$C$6:$C$1000=$C917,$AB$6:$AB$1000=1)),),""WINNER"",""""))"),"")</f>
        <v/>
      </c>
      <c r="AF917" s="40" t="str">
        <f t="shared" si="5"/>
        <v/>
      </c>
      <c r="AG917" s="40" t="str">
        <f>IF($J917="","",COUNTIF(Assignments!$B:$B,$J917))</f>
        <v/>
      </c>
      <c r="AH917" s="40" t="str">
        <f>IF($J917="","",IF(AND($AG917=0,$N917&lt;$M917),Config!$B$43,0))</f>
        <v/>
      </c>
      <c r="AI917" s="40" t="str">
        <f>IF($J917="","",IF(AND($L917="Elite",$F917&gt;=Config!$B$41,$N917&lt;$M917),Config!$B$42,0))</f>
        <v/>
      </c>
      <c r="AJ917" s="22"/>
    </row>
    <row r="918" ht="15.75" customHeight="1">
      <c r="A918" s="40" t="str">
        <f t="shared" si="1"/>
        <v/>
      </c>
      <c r="B918" s="40" t="str">
        <f>IF(Bids!$A918="","",Bids!$A918)</f>
        <v/>
      </c>
      <c r="C918" s="40" t="str">
        <f>IF(Bids!$B918="","",Bids!$B918)</f>
        <v/>
      </c>
      <c r="D918" s="40" t="str">
        <f>IF($C918="","",IFERROR(VLOOKUP($C918,Orders!$A:$J,9,FALSE),""))</f>
        <v/>
      </c>
      <c r="E918" s="40" t="str">
        <f>IF($C918="","",IFERROR(VLOOKUP($C918,Orders!$A:$J,3,FALSE),""))</f>
        <v/>
      </c>
      <c r="F918" s="40" t="str">
        <f>IF($C918="","",IFERROR(VLOOKUP($C918,Orders!$A:$J,4,FALSE),""))</f>
        <v/>
      </c>
      <c r="G918" s="40" t="str">
        <f>IF($C918="","",IFERROR(VLOOKUP($C918,Orders!$A:$J,5,FALSE),""))</f>
        <v/>
      </c>
      <c r="H918" s="40" t="str">
        <f>IF($C918="","",IFERROR(VLOOKUP($C918,Orders!$A:$J,6,FALSE),""))</f>
        <v/>
      </c>
      <c r="I918" s="40" t="str">
        <f>IF($C918="","",IFERROR(VLOOKUP($C918,Orders!$A:$J,7,FALSE),""))</f>
        <v/>
      </c>
      <c r="J918" s="40" t="str">
        <f>IF(Bids!$C918="","",Bids!$C918)</f>
        <v/>
      </c>
      <c r="K918" s="40" t="str">
        <f>IF($J918="","",IFERROR(VLOOKUP($J918,Grinders!$A:$N,2,FALSE),""))</f>
        <v/>
      </c>
      <c r="L918" s="40" t="str">
        <f>IF($J918="","",IFERROR(VLOOKUP($J918,Grinders!$A:$N,3,FALSE),""))</f>
        <v/>
      </c>
      <c r="M918" s="40" t="str">
        <f>IF($J918="","",IFERROR(VLOOKUP($J918,Grinders!$A:$N,4,FALSE),""))</f>
        <v/>
      </c>
      <c r="N918" s="40" t="str">
        <f>IF($J918="","",IFERROR(VLOOKUP($J918,Grinders!$A:$N,5,FALSE),""))</f>
        <v/>
      </c>
      <c r="O918" s="40" t="str">
        <f t="shared" si="2"/>
        <v/>
      </c>
      <c r="P918" s="40" t="str">
        <f>IF($J918="","",IFERROR(VLOOKUP($J918,Grinders!$A:$N,6,FALSE),""))</f>
        <v/>
      </c>
      <c r="Q918" s="40" t="str">
        <f>IF($J918="","",IFERROR(VLOOKUP($J918,Grinders!$A:$N,8,FALSE),""))</f>
        <v/>
      </c>
      <c r="R918" s="40" t="str">
        <f>IFERROR(IF($J918="","",IF($L918="Elite",MAX(50,MIN(100,Config!$B$27*MAX(0,MIN(100,(1-IF($O918="",0,$O918))*100)) + Config!$B$28*MAX(0,MIN(100,(1-MIN(1,IF(Config!$B$30=0,1,$P918/Config!$B$30)))*100)) + Config!$B$29*MAX(0,MIN(100,MIN(1,IF($Q918="",0,$Q918)/Config!$B$23)*100)))),MIN(100,Config!$B$27*MAX(0,MIN(100,(1-IF($O918="",0,$O918))*100)) + Config!$B$28*MAX(0,MIN(100,(1-MIN(1,IF(Config!$B$30=0,1,$P918/Config!$B$30)))*100)) + Config!$B$29*MAX(0,MIN(100,MIN(1,IF($Q918="",0,$Q918)/Config!$B$23)*100))))),"")
</f>
        <v/>
      </c>
      <c r="S918" s="40" t="str">
        <f>IF(Bids!$D918="","",Bids!$D918)</f>
        <v/>
      </c>
      <c r="T918" s="40" t="str">
        <f>IF(Bids!$F918="","",Bids!$F918)</f>
        <v/>
      </c>
      <c r="U918" s="40" t="str">
        <f t="shared" si="3"/>
        <v/>
      </c>
      <c r="V918" s="40" t="str">
        <f>IF($U918="","",IF(Config!$B$17=Config!$B$16,IF($U918&gt;=Config!$B$17,100,0),MAX(0,MIN(100,($U918-Config!$B$16)/(Config!$B$17-Config!$B$16)*100))))</f>
        <v/>
      </c>
      <c r="W918" s="40">
        <f>IF($L918="Elite",Config!$B$21,0)</f>
        <v>0</v>
      </c>
      <c r="X918" s="40" t="str">
        <f>IFERROR(IF(OR($T918="",$G918=""),"",IF($T918&gt;$G918,
  MAX(0, 60-(($T918-$G918)*24/Config!$B$19)*60),
  MEDIAN(60, 100, 60+(($G918-$T918)*24/Config!$B$20)*40)
)),"")
</f>
        <v/>
      </c>
      <c r="Y918" s="40" t="str">
        <f>IF($J918="","",IFERROR(VLOOKUP($J918,Grinders!$A:$N,10,FALSE),""))</f>
        <v/>
      </c>
      <c r="Z918" s="40" t="str">
        <f>IF($J918="","",IFERROR(VLOOKUP($J918,Grinders!$A:$N,11,FALSE),""))</f>
        <v/>
      </c>
      <c r="AA918" s="40" t="str">
        <f>IF($J918="","",IFERROR(VLOOKUP($J918,Grinders!$A:$N,12,FALSE),""))</f>
        <v/>
      </c>
      <c r="AB918" s="40">
        <f>IFERROR(IF(OR($C918="",$J918=""),0,IF($D918&lt;&gt;"Open",0,IF(COUNTIFS(GrinderServices!$B:$B,$J918,GrinderServices!$C:$C,$E918,GrinderServices!$E:$E,"Y")=0,0,IF($U918&lt;Config!$B$16,0,IF(Config!$B$18=1,IF($N918&gt;=$M918,0,1),1))))),"")</f>
        <v>0</v>
      </c>
      <c r="AC918" s="40" t="str">
        <f>IFERROR(IF($AB918=0,"",((Config!$B$6*$V918 + Config!$B$7*$R918 + Config!$B$8*$W918 + Config!$B$9*$X918 + Config!$B$10*$Y918 + Config!$B$11*$Z918 - Config!$B$12*$AA918)/Config!$B$13)+$AH918+$AI918),"")</f>
        <v/>
      </c>
      <c r="AD918" s="40" t="str">
        <f t="shared" si="4"/>
        <v/>
      </c>
      <c r="AE918" s="40" t="str">
        <f>IFERROR(__xludf.DUMMYFUNCTION("IF($AC918="""","""",IF($AC918=IFERROR(MAX(FILTER($AC$6:$AC$1000,$C$6:$C$1000=$C918,$AB$6:$AB$1000=1)),),""WINNER"",""""))"),"")</f>
        <v/>
      </c>
      <c r="AF918" s="40" t="str">
        <f t="shared" si="5"/>
        <v/>
      </c>
      <c r="AG918" s="40" t="str">
        <f>IF($J918="","",COUNTIF(Assignments!$B:$B,$J918))</f>
        <v/>
      </c>
      <c r="AH918" s="40" t="str">
        <f>IF($J918="","",IF(AND($AG918=0,$N918&lt;$M918),Config!$B$43,0))</f>
        <v/>
      </c>
      <c r="AI918" s="40" t="str">
        <f>IF($J918="","",IF(AND($L918="Elite",$F918&gt;=Config!$B$41,$N918&lt;$M918),Config!$B$42,0))</f>
        <v/>
      </c>
      <c r="AJ918" s="22"/>
    </row>
    <row r="919" ht="15.75" customHeight="1">
      <c r="A919" s="40" t="str">
        <f t="shared" si="1"/>
        <v/>
      </c>
      <c r="B919" s="40" t="str">
        <f>IF(Bids!$A919="","",Bids!$A919)</f>
        <v/>
      </c>
      <c r="C919" s="40" t="str">
        <f>IF(Bids!$B919="","",Bids!$B919)</f>
        <v/>
      </c>
      <c r="D919" s="40" t="str">
        <f>IF($C919="","",IFERROR(VLOOKUP($C919,Orders!$A:$J,9,FALSE),""))</f>
        <v/>
      </c>
      <c r="E919" s="40" t="str">
        <f>IF($C919="","",IFERROR(VLOOKUP($C919,Orders!$A:$J,3,FALSE),""))</f>
        <v/>
      </c>
      <c r="F919" s="40" t="str">
        <f>IF($C919="","",IFERROR(VLOOKUP($C919,Orders!$A:$J,4,FALSE),""))</f>
        <v/>
      </c>
      <c r="G919" s="40" t="str">
        <f>IF($C919="","",IFERROR(VLOOKUP($C919,Orders!$A:$J,5,FALSE),""))</f>
        <v/>
      </c>
      <c r="H919" s="40" t="str">
        <f>IF($C919="","",IFERROR(VLOOKUP($C919,Orders!$A:$J,6,FALSE),""))</f>
        <v/>
      </c>
      <c r="I919" s="40" t="str">
        <f>IF($C919="","",IFERROR(VLOOKUP($C919,Orders!$A:$J,7,FALSE),""))</f>
        <v/>
      </c>
      <c r="J919" s="40" t="str">
        <f>IF(Bids!$C919="","",Bids!$C919)</f>
        <v/>
      </c>
      <c r="K919" s="40" t="str">
        <f>IF($J919="","",IFERROR(VLOOKUP($J919,Grinders!$A:$N,2,FALSE),""))</f>
        <v/>
      </c>
      <c r="L919" s="40" t="str">
        <f>IF($J919="","",IFERROR(VLOOKUP($J919,Grinders!$A:$N,3,FALSE),""))</f>
        <v/>
      </c>
      <c r="M919" s="40" t="str">
        <f>IF($J919="","",IFERROR(VLOOKUP($J919,Grinders!$A:$N,4,FALSE),""))</f>
        <v/>
      </c>
      <c r="N919" s="40" t="str">
        <f>IF($J919="","",IFERROR(VLOOKUP($J919,Grinders!$A:$N,5,FALSE),""))</f>
        <v/>
      </c>
      <c r="O919" s="40" t="str">
        <f t="shared" si="2"/>
        <v/>
      </c>
      <c r="P919" s="40" t="str">
        <f>IF($J919="","",IFERROR(VLOOKUP($J919,Grinders!$A:$N,6,FALSE),""))</f>
        <v/>
      </c>
      <c r="Q919" s="40" t="str">
        <f>IF($J919="","",IFERROR(VLOOKUP($J919,Grinders!$A:$N,8,FALSE),""))</f>
        <v/>
      </c>
      <c r="R919" s="40" t="str">
        <f>IFERROR(IF($J919="","",IF($L919="Elite",MAX(50,MIN(100,Config!$B$27*MAX(0,MIN(100,(1-IF($O919="",0,$O919))*100)) + Config!$B$28*MAX(0,MIN(100,(1-MIN(1,IF(Config!$B$30=0,1,$P919/Config!$B$30)))*100)) + Config!$B$29*MAX(0,MIN(100,MIN(1,IF($Q919="",0,$Q919)/Config!$B$23)*100)))),MIN(100,Config!$B$27*MAX(0,MIN(100,(1-IF($O919="",0,$O919))*100)) + Config!$B$28*MAX(0,MIN(100,(1-MIN(1,IF(Config!$B$30=0,1,$P919/Config!$B$30)))*100)) + Config!$B$29*MAX(0,MIN(100,MIN(1,IF($Q919="",0,$Q919)/Config!$B$23)*100))))),"")
</f>
        <v/>
      </c>
      <c r="S919" s="40" t="str">
        <f>IF(Bids!$D919="","",Bids!$D919)</f>
        <v/>
      </c>
      <c r="T919" s="40" t="str">
        <f>IF(Bids!$F919="","",Bids!$F919)</f>
        <v/>
      </c>
      <c r="U919" s="40" t="str">
        <f t="shared" si="3"/>
        <v/>
      </c>
      <c r="V919" s="40" t="str">
        <f>IF($U919="","",IF(Config!$B$17=Config!$B$16,IF($U919&gt;=Config!$B$17,100,0),MAX(0,MIN(100,($U919-Config!$B$16)/(Config!$B$17-Config!$B$16)*100))))</f>
        <v/>
      </c>
      <c r="W919" s="40">
        <f>IF($L919="Elite",Config!$B$21,0)</f>
        <v>0</v>
      </c>
      <c r="X919" s="40" t="str">
        <f>IFERROR(IF(OR($T919="",$G919=""),"",IF($T919&gt;$G919,
  MAX(0, 60-(($T919-$G919)*24/Config!$B$19)*60),
  MEDIAN(60, 100, 60+(($G919-$T919)*24/Config!$B$20)*40)
)),"")
</f>
        <v/>
      </c>
      <c r="Y919" s="40" t="str">
        <f>IF($J919="","",IFERROR(VLOOKUP($J919,Grinders!$A:$N,10,FALSE),""))</f>
        <v/>
      </c>
      <c r="Z919" s="40" t="str">
        <f>IF($J919="","",IFERROR(VLOOKUP($J919,Grinders!$A:$N,11,FALSE),""))</f>
        <v/>
      </c>
      <c r="AA919" s="40" t="str">
        <f>IF($J919="","",IFERROR(VLOOKUP($J919,Grinders!$A:$N,12,FALSE),""))</f>
        <v/>
      </c>
      <c r="AB919" s="40">
        <f>IFERROR(IF(OR($C919="",$J919=""),0,IF($D919&lt;&gt;"Open",0,IF(COUNTIFS(GrinderServices!$B:$B,$J919,GrinderServices!$C:$C,$E919,GrinderServices!$E:$E,"Y")=0,0,IF($U919&lt;Config!$B$16,0,IF(Config!$B$18=1,IF($N919&gt;=$M919,0,1),1))))),"")</f>
        <v>0</v>
      </c>
      <c r="AC919" s="40" t="str">
        <f>IFERROR(IF($AB919=0,"",((Config!$B$6*$V919 + Config!$B$7*$R919 + Config!$B$8*$W919 + Config!$B$9*$X919 + Config!$B$10*$Y919 + Config!$B$11*$Z919 - Config!$B$12*$AA919)/Config!$B$13)+$AH919+$AI919),"")</f>
        <v/>
      </c>
      <c r="AD919" s="40" t="str">
        <f t="shared" si="4"/>
        <v/>
      </c>
      <c r="AE919" s="40" t="str">
        <f>IFERROR(__xludf.DUMMYFUNCTION("IF($AC919="""","""",IF($AC919=IFERROR(MAX(FILTER($AC$6:$AC$1000,$C$6:$C$1000=$C919,$AB$6:$AB$1000=1)),),""WINNER"",""""))"),"")</f>
        <v/>
      </c>
      <c r="AF919" s="40" t="str">
        <f t="shared" si="5"/>
        <v/>
      </c>
      <c r="AG919" s="40" t="str">
        <f>IF($J919="","",COUNTIF(Assignments!$B:$B,$J919))</f>
        <v/>
      </c>
      <c r="AH919" s="40" t="str">
        <f>IF($J919="","",IF(AND($AG919=0,$N919&lt;$M919),Config!$B$43,0))</f>
        <v/>
      </c>
      <c r="AI919" s="40" t="str">
        <f>IF($J919="","",IF(AND($L919="Elite",$F919&gt;=Config!$B$41,$N919&lt;$M919),Config!$B$42,0))</f>
        <v/>
      </c>
      <c r="AJ919" s="22"/>
    </row>
    <row r="920" ht="15.75" customHeight="1">
      <c r="A920" s="40" t="str">
        <f t="shared" si="1"/>
        <v/>
      </c>
      <c r="B920" s="40" t="str">
        <f>IF(Bids!$A920="","",Bids!$A920)</f>
        <v/>
      </c>
      <c r="C920" s="40" t="str">
        <f>IF(Bids!$B920="","",Bids!$B920)</f>
        <v/>
      </c>
      <c r="D920" s="40" t="str">
        <f>IF($C920="","",IFERROR(VLOOKUP($C920,Orders!$A:$J,9,FALSE),""))</f>
        <v/>
      </c>
      <c r="E920" s="40" t="str">
        <f>IF($C920="","",IFERROR(VLOOKUP($C920,Orders!$A:$J,3,FALSE),""))</f>
        <v/>
      </c>
      <c r="F920" s="40" t="str">
        <f>IF($C920="","",IFERROR(VLOOKUP($C920,Orders!$A:$J,4,FALSE),""))</f>
        <v/>
      </c>
      <c r="G920" s="40" t="str">
        <f>IF($C920="","",IFERROR(VLOOKUP($C920,Orders!$A:$J,5,FALSE),""))</f>
        <v/>
      </c>
      <c r="H920" s="40" t="str">
        <f>IF($C920="","",IFERROR(VLOOKUP($C920,Orders!$A:$J,6,FALSE),""))</f>
        <v/>
      </c>
      <c r="I920" s="40" t="str">
        <f>IF($C920="","",IFERROR(VLOOKUP($C920,Orders!$A:$J,7,FALSE),""))</f>
        <v/>
      </c>
      <c r="J920" s="40" t="str">
        <f>IF(Bids!$C920="","",Bids!$C920)</f>
        <v/>
      </c>
      <c r="K920" s="40" t="str">
        <f>IF($J920="","",IFERROR(VLOOKUP($J920,Grinders!$A:$N,2,FALSE),""))</f>
        <v/>
      </c>
      <c r="L920" s="40" t="str">
        <f>IF($J920="","",IFERROR(VLOOKUP($J920,Grinders!$A:$N,3,FALSE),""))</f>
        <v/>
      </c>
      <c r="M920" s="40" t="str">
        <f>IF($J920="","",IFERROR(VLOOKUP($J920,Grinders!$A:$N,4,FALSE),""))</f>
        <v/>
      </c>
      <c r="N920" s="40" t="str">
        <f>IF($J920="","",IFERROR(VLOOKUP($J920,Grinders!$A:$N,5,FALSE),""))</f>
        <v/>
      </c>
      <c r="O920" s="40" t="str">
        <f t="shared" si="2"/>
        <v/>
      </c>
      <c r="P920" s="40" t="str">
        <f>IF($J920="","",IFERROR(VLOOKUP($J920,Grinders!$A:$N,6,FALSE),""))</f>
        <v/>
      </c>
      <c r="Q920" s="40" t="str">
        <f>IF($J920="","",IFERROR(VLOOKUP($J920,Grinders!$A:$N,8,FALSE),""))</f>
        <v/>
      </c>
      <c r="R920" s="40" t="str">
        <f>IFERROR(IF($J920="","",IF($L920="Elite",MAX(50,MIN(100,Config!$B$27*MAX(0,MIN(100,(1-IF($O920="",0,$O920))*100)) + Config!$B$28*MAX(0,MIN(100,(1-MIN(1,IF(Config!$B$30=0,1,$P920/Config!$B$30)))*100)) + Config!$B$29*MAX(0,MIN(100,MIN(1,IF($Q920="",0,$Q920)/Config!$B$23)*100)))),MIN(100,Config!$B$27*MAX(0,MIN(100,(1-IF($O920="",0,$O920))*100)) + Config!$B$28*MAX(0,MIN(100,(1-MIN(1,IF(Config!$B$30=0,1,$P920/Config!$B$30)))*100)) + Config!$B$29*MAX(0,MIN(100,MIN(1,IF($Q920="",0,$Q920)/Config!$B$23)*100))))),"")
</f>
        <v/>
      </c>
      <c r="S920" s="40" t="str">
        <f>IF(Bids!$D920="","",Bids!$D920)</f>
        <v/>
      </c>
      <c r="T920" s="40" t="str">
        <f>IF(Bids!$F920="","",Bids!$F920)</f>
        <v/>
      </c>
      <c r="U920" s="40" t="str">
        <f t="shared" si="3"/>
        <v/>
      </c>
      <c r="V920" s="40" t="str">
        <f>IF($U920="","",IF(Config!$B$17=Config!$B$16,IF($U920&gt;=Config!$B$17,100,0),MAX(0,MIN(100,($U920-Config!$B$16)/(Config!$B$17-Config!$B$16)*100))))</f>
        <v/>
      </c>
      <c r="W920" s="40">
        <f>IF($L920="Elite",Config!$B$21,0)</f>
        <v>0</v>
      </c>
      <c r="X920" s="40" t="str">
        <f>IFERROR(IF(OR($T920="",$G920=""),"",IF($T920&gt;$G920,
  MAX(0, 60-(($T920-$G920)*24/Config!$B$19)*60),
  MEDIAN(60, 100, 60+(($G920-$T920)*24/Config!$B$20)*40)
)),"")
</f>
        <v/>
      </c>
      <c r="Y920" s="40" t="str">
        <f>IF($J920="","",IFERROR(VLOOKUP($J920,Grinders!$A:$N,10,FALSE),""))</f>
        <v/>
      </c>
      <c r="Z920" s="40" t="str">
        <f>IF($J920="","",IFERROR(VLOOKUP($J920,Grinders!$A:$N,11,FALSE),""))</f>
        <v/>
      </c>
      <c r="AA920" s="40" t="str">
        <f>IF($J920="","",IFERROR(VLOOKUP($J920,Grinders!$A:$N,12,FALSE),""))</f>
        <v/>
      </c>
      <c r="AB920" s="40">
        <f>IFERROR(IF(OR($C920="",$J920=""),0,IF($D920&lt;&gt;"Open",0,IF(COUNTIFS(GrinderServices!$B:$B,$J920,GrinderServices!$C:$C,$E920,GrinderServices!$E:$E,"Y")=0,0,IF($U920&lt;Config!$B$16,0,IF(Config!$B$18=1,IF($N920&gt;=$M920,0,1),1))))),"")</f>
        <v>0</v>
      </c>
      <c r="AC920" s="40" t="str">
        <f>IFERROR(IF($AB920=0,"",((Config!$B$6*$V920 + Config!$B$7*$R920 + Config!$B$8*$W920 + Config!$B$9*$X920 + Config!$B$10*$Y920 + Config!$B$11*$Z920 - Config!$B$12*$AA920)/Config!$B$13)+$AH920+$AI920),"")</f>
        <v/>
      </c>
      <c r="AD920" s="40" t="str">
        <f t="shared" si="4"/>
        <v/>
      </c>
      <c r="AE920" s="40" t="str">
        <f>IFERROR(__xludf.DUMMYFUNCTION("IF($AC920="""","""",IF($AC920=IFERROR(MAX(FILTER($AC$6:$AC$1000,$C$6:$C$1000=$C920,$AB$6:$AB$1000=1)),),""WINNER"",""""))"),"")</f>
        <v/>
      </c>
      <c r="AF920" s="40" t="str">
        <f t="shared" si="5"/>
        <v/>
      </c>
      <c r="AG920" s="40" t="str">
        <f>IF($J920="","",COUNTIF(Assignments!$B:$B,$J920))</f>
        <v/>
      </c>
      <c r="AH920" s="40" t="str">
        <f>IF($J920="","",IF(AND($AG920=0,$N920&lt;$M920),Config!$B$43,0))</f>
        <v/>
      </c>
      <c r="AI920" s="40" t="str">
        <f>IF($J920="","",IF(AND($L920="Elite",$F920&gt;=Config!$B$41,$N920&lt;$M920),Config!$B$42,0))</f>
        <v/>
      </c>
      <c r="AJ920" s="22"/>
    </row>
    <row r="921" ht="15.75" customHeight="1">
      <c r="A921" s="40" t="str">
        <f t="shared" si="1"/>
        <v/>
      </c>
      <c r="B921" s="40" t="str">
        <f>IF(Bids!$A921="","",Bids!$A921)</f>
        <v/>
      </c>
      <c r="C921" s="40" t="str">
        <f>IF(Bids!$B921="","",Bids!$B921)</f>
        <v/>
      </c>
      <c r="D921" s="40" t="str">
        <f>IF($C921="","",IFERROR(VLOOKUP($C921,Orders!$A:$J,9,FALSE),""))</f>
        <v/>
      </c>
      <c r="E921" s="40" t="str">
        <f>IF($C921="","",IFERROR(VLOOKUP($C921,Orders!$A:$J,3,FALSE),""))</f>
        <v/>
      </c>
      <c r="F921" s="40" t="str">
        <f>IF($C921="","",IFERROR(VLOOKUP($C921,Orders!$A:$J,4,FALSE),""))</f>
        <v/>
      </c>
      <c r="G921" s="40" t="str">
        <f>IF($C921="","",IFERROR(VLOOKUP($C921,Orders!$A:$J,5,FALSE),""))</f>
        <v/>
      </c>
      <c r="H921" s="40" t="str">
        <f>IF($C921="","",IFERROR(VLOOKUP($C921,Orders!$A:$J,6,FALSE),""))</f>
        <v/>
      </c>
      <c r="I921" s="40" t="str">
        <f>IF($C921="","",IFERROR(VLOOKUP($C921,Orders!$A:$J,7,FALSE),""))</f>
        <v/>
      </c>
      <c r="J921" s="40" t="str">
        <f>IF(Bids!$C921="","",Bids!$C921)</f>
        <v/>
      </c>
      <c r="K921" s="40" t="str">
        <f>IF($J921="","",IFERROR(VLOOKUP($J921,Grinders!$A:$N,2,FALSE),""))</f>
        <v/>
      </c>
      <c r="L921" s="40" t="str">
        <f>IF($J921="","",IFERROR(VLOOKUP($J921,Grinders!$A:$N,3,FALSE),""))</f>
        <v/>
      </c>
      <c r="M921" s="40" t="str">
        <f>IF($J921="","",IFERROR(VLOOKUP($J921,Grinders!$A:$N,4,FALSE),""))</f>
        <v/>
      </c>
      <c r="N921" s="40" t="str">
        <f>IF($J921="","",IFERROR(VLOOKUP($J921,Grinders!$A:$N,5,FALSE),""))</f>
        <v/>
      </c>
      <c r="O921" s="40" t="str">
        <f t="shared" si="2"/>
        <v/>
      </c>
      <c r="P921" s="40" t="str">
        <f>IF($J921="","",IFERROR(VLOOKUP($J921,Grinders!$A:$N,6,FALSE),""))</f>
        <v/>
      </c>
      <c r="Q921" s="40" t="str">
        <f>IF($J921="","",IFERROR(VLOOKUP($J921,Grinders!$A:$N,8,FALSE),""))</f>
        <v/>
      </c>
      <c r="R921" s="40" t="str">
        <f>IFERROR(IF($J921="","",IF($L921="Elite",MAX(50,MIN(100,Config!$B$27*MAX(0,MIN(100,(1-IF($O921="",0,$O921))*100)) + Config!$B$28*MAX(0,MIN(100,(1-MIN(1,IF(Config!$B$30=0,1,$P921/Config!$B$30)))*100)) + Config!$B$29*MAX(0,MIN(100,MIN(1,IF($Q921="",0,$Q921)/Config!$B$23)*100)))),MIN(100,Config!$B$27*MAX(0,MIN(100,(1-IF($O921="",0,$O921))*100)) + Config!$B$28*MAX(0,MIN(100,(1-MIN(1,IF(Config!$B$30=0,1,$P921/Config!$B$30)))*100)) + Config!$B$29*MAX(0,MIN(100,MIN(1,IF($Q921="",0,$Q921)/Config!$B$23)*100))))),"")
</f>
        <v/>
      </c>
      <c r="S921" s="40" t="str">
        <f>IF(Bids!$D921="","",Bids!$D921)</f>
        <v/>
      </c>
      <c r="T921" s="40" t="str">
        <f>IF(Bids!$F921="","",Bids!$F921)</f>
        <v/>
      </c>
      <c r="U921" s="40" t="str">
        <f t="shared" si="3"/>
        <v/>
      </c>
      <c r="V921" s="40" t="str">
        <f>IF($U921="","",IF(Config!$B$17=Config!$B$16,IF($U921&gt;=Config!$B$17,100,0),MAX(0,MIN(100,($U921-Config!$B$16)/(Config!$B$17-Config!$B$16)*100))))</f>
        <v/>
      </c>
      <c r="W921" s="40">
        <f>IF($L921="Elite",Config!$B$21,0)</f>
        <v>0</v>
      </c>
      <c r="X921" s="40" t="str">
        <f>IFERROR(IF(OR($T921="",$G921=""),"",IF($T921&gt;$G921,
  MAX(0, 60-(($T921-$G921)*24/Config!$B$19)*60),
  MEDIAN(60, 100, 60+(($G921-$T921)*24/Config!$B$20)*40)
)),"")
</f>
        <v/>
      </c>
      <c r="Y921" s="40" t="str">
        <f>IF($J921="","",IFERROR(VLOOKUP($J921,Grinders!$A:$N,10,FALSE),""))</f>
        <v/>
      </c>
      <c r="Z921" s="40" t="str">
        <f>IF($J921="","",IFERROR(VLOOKUP($J921,Grinders!$A:$N,11,FALSE),""))</f>
        <v/>
      </c>
      <c r="AA921" s="40" t="str">
        <f>IF($J921="","",IFERROR(VLOOKUP($J921,Grinders!$A:$N,12,FALSE),""))</f>
        <v/>
      </c>
      <c r="AB921" s="40">
        <f>IFERROR(IF(OR($C921="",$J921=""),0,IF($D921&lt;&gt;"Open",0,IF(COUNTIFS(GrinderServices!$B:$B,$J921,GrinderServices!$C:$C,$E921,GrinderServices!$E:$E,"Y")=0,0,IF($U921&lt;Config!$B$16,0,IF(Config!$B$18=1,IF($N921&gt;=$M921,0,1),1))))),"")</f>
        <v>0</v>
      </c>
      <c r="AC921" s="40" t="str">
        <f>IFERROR(IF($AB921=0,"",((Config!$B$6*$V921 + Config!$B$7*$R921 + Config!$B$8*$W921 + Config!$B$9*$X921 + Config!$B$10*$Y921 + Config!$B$11*$Z921 - Config!$B$12*$AA921)/Config!$B$13)+$AH921+$AI921),"")</f>
        <v/>
      </c>
      <c r="AD921" s="40" t="str">
        <f t="shared" si="4"/>
        <v/>
      </c>
      <c r="AE921" s="40" t="str">
        <f>IFERROR(__xludf.DUMMYFUNCTION("IF($AC921="""","""",IF($AC921=IFERROR(MAX(FILTER($AC$6:$AC$1000,$C$6:$C$1000=$C921,$AB$6:$AB$1000=1)),),""WINNER"",""""))"),"")</f>
        <v/>
      </c>
      <c r="AF921" s="40" t="str">
        <f t="shared" si="5"/>
        <v/>
      </c>
      <c r="AG921" s="40" t="str">
        <f>IF($J921="","",COUNTIF(Assignments!$B:$B,$J921))</f>
        <v/>
      </c>
      <c r="AH921" s="40" t="str">
        <f>IF($J921="","",IF(AND($AG921=0,$N921&lt;$M921),Config!$B$43,0))</f>
        <v/>
      </c>
      <c r="AI921" s="40" t="str">
        <f>IF($J921="","",IF(AND($L921="Elite",$F921&gt;=Config!$B$41,$N921&lt;$M921),Config!$B$42,0))</f>
        <v/>
      </c>
      <c r="AJ921" s="22"/>
    </row>
    <row r="922" ht="15.75" customHeight="1">
      <c r="A922" s="40" t="str">
        <f t="shared" si="1"/>
        <v/>
      </c>
      <c r="B922" s="40" t="str">
        <f>IF(Bids!$A922="","",Bids!$A922)</f>
        <v/>
      </c>
      <c r="C922" s="40" t="str">
        <f>IF(Bids!$B922="","",Bids!$B922)</f>
        <v/>
      </c>
      <c r="D922" s="40" t="str">
        <f>IF($C922="","",IFERROR(VLOOKUP($C922,Orders!$A:$J,9,FALSE),""))</f>
        <v/>
      </c>
      <c r="E922" s="40" t="str">
        <f>IF($C922="","",IFERROR(VLOOKUP($C922,Orders!$A:$J,3,FALSE),""))</f>
        <v/>
      </c>
      <c r="F922" s="40" t="str">
        <f>IF($C922="","",IFERROR(VLOOKUP($C922,Orders!$A:$J,4,FALSE),""))</f>
        <v/>
      </c>
      <c r="G922" s="40" t="str">
        <f>IF($C922="","",IFERROR(VLOOKUP($C922,Orders!$A:$J,5,FALSE),""))</f>
        <v/>
      </c>
      <c r="H922" s="40" t="str">
        <f>IF($C922="","",IFERROR(VLOOKUP($C922,Orders!$A:$J,6,FALSE),""))</f>
        <v/>
      </c>
      <c r="I922" s="40" t="str">
        <f>IF($C922="","",IFERROR(VLOOKUP($C922,Orders!$A:$J,7,FALSE),""))</f>
        <v/>
      </c>
      <c r="J922" s="40" t="str">
        <f>IF(Bids!$C922="","",Bids!$C922)</f>
        <v/>
      </c>
      <c r="K922" s="40" t="str">
        <f>IF($J922="","",IFERROR(VLOOKUP($J922,Grinders!$A:$N,2,FALSE),""))</f>
        <v/>
      </c>
      <c r="L922" s="40" t="str">
        <f>IF($J922="","",IFERROR(VLOOKUP($J922,Grinders!$A:$N,3,FALSE),""))</f>
        <v/>
      </c>
      <c r="M922" s="40" t="str">
        <f>IF($J922="","",IFERROR(VLOOKUP($J922,Grinders!$A:$N,4,FALSE),""))</f>
        <v/>
      </c>
      <c r="N922" s="40" t="str">
        <f>IF($J922="","",IFERROR(VLOOKUP($J922,Grinders!$A:$N,5,FALSE),""))</f>
        <v/>
      </c>
      <c r="O922" s="40" t="str">
        <f t="shared" si="2"/>
        <v/>
      </c>
      <c r="P922" s="40" t="str">
        <f>IF($J922="","",IFERROR(VLOOKUP($J922,Grinders!$A:$N,6,FALSE),""))</f>
        <v/>
      </c>
      <c r="Q922" s="40" t="str">
        <f>IF($J922="","",IFERROR(VLOOKUP($J922,Grinders!$A:$N,8,FALSE),""))</f>
        <v/>
      </c>
      <c r="R922" s="40" t="str">
        <f>IFERROR(IF($J922="","",IF($L922="Elite",MAX(50,MIN(100,Config!$B$27*MAX(0,MIN(100,(1-IF($O922="",0,$O922))*100)) + Config!$B$28*MAX(0,MIN(100,(1-MIN(1,IF(Config!$B$30=0,1,$P922/Config!$B$30)))*100)) + Config!$B$29*MAX(0,MIN(100,MIN(1,IF($Q922="",0,$Q922)/Config!$B$23)*100)))),MIN(100,Config!$B$27*MAX(0,MIN(100,(1-IF($O922="",0,$O922))*100)) + Config!$B$28*MAX(0,MIN(100,(1-MIN(1,IF(Config!$B$30=0,1,$P922/Config!$B$30)))*100)) + Config!$B$29*MAX(0,MIN(100,MIN(1,IF($Q922="",0,$Q922)/Config!$B$23)*100))))),"")
</f>
        <v/>
      </c>
      <c r="S922" s="40" t="str">
        <f>IF(Bids!$D922="","",Bids!$D922)</f>
        <v/>
      </c>
      <c r="T922" s="40" t="str">
        <f>IF(Bids!$F922="","",Bids!$F922)</f>
        <v/>
      </c>
      <c r="U922" s="40" t="str">
        <f t="shared" si="3"/>
        <v/>
      </c>
      <c r="V922" s="40" t="str">
        <f>IF($U922="","",IF(Config!$B$17=Config!$B$16,IF($U922&gt;=Config!$B$17,100,0),MAX(0,MIN(100,($U922-Config!$B$16)/(Config!$B$17-Config!$B$16)*100))))</f>
        <v/>
      </c>
      <c r="W922" s="40">
        <f>IF($L922="Elite",Config!$B$21,0)</f>
        <v>0</v>
      </c>
      <c r="X922" s="40" t="str">
        <f>IFERROR(IF(OR($T922="",$G922=""),"",IF($T922&gt;$G922,
  MAX(0, 60-(($T922-$G922)*24/Config!$B$19)*60),
  MEDIAN(60, 100, 60+(($G922-$T922)*24/Config!$B$20)*40)
)),"")
</f>
        <v/>
      </c>
      <c r="Y922" s="40" t="str">
        <f>IF($J922="","",IFERROR(VLOOKUP($J922,Grinders!$A:$N,10,FALSE),""))</f>
        <v/>
      </c>
      <c r="Z922" s="40" t="str">
        <f>IF($J922="","",IFERROR(VLOOKUP($J922,Grinders!$A:$N,11,FALSE),""))</f>
        <v/>
      </c>
      <c r="AA922" s="40" t="str">
        <f>IF($J922="","",IFERROR(VLOOKUP($J922,Grinders!$A:$N,12,FALSE),""))</f>
        <v/>
      </c>
      <c r="AB922" s="40">
        <f>IFERROR(IF(OR($C922="",$J922=""),0,IF($D922&lt;&gt;"Open",0,IF(COUNTIFS(GrinderServices!$B:$B,$J922,GrinderServices!$C:$C,$E922,GrinderServices!$E:$E,"Y")=0,0,IF($U922&lt;Config!$B$16,0,IF(Config!$B$18=1,IF($N922&gt;=$M922,0,1),1))))),"")</f>
        <v>0</v>
      </c>
      <c r="AC922" s="40" t="str">
        <f>IFERROR(IF($AB922=0,"",((Config!$B$6*$V922 + Config!$B$7*$R922 + Config!$B$8*$W922 + Config!$B$9*$X922 + Config!$B$10*$Y922 + Config!$B$11*$Z922 - Config!$B$12*$AA922)/Config!$B$13)+$AH922+$AI922),"")</f>
        <v/>
      </c>
      <c r="AD922" s="40" t="str">
        <f t="shared" si="4"/>
        <v/>
      </c>
      <c r="AE922" s="40" t="str">
        <f>IFERROR(__xludf.DUMMYFUNCTION("IF($AC922="""","""",IF($AC922=IFERROR(MAX(FILTER($AC$6:$AC$1000,$C$6:$C$1000=$C922,$AB$6:$AB$1000=1)),),""WINNER"",""""))"),"")</f>
        <v/>
      </c>
      <c r="AF922" s="40" t="str">
        <f t="shared" si="5"/>
        <v/>
      </c>
      <c r="AG922" s="40" t="str">
        <f>IF($J922="","",COUNTIF(Assignments!$B:$B,$J922))</f>
        <v/>
      </c>
      <c r="AH922" s="40" t="str">
        <f>IF($J922="","",IF(AND($AG922=0,$N922&lt;$M922),Config!$B$43,0))</f>
        <v/>
      </c>
      <c r="AI922" s="40" t="str">
        <f>IF($J922="","",IF(AND($L922="Elite",$F922&gt;=Config!$B$41,$N922&lt;$M922),Config!$B$42,0))</f>
        <v/>
      </c>
      <c r="AJ922" s="22"/>
    </row>
    <row r="923" ht="15.75" customHeight="1">
      <c r="A923" s="40" t="str">
        <f t="shared" si="1"/>
        <v/>
      </c>
      <c r="B923" s="40" t="str">
        <f>IF(Bids!$A923="","",Bids!$A923)</f>
        <v/>
      </c>
      <c r="C923" s="40" t="str">
        <f>IF(Bids!$B923="","",Bids!$B923)</f>
        <v/>
      </c>
      <c r="D923" s="40" t="str">
        <f>IF($C923="","",IFERROR(VLOOKUP($C923,Orders!$A:$J,9,FALSE),""))</f>
        <v/>
      </c>
      <c r="E923" s="40" t="str">
        <f>IF($C923="","",IFERROR(VLOOKUP($C923,Orders!$A:$J,3,FALSE),""))</f>
        <v/>
      </c>
      <c r="F923" s="40" t="str">
        <f>IF($C923="","",IFERROR(VLOOKUP($C923,Orders!$A:$J,4,FALSE),""))</f>
        <v/>
      </c>
      <c r="G923" s="40" t="str">
        <f>IF($C923="","",IFERROR(VLOOKUP($C923,Orders!$A:$J,5,FALSE),""))</f>
        <v/>
      </c>
      <c r="H923" s="40" t="str">
        <f>IF($C923="","",IFERROR(VLOOKUP($C923,Orders!$A:$J,6,FALSE),""))</f>
        <v/>
      </c>
      <c r="I923" s="40" t="str">
        <f>IF($C923="","",IFERROR(VLOOKUP($C923,Orders!$A:$J,7,FALSE),""))</f>
        <v/>
      </c>
      <c r="J923" s="40" t="str">
        <f>IF(Bids!$C923="","",Bids!$C923)</f>
        <v/>
      </c>
      <c r="K923" s="40" t="str">
        <f>IF($J923="","",IFERROR(VLOOKUP($J923,Grinders!$A:$N,2,FALSE),""))</f>
        <v/>
      </c>
      <c r="L923" s="40" t="str">
        <f>IF($J923="","",IFERROR(VLOOKUP($J923,Grinders!$A:$N,3,FALSE),""))</f>
        <v/>
      </c>
      <c r="M923" s="40" t="str">
        <f>IF($J923="","",IFERROR(VLOOKUP($J923,Grinders!$A:$N,4,FALSE),""))</f>
        <v/>
      </c>
      <c r="N923" s="40" t="str">
        <f>IF($J923="","",IFERROR(VLOOKUP($J923,Grinders!$A:$N,5,FALSE),""))</f>
        <v/>
      </c>
      <c r="O923" s="40" t="str">
        <f t="shared" si="2"/>
        <v/>
      </c>
      <c r="P923" s="40" t="str">
        <f>IF($J923="","",IFERROR(VLOOKUP($J923,Grinders!$A:$N,6,FALSE),""))</f>
        <v/>
      </c>
      <c r="Q923" s="40" t="str">
        <f>IF($J923="","",IFERROR(VLOOKUP($J923,Grinders!$A:$N,8,FALSE),""))</f>
        <v/>
      </c>
      <c r="R923" s="40" t="str">
        <f>IFERROR(IF($J923="","",IF($L923="Elite",MAX(50,MIN(100,Config!$B$27*MAX(0,MIN(100,(1-IF($O923="",0,$O923))*100)) + Config!$B$28*MAX(0,MIN(100,(1-MIN(1,IF(Config!$B$30=0,1,$P923/Config!$B$30)))*100)) + Config!$B$29*MAX(0,MIN(100,MIN(1,IF($Q923="",0,$Q923)/Config!$B$23)*100)))),MIN(100,Config!$B$27*MAX(0,MIN(100,(1-IF($O923="",0,$O923))*100)) + Config!$B$28*MAX(0,MIN(100,(1-MIN(1,IF(Config!$B$30=0,1,$P923/Config!$B$30)))*100)) + Config!$B$29*MAX(0,MIN(100,MIN(1,IF($Q923="",0,$Q923)/Config!$B$23)*100))))),"")
</f>
        <v/>
      </c>
      <c r="S923" s="40" t="str">
        <f>IF(Bids!$D923="","",Bids!$D923)</f>
        <v/>
      </c>
      <c r="T923" s="40" t="str">
        <f>IF(Bids!$F923="","",Bids!$F923)</f>
        <v/>
      </c>
      <c r="U923" s="40" t="str">
        <f t="shared" si="3"/>
        <v/>
      </c>
      <c r="V923" s="40" t="str">
        <f>IF($U923="","",IF(Config!$B$17=Config!$B$16,IF($U923&gt;=Config!$B$17,100,0),MAX(0,MIN(100,($U923-Config!$B$16)/(Config!$B$17-Config!$B$16)*100))))</f>
        <v/>
      </c>
      <c r="W923" s="40">
        <f>IF($L923="Elite",Config!$B$21,0)</f>
        <v>0</v>
      </c>
      <c r="X923" s="40" t="str">
        <f>IFERROR(IF(OR($T923="",$G923=""),"",IF($T923&gt;$G923,
  MAX(0, 60-(($T923-$G923)*24/Config!$B$19)*60),
  MEDIAN(60, 100, 60+(($G923-$T923)*24/Config!$B$20)*40)
)),"")
</f>
        <v/>
      </c>
      <c r="Y923" s="40" t="str">
        <f>IF($J923="","",IFERROR(VLOOKUP($J923,Grinders!$A:$N,10,FALSE),""))</f>
        <v/>
      </c>
      <c r="Z923" s="40" t="str">
        <f>IF($J923="","",IFERROR(VLOOKUP($J923,Grinders!$A:$N,11,FALSE),""))</f>
        <v/>
      </c>
      <c r="AA923" s="40" t="str">
        <f>IF($J923="","",IFERROR(VLOOKUP($J923,Grinders!$A:$N,12,FALSE),""))</f>
        <v/>
      </c>
      <c r="AB923" s="40">
        <f>IFERROR(IF(OR($C923="",$J923=""),0,IF($D923&lt;&gt;"Open",0,IF(COUNTIFS(GrinderServices!$B:$B,$J923,GrinderServices!$C:$C,$E923,GrinderServices!$E:$E,"Y")=0,0,IF($U923&lt;Config!$B$16,0,IF(Config!$B$18=1,IF($N923&gt;=$M923,0,1),1))))),"")</f>
        <v>0</v>
      </c>
      <c r="AC923" s="40" t="str">
        <f>IFERROR(IF($AB923=0,"",((Config!$B$6*$V923 + Config!$B$7*$R923 + Config!$B$8*$W923 + Config!$B$9*$X923 + Config!$B$10*$Y923 + Config!$B$11*$Z923 - Config!$B$12*$AA923)/Config!$B$13)+$AH923+$AI923),"")</f>
        <v/>
      </c>
      <c r="AD923" s="40" t="str">
        <f t="shared" si="4"/>
        <v/>
      </c>
      <c r="AE923" s="40" t="str">
        <f>IFERROR(__xludf.DUMMYFUNCTION("IF($AC923="""","""",IF($AC923=IFERROR(MAX(FILTER($AC$6:$AC$1000,$C$6:$C$1000=$C923,$AB$6:$AB$1000=1)),),""WINNER"",""""))"),"")</f>
        <v/>
      </c>
      <c r="AF923" s="40" t="str">
        <f t="shared" si="5"/>
        <v/>
      </c>
      <c r="AG923" s="40" t="str">
        <f>IF($J923="","",COUNTIF(Assignments!$B:$B,$J923))</f>
        <v/>
      </c>
      <c r="AH923" s="40" t="str">
        <f>IF($J923="","",IF(AND($AG923=0,$N923&lt;$M923),Config!$B$43,0))</f>
        <v/>
      </c>
      <c r="AI923" s="40" t="str">
        <f>IF($J923="","",IF(AND($L923="Elite",$F923&gt;=Config!$B$41,$N923&lt;$M923),Config!$B$42,0))</f>
        <v/>
      </c>
      <c r="AJ923" s="22"/>
    </row>
    <row r="924" ht="15.75" customHeight="1">
      <c r="A924" s="40" t="str">
        <f t="shared" si="1"/>
        <v/>
      </c>
      <c r="B924" s="40" t="str">
        <f>IF(Bids!$A924="","",Bids!$A924)</f>
        <v/>
      </c>
      <c r="C924" s="40" t="str">
        <f>IF(Bids!$B924="","",Bids!$B924)</f>
        <v/>
      </c>
      <c r="D924" s="40" t="str">
        <f>IF($C924="","",IFERROR(VLOOKUP($C924,Orders!$A:$J,9,FALSE),""))</f>
        <v/>
      </c>
      <c r="E924" s="40" t="str">
        <f>IF($C924="","",IFERROR(VLOOKUP($C924,Orders!$A:$J,3,FALSE),""))</f>
        <v/>
      </c>
      <c r="F924" s="40" t="str">
        <f>IF($C924="","",IFERROR(VLOOKUP($C924,Orders!$A:$J,4,FALSE),""))</f>
        <v/>
      </c>
      <c r="G924" s="40" t="str">
        <f>IF($C924="","",IFERROR(VLOOKUP($C924,Orders!$A:$J,5,FALSE),""))</f>
        <v/>
      </c>
      <c r="H924" s="40" t="str">
        <f>IF($C924="","",IFERROR(VLOOKUP($C924,Orders!$A:$J,6,FALSE),""))</f>
        <v/>
      </c>
      <c r="I924" s="40" t="str">
        <f>IF($C924="","",IFERROR(VLOOKUP($C924,Orders!$A:$J,7,FALSE),""))</f>
        <v/>
      </c>
      <c r="J924" s="40" t="str">
        <f>IF(Bids!$C924="","",Bids!$C924)</f>
        <v/>
      </c>
      <c r="K924" s="40" t="str">
        <f>IF($J924="","",IFERROR(VLOOKUP($J924,Grinders!$A:$N,2,FALSE),""))</f>
        <v/>
      </c>
      <c r="L924" s="40" t="str">
        <f>IF($J924="","",IFERROR(VLOOKUP($J924,Grinders!$A:$N,3,FALSE),""))</f>
        <v/>
      </c>
      <c r="M924" s="40" t="str">
        <f>IF($J924="","",IFERROR(VLOOKUP($J924,Grinders!$A:$N,4,FALSE),""))</f>
        <v/>
      </c>
      <c r="N924" s="40" t="str">
        <f>IF($J924="","",IFERROR(VLOOKUP($J924,Grinders!$A:$N,5,FALSE),""))</f>
        <v/>
      </c>
      <c r="O924" s="40" t="str">
        <f t="shared" si="2"/>
        <v/>
      </c>
      <c r="P924" s="40" t="str">
        <f>IF($J924="","",IFERROR(VLOOKUP($J924,Grinders!$A:$N,6,FALSE),""))</f>
        <v/>
      </c>
      <c r="Q924" s="40" t="str">
        <f>IF($J924="","",IFERROR(VLOOKUP($J924,Grinders!$A:$N,8,FALSE),""))</f>
        <v/>
      </c>
      <c r="R924" s="40" t="str">
        <f>IFERROR(IF($J924="","",IF($L924="Elite",MAX(50,MIN(100,Config!$B$27*MAX(0,MIN(100,(1-IF($O924="",0,$O924))*100)) + Config!$B$28*MAX(0,MIN(100,(1-MIN(1,IF(Config!$B$30=0,1,$P924/Config!$B$30)))*100)) + Config!$B$29*MAX(0,MIN(100,MIN(1,IF($Q924="",0,$Q924)/Config!$B$23)*100)))),MIN(100,Config!$B$27*MAX(0,MIN(100,(1-IF($O924="",0,$O924))*100)) + Config!$B$28*MAX(0,MIN(100,(1-MIN(1,IF(Config!$B$30=0,1,$P924/Config!$B$30)))*100)) + Config!$B$29*MAX(0,MIN(100,MIN(1,IF($Q924="",0,$Q924)/Config!$B$23)*100))))),"")
</f>
        <v/>
      </c>
      <c r="S924" s="40" t="str">
        <f>IF(Bids!$D924="","",Bids!$D924)</f>
        <v/>
      </c>
      <c r="T924" s="40" t="str">
        <f>IF(Bids!$F924="","",Bids!$F924)</f>
        <v/>
      </c>
      <c r="U924" s="40" t="str">
        <f t="shared" si="3"/>
        <v/>
      </c>
      <c r="V924" s="40" t="str">
        <f>IF($U924="","",IF(Config!$B$17=Config!$B$16,IF($U924&gt;=Config!$B$17,100,0),MAX(0,MIN(100,($U924-Config!$B$16)/(Config!$B$17-Config!$B$16)*100))))</f>
        <v/>
      </c>
      <c r="W924" s="40">
        <f>IF($L924="Elite",Config!$B$21,0)</f>
        <v>0</v>
      </c>
      <c r="X924" s="40" t="str">
        <f>IFERROR(IF(OR($T924="",$G924=""),"",IF($T924&gt;$G924,
  MAX(0, 60-(($T924-$G924)*24/Config!$B$19)*60),
  MEDIAN(60, 100, 60+(($G924-$T924)*24/Config!$B$20)*40)
)),"")
</f>
        <v/>
      </c>
      <c r="Y924" s="40" t="str">
        <f>IF($J924="","",IFERROR(VLOOKUP($J924,Grinders!$A:$N,10,FALSE),""))</f>
        <v/>
      </c>
      <c r="Z924" s="40" t="str">
        <f>IF($J924="","",IFERROR(VLOOKUP($J924,Grinders!$A:$N,11,FALSE),""))</f>
        <v/>
      </c>
      <c r="AA924" s="40" t="str">
        <f>IF($J924="","",IFERROR(VLOOKUP($J924,Grinders!$A:$N,12,FALSE),""))</f>
        <v/>
      </c>
      <c r="AB924" s="40">
        <f>IFERROR(IF(OR($C924="",$J924=""),0,IF($D924&lt;&gt;"Open",0,IF(COUNTIFS(GrinderServices!$B:$B,$J924,GrinderServices!$C:$C,$E924,GrinderServices!$E:$E,"Y")=0,0,IF($U924&lt;Config!$B$16,0,IF(Config!$B$18=1,IF($N924&gt;=$M924,0,1),1))))),"")</f>
        <v>0</v>
      </c>
      <c r="AC924" s="40" t="str">
        <f>IFERROR(IF($AB924=0,"",((Config!$B$6*$V924 + Config!$B$7*$R924 + Config!$B$8*$W924 + Config!$B$9*$X924 + Config!$B$10*$Y924 + Config!$B$11*$Z924 - Config!$B$12*$AA924)/Config!$B$13)+$AH924+$AI924),"")</f>
        <v/>
      </c>
      <c r="AD924" s="40" t="str">
        <f t="shared" si="4"/>
        <v/>
      </c>
      <c r="AE924" s="40" t="str">
        <f>IFERROR(__xludf.DUMMYFUNCTION("IF($AC924="""","""",IF($AC924=IFERROR(MAX(FILTER($AC$6:$AC$1000,$C$6:$C$1000=$C924,$AB$6:$AB$1000=1)),),""WINNER"",""""))"),"")</f>
        <v/>
      </c>
      <c r="AF924" s="40" t="str">
        <f t="shared" si="5"/>
        <v/>
      </c>
      <c r="AG924" s="40" t="str">
        <f>IF($J924="","",COUNTIF(Assignments!$B:$B,$J924))</f>
        <v/>
      </c>
      <c r="AH924" s="40" t="str">
        <f>IF($J924="","",IF(AND($AG924=0,$N924&lt;$M924),Config!$B$43,0))</f>
        <v/>
      </c>
      <c r="AI924" s="40" t="str">
        <f>IF($J924="","",IF(AND($L924="Elite",$F924&gt;=Config!$B$41,$N924&lt;$M924),Config!$B$42,0))</f>
        <v/>
      </c>
      <c r="AJ924" s="22"/>
    </row>
    <row r="925" ht="15.75" customHeight="1">
      <c r="A925" s="40" t="str">
        <f t="shared" si="1"/>
        <v/>
      </c>
      <c r="B925" s="40" t="str">
        <f>IF(Bids!$A925="","",Bids!$A925)</f>
        <v/>
      </c>
      <c r="C925" s="40" t="str">
        <f>IF(Bids!$B925="","",Bids!$B925)</f>
        <v/>
      </c>
      <c r="D925" s="40" t="str">
        <f>IF($C925="","",IFERROR(VLOOKUP($C925,Orders!$A:$J,9,FALSE),""))</f>
        <v/>
      </c>
      <c r="E925" s="40" t="str">
        <f>IF($C925="","",IFERROR(VLOOKUP($C925,Orders!$A:$J,3,FALSE),""))</f>
        <v/>
      </c>
      <c r="F925" s="40" t="str">
        <f>IF($C925="","",IFERROR(VLOOKUP($C925,Orders!$A:$J,4,FALSE),""))</f>
        <v/>
      </c>
      <c r="G925" s="40" t="str">
        <f>IF($C925="","",IFERROR(VLOOKUP($C925,Orders!$A:$J,5,FALSE),""))</f>
        <v/>
      </c>
      <c r="H925" s="40" t="str">
        <f>IF($C925="","",IFERROR(VLOOKUP($C925,Orders!$A:$J,6,FALSE),""))</f>
        <v/>
      </c>
      <c r="I925" s="40" t="str">
        <f>IF($C925="","",IFERROR(VLOOKUP($C925,Orders!$A:$J,7,FALSE),""))</f>
        <v/>
      </c>
      <c r="J925" s="40" t="str">
        <f>IF(Bids!$C925="","",Bids!$C925)</f>
        <v/>
      </c>
      <c r="K925" s="40" t="str">
        <f>IF($J925="","",IFERROR(VLOOKUP($J925,Grinders!$A:$N,2,FALSE),""))</f>
        <v/>
      </c>
      <c r="L925" s="40" t="str">
        <f>IF($J925="","",IFERROR(VLOOKUP($J925,Grinders!$A:$N,3,FALSE),""))</f>
        <v/>
      </c>
      <c r="M925" s="40" t="str">
        <f>IF($J925="","",IFERROR(VLOOKUP($J925,Grinders!$A:$N,4,FALSE),""))</f>
        <v/>
      </c>
      <c r="N925" s="40" t="str">
        <f>IF($J925="","",IFERROR(VLOOKUP($J925,Grinders!$A:$N,5,FALSE),""))</f>
        <v/>
      </c>
      <c r="O925" s="40" t="str">
        <f t="shared" si="2"/>
        <v/>
      </c>
      <c r="P925" s="40" t="str">
        <f>IF($J925="","",IFERROR(VLOOKUP($J925,Grinders!$A:$N,6,FALSE),""))</f>
        <v/>
      </c>
      <c r="Q925" s="40" t="str">
        <f>IF($J925="","",IFERROR(VLOOKUP($J925,Grinders!$A:$N,8,FALSE),""))</f>
        <v/>
      </c>
      <c r="R925" s="40" t="str">
        <f>IFERROR(IF($J925="","",IF($L925="Elite",MAX(50,MIN(100,Config!$B$27*MAX(0,MIN(100,(1-IF($O925="",0,$O925))*100)) + Config!$B$28*MAX(0,MIN(100,(1-MIN(1,IF(Config!$B$30=0,1,$P925/Config!$B$30)))*100)) + Config!$B$29*MAX(0,MIN(100,MIN(1,IF($Q925="",0,$Q925)/Config!$B$23)*100)))),MIN(100,Config!$B$27*MAX(0,MIN(100,(1-IF($O925="",0,$O925))*100)) + Config!$B$28*MAX(0,MIN(100,(1-MIN(1,IF(Config!$B$30=0,1,$P925/Config!$B$30)))*100)) + Config!$B$29*MAX(0,MIN(100,MIN(1,IF($Q925="",0,$Q925)/Config!$B$23)*100))))),"")
</f>
        <v/>
      </c>
      <c r="S925" s="40" t="str">
        <f>IF(Bids!$D925="","",Bids!$D925)</f>
        <v/>
      </c>
      <c r="T925" s="40" t="str">
        <f>IF(Bids!$F925="","",Bids!$F925)</f>
        <v/>
      </c>
      <c r="U925" s="40" t="str">
        <f t="shared" si="3"/>
        <v/>
      </c>
      <c r="V925" s="40" t="str">
        <f>IF($U925="","",IF(Config!$B$17=Config!$B$16,IF($U925&gt;=Config!$B$17,100,0),MAX(0,MIN(100,($U925-Config!$B$16)/(Config!$B$17-Config!$B$16)*100))))</f>
        <v/>
      </c>
      <c r="W925" s="40">
        <f>IF($L925="Elite",Config!$B$21,0)</f>
        <v>0</v>
      </c>
      <c r="X925" s="40" t="str">
        <f>IFERROR(IF(OR($T925="",$G925=""),"",IF($T925&gt;$G925,
  MAX(0, 60-(($T925-$G925)*24/Config!$B$19)*60),
  MEDIAN(60, 100, 60+(($G925-$T925)*24/Config!$B$20)*40)
)),"")
</f>
        <v/>
      </c>
      <c r="Y925" s="40" t="str">
        <f>IF($J925="","",IFERROR(VLOOKUP($J925,Grinders!$A:$N,10,FALSE),""))</f>
        <v/>
      </c>
      <c r="Z925" s="40" t="str">
        <f>IF($J925="","",IFERROR(VLOOKUP($J925,Grinders!$A:$N,11,FALSE),""))</f>
        <v/>
      </c>
      <c r="AA925" s="40" t="str">
        <f>IF($J925="","",IFERROR(VLOOKUP($J925,Grinders!$A:$N,12,FALSE),""))</f>
        <v/>
      </c>
      <c r="AB925" s="40">
        <f>IFERROR(IF(OR($C925="",$J925=""),0,IF($D925&lt;&gt;"Open",0,IF(COUNTIFS(GrinderServices!$B:$B,$J925,GrinderServices!$C:$C,$E925,GrinderServices!$E:$E,"Y")=0,0,IF($U925&lt;Config!$B$16,0,IF(Config!$B$18=1,IF($N925&gt;=$M925,0,1),1))))),"")</f>
        <v>0</v>
      </c>
      <c r="AC925" s="40" t="str">
        <f>IFERROR(IF($AB925=0,"",((Config!$B$6*$V925 + Config!$B$7*$R925 + Config!$B$8*$W925 + Config!$B$9*$X925 + Config!$B$10*$Y925 + Config!$B$11*$Z925 - Config!$B$12*$AA925)/Config!$B$13)+$AH925+$AI925),"")</f>
        <v/>
      </c>
      <c r="AD925" s="40" t="str">
        <f t="shared" si="4"/>
        <v/>
      </c>
      <c r="AE925" s="40" t="str">
        <f>IFERROR(__xludf.DUMMYFUNCTION("IF($AC925="""","""",IF($AC925=IFERROR(MAX(FILTER($AC$6:$AC$1000,$C$6:$C$1000=$C925,$AB$6:$AB$1000=1)),),""WINNER"",""""))"),"")</f>
        <v/>
      </c>
      <c r="AF925" s="40" t="str">
        <f t="shared" si="5"/>
        <v/>
      </c>
      <c r="AG925" s="40" t="str">
        <f>IF($J925="","",COUNTIF(Assignments!$B:$B,$J925))</f>
        <v/>
      </c>
      <c r="AH925" s="40" t="str">
        <f>IF($J925="","",IF(AND($AG925=0,$N925&lt;$M925),Config!$B$43,0))</f>
        <v/>
      </c>
      <c r="AI925" s="40" t="str">
        <f>IF($J925="","",IF(AND($L925="Elite",$F925&gt;=Config!$B$41,$N925&lt;$M925),Config!$B$42,0))</f>
        <v/>
      </c>
      <c r="AJ925" s="22"/>
    </row>
    <row r="926" ht="15.75" customHeight="1">
      <c r="A926" s="40" t="str">
        <f t="shared" si="1"/>
        <v/>
      </c>
      <c r="B926" s="40" t="str">
        <f>IF(Bids!$A926="","",Bids!$A926)</f>
        <v/>
      </c>
      <c r="C926" s="40" t="str">
        <f>IF(Bids!$B926="","",Bids!$B926)</f>
        <v/>
      </c>
      <c r="D926" s="40" t="str">
        <f>IF($C926="","",IFERROR(VLOOKUP($C926,Orders!$A:$J,9,FALSE),""))</f>
        <v/>
      </c>
      <c r="E926" s="40" t="str">
        <f>IF($C926="","",IFERROR(VLOOKUP($C926,Orders!$A:$J,3,FALSE),""))</f>
        <v/>
      </c>
      <c r="F926" s="40" t="str">
        <f>IF($C926="","",IFERROR(VLOOKUP($C926,Orders!$A:$J,4,FALSE),""))</f>
        <v/>
      </c>
      <c r="G926" s="40" t="str">
        <f>IF($C926="","",IFERROR(VLOOKUP($C926,Orders!$A:$J,5,FALSE),""))</f>
        <v/>
      </c>
      <c r="H926" s="40" t="str">
        <f>IF($C926="","",IFERROR(VLOOKUP($C926,Orders!$A:$J,6,FALSE),""))</f>
        <v/>
      </c>
      <c r="I926" s="40" t="str">
        <f>IF($C926="","",IFERROR(VLOOKUP($C926,Orders!$A:$J,7,FALSE),""))</f>
        <v/>
      </c>
      <c r="J926" s="40" t="str">
        <f>IF(Bids!$C926="","",Bids!$C926)</f>
        <v/>
      </c>
      <c r="K926" s="40" t="str">
        <f>IF($J926="","",IFERROR(VLOOKUP($J926,Grinders!$A:$N,2,FALSE),""))</f>
        <v/>
      </c>
      <c r="L926" s="40" t="str">
        <f>IF($J926="","",IFERROR(VLOOKUP($J926,Grinders!$A:$N,3,FALSE),""))</f>
        <v/>
      </c>
      <c r="M926" s="40" t="str">
        <f>IF($J926="","",IFERROR(VLOOKUP($J926,Grinders!$A:$N,4,FALSE),""))</f>
        <v/>
      </c>
      <c r="N926" s="40" t="str">
        <f>IF($J926="","",IFERROR(VLOOKUP($J926,Grinders!$A:$N,5,FALSE),""))</f>
        <v/>
      </c>
      <c r="O926" s="40" t="str">
        <f t="shared" si="2"/>
        <v/>
      </c>
      <c r="P926" s="40" t="str">
        <f>IF($J926="","",IFERROR(VLOOKUP($J926,Grinders!$A:$N,6,FALSE),""))</f>
        <v/>
      </c>
      <c r="Q926" s="40" t="str">
        <f>IF($J926="","",IFERROR(VLOOKUP($J926,Grinders!$A:$N,8,FALSE),""))</f>
        <v/>
      </c>
      <c r="R926" s="40" t="str">
        <f>IFERROR(IF($J926="","",IF($L926="Elite",MAX(50,MIN(100,Config!$B$27*MAX(0,MIN(100,(1-IF($O926="",0,$O926))*100)) + Config!$B$28*MAX(0,MIN(100,(1-MIN(1,IF(Config!$B$30=0,1,$P926/Config!$B$30)))*100)) + Config!$B$29*MAX(0,MIN(100,MIN(1,IF($Q926="",0,$Q926)/Config!$B$23)*100)))),MIN(100,Config!$B$27*MAX(0,MIN(100,(1-IF($O926="",0,$O926))*100)) + Config!$B$28*MAX(0,MIN(100,(1-MIN(1,IF(Config!$B$30=0,1,$P926/Config!$B$30)))*100)) + Config!$B$29*MAX(0,MIN(100,MIN(1,IF($Q926="",0,$Q926)/Config!$B$23)*100))))),"")
</f>
        <v/>
      </c>
      <c r="S926" s="40" t="str">
        <f>IF(Bids!$D926="","",Bids!$D926)</f>
        <v/>
      </c>
      <c r="T926" s="40" t="str">
        <f>IF(Bids!$F926="","",Bids!$F926)</f>
        <v/>
      </c>
      <c r="U926" s="40" t="str">
        <f t="shared" si="3"/>
        <v/>
      </c>
      <c r="V926" s="40" t="str">
        <f>IF($U926="","",IF(Config!$B$17=Config!$B$16,IF($U926&gt;=Config!$B$17,100,0),MAX(0,MIN(100,($U926-Config!$B$16)/(Config!$B$17-Config!$B$16)*100))))</f>
        <v/>
      </c>
      <c r="W926" s="40">
        <f>IF($L926="Elite",Config!$B$21,0)</f>
        <v>0</v>
      </c>
      <c r="X926" s="40" t="str">
        <f>IFERROR(IF(OR($T926="",$G926=""),"",IF($T926&gt;$G926,
  MAX(0, 60-(($T926-$G926)*24/Config!$B$19)*60),
  MEDIAN(60, 100, 60+(($G926-$T926)*24/Config!$B$20)*40)
)),"")
</f>
        <v/>
      </c>
      <c r="Y926" s="40" t="str">
        <f>IF($J926="","",IFERROR(VLOOKUP($J926,Grinders!$A:$N,10,FALSE),""))</f>
        <v/>
      </c>
      <c r="Z926" s="40" t="str">
        <f>IF($J926="","",IFERROR(VLOOKUP($J926,Grinders!$A:$N,11,FALSE),""))</f>
        <v/>
      </c>
      <c r="AA926" s="40" t="str">
        <f>IF($J926="","",IFERROR(VLOOKUP($J926,Grinders!$A:$N,12,FALSE),""))</f>
        <v/>
      </c>
      <c r="AB926" s="40">
        <f>IFERROR(IF(OR($C926="",$J926=""),0,IF($D926&lt;&gt;"Open",0,IF(COUNTIFS(GrinderServices!$B:$B,$J926,GrinderServices!$C:$C,$E926,GrinderServices!$E:$E,"Y")=0,0,IF($U926&lt;Config!$B$16,0,IF(Config!$B$18=1,IF($N926&gt;=$M926,0,1),1))))),"")</f>
        <v>0</v>
      </c>
      <c r="AC926" s="40" t="str">
        <f>IFERROR(IF($AB926=0,"",((Config!$B$6*$V926 + Config!$B$7*$R926 + Config!$B$8*$W926 + Config!$B$9*$X926 + Config!$B$10*$Y926 + Config!$B$11*$Z926 - Config!$B$12*$AA926)/Config!$B$13)+$AH926+$AI926),"")</f>
        <v/>
      </c>
      <c r="AD926" s="40" t="str">
        <f t="shared" si="4"/>
        <v/>
      </c>
      <c r="AE926" s="40" t="str">
        <f>IFERROR(__xludf.DUMMYFUNCTION("IF($AC926="""","""",IF($AC926=IFERROR(MAX(FILTER($AC$6:$AC$1000,$C$6:$C$1000=$C926,$AB$6:$AB$1000=1)),),""WINNER"",""""))"),"")</f>
        <v/>
      </c>
      <c r="AF926" s="40" t="str">
        <f t="shared" si="5"/>
        <v/>
      </c>
      <c r="AG926" s="40" t="str">
        <f>IF($J926="","",COUNTIF(Assignments!$B:$B,$J926))</f>
        <v/>
      </c>
      <c r="AH926" s="40" t="str">
        <f>IF($J926="","",IF(AND($AG926=0,$N926&lt;$M926),Config!$B$43,0))</f>
        <v/>
      </c>
      <c r="AI926" s="40" t="str">
        <f>IF($J926="","",IF(AND($L926="Elite",$F926&gt;=Config!$B$41,$N926&lt;$M926),Config!$B$42,0))</f>
        <v/>
      </c>
      <c r="AJ926" s="22"/>
    </row>
    <row r="927" ht="15.75" customHeight="1">
      <c r="A927" s="40" t="str">
        <f t="shared" si="1"/>
        <v/>
      </c>
      <c r="B927" s="40" t="str">
        <f>IF(Bids!$A927="","",Bids!$A927)</f>
        <v/>
      </c>
      <c r="C927" s="40" t="str">
        <f>IF(Bids!$B927="","",Bids!$B927)</f>
        <v/>
      </c>
      <c r="D927" s="40" t="str">
        <f>IF($C927="","",IFERROR(VLOOKUP($C927,Orders!$A:$J,9,FALSE),""))</f>
        <v/>
      </c>
      <c r="E927" s="40" t="str">
        <f>IF($C927="","",IFERROR(VLOOKUP($C927,Orders!$A:$J,3,FALSE),""))</f>
        <v/>
      </c>
      <c r="F927" s="40" t="str">
        <f>IF($C927="","",IFERROR(VLOOKUP($C927,Orders!$A:$J,4,FALSE),""))</f>
        <v/>
      </c>
      <c r="G927" s="40" t="str">
        <f>IF($C927="","",IFERROR(VLOOKUP($C927,Orders!$A:$J,5,FALSE),""))</f>
        <v/>
      </c>
      <c r="H927" s="40" t="str">
        <f>IF($C927="","",IFERROR(VLOOKUP($C927,Orders!$A:$J,6,FALSE),""))</f>
        <v/>
      </c>
      <c r="I927" s="40" t="str">
        <f>IF($C927="","",IFERROR(VLOOKUP($C927,Orders!$A:$J,7,FALSE),""))</f>
        <v/>
      </c>
      <c r="J927" s="40" t="str">
        <f>IF(Bids!$C927="","",Bids!$C927)</f>
        <v/>
      </c>
      <c r="K927" s="40" t="str">
        <f>IF($J927="","",IFERROR(VLOOKUP($J927,Grinders!$A:$N,2,FALSE),""))</f>
        <v/>
      </c>
      <c r="L927" s="40" t="str">
        <f>IF($J927="","",IFERROR(VLOOKUP($J927,Grinders!$A:$N,3,FALSE),""))</f>
        <v/>
      </c>
      <c r="M927" s="40" t="str">
        <f>IF($J927="","",IFERROR(VLOOKUP($J927,Grinders!$A:$N,4,FALSE),""))</f>
        <v/>
      </c>
      <c r="N927" s="40" t="str">
        <f>IF($J927="","",IFERROR(VLOOKUP($J927,Grinders!$A:$N,5,FALSE),""))</f>
        <v/>
      </c>
      <c r="O927" s="40" t="str">
        <f t="shared" si="2"/>
        <v/>
      </c>
      <c r="P927" s="40" t="str">
        <f>IF($J927="","",IFERROR(VLOOKUP($J927,Grinders!$A:$N,6,FALSE),""))</f>
        <v/>
      </c>
      <c r="Q927" s="40" t="str">
        <f>IF($J927="","",IFERROR(VLOOKUP($J927,Grinders!$A:$N,8,FALSE),""))</f>
        <v/>
      </c>
      <c r="R927" s="40" t="str">
        <f>IFERROR(IF($J927="","",IF($L927="Elite",MAX(50,MIN(100,Config!$B$27*MAX(0,MIN(100,(1-IF($O927="",0,$O927))*100)) + Config!$B$28*MAX(0,MIN(100,(1-MIN(1,IF(Config!$B$30=0,1,$P927/Config!$B$30)))*100)) + Config!$B$29*MAX(0,MIN(100,MIN(1,IF($Q927="",0,$Q927)/Config!$B$23)*100)))),MIN(100,Config!$B$27*MAX(0,MIN(100,(1-IF($O927="",0,$O927))*100)) + Config!$B$28*MAX(0,MIN(100,(1-MIN(1,IF(Config!$B$30=0,1,$P927/Config!$B$30)))*100)) + Config!$B$29*MAX(0,MIN(100,MIN(1,IF($Q927="",0,$Q927)/Config!$B$23)*100))))),"")
</f>
        <v/>
      </c>
      <c r="S927" s="40" t="str">
        <f>IF(Bids!$D927="","",Bids!$D927)</f>
        <v/>
      </c>
      <c r="T927" s="40" t="str">
        <f>IF(Bids!$F927="","",Bids!$F927)</f>
        <v/>
      </c>
      <c r="U927" s="40" t="str">
        <f t="shared" si="3"/>
        <v/>
      </c>
      <c r="V927" s="40" t="str">
        <f>IF($U927="","",IF(Config!$B$17=Config!$B$16,IF($U927&gt;=Config!$B$17,100,0),MAX(0,MIN(100,($U927-Config!$B$16)/(Config!$B$17-Config!$B$16)*100))))</f>
        <v/>
      </c>
      <c r="W927" s="40">
        <f>IF($L927="Elite",Config!$B$21,0)</f>
        <v>0</v>
      </c>
      <c r="X927" s="40" t="str">
        <f>IFERROR(IF(OR($T927="",$G927=""),"",IF($T927&gt;$G927,
  MAX(0, 60-(($T927-$G927)*24/Config!$B$19)*60),
  MEDIAN(60, 100, 60+(($G927-$T927)*24/Config!$B$20)*40)
)),"")
</f>
        <v/>
      </c>
      <c r="Y927" s="40" t="str">
        <f>IF($J927="","",IFERROR(VLOOKUP($J927,Grinders!$A:$N,10,FALSE),""))</f>
        <v/>
      </c>
      <c r="Z927" s="40" t="str">
        <f>IF($J927="","",IFERROR(VLOOKUP($J927,Grinders!$A:$N,11,FALSE),""))</f>
        <v/>
      </c>
      <c r="AA927" s="40" t="str">
        <f>IF($J927="","",IFERROR(VLOOKUP($J927,Grinders!$A:$N,12,FALSE),""))</f>
        <v/>
      </c>
      <c r="AB927" s="40">
        <f>IFERROR(IF(OR($C927="",$J927=""),0,IF($D927&lt;&gt;"Open",0,IF(COUNTIFS(GrinderServices!$B:$B,$J927,GrinderServices!$C:$C,$E927,GrinderServices!$E:$E,"Y")=0,0,IF($U927&lt;Config!$B$16,0,IF(Config!$B$18=1,IF($N927&gt;=$M927,0,1),1))))),"")</f>
        <v>0</v>
      </c>
      <c r="AC927" s="40" t="str">
        <f>IFERROR(IF($AB927=0,"",((Config!$B$6*$V927 + Config!$B$7*$R927 + Config!$B$8*$W927 + Config!$B$9*$X927 + Config!$B$10*$Y927 + Config!$B$11*$Z927 - Config!$B$12*$AA927)/Config!$B$13)+$AH927+$AI927),"")</f>
        <v/>
      </c>
      <c r="AD927" s="40" t="str">
        <f t="shared" si="4"/>
        <v/>
      </c>
      <c r="AE927" s="40" t="str">
        <f>IFERROR(__xludf.DUMMYFUNCTION("IF($AC927="""","""",IF($AC927=IFERROR(MAX(FILTER($AC$6:$AC$1000,$C$6:$C$1000=$C927,$AB$6:$AB$1000=1)),),""WINNER"",""""))"),"")</f>
        <v/>
      </c>
      <c r="AF927" s="40" t="str">
        <f t="shared" si="5"/>
        <v/>
      </c>
      <c r="AG927" s="40" t="str">
        <f>IF($J927="","",COUNTIF(Assignments!$B:$B,$J927))</f>
        <v/>
      </c>
      <c r="AH927" s="40" t="str">
        <f>IF($J927="","",IF(AND($AG927=0,$N927&lt;$M927),Config!$B$43,0))</f>
        <v/>
      </c>
      <c r="AI927" s="40" t="str">
        <f>IF($J927="","",IF(AND($L927="Elite",$F927&gt;=Config!$B$41,$N927&lt;$M927),Config!$B$42,0))</f>
        <v/>
      </c>
      <c r="AJ927" s="22"/>
    </row>
    <row r="928" ht="15.75" customHeight="1">
      <c r="A928" s="40" t="str">
        <f t="shared" si="1"/>
        <v/>
      </c>
      <c r="B928" s="40" t="str">
        <f>IF(Bids!$A928="","",Bids!$A928)</f>
        <v/>
      </c>
      <c r="C928" s="40" t="str">
        <f>IF(Bids!$B928="","",Bids!$B928)</f>
        <v/>
      </c>
      <c r="D928" s="40" t="str">
        <f>IF($C928="","",IFERROR(VLOOKUP($C928,Orders!$A:$J,9,FALSE),""))</f>
        <v/>
      </c>
      <c r="E928" s="40" t="str">
        <f>IF($C928="","",IFERROR(VLOOKUP($C928,Orders!$A:$J,3,FALSE),""))</f>
        <v/>
      </c>
      <c r="F928" s="40" t="str">
        <f>IF($C928="","",IFERROR(VLOOKUP($C928,Orders!$A:$J,4,FALSE),""))</f>
        <v/>
      </c>
      <c r="G928" s="40" t="str">
        <f>IF($C928="","",IFERROR(VLOOKUP($C928,Orders!$A:$J,5,FALSE),""))</f>
        <v/>
      </c>
      <c r="H928" s="40" t="str">
        <f>IF($C928="","",IFERROR(VLOOKUP($C928,Orders!$A:$J,6,FALSE),""))</f>
        <v/>
      </c>
      <c r="I928" s="40" t="str">
        <f>IF($C928="","",IFERROR(VLOOKUP($C928,Orders!$A:$J,7,FALSE),""))</f>
        <v/>
      </c>
      <c r="J928" s="40" t="str">
        <f>IF(Bids!$C928="","",Bids!$C928)</f>
        <v/>
      </c>
      <c r="K928" s="40" t="str">
        <f>IF($J928="","",IFERROR(VLOOKUP($J928,Grinders!$A:$N,2,FALSE),""))</f>
        <v/>
      </c>
      <c r="L928" s="40" t="str">
        <f>IF($J928="","",IFERROR(VLOOKUP($J928,Grinders!$A:$N,3,FALSE),""))</f>
        <v/>
      </c>
      <c r="M928" s="40" t="str">
        <f>IF($J928="","",IFERROR(VLOOKUP($J928,Grinders!$A:$N,4,FALSE),""))</f>
        <v/>
      </c>
      <c r="N928" s="40" t="str">
        <f>IF($J928="","",IFERROR(VLOOKUP($J928,Grinders!$A:$N,5,FALSE),""))</f>
        <v/>
      </c>
      <c r="O928" s="40" t="str">
        <f t="shared" si="2"/>
        <v/>
      </c>
      <c r="P928" s="40" t="str">
        <f>IF($J928="","",IFERROR(VLOOKUP($J928,Grinders!$A:$N,6,FALSE),""))</f>
        <v/>
      </c>
      <c r="Q928" s="40" t="str">
        <f>IF($J928="","",IFERROR(VLOOKUP($J928,Grinders!$A:$N,8,FALSE),""))</f>
        <v/>
      </c>
      <c r="R928" s="40" t="str">
        <f>IFERROR(IF($J928="","",IF($L928="Elite",MAX(50,MIN(100,Config!$B$27*MAX(0,MIN(100,(1-IF($O928="",0,$O928))*100)) + Config!$B$28*MAX(0,MIN(100,(1-MIN(1,IF(Config!$B$30=0,1,$P928/Config!$B$30)))*100)) + Config!$B$29*MAX(0,MIN(100,MIN(1,IF($Q928="",0,$Q928)/Config!$B$23)*100)))),MIN(100,Config!$B$27*MAX(0,MIN(100,(1-IF($O928="",0,$O928))*100)) + Config!$B$28*MAX(0,MIN(100,(1-MIN(1,IF(Config!$B$30=0,1,$P928/Config!$B$30)))*100)) + Config!$B$29*MAX(0,MIN(100,MIN(1,IF($Q928="",0,$Q928)/Config!$B$23)*100))))),"")
</f>
        <v/>
      </c>
      <c r="S928" s="40" t="str">
        <f>IF(Bids!$D928="","",Bids!$D928)</f>
        <v/>
      </c>
      <c r="T928" s="40" t="str">
        <f>IF(Bids!$F928="","",Bids!$F928)</f>
        <v/>
      </c>
      <c r="U928" s="40" t="str">
        <f t="shared" si="3"/>
        <v/>
      </c>
      <c r="V928" s="40" t="str">
        <f>IF($U928="","",IF(Config!$B$17=Config!$B$16,IF($U928&gt;=Config!$B$17,100,0),MAX(0,MIN(100,($U928-Config!$B$16)/(Config!$B$17-Config!$B$16)*100))))</f>
        <v/>
      </c>
      <c r="W928" s="40">
        <f>IF($L928="Elite",Config!$B$21,0)</f>
        <v>0</v>
      </c>
      <c r="X928" s="40" t="str">
        <f>IFERROR(IF(OR($T928="",$G928=""),"",IF($T928&gt;$G928,
  MAX(0, 60-(($T928-$G928)*24/Config!$B$19)*60),
  MEDIAN(60, 100, 60+(($G928-$T928)*24/Config!$B$20)*40)
)),"")
</f>
        <v/>
      </c>
      <c r="Y928" s="40" t="str">
        <f>IF($J928="","",IFERROR(VLOOKUP($J928,Grinders!$A:$N,10,FALSE),""))</f>
        <v/>
      </c>
      <c r="Z928" s="40" t="str">
        <f>IF($J928="","",IFERROR(VLOOKUP($J928,Grinders!$A:$N,11,FALSE),""))</f>
        <v/>
      </c>
      <c r="AA928" s="40" t="str">
        <f>IF($J928="","",IFERROR(VLOOKUP($J928,Grinders!$A:$N,12,FALSE),""))</f>
        <v/>
      </c>
      <c r="AB928" s="40">
        <f>IFERROR(IF(OR($C928="",$J928=""),0,IF($D928&lt;&gt;"Open",0,IF(COUNTIFS(GrinderServices!$B:$B,$J928,GrinderServices!$C:$C,$E928,GrinderServices!$E:$E,"Y")=0,0,IF($U928&lt;Config!$B$16,0,IF(Config!$B$18=1,IF($N928&gt;=$M928,0,1),1))))),"")</f>
        <v>0</v>
      </c>
      <c r="AC928" s="40" t="str">
        <f>IFERROR(IF($AB928=0,"",((Config!$B$6*$V928 + Config!$B$7*$R928 + Config!$B$8*$W928 + Config!$B$9*$X928 + Config!$B$10*$Y928 + Config!$B$11*$Z928 - Config!$B$12*$AA928)/Config!$B$13)+$AH928+$AI928),"")</f>
        <v/>
      </c>
      <c r="AD928" s="40" t="str">
        <f t="shared" si="4"/>
        <v/>
      </c>
      <c r="AE928" s="40" t="str">
        <f>IFERROR(__xludf.DUMMYFUNCTION("IF($AC928="""","""",IF($AC928=IFERROR(MAX(FILTER($AC$6:$AC$1000,$C$6:$C$1000=$C928,$AB$6:$AB$1000=1)),),""WINNER"",""""))"),"")</f>
        <v/>
      </c>
      <c r="AF928" s="40" t="str">
        <f t="shared" si="5"/>
        <v/>
      </c>
      <c r="AG928" s="40" t="str">
        <f>IF($J928="","",COUNTIF(Assignments!$B:$B,$J928))</f>
        <v/>
      </c>
      <c r="AH928" s="40" t="str">
        <f>IF($J928="","",IF(AND($AG928=0,$N928&lt;$M928),Config!$B$43,0))</f>
        <v/>
      </c>
      <c r="AI928" s="40" t="str">
        <f>IF($J928="","",IF(AND($L928="Elite",$F928&gt;=Config!$B$41,$N928&lt;$M928),Config!$B$42,0))</f>
        <v/>
      </c>
      <c r="AJ928" s="22"/>
    </row>
    <row r="929" ht="15.75" customHeight="1">
      <c r="A929" s="40" t="str">
        <f t="shared" si="1"/>
        <v/>
      </c>
      <c r="B929" s="40" t="str">
        <f>IF(Bids!$A929="","",Bids!$A929)</f>
        <v/>
      </c>
      <c r="C929" s="40" t="str">
        <f>IF(Bids!$B929="","",Bids!$B929)</f>
        <v/>
      </c>
      <c r="D929" s="40" t="str">
        <f>IF($C929="","",IFERROR(VLOOKUP($C929,Orders!$A:$J,9,FALSE),""))</f>
        <v/>
      </c>
      <c r="E929" s="40" t="str">
        <f>IF($C929="","",IFERROR(VLOOKUP($C929,Orders!$A:$J,3,FALSE),""))</f>
        <v/>
      </c>
      <c r="F929" s="40" t="str">
        <f>IF($C929="","",IFERROR(VLOOKUP($C929,Orders!$A:$J,4,FALSE),""))</f>
        <v/>
      </c>
      <c r="G929" s="40" t="str">
        <f>IF($C929="","",IFERROR(VLOOKUP($C929,Orders!$A:$J,5,FALSE),""))</f>
        <v/>
      </c>
      <c r="H929" s="40" t="str">
        <f>IF($C929="","",IFERROR(VLOOKUP($C929,Orders!$A:$J,6,FALSE),""))</f>
        <v/>
      </c>
      <c r="I929" s="40" t="str">
        <f>IF($C929="","",IFERROR(VLOOKUP($C929,Orders!$A:$J,7,FALSE),""))</f>
        <v/>
      </c>
      <c r="J929" s="40" t="str">
        <f>IF(Bids!$C929="","",Bids!$C929)</f>
        <v/>
      </c>
      <c r="K929" s="40" t="str">
        <f>IF($J929="","",IFERROR(VLOOKUP($J929,Grinders!$A:$N,2,FALSE),""))</f>
        <v/>
      </c>
      <c r="L929" s="40" t="str">
        <f>IF($J929="","",IFERROR(VLOOKUP($J929,Grinders!$A:$N,3,FALSE),""))</f>
        <v/>
      </c>
      <c r="M929" s="40" t="str">
        <f>IF($J929="","",IFERROR(VLOOKUP($J929,Grinders!$A:$N,4,FALSE),""))</f>
        <v/>
      </c>
      <c r="N929" s="40" t="str">
        <f>IF($J929="","",IFERROR(VLOOKUP($J929,Grinders!$A:$N,5,FALSE),""))</f>
        <v/>
      </c>
      <c r="O929" s="40" t="str">
        <f t="shared" si="2"/>
        <v/>
      </c>
      <c r="P929" s="40" t="str">
        <f>IF($J929="","",IFERROR(VLOOKUP($J929,Grinders!$A:$N,6,FALSE),""))</f>
        <v/>
      </c>
      <c r="Q929" s="40" t="str">
        <f>IF($J929="","",IFERROR(VLOOKUP($J929,Grinders!$A:$N,8,FALSE),""))</f>
        <v/>
      </c>
      <c r="R929" s="40" t="str">
        <f>IFERROR(IF($J929="","",IF($L929="Elite",MAX(50,MIN(100,Config!$B$27*MAX(0,MIN(100,(1-IF($O929="",0,$O929))*100)) + Config!$B$28*MAX(0,MIN(100,(1-MIN(1,IF(Config!$B$30=0,1,$P929/Config!$B$30)))*100)) + Config!$B$29*MAX(0,MIN(100,MIN(1,IF($Q929="",0,$Q929)/Config!$B$23)*100)))),MIN(100,Config!$B$27*MAX(0,MIN(100,(1-IF($O929="",0,$O929))*100)) + Config!$B$28*MAX(0,MIN(100,(1-MIN(1,IF(Config!$B$30=0,1,$P929/Config!$B$30)))*100)) + Config!$B$29*MAX(0,MIN(100,MIN(1,IF($Q929="",0,$Q929)/Config!$B$23)*100))))),"")
</f>
        <v/>
      </c>
      <c r="S929" s="40" t="str">
        <f>IF(Bids!$D929="","",Bids!$D929)</f>
        <v/>
      </c>
      <c r="T929" s="40" t="str">
        <f>IF(Bids!$F929="","",Bids!$F929)</f>
        <v/>
      </c>
      <c r="U929" s="40" t="str">
        <f t="shared" si="3"/>
        <v/>
      </c>
      <c r="V929" s="40" t="str">
        <f>IF($U929="","",IF(Config!$B$17=Config!$B$16,IF($U929&gt;=Config!$B$17,100,0),MAX(0,MIN(100,($U929-Config!$B$16)/(Config!$B$17-Config!$B$16)*100))))</f>
        <v/>
      </c>
      <c r="W929" s="40">
        <f>IF($L929="Elite",Config!$B$21,0)</f>
        <v>0</v>
      </c>
      <c r="X929" s="40" t="str">
        <f>IFERROR(IF(OR($T929="",$G929=""),"",IF($T929&gt;$G929,
  MAX(0, 60-(($T929-$G929)*24/Config!$B$19)*60),
  MEDIAN(60, 100, 60+(($G929-$T929)*24/Config!$B$20)*40)
)),"")
</f>
        <v/>
      </c>
      <c r="Y929" s="40" t="str">
        <f>IF($J929="","",IFERROR(VLOOKUP($J929,Grinders!$A:$N,10,FALSE),""))</f>
        <v/>
      </c>
      <c r="Z929" s="40" t="str">
        <f>IF($J929="","",IFERROR(VLOOKUP($J929,Grinders!$A:$N,11,FALSE),""))</f>
        <v/>
      </c>
      <c r="AA929" s="40" t="str">
        <f>IF($J929="","",IFERROR(VLOOKUP($J929,Grinders!$A:$N,12,FALSE),""))</f>
        <v/>
      </c>
      <c r="AB929" s="40">
        <f>IFERROR(IF(OR($C929="",$J929=""),0,IF($D929&lt;&gt;"Open",0,IF(COUNTIFS(GrinderServices!$B:$B,$J929,GrinderServices!$C:$C,$E929,GrinderServices!$E:$E,"Y")=0,0,IF($U929&lt;Config!$B$16,0,IF(Config!$B$18=1,IF($N929&gt;=$M929,0,1),1))))),"")</f>
        <v>0</v>
      </c>
      <c r="AC929" s="40" t="str">
        <f>IFERROR(IF($AB929=0,"",((Config!$B$6*$V929 + Config!$B$7*$R929 + Config!$B$8*$W929 + Config!$B$9*$X929 + Config!$B$10*$Y929 + Config!$B$11*$Z929 - Config!$B$12*$AA929)/Config!$B$13)+$AH929+$AI929),"")</f>
        <v/>
      </c>
      <c r="AD929" s="40" t="str">
        <f t="shared" si="4"/>
        <v/>
      </c>
      <c r="AE929" s="40" t="str">
        <f>IFERROR(__xludf.DUMMYFUNCTION("IF($AC929="""","""",IF($AC929=IFERROR(MAX(FILTER($AC$6:$AC$1000,$C$6:$C$1000=$C929,$AB$6:$AB$1000=1)),),""WINNER"",""""))"),"")</f>
        <v/>
      </c>
      <c r="AF929" s="40" t="str">
        <f t="shared" si="5"/>
        <v/>
      </c>
      <c r="AG929" s="40" t="str">
        <f>IF($J929="","",COUNTIF(Assignments!$B:$B,$J929))</f>
        <v/>
      </c>
      <c r="AH929" s="40" t="str">
        <f>IF($J929="","",IF(AND($AG929=0,$N929&lt;$M929),Config!$B$43,0))</f>
        <v/>
      </c>
      <c r="AI929" s="40" t="str">
        <f>IF($J929="","",IF(AND($L929="Elite",$F929&gt;=Config!$B$41,$N929&lt;$M929),Config!$B$42,0))</f>
        <v/>
      </c>
      <c r="AJ929" s="22"/>
    </row>
    <row r="930" ht="15.75" customHeight="1">
      <c r="A930" s="40" t="str">
        <f t="shared" si="1"/>
        <v/>
      </c>
      <c r="B930" s="40" t="str">
        <f>IF(Bids!$A930="","",Bids!$A930)</f>
        <v/>
      </c>
      <c r="C930" s="40" t="str">
        <f>IF(Bids!$B930="","",Bids!$B930)</f>
        <v/>
      </c>
      <c r="D930" s="40" t="str">
        <f>IF($C930="","",IFERROR(VLOOKUP($C930,Orders!$A:$J,9,FALSE),""))</f>
        <v/>
      </c>
      <c r="E930" s="40" t="str">
        <f>IF($C930="","",IFERROR(VLOOKUP($C930,Orders!$A:$J,3,FALSE),""))</f>
        <v/>
      </c>
      <c r="F930" s="40" t="str">
        <f>IF($C930="","",IFERROR(VLOOKUP($C930,Orders!$A:$J,4,FALSE),""))</f>
        <v/>
      </c>
      <c r="G930" s="40" t="str">
        <f>IF($C930="","",IFERROR(VLOOKUP($C930,Orders!$A:$J,5,FALSE),""))</f>
        <v/>
      </c>
      <c r="H930" s="40" t="str">
        <f>IF($C930="","",IFERROR(VLOOKUP($C930,Orders!$A:$J,6,FALSE),""))</f>
        <v/>
      </c>
      <c r="I930" s="40" t="str">
        <f>IF($C930="","",IFERROR(VLOOKUP($C930,Orders!$A:$J,7,FALSE),""))</f>
        <v/>
      </c>
      <c r="J930" s="40" t="str">
        <f>IF(Bids!$C930="","",Bids!$C930)</f>
        <v/>
      </c>
      <c r="K930" s="40" t="str">
        <f>IF($J930="","",IFERROR(VLOOKUP($J930,Grinders!$A:$N,2,FALSE),""))</f>
        <v/>
      </c>
      <c r="L930" s="40" t="str">
        <f>IF($J930="","",IFERROR(VLOOKUP($J930,Grinders!$A:$N,3,FALSE),""))</f>
        <v/>
      </c>
      <c r="M930" s="40" t="str">
        <f>IF($J930="","",IFERROR(VLOOKUP($J930,Grinders!$A:$N,4,FALSE),""))</f>
        <v/>
      </c>
      <c r="N930" s="40" t="str">
        <f>IF($J930="","",IFERROR(VLOOKUP($J930,Grinders!$A:$N,5,FALSE),""))</f>
        <v/>
      </c>
      <c r="O930" s="40" t="str">
        <f t="shared" si="2"/>
        <v/>
      </c>
      <c r="P930" s="40" t="str">
        <f>IF($J930="","",IFERROR(VLOOKUP($J930,Grinders!$A:$N,6,FALSE),""))</f>
        <v/>
      </c>
      <c r="Q930" s="40" t="str">
        <f>IF($J930="","",IFERROR(VLOOKUP($J930,Grinders!$A:$N,8,FALSE),""))</f>
        <v/>
      </c>
      <c r="R930" s="40" t="str">
        <f>IFERROR(IF($J930="","",IF($L930="Elite",MAX(50,MIN(100,Config!$B$27*MAX(0,MIN(100,(1-IF($O930="",0,$O930))*100)) + Config!$B$28*MAX(0,MIN(100,(1-MIN(1,IF(Config!$B$30=0,1,$P930/Config!$B$30)))*100)) + Config!$B$29*MAX(0,MIN(100,MIN(1,IF($Q930="",0,$Q930)/Config!$B$23)*100)))),MIN(100,Config!$B$27*MAX(0,MIN(100,(1-IF($O930="",0,$O930))*100)) + Config!$B$28*MAX(0,MIN(100,(1-MIN(1,IF(Config!$B$30=0,1,$P930/Config!$B$30)))*100)) + Config!$B$29*MAX(0,MIN(100,MIN(1,IF($Q930="",0,$Q930)/Config!$B$23)*100))))),"")
</f>
        <v/>
      </c>
      <c r="S930" s="40" t="str">
        <f>IF(Bids!$D930="","",Bids!$D930)</f>
        <v/>
      </c>
      <c r="T930" s="40" t="str">
        <f>IF(Bids!$F930="","",Bids!$F930)</f>
        <v/>
      </c>
      <c r="U930" s="40" t="str">
        <f t="shared" si="3"/>
        <v/>
      </c>
      <c r="V930" s="40" t="str">
        <f>IF($U930="","",IF(Config!$B$17=Config!$B$16,IF($U930&gt;=Config!$B$17,100,0),MAX(0,MIN(100,($U930-Config!$B$16)/(Config!$B$17-Config!$B$16)*100))))</f>
        <v/>
      </c>
      <c r="W930" s="40">
        <f>IF($L930="Elite",Config!$B$21,0)</f>
        <v>0</v>
      </c>
      <c r="X930" s="40" t="str">
        <f>IFERROR(IF(OR($T930="",$G930=""),"",IF($T930&gt;$G930,
  MAX(0, 60-(($T930-$G930)*24/Config!$B$19)*60),
  MEDIAN(60, 100, 60+(($G930-$T930)*24/Config!$B$20)*40)
)),"")
</f>
        <v/>
      </c>
      <c r="Y930" s="40" t="str">
        <f>IF($J930="","",IFERROR(VLOOKUP($J930,Grinders!$A:$N,10,FALSE),""))</f>
        <v/>
      </c>
      <c r="Z930" s="40" t="str">
        <f>IF($J930="","",IFERROR(VLOOKUP($J930,Grinders!$A:$N,11,FALSE),""))</f>
        <v/>
      </c>
      <c r="AA930" s="40" t="str">
        <f>IF($J930="","",IFERROR(VLOOKUP($J930,Grinders!$A:$N,12,FALSE),""))</f>
        <v/>
      </c>
      <c r="AB930" s="40">
        <f>IFERROR(IF(OR($C930="",$J930=""),0,IF($D930&lt;&gt;"Open",0,IF(COUNTIFS(GrinderServices!$B:$B,$J930,GrinderServices!$C:$C,$E930,GrinderServices!$E:$E,"Y")=0,0,IF($U930&lt;Config!$B$16,0,IF(Config!$B$18=1,IF($N930&gt;=$M930,0,1),1))))),"")</f>
        <v>0</v>
      </c>
      <c r="AC930" s="40" t="str">
        <f>IFERROR(IF($AB930=0,"",((Config!$B$6*$V930 + Config!$B$7*$R930 + Config!$B$8*$W930 + Config!$B$9*$X930 + Config!$B$10*$Y930 + Config!$B$11*$Z930 - Config!$B$12*$AA930)/Config!$B$13)+$AH930+$AI930),"")</f>
        <v/>
      </c>
      <c r="AD930" s="40" t="str">
        <f t="shared" si="4"/>
        <v/>
      </c>
      <c r="AE930" s="40" t="str">
        <f>IFERROR(__xludf.DUMMYFUNCTION("IF($AC930="""","""",IF($AC930=IFERROR(MAX(FILTER($AC$6:$AC$1000,$C$6:$C$1000=$C930,$AB$6:$AB$1000=1)),),""WINNER"",""""))"),"")</f>
        <v/>
      </c>
      <c r="AF930" s="40" t="str">
        <f t="shared" si="5"/>
        <v/>
      </c>
      <c r="AG930" s="40" t="str">
        <f>IF($J930="","",COUNTIF(Assignments!$B:$B,$J930))</f>
        <v/>
      </c>
      <c r="AH930" s="40" t="str">
        <f>IF($J930="","",IF(AND($AG930=0,$N930&lt;$M930),Config!$B$43,0))</f>
        <v/>
      </c>
      <c r="AI930" s="40" t="str">
        <f>IF($J930="","",IF(AND($L930="Elite",$F930&gt;=Config!$B$41,$N930&lt;$M930),Config!$B$42,0))</f>
        <v/>
      </c>
      <c r="AJ930" s="22"/>
    </row>
    <row r="931" ht="15.75" customHeight="1">
      <c r="A931" s="40" t="str">
        <f t="shared" si="1"/>
        <v/>
      </c>
      <c r="B931" s="40" t="str">
        <f>IF(Bids!$A931="","",Bids!$A931)</f>
        <v/>
      </c>
      <c r="C931" s="40" t="str">
        <f>IF(Bids!$B931="","",Bids!$B931)</f>
        <v/>
      </c>
      <c r="D931" s="40" t="str">
        <f>IF($C931="","",IFERROR(VLOOKUP($C931,Orders!$A:$J,9,FALSE),""))</f>
        <v/>
      </c>
      <c r="E931" s="40" t="str">
        <f>IF($C931="","",IFERROR(VLOOKUP($C931,Orders!$A:$J,3,FALSE),""))</f>
        <v/>
      </c>
      <c r="F931" s="40" t="str">
        <f>IF($C931="","",IFERROR(VLOOKUP($C931,Orders!$A:$J,4,FALSE),""))</f>
        <v/>
      </c>
      <c r="G931" s="40" t="str">
        <f>IF($C931="","",IFERROR(VLOOKUP($C931,Orders!$A:$J,5,FALSE),""))</f>
        <v/>
      </c>
      <c r="H931" s="40" t="str">
        <f>IF($C931="","",IFERROR(VLOOKUP($C931,Orders!$A:$J,6,FALSE),""))</f>
        <v/>
      </c>
      <c r="I931" s="40" t="str">
        <f>IF($C931="","",IFERROR(VLOOKUP($C931,Orders!$A:$J,7,FALSE),""))</f>
        <v/>
      </c>
      <c r="J931" s="40" t="str">
        <f>IF(Bids!$C931="","",Bids!$C931)</f>
        <v/>
      </c>
      <c r="K931" s="40" t="str">
        <f>IF($J931="","",IFERROR(VLOOKUP($J931,Grinders!$A:$N,2,FALSE),""))</f>
        <v/>
      </c>
      <c r="L931" s="40" t="str">
        <f>IF($J931="","",IFERROR(VLOOKUP($J931,Grinders!$A:$N,3,FALSE),""))</f>
        <v/>
      </c>
      <c r="M931" s="40" t="str">
        <f>IF($J931="","",IFERROR(VLOOKUP($J931,Grinders!$A:$N,4,FALSE),""))</f>
        <v/>
      </c>
      <c r="N931" s="40" t="str">
        <f>IF($J931="","",IFERROR(VLOOKUP($J931,Grinders!$A:$N,5,FALSE),""))</f>
        <v/>
      </c>
      <c r="O931" s="40" t="str">
        <f t="shared" si="2"/>
        <v/>
      </c>
      <c r="P931" s="40" t="str">
        <f>IF($J931="","",IFERROR(VLOOKUP($J931,Grinders!$A:$N,6,FALSE),""))</f>
        <v/>
      </c>
      <c r="Q931" s="40" t="str">
        <f>IF($J931="","",IFERROR(VLOOKUP($J931,Grinders!$A:$N,8,FALSE),""))</f>
        <v/>
      </c>
      <c r="R931" s="40" t="str">
        <f>IFERROR(IF($J931="","",IF($L931="Elite",MAX(50,MIN(100,Config!$B$27*MAX(0,MIN(100,(1-IF($O931="",0,$O931))*100)) + Config!$B$28*MAX(0,MIN(100,(1-MIN(1,IF(Config!$B$30=0,1,$P931/Config!$B$30)))*100)) + Config!$B$29*MAX(0,MIN(100,MIN(1,IF($Q931="",0,$Q931)/Config!$B$23)*100)))),MIN(100,Config!$B$27*MAX(0,MIN(100,(1-IF($O931="",0,$O931))*100)) + Config!$B$28*MAX(0,MIN(100,(1-MIN(1,IF(Config!$B$30=0,1,$P931/Config!$B$30)))*100)) + Config!$B$29*MAX(0,MIN(100,MIN(1,IF($Q931="",0,$Q931)/Config!$B$23)*100))))),"")
</f>
        <v/>
      </c>
      <c r="S931" s="40" t="str">
        <f>IF(Bids!$D931="","",Bids!$D931)</f>
        <v/>
      </c>
      <c r="T931" s="40" t="str">
        <f>IF(Bids!$F931="","",Bids!$F931)</f>
        <v/>
      </c>
      <c r="U931" s="40" t="str">
        <f t="shared" si="3"/>
        <v/>
      </c>
      <c r="V931" s="40" t="str">
        <f>IF($U931="","",IF(Config!$B$17=Config!$B$16,IF($U931&gt;=Config!$B$17,100,0),MAX(0,MIN(100,($U931-Config!$B$16)/(Config!$B$17-Config!$B$16)*100))))</f>
        <v/>
      </c>
      <c r="W931" s="40">
        <f>IF($L931="Elite",Config!$B$21,0)</f>
        <v>0</v>
      </c>
      <c r="X931" s="40" t="str">
        <f>IFERROR(IF(OR($T931="",$G931=""),"",IF($T931&gt;$G931,
  MAX(0, 60-(($T931-$G931)*24/Config!$B$19)*60),
  MEDIAN(60, 100, 60+(($G931-$T931)*24/Config!$B$20)*40)
)),"")
</f>
        <v/>
      </c>
      <c r="Y931" s="40" t="str">
        <f>IF($J931="","",IFERROR(VLOOKUP($J931,Grinders!$A:$N,10,FALSE),""))</f>
        <v/>
      </c>
      <c r="Z931" s="40" t="str">
        <f>IF($J931="","",IFERROR(VLOOKUP($J931,Grinders!$A:$N,11,FALSE),""))</f>
        <v/>
      </c>
      <c r="AA931" s="40" t="str">
        <f>IF($J931="","",IFERROR(VLOOKUP($J931,Grinders!$A:$N,12,FALSE),""))</f>
        <v/>
      </c>
      <c r="AB931" s="40">
        <f>IFERROR(IF(OR($C931="",$J931=""),0,IF($D931&lt;&gt;"Open",0,IF(COUNTIFS(GrinderServices!$B:$B,$J931,GrinderServices!$C:$C,$E931,GrinderServices!$E:$E,"Y")=0,0,IF($U931&lt;Config!$B$16,0,IF(Config!$B$18=1,IF($N931&gt;=$M931,0,1),1))))),"")</f>
        <v>0</v>
      </c>
      <c r="AC931" s="40" t="str">
        <f>IFERROR(IF($AB931=0,"",((Config!$B$6*$V931 + Config!$B$7*$R931 + Config!$B$8*$W931 + Config!$B$9*$X931 + Config!$B$10*$Y931 + Config!$B$11*$Z931 - Config!$B$12*$AA931)/Config!$B$13)+$AH931+$AI931),"")</f>
        <v/>
      </c>
      <c r="AD931" s="40" t="str">
        <f t="shared" si="4"/>
        <v/>
      </c>
      <c r="AE931" s="40" t="str">
        <f>IFERROR(__xludf.DUMMYFUNCTION("IF($AC931="""","""",IF($AC931=IFERROR(MAX(FILTER($AC$6:$AC$1000,$C$6:$C$1000=$C931,$AB$6:$AB$1000=1)),),""WINNER"",""""))"),"")</f>
        <v/>
      </c>
      <c r="AF931" s="40" t="str">
        <f t="shared" si="5"/>
        <v/>
      </c>
      <c r="AG931" s="40" t="str">
        <f>IF($J931="","",COUNTIF(Assignments!$B:$B,$J931))</f>
        <v/>
      </c>
      <c r="AH931" s="40" t="str">
        <f>IF($J931="","",IF(AND($AG931=0,$N931&lt;$M931),Config!$B$43,0))</f>
        <v/>
      </c>
      <c r="AI931" s="40" t="str">
        <f>IF($J931="","",IF(AND($L931="Elite",$F931&gt;=Config!$B$41,$N931&lt;$M931),Config!$B$42,0))</f>
        <v/>
      </c>
      <c r="AJ931" s="22"/>
    </row>
    <row r="932" ht="15.75" customHeight="1">
      <c r="A932" s="40" t="str">
        <f t="shared" si="1"/>
        <v/>
      </c>
      <c r="B932" s="40" t="str">
        <f>IF(Bids!$A932="","",Bids!$A932)</f>
        <v/>
      </c>
      <c r="C932" s="40" t="str">
        <f>IF(Bids!$B932="","",Bids!$B932)</f>
        <v/>
      </c>
      <c r="D932" s="40" t="str">
        <f>IF($C932="","",IFERROR(VLOOKUP($C932,Orders!$A:$J,9,FALSE),""))</f>
        <v/>
      </c>
      <c r="E932" s="40" t="str">
        <f>IF($C932="","",IFERROR(VLOOKUP($C932,Orders!$A:$J,3,FALSE),""))</f>
        <v/>
      </c>
      <c r="F932" s="40" t="str">
        <f>IF($C932="","",IFERROR(VLOOKUP($C932,Orders!$A:$J,4,FALSE),""))</f>
        <v/>
      </c>
      <c r="G932" s="40" t="str">
        <f>IF($C932="","",IFERROR(VLOOKUP($C932,Orders!$A:$J,5,FALSE),""))</f>
        <v/>
      </c>
      <c r="H932" s="40" t="str">
        <f>IF($C932="","",IFERROR(VLOOKUP($C932,Orders!$A:$J,6,FALSE),""))</f>
        <v/>
      </c>
      <c r="I932" s="40" t="str">
        <f>IF($C932="","",IFERROR(VLOOKUP($C932,Orders!$A:$J,7,FALSE),""))</f>
        <v/>
      </c>
      <c r="J932" s="40" t="str">
        <f>IF(Bids!$C932="","",Bids!$C932)</f>
        <v/>
      </c>
      <c r="K932" s="40" t="str">
        <f>IF($J932="","",IFERROR(VLOOKUP($J932,Grinders!$A:$N,2,FALSE),""))</f>
        <v/>
      </c>
      <c r="L932" s="40" t="str">
        <f>IF($J932="","",IFERROR(VLOOKUP($J932,Grinders!$A:$N,3,FALSE),""))</f>
        <v/>
      </c>
      <c r="M932" s="40" t="str">
        <f>IF($J932="","",IFERROR(VLOOKUP($J932,Grinders!$A:$N,4,FALSE),""))</f>
        <v/>
      </c>
      <c r="N932" s="40" t="str">
        <f>IF($J932="","",IFERROR(VLOOKUP($J932,Grinders!$A:$N,5,FALSE),""))</f>
        <v/>
      </c>
      <c r="O932" s="40" t="str">
        <f t="shared" si="2"/>
        <v/>
      </c>
      <c r="P932" s="40" t="str">
        <f>IF($J932="","",IFERROR(VLOOKUP($J932,Grinders!$A:$N,6,FALSE),""))</f>
        <v/>
      </c>
      <c r="Q932" s="40" t="str">
        <f>IF($J932="","",IFERROR(VLOOKUP($J932,Grinders!$A:$N,8,FALSE),""))</f>
        <v/>
      </c>
      <c r="R932" s="40" t="str">
        <f>IFERROR(IF($J932="","",IF($L932="Elite",MAX(50,MIN(100,Config!$B$27*MAX(0,MIN(100,(1-IF($O932="",0,$O932))*100)) + Config!$B$28*MAX(0,MIN(100,(1-MIN(1,IF(Config!$B$30=0,1,$P932/Config!$B$30)))*100)) + Config!$B$29*MAX(0,MIN(100,MIN(1,IF($Q932="",0,$Q932)/Config!$B$23)*100)))),MIN(100,Config!$B$27*MAX(0,MIN(100,(1-IF($O932="",0,$O932))*100)) + Config!$B$28*MAX(0,MIN(100,(1-MIN(1,IF(Config!$B$30=0,1,$P932/Config!$B$30)))*100)) + Config!$B$29*MAX(0,MIN(100,MIN(1,IF($Q932="",0,$Q932)/Config!$B$23)*100))))),"")
</f>
        <v/>
      </c>
      <c r="S932" s="40" t="str">
        <f>IF(Bids!$D932="","",Bids!$D932)</f>
        <v/>
      </c>
      <c r="T932" s="40" t="str">
        <f>IF(Bids!$F932="","",Bids!$F932)</f>
        <v/>
      </c>
      <c r="U932" s="40" t="str">
        <f t="shared" si="3"/>
        <v/>
      </c>
      <c r="V932" s="40" t="str">
        <f>IF($U932="","",IF(Config!$B$17=Config!$B$16,IF($U932&gt;=Config!$B$17,100,0),MAX(0,MIN(100,($U932-Config!$B$16)/(Config!$B$17-Config!$B$16)*100))))</f>
        <v/>
      </c>
      <c r="W932" s="40">
        <f>IF($L932="Elite",Config!$B$21,0)</f>
        <v>0</v>
      </c>
      <c r="X932" s="40" t="str">
        <f>IFERROR(IF(OR($T932="",$G932=""),"",IF($T932&gt;$G932,
  MAX(0, 60-(($T932-$G932)*24/Config!$B$19)*60),
  MEDIAN(60, 100, 60+(($G932-$T932)*24/Config!$B$20)*40)
)),"")
</f>
        <v/>
      </c>
      <c r="Y932" s="40" t="str">
        <f>IF($J932="","",IFERROR(VLOOKUP($J932,Grinders!$A:$N,10,FALSE),""))</f>
        <v/>
      </c>
      <c r="Z932" s="40" t="str">
        <f>IF($J932="","",IFERROR(VLOOKUP($J932,Grinders!$A:$N,11,FALSE),""))</f>
        <v/>
      </c>
      <c r="AA932" s="40" t="str">
        <f>IF($J932="","",IFERROR(VLOOKUP($J932,Grinders!$A:$N,12,FALSE),""))</f>
        <v/>
      </c>
      <c r="AB932" s="40">
        <f>IFERROR(IF(OR($C932="",$J932=""),0,IF($D932&lt;&gt;"Open",0,IF(COUNTIFS(GrinderServices!$B:$B,$J932,GrinderServices!$C:$C,$E932,GrinderServices!$E:$E,"Y")=0,0,IF($U932&lt;Config!$B$16,0,IF(Config!$B$18=1,IF($N932&gt;=$M932,0,1),1))))),"")</f>
        <v>0</v>
      </c>
      <c r="AC932" s="40" t="str">
        <f>IFERROR(IF($AB932=0,"",((Config!$B$6*$V932 + Config!$B$7*$R932 + Config!$B$8*$W932 + Config!$B$9*$X932 + Config!$B$10*$Y932 + Config!$B$11*$Z932 - Config!$B$12*$AA932)/Config!$B$13)+$AH932+$AI932),"")</f>
        <v/>
      </c>
      <c r="AD932" s="40" t="str">
        <f t="shared" si="4"/>
        <v/>
      </c>
      <c r="AE932" s="40" t="str">
        <f>IFERROR(__xludf.DUMMYFUNCTION("IF($AC932="""","""",IF($AC932=IFERROR(MAX(FILTER($AC$6:$AC$1000,$C$6:$C$1000=$C932,$AB$6:$AB$1000=1)),),""WINNER"",""""))"),"")</f>
        <v/>
      </c>
      <c r="AF932" s="40" t="str">
        <f t="shared" si="5"/>
        <v/>
      </c>
      <c r="AG932" s="40" t="str">
        <f>IF($J932="","",COUNTIF(Assignments!$B:$B,$J932))</f>
        <v/>
      </c>
      <c r="AH932" s="40" t="str">
        <f>IF($J932="","",IF(AND($AG932=0,$N932&lt;$M932),Config!$B$43,0))</f>
        <v/>
      </c>
      <c r="AI932" s="40" t="str">
        <f>IF($J932="","",IF(AND($L932="Elite",$F932&gt;=Config!$B$41,$N932&lt;$M932),Config!$B$42,0))</f>
        <v/>
      </c>
      <c r="AJ932" s="22"/>
    </row>
    <row r="933" ht="15.75" customHeight="1">
      <c r="A933" s="40" t="str">
        <f t="shared" si="1"/>
        <v/>
      </c>
      <c r="B933" s="40" t="str">
        <f>IF(Bids!$A933="","",Bids!$A933)</f>
        <v/>
      </c>
      <c r="C933" s="40" t="str">
        <f>IF(Bids!$B933="","",Bids!$B933)</f>
        <v/>
      </c>
      <c r="D933" s="40" t="str">
        <f>IF($C933="","",IFERROR(VLOOKUP($C933,Orders!$A:$J,9,FALSE),""))</f>
        <v/>
      </c>
      <c r="E933" s="40" t="str">
        <f>IF($C933="","",IFERROR(VLOOKUP($C933,Orders!$A:$J,3,FALSE),""))</f>
        <v/>
      </c>
      <c r="F933" s="40" t="str">
        <f>IF($C933="","",IFERROR(VLOOKUP($C933,Orders!$A:$J,4,FALSE),""))</f>
        <v/>
      </c>
      <c r="G933" s="40" t="str">
        <f>IF($C933="","",IFERROR(VLOOKUP($C933,Orders!$A:$J,5,FALSE),""))</f>
        <v/>
      </c>
      <c r="H933" s="40" t="str">
        <f>IF($C933="","",IFERROR(VLOOKUP($C933,Orders!$A:$J,6,FALSE),""))</f>
        <v/>
      </c>
      <c r="I933" s="40" t="str">
        <f>IF($C933="","",IFERROR(VLOOKUP($C933,Orders!$A:$J,7,FALSE),""))</f>
        <v/>
      </c>
      <c r="J933" s="40" t="str">
        <f>IF(Bids!$C933="","",Bids!$C933)</f>
        <v/>
      </c>
      <c r="K933" s="40" t="str">
        <f>IF($J933="","",IFERROR(VLOOKUP($J933,Grinders!$A:$N,2,FALSE),""))</f>
        <v/>
      </c>
      <c r="L933" s="40" t="str">
        <f>IF($J933="","",IFERROR(VLOOKUP($J933,Grinders!$A:$N,3,FALSE),""))</f>
        <v/>
      </c>
      <c r="M933" s="40" t="str">
        <f>IF($J933="","",IFERROR(VLOOKUP($J933,Grinders!$A:$N,4,FALSE),""))</f>
        <v/>
      </c>
      <c r="N933" s="40" t="str">
        <f>IF($J933="","",IFERROR(VLOOKUP($J933,Grinders!$A:$N,5,FALSE),""))</f>
        <v/>
      </c>
      <c r="O933" s="40" t="str">
        <f t="shared" si="2"/>
        <v/>
      </c>
      <c r="P933" s="40" t="str">
        <f>IF($J933="","",IFERROR(VLOOKUP($J933,Grinders!$A:$N,6,FALSE),""))</f>
        <v/>
      </c>
      <c r="Q933" s="40" t="str">
        <f>IF($J933="","",IFERROR(VLOOKUP($J933,Grinders!$A:$N,8,FALSE),""))</f>
        <v/>
      </c>
      <c r="R933" s="40" t="str">
        <f>IFERROR(IF($J933="","",IF($L933="Elite",MAX(50,MIN(100,Config!$B$27*MAX(0,MIN(100,(1-IF($O933="",0,$O933))*100)) + Config!$B$28*MAX(0,MIN(100,(1-MIN(1,IF(Config!$B$30=0,1,$P933/Config!$B$30)))*100)) + Config!$B$29*MAX(0,MIN(100,MIN(1,IF($Q933="",0,$Q933)/Config!$B$23)*100)))),MIN(100,Config!$B$27*MAX(0,MIN(100,(1-IF($O933="",0,$O933))*100)) + Config!$B$28*MAX(0,MIN(100,(1-MIN(1,IF(Config!$B$30=0,1,$P933/Config!$B$30)))*100)) + Config!$B$29*MAX(0,MIN(100,MIN(1,IF($Q933="",0,$Q933)/Config!$B$23)*100))))),"")
</f>
        <v/>
      </c>
      <c r="S933" s="40" t="str">
        <f>IF(Bids!$D933="","",Bids!$D933)</f>
        <v/>
      </c>
      <c r="T933" s="40" t="str">
        <f>IF(Bids!$F933="","",Bids!$F933)</f>
        <v/>
      </c>
      <c r="U933" s="40" t="str">
        <f t="shared" si="3"/>
        <v/>
      </c>
      <c r="V933" s="40" t="str">
        <f>IF($U933="","",IF(Config!$B$17=Config!$B$16,IF($U933&gt;=Config!$B$17,100,0),MAX(0,MIN(100,($U933-Config!$B$16)/(Config!$B$17-Config!$B$16)*100))))</f>
        <v/>
      </c>
      <c r="W933" s="40">
        <f>IF($L933="Elite",Config!$B$21,0)</f>
        <v>0</v>
      </c>
      <c r="X933" s="40" t="str">
        <f>IFERROR(IF(OR($T933="",$G933=""),"",IF($T933&gt;$G933,
  MAX(0, 60-(($T933-$G933)*24/Config!$B$19)*60),
  MEDIAN(60, 100, 60+(($G933-$T933)*24/Config!$B$20)*40)
)),"")
</f>
        <v/>
      </c>
      <c r="Y933" s="40" t="str">
        <f>IF($J933="","",IFERROR(VLOOKUP($J933,Grinders!$A:$N,10,FALSE),""))</f>
        <v/>
      </c>
      <c r="Z933" s="40" t="str">
        <f>IF($J933="","",IFERROR(VLOOKUP($J933,Grinders!$A:$N,11,FALSE),""))</f>
        <v/>
      </c>
      <c r="AA933" s="40" t="str">
        <f>IF($J933="","",IFERROR(VLOOKUP($J933,Grinders!$A:$N,12,FALSE),""))</f>
        <v/>
      </c>
      <c r="AB933" s="40">
        <f>IFERROR(IF(OR($C933="",$J933=""),0,IF($D933&lt;&gt;"Open",0,IF(COUNTIFS(GrinderServices!$B:$B,$J933,GrinderServices!$C:$C,$E933,GrinderServices!$E:$E,"Y")=0,0,IF($U933&lt;Config!$B$16,0,IF(Config!$B$18=1,IF($N933&gt;=$M933,0,1),1))))),"")</f>
        <v>0</v>
      </c>
      <c r="AC933" s="40" t="str">
        <f>IFERROR(IF($AB933=0,"",((Config!$B$6*$V933 + Config!$B$7*$R933 + Config!$B$8*$W933 + Config!$B$9*$X933 + Config!$B$10*$Y933 + Config!$B$11*$Z933 - Config!$B$12*$AA933)/Config!$B$13)+$AH933+$AI933),"")</f>
        <v/>
      </c>
      <c r="AD933" s="40" t="str">
        <f t="shared" si="4"/>
        <v/>
      </c>
      <c r="AE933" s="40" t="str">
        <f>IFERROR(__xludf.DUMMYFUNCTION("IF($AC933="""","""",IF($AC933=IFERROR(MAX(FILTER($AC$6:$AC$1000,$C$6:$C$1000=$C933,$AB$6:$AB$1000=1)),),""WINNER"",""""))"),"")</f>
        <v/>
      </c>
      <c r="AF933" s="40" t="str">
        <f t="shared" si="5"/>
        <v/>
      </c>
      <c r="AG933" s="40" t="str">
        <f>IF($J933="","",COUNTIF(Assignments!$B:$B,$J933))</f>
        <v/>
      </c>
      <c r="AH933" s="40" t="str">
        <f>IF($J933="","",IF(AND($AG933=0,$N933&lt;$M933),Config!$B$43,0))</f>
        <v/>
      </c>
      <c r="AI933" s="40" t="str">
        <f>IF($J933="","",IF(AND($L933="Elite",$F933&gt;=Config!$B$41,$N933&lt;$M933),Config!$B$42,0))</f>
        <v/>
      </c>
      <c r="AJ933" s="22"/>
    </row>
    <row r="934" ht="15.75" customHeight="1">
      <c r="A934" s="40" t="str">
        <f t="shared" si="1"/>
        <v/>
      </c>
      <c r="B934" s="40" t="str">
        <f>IF(Bids!$A934="","",Bids!$A934)</f>
        <v/>
      </c>
      <c r="C934" s="40" t="str">
        <f>IF(Bids!$B934="","",Bids!$B934)</f>
        <v/>
      </c>
      <c r="D934" s="40" t="str">
        <f>IF($C934="","",IFERROR(VLOOKUP($C934,Orders!$A:$J,9,FALSE),""))</f>
        <v/>
      </c>
      <c r="E934" s="40" t="str">
        <f>IF($C934="","",IFERROR(VLOOKUP($C934,Orders!$A:$J,3,FALSE),""))</f>
        <v/>
      </c>
      <c r="F934" s="40" t="str">
        <f>IF($C934="","",IFERROR(VLOOKUP($C934,Orders!$A:$J,4,FALSE),""))</f>
        <v/>
      </c>
      <c r="G934" s="40" t="str">
        <f>IF($C934="","",IFERROR(VLOOKUP($C934,Orders!$A:$J,5,FALSE),""))</f>
        <v/>
      </c>
      <c r="H934" s="40" t="str">
        <f>IF($C934="","",IFERROR(VLOOKUP($C934,Orders!$A:$J,6,FALSE),""))</f>
        <v/>
      </c>
      <c r="I934" s="40" t="str">
        <f>IF($C934="","",IFERROR(VLOOKUP($C934,Orders!$A:$J,7,FALSE),""))</f>
        <v/>
      </c>
      <c r="J934" s="40" t="str">
        <f>IF(Bids!$C934="","",Bids!$C934)</f>
        <v/>
      </c>
      <c r="K934" s="40" t="str">
        <f>IF($J934="","",IFERROR(VLOOKUP($J934,Grinders!$A:$N,2,FALSE),""))</f>
        <v/>
      </c>
      <c r="L934" s="40" t="str">
        <f>IF($J934="","",IFERROR(VLOOKUP($J934,Grinders!$A:$N,3,FALSE),""))</f>
        <v/>
      </c>
      <c r="M934" s="40" t="str">
        <f>IF($J934="","",IFERROR(VLOOKUP($J934,Grinders!$A:$N,4,FALSE),""))</f>
        <v/>
      </c>
      <c r="N934" s="40" t="str">
        <f>IF($J934="","",IFERROR(VLOOKUP($J934,Grinders!$A:$N,5,FALSE),""))</f>
        <v/>
      </c>
      <c r="O934" s="40" t="str">
        <f t="shared" si="2"/>
        <v/>
      </c>
      <c r="P934" s="40" t="str">
        <f>IF($J934="","",IFERROR(VLOOKUP($J934,Grinders!$A:$N,6,FALSE),""))</f>
        <v/>
      </c>
      <c r="Q934" s="40" t="str">
        <f>IF($J934="","",IFERROR(VLOOKUP($J934,Grinders!$A:$N,8,FALSE),""))</f>
        <v/>
      </c>
      <c r="R934" s="40" t="str">
        <f>IFERROR(IF($J934="","",IF($L934="Elite",MAX(50,MIN(100,Config!$B$27*MAX(0,MIN(100,(1-IF($O934="",0,$O934))*100)) + Config!$B$28*MAX(0,MIN(100,(1-MIN(1,IF(Config!$B$30=0,1,$P934/Config!$B$30)))*100)) + Config!$B$29*MAX(0,MIN(100,MIN(1,IF($Q934="",0,$Q934)/Config!$B$23)*100)))),MIN(100,Config!$B$27*MAX(0,MIN(100,(1-IF($O934="",0,$O934))*100)) + Config!$B$28*MAX(0,MIN(100,(1-MIN(1,IF(Config!$B$30=0,1,$P934/Config!$B$30)))*100)) + Config!$B$29*MAX(0,MIN(100,MIN(1,IF($Q934="",0,$Q934)/Config!$B$23)*100))))),"")
</f>
        <v/>
      </c>
      <c r="S934" s="40" t="str">
        <f>IF(Bids!$D934="","",Bids!$D934)</f>
        <v/>
      </c>
      <c r="T934" s="40" t="str">
        <f>IF(Bids!$F934="","",Bids!$F934)</f>
        <v/>
      </c>
      <c r="U934" s="40" t="str">
        <f t="shared" si="3"/>
        <v/>
      </c>
      <c r="V934" s="40" t="str">
        <f>IF($U934="","",IF(Config!$B$17=Config!$B$16,IF($U934&gt;=Config!$B$17,100,0),MAX(0,MIN(100,($U934-Config!$B$16)/(Config!$B$17-Config!$B$16)*100))))</f>
        <v/>
      </c>
      <c r="W934" s="40">
        <f>IF($L934="Elite",Config!$B$21,0)</f>
        <v>0</v>
      </c>
      <c r="X934" s="40" t="str">
        <f>IFERROR(IF(OR($T934="",$G934=""),"",IF($T934&gt;$G934,
  MAX(0, 60-(($T934-$G934)*24/Config!$B$19)*60),
  MEDIAN(60, 100, 60+(($G934-$T934)*24/Config!$B$20)*40)
)),"")
</f>
        <v/>
      </c>
      <c r="Y934" s="40" t="str">
        <f>IF($J934="","",IFERROR(VLOOKUP($J934,Grinders!$A:$N,10,FALSE),""))</f>
        <v/>
      </c>
      <c r="Z934" s="40" t="str">
        <f>IF($J934="","",IFERROR(VLOOKUP($J934,Grinders!$A:$N,11,FALSE),""))</f>
        <v/>
      </c>
      <c r="AA934" s="40" t="str">
        <f>IF($J934="","",IFERROR(VLOOKUP($J934,Grinders!$A:$N,12,FALSE),""))</f>
        <v/>
      </c>
      <c r="AB934" s="40">
        <f>IFERROR(IF(OR($C934="",$J934=""),0,IF($D934&lt;&gt;"Open",0,IF(COUNTIFS(GrinderServices!$B:$B,$J934,GrinderServices!$C:$C,$E934,GrinderServices!$E:$E,"Y")=0,0,IF($U934&lt;Config!$B$16,0,IF(Config!$B$18=1,IF($N934&gt;=$M934,0,1),1))))),"")</f>
        <v>0</v>
      </c>
      <c r="AC934" s="40" t="str">
        <f>IFERROR(IF($AB934=0,"",((Config!$B$6*$V934 + Config!$B$7*$R934 + Config!$B$8*$W934 + Config!$B$9*$X934 + Config!$B$10*$Y934 + Config!$B$11*$Z934 - Config!$B$12*$AA934)/Config!$B$13)+$AH934+$AI934),"")</f>
        <v/>
      </c>
      <c r="AD934" s="40" t="str">
        <f t="shared" si="4"/>
        <v/>
      </c>
      <c r="AE934" s="40" t="str">
        <f>IFERROR(__xludf.DUMMYFUNCTION("IF($AC934="""","""",IF($AC934=IFERROR(MAX(FILTER($AC$6:$AC$1000,$C$6:$C$1000=$C934,$AB$6:$AB$1000=1)),),""WINNER"",""""))"),"")</f>
        <v/>
      </c>
      <c r="AF934" s="40" t="str">
        <f t="shared" si="5"/>
        <v/>
      </c>
      <c r="AG934" s="40" t="str">
        <f>IF($J934="","",COUNTIF(Assignments!$B:$B,$J934))</f>
        <v/>
      </c>
      <c r="AH934" s="40" t="str">
        <f>IF($J934="","",IF(AND($AG934=0,$N934&lt;$M934),Config!$B$43,0))</f>
        <v/>
      </c>
      <c r="AI934" s="40" t="str">
        <f>IF($J934="","",IF(AND($L934="Elite",$F934&gt;=Config!$B$41,$N934&lt;$M934),Config!$B$42,0))</f>
        <v/>
      </c>
      <c r="AJ934" s="22"/>
    </row>
    <row r="935" ht="15.75" customHeight="1">
      <c r="A935" s="40" t="str">
        <f t="shared" si="1"/>
        <v/>
      </c>
      <c r="B935" s="40" t="str">
        <f>IF(Bids!$A935="","",Bids!$A935)</f>
        <v/>
      </c>
      <c r="C935" s="40" t="str">
        <f>IF(Bids!$B935="","",Bids!$B935)</f>
        <v/>
      </c>
      <c r="D935" s="40" t="str">
        <f>IF($C935="","",IFERROR(VLOOKUP($C935,Orders!$A:$J,9,FALSE),""))</f>
        <v/>
      </c>
      <c r="E935" s="40" t="str">
        <f>IF($C935="","",IFERROR(VLOOKUP($C935,Orders!$A:$J,3,FALSE),""))</f>
        <v/>
      </c>
      <c r="F935" s="40" t="str">
        <f>IF($C935="","",IFERROR(VLOOKUP($C935,Orders!$A:$J,4,FALSE),""))</f>
        <v/>
      </c>
      <c r="G935" s="40" t="str">
        <f>IF($C935="","",IFERROR(VLOOKUP($C935,Orders!$A:$J,5,FALSE),""))</f>
        <v/>
      </c>
      <c r="H935" s="40" t="str">
        <f>IF($C935="","",IFERROR(VLOOKUP($C935,Orders!$A:$J,6,FALSE),""))</f>
        <v/>
      </c>
      <c r="I935" s="40" t="str">
        <f>IF($C935="","",IFERROR(VLOOKUP($C935,Orders!$A:$J,7,FALSE),""))</f>
        <v/>
      </c>
      <c r="J935" s="40" t="str">
        <f>IF(Bids!$C935="","",Bids!$C935)</f>
        <v/>
      </c>
      <c r="K935" s="40" t="str">
        <f>IF($J935="","",IFERROR(VLOOKUP($J935,Grinders!$A:$N,2,FALSE),""))</f>
        <v/>
      </c>
      <c r="L935" s="40" t="str">
        <f>IF($J935="","",IFERROR(VLOOKUP($J935,Grinders!$A:$N,3,FALSE),""))</f>
        <v/>
      </c>
      <c r="M935" s="40" t="str">
        <f>IF($J935="","",IFERROR(VLOOKUP($J935,Grinders!$A:$N,4,FALSE),""))</f>
        <v/>
      </c>
      <c r="N935" s="40" t="str">
        <f>IF($J935="","",IFERROR(VLOOKUP($J935,Grinders!$A:$N,5,FALSE),""))</f>
        <v/>
      </c>
      <c r="O935" s="40" t="str">
        <f t="shared" si="2"/>
        <v/>
      </c>
      <c r="P935" s="40" t="str">
        <f>IF($J935="","",IFERROR(VLOOKUP($J935,Grinders!$A:$N,6,FALSE),""))</f>
        <v/>
      </c>
      <c r="Q935" s="40" t="str">
        <f>IF($J935="","",IFERROR(VLOOKUP($J935,Grinders!$A:$N,8,FALSE),""))</f>
        <v/>
      </c>
      <c r="R935" s="40" t="str">
        <f>IFERROR(IF($J935="","",IF($L935="Elite",MAX(50,MIN(100,Config!$B$27*MAX(0,MIN(100,(1-IF($O935="",0,$O935))*100)) + Config!$B$28*MAX(0,MIN(100,(1-MIN(1,IF(Config!$B$30=0,1,$P935/Config!$B$30)))*100)) + Config!$B$29*MAX(0,MIN(100,MIN(1,IF($Q935="",0,$Q935)/Config!$B$23)*100)))),MIN(100,Config!$B$27*MAX(0,MIN(100,(1-IF($O935="",0,$O935))*100)) + Config!$B$28*MAX(0,MIN(100,(1-MIN(1,IF(Config!$B$30=0,1,$P935/Config!$B$30)))*100)) + Config!$B$29*MAX(0,MIN(100,MIN(1,IF($Q935="",0,$Q935)/Config!$B$23)*100))))),"")
</f>
        <v/>
      </c>
      <c r="S935" s="40" t="str">
        <f>IF(Bids!$D935="","",Bids!$D935)</f>
        <v/>
      </c>
      <c r="T935" s="40" t="str">
        <f>IF(Bids!$F935="","",Bids!$F935)</f>
        <v/>
      </c>
      <c r="U935" s="40" t="str">
        <f t="shared" si="3"/>
        <v/>
      </c>
      <c r="V935" s="40" t="str">
        <f>IF($U935="","",IF(Config!$B$17=Config!$B$16,IF($U935&gt;=Config!$B$17,100,0),MAX(0,MIN(100,($U935-Config!$B$16)/(Config!$B$17-Config!$B$16)*100))))</f>
        <v/>
      </c>
      <c r="W935" s="40">
        <f>IF($L935="Elite",Config!$B$21,0)</f>
        <v>0</v>
      </c>
      <c r="X935" s="40" t="str">
        <f>IFERROR(IF(OR($T935="",$G935=""),"",IF($T935&gt;$G935,
  MAX(0, 60-(($T935-$G935)*24/Config!$B$19)*60),
  MEDIAN(60, 100, 60+(($G935-$T935)*24/Config!$B$20)*40)
)),"")
</f>
        <v/>
      </c>
      <c r="Y935" s="40" t="str">
        <f>IF($J935="","",IFERROR(VLOOKUP($J935,Grinders!$A:$N,10,FALSE),""))</f>
        <v/>
      </c>
      <c r="Z935" s="40" t="str">
        <f>IF($J935="","",IFERROR(VLOOKUP($J935,Grinders!$A:$N,11,FALSE),""))</f>
        <v/>
      </c>
      <c r="AA935" s="40" t="str">
        <f>IF($J935="","",IFERROR(VLOOKUP($J935,Grinders!$A:$N,12,FALSE),""))</f>
        <v/>
      </c>
      <c r="AB935" s="40">
        <f>IFERROR(IF(OR($C935="",$J935=""),0,IF($D935&lt;&gt;"Open",0,IF(COUNTIFS(GrinderServices!$B:$B,$J935,GrinderServices!$C:$C,$E935,GrinderServices!$E:$E,"Y")=0,0,IF($U935&lt;Config!$B$16,0,IF(Config!$B$18=1,IF($N935&gt;=$M935,0,1),1))))),"")</f>
        <v>0</v>
      </c>
      <c r="AC935" s="40" t="str">
        <f>IFERROR(IF($AB935=0,"",((Config!$B$6*$V935 + Config!$B$7*$R935 + Config!$B$8*$W935 + Config!$B$9*$X935 + Config!$B$10*$Y935 + Config!$B$11*$Z935 - Config!$B$12*$AA935)/Config!$B$13)+$AH935+$AI935),"")</f>
        <v/>
      </c>
      <c r="AD935" s="40" t="str">
        <f t="shared" si="4"/>
        <v/>
      </c>
      <c r="AE935" s="40" t="str">
        <f>IFERROR(__xludf.DUMMYFUNCTION("IF($AC935="""","""",IF($AC935=IFERROR(MAX(FILTER($AC$6:$AC$1000,$C$6:$C$1000=$C935,$AB$6:$AB$1000=1)),),""WINNER"",""""))"),"")</f>
        <v/>
      </c>
      <c r="AF935" s="40" t="str">
        <f t="shared" si="5"/>
        <v/>
      </c>
      <c r="AG935" s="40" t="str">
        <f>IF($J935="","",COUNTIF(Assignments!$B:$B,$J935))</f>
        <v/>
      </c>
      <c r="AH935" s="40" t="str">
        <f>IF($J935="","",IF(AND($AG935=0,$N935&lt;$M935),Config!$B$43,0))</f>
        <v/>
      </c>
      <c r="AI935" s="40" t="str">
        <f>IF($J935="","",IF(AND($L935="Elite",$F935&gt;=Config!$B$41,$N935&lt;$M935),Config!$B$42,0))</f>
        <v/>
      </c>
      <c r="AJ935" s="22"/>
    </row>
    <row r="936" ht="15.75" customHeight="1">
      <c r="A936" s="40" t="str">
        <f t="shared" si="1"/>
        <v/>
      </c>
      <c r="B936" s="40" t="str">
        <f>IF(Bids!$A936="","",Bids!$A936)</f>
        <v/>
      </c>
      <c r="C936" s="40" t="str">
        <f>IF(Bids!$B936="","",Bids!$B936)</f>
        <v/>
      </c>
      <c r="D936" s="40" t="str">
        <f>IF($C936="","",IFERROR(VLOOKUP($C936,Orders!$A:$J,9,FALSE),""))</f>
        <v/>
      </c>
      <c r="E936" s="40" t="str">
        <f>IF($C936="","",IFERROR(VLOOKUP($C936,Orders!$A:$J,3,FALSE),""))</f>
        <v/>
      </c>
      <c r="F936" s="40" t="str">
        <f>IF($C936="","",IFERROR(VLOOKUP($C936,Orders!$A:$J,4,FALSE),""))</f>
        <v/>
      </c>
      <c r="G936" s="40" t="str">
        <f>IF($C936="","",IFERROR(VLOOKUP($C936,Orders!$A:$J,5,FALSE),""))</f>
        <v/>
      </c>
      <c r="H936" s="40" t="str">
        <f>IF($C936="","",IFERROR(VLOOKUP($C936,Orders!$A:$J,6,FALSE),""))</f>
        <v/>
      </c>
      <c r="I936" s="40" t="str">
        <f>IF($C936="","",IFERROR(VLOOKUP($C936,Orders!$A:$J,7,FALSE),""))</f>
        <v/>
      </c>
      <c r="J936" s="40" t="str">
        <f>IF(Bids!$C936="","",Bids!$C936)</f>
        <v/>
      </c>
      <c r="K936" s="40" t="str">
        <f>IF($J936="","",IFERROR(VLOOKUP($J936,Grinders!$A:$N,2,FALSE),""))</f>
        <v/>
      </c>
      <c r="L936" s="40" t="str">
        <f>IF($J936="","",IFERROR(VLOOKUP($J936,Grinders!$A:$N,3,FALSE),""))</f>
        <v/>
      </c>
      <c r="M936" s="40" t="str">
        <f>IF($J936="","",IFERROR(VLOOKUP($J936,Grinders!$A:$N,4,FALSE),""))</f>
        <v/>
      </c>
      <c r="N936" s="40" t="str">
        <f>IF($J936="","",IFERROR(VLOOKUP($J936,Grinders!$A:$N,5,FALSE),""))</f>
        <v/>
      </c>
      <c r="O936" s="40" t="str">
        <f t="shared" si="2"/>
        <v/>
      </c>
      <c r="P936" s="40" t="str">
        <f>IF($J936="","",IFERROR(VLOOKUP($J936,Grinders!$A:$N,6,FALSE),""))</f>
        <v/>
      </c>
      <c r="Q936" s="40" t="str">
        <f>IF($J936="","",IFERROR(VLOOKUP($J936,Grinders!$A:$N,8,FALSE),""))</f>
        <v/>
      </c>
      <c r="R936" s="40" t="str">
        <f>IFERROR(IF($J936="","",IF($L936="Elite",MAX(50,MIN(100,Config!$B$27*MAX(0,MIN(100,(1-IF($O936="",0,$O936))*100)) + Config!$B$28*MAX(0,MIN(100,(1-MIN(1,IF(Config!$B$30=0,1,$P936/Config!$B$30)))*100)) + Config!$B$29*MAX(0,MIN(100,MIN(1,IF($Q936="",0,$Q936)/Config!$B$23)*100)))),MIN(100,Config!$B$27*MAX(0,MIN(100,(1-IF($O936="",0,$O936))*100)) + Config!$B$28*MAX(0,MIN(100,(1-MIN(1,IF(Config!$B$30=0,1,$P936/Config!$B$30)))*100)) + Config!$B$29*MAX(0,MIN(100,MIN(1,IF($Q936="",0,$Q936)/Config!$B$23)*100))))),"")
</f>
        <v/>
      </c>
      <c r="S936" s="40" t="str">
        <f>IF(Bids!$D936="","",Bids!$D936)</f>
        <v/>
      </c>
      <c r="T936" s="40" t="str">
        <f>IF(Bids!$F936="","",Bids!$F936)</f>
        <v/>
      </c>
      <c r="U936" s="40" t="str">
        <f t="shared" si="3"/>
        <v/>
      </c>
      <c r="V936" s="40" t="str">
        <f>IF($U936="","",IF(Config!$B$17=Config!$B$16,IF($U936&gt;=Config!$B$17,100,0),MAX(0,MIN(100,($U936-Config!$B$16)/(Config!$B$17-Config!$B$16)*100))))</f>
        <v/>
      </c>
      <c r="W936" s="40">
        <f>IF($L936="Elite",Config!$B$21,0)</f>
        <v>0</v>
      </c>
      <c r="X936" s="40" t="str">
        <f>IFERROR(IF(OR($T936="",$G936=""),"",IF($T936&gt;$G936,
  MAX(0, 60-(($T936-$G936)*24/Config!$B$19)*60),
  MEDIAN(60, 100, 60+(($G936-$T936)*24/Config!$B$20)*40)
)),"")
</f>
        <v/>
      </c>
      <c r="Y936" s="40" t="str">
        <f>IF($J936="","",IFERROR(VLOOKUP($J936,Grinders!$A:$N,10,FALSE),""))</f>
        <v/>
      </c>
      <c r="Z936" s="40" t="str">
        <f>IF($J936="","",IFERROR(VLOOKUP($J936,Grinders!$A:$N,11,FALSE),""))</f>
        <v/>
      </c>
      <c r="AA936" s="40" t="str">
        <f>IF($J936="","",IFERROR(VLOOKUP($J936,Grinders!$A:$N,12,FALSE),""))</f>
        <v/>
      </c>
      <c r="AB936" s="40">
        <f>IFERROR(IF(OR($C936="",$J936=""),0,IF($D936&lt;&gt;"Open",0,IF(COUNTIFS(GrinderServices!$B:$B,$J936,GrinderServices!$C:$C,$E936,GrinderServices!$E:$E,"Y")=0,0,IF($U936&lt;Config!$B$16,0,IF(Config!$B$18=1,IF($N936&gt;=$M936,0,1),1))))),"")</f>
        <v>0</v>
      </c>
      <c r="AC936" s="40" t="str">
        <f>IFERROR(IF($AB936=0,"",((Config!$B$6*$V936 + Config!$B$7*$R936 + Config!$B$8*$W936 + Config!$B$9*$X936 + Config!$B$10*$Y936 + Config!$B$11*$Z936 - Config!$B$12*$AA936)/Config!$B$13)+$AH936+$AI936),"")</f>
        <v/>
      </c>
      <c r="AD936" s="40" t="str">
        <f t="shared" si="4"/>
        <v/>
      </c>
      <c r="AE936" s="40" t="str">
        <f>IFERROR(__xludf.DUMMYFUNCTION("IF($AC936="""","""",IF($AC936=IFERROR(MAX(FILTER($AC$6:$AC$1000,$C$6:$C$1000=$C936,$AB$6:$AB$1000=1)),),""WINNER"",""""))"),"")</f>
        <v/>
      </c>
      <c r="AF936" s="40" t="str">
        <f t="shared" si="5"/>
        <v/>
      </c>
      <c r="AG936" s="40" t="str">
        <f>IF($J936="","",COUNTIF(Assignments!$B:$B,$J936))</f>
        <v/>
      </c>
      <c r="AH936" s="40" t="str">
        <f>IF($J936="","",IF(AND($AG936=0,$N936&lt;$M936),Config!$B$43,0))</f>
        <v/>
      </c>
      <c r="AI936" s="40" t="str">
        <f>IF($J936="","",IF(AND($L936="Elite",$F936&gt;=Config!$B$41,$N936&lt;$M936),Config!$B$42,0))</f>
        <v/>
      </c>
      <c r="AJ936" s="22"/>
    </row>
    <row r="937" ht="15.75" customHeight="1">
      <c r="A937" s="40" t="str">
        <f t="shared" si="1"/>
        <v/>
      </c>
      <c r="B937" s="40" t="str">
        <f>IF(Bids!$A937="","",Bids!$A937)</f>
        <v/>
      </c>
      <c r="C937" s="40" t="str">
        <f>IF(Bids!$B937="","",Bids!$B937)</f>
        <v/>
      </c>
      <c r="D937" s="40" t="str">
        <f>IF($C937="","",IFERROR(VLOOKUP($C937,Orders!$A:$J,9,FALSE),""))</f>
        <v/>
      </c>
      <c r="E937" s="40" t="str">
        <f>IF($C937="","",IFERROR(VLOOKUP($C937,Orders!$A:$J,3,FALSE),""))</f>
        <v/>
      </c>
      <c r="F937" s="40" t="str">
        <f>IF($C937="","",IFERROR(VLOOKUP($C937,Orders!$A:$J,4,FALSE),""))</f>
        <v/>
      </c>
      <c r="G937" s="40" t="str">
        <f>IF($C937="","",IFERROR(VLOOKUP($C937,Orders!$A:$J,5,FALSE),""))</f>
        <v/>
      </c>
      <c r="H937" s="40" t="str">
        <f>IF($C937="","",IFERROR(VLOOKUP($C937,Orders!$A:$J,6,FALSE),""))</f>
        <v/>
      </c>
      <c r="I937" s="40" t="str">
        <f>IF($C937="","",IFERROR(VLOOKUP($C937,Orders!$A:$J,7,FALSE),""))</f>
        <v/>
      </c>
      <c r="J937" s="40" t="str">
        <f>IF(Bids!$C937="","",Bids!$C937)</f>
        <v/>
      </c>
      <c r="K937" s="40" t="str">
        <f>IF($J937="","",IFERROR(VLOOKUP($J937,Grinders!$A:$N,2,FALSE),""))</f>
        <v/>
      </c>
      <c r="L937" s="40" t="str">
        <f>IF($J937="","",IFERROR(VLOOKUP($J937,Grinders!$A:$N,3,FALSE),""))</f>
        <v/>
      </c>
      <c r="M937" s="40" t="str">
        <f>IF($J937="","",IFERROR(VLOOKUP($J937,Grinders!$A:$N,4,FALSE),""))</f>
        <v/>
      </c>
      <c r="N937" s="40" t="str">
        <f>IF($J937="","",IFERROR(VLOOKUP($J937,Grinders!$A:$N,5,FALSE),""))</f>
        <v/>
      </c>
      <c r="O937" s="40" t="str">
        <f t="shared" si="2"/>
        <v/>
      </c>
      <c r="P937" s="40" t="str">
        <f>IF($J937="","",IFERROR(VLOOKUP($J937,Grinders!$A:$N,6,FALSE),""))</f>
        <v/>
      </c>
      <c r="Q937" s="40" t="str">
        <f>IF($J937="","",IFERROR(VLOOKUP($J937,Grinders!$A:$N,8,FALSE),""))</f>
        <v/>
      </c>
      <c r="R937" s="40" t="str">
        <f>IFERROR(IF($J937="","",IF($L937="Elite",MAX(50,MIN(100,Config!$B$27*MAX(0,MIN(100,(1-IF($O937="",0,$O937))*100)) + Config!$B$28*MAX(0,MIN(100,(1-MIN(1,IF(Config!$B$30=0,1,$P937/Config!$B$30)))*100)) + Config!$B$29*MAX(0,MIN(100,MIN(1,IF($Q937="",0,$Q937)/Config!$B$23)*100)))),MIN(100,Config!$B$27*MAX(0,MIN(100,(1-IF($O937="",0,$O937))*100)) + Config!$B$28*MAX(0,MIN(100,(1-MIN(1,IF(Config!$B$30=0,1,$P937/Config!$B$30)))*100)) + Config!$B$29*MAX(0,MIN(100,MIN(1,IF($Q937="",0,$Q937)/Config!$B$23)*100))))),"")
</f>
        <v/>
      </c>
      <c r="S937" s="40" t="str">
        <f>IF(Bids!$D937="","",Bids!$D937)</f>
        <v/>
      </c>
      <c r="T937" s="40" t="str">
        <f>IF(Bids!$F937="","",Bids!$F937)</f>
        <v/>
      </c>
      <c r="U937" s="40" t="str">
        <f t="shared" si="3"/>
        <v/>
      </c>
      <c r="V937" s="40" t="str">
        <f>IF($U937="","",IF(Config!$B$17=Config!$B$16,IF($U937&gt;=Config!$B$17,100,0),MAX(0,MIN(100,($U937-Config!$B$16)/(Config!$B$17-Config!$B$16)*100))))</f>
        <v/>
      </c>
      <c r="W937" s="40">
        <f>IF($L937="Elite",Config!$B$21,0)</f>
        <v>0</v>
      </c>
      <c r="X937" s="40" t="str">
        <f>IFERROR(IF(OR($T937="",$G937=""),"",IF($T937&gt;$G937,
  MAX(0, 60-(($T937-$G937)*24/Config!$B$19)*60),
  MEDIAN(60, 100, 60+(($G937-$T937)*24/Config!$B$20)*40)
)),"")
</f>
        <v/>
      </c>
      <c r="Y937" s="40" t="str">
        <f>IF($J937="","",IFERROR(VLOOKUP($J937,Grinders!$A:$N,10,FALSE),""))</f>
        <v/>
      </c>
      <c r="Z937" s="40" t="str">
        <f>IF($J937="","",IFERROR(VLOOKUP($J937,Grinders!$A:$N,11,FALSE),""))</f>
        <v/>
      </c>
      <c r="AA937" s="40" t="str">
        <f>IF($J937="","",IFERROR(VLOOKUP($J937,Grinders!$A:$N,12,FALSE),""))</f>
        <v/>
      </c>
      <c r="AB937" s="40">
        <f>IFERROR(IF(OR($C937="",$J937=""),0,IF($D937&lt;&gt;"Open",0,IF(COUNTIFS(GrinderServices!$B:$B,$J937,GrinderServices!$C:$C,$E937,GrinderServices!$E:$E,"Y")=0,0,IF($U937&lt;Config!$B$16,0,IF(Config!$B$18=1,IF($N937&gt;=$M937,0,1),1))))),"")</f>
        <v>0</v>
      </c>
      <c r="AC937" s="40" t="str">
        <f>IFERROR(IF($AB937=0,"",((Config!$B$6*$V937 + Config!$B$7*$R937 + Config!$B$8*$W937 + Config!$B$9*$X937 + Config!$B$10*$Y937 + Config!$B$11*$Z937 - Config!$B$12*$AA937)/Config!$B$13)+$AH937+$AI937),"")</f>
        <v/>
      </c>
      <c r="AD937" s="40" t="str">
        <f t="shared" si="4"/>
        <v/>
      </c>
      <c r="AE937" s="40" t="str">
        <f>IFERROR(__xludf.DUMMYFUNCTION("IF($AC937="""","""",IF($AC937=IFERROR(MAX(FILTER($AC$6:$AC$1000,$C$6:$C$1000=$C937,$AB$6:$AB$1000=1)),),""WINNER"",""""))"),"")</f>
        <v/>
      </c>
      <c r="AF937" s="40" t="str">
        <f t="shared" si="5"/>
        <v/>
      </c>
      <c r="AG937" s="40" t="str">
        <f>IF($J937="","",COUNTIF(Assignments!$B:$B,$J937))</f>
        <v/>
      </c>
      <c r="AH937" s="40" t="str">
        <f>IF($J937="","",IF(AND($AG937=0,$N937&lt;$M937),Config!$B$43,0))</f>
        <v/>
      </c>
      <c r="AI937" s="40" t="str">
        <f>IF($J937="","",IF(AND($L937="Elite",$F937&gt;=Config!$B$41,$N937&lt;$M937),Config!$B$42,0))</f>
        <v/>
      </c>
      <c r="AJ937" s="22"/>
    </row>
    <row r="938" ht="15.75" customHeight="1">
      <c r="A938" s="40" t="str">
        <f t="shared" si="1"/>
        <v/>
      </c>
      <c r="B938" s="40" t="str">
        <f>IF(Bids!$A938="","",Bids!$A938)</f>
        <v/>
      </c>
      <c r="C938" s="40" t="str">
        <f>IF(Bids!$B938="","",Bids!$B938)</f>
        <v/>
      </c>
      <c r="D938" s="40" t="str">
        <f>IF($C938="","",IFERROR(VLOOKUP($C938,Orders!$A:$J,9,FALSE),""))</f>
        <v/>
      </c>
      <c r="E938" s="40" t="str">
        <f>IF($C938="","",IFERROR(VLOOKUP($C938,Orders!$A:$J,3,FALSE),""))</f>
        <v/>
      </c>
      <c r="F938" s="40" t="str">
        <f>IF($C938="","",IFERROR(VLOOKUP($C938,Orders!$A:$J,4,FALSE),""))</f>
        <v/>
      </c>
      <c r="G938" s="40" t="str">
        <f>IF($C938="","",IFERROR(VLOOKUP($C938,Orders!$A:$J,5,FALSE),""))</f>
        <v/>
      </c>
      <c r="H938" s="40" t="str">
        <f>IF($C938="","",IFERROR(VLOOKUP($C938,Orders!$A:$J,6,FALSE),""))</f>
        <v/>
      </c>
      <c r="I938" s="40" t="str">
        <f>IF($C938="","",IFERROR(VLOOKUP($C938,Orders!$A:$J,7,FALSE),""))</f>
        <v/>
      </c>
      <c r="J938" s="40" t="str">
        <f>IF(Bids!$C938="","",Bids!$C938)</f>
        <v/>
      </c>
      <c r="K938" s="40" t="str">
        <f>IF($J938="","",IFERROR(VLOOKUP($J938,Grinders!$A:$N,2,FALSE),""))</f>
        <v/>
      </c>
      <c r="L938" s="40" t="str">
        <f>IF($J938="","",IFERROR(VLOOKUP($J938,Grinders!$A:$N,3,FALSE),""))</f>
        <v/>
      </c>
      <c r="M938" s="40" t="str">
        <f>IF($J938="","",IFERROR(VLOOKUP($J938,Grinders!$A:$N,4,FALSE),""))</f>
        <v/>
      </c>
      <c r="N938" s="40" t="str">
        <f>IF($J938="","",IFERROR(VLOOKUP($J938,Grinders!$A:$N,5,FALSE),""))</f>
        <v/>
      </c>
      <c r="O938" s="40" t="str">
        <f t="shared" si="2"/>
        <v/>
      </c>
      <c r="P938" s="40" t="str">
        <f>IF($J938="","",IFERROR(VLOOKUP($J938,Grinders!$A:$N,6,FALSE),""))</f>
        <v/>
      </c>
      <c r="Q938" s="40" t="str">
        <f>IF($J938="","",IFERROR(VLOOKUP($J938,Grinders!$A:$N,8,FALSE),""))</f>
        <v/>
      </c>
      <c r="R938" s="40" t="str">
        <f>IFERROR(IF($J938="","",IF($L938="Elite",MAX(50,MIN(100,Config!$B$27*MAX(0,MIN(100,(1-IF($O938="",0,$O938))*100)) + Config!$B$28*MAX(0,MIN(100,(1-MIN(1,IF(Config!$B$30=0,1,$P938/Config!$B$30)))*100)) + Config!$B$29*MAX(0,MIN(100,MIN(1,IF($Q938="",0,$Q938)/Config!$B$23)*100)))),MIN(100,Config!$B$27*MAX(0,MIN(100,(1-IF($O938="",0,$O938))*100)) + Config!$B$28*MAX(0,MIN(100,(1-MIN(1,IF(Config!$B$30=0,1,$P938/Config!$B$30)))*100)) + Config!$B$29*MAX(0,MIN(100,MIN(1,IF($Q938="",0,$Q938)/Config!$B$23)*100))))),"")
</f>
        <v/>
      </c>
      <c r="S938" s="40" t="str">
        <f>IF(Bids!$D938="","",Bids!$D938)</f>
        <v/>
      </c>
      <c r="T938" s="40" t="str">
        <f>IF(Bids!$F938="","",Bids!$F938)</f>
        <v/>
      </c>
      <c r="U938" s="40" t="str">
        <f t="shared" si="3"/>
        <v/>
      </c>
      <c r="V938" s="40" t="str">
        <f>IF($U938="","",IF(Config!$B$17=Config!$B$16,IF($U938&gt;=Config!$B$17,100,0),MAX(0,MIN(100,($U938-Config!$B$16)/(Config!$B$17-Config!$B$16)*100))))</f>
        <v/>
      </c>
      <c r="W938" s="40">
        <f>IF($L938="Elite",Config!$B$21,0)</f>
        <v>0</v>
      </c>
      <c r="X938" s="40" t="str">
        <f>IFERROR(IF(OR($T938="",$G938=""),"",IF($T938&gt;$G938,
  MAX(0, 60-(($T938-$G938)*24/Config!$B$19)*60),
  MEDIAN(60, 100, 60+(($G938-$T938)*24/Config!$B$20)*40)
)),"")
</f>
        <v/>
      </c>
      <c r="Y938" s="40" t="str">
        <f>IF($J938="","",IFERROR(VLOOKUP($J938,Grinders!$A:$N,10,FALSE),""))</f>
        <v/>
      </c>
      <c r="Z938" s="40" t="str">
        <f>IF($J938="","",IFERROR(VLOOKUP($J938,Grinders!$A:$N,11,FALSE),""))</f>
        <v/>
      </c>
      <c r="AA938" s="40" t="str">
        <f>IF($J938="","",IFERROR(VLOOKUP($J938,Grinders!$A:$N,12,FALSE),""))</f>
        <v/>
      </c>
      <c r="AB938" s="40">
        <f>IFERROR(IF(OR($C938="",$J938=""),0,IF($D938&lt;&gt;"Open",0,IF(COUNTIFS(GrinderServices!$B:$B,$J938,GrinderServices!$C:$C,$E938,GrinderServices!$E:$E,"Y")=0,0,IF($U938&lt;Config!$B$16,0,IF(Config!$B$18=1,IF($N938&gt;=$M938,0,1),1))))),"")</f>
        <v>0</v>
      </c>
      <c r="AC938" s="40" t="str">
        <f>IFERROR(IF($AB938=0,"",((Config!$B$6*$V938 + Config!$B$7*$R938 + Config!$B$8*$W938 + Config!$B$9*$X938 + Config!$B$10*$Y938 + Config!$B$11*$Z938 - Config!$B$12*$AA938)/Config!$B$13)+$AH938+$AI938),"")</f>
        <v/>
      </c>
      <c r="AD938" s="40" t="str">
        <f t="shared" si="4"/>
        <v/>
      </c>
      <c r="AE938" s="40" t="str">
        <f>IFERROR(__xludf.DUMMYFUNCTION("IF($AC938="""","""",IF($AC938=IFERROR(MAX(FILTER($AC$6:$AC$1000,$C$6:$C$1000=$C938,$AB$6:$AB$1000=1)),),""WINNER"",""""))"),"")</f>
        <v/>
      </c>
      <c r="AF938" s="40" t="str">
        <f t="shared" si="5"/>
        <v/>
      </c>
      <c r="AG938" s="40" t="str">
        <f>IF($J938="","",COUNTIF(Assignments!$B:$B,$J938))</f>
        <v/>
      </c>
      <c r="AH938" s="40" t="str">
        <f>IF($J938="","",IF(AND($AG938=0,$N938&lt;$M938),Config!$B$43,0))</f>
        <v/>
      </c>
      <c r="AI938" s="40" t="str">
        <f>IF($J938="","",IF(AND($L938="Elite",$F938&gt;=Config!$B$41,$N938&lt;$M938),Config!$B$42,0))</f>
        <v/>
      </c>
      <c r="AJ938" s="22"/>
    </row>
    <row r="939" ht="15.75" customHeight="1">
      <c r="A939" s="40" t="str">
        <f t="shared" si="1"/>
        <v/>
      </c>
      <c r="B939" s="40" t="str">
        <f>IF(Bids!$A939="","",Bids!$A939)</f>
        <v/>
      </c>
      <c r="C939" s="40" t="str">
        <f>IF(Bids!$B939="","",Bids!$B939)</f>
        <v/>
      </c>
      <c r="D939" s="40" t="str">
        <f>IF($C939="","",IFERROR(VLOOKUP($C939,Orders!$A:$J,9,FALSE),""))</f>
        <v/>
      </c>
      <c r="E939" s="40" t="str">
        <f>IF($C939="","",IFERROR(VLOOKUP($C939,Orders!$A:$J,3,FALSE),""))</f>
        <v/>
      </c>
      <c r="F939" s="40" t="str">
        <f>IF($C939="","",IFERROR(VLOOKUP($C939,Orders!$A:$J,4,FALSE),""))</f>
        <v/>
      </c>
      <c r="G939" s="40" t="str">
        <f>IF($C939="","",IFERROR(VLOOKUP($C939,Orders!$A:$J,5,FALSE),""))</f>
        <v/>
      </c>
      <c r="H939" s="40" t="str">
        <f>IF($C939="","",IFERROR(VLOOKUP($C939,Orders!$A:$J,6,FALSE),""))</f>
        <v/>
      </c>
      <c r="I939" s="40" t="str">
        <f>IF($C939="","",IFERROR(VLOOKUP($C939,Orders!$A:$J,7,FALSE),""))</f>
        <v/>
      </c>
      <c r="J939" s="40" t="str">
        <f>IF(Bids!$C939="","",Bids!$C939)</f>
        <v/>
      </c>
      <c r="K939" s="40" t="str">
        <f>IF($J939="","",IFERROR(VLOOKUP($J939,Grinders!$A:$N,2,FALSE),""))</f>
        <v/>
      </c>
      <c r="L939" s="40" t="str">
        <f>IF($J939="","",IFERROR(VLOOKUP($J939,Grinders!$A:$N,3,FALSE),""))</f>
        <v/>
      </c>
      <c r="M939" s="40" t="str">
        <f>IF($J939="","",IFERROR(VLOOKUP($J939,Grinders!$A:$N,4,FALSE),""))</f>
        <v/>
      </c>
      <c r="N939" s="40" t="str">
        <f>IF($J939="","",IFERROR(VLOOKUP($J939,Grinders!$A:$N,5,FALSE),""))</f>
        <v/>
      </c>
      <c r="O939" s="40" t="str">
        <f t="shared" si="2"/>
        <v/>
      </c>
      <c r="P939" s="40" t="str">
        <f>IF($J939="","",IFERROR(VLOOKUP($J939,Grinders!$A:$N,6,FALSE),""))</f>
        <v/>
      </c>
      <c r="Q939" s="40" t="str">
        <f>IF($J939="","",IFERROR(VLOOKUP($J939,Grinders!$A:$N,8,FALSE),""))</f>
        <v/>
      </c>
      <c r="R939" s="40" t="str">
        <f>IFERROR(IF($J939="","",IF($L939="Elite",MAX(50,MIN(100,Config!$B$27*MAX(0,MIN(100,(1-IF($O939="",0,$O939))*100)) + Config!$B$28*MAX(0,MIN(100,(1-MIN(1,IF(Config!$B$30=0,1,$P939/Config!$B$30)))*100)) + Config!$B$29*MAX(0,MIN(100,MIN(1,IF($Q939="",0,$Q939)/Config!$B$23)*100)))),MIN(100,Config!$B$27*MAX(0,MIN(100,(1-IF($O939="",0,$O939))*100)) + Config!$B$28*MAX(0,MIN(100,(1-MIN(1,IF(Config!$B$30=0,1,$P939/Config!$B$30)))*100)) + Config!$B$29*MAX(0,MIN(100,MIN(1,IF($Q939="",0,$Q939)/Config!$B$23)*100))))),"")
</f>
        <v/>
      </c>
      <c r="S939" s="40" t="str">
        <f>IF(Bids!$D939="","",Bids!$D939)</f>
        <v/>
      </c>
      <c r="T939" s="40" t="str">
        <f>IF(Bids!$F939="","",Bids!$F939)</f>
        <v/>
      </c>
      <c r="U939" s="40" t="str">
        <f t="shared" si="3"/>
        <v/>
      </c>
      <c r="V939" s="40" t="str">
        <f>IF($U939="","",IF(Config!$B$17=Config!$B$16,IF($U939&gt;=Config!$B$17,100,0),MAX(0,MIN(100,($U939-Config!$B$16)/(Config!$B$17-Config!$B$16)*100))))</f>
        <v/>
      </c>
      <c r="W939" s="40">
        <f>IF($L939="Elite",Config!$B$21,0)</f>
        <v>0</v>
      </c>
      <c r="X939" s="40" t="str">
        <f>IFERROR(IF(OR($T939="",$G939=""),"",IF($T939&gt;$G939,
  MAX(0, 60-(($T939-$G939)*24/Config!$B$19)*60),
  MEDIAN(60, 100, 60+(($G939-$T939)*24/Config!$B$20)*40)
)),"")
</f>
        <v/>
      </c>
      <c r="Y939" s="40" t="str">
        <f>IF($J939="","",IFERROR(VLOOKUP($J939,Grinders!$A:$N,10,FALSE),""))</f>
        <v/>
      </c>
      <c r="Z939" s="40" t="str">
        <f>IF($J939="","",IFERROR(VLOOKUP($J939,Grinders!$A:$N,11,FALSE),""))</f>
        <v/>
      </c>
      <c r="AA939" s="40" t="str">
        <f>IF($J939="","",IFERROR(VLOOKUP($J939,Grinders!$A:$N,12,FALSE),""))</f>
        <v/>
      </c>
      <c r="AB939" s="40">
        <f>IFERROR(IF(OR($C939="",$J939=""),0,IF($D939&lt;&gt;"Open",0,IF(COUNTIFS(GrinderServices!$B:$B,$J939,GrinderServices!$C:$C,$E939,GrinderServices!$E:$E,"Y")=0,0,IF($U939&lt;Config!$B$16,0,IF(Config!$B$18=1,IF($N939&gt;=$M939,0,1),1))))),"")</f>
        <v>0</v>
      </c>
      <c r="AC939" s="40" t="str">
        <f>IFERROR(IF($AB939=0,"",((Config!$B$6*$V939 + Config!$B$7*$R939 + Config!$B$8*$W939 + Config!$B$9*$X939 + Config!$B$10*$Y939 + Config!$B$11*$Z939 - Config!$B$12*$AA939)/Config!$B$13)+$AH939+$AI939),"")</f>
        <v/>
      </c>
      <c r="AD939" s="40" t="str">
        <f t="shared" si="4"/>
        <v/>
      </c>
      <c r="AE939" s="40" t="str">
        <f>IFERROR(__xludf.DUMMYFUNCTION("IF($AC939="""","""",IF($AC939=IFERROR(MAX(FILTER($AC$6:$AC$1000,$C$6:$C$1000=$C939,$AB$6:$AB$1000=1)),),""WINNER"",""""))"),"")</f>
        <v/>
      </c>
      <c r="AF939" s="40" t="str">
        <f t="shared" si="5"/>
        <v/>
      </c>
      <c r="AG939" s="40" t="str">
        <f>IF($J939="","",COUNTIF(Assignments!$B:$B,$J939))</f>
        <v/>
      </c>
      <c r="AH939" s="40" t="str">
        <f>IF($J939="","",IF(AND($AG939=0,$N939&lt;$M939),Config!$B$43,0))</f>
        <v/>
      </c>
      <c r="AI939" s="40" t="str">
        <f>IF($J939="","",IF(AND($L939="Elite",$F939&gt;=Config!$B$41,$N939&lt;$M939),Config!$B$42,0))</f>
        <v/>
      </c>
      <c r="AJ939" s="22"/>
    </row>
    <row r="940" ht="15.75" customHeight="1">
      <c r="A940" s="40" t="str">
        <f t="shared" si="1"/>
        <v/>
      </c>
      <c r="B940" s="40" t="str">
        <f>IF(Bids!$A940="","",Bids!$A940)</f>
        <v/>
      </c>
      <c r="C940" s="40" t="str">
        <f>IF(Bids!$B940="","",Bids!$B940)</f>
        <v/>
      </c>
      <c r="D940" s="40" t="str">
        <f>IF($C940="","",IFERROR(VLOOKUP($C940,Orders!$A:$J,9,FALSE),""))</f>
        <v/>
      </c>
      <c r="E940" s="40" t="str">
        <f>IF($C940="","",IFERROR(VLOOKUP($C940,Orders!$A:$J,3,FALSE),""))</f>
        <v/>
      </c>
      <c r="F940" s="40" t="str">
        <f>IF($C940="","",IFERROR(VLOOKUP($C940,Orders!$A:$J,4,FALSE),""))</f>
        <v/>
      </c>
      <c r="G940" s="40" t="str">
        <f>IF($C940="","",IFERROR(VLOOKUP($C940,Orders!$A:$J,5,FALSE),""))</f>
        <v/>
      </c>
      <c r="H940" s="40" t="str">
        <f>IF($C940="","",IFERROR(VLOOKUP($C940,Orders!$A:$J,6,FALSE),""))</f>
        <v/>
      </c>
      <c r="I940" s="40" t="str">
        <f>IF($C940="","",IFERROR(VLOOKUP($C940,Orders!$A:$J,7,FALSE),""))</f>
        <v/>
      </c>
      <c r="J940" s="40" t="str">
        <f>IF(Bids!$C940="","",Bids!$C940)</f>
        <v/>
      </c>
      <c r="K940" s="40" t="str">
        <f>IF($J940="","",IFERROR(VLOOKUP($J940,Grinders!$A:$N,2,FALSE),""))</f>
        <v/>
      </c>
      <c r="L940" s="40" t="str">
        <f>IF($J940="","",IFERROR(VLOOKUP($J940,Grinders!$A:$N,3,FALSE),""))</f>
        <v/>
      </c>
      <c r="M940" s="40" t="str">
        <f>IF($J940="","",IFERROR(VLOOKUP($J940,Grinders!$A:$N,4,FALSE),""))</f>
        <v/>
      </c>
      <c r="N940" s="40" t="str">
        <f>IF($J940="","",IFERROR(VLOOKUP($J940,Grinders!$A:$N,5,FALSE),""))</f>
        <v/>
      </c>
      <c r="O940" s="40" t="str">
        <f t="shared" si="2"/>
        <v/>
      </c>
      <c r="P940" s="40" t="str">
        <f>IF($J940="","",IFERROR(VLOOKUP($J940,Grinders!$A:$N,6,FALSE),""))</f>
        <v/>
      </c>
      <c r="Q940" s="40" t="str">
        <f>IF($J940="","",IFERROR(VLOOKUP($J940,Grinders!$A:$N,8,FALSE),""))</f>
        <v/>
      </c>
      <c r="R940" s="40" t="str">
        <f>IFERROR(IF($J940="","",IF($L940="Elite",MAX(50,MIN(100,Config!$B$27*MAX(0,MIN(100,(1-IF($O940="",0,$O940))*100)) + Config!$B$28*MAX(0,MIN(100,(1-MIN(1,IF(Config!$B$30=0,1,$P940/Config!$B$30)))*100)) + Config!$B$29*MAX(0,MIN(100,MIN(1,IF($Q940="",0,$Q940)/Config!$B$23)*100)))),MIN(100,Config!$B$27*MAX(0,MIN(100,(1-IF($O940="",0,$O940))*100)) + Config!$B$28*MAX(0,MIN(100,(1-MIN(1,IF(Config!$B$30=0,1,$P940/Config!$B$30)))*100)) + Config!$B$29*MAX(0,MIN(100,MIN(1,IF($Q940="",0,$Q940)/Config!$B$23)*100))))),"")
</f>
        <v/>
      </c>
      <c r="S940" s="40" t="str">
        <f>IF(Bids!$D940="","",Bids!$D940)</f>
        <v/>
      </c>
      <c r="T940" s="40" t="str">
        <f>IF(Bids!$F940="","",Bids!$F940)</f>
        <v/>
      </c>
      <c r="U940" s="40" t="str">
        <f t="shared" si="3"/>
        <v/>
      </c>
      <c r="V940" s="40" t="str">
        <f>IF($U940="","",IF(Config!$B$17=Config!$B$16,IF($U940&gt;=Config!$B$17,100,0),MAX(0,MIN(100,($U940-Config!$B$16)/(Config!$B$17-Config!$B$16)*100))))</f>
        <v/>
      </c>
      <c r="W940" s="40">
        <f>IF($L940="Elite",Config!$B$21,0)</f>
        <v>0</v>
      </c>
      <c r="X940" s="40" t="str">
        <f>IFERROR(IF(OR($T940="",$G940=""),"",IF($T940&gt;$G940,
  MAX(0, 60-(($T940-$G940)*24/Config!$B$19)*60),
  MEDIAN(60, 100, 60+(($G940-$T940)*24/Config!$B$20)*40)
)),"")
</f>
        <v/>
      </c>
      <c r="Y940" s="40" t="str">
        <f>IF($J940="","",IFERROR(VLOOKUP($J940,Grinders!$A:$N,10,FALSE),""))</f>
        <v/>
      </c>
      <c r="Z940" s="40" t="str">
        <f>IF($J940="","",IFERROR(VLOOKUP($J940,Grinders!$A:$N,11,FALSE),""))</f>
        <v/>
      </c>
      <c r="AA940" s="40" t="str">
        <f>IF($J940="","",IFERROR(VLOOKUP($J940,Grinders!$A:$N,12,FALSE),""))</f>
        <v/>
      </c>
      <c r="AB940" s="40">
        <f>IFERROR(IF(OR($C940="",$J940=""),0,IF($D940&lt;&gt;"Open",0,IF(COUNTIFS(GrinderServices!$B:$B,$J940,GrinderServices!$C:$C,$E940,GrinderServices!$E:$E,"Y")=0,0,IF($U940&lt;Config!$B$16,0,IF(Config!$B$18=1,IF($N940&gt;=$M940,0,1),1))))),"")</f>
        <v>0</v>
      </c>
      <c r="AC940" s="40" t="str">
        <f>IFERROR(IF($AB940=0,"",((Config!$B$6*$V940 + Config!$B$7*$R940 + Config!$B$8*$W940 + Config!$B$9*$X940 + Config!$B$10*$Y940 + Config!$B$11*$Z940 - Config!$B$12*$AA940)/Config!$B$13)+$AH940+$AI940),"")</f>
        <v/>
      </c>
      <c r="AD940" s="40" t="str">
        <f t="shared" si="4"/>
        <v/>
      </c>
      <c r="AE940" s="40" t="str">
        <f>IFERROR(__xludf.DUMMYFUNCTION("IF($AC940="""","""",IF($AC940=IFERROR(MAX(FILTER($AC$6:$AC$1000,$C$6:$C$1000=$C940,$AB$6:$AB$1000=1)),),""WINNER"",""""))"),"")</f>
        <v/>
      </c>
      <c r="AF940" s="40" t="str">
        <f t="shared" si="5"/>
        <v/>
      </c>
      <c r="AG940" s="40" t="str">
        <f>IF($J940="","",COUNTIF(Assignments!$B:$B,$J940))</f>
        <v/>
      </c>
      <c r="AH940" s="40" t="str">
        <f>IF($J940="","",IF(AND($AG940=0,$N940&lt;$M940),Config!$B$43,0))</f>
        <v/>
      </c>
      <c r="AI940" s="40" t="str">
        <f>IF($J940="","",IF(AND($L940="Elite",$F940&gt;=Config!$B$41,$N940&lt;$M940),Config!$B$42,0))</f>
        <v/>
      </c>
      <c r="AJ940" s="22"/>
    </row>
    <row r="941" ht="15.75" customHeight="1">
      <c r="A941" s="40" t="str">
        <f t="shared" si="1"/>
        <v/>
      </c>
      <c r="B941" s="40" t="str">
        <f>IF(Bids!$A941="","",Bids!$A941)</f>
        <v/>
      </c>
      <c r="C941" s="40" t="str">
        <f>IF(Bids!$B941="","",Bids!$B941)</f>
        <v/>
      </c>
      <c r="D941" s="40" t="str">
        <f>IF($C941="","",IFERROR(VLOOKUP($C941,Orders!$A:$J,9,FALSE),""))</f>
        <v/>
      </c>
      <c r="E941" s="40" t="str">
        <f>IF($C941="","",IFERROR(VLOOKUP($C941,Orders!$A:$J,3,FALSE),""))</f>
        <v/>
      </c>
      <c r="F941" s="40" t="str">
        <f>IF($C941="","",IFERROR(VLOOKUP($C941,Orders!$A:$J,4,FALSE),""))</f>
        <v/>
      </c>
      <c r="G941" s="40" t="str">
        <f>IF($C941="","",IFERROR(VLOOKUP($C941,Orders!$A:$J,5,FALSE),""))</f>
        <v/>
      </c>
      <c r="H941" s="40" t="str">
        <f>IF($C941="","",IFERROR(VLOOKUP($C941,Orders!$A:$J,6,FALSE),""))</f>
        <v/>
      </c>
      <c r="I941" s="40" t="str">
        <f>IF($C941="","",IFERROR(VLOOKUP($C941,Orders!$A:$J,7,FALSE),""))</f>
        <v/>
      </c>
      <c r="J941" s="40" t="str">
        <f>IF(Bids!$C941="","",Bids!$C941)</f>
        <v/>
      </c>
      <c r="K941" s="40" t="str">
        <f>IF($J941="","",IFERROR(VLOOKUP($J941,Grinders!$A:$N,2,FALSE),""))</f>
        <v/>
      </c>
      <c r="L941" s="40" t="str">
        <f>IF($J941="","",IFERROR(VLOOKUP($J941,Grinders!$A:$N,3,FALSE),""))</f>
        <v/>
      </c>
      <c r="M941" s="40" t="str">
        <f>IF($J941="","",IFERROR(VLOOKUP($J941,Grinders!$A:$N,4,FALSE),""))</f>
        <v/>
      </c>
      <c r="N941" s="40" t="str">
        <f>IF($J941="","",IFERROR(VLOOKUP($J941,Grinders!$A:$N,5,FALSE),""))</f>
        <v/>
      </c>
      <c r="O941" s="40" t="str">
        <f t="shared" si="2"/>
        <v/>
      </c>
      <c r="P941" s="40" t="str">
        <f>IF($J941="","",IFERROR(VLOOKUP($J941,Grinders!$A:$N,6,FALSE),""))</f>
        <v/>
      </c>
      <c r="Q941" s="40" t="str">
        <f>IF($J941="","",IFERROR(VLOOKUP($J941,Grinders!$A:$N,8,FALSE),""))</f>
        <v/>
      </c>
      <c r="R941" s="40" t="str">
        <f>IFERROR(IF($J941="","",IF($L941="Elite",MAX(50,MIN(100,Config!$B$27*MAX(0,MIN(100,(1-IF($O941="",0,$O941))*100)) + Config!$B$28*MAX(0,MIN(100,(1-MIN(1,IF(Config!$B$30=0,1,$P941/Config!$B$30)))*100)) + Config!$B$29*MAX(0,MIN(100,MIN(1,IF($Q941="",0,$Q941)/Config!$B$23)*100)))),MIN(100,Config!$B$27*MAX(0,MIN(100,(1-IF($O941="",0,$O941))*100)) + Config!$B$28*MAX(0,MIN(100,(1-MIN(1,IF(Config!$B$30=0,1,$P941/Config!$B$30)))*100)) + Config!$B$29*MAX(0,MIN(100,MIN(1,IF($Q941="",0,$Q941)/Config!$B$23)*100))))),"")
</f>
        <v/>
      </c>
      <c r="S941" s="40" t="str">
        <f>IF(Bids!$D941="","",Bids!$D941)</f>
        <v/>
      </c>
      <c r="T941" s="40" t="str">
        <f>IF(Bids!$F941="","",Bids!$F941)</f>
        <v/>
      </c>
      <c r="U941" s="40" t="str">
        <f t="shared" si="3"/>
        <v/>
      </c>
      <c r="V941" s="40" t="str">
        <f>IF($U941="","",IF(Config!$B$17=Config!$B$16,IF($U941&gt;=Config!$B$17,100,0),MAX(0,MIN(100,($U941-Config!$B$16)/(Config!$B$17-Config!$B$16)*100))))</f>
        <v/>
      </c>
      <c r="W941" s="40">
        <f>IF($L941="Elite",Config!$B$21,0)</f>
        <v>0</v>
      </c>
      <c r="X941" s="40" t="str">
        <f>IFERROR(IF(OR($T941="",$G941=""),"",IF($T941&gt;$G941,
  MAX(0, 60-(($T941-$G941)*24/Config!$B$19)*60),
  MEDIAN(60, 100, 60+(($G941-$T941)*24/Config!$B$20)*40)
)),"")
</f>
        <v/>
      </c>
      <c r="Y941" s="40" t="str">
        <f>IF($J941="","",IFERROR(VLOOKUP($J941,Grinders!$A:$N,10,FALSE),""))</f>
        <v/>
      </c>
      <c r="Z941" s="40" t="str">
        <f>IF($J941="","",IFERROR(VLOOKUP($J941,Grinders!$A:$N,11,FALSE),""))</f>
        <v/>
      </c>
      <c r="AA941" s="40" t="str">
        <f>IF($J941="","",IFERROR(VLOOKUP($J941,Grinders!$A:$N,12,FALSE),""))</f>
        <v/>
      </c>
      <c r="AB941" s="40">
        <f>IFERROR(IF(OR($C941="",$J941=""),0,IF($D941&lt;&gt;"Open",0,IF(COUNTIFS(GrinderServices!$B:$B,$J941,GrinderServices!$C:$C,$E941,GrinderServices!$E:$E,"Y")=0,0,IF($U941&lt;Config!$B$16,0,IF(Config!$B$18=1,IF($N941&gt;=$M941,0,1),1))))),"")</f>
        <v>0</v>
      </c>
      <c r="AC941" s="40" t="str">
        <f>IFERROR(IF($AB941=0,"",((Config!$B$6*$V941 + Config!$B$7*$R941 + Config!$B$8*$W941 + Config!$B$9*$X941 + Config!$B$10*$Y941 + Config!$B$11*$Z941 - Config!$B$12*$AA941)/Config!$B$13)+$AH941+$AI941),"")</f>
        <v/>
      </c>
      <c r="AD941" s="40" t="str">
        <f t="shared" si="4"/>
        <v/>
      </c>
      <c r="AE941" s="40" t="str">
        <f>IFERROR(__xludf.DUMMYFUNCTION("IF($AC941="""","""",IF($AC941=IFERROR(MAX(FILTER($AC$6:$AC$1000,$C$6:$C$1000=$C941,$AB$6:$AB$1000=1)),),""WINNER"",""""))"),"")</f>
        <v/>
      </c>
      <c r="AF941" s="40" t="str">
        <f t="shared" si="5"/>
        <v/>
      </c>
      <c r="AG941" s="40" t="str">
        <f>IF($J941="","",COUNTIF(Assignments!$B:$B,$J941))</f>
        <v/>
      </c>
      <c r="AH941" s="40" t="str">
        <f>IF($J941="","",IF(AND($AG941=0,$N941&lt;$M941),Config!$B$43,0))</f>
        <v/>
      </c>
      <c r="AI941" s="40" t="str">
        <f>IF($J941="","",IF(AND($L941="Elite",$F941&gt;=Config!$B$41,$N941&lt;$M941),Config!$B$42,0))</f>
        <v/>
      </c>
      <c r="AJ941" s="22"/>
    </row>
    <row r="942" ht="15.75" customHeight="1">
      <c r="A942" s="40" t="str">
        <f t="shared" si="1"/>
        <v/>
      </c>
      <c r="B942" s="40" t="str">
        <f>IF(Bids!$A942="","",Bids!$A942)</f>
        <v/>
      </c>
      <c r="C942" s="40" t="str">
        <f>IF(Bids!$B942="","",Bids!$B942)</f>
        <v/>
      </c>
      <c r="D942" s="40" t="str">
        <f>IF($C942="","",IFERROR(VLOOKUP($C942,Orders!$A:$J,9,FALSE),""))</f>
        <v/>
      </c>
      <c r="E942" s="40" t="str">
        <f>IF($C942="","",IFERROR(VLOOKUP($C942,Orders!$A:$J,3,FALSE),""))</f>
        <v/>
      </c>
      <c r="F942" s="40" t="str">
        <f>IF($C942="","",IFERROR(VLOOKUP($C942,Orders!$A:$J,4,FALSE),""))</f>
        <v/>
      </c>
      <c r="G942" s="40" t="str">
        <f>IF($C942="","",IFERROR(VLOOKUP($C942,Orders!$A:$J,5,FALSE),""))</f>
        <v/>
      </c>
      <c r="H942" s="40" t="str">
        <f>IF($C942="","",IFERROR(VLOOKUP($C942,Orders!$A:$J,6,FALSE),""))</f>
        <v/>
      </c>
      <c r="I942" s="40" t="str">
        <f>IF($C942="","",IFERROR(VLOOKUP($C942,Orders!$A:$J,7,FALSE),""))</f>
        <v/>
      </c>
      <c r="J942" s="40" t="str">
        <f>IF(Bids!$C942="","",Bids!$C942)</f>
        <v/>
      </c>
      <c r="K942" s="40" t="str">
        <f>IF($J942="","",IFERROR(VLOOKUP($J942,Grinders!$A:$N,2,FALSE),""))</f>
        <v/>
      </c>
      <c r="L942" s="40" t="str">
        <f>IF($J942="","",IFERROR(VLOOKUP($J942,Grinders!$A:$N,3,FALSE),""))</f>
        <v/>
      </c>
      <c r="M942" s="40" t="str">
        <f>IF($J942="","",IFERROR(VLOOKUP($J942,Grinders!$A:$N,4,FALSE),""))</f>
        <v/>
      </c>
      <c r="N942" s="40" t="str">
        <f>IF($J942="","",IFERROR(VLOOKUP($J942,Grinders!$A:$N,5,FALSE),""))</f>
        <v/>
      </c>
      <c r="O942" s="40" t="str">
        <f t="shared" si="2"/>
        <v/>
      </c>
      <c r="P942" s="40" t="str">
        <f>IF($J942="","",IFERROR(VLOOKUP($J942,Grinders!$A:$N,6,FALSE),""))</f>
        <v/>
      </c>
      <c r="Q942" s="40" t="str">
        <f>IF($J942="","",IFERROR(VLOOKUP($J942,Grinders!$A:$N,8,FALSE),""))</f>
        <v/>
      </c>
      <c r="R942" s="40" t="str">
        <f>IFERROR(IF($J942="","",IF($L942="Elite",MAX(50,MIN(100,Config!$B$27*MAX(0,MIN(100,(1-IF($O942="",0,$O942))*100)) + Config!$B$28*MAX(0,MIN(100,(1-MIN(1,IF(Config!$B$30=0,1,$P942/Config!$B$30)))*100)) + Config!$B$29*MAX(0,MIN(100,MIN(1,IF($Q942="",0,$Q942)/Config!$B$23)*100)))),MIN(100,Config!$B$27*MAX(0,MIN(100,(1-IF($O942="",0,$O942))*100)) + Config!$B$28*MAX(0,MIN(100,(1-MIN(1,IF(Config!$B$30=0,1,$P942/Config!$B$30)))*100)) + Config!$B$29*MAX(0,MIN(100,MIN(1,IF($Q942="",0,$Q942)/Config!$B$23)*100))))),"")
</f>
        <v/>
      </c>
      <c r="S942" s="40" t="str">
        <f>IF(Bids!$D942="","",Bids!$D942)</f>
        <v/>
      </c>
      <c r="T942" s="40" t="str">
        <f>IF(Bids!$F942="","",Bids!$F942)</f>
        <v/>
      </c>
      <c r="U942" s="40" t="str">
        <f t="shared" si="3"/>
        <v/>
      </c>
      <c r="V942" s="40" t="str">
        <f>IF($U942="","",IF(Config!$B$17=Config!$B$16,IF($U942&gt;=Config!$B$17,100,0),MAX(0,MIN(100,($U942-Config!$B$16)/(Config!$B$17-Config!$B$16)*100))))</f>
        <v/>
      </c>
      <c r="W942" s="40">
        <f>IF($L942="Elite",Config!$B$21,0)</f>
        <v>0</v>
      </c>
      <c r="X942" s="40" t="str">
        <f>IFERROR(IF(OR($T942="",$G942=""),"",IF($T942&gt;$G942,
  MAX(0, 60-(($T942-$G942)*24/Config!$B$19)*60),
  MEDIAN(60, 100, 60+(($G942-$T942)*24/Config!$B$20)*40)
)),"")
</f>
        <v/>
      </c>
      <c r="Y942" s="40" t="str">
        <f>IF($J942="","",IFERROR(VLOOKUP($J942,Grinders!$A:$N,10,FALSE),""))</f>
        <v/>
      </c>
      <c r="Z942" s="40" t="str">
        <f>IF($J942="","",IFERROR(VLOOKUP($J942,Grinders!$A:$N,11,FALSE),""))</f>
        <v/>
      </c>
      <c r="AA942" s="40" t="str">
        <f>IF($J942="","",IFERROR(VLOOKUP($J942,Grinders!$A:$N,12,FALSE),""))</f>
        <v/>
      </c>
      <c r="AB942" s="40">
        <f>IFERROR(IF(OR($C942="",$J942=""),0,IF($D942&lt;&gt;"Open",0,IF(COUNTIFS(GrinderServices!$B:$B,$J942,GrinderServices!$C:$C,$E942,GrinderServices!$E:$E,"Y")=0,0,IF($U942&lt;Config!$B$16,0,IF(Config!$B$18=1,IF($N942&gt;=$M942,0,1),1))))),"")</f>
        <v>0</v>
      </c>
      <c r="AC942" s="40" t="str">
        <f>IFERROR(IF($AB942=0,"",((Config!$B$6*$V942 + Config!$B$7*$R942 + Config!$B$8*$W942 + Config!$B$9*$X942 + Config!$B$10*$Y942 + Config!$B$11*$Z942 - Config!$B$12*$AA942)/Config!$B$13)+$AH942+$AI942),"")</f>
        <v/>
      </c>
      <c r="AD942" s="40" t="str">
        <f t="shared" si="4"/>
        <v/>
      </c>
      <c r="AE942" s="40" t="str">
        <f>IFERROR(__xludf.DUMMYFUNCTION("IF($AC942="""","""",IF($AC942=IFERROR(MAX(FILTER($AC$6:$AC$1000,$C$6:$C$1000=$C942,$AB$6:$AB$1000=1)),),""WINNER"",""""))"),"")</f>
        <v/>
      </c>
      <c r="AF942" s="40" t="str">
        <f t="shared" si="5"/>
        <v/>
      </c>
      <c r="AG942" s="40" t="str">
        <f>IF($J942="","",COUNTIF(Assignments!$B:$B,$J942))</f>
        <v/>
      </c>
      <c r="AH942" s="40" t="str">
        <f>IF($J942="","",IF(AND($AG942=0,$N942&lt;$M942),Config!$B$43,0))</f>
        <v/>
      </c>
      <c r="AI942" s="40" t="str">
        <f>IF($J942="","",IF(AND($L942="Elite",$F942&gt;=Config!$B$41,$N942&lt;$M942),Config!$B$42,0))</f>
        <v/>
      </c>
      <c r="AJ942" s="22"/>
    </row>
    <row r="943" ht="15.75" customHeight="1">
      <c r="A943" s="40" t="str">
        <f t="shared" si="1"/>
        <v/>
      </c>
      <c r="B943" s="40" t="str">
        <f>IF(Bids!$A943="","",Bids!$A943)</f>
        <v/>
      </c>
      <c r="C943" s="40" t="str">
        <f>IF(Bids!$B943="","",Bids!$B943)</f>
        <v/>
      </c>
      <c r="D943" s="40" t="str">
        <f>IF($C943="","",IFERROR(VLOOKUP($C943,Orders!$A:$J,9,FALSE),""))</f>
        <v/>
      </c>
      <c r="E943" s="40" t="str">
        <f>IF($C943="","",IFERROR(VLOOKUP($C943,Orders!$A:$J,3,FALSE),""))</f>
        <v/>
      </c>
      <c r="F943" s="40" t="str">
        <f>IF($C943="","",IFERROR(VLOOKUP($C943,Orders!$A:$J,4,FALSE),""))</f>
        <v/>
      </c>
      <c r="G943" s="40" t="str">
        <f>IF($C943="","",IFERROR(VLOOKUP($C943,Orders!$A:$J,5,FALSE),""))</f>
        <v/>
      </c>
      <c r="H943" s="40" t="str">
        <f>IF($C943="","",IFERROR(VLOOKUP($C943,Orders!$A:$J,6,FALSE),""))</f>
        <v/>
      </c>
      <c r="I943" s="40" t="str">
        <f>IF($C943="","",IFERROR(VLOOKUP($C943,Orders!$A:$J,7,FALSE),""))</f>
        <v/>
      </c>
      <c r="J943" s="40" t="str">
        <f>IF(Bids!$C943="","",Bids!$C943)</f>
        <v/>
      </c>
      <c r="K943" s="40" t="str">
        <f>IF($J943="","",IFERROR(VLOOKUP($J943,Grinders!$A:$N,2,FALSE),""))</f>
        <v/>
      </c>
      <c r="L943" s="40" t="str">
        <f>IF($J943="","",IFERROR(VLOOKUP($J943,Grinders!$A:$N,3,FALSE),""))</f>
        <v/>
      </c>
      <c r="M943" s="40" t="str">
        <f>IF($J943="","",IFERROR(VLOOKUP($J943,Grinders!$A:$N,4,FALSE),""))</f>
        <v/>
      </c>
      <c r="N943" s="40" t="str">
        <f>IF($J943="","",IFERROR(VLOOKUP($J943,Grinders!$A:$N,5,FALSE),""))</f>
        <v/>
      </c>
      <c r="O943" s="40" t="str">
        <f t="shared" si="2"/>
        <v/>
      </c>
      <c r="P943" s="40" t="str">
        <f>IF($J943="","",IFERROR(VLOOKUP($J943,Grinders!$A:$N,6,FALSE),""))</f>
        <v/>
      </c>
      <c r="Q943" s="40" t="str">
        <f>IF($J943="","",IFERROR(VLOOKUP($J943,Grinders!$A:$N,8,FALSE),""))</f>
        <v/>
      </c>
      <c r="R943" s="40" t="str">
        <f>IFERROR(IF($J943="","",IF($L943="Elite",MAX(50,MIN(100,Config!$B$27*MAX(0,MIN(100,(1-IF($O943="",0,$O943))*100)) + Config!$B$28*MAX(0,MIN(100,(1-MIN(1,IF(Config!$B$30=0,1,$P943/Config!$B$30)))*100)) + Config!$B$29*MAX(0,MIN(100,MIN(1,IF($Q943="",0,$Q943)/Config!$B$23)*100)))),MIN(100,Config!$B$27*MAX(0,MIN(100,(1-IF($O943="",0,$O943))*100)) + Config!$B$28*MAX(0,MIN(100,(1-MIN(1,IF(Config!$B$30=0,1,$P943/Config!$B$30)))*100)) + Config!$B$29*MAX(0,MIN(100,MIN(1,IF($Q943="",0,$Q943)/Config!$B$23)*100))))),"")
</f>
        <v/>
      </c>
      <c r="S943" s="40" t="str">
        <f>IF(Bids!$D943="","",Bids!$D943)</f>
        <v/>
      </c>
      <c r="T943" s="40" t="str">
        <f>IF(Bids!$F943="","",Bids!$F943)</f>
        <v/>
      </c>
      <c r="U943" s="40" t="str">
        <f t="shared" si="3"/>
        <v/>
      </c>
      <c r="V943" s="40" t="str">
        <f>IF($U943="","",IF(Config!$B$17=Config!$B$16,IF($U943&gt;=Config!$B$17,100,0),MAX(0,MIN(100,($U943-Config!$B$16)/(Config!$B$17-Config!$B$16)*100))))</f>
        <v/>
      </c>
      <c r="W943" s="40">
        <f>IF($L943="Elite",Config!$B$21,0)</f>
        <v>0</v>
      </c>
      <c r="X943" s="40" t="str">
        <f>IFERROR(IF(OR($T943="",$G943=""),"",IF($T943&gt;$G943,
  MAX(0, 60-(($T943-$G943)*24/Config!$B$19)*60),
  MEDIAN(60, 100, 60+(($G943-$T943)*24/Config!$B$20)*40)
)),"")
</f>
        <v/>
      </c>
      <c r="Y943" s="40" t="str">
        <f>IF($J943="","",IFERROR(VLOOKUP($J943,Grinders!$A:$N,10,FALSE),""))</f>
        <v/>
      </c>
      <c r="Z943" s="40" t="str">
        <f>IF($J943="","",IFERROR(VLOOKUP($J943,Grinders!$A:$N,11,FALSE),""))</f>
        <v/>
      </c>
      <c r="AA943" s="40" t="str">
        <f>IF($J943="","",IFERROR(VLOOKUP($J943,Grinders!$A:$N,12,FALSE),""))</f>
        <v/>
      </c>
      <c r="AB943" s="40">
        <f>IFERROR(IF(OR($C943="",$J943=""),0,IF($D943&lt;&gt;"Open",0,IF(COUNTIFS(GrinderServices!$B:$B,$J943,GrinderServices!$C:$C,$E943,GrinderServices!$E:$E,"Y")=0,0,IF($U943&lt;Config!$B$16,0,IF(Config!$B$18=1,IF($N943&gt;=$M943,0,1),1))))),"")</f>
        <v>0</v>
      </c>
      <c r="AC943" s="40" t="str">
        <f>IFERROR(IF($AB943=0,"",((Config!$B$6*$V943 + Config!$B$7*$R943 + Config!$B$8*$W943 + Config!$B$9*$X943 + Config!$B$10*$Y943 + Config!$B$11*$Z943 - Config!$B$12*$AA943)/Config!$B$13)+$AH943+$AI943),"")</f>
        <v/>
      </c>
      <c r="AD943" s="40" t="str">
        <f t="shared" si="4"/>
        <v/>
      </c>
      <c r="AE943" s="40" t="str">
        <f>IFERROR(__xludf.DUMMYFUNCTION("IF($AC943="""","""",IF($AC943=IFERROR(MAX(FILTER($AC$6:$AC$1000,$C$6:$C$1000=$C943,$AB$6:$AB$1000=1)),),""WINNER"",""""))"),"")</f>
        <v/>
      </c>
      <c r="AF943" s="40" t="str">
        <f t="shared" si="5"/>
        <v/>
      </c>
      <c r="AG943" s="40" t="str">
        <f>IF($J943="","",COUNTIF(Assignments!$B:$B,$J943))</f>
        <v/>
      </c>
      <c r="AH943" s="40" t="str">
        <f>IF($J943="","",IF(AND($AG943=0,$N943&lt;$M943),Config!$B$43,0))</f>
        <v/>
      </c>
      <c r="AI943" s="40" t="str">
        <f>IF($J943="","",IF(AND($L943="Elite",$F943&gt;=Config!$B$41,$N943&lt;$M943),Config!$B$42,0))</f>
        <v/>
      </c>
      <c r="AJ943" s="22"/>
    </row>
    <row r="944" ht="15.75" customHeight="1">
      <c r="A944" s="40" t="str">
        <f t="shared" si="1"/>
        <v/>
      </c>
      <c r="B944" s="40" t="str">
        <f>IF(Bids!$A944="","",Bids!$A944)</f>
        <v/>
      </c>
      <c r="C944" s="40" t="str">
        <f>IF(Bids!$B944="","",Bids!$B944)</f>
        <v/>
      </c>
      <c r="D944" s="40" t="str">
        <f>IF($C944="","",IFERROR(VLOOKUP($C944,Orders!$A:$J,9,FALSE),""))</f>
        <v/>
      </c>
      <c r="E944" s="40" t="str">
        <f>IF($C944="","",IFERROR(VLOOKUP($C944,Orders!$A:$J,3,FALSE),""))</f>
        <v/>
      </c>
      <c r="F944" s="40" t="str">
        <f>IF($C944="","",IFERROR(VLOOKUP($C944,Orders!$A:$J,4,FALSE),""))</f>
        <v/>
      </c>
      <c r="G944" s="40" t="str">
        <f>IF($C944="","",IFERROR(VLOOKUP($C944,Orders!$A:$J,5,FALSE),""))</f>
        <v/>
      </c>
      <c r="H944" s="40" t="str">
        <f>IF($C944="","",IFERROR(VLOOKUP($C944,Orders!$A:$J,6,FALSE),""))</f>
        <v/>
      </c>
      <c r="I944" s="40" t="str">
        <f>IF($C944="","",IFERROR(VLOOKUP($C944,Orders!$A:$J,7,FALSE),""))</f>
        <v/>
      </c>
      <c r="J944" s="40" t="str">
        <f>IF(Bids!$C944="","",Bids!$C944)</f>
        <v/>
      </c>
      <c r="K944" s="40" t="str">
        <f>IF($J944="","",IFERROR(VLOOKUP($J944,Grinders!$A:$N,2,FALSE),""))</f>
        <v/>
      </c>
      <c r="L944" s="40" t="str">
        <f>IF($J944="","",IFERROR(VLOOKUP($J944,Grinders!$A:$N,3,FALSE),""))</f>
        <v/>
      </c>
      <c r="M944" s="40" t="str">
        <f>IF($J944="","",IFERROR(VLOOKUP($J944,Grinders!$A:$N,4,FALSE),""))</f>
        <v/>
      </c>
      <c r="N944" s="40" t="str">
        <f>IF($J944="","",IFERROR(VLOOKUP($J944,Grinders!$A:$N,5,FALSE),""))</f>
        <v/>
      </c>
      <c r="O944" s="40" t="str">
        <f t="shared" si="2"/>
        <v/>
      </c>
      <c r="P944" s="40" t="str">
        <f>IF($J944="","",IFERROR(VLOOKUP($J944,Grinders!$A:$N,6,FALSE),""))</f>
        <v/>
      </c>
      <c r="Q944" s="40" t="str">
        <f>IF($J944="","",IFERROR(VLOOKUP($J944,Grinders!$A:$N,8,FALSE),""))</f>
        <v/>
      </c>
      <c r="R944" s="40" t="str">
        <f>IFERROR(IF($J944="","",IF($L944="Elite",MAX(50,MIN(100,Config!$B$27*MAX(0,MIN(100,(1-IF($O944="",0,$O944))*100)) + Config!$B$28*MAX(0,MIN(100,(1-MIN(1,IF(Config!$B$30=0,1,$P944/Config!$B$30)))*100)) + Config!$B$29*MAX(0,MIN(100,MIN(1,IF($Q944="",0,$Q944)/Config!$B$23)*100)))),MIN(100,Config!$B$27*MAX(0,MIN(100,(1-IF($O944="",0,$O944))*100)) + Config!$B$28*MAX(0,MIN(100,(1-MIN(1,IF(Config!$B$30=0,1,$P944/Config!$B$30)))*100)) + Config!$B$29*MAX(0,MIN(100,MIN(1,IF($Q944="",0,$Q944)/Config!$B$23)*100))))),"")
</f>
        <v/>
      </c>
      <c r="S944" s="40" t="str">
        <f>IF(Bids!$D944="","",Bids!$D944)</f>
        <v/>
      </c>
      <c r="T944" s="40" t="str">
        <f>IF(Bids!$F944="","",Bids!$F944)</f>
        <v/>
      </c>
      <c r="U944" s="40" t="str">
        <f t="shared" si="3"/>
        <v/>
      </c>
      <c r="V944" s="40" t="str">
        <f>IF($U944="","",IF(Config!$B$17=Config!$B$16,IF($U944&gt;=Config!$B$17,100,0),MAX(0,MIN(100,($U944-Config!$B$16)/(Config!$B$17-Config!$B$16)*100))))</f>
        <v/>
      </c>
      <c r="W944" s="40">
        <f>IF($L944="Elite",Config!$B$21,0)</f>
        <v>0</v>
      </c>
      <c r="X944" s="40" t="str">
        <f>IFERROR(IF(OR($T944="",$G944=""),"",IF($T944&gt;$G944,
  MAX(0, 60-(($T944-$G944)*24/Config!$B$19)*60),
  MEDIAN(60, 100, 60+(($G944-$T944)*24/Config!$B$20)*40)
)),"")
</f>
        <v/>
      </c>
      <c r="Y944" s="40" t="str">
        <f>IF($J944="","",IFERROR(VLOOKUP($J944,Grinders!$A:$N,10,FALSE),""))</f>
        <v/>
      </c>
      <c r="Z944" s="40" t="str">
        <f>IF($J944="","",IFERROR(VLOOKUP($J944,Grinders!$A:$N,11,FALSE),""))</f>
        <v/>
      </c>
      <c r="AA944" s="40" t="str">
        <f>IF($J944="","",IFERROR(VLOOKUP($J944,Grinders!$A:$N,12,FALSE),""))</f>
        <v/>
      </c>
      <c r="AB944" s="40">
        <f>IFERROR(IF(OR($C944="",$J944=""),0,IF($D944&lt;&gt;"Open",0,IF(COUNTIFS(GrinderServices!$B:$B,$J944,GrinderServices!$C:$C,$E944,GrinderServices!$E:$E,"Y")=0,0,IF($U944&lt;Config!$B$16,0,IF(Config!$B$18=1,IF($N944&gt;=$M944,0,1),1))))),"")</f>
        <v>0</v>
      </c>
      <c r="AC944" s="40" t="str">
        <f>IFERROR(IF($AB944=0,"",((Config!$B$6*$V944 + Config!$B$7*$R944 + Config!$B$8*$W944 + Config!$B$9*$X944 + Config!$B$10*$Y944 + Config!$B$11*$Z944 - Config!$B$12*$AA944)/Config!$B$13)+$AH944+$AI944),"")</f>
        <v/>
      </c>
      <c r="AD944" s="40" t="str">
        <f t="shared" si="4"/>
        <v/>
      </c>
      <c r="AE944" s="40" t="str">
        <f>IFERROR(__xludf.DUMMYFUNCTION("IF($AC944="""","""",IF($AC944=IFERROR(MAX(FILTER($AC$6:$AC$1000,$C$6:$C$1000=$C944,$AB$6:$AB$1000=1)),),""WINNER"",""""))"),"")</f>
        <v/>
      </c>
      <c r="AF944" s="40" t="str">
        <f t="shared" si="5"/>
        <v/>
      </c>
      <c r="AG944" s="40" t="str">
        <f>IF($J944="","",COUNTIF(Assignments!$B:$B,$J944))</f>
        <v/>
      </c>
      <c r="AH944" s="40" t="str">
        <f>IF($J944="","",IF(AND($AG944=0,$N944&lt;$M944),Config!$B$43,0))</f>
        <v/>
      </c>
      <c r="AI944" s="40" t="str">
        <f>IF($J944="","",IF(AND($L944="Elite",$F944&gt;=Config!$B$41,$N944&lt;$M944),Config!$B$42,0))</f>
        <v/>
      </c>
      <c r="AJ944" s="22"/>
    </row>
    <row r="945" ht="15.75" customHeight="1">
      <c r="A945" s="40" t="str">
        <f t="shared" si="1"/>
        <v/>
      </c>
      <c r="B945" s="40" t="str">
        <f>IF(Bids!$A945="","",Bids!$A945)</f>
        <v/>
      </c>
      <c r="C945" s="40" t="str">
        <f>IF(Bids!$B945="","",Bids!$B945)</f>
        <v/>
      </c>
      <c r="D945" s="40" t="str">
        <f>IF($C945="","",IFERROR(VLOOKUP($C945,Orders!$A:$J,9,FALSE),""))</f>
        <v/>
      </c>
      <c r="E945" s="40" t="str">
        <f>IF($C945="","",IFERROR(VLOOKUP($C945,Orders!$A:$J,3,FALSE),""))</f>
        <v/>
      </c>
      <c r="F945" s="40" t="str">
        <f>IF($C945="","",IFERROR(VLOOKUP($C945,Orders!$A:$J,4,FALSE),""))</f>
        <v/>
      </c>
      <c r="G945" s="40" t="str">
        <f>IF($C945="","",IFERROR(VLOOKUP($C945,Orders!$A:$J,5,FALSE),""))</f>
        <v/>
      </c>
      <c r="H945" s="40" t="str">
        <f>IF($C945="","",IFERROR(VLOOKUP($C945,Orders!$A:$J,6,FALSE),""))</f>
        <v/>
      </c>
      <c r="I945" s="40" t="str">
        <f>IF($C945="","",IFERROR(VLOOKUP($C945,Orders!$A:$J,7,FALSE),""))</f>
        <v/>
      </c>
      <c r="J945" s="40" t="str">
        <f>IF(Bids!$C945="","",Bids!$C945)</f>
        <v/>
      </c>
      <c r="K945" s="40" t="str">
        <f>IF($J945="","",IFERROR(VLOOKUP($J945,Grinders!$A:$N,2,FALSE),""))</f>
        <v/>
      </c>
      <c r="L945" s="40" t="str">
        <f>IF($J945="","",IFERROR(VLOOKUP($J945,Grinders!$A:$N,3,FALSE),""))</f>
        <v/>
      </c>
      <c r="M945" s="40" t="str">
        <f>IF($J945="","",IFERROR(VLOOKUP($J945,Grinders!$A:$N,4,FALSE),""))</f>
        <v/>
      </c>
      <c r="N945" s="40" t="str">
        <f>IF($J945="","",IFERROR(VLOOKUP($J945,Grinders!$A:$N,5,FALSE),""))</f>
        <v/>
      </c>
      <c r="O945" s="40" t="str">
        <f t="shared" si="2"/>
        <v/>
      </c>
      <c r="P945" s="40" t="str">
        <f>IF($J945="","",IFERROR(VLOOKUP($J945,Grinders!$A:$N,6,FALSE),""))</f>
        <v/>
      </c>
      <c r="Q945" s="40" t="str">
        <f>IF($J945="","",IFERROR(VLOOKUP($J945,Grinders!$A:$N,8,FALSE),""))</f>
        <v/>
      </c>
      <c r="R945" s="40" t="str">
        <f>IFERROR(IF($J945="","",IF($L945="Elite",MAX(50,MIN(100,Config!$B$27*MAX(0,MIN(100,(1-IF($O945="",0,$O945))*100)) + Config!$B$28*MAX(0,MIN(100,(1-MIN(1,IF(Config!$B$30=0,1,$P945/Config!$B$30)))*100)) + Config!$B$29*MAX(0,MIN(100,MIN(1,IF($Q945="",0,$Q945)/Config!$B$23)*100)))),MIN(100,Config!$B$27*MAX(0,MIN(100,(1-IF($O945="",0,$O945))*100)) + Config!$B$28*MAX(0,MIN(100,(1-MIN(1,IF(Config!$B$30=0,1,$P945/Config!$B$30)))*100)) + Config!$B$29*MAX(0,MIN(100,MIN(1,IF($Q945="",0,$Q945)/Config!$B$23)*100))))),"")
</f>
        <v/>
      </c>
      <c r="S945" s="40" t="str">
        <f>IF(Bids!$D945="","",Bids!$D945)</f>
        <v/>
      </c>
      <c r="T945" s="40" t="str">
        <f>IF(Bids!$F945="","",Bids!$F945)</f>
        <v/>
      </c>
      <c r="U945" s="40" t="str">
        <f t="shared" si="3"/>
        <v/>
      </c>
      <c r="V945" s="40" t="str">
        <f>IF($U945="","",IF(Config!$B$17=Config!$B$16,IF($U945&gt;=Config!$B$17,100,0),MAX(0,MIN(100,($U945-Config!$B$16)/(Config!$B$17-Config!$B$16)*100))))</f>
        <v/>
      </c>
      <c r="W945" s="40">
        <f>IF($L945="Elite",Config!$B$21,0)</f>
        <v>0</v>
      </c>
      <c r="X945" s="40" t="str">
        <f>IFERROR(IF(OR($T945="",$G945=""),"",IF($T945&gt;$G945,
  MAX(0, 60-(($T945-$G945)*24/Config!$B$19)*60),
  MEDIAN(60, 100, 60+(($G945-$T945)*24/Config!$B$20)*40)
)),"")
</f>
        <v/>
      </c>
      <c r="Y945" s="40" t="str">
        <f>IF($J945="","",IFERROR(VLOOKUP($J945,Grinders!$A:$N,10,FALSE),""))</f>
        <v/>
      </c>
      <c r="Z945" s="40" t="str">
        <f>IF($J945="","",IFERROR(VLOOKUP($J945,Grinders!$A:$N,11,FALSE),""))</f>
        <v/>
      </c>
      <c r="AA945" s="40" t="str">
        <f>IF($J945="","",IFERROR(VLOOKUP($J945,Grinders!$A:$N,12,FALSE),""))</f>
        <v/>
      </c>
      <c r="AB945" s="40">
        <f>IFERROR(IF(OR($C945="",$J945=""),0,IF($D945&lt;&gt;"Open",0,IF(COUNTIFS(GrinderServices!$B:$B,$J945,GrinderServices!$C:$C,$E945,GrinderServices!$E:$E,"Y")=0,0,IF($U945&lt;Config!$B$16,0,IF(Config!$B$18=1,IF($N945&gt;=$M945,0,1),1))))),"")</f>
        <v>0</v>
      </c>
      <c r="AC945" s="40" t="str">
        <f>IFERROR(IF($AB945=0,"",((Config!$B$6*$V945 + Config!$B$7*$R945 + Config!$B$8*$W945 + Config!$B$9*$X945 + Config!$B$10*$Y945 + Config!$B$11*$Z945 - Config!$B$12*$AA945)/Config!$B$13)+$AH945+$AI945),"")</f>
        <v/>
      </c>
      <c r="AD945" s="40" t="str">
        <f t="shared" si="4"/>
        <v/>
      </c>
      <c r="AE945" s="40" t="str">
        <f>IFERROR(__xludf.DUMMYFUNCTION("IF($AC945="""","""",IF($AC945=IFERROR(MAX(FILTER($AC$6:$AC$1000,$C$6:$C$1000=$C945,$AB$6:$AB$1000=1)),),""WINNER"",""""))"),"")</f>
        <v/>
      </c>
      <c r="AF945" s="40" t="str">
        <f t="shared" si="5"/>
        <v/>
      </c>
      <c r="AG945" s="40" t="str">
        <f>IF($J945="","",COUNTIF(Assignments!$B:$B,$J945))</f>
        <v/>
      </c>
      <c r="AH945" s="40" t="str">
        <f>IF($J945="","",IF(AND($AG945=0,$N945&lt;$M945),Config!$B$43,0))</f>
        <v/>
      </c>
      <c r="AI945" s="40" t="str">
        <f>IF($J945="","",IF(AND($L945="Elite",$F945&gt;=Config!$B$41,$N945&lt;$M945),Config!$B$42,0))</f>
        <v/>
      </c>
      <c r="AJ945" s="22"/>
    </row>
    <row r="946" ht="15.75" customHeight="1">
      <c r="A946" s="40" t="str">
        <f t="shared" si="1"/>
        <v/>
      </c>
      <c r="B946" s="40" t="str">
        <f>IF(Bids!$A946="","",Bids!$A946)</f>
        <v/>
      </c>
      <c r="C946" s="40" t="str">
        <f>IF(Bids!$B946="","",Bids!$B946)</f>
        <v/>
      </c>
      <c r="D946" s="40" t="str">
        <f>IF($C946="","",IFERROR(VLOOKUP($C946,Orders!$A:$J,9,FALSE),""))</f>
        <v/>
      </c>
      <c r="E946" s="40" t="str">
        <f>IF($C946="","",IFERROR(VLOOKUP($C946,Orders!$A:$J,3,FALSE),""))</f>
        <v/>
      </c>
      <c r="F946" s="40" t="str">
        <f>IF($C946="","",IFERROR(VLOOKUP($C946,Orders!$A:$J,4,FALSE),""))</f>
        <v/>
      </c>
      <c r="G946" s="40" t="str">
        <f>IF($C946="","",IFERROR(VLOOKUP($C946,Orders!$A:$J,5,FALSE),""))</f>
        <v/>
      </c>
      <c r="H946" s="40" t="str">
        <f>IF($C946="","",IFERROR(VLOOKUP($C946,Orders!$A:$J,6,FALSE),""))</f>
        <v/>
      </c>
      <c r="I946" s="40" t="str">
        <f>IF($C946="","",IFERROR(VLOOKUP($C946,Orders!$A:$J,7,FALSE),""))</f>
        <v/>
      </c>
      <c r="J946" s="40" t="str">
        <f>IF(Bids!$C946="","",Bids!$C946)</f>
        <v/>
      </c>
      <c r="K946" s="40" t="str">
        <f>IF($J946="","",IFERROR(VLOOKUP($J946,Grinders!$A:$N,2,FALSE),""))</f>
        <v/>
      </c>
      <c r="L946" s="40" t="str">
        <f>IF($J946="","",IFERROR(VLOOKUP($J946,Grinders!$A:$N,3,FALSE),""))</f>
        <v/>
      </c>
      <c r="M946" s="40" t="str">
        <f>IF($J946="","",IFERROR(VLOOKUP($J946,Grinders!$A:$N,4,FALSE),""))</f>
        <v/>
      </c>
      <c r="N946" s="40" t="str">
        <f>IF($J946="","",IFERROR(VLOOKUP($J946,Grinders!$A:$N,5,FALSE),""))</f>
        <v/>
      </c>
      <c r="O946" s="40" t="str">
        <f t="shared" si="2"/>
        <v/>
      </c>
      <c r="P946" s="40" t="str">
        <f>IF($J946="","",IFERROR(VLOOKUP($J946,Grinders!$A:$N,6,FALSE),""))</f>
        <v/>
      </c>
      <c r="Q946" s="40" t="str">
        <f>IF($J946="","",IFERROR(VLOOKUP($J946,Grinders!$A:$N,8,FALSE),""))</f>
        <v/>
      </c>
      <c r="R946" s="40" t="str">
        <f>IFERROR(IF($J946="","",IF($L946="Elite",MAX(50,MIN(100,Config!$B$27*MAX(0,MIN(100,(1-IF($O946="",0,$O946))*100)) + Config!$B$28*MAX(0,MIN(100,(1-MIN(1,IF(Config!$B$30=0,1,$P946/Config!$B$30)))*100)) + Config!$B$29*MAX(0,MIN(100,MIN(1,IF($Q946="",0,$Q946)/Config!$B$23)*100)))),MIN(100,Config!$B$27*MAX(0,MIN(100,(1-IF($O946="",0,$O946))*100)) + Config!$B$28*MAX(0,MIN(100,(1-MIN(1,IF(Config!$B$30=0,1,$P946/Config!$B$30)))*100)) + Config!$B$29*MAX(0,MIN(100,MIN(1,IF($Q946="",0,$Q946)/Config!$B$23)*100))))),"")
</f>
        <v/>
      </c>
      <c r="S946" s="40" t="str">
        <f>IF(Bids!$D946="","",Bids!$D946)</f>
        <v/>
      </c>
      <c r="T946" s="40" t="str">
        <f>IF(Bids!$F946="","",Bids!$F946)</f>
        <v/>
      </c>
      <c r="U946" s="40" t="str">
        <f t="shared" si="3"/>
        <v/>
      </c>
      <c r="V946" s="40" t="str">
        <f>IF($U946="","",IF(Config!$B$17=Config!$B$16,IF($U946&gt;=Config!$B$17,100,0),MAX(0,MIN(100,($U946-Config!$B$16)/(Config!$B$17-Config!$B$16)*100))))</f>
        <v/>
      </c>
      <c r="W946" s="40">
        <f>IF($L946="Elite",Config!$B$21,0)</f>
        <v>0</v>
      </c>
      <c r="X946" s="40" t="str">
        <f>IFERROR(IF(OR($T946="",$G946=""),"",IF($T946&gt;$G946,
  MAX(0, 60-(($T946-$G946)*24/Config!$B$19)*60),
  MEDIAN(60, 100, 60+(($G946-$T946)*24/Config!$B$20)*40)
)),"")
</f>
        <v/>
      </c>
      <c r="Y946" s="40" t="str">
        <f>IF($J946="","",IFERROR(VLOOKUP($J946,Grinders!$A:$N,10,FALSE),""))</f>
        <v/>
      </c>
      <c r="Z946" s="40" t="str">
        <f>IF($J946="","",IFERROR(VLOOKUP($J946,Grinders!$A:$N,11,FALSE),""))</f>
        <v/>
      </c>
      <c r="AA946" s="40" t="str">
        <f>IF($J946="","",IFERROR(VLOOKUP($J946,Grinders!$A:$N,12,FALSE),""))</f>
        <v/>
      </c>
      <c r="AB946" s="40">
        <f>IFERROR(IF(OR($C946="",$J946=""),0,IF($D946&lt;&gt;"Open",0,IF(COUNTIFS(GrinderServices!$B:$B,$J946,GrinderServices!$C:$C,$E946,GrinderServices!$E:$E,"Y")=0,0,IF($U946&lt;Config!$B$16,0,IF(Config!$B$18=1,IF($N946&gt;=$M946,0,1),1))))),"")</f>
        <v>0</v>
      </c>
      <c r="AC946" s="40" t="str">
        <f>IFERROR(IF($AB946=0,"",((Config!$B$6*$V946 + Config!$B$7*$R946 + Config!$B$8*$W946 + Config!$B$9*$X946 + Config!$B$10*$Y946 + Config!$B$11*$Z946 - Config!$B$12*$AA946)/Config!$B$13)+$AH946+$AI946),"")</f>
        <v/>
      </c>
      <c r="AD946" s="40" t="str">
        <f t="shared" si="4"/>
        <v/>
      </c>
      <c r="AE946" s="40" t="str">
        <f>IFERROR(__xludf.DUMMYFUNCTION("IF($AC946="""","""",IF($AC946=IFERROR(MAX(FILTER($AC$6:$AC$1000,$C$6:$C$1000=$C946,$AB$6:$AB$1000=1)),),""WINNER"",""""))"),"")</f>
        <v/>
      </c>
      <c r="AF946" s="40" t="str">
        <f t="shared" si="5"/>
        <v/>
      </c>
      <c r="AG946" s="40" t="str">
        <f>IF($J946="","",COUNTIF(Assignments!$B:$B,$J946))</f>
        <v/>
      </c>
      <c r="AH946" s="40" t="str">
        <f>IF($J946="","",IF(AND($AG946=0,$N946&lt;$M946),Config!$B$43,0))</f>
        <v/>
      </c>
      <c r="AI946" s="40" t="str">
        <f>IF($J946="","",IF(AND($L946="Elite",$F946&gt;=Config!$B$41,$N946&lt;$M946),Config!$B$42,0))</f>
        <v/>
      </c>
      <c r="AJ946" s="22"/>
    </row>
    <row r="947" ht="15.75" customHeight="1">
      <c r="A947" s="40" t="str">
        <f t="shared" si="1"/>
        <v/>
      </c>
      <c r="B947" s="40" t="str">
        <f>IF(Bids!$A947="","",Bids!$A947)</f>
        <v/>
      </c>
      <c r="C947" s="40" t="str">
        <f>IF(Bids!$B947="","",Bids!$B947)</f>
        <v/>
      </c>
      <c r="D947" s="40" t="str">
        <f>IF($C947="","",IFERROR(VLOOKUP($C947,Orders!$A:$J,9,FALSE),""))</f>
        <v/>
      </c>
      <c r="E947" s="40" t="str">
        <f>IF($C947="","",IFERROR(VLOOKUP($C947,Orders!$A:$J,3,FALSE),""))</f>
        <v/>
      </c>
      <c r="F947" s="40" t="str">
        <f>IF($C947="","",IFERROR(VLOOKUP($C947,Orders!$A:$J,4,FALSE),""))</f>
        <v/>
      </c>
      <c r="G947" s="40" t="str">
        <f>IF($C947="","",IFERROR(VLOOKUP($C947,Orders!$A:$J,5,FALSE),""))</f>
        <v/>
      </c>
      <c r="H947" s="40" t="str">
        <f>IF($C947="","",IFERROR(VLOOKUP($C947,Orders!$A:$J,6,FALSE),""))</f>
        <v/>
      </c>
      <c r="I947" s="40" t="str">
        <f>IF($C947="","",IFERROR(VLOOKUP($C947,Orders!$A:$J,7,FALSE),""))</f>
        <v/>
      </c>
      <c r="J947" s="40" t="str">
        <f>IF(Bids!$C947="","",Bids!$C947)</f>
        <v/>
      </c>
      <c r="K947" s="40" t="str">
        <f>IF($J947="","",IFERROR(VLOOKUP($J947,Grinders!$A:$N,2,FALSE),""))</f>
        <v/>
      </c>
      <c r="L947" s="40" t="str">
        <f>IF($J947="","",IFERROR(VLOOKUP($J947,Grinders!$A:$N,3,FALSE),""))</f>
        <v/>
      </c>
      <c r="M947" s="40" t="str">
        <f>IF($J947="","",IFERROR(VLOOKUP($J947,Grinders!$A:$N,4,FALSE),""))</f>
        <v/>
      </c>
      <c r="N947" s="40" t="str">
        <f>IF($J947="","",IFERROR(VLOOKUP($J947,Grinders!$A:$N,5,FALSE),""))</f>
        <v/>
      </c>
      <c r="O947" s="40" t="str">
        <f t="shared" si="2"/>
        <v/>
      </c>
      <c r="P947" s="40" t="str">
        <f>IF($J947="","",IFERROR(VLOOKUP($J947,Grinders!$A:$N,6,FALSE),""))</f>
        <v/>
      </c>
      <c r="Q947" s="40" t="str">
        <f>IF($J947="","",IFERROR(VLOOKUP($J947,Grinders!$A:$N,8,FALSE),""))</f>
        <v/>
      </c>
      <c r="R947" s="40" t="str">
        <f>IFERROR(IF($J947="","",IF($L947="Elite",MAX(50,MIN(100,Config!$B$27*MAX(0,MIN(100,(1-IF($O947="",0,$O947))*100)) + Config!$B$28*MAX(0,MIN(100,(1-MIN(1,IF(Config!$B$30=0,1,$P947/Config!$B$30)))*100)) + Config!$B$29*MAX(0,MIN(100,MIN(1,IF($Q947="",0,$Q947)/Config!$B$23)*100)))),MIN(100,Config!$B$27*MAX(0,MIN(100,(1-IF($O947="",0,$O947))*100)) + Config!$B$28*MAX(0,MIN(100,(1-MIN(1,IF(Config!$B$30=0,1,$P947/Config!$B$30)))*100)) + Config!$B$29*MAX(0,MIN(100,MIN(1,IF($Q947="",0,$Q947)/Config!$B$23)*100))))),"")
</f>
        <v/>
      </c>
      <c r="S947" s="40" t="str">
        <f>IF(Bids!$D947="","",Bids!$D947)</f>
        <v/>
      </c>
      <c r="T947" s="40" t="str">
        <f>IF(Bids!$F947="","",Bids!$F947)</f>
        <v/>
      </c>
      <c r="U947" s="40" t="str">
        <f t="shared" si="3"/>
        <v/>
      </c>
      <c r="V947" s="40" t="str">
        <f>IF($U947="","",IF(Config!$B$17=Config!$B$16,IF($U947&gt;=Config!$B$17,100,0),MAX(0,MIN(100,($U947-Config!$B$16)/(Config!$B$17-Config!$B$16)*100))))</f>
        <v/>
      </c>
      <c r="W947" s="40">
        <f>IF($L947="Elite",Config!$B$21,0)</f>
        <v>0</v>
      </c>
      <c r="X947" s="40" t="str">
        <f>IFERROR(IF(OR($T947="",$G947=""),"",IF($T947&gt;$G947,
  MAX(0, 60-(($T947-$G947)*24/Config!$B$19)*60),
  MEDIAN(60, 100, 60+(($G947-$T947)*24/Config!$B$20)*40)
)),"")
</f>
        <v/>
      </c>
      <c r="Y947" s="40" t="str">
        <f>IF($J947="","",IFERROR(VLOOKUP($J947,Grinders!$A:$N,10,FALSE),""))</f>
        <v/>
      </c>
      <c r="Z947" s="40" t="str">
        <f>IF($J947="","",IFERROR(VLOOKUP($J947,Grinders!$A:$N,11,FALSE),""))</f>
        <v/>
      </c>
      <c r="AA947" s="40" t="str">
        <f>IF($J947="","",IFERROR(VLOOKUP($J947,Grinders!$A:$N,12,FALSE),""))</f>
        <v/>
      </c>
      <c r="AB947" s="40">
        <f>IFERROR(IF(OR($C947="",$J947=""),0,IF($D947&lt;&gt;"Open",0,IF(COUNTIFS(GrinderServices!$B:$B,$J947,GrinderServices!$C:$C,$E947,GrinderServices!$E:$E,"Y")=0,0,IF($U947&lt;Config!$B$16,0,IF(Config!$B$18=1,IF($N947&gt;=$M947,0,1),1))))),"")</f>
        <v>0</v>
      </c>
      <c r="AC947" s="40" t="str">
        <f>IFERROR(IF($AB947=0,"",((Config!$B$6*$V947 + Config!$B$7*$R947 + Config!$B$8*$W947 + Config!$B$9*$X947 + Config!$B$10*$Y947 + Config!$B$11*$Z947 - Config!$B$12*$AA947)/Config!$B$13)+$AH947+$AI947),"")</f>
        <v/>
      </c>
      <c r="AD947" s="40" t="str">
        <f t="shared" si="4"/>
        <v/>
      </c>
      <c r="AE947" s="40" t="str">
        <f>IFERROR(__xludf.DUMMYFUNCTION("IF($AC947="""","""",IF($AC947=IFERROR(MAX(FILTER($AC$6:$AC$1000,$C$6:$C$1000=$C947,$AB$6:$AB$1000=1)),),""WINNER"",""""))"),"")</f>
        <v/>
      </c>
      <c r="AF947" s="40" t="str">
        <f t="shared" si="5"/>
        <v/>
      </c>
      <c r="AG947" s="40" t="str">
        <f>IF($J947="","",COUNTIF(Assignments!$B:$B,$J947))</f>
        <v/>
      </c>
      <c r="AH947" s="40" t="str">
        <f>IF($J947="","",IF(AND($AG947=0,$N947&lt;$M947),Config!$B$43,0))</f>
        <v/>
      </c>
      <c r="AI947" s="40" t="str">
        <f>IF($J947="","",IF(AND($L947="Elite",$F947&gt;=Config!$B$41,$N947&lt;$M947),Config!$B$42,0))</f>
        <v/>
      </c>
      <c r="AJ947" s="22"/>
    </row>
    <row r="948" ht="15.75" customHeight="1">
      <c r="A948" s="40" t="str">
        <f t="shared" si="1"/>
        <v/>
      </c>
      <c r="B948" s="40" t="str">
        <f>IF(Bids!$A948="","",Bids!$A948)</f>
        <v/>
      </c>
      <c r="C948" s="40" t="str">
        <f>IF(Bids!$B948="","",Bids!$B948)</f>
        <v/>
      </c>
      <c r="D948" s="40" t="str">
        <f>IF($C948="","",IFERROR(VLOOKUP($C948,Orders!$A:$J,9,FALSE),""))</f>
        <v/>
      </c>
      <c r="E948" s="40" t="str">
        <f>IF($C948="","",IFERROR(VLOOKUP($C948,Orders!$A:$J,3,FALSE),""))</f>
        <v/>
      </c>
      <c r="F948" s="40" t="str">
        <f>IF($C948="","",IFERROR(VLOOKUP($C948,Orders!$A:$J,4,FALSE),""))</f>
        <v/>
      </c>
      <c r="G948" s="40" t="str">
        <f>IF($C948="","",IFERROR(VLOOKUP($C948,Orders!$A:$J,5,FALSE),""))</f>
        <v/>
      </c>
      <c r="H948" s="40" t="str">
        <f>IF($C948="","",IFERROR(VLOOKUP($C948,Orders!$A:$J,6,FALSE),""))</f>
        <v/>
      </c>
      <c r="I948" s="40" t="str">
        <f>IF($C948="","",IFERROR(VLOOKUP($C948,Orders!$A:$J,7,FALSE),""))</f>
        <v/>
      </c>
      <c r="J948" s="40" t="str">
        <f>IF(Bids!$C948="","",Bids!$C948)</f>
        <v/>
      </c>
      <c r="K948" s="40" t="str">
        <f>IF($J948="","",IFERROR(VLOOKUP($J948,Grinders!$A:$N,2,FALSE),""))</f>
        <v/>
      </c>
      <c r="L948" s="40" t="str">
        <f>IF($J948="","",IFERROR(VLOOKUP($J948,Grinders!$A:$N,3,FALSE),""))</f>
        <v/>
      </c>
      <c r="M948" s="40" t="str">
        <f>IF($J948="","",IFERROR(VLOOKUP($J948,Grinders!$A:$N,4,FALSE),""))</f>
        <v/>
      </c>
      <c r="N948" s="40" t="str">
        <f>IF($J948="","",IFERROR(VLOOKUP($J948,Grinders!$A:$N,5,FALSE),""))</f>
        <v/>
      </c>
      <c r="O948" s="40" t="str">
        <f t="shared" si="2"/>
        <v/>
      </c>
      <c r="P948" s="40" t="str">
        <f>IF($J948="","",IFERROR(VLOOKUP($J948,Grinders!$A:$N,6,FALSE),""))</f>
        <v/>
      </c>
      <c r="Q948" s="40" t="str">
        <f>IF($J948="","",IFERROR(VLOOKUP($J948,Grinders!$A:$N,8,FALSE),""))</f>
        <v/>
      </c>
      <c r="R948" s="40" t="str">
        <f>IFERROR(IF($J948="","",IF($L948="Elite",MAX(50,MIN(100,Config!$B$27*MAX(0,MIN(100,(1-IF($O948="",0,$O948))*100)) + Config!$B$28*MAX(0,MIN(100,(1-MIN(1,IF(Config!$B$30=0,1,$P948/Config!$B$30)))*100)) + Config!$B$29*MAX(0,MIN(100,MIN(1,IF($Q948="",0,$Q948)/Config!$B$23)*100)))),MIN(100,Config!$B$27*MAX(0,MIN(100,(1-IF($O948="",0,$O948))*100)) + Config!$B$28*MAX(0,MIN(100,(1-MIN(1,IF(Config!$B$30=0,1,$P948/Config!$B$30)))*100)) + Config!$B$29*MAX(0,MIN(100,MIN(1,IF($Q948="",0,$Q948)/Config!$B$23)*100))))),"")
</f>
        <v/>
      </c>
      <c r="S948" s="40" t="str">
        <f>IF(Bids!$D948="","",Bids!$D948)</f>
        <v/>
      </c>
      <c r="T948" s="40" t="str">
        <f>IF(Bids!$F948="","",Bids!$F948)</f>
        <v/>
      </c>
      <c r="U948" s="40" t="str">
        <f t="shared" si="3"/>
        <v/>
      </c>
      <c r="V948" s="40" t="str">
        <f>IF($U948="","",IF(Config!$B$17=Config!$B$16,IF($U948&gt;=Config!$B$17,100,0),MAX(0,MIN(100,($U948-Config!$B$16)/(Config!$B$17-Config!$B$16)*100))))</f>
        <v/>
      </c>
      <c r="W948" s="40">
        <f>IF($L948="Elite",Config!$B$21,0)</f>
        <v>0</v>
      </c>
      <c r="X948" s="40" t="str">
        <f>IFERROR(IF(OR($T948="",$G948=""),"",IF($T948&gt;$G948,
  MAX(0, 60-(($T948-$G948)*24/Config!$B$19)*60),
  MEDIAN(60, 100, 60+(($G948-$T948)*24/Config!$B$20)*40)
)),"")
</f>
        <v/>
      </c>
      <c r="Y948" s="40" t="str">
        <f>IF($J948="","",IFERROR(VLOOKUP($J948,Grinders!$A:$N,10,FALSE),""))</f>
        <v/>
      </c>
      <c r="Z948" s="40" t="str">
        <f>IF($J948="","",IFERROR(VLOOKUP($J948,Grinders!$A:$N,11,FALSE),""))</f>
        <v/>
      </c>
      <c r="AA948" s="40" t="str">
        <f>IF($J948="","",IFERROR(VLOOKUP($J948,Grinders!$A:$N,12,FALSE),""))</f>
        <v/>
      </c>
      <c r="AB948" s="40">
        <f>IFERROR(IF(OR($C948="",$J948=""),0,IF($D948&lt;&gt;"Open",0,IF(COUNTIFS(GrinderServices!$B:$B,$J948,GrinderServices!$C:$C,$E948,GrinderServices!$E:$E,"Y")=0,0,IF($U948&lt;Config!$B$16,0,IF(Config!$B$18=1,IF($N948&gt;=$M948,0,1),1))))),"")</f>
        <v>0</v>
      </c>
      <c r="AC948" s="40" t="str">
        <f>IFERROR(IF($AB948=0,"",((Config!$B$6*$V948 + Config!$B$7*$R948 + Config!$B$8*$W948 + Config!$B$9*$X948 + Config!$B$10*$Y948 + Config!$B$11*$Z948 - Config!$B$12*$AA948)/Config!$B$13)+$AH948+$AI948),"")</f>
        <v/>
      </c>
      <c r="AD948" s="40" t="str">
        <f t="shared" si="4"/>
        <v/>
      </c>
      <c r="AE948" s="40" t="str">
        <f>IFERROR(__xludf.DUMMYFUNCTION("IF($AC948="""","""",IF($AC948=IFERROR(MAX(FILTER($AC$6:$AC$1000,$C$6:$C$1000=$C948,$AB$6:$AB$1000=1)),),""WINNER"",""""))"),"")</f>
        <v/>
      </c>
      <c r="AF948" s="40" t="str">
        <f t="shared" si="5"/>
        <v/>
      </c>
      <c r="AG948" s="40" t="str">
        <f>IF($J948="","",COUNTIF(Assignments!$B:$B,$J948))</f>
        <v/>
      </c>
      <c r="AH948" s="40" t="str">
        <f>IF($J948="","",IF(AND($AG948=0,$N948&lt;$M948),Config!$B$43,0))</f>
        <v/>
      </c>
      <c r="AI948" s="40" t="str">
        <f>IF($J948="","",IF(AND($L948="Elite",$F948&gt;=Config!$B$41,$N948&lt;$M948),Config!$B$42,0))</f>
        <v/>
      </c>
      <c r="AJ948" s="22"/>
    </row>
    <row r="949" ht="15.75" customHeight="1">
      <c r="A949" s="40" t="str">
        <f t="shared" si="1"/>
        <v/>
      </c>
      <c r="B949" s="40" t="str">
        <f>IF(Bids!$A949="","",Bids!$A949)</f>
        <v/>
      </c>
      <c r="C949" s="40" t="str">
        <f>IF(Bids!$B949="","",Bids!$B949)</f>
        <v/>
      </c>
      <c r="D949" s="40" t="str">
        <f>IF($C949="","",IFERROR(VLOOKUP($C949,Orders!$A:$J,9,FALSE),""))</f>
        <v/>
      </c>
      <c r="E949" s="40" t="str">
        <f>IF($C949="","",IFERROR(VLOOKUP($C949,Orders!$A:$J,3,FALSE),""))</f>
        <v/>
      </c>
      <c r="F949" s="40" t="str">
        <f>IF($C949="","",IFERROR(VLOOKUP($C949,Orders!$A:$J,4,FALSE),""))</f>
        <v/>
      </c>
      <c r="G949" s="40" t="str">
        <f>IF($C949="","",IFERROR(VLOOKUP($C949,Orders!$A:$J,5,FALSE),""))</f>
        <v/>
      </c>
      <c r="H949" s="40" t="str">
        <f>IF($C949="","",IFERROR(VLOOKUP($C949,Orders!$A:$J,6,FALSE),""))</f>
        <v/>
      </c>
      <c r="I949" s="40" t="str">
        <f>IF($C949="","",IFERROR(VLOOKUP($C949,Orders!$A:$J,7,FALSE),""))</f>
        <v/>
      </c>
      <c r="J949" s="40" t="str">
        <f>IF(Bids!$C949="","",Bids!$C949)</f>
        <v/>
      </c>
      <c r="K949" s="40" t="str">
        <f>IF($J949="","",IFERROR(VLOOKUP($J949,Grinders!$A:$N,2,FALSE),""))</f>
        <v/>
      </c>
      <c r="L949" s="40" t="str">
        <f>IF($J949="","",IFERROR(VLOOKUP($J949,Grinders!$A:$N,3,FALSE),""))</f>
        <v/>
      </c>
      <c r="M949" s="40" t="str">
        <f>IF($J949="","",IFERROR(VLOOKUP($J949,Grinders!$A:$N,4,FALSE),""))</f>
        <v/>
      </c>
      <c r="N949" s="40" t="str">
        <f>IF($J949="","",IFERROR(VLOOKUP($J949,Grinders!$A:$N,5,FALSE),""))</f>
        <v/>
      </c>
      <c r="O949" s="40" t="str">
        <f t="shared" si="2"/>
        <v/>
      </c>
      <c r="P949" s="40" t="str">
        <f>IF($J949="","",IFERROR(VLOOKUP($J949,Grinders!$A:$N,6,FALSE),""))</f>
        <v/>
      </c>
      <c r="Q949" s="40" t="str">
        <f>IF($J949="","",IFERROR(VLOOKUP($J949,Grinders!$A:$N,8,FALSE),""))</f>
        <v/>
      </c>
      <c r="R949" s="40" t="str">
        <f>IFERROR(IF($J949="","",IF($L949="Elite",MAX(50,MIN(100,Config!$B$27*MAX(0,MIN(100,(1-IF($O949="",0,$O949))*100)) + Config!$B$28*MAX(0,MIN(100,(1-MIN(1,IF(Config!$B$30=0,1,$P949/Config!$B$30)))*100)) + Config!$B$29*MAX(0,MIN(100,MIN(1,IF($Q949="",0,$Q949)/Config!$B$23)*100)))),MIN(100,Config!$B$27*MAX(0,MIN(100,(1-IF($O949="",0,$O949))*100)) + Config!$B$28*MAX(0,MIN(100,(1-MIN(1,IF(Config!$B$30=0,1,$P949/Config!$B$30)))*100)) + Config!$B$29*MAX(0,MIN(100,MIN(1,IF($Q949="",0,$Q949)/Config!$B$23)*100))))),"")
</f>
        <v/>
      </c>
      <c r="S949" s="40" t="str">
        <f>IF(Bids!$D949="","",Bids!$D949)</f>
        <v/>
      </c>
      <c r="T949" s="40" t="str">
        <f>IF(Bids!$F949="","",Bids!$F949)</f>
        <v/>
      </c>
      <c r="U949" s="40" t="str">
        <f t="shared" si="3"/>
        <v/>
      </c>
      <c r="V949" s="40" t="str">
        <f>IF($U949="","",IF(Config!$B$17=Config!$B$16,IF($U949&gt;=Config!$B$17,100,0),MAX(0,MIN(100,($U949-Config!$B$16)/(Config!$B$17-Config!$B$16)*100))))</f>
        <v/>
      </c>
      <c r="W949" s="40">
        <f>IF($L949="Elite",Config!$B$21,0)</f>
        <v>0</v>
      </c>
      <c r="X949" s="40" t="str">
        <f>IFERROR(IF(OR($T949="",$G949=""),"",IF($T949&gt;$G949,
  MAX(0, 60-(($T949-$G949)*24/Config!$B$19)*60),
  MEDIAN(60, 100, 60+(($G949-$T949)*24/Config!$B$20)*40)
)),"")
</f>
        <v/>
      </c>
      <c r="Y949" s="40" t="str">
        <f>IF($J949="","",IFERROR(VLOOKUP($J949,Grinders!$A:$N,10,FALSE),""))</f>
        <v/>
      </c>
      <c r="Z949" s="40" t="str">
        <f>IF($J949="","",IFERROR(VLOOKUP($J949,Grinders!$A:$N,11,FALSE),""))</f>
        <v/>
      </c>
      <c r="AA949" s="40" t="str">
        <f>IF($J949="","",IFERROR(VLOOKUP($J949,Grinders!$A:$N,12,FALSE),""))</f>
        <v/>
      </c>
      <c r="AB949" s="40">
        <f>IFERROR(IF(OR($C949="",$J949=""),0,IF($D949&lt;&gt;"Open",0,IF(COUNTIFS(GrinderServices!$B:$B,$J949,GrinderServices!$C:$C,$E949,GrinderServices!$E:$E,"Y")=0,0,IF($U949&lt;Config!$B$16,0,IF(Config!$B$18=1,IF($N949&gt;=$M949,0,1),1))))),"")</f>
        <v>0</v>
      </c>
      <c r="AC949" s="40" t="str">
        <f>IFERROR(IF($AB949=0,"",((Config!$B$6*$V949 + Config!$B$7*$R949 + Config!$B$8*$W949 + Config!$B$9*$X949 + Config!$B$10*$Y949 + Config!$B$11*$Z949 - Config!$B$12*$AA949)/Config!$B$13)+$AH949+$AI949),"")</f>
        <v/>
      </c>
      <c r="AD949" s="40" t="str">
        <f t="shared" si="4"/>
        <v/>
      </c>
      <c r="AE949" s="40" t="str">
        <f>IFERROR(__xludf.DUMMYFUNCTION("IF($AC949="""","""",IF($AC949=IFERROR(MAX(FILTER($AC$6:$AC$1000,$C$6:$C$1000=$C949,$AB$6:$AB$1000=1)),),""WINNER"",""""))"),"")</f>
        <v/>
      </c>
      <c r="AF949" s="40" t="str">
        <f t="shared" si="5"/>
        <v/>
      </c>
      <c r="AG949" s="40" t="str">
        <f>IF($J949="","",COUNTIF(Assignments!$B:$B,$J949))</f>
        <v/>
      </c>
      <c r="AH949" s="40" t="str">
        <f>IF($J949="","",IF(AND($AG949=0,$N949&lt;$M949),Config!$B$43,0))</f>
        <v/>
      </c>
      <c r="AI949" s="40" t="str">
        <f>IF($J949="","",IF(AND($L949="Elite",$F949&gt;=Config!$B$41,$N949&lt;$M949),Config!$B$42,0))</f>
        <v/>
      </c>
      <c r="AJ949" s="22"/>
    </row>
    <row r="950" ht="15.75" customHeight="1">
      <c r="A950" s="40" t="str">
        <f t="shared" si="1"/>
        <v/>
      </c>
      <c r="B950" s="40" t="str">
        <f>IF(Bids!$A950="","",Bids!$A950)</f>
        <v/>
      </c>
      <c r="C950" s="40" t="str">
        <f>IF(Bids!$B950="","",Bids!$B950)</f>
        <v/>
      </c>
      <c r="D950" s="40" t="str">
        <f>IF($C950="","",IFERROR(VLOOKUP($C950,Orders!$A:$J,9,FALSE),""))</f>
        <v/>
      </c>
      <c r="E950" s="40" t="str">
        <f>IF($C950="","",IFERROR(VLOOKUP($C950,Orders!$A:$J,3,FALSE),""))</f>
        <v/>
      </c>
      <c r="F950" s="40" t="str">
        <f>IF($C950="","",IFERROR(VLOOKUP($C950,Orders!$A:$J,4,FALSE),""))</f>
        <v/>
      </c>
      <c r="G950" s="40" t="str">
        <f>IF($C950="","",IFERROR(VLOOKUP($C950,Orders!$A:$J,5,FALSE),""))</f>
        <v/>
      </c>
      <c r="H950" s="40" t="str">
        <f>IF($C950="","",IFERROR(VLOOKUP($C950,Orders!$A:$J,6,FALSE),""))</f>
        <v/>
      </c>
      <c r="I950" s="40" t="str">
        <f>IF($C950="","",IFERROR(VLOOKUP($C950,Orders!$A:$J,7,FALSE),""))</f>
        <v/>
      </c>
      <c r="J950" s="40" t="str">
        <f>IF(Bids!$C950="","",Bids!$C950)</f>
        <v/>
      </c>
      <c r="K950" s="40" t="str">
        <f>IF($J950="","",IFERROR(VLOOKUP($J950,Grinders!$A:$N,2,FALSE),""))</f>
        <v/>
      </c>
      <c r="L950" s="40" t="str">
        <f>IF($J950="","",IFERROR(VLOOKUP($J950,Grinders!$A:$N,3,FALSE),""))</f>
        <v/>
      </c>
      <c r="M950" s="40" t="str">
        <f>IF($J950="","",IFERROR(VLOOKUP($J950,Grinders!$A:$N,4,FALSE),""))</f>
        <v/>
      </c>
      <c r="N950" s="40" t="str">
        <f>IF($J950="","",IFERROR(VLOOKUP($J950,Grinders!$A:$N,5,FALSE),""))</f>
        <v/>
      </c>
      <c r="O950" s="40" t="str">
        <f t="shared" si="2"/>
        <v/>
      </c>
      <c r="P950" s="40" t="str">
        <f>IF($J950="","",IFERROR(VLOOKUP($J950,Grinders!$A:$N,6,FALSE),""))</f>
        <v/>
      </c>
      <c r="Q950" s="40" t="str">
        <f>IF($J950="","",IFERROR(VLOOKUP($J950,Grinders!$A:$N,8,FALSE),""))</f>
        <v/>
      </c>
      <c r="R950" s="40" t="str">
        <f>IFERROR(IF($J950="","",IF($L950="Elite",MAX(50,MIN(100,Config!$B$27*MAX(0,MIN(100,(1-IF($O950="",0,$O950))*100)) + Config!$B$28*MAX(0,MIN(100,(1-MIN(1,IF(Config!$B$30=0,1,$P950/Config!$B$30)))*100)) + Config!$B$29*MAX(0,MIN(100,MIN(1,IF($Q950="",0,$Q950)/Config!$B$23)*100)))),MIN(100,Config!$B$27*MAX(0,MIN(100,(1-IF($O950="",0,$O950))*100)) + Config!$B$28*MAX(0,MIN(100,(1-MIN(1,IF(Config!$B$30=0,1,$P950/Config!$B$30)))*100)) + Config!$B$29*MAX(0,MIN(100,MIN(1,IF($Q950="",0,$Q950)/Config!$B$23)*100))))),"")
</f>
        <v/>
      </c>
      <c r="S950" s="40" t="str">
        <f>IF(Bids!$D950="","",Bids!$D950)</f>
        <v/>
      </c>
      <c r="T950" s="40" t="str">
        <f>IF(Bids!$F950="","",Bids!$F950)</f>
        <v/>
      </c>
      <c r="U950" s="40" t="str">
        <f t="shared" si="3"/>
        <v/>
      </c>
      <c r="V950" s="40" t="str">
        <f>IF($U950="","",IF(Config!$B$17=Config!$B$16,IF($U950&gt;=Config!$B$17,100,0),MAX(0,MIN(100,($U950-Config!$B$16)/(Config!$B$17-Config!$B$16)*100))))</f>
        <v/>
      </c>
      <c r="W950" s="40">
        <f>IF($L950="Elite",Config!$B$21,0)</f>
        <v>0</v>
      </c>
      <c r="X950" s="40" t="str">
        <f>IFERROR(IF(OR($T950="",$G950=""),"",IF($T950&gt;$G950,
  MAX(0, 60-(($T950-$G950)*24/Config!$B$19)*60),
  MEDIAN(60, 100, 60+(($G950-$T950)*24/Config!$B$20)*40)
)),"")
</f>
        <v/>
      </c>
      <c r="Y950" s="40" t="str">
        <f>IF($J950="","",IFERROR(VLOOKUP($J950,Grinders!$A:$N,10,FALSE),""))</f>
        <v/>
      </c>
      <c r="Z950" s="40" t="str">
        <f>IF($J950="","",IFERROR(VLOOKUP($J950,Grinders!$A:$N,11,FALSE),""))</f>
        <v/>
      </c>
      <c r="AA950" s="40" t="str">
        <f>IF($J950="","",IFERROR(VLOOKUP($J950,Grinders!$A:$N,12,FALSE),""))</f>
        <v/>
      </c>
      <c r="AB950" s="40">
        <f>IFERROR(IF(OR($C950="",$J950=""),0,IF($D950&lt;&gt;"Open",0,IF(COUNTIFS(GrinderServices!$B:$B,$J950,GrinderServices!$C:$C,$E950,GrinderServices!$E:$E,"Y")=0,0,IF($U950&lt;Config!$B$16,0,IF(Config!$B$18=1,IF($N950&gt;=$M950,0,1),1))))),"")</f>
        <v>0</v>
      </c>
      <c r="AC950" s="40" t="str">
        <f>IFERROR(IF($AB950=0,"",((Config!$B$6*$V950 + Config!$B$7*$R950 + Config!$B$8*$W950 + Config!$B$9*$X950 + Config!$B$10*$Y950 + Config!$B$11*$Z950 - Config!$B$12*$AA950)/Config!$B$13)+$AH950+$AI950),"")</f>
        <v/>
      </c>
      <c r="AD950" s="40" t="str">
        <f t="shared" si="4"/>
        <v/>
      </c>
      <c r="AE950" s="40" t="str">
        <f>IFERROR(__xludf.DUMMYFUNCTION("IF($AC950="""","""",IF($AC950=IFERROR(MAX(FILTER($AC$6:$AC$1000,$C$6:$C$1000=$C950,$AB$6:$AB$1000=1)),),""WINNER"",""""))"),"")</f>
        <v/>
      </c>
      <c r="AF950" s="40" t="str">
        <f t="shared" si="5"/>
        <v/>
      </c>
      <c r="AG950" s="40" t="str">
        <f>IF($J950="","",COUNTIF(Assignments!$B:$B,$J950))</f>
        <v/>
      </c>
      <c r="AH950" s="40" t="str">
        <f>IF($J950="","",IF(AND($AG950=0,$N950&lt;$M950),Config!$B$43,0))</f>
        <v/>
      </c>
      <c r="AI950" s="40" t="str">
        <f>IF($J950="","",IF(AND($L950="Elite",$F950&gt;=Config!$B$41,$N950&lt;$M950),Config!$B$42,0))</f>
        <v/>
      </c>
      <c r="AJ950" s="22"/>
    </row>
    <row r="951" ht="15.75" customHeight="1">
      <c r="A951" s="40" t="str">
        <f t="shared" si="1"/>
        <v/>
      </c>
      <c r="B951" s="40" t="str">
        <f>IF(Bids!$A951="","",Bids!$A951)</f>
        <v/>
      </c>
      <c r="C951" s="40" t="str">
        <f>IF(Bids!$B951="","",Bids!$B951)</f>
        <v/>
      </c>
      <c r="D951" s="40" t="str">
        <f>IF($C951="","",IFERROR(VLOOKUP($C951,Orders!$A:$J,9,FALSE),""))</f>
        <v/>
      </c>
      <c r="E951" s="40" t="str">
        <f>IF($C951="","",IFERROR(VLOOKUP($C951,Orders!$A:$J,3,FALSE),""))</f>
        <v/>
      </c>
      <c r="F951" s="40" t="str">
        <f>IF($C951="","",IFERROR(VLOOKUP($C951,Orders!$A:$J,4,FALSE),""))</f>
        <v/>
      </c>
      <c r="G951" s="40" t="str">
        <f>IF($C951="","",IFERROR(VLOOKUP($C951,Orders!$A:$J,5,FALSE),""))</f>
        <v/>
      </c>
      <c r="H951" s="40" t="str">
        <f>IF($C951="","",IFERROR(VLOOKUP($C951,Orders!$A:$J,6,FALSE),""))</f>
        <v/>
      </c>
      <c r="I951" s="40" t="str">
        <f>IF($C951="","",IFERROR(VLOOKUP($C951,Orders!$A:$J,7,FALSE),""))</f>
        <v/>
      </c>
      <c r="J951" s="40" t="str">
        <f>IF(Bids!$C951="","",Bids!$C951)</f>
        <v/>
      </c>
      <c r="K951" s="40" t="str">
        <f>IF($J951="","",IFERROR(VLOOKUP($J951,Grinders!$A:$N,2,FALSE),""))</f>
        <v/>
      </c>
      <c r="L951" s="40" t="str">
        <f>IF($J951="","",IFERROR(VLOOKUP($J951,Grinders!$A:$N,3,FALSE),""))</f>
        <v/>
      </c>
      <c r="M951" s="40" t="str">
        <f>IF($J951="","",IFERROR(VLOOKUP($J951,Grinders!$A:$N,4,FALSE),""))</f>
        <v/>
      </c>
      <c r="N951" s="40" t="str">
        <f>IF($J951="","",IFERROR(VLOOKUP($J951,Grinders!$A:$N,5,FALSE),""))</f>
        <v/>
      </c>
      <c r="O951" s="40" t="str">
        <f t="shared" si="2"/>
        <v/>
      </c>
      <c r="P951" s="40" t="str">
        <f>IF($J951="","",IFERROR(VLOOKUP($J951,Grinders!$A:$N,6,FALSE),""))</f>
        <v/>
      </c>
      <c r="Q951" s="40" t="str">
        <f>IF($J951="","",IFERROR(VLOOKUP($J951,Grinders!$A:$N,8,FALSE),""))</f>
        <v/>
      </c>
      <c r="R951" s="40" t="str">
        <f>IFERROR(IF($J951="","",IF($L951="Elite",MAX(50,MIN(100,Config!$B$27*MAX(0,MIN(100,(1-IF($O951="",0,$O951))*100)) + Config!$B$28*MAX(0,MIN(100,(1-MIN(1,IF(Config!$B$30=0,1,$P951/Config!$B$30)))*100)) + Config!$B$29*MAX(0,MIN(100,MIN(1,IF($Q951="",0,$Q951)/Config!$B$23)*100)))),MIN(100,Config!$B$27*MAX(0,MIN(100,(1-IF($O951="",0,$O951))*100)) + Config!$B$28*MAX(0,MIN(100,(1-MIN(1,IF(Config!$B$30=0,1,$P951/Config!$B$30)))*100)) + Config!$B$29*MAX(0,MIN(100,MIN(1,IF($Q951="",0,$Q951)/Config!$B$23)*100))))),"")
</f>
        <v/>
      </c>
      <c r="S951" s="40" t="str">
        <f>IF(Bids!$D951="","",Bids!$D951)</f>
        <v/>
      </c>
      <c r="T951" s="40" t="str">
        <f>IF(Bids!$F951="","",Bids!$F951)</f>
        <v/>
      </c>
      <c r="U951" s="40" t="str">
        <f t="shared" si="3"/>
        <v/>
      </c>
      <c r="V951" s="40" t="str">
        <f>IF($U951="","",IF(Config!$B$17=Config!$B$16,IF($U951&gt;=Config!$B$17,100,0),MAX(0,MIN(100,($U951-Config!$B$16)/(Config!$B$17-Config!$B$16)*100))))</f>
        <v/>
      </c>
      <c r="W951" s="40">
        <f>IF($L951="Elite",Config!$B$21,0)</f>
        <v>0</v>
      </c>
      <c r="X951" s="40" t="str">
        <f>IFERROR(IF(OR($T951="",$G951=""),"",IF($T951&gt;$G951,
  MAX(0, 60-(($T951-$G951)*24/Config!$B$19)*60),
  MEDIAN(60, 100, 60+(($G951-$T951)*24/Config!$B$20)*40)
)),"")
</f>
        <v/>
      </c>
      <c r="Y951" s="40" t="str">
        <f>IF($J951="","",IFERROR(VLOOKUP($J951,Grinders!$A:$N,10,FALSE),""))</f>
        <v/>
      </c>
      <c r="Z951" s="40" t="str">
        <f>IF($J951="","",IFERROR(VLOOKUP($J951,Grinders!$A:$N,11,FALSE),""))</f>
        <v/>
      </c>
      <c r="AA951" s="40" t="str">
        <f>IF($J951="","",IFERROR(VLOOKUP($J951,Grinders!$A:$N,12,FALSE),""))</f>
        <v/>
      </c>
      <c r="AB951" s="40">
        <f>IFERROR(IF(OR($C951="",$J951=""),0,IF($D951&lt;&gt;"Open",0,IF(COUNTIFS(GrinderServices!$B:$B,$J951,GrinderServices!$C:$C,$E951,GrinderServices!$E:$E,"Y")=0,0,IF($U951&lt;Config!$B$16,0,IF(Config!$B$18=1,IF($N951&gt;=$M951,0,1),1))))),"")</f>
        <v>0</v>
      </c>
      <c r="AC951" s="40" t="str">
        <f>IFERROR(IF($AB951=0,"",((Config!$B$6*$V951 + Config!$B$7*$R951 + Config!$B$8*$W951 + Config!$B$9*$X951 + Config!$B$10*$Y951 + Config!$B$11*$Z951 - Config!$B$12*$AA951)/Config!$B$13)+$AH951+$AI951),"")</f>
        <v/>
      </c>
      <c r="AD951" s="40" t="str">
        <f t="shared" si="4"/>
        <v/>
      </c>
      <c r="AE951" s="40" t="str">
        <f>IFERROR(__xludf.DUMMYFUNCTION("IF($AC951="""","""",IF($AC951=IFERROR(MAX(FILTER($AC$6:$AC$1000,$C$6:$C$1000=$C951,$AB$6:$AB$1000=1)),),""WINNER"",""""))"),"")</f>
        <v/>
      </c>
      <c r="AF951" s="40" t="str">
        <f t="shared" si="5"/>
        <v/>
      </c>
      <c r="AG951" s="40" t="str">
        <f>IF($J951="","",COUNTIF(Assignments!$B:$B,$J951))</f>
        <v/>
      </c>
      <c r="AH951" s="40" t="str">
        <f>IF($J951="","",IF(AND($AG951=0,$N951&lt;$M951),Config!$B$43,0))</f>
        <v/>
      </c>
      <c r="AI951" s="40" t="str">
        <f>IF($J951="","",IF(AND($L951="Elite",$F951&gt;=Config!$B$41,$N951&lt;$M951),Config!$B$42,0))</f>
        <v/>
      </c>
      <c r="AJ951" s="22"/>
    </row>
    <row r="952" ht="15.75" customHeight="1">
      <c r="A952" s="40" t="str">
        <f t="shared" si="1"/>
        <v/>
      </c>
      <c r="B952" s="40" t="str">
        <f>IF(Bids!$A952="","",Bids!$A952)</f>
        <v/>
      </c>
      <c r="C952" s="40" t="str">
        <f>IF(Bids!$B952="","",Bids!$B952)</f>
        <v/>
      </c>
      <c r="D952" s="40" t="str">
        <f>IF($C952="","",IFERROR(VLOOKUP($C952,Orders!$A:$J,9,FALSE),""))</f>
        <v/>
      </c>
      <c r="E952" s="40" t="str">
        <f>IF($C952="","",IFERROR(VLOOKUP($C952,Orders!$A:$J,3,FALSE),""))</f>
        <v/>
      </c>
      <c r="F952" s="40" t="str">
        <f>IF($C952="","",IFERROR(VLOOKUP($C952,Orders!$A:$J,4,FALSE),""))</f>
        <v/>
      </c>
      <c r="G952" s="40" t="str">
        <f>IF($C952="","",IFERROR(VLOOKUP($C952,Orders!$A:$J,5,FALSE),""))</f>
        <v/>
      </c>
      <c r="H952" s="40" t="str">
        <f>IF($C952="","",IFERROR(VLOOKUP($C952,Orders!$A:$J,6,FALSE),""))</f>
        <v/>
      </c>
      <c r="I952" s="40" t="str">
        <f>IF($C952="","",IFERROR(VLOOKUP($C952,Orders!$A:$J,7,FALSE),""))</f>
        <v/>
      </c>
      <c r="J952" s="40" t="str">
        <f>IF(Bids!$C952="","",Bids!$C952)</f>
        <v/>
      </c>
      <c r="K952" s="40" t="str">
        <f>IF($J952="","",IFERROR(VLOOKUP($J952,Grinders!$A:$N,2,FALSE),""))</f>
        <v/>
      </c>
      <c r="L952" s="40" t="str">
        <f>IF($J952="","",IFERROR(VLOOKUP($J952,Grinders!$A:$N,3,FALSE),""))</f>
        <v/>
      </c>
      <c r="M952" s="40" t="str">
        <f>IF($J952="","",IFERROR(VLOOKUP($J952,Grinders!$A:$N,4,FALSE),""))</f>
        <v/>
      </c>
      <c r="N952" s="40" t="str">
        <f>IF($J952="","",IFERROR(VLOOKUP($J952,Grinders!$A:$N,5,FALSE),""))</f>
        <v/>
      </c>
      <c r="O952" s="40" t="str">
        <f t="shared" si="2"/>
        <v/>
      </c>
      <c r="P952" s="40" t="str">
        <f>IF($J952="","",IFERROR(VLOOKUP($J952,Grinders!$A:$N,6,FALSE),""))</f>
        <v/>
      </c>
      <c r="Q952" s="40" t="str">
        <f>IF($J952="","",IFERROR(VLOOKUP($J952,Grinders!$A:$N,8,FALSE),""))</f>
        <v/>
      </c>
      <c r="R952" s="40" t="str">
        <f>IFERROR(IF($J952="","",IF($L952="Elite",MAX(50,MIN(100,Config!$B$27*MAX(0,MIN(100,(1-IF($O952="",0,$O952))*100)) + Config!$B$28*MAX(0,MIN(100,(1-MIN(1,IF(Config!$B$30=0,1,$P952/Config!$B$30)))*100)) + Config!$B$29*MAX(0,MIN(100,MIN(1,IF($Q952="",0,$Q952)/Config!$B$23)*100)))),MIN(100,Config!$B$27*MAX(0,MIN(100,(1-IF($O952="",0,$O952))*100)) + Config!$B$28*MAX(0,MIN(100,(1-MIN(1,IF(Config!$B$30=0,1,$P952/Config!$B$30)))*100)) + Config!$B$29*MAX(0,MIN(100,MIN(1,IF($Q952="",0,$Q952)/Config!$B$23)*100))))),"")
</f>
        <v/>
      </c>
      <c r="S952" s="40" t="str">
        <f>IF(Bids!$D952="","",Bids!$D952)</f>
        <v/>
      </c>
      <c r="T952" s="40" t="str">
        <f>IF(Bids!$F952="","",Bids!$F952)</f>
        <v/>
      </c>
      <c r="U952" s="40" t="str">
        <f t="shared" si="3"/>
        <v/>
      </c>
      <c r="V952" s="40" t="str">
        <f>IF($U952="","",IF(Config!$B$17=Config!$B$16,IF($U952&gt;=Config!$B$17,100,0),MAX(0,MIN(100,($U952-Config!$B$16)/(Config!$B$17-Config!$B$16)*100))))</f>
        <v/>
      </c>
      <c r="W952" s="40">
        <f>IF($L952="Elite",Config!$B$21,0)</f>
        <v>0</v>
      </c>
      <c r="X952" s="40" t="str">
        <f>IFERROR(IF(OR($T952="",$G952=""),"",IF($T952&gt;$G952,
  MAX(0, 60-(($T952-$G952)*24/Config!$B$19)*60),
  MEDIAN(60, 100, 60+(($G952-$T952)*24/Config!$B$20)*40)
)),"")
</f>
        <v/>
      </c>
      <c r="Y952" s="40" t="str">
        <f>IF($J952="","",IFERROR(VLOOKUP($J952,Grinders!$A:$N,10,FALSE),""))</f>
        <v/>
      </c>
      <c r="Z952" s="40" t="str">
        <f>IF($J952="","",IFERROR(VLOOKUP($J952,Grinders!$A:$N,11,FALSE),""))</f>
        <v/>
      </c>
      <c r="AA952" s="40" t="str">
        <f>IF($J952="","",IFERROR(VLOOKUP($J952,Grinders!$A:$N,12,FALSE),""))</f>
        <v/>
      </c>
      <c r="AB952" s="40">
        <f>IFERROR(IF(OR($C952="",$J952=""),0,IF($D952&lt;&gt;"Open",0,IF(COUNTIFS(GrinderServices!$B:$B,$J952,GrinderServices!$C:$C,$E952,GrinderServices!$E:$E,"Y")=0,0,IF($U952&lt;Config!$B$16,0,IF(Config!$B$18=1,IF($N952&gt;=$M952,0,1),1))))),"")</f>
        <v>0</v>
      </c>
      <c r="AC952" s="40" t="str">
        <f>IFERROR(IF($AB952=0,"",((Config!$B$6*$V952 + Config!$B$7*$R952 + Config!$B$8*$W952 + Config!$B$9*$X952 + Config!$B$10*$Y952 + Config!$B$11*$Z952 - Config!$B$12*$AA952)/Config!$B$13)+$AH952+$AI952),"")</f>
        <v/>
      </c>
      <c r="AD952" s="40" t="str">
        <f t="shared" si="4"/>
        <v/>
      </c>
      <c r="AE952" s="40" t="str">
        <f>IFERROR(__xludf.DUMMYFUNCTION("IF($AC952="""","""",IF($AC952=IFERROR(MAX(FILTER($AC$6:$AC$1000,$C$6:$C$1000=$C952,$AB$6:$AB$1000=1)),),""WINNER"",""""))"),"")</f>
        <v/>
      </c>
      <c r="AF952" s="40" t="str">
        <f t="shared" si="5"/>
        <v/>
      </c>
      <c r="AG952" s="40" t="str">
        <f>IF($J952="","",COUNTIF(Assignments!$B:$B,$J952))</f>
        <v/>
      </c>
      <c r="AH952" s="40" t="str">
        <f>IF($J952="","",IF(AND($AG952=0,$N952&lt;$M952),Config!$B$43,0))</f>
        <v/>
      </c>
      <c r="AI952" s="40" t="str">
        <f>IF($J952="","",IF(AND($L952="Elite",$F952&gt;=Config!$B$41,$N952&lt;$M952),Config!$B$42,0))</f>
        <v/>
      </c>
      <c r="AJ952" s="22"/>
    </row>
    <row r="953" ht="15.75" customHeight="1">
      <c r="A953" s="40" t="str">
        <f t="shared" si="1"/>
        <v/>
      </c>
      <c r="B953" s="40" t="str">
        <f>IF(Bids!$A953="","",Bids!$A953)</f>
        <v/>
      </c>
      <c r="C953" s="40" t="str">
        <f>IF(Bids!$B953="","",Bids!$B953)</f>
        <v/>
      </c>
      <c r="D953" s="40" t="str">
        <f>IF($C953="","",IFERROR(VLOOKUP($C953,Orders!$A:$J,9,FALSE),""))</f>
        <v/>
      </c>
      <c r="E953" s="40" t="str">
        <f>IF($C953="","",IFERROR(VLOOKUP($C953,Orders!$A:$J,3,FALSE),""))</f>
        <v/>
      </c>
      <c r="F953" s="40" t="str">
        <f>IF($C953="","",IFERROR(VLOOKUP($C953,Orders!$A:$J,4,FALSE),""))</f>
        <v/>
      </c>
      <c r="G953" s="40" t="str">
        <f>IF($C953="","",IFERROR(VLOOKUP($C953,Orders!$A:$J,5,FALSE),""))</f>
        <v/>
      </c>
      <c r="H953" s="40" t="str">
        <f>IF($C953="","",IFERROR(VLOOKUP($C953,Orders!$A:$J,6,FALSE),""))</f>
        <v/>
      </c>
      <c r="I953" s="40" t="str">
        <f>IF($C953="","",IFERROR(VLOOKUP($C953,Orders!$A:$J,7,FALSE),""))</f>
        <v/>
      </c>
      <c r="J953" s="40" t="str">
        <f>IF(Bids!$C953="","",Bids!$C953)</f>
        <v/>
      </c>
      <c r="K953" s="40" t="str">
        <f>IF($J953="","",IFERROR(VLOOKUP($J953,Grinders!$A:$N,2,FALSE),""))</f>
        <v/>
      </c>
      <c r="L953" s="40" t="str">
        <f>IF($J953="","",IFERROR(VLOOKUP($J953,Grinders!$A:$N,3,FALSE),""))</f>
        <v/>
      </c>
      <c r="M953" s="40" t="str">
        <f>IF($J953="","",IFERROR(VLOOKUP($J953,Grinders!$A:$N,4,FALSE),""))</f>
        <v/>
      </c>
      <c r="N953" s="40" t="str">
        <f>IF($J953="","",IFERROR(VLOOKUP($J953,Grinders!$A:$N,5,FALSE),""))</f>
        <v/>
      </c>
      <c r="O953" s="40" t="str">
        <f t="shared" si="2"/>
        <v/>
      </c>
      <c r="P953" s="40" t="str">
        <f>IF($J953="","",IFERROR(VLOOKUP($J953,Grinders!$A:$N,6,FALSE),""))</f>
        <v/>
      </c>
      <c r="Q953" s="40" t="str">
        <f>IF($J953="","",IFERROR(VLOOKUP($J953,Grinders!$A:$N,8,FALSE),""))</f>
        <v/>
      </c>
      <c r="R953" s="40" t="str">
        <f>IFERROR(IF($J953="","",IF($L953="Elite",MAX(50,MIN(100,Config!$B$27*MAX(0,MIN(100,(1-IF($O953="",0,$O953))*100)) + Config!$B$28*MAX(0,MIN(100,(1-MIN(1,IF(Config!$B$30=0,1,$P953/Config!$B$30)))*100)) + Config!$B$29*MAX(0,MIN(100,MIN(1,IF($Q953="",0,$Q953)/Config!$B$23)*100)))),MIN(100,Config!$B$27*MAX(0,MIN(100,(1-IF($O953="",0,$O953))*100)) + Config!$B$28*MAX(0,MIN(100,(1-MIN(1,IF(Config!$B$30=0,1,$P953/Config!$B$30)))*100)) + Config!$B$29*MAX(0,MIN(100,MIN(1,IF($Q953="",0,$Q953)/Config!$B$23)*100))))),"")
</f>
        <v/>
      </c>
      <c r="S953" s="40" t="str">
        <f>IF(Bids!$D953="","",Bids!$D953)</f>
        <v/>
      </c>
      <c r="T953" s="40" t="str">
        <f>IF(Bids!$F953="","",Bids!$F953)</f>
        <v/>
      </c>
      <c r="U953" s="40" t="str">
        <f t="shared" si="3"/>
        <v/>
      </c>
      <c r="V953" s="40" t="str">
        <f>IF($U953="","",IF(Config!$B$17=Config!$B$16,IF($U953&gt;=Config!$B$17,100,0),MAX(0,MIN(100,($U953-Config!$B$16)/(Config!$B$17-Config!$B$16)*100))))</f>
        <v/>
      </c>
      <c r="W953" s="40">
        <f>IF($L953="Elite",Config!$B$21,0)</f>
        <v>0</v>
      </c>
      <c r="X953" s="40" t="str">
        <f>IFERROR(IF(OR($T953="",$G953=""),"",IF($T953&gt;$G953,
  MAX(0, 60-(($T953-$G953)*24/Config!$B$19)*60),
  MEDIAN(60, 100, 60+(($G953-$T953)*24/Config!$B$20)*40)
)),"")
</f>
        <v/>
      </c>
      <c r="Y953" s="40" t="str">
        <f>IF($J953="","",IFERROR(VLOOKUP($J953,Grinders!$A:$N,10,FALSE),""))</f>
        <v/>
      </c>
      <c r="Z953" s="40" t="str">
        <f>IF($J953="","",IFERROR(VLOOKUP($J953,Grinders!$A:$N,11,FALSE),""))</f>
        <v/>
      </c>
      <c r="AA953" s="40" t="str">
        <f>IF($J953="","",IFERROR(VLOOKUP($J953,Grinders!$A:$N,12,FALSE),""))</f>
        <v/>
      </c>
      <c r="AB953" s="40">
        <f>IFERROR(IF(OR($C953="",$J953=""),0,IF($D953&lt;&gt;"Open",0,IF(COUNTIFS(GrinderServices!$B:$B,$J953,GrinderServices!$C:$C,$E953,GrinderServices!$E:$E,"Y")=0,0,IF($U953&lt;Config!$B$16,0,IF(Config!$B$18=1,IF($N953&gt;=$M953,0,1),1))))),"")</f>
        <v>0</v>
      </c>
      <c r="AC953" s="40" t="str">
        <f>IFERROR(IF($AB953=0,"",((Config!$B$6*$V953 + Config!$B$7*$R953 + Config!$B$8*$W953 + Config!$B$9*$X953 + Config!$B$10*$Y953 + Config!$B$11*$Z953 - Config!$B$12*$AA953)/Config!$B$13)+$AH953+$AI953),"")</f>
        <v/>
      </c>
      <c r="AD953" s="40" t="str">
        <f t="shared" si="4"/>
        <v/>
      </c>
      <c r="AE953" s="40" t="str">
        <f>IFERROR(__xludf.DUMMYFUNCTION("IF($AC953="""","""",IF($AC953=IFERROR(MAX(FILTER($AC$6:$AC$1000,$C$6:$C$1000=$C953,$AB$6:$AB$1000=1)),),""WINNER"",""""))"),"")</f>
        <v/>
      </c>
      <c r="AF953" s="40" t="str">
        <f t="shared" si="5"/>
        <v/>
      </c>
      <c r="AG953" s="40" t="str">
        <f>IF($J953="","",COUNTIF(Assignments!$B:$B,$J953))</f>
        <v/>
      </c>
      <c r="AH953" s="40" t="str">
        <f>IF($J953="","",IF(AND($AG953=0,$N953&lt;$M953),Config!$B$43,0))</f>
        <v/>
      </c>
      <c r="AI953" s="40" t="str">
        <f>IF($J953="","",IF(AND($L953="Elite",$F953&gt;=Config!$B$41,$N953&lt;$M953),Config!$B$42,0))</f>
        <v/>
      </c>
      <c r="AJ953" s="22"/>
    </row>
    <row r="954" ht="15.75" customHeight="1">
      <c r="A954" s="40" t="str">
        <f t="shared" si="1"/>
        <v/>
      </c>
      <c r="B954" s="40" t="str">
        <f>IF(Bids!$A954="","",Bids!$A954)</f>
        <v/>
      </c>
      <c r="C954" s="40" t="str">
        <f>IF(Bids!$B954="","",Bids!$B954)</f>
        <v/>
      </c>
      <c r="D954" s="40" t="str">
        <f>IF($C954="","",IFERROR(VLOOKUP($C954,Orders!$A:$J,9,FALSE),""))</f>
        <v/>
      </c>
      <c r="E954" s="40" t="str">
        <f>IF($C954="","",IFERROR(VLOOKUP($C954,Orders!$A:$J,3,FALSE),""))</f>
        <v/>
      </c>
      <c r="F954" s="40" t="str">
        <f>IF($C954="","",IFERROR(VLOOKUP($C954,Orders!$A:$J,4,FALSE),""))</f>
        <v/>
      </c>
      <c r="G954" s="40" t="str">
        <f>IF($C954="","",IFERROR(VLOOKUP($C954,Orders!$A:$J,5,FALSE),""))</f>
        <v/>
      </c>
      <c r="H954" s="40" t="str">
        <f>IF($C954="","",IFERROR(VLOOKUP($C954,Orders!$A:$J,6,FALSE),""))</f>
        <v/>
      </c>
      <c r="I954" s="40" t="str">
        <f>IF($C954="","",IFERROR(VLOOKUP($C954,Orders!$A:$J,7,FALSE),""))</f>
        <v/>
      </c>
      <c r="J954" s="40" t="str">
        <f>IF(Bids!$C954="","",Bids!$C954)</f>
        <v/>
      </c>
      <c r="K954" s="40" t="str">
        <f>IF($J954="","",IFERROR(VLOOKUP($J954,Grinders!$A:$N,2,FALSE),""))</f>
        <v/>
      </c>
      <c r="L954" s="40" t="str">
        <f>IF($J954="","",IFERROR(VLOOKUP($J954,Grinders!$A:$N,3,FALSE),""))</f>
        <v/>
      </c>
      <c r="M954" s="40" t="str">
        <f>IF($J954="","",IFERROR(VLOOKUP($J954,Grinders!$A:$N,4,FALSE),""))</f>
        <v/>
      </c>
      <c r="N954" s="40" t="str">
        <f>IF($J954="","",IFERROR(VLOOKUP($J954,Grinders!$A:$N,5,FALSE),""))</f>
        <v/>
      </c>
      <c r="O954" s="40" t="str">
        <f t="shared" si="2"/>
        <v/>
      </c>
      <c r="P954" s="40" t="str">
        <f>IF($J954="","",IFERROR(VLOOKUP($J954,Grinders!$A:$N,6,FALSE),""))</f>
        <v/>
      </c>
      <c r="Q954" s="40" t="str">
        <f>IF($J954="","",IFERROR(VLOOKUP($J954,Grinders!$A:$N,8,FALSE),""))</f>
        <v/>
      </c>
      <c r="R954" s="40" t="str">
        <f>IFERROR(IF($J954="","",IF($L954="Elite",MAX(50,MIN(100,Config!$B$27*MAX(0,MIN(100,(1-IF($O954="",0,$O954))*100)) + Config!$B$28*MAX(0,MIN(100,(1-MIN(1,IF(Config!$B$30=0,1,$P954/Config!$B$30)))*100)) + Config!$B$29*MAX(0,MIN(100,MIN(1,IF($Q954="",0,$Q954)/Config!$B$23)*100)))),MIN(100,Config!$B$27*MAX(0,MIN(100,(1-IF($O954="",0,$O954))*100)) + Config!$B$28*MAX(0,MIN(100,(1-MIN(1,IF(Config!$B$30=0,1,$P954/Config!$B$30)))*100)) + Config!$B$29*MAX(0,MIN(100,MIN(1,IF($Q954="",0,$Q954)/Config!$B$23)*100))))),"")
</f>
        <v/>
      </c>
      <c r="S954" s="40" t="str">
        <f>IF(Bids!$D954="","",Bids!$D954)</f>
        <v/>
      </c>
      <c r="T954" s="40" t="str">
        <f>IF(Bids!$F954="","",Bids!$F954)</f>
        <v/>
      </c>
      <c r="U954" s="40" t="str">
        <f t="shared" si="3"/>
        <v/>
      </c>
      <c r="V954" s="40" t="str">
        <f>IF($U954="","",IF(Config!$B$17=Config!$B$16,IF($U954&gt;=Config!$B$17,100,0),MAX(0,MIN(100,($U954-Config!$B$16)/(Config!$B$17-Config!$B$16)*100))))</f>
        <v/>
      </c>
      <c r="W954" s="40">
        <f>IF($L954="Elite",Config!$B$21,0)</f>
        <v>0</v>
      </c>
      <c r="X954" s="40" t="str">
        <f>IFERROR(IF(OR($T954="",$G954=""),"",IF($T954&gt;$G954,
  MAX(0, 60-(($T954-$G954)*24/Config!$B$19)*60),
  MEDIAN(60, 100, 60+(($G954-$T954)*24/Config!$B$20)*40)
)),"")
</f>
        <v/>
      </c>
      <c r="Y954" s="40" t="str">
        <f>IF($J954="","",IFERROR(VLOOKUP($J954,Grinders!$A:$N,10,FALSE),""))</f>
        <v/>
      </c>
      <c r="Z954" s="40" t="str">
        <f>IF($J954="","",IFERROR(VLOOKUP($J954,Grinders!$A:$N,11,FALSE),""))</f>
        <v/>
      </c>
      <c r="AA954" s="40" t="str">
        <f>IF($J954="","",IFERROR(VLOOKUP($J954,Grinders!$A:$N,12,FALSE),""))</f>
        <v/>
      </c>
      <c r="AB954" s="40">
        <f>IFERROR(IF(OR($C954="",$J954=""),0,IF($D954&lt;&gt;"Open",0,IF(COUNTIFS(GrinderServices!$B:$B,$J954,GrinderServices!$C:$C,$E954,GrinderServices!$E:$E,"Y")=0,0,IF($U954&lt;Config!$B$16,0,IF(Config!$B$18=1,IF($N954&gt;=$M954,0,1),1))))),"")</f>
        <v>0</v>
      </c>
      <c r="AC954" s="40" t="str">
        <f>IFERROR(IF($AB954=0,"",((Config!$B$6*$V954 + Config!$B$7*$R954 + Config!$B$8*$W954 + Config!$B$9*$X954 + Config!$B$10*$Y954 + Config!$B$11*$Z954 - Config!$B$12*$AA954)/Config!$B$13)+$AH954+$AI954),"")</f>
        <v/>
      </c>
      <c r="AD954" s="40" t="str">
        <f t="shared" si="4"/>
        <v/>
      </c>
      <c r="AE954" s="40" t="str">
        <f>IFERROR(__xludf.DUMMYFUNCTION("IF($AC954="""","""",IF($AC954=IFERROR(MAX(FILTER($AC$6:$AC$1000,$C$6:$C$1000=$C954,$AB$6:$AB$1000=1)),),""WINNER"",""""))"),"")</f>
        <v/>
      </c>
      <c r="AF954" s="40" t="str">
        <f t="shared" si="5"/>
        <v/>
      </c>
      <c r="AG954" s="40" t="str">
        <f>IF($J954="","",COUNTIF(Assignments!$B:$B,$J954))</f>
        <v/>
      </c>
      <c r="AH954" s="40" t="str">
        <f>IF($J954="","",IF(AND($AG954=0,$N954&lt;$M954),Config!$B$43,0))</f>
        <v/>
      </c>
      <c r="AI954" s="40" t="str">
        <f>IF($J954="","",IF(AND($L954="Elite",$F954&gt;=Config!$B$41,$N954&lt;$M954),Config!$B$42,0))</f>
        <v/>
      </c>
      <c r="AJ954" s="22"/>
    </row>
    <row r="955" ht="15.75" customHeight="1">
      <c r="A955" s="40" t="str">
        <f t="shared" si="1"/>
        <v/>
      </c>
      <c r="B955" s="40" t="str">
        <f>IF(Bids!$A955="","",Bids!$A955)</f>
        <v/>
      </c>
      <c r="C955" s="40" t="str">
        <f>IF(Bids!$B955="","",Bids!$B955)</f>
        <v/>
      </c>
      <c r="D955" s="40" t="str">
        <f>IF($C955="","",IFERROR(VLOOKUP($C955,Orders!$A:$J,9,FALSE),""))</f>
        <v/>
      </c>
      <c r="E955" s="40" t="str">
        <f>IF($C955="","",IFERROR(VLOOKUP($C955,Orders!$A:$J,3,FALSE),""))</f>
        <v/>
      </c>
      <c r="F955" s="40" t="str">
        <f>IF($C955="","",IFERROR(VLOOKUP($C955,Orders!$A:$J,4,FALSE),""))</f>
        <v/>
      </c>
      <c r="G955" s="40" t="str">
        <f>IF($C955="","",IFERROR(VLOOKUP($C955,Orders!$A:$J,5,FALSE),""))</f>
        <v/>
      </c>
      <c r="H955" s="40" t="str">
        <f>IF($C955="","",IFERROR(VLOOKUP($C955,Orders!$A:$J,6,FALSE),""))</f>
        <v/>
      </c>
      <c r="I955" s="40" t="str">
        <f>IF($C955="","",IFERROR(VLOOKUP($C955,Orders!$A:$J,7,FALSE),""))</f>
        <v/>
      </c>
      <c r="J955" s="40" t="str">
        <f>IF(Bids!$C955="","",Bids!$C955)</f>
        <v/>
      </c>
      <c r="K955" s="40" t="str">
        <f>IF($J955="","",IFERROR(VLOOKUP($J955,Grinders!$A:$N,2,FALSE),""))</f>
        <v/>
      </c>
      <c r="L955" s="40" t="str">
        <f>IF($J955="","",IFERROR(VLOOKUP($J955,Grinders!$A:$N,3,FALSE),""))</f>
        <v/>
      </c>
      <c r="M955" s="40" t="str">
        <f>IF($J955="","",IFERROR(VLOOKUP($J955,Grinders!$A:$N,4,FALSE),""))</f>
        <v/>
      </c>
      <c r="N955" s="40" t="str">
        <f>IF($J955="","",IFERROR(VLOOKUP($J955,Grinders!$A:$N,5,FALSE),""))</f>
        <v/>
      </c>
      <c r="O955" s="40" t="str">
        <f t="shared" si="2"/>
        <v/>
      </c>
      <c r="P955" s="40" t="str">
        <f>IF($J955="","",IFERROR(VLOOKUP($J955,Grinders!$A:$N,6,FALSE),""))</f>
        <v/>
      </c>
      <c r="Q955" s="40" t="str">
        <f>IF($J955="","",IFERROR(VLOOKUP($J955,Grinders!$A:$N,8,FALSE),""))</f>
        <v/>
      </c>
      <c r="R955" s="40" t="str">
        <f>IFERROR(IF($J955="","",IF($L955="Elite",MAX(50,MIN(100,Config!$B$27*MAX(0,MIN(100,(1-IF($O955="",0,$O955))*100)) + Config!$B$28*MAX(0,MIN(100,(1-MIN(1,IF(Config!$B$30=0,1,$P955/Config!$B$30)))*100)) + Config!$B$29*MAX(0,MIN(100,MIN(1,IF($Q955="",0,$Q955)/Config!$B$23)*100)))),MIN(100,Config!$B$27*MAX(0,MIN(100,(1-IF($O955="",0,$O955))*100)) + Config!$B$28*MAX(0,MIN(100,(1-MIN(1,IF(Config!$B$30=0,1,$P955/Config!$B$30)))*100)) + Config!$B$29*MAX(0,MIN(100,MIN(1,IF($Q955="",0,$Q955)/Config!$B$23)*100))))),"")
</f>
        <v/>
      </c>
      <c r="S955" s="40" t="str">
        <f>IF(Bids!$D955="","",Bids!$D955)</f>
        <v/>
      </c>
      <c r="T955" s="40" t="str">
        <f>IF(Bids!$F955="","",Bids!$F955)</f>
        <v/>
      </c>
      <c r="U955" s="40" t="str">
        <f t="shared" si="3"/>
        <v/>
      </c>
      <c r="V955" s="40" t="str">
        <f>IF($U955="","",IF(Config!$B$17=Config!$B$16,IF($U955&gt;=Config!$B$17,100,0),MAX(0,MIN(100,($U955-Config!$B$16)/(Config!$B$17-Config!$B$16)*100))))</f>
        <v/>
      </c>
      <c r="W955" s="40">
        <f>IF($L955="Elite",Config!$B$21,0)</f>
        <v>0</v>
      </c>
      <c r="X955" s="40" t="str">
        <f>IFERROR(IF(OR($T955="",$G955=""),"",IF($T955&gt;$G955,
  MAX(0, 60-(($T955-$G955)*24/Config!$B$19)*60),
  MEDIAN(60, 100, 60+(($G955-$T955)*24/Config!$B$20)*40)
)),"")
</f>
        <v/>
      </c>
      <c r="Y955" s="40" t="str">
        <f>IF($J955="","",IFERROR(VLOOKUP($J955,Grinders!$A:$N,10,FALSE),""))</f>
        <v/>
      </c>
      <c r="Z955" s="40" t="str">
        <f>IF($J955="","",IFERROR(VLOOKUP($J955,Grinders!$A:$N,11,FALSE),""))</f>
        <v/>
      </c>
      <c r="AA955" s="40" t="str">
        <f>IF($J955="","",IFERROR(VLOOKUP($J955,Grinders!$A:$N,12,FALSE),""))</f>
        <v/>
      </c>
      <c r="AB955" s="40">
        <f>IFERROR(IF(OR($C955="",$J955=""),0,IF($D955&lt;&gt;"Open",0,IF(COUNTIFS(GrinderServices!$B:$B,$J955,GrinderServices!$C:$C,$E955,GrinderServices!$E:$E,"Y")=0,0,IF($U955&lt;Config!$B$16,0,IF(Config!$B$18=1,IF($N955&gt;=$M955,0,1),1))))),"")</f>
        <v>0</v>
      </c>
      <c r="AC955" s="40" t="str">
        <f>IFERROR(IF($AB955=0,"",((Config!$B$6*$V955 + Config!$B$7*$R955 + Config!$B$8*$W955 + Config!$B$9*$X955 + Config!$B$10*$Y955 + Config!$B$11*$Z955 - Config!$B$12*$AA955)/Config!$B$13)+$AH955+$AI955),"")</f>
        <v/>
      </c>
      <c r="AD955" s="40" t="str">
        <f t="shared" si="4"/>
        <v/>
      </c>
      <c r="AE955" s="40" t="str">
        <f>IFERROR(__xludf.DUMMYFUNCTION("IF($AC955="""","""",IF($AC955=IFERROR(MAX(FILTER($AC$6:$AC$1000,$C$6:$C$1000=$C955,$AB$6:$AB$1000=1)),),""WINNER"",""""))"),"")</f>
        <v/>
      </c>
      <c r="AF955" s="40" t="str">
        <f t="shared" si="5"/>
        <v/>
      </c>
      <c r="AG955" s="40" t="str">
        <f>IF($J955="","",COUNTIF(Assignments!$B:$B,$J955))</f>
        <v/>
      </c>
      <c r="AH955" s="40" t="str">
        <f>IF($J955="","",IF(AND($AG955=0,$N955&lt;$M955),Config!$B$43,0))</f>
        <v/>
      </c>
      <c r="AI955" s="40" t="str">
        <f>IF($J955="","",IF(AND($L955="Elite",$F955&gt;=Config!$B$41,$N955&lt;$M955),Config!$B$42,0))</f>
        <v/>
      </c>
      <c r="AJ955" s="22"/>
    </row>
    <row r="956" ht="15.75" customHeight="1">
      <c r="A956" s="40" t="str">
        <f t="shared" si="1"/>
        <v/>
      </c>
      <c r="B956" s="40" t="str">
        <f>IF(Bids!$A956="","",Bids!$A956)</f>
        <v/>
      </c>
      <c r="C956" s="40" t="str">
        <f>IF(Bids!$B956="","",Bids!$B956)</f>
        <v/>
      </c>
      <c r="D956" s="40" t="str">
        <f>IF($C956="","",IFERROR(VLOOKUP($C956,Orders!$A:$J,9,FALSE),""))</f>
        <v/>
      </c>
      <c r="E956" s="40" t="str">
        <f>IF($C956="","",IFERROR(VLOOKUP($C956,Orders!$A:$J,3,FALSE),""))</f>
        <v/>
      </c>
      <c r="F956" s="40" t="str">
        <f>IF($C956="","",IFERROR(VLOOKUP($C956,Orders!$A:$J,4,FALSE),""))</f>
        <v/>
      </c>
      <c r="G956" s="40" t="str">
        <f>IF($C956="","",IFERROR(VLOOKUP($C956,Orders!$A:$J,5,FALSE),""))</f>
        <v/>
      </c>
      <c r="H956" s="40" t="str">
        <f>IF($C956="","",IFERROR(VLOOKUP($C956,Orders!$A:$J,6,FALSE),""))</f>
        <v/>
      </c>
      <c r="I956" s="40" t="str">
        <f>IF($C956="","",IFERROR(VLOOKUP($C956,Orders!$A:$J,7,FALSE),""))</f>
        <v/>
      </c>
      <c r="J956" s="40" t="str">
        <f>IF(Bids!$C956="","",Bids!$C956)</f>
        <v/>
      </c>
      <c r="K956" s="40" t="str">
        <f>IF($J956="","",IFERROR(VLOOKUP($J956,Grinders!$A:$N,2,FALSE),""))</f>
        <v/>
      </c>
      <c r="L956" s="40" t="str">
        <f>IF($J956="","",IFERROR(VLOOKUP($J956,Grinders!$A:$N,3,FALSE),""))</f>
        <v/>
      </c>
      <c r="M956" s="40" t="str">
        <f>IF($J956="","",IFERROR(VLOOKUP($J956,Grinders!$A:$N,4,FALSE),""))</f>
        <v/>
      </c>
      <c r="N956" s="40" t="str">
        <f>IF($J956="","",IFERROR(VLOOKUP($J956,Grinders!$A:$N,5,FALSE),""))</f>
        <v/>
      </c>
      <c r="O956" s="40" t="str">
        <f t="shared" si="2"/>
        <v/>
      </c>
      <c r="P956" s="40" t="str">
        <f>IF($J956="","",IFERROR(VLOOKUP($J956,Grinders!$A:$N,6,FALSE),""))</f>
        <v/>
      </c>
      <c r="Q956" s="40" t="str">
        <f>IF($J956="","",IFERROR(VLOOKUP($J956,Grinders!$A:$N,8,FALSE),""))</f>
        <v/>
      </c>
      <c r="R956" s="40" t="str">
        <f>IFERROR(IF($J956="","",IF($L956="Elite",MAX(50,MIN(100,Config!$B$27*MAX(0,MIN(100,(1-IF($O956="",0,$O956))*100)) + Config!$B$28*MAX(0,MIN(100,(1-MIN(1,IF(Config!$B$30=0,1,$P956/Config!$B$30)))*100)) + Config!$B$29*MAX(0,MIN(100,MIN(1,IF($Q956="",0,$Q956)/Config!$B$23)*100)))),MIN(100,Config!$B$27*MAX(0,MIN(100,(1-IF($O956="",0,$O956))*100)) + Config!$B$28*MAX(0,MIN(100,(1-MIN(1,IF(Config!$B$30=0,1,$P956/Config!$B$30)))*100)) + Config!$B$29*MAX(0,MIN(100,MIN(1,IF($Q956="",0,$Q956)/Config!$B$23)*100))))),"")
</f>
        <v/>
      </c>
      <c r="S956" s="40" t="str">
        <f>IF(Bids!$D956="","",Bids!$D956)</f>
        <v/>
      </c>
      <c r="T956" s="40" t="str">
        <f>IF(Bids!$F956="","",Bids!$F956)</f>
        <v/>
      </c>
      <c r="U956" s="40" t="str">
        <f t="shared" si="3"/>
        <v/>
      </c>
      <c r="V956" s="40" t="str">
        <f>IF($U956="","",IF(Config!$B$17=Config!$B$16,IF($U956&gt;=Config!$B$17,100,0),MAX(0,MIN(100,($U956-Config!$B$16)/(Config!$B$17-Config!$B$16)*100))))</f>
        <v/>
      </c>
      <c r="W956" s="40">
        <f>IF($L956="Elite",Config!$B$21,0)</f>
        <v>0</v>
      </c>
      <c r="X956" s="40" t="str">
        <f>IFERROR(IF(OR($T956="",$G956=""),"",IF($T956&gt;$G956,
  MAX(0, 60-(($T956-$G956)*24/Config!$B$19)*60),
  MEDIAN(60, 100, 60+(($G956-$T956)*24/Config!$B$20)*40)
)),"")
</f>
        <v/>
      </c>
      <c r="Y956" s="40" t="str">
        <f>IF($J956="","",IFERROR(VLOOKUP($J956,Grinders!$A:$N,10,FALSE),""))</f>
        <v/>
      </c>
      <c r="Z956" s="40" t="str">
        <f>IF($J956="","",IFERROR(VLOOKUP($J956,Grinders!$A:$N,11,FALSE),""))</f>
        <v/>
      </c>
      <c r="AA956" s="40" t="str">
        <f>IF($J956="","",IFERROR(VLOOKUP($J956,Grinders!$A:$N,12,FALSE),""))</f>
        <v/>
      </c>
      <c r="AB956" s="40">
        <f>IFERROR(IF(OR($C956="",$J956=""),0,IF($D956&lt;&gt;"Open",0,IF(COUNTIFS(GrinderServices!$B:$B,$J956,GrinderServices!$C:$C,$E956,GrinderServices!$E:$E,"Y")=0,0,IF($U956&lt;Config!$B$16,0,IF(Config!$B$18=1,IF($N956&gt;=$M956,0,1),1))))),"")</f>
        <v>0</v>
      </c>
      <c r="AC956" s="40" t="str">
        <f>IFERROR(IF($AB956=0,"",((Config!$B$6*$V956 + Config!$B$7*$R956 + Config!$B$8*$W956 + Config!$B$9*$X956 + Config!$B$10*$Y956 + Config!$B$11*$Z956 - Config!$B$12*$AA956)/Config!$B$13)+$AH956+$AI956),"")</f>
        <v/>
      </c>
      <c r="AD956" s="40" t="str">
        <f t="shared" si="4"/>
        <v/>
      </c>
      <c r="AE956" s="40" t="str">
        <f>IFERROR(__xludf.DUMMYFUNCTION("IF($AC956="""","""",IF($AC956=IFERROR(MAX(FILTER($AC$6:$AC$1000,$C$6:$C$1000=$C956,$AB$6:$AB$1000=1)),),""WINNER"",""""))"),"")</f>
        <v/>
      </c>
      <c r="AF956" s="40" t="str">
        <f t="shared" si="5"/>
        <v/>
      </c>
      <c r="AG956" s="40" t="str">
        <f>IF($J956="","",COUNTIF(Assignments!$B:$B,$J956))</f>
        <v/>
      </c>
      <c r="AH956" s="40" t="str">
        <f>IF($J956="","",IF(AND($AG956=0,$N956&lt;$M956),Config!$B$43,0))</f>
        <v/>
      </c>
      <c r="AI956" s="40" t="str">
        <f>IF($J956="","",IF(AND($L956="Elite",$F956&gt;=Config!$B$41,$N956&lt;$M956),Config!$B$42,0))</f>
        <v/>
      </c>
      <c r="AJ956" s="22"/>
    </row>
    <row r="957" ht="15.75" customHeight="1">
      <c r="A957" s="40" t="str">
        <f t="shared" si="1"/>
        <v/>
      </c>
      <c r="B957" s="40" t="str">
        <f>IF(Bids!$A957="","",Bids!$A957)</f>
        <v/>
      </c>
      <c r="C957" s="40" t="str">
        <f>IF(Bids!$B957="","",Bids!$B957)</f>
        <v/>
      </c>
      <c r="D957" s="40" t="str">
        <f>IF($C957="","",IFERROR(VLOOKUP($C957,Orders!$A:$J,9,FALSE),""))</f>
        <v/>
      </c>
      <c r="E957" s="40" t="str">
        <f>IF($C957="","",IFERROR(VLOOKUP($C957,Orders!$A:$J,3,FALSE),""))</f>
        <v/>
      </c>
      <c r="F957" s="40" t="str">
        <f>IF($C957="","",IFERROR(VLOOKUP($C957,Orders!$A:$J,4,FALSE),""))</f>
        <v/>
      </c>
      <c r="G957" s="40" t="str">
        <f>IF($C957="","",IFERROR(VLOOKUP($C957,Orders!$A:$J,5,FALSE),""))</f>
        <v/>
      </c>
      <c r="H957" s="40" t="str">
        <f>IF($C957="","",IFERROR(VLOOKUP($C957,Orders!$A:$J,6,FALSE),""))</f>
        <v/>
      </c>
      <c r="I957" s="40" t="str">
        <f>IF($C957="","",IFERROR(VLOOKUP($C957,Orders!$A:$J,7,FALSE),""))</f>
        <v/>
      </c>
      <c r="J957" s="40" t="str">
        <f>IF(Bids!$C957="","",Bids!$C957)</f>
        <v/>
      </c>
      <c r="K957" s="40" t="str">
        <f>IF($J957="","",IFERROR(VLOOKUP($J957,Grinders!$A:$N,2,FALSE),""))</f>
        <v/>
      </c>
      <c r="L957" s="40" t="str">
        <f>IF($J957="","",IFERROR(VLOOKUP($J957,Grinders!$A:$N,3,FALSE),""))</f>
        <v/>
      </c>
      <c r="M957" s="40" t="str">
        <f>IF($J957="","",IFERROR(VLOOKUP($J957,Grinders!$A:$N,4,FALSE),""))</f>
        <v/>
      </c>
      <c r="N957" s="40" t="str">
        <f>IF($J957="","",IFERROR(VLOOKUP($J957,Grinders!$A:$N,5,FALSE),""))</f>
        <v/>
      </c>
      <c r="O957" s="40" t="str">
        <f t="shared" si="2"/>
        <v/>
      </c>
      <c r="P957" s="40" t="str">
        <f>IF($J957="","",IFERROR(VLOOKUP($J957,Grinders!$A:$N,6,FALSE),""))</f>
        <v/>
      </c>
      <c r="Q957" s="40" t="str">
        <f>IF($J957="","",IFERROR(VLOOKUP($J957,Grinders!$A:$N,8,FALSE),""))</f>
        <v/>
      </c>
      <c r="R957" s="40" t="str">
        <f>IFERROR(IF($J957="","",IF($L957="Elite",MAX(50,MIN(100,Config!$B$27*MAX(0,MIN(100,(1-IF($O957="",0,$O957))*100)) + Config!$B$28*MAX(0,MIN(100,(1-MIN(1,IF(Config!$B$30=0,1,$P957/Config!$B$30)))*100)) + Config!$B$29*MAX(0,MIN(100,MIN(1,IF($Q957="",0,$Q957)/Config!$B$23)*100)))),MIN(100,Config!$B$27*MAX(0,MIN(100,(1-IF($O957="",0,$O957))*100)) + Config!$B$28*MAX(0,MIN(100,(1-MIN(1,IF(Config!$B$30=0,1,$P957/Config!$B$30)))*100)) + Config!$B$29*MAX(0,MIN(100,MIN(1,IF($Q957="",0,$Q957)/Config!$B$23)*100))))),"")
</f>
        <v/>
      </c>
      <c r="S957" s="40" t="str">
        <f>IF(Bids!$D957="","",Bids!$D957)</f>
        <v/>
      </c>
      <c r="T957" s="40" t="str">
        <f>IF(Bids!$F957="","",Bids!$F957)</f>
        <v/>
      </c>
      <c r="U957" s="40" t="str">
        <f t="shared" si="3"/>
        <v/>
      </c>
      <c r="V957" s="40" t="str">
        <f>IF($U957="","",IF(Config!$B$17=Config!$B$16,IF($U957&gt;=Config!$B$17,100,0),MAX(0,MIN(100,($U957-Config!$B$16)/(Config!$B$17-Config!$B$16)*100))))</f>
        <v/>
      </c>
      <c r="W957" s="40">
        <f>IF($L957="Elite",Config!$B$21,0)</f>
        <v>0</v>
      </c>
      <c r="X957" s="40" t="str">
        <f>IFERROR(IF(OR($T957="",$G957=""),"",IF($T957&gt;$G957,
  MAX(0, 60-(($T957-$G957)*24/Config!$B$19)*60),
  MEDIAN(60, 100, 60+(($G957-$T957)*24/Config!$B$20)*40)
)),"")
</f>
        <v/>
      </c>
      <c r="Y957" s="40" t="str">
        <f>IF($J957="","",IFERROR(VLOOKUP($J957,Grinders!$A:$N,10,FALSE),""))</f>
        <v/>
      </c>
      <c r="Z957" s="40" t="str">
        <f>IF($J957="","",IFERROR(VLOOKUP($J957,Grinders!$A:$N,11,FALSE),""))</f>
        <v/>
      </c>
      <c r="AA957" s="40" t="str">
        <f>IF($J957="","",IFERROR(VLOOKUP($J957,Grinders!$A:$N,12,FALSE),""))</f>
        <v/>
      </c>
      <c r="AB957" s="40">
        <f>IFERROR(IF(OR($C957="",$J957=""),0,IF($D957&lt;&gt;"Open",0,IF(COUNTIFS(GrinderServices!$B:$B,$J957,GrinderServices!$C:$C,$E957,GrinderServices!$E:$E,"Y")=0,0,IF($U957&lt;Config!$B$16,0,IF(Config!$B$18=1,IF($N957&gt;=$M957,0,1),1))))),"")</f>
        <v>0</v>
      </c>
      <c r="AC957" s="40" t="str">
        <f>IFERROR(IF($AB957=0,"",((Config!$B$6*$V957 + Config!$B$7*$R957 + Config!$B$8*$W957 + Config!$B$9*$X957 + Config!$B$10*$Y957 + Config!$B$11*$Z957 - Config!$B$12*$AA957)/Config!$B$13)+$AH957+$AI957),"")</f>
        <v/>
      </c>
      <c r="AD957" s="40" t="str">
        <f t="shared" si="4"/>
        <v/>
      </c>
      <c r="AE957" s="40" t="str">
        <f>IFERROR(__xludf.DUMMYFUNCTION("IF($AC957="""","""",IF($AC957=IFERROR(MAX(FILTER($AC$6:$AC$1000,$C$6:$C$1000=$C957,$AB$6:$AB$1000=1)),),""WINNER"",""""))"),"")</f>
        <v/>
      </c>
      <c r="AF957" s="40" t="str">
        <f t="shared" si="5"/>
        <v/>
      </c>
      <c r="AG957" s="40" t="str">
        <f>IF($J957="","",COUNTIF(Assignments!$B:$B,$J957))</f>
        <v/>
      </c>
      <c r="AH957" s="40" t="str">
        <f>IF($J957="","",IF(AND($AG957=0,$N957&lt;$M957),Config!$B$43,0))</f>
        <v/>
      </c>
      <c r="AI957" s="40" t="str">
        <f>IF($J957="","",IF(AND($L957="Elite",$F957&gt;=Config!$B$41,$N957&lt;$M957),Config!$B$42,0))</f>
        <v/>
      </c>
      <c r="AJ957" s="22"/>
    </row>
    <row r="958" ht="15.75" customHeight="1">
      <c r="A958" s="40" t="str">
        <f t="shared" si="1"/>
        <v/>
      </c>
      <c r="B958" s="40" t="str">
        <f>IF(Bids!$A958="","",Bids!$A958)</f>
        <v/>
      </c>
      <c r="C958" s="40" t="str">
        <f>IF(Bids!$B958="","",Bids!$B958)</f>
        <v/>
      </c>
      <c r="D958" s="40" t="str">
        <f>IF($C958="","",IFERROR(VLOOKUP($C958,Orders!$A:$J,9,FALSE),""))</f>
        <v/>
      </c>
      <c r="E958" s="40" t="str">
        <f>IF($C958="","",IFERROR(VLOOKUP($C958,Orders!$A:$J,3,FALSE),""))</f>
        <v/>
      </c>
      <c r="F958" s="40" t="str">
        <f>IF($C958="","",IFERROR(VLOOKUP($C958,Orders!$A:$J,4,FALSE),""))</f>
        <v/>
      </c>
      <c r="G958" s="40" t="str">
        <f>IF($C958="","",IFERROR(VLOOKUP($C958,Orders!$A:$J,5,FALSE),""))</f>
        <v/>
      </c>
      <c r="H958" s="40" t="str">
        <f>IF($C958="","",IFERROR(VLOOKUP($C958,Orders!$A:$J,6,FALSE),""))</f>
        <v/>
      </c>
      <c r="I958" s="40" t="str">
        <f>IF($C958="","",IFERROR(VLOOKUP($C958,Orders!$A:$J,7,FALSE),""))</f>
        <v/>
      </c>
      <c r="J958" s="40" t="str">
        <f>IF(Bids!$C958="","",Bids!$C958)</f>
        <v/>
      </c>
      <c r="K958" s="40" t="str">
        <f>IF($J958="","",IFERROR(VLOOKUP($J958,Grinders!$A:$N,2,FALSE),""))</f>
        <v/>
      </c>
      <c r="L958" s="40" t="str">
        <f>IF($J958="","",IFERROR(VLOOKUP($J958,Grinders!$A:$N,3,FALSE),""))</f>
        <v/>
      </c>
      <c r="M958" s="40" t="str">
        <f>IF($J958="","",IFERROR(VLOOKUP($J958,Grinders!$A:$N,4,FALSE),""))</f>
        <v/>
      </c>
      <c r="N958" s="40" t="str">
        <f>IF($J958="","",IFERROR(VLOOKUP($J958,Grinders!$A:$N,5,FALSE),""))</f>
        <v/>
      </c>
      <c r="O958" s="40" t="str">
        <f t="shared" si="2"/>
        <v/>
      </c>
      <c r="P958" s="40" t="str">
        <f>IF($J958="","",IFERROR(VLOOKUP($J958,Grinders!$A:$N,6,FALSE),""))</f>
        <v/>
      </c>
      <c r="Q958" s="40" t="str">
        <f>IF($J958="","",IFERROR(VLOOKUP($J958,Grinders!$A:$N,8,FALSE),""))</f>
        <v/>
      </c>
      <c r="R958" s="40" t="str">
        <f>IFERROR(IF($J958="","",IF($L958="Elite",MAX(50,MIN(100,Config!$B$27*MAX(0,MIN(100,(1-IF($O958="",0,$O958))*100)) + Config!$B$28*MAX(0,MIN(100,(1-MIN(1,IF(Config!$B$30=0,1,$P958/Config!$B$30)))*100)) + Config!$B$29*MAX(0,MIN(100,MIN(1,IF($Q958="",0,$Q958)/Config!$B$23)*100)))),MIN(100,Config!$B$27*MAX(0,MIN(100,(1-IF($O958="",0,$O958))*100)) + Config!$B$28*MAX(0,MIN(100,(1-MIN(1,IF(Config!$B$30=0,1,$P958/Config!$B$30)))*100)) + Config!$B$29*MAX(0,MIN(100,MIN(1,IF($Q958="",0,$Q958)/Config!$B$23)*100))))),"")
</f>
        <v/>
      </c>
      <c r="S958" s="40" t="str">
        <f>IF(Bids!$D958="","",Bids!$D958)</f>
        <v/>
      </c>
      <c r="T958" s="40" t="str">
        <f>IF(Bids!$F958="","",Bids!$F958)</f>
        <v/>
      </c>
      <c r="U958" s="40" t="str">
        <f t="shared" si="3"/>
        <v/>
      </c>
      <c r="V958" s="40" t="str">
        <f>IF($U958="","",IF(Config!$B$17=Config!$B$16,IF($U958&gt;=Config!$B$17,100,0),MAX(0,MIN(100,($U958-Config!$B$16)/(Config!$B$17-Config!$B$16)*100))))</f>
        <v/>
      </c>
      <c r="W958" s="40">
        <f>IF($L958="Elite",Config!$B$21,0)</f>
        <v>0</v>
      </c>
      <c r="X958" s="40" t="str">
        <f>IFERROR(IF(OR($T958="",$G958=""),"",IF($T958&gt;$G958,
  MAX(0, 60-(($T958-$G958)*24/Config!$B$19)*60),
  MEDIAN(60, 100, 60+(($G958-$T958)*24/Config!$B$20)*40)
)),"")
</f>
        <v/>
      </c>
      <c r="Y958" s="40" t="str">
        <f>IF($J958="","",IFERROR(VLOOKUP($J958,Grinders!$A:$N,10,FALSE),""))</f>
        <v/>
      </c>
      <c r="Z958" s="40" t="str">
        <f>IF($J958="","",IFERROR(VLOOKUP($J958,Grinders!$A:$N,11,FALSE),""))</f>
        <v/>
      </c>
      <c r="AA958" s="40" t="str">
        <f>IF($J958="","",IFERROR(VLOOKUP($J958,Grinders!$A:$N,12,FALSE),""))</f>
        <v/>
      </c>
      <c r="AB958" s="40">
        <f>IFERROR(IF(OR($C958="",$J958=""),0,IF($D958&lt;&gt;"Open",0,IF(COUNTIFS(GrinderServices!$B:$B,$J958,GrinderServices!$C:$C,$E958,GrinderServices!$E:$E,"Y")=0,0,IF($U958&lt;Config!$B$16,0,IF(Config!$B$18=1,IF($N958&gt;=$M958,0,1),1))))),"")</f>
        <v>0</v>
      </c>
      <c r="AC958" s="40" t="str">
        <f>IFERROR(IF($AB958=0,"",((Config!$B$6*$V958 + Config!$B$7*$R958 + Config!$B$8*$W958 + Config!$B$9*$X958 + Config!$B$10*$Y958 + Config!$B$11*$Z958 - Config!$B$12*$AA958)/Config!$B$13)+$AH958+$AI958),"")</f>
        <v/>
      </c>
      <c r="AD958" s="40" t="str">
        <f t="shared" si="4"/>
        <v/>
      </c>
      <c r="AE958" s="40" t="str">
        <f>IFERROR(__xludf.DUMMYFUNCTION("IF($AC958="""","""",IF($AC958=IFERROR(MAX(FILTER($AC$6:$AC$1000,$C$6:$C$1000=$C958,$AB$6:$AB$1000=1)),),""WINNER"",""""))"),"")</f>
        <v/>
      </c>
      <c r="AF958" s="40" t="str">
        <f t="shared" si="5"/>
        <v/>
      </c>
      <c r="AG958" s="40" t="str">
        <f>IF($J958="","",COUNTIF(Assignments!$B:$B,$J958))</f>
        <v/>
      </c>
      <c r="AH958" s="40" t="str">
        <f>IF($J958="","",IF(AND($AG958=0,$N958&lt;$M958),Config!$B$43,0))</f>
        <v/>
      </c>
      <c r="AI958" s="40" t="str">
        <f>IF($J958="","",IF(AND($L958="Elite",$F958&gt;=Config!$B$41,$N958&lt;$M958),Config!$B$42,0))</f>
        <v/>
      </c>
      <c r="AJ958" s="22"/>
    </row>
    <row r="959" ht="15.75" customHeight="1">
      <c r="A959" s="40" t="str">
        <f t="shared" si="1"/>
        <v/>
      </c>
      <c r="B959" s="40" t="str">
        <f>IF(Bids!$A959="","",Bids!$A959)</f>
        <v/>
      </c>
      <c r="C959" s="40" t="str">
        <f>IF(Bids!$B959="","",Bids!$B959)</f>
        <v/>
      </c>
      <c r="D959" s="40" t="str">
        <f>IF($C959="","",IFERROR(VLOOKUP($C959,Orders!$A:$J,9,FALSE),""))</f>
        <v/>
      </c>
      <c r="E959" s="40" t="str">
        <f>IF($C959="","",IFERROR(VLOOKUP($C959,Orders!$A:$J,3,FALSE),""))</f>
        <v/>
      </c>
      <c r="F959" s="40" t="str">
        <f>IF($C959="","",IFERROR(VLOOKUP($C959,Orders!$A:$J,4,FALSE),""))</f>
        <v/>
      </c>
      <c r="G959" s="40" t="str">
        <f>IF($C959="","",IFERROR(VLOOKUP($C959,Orders!$A:$J,5,FALSE),""))</f>
        <v/>
      </c>
      <c r="H959" s="40" t="str">
        <f>IF($C959="","",IFERROR(VLOOKUP($C959,Orders!$A:$J,6,FALSE),""))</f>
        <v/>
      </c>
      <c r="I959" s="40" t="str">
        <f>IF($C959="","",IFERROR(VLOOKUP($C959,Orders!$A:$J,7,FALSE),""))</f>
        <v/>
      </c>
      <c r="J959" s="40" t="str">
        <f>IF(Bids!$C959="","",Bids!$C959)</f>
        <v/>
      </c>
      <c r="K959" s="40" t="str">
        <f>IF($J959="","",IFERROR(VLOOKUP($J959,Grinders!$A:$N,2,FALSE),""))</f>
        <v/>
      </c>
      <c r="L959" s="40" t="str">
        <f>IF($J959="","",IFERROR(VLOOKUP($J959,Grinders!$A:$N,3,FALSE),""))</f>
        <v/>
      </c>
      <c r="M959" s="40" t="str">
        <f>IF($J959="","",IFERROR(VLOOKUP($J959,Grinders!$A:$N,4,FALSE),""))</f>
        <v/>
      </c>
      <c r="N959" s="40" t="str">
        <f>IF($J959="","",IFERROR(VLOOKUP($J959,Grinders!$A:$N,5,FALSE),""))</f>
        <v/>
      </c>
      <c r="O959" s="40" t="str">
        <f t="shared" si="2"/>
        <v/>
      </c>
      <c r="P959" s="40" t="str">
        <f>IF($J959="","",IFERROR(VLOOKUP($J959,Grinders!$A:$N,6,FALSE),""))</f>
        <v/>
      </c>
      <c r="Q959" s="40" t="str">
        <f>IF($J959="","",IFERROR(VLOOKUP($J959,Grinders!$A:$N,8,FALSE),""))</f>
        <v/>
      </c>
      <c r="R959" s="40" t="str">
        <f>IFERROR(IF($J959="","",IF($L959="Elite",MAX(50,MIN(100,Config!$B$27*MAX(0,MIN(100,(1-IF($O959="",0,$O959))*100)) + Config!$B$28*MAX(0,MIN(100,(1-MIN(1,IF(Config!$B$30=0,1,$P959/Config!$B$30)))*100)) + Config!$B$29*MAX(0,MIN(100,MIN(1,IF($Q959="",0,$Q959)/Config!$B$23)*100)))),MIN(100,Config!$B$27*MAX(0,MIN(100,(1-IF($O959="",0,$O959))*100)) + Config!$B$28*MAX(0,MIN(100,(1-MIN(1,IF(Config!$B$30=0,1,$P959/Config!$B$30)))*100)) + Config!$B$29*MAX(0,MIN(100,MIN(1,IF($Q959="",0,$Q959)/Config!$B$23)*100))))),"")
</f>
        <v/>
      </c>
      <c r="S959" s="40" t="str">
        <f>IF(Bids!$D959="","",Bids!$D959)</f>
        <v/>
      </c>
      <c r="T959" s="40" t="str">
        <f>IF(Bids!$F959="","",Bids!$F959)</f>
        <v/>
      </c>
      <c r="U959" s="40" t="str">
        <f t="shared" si="3"/>
        <v/>
      </c>
      <c r="V959" s="40" t="str">
        <f>IF($U959="","",IF(Config!$B$17=Config!$B$16,IF($U959&gt;=Config!$B$17,100,0),MAX(0,MIN(100,($U959-Config!$B$16)/(Config!$B$17-Config!$B$16)*100))))</f>
        <v/>
      </c>
      <c r="W959" s="40">
        <f>IF($L959="Elite",Config!$B$21,0)</f>
        <v>0</v>
      </c>
      <c r="X959" s="40" t="str">
        <f>IFERROR(IF(OR($T959="",$G959=""),"",IF($T959&gt;$G959,
  MAX(0, 60-(($T959-$G959)*24/Config!$B$19)*60),
  MEDIAN(60, 100, 60+(($G959-$T959)*24/Config!$B$20)*40)
)),"")
</f>
        <v/>
      </c>
      <c r="Y959" s="40" t="str">
        <f>IF($J959="","",IFERROR(VLOOKUP($J959,Grinders!$A:$N,10,FALSE),""))</f>
        <v/>
      </c>
      <c r="Z959" s="40" t="str">
        <f>IF($J959="","",IFERROR(VLOOKUP($J959,Grinders!$A:$N,11,FALSE),""))</f>
        <v/>
      </c>
      <c r="AA959" s="40" t="str">
        <f>IF($J959="","",IFERROR(VLOOKUP($J959,Grinders!$A:$N,12,FALSE),""))</f>
        <v/>
      </c>
      <c r="AB959" s="40">
        <f>IFERROR(IF(OR($C959="",$J959=""),0,IF($D959&lt;&gt;"Open",0,IF(COUNTIFS(GrinderServices!$B:$B,$J959,GrinderServices!$C:$C,$E959,GrinderServices!$E:$E,"Y")=0,0,IF($U959&lt;Config!$B$16,0,IF(Config!$B$18=1,IF($N959&gt;=$M959,0,1),1))))),"")</f>
        <v>0</v>
      </c>
      <c r="AC959" s="40" t="str">
        <f>IFERROR(IF($AB959=0,"",((Config!$B$6*$V959 + Config!$B$7*$R959 + Config!$B$8*$W959 + Config!$B$9*$X959 + Config!$B$10*$Y959 + Config!$B$11*$Z959 - Config!$B$12*$AA959)/Config!$B$13)+$AH959+$AI959),"")</f>
        <v/>
      </c>
      <c r="AD959" s="40" t="str">
        <f t="shared" si="4"/>
        <v/>
      </c>
      <c r="AE959" s="40" t="str">
        <f>IFERROR(__xludf.DUMMYFUNCTION("IF($AC959="""","""",IF($AC959=IFERROR(MAX(FILTER($AC$6:$AC$1000,$C$6:$C$1000=$C959,$AB$6:$AB$1000=1)),),""WINNER"",""""))"),"")</f>
        <v/>
      </c>
      <c r="AF959" s="40" t="str">
        <f t="shared" si="5"/>
        <v/>
      </c>
      <c r="AG959" s="40" t="str">
        <f>IF($J959="","",COUNTIF(Assignments!$B:$B,$J959))</f>
        <v/>
      </c>
      <c r="AH959" s="40" t="str">
        <f>IF($J959="","",IF(AND($AG959=0,$N959&lt;$M959),Config!$B$43,0))</f>
        <v/>
      </c>
      <c r="AI959" s="40" t="str">
        <f>IF($J959="","",IF(AND($L959="Elite",$F959&gt;=Config!$B$41,$N959&lt;$M959),Config!$B$42,0))</f>
        <v/>
      </c>
      <c r="AJ959" s="22"/>
    </row>
    <row r="960" ht="15.75" customHeight="1">
      <c r="A960" s="40" t="str">
        <f t="shared" si="1"/>
        <v/>
      </c>
      <c r="B960" s="40" t="str">
        <f>IF(Bids!$A960="","",Bids!$A960)</f>
        <v/>
      </c>
      <c r="C960" s="40" t="str">
        <f>IF(Bids!$B960="","",Bids!$B960)</f>
        <v/>
      </c>
      <c r="D960" s="40" t="str">
        <f>IF($C960="","",IFERROR(VLOOKUP($C960,Orders!$A:$J,9,FALSE),""))</f>
        <v/>
      </c>
      <c r="E960" s="40" t="str">
        <f>IF($C960="","",IFERROR(VLOOKUP($C960,Orders!$A:$J,3,FALSE),""))</f>
        <v/>
      </c>
      <c r="F960" s="40" t="str">
        <f>IF($C960="","",IFERROR(VLOOKUP($C960,Orders!$A:$J,4,FALSE),""))</f>
        <v/>
      </c>
      <c r="G960" s="40" t="str">
        <f>IF($C960="","",IFERROR(VLOOKUP($C960,Orders!$A:$J,5,FALSE),""))</f>
        <v/>
      </c>
      <c r="H960" s="40" t="str">
        <f>IF($C960="","",IFERROR(VLOOKUP($C960,Orders!$A:$J,6,FALSE),""))</f>
        <v/>
      </c>
      <c r="I960" s="40" t="str">
        <f>IF($C960="","",IFERROR(VLOOKUP($C960,Orders!$A:$J,7,FALSE),""))</f>
        <v/>
      </c>
      <c r="J960" s="40" t="str">
        <f>IF(Bids!$C960="","",Bids!$C960)</f>
        <v/>
      </c>
      <c r="K960" s="40" t="str">
        <f>IF($J960="","",IFERROR(VLOOKUP($J960,Grinders!$A:$N,2,FALSE),""))</f>
        <v/>
      </c>
      <c r="L960" s="40" t="str">
        <f>IF($J960="","",IFERROR(VLOOKUP($J960,Grinders!$A:$N,3,FALSE),""))</f>
        <v/>
      </c>
      <c r="M960" s="40" t="str">
        <f>IF($J960="","",IFERROR(VLOOKUP($J960,Grinders!$A:$N,4,FALSE),""))</f>
        <v/>
      </c>
      <c r="N960" s="40" t="str">
        <f>IF($J960="","",IFERROR(VLOOKUP($J960,Grinders!$A:$N,5,FALSE),""))</f>
        <v/>
      </c>
      <c r="O960" s="40" t="str">
        <f t="shared" si="2"/>
        <v/>
      </c>
      <c r="P960" s="40" t="str">
        <f>IF($J960="","",IFERROR(VLOOKUP($J960,Grinders!$A:$N,6,FALSE),""))</f>
        <v/>
      </c>
      <c r="Q960" s="40" t="str">
        <f>IF($J960="","",IFERROR(VLOOKUP($J960,Grinders!$A:$N,8,FALSE),""))</f>
        <v/>
      </c>
      <c r="R960" s="40" t="str">
        <f>IFERROR(IF($J960="","",IF($L960="Elite",MAX(50,MIN(100,Config!$B$27*MAX(0,MIN(100,(1-IF($O960="",0,$O960))*100)) + Config!$B$28*MAX(0,MIN(100,(1-MIN(1,IF(Config!$B$30=0,1,$P960/Config!$B$30)))*100)) + Config!$B$29*MAX(0,MIN(100,MIN(1,IF($Q960="",0,$Q960)/Config!$B$23)*100)))),MIN(100,Config!$B$27*MAX(0,MIN(100,(1-IF($O960="",0,$O960))*100)) + Config!$B$28*MAX(0,MIN(100,(1-MIN(1,IF(Config!$B$30=0,1,$P960/Config!$B$30)))*100)) + Config!$B$29*MAX(0,MIN(100,MIN(1,IF($Q960="",0,$Q960)/Config!$B$23)*100))))),"")
</f>
        <v/>
      </c>
      <c r="S960" s="40" t="str">
        <f>IF(Bids!$D960="","",Bids!$D960)</f>
        <v/>
      </c>
      <c r="T960" s="40" t="str">
        <f>IF(Bids!$F960="","",Bids!$F960)</f>
        <v/>
      </c>
      <c r="U960" s="40" t="str">
        <f t="shared" si="3"/>
        <v/>
      </c>
      <c r="V960" s="40" t="str">
        <f>IF($U960="","",IF(Config!$B$17=Config!$B$16,IF($U960&gt;=Config!$B$17,100,0),MAX(0,MIN(100,($U960-Config!$B$16)/(Config!$B$17-Config!$B$16)*100))))</f>
        <v/>
      </c>
      <c r="W960" s="40">
        <f>IF($L960="Elite",Config!$B$21,0)</f>
        <v>0</v>
      </c>
      <c r="X960" s="40" t="str">
        <f>IFERROR(IF(OR($T960="",$G960=""),"",IF($T960&gt;$G960,
  MAX(0, 60-(($T960-$G960)*24/Config!$B$19)*60),
  MEDIAN(60, 100, 60+(($G960-$T960)*24/Config!$B$20)*40)
)),"")
</f>
        <v/>
      </c>
      <c r="Y960" s="40" t="str">
        <f>IF($J960="","",IFERROR(VLOOKUP($J960,Grinders!$A:$N,10,FALSE),""))</f>
        <v/>
      </c>
      <c r="Z960" s="40" t="str">
        <f>IF($J960="","",IFERROR(VLOOKUP($J960,Grinders!$A:$N,11,FALSE),""))</f>
        <v/>
      </c>
      <c r="AA960" s="40" t="str">
        <f>IF($J960="","",IFERROR(VLOOKUP($J960,Grinders!$A:$N,12,FALSE),""))</f>
        <v/>
      </c>
      <c r="AB960" s="40">
        <f>IFERROR(IF(OR($C960="",$J960=""),0,IF($D960&lt;&gt;"Open",0,IF(COUNTIFS(GrinderServices!$B:$B,$J960,GrinderServices!$C:$C,$E960,GrinderServices!$E:$E,"Y")=0,0,IF($U960&lt;Config!$B$16,0,IF(Config!$B$18=1,IF($N960&gt;=$M960,0,1),1))))),"")</f>
        <v>0</v>
      </c>
      <c r="AC960" s="40" t="str">
        <f>IFERROR(IF($AB960=0,"",((Config!$B$6*$V960 + Config!$B$7*$R960 + Config!$B$8*$W960 + Config!$B$9*$X960 + Config!$B$10*$Y960 + Config!$B$11*$Z960 - Config!$B$12*$AA960)/Config!$B$13)+$AH960+$AI960),"")</f>
        <v/>
      </c>
      <c r="AD960" s="40" t="str">
        <f t="shared" si="4"/>
        <v/>
      </c>
      <c r="AE960" s="40" t="str">
        <f>IFERROR(__xludf.DUMMYFUNCTION("IF($AC960="""","""",IF($AC960=IFERROR(MAX(FILTER($AC$6:$AC$1000,$C$6:$C$1000=$C960,$AB$6:$AB$1000=1)),),""WINNER"",""""))"),"")</f>
        <v/>
      </c>
      <c r="AF960" s="40" t="str">
        <f t="shared" si="5"/>
        <v/>
      </c>
      <c r="AG960" s="40" t="str">
        <f>IF($J960="","",COUNTIF(Assignments!$B:$B,$J960))</f>
        <v/>
      </c>
      <c r="AH960" s="40" t="str">
        <f>IF($J960="","",IF(AND($AG960=0,$N960&lt;$M960),Config!$B$43,0))</f>
        <v/>
      </c>
      <c r="AI960" s="40" t="str">
        <f>IF($J960="","",IF(AND($L960="Elite",$F960&gt;=Config!$B$41,$N960&lt;$M960),Config!$B$42,0))</f>
        <v/>
      </c>
      <c r="AJ960" s="22"/>
    </row>
    <row r="961" ht="15.75" customHeight="1">
      <c r="A961" s="40" t="str">
        <f t="shared" si="1"/>
        <v/>
      </c>
      <c r="B961" s="40" t="str">
        <f>IF(Bids!$A961="","",Bids!$A961)</f>
        <v/>
      </c>
      <c r="C961" s="40" t="str">
        <f>IF(Bids!$B961="","",Bids!$B961)</f>
        <v/>
      </c>
      <c r="D961" s="40" t="str">
        <f>IF($C961="","",IFERROR(VLOOKUP($C961,Orders!$A:$J,9,FALSE),""))</f>
        <v/>
      </c>
      <c r="E961" s="40" t="str">
        <f>IF($C961="","",IFERROR(VLOOKUP($C961,Orders!$A:$J,3,FALSE),""))</f>
        <v/>
      </c>
      <c r="F961" s="40" t="str">
        <f>IF($C961="","",IFERROR(VLOOKUP($C961,Orders!$A:$J,4,FALSE),""))</f>
        <v/>
      </c>
      <c r="G961" s="40" t="str">
        <f>IF($C961="","",IFERROR(VLOOKUP($C961,Orders!$A:$J,5,FALSE),""))</f>
        <v/>
      </c>
      <c r="H961" s="40" t="str">
        <f>IF($C961="","",IFERROR(VLOOKUP($C961,Orders!$A:$J,6,FALSE),""))</f>
        <v/>
      </c>
      <c r="I961" s="40" t="str">
        <f>IF($C961="","",IFERROR(VLOOKUP($C961,Orders!$A:$J,7,FALSE),""))</f>
        <v/>
      </c>
      <c r="J961" s="40" t="str">
        <f>IF(Bids!$C961="","",Bids!$C961)</f>
        <v/>
      </c>
      <c r="K961" s="40" t="str">
        <f>IF($J961="","",IFERROR(VLOOKUP($J961,Grinders!$A:$N,2,FALSE),""))</f>
        <v/>
      </c>
      <c r="L961" s="40" t="str">
        <f>IF($J961="","",IFERROR(VLOOKUP($J961,Grinders!$A:$N,3,FALSE),""))</f>
        <v/>
      </c>
      <c r="M961" s="40" t="str">
        <f>IF($J961="","",IFERROR(VLOOKUP($J961,Grinders!$A:$N,4,FALSE),""))</f>
        <v/>
      </c>
      <c r="N961" s="40" t="str">
        <f>IF($J961="","",IFERROR(VLOOKUP($J961,Grinders!$A:$N,5,FALSE),""))</f>
        <v/>
      </c>
      <c r="O961" s="40" t="str">
        <f t="shared" si="2"/>
        <v/>
      </c>
      <c r="P961" s="40" t="str">
        <f>IF($J961="","",IFERROR(VLOOKUP($J961,Grinders!$A:$N,6,FALSE),""))</f>
        <v/>
      </c>
      <c r="Q961" s="40" t="str">
        <f>IF($J961="","",IFERROR(VLOOKUP($J961,Grinders!$A:$N,8,FALSE),""))</f>
        <v/>
      </c>
      <c r="R961" s="40" t="str">
        <f>IFERROR(IF($J961="","",IF($L961="Elite",MAX(50,MIN(100,Config!$B$27*MAX(0,MIN(100,(1-IF($O961="",0,$O961))*100)) + Config!$B$28*MAX(0,MIN(100,(1-MIN(1,IF(Config!$B$30=0,1,$P961/Config!$B$30)))*100)) + Config!$B$29*MAX(0,MIN(100,MIN(1,IF($Q961="",0,$Q961)/Config!$B$23)*100)))),MIN(100,Config!$B$27*MAX(0,MIN(100,(1-IF($O961="",0,$O961))*100)) + Config!$B$28*MAX(0,MIN(100,(1-MIN(1,IF(Config!$B$30=0,1,$P961/Config!$B$30)))*100)) + Config!$B$29*MAX(0,MIN(100,MIN(1,IF($Q961="",0,$Q961)/Config!$B$23)*100))))),"")
</f>
        <v/>
      </c>
      <c r="S961" s="40" t="str">
        <f>IF(Bids!$D961="","",Bids!$D961)</f>
        <v/>
      </c>
      <c r="T961" s="40" t="str">
        <f>IF(Bids!$F961="","",Bids!$F961)</f>
        <v/>
      </c>
      <c r="U961" s="40" t="str">
        <f t="shared" si="3"/>
        <v/>
      </c>
      <c r="V961" s="40" t="str">
        <f>IF($U961="","",IF(Config!$B$17=Config!$B$16,IF($U961&gt;=Config!$B$17,100,0),MAX(0,MIN(100,($U961-Config!$B$16)/(Config!$B$17-Config!$B$16)*100))))</f>
        <v/>
      </c>
      <c r="W961" s="40">
        <f>IF($L961="Elite",Config!$B$21,0)</f>
        <v>0</v>
      </c>
      <c r="X961" s="40" t="str">
        <f>IFERROR(IF(OR($T961="",$G961=""),"",IF($T961&gt;$G961,
  MAX(0, 60-(($T961-$G961)*24/Config!$B$19)*60),
  MEDIAN(60, 100, 60+(($G961-$T961)*24/Config!$B$20)*40)
)),"")
</f>
        <v/>
      </c>
      <c r="Y961" s="40" t="str">
        <f>IF($J961="","",IFERROR(VLOOKUP($J961,Grinders!$A:$N,10,FALSE),""))</f>
        <v/>
      </c>
      <c r="Z961" s="40" t="str">
        <f>IF($J961="","",IFERROR(VLOOKUP($J961,Grinders!$A:$N,11,FALSE),""))</f>
        <v/>
      </c>
      <c r="AA961" s="40" t="str">
        <f>IF($J961="","",IFERROR(VLOOKUP($J961,Grinders!$A:$N,12,FALSE),""))</f>
        <v/>
      </c>
      <c r="AB961" s="40">
        <f>IFERROR(IF(OR($C961="",$J961=""),0,IF($D961&lt;&gt;"Open",0,IF(COUNTIFS(GrinderServices!$B:$B,$J961,GrinderServices!$C:$C,$E961,GrinderServices!$E:$E,"Y")=0,0,IF($U961&lt;Config!$B$16,0,IF(Config!$B$18=1,IF($N961&gt;=$M961,0,1),1))))),"")</f>
        <v>0</v>
      </c>
      <c r="AC961" s="40" t="str">
        <f>IFERROR(IF($AB961=0,"",((Config!$B$6*$V961 + Config!$B$7*$R961 + Config!$B$8*$W961 + Config!$B$9*$X961 + Config!$B$10*$Y961 + Config!$B$11*$Z961 - Config!$B$12*$AA961)/Config!$B$13)+$AH961+$AI961),"")</f>
        <v/>
      </c>
      <c r="AD961" s="40" t="str">
        <f t="shared" si="4"/>
        <v/>
      </c>
      <c r="AE961" s="40" t="str">
        <f>IFERROR(__xludf.DUMMYFUNCTION("IF($AC961="""","""",IF($AC961=IFERROR(MAX(FILTER($AC$6:$AC$1000,$C$6:$C$1000=$C961,$AB$6:$AB$1000=1)),),""WINNER"",""""))"),"")</f>
        <v/>
      </c>
      <c r="AF961" s="40" t="str">
        <f t="shared" si="5"/>
        <v/>
      </c>
      <c r="AG961" s="40" t="str">
        <f>IF($J961="","",COUNTIF(Assignments!$B:$B,$J961))</f>
        <v/>
      </c>
      <c r="AH961" s="40" t="str">
        <f>IF($J961="","",IF(AND($AG961=0,$N961&lt;$M961),Config!$B$43,0))</f>
        <v/>
      </c>
      <c r="AI961" s="40" t="str">
        <f>IF($J961="","",IF(AND($L961="Elite",$F961&gt;=Config!$B$41,$N961&lt;$M961),Config!$B$42,0))</f>
        <v/>
      </c>
      <c r="AJ961" s="22"/>
    </row>
    <row r="962" ht="15.75" customHeight="1">
      <c r="A962" s="40" t="str">
        <f t="shared" si="1"/>
        <v/>
      </c>
      <c r="B962" s="40" t="str">
        <f>IF(Bids!$A962="","",Bids!$A962)</f>
        <v/>
      </c>
      <c r="C962" s="40" t="str">
        <f>IF(Bids!$B962="","",Bids!$B962)</f>
        <v/>
      </c>
      <c r="D962" s="40" t="str">
        <f>IF($C962="","",IFERROR(VLOOKUP($C962,Orders!$A:$J,9,FALSE),""))</f>
        <v/>
      </c>
      <c r="E962" s="40" t="str">
        <f>IF($C962="","",IFERROR(VLOOKUP($C962,Orders!$A:$J,3,FALSE),""))</f>
        <v/>
      </c>
      <c r="F962" s="40" t="str">
        <f>IF($C962="","",IFERROR(VLOOKUP($C962,Orders!$A:$J,4,FALSE),""))</f>
        <v/>
      </c>
      <c r="G962" s="40" t="str">
        <f>IF($C962="","",IFERROR(VLOOKUP($C962,Orders!$A:$J,5,FALSE),""))</f>
        <v/>
      </c>
      <c r="H962" s="40" t="str">
        <f>IF($C962="","",IFERROR(VLOOKUP($C962,Orders!$A:$J,6,FALSE),""))</f>
        <v/>
      </c>
      <c r="I962" s="40" t="str">
        <f>IF($C962="","",IFERROR(VLOOKUP($C962,Orders!$A:$J,7,FALSE),""))</f>
        <v/>
      </c>
      <c r="J962" s="40" t="str">
        <f>IF(Bids!$C962="","",Bids!$C962)</f>
        <v/>
      </c>
      <c r="K962" s="40" t="str">
        <f>IF($J962="","",IFERROR(VLOOKUP($J962,Grinders!$A:$N,2,FALSE),""))</f>
        <v/>
      </c>
      <c r="L962" s="40" t="str">
        <f>IF($J962="","",IFERROR(VLOOKUP($J962,Grinders!$A:$N,3,FALSE),""))</f>
        <v/>
      </c>
      <c r="M962" s="40" t="str">
        <f>IF($J962="","",IFERROR(VLOOKUP($J962,Grinders!$A:$N,4,FALSE),""))</f>
        <v/>
      </c>
      <c r="N962" s="40" t="str">
        <f>IF($J962="","",IFERROR(VLOOKUP($J962,Grinders!$A:$N,5,FALSE),""))</f>
        <v/>
      </c>
      <c r="O962" s="40" t="str">
        <f t="shared" si="2"/>
        <v/>
      </c>
      <c r="P962" s="40" t="str">
        <f>IF($J962="","",IFERROR(VLOOKUP($J962,Grinders!$A:$N,6,FALSE),""))</f>
        <v/>
      </c>
      <c r="Q962" s="40" t="str">
        <f>IF($J962="","",IFERROR(VLOOKUP($J962,Grinders!$A:$N,8,FALSE),""))</f>
        <v/>
      </c>
      <c r="R962" s="40" t="str">
        <f>IFERROR(IF($J962="","",IF($L962="Elite",MAX(50,MIN(100,Config!$B$27*MAX(0,MIN(100,(1-IF($O962="",0,$O962))*100)) + Config!$B$28*MAX(0,MIN(100,(1-MIN(1,IF(Config!$B$30=0,1,$P962/Config!$B$30)))*100)) + Config!$B$29*MAX(0,MIN(100,MIN(1,IF($Q962="",0,$Q962)/Config!$B$23)*100)))),MIN(100,Config!$B$27*MAX(0,MIN(100,(1-IF($O962="",0,$O962))*100)) + Config!$B$28*MAX(0,MIN(100,(1-MIN(1,IF(Config!$B$30=0,1,$P962/Config!$B$30)))*100)) + Config!$B$29*MAX(0,MIN(100,MIN(1,IF($Q962="",0,$Q962)/Config!$B$23)*100))))),"")
</f>
        <v/>
      </c>
      <c r="S962" s="40" t="str">
        <f>IF(Bids!$D962="","",Bids!$D962)</f>
        <v/>
      </c>
      <c r="T962" s="40" t="str">
        <f>IF(Bids!$F962="","",Bids!$F962)</f>
        <v/>
      </c>
      <c r="U962" s="40" t="str">
        <f t="shared" si="3"/>
        <v/>
      </c>
      <c r="V962" s="40" t="str">
        <f>IF($U962="","",IF(Config!$B$17=Config!$B$16,IF($U962&gt;=Config!$B$17,100,0),MAX(0,MIN(100,($U962-Config!$B$16)/(Config!$B$17-Config!$B$16)*100))))</f>
        <v/>
      </c>
      <c r="W962" s="40">
        <f>IF($L962="Elite",Config!$B$21,0)</f>
        <v>0</v>
      </c>
      <c r="X962" s="40" t="str">
        <f>IFERROR(IF(OR($T962="",$G962=""),"",IF($T962&gt;$G962,
  MAX(0, 60-(($T962-$G962)*24/Config!$B$19)*60),
  MEDIAN(60, 100, 60+(($G962-$T962)*24/Config!$B$20)*40)
)),"")
</f>
        <v/>
      </c>
      <c r="Y962" s="40" t="str">
        <f>IF($J962="","",IFERROR(VLOOKUP($J962,Grinders!$A:$N,10,FALSE),""))</f>
        <v/>
      </c>
      <c r="Z962" s="40" t="str">
        <f>IF($J962="","",IFERROR(VLOOKUP($J962,Grinders!$A:$N,11,FALSE),""))</f>
        <v/>
      </c>
      <c r="AA962" s="40" t="str">
        <f>IF($J962="","",IFERROR(VLOOKUP($J962,Grinders!$A:$N,12,FALSE),""))</f>
        <v/>
      </c>
      <c r="AB962" s="40">
        <f>IFERROR(IF(OR($C962="",$J962=""),0,IF($D962&lt;&gt;"Open",0,IF(COUNTIFS(GrinderServices!$B:$B,$J962,GrinderServices!$C:$C,$E962,GrinderServices!$E:$E,"Y")=0,0,IF($U962&lt;Config!$B$16,0,IF(Config!$B$18=1,IF($N962&gt;=$M962,0,1),1))))),"")</f>
        <v>0</v>
      </c>
      <c r="AC962" s="40" t="str">
        <f>IFERROR(IF($AB962=0,"",((Config!$B$6*$V962 + Config!$B$7*$R962 + Config!$B$8*$W962 + Config!$B$9*$X962 + Config!$B$10*$Y962 + Config!$B$11*$Z962 - Config!$B$12*$AA962)/Config!$B$13)+$AH962+$AI962),"")</f>
        <v/>
      </c>
      <c r="AD962" s="40" t="str">
        <f t="shared" si="4"/>
        <v/>
      </c>
      <c r="AE962" s="40" t="str">
        <f>IFERROR(__xludf.DUMMYFUNCTION("IF($AC962="""","""",IF($AC962=IFERROR(MAX(FILTER($AC$6:$AC$1000,$C$6:$C$1000=$C962,$AB$6:$AB$1000=1)),),""WINNER"",""""))"),"")</f>
        <v/>
      </c>
      <c r="AF962" s="40" t="str">
        <f t="shared" si="5"/>
        <v/>
      </c>
      <c r="AG962" s="40" t="str">
        <f>IF($J962="","",COUNTIF(Assignments!$B:$B,$J962))</f>
        <v/>
      </c>
      <c r="AH962" s="40" t="str">
        <f>IF($J962="","",IF(AND($AG962=0,$N962&lt;$M962),Config!$B$43,0))</f>
        <v/>
      </c>
      <c r="AI962" s="40" t="str">
        <f>IF($J962="","",IF(AND($L962="Elite",$F962&gt;=Config!$B$41,$N962&lt;$M962),Config!$B$42,0))</f>
        <v/>
      </c>
      <c r="AJ962" s="22"/>
    </row>
    <row r="963" ht="15.75" customHeight="1">
      <c r="A963" s="40" t="str">
        <f t="shared" si="1"/>
        <v/>
      </c>
      <c r="B963" s="40" t="str">
        <f>IF(Bids!$A963="","",Bids!$A963)</f>
        <v/>
      </c>
      <c r="C963" s="40" t="str">
        <f>IF(Bids!$B963="","",Bids!$B963)</f>
        <v/>
      </c>
      <c r="D963" s="40" t="str">
        <f>IF($C963="","",IFERROR(VLOOKUP($C963,Orders!$A:$J,9,FALSE),""))</f>
        <v/>
      </c>
      <c r="E963" s="40" t="str">
        <f>IF($C963="","",IFERROR(VLOOKUP($C963,Orders!$A:$J,3,FALSE),""))</f>
        <v/>
      </c>
      <c r="F963" s="40" t="str">
        <f>IF($C963="","",IFERROR(VLOOKUP($C963,Orders!$A:$J,4,FALSE),""))</f>
        <v/>
      </c>
      <c r="G963" s="40" t="str">
        <f>IF($C963="","",IFERROR(VLOOKUP($C963,Orders!$A:$J,5,FALSE),""))</f>
        <v/>
      </c>
      <c r="H963" s="40" t="str">
        <f>IF($C963="","",IFERROR(VLOOKUP($C963,Orders!$A:$J,6,FALSE),""))</f>
        <v/>
      </c>
      <c r="I963" s="40" t="str">
        <f>IF($C963="","",IFERROR(VLOOKUP($C963,Orders!$A:$J,7,FALSE),""))</f>
        <v/>
      </c>
      <c r="J963" s="40" t="str">
        <f>IF(Bids!$C963="","",Bids!$C963)</f>
        <v/>
      </c>
      <c r="K963" s="40" t="str">
        <f>IF($J963="","",IFERROR(VLOOKUP($J963,Grinders!$A:$N,2,FALSE),""))</f>
        <v/>
      </c>
      <c r="L963" s="40" t="str">
        <f>IF($J963="","",IFERROR(VLOOKUP($J963,Grinders!$A:$N,3,FALSE),""))</f>
        <v/>
      </c>
      <c r="M963" s="40" t="str">
        <f>IF($J963="","",IFERROR(VLOOKUP($J963,Grinders!$A:$N,4,FALSE),""))</f>
        <v/>
      </c>
      <c r="N963" s="40" t="str">
        <f>IF($J963="","",IFERROR(VLOOKUP($J963,Grinders!$A:$N,5,FALSE),""))</f>
        <v/>
      </c>
      <c r="O963" s="40" t="str">
        <f t="shared" si="2"/>
        <v/>
      </c>
      <c r="P963" s="40" t="str">
        <f>IF($J963="","",IFERROR(VLOOKUP($J963,Grinders!$A:$N,6,FALSE),""))</f>
        <v/>
      </c>
      <c r="Q963" s="40" t="str">
        <f>IF($J963="","",IFERROR(VLOOKUP($J963,Grinders!$A:$N,8,FALSE),""))</f>
        <v/>
      </c>
      <c r="R963" s="40" t="str">
        <f>IFERROR(IF($J963="","",IF($L963="Elite",MAX(50,MIN(100,Config!$B$27*MAX(0,MIN(100,(1-IF($O963="",0,$O963))*100)) + Config!$B$28*MAX(0,MIN(100,(1-MIN(1,IF(Config!$B$30=0,1,$P963/Config!$B$30)))*100)) + Config!$B$29*MAX(0,MIN(100,MIN(1,IF($Q963="",0,$Q963)/Config!$B$23)*100)))),MIN(100,Config!$B$27*MAX(0,MIN(100,(1-IF($O963="",0,$O963))*100)) + Config!$B$28*MAX(0,MIN(100,(1-MIN(1,IF(Config!$B$30=0,1,$P963/Config!$B$30)))*100)) + Config!$B$29*MAX(0,MIN(100,MIN(1,IF($Q963="",0,$Q963)/Config!$B$23)*100))))),"")
</f>
        <v/>
      </c>
      <c r="S963" s="40" t="str">
        <f>IF(Bids!$D963="","",Bids!$D963)</f>
        <v/>
      </c>
      <c r="T963" s="40" t="str">
        <f>IF(Bids!$F963="","",Bids!$F963)</f>
        <v/>
      </c>
      <c r="U963" s="40" t="str">
        <f t="shared" si="3"/>
        <v/>
      </c>
      <c r="V963" s="40" t="str">
        <f>IF($U963="","",IF(Config!$B$17=Config!$B$16,IF($U963&gt;=Config!$B$17,100,0),MAX(0,MIN(100,($U963-Config!$B$16)/(Config!$B$17-Config!$B$16)*100))))</f>
        <v/>
      </c>
      <c r="W963" s="40">
        <f>IF($L963="Elite",Config!$B$21,0)</f>
        <v>0</v>
      </c>
      <c r="X963" s="40" t="str">
        <f>IFERROR(IF(OR($T963="",$G963=""),"",IF($T963&gt;$G963,
  MAX(0, 60-(($T963-$G963)*24/Config!$B$19)*60),
  MEDIAN(60, 100, 60+(($G963-$T963)*24/Config!$B$20)*40)
)),"")
</f>
        <v/>
      </c>
      <c r="Y963" s="40" t="str">
        <f>IF($J963="","",IFERROR(VLOOKUP($J963,Grinders!$A:$N,10,FALSE),""))</f>
        <v/>
      </c>
      <c r="Z963" s="40" t="str">
        <f>IF($J963="","",IFERROR(VLOOKUP($J963,Grinders!$A:$N,11,FALSE),""))</f>
        <v/>
      </c>
      <c r="AA963" s="40" t="str">
        <f>IF($J963="","",IFERROR(VLOOKUP($J963,Grinders!$A:$N,12,FALSE),""))</f>
        <v/>
      </c>
      <c r="AB963" s="40">
        <f>IFERROR(IF(OR($C963="",$J963=""),0,IF($D963&lt;&gt;"Open",0,IF(COUNTIFS(GrinderServices!$B:$B,$J963,GrinderServices!$C:$C,$E963,GrinderServices!$E:$E,"Y")=0,0,IF($U963&lt;Config!$B$16,0,IF(Config!$B$18=1,IF($N963&gt;=$M963,0,1),1))))),"")</f>
        <v>0</v>
      </c>
      <c r="AC963" s="40" t="str">
        <f>IFERROR(IF($AB963=0,"",((Config!$B$6*$V963 + Config!$B$7*$R963 + Config!$B$8*$W963 + Config!$B$9*$X963 + Config!$B$10*$Y963 + Config!$B$11*$Z963 - Config!$B$12*$AA963)/Config!$B$13)+$AH963+$AI963),"")</f>
        <v/>
      </c>
      <c r="AD963" s="40" t="str">
        <f t="shared" si="4"/>
        <v/>
      </c>
      <c r="AE963" s="40" t="str">
        <f>IFERROR(__xludf.DUMMYFUNCTION("IF($AC963="""","""",IF($AC963=IFERROR(MAX(FILTER($AC$6:$AC$1000,$C$6:$C$1000=$C963,$AB$6:$AB$1000=1)),),""WINNER"",""""))"),"")</f>
        <v/>
      </c>
      <c r="AF963" s="40" t="str">
        <f t="shared" si="5"/>
        <v/>
      </c>
      <c r="AG963" s="40" t="str">
        <f>IF($J963="","",COUNTIF(Assignments!$B:$B,$J963))</f>
        <v/>
      </c>
      <c r="AH963" s="40" t="str">
        <f>IF($J963="","",IF(AND($AG963=0,$N963&lt;$M963),Config!$B$43,0))</f>
        <v/>
      </c>
      <c r="AI963" s="40" t="str">
        <f>IF($J963="","",IF(AND($L963="Elite",$F963&gt;=Config!$B$41,$N963&lt;$M963),Config!$B$42,0))</f>
        <v/>
      </c>
      <c r="AJ963" s="22"/>
    </row>
    <row r="964" ht="15.75" customHeight="1">
      <c r="A964" s="40" t="str">
        <f t="shared" si="1"/>
        <v/>
      </c>
      <c r="B964" s="40" t="str">
        <f>IF(Bids!$A964="","",Bids!$A964)</f>
        <v/>
      </c>
      <c r="C964" s="40" t="str">
        <f>IF(Bids!$B964="","",Bids!$B964)</f>
        <v/>
      </c>
      <c r="D964" s="40" t="str">
        <f>IF($C964="","",IFERROR(VLOOKUP($C964,Orders!$A:$J,9,FALSE),""))</f>
        <v/>
      </c>
      <c r="E964" s="40" t="str">
        <f>IF($C964="","",IFERROR(VLOOKUP($C964,Orders!$A:$J,3,FALSE),""))</f>
        <v/>
      </c>
      <c r="F964" s="40" t="str">
        <f>IF($C964="","",IFERROR(VLOOKUP($C964,Orders!$A:$J,4,FALSE),""))</f>
        <v/>
      </c>
      <c r="G964" s="40" t="str">
        <f>IF($C964="","",IFERROR(VLOOKUP($C964,Orders!$A:$J,5,FALSE),""))</f>
        <v/>
      </c>
      <c r="H964" s="40" t="str">
        <f>IF($C964="","",IFERROR(VLOOKUP($C964,Orders!$A:$J,6,FALSE),""))</f>
        <v/>
      </c>
      <c r="I964" s="40" t="str">
        <f>IF($C964="","",IFERROR(VLOOKUP($C964,Orders!$A:$J,7,FALSE),""))</f>
        <v/>
      </c>
      <c r="J964" s="40" t="str">
        <f>IF(Bids!$C964="","",Bids!$C964)</f>
        <v/>
      </c>
      <c r="K964" s="40" t="str">
        <f>IF($J964="","",IFERROR(VLOOKUP($J964,Grinders!$A:$N,2,FALSE),""))</f>
        <v/>
      </c>
      <c r="L964" s="40" t="str">
        <f>IF($J964="","",IFERROR(VLOOKUP($J964,Grinders!$A:$N,3,FALSE),""))</f>
        <v/>
      </c>
      <c r="M964" s="40" t="str">
        <f>IF($J964="","",IFERROR(VLOOKUP($J964,Grinders!$A:$N,4,FALSE),""))</f>
        <v/>
      </c>
      <c r="N964" s="40" t="str">
        <f>IF($J964="","",IFERROR(VLOOKUP($J964,Grinders!$A:$N,5,FALSE),""))</f>
        <v/>
      </c>
      <c r="O964" s="40" t="str">
        <f t="shared" si="2"/>
        <v/>
      </c>
      <c r="P964" s="40" t="str">
        <f>IF($J964="","",IFERROR(VLOOKUP($J964,Grinders!$A:$N,6,FALSE),""))</f>
        <v/>
      </c>
      <c r="Q964" s="40" t="str">
        <f>IF($J964="","",IFERROR(VLOOKUP($J964,Grinders!$A:$N,8,FALSE),""))</f>
        <v/>
      </c>
      <c r="R964" s="40" t="str">
        <f>IFERROR(IF($J964="","",IF($L964="Elite",MAX(50,MIN(100,Config!$B$27*MAX(0,MIN(100,(1-IF($O964="",0,$O964))*100)) + Config!$B$28*MAX(0,MIN(100,(1-MIN(1,IF(Config!$B$30=0,1,$P964/Config!$B$30)))*100)) + Config!$B$29*MAX(0,MIN(100,MIN(1,IF($Q964="",0,$Q964)/Config!$B$23)*100)))),MIN(100,Config!$B$27*MAX(0,MIN(100,(1-IF($O964="",0,$O964))*100)) + Config!$B$28*MAX(0,MIN(100,(1-MIN(1,IF(Config!$B$30=0,1,$P964/Config!$B$30)))*100)) + Config!$B$29*MAX(0,MIN(100,MIN(1,IF($Q964="",0,$Q964)/Config!$B$23)*100))))),"")
</f>
        <v/>
      </c>
      <c r="S964" s="40" t="str">
        <f>IF(Bids!$D964="","",Bids!$D964)</f>
        <v/>
      </c>
      <c r="T964" s="40" t="str">
        <f>IF(Bids!$F964="","",Bids!$F964)</f>
        <v/>
      </c>
      <c r="U964" s="40" t="str">
        <f t="shared" si="3"/>
        <v/>
      </c>
      <c r="V964" s="40" t="str">
        <f>IF($U964="","",IF(Config!$B$17=Config!$B$16,IF($U964&gt;=Config!$B$17,100,0),MAX(0,MIN(100,($U964-Config!$B$16)/(Config!$B$17-Config!$B$16)*100))))</f>
        <v/>
      </c>
      <c r="W964" s="40">
        <f>IF($L964="Elite",Config!$B$21,0)</f>
        <v>0</v>
      </c>
      <c r="X964" s="40" t="str">
        <f>IFERROR(IF(OR($T964="",$G964=""),"",IF($T964&gt;$G964,
  MAX(0, 60-(($T964-$G964)*24/Config!$B$19)*60),
  MEDIAN(60, 100, 60+(($G964-$T964)*24/Config!$B$20)*40)
)),"")
</f>
        <v/>
      </c>
      <c r="Y964" s="40" t="str">
        <f>IF($J964="","",IFERROR(VLOOKUP($J964,Grinders!$A:$N,10,FALSE),""))</f>
        <v/>
      </c>
      <c r="Z964" s="40" t="str">
        <f>IF($J964="","",IFERROR(VLOOKUP($J964,Grinders!$A:$N,11,FALSE),""))</f>
        <v/>
      </c>
      <c r="AA964" s="40" t="str">
        <f>IF($J964="","",IFERROR(VLOOKUP($J964,Grinders!$A:$N,12,FALSE),""))</f>
        <v/>
      </c>
      <c r="AB964" s="40">
        <f>IFERROR(IF(OR($C964="",$J964=""),0,IF($D964&lt;&gt;"Open",0,IF(COUNTIFS(GrinderServices!$B:$B,$J964,GrinderServices!$C:$C,$E964,GrinderServices!$E:$E,"Y")=0,0,IF($U964&lt;Config!$B$16,0,IF(Config!$B$18=1,IF($N964&gt;=$M964,0,1),1))))),"")</f>
        <v>0</v>
      </c>
      <c r="AC964" s="40" t="str">
        <f>IFERROR(IF($AB964=0,"",((Config!$B$6*$V964 + Config!$B$7*$R964 + Config!$B$8*$W964 + Config!$B$9*$X964 + Config!$B$10*$Y964 + Config!$B$11*$Z964 - Config!$B$12*$AA964)/Config!$B$13)+$AH964+$AI964),"")</f>
        <v/>
      </c>
      <c r="AD964" s="40" t="str">
        <f t="shared" si="4"/>
        <v/>
      </c>
      <c r="AE964" s="40" t="str">
        <f>IFERROR(__xludf.DUMMYFUNCTION("IF($AC964="""","""",IF($AC964=IFERROR(MAX(FILTER($AC$6:$AC$1000,$C$6:$C$1000=$C964,$AB$6:$AB$1000=1)),),""WINNER"",""""))"),"")</f>
        <v/>
      </c>
      <c r="AF964" s="40" t="str">
        <f t="shared" si="5"/>
        <v/>
      </c>
      <c r="AG964" s="40" t="str">
        <f>IF($J964="","",COUNTIF(Assignments!$B:$B,$J964))</f>
        <v/>
      </c>
      <c r="AH964" s="40" t="str">
        <f>IF($J964="","",IF(AND($AG964=0,$N964&lt;$M964),Config!$B$43,0))</f>
        <v/>
      </c>
      <c r="AI964" s="40" t="str">
        <f>IF($J964="","",IF(AND($L964="Elite",$F964&gt;=Config!$B$41,$N964&lt;$M964),Config!$B$42,0))</f>
        <v/>
      </c>
      <c r="AJ964" s="22"/>
    </row>
    <row r="965" ht="15.75" customHeight="1">
      <c r="A965" s="40" t="str">
        <f t="shared" si="1"/>
        <v/>
      </c>
      <c r="B965" s="40" t="str">
        <f>IF(Bids!$A965="","",Bids!$A965)</f>
        <v/>
      </c>
      <c r="C965" s="40" t="str">
        <f>IF(Bids!$B965="","",Bids!$B965)</f>
        <v/>
      </c>
      <c r="D965" s="40" t="str">
        <f>IF($C965="","",IFERROR(VLOOKUP($C965,Orders!$A:$J,9,FALSE),""))</f>
        <v/>
      </c>
      <c r="E965" s="40" t="str">
        <f>IF($C965="","",IFERROR(VLOOKUP($C965,Orders!$A:$J,3,FALSE),""))</f>
        <v/>
      </c>
      <c r="F965" s="40" t="str">
        <f>IF($C965="","",IFERROR(VLOOKUP($C965,Orders!$A:$J,4,FALSE),""))</f>
        <v/>
      </c>
      <c r="G965" s="40" t="str">
        <f>IF($C965="","",IFERROR(VLOOKUP($C965,Orders!$A:$J,5,FALSE),""))</f>
        <v/>
      </c>
      <c r="H965" s="40" t="str">
        <f>IF($C965="","",IFERROR(VLOOKUP($C965,Orders!$A:$J,6,FALSE),""))</f>
        <v/>
      </c>
      <c r="I965" s="40" t="str">
        <f>IF($C965="","",IFERROR(VLOOKUP($C965,Orders!$A:$J,7,FALSE),""))</f>
        <v/>
      </c>
      <c r="J965" s="40" t="str">
        <f>IF(Bids!$C965="","",Bids!$C965)</f>
        <v/>
      </c>
      <c r="K965" s="40" t="str">
        <f>IF($J965="","",IFERROR(VLOOKUP($J965,Grinders!$A:$N,2,FALSE),""))</f>
        <v/>
      </c>
      <c r="L965" s="40" t="str">
        <f>IF($J965="","",IFERROR(VLOOKUP($J965,Grinders!$A:$N,3,FALSE),""))</f>
        <v/>
      </c>
      <c r="M965" s="40" t="str">
        <f>IF($J965="","",IFERROR(VLOOKUP($J965,Grinders!$A:$N,4,FALSE),""))</f>
        <v/>
      </c>
      <c r="N965" s="40" t="str">
        <f>IF($J965="","",IFERROR(VLOOKUP($J965,Grinders!$A:$N,5,FALSE),""))</f>
        <v/>
      </c>
      <c r="O965" s="40" t="str">
        <f t="shared" si="2"/>
        <v/>
      </c>
      <c r="P965" s="40" t="str">
        <f>IF($J965="","",IFERROR(VLOOKUP($J965,Grinders!$A:$N,6,FALSE),""))</f>
        <v/>
      </c>
      <c r="Q965" s="40" t="str">
        <f>IF($J965="","",IFERROR(VLOOKUP($J965,Grinders!$A:$N,8,FALSE),""))</f>
        <v/>
      </c>
      <c r="R965" s="40" t="str">
        <f>IFERROR(IF($J965="","",IF($L965="Elite",MAX(50,MIN(100,Config!$B$27*MAX(0,MIN(100,(1-IF($O965="",0,$O965))*100)) + Config!$B$28*MAX(0,MIN(100,(1-MIN(1,IF(Config!$B$30=0,1,$P965/Config!$B$30)))*100)) + Config!$B$29*MAX(0,MIN(100,MIN(1,IF($Q965="",0,$Q965)/Config!$B$23)*100)))),MIN(100,Config!$B$27*MAX(0,MIN(100,(1-IF($O965="",0,$O965))*100)) + Config!$B$28*MAX(0,MIN(100,(1-MIN(1,IF(Config!$B$30=0,1,$P965/Config!$B$30)))*100)) + Config!$B$29*MAX(0,MIN(100,MIN(1,IF($Q965="",0,$Q965)/Config!$B$23)*100))))),"")
</f>
        <v/>
      </c>
      <c r="S965" s="40" t="str">
        <f>IF(Bids!$D965="","",Bids!$D965)</f>
        <v/>
      </c>
      <c r="T965" s="40" t="str">
        <f>IF(Bids!$F965="","",Bids!$F965)</f>
        <v/>
      </c>
      <c r="U965" s="40" t="str">
        <f t="shared" si="3"/>
        <v/>
      </c>
      <c r="V965" s="40" t="str">
        <f>IF($U965="","",IF(Config!$B$17=Config!$B$16,IF($U965&gt;=Config!$B$17,100,0),MAX(0,MIN(100,($U965-Config!$B$16)/(Config!$B$17-Config!$B$16)*100))))</f>
        <v/>
      </c>
      <c r="W965" s="40">
        <f>IF($L965="Elite",Config!$B$21,0)</f>
        <v>0</v>
      </c>
      <c r="X965" s="40" t="str">
        <f>IFERROR(IF(OR($T965="",$G965=""),"",IF($T965&gt;$G965,
  MAX(0, 60-(($T965-$G965)*24/Config!$B$19)*60),
  MEDIAN(60, 100, 60+(($G965-$T965)*24/Config!$B$20)*40)
)),"")
</f>
        <v/>
      </c>
      <c r="Y965" s="40" t="str">
        <f>IF($J965="","",IFERROR(VLOOKUP($J965,Grinders!$A:$N,10,FALSE),""))</f>
        <v/>
      </c>
      <c r="Z965" s="40" t="str">
        <f>IF($J965="","",IFERROR(VLOOKUP($J965,Grinders!$A:$N,11,FALSE),""))</f>
        <v/>
      </c>
      <c r="AA965" s="40" t="str">
        <f>IF($J965="","",IFERROR(VLOOKUP($J965,Grinders!$A:$N,12,FALSE),""))</f>
        <v/>
      </c>
      <c r="AB965" s="40">
        <f>IFERROR(IF(OR($C965="",$J965=""),0,IF($D965&lt;&gt;"Open",0,IF(COUNTIFS(GrinderServices!$B:$B,$J965,GrinderServices!$C:$C,$E965,GrinderServices!$E:$E,"Y")=0,0,IF($U965&lt;Config!$B$16,0,IF(Config!$B$18=1,IF($N965&gt;=$M965,0,1),1))))),"")</f>
        <v>0</v>
      </c>
      <c r="AC965" s="40" t="str">
        <f>IFERROR(IF($AB965=0,"",((Config!$B$6*$V965 + Config!$B$7*$R965 + Config!$B$8*$W965 + Config!$B$9*$X965 + Config!$B$10*$Y965 + Config!$B$11*$Z965 - Config!$B$12*$AA965)/Config!$B$13)+$AH965+$AI965),"")</f>
        <v/>
      </c>
      <c r="AD965" s="40" t="str">
        <f t="shared" si="4"/>
        <v/>
      </c>
      <c r="AE965" s="40" t="str">
        <f>IFERROR(__xludf.DUMMYFUNCTION("IF($AC965="""","""",IF($AC965=IFERROR(MAX(FILTER($AC$6:$AC$1000,$C$6:$C$1000=$C965,$AB$6:$AB$1000=1)),),""WINNER"",""""))"),"")</f>
        <v/>
      </c>
      <c r="AF965" s="40" t="str">
        <f t="shared" si="5"/>
        <v/>
      </c>
      <c r="AG965" s="40" t="str">
        <f>IF($J965="","",COUNTIF(Assignments!$B:$B,$J965))</f>
        <v/>
      </c>
      <c r="AH965" s="40" t="str">
        <f>IF($J965="","",IF(AND($AG965=0,$N965&lt;$M965),Config!$B$43,0))</f>
        <v/>
      </c>
      <c r="AI965" s="40" t="str">
        <f>IF($J965="","",IF(AND($L965="Elite",$F965&gt;=Config!$B$41,$N965&lt;$M965),Config!$B$42,0))</f>
        <v/>
      </c>
      <c r="AJ965" s="22"/>
    </row>
    <row r="966" ht="15.75" customHeight="1">
      <c r="A966" s="40" t="str">
        <f t="shared" si="1"/>
        <v/>
      </c>
      <c r="B966" s="40" t="str">
        <f>IF(Bids!$A966="","",Bids!$A966)</f>
        <v/>
      </c>
      <c r="C966" s="40" t="str">
        <f>IF(Bids!$B966="","",Bids!$B966)</f>
        <v/>
      </c>
      <c r="D966" s="40" t="str">
        <f>IF($C966="","",IFERROR(VLOOKUP($C966,Orders!$A:$J,9,FALSE),""))</f>
        <v/>
      </c>
      <c r="E966" s="40" t="str">
        <f>IF($C966="","",IFERROR(VLOOKUP($C966,Orders!$A:$J,3,FALSE),""))</f>
        <v/>
      </c>
      <c r="F966" s="40" t="str">
        <f>IF($C966="","",IFERROR(VLOOKUP($C966,Orders!$A:$J,4,FALSE),""))</f>
        <v/>
      </c>
      <c r="G966" s="40" t="str">
        <f>IF($C966="","",IFERROR(VLOOKUP($C966,Orders!$A:$J,5,FALSE),""))</f>
        <v/>
      </c>
      <c r="H966" s="40" t="str">
        <f>IF($C966="","",IFERROR(VLOOKUP($C966,Orders!$A:$J,6,FALSE),""))</f>
        <v/>
      </c>
      <c r="I966" s="40" t="str">
        <f>IF($C966="","",IFERROR(VLOOKUP($C966,Orders!$A:$J,7,FALSE),""))</f>
        <v/>
      </c>
      <c r="J966" s="40" t="str">
        <f>IF(Bids!$C966="","",Bids!$C966)</f>
        <v/>
      </c>
      <c r="K966" s="40" t="str">
        <f>IF($J966="","",IFERROR(VLOOKUP($J966,Grinders!$A:$N,2,FALSE),""))</f>
        <v/>
      </c>
      <c r="L966" s="40" t="str">
        <f>IF($J966="","",IFERROR(VLOOKUP($J966,Grinders!$A:$N,3,FALSE),""))</f>
        <v/>
      </c>
      <c r="M966" s="40" t="str">
        <f>IF($J966="","",IFERROR(VLOOKUP($J966,Grinders!$A:$N,4,FALSE),""))</f>
        <v/>
      </c>
      <c r="N966" s="40" t="str">
        <f>IF($J966="","",IFERROR(VLOOKUP($J966,Grinders!$A:$N,5,FALSE),""))</f>
        <v/>
      </c>
      <c r="O966" s="40" t="str">
        <f t="shared" si="2"/>
        <v/>
      </c>
      <c r="P966" s="40" t="str">
        <f>IF($J966="","",IFERROR(VLOOKUP($J966,Grinders!$A:$N,6,FALSE),""))</f>
        <v/>
      </c>
      <c r="Q966" s="40" t="str">
        <f>IF($J966="","",IFERROR(VLOOKUP($J966,Grinders!$A:$N,8,FALSE),""))</f>
        <v/>
      </c>
      <c r="R966" s="40" t="str">
        <f>IFERROR(IF($J966="","",IF($L966="Elite",MAX(50,MIN(100,Config!$B$27*MAX(0,MIN(100,(1-IF($O966="",0,$O966))*100)) + Config!$B$28*MAX(0,MIN(100,(1-MIN(1,IF(Config!$B$30=0,1,$P966/Config!$B$30)))*100)) + Config!$B$29*MAX(0,MIN(100,MIN(1,IF($Q966="",0,$Q966)/Config!$B$23)*100)))),MIN(100,Config!$B$27*MAX(0,MIN(100,(1-IF($O966="",0,$O966))*100)) + Config!$B$28*MAX(0,MIN(100,(1-MIN(1,IF(Config!$B$30=0,1,$P966/Config!$B$30)))*100)) + Config!$B$29*MAX(0,MIN(100,MIN(1,IF($Q966="",0,$Q966)/Config!$B$23)*100))))),"")
</f>
        <v/>
      </c>
      <c r="S966" s="40" t="str">
        <f>IF(Bids!$D966="","",Bids!$D966)</f>
        <v/>
      </c>
      <c r="T966" s="40" t="str">
        <f>IF(Bids!$F966="","",Bids!$F966)</f>
        <v/>
      </c>
      <c r="U966" s="40" t="str">
        <f t="shared" si="3"/>
        <v/>
      </c>
      <c r="V966" s="40" t="str">
        <f>IF($U966="","",IF(Config!$B$17=Config!$B$16,IF($U966&gt;=Config!$B$17,100,0),MAX(0,MIN(100,($U966-Config!$B$16)/(Config!$B$17-Config!$B$16)*100))))</f>
        <v/>
      </c>
      <c r="W966" s="40">
        <f>IF($L966="Elite",Config!$B$21,0)</f>
        <v>0</v>
      </c>
      <c r="X966" s="40" t="str">
        <f>IFERROR(IF(OR($T966="",$G966=""),"",IF($T966&gt;$G966,
  MAX(0, 60-(($T966-$G966)*24/Config!$B$19)*60),
  MEDIAN(60, 100, 60+(($G966-$T966)*24/Config!$B$20)*40)
)),"")
</f>
        <v/>
      </c>
      <c r="Y966" s="40" t="str">
        <f>IF($J966="","",IFERROR(VLOOKUP($J966,Grinders!$A:$N,10,FALSE),""))</f>
        <v/>
      </c>
      <c r="Z966" s="40" t="str">
        <f>IF($J966="","",IFERROR(VLOOKUP($J966,Grinders!$A:$N,11,FALSE),""))</f>
        <v/>
      </c>
      <c r="AA966" s="40" t="str">
        <f>IF($J966="","",IFERROR(VLOOKUP($J966,Grinders!$A:$N,12,FALSE),""))</f>
        <v/>
      </c>
      <c r="AB966" s="40">
        <f>IFERROR(IF(OR($C966="",$J966=""),0,IF($D966&lt;&gt;"Open",0,IF(COUNTIFS(GrinderServices!$B:$B,$J966,GrinderServices!$C:$C,$E966,GrinderServices!$E:$E,"Y")=0,0,IF($U966&lt;Config!$B$16,0,IF(Config!$B$18=1,IF($N966&gt;=$M966,0,1),1))))),"")</f>
        <v>0</v>
      </c>
      <c r="AC966" s="40" t="str">
        <f>IFERROR(IF($AB966=0,"",((Config!$B$6*$V966 + Config!$B$7*$R966 + Config!$B$8*$W966 + Config!$B$9*$X966 + Config!$B$10*$Y966 + Config!$B$11*$Z966 - Config!$B$12*$AA966)/Config!$B$13)+$AH966+$AI966),"")</f>
        <v/>
      </c>
      <c r="AD966" s="40" t="str">
        <f t="shared" si="4"/>
        <v/>
      </c>
      <c r="AE966" s="40" t="str">
        <f>IFERROR(__xludf.DUMMYFUNCTION("IF($AC966="""","""",IF($AC966=IFERROR(MAX(FILTER($AC$6:$AC$1000,$C$6:$C$1000=$C966,$AB$6:$AB$1000=1)),),""WINNER"",""""))"),"")</f>
        <v/>
      </c>
      <c r="AF966" s="40" t="str">
        <f t="shared" si="5"/>
        <v/>
      </c>
      <c r="AG966" s="40" t="str">
        <f>IF($J966="","",COUNTIF(Assignments!$B:$B,$J966))</f>
        <v/>
      </c>
      <c r="AH966" s="40" t="str">
        <f>IF($J966="","",IF(AND($AG966=0,$N966&lt;$M966),Config!$B$43,0))</f>
        <v/>
      </c>
      <c r="AI966" s="40" t="str">
        <f>IF($J966="","",IF(AND($L966="Elite",$F966&gt;=Config!$B$41,$N966&lt;$M966),Config!$B$42,0))</f>
        <v/>
      </c>
      <c r="AJ966" s="22"/>
    </row>
    <row r="967" ht="15.75" customHeight="1">
      <c r="A967" s="40" t="str">
        <f t="shared" si="1"/>
        <v/>
      </c>
      <c r="B967" s="40" t="str">
        <f>IF(Bids!$A967="","",Bids!$A967)</f>
        <v/>
      </c>
      <c r="C967" s="40" t="str">
        <f>IF(Bids!$B967="","",Bids!$B967)</f>
        <v/>
      </c>
      <c r="D967" s="40" t="str">
        <f>IF($C967="","",IFERROR(VLOOKUP($C967,Orders!$A:$J,9,FALSE),""))</f>
        <v/>
      </c>
      <c r="E967" s="40" t="str">
        <f>IF($C967="","",IFERROR(VLOOKUP($C967,Orders!$A:$J,3,FALSE),""))</f>
        <v/>
      </c>
      <c r="F967" s="40" t="str">
        <f>IF($C967="","",IFERROR(VLOOKUP($C967,Orders!$A:$J,4,FALSE),""))</f>
        <v/>
      </c>
      <c r="G967" s="40" t="str">
        <f>IF($C967="","",IFERROR(VLOOKUP($C967,Orders!$A:$J,5,FALSE),""))</f>
        <v/>
      </c>
      <c r="H967" s="40" t="str">
        <f>IF($C967="","",IFERROR(VLOOKUP($C967,Orders!$A:$J,6,FALSE),""))</f>
        <v/>
      </c>
      <c r="I967" s="40" t="str">
        <f>IF($C967="","",IFERROR(VLOOKUP($C967,Orders!$A:$J,7,FALSE),""))</f>
        <v/>
      </c>
      <c r="J967" s="40" t="str">
        <f>IF(Bids!$C967="","",Bids!$C967)</f>
        <v/>
      </c>
      <c r="K967" s="40" t="str">
        <f>IF($J967="","",IFERROR(VLOOKUP($J967,Grinders!$A:$N,2,FALSE),""))</f>
        <v/>
      </c>
      <c r="L967" s="40" t="str">
        <f>IF($J967="","",IFERROR(VLOOKUP($J967,Grinders!$A:$N,3,FALSE),""))</f>
        <v/>
      </c>
      <c r="M967" s="40" t="str">
        <f>IF($J967="","",IFERROR(VLOOKUP($J967,Grinders!$A:$N,4,FALSE),""))</f>
        <v/>
      </c>
      <c r="N967" s="40" t="str">
        <f>IF($J967="","",IFERROR(VLOOKUP($J967,Grinders!$A:$N,5,FALSE),""))</f>
        <v/>
      </c>
      <c r="O967" s="40" t="str">
        <f t="shared" si="2"/>
        <v/>
      </c>
      <c r="P967" s="40" t="str">
        <f>IF($J967="","",IFERROR(VLOOKUP($J967,Grinders!$A:$N,6,FALSE),""))</f>
        <v/>
      </c>
      <c r="Q967" s="40" t="str">
        <f>IF($J967="","",IFERROR(VLOOKUP($J967,Grinders!$A:$N,8,FALSE),""))</f>
        <v/>
      </c>
      <c r="R967" s="40" t="str">
        <f>IFERROR(IF($J967="","",IF($L967="Elite",MAX(50,MIN(100,Config!$B$27*MAX(0,MIN(100,(1-IF($O967="",0,$O967))*100)) + Config!$B$28*MAX(0,MIN(100,(1-MIN(1,IF(Config!$B$30=0,1,$P967/Config!$B$30)))*100)) + Config!$B$29*MAX(0,MIN(100,MIN(1,IF($Q967="",0,$Q967)/Config!$B$23)*100)))),MIN(100,Config!$B$27*MAX(0,MIN(100,(1-IF($O967="",0,$O967))*100)) + Config!$B$28*MAX(0,MIN(100,(1-MIN(1,IF(Config!$B$30=0,1,$P967/Config!$B$30)))*100)) + Config!$B$29*MAX(0,MIN(100,MIN(1,IF($Q967="",0,$Q967)/Config!$B$23)*100))))),"")
</f>
        <v/>
      </c>
      <c r="S967" s="40" t="str">
        <f>IF(Bids!$D967="","",Bids!$D967)</f>
        <v/>
      </c>
      <c r="T967" s="40" t="str">
        <f>IF(Bids!$F967="","",Bids!$F967)</f>
        <v/>
      </c>
      <c r="U967" s="40" t="str">
        <f t="shared" si="3"/>
        <v/>
      </c>
      <c r="V967" s="40" t="str">
        <f>IF($U967="","",IF(Config!$B$17=Config!$B$16,IF($U967&gt;=Config!$B$17,100,0),MAX(0,MIN(100,($U967-Config!$B$16)/(Config!$B$17-Config!$B$16)*100))))</f>
        <v/>
      </c>
      <c r="W967" s="40">
        <f>IF($L967="Elite",Config!$B$21,0)</f>
        <v>0</v>
      </c>
      <c r="X967" s="40" t="str">
        <f>IFERROR(IF(OR($T967="",$G967=""),"",IF($T967&gt;$G967,
  MAX(0, 60-(($T967-$G967)*24/Config!$B$19)*60),
  MEDIAN(60, 100, 60+(($G967-$T967)*24/Config!$B$20)*40)
)),"")
</f>
        <v/>
      </c>
      <c r="Y967" s="40" t="str">
        <f>IF($J967="","",IFERROR(VLOOKUP($J967,Grinders!$A:$N,10,FALSE),""))</f>
        <v/>
      </c>
      <c r="Z967" s="40" t="str">
        <f>IF($J967="","",IFERROR(VLOOKUP($J967,Grinders!$A:$N,11,FALSE),""))</f>
        <v/>
      </c>
      <c r="AA967" s="40" t="str">
        <f>IF($J967="","",IFERROR(VLOOKUP($J967,Grinders!$A:$N,12,FALSE),""))</f>
        <v/>
      </c>
      <c r="AB967" s="40">
        <f>IFERROR(IF(OR($C967="",$J967=""),0,IF($D967&lt;&gt;"Open",0,IF(COUNTIFS(GrinderServices!$B:$B,$J967,GrinderServices!$C:$C,$E967,GrinderServices!$E:$E,"Y")=0,0,IF($U967&lt;Config!$B$16,0,IF(Config!$B$18=1,IF($N967&gt;=$M967,0,1),1))))),"")</f>
        <v>0</v>
      </c>
      <c r="AC967" s="40" t="str">
        <f>IFERROR(IF($AB967=0,"",((Config!$B$6*$V967 + Config!$B$7*$R967 + Config!$B$8*$W967 + Config!$B$9*$X967 + Config!$B$10*$Y967 + Config!$B$11*$Z967 - Config!$B$12*$AA967)/Config!$B$13)+$AH967+$AI967),"")</f>
        <v/>
      </c>
      <c r="AD967" s="40" t="str">
        <f t="shared" si="4"/>
        <v/>
      </c>
      <c r="AE967" s="40" t="str">
        <f>IFERROR(__xludf.DUMMYFUNCTION("IF($AC967="""","""",IF($AC967=IFERROR(MAX(FILTER($AC$6:$AC$1000,$C$6:$C$1000=$C967,$AB$6:$AB$1000=1)),),""WINNER"",""""))"),"")</f>
        <v/>
      </c>
      <c r="AF967" s="40" t="str">
        <f t="shared" si="5"/>
        <v/>
      </c>
      <c r="AG967" s="40" t="str">
        <f>IF($J967="","",COUNTIF(Assignments!$B:$B,$J967))</f>
        <v/>
      </c>
      <c r="AH967" s="40" t="str">
        <f>IF($J967="","",IF(AND($AG967=0,$N967&lt;$M967),Config!$B$43,0))</f>
        <v/>
      </c>
      <c r="AI967" s="40" t="str">
        <f>IF($J967="","",IF(AND($L967="Elite",$F967&gt;=Config!$B$41,$N967&lt;$M967),Config!$B$42,0))</f>
        <v/>
      </c>
      <c r="AJ967" s="22"/>
    </row>
    <row r="968" ht="15.75" customHeight="1">
      <c r="A968" s="40" t="str">
        <f t="shared" si="1"/>
        <v/>
      </c>
      <c r="B968" s="40" t="str">
        <f>IF(Bids!$A968="","",Bids!$A968)</f>
        <v/>
      </c>
      <c r="C968" s="40" t="str">
        <f>IF(Bids!$B968="","",Bids!$B968)</f>
        <v/>
      </c>
      <c r="D968" s="40" t="str">
        <f>IF($C968="","",IFERROR(VLOOKUP($C968,Orders!$A:$J,9,FALSE),""))</f>
        <v/>
      </c>
      <c r="E968" s="40" t="str">
        <f>IF($C968="","",IFERROR(VLOOKUP($C968,Orders!$A:$J,3,FALSE),""))</f>
        <v/>
      </c>
      <c r="F968" s="40" t="str">
        <f>IF($C968="","",IFERROR(VLOOKUP($C968,Orders!$A:$J,4,FALSE),""))</f>
        <v/>
      </c>
      <c r="G968" s="40" t="str">
        <f>IF($C968="","",IFERROR(VLOOKUP($C968,Orders!$A:$J,5,FALSE),""))</f>
        <v/>
      </c>
      <c r="H968" s="40" t="str">
        <f>IF($C968="","",IFERROR(VLOOKUP($C968,Orders!$A:$J,6,FALSE),""))</f>
        <v/>
      </c>
      <c r="I968" s="40" t="str">
        <f>IF($C968="","",IFERROR(VLOOKUP($C968,Orders!$A:$J,7,FALSE),""))</f>
        <v/>
      </c>
      <c r="J968" s="40" t="str">
        <f>IF(Bids!$C968="","",Bids!$C968)</f>
        <v/>
      </c>
      <c r="K968" s="40" t="str">
        <f>IF($J968="","",IFERROR(VLOOKUP($J968,Grinders!$A:$N,2,FALSE),""))</f>
        <v/>
      </c>
      <c r="L968" s="40" t="str">
        <f>IF($J968="","",IFERROR(VLOOKUP($J968,Grinders!$A:$N,3,FALSE),""))</f>
        <v/>
      </c>
      <c r="M968" s="40" t="str">
        <f>IF($J968="","",IFERROR(VLOOKUP($J968,Grinders!$A:$N,4,FALSE),""))</f>
        <v/>
      </c>
      <c r="N968" s="40" t="str">
        <f>IF($J968="","",IFERROR(VLOOKUP($J968,Grinders!$A:$N,5,FALSE),""))</f>
        <v/>
      </c>
      <c r="O968" s="40" t="str">
        <f t="shared" si="2"/>
        <v/>
      </c>
      <c r="P968" s="40" t="str">
        <f>IF($J968="","",IFERROR(VLOOKUP($J968,Grinders!$A:$N,6,FALSE),""))</f>
        <v/>
      </c>
      <c r="Q968" s="40" t="str">
        <f>IF($J968="","",IFERROR(VLOOKUP($J968,Grinders!$A:$N,8,FALSE),""))</f>
        <v/>
      </c>
      <c r="R968" s="40" t="str">
        <f>IFERROR(IF($J968="","",IF($L968="Elite",MAX(50,MIN(100,Config!$B$27*MAX(0,MIN(100,(1-IF($O968="",0,$O968))*100)) + Config!$B$28*MAX(0,MIN(100,(1-MIN(1,IF(Config!$B$30=0,1,$P968/Config!$B$30)))*100)) + Config!$B$29*MAX(0,MIN(100,MIN(1,IF($Q968="",0,$Q968)/Config!$B$23)*100)))),MIN(100,Config!$B$27*MAX(0,MIN(100,(1-IF($O968="",0,$O968))*100)) + Config!$B$28*MAX(0,MIN(100,(1-MIN(1,IF(Config!$B$30=0,1,$P968/Config!$B$30)))*100)) + Config!$B$29*MAX(0,MIN(100,MIN(1,IF($Q968="",0,$Q968)/Config!$B$23)*100))))),"")
</f>
        <v/>
      </c>
      <c r="S968" s="40" t="str">
        <f>IF(Bids!$D968="","",Bids!$D968)</f>
        <v/>
      </c>
      <c r="T968" s="40" t="str">
        <f>IF(Bids!$F968="","",Bids!$F968)</f>
        <v/>
      </c>
      <c r="U968" s="40" t="str">
        <f t="shared" si="3"/>
        <v/>
      </c>
      <c r="V968" s="40" t="str">
        <f>IF($U968="","",IF(Config!$B$17=Config!$B$16,IF($U968&gt;=Config!$B$17,100,0),MAX(0,MIN(100,($U968-Config!$B$16)/(Config!$B$17-Config!$B$16)*100))))</f>
        <v/>
      </c>
      <c r="W968" s="40">
        <f>IF($L968="Elite",Config!$B$21,0)</f>
        <v>0</v>
      </c>
      <c r="X968" s="40" t="str">
        <f>IFERROR(IF(OR($T968="",$G968=""),"",IF($T968&gt;$G968,
  MAX(0, 60-(($T968-$G968)*24/Config!$B$19)*60),
  MEDIAN(60, 100, 60+(($G968-$T968)*24/Config!$B$20)*40)
)),"")
</f>
        <v/>
      </c>
      <c r="Y968" s="40" t="str">
        <f>IF($J968="","",IFERROR(VLOOKUP($J968,Grinders!$A:$N,10,FALSE),""))</f>
        <v/>
      </c>
      <c r="Z968" s="40" t="str">
        <f>IF($J968="","",IFERROR(VLOOKUP($J968,Grinders!$A:$N,11,FALSE),""))</f>
        <v/>
      </c>
      <c r="AA968" s="40" t="str">
        <f>IF($J968="","",IFERROR(VLOOKUP($J968,Grinders!$A:$N,12,FALSE),""))</f>
        <v/>
      </c>
      <c r="AB968" s="40">
        <f>IFERROR(IF(OR($C968="",$J968=""),0,IF($D968&lt;&gt;"Open",0,IF(COUNTIFS(GrinderServices!$B:$B,$J968,GrinderServices!$C:$C,$E968,GrinderServices!$E:$E,"Y")=0,0,IF($U968&lt;Config!$B$16,0,IF(Config!$B$18=1,IF($N968&gt;=$M968,0,1),1))))),"")</f>
        <v>0</v>
      </c>
      <c r="AC968" s="40" t="str">
        <f>IFERROR(IF($AB968=0,"",((Config!$B$6*$V968 + Config!$B$7*$R968 + Config!$B$8*$W968 + Config!$B$9*$X968 + Config!$B$10*$Y968 + Config!$B$11*$Z968 - Config!$B$12*$AA968)/Config!$B$13)+$AH968+$AI968),"")</f>
        <v/>
      </c>
      <c r="AD968" s="40" t="str">
        <f t="shared" si="4"/>
        <v/>
      </c>
      <c r="AE968" s="40" t="str">
        <f>IFERROR(__xludf.DUMMYFUNCTION("IF($AC968="""","""",IF($AC968=IFERROR(MAX(FILTER($AC$6:$AC$1000,$C$6:$C$1000=$C968,$AB$6:$AB$1000=1)),),""WINNER"",""""))"),"")</f>
        <v/>
      </c>
      <c r="AF968" s="40" t="str">
        <f t="shared" si="5"/>
        <v/>
      </c>
      <c r="AG968" s="40" t="str">
        <f>IF($J968="","",COUNTIF(Assignments!$B:$B,$J968))</f>
        <v/>
      </c>
      <c r="AH968" s="40" t="str">
        <f>IF($J968="","",IF(AND($AG968=0,$N968&lt;$M968),Config!$B$43,0))</f>
        <v/>
      </c>
      <c r="AI968" s="40" t="str">
        <f>IF($J968="","",IF(AND($L968="Elite",$F968&gt;=Config!$B$41,$N968&lt;$M968),Config!$B$42,0))</f>
        <v/>
      </c>
      <c r="AJ968" s="22"/>
    </row>
    <row r="969" ht="15.75" customHeight="1">
      <c r="A969" s="40" t="str">
        <f t="shared" si="1"/>
        <v/>
      </c>
      <c r="B969" s="40" t="str">
        <f>IF(Bids!$A969="","",Bids!$A969)</f>
        <v/>
      </c>
      <c r="C969" s="40" t="str">
        <f>IF(Bids!$B969="","",Bids!$B969)</f>
        <v/>
      </c>
      <c r="D969" s="40" t="str">
        <f>IF($C969="","",IFERROR(VLOOKUP($C969,Orders!$A:$J,9,FALSE),""))</f>
        <v/>
      </c>
      <c r="E969" s="40" t="str">
        <f>IF($C969="","",IFERROR(VLOOKUP($C969,Orders!$A:$J,3,FALSE),""))</f>
        <v/>
      </c>
      <c r="F969" s="40" t="str">
        <f>IF($C969="","",IFERROR(VLOOKUP($C969,Orders!$A:$J,4,FALSE),""))</f>
        <v/>
      </c>
      <c r="G969" s="40" t="str">
        <f>IF($C969="","",IFERROR(VLOOKUP($C969,Orders!$A:$J,5,FALSE),""))</f>
        <v/>
      </c>
      <c r="H969" s="40" t="str">
        <f>IF($C969="","",IFERROR(VLOOKUP($C969,Orders!$A:$J,6,FALSE),""))</f>
        <v/>
      </c>
      <c r="I969" s="40" t="str">
        <f>IF($C969="","",IFERROR(VLOOKUP($C969,Orders!$A:$J,7,FALSE),""))</f>
        <v/>
      </c>
      <c r="J969" s="40" t="str">
        <f>IF(Bids!$C969="","",Bids!$C969)</f>
        <v/>
      </c>
      <c r="K969" s="40" t="str">
        <f>IF($J969="","",IFERROR(VLOOKUP($J969,Grinders!$A:$N,2,FALSE),""))</f>
        <v/>
      </c>
      <c r="L969" s="40" t="str">
        <f>IF($J969="","",IFERROR(VLOOKUP($J969,Grinders!$A:$N,3,FALSE),""))</f>
        <v/>
      </c>
      <c r="M969" s="40" t="str">
        <f>IF($J969="","",IFERROR(VLOOKUP($J969,Grinders!$A:$N,4,FALSE),""))</f>
        <v/>
      </c>
      <c r="N969" s="40" t="str">
        <f>IF($J969="","",IFERROR(VLOOKUP($J969,Grinders!$A:$N,5,FALSE),""))</f>
        <v/>
      </c>
      <c r="O969" s="40" t="str">
        <f t="shared" si="2"/>
        <v/>
      </c>
      <c r="P969" s="40" t="str">
        <f>IF($J969="","",IFERROR(VLOOKUP($J969,Grinders!$A:$N,6,FALSE),""))</f>
        <v/>
      </c>
      <c r="Q969" s="40" t="str">
        <f>IF($J969="","",IFERROR(VLOOKUP($J969,Grinders!$A:$N,8,FALSE),""))</f>
        <v/>
      </c>
      <c r="R969" s="40" t="str">
        <f>IFERROR(IF($J969="","",IF($L969="Elite",MAX(50,MIN(100,Config!$B$27*MAX(0,MIN(100,(1-IF($O969="",0,$O969))*100)) + Config!$B$28*MAX(0,MIN(100,(1-MIN(1,IF(Config!$B$30=0,1,$P969/Config!$B$30)))*100)) + Config!$B$29*MAX(0,MIN(100,MIN(1,IF($Q969="",0,$Q969)/Config!$B$23)*100)))),MIN(100,Config!$B$27*MAX(0,MIN(100,(1-IF($O969="",0,$O969))*100)) + Config!$B$28*MAX(0,MIN(100,(1-MIN(1,IF(Config!$B$30=0,1,$P969/Config!$B$30)))*100)) + Config!$B$29*MAX(0,MIN(100,MIN(1,IF($Q969="",0,$Q969)/Config!$B$23)*100))))),"")
</f>
        <v/>
      </c>
      <c r="S969" s="40" t="str">
        <f>IF(Bids!$D969="","",Bids!$D969)</f>
        <v/>
      </c>
      <c r="T969" s="40" t="str">
        <f>IF(Bids!$F969="","",Bids!$F969)</f>
        <v/>
      </c>
      <c r="U969" s="40" t="str">
        <f t="shared" si="3"/>
        <v/>
      </c>
      <c r="V969" s="40" t="str">
        <f>IF($U969="","",IF(Config!$B$17=Config!$B$16,IF($U969&gt;=Config!$B$17,100,0),MAX(0,MIN(100,($U969-Config!$B$16)/(Config!$B$17-Config!$B$16)*100))))</f>
        <v/>
      </c>
      <c r="W969" s="40">
        <f>IF($L969="Elite",Config!$B$21,0)</f>
        <v>0</v>
      </c>
      <c r="X969" s="40" t="str">
        <f>IFERROR(IF(OR($T969="",$G969=""),"",IF($T969&gt;$G969,
  MAX(0, 60-(($T969-$G969)*24/Config!$B$19)*60),
  MEDIAN(60, 100, 60+(($G969-$T969)*24/Config!$B$20)*40)
)),"")
</f>
        <v/>
      </c>
      <c r="Y969" s="40" t="str">
        <f>IF($J969="","",IFERROR(VLOOKUP($J969,Grinders!$A:$N,10,FALSE),""))</f>
        <v/>
      </c>
      <c r="Z969" s="40" t="str">
        <f>IF($J969="","",IFERROR(VLOOKUP($J969,Grinders!$A:$N,11,FALSE),""))</f>
        <v/>
      </c>
      <c r="AA969" s="40" t="str">
        <f>IF($J969="","",IFERROR(VLOOKUP($J969,Grinders!$A:$N,12,FALSE),""))</f>
        <v/>
      </c>
      <c r="AB969" s="40">
        <f>IFERROR(IF(OR($C969="",$J969=""),0,IF($D969&lt;&gt;"Open",0,IF(COUNTIFS(GrinderServices!$B:$B,$J969,GrinderServices!$C:$C,$E969,GrinderServices!$E:$E,"Y")=0,0,IF($U969&lt;Config!$B$16,0,IF(Config!$B$18=1,IF($N969&gt;=$M969,0,1),1))))),"")</f>
        <v>0</v>
      </c>
      <c r="AC969" s="40" t="str">
        <f>IFERROR(IF($AB969=0,"",((Config!$B$6*$V969 + Config!$B$7*$R969 + Config!$B$8*$W969 + Config!$B$9*$X969 + Config!$B$10*$Y969 + Config!$B$11*$Z969 - Config!$B$12*$AA969)/Config!$B$13)+$AH969+$AI969),"")</f>
        <v/>
      </c>
      <c r="AD969" s="40" t="str">
        <f t="shared" si="4"/>
        <v/>
      </c>
      <c r="AE969" s="40" t="str">
        <f>IFERROR(__xludf.DUMMYFUNCTION("IF($AC969="""","""",IF($AC969=IFERROR(MAX(FILTER($AC$6:$AC$1000,$C$6:$C$1000=$C969,$AB$6:$AB$1000=1)),),""WINNER"",""""))"),"")</f>
        <v/>
      </c>
      <c r="AF969" s="40" t="str">
        <f t="shared" si="5"/>
        <v/>
      </c>
      <c r="AG969" s="40" t="str">
        <f>IF($J969="","",COUNTIF(Assignments!$B:$B,$J969))</f>
        <v/>
      </c>
      <c r="AH969" s="40" t="str">
        <f>IF($J969="","",IF(AND($AG969=0,$N969&lt;$M969),Config!$B$43,0))</f>
        <v/>
      </c>
      <c r="AI969" s="40" t="str">
        <f>IF($J969="","",IF(AND($L969="Elite",$F969&gt;=Config!$B$41,$N969&lt;$M969),Config!$B$42,0))</f>
        <v/>
      </c>
      <c r="AJ969" s="22"/>
    </row>
    <row r="970" ht="15.75" customHeight="1">
      <c r="A970" s="40" t="str">
        <f t="shared" si="1"/>
        <v/>
      </c>
      <c r="B970" s="40" t="str">
        <f>IF(Bids!$A970="","",Bids!$A970)</f>
        <v/>
      </c>
      <c r="C970" s="40" t="str">
        <f>IF(Bids!$B970="","",Bids!$B970)</f>
        <v/>
      </c>
      <c r="D970" s="40" t="str">
        <f>IF($C970="","",IFERROR(VLOOKUP($C970,Orders!$A:$J,9,FALSE),""))</f>
        <v/>
      </c>
      <c r="E970" s="40" t="str">
        <f>IF($C970="","",IFERROR(VLOOKUP($C970,Orders!$A:$J,3,FALSE),""))</f>
        <v/>
      </c>
      <c r="F970" s="40" t="str">
        <f>IF($C970="","",IFERROR(VLOOKUP($C970,Orders!$A:$J,4,FALSE),""))</f>
        <v/>
      </c>
      <c r="G970" s="40" t="str">
        <f>IF($C970="","",IFERROR(VLOOKUP($C970,Orders!$A:$J,5,FALSE),""))</f>
        <v/>
      </c>
      <c r="H970" s="40" t="str">
        <f>IF($C970="","",IFERROR(VLOOKUP($C970,Orders!$A:$J,6,FALSE),""))</f>
        <v/>
      </c>
      <c r="I970" s="40" t="str">
        <f>IF($C970="","",IFERROR(VLOOKUP($C970,Orders!$A:$J,7,FALSE),""))</f>
        <v/>
      </c>
      <c r="J970" s="40" t="str">
        <f>IF(Bids!$C970="","",Bids!$C970)</f>
        <v/>
      </c>
      <c r="K970" s="40" t="str">
        <f>IF($J970="","",IFERROR(VLOOKUP($J970,Grinders!$A:$N,2,FALSE),""))</f>
        <v/>
      </c>
      <c r="L970" s="40" t="str">
        <f>IF($J970="","",IFERROR(VLOOKUP($J970,Grinders!$A:$N,3,FALSE),""))</f>
        <v/>
      </c>
      <c r="M970" s="40" t="str">
        <f>IF($J970="","",IFERROR(VLOOKUP($J970,Grinders!$A:$N,4,FALSE),""))</f>
        <v/>
      </c>
      <c r="N970" s="40" t="str">
        <f>IF($J970="","",IFERROR(VLOOKUP($J970,Grinders!$A:$N,5,FALSE),""))</f>
        <v/>
      </c>
      <c r="O970" s="40" t="str">
        <f t="shared" si="2"/>
        <v/>
      </c>
      <c r="P970" s="40" t="str">
        <f>IF($J970="","",IFERROR(VLOOKUP($J970,Grinders!$A:$N,6,FALSE),""))</f>
        <v/>
      </c>
      <c r="Q970" s="40" t="str">
        <f>IF($J970="","",IFERROR(VLOOKUP($J970,Grinders!$A:$N,8,FALSE),""))</f>
        <v/>
      </c>
      <c r="R970" s="40" t="str">
        <f>IFERROR(IF($J970="","",IF($L970="Elite",MAX(50,MIN(100,Config!$B$27*MAX(0,MIN(100,(1-IF($O970="",0,$O970))*100)) + Config!$B$28*MAX(0,MIN(100,(1-MIN(1,IF(Config!$B$30=0,1,$P970/Config!$B$30)))*100)) + Config!$B$29*MAX(0,MIN(100,MIN(1,IF($Q970="",0,$Q970)/Config!$B$23)*100)))),MIN(100,Config!$B$27*MAX(0,MIN(100,(1-IF($O970="",0,$O970))*100)) + Config!$B$28*MAX(0,MIN(100,(1-MIN(1,IF(Config!$B$30=0,1,$P970/Config!$B$30)))*100)) + Config!$B$29*MAX(0,MIN(100,MIN(1,IF($Q970="",0,$Q970)/Config!$B$23)*100))))),"")
</f>
        <v/>
      </c>
      <c r="S970" s="40" t="str">
        <f>IF(Bids!$D970="","",Bids!$D970)</f>
        <v/>
      </c>
      <c r="T970" s="40" t="str">
        <f>IF(Bids!$F970="","",Bids!$F970)</f>
        <v/>
      </c>
      <c r="U970" s="40" t="str">
        <f t="shared" si="3"/>
        <v/>
      </c>
      <c r="V970" s="40" t="str">
        <f>IF($U970="","",IF(Config!$B$17=Config!$B$16,IF($U970&gt;=Config!$B$17,100,0),MAX(0,MIN(100,($U970-Config!$B$16)/(Config!$B$17-Config!$B$16)*100))))</f>
        <v/>
      </c>
      <c r="W970" s="40">
        <f>IF($L970="Elite",Config!$B$21,0)</f>
        <v>0</v>
      </c>
      <c r="X970" s="40" t="str">
        <f>IFERROR(IF(OR($T970="",$G970=""),"",IF($T970&gt;$G970,
  MAX(0, 60-(($T970-$G970)*24/Config!$B$19)*60),
  MEDIAN(60, 100, 60+(($G970-$T970)*24/Config!$B$20)*40)
)),"")
</f>
        <v/>
      </c>
      <c r="Y970" s="40" t="str">
        <f>IF($J970="","",IFERROR(VLOOKUP($J970,Grinders!$A:$N,10,FALSE),""))</f>
        <v/>
      </c>
      <c r="Z970" s="40" t="str">
        <f>IF($J970="","",IFERROR(VLOOKUP($J970,Grinders!$A:$N,11,FALSE),""))</f>
        <v/>
      </c>
      <c r="AA970" s="40" t="str">
        <f>IF($J970="","",IFERROR(VLOOKUP($J970,Grinders!$A:$N,12,FALSE),""))</f>
        <v/>
      </c>
      <c r="AB970" s="40">
        <f>IFERROR(IF(OR($C970="",$J970=""),0,IF($D970&lt;&gt;"Open",0,IF(COUNTIFS(GrinderServices!$B:$B,$J970,GrinderServices!$C:$C,$E970,GrinderServices!$E:$E,"Y")=0,0,IF($U970&lt;Config!$B$16,0,IF(Config!$B$18=1,IF($N970&gt;=$M970,0,1),1))))),"")</f>
        <v>0</v>
      </c>
      <c r="AC970" s="40" t="str">
        <f>IFERROR(IF($AB970=0,"",((Config!$B$6*$V970 + Config!$B$7*$R970 + Config!$B$8*$W970 + Config!$B$9*$X970 + Config!$B$10*$Y970 + Config!$B$11*$Z970 - Config!$B$12*$AA970)/Config!$B$13)+$AH970+$AI970),"")</f>
        <v/>
      </c>
      <c r="AD970" s="40" t="str">
        <f t="shared" si="4"/>
        <v/>
      </c>
      <c r="AE970" s="40" t="str">
        <f>IFERROR(__xludf.DUMMYFUNCTION("IF($AC970="""","""",IF($AC970=IFERROR(MAX(FILTER($AC$6:$AC$1000,$C$6:$C$1000=$C970,$AB$6:$AB$1000=1)),),""WINNER"",""""))"),"")</f>
        <v/>
      </c>
      <c r="AF970" s="40" t="str">
        <f t="shared" si="5"/>
        <v/>
      </c>
      <c r="AG970" s="40" t="str">
        <f>IF($J970="","",COUNTIF(Assignments!$B:$B,$J970))</f>
        <v/>
      </c>
      <c r="AH970" s="40" t="str">
        <f>IF($J970="","",IF(AND($AG970=0,$N970&lt;$M970),Config!$B$43,0))</f>
        <v/>
      </c>
      <c r="AI970" s="40" t="str">
        <f>IF($J970="","",IF(AND($L970="Elite",$F970&gt;=Config!$B$41,$N970&lt;$M970),Config!$B$42,0))</f>
        <v/>
      </c>
      <c r="AJ970" s="22"/>
    </row>
    <row r="971" ht="15.75" customHeight="1">
      <c r="A971" s="40" t="str">
        <f t="shared" si="1"/>
        <v/>
      </c>
      <c r="B971" s="40" t="str">
        <f>IF(Bids!$A971="","",Bids!$A971)</f>
        <v/>
      </c>
      <c r="C971" s="40" t="str">
        <f>IF(Bids!$B971="","",Bids!$B971)</f>
        <v/>
      </c>
      <c r="D971" s="40" t="str">
        <f>IF($C971="","",IFERROR(VLOOKUP($C971,Orders!$A:$J,9,FALSE),""))</f>
        <v/>
      </c>
      <c r="E971" s="40" t="str">
        <f>IF($C971="","",IFERROR(VLOOKUP($C971,Orders!$A:$J,3,FALSE),""))</f>
        <v/>
      </c>
      <c r="F971" s="40" t="str">
        <f>IF($C971="","",IFERROR(VLOOKUP($C971,Orders!$A:$J,4,FALSE),""))</f>
        <v/>
      </c>
      <c r="G971" s="40" t="str">
        <f>IF($C971="","",IFERROR(VLOOKUP($C971,Orders!$A:$J,5,FALSE),""))</f>
        <v/>
      </c>
      <c r="H971" s="40" t="str">
        <f>IF($C971="","",IFERROR(VLOOKUP($C971,Orders!$A:$J,6,FALSE),""))</f>
        <v/>
      </c>
      <c r="I971" s="40" t="str">
        <f>IF($C971="","",IFERROR(VLOOKUP($C971,Orders!$A:$J,7,FALSE),""))</f>
        <v/>
      </c>
      <c r="J971" s="40" t="str">
        <f>IF(Bids!$C971="","",Bids!$C971)</f>
        <v/>
      </c>
      <c r="K971" s="40" t="str">
        <f>IF($J971="","",IFERROR(VLOOKUP($J971,Grinders!$A:$N,2,FALSE),""))</f>
        <v/>
      </c>
      <c r="L971" s="40" t="str">
        <f>IF($J971="","",IFERROR(VLOOKUP($J971,Grinders!$A:$N,3,FALSE),""))</f>
        <v/>
      </c>
      <c r="M971" s="40" t="str">
        <f>IF($J971="","",IFERROR(VLOOKUP($J971,Grinders!$A:$N,4,FALSE),""))</f>
        <v/>
      </c>
      <c r="N971" s="40" t="str">
        <f>IF($J971="","",IFERROR(VLOOKUP($J971,Grinders!$A:$N,5,FALSE),""))</f>
        <v/>
      </c>
      <c r="O971" s="40" t="str">
        <f t="shared" si="2"/>
        <v/>
      </c>
      <c r="P971" s="40" t="str">
        <f>IF($J971="","",IFERROR(VLOOKUP($J971,Grinders!$A:$N,6,FALSE),""))</f>
        <v/>
      </c>
      <c r="Q971" s="40" t="str">
        <f>IF($J971="","",IFERROR(VLOOKUP($J971,Grinders!$A:$N,8,FALSE),""))</f>
        <v/>
      </c>
      <c r="R971" s="40" t="str">
        <f>IFERROR(IF($J971="","",IF($L971="Elite",MAX(50,MIN(100,Config!$B$27*MAX(0,MIN(100,(1-IF($O971="",0,$O971))*100)) + Config!$B$28*MAX(0,MIN(100,(1-MIN(1,IF(Config!$B$30=0,1,$P971/Config!$B$30)))*100)) + Config!$B$29*MAX(0,MIN(100,MIN(1,IF($Q971="",0,$Q971)/Config!$B$23)*100)))),MIN(100,Config!$B$27*MAX(0,MIN(100,(1-IF($O971="",0,$O971))*100)) + Config!$B$28*MAX(0,MIN(100,(1-MIN(1,IF(Config!$B$30=0,1,$P971/Config!$B$30)))*100)) + Config!$B$29*MAX(0,MIN(100,MIN(1,IF($Q971="",0,$Q971)/Config!$B$23)*100))))),"")
</f>
        <v/>
      </c>
      <c r="S971" s="40" t="str">
        <f>IF(Bids!$D971="","",Bids!$D971)</f>
        <v/>
      </c>
      <c r="T971" s="40" t="str">
        <f>IF(Bids!$F971="","",Bids!$F971)</f>
        <v/>
      </c>
      <c r="U971" s="40" t="str">
        <f t="shared" si="3"/>
        <v/>
      </c>
      <c r="V971" s="40" t="str">
        <f>IF($U971="","",IF(Config!$B$17=Config!$B$16,IF($U971&gt;=Config!$B$17,100,0),MAX(0,MIN(100,($U971-Config!$B$16)/(Config!$B$17-Config!$B$16)*100))))</f>
        <v/>
      </c>
      <c r="W971" s="40">
        <f>IF($L971="Elite",Config!$B$21,0)</f>
        <v>0</v>
      </c>
      <c r="X971" s="40" t="str">
        <f>IFERROR(IF(OR($T971="",$G971=""),"",IF($T971&gt;$G971,
  MAX(0, 60-(($T971-$G971)*24/Config!$B$19)*60),
  MEDIAN(60, 100, 60+(($G971-$T971)*24/Config!$B$20)*40)
)),"")
</f>
        <v/>
      </c>
      <c r="Y971" s="40" t="str">
        <f>IF($J971="","",IFERROR(VLOOKUP($J971,Grinders!$A:$N,10,FALSE),""))</f>
        <v/>
      </c>
      <c r="Z971" s="40" t="str">
        <f>IF($J971="","",IFERROR(VLOOKUP($J971,Grinders!$A:$N,11,FALSE),""))</f>
        <v/>
      </c>
      <c r="AA971" s="40" t="str">
        <f>IF($J971="","",IFERROR(VLOOKUP($J971,Grinders!$A:$N,12,FALSE),""))</f>
        <v/>
      </c>
      <c r="AB971" s="40">
        <f>IFERROR(IF(OR($C971="",$J971=""),0,IF($D971&lt;&gt;"Open",0,IF(COUNTIFS(GrinderServices!$B:$B,$J971,GrinderServices!$C:$C,$E971,GrinderServices!$E:$E,"Y")=0,0,IF($U971&lt;Config!$B$16,0,IF(Config!$B$18=1,IF($N971&gt;=$M971,0,1),1))))),"")</f>
        <v>0</v>
      </c>
      <c r="AC971" s="40" t="str">
        <f>IFERROR(IF($AB971=0,"",((Config!$B$6*$V971 + Config!$B$7*$R971 + Config!$B$8*$W971 + Config!$B$9*$X971 + Config!$B$10*$Y971 + Config!$B$11*$Z971 - Config!$B$12*$AA971)/Config!$B$13)+$AH971+$AI971),"")</f>
        <v/>
      </c>
      <c r="AD971" s="40" t="str">
        <f t="shared" si="4"/>
        <v/>
      </c>
      <c r="AE971" s="40" t="str">
        <f>IFERROR(__xludf.DUMMYFUNCTION("IF($AC971="""","""",IF($AC971=IFERROR(MAX(FILTER($AC$6:$AC$1000,$C$6:$C$1000=$C971,$AB$6:$AB$1000=1)),),""WINNER"",""""))"),"")</f>
        <v/>
      </c>
      <c r="AF971" s="40" t="str">
        <f t="shared" si="5"/>
        <v/>
      </c>
      <c r="AG971" s="40" t="str">
        <f>IF($J971="","",COUNTIF(Assignments!$B:$B,$J971))</f>
        <v/>
      </c>
      <c r="AH971" s="40" t="str">
        <f>IF($J971="","",IF(AND($AG971=0,$N971&lt;$M971),Config!$B$43,0))</f>
        <v/>
      </c>
      <c r="AI971" s="40" t="str">
        <f>IF($J971="","",IF(AND($L971="Elite",$F971&gt;=Config!$B$41,$N971&lt;$M971),Config!$B$42,0))</f>
        <v/>
      </c>
      <c r="AJ971" s="22"/>
    </row>
    <row r="972" ht="15.75" customHeight="1">
      <c r="A972" s="40" t="str">
        <f t="shared" si="1"/>
        <v/>
      </c>
      <c r="B972" s="40" t="str">
        <f>IF(Bids!$A972="","",Bids!$A972)</f>
        <v/>
      </c>
      <c r="C972" s="40" t="str">
        <f>IF(Bids!$B972="","",Bids!$B972)</f>
        <v/>
      </c>
      <c r="D972" s="40" t="str">
        <f>IF($C972="","",IFERROR(VLOOKUP($C972,Orders!$A:$J,9,FALSE),""))</f>
        <v/>
      </c>
      <c r="E972" s="40" t="str">
        <f>IF($C972="","",IFERROR(VLOOKUP($C972,Orders!$A:$J,3,FALSE),""))</f>
        <v/>
      </c>
      <c r="F972" s="40" t="str">
        <f>IF($C972="","",IFERROR(VLOOKUP($C972,Orders!$A:$J,4,FALSE),""))</f>
        <v/>
      </c>
      <c r="G972" s="40" t="str">
        <f>IF($C972="","",IFERROR(VLOOKUP($C972,Orders!$A:$J,5,FALSE),""))</f>
        <v/>
      </c>
      <c r="H972" s="40" t="str">
        <f>IF($C972="","",IFERROR(VLOOKUP($C972,Orders!$A:$J,6,FALSE),""))</f>
        <v/>
      </c>
      <c r="I972" s="40" t="str">
        <f>IF($C972="","",IFERROR(VLOOKUP($C972,Orders!$A:$J,7,FALSE),""))</f>
        <v/>
      </c>
      <c r="J972" s="40" t="str">
        <f>IF(Bids!$C972="","",Bids!$C972)</f>
        <v/>
      </c>
      <c r="K972" s="40" t="str">
        <f>IF($J972="","",IFERROR(VLOOKUP($J972,Grinders!$A:$N,2,FALSE),""))</f>
        <v/>
      </c>
      <c r="L972" s="40" t="str">
        <f>IF($J972="","",IFERROR(VLOOKUP($J972,Grinders!$A:$N,3,FALSE),""))</f>
        <v/>
      </c>
      <c r="M972" s="40" t="str">
        <f>IF($J972="","",IFERROR(VLOOKUP($J972,Grinders!$A:$N,4,FALSE),""))</f>
        <v/>
      </c>
      <c r="N972" s="40" t="str">
        <f>IF($J972="","",IFERROR(VLOOKUP($J972,Grinders!$A:$N,5,FALSE),""))</f>
        <v/>
      </c>
      <c r="O972" s="40" t="str">
        <f t="shared" si="2"/>
        <v/>
      </c>
      <c r="P972" s="40" t="str">
        <f>IF($J972="","",IFERROR(VLOOKUP($J972,Grinders!$A:$N,6,FALSE),""))</f>
        <v/>
      </c>
      <c r="Q972" s="40" t="str">
        <f>IF($J972="","",IFERROR(VLOOKUP($J972,Grinders!$A:$N,8,FALSE),""))</f>
        <v/>
      </c>
      <c r="R972" s="40" t="str">
        <f>IFERROR(IF($J972="","",IF($L972="Elite",MAX(50,MIN(100,Config!$B$27*MAX(0,MIN(100,(1-IF($O972="",0,$O972))*100)) + Config!$B$28*MAX(0,MIN(100,(1-MIN(1,IF(Config!$B$30=0,1,$P972/Config!$B$30)))*100)) + Config!$B$29*MAX(0,MIN(100,MIN(1,IF($Q972="",0,$Q972)/Config!$B$23)*100)))),MIN(100,Config!$B$27*MAX(0,MIN(100,(1-IF($O972="",0,$O972))*100)) + Config!$B$28*MAX(0,MIN(100,(1-MIN(1,IF(Config!$B$30=0,1,$P972/Config!$B$30)))*100)) + Config!$B$29*MAX(0,MIN(100,MIN(1,IF($Q972="",0,$Q972)/Config!$B$23)*100))))),"")
</f>
        <v/>
      </c>
      <c r="S972" s="40" t="str">
        <f>IF(Bids!$D972="","",Bids!$D972)</f>
        <v/>
      </c>
      <c r="T972" s="40" t="str">
        <f>IF(Bids!$F972="","",Bids!$F972)</f>
        <v/>
      </c>
      <c r="U972" s="40" t="str">
        <f t="shared" si="3"/>
        <v/>
      </c>
      <c r="V972" s="40" t="str">
        <f>IF($U972="","",IF(Config!$B$17=Config!$B$16,IF($U972&gt;=Config!$B$17,100,0),MAX(0,MIN(100,($U972-Config!$B$16)/(Config!$B$17-Config!$B$16)*100))))</f>
        <v/>
      </c>
      <c r="W972" s="40">
        <f>IF($L972="Elite",Config!$B$21,0)</f>
        <v>0</v>
      </c>
      <c r="X972" s="40" t="str">
        <f>IFERROR(IF(OR($T972="",$G972=""),"",IF($T972&gt;$G972,
  MAX(0, 60-(($T972-$G972)*24/Config!$B$19)*60),
  MEDIAN(60, 100, 60+(($G972-$T972)*24/Config!$B$20)*40)
)),"")
</f>
        <v/>
      </c>
      <c r="Y972" s="40" t="str">
        <f>IF($J972="","",IFERROR(VLOOKUP($J972,Grinders!$A:$N,10,FALSE),""))</f>
        <v/>
      </c>
      <c r="Z972" s="40" t="str">
        <f>IF($J972="","",IFERROR(VLOOKUP($J972,Grinders!$A:$N,11,FALSE),""))</f>
        <v/>
      </c>
      <c r="AA972" s="40" t="str">
        <f>IF($J972="","",IFERROR(VLOOKUP($J972,Grinders!$A:$N,12,FALSE),""))</f>
        <v/>
      </c>
      <c r="AB972" s="40">
        <f>IFERROR(IF(OR($C972="",$J972=""),0,IF($D972&lt;&gt;"Open",0,IF(COUNTIFS(GrinderServices!$B:$B,$J972,GrinderServices!$C:$C,$E972,GrinderServices!$E:$E,"Y")=0,0,IF($U972&lt;Config!$B$16,0,IF(Config!$B$18=1,IF($N972&gt;=$M972,0,1),1))))),"")</f>
        <v>0</v>
      </c>
      <c r="AC972" s="40" t="str">
        <f>IFERROR(IF($AB972=0,"",((Config!$B$6*$V972 + Config!$B$7*$R972 + Config!$B$8*$W972 + Config!$B$9*$X972 + Config!$B$10*$Y972 + Config!$B$11*$Z972 - Config!$B$12*$AA972)/Config!$B$13)+$AH972+$AI972),"")</f>
        <v/>
      </c>
      <c r="AD972" s="40" t="str">
        <f t="shared" si="4"/>
        <v/>
      </c>
      <c r="AE972" s="40" t="str">
        <f>IFERROR(__xludf.DUMMYFUNCTION("IF($AC972="""","""",IF($AC972=IFERROR(MAX(FILTER($AC$6:$AC$1000,$C$6:$C$1000=$C972,$AB$6:$AB$1000=1)),),""WINNER"",""""))"),"")</f>
        <v/>
      </c>
      <c r="AF972" s="40" t="str">
        <f t="shared" si="5"/>
        <v/>
      </c>
      <c r="AG972" s="40" t="str">
        <f>IF($J972="","",COUNTIF(Assignments!$B:$B,$J972))</f>
        <v/>
      </c>
      <c r="AH972" s="40" t="str">
        <f>IF($J972="","",IF(AND($AG972=0,$N972&lt;$M972),Config!$B$43,0))</f>
        <v/>
      </c>
      <c r="AI972" s="40" t="str">
        <f>IF($J972="","",IF(AND($L972="Elite",$F972&gt;=Config!$B$41,$N972&lt;$M972),Config!$B$42,0))</f>
        <v/>
      </c>
      <c r="AJ972" s="22"/>
    </row>
    <row r="973" ht="15.75" customHeight="1">
      <c r="A973" s="40" t="str">
        <f t="shared" si="1"/>
        <v/>
      </c>
      <c r="B973" s="40" t="str">
        <f>IF(Bids!$A973="","",Bids!$A973)</f>
        <v/>
      </c>
      <c r="C973" s="40" t="str">
        <f>IF(Bids!$B973="","",Bids!$B973)</f>
        <v/>
      </c>
      <c r="D973" s="40" t="str">
        <f>IF($C973="","",IFERROR(VLOOKUP($C973,Orders!$A:$J,9,FALSE),""))</f>
        <v/>
      </c>
      <c r="E973" s="40" t="str">
        <f>IF($C973="","",IFERROR(VLOOKUP($C973,Orders!$A:$J,3,FALSE),""))</f>
        <v/>
      </c>
      <c r="F973" s="40" t="str">
        <f>IF($C973="","",IFERROR(VLOOKUP($C973,Orders!$A:$J,4,FALSE),""))</f>
        <v/>
      </c>
      <c r="G973" s="40" t="str">
        <f>IF($C973="","",IFERROR(VLOOKUP($C973,Orders!$A:$J,5,FALSE),""))</f>
        <v/>
      </c>
      <c r="H973" s="40" t="str">
        <f>IF($C973="","",IFERROR(VLOOKUP($C973,Orders!$A:$J,6,FALSE),""))</f>
        <v/>
      </c>
      <c r="I973" s="40" t="str">
        <f>IF($C973="","",IFERROR(VLOOKUP($C973,Orders!$A:$J,7,FALSE),""))</f>
        <v/>
      </c>
      <c r="J973" s="40" t="str">
        <f>IF(Bids!$C973="","",Bids!$C973)</f>
        <v/>
      </c>
      <c r="K973" s="40" t="str">
        <f>IF($J973="","",IFERROR(VLOOKUP($J973,Grinders!$A:$N,2,FALSE),""))</f>
        <v/>
      </c>
      <c r="L973" s="40" t="str">
        <f>IF($J973="","",IFERROR(VLOOKUP($J973,Grinders!$A:$N,3,FALSE),""))</f>
        <v/>
      </c>
      <c r="M973" s="40" t="str">
        <f>IF($J973="","",IFERROR(VLOOKUP($J973,Grinders!$A:$N,4,FALSE),""))</f>
        <v/>
      </c>
      <c r="N973" s="40" t="str">
        <f>IF($J973="","",IFERROR(VLOOKUP($J973,Grinders!$A:$N,5,FALSE),""))</f>
        <v/>
      </c>
      <c r="O973" s="40" t="str">
        <f t="shared" si="2"/>
        <v/>
      </c>
      <c r="P973" s="40" t="str">
        <f>IF($J973="","",IFERROR(VLOOKUP($J973,Grinders!$A:$N,6,FALSE),""))</f>
        <v/>
      </c>
      <c r="Q973" s="40" t="str">
        <f>IF($J973="","",IFERROR(VLOOKUP($J973,Grinders!$A:$N,8,FALSE),""))</f>
        <v/>
      </c>
      <c r="R973" s="40" t="str">
        <f>IFERROR(IF($J973="","",IF($L973="Elite",MAX(50,MIN(100,Config!$B$27*MAX(0,MIN(100,(1-IF($O973="",0,$O973))*100)) + Config!$B$28*MAX(0,MIN(100,(1-MIN(1,IF(Config!$B$30=0,1,$P973/Config!$B$30)))*100)) + Config!$B$29*MAX(0,MIN(100,MIN(1,IF($Q973="",0,$Q973)/Config!$B$23)*100)))),MIN(100,Config!$B$27*MAX(0,MIN(100,(1-IF($O973="",0,$O973))*100)) + Config!$B$28*MAX(0,MIN(100,(1-MIN(1,IF(Config!$B$30=0,1,$P973/Config!$B$30)))*100)) + Config!$B$29*MAX(0,MIN(100,MIN(1,IF($Q973="",0,$Q973)/Config!$B$23)*100))))),"")
</f>
        <v/>
      </c>
      <c r="S973" s="40" t="str">
        <f>IF(Bids!$D973="","",Bids!$D973)</f>
        <v/>
      </c>
      <c r="T973" s="40" t="str">
        <f>IF(Bids!$F973="","",Bids!$F973)</f>
        <v/>
      </c>
      <c r="U973" s="40" t="str">
        <f t="shared" si="3"/>
        <v/>
      </c>
      <c r="V973" s="40" t="str">
        <f>IF($U973="","",IF(Config!$B$17=Config!$B$16,IF($U973&gt;=Config!$B$17,100,0),MAX(0,MIN(100,($U973-Config!$B$16)/(Config!$B$17-Config!$B$16)*100))))</f>
        <v/>
      </c>
      <c r="W973" s="40">
        <f>IF($L973="Elite",Config!$B$21,0)</f>
        <v>0</v>
      </c>
      <c r="X973" s="40" t="str">
        <f>IFERROR(IF(OR($T973="",$G973=""),"",IF($T973&gt;$G973,
  MAX(0, 60-(($T973-$G973)*24/Config!$B$19)*60),
  MEDIAN(60, 100, 60+(($G973-$T973)*24/Config!$B$20)*40)
)),"")
</f>
        <v/>
      </c>
      <c r="Y973" s="40" t="str">
        <f>IF($J973="","",IFERROR(VLOOKUP($J973,Grinders!$A:$N,10,FALSE),""))</f>
        <v/>
      </c>
      <c r="Z973" s="40" t="str">
        <f>IF($J973="","",IFERROR(VLOOKUP($J973,Grinders!$A:$N,11,FALSE),""))</f>
        <v/>
      </c>
      <c r="AA973" s="40" t="str">
        <f>IF($J973="","",IFERROR(VLOOKUP($J973,Grinders!$A:$N,12,FALSE),""))</f>
        <v/>
      </c>
      <c r="AB973" s="40">
        <f>IFERROR(IF(OR($C973="",$J973=""),0,IF($D973&lt;&gt;"Open",0,IF(COUNTIFS(GrinderServices!$B:$B,$J973,GrinderServices!$C:$C,$E973,GrinderServices!$E:$E,"Y")=0,0,IF($U973&lt;Config!$B$16,0,IF(Config!$B$18=1,IF($N973&gt;=$M973,0,1),1))))),"")</f>
        <v>0</v>
      </c>
      <c r="AC973" s="40" t="str">
        <f>IFERROR(IF($AB973=0,"",((Config!$B$6*$V973 + Config!$B$7*$R973 + Config!$B$8*$W973 + Config!$B$9*$X973 + Config!$B$10*$Y973 + Config!$B$11*$Z973 - Config!$B$12*$AA973)/Config!$B$13)+$AH973+$AI973),"")</f>
        <v/>
      </c>
      <c r="AD973" s="40" t="str">
        <f t="shared" si="4"/>
        <v/>
      </c>
      <c r="AE973" s="40" t="str">
        <f>IFERROR(__xludf.DUMMYFUNCTION("IF($AC973="""","""",IF($AC973=IFERROR(MAX(FILTER($AC$6:$AC$1000,$C$6:$C$1000=$C973,$AB$6:$AB$1000=1)),),""WINNER"",""""))"),"")</f>
        <v/>
      </c>
      <c r="AF973" s="40" t="str">
        <f t="shared" si="5"/>
        <v/>
      </c>
      <c r="AG973" s="40" t="str">
        <f>IF($J973="","",COUNTIF(Assignments!$B:$B,$J973))</f>
        <v/>
      </c>
      <c r="AH973" s="40" t="str">
        <f>IF($J973="","",IF(AND($AG973=0,$N973&lt;$M973),Config!$B$43,0))</f>
        <v/>
      </c>
      <c r="AI973" s="40" t="str">
        <f>IF($J973="","",IF(AND($L973="Elite",$F973&gt;=Config!$B$41,$N973&lt;$M973),Config!$B$42,0))</f>
        <v/>
      </c>
      <c r="AJ973" s="22"/>
    </row>
    <row r="974" ht="15.75" customHeight="1">
      <c r="A974" s="40" t="str">
        <f t="shared" si="1"/>
        <v/>
      </c>
      <c r="B974" s="40" t="str">
        <f>IF(Bids!$A974="","",Bids!$A974)</f>
        <v/>
      </c>
      <c r="C974" s="40" t="str">
        <f>IF(Bids!$B974="","",Bids!$B974)</f>
        <v/>
      </c>
      <c r="D974" s="40" t="str">
        <f>IF($C974="","",IFERROR(VLOOKUP($C974,Orders!$A:$J,9,FALSE),""))</f>
        <v/>
      </c>
      <c r="E974" s="40" t="str">
        <f>IF($C974="","",IFERROR(VLOOKUP($C974,Orders!$A:$J,3,FALSE),""))</f>
        <v/>
      </c>
      <c r="F974" s="40" t="str">
        <f>IF($C974="","",IFERROR(VLOOKUP($C974,Orders!$A:$J,4,FALSE),""))</f>
        <v/>
      </c>
      <c r="G974" s="40" t="str">
        <f>IF($C974="","",IFERROR(VLOOKUP($C974,Orders!$A:$J,5,FALSE),""))</f>
        <v/>
      </c>
      <c r="H974" s="40" t="str">
        <f>IF($C974="","",IFERROR(VLOOKUP($C974,Orders!$A:$J,6,FALSE),""))</f>
        <v/>
      </c>
      <c r="I974" s="40" t="str">
        <f>IF($C974="","",IFERROR(VLOOKUP($C974,Orders!$A:$J,7,FALSE),""))</f>
        <v/>
      </c>
      <c r="J974" s="40" t="str">
        <f>IF(Bids!$C974="","",Bids!$C974)</f>
        <v/>
      </c>
      <c r="K974" s="40" t="str">
        <f>IF($J974="","",IFERROR(VLOOKUP($J974,Grinders!$A:$N,2,FALSE),""))</f>
        <v/>
      </c>
      <c r="L974" s="40" t="str">
        <f>IF($J974="","",IFERROR(VLOOKUP($J974,Grinders!$A:$N,3,FALSE),""))</f>
        <v/>
      </c>
      <c r="M974" s="40" t="str">
        <f>IF($J974="","",IFERROR(VLOOKUP($J974,Grinders!$A:$N,4,FALSE),""))</f>
        <v/>
      </c>
      <c r="N974" s="40" t="str">
        <f>IF($J974="","",IFERROR(VLOOKUP($J974,Grinders!$A:$N,5,FALSE),""))</f>
        <v/>
      </c>
      <c r="O974" s="40" t="str">
        <f t="shared" si="2"/>
        <v/>
      </c>
      <c r="P974" s="40" t="str">
        <f>IF($J974="","",IFERROR(VLOOKUP($J974,Grinders!$A:$N,6,FALSE),""))</f>
        <v/>
      </c>
      <c r="Q974" s="40" t="str">
        <f>IF($J974="","",IFERROR(VLOOKUP($J974,Grinders!$A:$N,8,FALSE),""))</f>
        <v/>
      </c>
      <c r="R974" s="40" t="str">
        <f>IFERROR(IF($J974="","",IF($L974="Elite",MAX(50,MIN(100,Config!$B$27*MAX(0,MIN(100,(1-IF($O974="",0,$O974))*100)) + Config!$B$28*MAX(0,MIN(100,(1-MIN(1,IF(Config!$B$30=0,1,$P974/Config!$B$30)))*100)) + Config!$B$29*MAX(0,MIN(100,MIN(1,IF($Q974="",0,$Q974)/Config!$B$23)*100)))),MIN(100,Config!$B$27*MAX(0,MIN(100,(1-IF($O974="",0,$O974))*100)) + Config!$B$28*MAX(0,MIN(100,(1-MIN(1,IF(Config!$B$30=0,1,$P974/Config!$B$30)))*100)) + Config!$B$29*MAX(0,MIN(100,MIN(1,IF($Q974="",0,$Q974)/Config!$B$23)*100))))),"")
</f>
        <v/>
      </c>
      <c r="S974" s="40" t="str">
        <f>IF(Bids!$D974="","",Bids!$D974)</f>
        <v/>
      </c>
      <c r="T974" s="40" t="str">
        <f>IF(Bids!$F974="","",Bids!$F974)</f>
        <v/>
      </c>
      <c r="U974" s="40" t="str">
        <f t="shared" si="3"/>
        <v/>
      </c>
      <c r="V974" s="40" t="str">
        <f>IF($U974="","",IF(Config!$B$17=Config!$B$16,IF($U974&gt;=Config!$B$17,100,0),MAX(0,MIN(100,($U974-Config!$B$16)/(Config!$B$17-Config!$B$16)*100))))</f>
        <v/>
      </c>
      <c r="W974" s="40">
        <f>IF($L974="Elite",Config!$B$21,0)</f>
        <v>0</v>
      </c>
      <c r="X974" s="40" t="str">
        <f>IFERROR(IF(OR($T974="",$G974=""),"",IF($T974&gt;$G974,
  MAX(0, 60-(($T974-$G974)*24/Config!$B$19)*60),
  MEDIAN(60, 100, 60+(($G974-$T974)*24/Config!$B$20)*40)
)),"")
</f>
        <v/>
      </c>
      <c r="Y974" s="40" t="str">
        <f>IF($J974="","",IFERROR(VLOOKUP($J974,Grinders!$A:$N,10,FALSE),""))</f>
        <v/>
      </c>
      <c r="Z974" s="40" t="str">
        <f>IF($J974="","",IFERROR(VLOOKUP($J974,Grinders!$A:$N,11,FALSE),""))</f>
        <v/>
      </c>
      <c r="AA974" s="40" t="str">
        <f>IF($J974="","",IFERROR(VLOOKUP($J974,Grinders!$A:$N,12,FALSE),""))</f>
        <v/>
      </c>
      <c r="AB974" s="40">
        <f>IFERROR(IF(OR($C974="",$J974=""),0,IF($D974&lt;&gt;"Open",0,IF(COUNTIFS(GrinderServices!$B:$B,$J974,GrinderServices!$C:$C,$E974,GrinderServices!$E:$E,"Y")=0,0,IF($U974&lt;Config!$B$16,0,IF(Config!$B$18=1,IF($N974&gt;=$M974,0,1),1))))),"")</f>
        <v>0</v>
      </c>
      <c r="AC974" s="40" t="str">
        <f>IFERROR(IF($AB974=0,"",((Config!$B$6*$V974 + Config!$B$7*$R974 + Config!$B$8*$W974 + Config!$B$9*$X974 + Config!$B$10*$Y974 + Config!$B$11*$Z974 - Config!$B$12*$AA974)/Config!$B$13)+$AH974+$AI974),"")</f>
        <v/>
      </c>
      <c r="AD974" s="40" t="str">
        <f t="shared" si="4"/>
        <v/>
      </c>
      <c r="AE974" s="40" t="str">
        <f>IFERROR(__xludf.DUMMYFUNCTION("IF($AC974="""","""",IF($AC974=IFERROR(MAX(FILTER($AC$6:$AC$1000,$C$6:$C$1000=$C974,$AB$6:$AB$1000=1)),),""WINNER"",""""))"),"")</f>
        <v/>
      </c>
      <c r="AF974" s="40" t="str">
        <f t="shared" si="5"/>
        <v/>
      </c>
      <c r="AG974" s="40" t="str">
        <f>IF($J974="","",COUNTIF(Assignments!$B:$B,$J974))</f>
        <v/>
      </c>
      <c r="AH974" s="40" t="str">
        <f>IF($J974="","",IF(AND($AG974=0,$N974&lt;$M974),Config!$B$43,0))</f>
        <v/>
      </c>
      <c r="AI974" s="40" t="str">
        <f>IF($J974="","",IF(AND($L974="Elite",$F974&gt;=Config!$B$41,$N974&lt;$M974),Config!$B$42,0))</f>
        <v/>
      </c>
      <c r="AJ974" s="22"/>
    </row>
    <row r="975" ht="15.75" customHeight="1">
      <c r="A975" s="40" t="str">
        <f t="shared" si="1"/>
        <v/>
      </c>
      <c r="B975" s="40" t="str">
        <f>IF(Bids!$A975="","",Bids!$A975)</f>
        <v/>
      </c>
      <c r="C975" s="40" t="str">
        <f>IF(Bids!$B975="","",Bids!$B975)</f>
        <v/>
      </c>
      <c r="D975" s="40" t="str">
        <f>IF($C975="","",IFERROR(VLOOKUP($C975,Orders!$A:$J,9,FALSE),""))</f>
        <v/>
      </c>
      <c r="E975" s="40" t="str">
        <f>IF($C975="","",IFERROR(VLOOKUP($C975,Orders!$A:$J,3,FALSE),""))</f>
        <v/>
      </c>
      <c r="F975" s="40" t="str">
        <f>IF($C975="","",IFERROR(VLOOKUP($C975,Orders!$A:$J,4,FALSE),""))</f>
        <v/>
      </c>
      <c r="G975" s="40" t="str">
        <f>IF($C975="","",IFERROR(VLOOKUP($C975,Orders!$A:$J,5,FALSE),""))</f>
        <v/>
      </c>
      <c r="H975" s="40" t="str">
        <f>IF($C975="","",IFERROR(VLOOKUP($C975,Orders!$A:$J,6,FALSE),""))</f>
        <v/>
      </c>
      <c r="I975" s="40" t="str">
        <f>IF($C975="","",IFERROR(VLOOKUP($C975,Orders!$A:$J,7,FALSE),""))</f>
        <v/>
      </c>
      <c r="J975" s="40" t="str">
        <f>IF(Bids!$C975="","",Bids!$C975)</f>
        <v/>
      </c>
      <c r="K975" s="40" t="str">
        <f>IF($J975="","",IFERROR(VLOOKUP($J975,Grinders!$A:$N,2,FALSE),""))</f>
        <v/>
      </c>
      <c r="L975" s="40" t="str">
        <f>IF($J975="","",IFERROR(VLOOKUP($J975,Grinders!$A:$N,3,FALSE),""))</f>
        <v/>
      </c>
      <c r="M975" s="40" t="str">
        <f>IF($J975="","",IFERROR(VLOOKUP($J975,Grinders!$A:$N,4,FALSE),""))</f>
        <v/>
      </c>
      <c r="N975" s="40" t="str">
        <f>IF($J975="","",IFERROR(VLOOKUP($J975,Grinders!$A:$N,5,FALSE),""))</f>
        <v/>
      </c>
      <c r="O975" s="40" t="str">
        <f t="shared" si="2"/>
        <v/>
      </c>
      <c r="P975" s="40" t="str">
        <f>IF($J975="","",IFERROR(VLOOKUP($J975,Grinders!$A:$N,6,FALSE),""))</f>
        <v/>
      </c>
      <c r="Q975" s="40" t="str">
        <f>IF($J975="","",IFERROR(VLOOKUP($J975,Grinders!$A:$N,8,FALSE),""))</f>
        <v/>
      </c>
      <c r="R975" s="40" t="str">
        <f>IFERROR(IF($J975="","",IF($L975="Elite",MAX(50,MIN(100,Config!$B$27*MAX(0,MIN(100,(1-IF($O975="",0,$O975))*100)) + Config!$B$28*MAX(0,MIN(100,(1-MIN(1,IF(Config!$B$30=0,1,$P975/Config!$B$30)))*100)) + Config!$B$29*MAX(0,MIN(100,MIN(1,IF($Q975="",0,$Q975)/Config!$B$23)*100)))),MIN(100,Config!$B$27*MAX(0,MIN(100,(1-IF($O975="",0,$O975))*100)) + Config!$B$28*MAX(0,MIN(100,(1-MIN(1,IF(Config!$B$30=0,1,$P975/Config!$B$30)))*100)) + Config!$B$29*MAX(0,MIN(100,MIN(1,IF($Q975="",0,$Q975)/Config!$B$23)*100))))),"")
</f>
        <v/>
      </c>
      <c r="S975" s="40" t="str">
        <f>IF(Bids!$D975="","",Bids!$D975)</f>
        <v/>
      </c>
      <c r="T975" s="40" t="str">
        <f>IF(Bids!$F975="","",Bids!$F975)</f>
        <v/>
      </c>
      <c r="U975" s="40" t="str">
        <f t="shared" si="3"/>
        <v/>
      </c>
      <c r="V975" s="40" t="str">
        <f>IF($U975="","",IF(Config!$B$17=Config!$B$16,IF($U975&gt;=Config!$B$17,100,0),MAX(0,MIN(100,($U975-Config!$B$16)/(Config!$B$17-Config!$B$16)*100))))</f>
        <v/>
      </c>
      <c r="W975" s="40">
        <f>IF($L975="Elite",Config!$B$21,0)</f>
        <v>0</v>
      </c>
      <c r="X975" s="40" t="str">
        <f>IFERROR(IF(OR($T975="",$G975=""),"",IF($T975&gt;$G975,
  MAX(0, 60-(($T975-$G975)*24/Config!$B$19)*60),
  MEDIAN(60, 100, 60+(($G975-$T975)*24/Config!$B$20)*40)
)),"")
</f>
        <v/>
      </c>
      <c r="Y975" s="40" t="str">
        <f>IF($J975="","",IFERROR(VLOOKUP($J975,Grinders!$A:$N,10,FALSE),""))</f>
        <v/>
      </c>
      <c r="Z975" s="40" t="str">
        <f>IF($J975="","",IFERROR(VLOOKUP($J975,Grinders!$A:$N,11,FALSE),""))</f>
        <v/>
      </c>
      <c r="AA975" s="40" t="str">
        <f>IF($J975="","",IFERROR(VLOOKUP($J975,Grinders!$A:$N,12,FALSE),""))</f>
        <v/>
      </c>
      <c r="AB975" s="40">
        <f>IFERROR(IF(OR($C975="",$J975=""),0,IF($D975&lt;&gt;"Open",0,IF(COUNTIFS(GrinderServices!$B:$B,$J975,GrinderServices!$C:$C,$E975,GrinderServices!$E:$E,"Y")=0,0,IF($U975&lt;Config!$B$16,0,IF(Config!$B$18=1,IF($N975&gt;=$M975,0,1),1))))),"")</f>
        <v>0</v>
      </c>
      <c r="AC975" s="40" t="str">
        <f>IFERROR(IF($AB975=0,"",((Config!$B$6*$V975 + Config!$B$7*$R975 + Config!$B$8*$W975 + Config!$B$9*$X975 + Config!$B$10*$Y975 + Config!$B$11*$Z975 - Config!$B$12*$AA975)/Config!$B$13)+$AH975+$AI975),"")</f>
        <v/>
      </c>
      <c r="AD975" s="40" t="str">
        <f t="shared" si="4"/>
        <v/>
      </c>
      <c r="AE975" s="40" t="str">
        <f>IFERROR(__xludf.DUMMYFUNCTION("IF($AC975="""","""",IF($AC975=IFERROR(MAX(FILTER($AC$6:$AC$1000,$C$6:$C$1000=$C975,$AB$6:$AB$1000=1)),),""WINNER"",""""))"),"")</f>
        <v/>
      </c>
      <c r="AF975" s="40" t="str">
        <f t="shared" si="5"/>
        <v/>
      </c>
      <c r="AG975" s="40" t="str">
        <f>IF($J975="","",COUNTIF(Assignments!$B:$B,$J975))</f>
        <v/>
      </c>
      <c r="AH975" s="40" t="str">
        <f>IF($J975="","",IF(AND($AG975=0,$N975&lt;$M975),Config!$B$43,0))</f>
        <v/>
      </c>
      <c r="AI975" s="40" t="str">
        <f>IF($J975="","",IF(AND($L975="Elite",$F975&gt;=Config!$B$41,$N975&lt;$M975),Config!$B$42,0))</f>
        <v/>
      </c>
      <c r="AJ975" s="22"/>
    </row>
    <row r="976" ht="15.75" customHeight="1">
      <c r="A976" s="40" t="str">
        <f t="shared" si="1"/>
        <v/>
      </c>
      <c r="B976" s="40" t="str">
        <f>IF(Bids!$A976="","",Bids!$A976)</f>
        <v/>
      </c>
      <c r="C976" s="40" t="str">
        <f>IF(Bids!$B976="","",Bids!$B976)</f>
        <v/>
      </c>
      <c r="D976" s="40" t="str">
        <f>IF($C976="","",IFERROR(VLOOKUP($C976,Orders!$A:$J,9,FALSE),""))</f>
        <v/>
      </c>
      <c r="E976" s="40" t="str">
        <f>IF($C976="","",IFERROR(VLOOKUP($C976,Orders!$A:$J,3,FALSE),""))</f>
        <v/>
      </c>
      <c r="F976" s="40" t="str">
        <f>IF($C976="","",IFERROR(VLOOKUP($C976,Orders!$A:$J,4,FALSE),""))</f>
        <v/>
      </c>
      <c r="G976" s="40" t="str">
        <f>IF($C976="","",IFERROR(VLOOKUP($C976,Orders!$A:$J,5,FALSE),""))</f>
        <v/>
      </c>
      <c r="H976" s="40" t="str">
        <f>IF($C976="","",IFERROR(VLOOKUP($C976,Orders!$A:$J,6,FALSE),""))</f>
        <v/>
      </c>
      <c r="I976" s="40" t="str">
        <f>IF($C976="","",IFERROR(VLOOKUP($C976,Orders!$A:$J,7,FALSE),""))</f>
        <v/>
      </c>
      <c r="J976" s="40" t="str">
        <f>IF(Bids!$C976="","",Bids!$C976)</f>
        <v/>
      </c>
      <c r="K976" s="40" t="str">
        <f>IF($J976="","",IFERROR(VLOOKUP($J976,Grinders!$A:$N,2,FALSE),""))</f>
        <v/>
      </c>
      <c r="L976" s="40" t="str">
        <f>IF($J976="","",IFERROR(VLOOKUP($J976,Grinders!$A:$N,3,FALSE),""))</f>
        <v/>
      </c>
      <c r="M976" s="40" t="str">
        <f>IF($J976="","",IFERROR(VLOOKUP($J976,Grinders!$A:$N,4,FALSE),""))</f>
        <v/>
      </c>
      <c r="N976" s="40" t="str">
        <f>IF($J976="","",IFERROR(VLOOKUP($J976,Grinders!$A:$N,5,FALSE),""))</f>
        <v/>
      </c>
      <c r="O976" s="40" t="str">
        <f t="shared" si="2"/>
        <v/>
      </c>
      <c r="P976" s="40" t="str">
        <f>IF($J976="","",IFERROR(VLOOKUP($J976,Grinders!$A:$N,6,FALSE),""))</f>
        <v/>
      </c>
      <c r="Q976" s="40" t="str">
        <f>IF($J976="","",IFERROR(VLOOKUP($J976,Grinders!$A:$N,8,FALSE),""))</f>
        <v/>
      </c>
      <c r="R976" s="40" t="str">
        <f>IFERROR(IF($J976="","",IF($L976="Elite",MAX(50,MIN(100,Config!$B$27*MAX(0,MIN(100,(1-IF($O976="",0,$O976))*100)) + Config!$B$28*MAX(0,MIN(100,(1-MIN(1,IF(Config!$B$30=0,1,$P976/Config!$B$30)))*100)) + Config!$B$29*MAX(0,MIN(100,MIN(1,IF($Q976="",0,$Q976)/Config!$B$23)*100)))),MIN(100,Config!$B$27*MAX(0,MIN(100,(1-IF($O976="",0,$O976))*100)) + Config!$B$28*MAX(0,MIN(100,(1-MIN(1,IF(Config!$B$30=0,1,$P976/Config!$B$30)))*100)) + Config!$B$29*MAX(0,MIN(100,MIN(1,IF($Q976="",0,$Q976)/Config!$B$23)*100))))),"")
</f>
        <v/>
      </c>
      <c r="S976" s="40" t="str">
        <f>IF(Bids!$D976="","",Bids!$D976)</f>
        <v/>
      </c>
      <c r="T976" s="40" t="str">
        <f>IF(Bids!$F976="","",Bids!$F976)</f>
        <v/>
      </c>
      <c r="U976" s="40" t="str">
        <f t="shared" si="3"/>
        <v/>
      </c>
      <c r="V976" s="40" t="str">
        <f>IF($U976="","",IF(Config!$B$17=Config!$B$16,IF($U976&gt;=Config!$B$17,100,0),MAX(0,MIN(100,($U976-Config!$B$16)/(Config!$B$17-Config!$B$16)*100))))</f>
        <v/>
      </c>
      <c r="W976" s="40">
        <f>IF($L976="Elite",Config!$B$21,0)</f>
        <v>0</v>
      </c>
      <c r="X976" s="40" t="str">
        <f>IFERROR(IF(OR($T976="",$G976=""),"",IF($T976&gt;$G976,
  MAX(0, 60-(($T976-$G976)*24/Config!$B$19)*60),
  MEDIAN(60, 100, 60+(($G976-$T976)*24/Config!$B$20)*40)
)),"")
</f>
        <v/>
      </c>
      <c r="Y976" s="40" t="str">
        <f>IF($J976="","",IFERROR(VLOOKUP($J976,Grinders!$A:$N,10,FALSE),""))</f>
        <v/>
      </c>
      <c r="Z976" s="40" t="str">
        <f>IF($J976="","",IFERROR(VLOOKUP($J976,Grinders!$A:$N,11,FALSE),""))</f>
        <v/>
      </c>
      <c r="AA976" s="40" t="str">
        <f>IF($J976="","",IFERROR(VLOOKUP($J976,Grinders!$A:$N,12,FALSE),""))</f>
        <v/>
      </c>
      <c r="AB976" s="40">
        <f>IFERROR(IF(OR($C976="",$J976=""),0,IF($D976&lt;&gt;"Open",0,IF(COUNTIFS(GrinderServices!$B:$B,$J976,GrinderServices!$C:$C,$E976,GrinderServices!$E:$E,"Y")=0,0,IF($U976&lt;Config!$B$16,0,IF(Config!$B$18=1,IF($N976&gt;=$M976,0,1),1))))),"")</f>
        <v>0</v>
      </c>
      <c r="AC976" s="40" t="str">
        <f>IFERROR(IF($AB976=0,"",((Config!$B$6*$V976 + Config!$B$7*$R976 + Config!$B$8*$W976 + Config!$B$9*$X976 + Config!$B$10*$Y976 + Config!$B$11*$Z976 - Config!$B$12*$AA976)/Config!$B$13)+$AH976+$AI976),"")</f>
        <v/>
      </c>
      <c r="AD976" s="40" t="str">
        <f t="shared" si="4"/>
        <v/>
      </c>
      <c r="AE976" s="40" t="str">
        <f>IFERROR(__xludf.DUMMYFUNCTION("IF($AC976="""","""",IF($AC976=IFERROR(MAX(FILTER($AC$6:$AC$1000,$C$6:$C$1000=$C976,$AB$6:$AB$1000=1)),),""WINNER"",""""))"),"")</f>
        <v/>
      </c>
      <c r="AF976" s="40" t="str">
        <f t="shared" si="5"/>
        <v/>
      </c>
      <c r="AG976" s="40" t="str">
        <f>IF($J976="","",COUNTIF(Assignments!$B:$B,$J976))</f>
        <v/>
      </c>
      <c r="AH976" s="40" t="str">
        <f>IF($J976="","",IF(AND($AG976=0,$N976&lt;$M976),Config!$B$43,0))</f>
        <v/>
      </c>
      <c r="AI976" s="40" t="str">
        <f>IF($J976="","",IF(AND($L976="Elite",$F976&gt;=Config!$B$41,$N976&lt;$M976),Config!$B$42,0))</f>
        <v/>
      </c>
      <c r="AJ976" s="22"/>
    </row>
    <row r="977" ht="15.75" customHeight="1">
      <c r="A977" s="40" t="str">
        <f t="shared" si="1"/>
        <v/>
      </c>
      <c r="B977" s="40" t="str">
        <f>IF(Bids!$A977="","",Bids!$A977)</f>
        <v/>
      </c>
      <c r="C977" s="40" t="str">
        <f>IF(Bids!$B977="","",Bids!$B977)</f>
        <v/>
      </c>
      <c r="D977" s="40" t="str">
        <f>IF($C977="","",IFERROR(VLOOKUP($C977,Orders!$A:$J,9,FALSE),""))</f>
        <v/>
      </c>
      <c r="E977" s="40" t="str">
        <f>IF($C977="","",IFERROR(VLOOKUP($C977,Orders!$A:$J,3,FALSE),""))</f>
        <v/>
      </c>
      <c r="F977" s="40" t="str">
        <f>IF($C977="","",IFERROR(VLOOKUP($C977,Orders!$A:$J,4,FALSE),""))</f>
        <v/>
      </c>
      <c r="G977" s="40" t="str">
        <f>IF($C977="","",IFERROR(VLOOKUP($C977,Orders!$A:$J,5,FALSE),""))</f>
        <v/>
      </c>
      <c r="H977" s="40" t="str">
        <f>IF($C977="","",IFERROR(VLOOKUP($C977,Orders!$A:$J,6,FALSE),""))</f>
        <v/>
      </c>
      <c r="I977" s="40" t="str">
        <f>IF($C977="","",IFERROR(VLOOKUP($C977,Orders!$A:$J,7,FALSE),""))</f>
        <v/>
      </c>
      <c r="J977" s="40" t="str">
        <f>IF(Bids!$C977="","",Bids!$C977)</f>
        <v/>
      </c>
      <c r="K977" s="40" t="str">
        <f>IF($J977="","",IFERROR(VLOOKUP($J977,Grinders!$A:$N,2,FALSE),""))</f>
        <v/>
      </c>
      <c r="L977" s="40" t="str">
        <f>IF($J977="","",IFERROR(VLOOKUP($J977,Grinders!$A:$N,3,FALSE),""))</f>
        <v/>
      </c>
      <c r="M977" s="40" t="str">
        <f>IF($J977="","",IFERROR(VLOOKUP($J977,Grinders!$A:$N,4,FALSE),""))</f>
        <v/>
      </c>
      <c r="N977" s="40" t="str">
        <f>IF($J977="","",IFERROR(VLOOKUP($J977,Grinders!$A:$N,5,FALSE),""))</f>
        <v/>
      </c>
      <c r="O977" s="40" t="str">
        <f t="shared" si="2"/>
        <v/>
      </c>
      <c r="P977" s="40" t="str">
        <f>IF($J977="","",IFERROR(VLOOKUP($J977,Grinders!$A:$N,6,FALSE),""))</f>
        <v/>
      </c>
      <c r="Q977" s="40" t="str">
        <f>IF($J977="","",IFERROR(VLOOKUP($J977,Grinders!$A:$N,8,FALSE),""))</f>
        <v/>
      </c>
      <c r="R977" s="40" t="str">
        <f>IFERROR(IF($J977="","",IF($L977="Elite",MAX(50,MIN(100,Config!$B$27*MAX(0,MIN(100,(1-IF($O977="",0,$O977))*100)) + Config!$B$28*MAX(0,MIN(100,(1-MIN(1,IF(Config!$B$30=0,1,$P977/Config!$B$30)))*100)) + Config!$B$29*MAX(0,MIN(100,MIN(1,IF($Q977="",0,$Q977)/Config!$B$23)*100)))),MIN(100,Config!$B$27*MAX(0,MIN(100,(1-IF($O977="",0,$O977))*100)) + Config!$B$28*MAX(0,MIN(100,(1-MIN(1,IF(Config!$B$30=0,1,$P977/Config!$B$30)))*100)) + Config!$B$29*MAX(0,MIN(100,MIN(1,IF($Q977="",0,$Q977)/Config!$B$23)*100))))),"")
</f>
        <v/>
      </c>
      <c r="S977" s="40" t="str">
        <f>IF(Bids!$D977="","",Bids!$D977)</f>
        <v/>
      </c>
      <c r="T977" s="40" t="str">
        <f>IF(Bids!$F977="","",Bids!$F977)</f>
        <v/>
      </c>
      <c r="U977" s="40" t="str">
        <f t="shared" si="3"/>
        <v/>
      </c>
      <c r="V977" s="40" t="str">
        <f>IF($U977="","",IF(Config!$B$17=Config!$B$16,IF($U977&gt;=Config!$B$17,100,0),MAX(0,MIN(100,($U977-Config!$B$16)/(Config!$B$17-Config!$B$16)*100))))</f>
        <v/>
      </c>
      <c r="W977" s="40">
        <f>IF($L977="Elite",Config!$B$21,0)</f>
        <v>0</v>
      </c>
      <c r="X977" s="40" t="str">
        <f>IFERROR(IF(OR($T977="",$G977=""),"",IF($T977&gt;$G977,
  MAX(0, 60-(($T977-$G977)*24/Config!$B$19)*60),
  MEDIAN(60, 100, 60+(($G977-$T977)*24/Config!$B$20)*40)
)),"")
</f>
        <v/>
      </c>
      <c r="Y977" s="40" t="str">
        <f>IF($J977="","",IFERROR(VLOOKUP($J977,Grinders!$A:$N,10,FALSE),""))</f>
        <v/>
      </c>
      <c r="Z977" s="40" t="str">
        <f>IF($J977="","",IFERROR(VLOOKUP($J977,Grinders!$A:$N,11,FALSE),""))</f>
        <v/>
      </c>
      <c r="AA977" s="40" t="str">
        <f>IF($J977="","",IFERROR(VLOOKUP($J977,Grinders!$A:$N,12,FALSE),""))</f>
        <v/>
      </c>
      <c r="AB977" s="40">
        <f>IFERROR(IF(OR($C977="",$J977=""),0,IF($D977&lt;&gt;"Open",0,IF(COUNTIFS(GrinderServices!$B:$B,$J977,GrinderServices!$C:$C,$E977,GrinderServices!$E:$E,"Y")=0,0,IF($U977&lt;Config!$B$16,0,IF(Config!$B$18=1,IF($N977&gt;=$M977,0,1),1))))),"")</f>
        <v>0</v>
      </c>
      <c r="AC977" s="40" t="str">
        <f>IFERROR(IF($AB977=0,"",((Config!$B$6*$V977 + Config!$B$7*$R977 + Config!$B$8*$W977 + Config!$B$9*$X977 + Config!$B$10*$Y977 + Config!$B$11*$Z977 - Config!$B$12*$AA977)/Config!$B$13)+$AH977+$AI977),"")</f>
        <v/>
      </c>
      <c r="AD977" s="40" t="str">
        <f t="shared" si="4"/>
        <v/>
      </c>
      <c r="AE977" s="40" t="str">
        <f>IFERROR(__xludf.DUMMYFUNCTION("IF($AC977="""","""",IF($AC977=IFERROR(MAX(FILTER($AC$6:$AC$1000,$C$6:$C$1000=$C977,$AB$6:$AB$1000=1)),),""WINNER"",""""))"),"")</f>
        <v/>
      </c>
      <c r="AF977" s="40" t="str">
        <f t="shared" si="5"/>
        <v/>
      </c>
      <c r="AG977" s="40" t="str">
        <f>IF($J977="","",COUNTIF(Assignments!$B:$B,$J977))</f>
        <v/>
      </c>
      <c r="AH977" s="40" t="str">
        <f>IF($J977="","",IF(AND($AG977=0,$N977&lt;$M977),Config!$B$43,0))</f>
        <v/>
      </c>
      <c r="AI977" s="40" t="str">
        <f>IF($J977="","",IF(AND($L977="Elite",$F977&gt;=Config!$B$41,$N977&lt;$M977),Config!$B$42,0))</f>
        <v/>
      </c>
      <c r="AJ977" s="22"/>
    </row>
    <row r="978" ht="15.75" customHeight="1">
      <c r="A978" s="40" t="str">
        <f t="shared" si="1"/>
        <v/>
      </c>
      <c r="B978" s="40" t="str">
        <f>IF(Bids!$A978="","",Bids!$A978)</f>
        <v/>
      </c>
      <c r="C978" s="40" t="str">
        <f>IF(Bids!$B978="","",Bids!$B978)</f>
        <v/>
      </c>
      <c r="D978" s="40" t="str">
        <f>IF($C978="","",IFERROR(VLOOKUP($C978,Orders!$A:$J,9,FALSE),""))</f>
        <v/>
      </c>
      <c r="E978" s="40" t="str">
        <f>IF($C978="","",IFERROR(VLOOKUP($C978,Orders!$A:$J,3,FALSE),""))</f>
        <v/>
      </c>
      <c r="F978" s="40" t="str">
        <f>IF($C978="","",IFERROR(VLOOKUP($C978,Orders!$A:$J,4,FALSE),""))</f>
        <v/>
      </c>
      <c r="G978" s="40" t="str">
        <f>IF($C978="","",IFERROR(VLOOKUP($C978,Orders!$A:$J,5,FALSE),""))</f>
        <v/>
      </c>
      <c r="H978" s="40" t="str">
        <f>IF($C978="","",IFERROR(VLOOKUP($C978,Orders!$A:$J,6,FALSE),""))</f>
        <v/>
      </c>
      <c r="I978" s="40" t="str">
        <f>IF($C978="","",IFERROR(VLOOKUP($C978,Orders!$A:$J,7,FALSE),""))</f>
        <v/>
      </c>
      <c r="J978" s="40" t="str">
        <f>IF(Bids!$C978="","",Bids!$C978)</f>
        <v/>
      </c>
      <c r="K978" s="40" t="str">
        <f>IF($J978="","",IFERROR(VLOOKUP($J978,Grinders!$A:$N,2,FALSE),""))</f>
        <v/>
      </c>
      <c r="L978" s="40" t="str">
        <f>IF($J978="","",IFERROR(VLOOKUP($J978,Grinders!$A:$N,3,FALSE),""))</f>
        <v/>
      </c>
      <c r="M978" s="40" t="str">
        <f>IF($J978="","",IFERROR(VLOOKUP($J978,Grinders!$A:$N,4,FALSE),""))</f>
        <v/>
      </c>
      <c r="N978" s="40" t="str">
        <f>IF($J978="","",IFERROR(VLOOKUP($J978,Grinders!$A:$N,5,FALSE),""))</f>
        <v/>
      </c>
      <c r="O978" s="40" t="str">
        <f t="shared" si="2"/>
        <v/>
      </c>
      <c r="P978" s="40" t="str">
        <f>IF($J978="","",IFERROR(VLOOKUP($J978,Grinders!$A:$N,6,FALSE),""))</f>
        <v/>
      </c>
      <c r="Q978" s="40" t="str">
        <f>IF($J978="","",IFERROR(VLOOKUP($J978,Grinders!$A:$N,8,FALSE),""))</f>
        <v/>
      </c>
      <c r="R978" s="40" t="str">
        <f>IFERROR(IF($J978="","",IF($L978="Elite",MAX(50,MIN(100,Config!$B$27*MAX(0,MIN(100,(1-IF($O978="",0,$O978))*100)) + Config!$B$28*MAX(0,MIN(100,(1-MIN(1,IF(Config!$B$30=0,1,$P978/Config!$B$30)))*100)) + Config!$B$29*MAX(0,MIN(100,MIN(1,IF($Q978="",0,$Q978)/Config!$B$23)*100)))),MIN(100,Config!$B$27*MAX(0,MIN(100,(1-IF($O978="",0,$O978))*100)) + Config!$B$28*MAX(0,MIN(100,(1-MIN(1,IF(Config!$B$30=0,1,$P978/Config!$B$30)))*100)) + Config!$B$29*MAX(0,MIN(100,MIN(1,IF($Q978="",0,$Q978)/Config!$B$23)*100))))),"")
</f>
        <v/>
      </c>
      <c r="S978" s="40" t="str">
        <f>IF(Bids!$D978="","",Bids!$D978)</f>
        <v/>
      </c>
      <c r="T978" s="40" t="str">
        <f>IF(Bids!$F978="","",Bids!$F978)</f>
        <v/>
      </c>
      <c r="U978" s="40" t="str">
        <f t="shared" si="3"/>
        <v/>
      </c>
      <c r="V978" s="40" t="str">
        <f>IF($U978="","",IF(Config!$B$17=Config!$B$16,IF($U978&gt;=Config!$B$17,100,0),MAX(0,MIN(100,($U978-Config!$B$16)/(Config!$B$17-Config!$B$16)*100))))</f>
        <v/>
      </c>
      <c r="W978" s="40">
        <f>IF($L978="Elite",Config!$B$21,0)</f>
        <v>0</v>
      </c>
      <c r="X978" s="40" t="str">
        <f>IFERROR(IF(OR($T978="",$G978=""),"",IF($T978&gt;$G978,
  MAX(0, 60-(($T978-$G978)*24/Config!$B$19)*60),
  MEDIAN(60, 100, 60+(($G978-$T978)*24/Config!$B$20)*40)
)),"")
</f>
        <v/>
      </c>
      <c r="Y978" s="40" t="str">
        <f>IF($J978="","",IFERROR(VLOOKUP($J978,Grinders!$A:$N,10,FALSE),""))</f>
        <v/>
      </c>
      <c r="Z978" s="40" t="str">
        <f>IF($J978="","",IFERROR(VLOOKUP($J978,Grinders!$A:$N,11,FALSE),""))</f>
        <v/>
      </c>
      <c r="AA978" s="40" t="str">
        <f>IF($J978="","",IFERROR(VLOOKUP($J978,Grinders!$A:$N,12,FALSE),""))</f>
        <v/>
      </c>
      <c r="AB978" s="40">
        <f>IFERROR(IF(OR($C978="",$J978=""),0,IF($D978&lt;&gt;"Open",0,IF(COUNTIFS(GrinderServices!$B:$B,$J978,GrinderServices!$C:$C,$E978,GrinderServices!$E:$E,"Y")=0,0,IF($U978&lt;Config!$B$16,0,IF(Config!$B$18=1,IF($N978&gt;=$M978,0,1),1))))),"")</f>
        <v>0</v>
      </c>
      <c r="AC978" s="40" t="str">
        <f>IFERROR(IF($AB978=0,"",((Config!$B$6*$V978 + Config!$B$7*$R978 + Config!$B$8*$W978 + Config!$B$9*$X978 + Config!$B$10*$Y978 + Config!$B$11*$Z978 - Config!$B$12*$AA978)/Config!$B$13)+$AH978+$AI978),"")</f>
        <v/>
      </c>
      <c r="AD978" s="40" t="str">
        <f t="shared" si="4"/>
        <v/>
      </c>
      <c r="AE978" s="40" t="str">
        <f>IFERROR(__xludf.DUMMYFUNCTION("IF($AC978="""","""",IF($AC978=IFERROR(MAX(FILTER($AC$6:$AC$1000,$C$6:$C$1000=$C978,$AB$6:$AB$1000=1)),),""WINNER"",""""))"),"")</f>
        <v/>
      </c>
      <c r="AF978" s="40" t="str">
        <f t="shared" si="5"/>
        <v/>
      </c>
      <c r="AG978" s="40" t="str">
        <f>IF($J978="","",COUNTIF(Assignments!$B:$B,$J978))</f>
        <v/>
      </c>
      <c r="AH978" s="40" t="str">
        <f>IF($J978="","",IF(AND($AG978=0,$N978&lt;$M978),Config!$B$43,0))</f>
        <v/>
      </c>
      <c r="AI978" s="40" t="str">
        <f>IF($J978="","",IF(AND($L978="Elite",$F978&gt;=Config!$B$41,$N978&lt;$M978),Config!$B$42,0))</f>
        <v/>
      </c>
      <c r="AJ978" s="22"/>
    </row>
    <row r="979" ht="15.75" customHeight="1">
      <c r="A979" s="40" t="str">
        <f t="shared" si="1"/>
        <v/>
      </c>
      <c r="B979" s="40" t="str">
        <f>IF(Bids!$A979="","",Bids!$A979)</f>
        <v/>
      </c>
      <c r="C979" s="40" t="str">
        <f>IF(Bids!$B979="","",Bids!$B979)</f>
        <v/>
      </c>
      <c r="D979" s="40" t="str">
        <f>IF($C979="","",IFERROR(VLOOKUP($C979,Orders!$A:$J,9,FALSE),""))</f>
        <v/>
      </c>
      <c r="E979" s="40" t="str">
        <f>IF($C979="","",IFERROR(VLOOKUP($C979,Orders!$A:$J,3,FALSE),""))</f>
        <v/>
      </c>
      <c r="F979" s="40" t="str">
        <f>IF($C979="","",IFERROR(VLOOKUP($C979,Orders!$A:$J,4,FALSE),""))</f>
        <v/>
      </c>
      <c r="G979" s="40" t="str">
        <f>IF($C979="","",IFERROR(VLOOKUP($C979,Orders!$A:$J,5,FALSE),""))</f>
        <v/>
      </c>
      <c r="H979" s="40" t="str">
        <f>IF($C979="","",IFERROR(VLOOKUP($C979,Orders!$A:$J,6,FALSE),""))</f>
        <v/>
      </c>
      <c r="I979" s="40" t="str">
        <f>IF($C979="","",IFERROR(VLOOKUP($C979,Orders!$A:$J,7,FALSE),""))</f>
        <v/>
      </c>
      <c r="J979" s="40" t="str">
        <f>IF(Bids!$C979="","",Bids!$C979)</f>
        <v/>
      </c>
      <c r="K979" s="40" t="str">
        <f>IF($J979="","",IFERROR(VLOOKUP($J979,Grinders!$A:$N,2,FALSE),""))</f>
        <v/>
      </c>
      <c r="L979" s="40" t="str">
        <f>IF($J979="","",IFERROR(VLOOKUP($J979,Grinders!$A:$N,3,FALSE),""))</f>
        <v/>
      </c>
      <c r="M979" s="40" t="str">
        <f>IF($J979="","",IFERROR(VLOOKUP($J979,Grinders!$A:$N,4,FALSE),""))</f>
        <v/>
      </c>
      <c r="N979" s="40" t="str">
        <f>IF($J979="","",IFERROR(VLOOKUP($J979,Grinders!$A:$N,5,FALSE),""))</f>
        <v/>
      </c>
      <c r="O979" s="40" t="str">
        <f t="shared" si="2"/>
        <v/>
      </c>
      <c r="P979" s="40" t="str">
        <f>IF($J979="","",IFERROR(VLOOKUP($J979,Grinders!$A:$N,6,FALSE),""))</f>
        <v/>
      </c>
      <c r="Q979" s="40" t="str">
        <f>IF($J979="","",IFERROR(VLOOKUP($J979,Grinders!$A:$N,8,FALSE),""))</f>
        <v/>
      </c>
      <c r="R979" s="40" t="str">
        <f>IFERROR(IF($J979="","",IF($L979="Elite",MAX(50,MIN(100,Config!$B$27*MAX(0,MIN(100,(1-IF($O979="",0,$O979))*100)) + Config!$B$28*MAX(0,MIN(100,(1-MIN(1,IF(Config!$B$30=0,1,$P979/Config!$B$30)))*100)) + Config!$B$29*MAX(0,MIN(100,MIN(1,IF($Q979="",0,$Q979)/Config!$B$23)*100)))),MIN(100,Config!$B$27*MAX(0,MIN(100,(1-IF($O979="",0,$O979))*100)) + Config!$B$28*MAX(0,MIN(100,(1-MIN(1,IF(Config!$B$30=0,1,$P979/Config!$B$30)))*100)) + Config!$B$29*MAX(0,MIN(100,MIN(1,IF($Q979="",0,$Q979)/Config!$B$23)*100))))),"")
</f>
        <v/>
      </c>
      <c r="S979" s="40" t="str">
        <f>IF(Bids!$D979="","",Bids!$D979)</f>
        <v/>
      </c>
      <c r="T979" s="40" t="str">
        <f>IF(Bids!$F979="","",Bids!$F979)</f>
        <v/>
      </c>
      <c r="U979" s="40" t="str">
        <f t="shared" si="3"/>
        <v/>
      </c>
      <c r="V979" s="40" t="str">
        <f>IF($U979="","",IF(Config!$B$17=Config!$B$16,IF($U979&gt;=Config!$B$17,100,0),MAX(0,MIN(100,($U979-Config!$B$16)/(Config!$B$17-Config!$B$16)*100))))</f>
        <v/>
      </c>
      <c r="W979" s="40">
        <f>IF($L979="Elite",Config!$B$21,0)</f>
        <v>0</v>
      </c>
      <c r="X979" s="40" t="str">
        <f>IFERROR(IF(OR($T979="",$G979=""),"",IF($T979&gt;$G979,
  MAX(0, 60-(($T979-$G979)*24/Config!$B$19)*60),
  MEDIAN(60, 100, 60+(($G979-$T979)*24/Config!$B$20)*40)
)),"")
</f>
        <v/>
      </c>
      <c r="Y979" s="40" t="str">
        <f>IF($J979="","",IFERROR(VLOOKUP($J979,Grinders!$A:$N,10,FALSE),""))</f>
        <v/>
      </c>
      <c r="Z979" s="40" t="str">
        <f>IF($J979="","",IFERROR(VLOOKUP($J979,Grinders!$A:$N,11,FALSE),""))</f>
        <v/>
      </c>
      <c r="AA979" s="40" t="str">
        <f>IF($J979="","",IFERROR(VLOOKUP($J979,Grinders!$A:$N,12,FALSE),""))</f>
        <v/>
      </c>
      <c r="AB979" s="40">
        <f>IFERROR(IF(OR($C979="",$J979=""),0,IF($D979&lt;&gt;"Open",0,IF(COUNTIFS(GrinderServices!$B:$B,$J979,GrinderServices!$C:$C,$E979,GrinderServices!$E:$E,"Y")=0,0,IF($U979&lt;Config!$B$16,0,IF(Config!$B$18=1,IF($N979&gt;=$M979,0,1),1))))),"")</f>
        <v>0</v>
      </c>
      <c r="AC979" s="40" t="str">
        <f>IFERROR(IF($AB979=0,"",((Config!$B$6*$V979 + Config!$B$7*$R979 + Config!$B$8*$W979 + Config!$B$9*$X979 + Config!$B$10*$Y979 + Config!$B$11*$Z979 - Config!$B$12*$AA979)/Config!$B$13)+$AH979+$AI979),"")</f>
        <v/>
      </c>
      <c r="AD979" s="40" t="str">
        <f t="shared" si="4"/>
        <v/>
      </c>
      <c r="AE979" s="40" t="str">
        <f>IFERROR(__xludf.DUMMYFUNCTION("IF($AC979="""","""",IF($AC979=IFERROR(MAX(FILTER($AC$6:$AC$1000,$C$6:$C$1000=$C979,$AB$6:$AB$1000=1)),),""WINNER"",""""))"),"")</f>
        <v/>
      </c>
      <c r="AF979" s="40" t="str">
        <f t="shared" si="5"/>
        <v/>
      </c>
      <c r="AG979" s="40" t="str">
        <f>IF($J979="","",COUNTIF(Assignments!$B:$B,$J979))</f>
        <v/>
      </c>
      <c r="AH979" s="40" t="str">
        <f>IF($J979="","",IF(AND($AG979=0,$N979&lt;$M979),Config!$B$43,0))</f>
        <v/>
      </c>
      <c r="AI979" s="40" t="str">
        <f>IF($J979="","",IF(AND($L979="Elite",$F979&gt;=Config!$B$41,$N979&lt;$M979),Config!$B$42,0))</f>
        <v/>
      </c>
      <c r="AJ979" s="22"/>
    </row>
    <row r="980" ht="15.75" customHeight="1">
      <c r="A980" s="40" t="str">
        <f t="shared" si="1"/>
        <v/>
      </c>
      <c r="B980" s="40" t="str">
        <f>IF(Bids!$A980="","",Bids!$A980)</f>
        <v/>
      </c>
      <c r="C980" s="40" t="str">
        <f>IF(Bids!$B980="","",Bids!$B980)</f>
        <v/>
      </c>
      <c r="D980" s="40" t="str">
        <f>IF($C980="","",IFERROR(VLOOKUP($C980,Orders!$A:$J,9,FALSE),""))</f>
        <v/>
      </c>
      <c r="E980" s="40" t="str">
        <f>IF($C980="","",IFERROR(VLOOKUP($C980,Orders!$A:$J,3,FALSE),""))</f>
        <v/>
      </c>
      <c r="F980" s="40" t="str">
        <f>IF($C980="","",IFERROR(VLOOKUP($C980,Orders!$A:$J,4,FALSE),""))</f>
        <v/>
      </c>
      <c r="G980" s="40" t="str">
        <f>IF($C980="","",IFERROR(VLOOKUP($C980,Orders!$A:$J,5,FALSE),""))</f>
        <v/>
      </c>
      <c r="H980" s="40" t="str">
        <f>IF($C980="","",IFERROR(VLOOKUP($C980,Orders!$A:$J,6,FALSE),""))</f>
        <v/>
      </c>
      <c r="I980" s="40" t="str">
        <f>IF($C980="","",IFERROR(VLOOKUP($C980,Orders!$A:$J,7,FALSE),""))</f>
        <v/>
      </c>
      <c r="J980" s="40" t="str">
        <f>IF(Bids!$C980="","",Bids!$C980)</f>
        <v/>
      </c>
      <c r="K980" s="40" t="str">
        <f>IF($J980="","",IFERROR(VLOOKUP($J980,Grinders!$A:$N,2,FALSE),""))</f>
        <v/>
      </c>
      <c r="L980" s="40" t="str">
        <f>IF($J980="","",IFERROR(VLOOKUP($J980,Grinders!$A:$N,3,FALSE),""))</f>
        <v/>
      </c>
      <c r="M980" s="40" t="str">
        <f>IF($J980="","",IFERROR(VLOOKUP($J980,Grinders!$A:$N,4,FALSE),""))</f>
        <v/>
      </c>
      <c r="N980" s="40" t="str">
        <f>IF($J980="","",IFERROR(VLOOKUP($J980,Grinders!$A:$N,5,FALSE),""))</f>
        <v/>
      </c>
      <c r="O980" s="40" t="str">
        <f t="shared" si="2"/>
        <v/>
      </c>
      <c r="P980" s="40" t="str">
        <f>IF($J980="","",IFERROR(VLOOKUP($J980,Grinders!$A:$N,6,FALSE),""))</f>
        <v/>
      </c>
      <c r="Q980" s="40" t="str">
        <f>IF($J980="","",IFERROR(VLOOKUP($J980,Grinders!$A:$N,8,FALSE),""))</f>
        <v/>
      </c>
      <c r="R980" s="40" t="str">
        <f>IFERROR(IF($J980="","",IF($L980="Elite",MAX(50,MIN(100,Config!$B$27*MAX(0,MIN(100,(1-IF($O980="",0,$O980))*100)) + Config!$B$28*MAX(0,MIN(100,(1-MIN(1,IF(Config!$B$30=0,1,$P980/Config!$B$30)))*100)) + Config!$B$29*MAX(0,MIN(100,MIN(1,IF($Q980="",0,$Q980)/Config!$B$23)*100)))),MIN(100,Config!$B$27*MAX(0,MIN(100,(1-IF($O980="",0,$O980))*100)) + Config!$B$28*MAX(0,MIN(100,(1-MIN(1,IF(Config!$B$30=0,1,$P980/Config!$B$30)))*100)) + Config!$B$29*MAX(0,MIN(100,MIN(1,IF($Q980="",0,$Q980)/Config!$B$23)*100))))),"")
</f>
        <v/>
      </c>
      <c r="S980" s="40" t="str">
        <f>IF(Bids!$D980="","",Bids!$D980)</f>
        <v/>
      </c>
      <c r="T980" s="40" t="str">
        <f>IF(Bids!$F980="","",Bids!$F980)</f>
        <v/>
      </c>
      <c r="U980" s="40" t="str">
        <f t="shared" si="3"/>
        <v/>
      </c>
      <c r="V980" s="40" t="str">
        <f>IF($U980="","",IF(Config!$B$17=Config!$B$16,IF($U980&gt;=Config!$B$17,100,0),MAX(0,MIN(100,($U980-Config!$B$16)/(Config!$B$17-Config!$B$16)*100))))</f>
        <v/>
      </c>
      <c r="W980" s="40">
        <f>IF($L980="Elite",Config!$B$21,0)</f>
        <v>0</v>
      </c>
      <c r="X980" s="40" t="str">
        <f>IFERROR(IF(OR($T980="",$G980=""),"",IF($T980&gt;$G980,
  MAX(0, 60-(($T980-$G980)*24/Config!$B$19)*60),
  MEDIAN(60, 100, 60+(($G980-$T980)*24/Config!$B$20)*40)
)),"")
</f>
        <v/>
      </c>
      <c r="Y980" s="40" t="str">
        <f>IF($J980="","",IFERROR(VLOOKUP($J980,Grinders!$A:$N,10,FALSE),""))</f>
        <v/>
      </c>
      <c r="Z980" s="40" t="str">
        <f>IF($J980="","",IFERROR(VLOOKUP($J980,Grinders!$A:$N,11,FALSE),""))</f>
        <v/>
      </c>
      <c r="AA980" s="40" t="str">
        <f>IF($J980="","",IFERROR(VLOOKUP($J980,Grinders!$A:$N,12,FALSE),""))</f>
        <v/>
      </c>
      <c r="AB980" s="40">
        <f>IFERROR(IF(OR($C980="",$J980=""),0,IF($D980&lt;&gt;"Open",0,IF(COUNTIFS(GrinderServices!$B:$B,$J980,GrinderServices!$C:$C,$E980,GrinderServices!$E:$E,"Y")=0,0,IF($U980&lt;Config!$B$16,0,IF(Config!$B$18=1,IF($N980&gt;=$M980,0,1),1))))),"")</f>
        <v>0</v>
      </c>
      <c r="AC980" s="40" t="str">
        <f>IFERROR(IF($AB980=0,"",((Config!$B$6*$V980 + Config!$B$7*$R980 + Config!$B$8*$W980 + Config!$B$9*$X980 + Config!$B$10*$Y980 + Config!$B$11*$Z980 - Config!$B$12*$AA980)/Config!$B$13)+$AH980+$AI980),"")</f>
        <v/>
      </c>
      <c r="AD980" s="40" t="str">
        <f t="shared" si="4"/>
        <v/>
      </c>
      <c r="AE980" s="40" t="str">
        <f>IFERROR(__xludf.DUMMYFUNCTION("IF($AC980="""","""",IF($AC980=IFERROR(MAX(FILTER($AC$6:$AC$1000,$C$6:$C$1000=$C980,$AB$6:$AB$1000=1)),),""WINNER"",""""))"),"")</f>
        <v/>
      </c>
      <c r="AF980" s="40" t="str">
        <f t="shared" si="5"/>
        <v/>
      </c>
      <c r="AG980" s="40" t="str">
        <f>IF($J980="","",COUNTIF(Assignments!$B:$B,$J980))</f>
        <v/>
      </c>
      <c r="AH980" s="40" t="str">
        <f>IF($J980="","",IF(AND($AG980=0,$N980&lt;$M980),Config!$B$43,0))</f>
        <v/>
      </c>
      <c r="AI980" s="40" t="str">
        <f>IF($J980="","",IF(AND($L980="Elite",$F980&gt;=Config!$B$41,$N980&lt;$M980),Config!$B$42,0))</f>
        <v/>
      </c>
      <c r="AJ980" s="22"/>
    </row>
    <row r="981" ht="15.75" customHeight="1">
      <c r="A981" s="40" t="str">
        <f t="shared" si="1"/>
        <v/>
      </c>
      <c r="B981" s="40" t="str">
        <f>IF(Bids!$A981="","",Bids!$A981)</f>
        <v/>
      </c>
      <c r="C981" s="40" t="str">
        <f>IF(Bids!$B981="","",Bids!$B981)</f>
        <v/>
      </c>
      <c r="D981" s="40" t="str">
        <f>IF($C981="","",IFERROR(VLOOKUP($C981,Orders!$A:$J,9,FALSE),""))</f>
        <v/>
      </c>
      <c r="E981" s="40" t="str">
        <f>IF($C981="","",IFERROR(VLOOKUP($C981,Orders!$A:$J,3,FALSE),""))</f>
        <v/>
      </c>
      <c r="F981" s="40" t="str">
        <f>IF($C981="","",IFERROR(VLOOKUP($C981,Orders!$A:$J,4,FALSE),""))</f>
        <v/>
      </c>
      <c r="G981" s="40" t="str">
        <f>IF($C981="","",IFERROR(VLOOKUP($C981,Orders!$A:$J,5,FALSE),""))</f>
        <v/>
      </c>
      <c r="H981" s="40" t="str">
        <f>IF($C981="","",IFERROR(VLOOKUP($C981,Orders!$A:$J,6,FALSE),""))</f>
        <v/>
      </c>
      <c r="I981" s="40" t="str">
        <f>IF($C981="","",IFERROR(VLOOKUP($C981,Orders!$A:$J,7,FALSE),""))</f>
        <v/>
      </c>
      <c r="J981" s="40" t="str">
        <f>IF(Bids!$C981="","",Bids!$C981)</f>
        <v/>
      </c>
      <c r="K981" s="40" t="str">
        <f>IF($J981="","",IFERROR(VLOOKUP($J981,Grinders!$A:$N,2,FALSE),""))</f>
        <v/>
      </c>
      <c r="L981" s="40" t="str">
        <f>IF($J981="","",IFERROR(VLOOKUP($J981,Grinders!$A:$N,3,FALSE),""))</f>
        <v/>
      </c>
      <c r="M981" s="40" t="str">
        <f>IF($J981="","",IFERROR(VLOOKUP($J981,Grinders!$A:$N,4,FALSE),""))</f>
        <v/>
      </c>
      <c r="N981" s="40" t="str">
        <f>IF($J981="","",IFERROR(VLOOKUP($J981,Grinders!$A:$N,5,FALSE),""))</f>
        <v/>
      </c>
      <c r="O981" s="40" t="str">
        <f t="shared" si="2"/>
        <v/>
      </c>
      <c r="P981" s="40" t="str">
        <f>IF($J981="","",IFERROR(VLOOKUP($J981,Grinders!$A:$N,6,FALSE),""))</f>
        <v/>
      </c>
      <c r="Q981" s="40" t="str">
        <f>IF($J981="","",IFERROR(VLOOKUP($J981,Grinders!$A:$N,8,FALSE),""))</f>
        <v/>
      </c>
      <c r="R981" s="40" t="str">
        <f>IFERROR(IF($J981="","",IF($L981="Elite",MAX(50,MIN(100,Config!$B$27*MAX(0,MIN(100,(1-IF($O981="",0,$O981))*100)) + Config!$B$28*MAX(0,MIN(100,(1-MIN(1,IF(Config!$B$30=0,1,$P981/Config!$B$30)))*100)) + Config!$B$29*MAX(0,MIN(100,MIN(1,IF($Q981="",0,$Q981)/Config!$B$23)*100)))),MIN(100,Config!$B$27*MAX(0,MIN(100,(1-IF($O981="",0,$O981))*100)) + Config!$B$28*MAX(0,MIN(100,(1-MIN(1,IF(Config!$B$30=0,1,$P981/Config!$B$30)))*100)) + Config!$B$29*MAX(0,MIN(100,MIN(1,IF($Q981="",0,$Q981)/Config!$B$23)*100))))),"")
</f>
        <v/>
      </c>
      <c r="S981" s="40" t="str">
        <f>IF(Bids!$D981="","",Bids!$D981)</f>
        <v/>
      </c>
      <c r="T981" s="40" t="str">
        <f>IF(Bids!$F981="","",Bids!$F981)</f>
        <v/>
      </c>
      <c r="U981" s="40" t="str">
        <f t="shared" si="3"/>
        <v/>
      </c>
      <c r="V981" s="40" t="str">
        <f>IF($U981="","",IF(Config!$B$17=Config!$B$16,IF($U981&gt;=Config!$B$17,100,0),MAX(0,MIN(100,($U981-Config!$B$16)/(Config!$B$17-Config!$B$16)*100))))</f>
        <v/>
      </c>
      <c r="W981" s="40">
        <f>IF($L981="Elite",Config!$B$21,0)</f>
        <v>0</v>
      </c>
      <c r="X981" s="40" t="str">
        <f>IFERROR(IF(OR($T981="",$G981=""),"",IF($T981&gt;$G981,
  MAX(0, 60-(($T981-$G981)*24/Config!$B$19)*60),
  MEDIAN(60, 100, 60+(($G981-$T981)*24/Config!$B$20)*40)
)),"")
</f>
        <v/>
      </c>
      <c r="Y981" s="40" t="str">
        <f>IF($J981="","",IFERROR(VLOOKUP($J981,Grinders!$A:$N,10,FALSE),""))</f>
        <v/>
      </c>
      <c r="Z981" s="40" t="str">
        <f>IF($J981="","",IFERROR(VLOOKUP($J981,Grinders!$A:$N,11,FALSE),""))</f>
        <v/>
      </c>
      <c r="AA981" s="40" t="str">
        <f>IF($J981="","",IFERROR(VLOOKUP($J981,Grinders!$A:$N,12,FALSE),""))</f>
        <v/>
      </c>
      <c r="AB981" s="40">
        <f>IFERROR(IF(OR($C981="",$J981=""),0,IF($D981&lt;&gt;"Open",0,IF(COUNTIFS(GrinderServices!$B:$B,$J981,GrinderServices!$C:$C,$E981,GrinderServices!$E:$E,"Y")=0,0,IF($U981&lt;Config!$B$16,0,IF(Config!$B$18=1,IF($N981&gt;=$M981,0,1),1))))),"")</f>
        <v>0</v>
      </c>
      <c r="AC981" s="40" t="str">
        <f>IFERROR(IF($AB981=0,"",((Config!$B$6*$V981 + Config!$B$7*$R981 + Config!$B$8*$W981 + Config!$B$9*$X981 + Config!$B$10*$Y981 + Config!$B$11*$Z981 - Config!$B$12*$AA981)/Config!$B$13)+$AH981+$AI981),"")</f>
        <v/>
      </c>
      <c r="AD981" s="40" t="str">
        <f t="shared" si="4"/>
        <v/>
      </c>
      <c r="AE981" s="40" t="str">
        <f>IFERROR(__xludf.DUMMYFUNCTION("IF($AC981="""","""",IF($AC981=IFERROR(MAX(FILTER($AC$6:$AC$1000,$C$6:$C$1000=$C981,$AB$6:$AB$1000=1)),),""WINNER"",""""))"),"")</f>
        <v/>
      </c>
      <c r="AF981" s="40" t="str">
        <f t="shared" si="5"/>
        <v/>
      </c>
      <c r="AG981" s="40" t="str">
        <f>IF($J981="","",COUNTIF(Assignments!$B:$B,$J981))</f>
        <v/>
      </c>
      <c r="AH981" s="40" t="str">
        <f>IF($J981="","",IF(AND($AG981=0,$N981&lt;$M981),Config!$B$43,0))</f>
        <v/>
      </c>
      <c r="AI981" s="40" t="str">
        <f>IF($J981="","",IF(AND($L981="Elite",$F981&gt;=Config!$B$41,$N981&lt;$M981),Config!$B$42,0))</f>
        <v/>
      </c>
      <c r="AJ981" s="22"/>
    </row>
    <row r="982" ht="15.75" customHeight="1">
      <c r="A982" s="40" t="str">
        <f t="shared" si="1"/>
        <v/>
      </c>
      <c r="B982" s="40" t="str">
        <f>IF(Bids!$A982="","",Bids!$A982)</f>
        <v/>
      </c>
      <c r="C982" s="40" t="str">
        <f>IF(Bids!$B982="","",Bids!$B982)</f>
        <v/>
      </c>
      <c r="D982" s="40" t="str">
        <f>IF($C982="","",IFERROR(VLOOKUP($C982,Orders!$A:$J,9,FALSE),""))</f>
        <v/>
      </c>
      <c r="E982" s="40" t="str">
        <f>IF($C982="","",IFERROR(VLOOKUP($C982,Orders!$A:$J,3,FALSE),""))</f>
        <v/>
      </c>
      <c r="F982" s="40" t="str">
        <f>IF($C982="","",IFERROR(VLOOKUP($C982,Orders!$A:$J,4,FALSE),""))</f>
        <v/>
      </c>
      <c r="G982" s="40" t="str">
        <f>IF($C982="","",IFERROR(VLOOKUP($C982,Orders!$A:$J,5,FALSE),""))</f>
        <v/>
      </c>
      <c r="H982" s="40" t="str">
        <f>IF($C982="","",IFERROR(VLOOKUP($C982,Orders!$A:$J,6,FALSE),""))</f>
        <v/>
      </c>
      <c r="I982" s="40" t="str">
        <f>IF($C982="","",IFERROR(VLOOKUP($C982,Orders!$A:$J,7,FALSE),""))</f>
        <v/>
      </c>
      <c r="J982" s="40" t="str">
        <f>IF(Bids!$C982="","",Bids!$C982)</f>
        <v/>
      </c>
      <c r="K982" s="40" t="str">
        <f>IF($J982="","",IFERROR(VLOOKUP($J982,Grinders!$A:$N,2,FALSE),""))</f>
        <v/>
      </c>
      <c r="L982" s="40" t="str">
        <f>IF($J982="","",IFERROR(VLOOKUP($J982,Grinders!$A:$N,3,FALSE),""))</f>
        <v/>
      </c>
      <c r="M982" s="40" t="str">
        <f>IF($J982="","",IFERROR(VLOOKUP($J982,Grinders!$A:$N,4,FALSE),""))</f>
        <v/>
      </c>
      <c r="N982" s="40" t="str">
        <f>IF($J982="","",IFERROR(VLOOKUP($J982,Grinders!$A:$N,5,FALSE),""))</f>
        <v/>
      </c>
      <c r="O982" s="40" t="str">
        <f t="shared" si="2"/>
        <v/>
      </c>
      <c r="P982" s="40" t="str">
        <f>IF($J982="","",IFERROR(VLOOKUP($J982,Grinders!$A:$N,6,FALSE),""))</f>
        <v/>
      </c>
      <c r="Q982" s="40" t="str">
        <f>IF($J982="","",IFERROR(VLOOKUP($J982,Grinders!$A:$N,8,FALSE),""))</f>
        <v/>
      </c>
      <c r="R982" s="40" t="str">
        <f>IFERROR(IF($J982="","",IF($L982="Elite",MAX(50,MIN(100,Config!$B$27*MAX(0,MIN(100,(1-IF($O982="",0,$O982))*100)) + Config!$B$28*MAX(0,MIN(100,(1-MIN(1,IF(Config!$B$30=0,1,$P982/Config!$B$30)))*100)) + Config!$B$29*MAX(0,MIN(100,MIN(1,IF($Q982="",0,$Q982)/Config!$B$23)*100)))),MIN(100,Config!$B$27*MAX(0,MIN(100,(1-IF($O982="",0,$O982))*100)) + Config!$B$28*MAX(0,MIN(100,(1-MIN(1,IF(Config!$B$30=0,1,$P982/Config!$B$30)))*100)) + Config!$B$29*MAX(0,MIN(100,MIN(1,IF($Q982="",0,$Q982)/Config!$B$23)*100))))),"")
</f>
        <v/>
      </c>
      <c r="S982" s="40" t="str">
        <f>IF(Bids!$D982="","",Bids!$D982)</f>
        <v/>
      </c>
      <c r="T982" s="40" t="str">
        <f>IF(Bids!$F982="","",Bids!$F982)</f>
        <v/>
      </c>
      <c r="U982" s="40" t="str">
        <f t="shared" si="3"/>
        <v/>
      </c>
      <c r="V982" s="40" t="str">
        <f>IF($U982="","",IF(Config!$B$17=Config!$B$16,IF($U982&gt;=Config!$B$17,100,0),MAX(0,MIN(100,($U982-Config!$B$16)/(Config!$B$17-Config!$B$16)*100))))</f>
        <v/>
      </c>
      <c r="W982" s="40">
        <f>IF($L982="Elite",Config!$B$21,0)</f>
        <v>0</v>
      </c>
      <c r="X982" s="40" t="str">
        <f>IFERROR(IF(OR($T982="",$G982=""),"",IF($T982&gt;$G982,
  MAX(0, 60-(($T982-$G982)*24/Config!$B$19)*60),
  MEDIAN(60, 100, 60+(($G982-$T982)*24/Config!$B$20)*40)
)),"")
</f>
        <v/>
      </c>
      <c r="Y982" s="40" t="str">
        <f>IF($J982="","",IFERROR(VLOOKUP($J982,Grinders!$A:$N,10,FALSE),""))</f>
        <v/>
      </c>
      <c r="Z982" s="40" t="str">
        <f>IF($J982="","",IFERROR(VLOOKUP($J982,Grinders!$A:$N,11,FALSE),""))</f>
        <v/>
      </c>
      <c r="AA982" s="40" t="str">
        <f>IF($J982="","",IFERROR(VLOOKUP($J982,Grinders!$A:$N,12,FALSE),""))</f>
        <v/>
      </c>
      <c r="AB982" s="40">
        <f>IFERROR(IF(OR($C982="",$J982=""),0,IF($D982&lt;&gt;"Open",0,IF(COUNTIFS(GrinderServices!$B:$B,$J982,GrinderServices!$C:$C,$E982,GrinderServices!$E:$E,"Y")=0,0,IF($U982&lt;Config!$B$16,0,IF(Config!$B$18=1,IF($N982&gt;=$M982,0,1),1))))),"")</f>
        <v>0</v>
      </c>
      <c r="AC982" s="40" t="str">
        <f>IFERROR(IF($AB982=0,"",((Config!$B$6*$V982 + Config!$B$7*$R982 + Config!$B$8*$W982 + Config!$B$9*$X982 + Config!$B$10*$Y982 + Config!$B$11*$Z982 - Config!$B$12*$AA982)/Config!$B$13)+$AH982+$AI982),"")</f>
        <v/>
      </c>
      <c r="AD982" s="40" t="str">
        <f t="shared" si="4"/>
        <v/>
      </c>
      <c r="AE982" s="40" t="str">
        <f>IFERROR(__xludf.DUMMYFUNCTION("IF($AC982="""","""",IF($AC982=IFERROR(MAX(FILTER($AC$6:$AC$1000,$C$6:$C$1000=$C982,$AB$6:$AB$1000=1)),),""WINNER"",""""))"),"")</f>
        <v/>
      </c>
      <c r="AF982" s="40" t="str">
        <f t="shared" si="5"/>
        <v/>
      </c>
      <c r="AG982" s="40" t="str">
        <f>IF($J982="","",COUNTIF(Assignments!$B:$B,$J982))</f>
        <v/>
      </c>
      <c r="AH982" s="40" t="str">
        <f>IF($J982="","",IF(AND($AG982=0,$N982&lt;$M982),Config!$B$43,0))</f>
        <v/>
      </c>
      <c r="AI982" s="40" t="str">
        <f>IF($J982="","",IF(AND($L982="Elite",$F982&gt;=Config!$B$41,$N982&lt;$M982),Config!$B$42,0))</f>
        <v/>
      </c>
      <c r="AJ982" s="22"/>
    </row>
    <row r="983" ht="15.75" customHeight="1">
      <c r="A983" s="40" t="str">
        <f t="shared" si="1"/>
        <v/>
      </c>
      <c r="B983" s="40" t="str">
        <f>IF(Bids!$A983="","",Bids!$A983)</f>
        <v/>
      </c>
      <c r="C983" s="40" t="str">
        <f>IF(Bids!$B983="","",Bids!$B983)</f>
        <v/>
      </c>
      <c r="D983" s="40" t="str">
        <f>IF($C983="","",IFERROR(VLOOKUP($C983,Orders!$A:$J,9,FALSE),""))</f>
        <v/>
      </c>
      <c r="E983" s="40" t="str">
        <f>IF($C983="","",IFERROR(VLOOKUP($C983,Orders!$A:$J,3,FALSE),""))</f>
        <v/>
      </c>
      <c r="F983" s="40" t="str">
        <f>IF($C983="","",IFERROR(VLOOKUP($C983,Orders!$A:$J,4,FALSE),""))</f>
        <v/>
      </c>
      <c r="G983" s="40" t="str">
        <f>IF($C983="","",IFERROR(VLOOKUP($C983,Orders!$A:$J,5,FALSE),""))</f>
        <v/>
      </c>
      <c r="H983" s="40" t="str">
        <f>IF($C983="","",IFERROR(VLOOKUP($C983,Orders!$A:$J,6,FALSE),""))</f>
        <v/>
      </c>
      <c r="I983" s="40" t="str">
        <f>IF($C983="","",IFERROR(VLOOKUP($C983,Orders!$A:$J,7,FALSE),""))</f>
        <v/>
      </c>
      <c r="J983" s="40" t="str">
        <f>IF(Bids!$C983="","",Bids!$C983)</f>
        <v/>
      </c>
      <c r="K983" s="40" t="str">
        <f>IF($J983="","",IFERROR(VLOOKUP($J983,Grinders!$A:$N,2,FALSE),""))</f>
        <v/>
      </c>
      <c r="L983" s="40" t="str">
        <f>IF($J983="","",IFERROR(VLOOKUP($J983,Grinders!$A:$N,3,FALSE),""))</f>
        <v/>
      </c>
      <c r="M983" s="40" t="str">
        <f>IF($J983="","",IFERROR(VLOOKUP($J983,Grinders!$A:$N,4,FALSE),""))</f>
        <v/>
      </c>
      <c r="N983" s="40" t="str">
        <f>IF($J983="","",IFERROR(VLOOKUP($J983,Grinders!$A:$N,5,FALSE),""))</f>
        <v/>
      </c>
      <c r="O983" s="40" t="str">
        <f t="shared" si="2"/>
        <v/>
      </c>
      <c r="P983" s="40" t="str">
        <f>IF($J983="","",IFERROR(VLOOKUP($J983,Grinders!$A:$N,6,FALSE),""))</f>
        <v/>
      </c>
      <c r="Q983" s="40" t="str">
        <f>IF($J983="","",IFERROR(VLOOKUP($J983,Grinders!$A:$N,8,FALSE),""))</f>
        <v/>
      </c>
      <c r="R983" s="40" t="str">
        <f>IFERROR(IF($J983="","",IF($L983="Elite",MAX(50,MIN(100,Config!$B$27*MAX(0,MIN(100,(1-IF($O983="",0,$O983))*100)) + Config!$B$28*MAX(0,MIN(100,(1-MIN(1,IF(Config!$B$30=0,1,$P983/Config!$B$30)))*100)) + Config!$B$29*MAX(0,MIN(100,MIN(1,IF($Q983="",0,$Q983)/Config!$B$23)*100)))),MIN(100,Config!$B$27*MAX(0,MIN(100,(1-IF($O983="",0,$O983))*100)) + Config!$B$28*MAX(0,MIN(100,(1-MIN(1,IF(Config!$B$30=0,1,$P983/Config!$B$30)))*100)) + Config!$B$29*MAX(0,MIN(100,MIN(1,IF($Q983="",0,$Q983)/Config!$B$23)*100))))),"")
</f>
        <v/>
      </c>
      <c r="S983" s="40" t="str">
        <f>IF(Bids!$D983="","",Bids!$D983)</f>
        <v/>
      </c>
      <c r="T983" s="40" t="str">
        <f>IF(Bids!$F983="","",Bids!$F983)</f>
        <v/>
      </c>
      <c r="U983" s="40" t="str">
        <f t="shared" si="3"/>
        <v/>
      </c>
      <c r="V983" s="40" t="str">
        <f>IF($U983="","",IF(Config!$B$17=Config!$B$16,IF($U983&gt;=Config!$B$17,100,0),MAX(0,MIN(100,($U983-Config!$B$16)/(Config!$B$17-Config!$B$16)*100))))</f>
        <v/>
      </c>
      <c r="W983" s="40">
        <f>IF($L983="Elite",Config!$B$21,0)</f>
        <v>0</v>
      </c>
      <c r="X983" s="40" t="str">
        <f>IFERROR(IF(OR($T983="",$G983=""),"",IF($T983&gt;$G983,
  MAX(0, 60-(($T983-$G983)*24/Config!$B$19)*60),
  MEDIAN(60, 100, 60+(($G983-$T983)*24/Config!$B$20)*40)
)),"")
</f>
        <v/>
      </c>
      <c r="Y983" s="40" t="str">
        <f>IF($J983="","",IFERROR(VLOOKUP($J983,Grinders!$A:$N,10,FALSE),""))</f>
        <v/>
      </c>
      <c r="Z983" s="40" t="str">
        <f>IF($J983="","",IFERROR(VLOOKUP($J983,Grinders!$A:$N,11,FALSE),""))</f>
        <v/>
      </c>
      <c r="AA983" s="40" t="str">
        <f>IF($J983="","",IFERROR(VLOOKUP($J983,Grinders!$A:$N,12,FALSE),""))</f>
        <v/>
      </c>
      <c r="AB983" s="40">
        <f>IFERROR(IF(OR($C983="",$J983=""),0,IF($D983&lt;&gt;"Open",0,IF(COUNTIFS(GrinderServices!$B:$B,$J983,GrinderServices!$C:$C,$E983,GrinderServices!$E:$E,"Y")=0,0,IF($U983&lt;Config!$B$16,0,IF(Config!$B$18=1,IF($N983&gt;=$M983,0,1),1))))),"")</f>
        <v>0</v>
      </c>
      <c r="AC983" s="40" t="str">
        <f>IFERROR(IF($AB983=0,"",((Config!$B$6*$V983 + Config!$B$7*$R983 + Config!$B$8*$W983 + Config!$B$9*$X983 + Config!$B$10*$Y983 + Config!$B$11*$Z983 - Config!$B$12*$AA983)/Config!$B$13)+$AH983+$AI983),"")</f>
        <v/>
      </c>
      <c r="AD983" s="40" t="str">
        <f t="shared" si="4"/>
        <v/>
      </c>
      <c r="AE983" s="40" t="str">
        <f>IFERROR(__xludf.DUMMYFUNCTION("IF($AC983="""","""",IF($AC983=IFERROR(MAX(FILTER($AC$6:$AC$1000,$C$6:$C$1000=$C983,$AB$6:$AB$1000=1)),),""WINNER"",""""))"),"")</f>
        <v/>
      </c>
      <c r="AF983" s="40" t="str">
        <f t="shared" si="5"/>
        <v/>
      </c>
      <c r="AG983" s="40" t="str">
        <f>IF($J983="","",COUNTIF(Assignments!$B:$B,$J983))</f>
        <v/>
      </c>
      <c r="AH983" s="40" t="str">
        <f>IF($J983="","",IF(AND($AG983=0,$N983&lt;$M983),Config!$B$43,0))</f>
        <v/>
      </c>
      <c r="AI983" s="40" t="str">
        <f>IF($J983="","",IF(AND($L983="Elite",$F983&gt;=Config!$B$41,$N983&lt;$M983),Config!$B$42,0))</f>
        <v/>
      </c>
      <c r="AJ983" s="22"/>
    </row>
    <row r="984" ht="15.75" customHeight="1">
      <c r="A984" s="40" t="str">
        <f t="shared" si="1"/>
        <v/>
      </c>
      <c r="B984" s="40" t="str">
        <f>IF(Bids!$A984="","",Bids!$A984)</f>
        <v/>
      </c>
      <c r="C984" s="40" t="str">
        <f>IF(Bids!$B984="","",Bids!$B984)</f>
        <v/>
      </c>
      <c r="D984" s="40" t="str">
        <f>IF($C984="","",IFERROR(VLOOKUP($C984,Orders!$A:$J,9,FALSE),""))</f>
        <v/>
      </c>
      <c r="E984" s="40" t="str">
        <f>IF($C984="","",IFERROR(VLOOKUP($C984,Orders!$A:$J,3,FALSE),""))</f>
        <v/>
      </c>
      <c r="F984" s="40" t="str">
        <f>IF($C984="","",IFERROR(VLOOKUP($C984,Orders!$A:$J,4,FALSE),""))</f>
        <v/>
      </c>
      <c r="G984" s="40" t="str">
        <f>IF($C984="","",IFERROR(VLOOKUP($C984,Orders!$A:$J,5,FALSE),""))</f>
        <v/>
      </c>
      <c r="H984" s="40" t="str">
        <f>IF($C984="","",IFERROR(VLOOKUP($C984,Orders!$A:$J,6,FALSE),""))</f>
        <v/>
      </c>
      <c r="I984" s="40" t="str">
        <f>IF($C984="","",IFERROR(VLOOKUP($C984,Orders!$A:$J,7,FALSE),""))</f>
        <v/>
      </c>
      <c r="J984" s="40" t="str">
        <f>IF(Bids!$C984="","",Bids!$C984)</f>
        <v/>
      </c>
      <c r="K984" s="40" t="str">
        <f>IF($J984="","",IFERROR(VLOOKUP($J984,Grinders!$A:$N,2,FALSE),""))</f>
        <v/>
      </c>
      <c r="L984" s="40" t="str">
        <f>IF($J984="","",IFERROR(VLOOKUP($J984,Grinders!$A:$N,3,FALSE),""))</f>
        <v/>
      </c>
      <c r="M984" s="40" t="str">
        <f>IF($J984="","",IFERROR(VLOOKUP($J984,Grinders!$A:$N,4,FALSE),""))</f>
        <v/>
      </c>
      <c r="N984" s="40" t="str">
        <f>IF($J984="","",IFERROR(VLOOKUP($J984,Grinders!$A:$N,5,FALSE),""))</f>
        <v/>
      </c>
      <c r="O984" s="40" t="str">
        <f t="shared" si="2"/>
        <v/>
      </c>
      <c r="P984" s="40" t="str">
        <f>IF($J984="","",IFERROR(VLOOKUP($J984,Grinders!$A:$N,6,FALSE),""))</f>
        <v/>
      </c>
      <c r="Q984" s="40" t="str">
        <f>IF($J984="","",IFERROR(VLOOKUP($J984,Grinders!$A:$N,8,FALSE),""))</f>
        <v/>
      </c>
      <c r="R984" s="40" t="str">
        <f>IFERROR(IF($J984="","",IF($L984="Elite",MAX(50,MIN(100,Config!$B$27*MAX(0,MIN(100,(1-IF($O984="",0,$O984))*100)) + Config!$B$28*MAX(0,MIN(100,(1-MIN(1,IF(Config!$B$30=0,1,$P984/Config!$B$30)))*100)) + Config!$B$29*MAX(0,MIN(100,MIN(1,IF($Q984="",0,$Q984)/Config!$B$23)*100)))),MIN(100,Config!$B$27*MAX(0,MIN(100,(1-IF($O984="",0,$O984))*100)) + Config!$B$28*MAX(0,MIN(100,(1-MIN(1,IF(Config!$B$30=0,1,$P984/Config!$B$30)))*100)) + Config!$B$29*MAX(0,MIN(100,MIN(1,IF($Q984="",0,$Q984)/Config!$B$23)*100))))),"")
</f>
        <v/>
      </c>
      <c r="S984" s="40" t="str">
        <f>IF(Bids!$D984="","",Bids!$D984)</f>
        <v/>
      </c>
      <c r="T984" s="40" t="str">
        <f>IF(Bids!$F984="","",Bids!$F984)</f>
        <v/>
      </c>
      <c r="U984" s="40" t="str">
        <f t="shared" si="3"/>
        <v/>
      </c>
      <c r="V984" s="40" t="str">
        <f>IF($U984="","",IF(Config!$B$17=Config!$B$16,IF($U984&gt;=Config!$B$17,100,0),MAX(0,MIN(100,($U984-Config!$B$16)/(Config!$B$17-Config!$B$16)*100))))</f>
        <v/>
      </c>
      <c r="W984" s="40">
        <f>IF($L984="Elite",Config!$B$21,0)</f>
        <v>0</v>
      </c>
      <c r="X984" s="40" t="str">
        <f>IFERROR(IF(OR($T984="",$G984=""),"",IF($T984&gt;$G984,
  MAX(0, 60-(($T984-$G984)*24/Config!$B$19)*60),
  MEDIAN(60, 100, 60+(($G984-$T984)*24/Config!$B$20)*40)
)),"")
</f>
        <v/>
      </c>
      <c r="Y984" s="40" t="str">
        <f>IF($J984="","",IFERROR(VLOOKUP($J984,Grinders!$A:$N,10,FALSE),""))</f>
        <v/>
      </c>
      <c r="Z984" s="40" t="str">
        <f>IF($J984="","",IFERROR(VLOOKUP($J984,Grinders!$A:$N,11,FALSE),""))</f>
        <v/>
      </c>
      <c r="AA984" s="40" t="str">
        <f>IF($J984="","",IFERROR(VLOOKUP($J984,Grinders!$A:$N,12,FALSE),""))</f>
        <v/>
      </c>
      <c r="AB984" s="40">
        <f>IFERROR(IF(OR($C984="",$J984=""),0,IF($D984&lt;&gt;"Open",0,IF(COUNTIFS(GrinderServices!$B:$B,$J984,GrinderServices!$C:$C,$E984,GrinderServices!$E:$E,"Y")=0,0,IF($U984&lt;Config!$B$16,0,IF(Config!$B$18=1,IF($N984&gt;=$M984,0,1),1))))),"")</f>
        <v>0</v>
      </c>
      <c r="AC984" s="40" t="str">
        <f>IFERROR(IF($AB984=0,"",((Config!$B$6*$V984 + Config!$B$7*$R984 + Config!$B$8*$W984 + Config!$B$9*$X984 + Config!$B$10*$Y984 + Config!$B$11*$Z984 - Config!$B$12*$AA984)/Config!$B$13)+$AH984+$AI984),"")</f>
        <v/>
      </c>
      <c r="AD984" s="40" t="str">
        <f t="shared" si="4"/>
        <v/>
      </c>
      <c r="AE984" s="40" t="str">
        <f>IFERROR(__xludf.DUMMYFUNCTION("IF($AC984="""","""",IF($AC984=IFERROR(MAX(FILTER($AC$6:$AC$1000,$C$6:$C$1000=$C984,$AB$6:$AB$1000=1)),),""WINNER"",""""))"),"")</f>
        <v/>
      </c>
      <c r="AF984" s="40" t="str">
        <f t="shared" si="5"/>
        <v/>
      </c>
      <c r="AG984" s="40" t="str">
        <f>IF($J984="","",COUNTIF(Assignments!$B:$B,$J984))</f>
        <v/>
      </c>
      <c r="AH984" s="40" t="str">
        <f>IF($J984="","",IF(AND($AG984=0,$N984&lt;$M984),Config!$B$43,0))</f>
        <v/>
      </c>
      <c r="AI984" s="40" t="str">
        <f>IF($J984="","",IF(AND($L984="Elite",$F984&gt;=Config!$B$41,$N984&lt;$M984),Config!$B$42,0))</f>
        <v/>
      </c>
      <c r="AJ984" s="22"/>
    </row>
    <row r="985" ht="15.75" customHeight="1">
      <c r="A985" s="40" t="str">
        <f t="shared" si="1"/>
        <v/>
      </c>
      <c r="B985" s="40" t="str">
        <f>IF(Bids!$A985="","",Bids!$A985)</f>
        <v/>
      </c>
      <c r="C985" s="40" t="str">
        <f>IF(Bids!$B985="","",Bids!$B985)</f>
        <v/>
      </c>
      <c r="D985" s="40" t="str">
        <f>IF($C985="","",IFERROR(VLOOKUP($C985,Orders!$A:$J,9,FALSE),""))</f>
        <v/>
      </c>
      <c r="E985" s="40" t="str">
        <f>IF($C985="","",IFERROR(VLOOKUP($C985,Orders!$A:$J,3,FALSE),""))</f>
        <v/>
      </c>
      <c r="F985" s="40" t="str">
        <f>IF($C985="","",IFERROR(VLOOKUP($C985,Orders!$A:$J,4,FALSE),""))</f>
        <v/>
      </c>
      <c r="G985" s="40" t="str">
        <f>IF($C985="","",IFERROR(VLOOKUP($C985,Orders!$A:$J,5,FALSE),""))</f>
        <v/>
      </c>
      <c r="H985" s="40" t="str">
        <f>IF($C985="","",IFERROR(VLOOKUP($C985,Orders!$A:$J,6,FALSE),""))</f>
        <v/>
      </c>
      <c r="I985" s="40" t="str">
        <f>IF($C985="","",IFERROR(VLOOKUP($C985,Orders!$A:$J,7,FALSE),""))</f>
        <v/>
      </c>
      <c r="J985" s="40" t="str">
        <f>IF(Bids!$C985="","",Bids!$C985)</f>
        <v/>
      </c>
      <c r="K985" s="40" t="str">
        <f>IF($J985="","",IFERROR(VLOOKUP($J985,Grinders!$A:$N,2,FALSE),""))</f>
        <v/>
      </c>
      <c r="L985" s="40" t="str">
        <f>IF($J985="","",IFERROR(VLOOKUP($J985,Grinders!$A:$N,3,FALSE),""))</f>
        <v/>
      </c>
      <c r="M985" s="40" t="str">
        <f>IF($J985="","",IFERROR(VLOOKUP($J985,Grinders!$A:$N,4,FALSE),""))</f>
        <v/>
      </c>
      <c r="N985" s="40" t="str">
        <f>IF($J985="","",IFERROR(VLOOKUP($J985,Grinders!$A:$N,5,FALSE),""))</f>
        <v/>
      </c>
      <c r="O985" s="40" t="str">
        <f t="shared" si="2"/>
        <v/>
      </c>
      <c r="P985" s="40" t="str">
        <f>IF($J985="","",IFERROR(VLOOKUP($J985,Grinders!$A:$N,6,FALSE),""))</f>
        <v/>
      </c>
      <c r="Q985" s="40" t="str">
        <f>IF($J985="","",IFERROR(VLOOKUP($J985,Grinders!$A:$N,8,FALSE),""))</f>
        <v/>
      </c>
      <c r="R985" s="40" t="str">
        <f>IFERROR(IF($J985="","",IF($L985="Elite",MAX(50,MIN(100,Config!$B$27*MAX(0,MIN(100,(1-IF($O985="",0,$O985))*100)) + Config!$B$28*MAX(0,MIN(100,(1-MIN(1,IF(Config!$B$30=0,1,$P985/Config!$B$30)))*100)) + Config!$B$29*MAX(0,MIN(100,MIN(1,IF($Q985="",0,$Q985)/Config!$B$23)*100)))),MIN(100,Config!$B$27*MAX(0,MIN(100,(1-IF($O985="",0,$O985))*100)) + Config!$B$28*MAX(0,MIN(100,(1-MIN(1,IF(Config!$B$30=0,1,$P985/Config!$B$30)))*100)) + Config!$B$29*MAX(0,MIN(100,MIN(1,IF($Q985="",0,$Q985)/Config!$B$23)*100))))),"")
</f>
        <v/>
      </c>
      <c r="S985" s="40" t="str">
        <f>IF(Bids!$D985="","",Bids!$D985)</f>
        <v/>
      </c>
      <c r="T985" s="40" t="str">
        <f>IF(Bids!$F985="","",Bids!$F985)</f>
        <v/>
      </c>
      <c r="U985" s="40" t="str">
        <f t="shared" si="3"/>
        <v/>
      </c>
      <c r="V985" s="40" t="str">
        <f>IF($U985="","",IF(Config!$B$17=Config!$B$16,IF($U985&gt;=Config!$B$17,100,0),MAX(0,MIN(100,($U985-Config!$B$16)/(Config!$B$17-Config!$B$16)*100))))</f>
        <v/>
      </c>
      <c r="W985" s="40">
        <f>IF($L985="Elite",Config!$B$21,0)</f>
        <v>0</v>
      </c>
      <c r="X985" s="40" t="str">
        <f>IFERROR(IF(OR($T985="",$G985=""),"",IF($T985&gt;$G985,
  MAX(0, 60-(($T985-$G985)*24/Config!$B$19)*60),
  MEDIAN(60, 100, 60+(($G985-$T985)*24/Config!$B$20)*40)
)),"")
</f>
        <v/>
      </c>
      <c r="Y985" s="40" t="str">
        <f>IF($J985="","",IFERROR(VLOOKUP($J985,Grinders!$A:$N,10,FALSE),""))</f>
        <v/>
      </c>
      <c r="Z985" s="40" t="str">
        <f>IF($J985="","",IFERROR(VLOOKUP($J985,Grinders!$A:$N,11,FALSE),""))</f>
        <v/>
      </c>
      <c r="AA985" s="40" t="str">
        <f>IF($J985="","",IFERROR(VLOOKUP($J985,Grinders!$A:$N,12,FALSE),""))</f>
        <v/>
      </c>
      <c r="AB985" s="40">
        <f>IFERROR(IF(OR($C985="",$J985=""),0,IF($D985&lt;&gt;"Open",0,IF(COUNTIFS(GrinderServices!$B:$B,$J985,GrinderServices!$C:$C,$E985,GrinderServices!$E:$E,"Y")=0,0,IF($U985&lt;Config!$B$16,0,IF(Config!$B$18=1,IF($N985&gt;=$M985,0,1),1))))),"")</f>
        <v>0</v>
      </c>
      <c r="AC985" s="40" t="str">
        <f>IFERROR(IF($AB985=0,"",((Config!$B$6*$V985 + Config!$B$7*$R985 + Config!$B$8*$W985 + Config!$B$9*$X985 + Config!$B$10*$Y985 + Config!$B$11*$Z985 - Config!$B$12*$AA985)/Config!$B$13)+$AH985+$AI985),"")</f>
        <v/>
      </c>
      <c r="AD985" s="40" t="str">
        <f t="shared" si="4"/>
        <v/>
      </c>
      <c r="AE985" s="40" t="str">
        <f>IFERROR(__xludf.DUMMYFUNCTION("IF($AC985="""","""",IF($AC985=IFERROR(MAX(FILTER($AC$6:$AC$1000,$C$6:$C$1000=$C985,$AB$6:$AB$1000=1)),),""WINNER"",""""))"),"")</f>
        <v/>
      </c>
      <c r="AF985" s="40" t="str">
        <f t="shared" si="5"/>
        <v/>
      </c>
      <c r="AG985" s="40" t="str">
        <f>IF($J985="","",COUNTIF(Assignments!$B:$B,$J985))</f>
        <v/>
      </c>
      <c r="AH985" s="40" t="str">
        <f>IF($J985="","",IF(AND($AG985=0,$N985&lt;$M985),Config!$B$43,0))</f>
        <v/>
      </c>
      <c r="AI985" s="40" t="str">
        <f>IF($J985="","",IF(AND($L985="Elite",$F985&gt;=Config!$B$41,$N985&lt;$M985),Config!$B$42,0))</f>
        <v/>
      </c>
      <c r="AJ985" s="22"/>
    </row>
    <row r="986" ht="15.75" customHeight="1">
      <c r="A986" s="40" t="str">
        <f t="shared" si="1"/>
        <v/>
      </c>
      <c r="B986" s="40" t="str">
        <f>IF(Bids!$A986="","",Bids!$A986)</f>
        <v/>
      </c>
      <c r="C986" s="40" t="str">
        <f>IF(Bids!$B986="","",Bids!$B986)</f>
        <v/>
      </c>
      <c r="D986" s="40" t="str">
        <f>IF($C986="","",IFERROR(VLOOKUP($C986,Orders!$A:$J,9,FALSE),""))</f>
        <v/>
      </c>
      <c r="E986" s="40" t="str">
        <f>IF($C986="","",IFERROR(VLOOKUP($C986,Orders!$A:$J,3,FALSE),""))</f>
        <v/>
      </c>
      <c r="F986" s="40" t="str">
        <f>IF($C986="","",IFERROR(VLOOKUP($C986,Orders!$A:$J,4,FALSE),""))</f>
        <v/>
      </c>
      <c r="G986" s="40" t="str">
        <f>IF($C986="","",IFERROR(VLOOKUP($C986,Orders!$A:$J,5,FALSE),""))</f>
        <v/>
      </c>
      <c r="H986" s="40" t="str">
        <f>IF($C986="","",IFERROR(VLOOKUP($C986,Orders!$A:$J,6,FALSE),""))</f>
        <v/>
      </c>
      <c r="I986" s="40" t="str">
        <f>IF($C986="","",IFERROR(VLOOKUP($C986,Orders!$A:$J,7,FALSE),""))</f>
        <v/>
      </c>
      <c r="J986" s="40" t="str">
        <f>IF(Bids!$C986="","",Bids!$C986)</f>
        <v/>
      </c>
      <c r="K986" s="40" t="str">
        <f>IF($J986="","",IFERROR(VLOOKUP($J986,Grinders!$A:$N,2,FALSE),""))</f>
        <v/>
      </c>
      <c r="L986" s="40" t="str">
        <f>IF($J986="","",IFERROR(VLOOKUP($J986,Grinders!$A:$N,3,FALSE),""))</f>
        <v/>
      </c>
      <c r="M986" s="40" t="str">
        <f>IF($J986="","",IFERROR(VLOOKUP($J986,Grinders!$A:$N,4,FALSE),""))</f>
        <v/>
      </c>
      <c r="N986" s="40" t="str">
        <f>IF($J986="","",IFERROR(VLOOKUP($J986,Grinders!$A:$N,5,FALSE),""))</f>
        <v/>
      </c>
      <c r="O986" s="40" t="str">
        <f t="shared" si="2"/>
        <v/>
      </c>
      <c r="P986" s="40" t="str">
        <f>IF($J986="","",IFERROR(VLOOKUP($J986,Grinders!$A:$N,6,FALSE),""))</f>
        <v/>
      </c>
      <c r="Q986" s="40" t="str">
        <f>IF($J986="","",IFERROR(VLOOKUP($J986,Grinders!$A:$N,8,FALSE),""))</f>
        <v/>
      </c>
      <c r="R986" s="40" t="str">
        <f>IFERROR(IF($J986="","",IF($L986="Elite",MAX(50,MIN(100,Config!$B$27*MAX(0,MIN(100,(1-IF($O986="",0,$O986))*100)) + Config!$B$28*MAX(0,MIN(100,(1-MIN(1,IF(Config!$B$30=0,1,$P986/Config!$B$30)))*100)) + Config!$B$29*MAX(0,MIN(100,MIN(1,IF($Q986="",0,$Q986)/Config!$B$23)*100)))),MIN(100,Config!$B$27*MAX(0,MIN(100,(1-IF($O986="",0,$O986))*100)) + Config!$B$28*MAX(0,MIN(100,(1-MIN(1,IF(Config!$B$30=0,1,$P986/Config!$B$30)))*100)) + Config!$B$29*MAX(0,MIN(100,MIN(1,IF($Q986="",0,$Q986)/Config!$B$23)*100))))),"")
</f>
        <v/>
      </c>
      <c r="S986" s="40" t="str">
        <f>IF(Bids!$D986="","",Bids!$D986)</f>
        <v/>
      </c>
      <c r="T986" s="40" t="str">
        <f>IF(Bids!$F986="","",Bids!$F986)</f>
        <v/>
      </c>
      <c r="U986" s="40" t="str">
        <f t="shared" si="3"/>
        <v/>
      </c>
      <c r="V986" s="40" t="str">
        <f>IF($U986="","",IF(Config!$B$17=Config!$B$16,IF($U986&gt;=Config!$B$17,100,0),MAX(0,MIN(100,($U986-Config!$B$16)/(Config!$B$17-Config!$B$16)*100))))</f>
        <v/>
      </c>
      <c r="W986" s="40">
        <f>IF($L986="Elite",Config!$B$21,0)</f>
        <v>0</v>
      </c>
      <c r="X986" s="40" t="str">
        <f>IFERROR(IF(OR($T986="",$G986=""),"",IF($T986&gt;$G986,
  MAX(0, 60-(($T986-$G986)*24/Config!$B$19)*60),
  MEDIAN(60, 100, 60+(($G986-$T986)*24/Config!$B$20)*40)
)),"")
</f>
        <v/>
      </c>
      <c r="Y986" s="40" t="str">
        <f>IF($J986="","",IFERROR(VLOOKUP($J986,Grinders!$A:$N,10,FALSE),""))</f>
        <v/>
      </c>
      <c r="Z986" s="40" t="str">
        <f>IF($J986="","",IFERROR(VLOOKUP($J986,Grinders!$A:$N,11,FALSE),""))</f>
        <v/>
      </c>
      <c r="AA986" s="40" t="str">
        <f>IF($J986="","",IFERROR(VLOOKUP($J986,Grinders!$A:$N,12,FALSE),""))</f>
        <v/>
      </c>
      <c r="AB986" s="40">
        <f>IFERROR(IF(OR($C986="",$J986=""),0,IF($D986&lt;&gt;"Open",0,IF(COUNTIFS(GrinderServices!$B:$B,$J986,GrinderServices!$C:$C,$E986,GrinderServices!$E:$E,"Y")=0,0,IF($U986&lt;Config!$B$16,0,IF(Config!$B$18=1,IF($N986&gt;=$M986,0,1),1))))),"")</f>
        <v>0</v>
      </c>
      <c r="AC986" s="40" t="str">
        <f>IFERROR(IF($AB986=0,"",((Config!$B$6*$V986 + Config!$B$7*$R986 + Config!$B$8*$W986 + Config!$B$9*$X986 + Config!$B$10*$Y986 + Config!$B$11*$Z986 - Config!$B$12*$AA986)/Config!$B$13)+$AH986+$AI986),"")</f>
        <v/>
      </c>
      <c r="AD986" s="40" t="str">
        <f t="shared" si="4"/>
        <v/>
      </c>
      <c r="AE986" s="40" t="str">
        <f>IFERROR(__xludf.DUMMYFUNCTION("IF($AC986="""","""",IF($AC986=IFERROR(MAX(FILTER($AC$6:$AC$1000,$C$6:$C$1000=$C986,$AB$6:$AB$1000=1)),),""WINNER"",""""))"),"")</f>
        <v/>
      </c>
      <c r="AF986" s="40" t="str">
        <f t="shared" si="5"/>
        <v/>
      </c>
      <c r="AG986" s="40" t="str">
        <f>IF($J986="","",COUNTIF(Assignments!$B:$B,$J986))</f>
        <v/>
      </c>
      <c r="AH986" s="40" t="str">
        <f>IF($J986="","",IF(AND($AG986=0,$N986&lt;$M986),Config!$B$43,0))</f>
        <v/>
      </c>
      <c r="AI986" s="40" t="str">
        <f>IF($J986="","",IF(AND($L986="Elite",$F986&gt;=Config!$B$41,$N986&lt;$M986),Config!$B$42,0))</f>
        <v/>
      </c>
      <c r="AJ986" s="22"/>
    </row>
    <row r="987" ht="15.75" customHeight="1">
      <c r="A987" s="40" t="str">
        <f t="shared" si="1"/>
        <v/>
      </c>
      <c r="B987" s="40" t="str">
        <f>IF(Bids!$A987="","",Bids!$A987)</f>
        <v/>
      </c>
      <c r="C987" s="40" t="str">
        <f>IF(Bids!$B987="","",Bids!$B987)</f>
        <v/>
      </c>
      <c r="D987" s="40" t="str">
        <f>IF($C987="","",IFERROR(VLOOKUP($C987,Orders!$A:$J,9,FALSE),""))</f>
        <v/>
      </c>
      <c r="E987" s="40" t="str">
        <f>IF($C987="","",IFERROR(VLOOKUP($C987,Orders!$A:$J,3,FALSE),""))</f>
        <v/>
      </c>
      <c r="F987" s="40" t="str">
        <f>IF($C987="","",IFERROR(VLOOKUP($C987,Orders!$A:$J,4,FALSE),""))</f>
        <v/>
      </c>
      <c r="G987" s="40" t="str">
        <f>IF($C987="","",IFERROR(VLOOKUP($C987,Orders!$A:$J,5,FALSE),""))</f>
        <v/>
      </c>
      <c r="H987" s="40" t="str">
        <f>IF($C987="","",IFERROR(VLOOKUP($C987,Orders!$A:$J,6,FALSE),""))</f>
        <v/>
      </c>
      <c r="I987" s="40" t="str">
        <f>IF($C987="","",IFERROR(VLOOKUP($C987,Orders!$A:$J,7,FALSE),""))</f>
        <v/>
      </c>
      <c r="J987" s="40" t="str">
        <f>IF(Bids!$C987="","",Bids!$C987)</f>
        <v/>
      </c>
      <c r="K987" s="40" t="str">
        <f>IF($J987="","",IFERROR(VLOOKUP($J987,Grinders!$A:$N,2,FALSE),""))</f>
        <v/>
      </c>
      <c r="L987" s="40" t="str">
        <f>IF($J987="","",IFERROR(VLOOKUP($J987,Grinders!$A:$N,3,FALSE),""))</f>
        <v/>
      </c>
      <c r="M987" s="40" t="str">
        <f>IF($J987="","",IFERROR(VLOOKUP($J987,Grinders!$A:$N,4,FALSE),""))</f>
        <v/>
      </c>
      <c r="N987" s="40" t="str">
        <f>IF($J987="","",IFERROR(VLOOKUP($J987,Grinders!$A:$N,5,FALSE),""))</f>
        <v/>
      </c>
      <c r="O987" s="40" t="str">
        <f t="shared" si="2"/>
        <v/>
      </c>
      <c r="P987" s="40" t="str">
        <f>IF($J987="","",IFERROR(VLOOKUP($J987,Grinders!$A:$N,6,FALSE),""))</f>
        <v/>
      </c>
      <c r="Q987" s="40" t="str">
        <f>IF($J987="","",IFERROR(VLOOKUP($J987,Grinders!$A:$N,8,FALSE),""))</f>
        <v/>
      </c>
      <c r="R987" s="40" t="str">
        <f>IFERROR(IF($J987="","",IF($L987="Elite",MAX(50,MIN(100,Config!$B$27*MAX(0,MIN(100,(1-IF($O987="",0,$O987))*100)) + Config!$B$28*MAX(0,MIN(100,(1-MIN(1,IF(Config!$B$30=0,1,$P987/Config!$B$30)))*100)) + Config!$B$29*MAX(0,MIN(100,MIN(1,IF($Q987="",0,$Q987)/Config!$B$23)*100)))),MIN(100,Config!$B$27*MAX(0,MIN(100,(1-IF($O987="",0,$O987))*100)) + Config!$B$28*MAX(0,MIN(100,(1-MIN(1,IF(Config!$B$30=0,1,$P987/Config!$B$30)))*100)) + Config!$B$29*MAX(0,MIN(100,MIN(1,IF($Q987="",0,$Q987)/Config!$B$23)*100))))),"")
</f>
        <v/>
      </c>
      <c r="S987" s="40" t="str">
        <f>IF(Bids!$D987="","",Bids!$D987)</f>
        <v/>
      </c>
      <c r="T987" s="40" t="str">
        <f>IF(Bids!$F987="","",Bids!$F987)</f>
        <v/>
      </c>
      <c r="U987" s="40" t="str">
        <f t="shared" si="3"/>
        <v/>
      </c>
      <c r="V987" s="40" t="str">
        <f>IF($U987="","",IF(Config!$B$17=Config!$B$16,IF($U987&gt;=Config!$B$17,100,0),MAX(0,MIN(100,($U987-Config!$B$16)/(Config!$B$17-Config!$B$16)*100))))</f>
        <v/>
      </c>
      <c r="W987" s="40">
        <f>IF($L987="Elite",Config!$B$21,0)</f>
        <v>0</v>
      </c>
      <c r="X987" s="40" t="str">
        <f>IFERROR(IF(OR($T987="",$G987=""),"",IF($T987&gt;$G987,
  MAX(0, 60-(($T987-$G987)*24/Config!$B$19)*60),
  MEDIAN(60, 100, 60+(($G987-$T987)*24/Config!$B$20)*40)
)),"")
</f>
        <v/>
      </c>
      <c r="Y987" s="40" t="str">
        <f>IF($J987="","",IFERROR(VLOOKUP($J987,Grinders!$A:$N,10,FALSE),""))</f>
        <v/>
      </c>
      <c r="Z987" s="40" t="str">
        <f>IF($J987="","",IFERROR(VLOOKUP($J987,Grinders!$A:$N,11,FALSE),""))</f>
        <v/>
      </c>
      <c r="AA987" s="40" t="str">
        <f>IF($J987="","",IFERROR(VLOOKUP($J987,Grinders!$A:$N,12,FALSE),""))</f>
        <v/>
      </c>
      <c r="AB987" s="40">
        <f>IFERROR(IF(OR($C987="",$J987=""),0,IF($D987&lt;&gt;"Open",0,IF(COUNTIFS(GrinderServices!$B:$B,$J987,GrinderServices!$C:$C,$E987,GrinderServices!$E:$E,"Y")=0,0,IF($U987&lt;Config!$B$16,0,IF(Config!$B$18=1,IF($N987&gt;=$M987,0,1),1))))),"")</f>
        <v>0</v>
      </c>
      <c r="AC987" s="40" t="str">
        <f>IFERROR(IF($AB987=0,"",((Config!$B$6*$V987 + Config!$B$7*$R987 + Config!$B$8*$W987 + Config!$B$9*$X987 + Config!$B$10*$Y987 + Config!$B$11*$Z987 - Config!$B$12*$AA987)/Config!$B$13)+$AH987+$AI987),"")</f>
        <v/>
      </c>
      <c r="AD987" s="40" t="str">
        <f t="shared" si="4"/>
        <v/>
      </c>
      <c r="AE987" s="40" t="str">
        <f>IFERROR(__xludf.DUMMYFUNCTION("IF($AC987="""","""",IF($AC987=IFERROR(MAX(FILTER($AC$6:$AC$1000,$C$6:$C$1000=$C987,$AB$6:$AB$1000=1)),),""WINNER"",""""))"),"")</f>
        <v/>
      </c>
      <c r="AF987" s="40" t="str">
        <f t="shared" si="5"/>
        <v/>
      </c>
      <c r="AG987" s="40" t="str">
        <f>IF($J987="","",COUNTIF(Assignments!$B:$B,$J987))</f>
        <v/>
      </c>
      <c r="AH987" s="40" t="str">
        <f>IF($J987="","",IF(AND($AG987=0,$N987&lt;$M987),Config!$B$43,0))</f>
        <v/>
      </c>
      <c r="AI987" s="40" t="str">
        <f>IF($J987="","",IF(AND($L987="Elite",$F987&gt;=Config!$B$41,$N987&lt;$M987),Config!$B$42,0))</f>
        <v/>
      </c>
      <c r="AJ987" s="22"/>
    </row>
    <row r="988" ht="15.75" customHeight="1">
      <c r="A988" s="40" t="str">
        <f t="shared" si="1"/>
        <v/>
      </c>
      <c r="B988" s="40" t="str">
        <f>IF(Bids!$A988="","",Bids!$A988)</f>
        <v/>
      </c>
      <c r="C988" s="40" t="str">
        <f>IF(Bids!$B988="","",Bids!$B988)</f>
        <v/>
      </c>
      <c r="D988" s="40" t="str">
        <f>IF($C988="","",IFERROR(VLOOKUP($C988,Orders!$A:$J,9,FALSE),""))</f>
        <v/>
      </c>
      <c r="E988" s="40" t="str">
        <f>IF($C988="","",IFERROR(VLOOKUP($C988,Orders!$A:$J,3,FALSE),""))</f>
        <v/>
      </c>
      <c r="F988" s="40" t="str">
        <f>IF($C988="","",IFERROR(VLOOKUP($C988,Orders!$A:$J,4,FALSE),""))</f>
        <v/>
      </c>
      <c r="G988" s="40" t="str">
        <f>IF($C988="","",IFERROR(VLOOKUP($C988,Orders!$A:$J,5,FALSE),""))</f>
        <v/>
      </c>
      <c r="H988" s="40" t="str">
        <f>IF($C988="","",IFERROR(VLOOKUP($C988,Orders!$A:$J,6,FALSE),""))</f>
        <v/>
      </c>
      <c r="I988" s="40" t="str">
        <f>IF($C988="","",IFERROR(VLOOKUP($C988,Orders!$A:$J,7,FALSE),""))</f>
        <v/>
      </c>
      <c r="J988" s="40" t="str">
        <f>IF(Bids!$C988="","",Bids!$C988)</f>
        <v/>
      </c>
      <c r="K988" s="40" t="str">
        <f>IF($J988="","",IFERROR(VLOOKUP($J988,Grinders!$A:$N,2,FALSE),""))</f>
        <v/>
      </c>
      <c r="L988" s="40" t="str">
        <f>IF($J988="","",IFERROR(VLOOKUP($J988,Grinders!$A:$N,3,FALSE),""))</f>
        <v/>
      </c>
      <c r="M988" s="40" t="str">
        <f>IF($J988="","",IFERROR(VLOOKUP($J988,Grinders!$A:$N,4,FALSE),""))</f>
        <v/>
      </c>
      <c r="N988" s="40" t="str">
        <f>IF($J988="","",IFERROR(VLOOKUP($J988,Grinders!$A:$N,5,FALSE),""))</f>
        <v/>
      </c>
      <c r="O988" s="40" t="str">
        <f t="shared" si="2"/>
        <v/>
      </c>
      <c r="P988" s="40" t="str">
        <f>IF($J988="","",IFERROR(VLOOKUP($J988,Grinders!$A:$N,6,FALSE),""))</f>
        <v/>
      </c>
      <c r="Q988" s="40" t="str">
        <f>IF($J988="","",IFERROR(VLOOKUP($J988,Grinders!$A:$N,8,FALSE),""))</f>
        <v/>
      </c>
      <c r="R988" s="40" t="str">
        <f>IFERROR(IF($J988="","",IF($L988="Elite",MAX(50,MIN(100,Config!$B$27*MAX(0,MIN(100,(1-IF($O988="",0,$O988))*100)) + Config!$B$28*MAX(0,MIN(100,(1-MIN(1,IF(Config!$B$30=0,1,$P988/Config!$B$30)))*100)) + Config!$B$29*MAX(0,MIN(100,MIN(1,IF($Q988="",0,$Q988)/Config!$B$23)*100)))),MIN(100,Config!$B$27*MAX(0,MIN(100,(1-IF($O988="",0,$O988))*100)) + Config!$B$28*MAX(0,MIN(100,(1-MIN(1,IF(Config!$B$30=0,1,$P988/Config!$B$30)))*100)) + Config!$B$29*MAX(0,MIN(100,MIN(1,IF($Q988="",0,$Q988)/Config!$B$23)*100))))),"")
</f>
        <v/>
      </c>
      <c r="S988" s="40" t="str">
        <f>IF(Bids!$D988="","",Bids!$D988)</f>
        <v/>
      </c>
      <c r="T988" s="40" t="str">
        <f>IF(Bids!$F988="","",Bids!$F988)</f>
        <v/>
      </c>
      <c r="U988" s="40" t="str">
        <f t="shared" si="3"/>
        <v/>
      </c>
      <c r="V988" s="40" t="str">
        <f>IF($U988="","",IF(Config!$B$17=Config!$B$16,IF($U988&gt;=Config!$B$17,100,0),MAX(0,MIN(100,($U988-Config!$B$16)/(Config!$B$17-Config!$B$16)*100))))</f>
        <v/>
      </c>
      <c r="W988" s="40">
        <f>IF($L988="Elite",Config!$B$21,0)</f>
        <v>0</v>
      </c>
      <c r="X988" s="40" t="str">
        <f>IFERROR(IF(OR($T988="",$G988=""),"",IF($T988&gt;$G988,
  MAX(0, 60-(($T988-$G988)*24/Config!$B$19)*60),
  MEDIAN(60, 100, 60+(($G988-$T988)*24/Config!$B$20)*40)
)),"")
</f>
        <v/>
      </c>
      <c r="Y988" s="40" t="str">
        <f>IF($J988="","",IFERROR(VLOOKUP($J988,Grinders!$A:$N,10,FALSE),""))</f>
        <v/>
      </c>
      <c r="Z988" s="40" t="str">
        <f>IF($J988="","",IFERROR(VLOOKUP($J988,Grinders!$A:$N,11,FALSE),""))</f>
        <v/>
      </c>
      <c r="AA988" s="40" t="str">
        <f>IF($J988="","",IFERROR(VLOOKUP($J988,Grinders!$A:$N,12,FALSE),""))</f>
        <v/>
      </c>
      <c r="AB988" s="40">
        <f>IFERROR(IF(OR($C988="",$J988=""),0,IF($D988&lt;&gt;"Open",0,IF(COUNTIFS(GrinderServices!$B:$B,$J988,GrinderServices!$C:$C,$E988,GrinderServices!$E:$E,"Y")=0,0,IF($U988&lt;Config!$B$16,0,IF(Config!$B$18=1,IF($N988&gt;=$M988,0,1),1))))),"")</f>
        <v>0</v>
      </c>
      <c r="AC988" s="40" t="str">
        <f>IFERROR(IF($AB988=0,"",((Config!$B$6*$V988 + Config!$B$7*$R988 + Config!$B$8*$W988 + Config!$B$9*$X988 + Config!$B$10*$Y988 + Config!$B$11*$Z988 - Config!$B$12*$AA988)/Config!$B$13)+$AH988+$AI988),"")</f>
        <v/>
      </c>
      <c r="AD988" s="40" t="str">
        <f t="shared" si="4"/>
        <v/>
      </c>
      <c r="AE988" s="40" t="str">
        <f>IFERROR(__xludf.DUMMYFUNCTION("IF($AC988="""","""",IF($AC988=IFERROR(MAX(FILTER($AC$6:$AC$1000,$C$6:$C$1000=$C988,$AB$6:$AB$1000=1)),),""WINNER"",""""))"),"")</f>
        <v/>
      </c>
      <c r="AF988" s="40" t="str">
        <f t="shared" si="5"/>
        <v/>
      </c>
      <c r="AG988" s="40" t="str">
        <f>IF($J988="","",COUNTIF(Assignments!$B:$B,$J988))</f>
        <v/>
      </c>
      <c r="AH988" s="40" t="str">
        <f>IF($J988="","",IF(AND($AG988=0,$N988&lt;$M988),Config!$B$43,0))</f>
        <v/>
      </c>
      <c r="AI988" s="40" t="str">
        <f>IF($J988="","",IF(AND($L988="Elite",$F988&gt;=Config!$B$41,$N988&lt;$M988),Config!$B$42,0))</f>
        <v/>
      </c>
      <c r="AJ988" s="22"/>
    </row>
    <row r="989" ht="15.75" customHeight="1">
      <c r="A989" s="40" t="str">
        <f t="shared" si="1"/>
        <v/>
      </c>
      <c r="B989" s="40" t="str">
        <f>IF(Bids!$A989="","",Bids!$A989)</f>
        <v/>
      </c>
      <c r="C989" s="40" t="str">
        <f>IF(Bids!$B989="","",Bids!$B989)</f>
        <v/>
      </c>
      <c r="D989" s="40" t="str">
        <f>IF($C989="","",IFERROR(VLOOKUP($C989,Orders!$A:$J,9,FALSE),""))</f>
        <v/>
      </c>
      <c r="E989" s="40" t="str">
        <f>IF($C989="","",IFERROR(VLOOKUP($C989,Orders!$A:$J,3,FALSE),""))</f>
        <v/>
      </c>
      <c r="F989" s="40" t="str">
        <f>IF($C989="","",IFERROR(VLOOKUP($C989,Orders!$A:$J,4,FALSE),""))</f>
        <v/>
      </c>
      <c r="G989" s="40" t="str">
        <f>IF($C989="","",IFERROR(VLOOKUP($C989,Orders!$A:$J,5,FALSE),""))</f>
        <v/>
      </c>
      <c r="H989" s="40" t="str">
        <f>IF($C989="","",IFERROR(VLOOKUP($C989,Orders!$A:$J,6,FALSE),""))</f>
        <v/>
      </c>
      <c r="I989" s="40" t="str">
        <f>IF($C989="","",IFERROR(VLOOKUP($C989,Orders!$A:$J,7,FALSE),""))</f>
        <v/>
      </c>
      <c r="J989" s="40" t="str">
        <f>IF(Bids!$C989="","",Bids!$C989)</f>
        <v/>
      </c>
      <c r="K989" s="40" t="str">
        <f>IF($J989="","",IFERROR(VLOOKUP($J989,Grinders!$A:$N,2,FALSE),""))</f>
        <v/>
      </c>
      <c r="L989" s="40" t="str">
        <f>IF($J989="","",IFERROR(VLOOKUP($J989,Grinders!$A:$N,3,FALSE),""))</f>
        <v/>
      </c>
      <c r="M989" s="40" t="str">
        <f>IF($J989="","",IFERROR(VLOOKUP($J989,Grinders!$A:$N,4,FALSE),""))</f>
        <v/>
      </c>
      <c r="N989" s="40" t="str">
        <f>IF($J989="","",IFERROR(VLOOKUP($J989,Grinders!$A:$N,5,FALSE),""))</f>
        <v/>
      </c>
      <c r="O989" s="40" t="str">
        <f t="shared" si="2"/>
        <v/>
      </c>
      <c r="P989" s="40" t="str">
        <f>IF($J989="","",IFERROR(VLOOKUP($J989,Grinders!$A:$N,6,FALSE),""))</f>
        <v/>
      </c>
      <c r="Q989" s="40" t="str">
        <f>IF($J989="","",IFERROR(VLOOKUP($J989,Grinders!$A:$N,8,FALSE),""))</f>
        <v/>
      </c>
      <c r="R989" s="40" t="str">
        <f>IFERROR(IF($J989="","",IF($L989="Elite",MAX(50,MIN(100,Config!$B$27*MAX(0,MIN(100,(1-IF($O989="",0,$O989))*100)) + Config!$B$28*MAX(0,MIN(100,(1-MIN(1,IF(Config!$B$30=0,1,$P989/Config!$B$30)))*100)) + Config!$B$29*MAX(0,MIN(100,MIN(1,IF($Q989="",0,$Q989)/Config!$B$23)*100)))),MIN(100,Config!$B$27*MAX(0,MIN(100,(1-IF($O989="",0,$O989))*100)) + Config!$B$28*MAX(0,MIN(100,(1-MIN(1,IF(Config!$B$30=0,1,$P989/Config!$B$30)))*100)) + Config!$B$29*MAX(0,MIN(100,MIN(1,IF($Q989="",0,$Q989)/Config!$B$23)*100))))),"")
</f>
        <v/>
      </c>
      <c r="S989" s="40" t="str">
        <f>IF(Bids!$D989="","",Bids!$D989)</f>
        <v/>
      </c>
      <c r="T989" s="40" t="str">
        <f>IF(Bids!$F989="","",Bids!$F989)</f>
        <v/>
      </c>
      <c r="U989" s="40" t="str">
        <f t="shared" si="3"/>
        <v/>
      </c>
      <c r="V989" s="40" t="str">
        <f>IF($U989="","",IF(Config!$B$17=Config!$B$16,IF($U989&gt;=Config!$B$17,100,0),MAX(0,MIN(100,($U989-Config!$B$16)/(Config!$B$17-Config!$B$16)*100))))</f>
        <v/>
      </c>
      <c r="W989" s="40">
        <f>IF($L989="Elite",Config!$B$21,0)</f>
        <v>0</v>
      </c>
      <c r="X989" s="40" t="str">
        <f>IFERROR(IF(OR($T989="",$G989=""),"",IF($T989&gt;$G989,
  MAX(0, 60-(($T989-$G989)*24/Config!$B$19)*60),
  MEDIAN(60, 100, 60+(($G989-$T989)*24/Config!$B$20)*40)
)),"")
</f>
        <v/>
      </c>
      <c r="Y989" s="40" t="str">
        <f>IF($J989="","",IFERROR(VLOOKUP($J989,Grinders!$A:$N,10,FALSE),""))</f>
        <v/>
      </c>
      <c r="Z989" s="40" t="str">
        <f>IF($J989="","",IFERROR(VLOOKUP($J989,Grinders!$A:$N,11,FALSE),""))</f>
        <v/>
      </c>
      <c r="AA989" s="40" t="str">
        <f>IF($J989="","",IFERROR(VLOOKUP($J989,Grinders!$A:$N,12,FALSE),""))</f>
        <v/>
      </c>
      <c r="AB989" s="40">
        <f>IFERROR(IF(OR($C989="",$J989=""),0,IF($D989&lt;&gt;"Open",0,IF(COUNTIFS(GrinderServices!$B:$B,$J989,GrinderServices!$C:$C,$E989,GrinderServices!$E:$E,"Y")=0,0,IF($U989&lt;Config!$B$16,0,IF(Config!$B$18=1,IF($N989&gt;=$M989,0,1),1))))),"")</f>
        <v>0</v>
      </c>
      <c r="AC989" s="40" t="str">
        <f>IFERROR(IF($AB989=0,"",((Config!$B$6*$V989 + Config!$B$7*$R989 + Config!$B$8*$W989 + Config!$B$9*$X989 + Config!$B$10*$Y989 + Config!$B$11*$Z989 - Config!$B$12*$AA989)/Config!$B$13)+$AH989+$AI989),"")</f>
        <v/>
      </c>
      <c r="AD989" s="40" t="str">
        <f t="shared" si="4"/>
        <v/>
      </c>
      <c r="AE989" s="40" t="str">
        <f>IFERROR(__xludf.DUMMYFUNCTION("IF($AC989="""","""",IF($AC989=IFERROR(MAX(FILTER($AC$6:$AC$1000,$C$6:$C$1000=$C989,$AB$6:$AB$1000=1)),),""WINNER"",""""))"),"")</f>
        <v/>
      </c>
      <c r="AF989" s="40" t="str">
        <f t="shared" si="5"/>
        <v/>
      </c>
      <c r="AG989" s="40" t="str">
        <f>IF($J989="","",COUNTIF(Assignments!$B:$B,$J989))</f>
        <v/>
      </c>
      <c r="AH989" s="40" t="str">
        <f>IF($J989="","",IF(AND($AG989=0,$N989&lt;$M989),Config!$B$43,0))</f>
        <v/>
      </c>
      <c r="AI989" s="40" t="str">
        <f>IF($J989="","",IF(AND($L989="Elite",$F989&gt;=Config!$B$41,$N989&lt;$M989),Config!$B$42,0))</f>
        <v/>
      </c>
      <c r="AJ989" s="22"/>
    </row>
    <row r="990" ht="15.75" customHeight="1">
      <c r="A990" s="40" t="str">
        <f t="shared" si="1"/>
        <v/>
      </c>
      <c r="B990" s="40" t="str">
        <f>IF(Bids!$A990="","",Bids!$A990)</f>
        <v/>
      </c>
      <c r="C990" s="40" t="str">
        <f>IF(Bids!$B990="","",Bids!$B990)</f>
        <v/>
      </c>
      <c r="D990" s="40" t="str">
        <f>IF($C990="","",IFERROR(VLOOKUP($C990,Orders!$A:$J,9,FALSE),""))</f>
        <v/>
      </c>
      <c r="E990" s="40" t="str">
        <f>IF($C990="","",IFERROR(VLOOKUP($C990,Orders!$A:$J,3,FALSE),""))</f>
        <v/>
      </c>
      <c r="F990" s="40" t="str">
        <f>IF($C990="","",IFERROR(VLOOKUP($C990,Orders!$A:$J,4,FALSE),""))</f>
        <v/>
      </c>
      <c r="G990" s="40" t="str">
        <f>IF($C990="","",IFERROR(VLOOKUP($C990,Orders!$A:$J,5,FALSE),""))</f>
        <v/>
      </c>
      <c r="H990" s="40" t="str">
        <f>IF($C990="","",IFERROR(VLOOKUP($C990,Orders!$A:$J,6,FALSE),""))</f>
        <v/>
      </c>
      <c r="I990" s="40" t="str">
        <f>IF($C990="","",IFERROR(VLOOKUP($C990,Orders!$A:$J,7,FALSE),""))</f>
        <v/>
      </c>
      <c r="J990" s="40" t="str">
        <f>IF(Bids!$C990="","",Bids!$C990)</f>
        <v/>
      </c>
      <c r="K990" s="40" t="str">
        <f>IF($J990="","",IFERROR(VLOOKUP($J990,Grinders!$A:$N,2,FALSE),""))</f>
        <v/>
      </c>
      <c r="L990" s="40" t="str">
        <f>IF($J990="","",IFERROR(VLOOKUP($J990,Grinders!$A:$N,3,FALSE),""))</f>
        <v/>
      </c>
      <c r="M990" s="40" t="str">
        <f>IF($J990="","",IFERROR(VLOOKUP($J990,Grinders!$A:$N,4,FALSE),""))</f>
        <v/>
      </c>
      <c r="N990" s="40" t="str">
        <f>IF($J990="","",IFERROR(VLOOKUP($J990,Grinders!$A:$N,5,FALSE),""))</f>
        <v/>
      </c>
      <c r="O990" s="40" t="str">
        <f t="shared" si="2"/>
        <v/>
      </c>
      <c r="P990" s="40" t="str">
        <f>IF($J990="","",IFERROR(VLOOKUP($J990,Grinders!$A:$N,6,FALSE),""))</f>
        <v/>
      </c>
      <c r="Q990" s="40" t="str">
        <f>IF($J990="","",IFERROR(VLOOKUP($J990,Grinders!$A:$N,8,FALSE),""))</f>
        <v/>
      </c>
      <c r="R990" s="40" t="str">
        <f>IFERROR(IF($J990="","",IF($L990="Elite",MAX(50,MIN(100,Config!$B$27*MAX(0,MIN(100,(1-IF($O990="",0,$O990))*100)) + Config!$B$28*MAX(0,MIN(100,(1-MIN(1,IF(Config!$B$30=0,1,$P990/Config!$B$30)))*100)) + Config!$B$29*MAX(0,MIN(100,MIN(1,IF($Q990="",0,$Q990)/Config!$B$23)*100)))),MIN(100,Config!$B$27*MAX(0,MIN(100,(1-IF($O990="",0,$O990))*100)) + Config!$B$28*MAX(0,MIN(100,(1-MIN(1,IF(Config!$B$30=0,1,$P990/Config!$B$30)))*100)) + Config!$B$29*MAX(0,MIN(100,MIN(1,IF($Q990="",0,$Q990)/Config!$B$23)*100))))),"")
</f>
        <v/>
      </c>
      <c r="S990" s="40" t="str">
        <f>IF(Bids!$D990="","",Bids!$D990)</f>
        <v/>
      </c>
      <c r="T990" s="40" t="str">
        <f>IF(Bids!$F990="","",Bids!$F990)</f>
        <v/>
      </c>
      <c r="U990" s="40" t="str">
        <f t="shared" si="3"/>
        <v/>
      </c>
      <c r="V990" s="40" t="str">
        <f>IF($U990="","",IF(Config!$B$17=Config!$B$16,IF($U990&gt;=Config!$B$17,100,0),MAX(0,MIN(100,($U990-Config!$B$16)/(Config!$B$17-Config!$B$16)*100))))</f>
        <v/>
      </c>
      <c r="W990" s="40">
        <f>IF($L990="Elite",Config!$B$21,0)</f>
        <v>0</v>
      </c>
      <c r="X990" s="40" t="str">
        <f>IFERROR(IF(OR($T990="",$G990=""),"",IF($T990&gt;$G990,
  MAX(0, 60-(($T990-$G990)*24/Config!$B$19)*60),
  MEDIAN(60, 100, 60+(($G990-$T990)*24/Config!$B$20)*40)
)),"")
</f>
        <v/>
      </c>
      <c r="Y990" s="40" t="str">
        <f>IF($J990="","",IFERROR(VLOOKUP($J990,Grinders!$A:$N,10,FALSE),""))</f>
        <v/>
      </c>
      <c r="Z990" s="40" t="str">
        <f>IF($J990="","",IFERROR(VLOOKUP($J990,Grinders!$A:$N,11,FALSE),""))</f>
        <v/>
      </c>
      <c r="AA990" s="40" t="str">
        <f>IF($J990="","",IFERROR(VLOOKUP($J990,Grinders!$A:$N,12,FALSE),""))</f>
        <v/>
      </c>
      <c r="AB990" s="40">
        <f>IFERROR(IF(OR($C990="",$J990=""),0,IF($D990&lt;&gt;"Open",0,IF(COUNTIFS(GrinderServices!$B:$B,$J990,GrinderServices!$C:$C,$E990,GrinderServices!$E:$E,"Y")=0,0,IF($U990&lt;Config!$B$16,0,IF(Config!$B$18=1,IF($N990&gt;=$M990,0,1),1))))),"")</f>
        <v>0</v>
      </c>
      <c r="AC990" s="40" t="str">
        <f>IFERROR(IF($AB990=0,"",((Config!$B$6*$V990 + Config!$B$7*$R990 + Config!$B$8*$W990 + Config!$B$9*$X990 + Config!$B$10*$Y990 + Config!$B$11*$Z990 - Config!$B$12*$AA990)/Config!$B$13)+$AH990+$AI990),"")</f>
        <v/>
      </c>
      <c r="AD990" s="40" t="str">
        <f t="shared" si="4"/>
        <v/>
      </c>
      <c r="AE990" s="40" t="str">
        <f>IFERROR(__xludf.DUMMYFUNCTION("IF($AC990="""","""",IF($AC990=IFERROR(MAX(FILTER($AC$6:$AC$1000,$C$6:$C$1000=$C990,$AB$6:$AB$1000=1)),),""WINNER"",""""))"),"")</f>
        <v/>
      </c>
      <c r="AF990" s="40" t="str">
        <f t="shared" si="5"/>
        <v/>
      </c>
      <c r="AG990" s="40" t="str">
        <f>IF($J990="","",COUNTIF(Assignments!$B:$B,$J990))</f>
        <v/>
      </c>
      <c r="AH990" s="40" t="str">
        <f>IF($J990="","",IF(AND($AG990=0,$N990&lt;$M990),Config!$B$43,0))</f>
        <v/>
      </c>
      <c r="AI990" s="40" t="str">
        <f>IF($J990="","",IF(AND($L990="Elite",$F990&gt;=Config!$B$41,$N990&lt;$M990),Config!$B$42,0))</f>
        <v/>
      </c>
      <c r="AJ990" s="22"/>
    </row>
    <row r="991" ht="15.75" customHeight="1">
      <c r="A991" s="40" t="str">
        <f t="shared" si="1"/>
        <v/>
      </c>
      <c r="B991" s="40" t="str">
        <f>IF(Bids!$A991="","",Bids!$A991)</f>
        <v/>
      </c>
      <c r="C991" s="40" t="str">
        <f>IF(Bids!$B991="","",Bids!$B991)</f>
        <v/>
      </c>
      <c r="D991" s="40" t="str">
        <f>IF($C991="","",IFERROR(VLOOKUP($C991,Orders!$A:$J,9,FALSE),""))</f>
        <v/>
      </c>
      <c r="E991" s="40" t="str">
        <f>IF($C991="","",IFERROR(VLOOKUP($C991,Orders!$A:$J,3,FALSE),""))</f>
        <v/>
      </c>
      <c r="F991" s="40" t="str">
        <f>IF($C991="","",IFERROR(VLOOKUP($C991,Orders!$A:$J,4,FALSE),""))</f>
        <v/>
      </c>
      <c r="G991" s="40" t="str">
        <f>IF($C991="","",IFERROR(VLOOKUP($C991,Orders!$A:$J,5,FALSE),""))</f>
        <v/>
      </c>
      <c r="H991" s="40" t="str">
        <f>IF($C991="","",IFERROR(VLOOKUP($C991,Orders!$A:$J,6,FALSE),""))</f>
        <v/>
      </c>
      <c r="I991" s="40" t="str">
        <f>IF($C991="","",IFERROR(VLOOKUP($C991,Orders!$A:$J,7,FALSE),""))</f>
        <v/>
      </c>
      <c r="J991" s="40" t="str">
        <f>IF(Bids!$C991="","",Bids!$C991)</f>
        <v/>
      </c>
      <c r="K991" s="40" t="str">
        <f>IF($J991="","",IFERROR(VLOOKUP($J991,Grinders!$A:$N,2,FALSE),""))</f>
        <v/>
      </c>
      <c r="L991" s="40" t="str">
        <f>IF($J991="","",IFERROR(VLOOKUP($J991,Grinders!$A:$N,3,FALSE),""))</f>
        <v/>
      </c>
      <c r="M991" s="40" t="str">
        <f>IF($J991="","",IFERROR(VLOOKUP($J991,Grinders!$A:$N,4,FALSE),""))</f>
        <v/>
      </c>
      <c r="N991" s="40" t="str">
        <f>IF($J991="","",IFERROR(VLOOKUP($J991,Grinders!$A:$N,5,FALSE),""))</f>
        <v/>
      </c>
      <c r="O991" s="40" t="str">
        <f t="shared" si="2"/>
        <v/>
      </c>
      <c r="P991" s="40" t="str">
        <f>IF($J991="","",IFERROR(VLOOKUP($J991,Grinders!$A:$N,6,FALSE),""))</f>
        <v/>
      </c>
      <c r="Q991" s="40" t="str">
        <f>IF($J991="","",IFERROR(VLOOKUP($J991,Grinders!$A:$N,8,FALSE),""))</f>
        <v/>
      </c>
      <c r="R991" s="40" t="str">
        <f>IFERROR(IF($J991="","",IF($L991="Elite",MAX(50,MIN(100,Config!$B$27*MAX(0,MIN(100,(1-IF($O991="",0,$O991))*100)) + Config!$B$28*MAX(0,MIN(100,(1-MIN(1,IF(Config!$B$30=0,1,$P991/Config!$B$30)))*100)) + Config!$B$29*MAX(0,MIN(100,MIN(1,IF($Q991="",0,$Q991)/Config!$B$23)*100)))),MIN(100,Config!$B$27*MAX(0,MIN(100,(1-IF($O991="",0,$O991))*100)) + Config!$B$28*MAX(0,MIN(100,(1-MIN(1,IF(Config!$B$30=0,1,$P991/Config!$B$30)))*100)) + Config!$B$29*MAX(0,MIN(100,MIN(1,IF($Q991="",0,$Q991)/Config!$B$23)*100))))),"")
</f>
        <v/>
      </c>
      <c r="S991" s="40" t="str">
        <f>IF(Bids!$D991="","",Bids!$D991)</f>
        <v/>
      </c>
      <c r="T991" s="40" t="str">
        <f>IF(Bids!$F991="","",Bids!$F991)</f>
        <v/>
      </c>
      <c r="U991" s="40" t="str">
        <f t="shared" si="3"/>
        <v/>
      </c>
      <c r="V991" s="40" t="str">
        <f>IF($U991="","",IF(Config!$B$17=Config!$B$16,IF($U991&gt;=Config!$B$17,100,0),MAX(0,MIN(100,($U991-Config!$B$16)/(Config!$B$17-Config!$B$16)*100))))</f>
        <v/>
      </c>
      <c r="W991" s="40">
        <f>IF($L991="Elite",Config!$B$21,0)</f>
        <v>0</v>
      </c>
      <c r="X991" s="40" t="str">
        <f>IFERROR(IF(OR($T991="",$G991=""),"",IF($T991&gt;$G991,
  MAX(0, 60-(($T991-$G991)*24/Config!$B$19)*60),
  MEDIAN(60, 100, 60+(($G991-$T991)*24/Config!$B$20)*40)
)),"")
</f>
        <v/>
      </c>
      <c r="Y991" s="40" t="str">
        <f>IF($J991="","",IFERROR(VLOOKUP($J991,Grinders!$A:$N,10,FALSE),""))</f>
        <v/>
      </c>
      <c r="Z991" s="40" t="str">
        <f>IF($J991="","",IFERROR(VLOOKUP($J991,Grinders!$A:$N,11,FALSE),""))</f>
        <v/>
      </c>
      <c r="AA991" s="40" t="str">
        <f>IF($J991="","",IFERROR(VLOOKUP($J991,Grinders!$A:$N,12,FALSE),""))</f>
        <v/>
      </c>
      <c r="AB991" s="40">
        <f>IFERROR(IF(OR($C991="",$J991=""),0,IF($D991&lt;&gt;"Open",0,IF(COUNTIFS(GrinderServices!$B:$B,$J991,GrinderServices!$C:$C,$E991,GrinderServices!$E:$E,"Y")=0,0,IF($U991&lt;Config!$B$16,0,IF(Config!$B$18=1,IF($N991&gt;=$M991,0,1),1))))),"")</f>
        <v>0</v>
      </c>
      <c r="AC991" s="40" t="str">
        <f>IFERROR(IF($AB991=0,"",((Config!$B$6*$V991 + Config!$B$7*$R991 + Config!$B$8*$W991 + Config!$B$9*$X991 + Config!$B$10*$Y991 + Config!$B$11*$Z991 - Config!$B$12*$AA991)/Config!$B$13)+$AH991+$AI991),"")</f>
        <v/>
      </c>
      <c r="AD991" s="40" t="str">
        <f t="shared" si="4"/>
        <v/>
      </c>
      <c r="AE991" s="40" t="str">
        <f>IFERROR(__xludf.DUMMYFUNCTION("IF($AC991="""","""",IF($AC991=IFERROR(MAX(FILTER($AC$6:$AC$1000,$C$6:$C$1000=$C991,$AB$6:$AB$1000=1)),),""WINNER"",""""))"),"")</f>
        <v/>
      </c>
      <c r="AF991" s="40" t="str">
        <f t="shared" si="5"/>
        <v/>
      </c>
      <c r="AG991" s="40" t="str">
        <f>IF($J991="","",COUNTIF(Assignments!$B:$B,$J991))</f>
        <v/>
      </c>
      <c r="AH991" s="40" t="str">
        <f>IF($J991="","",IF(AND($AG991=0,$N991&lt;$M991),Config!$B$43,0))</f>
        <v/>
      </c>
      <c r="AI991" s="40" t="str">
        <f>IF($J991="","",IF(AND($L991="Elite",$F991&gt;=Config!$B$41,$N991&lt;$M991),Config!$B$42,0))</f>
        <v/>
      </c>
      <c r="AJ991" s="22"/>
    </row>
    <row r="992" ht="15.75" customHeight="1">
      <c r="A992" s="40" t="str">
        <f t="shared" si="1"/>
        <v/>
      </c>
      <c r="B992" s="40" t="str">
        <f>IF(Bids!$A992="","",Bids!$A992)</f>
        <v/>
      </c>
      <c r="C992" s="40" t="str">
        <f>IF(Bids!$B992="","",Bids!$B992)</f>
        <v/>
      </c>
      <c r="D992" s="40" t="str">
        <f>IF($C992="","",IFERROR(VLOOKUP($C992,Orders!$A:$J,9,FALSE),""))</f>
        <v/>
      </c>
      <c r="E992" s="40" t="str">
        <f>IF($C992="","",IFERROR(VLOOKUP($C992,Orders!$A:$J,3,FALSE),""))</f>
        <v/>
      </c>
      <c r="F992" s="40" t="str">
        <f>IF($C992="","",IFERROR(VLOOKUP($C992,Orders!$A:$J,4,FALSE),""))</f>
        <v/>
      </c>
      <c r="G992" s="40" t="str">
        <f>IF($C992="","",IFERROR(VLOOKUP($C992,Orders!$A:$J,5,FALSE),""))</f>
        <v/>
      </c>
      <c r="H992" s="40" t="str">
        <f>IF($C992="","",IFERROR(VLOOKUP($C992,Orders!$A:$J,6,FALSE),""))</f>
        <v/>
      </c>
      <c r="I992" s="40" t="str">
        <f>IF($C992="","",IFERROR(VLOOKUP($C992,Orders!$A:$J,7,FALSE),""))</f>
        <v/>
      </c>
      <c r="J992" s="40" t="str">
        <f>IF(Bids!$C992="","",Bids!$C992)</f>
        <v/>
      </c>
      <c r="K992" s="40" t="str">
        <f>IF($J992="","",IFERROR(VLOOKUP($J992,Grinders!$A:$N,2,FALSE),""))</f>
        <v/>
      </c>
      <c r="L992" s="40" t="str">
        <f>IF($J992="","",IFERROR(VLOOKUP($J992,Grinders!$A:$N,3,FALSE),""))</f>
        <v/>
      </c>
      <c r="M992" s="40" t="str">
        <f>IF($J992="","",IFERROR(VLOOKUP($J992,Grinders!$A:$N,4,FALSE),""))</f>
        <v/>
      </c>
      <c r="N992" s="40" t="str">
        <f>IF($J992="","",IFERROR(VLOOKUP($J992,Grinders!$A:$N,5,FALSE),""))</f>
        <v/>
      </c>
      <c r="O992" s="40" t="str">
        <f t="shared" si="2"/>
        <v/>
      </c>
      <c r="P992" s="40" t="str">
        <f>IF($J992="","",IFERROR(VLOOKUP($J992,Grinders!$A:$N,6,FALSE),""))</f>
        <v/>
      </c>
      <c r="Q992" s="40" t="str">
        <f>IF($J992="","",IFERROR(VLOOKUP($J992,Grinders!$A:$N,8,FALSE),""))</f>
        <v/>
      </c>
      <c r="R992" s="40" t="str">
        <f>IFERROR(IF($J992="","",IF($L992="Elite",MAX(50,MIN(100,Config!$B$27*MAX(0,MIN(100,(1-IF($O992="",0,$O992))*100)) + Config!$B$28*MAX(0,MIN(100,(1-MIN(1,IF(Config!$B$30=0,1,$P992/Config!$B$30)))*100)) + Config!$B$29*MAX(0,MIN(100,MIN(1,IF($Q992="",0,$Q992)/Config!$B$23)*100)))),MIN(100,Config!$B$27*MAX(0,MIN(100,(1-IF($O992="",0,$O992))*100)) + Config!$B$28*MAX(0,MIN(100,(1-MIN(1,IF(Config!$B$30=0,1,$P992/Config!$B$30)))*100)) + Config!$B$29*MAX(0,MIN(100,MIN(1,IF($Q992="",0,$Q992)/Config!$B$23)*100))))),"")
</f>
        <v/>
      </c>
      <c r="S992" s="40" t="str">
        <f>IF(Bids!$D992="","",Bids!$D992)</f>
        <v/>
      </c>
      <c r="T992" s="40" t="str">
        <f>IF(Bids!$F992="","",Bids!$F992)</f>
        <v/>
      </c>
      <c r="U992" s="40" t="str">
        <f t="shared" si="3"/>
        <v/>
      </c>
      <c r="V992" s="40" t="str">
        <f>IF($U992="","",IF(Config!$B$17=Config!$B$16,IF($U992&gt;=Config!$B$17,100,0),MAX(0,MIN(100,($U992-Config!$B$16)/(Config!$B$17-Config!$B$16)*100))))</f>
        <v/>
      </c>
      <c r="W992" s="40">
        <f>IF($L992="Elite",Config!$B$21,0)</f>
        <v>0</v>
      </c>
      <c r="X992" s="40" t="str">
        <f>IFERROR(IF(OR($T992="",$G992=""),"",IF($T992&gt;$G992,
  MAX(0, 60-(($T992-$G992)*24/Config!$B$19)*60),
  MEDIAN(60, 100, 60+(($G992-$T992)*24/Config!$B$20)*40)
)),"")
</f>
        <v/>
      </c>
      <c r="Y992" s="40" t="str">
        <f>IF($J992="","",IFERROR(VLOOKUP($J992,Grinders!$A:$N,10,FALSE),""))</f>
        <v/>
      </c>
      <c r="Z992" s="40" t="str">
        <f>IF($J992="","",IFERROR(VLOOKUP($J992,Grinders!$A:$N,11,FALSE),""))</f>
        <v/>
      </c>
      <c r="AA992" s="40" t="str">
        <f>IF($J992="","",IFERROR(VLOOKUP($J992,Grinders!$A:$N,12,FALSE),""))</f>
        <v/>
      </c>
      <c r="AB992" s="40">
        <f>IFERROR(IF(OR($C992="",$J992=""),0,IF($D992&lt;&gt;"Open",0,IF(COUNTIFS(GrinderServices!$B:$B,$J992,GrinderServices!$C:$C,$E992,GrinderServices!$E:$E,"Y")=0,0,IF($U992&lt;Config!$B$16,0,IF(Config!$B$18=1,IF($N992&gt;=$M992,0,1),1))))),"")</f>
        <v>0</v>
      </c>
      <c r="AC992" s="40" t="str">
        <f>IFERROR(IF($AB992=0,"",((Config!$B$6*$V992 + Config!$B$7*$R992 + Config!$B$8*$W992 + Config!$B$9*$X992 + Config!$B$10*$Y992 + Config!$B$11*$Z992 - Config!$B$12*$AA992)/Config!$B$13)+$AH992+$AI992),"")</f>
        <v/>
      </c>
      <c r="AD992" s="40" t="str">
        <f t="shared" si="4"/>
        <v/>
      </c>
      <c r="AE992" s="40" t="str">
        <f>IFERROR(__xludf.DUMMYFUNCTION("IF($AC992="""","""",IF($AC992=IFERROR(MAX(FILTER($AC$6:$AC$1000,$C$6:$C$1000=$C992,$AB$6:$AB$1000=1)),),""WINNER"",""""))"),"")</f>
        <v/>
      </c>
      <c r="AF992" s="40" t="str">
        <f t="shared" si="5"/>
        <v/>
      </c>
      <c r="AG992" s="40" t="str">
        <f>IF($J992="","",COUNTIF(Assignments!$B:$B,$J992))</f>
        <v/>
      </c>
      <c r="AH992" s="40" t="str">
        <f>IF($J992="","",IF(AND($AG992=0,$N992&lt;$M992),Config!$B$43,0))</f>
        <v/>
      </c>
      <c r="AI992" s="40" t="str">
        <f>IF($J992="","",IF(AND($L992="Elite",$F992&gt;=Config!$B$41,$N992&lt;$M992),Config!$B$42,0))</f>
        <v/>
      </c>
      <c r="AJ992" s="22"/>
    </row>
    <row r="993" ht="15.75" customHeight="1">
      <c r="A993" s="40" t="str">
        <f t="shared" si="1"/>
        <v/>
      </c>
      <c r="B993" s="40" t="str">
        <f>IF(Bids!$A993="","",Bids!$A993)</f>
        <v/>
      </c>
      <c r="C993" s="40" t="str">
        <f>IF(Bids!$B993="","",Bids!$B993)</f>
        <v/>
      </c>
      <c r="D993" s="40" t="str">
        <f>IF($C993="","",IFERROR(VLOOKUP($C993,Orders!$A:$J,9,FALSE),""))</f>
        <v/>
      </c>
      <c r="E993" s="40" t="str">
        <f>IF($C993="","",IFERROR(VLOOKUP($C993,Orders!$A:$J,3,FALSE),""))</f>
        <v/>
      </c>
      <c r="F993" s="40" t="str">
        <f>IF($C993="","",IFERROR(VLOOKUP($C993,Orders!$A:$J,4,FALSE),""))</f>
        <v/>
      </c>
      <c r="G993" s="40" t="str">
        <f>IF($C993="","",IFERROR(VLOOKUP($C993,Orders!$A:$J,5,FALSE),""))</f>
        <v/>
      </c>
      <c r="H993" s="40" t="str">
        <f>IF($C993="","",IFERROR(VLOOKUP($C993,Orders!$A:$J,6,FALSE),""))</f>
        <v/>
      </c>
      <c r="I993" s="40" t="str">
        <f>IF($C993="","",IFERROR(VLOOKUP($C993,Orders!$A:$J,7,FALSE),""))</f>
        <v/>
      </c>
      <c r="J993" s="40" t="str">
        <f>IF(Bids!$C993="","",Bids!$C993)</f>
        <v/>
      </c>
      <c r="K993" s="40" t="str">
        <f>IF($J993="","",IFERROR(VLOOKUP($J993,Grinders!$A:$N,2,FALSE),""))</f>
        <v/>
      </c>
      <c r="L993" s="40" t="str">
        <f>IF($J993="","",IFERROR(VLOOKUP($J993,Grinders!$A:$N,3,FALSE),""))</f>
        <v/>
      </c>
      <c r="M993" s="40" t="str">
        <f>IF($J993="","",IFERROR(VLOOKUP($J993,Grinders!$A:$N,4,FALSE),""))</f>
        <v/>
      </c>
      <c r="N993" s="40" t="str">
        <f>IF($J993="","",IFERROR(VLOOKUP($J993,Grinders!$A:$N,5,FALSE),""))</f>
        <v/>
      </c>
      <c r="O993" s="40" t="str">
        <f t="shared" si="2"/>
        <v/>
      </c>
      <c r="P993" s="40" t="str">
        <f>IF($J993="","",IFERROR(VLOOKUP($J993,Grinders!$A:$N,6,FALSE),""))</f>
        <v/>
      </c>
      <c r="Q993" s="40" t="str">
        <f>IF($J993="","",IFERROR(VLOOKUP($J993,Grinders!$A:$N,8,FALSE),""))</f>
        <v/>
      </c>
      <c r="R993" s="40" t="str">
        <f>IFERROR(IF($J993="","",IF($L993="Elite",MAX(50,MIN(100,Config!$B$27*MAX(0,MIN(100,(1-IF($O993="",0,$O993))*100)) + Config!$B$28*MAX(0,MIN(100,(1-MIN(1,IF(Config!$B$30=0,1,$P993/Config!$B$30)))*100)) + Config!$B$29*MAX(0,MIN(100,MIN(1,IF($Q993="",0,$Q993)/Config!$B$23)*100)))),MIN(100,Config!$B$27*MAX(0,MIN(100,(1-IF($O993="",0,$O993))*100)) + Config!$B$28*MAX(0,MIN(100,(1-MIN(1,IF(Config!$B$30=0,1,$P993/Config!$B$30)))*100)) + Config!$B$29*MAX(0,MIN(100,MIN(1,IF($Q993="",0,$Q993)/Config!$B$23)*100))))),"")
</f>
        <v/>
      </c>
      <c r="S993" s="40" t="str">
        <f>IF(Bids!$D993="","",Bids!$D993)</f>
        <v/>
      </c>
      <c r="T993" s="40" t="str">
        <f>IF(Bids!$F993="","",Bids!$F993)</f>
        <v/>
      </c>
      <c r="U993" s="40" t="str">
        <f t="shared" si="3"/>
        <v/>
      </c>
      <c r="V993" s="40" t="str">
        <f>IF($U993="","",IF(Config!$B$17=Config!$B$16,IF($U993&gt;=Config!$B$17,100,0),MAX(0,MIN(100,($U993-Config!$B$16)/(Config!$B$17-Config!$B$16)*100))))</f>
        <v/>
      </c>
      <c r="W993" s="40">
        <f>IF($L993="Elite",Config!$B$21,0)</f>
        <v>0</v>
      </c>
      <c r="X993" s="40" t="str">
        <f>IFERROR(IF(OR($T993="",$G993=""),"",IF($T993&gt;$G993,
  MAX(0, 60-(($T993-$G993)*24/Config!$B$19)*60),
  MEDIAN(60, 100, 60+(($G993-$T993)*24/Config!$B$20)*40)
)),"")
</f>
        <v/>
      </c>
      <c r="Y993" s="40" t="str">
        <f>IF($J993="","",IFERROR(VLOOKUP($J993,Grinders!$A:$N,10,FALSE),""))</f>
        <v/>
      </c>
      <c r="Z993" s="40" t="str">
        <f>IF($J993="","",IFERROR(VLOOKUP($J993,Grinders!$A:$N,11,FALSE),""))</f>
        <v/>
      </c>
      <c r="AA993" s="40" t="str">
        <f>IF($J993="","",IFERROR(VLOOKUP($J993,Grinders!$A:$N,12,FALSE),""))</f>
        <v/>
      </c>
      <c r="AB993" s="40">
        <f>IFERROR(IF(OR($C993="",$J993=""),0,IF($D993&lt;&gt;"Open",0,IF(COUNTIFS(GrinderServices!$B:$B,$J993,GrinderServices!$C:$C,$E993,GrinderServices!$E:$E,"Y")=0,0,IF($U993&lt;Config!$B$16,0,IF(Config!$B$18=1,IF($N993&gt;=$M993,0,1),1))))),"")</f>
        <v>0</v>
      </c>
      <c r="AC993" s="40" t="str">
        <f>IFERROR(IF($AB993=0,"",((Config!$B$6*$V993 + Config!$B$7*$R993 + Config!$B$8*$W993 + Config!$B$9*$X993 + Config!$B$10*$Y993 + Config!$B$11*$Z993 - Config!$B$12*$AA993)/Config!$B$13)+$AH993+$AI993),"")</f>
        <v/>
      </c>
      <c r="AD993" s="40" t="str">
        <f t="shared" si="4"/>
        <v/>
      </c>
      <c r="AE993" s="40" t="str">
        <f>IFERROR(__xludf.DUMMYFUNCTION("IF($AC993="""","""",IF($AC993=IFERROR(MAX(FILTER($AC$6:$AC$1000,$C$6:$C$1000=$C993,$AB$6:$AB$1000=1)),),""WINNER"",""""))"),"")</f>
        <v/>
      </c>
      <c r="AF993" s="40" t="str">
        <f t="shared" si="5"/>
        <v/>
      </c>
      <c r="AG993" s="40" t="str">
        <f>IF($J993="","",COUNTIF(Assignments!$B:$B,$J993))</f>
        <v/>
      </c>
      <c r="AH993" s="40" t="str">
        <f>IF($J993="","",IF(AND($AG993=0,$N993&lt;$M993),Config!$B$43,0))</f>
        <v/>
      </c>
      <c r="AI993" s="40" t="str">
        <f>IF($J993="","",IF(AND($L993="Elite",$F993&gt;=Config!$B$41,$N993&lt;$M993),Config!$B$42,0))</f>
        <v/>
      </c>
      <c r="AJ993" s="22"/>
    </row>
    <row r="994" ht="15.75" customHeight="1">
      <c r="A994" s="40" t="str">
        <f t="shared" si="1"/>
        <v/>
      </c>
      <c r="B994" s="40" t="str">
        <f>IF(Bids!$A994="","",Bids!$A994)</f>
        <v/>
      </c>
      <c r="C994" s="40" t="str">
        <f>IF(Bids!$B994="","",Bids!$B994)</f>
        <v/>
      </c>
      <c r="D994" s="40" t="str">
        <f>IF($C994="","",IFERROR(VLOOKUP($C994,Orders!$A:$J,9,FALSE),""))</f>
        <v/>
      </c>
      <c r="E994" s="40" t="str">
        <f>IF($C994="","",IFERROR(VLOOKUP($C994,Orders!$A:$J,3,FALSE),""))</f>
        <v/>
      </c>
      <c r="F994" s="40" t="str">
        <f>IF($C994="","",IFERROR(VLOOKUP($C994,Orders!$A:$J,4,FALSE),""))</f>
        <v/>
      </c>
      <c r="G994" s="40" t="str">
        <f>IF($C994="","",IFERROR(VLOOKUP($C994,Orders!$A:$J,5,FALSE),""))</f>
        <v/>
      </c>
      <c r="H994" s="40" t="str">
        <f>IF($C994="","",IFERROR(VLOOKUP($C994,Orders!$A:$J,6,FALSE),""))</f>
        <v/>
      </c>
      <c r="I994" s="40" t="str">
        <f>IF($C994="","",IFERROR(VLOOKUP($C994,Orders!$A:$J,7,FALSE),""))</f>
        <v/>
      </c>
      <c r="J994" s="40" t="str">
        <f>IF(Bids!$C994="","",Bids!$C994)</f>
        <v/>
      </c>
      <c r="K994" s="40" t="str">
        <f>IF($J994="","",IFERROR(VLOOKUP($J994,Grinders!$A:$N,2,FALSE),""))</f>
        <v/>
      </c>
      <c r="L994" s="40" t="str">
        <f>IF($J994="","",IFERROR(VLOOKUP($J994,Grinders!$A:$N,3,FALSE),""))</f>
        <v/>
      </c>
      <c r="M994" s="40" t="str">
        <f>IF($J994="","",IFERROR(VLOOKUP($J994,Grinders!$A:$N,4,FALSE),""))</f>
        <v/>
      </c>
      <c r="N994" s="40" t="str">
        <f>IF($J994="","",IFERROR(VLOOKUP($J994,Grinders!$A:$N,5,FALSE),""))</f>
        <v/>
      </c>
      <c r="O994" s="40" t="str">
        <f t="shared" si="2"/>
        <v/>
      </c>
      <c r="P994" s="40" t="str">
        <f>IF($J994="","",IFERROR(VLOOKUP($J994,Grinders!$A:$N,6,FALSE),""))</f>
        <v/>
      </c>
      <c r="Q994" s="40" t="str">
        <f>IF($J994="","",IFERROR(VLOOKUP($J994,Grinders!$A:$N,8,FALSE),""))</f>
        <v/>
      </c>
      <c r="R994" s="40" t="str">
        <f>IFERROR(IF($J994="","",IF($L994="Elite",MAX(50,MIN(100,Config!$B$27*MAX(0,MIN(100,(1-IF($O994="",0,$O994))*100)) + Config!$B$28*MAX(0,MIN(100,(1-MIN(1,IF(Config!$B$30=0,1,$P994/Config!$B$30)))*100)) + Config!$B$29*MAX(0,MIN(100,MIN(1,IF($Q994="",0,$Q994)/Config!$B$23)*100)))),MIN(100,Config!$B$27*MAX(0,MIN(100,(1-IF($O994="",0,$O994))*100)) + Config!$B$28*MAX(0,MIN(100,(1-MIN(1,IF(Config!$B$30=0,1,$P994/Config!$B$30)))*100)) + Config!$B$29*MAX(0,MIN(100,MIN(1,IF($Q994="",0,$Q994)/Config!$B$23)*100))))),"")
</f>
        <v/>
      </c>
      <c r="S994" s="40" t="str">
        <f>IF(Bids!$D994="","",Bids!$D994)</f>
        <v/>
      </c>
      <c r="T994" s="40" t="str">
        <f>IF(Bids!$F994="","",Bids!$F994)</f>
        <v/>
      </c>
      <c r="U994" s="40" t="str">
        <f t="shared" si="3"/>
        <v/>
      </c>
      <c r="V994" s="40" t="str">
        <f>IF($U994="","",IF(Config!$B$17=Config!$B$16,IF($U994&gt;=Config!$B$17,100,0),MAX(0,MIN(100,($U994-Config!$B$16)/(Config!$B$17-Config!$B$16)*100))))</f>
        <v/>
      </c>
      <c r="W994" s="40">
        <f>IF($L994="Elite",Config!$B$21,0)</f>
        <v>0</v>
      </c>
      <c r="X994" s="40" t="str">
        <f>IFERROR(IF(OR($T994="",$G994=""),"",IF($T994&gt;$G994,
  MAX(0, 60-(($T994-$G994)*24/Config!$B$19)*60),
  MEDIAN(60, 100, 60+(($G994-$T994)*24/Config!$B$20)*40)
)),"")
</f>
        <v/>
      </c>
      <c r="Y994" s="40" t="str">
        <f>IF($J994="","",IFERROR(VLOOKUP($J994,Grinders!$A:$N,10,FALSE),""))</f>
        <v/>
      </c>
      <c r="Z994" s="40" t="str">
        <f>IF($J994="","",IFERROR(VLOOKUP($J994,Grinders!$A:$N,11,FALSE),""))</f>
        <v/>
      </c>
      <c r="AA994" s="40" t="str">
        <f>IF($J994="","",IFERROR(VLOOKUP($J994,Grinders!$A:$N,12,FALSE),""))</f>
        <v/>
      </c>
      <c r="AB994" s="40">
        <f>IFERROR(IF(OR($C994="",$J994=""),0,IF($D994&lt;&gt;"Open",0,IF(COUNTIFS(GrinderServices!$B:$B,$J994,GrinderServices!$C:$C,$E994,GrinderServices!$E:$E,"Y")=0,0,IF($U994&lt;Config!$B$16,0,IF(Config!$B$18=1,IF($N994&gt;=$M994,0,1),1))))),"")</f>
        <v>0</v>
      </c>
      <c r="AC994" s="40" t="str">
        <f>IFERROR(IF($AB994=0,"",((Config!$B$6*$V994 + Config!$B$7*$R994 + Config!$B$8*$W994 + Config!$B$9*$X994 + Config!$B$10*$Y994 + Config!$B$11*$Z994 - Config!$B$12*$AA994)/Config!$B$13)+$AH994+$AI994),"")</f>
        <v/>
      </c>
      <c r="AD994" s="40" t="str">
        <f t="shared" si="4"/>
        <v/>
      </c>
      <c r="AE994" s="40" t="str">
        <f>IFERROR(__xludf.DUMMYFUNCTION("IF($AC994="""","""",IF($AC994=IFERROR(MAX(FILTER($AC$6:$AC$1000,$C$6:$C$1000=$C994,$AB$6:$AB$1000=1)),),""WINNER"",""""))"),"")</f>
        <v/>
      </c>
      <c r="AF994" s="40" t="str">
        <f t="shared" si="5"/>
        <v/>
      </c>
      <c r="AG994" s="40" t="str">
        <f>IF($J994="","",COUNTIF(Assignments!$B:$B,$J994))</f>
        <v/>
      </c>
      <c r="AH994" s="40" t="str">
        <f>IF($J994="","",IF(AND($AG994=0,$N994&lt;$M994),Config!$B$43,0))</f>
        <v/>
      </c>
      <c r="AI994" s="40" t="str">
        <f>IF($J994="","",IF(AND($L994="Elite",$F994&gt;=Config!$B$41,$N994&lt;$M994),Config!$B$42,0))</f>
        <v/>
      </c>
      <c r="AJ994" s="22"/>
    </row>
    <row r="995" ht="15.75" customHeight="1">
      <c r="A995" s="40" t="str">
        <f t="shared" si="1"/>
        <v/>
      </c>
      <c r="B995" s="40" t="str">
        <f>IF(Bids!$A995="","",Bids!$A995)</f>
        <v/>
      </c>
      <c r="C995" s="40" t="str">
        <f>IF(Bids!$B995="","",Bids!$B995)</f>
        <v/>
      </c>
      <c r="D995" s="40" t="str">
        <f>IF($C995="","",IFERROR(VLOOKUP($C995,Orders!$A:$J,9,FALSE),""))</f>
        <v/>
      </c>
      <c r="E995" s="40" t="str">
        <f>IF($C995="","",IFERROR(VLOOKUP($C995,Orders!$A:$J,3,FALSE),""))</f>
        <v/>
      </c>
      <c r="F995" s="40" t="str">
        <f>IF($C995="","",IFERROR(VLOOKUP($C995,Orders!$A:$J,4,FALSE),""))</f>
        <v/>
      </c>
      <c r="G995" s="40" t="str">
        <f>IF($C995="","",IFERROR(VLOOKUP($C995,Orders!$A:$J,5,FALSE),""))</f>
        <v/>
      </c>
      <c r="H995" s="40" t="str">
        <f>IF($C995="","",IFERROR(VLOOKUP($C995,Orders!$A:$J,6,FALSE),""))</f>
        <v/>
      </c>
      <c r="I995" s="40" t="str">
        <f>IF($C995="","",IFERROR(VLOOKUP($C995,Orders!$A:$J,7,FALSE),""))</f>
        <v/>
      </c>
      <c r="J995" s="40" t="str">
        <f>IF(Bids!$C995="","",Bids!$C995)</f>
        <v/>
      </c>
      <c r="K995" s="40" t="str">
        <f>IF($J995="","",IFERROR(VLOOKUP($J995,Grinders!$A:$N,2,FALSE),""))</f>
        <v/>
      </c>
      <c r="L995" s="40" t="str">
        <f>IF($J995="","",IFERROR(VLOOKUP($J995,Grinders!$A:$N,3,FALSE),""))</f>
        <v/>
      </c>
      <c r="M995" s="40" t="str">
        <f>IF($J995="","",IFERROR(VLOOKUP($J995,Grinders!$A:$N,4,FALSE),""))</f>
        <v/>
      </c>
      <c r="N995" s="40" t="str">
        <f>IF($J995="","",IFERROR(VLOOKUP($J995,Grinders!$A:$N,5,FALSE),""))</f>
        <v/>
      </c>
      <c r="O995" s="40" t="str">
        <f t="shared" si="2"/>
        <v/>
      </c>
      <c r="P995" s="40" t="str">
        <f>IF($J995="","",IFERROR(VLOOKUP($J995,Grinders!$A:$N,6,FALSE),""))</f>
        <v/>
      </c>
      <c r="Q995" s="40" t="str">
        <f>IF($J995="","",IFERROR(VLOOKUP($J995,Grinders!$A:$N,8,FALSE),""))</f>
        <v/>
      </c>
      <c r="R995" s="40" t="str">
        <f>IFERROR(IF($J995="","",IF($L995="Elite",MAX(50,MIN(100,Config!$B$27*MAX(0,MIN(100,(1-IF($O995="",0,$O995))*100)) + Config!$B$28*MAX(0,MIN(100,(1-MIN(1,IF(Config!$B$30=0,1,$P995/Config!$B$30)))*100)) + Config!$B$29*MAX(0,MIN(100,MIN(1,IF($Q995="",0,$Q995)/Config!$B$23)*100)))),MIN(100,Config!$B$27*MAX(0,MIN(100,(1-IF($O995="",0,$O995))*100)) + Config!$B$28*MAX(0,MIN(100,(1-MIN(1,IF(Config!$B$30=0,1,$P995/Config!$B$30)))*100)) + Config!$B$29*MAX(0,MIN(100,MIN(1,IF($Q995="",0,$Q995)/Config!$B$23)*100))))),"")
</f>
        <v/>
      </c>
      <c r="S995" s="40" t="str">
        <f>IF(Bids!$D995="","",Bids!$D995)</f>
        <v/>
      </c>
      <c r="T995" s="40" t="str">
        <f>IF(Bids!$F995="","",Bids!$F995)</f>
        <v/>
      </c>
      <c r="U995" s="40" t="str">
        <f t="shared" si="3"/>
        <v/>
      </c>
      <c r="V995" s="40" t="str">
        <f>IF($U995="","",IF(Config!$B$17=Config!$B$16,IF($U995&gt;=Config!$B$17,100,0),MAX(0,MIN(100,($U995-Config!$B$16)/(Config!$B$17-Config!$B$16)*100))))</f>
        <v/>
      </c>
      <c r="W995" s="40">
        <f>IF($L995="Elite",Config!$B$21,0)</f>
        <v>0</v>
      </c>
      <c r="X995" s="40" t="str">
        <f>IFERROR(IF(OR($T995="",$G995=""),"",IF($T995&gt;$G995,
  MAX(0, 60-(($T995-$G995)*24/Config!$B$19)*60),
  MEDIAN(60, 100, 60+(($G995-$T995)*24/Config!$B$20)*40)
)),"")
</f>
        <v/>
      </c>
      <c r="Y995" s="40" t="str">
        <f>IF($J995="","",IFERROR(VLOOKUP($J995,Grinders!$A:$N,10,FALSE),""))</f>
        <v/>
      </c>
      <c r="Z995" s="40" t="str">
        <f>IF($J995="","",IFERROR(VLOOKUP($J995,Grinders!$A:$N,11,FALSE),""))</f>
        <v/>
      </c>
      <c r="AA995" s="40" t="str">
        <f>IF($J995="","",IFERROR(VLOOKUP($J995,Grinders!$A:$N,12,FALSE),""))</f>
        <v/>
      </c>
      <c r="AB995" s="40">
        <f>IFERROR(IF(OR($C995="",$J995=""),0,IF($D995&lt;&gt;"Open",0,IF(COUNTIFS(GrinderServices!$B:$B,$J995,GrinderServices!$C:$C,$E995,GrinderServices!$E:$E,"Y")=0,0,IF($U995&lt;Config!$B$16,0,IF(Config!$B$18=1,IF($N995&gt;=$M995,0,1),1))))),"")</f>
        <v>0</v>
      </c>
      <c r="AC995" s="40" t="str">
        <f>IFERROR(IF($AB995=0,"",((Config!$B$6*$V995 + Config!$B$7*$R995 + Config!$B$8*$W995 + Config!$B$9*$X995 + Config!$B$10*$Y995 + Config!$B$11*$Z995 - Config!$B$12*$AA995)/Config!$B$13)+$AH995+$AI995),"")</f>
        <v/>
      </c>
      <c r="AD995" s="40" t="str">
        <f t="shared" si="4"/>
        <v/>
      </c>
      <c r="AE995" s="40" t="str">
        <f>IFERROR(__xludf.DUMMYFUNCTION("IF($AC995="""","""",IF($AC995=IFERROR(MAX(FILTER($AC$6:$AC$1000,$C$6:$C$1000=$C995,$AB$6:$AB$1000=1)),),""WINNER"",""""))"),"")</f>
        <v/>
      </c>
      <c r="AF995" s="40" t="str">
        <f t="shared" si="5"/>
        <v/>
      </c>
      <c r="AG995" s="40" t="str">
        <f>IF($J995="","",COUNTIF(Assignments!$B:$B,$J995))</f>
        <v/>
      </c>
      <c r="AH995" s="40" t="str">
        <f>IF($J995="","",IF(AND($AG995=0,$N995&lt;$M995),Config!$B$43,0))</f>
        <v/>
      </c>
      <c r="AI995" s="40" t="str">
        <f>IF($J995="","",IF(AND($L995="Elite",$F995&gt;=Config!$B$41,$N995&lt;$M995),Config!$B$42,0))</f>
        <v/>
      </c>
      <c r="AJ995" s="22"/>
    </row>
    <row r="996" ht="15.75" customHeight="1">
      <c r="A996" s="40" t="str">
        <f t="shared" si="1"/>
        <v/>
      </c>
      <c r="B996" s="40" t="str">
        <f>IF(Bids!$A996="","",Bids!$A996)</f>
        <v/>
      </c>
      <c r="C996" s="40" t="str">
        <f>IF(Bids!$B996="","",Bids!$B996)</f>
        <v/>
      </c>
      <c r="D996" s="40" t="str">
        <f>IF($C996="","",IFERROR(VLOOKUP($C996,Orders!$A:$J,9,FALSE),""))</f>
        <v/>
      </c>
      <c r="E996" s="40" t="str">
        <f>IF($C996="","",IFERROR(VLOOKUP($C996,Orders!$A:$J,3,FALSE),""))</f>
        <v/>
      </c>
      <c r="F996" s="40" t="str">
        <f>IF($C996="","",IFERROR(VLOOKUP($C996,Orders!$A:$J,4,FALSE),""))</f>
        <v/>
      </c>
      <c r="G996" s="40" t="str">
        <f>IF($C996="","",IFERROR(VLOOKUP($C996,Orders!$A:$J,5,FALSE),""))</f>
        <v/>
      </c>
      <c r="H996" s="40" t="str">
        <f>IF($C996="","",IFERROR(VLOOKUP($C996,Orders!$A:$J,6,FALSE),""))</f>
        <v/>
      </c>
      <c r="I996" s="40" t="str">
        <f>IF($C996="","",IFERROR(VLOOKUP($C996,Orders!$A:$J,7,FALSE),""))</f>
        <v/>
      </c>
      <c r="J996" s="40" t="str">
        <f>IF(Bids!$C996="","",Bids!$C996)</f>
        <v/>
      </c>
      <c r="K996" s="40" t="str">
        <f>IF($J996="","",IFERROR(VLOOKUP($J996,Grinders!$A:$N,2,FALSE),""))</f>
        <v/>
      </c>
      <c r="L996" s="40" t="str">
        <f>IF($J996="","",IFERROR(VLOOKUP($J996,Grinders!$A:$N,3,FALSE),""))</f>
        <v/>
      </c>
      <c r="M996" s="40" t="str">
        <f>IF($J996="","",IFERROR(VLOOKUP($J996,Grinders!$A:$N,4,FALSE),""))</f>
        <v/>
      </c>
      <c r="N996" s="40" t="str">
        <f>IF($J996="","",IFERROR(VLOOKUP($J996,Grinders!$A:$N,5,FALSE),""))</f>
        <v/>
      </c>
      <c r="O996" s="40" t="str">
        <f t="shared" si="2"/>
        <v/>
      </c>
      <c r="P996" s="40" t="str">
        <f>IF($J996="","",IFERROR(VLOOKUP($J996,Grinders!$A:$N,6,FALSE),""))</f>
        <v/>
      </c>
      <c r="Q996" s="40" t="str">
        <f>IF($J996="","",IFERROR(VLOOKUP($J996,Grinders!$A:$N,8,FALSE),""))</f>
        <v/>
      </c>
      <c r="R996" s="40" t="str">
        <f>IFERROR(IF($J996="","",IF($L996="Elite",MAX(50,MIN(100,Config!$B$27*MAX(0,MIN(100,(1-IF($O996="",0,$O996))*100)) + Config!$B$28*MAX(0,MIN(100,(1-MIN(1,IF(Config!$B$30=0,1,$P996/Config!$B$30)))*100)) + Config!$B$29*MAX(0,MIN(100,MIN(1,IF($Q996="",0,$Q996)/Config!$B$23)*100)))),MIN(100,Config!$B$27*MAX(0,MIN(100,(1-IF($O996="",0,$O996))*100)) + Config!$B$28*MAX(0,MIN(100,(1-MIN(1,IF(Config!$B$30=0,1,$P996/Config!$B$30)))*100)) + Config!$B$29*MAX(0,MIN(100,MIN(1,IF($Q996="",0,$Q996)/Config!$B$23)*100))))),"")
</f>
        <v/>
      </c>
      <c r="S996" s="40" t="str">
        <f>IF(Bids!$D996="","",Bids!$D996)</f>
        <v/>
      </c>
      <c r="T996" s="40" t="str">
        <f>IF(Bids!$F996="","",Bids!$F996)</f>
        <v/>
      </c>
      <c r="U996" s="40" t="str">
        <f t="shared" si="3"/>
        <v/>
      </c>
      <c r="V996" s="40" t="str">
        <f>IF($U996="","",IF(Config!$B$17=Config!$B$16,IF($U996&gt;=Config!$B$17,100,0),MAX(0,MIN(100,($U996-Config!$B$16)/(Config!$B$17-Config!$B$16)*100))))</f>
        <v/>
      </c>
      <c r="W996" s="40">
        <f>IF($L996="Elite",Config!$B$21,0)</f>
        <v>0</v>
      </c>
      <c r="X996" s="40" t="str">
        <f>IFERROR(IF(OR($T996="",$G996=""),"",IF($T996&gt;$G996,
  MAX(0, 60-(($T996-$G996)*24/Config!$B$19)*60),
  MEDIAN(60, 100, 60+(($G996-$T996)*24/Config!$B$20)*40)
)),"")
</f>
        <v/>
      </c>
      <c r="Y996" s="40" t="str">
        <f>IF($J996="","",IFERROR(VLOOKUP($J996,Grinders!$A:$N,10,FALSE),""))</f>
        <v/>
      </c>
      <c r="Z996" s="40" t="str">
        <f>IF($J996="","",IFERROR(VLOOKUP($J996,Grinders!$A:$N,11,FALSE),""))</f>
        <v/>
      </c>
      <c r="AA996" s="40" t="str">
        <f>IF($J996="","",IFERROR(VLOOKUP($J996,Grinders!$A:$N,12,FALSE),""))</f>
        <v/>
      </c>
      <c r="AB996" s="40">
        <f>IFERROR(IF(OR($C996="",$J996=""),0,IF($D996&lt;&gt;"Open",0,IF(COUNTIFS(GrinderServices!$B:$B,$J996,GrinderServices!$C:$C,$E996,GrinderServices!$E:$E,"Y")=0,0,IF($U996&lt;Config!$B$16,0,IF(Config!$B$18=1,IF($N996&gt;=$M996,0,1),1))))),"")</f>
        <v>0</v>
      </c>
      <c r="AC996" s="40" t="str">
        <f>IFERROR(IF($AB996=0,"",((Config!$B$6*$V996 + Config!$B$7*$R996 + Config!$B$8*$W996 + Config!$B$9*$X996 + Config!$B$10*$Y996 + Config!$B$11*$Z996 - Config!$B$12*$AA996)/Config!$B$13)+$AH996+$AI996),"")</f>
        <v/>
      </c>
      <c r="AD996" s="40" t="str">
        <f t="shared" si="4"/>
        <v/>
      </c>
      <c r="AE996" s="40" t="str">
        <f>IFERROR(__xludf.DUMMYFUNCTION("IF($AC996="""","""",IF($AC996=IFERROR(MAX(FILTER($AC$6:$AC$1000,$C$6:$C$1000=$C996,$AB$6:$AB$1000=1)),),""WINNER"",""""))"),"")</f>
        <v/>
      </c>
      <c r="AF996" s="40" t="str">
        <f t="shared" si="5"/>
        <v/>
      </c>
      <c r="AG996" s="40" t="str">
        <f>IF($J996="","",COUNTIF(Assignments!$B:$B,$J996))</f>
        <v/>
      </c>
      <c r="AH996" s="40" t="str">
        <f>IF($J996="","",IF(AND($AG996=0,$N996&lt;$M996),Config!$B$43,0))</f>
        <v/>
      </c>
      <c r="AI996" s="40" t="str">
        <f>IF($J996="","",IF(AND($L996="Elite",$F996&gt;=Config!$B$41,$N996&lt;$M996),Config!$B$42,0))</f>
        <v/>
      </c>
      <c r="AJ996" s="22"/>
    </row>
    <row r="997" ht="15.75" customHeight="1">
      <c r="A997" s="40" t="str">
        <f t="shared" si="1"/>
        <v/>
      </c>
      <c r="B997" s="40" t="str">
        <f>IF(Bids!$A997="","",Bids!$A997)</f>
        <v/>
      </c>
      <c r="C997" s="40" t="str">
        <f>IF(Bids!$B997="","",Bids!$B997)</f>
        <v/>
      </c>
      <c r="D997" s="40" t="str">
        <f>IF($C997="","",IFERROR(VLOOKUP($C997,Orders!$A:$J,9,FALSE),""))</f>
        <v/>
      </c>
      <c r="E997" s="40" t="str">
        <f>IF($C997="","",IFERROR(VLOOKUP($C997,Orders!$A:$J,3,FALSE),""))</f>
        <v/>
      </c>
      <c r="F997" s="40" t="str">
        <f>IF($C997="","",IFERROR(VLOOKUP($C997,Orders!$A:$J,4,FALSE),""))</f>
        <v/>
      </c>
      <c r="G997" s="40" t="str">
        <f>IF($C997="","",IFERROR(VLOOKUP($C997,Orders!$A:$J,5,FALSE),""))</f>
        <v/>
      </c>
      <c r="H997" s="40" t="str">
        <f>IF($C997="","",IFERROR(VLOOKUP($C997,Orders!$A:$J,6,FALSE),""))</f>
        <v/>
      </c>
      <c r="I997" s="40" t="str">
        <f>IF($C997="","",IFERROR(VLOOKUP($C997,Orders!$A:$J,7,FALSE),""))</f>
        <v/>
      </c>
      <c r="J997" s="40" t="str">
        <f>IF(Bids!$C997="","",Bids!$C997)</f>
        <v/>
      </c>
      <c r="K997" s="40" t="str">
        <f>IF($J997="","",IFERROR(VLOOKUP($J997,Grinders!$A:$N,2,FALSE),""))</f>
        <v/>
      </c>
      <c r="L997" s="40" t="str">
        <f>IF($J997="","",IFERROR(VLOOKUP($J997,Grinders!$A:$N,3,FALSE),""))</f>
        <v/>
      </c>
      <c r="M997" s="40" t="str">
        <f>IF($J997="","",IFERROR(VLOOKUP($J997,Grinders!$A:$N,4,FALSE),""))</f>
        <v/>
      </c>
      <c r="N997" s="40" t="str">
        <f>IF($J997="","",IFERROR(VLOOKUP($J997,Grinders!$A:$N,5,FALSE),""))</f>
        <v/>
      </c>
      <c r="O997" s="40" t="str">
        <f t="shared" si="2"/>
        <v/>
      </c>
      <c r="P997" s="40" t="str">
        <f>IF($J997="","",IFERROR(VLOOKUP($J997,Grinders!$A:$N,6,FALSE),""))</f>
        <v/>
      </c>
      <c r="Q997" s="40" t="str">
        <f>IF($J997="","",IFERROR(VLOOKUP($J997,Grinders!$A:$N,8,FALSE),""))</f>
        <v/>
      </c>
      <c r="R997" s="40" t="str">
        <f>IFERROR(IF($J997="","",IF($L997="Elite",MAX(50,MIN(100,Config!$B$27*MAX(0,MIN(100,(1-IF($O997="",0,$O997))*100)) + Config!$B$28*MAX(0,MIN(100,(1-MIN(1,IF(Config!$B$30=0,1,$P997/Config!$B$30)))*100)) + Config!$B$29*MAX(0,MIN(100,MIN(1,IF($Q997="",0,$Q997)/Config!$B$23)*100)))),MIN(100,Config!$B$27*MAX(0,MIN(100,(1-IF($O997="",0,$O997))*100)) + Config!$B$28*MAX(0,MIN(100,(1-MIN(1,IF(Config!$B$30=0,1,$P997/Config!$B$30)))*100)) + Config!$B$29*MAX(0,MIN(100,MIN(1,IF($Q997="",0,$Q997)/Config!$B$23)*100))))),"")
</f>
        <v/>
      </c>
      <c r="S997" s="40" t="str">
        <f>IF(Bids!$D997="","",Bids!$D997)</f>
        <v/>
      </c>
      <c r="T997" s="40" t="str">
        <f>IF(Bids!$F997="","",Bids!$F997)</f>
        <v/>
      </c>
      <c r="U997" s="40" t="str">
        <f t="shared" si="3"/>
        <v/>
      </c>
      <c r="V997" s="40" t="str">
        <f>IF($U997="","",IF(Config!$B$17=Config!$B$16,IF($U997&gt;=Config!$B$17,100,0),MAX(0,MIN(100,($U997-Config!$B$16)/(Config!$B$17-Config!$B$16)*100))))</f>
        <v/>
      </c>
      <c r="W997" s="40">
        <f>IF($L997="Elite",Config!$B$21,0)</f>
        <v>0</v>
      </c>
      <c r="X997" s="40" t="str">
        <f>IFERROR(IF(OR($T997="",$G997=""),"",IF($T997&gt;$G997,
  MAX(0, 60-(($T997-$G997)*24/Config!$B$19)*60),
  MEDIAN(60, 100, 60+(($G997-$T997)*24/Config!$B$20)*40)
)),"")
</f>
        <v/>
      </c>
      <c r="Y997" s="40" t="str">
        <f>IF($J997="","",IFERROR(VLOOKUP($J997,Grinders!$A:$N,10,FALSE),""))</f>
        <v/>
      </c>
      <c r="Z997" s="40" t="str">
        <f>IF($J997="","",IFERROR(VLOOKUP($J997,Grinders!$A:$N,11,FALSE),""))</f>
        <v/>
      </c>
      <c r="AA997" s="40" t="str">
        <f>IF($J997="","",IFERROR(VLOOKUP($J997,Grinders!$A:$N,12,FALSE),""))</f>
        <v/>
      </c>
      <c r="AB997" s="40">
        <f>IFERROR(IF(OR($C997="",$J997=""),0,IF($D997&lt;&gt;"Open",0,IF(COUNTIFS(GrinderServices!$B:$B,$J997,GrinderServices!$C:$C,$E997,GrinderServices!$E:$E,"Y")=0,0,IF($U997&lt;Config!$B$16,0,IF(Config!$B$18=1,IF($N997&gt;=$M997,0,1),1))))),"")</f>
        <v>0</v>
      </c>
      <c r="AC997" s="40" t="str">
        <f>IFERROR(IF($AB997=0,"",((Config!$B$6*$V997 + Config!$B$7*$R997 + Config!$B$8*$W997 + Config!$B$9*$X997 + Config!$B$10*$Y997 + Config!$B$11*$Z997 - Config!$B$12*$AA997)/Config!$B$13)+$AH997+$AI997),"")</f>
        <v/>
      </c>
      <c r="AD997" s="40" t="str">
        <f t="shared" si="4"/>
        <v/>
      </c>
      <c r="AE997" s="40" t="str">
        <f>IFERROR(__xludf.DUMMYFUNCTION("IF($AC997="""","""",IF($AC997=IFERROR(MAX(FILTER($AC$6:$AC$1000,$C$6:$C$1000=$C997,$AB$6:$AB$1000=1)),),""WINNER"",""""))"),"")</f>
        <v/>
      </c>
      <c r="AF997" s="40" t="str">
        <f t="shared" si="5"/>
        <v/>
      </c>
      <c r="AG997" s="40" t="str">
        <f>IF($J997="","",COUNTIF(Assignments!$B:$B,$J997))</f>
        <v/>
      </c>
      <c r="AH997" s="40" t="str">
        <f>IF($J997="","",IF(AND($AG997=0,$N997&lt;$M997),Config!$B$43,0))</f>
        <v/>
      </c>
      <c r="AI997" s="40" t="str">
        <f>IF($J997="","",IF(AND($L997="Elite",$F997&gt;=Config!$B$41,$N997&lt;$M997),Config!$B$42,0))</f>
        <v/>
      </c>
      <c r="AJ997" s="22"/>
    </row>
    <row r="998" ht="15.75" customHeight="1">
      <c r="A998" s="40" t="str">
        <f t="shared" si="1"/>
        <v/>
      </c>
      <c r="B998" s="40" t="str">
        <f>IF(Bids!$A998="","",Bids!$A998)</f>
        <v/>
      </c>
      <c r="C998" s="40" t="str">
        <f>IF(Bids!$B998="","",Bids!$B998)</f>
        <v/>
      </c>
      <c r="D998" s="40" t="str">
        <f>IF($C998="","",IFERROR(VLOOKUP($C998,Orders!$A:$J,9,FALSE),""))</f>
        <v/>
      </c>
      <c r="E998" s="40" t="str">
        <f>IF($C998="","",IFERROR(VLOOKUP($C998,Orders!$A:$J,3,FALSE),""))</f>
        <v/>
      </c>
      <c r="F998" s="40" t="str">
        <f>IF($C998="","",IFERROR(VLOOKUP($C998,Orders!$A:$J,4,FALSE),""))</f>
        <v/>
      </c>
      <c r="G998" s="40" t="str">
        <f>IF($C998="","",IFERROR(VLOOKUP($C998,Orders!$A:$J,5,FALSE),""))</f>
        <v/>
      </c>
      <c r="H998" s="40" t="str">
        <f>IF($C998="","",IFERROR(VLOOKUP($C998,Orders!$A:$J,6,FALSE),""))</f>
        <v/>
      </c>
      <c r="I998" s="40" t="str">
        <f>IF($C998="","",IFERROR(VLOOKUP($C998,Orders!$A:$J,7,FALSE),""))</f>
        <v/>
      </c>
      <c r="J998" s="40" t="str">
        <f>IF(Bids!$C998="","",Bids!$C998)</f>
        <v/>
      </c>
      <c r="K998" s="40" t="str">
        <f>IF($J998="","",IFERROR(VLOOKUP($J998,Grinders!$A:$N,2,FALSE),""))</f>
        <v/>
      </c>
      <c r="L998" s="40" t="str">
        <f>IF($J998="","",IFERROR(VLOOKUP($J998,Grinders!$A:$N,3,FALSE),""))</f>
        <v/>
      </c>
      <c r="M998" s="40" t="str">
        <f>IF($J998="","",IFERROR(VLOOKUP($J998,Grinders!$A:$N,4,FALSE),""))</f>
        <v/>
      </c>
      <c r="N998" s="40" t="str">
        <f>IF($J998="","",IFERROR(VLOOKUP($J998,Grinders!$A:$N,5,FALSE),""))</f>
        <v/>
      </c>
      <c r="O998" s="40" t="str">
        <f t="shared" si="2"/>
        <v/>
      </c>
      <c r="P998" s="40" t="str">
        <f>IF($J998="","",IFERROR(VLOOKUP($J998,Grinders!$A:$N,6,FALSE),""))</f>
        <v/>
      </c>
      <c r="Q998" s="40" t="str">
        <f>IF($J998="","",IFERROR(VLOOKUP($J998,Grinders!$A:$N,8,FALSE),""))</f>
        <v/>
      </c>
      <c r="R998" s="40" t="str">
        <f>IFERROR(IF($J998="","",IF($L998="Elite",MAX(50,MIN(100,Config!$B$27*MAX(0,MIN(100,(1-IF($O998="",0,$O998))*100)) + Config!$B$28*MAX(0,MIN(100,(1-MIN(1,IF(Config!$B$30=0,1,$P998/Config!$B$30)))*100)) + Config!$B$29*MAX(0,MIN(100,MIN(1,IF($Q998="",0,$Q998)/Config!$B$23)*100)))),MIN(100,Config!$B$27*MAX(0,MIN(100,(1-IF($O998="",0,$O998))*100)) + Config!$B$28*MAX(0,MIN(100,(1-MIN(1,IF(Config!$B$30=0,1,$P998/Config!$B$30)))*100)) + Config!$B$29*MAX(0,MIN(100,MIN(1,IF($Q998="",0,$Q998)/Config!$B$23)*100))))),"")
</f>
        <v/>
      </c>
      <c r="S998" s="40" t="str">
        <f>IF(Bids!$D998="","",Bids!$D998)</f>
        <v/>
      </c>
      <c r="T998" s="40" t="str">
        <f>IF(Bids!$F998="","",Bids!$F998)</f>
        <v/>
      </c>
      <c r="U998" s="40" t="str">
        <f t="shared" si="3"/>
        <v/>
      </c>
      <c r="V998" s="40" t="str">
        <f>IF($U998="","",IF(Config!$B$17=Config!$B$16,IF($U998&gt;=Config!$B$17,100,0),MAX(0,MIN(100,($U998-Config!$B$16)/(Config!$B$17-Config!$B$16)*100))))</f>
        <v/>
      </c>
      <c r="W998" s="40">
        <f>IF($L998="Elite",Config!$B$21,0)</f>
        <v>0</v>
      </c>
      <c r="X998" s="40" t="str">
        <f>IFERROR(IF(OR($T998="",$G998=""),"",IF($T998&gt;$G998,
  MAX(0, 60-(($T998-$G998)*24/Config!$B$19)*60),
  MEDIAN(60, 100, 60+(($G998-$T998)*24/Config!$B$20)*40)
)),"")
</f>
        <v/>
      </c>
      <c r="Y998" s="40" t="str">
        <f>IF($J998="","",IFERROR(VLOOKUP($J998,Grinders!$A:$N,10,FALSE),""))</f>
        <v/>
      </c>
      <c r="Z998" s="40" t="str">
        <f>IF($J998="","",IFERROR(VLOOKUP($J998,Grinders!$A:$N,11,FALSE),""))</f>
        <v/>
      </c>
      <c r="AA998" s="40" t="str">
        <f>IF($J998="","",IFERROR(VLOOKUP($J998,Grinders!$A:$N,12,FALSE),""))</f>
        <v/>
      </c>
      <c r="AB998" s="40">
        <f>IFERROR(IF(OR($C998="",$J998=""),0,IF($D998&lt;&gt;"Open",0,IF(COUNTIFS(GrinderServices!$B:$B,$J998,GrinderServices!$C:$C,$E998,GrinderServices!$E:$E,"Y")=0,0,IF($U998&lt;Config!$B$16,0,IF(Config!$B$18=1,IF($N998&gt;=$M998,0,1),1))))),"")</f>
        <v>0</v>
      </c>
      <c r="AC998" s="40" t="str">
        <f>IFERROR(IF($AB998=0,"",((Config!$B$6*$V998 + Config!$B$7*$R998 + Config!$B$8*$W998 + Config!$B$9*$X998 + Config!$B$10*$Y998 + Config!$B$11*$Z998 - Config!$B$12*$AA998)/Config!$B$13)+$AH998+$AI998),"")</f>
        <v/>
      </c>
      <c r="AD998" s="40" t="str">
        <f t="shared" si="4"/>
        <v/>
      </c>
      <c r="AE998" s="40" t="str">
        <f>IFERROR(__xludf.DUMMYFUNCTION("IF($AC998="""","""",IF($AC998=IFERROR(MAX(FILTER($AC$6:$AC$1000,$C$6:$C$1000=$C998,$AB$6:$AB$1000=1)),),""WINNER"",""""))"),"")</f>
        <v/>
      </c>
      <c r="AF998" s="40" t="str">
        <f t="shared" si="5"/>
        <v/>
      </c>
      <c r="AG998" s="40" t="str">
        <f>IF($J998="","",COUNTIF(Assignments!$B:$B,$J998))</f>
        <v/>
      </c>
      <c r="AH998" s="40" t="str">
        <f>IF($J998="","",IF(AND($AG998=0,$N998&lt;$M998),Config!$B$43,0))</f>
        <v/>
      </c>
      <c r="AI998" s="40" t="str">
        <f>IF($J998="","",IF(AND($L998="Elite",$F998&gt;=Config!$B$41,$N998&lt;$M998),Config!$B$42,0))</f>
        <v/>
      </c>
      <c r="AJ998" s="22"/>
    </row>
    <row r="999" ht="15.75" customHeight="1">
      <c r="A999" s="40" t="str">
        <f t="shared" si="1"/>
        <v/>
      </c>
      <c r="B999" s="40" t="str">
        <f>IF(Bids!$A999="","",Bids!$A999)</f>
        <v/>
      </c>
      <c r="C999" s="40" t="str">
        <f>IF(Bids!$B999="","",Bids!$B999)</f>
        <v/>
      </c>
      <c r="D999" s="40" t="str">
        <f>IF($C999="","",IFERROR(VLOOKUP($C999,Orders!$A:$J,9,FALSE),""))</f>
        <v/>
      </c>
      <c r="E999" s="40" t="str">
        <f>IF($C999="","",IFERROR(VLOOKUP($C999,Orders!$A:$J,3,FALSE),""))</f>
        <v/>
      </c>
      <c r="F999" s="40" t="str">
        <f>IF($C999="","",IFERROR(VLOOKUP($C999,Orders!$A:$J,4,FALSE),""))</f>
        <v/>
      </c>
      <c r="G999" s="40" t="str">
        <f>IF($C999="","",IFERROR(VLOOKUP($C999,Orders!$A:$J,5,FALSE),""))</f>
        <v/>
      </c>
      <c r="H999" s="40" t="str">
        <f>IF($C999="","",IFERROR(VLOOKUP($C999,Orders!$A:$J,6,FALSE),""))</f>
        <v/>
      </c>
      <c r="I999" s="40" t="str">
        <f>IF($C999="","",IFERROR(VLOOKUP($C999,Orders!$A:$J,7,FALSE),""))</f>
        <v/>
      </c>
      <c r="J999" s="40" t="str">
        <f>IF(Bids!$C999="","",Bids!$C999)</f>
        <v/>
      </c>
      <c r="K999" s="40" t="str">
        <f>IF($J999="","",IFERROR(VLOOKUP($J999,Grinders!$A:$N,2,FALSE),""))</f>
        <v/>
      </c>
      <c r="L999" s="40" t="str">
        <f>IF($J999="","",IFERROR(VLOOKUP($J999,Grinders!$A:$N,3,FALSE),""))</f>
        <v/>
      </c>
      <c r="M999" s="40" t="str">
        <f>IF($J999="","",IFERROR(VLOOKUP($J999,Grinders!$A:$N,4,FALSE),""))</f>
        <v/>
      </c>
      <c r="N999" s="40" t="str">
        <f>IF($J999="","",IFERROR(VLOOKUP($J999,Grinders!$A:$N,5,FALSE),""))</f>
        <v/>
      </c>
      <c r="O999" s="40" t="str">
        <f t="shared" si="2"/>
        <v/>
      </c>
      <c r="P999" s="40" t="str">
        <f>IF($J999="","",IFERROR(VLOOKUP($J999,Grinders!$A:$N,6,FALSE),""))</f>
        <v/>
      </c>
      <c r="Q999" s="40" t="str">
        <f>IF($J999="","",IFERROR(VLOOKUP($J999,Grinders!$A:$N,8,FALSE),""))</f>
        <v/>
      </c>
      <c r="R999" s="40" t="str">
        <f>IFERROR(IF($J999="","",IF($L999="Elite",MAX(50,MIN(100,Config!$B$27*MAX(0,MIN(100,(1-IF($O999="",0,$O999))*100)) + Config!$B$28*MAX(0,MIN(100,(1-MIN(1,IF(Config!$B$30=0,1,$P999/Config!$B$30)))*100)) + Config!$B$29*MAX(0,MIN(100,MIN(1,IF($Q999="",0,$Q999)/Config!$B$23)*100)))),MIN(100,Config!$B$27*MAX(0,MIN(100,(1-IF($O999="",0,$O999))*100)) + Config!$B$28*MAX(0,MIN(100,(1-MIN(1,IF(Config!$B$30=0,1,$P999/Config!$B$30)))*100)) + Config!$B$29*MAX(0,MIN(100,MIN(1,IF($Q999="",0,$Q999)/Config!$B$23)*100))))),"")
</f>
        <v/>
      </c>
      <c r="S999" s="40" t="str">
        <f>IF(Bids!$D999="","",Bids!$D999)</f>
        <v/>
      </c>
      <c r="T999" s="40" t="str">
        <f>IF(Bids!$F999="","",Bids!$F999)</f>
        <v/>
      </c>
      <c r="U999" s="40" t="str">
        <f t="shared" si="3"/>
        <v/>
      </c>
      <c r="V999" s="40" t="str">
        <f>IF($U999="","",IF(Config!$B$17=Config!$B$16,IF($U999&gt;=Config!$B$17,100,0),MAX(0,MIN(100,($U999-Config!$B$16)/(Config!$B$17-Config!$B$16)*100))))</f>
        <v/>
      </c>
      <c r="W999" s="40">
        <f>IF($L999="Elite",Config!$B$21,0)</f>
        <v>0</v>
      </c>
      <c r="X999" s="40" t="str">
        <f>IFERROR(IF(OR($T999="",$G999=""),"",IF($T999&gt;$G999,
  MAX(0, 60-(($T999-$G999)*24/Config!$B$19)*60),
  MEDIAN(60, 100, 60+(($G999-$T999)*24/Config!$B$20)*40)
)),"")
</f>
        <v/>
      </c>
      <c r="Y999" s="40" t="str">
        <f>IF($J999="","",IFERROR(VLOOKUP($J999,Grinders!$A:$N,10,FALSE),""))</f>
        <v/>
      </c>
      <c r="Z999" s="40" t="str">
        <f>IF($J999="","",IFERROR(VLOOKUP($J999,Grinders!$A:$N,11,FALSE),""))</f>
        <v/>
      </c>
      <c r="AA999" s="40" t="str">
        <f>IF($J999="","",IFERROR(VLOOKUP($J999,Grinders!$A:$N,12,FALSE),""))</f>
        <v/>
      </c>
      <c r="AB999" s="40">
        <f>IFERROR(IF(OR($C999="",$J999=""),0,IF($D999&lt;&gt;"Open",0,IF(COUNTIFS(GrinderServices!$B:$B,$J999,GrinderServices!$C:$C,$E999,GrinderServices!$E:$E,"Y")=0,0,IF($U999&lt;Config!$B$16,0,IF(Config!$B$18=1,IF($N999&gt;=$M999,0,1),1))))),"")</f>
        <v>0</v>
      </c>
      <c r="AC999" s="40" t="str">
        <f>IFERROR(IF($AB999=0,"",((Config!$B$6*$V999 + Config!$B$7*$R999 + Config!$B$8*$W999 + Config!$B$9*$X999 + Config!$B$10*$Y999 + Config!$B$11*$Z999 - Config!$B$12*$AA999)/Config!$B$13)+$AH999+$AI999),"")</f>
        <v/>
      </c>
      <c r="AD999" s="40" t="str">
        <f t="shared" si="4"/>
        <v/>
      </c>
      <c r="AE999" s="40" t="str">
        <f>IFERROR(__xludf.DUMMYFUNCTION("IF($AC999="""","""",IF($AC999=IFERROR(MAX(FILTER($AC$6:$AC$1000,$C$6:$C$1000=$C999,$AB$6:$AB$1000=1)),),""WINNER"",""""))"),"")</f>
        <v/>
      </c>
      <c r="AF999" s="40" t="str">
        <f t="shared" si="5"/>
        <v/>
      </c>
      <c r="AG999" s="40" t="str">
        <f>IF($J999="","",COUNTIF(Assignments!$B:$B,$J999))</f>
        <v/>
      </c>
      <c r="AH999" s="40" t="str">
        <f>IF($J999="","",IF(AND($AG999=0,$N999&lt;$M999),Config!$B$43,0))</f>
        <v/>
      </c>
      <c r="AI999" s="40" t="str">
        <f>IF($J999="","",IF(AND($L999="Elite",$F999&gt;=Config!$B$41,$N999&lt;$M999),Config!$B$42,0))</f>
        <v/>
      </c>
      <c r="AJ999" s="22"/>
    </row>
    <row r="1000" ht="15.75" customHeight="1">
      <c r="A1000" s="40" t="str">
        <f t="shared" si="1"/>
        <v/>
      </c>
      <c r="B1000" s="40" t="str">
        <f>IF(Bids!$A1000="","",Bids!$A1000)</f>
        <v/>
      </c>
      <c r="C1000" s="40" t="str">
        <f>IF(Bids!$B1000="","",Bids!$B1000)</f>
        <v/>
      </c>
      <c r="D1000" s="40" t="str">
        <f>IF($C1000="","",IFERROR(VLOOKUP($C1000,Orders!$A:$J,9,FALSE),""))</f>
        <v/>
      </c>
      <c r="E1000" s="40" t="str">
        <f>IF($C1000="","",IFERROR(VLOOKUP($C1000,Orders!$A:$J,3,FALSE),""))</f>
        <v/>
      </c>
      <c r="F1000" s="40" t="str">
        <f>IF($C1000="","",IFERROR(VLOOKUP($C1000,Orders!$A:$J,4,FALSE),""))</f>
        <v/>
      </c>
      <c r="G1000" s="40" t="str">
        <f>IF($C1000="","",IFERROR(VLOOKUP($C1000,Orders!$A:$J,5,FALSE),""))</f>
        <v/>
      </c>
      <c r="H1000" s="40" t="str">
        <f>IF($C1000="","",IFERROR(VLOOKUP($C1000,Orders!$A:$J,6,FALSE),""))</f>
        <v/>
      </c>
      <c r="I1000" s="40" t="str">
        <f>IF($C1000="","",IFERROR(VLOOKUP($C1000,Orders!$A:$J,7,FALSE),""))</f>
        <v/>
      </c>
      <c r="J1000" s="40" t="str">
        <f>IF(Bids!$C1000="","",Bids!$C1000)</f>
        <v/>
      </c>
      <c r="K1000" s="40" t="str">
        <f>IF($J1000="","",IFERROR(VLOOKUP($J1000,Grinders!$A:$N,2,FALSE),""))</f>
        <v/>
      </c>
      <c r="L1000" s="40" t="str">
        <f>IF($J1000="","",IFERROR(VLOOKUP($J1000,Grinders!$A:$N,3,FALSE),""))</f>
        <v/>
      </c>
      <c r="M1000" s="40" t="str">
        <f>IF($J1000="","",IFERROR(VLOOKUP($J1000,Grinders!$A:$N,4,FALSE),""))</f>
        <v/>
      </c>
      <c r="N1000" s="40" t="str">
        <f>IF($J1000="","",IFERROR(VLOOKUP($J1000,Grinders!$A:$N,5,FALSE),""))</f>
        <v/>
      </c>
      <c r="O1000" s="40" t="str">
        <f t="shared" si="2"/>
        <v/>
      </c>
      <c r="P1000" s="40" t="str">
        <f>IF($J1000="","",IFERROR(VLOOKUP($J1000,Grinders!$A:$N,6,FALSE),""))</f>
        <v/>
      </c>
      <c r="Q1000" s="40" t="str">
        <f>IF($J1000="","",IFERROR(VLOOKUP($J1000,Grinders!$A:$N,8,FALSE),""))</f>
        <v/>
      </c>
      <c r="R1000" s="40" t="str">
        <f>IFERROR(IF($J1000="","",IF($L1000="Elite",MAX(50,MIN(100,Config!$B$27*MAX(0,MIN(100,(1-IF($O1000="",0,$O1000))*100)) + Config!$B$28*MAX(0,MIN(100,(1-MIN(1,IF(Config!$B$30=0,1,$P1000/Config!$B$30)))*100)) + Config!$B$29*MAX(0,MIN(100,MIN(1,IF($Q1000="",0,$Q1000)/Config!$B$23)*100)))),MIN(100,Config!$B$27*MAX(0,MIN(100,(1-IF($O1000="",0,$O1000))*100)) + Config!$B$28*MAX(0,MIN(100,(1-MIN(1,IF(Config!$B$30=0,1,$P1000/Config!$B$30)))*100)) + Config!$B$29*MAX(0,MIN(100,MIN(1,IF($Q1000="",0,$Q1000)/Config!$B$23)*100))))),"")
</f>
        <v/>
      </c>
      <c r="S1000" s="40" t="str">
        <f>IF(Bids!$D1000="","",Bids!$D1000)</f>
        <v/>
      </c>
      <c r="T1000" s="40" t="str">
        <f>IF(Bids!$F1000="","",Bids!$F1000)</f>
        <v/>
      </c>
      <c r="U1000" s="40" t="str">
        <f t="shared" si="3"/>
        <v/>
      </c>
      <c r="V1000" s="40" t="str">
        <f>IF($U1000="","",IF(Config!$B$17=Config!$B$16,IF($U1000&gt;=Config!$B$17,100,0),MAX(0,MIN(100,($U1000-Config!$B$16)/(Config!$B$17-Config!$B$16)*100))))</f>
        <v/>
      </c>
      <c r="W1000" s="40">
        <f>IF($L1000="Elite",Config!$B$21,0)</f>
        <v>0</v>
      </c>
      <c r="X1000" s="40" t="str">
        <f>IFERROR(IF(OR($T1000="",$G1000=""),"",IF($T1000&gt;$G1000,
  MAX(0, 60-(($T1000-$G1000)*24/Config!$B$19)*60),
  MEDIAN(60, 100, 60+(($G1000-$T1000)*24/Config!$B$20)*40)
)),"")
</f>
        <v/>
      </c>
      <c r="Y1000" s="40" t="str">
        <f>IF($J1000="","",IFERROR(VLOOKUP($J1000,Grinders!$A:$N,10,FALSE),""))</f>
        <v/>
      </c>
      <c r="Z1000" s="40" t="str">
        <f>IF($J1000="","",IFERROR(VLOOKUP($J1000,Grinders!$A:$N,11,FALSE),""))</f>
        <v/>
      </c>
      <c r="AA1000" s="40" t="str">
        <f>IF($J1000="","",IFERROR(VLOOKUP($J1000,Grinders!$A:$N,12,FALSE),""))</f>
        <v/>
      </c>
      <c r="AB1000" s="40">
        <f>IFERROR(IF(OR($C1000="",$J1000=""),0,IF($D1000&lt;&gt;"Open",0,IF(COUNTIFS(GrinderServices!$B:$B,$J1000,GrinderServices!$C:$C,$E1000,GrinderServices!$E:$E,"Y")=0,0,IF($U1000&lt;Config!$B$16,0,IF(Config!$B$18=1,IF($N1000&gt;=$M1000,0,1),1))))),"")</f>
        <v>0</v>
      </c>
      <c r="AC1000" s="40" t="str">
        <f>IFERROR(IF($AB1000=0,"",((Config!$B$6*$V1000 + Config!$B$7*$R1000 + Config!$B$8*$W1000 + Config!$B$9*$X1000 + Config!$B$10*$Y1000 + Config!$B$11*$Z1000 - Config!$B$12*$AA1000)/Config!$B$13)+$AH1000+$AI1000),"")</f>
        <v/>
      </c>
      <c r="AD1000" s="40" t="str">
        <f t="shared" si="4"/>
        <v/>
      </c>
      <c r="AE1000" s="40" t="str">
        <f>IFERROR(__xludf.DUMMYFUNCTION("IF($AC1000="""","""",IF($AC1000=IFERROR(MAX(FILTER($AC$6:$AC$1000,$C$6:$C$1000=$C1000,$AB$6:$AB$1000=1)),),""WINNER"",""""))"),"")</f>
        <v/>
      </c>
      <c r="AF1000" s="40" t="str">
        <f t="shared" si="5"/>
        <v/>
      </c>
      <c r="AG1000" s="40" t="str">
        <f>IF($J1000="","",COUNTIF(Assignments!$B:$B,$J1000))</f>
        <v/>
      </c>
      <c r="AH1000" s="40" t="str">
        <f>IF($J1000="","",IF(AND($AG1000=0,$N1000&lt;$M1000),Config!$B$43,0))</f>
        <v/>
      </c>
      <c r="AI1000" s="40" t="str">
        <f>IF($J1000="","",IF(AND($L1000="Elite",$F1000&gt;=Config!$B$41,$N1000&lt;$M1000),Config!$B$42,0))</f>
        <v/>
      </c>
      <c r="AJ1000" s="22"/>
    </row>
  </sheetData>
  <autoFilter ref="$A$5:$AD$205"/>
  <conditionalFormatting sqref="A6:Q205 R6:R1000 S6:W205 X6:X1000 Y6:AD205">
    <cfRule type="expression" dxfId="1" priority="1">
      <formula>$AD6="WINNER"</formula>
    </cfRule>
  </conditionalFormatting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6.0"/>
    <col customWidth="1" min="2" max="2" width="10.0"/>
    <col customWidth="1" min="3" max="3" width="12.0"/>
    <col customWidth="1" min="4" max="4" width="20.0"/>
    <col customWidth="1" min="5" max="5" width="11.0"/>
    <col customWidth="1" min="6" max="6" width="14.0"/>
    <col customWidth="1" min="7" max="7" width="18.0"/>
    <col customWidth="1" min="8" max="8" width="8.0"/>
    <col customWidth="1" min="9" max="10" width="10.0"/>
    <col customWidth="1" min="11" max="11" width="20.0"/>
    <col customWidth="1" min="12" max="13" width="10.0"/>
    <col customWidth="1" min="14" max="14" width="14.0"/>
    <col customWidth="1" min="15" max="15" width="16.0"/>
    <col customWidth="1" min="16" max="17" width="10.0"/>
    <col customWidth="1" min="18" max="18" width="16.0"/>
    <col customWidth="1" min="19" max="19" width="14.0"/>
    <col customWidth="1" min="20" max="20" width="18.0"/>
    <col customWidth="1" min="21" max="21" width="12.0"/>
    <col customWidth="1" min="22" max="22" width="20.0"/>
    <col customWidth="1" min="23" max="24" width="10.0"/>
    <col customWidth="1" min="25" max="25" width="9.0"/>
    <col customWidth="1" min="26" max="26" width="12.0"/>
    <col customWidth="1" min="27" max="27" width="10.0"/>
    <col customWidth="1" min="28" max="28" width="12.0"/>
    <col customWidth="1" min="29" max="29" width="9.0"/>
    <col customWidth="1" min="30" max="30" width="10.0"/>
    <col customWidth="1" min="31" max="31" width="14.0"/>
    <col customWidth="1" min="32" max="32" width="10.0"/>
    <col customWidth="1" min="33" max="39" width="8.71"/>
  </cols>
  <sheetData>
    <row r="1">
      <c r="A1" s="22"/>
      <c r="B1" s="37" t="s">
        <v>362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40" t="s">
        <v>335</v>
      </c>
    </row>
    <row r="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</row>
    <row r="3">
      <c r="A3" s="22"/>
      <c r="B3" s="40" t="s">
        <v>363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</row>
    <row r="4">
      <c r="A4" s="22"/>
      <c r="B4" s="49" t="s">
        <v>364</v>
      </c>
      <c r="C4" s="50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</row>
    <row r="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</row>
    <row r="6" ht="21.75" customHeight="1">
      <c r="A6" s="45" t="s">
        <v>335</v>
      </c>
      <c r="B6" s="51" t="s">
        <v>280</v>
      </c>
      <c r="C6" s="51" t="s">
        <v>281</v>
      </c>
      <c r="D6" s="51" t="s">
        <v>336</v>
      </c>
      <c r="E6" s="51" t="s">
        <v>262</v>
      </c>
      <c r="F6" s="51" t="s">
        <v>365</v>
      </c>
      <c r="G6" s="51" t="s">
        <v>307</v>
      </c>
      <c r="H6" s="51" t="s">
        <v>309</v>
      </c>
      <c r="I6" s="51" t="s">
        <v>337</v>
      </c>
      <c r="J6" s="51" t="s">
        <v>338</v>
      </c>
      <c r="K6" s="51" t="s">
        <v>282</v>
      </c>
      <c r="L6" s="51" t="s">
        <v>339</v>
      </c>
      <c r="M6" s="51" t="s">
        <v>4</v>
      </c>
      <c r="N6" s="51" t="s">
        <v>96</v>
      </c>
      <c r="O6" s="51" t="s">
        <v>366</v>
      </c>
      <c r="P6" s="51" t="s">
        <v>367</v>
      </c>
      <c r="Q6" s="51" t="s">
        <v>368</v>
      </c>
      <c r="R6" s="51" t="s">
        <v>369</v>
      </c>
      <c r="S6" s="51" t="s">
        <v>370</v>
      </c>
      <c r="T6" s="51" t="s">
        <v>371</v>
      </c>
      <c r="U6" s="51" t="s">
        <v>372</v>
      </c>
      <c r="V6" s="51" t="s">
        <v>283</v>
      </c>
      <c r="W6" s="51" t="s">
        <v>285</v>
      </c>
      <c r="X6" s="51" t="s">
        <v>7</v>
      </c>
      <c r="Y6" s="51" t="s">
        <v>344</v>
      </c>
      <c r="Z6" s="51" t="s">
        <v>345</v>
      </c>
      <c r="AA6" s="51" t="s">
        <v>346</v>
      </c>
      <c r="AB6" s="51" t="s">
        <v>347</v>
      </c>
      <c r="AC6" s="51" t="s">
        <v>348</v>
      </c>
      <c r="AD6" s="51" t="s">
        <v>349</v>
      </c>
      <c r="AE6" s="51" t="s">
        <v>350</v>
      </c>
      <c r="AF6" s="51" t="s">
        <v>351</v>
      </c>
      <c r="AG6" s="51" t="s">
        <v>353</v>
      </c>
      <c r="AH6" s="40" t="s">
        <v>354</v>
      </c>
      <c r="AI6" s="40" t="s">
        <v>352</v>
      </c>
      <c r="AJ6" s="40" t="s">
        <v>355</v>
      </c>
      <c r="AK6" s="40" t="s">
        <v>356</v>
      </c>
      <c r="AL6" s="40" t="s">
        <v>357</v>
      </c>
      <c r="AM6" s="22"/>
      <c r="AN6" s="39" t="s">
        <v>107</v>
      </c>
      <c r="AO6" s="39" t="s">
        <v>358</v>
      </c>
      <c r="AP6" s="39" t="s">
        <v>359</v>
      </c>
      <c r="AQ6" s="39" t="s">
        <v>360</v>
      </c>
      <c r="AR6" s="39" t="s">
        <v>361</v>
      </c>
    </row>
    <row r="7">
      <c r="A7" s="46" t="str">
        <f t="shared" ref="A7:A1000" si="1">IFERROR(IF(AI7="","",IF(AI7=1,"🥇",IF(AI7=2,"🥈",IF(AI7=3,"🥉",AI7)))),"")</f>
        <v/>
      </c>
      <c r="B7" s="40" t="str">
        <f>IF(Bids!$A6="","",Bids!$A6)</f>
        <v>B2001</v>
      </c>
      <c r="C7" s="40" t="str">
        <f>IF(Bids!$B6="","",Bids!$B6)</f>
        <v>O1001</v>
      </c>
      <c r="D7" s="40" t="str">
        <f>IF($C7="","",IFERROR(VLOOKUP($C7,Orders!$A$4:$J$998,9,FALSE),""))</f>
        <v/>
      </c>
      <c r="E7" s="40" t="str">
        <f>IF($C7="","",IFERROR(VLOOKUP($C7,Orders!$A$4:$J$998,3,FALSE),""))</f>
        <v/>
      </c>
      <c r="F7" s="40">
        <f t="shared" ref="F7:F1000" si="2">IF($C$4="",1,IF($E7=$C$4,1,0))</f>
        <v>1</v>
      </c>
      <c r="G7" s="40" t="str">
        <f>IF($C7="","",IFERROR(VLOOKUP($C7,Orders!$A$4:$J$998,4,FALSE),""))</f>
        <v/>
      </c>
      <c r="H7" s="40" t="str">
        <f>IF($C7="","",IFERROR(VLOOKUP($C7,Orders!$A$4:$J$998,5,FALSE),""))</f>
        <v/>
      </c>
      <c r="I7" s="40" t="str">
        <f>IF($C7="","",IFERROR(VLOOKUP($C7,Orders!$A$4:$J$998,6,FALSE),""))</f>
        <v/>
      </c>
      <c r="J7" s="40" t="str">
        <f>IF($C7="","",IFERROR(VLOOKUP($C7,Orders!$A$4:$J$998,7,FALSE),""))</f>
        <v/>
      </c>
      <c r="K7" s="40" t="str">
        <f>IF(Bids!$C6="","",Bids!$C6)</f>
        <v>GRD-01</v>
      </c>
      <c r="L7" s="40" t="str">
        <f>IF($K7="","",IFERROR(VLOOKUP($K7,Grinders!$A$4:$N$998,2,FALSE),""))</f>
        <v>7unds</v>
      </c>
      <c r="M7" s="40" t="str">
        <f>IF($K7="","",IFERROR(VLOOKUP($K7,Grinders!$A$4:$N$998,3,FALSE),""))</f>
        <v>Regular</v>
      </c>
      <c r="N7" s="40" t="str">
        <f>IF($K7="","",IFERROR(VLOOKUP($K7,Grinders!$A$4:$N$998,4,FALSE),""))</f>
        <v>3</v>
      </c>
      <c r="O7" s="40">
        <f>IF($K7="","",IFERROR(VLOOKUP($K7,Grinders!$A$4:$N$998,5,FALSE),""))</f>
        <v>1</v>
      </c>
      <c r="P7" s="40">
        <f>IF($K7="","",IF($C$4="",0,COUNTIFS(Assignments!$B$6:$B$1000,$K7,Assignments!$F$6:$F$1000,$C$4,Assignments!$E$6:$E$1000,"Active")))</f>
        <v>0</v>
      </c>
      <c r="Q7" s="40">
        <f t="shared" ref="Q7:Q1000" si="3">IF(OR($N7="",$N7=0),"",$O7/$N7)</f>
        <v>0.3333333333</v>
      </c>
      <c r="R7" s="40">
        <f t="shared" ref="R7:R1000" si="4">IF(OR($N7="",$N7=0),"",IF($C$4="",0,$P7/$N7))</f>
        <v>0</v>
      </c>
      <c r="S7" s="40">
        <f>IF($K7="","",IF($C$4="",0,COUNTIFS(Assignments!$B$6:$B$1000,$K7,Assignments!$F$6:$F$1000,$C$4,Assignments!$D$6:$D$1000,"&gt;="&amp;Config!$B$3-7,Assignments!$D$6:$D$1000,"&lt;="&amp;Config!$B$3)))</f>
        <v>0</v>
      </c>
      <c r="T7" s="40">
        <f>IF($K7="","",IFERROR(VLOOKUP($K7,Grinders!$A$4:$N$998,8,FALSE),""))</f>
        <v>-3</v>
      </c>
      <c r="U7" s="40">
        <f>IFERROR(IF($K7="","",IF($M7="Elite",MAX(50,MIN(100,Config!$B$27*MAX(0,MIN(100,(1-IF($R7="",0,$R7))*100)) + Config!$B$28*MAX(0,MIN(100,(1-MIN(1,IF(Config!$B$30=0,1,$S7/Config!$B$30)))*100)) + Config!$B$29*MAX(0,MIN(100,MIN(1,IF($T7="",0,$T7)/Config!$B$23)*100)))),MIN(100,Config!$B$27*MAX(0,MIN(100,(1-IF($R7="",0,$R7))*100)) + Config!$B$28*MAX(0,MIN(100,(1-MIN(1,IF(Config!$B$30=0,1,$S7/Config!$B$30)))*100)) + Config!$B$29*MAX(0,MIN(100,MIN(1,IF($T7="",0,$T7)/Config!$B$23)*100))))),"")
</f>
        <v>85</v>
      </c>
      <c r="V7" s="40">
        <f>IF(Bids!$AC7="","",Bids!$AC7)</f>
        <v>150</v>
      </c>
      <c r="W7" s="47">
        <f>IF(Bids!$F6="","",Bids!$F6)</f>
        <v>46075.82986</v>
      </c>
      <c r="X7" s="40" t="str">
        <f t="shared" ref="X7:X1000" si="5">IF(OR($G7="",$V7=""),"",IF($G7=0,"",($G7-$V7)/$G7))</f>
        <v/>
      </c>
      <c r="Y7" s="40" t="str">
        <f>IF($X7="","",IF(Config!$B$17=Config!$B$16,IF($X7&gt;=Config!$B$17,100,0),MAX(0,MIN(100,($X7-Config!$B$16)/(Config!$B$17-Config!$B$16)*100))))</f>
        <v/>
      </c>
      <c r="Z7" s="48">
        <f>IF($M7="Elite",Config!$B$21,0)</f>
        <v>0</v>
      </c>
      <c r="AA7" s="40" t="str">
        <f>IFERROR(IF(OR($W7="",$H7=""),"",IF($W7&gt;$H7,
  MAX(0, 60-(($W7-$H7)*24/Config!$B$19)*60),
  MIN(100, 60+(($H7-$W7)*24/Config!$B$20)*40)
)),"")
</f>
        <v/>
      </c>
      <c r="AB7" s="40">
        <f>IF($K7="","",IFERROR(VLOOKUP($K7,Grinders!$A$4:$N$998,10,FALSE)/5*100,""))</f>
        <v>0</v>
      </c>
      <c r="AC7" s="40">
        <f>IF($K7="","",IFERROR(VLOOKUP($K7,Grinders!$A$4:$N$998,11,FALSE)*100,""))</f>
        <v>0</v>
      </c>
      <c r="AD7" s="40">
        <f>IF($K7="","",IFERROR(VLOOKUP($K7,Grinders!$A$4:$N$998,12,FALSE)*100,""))</f>
        <v>0</v>
      </c>
      <c r="AE7" s="40" t="str">
        <f>IF(OR(AO7=1,AP7=1),0,=IFERROR(IFS(
    OR($C7="", $K7=""), 0,
    $F7=0, 0,
    $D7&lt;&gt;"Open", 0,
    COUNTIFS(GrinderServices!$A$6:$A$1000, $K7, GrinderServices!$B$6:$B$1000, $E7, GrinderServices!$D$6:$D$1000, "Y")=0, 0,
    $X7&lt;Config!$B$16, 0,
    Config!$B$18=1, IF($O7&gt;=N7, 0, 1),
    TRUE, 1
), "")
)</f>
        <v>#ERROR!</v>
      </c>
      <c r="AF7" s="40" t="str">
        <f>IFERROR((IF(OR(AO7=1,AP7=1),"",=IFERROR((IFERROR(IF($AE7=0,"",((Config!$B$6*$Y7 + Config!$B$7*$U7 + Config!$B$8*$Z7 + Config!$B$9*$AA7 + Config!$B$10*$AB7 + Config!$B$11*$AC7 - Config!$B$12*$AD7)/Config!$B$13)+$AK7+$AL7),""))*(1-IFERROR(VLOOKUP(K7,Grinders!$A:$AB, 28, FALSE),0)),"")))*(1+AR7),"")</f>
        <v>#ERROR!</v>
      </c>
      <c r="AG7" s="40" t="str">
        <f t="shared" ref="AG7:AG1000" si="6">IF($AF7="","",IF($AF7=MAXIFS($AF$7:$AF$1000,$C$7:$C$1000,$C7,$AE$7:$AE$1000,1),"WINNER",""))</f>
        <v>#ERROR!</v>
      </c>
      <c r="AH7" s="40" t="str">
        <f t="shared" ref="AH7:AH1000" si="7">IFERROR(IF($C7="","",TEXTJOIN(" | ",TRUE,"Profit "&amp;TEXT($X7,"0%")&amp;" (P "&amp;ROUND($Y7,0)&amp;")","Fair "&amp;ROUND($U7,0),"Load "&amp;$O7&amp;"/"&amp;$N7,"Recent7d "&amp;$S7,"NewGrinder "&amp;IF($AJ7=0,"YES",""),"HighValueElite +"&amp;$AL7,"Bonus +"&amp;ROUND($AK7+$AL7,1),"Tier "&amp;$M7, "Score "&amp;ROUND($AF7,1))),"")</f>
        <v/>
      </c>
      <c r="AI7" s="40" t="str">
        <f t="shared" ref="AI7:AI1000" si="8">IFERROR(IF($AF7="","",IF(AND($M7="Elite",$AE7=1,$O7&lt;$N7),MIN(1+COUNTIFS($C$7:$C$1000,$C7,$AE$7:$AE$1000,1,$AF$7:$AF$1000,"&gt;"&amp;$AF7),ROUNDUP(COUNTIFS($C$7:$C$1000,$C7,$AE$7:$AE$1000,1)/2,0)),1+COUNTIFS($C$7:$C$1000,$C7,$AE$7:$AE$1000,1,$AF$7:$AF$1000,"&gt;"&amp;$AF7))),"")</f>
        <v/>
      </c>
      <c r="AJ7" s="40">
        <f>IF($K7="","",COUNTIF(Assignments!$B$6:$B$1000,$K7))</f>
        <v>1</v>
      </c>
      <c r="AK7" s="40">
        <f>IF($K7="","",IF(AND($AJ7=0,$O7&lt;$N7),Config!$B$43,0))</f>
        <v>0</v>
      </c>
      <c r="AL7" s="40">
        <f>IF($K7="","",IF(AND($M7="Elite",$G7&gt;=Config!$B$41,$O7&lt;$N7),Config!$B$42,0))</f>
        <v>0</v>
      </c>
      <c r="AM7" s="22"/>
      <c r="AN7" s="39">
        <f>IFERROR(VLOOKUP(K7,Grinders!$A:$Q,28,FALSE),0)</f>
        <v>0</v>
      </c>
      <c r="AO7" s="39">
        <f>IF(Config!$B$1003&lt;&gt;"Y",0,IF(IFERROR(VLOOKUP(K7,Grinders!$A:$P,27,FALSE),0)&gt;=3,IF(OR(G7&gt;=Config!$B$1001,ISNUMBER(SEARCH(E7,Config!$B$1002))),1,0),0))</f>
        <v>0</v>
      </c>
      <c r="AP7" s="39">
        <f t="array" ref="AP7">IFERROR(IF(INDEX(Bids!$AE:$AE,MATCH(B7,Bids!$A:$A,0))="Pending",1,0),0)</f>
        <v>0</v>
      </c>
      <c r="AQ7" s="39">
        <f t="array" ref="AQ7">IF(C7="","",IFERROR(XLOOKUP(C7,Assignments!$C:$C,Assignments!$AU:$AU,0),0))</f>
        <v>0</v>
      </c>
      <c r="AR7" s="39">
        <f>IF(AND(Config!$B$1006="Y",AQ7=1),Config!$B$1007,0)</f>
        <v>0</v>
      </c>
    </row>
    <row r="8">
      <c r="A8" s="46" t="str">
        <f t="shared" si="1"/>
        <v/>
      </c>
      <c r="B8" s="40" t="str">
        <f>IF(Bids!$A7="","",Bids!$A7)</f>
        <v>B2002</v>
      </c>
      <c r="C8" s="40" t="str">
        <f>IF(Bids!$B7="","",Bids!$B7)</f>
        <v>O1001</v>
      </c>
      <c r="D8" s="40" t="str">
        <f>IF($C8="","",IFERROR(VLOOKUP($C8,Orders!$A$4:$J$998,9,FALSE),""))</f>
        <v/>
      </c>
      <c r="E8" s="40" t="str">
        <f>IF($C8="","",IFERROR(VLOOKUP($C8,Orders!$A$4:$J$998,3,FALSE),""))</f>
        <v/>
      </c>
      <c r="F8" s="40">
        <f t="shared" si="2"/>
        <v>1</v>
      </c>
      <c r="G8" s="40" t="str">
        <f>IF($C8="","",IFERROR(VLOOKUP($C8,Orders!$A$4:$J$998,4,FALSE),""))</f>
        <v/>
      </c>
      <c r="H8" s="40" t="str">
        <f>IF($C8="","",IFERROR(VLOOKUP($C8,Orders!$A$4:$J$998,5,FALSE),""))</f>
        <v/>
      </c>
      <c r="I8" s="40" t="str">
        <f>IF($C8="","",IFERROR(VLOOKUP($C8,Orders!$A$4:$J$998,6,FALSE),""))</f>
        <v/>
      </c>
      <c r="J8" s="40" t="str">
        <f>IF($C8="","",IFERROR(VLOOKUP($C8,Orders!$A$4:$J$998,7,FALSE),""))</f>
        <v/>
      </c>
      <c r="K8" s="40" t="str">
        <f>IF(Bids!$C7="","",Bids!$C7)</f>
        <v>G002</v>
      </c>
      <c r="L8" s="40" t="str">
        <f>IF($K8="","",IFERROR(VLOOKUP($K8,Grinders!$A$4:$N$998,2,FALSE),""))</f>
        <v/>
      </c>
      <c r="M8" s="40" t="str">
        <f>IF($K8="","",IFERROR(VLOOKUP($K8,Grinders!$A$4:$N$998,3,FALSE),""))</f>
        <v/>
      </c>
      <c r="N8" s="40" t="str">
        <f>IF($K8="","",IFERROR(VLOOKUP($K8,Grinders!$A$4:$N$998,4,FALSE),""))</f>
        <v/>
      </c>
      <c r="O8" s="40" t="str">
        <f>IF($K8="","",IFERROR(VLOOKUP($K8,Grinders!$A$4:$N$998,5,FALSE),""))</f>
        <v/>
      </c>
      <c r="P8" s="40">
        <f>IF($K8="","",IF($C$4="",0,COUNTIFS(Assignments!$B$6:$B$1000,$K8,Assignments!$F$6:$F$1000,$C$4,Assignments!$E$6:$E$1000,"Active")))</f>
        <v>0</v>
      </c>
      <c r="Q8" s="40" t="str">
        <f t="shared" si="3"/>
        <v/>
      </c>
      <c r="R8" s="40" t="str">
        <f t="shared" si="4"/>
        <v/>
      </c>
      <c r="S8" s="40">
        <f>IF($K8="","",IF($C$4="",0,COUNTIFS(Assignments!$B$6:$B$1000,$K8,Assignments!$F$6:$F$1000,$C$4,Assignments!$D$6:$D$1000,"&gt;="&amp;Config!$B$3-7,Assignments!$D$6:$D$1000,"&lt;="&amp;Config!$B$3)))</f>
        <v>0</v>
      </c>
      <c r="T8" s="40" t="str">
        <f>IF($K8="","",IFERROR(VLOOKUP($K8,Grinders!$A$4:$N$998,8,FALSE),""))</f>
        <v/>
      </c>
      <c r="U8" s="40">
        <f>IFERROR(IF($K8="","",IF($M8="Elite",MAX(50,MIN(100,Config!$B$27*MAX(0,MIN(100,(1-IF($R8="",0,$R8))*100)) + Config!$B$28*MAX(0,MIN(100,(1-MIN(1,IF(Config!$B$30=0,1,$S8/Config!$B$30)))*100)) + Config!$B$29*MAX(0,MIN(100,MIN(1,IF($T8="",0,$T8)/Config!$B$23)*100)))),MIN(100,Config!$B$27*MAX(0,MIN(100,(1-IF($R8="",0,$R8))*100)) + Config!$B$28*MAX(0,MIN(100,(1-MIN(1,IF(Config!$B$30=0,1,$S8/Config!$B$30)))*100)) + Config!$B$29*MAX(0,MIN(100,MIN(1,IF($T8="",0,$T8)/Config!$B$23)*100))))),"")
</f>
        <v>85</v>
      </c>
      <c r="V8" s="40">
        <f>IF(Bids!$AC8="","",Bids!$AC8)</f>
        <v>400</v>
      </c>
      <c r="W8" s="47">
        <f>IF(Bids!$F7="","",Bids!$F7)</f>
        <v>46076.82986</v>
      </c>
      <c r="X8" s="40" t="str">
        <f t="shared" si="5"/>
        <v/>
      </c>
      <c r="Y8" s="40" t="str">
        <f>IF($X8="","",IF(Config!$B$17=Config!$B$16,IF($X8&gt;=Config!$B$17,100,0),MAX(0,MIN(100,($X8-Config!$B$16)/(Config!$B$17-Config!$B$16)*100))))</f>
        <v/>
      </c>
      <c r="Z8" s="40">
        <f>IF($M8="Elite",Config!$B$21,0)</f>
        <v>0</v>
      </c>
      <c r="AA8" s="40" t="str">
        <f>IFERROR(IF(OR($W8="",$H8=""),"",IF($W8&gt;$H8,
  MAX(0, 60-(($W8-$H8)*24/Config!$B$19)*60),
  MIN(100, 60+(($H8-$W8)*24/Config!$B$20)*40)
)),"")
</f>
        <v/>
      </c>
      <c r="AB8" s="40" t="str">
        <f>IF($K8="","",IFERROR(VLOOKUP($K8,Grinders!$A$4:$N$998,10,FALSE)/5*100,""))</f>
        <v/>
      </c>
      <c r="AC8" s="40" t="str">
        <f>IF($K8="","",IFERROR(VLOOKUP($K8,Grinders!$A$4:$N$998,11,FALSE)*100,""))</f>
        <v/>
      </c>
      <c r="AD8" s="40" t="str">
        <f>IF($K8="","",IFERROR(VLOOKUP($K8,Grinders!$A$4:$N$998,12,FALSE)*100,""))</f>
        <v/>
      </c>
      <c r="AE8" s="40" t="str">
        <f>IF(OR(AO8=1,AP8=1),0,=IFERROR(IFS(
    OR($C8="", $K8=""), 0,
    $F8=0, 0,
    $D8&lt;&gt;"Open", 0,
    COUNTIFS(GrinderServices!$A$6:$A$1000, $K8, GrinderServices!$B$6:$B$1000, $E8, GrinderServices!$D$6:$D$1000, "Y")=0, 0,
    $X8&lt;Config!$B$16, 0,
    Config!$B$18=1, IF($O8&gt;=N8, 0, 1),
    TRUE, 1
), "")
)</f>
        <v>#ERROR!</v>
      </c>
      <c r="AF8" s="40" t="str">
        <f>IFERROR((IF(OR(AO8=1,AP8=1),"",=IFERROR((IFERROR(IF($AE8=0,"",((Config!$B$6*$Y8 + Config!$B$7*$U8 + Config!$B$8*$Z8 + Config!$B$9*$AA8 + Config!$B$10*$AB8 + Config!$B$11*$AC8 - Config!$B$12*$AD8)/Config!$B$13)+$AK8+$AL8),""))*(1-IFERROR(VLOOKUP(K8,Grinders!$A:$AB, 28, FALSE),0)),"")))*(1+AR8),"")</f>
        <v>#ERROR!</v>
      </c>
      <c r="AG8" s="40" t="str">
        <f t="shared" si="6"/>
        <v>#ERROR!</v>
      </c>
      <c r="AH8" s="40" t="str">
        <f t="shared" si="7"/>
        <v/>
      </c>
      <c r="AI8" s="40" t="str">
        <f t="shared" si="8"/>
        <v/>
      </c>
      <c r="AJ8" s="40">
        <f>IF($K8="","",COUNTIF(Assignments!$B$6:$B$1000,$K8))</f>
        <v>0</v>
      </c>
      <c r="AK8" s="40">
        <f>IF($K8="","",IF(AND($AJ8=0,$O8&lt;$N8),Config!$B$43,0))</f>
        <v>0</v>
      </c>
      <c r="AL8" s="40">
        <f>IF($K8="","",IF(AND($M8="Elite",$G8&gt;=Config!$B$41,$O8&lt;$N8),Config!$B$42,0))</f>
        <v>0</v>
      </c>
      <c r="AM8" s="22"/>
      <c r="AN8" s="39">
        <f>IFERROR(VLOOKUP(K8,Grinders!$A:$Q,28,FALSE),0)</f>
        <v>0</v>
      </c>
      <c r="AO8" s="39">
        <f>IF(Config!$B$1003&lt;&gt;"Y",0,IF(IFERROR(VLOOKUP(K8,Grinders!$A:$P,27,FALSE),0)&gt;=3,IF(OR(G8&gt;=Config!$B$1001,ISNUMBER(SEARCH(E8,Config!$B$1002))),1,0),0))</f>
        <v>0</v>
      </c>
      <c r="AP8" s="39">
        <f t="array" ref="AP8">IFERROR(IF(INDEX(Bids!$AE:$AE,MATCH(B8,Bids!$A:$A,0))="Pending",1,0),0)</f>
        <v>0</v>
      </c>
      <c r="AQ8" s="39">
        <f t="array" ref="AQ8">IF(C8="","",IFERROR(XLOOKUP(C8,Assignments!$C:$C,Assignments!$AU:$AU,0),0))</f>
        <v>0</v>
      </c>
      <c r="AR8" s="39">
        <f>IF(AND(Config!$B$1006="Y",AQ8=1),Config!$B$1007,0)</f>
        <v>0</v>
      </c>
    </row>
    <row r="9">
      <c r="A9" s="46" t="str">
        <f t="shared" si="1"/>
        <v/>
      </c>
      <c r="B9" s="40" t="str">
        <f>IF(Bids!$A8="","",Bids!$A8)</f>
        <v>B2003</v>
      </c>
      <c r="C9" s="40" t="str">
        <f>IF(Bids!$B8="","",Bids!$B8)</f>
        <v>O1002</v>
      </c>
      <c r="D9" s="40" t="str">
        <f>IF($C9="","",IFERROR(VLOOKUP($C9,Orders!$A$4:$J$998,9,FALSE),""))</f>
        <v/>
      </c>
      <c r="E9" s="40" t="str">
        <f>IF($C9="","",IFERROR(VLOOKUP($C9,Orders!$A$4:$J$998,3,FALSE),""))</f>
        <v/>
      </c>
      <c r="F9" s="40">
        <f t="shared" si="2"/>
        <v>1</v>
      </c>
      <c r="G9" s="40" t="str">
        <f>IF($C9="","",IFERROR(VLOOKUP($C9,Orders!$A$4:$J$998,4,FALSE),""))</f>
        <v/>
      </c>
      <c r="H9" s="40" t="str">
        <f>IF($C9="","",IFERROR(VLOOKUP($C9,Orders!$A$4:$J$998,5,FALSE),""))</f>
        <v/>
      </c>
      <c r="I9" s="40" t="str">
        <f>IF($C9="","",IFERROR(VLOOKUP($C9,Orders!$A$4:$J$998,6,FALSE),""))</f>
        <v/>
      </c>
      <c r="J9" s="40" t="str">
        <f>IF($C9="","",IFERROR(VLOOKUP($C9,Orders!$A$4:$J$998,7,FALSE),""))</f>
        <v/>
      </c>
      <c r="K9" s="40" t="str">
        <f>IF(Bids!$C8="","",Bids!$C8)</f>
        <v>G003</v>
      </c>
      <c r="L9" s="40" t="str">
        <f>IF($K9="","",IFERROR(VLOOKUP($K9,Grinders!$A$4:$N$998,2,FALSE),""))</f>
        <v/>
      </c>
      <c r="M9" s="40" t="str">
        <f>IF($K9="","",IFERROR(VLOOKUP($K9,Grinders!$A$4:$N$998,3,FALSE),""))</f>
        <v/>
      </c>
      <c r="N9" s="40" t="str">
        <f>IF($K9="","",IFERROR(VLOOKUP($K9,Grinders!$A$4:$N$998,4,FALSE),""))</f>
        <v/>
      </c>
      <c r="O9" s="40" t="str">
        <f>IF($K9="","",IFERROR(VLOOKUP($K9,Grinders!$A$4:$N$998,5,FALSE),""))</f>
        <v/>
      </c>
      <c r="P9" s="40">
        <f>IF($K9="","",IF($C$4="",0,COUNTIFS(Assignments!$B$6:$B$1000,$K9,Assignments!$F$6:$F$1000,$C$4,Assignments!$E$6:$E$1000,"Active")))</f>
        <v>0</v>
      </c>
      <c r="Q9" s="40" t="str">
        <f t="shared" si="3"/>
        <v/>
      </c>
      <c r="R9" s="40" t="str">
        <f t="shared" si="4"/>
        <v/>
      </c>
      <c r="S9" s="40">
        <f>IF($K9="","",IF($C$4="",0,COUNTIFS(Assignments!$B$6:$B$1000,$K9,Assignments!$F$6:$F$1000,$C$4,Assignments!$D$6:$D$1000,"&gt;="&amp;Config!$B$3-7,Assignments!$D$6:$D$1000,"&lt;="&amp;Config!$B$3)))</f>
        <v>0</v>
      </c>
      <c r="T9" s="40" t="str">
        <f>IF($K9="","",IFERROR(VLOOKUP($K9,Grinders!$A$4:$N$998,8,FALSE),""))</f>
        <v/>
      </c>
      <c r="U9" s="40">
        <f>IFERROR(IF($K9="","",IF($M9="Elite",MAX(50,MIN(100,Config!$B$27*MAX(0,MIN(100,(1-IF($R9="",0,$R9))*100)) + Config!$B$28*MAX(0,MIN(100,(1-MIN(1,IF(Config!$B$30=0,1,$S9/Config!$B$30)))*100)) + Config!$B$29*MAX(0,MIN(100,MIN(1,IF($T9="",0,$T9)/Config!$B$23)*100)))),MIN(100,Config!$B$27*MAX(0,MIN(100,(1-IF($R9="",0,$R9))*100)) + Config!$B$28*MAX(0,MIN(100,(1-MIN(1,IF(Config!$B$30=0,1,$S9/Config!$B$30)))*100)) + Config!$B$29*MAX(0,MIN(100,MIN(1,IF($T9="",0,$T9)/Config!$B$23)*100))))),"")
</f>
        <v>85</v>
      </c>
      <c r="V9" s="40">
        <f>IF(Bids!$AC9="","",Bids!$AC9)</f>
        <v>420</v>
      </c>
      <c r="W9" s="47">
        <f>IF(Bids!$F8="","",Bids!$F8)</f>
        <v>46073.82986</v>
      </c>
      <c r="X9" s="40" t="str">
        <f t="shared" si="5"/>
        <v/>
      </c>
      <c r="Y9" s="40" t="str">
        <f>IF($X9="","",IF(Config!$B$17=Config!$B$16,IF($X9&gt;=Config!$B$17,100,0),MAX(0,MIN(100,($X9-Config!$B$16)/(Config!$B$17-Config!$B$16)*100))))</f>
        <v/>
      </c>
      <c r="Z9" s="40">
        <f>IF($M9="Elite",Config!$B$21,0)</f>
        <v>0</v>
      </c>
      <c r="AA9" s="40" t="str">
        <f>IFERROR(IF(OR($W9="",$H9=""),"",IF($W9&gt;$H9,
  MAX(0, 60-(($W9-$H9)*24/Config!$B$19)*60),
  MIN(100, 60+(($H9-$W9)*24/Config!$B$20)*40)
)),"")
</f>
        <v/>
      </c>
      <c r="AB9" s="40" t="str">
        <f>IF($K9="","",IFERROR(VLOOKUP($K9,Grinders!$A$4:$N$998,10,FALSE)/5*100,""))</f>
        <v/>
      </c>
      <c r="AC9" s="40" t="str">
        <f>IF($K9="","",IFERROR(VLOOKUP($K9,Grinders!$A$4:$N$998,11,FALSE)*100,""))</f>
        <v/>
      </c>
      <c r="AD9" s="40" t="str">
        <f>IF($K9="","",IFERROR(VLOOKUP($K9,Grinders!$A$4:$N$998,12,FALSE)*100,""))</f>
        <v/>
      </c>
      <c r="AE9" s="40" t="str">
        <f>IF(OR(AO9=1,AP9=1),0,=IFERROR(IFS(
    OR($C9="", $K9=""), 0,
    $F9=0, 0,
    $D9&lt;&gt;"Open", 0,
    COUNTIFS(GrinderServices!$A$6:$A$1000, $K9, GrinderServices!$B$6:$B$1000, $E9, GrinderServices!$D$6:$D$1000, "Y")=0, 0,
    $X9&lt;Config!$B$16, 0,
    Config!$B$18=1, IF($O9&gt;=N9, 0, 1),
    TRUE, 1
), "")
)</f>
        <v>#ERROR!</v>
      </c>
      <c r="AF9" s="40" t="str">
        <f>IFERROR((IF(OR(AO9=1,AP9=1),"",=IFERROR((IFERROR(IF($AE9=0,"",((Config!$B$6*$Y9 + Config!$B$7*$U9 + Config!$B$8*$Z9 + Config!$B$9*$AA9 + Config!$B$10*$AB9 + Config!$B$11*$AC9 - Config!$B$12*$AD9)/Config!$B$13)+$AK9+$AL9),""))*(1-IFERROR(VLOOKUP(K9,Grinders!$A:$AB, 28, FALSE),0)),"")))*(1+AR9),"")</f>
        <v>#ERROR!</v>
      </c>
      <c r="AG9" s="40" t="str">
        <f t="shared" si="6"/>
        <v>#ERROR!</v>
      </c>
      <c r="AH9" s="40" t="str">
        <f t="shared" si="7"/>
        <v/>
      </c>
      <c r="AI9" s="40" t="str">
        <f t="shared" si="8"/>
        <v/>
      </c>
      <c r="AJ9" s="40">
        <f>IF($K9="","",COUNTIF(Assignments!$B$6:$B$1000,$K9))</f>
        <v>0</v>
      </c>
      <c r="AK9" s="40">
        <f>IF($K9="","",IF(AND($AJ9=0,$O9&lt;$N9),Config!$B$43,0))</f>
        <v>0</v>
      </c>
      <c r="AL9" s="40">
        <f>IF($K9="","",IF(AND($M9="Elite",$G9&gt;=Config!$B$41,$O9&lt;$N9),Config!$B$42,0))</f>
        <v>0</v>
      </c>
      <c r="AM9" s="22"/>
      <c r="AN9" s="39">
        <f>IFERROR(VLOOKUP(K9,Grinders!$A:$Q,28,FALSE),0)</f>
        <v>0</v>
      </c>
      <c r="AO9" s="39">
        <f>IF(Config!$B$1003&lt;&gt;"Y",0,IF(IFERROR(VLOOKUP(K9,Grinders!$A:$P,27,FALSE),0)&gt;=3,IF(OR(G9&gt;=Config!$B$1001,ISNUMBER(SEARCH(E9,Config!$B$1002))),1,0),0))</f>
        <v>0</v>
      </c>
      <c r="AP9" s="39">
        <f t="array" ref="AP9">IFERROR(IF(INDEX(Bids!$AE:$AE,MATCH(B9,Bids!$A:$A,0))="Pending",1,0),0)</f>
        <v>0</v>
      </c>
      <c r="AQ9" s="39">
        <f t="array" ref="AQ9">IF(C9="","",IFERROR(XLOOKUP(C9,Assignments!$C:$C,Assignments!$AU:$AU,0),0))</f>
        <v>0</v>
      </c>
      <c r="AR9" s="39">
        <f>IF(AND(Config!$B$1006="Y",AQ9=1),Config!$B$1007,0)</f>
        <v>0</v>
      </c>
    </row>
    <row r="10">
      <c r="A10" s="46" t="str">
        <f t="shared" si="1"/>
        <v/>
      </c>
      <c r="B10" s="40" t="str">
        <f>IF(Bids!$A9="","",Bids!$A9)</f>
        <v>B2004</v>
      </c>
      <c r="C10" s="40" t="str">
        <f>IF(Bids!$B9="","",Bids!$B9)</f>
        <v>O1002</v>
      </c>
      <c r="D10" s="40" t="str">
        <f>IF($C10="","",IFERROR(VLOOKUP($C10,Orders!$A$4:$J$998,9,FALSE),""))</f>
        <v/>
      </c>
      <c r="E10" s="40" t="str">
        <f>IF($C10="","",IFERROR(VLOOKUP($C10,Orders!$A$4:$J$998,3,FALSE),""))</f>
        <v/>
      </c>
      <c r="F10" s="40">
        <f t="shared" si="2"/>
        <v>1</v>
      </c>
      <c r="G10" s="40" t="str">
        <f>IF($C10="","",IFERROR(VLOOKUP($C10,Orders!$A$4:$J$998,4,FALSE),""))</f>
        <v/>
      </c>
      <c r="H10" s="40" t="str">
        <f>IF($C10="","",IFERROR(VLOOKUP($C10,Orders!$A$4:$J$998,5,FALSE),""))</f>
        <v/>
      </c>
      <c r="I10" s="40" t="str">
        <f>IF($C10="","",IFERROR(VLOOKUP($C10,Orders!$A$4:$J$998,6,FALSE),""))</f>
        <v/>
      </c>
      <c r="J10" s="40" t="str">
        <f>IF($C10="","",IFERROR(VLOOKUP($C10,Orders!$A$4:$J$998,7,FALSE),""))</f>
        <v/>
      </c>
      <c r="K10" s="40" t="str">
        <f>IF(Bids!$C9="","",Bids!$C9)</f>
        <v>G001</v>
      </c>
      <c r="L10" s="40" t="str">
        <f>IF($K10="","",IFERROR(VLOOKUP($K10,Grinders!$A$4:$N$998,2,FALSE),""))</f>
        <v/>
      </c>
      <c r="M10" s="40" t="str">
        <f>IF($K10="","",IFERROR(VLOOKUP($K10,Grinders!$A$4:$N$998,3,FALSE),""))</f>
        <v/>
      </c>
      <c r="N10" s="40" t="str">
        <f>IF($K10="","",IFERROR(VLOOKUP($K10,Grinders!$A$4:$N$998,4,FALSE),""))</f>
        <v/>
      </c>
      <c r="O10" s="40" t="str">
        <f>IF($K10="","",IFERROR(VLOOKUP($K10,Grinders!$A$4:$N$998,5,FALSE),""))</f>
        <v/>
      </c>
      <c r="P10" s="40">
        <f>IF($K10="","",IF($C$4="",0,COUNTIFS(Assignments!$B$6:$B$1000,$K10,Assignments!$F$6:$F$1000,$C$4,Assignments!$E$6:$E$1000,"Active")))</f>
        <v>0</v>
      </c>
      <c r="Q10" s="40" t="str">
        <f t="shared" si="3"/>
        <v/>
      </c>
      <c r="R10" s="40" t="str">
        <f t="shared" si="4"/>
        <v/>
      </c>
      <c r="S10" s="40">
        <f>IF($K10="","",IF($C$4="",0,COUNTIFS(Assignments!$B$6:$B$1000,$K10,Assignments!$F$6:$F$1000,$C$4,Assignments!$D$6:$D$1000,"&gt;="&amp;Config!$B$3-7,Assignments!$D$6:$D$1000,"&lt;="&amp;Config!$B$3)))</f>
        <v>0</v>
      </c>
      <c r="T10" s="40" t="str">
        <f>IF($K10="","",IFERROR(VLOOKUP($K10,Grinders!$A$4:$N$998,8,FALSE),""))</f>
        <v/>
      </c>
      <c r="U10" s="40">
        <f>IFERROR(IF($K10="","",IF($M10="Elite",MAX(50,MIN(100,Config!$B$27*MAX(0,MIN(100,(1-IF($R10="",0,$R10))*100)) + Config!$B$28*MAX(0,MIN(100,(1-MIN(1,IF(Config!$B$30=0,1,$S10/Config!$B$30)))*100)) + Config!$B$29*MAX(0,MIN(100,MIN(1,IF($T10="",0,$T10)/Config!$B$23)*100)))),MIN(100,Config!$B$27*MAX(0,MIN(100,(1-IF($R10="",0,$R10))*100)) + Config!$B$28*MAX(0,MIN(100,(1-MIN(1,IF(Config!$B$30=0,1,$S10/Config!$B$30)))*100)) + Config!$B$29*MAX(0,MIN(100,MIN(1,IF($T10="",0,$T10)/Config!$B$23)*100))))),"")
</f>
        <v>85</v>
      </c>
      <c r="V10" s="40">
        <f>IF(Bids!$AC10="","",Bids!$AC10)</f>
        <v>800</v>
      </c>
      <c r="W10" s="47">
        <f>IF(Bids!$F9="","",Bids!$F9)</f>
        <v>46073.32986</v>
      </c>
      <c r="X10" s="40" t="str">
        <f t="shared" si="5"/>
        <v/>
      </c>
      <c r="Y10" s="40" t="str">
        <f>IF($X10="","",IF(Config!$B$17=Config!$B$16,IF($X10&gt;=Config!$B$17,100,0),MAX(0,MIN(100,($X10-Config!$B$16)/(Config!$B$17-Config!$B$16)*100))))</f>
        <v/>
      </c>
      <c r="Z10" s="48">
        <f>IF($M10="Elite",Config!$B$21,0)</f>
        <v>0</v>
      </c>
      <c r="AA10" s="40" t="str">
        <f>IFERROR(IF(OR($W10="",$H10=""),"",IF($W10&gt;$H10,
  MAX(0, 60-(($W10-$H10)*24/Config!$B$19)*60),
  MIN(100, 60+(($H10-$W10)*24/Config!$B$20)*40)
)),"")
</f>
        <v/>
      </c>
      <c r="AB10" s="40" t="str">
        <f>IF($K10="","",IFERROR(VLOOKUP($K10,Grinders!$A$4:$N$998,10,FALSE)/5*100,""))</f>
        <v/>
      </c>
      <c r="AC10" s="40" t="str">
        <f>IF($K10="","",IFERROR(VLOOKUP($K10,Grinders!$A$4:$N$998,11,FALSE)*100,""))</f>
        <v/>
      </c>
      <c r="AD10" s="40" t="str">
        <f>IF($K10="","",IFERROR(VLOOKUP($K10,Grinders!$A$4:$N$998,12,FALSE)*100,""))</f>
        <v/>
      </c>
      <c r="AE10" s="40" t="str">
        <f>IF(OR(AO10=1,AP10=1),0,=IFERROR(IFS(
    OR($C10="", $K10=""), 0,
    $F10=0, 0,
    $D10&lt;&gt;"Open", 0,
    COUNTIFS(GrinderServices!$A$6:$A$1000, $K10, GrinderServices!$B$6:$B$1000, $E10, GrinderServices!$D$6:$D$1000, "Y")=0, 0,
    $X10&lt;Config!$B$16, 0,
    Config!$B$18=1, IF($O10&gt;=N10, 0, 1),
    TRUE, 1
), "")
)</f>
        <v>#ERROR!</v>
      </c>
      <c r="AF10" s="40" t="str">
        <f>IFERROR((IF(OR(AO10=1,AP10=1),"",=IFERROR((IFERROR(IF($AE10=0,"",((Config!$B$6*$Y10 + Config!$B$7*$U10 + Config!$B$8*$Z10 + Config!$B$9*$AA10 + Config!$B$10*$AB10 + Config!$B$11*$AC10 - Config!$B$12*$AD10)/Config!$B$13)+$AK10+$AL10),""))*(1-IFERROR(VLOOKUP(K10,Grinders!$A:$AB, 28, FALSE),0)),"")))*(1+AR10),"")</f>
        <v>#ERROR!</v>
      </c>
      <c r="AG10" s="40" t="str">
        <f t="shared" si="6"/>
        <v>#ERROR!</v>
      </c>
      <c r="AH10" s="40" t="str">
        <f t="shared" si="7"/>
        <v/>
      </c>
      <c r="AI10" s="40" t="str">
        <f t="shared" si="8"/>
        <v/>
      </c>
      <c r="AJ10" s="40">
        <f>IF($K10="","",COUNTIF(Assignments!$B$6:$B$1000,$K10))</f>
        <v>0</v>
      </c>
      <c r="AK10" s="40">
        <f>IF($K10="","",IF(AND($AJ10=0,$O10&lt;$N10),Config!$B$43,0))</f>
        <v>0</v>
      </c>
      <c r="AL10" s="40">
        <f>IF($K10="","",IF(AND($M10="Elite",$G10&gt;=Config!$B$41,$O10&lt;$N10),Config!$B$42,0))</f>
        <v>0</v>
      </c>
      <c r="AM10" s="22"/>
      <c r="AN10" s="39">
        <f>IFERROR(VLOOKUP(K10,Grinders!$A:$Q,28,FALSE),0)</f>
        <v>0</v>
      </c>
      <c r="AO10" s="39">
        <f>IF(Config!$B$1003&lt;&gt;"Y",0,IF(IFERROR(VLOOKUP(K10,Grinders!$A:$P,27,FALSE),0)&gt;=3,IF(OR(G10&gt;=Config!$B$1001,ISNUMBER(SEARCH(E10,Config!$B$1002))),1,0),0))</f>
        <v>0</v>
      </c>
      <c r="AP10" s="39">
        <f t="array" ref="AP10">IFERROR(IF(INDEX(Bids!$AE:$AE,MATCH(B10,Bids!$A:$A,0))="Pending",1,0),0)</f>
        <v>0</v>
      </c>
      <c r="AQ10" s="39">
        <f t="array" ref="AQ10">IF(C10="","",IFERROR(XLOOKUP(C10,Assignments!$C:$C,Assignments!$AU:$AU,0),0))</f>
        <v>0</v>
      </c>
      <c r="AR10" s="39">
        <f>IF(AND(Config!$B$1006="Y",AQ10=1),Config!$B$1007,0)</f>
        <v>0</v>
      </c>
    </row>
    <row r="11">
      <c r="A11" s="46" t="str">
        <f t="shared" si="1"/>
        <v/>
      </c>
      <c r="B11" s="40" t="str">
        <f>IF(Bids!$A10="","",Bids!$A10)</f>
        <v>B2005</v>
      </c>
      <c r="C11" s="40" t="str">
        <f>IF(Bids!$B10="","",Bids!$B10)</f>
        <v>O1003</v>
      </c>
      <c r="D11" s="40" t="str">
        <f>IF($C11="","",IFERROR(VLOOKUP($C11,Orders!$A$4:$J$998,9,FALSE),""))</f>
        <v/>
      </c>
      <c r="E11" s="40" t="str">
        <f>IF($C11="","",IFERROR(VLOOKUP($C11,Orders!$A$4:$J$998,3,FALSE),""))</f>
        <v/>
      </c>
      <c r="F11" s="40">
        <f t="shared" si="2"/>
        <v>1</v>
      </c>
      <c r="G11" s="40" t="str">
        <f>IF($C11="","",IFERROR(VLOOKUP($C11,Orders!$A$4:$J$998,4,FALSE),""))</f>
        <v/>
      </c>
      <c r="H11" s="40" t="str">
        <f>IF($C11="","",IFERROR(VLOOKUP($C11,Orders!$A$4:$J$998,5,FALSE),""))</f>
        <v/>
      </c>
      <c r="I11" s="40" t="str">
        <f>IF($C11="","",IFERROR(VLOOKUP($C11,Orders!$A$4:$J$998,6,FALSE),""))</f>
        <v/>
      </c>
      <c r="J11" s="40" t="str">
        <f>IF($C11="","",IFERROR(VLOOKUP($C11,Orders!$A$4:$J$998,7,FALSE),""))</f>
        <v/>
      </c>
      <c r="K11" s="40" t="str">
        <f>IF(Bids!$C10="","",Bids!$C10)</f>
        <v>G004</v>
      </c>
      <c r="L11" s="40" t="str">
        <f>IF($K11="","",IFERROR(VLOOKUP($K11,Grinders!$A$4:$N$998,2,FALSE),""))</f>
        <v/>
      </c>
      <c r="M11" s="40" t="str">
        <f>IF($K11="","",IFERROR(VLOOKUP($K11,Grinders!$A$4:$N$998,3,FALSE),""))</f>
        <v/>
      </c>
      <c r="N11" s="40" t="str">
        <f>IF($K11="","",IFERROR(VLOOKUP($K11,Grinders!$A$4:$N$998,4,FALSE),""))</f>
        <v/>
      </c>
      <c r="O11" s="40" t="str">
        <f>IF($K11="","",IFERROR(VLOOKUP($K11,Grinders!$A$4:$N$998,5,FALSE),""))</f>
        <v/>
      </c>
      <c r="P11" s="40">
        <f>IF($K11="","",IF($C$4="",0,COUNTIFS(Assignments!$B$6:$B$1000,$K11,Assignments!$F$6:$F$1000,$C$4,Assignments!$E$6:$E$1000,"Active")))</f>
        <v>0</v>
      </c>
      <c r="Q11" s="40" t="str">
        <f t="shared" si="3"/>
        <v/>
      </c>
      <c r="R11" s="40" t="str">
        <f t="shared" si="4"/>
        <v/>
      </c>
      <c r="S11" s="40">
        <f>IF($K11="","",IF($C$4="",0,COUNTIFS(Assignments!$B$6:$B$1000,$K11,Assignments!$F$6:$F$1000,$C$4,Assignments!$D$6:$D$1000,"&gt;="&amp;Config!$B$3-7,Assignments!$D$6:$D$1000,"&lt;="&amp;Config!$B$3)))</f>
        <v>0</v>
      </c>
      <c r="T11" s="40" t="str">
        <f>IF($K11="","",IFERROR(VLOOKUP($K11,Grinders!$A$4:$N$998,8,FALSE),""))</f>
        <v/>
      </c>
      <c r="U11" s="40">
        <f>IFERROR(IF($K11="","",IF($M11="Elite",MAX(50,MIN(100,Config!$B$27*MAX(0,MIN(100,(1-IF($R11="",0,$R11))*100)) + Config!$B$28*MAX(0,MIN(100,(1-MIN(1,IF(Config!$B$30=0,1,$S11/Config!$B$30)))*100)) + Config!$B$29*MAX(0,MIN(100,MIN(1,IF($T11="",0,$T11)/Config!$B$23)*100)))),MIN(100,Config!$B$27*MAX(0,MIN(100,(1-IF($R11="",0,$R11))*100)) + Config!$B$28*MAX(0,MIN(100,(1-MIN(1,IF(Config!$B$30=0,1,$S11/Config!$B$30)))*100)) + Config!$B$29*MAX(0,MIN(100,MIN(1,IF($T11="",0,$T11)/Config!$B$23)*100))))),"")
</f>
        <v>85</v>
      </c>
      <c r="V11" s="40">
        <f>IF(Bids!$AC11="","",Bids!$AC11)</f>
        <v>700</v>
      </c>
      <c r="W11" s="47">
        <f>IF(Bids!$F10="","",Bids!$F10)</f>
        <v>46077.82986</v>
      </c>
      <c r="X11" s="40" t="str">
        <f t="shared" si="5"/>
        <v/>
      </c>
      <c r="Y11" s="40" t="str">
        <f>IF($X11="","",IF(Config!$B$17=Config!$B$16,IF($X11&gt;=Config!$B$17,100,0),MAX(0,MIN(100,($X11-Config!$B$16)/(Config!$B$17-Config!$B$16)*100))))</f>
        <v/>
      </c>
      <c r="Z11" s="48">
        <f>IF($M11="Elite",Config!$B$21,0)</f>
        <v>0</v>
      </c>
      <c r="AA11" s="40" t="str">
        <f>IFERROR(IF(OR($W11="",$H11=""),"",IF($W11&gt;$H11,
  MAX(0, 60-(($W11-$H11)*24/Config!$B$19)*60),
  MIN(100, 60+(($H11-$W11)*24/Config!$B$20)*40)
)),"")
</f>
        <v/>
      </c>
      <c r="AB11" s="40" t="str">
        <f>IF($K11="","",IFERROR(VLOOKUP($K11,Grinders!$A$4:$N$998,10,FALSE)/5*100,""))</f>
        <v/>
      </c>
      <c r="AC11" s="40" t="str">
        <f>IF($K11="","",IFERROR(VLOOKUP($K11,Grinders!$A$4:$N$998,11,FALSE)*100,""))</f>
        <v/>
      </c>
      <c r="AD11" s="40" t="str">
        <f>IF($K11="","",IFERROR(VLOOKUP($K11,Grinders!$A$4:$N$998,12,FALSE)*100,""))</f>
        <v/>
      </c>
      <c r="AE11" s="40" t="str">
        <f>IF(OR(AO11=1,AP11=1),0,=IFERROR(IFS(
    OR($C11="", $K11=""), 0,
    $F11=0, 0,
    $D11&lt;&gt;"Open", 0,
    COUNTIFS(GrinderServices!$A$6:$A$1000, $K11, GrinderServices!$B$6:$B$1000, $E11, GrinderServices!$D$6:$D$1000, "Y")=0, 0,
    $X11&lt;Config!$B$16, 0,
    Config!$B$18=1, IF($O11&gt;=N11, 0, 1),
    TRUE, 1
), "")
)</f>
        <v>#ERROR!</v>
      </c>
      <c r="AF11" s="40" t="str">
        <f>IFERROR((IF(OR(AO11=1,AP11=1),"",=IFERROR((IFERROR(IF($AE11=0,"",((Config!$B$6*$Y11 + Config!$B$7*$U11 + Config!$B$8*$Z11 + Config!$B$9*$AA11 + Config!$B$10*$AB11 + Config!$B$11*$AC11 - Config!$B$12*$AD11)/Config!$B$13)+$AK11+$AL11),""))*(1-IFERROR(VLOOKUP(K11,Grinders!$A:$AB, 28, FALSE),0)),"")))*(1+AR11),"")</f>
        <v>#ERROR!</v>
      </c>
      <c r="AG11" s="40" t="str">
        <f t="shared" si="6"/>
        <v>#ERROR!</v>
      </c>
      <c r="AH11" s="40" t="str">
        <f t="shared" si="7"/>
        <v/>
      </c>
      <c r="AI11" s="40" t="str">
        <f t="shared" si="8"/>
        <v/>
      </c>
      <c r="AJ11" s="40">
        <f>IF($K11="","",COUNTIF(Assignments!$B$6:$B$1000,$K11))</f>
        <v>0</v>
      </c>
      <c r="AK11" s="40">
        <f>IF($K11="","",IF(AND($AJ11=0,$O11&lt;$N11),Config!$B$43,0))</f>
        <v>0</v>
      </c>
      <c r="AL11" s="40">
        <f>IF($K11="","",IF(AND($M11="Elite",$G11&gt;=Config!$B$41,$O11&lt;$N11),Config!$B$42,0))</f>
        <v>0</v>
      </c>
      <c r="AM11" s="22"/>
      <c r="AN11" s="39">
        <f>IFERROR(VLOOKUP(K11,Grinders!$A:$Q,28,FALSE),0)</f>
        <v>0</v>
      </c>
      <c r="AO11" s="39">
        <f>IF(Config!$B$1003&lt;&gt;"Y",0,IF(IFERROR(VLOOKUP(K11,Grinders!$A:$P,27,FALSE),0)&gt;=3,IF(OR(G11&gt;=Config!$B$1001,ISNUMBER(SEARCH(E11,Config!$B$1002))),1,0),0))</f>
        <v>0</v>
      </c>
      <c r="AP11" s="39">
        <f t="array" ref="AP11">IFERROR(IF(INDEX(Bids!$AE:$AE,MATCH(B11,Bids!$A:$A,0))="Pending",1,0),0)</f>
        <v>0</v>
      </c>
      <c r="AQ11" s="39">
        <f t="array" ref="AQ11">IF(C11="","",IFERROR(XLOOKUP(C11,Assignments!$C:$C,Assignments!$AU:$AU,0),0))</f>
        <v>0</v>
      </c>
      <c r="AR11" s="39">
        <f>IF(AND(Config!$B$1006="Y",AQ11=1),Config!$B$1007,0)</f>
        <v>0</v>
      </c>
    </row>
    <row r="12">
      <c r="A12" s="46" t="str">
        <f t="shared" si="1"/>
        <v/>
      </c>
      <c r="B12" s="40" t="str">
        <f>IF(Bids!$A11="","",Bids!$A11)</f>
        <v>B2006</v>
      </c>
      <c r="C12" s="40" t="str">
        <f>IF(Bids!$B11="","",Bids!$B11)</f>
        <v>O1003</v>
      </c>
      <c r="D12" s="40" t="str">
        <f>IF($C12="","",IFERROR(VLOOKUP($C12,Orders!$A$4:$J$998,9,FALSE),""))</f>
        <v/>
      </c>
      <c r="E12" s="40" t="str">
        <f>IF($C12="","",IFERROR(VLOOKUP($C12,Orders!$A$4:$J$998,3,FALSE),""))</f>
        <v/>
      </c>
      <c r="F12" s="40">
        <f t="shared" si="2"/>
        <v>1</v>
      </c>
      <c r="G12" s="40" t="str">
        <f>IF($C12="","",IFERROR(VLOOKUP($C12,Orders!$A$4:$J$998,4,FALSE),""))</f>
        <v/>
      </c>
      <c r="H12" s="40" t="str">
        <f>IF($C12="","",IFERROR(VLOOKUP($C12,Orders!$A$4:$J$998,5,FALSE),""))</f>
        <v/>
      </c>
      <c r="I12" s="40" t="str">
        <f>IF($C12="","",IFERROR(VLOOKUP($C12,Orders!$A$4:$J$998,6,FALSE),""))</f>
        <v/>
      </c>
      <c r="J12" s="40" t="str">
        <f>IF($C12="","",IFERROR(VLOOKUP($C12,Orders!$A$4:$J$998,7,FALSE),""))</f>
        <v/>
      </c>
      <c r="K12" s="40" t="str">
        <f>IF(Bids!$C11="","",Bids!$C11)</f>
        <v>G001</v>
      </c>
      <c r="L12" s="40" t="str">
        <f>IF($K12="","",IFERROR(VLOOKUP($K12,Grinders!$A$4:$N$998,2,FALSE),""))</f>
        <v/>
      </c>
      <c r="M12" s="40" t="str">
        <f>IF($K12="","",IFERROR(VLOOKUP($K12,Grinders!$A$4:$N$998,3,FALSE),""))</f>
        <v/>
      </c>
      <c r="N12" s="40" t="str">
        <f>IF($K12="","",IFERROR(VLOOKUP($K12,Grinders!$A$4:$N$998,4,FALSE),""))</f>
        <v/>
      </c>
      <c r="O12" s="40" t="str">
        <f>IF($K12="","",IFERROR(VLOOKUP($K12,Grinders!$A$4:$N$998,5,FALSE),""))</f>
        <v/>
      </c>
      <c r="P12" s="40">
        <f>IF($K12="","",IF($C$4="",0,COUNTIFS(Assignments!$B$6:$B$1000,$K12,Assignments!$F$6:$F$1000,$C$4,Assignments!$E$6:$E$1000,"Active")))</f>
        <v>0</v>
      </c>
      <c r="Q12" s="40" t="str">
        <f t="shared" si="3"/>
        <v/>
      </c>
      <c r="R12" s="40" t="str">
        <f t="shared" si="4"/>
        <v/>
      </c>
      <c r="S12" s="40">
        <f>IF($K12="","",IF($C$4="",0,COUNTIFS(Assignments!$B$6:$B$1000,$K12,Assignments!$F$6:$F$1000,$C$4,Assignments!$D$6:$D$1000,"&gt;="&amp;Config!$B$3-7,Assignments!$D$6:$D$1000,"&lt;="&amp;Config!$B$3)))</f>
        <v>0</v>
      </c>
      <c r="T12" s="40" t="str">
        <f>IF($K12="","",IFERROR(VLOOKUP($K12,Grinders!$A$4:$N$998,8,FALSE),""))</f>
        <v/>
      </c>
      <c r="U12" s="40">
        <f>IFERROR(IF($K12="","",IF($M12="Elite",MAX(50,MIN(100,Config!$B$27*MAX(0,MIN(100,(1-IF($R12="",0,$R12))*100)) + Config!$B$28*MAX(0,MIN(100,(1-MIN(1,IF(Config!$B$30=0,1,$S12/Config!$B$30)))*100)) + Config!$B$29*MAX(0,MIN(100,MIN(1,IF($T12="",0,$T12)/Config!$B$23)*100)))),MIN(100,Config!$B$27*MAX(0,MIN(100,(1-IF($R12="",0,$R12))*100)) + Config!$B$28*MAX(0,MIN(100,(1-MIN(1,IF(Config!$B$30=0,1,$S12/Config!$B$30)))*100)) + Config!$B$29*MAX(0,MIN(100,MIN(1,IF($T12="",0,$T12)/Config!$B$23)*100))))),"")
</f>
        <v>85</v>
      </c>
      <c r="V12" s="40" t="str">
        <f>IF(Bids!$AC12="","",Bids!$AC12)</f>
        <v/>
      </c>
      <c r="W12" s="47">
        <f>IF(Bids!$F11="","",Bids!$F11)</f>
        <v>46078.82986</v>
      </c>
      <c r="X12" s="40" t="str">
        <f t="shared" si="5"/>
        <v/>
      </c>
      <c r="Y12" s="40" t="str">
        <f>IF($X12="","",IF(Config!$B$17=Config!$B$16,IF($X12&gt;=Config!$B$17,100,0),MAX(0,MIN(100,($X12-Config!$B$16)/(Config!$B$17-Config!$B$16)*100))))</f>
        <v/>
      </c>
      <c r="Z12" s="48">
        <f>IF($M12="Elite",Config!$B$21,0)</f>
        <v>0</v>
      </c>
      <c r="AA12" s="40" t="str">
        <f>IFERROR(IF(OR($W12="",$H12=""),"",IF($W12&gt;$H12,
  MAX(0, 60-(($W12-$H12)*24/Config!$B$19)*60),
  MIN(100, 60+(($H12-$W12)*24/Config!$B$20)*40)
)),"")
</f>
        <v/>
      </c>
      <c r="AB12" s="40" t="str">
        <f>IF($K12="","",IFERROR(VLOOKUP($K12,Grinders!$A$4:$N$998,10,FALSE)/5*100,""))</f>
        <v/>
      </c>
      <c r="AC12" s="40" t="str">
        <f>IF($K12="","",IFERROR(VLOOKUP($K12,Grinders!$A$4:$N$998,11,FALSE)*100,""))</f>
        <v/>
      </c>
      <c r="AD12" s="40" t="str">
        <f>IF($K12="","",IFERROR(VLOOKUP($K12,Grinders!$A$4:$N$998,12,FALSE)*100,""))</f>
        <v/>
      </c>
      <c r="AE12" s="40" t="str">
        <f>IF(OR(AO12=1,AP12=1),0,=IFERROR(IFS(
    OR($C12="", $K12=""), 0,
    $F12=0, 0,
    $D12&lt;&gt;"Open", 0,
    COUNTIFS(GrinderServices!$A$6:$A$1000, $K12, GrinderServices!$B$6:$B$1000, $E12, GrinderServices!$D$6:$D$1000, "Y")=0, 0,
    $X12&lt;Config!$B$16, 0,
    Config!$B$18=1, IF($O12&gt;=N12, 0, 1),
    TRUE, 1
), "")
)</f>
        <v>#ERROR!</v>
      </c>
      <c r="AF12" s="40" t="str">
        <f>IFERROR((IF(OR(AO12=1,AP12=1),"",=IFERROR((IFERROR(IF($AE12=0,"",((Config!$B$6*$Y12 + Config!$B$7*$U12 + Config!$B$8*$Z12 + Config!$B$9*$AA12 + Config!$B$10*$AB12 + Config!$B$11*$AC12 - Config!$B$12*$AD12)/Config!$B$13)+$AK12+$AL12),""))*(1-IFERROR(VLOOKUP(K12,Grinders!$A:$AB, 28, FALSE),0)),"")))*(1+AR12),"")</f>
        <v>#ERROR!</v>
      </c>
      <c r="AG12" s="40" t="str">
        <f t="shared" si="6"/>
        <v>#ERROR!</v>
      </c>
      <c r="AH12" s="40" t="str">
        <f t="shared" si="7"/>
        <v/>
      </c>
      <c r="AI12" s="40" t="str">
        <f t="shared" si="8"/>
        <v/>
      </c>
      <c r="AJ12" s="40">
        <f>IF($K12="","",COUNTIF(Assignments!$B$6:$B$1000,$K12))</f>
        <v>0</v>
      </c>
      <c r="AK12" s="40">
        <f>IF($K12="","",IF(AND($AJ12=0,$O12&lt;$N12),Config!$B$43,0))</f>
        <v>0</v>
      </c>
      <c r="AL12" s="40">
        <f>IF($K12="","",IF(AND($M12="Elite",$G12&gt;=Config!$B$41,$O12&lt;$N12),Config!$B$42,0))</f>
        <v>0</v>
      </c>
      <c r="AM12" s="22"/>
      <c r="AN12" s="39">
        <f>IFERROR(VLOOKUP(K12,Grinders!$A:$Q,28,FALSE),0)</f>
        <v>0</v>
      </c>
      <c r="AO12" s="39">
        <f>IF(Config!$B$1003&lt;&gt;"Y",0,IF(IFERROR(VLOOKUP(K12,Grinders!$A:$P,27,FALSE),0)&gt;=3,IF(OR(G12&gt;=Config!$B$1001,ISNUMBER(SEARCH(E12,Config!$B$1002))),1,0),0))</f>
        <v>0</v>
      </c>
      <c r="AP12" s="39">
        <f t="array" ref="AP12">IFERROR(IF(INDEX(Bids!$AE:$AE,MATCH(B12,Bids!$A:$A,0))="Pending",1,0),0)</f>
        <v>0</v>
      </c>
      <c r="AQ12" s="39">
        <f t="array" ref="AQ12">IF(C12="","",IFERROR(XLOOKUP(C12,Assignments!$C:$C,Assignments!$AU:$AU,0),0))</f>
        <v>0</v>
      </c>
      <c r="AR12" s="39">
        <f>IF(AND(Config!$B$1006="Y",AQ12=1),Config!$B$1007,0)</f>
        <v>0</v>
      </c>
    </row>
    <row r="13">
      <c r="A13" s="46" t="str">
        <f t="shared" si="1"/>
        <v/>
      </c>
      <c r="B13" s="40" t="str">
        <f>IF(Bids!$A12="","",Bids!$A12)</f>
        <v/>
      </c>
      <c r="C13" s="40" t="str">
        <f>IF(Bids!$B12="","",Bids!$B12)</f>
        <v/>
      </c>
      <c r="D13" s="40" t="str">
        <f>IF($C13="","",IFERROR(VLOOKUP($C13,Orders!$A$4:$J$998,9,FALSE),""))</f>
        <v/>
      </c>
      <c r="E13" s="40" t="str">
        <f>IF($C13="","",IFERROR(VLOOKUP($C13,Orders!$A$4:$J$998,3,FALSE),""))</f>
        <v/>
      </c>
      <c r="F13" s="40">
        <f t="shared" si="2"/>
        <v>1</v>
      </c>
      <c r="G13" s="40" t="str">
        <f>IF($C13="","",IFERROR(VLOOKUP($C13,Orders!$A$4:$J$998,4,FALSE),""))</f>
        <v/>
      </c>
      <c r="H13" s="40" t="str">
        <f>IF($C13="","",IFERROR(VLOOKUP($C13,Orders!$A$4:$J$998,5,FALSE),""))</f>
        <v/>
      </c>
      <c r="I13" s="40" t="str">
        <f>IF($C13="","",IFERROR(VLOOKUP($C13,Orders!$A$4:$J$998,6,FALSE),""))</f>
        <v/>
      </c>
      <c r="J13" s="40" t="str">
        <f>IF($C13="","",IFERROR(VLOOKUP($C13,Orders!$A$4:$J$998,7,FALSE),""))</f>
        <v/>
      </c>
      <c r="K13" s="40" t="str">
        <f>IF(Bids!$C12="","",Bids!$C12)</f>
        <v/>
      </c>
      <c r="L13" s="40" t="str">
        <f>IF($K13="","",IFERROR(VLOOKUP($K13,Grinders!$A$4:$N$998,2,FALSE),""))</f>
        <v/>
      </c>
      <c r="M13" s="40" t="str">
        <f>IF($K13="","",IFERROR(VLOOKUP($K13,Grinders!$A$4:$N$998,3,FALSE),""))</f>
        <v/>
      </c>
      <c r="N13" s="40" t="str">
        <f>IF($K13="","",IFERROR(VLOOKUP($K13,Grinders!$A$4:$N$998,4,FALSE),""))</f>
        <v/>
      </c>
      <c r="O13" s="40" t="str">
        <f>IF($K13="","",IFERROR(VLOOKUP($K13,Grinders!$A$4:$N$998,5,FALSE),""))</f>
        <v/>
      </c>
      <c r="P13" s="40" t="str">
        <f>IF($K13="","",IF($C$4="",0,COUNTIFS(Assignments!$B$6:$B$1000,$K13,Assignments!$F$6:$F$1000,$C$4,Assignments!$E$6:$E$1000,"Active")))</f>
        <v/>
      </c>
      <c r="Q13" s="40" t="str">
        <f t="shared" si="3"/>
        <v/>
      </c>
      <c r="R13" s="40" t="str">
        <f t="shared" si="4"/>
        <v/>
      </c>
      <c r="S13" s="40" t="str">
        <f>IF($K13="","",IF($C$4="",0,COUNTIFS(Assignments!$B$6:$B$1000,$K13,Assignments!$F$6:$F$1000,$C$4,Assignments!$D$6:$D$1000,"&gt;="&amp;Config!$B$3-7,Assignments!$D$6:$D$1000,"&lt;="&amp;Config!$B$3)))</f>
        <v/>
      </c>
      <c r="T13" s="40" t="str">
        <f>IF($K13="","",IFERROR(VLOOKUP($K13,Grinders!$A$4:$N$998,8,FALSE),""))</f>
        <v/>
      </c>
      <c r="U13" s="40" t="str">
        <f>IFERROR(IF($K13="","",IF($M13="Elite",MAX(50,MIN(100,Config!$B$27*MAX(0,MIN(100,(1-IF($R13="",0,$R13))*100)) + Config!$B$28*MAX(0,MIN(100,(1-MIN(1,IF(Config!$B$30=0,1,$S13/Config!$B$30)))*100)) + Config!$B$29*MAX(0,MIN(100,MIN(1,IF($T13="",0,$T13)/Config!$B$23)*100)))),MIN(100,Config!$B$27*MAX(0,MIN(100,(1-IF($R13="",0,$R13))*100)) + Config!$B$28*MAX(0,MIN(100,(1-MIN(1,IF(Config!$B$30=0,1,$S13/Config!$B$30)))*100)) + Config!$B$29*MAX(0,MIN(100,MIN(1,IF($T13="",0,$T13)/Config!$B$23)*100))))),"")
</f>
        <v/>
      </c>
      <c r="V13" s="40" t="str">
        <f>IF(Bids!$AC13="","",Bids!$AC13)</f>
        <v/>
      </c>
      <c r="W13" s="40" t="str">
        <f>IF(Bids!$F12="","",Bids!$F12)</f>
        <v/>
      </c>
      <c r="X13" s="40" t="str">
        <f t="shared" si="5"/>
        <v/>
      </c>
      <c r="Y13" s="40" t="str">
        <f>IF($X13="","",IF(Config!$B$17=Config!$B$16,IF($X13&gt;=Config!$B$17,100,0),MAX(0,MIN(100,($X13-Config!$B$16)/(Config!$B$17-Config!$B$16)*100))))</f>
        <v/>
      </c>
      <c r="Z13" s="40">
        <f>IF($M13="Elite",Config!$B$21,0)</f>
        <v>0</v>
      </c>
      <c r="AA13" s="40" t="str">
        <f>IFERROR(IF(OR($W13="",$H13=""),"",IF($W13&gt;$H13,
  MAX(0, 60-(($W13-$H13)*24/Config!$B$19)*60),
  MIN(100, 60+(($H13-$W13)*24/Config!$B$20)*40)
)),"")
</f>
        <v/>
      </c>
      <c r="AB13" s="40" t="str">
        <f>IF($K13="","",IFERROR(VLOOKUP($K13,Grinders!$A$4:$N$998,10,FALSE)/5*100,""))</f>
        <v/>
      </c>
      <c r="AC13" s="40" t="str">
        <f>IF($K13="","",IFERROR(VLOOKUP($K13,Grinders!$A$4:$N$998,11,FALSE)*100,""))</f>
        <v/>
      </c>
      <c r="AD13" s="40" t="str">
        <f>IF($K13="","",IFERROR(VLOOKUP($K13,Grinders!$A$4:$N$998,12,FALSE)*100,""))</f>
        <v/>
      </c>
      <c r="AE13" s="40" t="str">
        <f>IF(OR(AO13=1,AP13=1),0,=IFERROR(IFS(
    OR($C13="", $K13=""), 0,
    $F13=0, 0,
    $D13&lt;&gt;"Open", 0,
    COUNTIFS(GrinderServices!$A$6:$A$1000, $K13, GrinderServices!$B$6:$B$1000, $E13, GrinderServices!$D$6:$D$1000, "Y")=0, 0,
    $X13&lt;Config!$B$16, 0,
    Config!$B$18=1, IF($O13&gt;=N13, 0, 1),
    TRUE, 1
), "")
)</f>
        <v>#ERROR!</v>
      </c>
      <c r="AF13" s="40" t="str">
        <f>IFERROR((IF(OR(AO13=1,AP13=1),"",=IFERROR((IFERROR(IF($AE13=0,"",((Config!$B$6*$Y13 + Config!$B$7*$U13 + Config!$B$8*$Z13 + Config!$B$9*$AA13 + Config!$B$10*$AB13 + Config!$B$11*$AC13 - Config!$B$12*$AD13)/Config!$B$13)+$AK13+$AL13),""))*(1-IFERROR(VLOOKUP(K13,Grinders!$A:$AB, 28, FALSE),0)),"")))*(1+AR13),"")</f>
        <v>#ERROR!</v>
      </c>
      <c r="AG13" s="40" t="str">
        <f t="shared" si="6"/>
        <v>#ERROR!</v>
      </c>
      <c r="AH13" s="40" t="str">
        <f t="shared" si="7"/>
        <v/>
      </c>
      <c r="AI13" s="40" t="str">
        <f t="shared" si="8"/>
        <v/>
      </c>
      <c r="AJ13" s="40" t="str">
        <f>IF($K13="","",COUNTIF(Assignments!$B$6:$B$1000,$K13))</f>
        <v/>
      </c>
      <c r="AK13" s="40" t="str">
        <f>IF($K13="","",IF(AND($AJ13=0,$O13&lt;$N13),Config!$B$43,0))</f>
        <v/>
      </c>
      <c r="AL13" s="40" t="str">
        <f>IF($K13="","",IF(AND($M13="Elite",$G13&gt;=Config!$B$41,$O13&lt;$N13),Config!$B$42,0))</f>
        <v/>
      </c>
      <c r="AM13" s="22"/>
      <c r="AN13" s="39">
        <f>IFERROR(VLOOKUP(K13,Grinders!$A:$Q,28,FALSE),0)</f>
        <v>0</v>
      </c>
      <c r="AO13" s="39">
        <f>IF(Config!$B$1003&lt;&gt;"Y",0,IF(IFERROR(VLOOKUP(K13,Grinders!$A:$P,27,FALSE),0)&gt;=3,IF(OR(G13&gt;=Config!$B$1001,ISNUMBER(SEARCH(E13,Config!$B$1002))),1,0),0))</f>
        <v>0</v>
      </c>
      <c r="AP13" s="39">
        <f t="array" ref="AP13">IFERROR(IF(INDEX(Bids!$AE:$AE,MATCH(B13,Bids!$A:$A,0))="Pending",1,0),0)</f>
        <v>0</v>
      </c>
      <c r="AQ13" s="39" t="str">
        <f t="array" ref="AQ13">IF(C13="","",IFERROR(XLOOKUP(C13,Assignments!$C:$C,Assignments!$AU:$AU,0),0))</f>
        <v/>
      </c>
      <c r="AR13" s="39">
        <f>IF(AND(Config!$B$1006="Y",AQ13=1),Config!$B$1007,0)</f>
        <v>0</v>
      </c>
    </row>
    <row r="14">
      <c r="A14" s="46" t="str">
        <f t="shared" si="1"/>
        <v/>
      </c>
      <c r="B14" s="40" t="str">
        <f>IF(Bids!$A13="","",Bids!$A13)</f>
        <v/>
      </c>
      <c r="C14" s="40" t="str">
        <f>IF(Bids!$B13="","",Bids!$B13)</f>
        <v/>
      </c>
      <c r="D14" s="40" t="str">
        <f>IF($C14="","",IFERROR(VLOOKUP($C14,Orders!$A$4:$J$998,9,FALSE),""))</f>
        <v/>
      </c>
      <c r="E14" s="40" t="str">
        <f>IF($C14="","",IFERROR(VLOOKUP($C14,Orders!$A$4:$J$998,3,FALSE),""))</f>
        <v/>
      </c>
      <c r="F14" s="40">
        <f t="shared" si="2"/>
        <v>1</v>
      </c>
      <c r="G14" s="40" t="str">
        <f>IF($C14="","",IFERROR(VLOOKUP($C14,Orders!$A$4:$J$998,4,FALSE),""))</f>
        <v/>
      </c>
      <c r="H14" s="40" t="str">
        <f>IF($C14="","",IFERROR(VLOOKUP($C14,Orders!$A$4:$J$998,5,FALSE),""))</f>
        <v/>
      </c>
      <c r="I14" s="40" t="str">
        <f>IF($C14="","",IFERROR(VLOOKUP($C14,Orders!$A$4:$J$998,6,FALSE),""))</f>
        <v/>
      </c>
      <c r="J14" s="40" t="str">
        <f>IF($C14="","",IFERROR(VLOOKUP($C14,Orders!$A$4:$J$998,7,FALSE),""))</f>
        <v/>
      </c>
      <c r="K14" s="40" t="str">
        <f>IF(Bids!$C13="","",Bids!$C13)</f>
        <v/>
      </c>
      <c r="L14" s="40" t="str">
        <f>IF($K14="","",IFERROR(VLOOKUP($K14,Grinders!$A$4:$N$998,2,FALSE),""))</f>
        <v/>
      </c>
      <c r="M14" s="40" t="str">
        <f>IF($K14="","",IFERROR(VLOOKUP($K14,Grinders!$A$4:$N$998,3,FALSE),""))</f>
        <v/>
      </c>
      <c r="N14" s="40" t="str">
        <f>IF($K14="","",IFERROR(VLOOKUP($K14,Grinders!$A$4:$N$998,4,FALSE),""))</f>
        <v/>
      </c>
      <c r="O14" s="40" t="str">
        <f>IF($K14="","",IFERROR(VLOOKUP($K14,Grinders!$A$4:$N$998,5,FALSE),""))</f>
        <v/>
      </c>
      <c r="P14" s="40" t="str">
        <f>IF($K14="","",IF($C$4="",0,COUNTIFS(Assignments!$B$6:$B$1000,$K14,Assignments!$F$6:$F$1000,$C$4,Assignments!$E$6:$E$1000,"Active")))</f>
        <v/>
      </c>
      <c r="Q14" s="40" t="str">
        <f t="shared" si="3"/>
        <v/>
      </c>
      <c r="R14" s="40" t="str">
        <f t="shared" si="4"/>
        <v/>
      </c>
      <c r="S14" s="40" t="str">
        <f>IF($K14="","",IF($C$4="",0,COUNTIFS(Assignments!$B$6:$B$1000,$K14,Assignments!$F$6:$F$1000,$C$4,Assignments!$D$6:$D$1000,"&gt;="&amp;Config!$B$3-7,Assignments!$D$6:$D$1000,"&lt;="&amp;Config!$B$3)))</f>
        <v/>
      </c>
      <c r="T14" s="40" t="str">
        <f>IF($K14="","",IFERROR(VLOOKUP($K14,Grinders!$A$4:$N$998,8,FALSE),""))</f>
        <v/>
      </c>
      <c r="U14" s="40" t="str">
        <f>IFERROR(IF($K14="","",IF($M14="Elite",MAX(50,MIN(100,Config!$B$27*MAX(0,MIN(100,(1-IF($R14="",0,$R14))*100)) + Config!$B$28*MAX(0,MIN(100,(1-MIN(1,IF(Config!$B$30=0,1,$S14/Config!$B$30)))*100)) + Config!$B$29*MAX(0,MIN(100,MIN(1,IF($T14="",0,$T14)/Config!$B$23)*100)))),MIN(100,Config!$B$27*MAX(0,MIN(100,(1-IF($R14="",0,$R14))*100)) + Config!$B$28*MAX(0,MIN(100,(1-MIN(1,IF(Config!$B$30=0,1,$S14/Config!$B$30)))*100)) + Config!$B$29*MAX(0,MIN(100,MIN(1,IF($T14="",0,$T14)/Config!$B$23)*100))))),"")
</f>
        <v/>
      </c>
      <c r="V14" s="40" t="str">
        <f>IF(Bids!$AC14="","",Bids!$AC14)</f>
        <v/>
      </c>
      <c r="W14" s="40" t="str">
        <f>IF(Bids!$F13="","",Bids!$F13)</f>
        <v/>
      </c>
      <c r="X14" s="40" t="str">
        <f t="shared" si="5"/>
        <v/>
      </c>
      <c r="Y14" s="40" t="str">
        <f>IF($X14="","",IF(Config!$B$17=Config!$B$16,IF($X14&gt;=Config!$B$17,100,0),MAX(0,MIN(100,($X14-Config!$B$16)/(Config!$B$17-Config!$B$16)*100))))</f>
        <v/>
      </c>
      <c r="Z14" s="40">
        <f>IF($M14="Elite",Config!$B$21,0)</f>
        <v>0</v>
      </c>
      <c r="AA14" s="40" t="str">
        <f>IFERROR(IF(OR($W14="",$H14=""),"",IF($W14&gt;$H14,
  MAX(0, 60-(($W14-$H14)*24/Config!$B$19)*60),
  MIN(100, 60+(($H14-$W14)*24/Config!$B$20)*40)
)),"")
</f>
        <v/>
      </c>
      <c r="AB14" s="40" t="str">
        <f>IF($K14="","",IFERROR(VLOOKUP($K14,Grinders!$A$4:$N$998,10,FALSE)/5*100,""))</f>
        <v/>
      </c>
      <c r="AC14" s="40" t="str">
        <f>IF($K14="","",IFERROR(VLOOKUP($K14,Grinders!$A$4:$N$998,11,FALSE)*100,""))</f>
        <v/>
      </c>
      <c r="AD14" s="40" t="str">
        <f>IF($K14="","",IFERROR(VLOOKUP($K14,Grinders!$A$4:$N$998,12,FALSE)*100,""))</f>
        <v/>
      </c>
      <c r="AE14" s="40" t="str">
        <f>IF(OR(AO14=1,AP14=1),0,=IFERROR(IFS(
    OR($C14="", $K14=""), 0,
    $F14=0, 0,
    $D14&lt;&gt;"Open", 0,
    COUNTIFS(GrinderServices!$A$6:$A$1000, $K14, GrinderServices!$B$6:$B$1000, $E14, GrinderServices!$D$6:$D$1000, "Y")=0, 0,
    $X14&lt;Config!$B$16, 0,
    Config!$B$18=1, IF($O14&gt;=N14, 0, 1),
    TRUE, 1
), "")
)</f>
        <v>#ERROR!</v>
      </c>
      <c r="AF14" s="40" t="str">
        <f>IFERROR((IF(OR(AO14=1,AP14=1),"",=IFERROR((IFERROR(IF($AE14=0,"",((Config!$B$6*$Y14 + Config!$B$7*$U14 + Config!$B$8*$Z14 + Config!$B$9*$AA14 + Config!$B$10*$AB14 + Config!$B$11*$AC14 - Config!$B$12*$AD14)/Config!$B$13)+$AK14+$AL14),""))*(1-IFERROR(VLOOKUP(K14,Grinders!$A:$AB, 28, FALSE),0)),"")))*(1+AR14),"")</f>
        <v>#ERROR!</v>
      </c>
      <c r="AG14" s="40" t="str">
        <f t="shared" si="6"/>
        <v>#ERROR!</v>
      </c>
      <c r="AH14" s="40" t="str">
        <f t="shared" si="7"/>
        <v/>
      </c>
      <c r="AI14" s="40" t="str">
        <f t="shared" si="8"/>
        <v/>
      </c>
      <c r="AJ14" s="40" t="str">
        <f>IF($K14="","",COUNTIF(Assignments!$B$6:$B$1000,$K14))</f>
        <v/>
      </c>
      <c r="AK14" s="40" t="str">
        <f>IF($K14="","",IF(AND($AJ14=0,$O14&lt;$N14),Config!$B$43,0))</f>
        <v/>
      </c>
      <c r="AL14" s="40" t="str">
        <f>IF($K14="","",IF(AND($M14="Elite",$G14&gt;=Config!$B$41,$O14&lt;$N14),Config!$B$42,0))</f>
        <v/>
      </c>
      <c r="AM14" s="22"/>
      <c r="AN14" s="39">
        <f>IFERROR(VLOOKUP(K14,Grinders!$A:$Q,28,FALSE),0)</f>
        <v>0</v>
      </c>
      <c r="AO14" s="39">
        <f>IF(Config!$B$1003&lt;&gt;"Y",0,IF(IFERROR(VLOOKUP(K14,Grinders!$A:$P,27,FALSE),0)&gt;=3,IF(OR(G14&gt;=Config!$B$1001,ISNUMBER(SEARCH(E14,Config!$B$1002))),1,0),0))</f>
        <v>0</v>
      </c>
      <c r="AP14" s="39">
        <f t="array" ref="AP14">IFERROR(IF(INDEX(Bids!$AE:$AE,MATCH(B14,Bids!$A:$A,0))="Pending",1,0),0)</f>
        <v>0</v>
      </c>
      <c r="AQ14" s="39" t="str">
        <f t="array" ref="AQ14">IF(C14="","",IFERROR(XLOOKUP(C14,Assignments!$C:$C,Assignments!$AU:$AU,0),0))</f>
        <v/>
      </c>
      <c r="AR14" s="39">
        <f>IF(AND(Config!$B$1006="Y",AQ14=1),Config!$B$1007,0)</f>
        <v>0</v>
      </c>
    </row>
    <row r="15">
      <c r="A15" s="46" t="str">
        <f t="shared" si="1"/>
        <v/>
      </c>
      <c r="B15" s="40" t="str">
        <f>IF(Bids!$A14="","",Bids!$A14)</f>
        <v/>
      </c>
      <c r="C15" s="40" t="str">
        <f>IF(Bids!$B14="","",Bids!$B14)</f>
        <v/>
      </c>
      <c r="D15" s="40" t="str">
        <f>IF($C15="","",IFERROR(VLOOKUP($C15,Orders!$A$4:$J$998,9,FALSE),""))</f>
        <v/>
      </c>
      <c r="E15" s="40" t="str">
        <f>IF($C15="","",IFERROR(VLOOKUP($C15,Orders!$A$4:$J$998,3,FALSE),""))</f>
        <v/>
      </c>
      <c r="F15" s="40">
        <f t="shared" si="2"/>
        <v>1</v>
      </c>
      <c r="G15" s="40" t="str">
        <f>IF($C15="","",IFERROR(VLOOKUP($C15,Orders!$A$4:$J$998,4,FALSE),""))</f>
        <v/>
      </c>
      <c r="H15" s="40" t="str">
        <f>IF($C15="","",IFERROR(VLOOKUP($C15,Orders!$A$4:$J$998,5,FALSE),""))</f>
        <v/>
      </c>
      <c r="I15" s="40" t="str">
        <f>IF($C15="","",IFERROR(VLOOKUP($C15,Orders!$A$4:$J$998,6,FALSE),""))</f>
        <v/>
      </c>
      <c r="J15" s="40" t="str">
        <f>IF($C15="","",IFERROR(VLOOKUP($C15,Orders!$A$4:$J$998,7,FALSE),""))</f>
        <v/>
      </c>
      <c r="K15" s="40" t="str">
        <f>IF(Bids!$C14="","",Bids!$C14)</f>
        <v/>
      </c>
      <c r="L15" s="40" t="str">
        <f>IF($K15="","",IFERROR(VLOOKUP($K15,Grinders!$A$4:$N$998,2,FALSE),""))</f>
        <v/>
      </c>
      <c r="M15" s="40" t="str">
        <f>IF($K15="","",IFERROR(VLOOKUP($K15,Grinders!$A$4:$N$998,3,FALSE),""))</f>
        <v/>
      </c>
      <c r="N15" s="40" t="str">
        <f>IF($K15="","",IFERROR(VLOOKUP($K15,Grinders!$A$4:$N$998,4,FALSE),""))</f>
        <v/>
      </c>
      <c r="O15" s="40" t="str">
        <f>IF($K15="","",IFERROR(VLOOKUP($K15,Grinders!$A$4:$N$998,5,FALSE),""))</f>
        <v/>
      </c>
      <c r="P15" s="40" t="str">
        <f>IF($K15="","",IF($C$4="",0,COUNTIFS(Assignments!$B$6:$B$1000,$K15,Assignments!$F$6:$F$1000,$C$4,Assignments!$E$6:$E$1000,"Active")))</f>
        <v/>
      </c>
      <c r="Q15" s="40" t="str">
        <f t="shared" si="3"/>
        <v/>
      </c>
      <c r="R15" s="40" t="str">
        <f t="shared" si="4"/>
        <v/>
      </c>
      <c r="S15" s="40" t="str">
        <f>IF($K15="","",IF($C$4="",0,COUNTIFS(Assignments!$B$6:$B$1000,$K15,Assignments!$F$6:$F$1000,$C$4,Assignments!$D$6:$D$1000,"&gt;="&amp;Config!$B$3-7,Assignments!$D$6:$D$1000,"&lt;="&amp;Config!$B$3)))</f>
        <v/>
      </c>
      <c r="T15" s="40" t="str">
        <f>IF($K15="","",IFERROR(VLOOKUP($K15,Grinders!$A$4:$N$998,8,FALSE),""))</f>
        <v/>
      </c>
      <c r="U15" s="40" t="str">
        <f>IFERROR(IF($K15="","",IF($M15="Elite",MAX(50,MIN(100,Config!$B$27*MAX(0,MIN(100,(1-IF($R15="",0,$R15))*100)) + Config!$B$28*MAX(0,MIN(100,(1-MIN(1,IF(Config!$B$30=0,1,$S15/Config!$B$30)))*100)) + Config!$B$29*MAX(0,MIN(100,MIN(1,IF($T15="",0,$T15)/Config!$B$23)*100)))),MIN(100,Config!$B$27*MAX(0,MIN(100,(1-IF($R15="",0,$R15))*100)) + Config!$B$28*MAX(0,MIN(100,(1-MIN(1,IF(Config!$B$30=0,1,$S15/Config!$B$30)))*100)) + Config!$B$29*MAX(0,MIN(100,MIN(1,IF($T15="",0,$T15)/Config!$B$23)*100))))),"")
</f>
        <v/>
      </c>
      <c r="V15" s="40" t="str">
        <f>IF(Bids!$AC15="","",Bids!$AC15)</f>
        <v/>
      </c>
      <c r="W15" s="40" t="str">
        <f>IF(Bids!$F14="","",Bids!$F14)</f>
        <v/>
      </c>
      <c r="X15" s="40" t="str">
        <f t="shared" si="5"/>
        <v/>
      </c>
      <c r="Y15" s="40" t="str">
        <f>IF($X15="","",IF(Config!$B$17=Config!$B$16,IF($X15&gt;=Config!$B$17,100,0),MAX(0,MIN(100,($X15-Config!$B$16)/(Config!$B$17-Config!$B$16)*100))))</f>
        <v/>
      </c>
      <c r="Z15" s="40">
        <f>IF($M15="Elite",Config!$B$21,0)</f>
        <v>0</v>
      </c>
      <c r="AA15" s="40" t="str">
        <f>IFERROR(IF(OR($W15="",$H15=""),"",IF($W15&gt;$H15,
  MAX(0, 60-(($W15-$H15)*24/Config!$B$19)*60),
  MIN(100, 60+(($H15-$W15)*24/Config!$B$20)*40)
)),"")
</f>
        <v/>
      </c>
      <c r="AB15" s="40" t="str">
        <f>IF($K15="","",IFERROR(VLOOKUP($K15,Grinders!$A$4:$N$998,10,FALSE)/5*100,""))</f>
        <v/>
      </c>
      <c r="AC15" s="40" t="str">
        <f>IF($K15="","",IFERROR(VLOOKUP($K15,Grinders!$A$4:$N$998,11,FALSE)*100,""))</f>
        <v/>
      </c>
      <c r="AD15" s="40" t="str">
        <f>IF($K15="","",IFERROR(VLOOKUP($K15,Grinders!$A$4:$N$998,12,FALSE)*100,""))</f>
        <v/>
      </c>
      <c r="AE15" s="40" t="str">
        <f>IF(OR(AO15=1,AP15=1),0,=IFERROR(IFS(
    OR($C15="", $K15=""), 0,
    $F15=0, 0,
    $D15&lt;&gt;"Open", 0,
    COUNTIFS(GrinderServices!$A$6:$A$1000, $K15, GrinderServices!$B$6:$B$1000, $E15, GrinderServices!$D$6:$D$1000, "Y")=0, 0,
    $X15&lt;Config!$B$16, 0,
    Config!$B$18=1, IF($O15&gt;=N15, 0, 1),
    TRUE, 1
), "")
)</f>
        <v>#ERROR!</v>
      </c>
      <c r="AF15" s="40" t="str">
        <f>IFERROR((IF(OR(AO15=1,AP15=1),"",=IFERROR((IFERROR(IF($AE15=0,"",((Config!$B$6*$Y15 + Config!$B$7*$U15 + Config!$B$8*$Z15 + Config!$B$9*$AA15 + Config!$B$10*$AB15 + Config!$B$11*$AC15 - Config!$B$12*$AD15)/Config!$B$13)+$AK15+$AL15),""))*(1-IFERROR(VLOOKUP(K15,Grinders!$A:$AB, 28, FALSE),0)),"")))*(1+AR15),"")</f>
        <v>#ERROR!</v>
      </c>
      <c r="AG15" s="40" t="str">
        <f t="shared" si="6"/>
        <v>#ERROR!</v>
      </c>
      <c r="AH15" s="40" t="str">
        <f t="shared" si="7"/>
        <v/>
      </c>
      <c r="AI15" s="40" t="str">
        <f t="shared" si="8"/>
        <v/>
      </c>
      <c r="AJ15" s="40" t="str">
        <f>IF($K15="","",COUNTIF(Assignments!$B$6:$B$1000,$K15))</f>
        <v/>
      </c>
      <c r="AK15" s="40" t="str">
        <f>IF($K15="","",IF(AND($AJ15=0,$O15&lt;$N15),Config!$B$43,0))</f>
        <v/>
      </c>
      <c r="AL15" s="40" t="str">
        <f>IF($K15="","",IF(AND($M15="Elite",$G15&gt;=Config!$B$41,$O15&lt;$N15),Config!$B$42,0))</f>
        <v/>
      </c>
      <c r="AM15" s="22"/>
      <c r="AN15" s="39">
        <f>IFERROR(VLOOKUP(K15,Grinders!$A:$Q,28,FALSE),0)</f>
        <v>0</v>
      </c>
      <c r="AO15" s="39">
        <f>IF(Config!$B$1003&lt;&gt;"Y",0,IF(IFERROR(VLOOKUP(K15,Grinders!$A:$P,27,FALSE),0)&gt;=3,IF(OR(G15&gt;=Config!$B$1001,ISNUMBER(SEARCH(E15,Config!$B$1002))),1,0),0))</f>
        <v>0</v>
      </c>
      <c r="AP15" s="39">
        <f t="array" ref="AP15">IFERROR(IF(INDEX(Bids!$AE:$AE,MATCH(B15,Bids!$A:$A,0))="Pending",1,0),0)</f>
        <v>0</v>
      </c>
      <c r="AQ15" s="39" t="str">
        <f t="array" ref="AQ15">IF(C15="","",IFERROR(XLOOKUP(C15,Assignments!$C:$C,Assignments!$AU:$AU,0),0))</f>
        <v/>
      </c>
      <c r="AR15" s="39">
        <f>IF(AND(Config!$B$1006="Y",AQ15=1),Config!$B$1007,0)</f>
        <v>0</v>
      </c>
    </row>
    <row r="16">
      <c r="A16" s="46" t="str">
        <f t="shared" si="1"/>
        <v/>
      </c>
      <c r="B16" s="40" t="str">
        <f>IF(Bids!$A15="","",Bids!$A15)</f>
        <v/>
      </c>
      <c r="C16" s="40" t="str">
        <f>IF(Bids!$B15="","",Bids!$B15)</f>
        <v/>
      </c>
      <c r="D16" s="40" t="str">
        <f>IF($C16="","",IFERROR(VLOOKUP($C16,Orders!$A$4:$J$998,9,FALSE),""))</f>
        <v/>
      </c>
      <c r="E16" s="40" t="str">
        <f>IF($C16="","",IFERROR(VLOOKUP($C16,Orders!$A$4:$J$998,3,FALSE),""))</f>
        <v/>
      </c>
      <c r="F16" s="40">
        <f t="shared" si="2"/>
        <v>1</v>
      </c>
      <c r="G16" s="40" t="str">
        <f>IF($C16="","",IFERROR(VLOOKUP($C16,Orders!$A$4:$J$998,4,FALSE),""))</f>
        <v/>
      </c>
      <c r="H16" s="40" t="str">
        <f>IF($C16="","",IFERROR(VLOOKUP($C16,Orders!$A$4:$J$998,5,FALSE),""))</f>
        <v/>
      </c>
      <c r="I16" s="40" t="str">
        <f>IF($C16="","",IFERROR(VLOOKUP($C16,Orders!$A$4:$J$998,6,FALSE),""))</f>
        <v/>
      </c>
      <c r="J16" s="40" t="str">
        <f>IF($C16="","",IFERROR(VLOOKUP($C16,Orders!$A$4:$J$998,7,FALSE),""))</f>
        <v/>
      </c>
      <c r="K16" s="40" t="str">
        <f>IF(Bids!$C15="","",Bids!$C15)</f>
        <v/>
      </c>
      <c r="L16" s="40" t="str">
        <f>IF($K16="","",IFERROR(VLOOKUP($K16,Grinders!$A$4:$N$998,2,FALSE),""))</f>
        <v/>
      </c>
      <c r="M16" s="40" t="str">
        <f>IF($K16="","",IFERROR(VLOOKUP($K16,Grinders!$A$4:$N$998,3,FALSE),""))</f>
        <v/>
      </c>
      <c r="N16" s="40" t="str">
        <f>IF($K16="","",IFERROR(VLOOKUP($K16,Grinders!$A$4:$N$998,4,FALSE),""))</f>
        <v/>
      </c>
      <c r="O16" s="40" t="str">
        <f>IF($K16="","",IFERROR(VLOOKUP($K16,Grinders!$A$4:$N$998,5,FALSE),""))</f>
        <v/>
      </c>
      <c r="P16" s="40" t="str">
        <f>IF($K16="","",IF($C$4="",0,COUNTIFS(Assignments!$B$6:$B$1000,$K16,Assignments!$F$6:$F$1000,$C$4,Assignments!$E$6:$E$1000,"Active")))</f>
        <v/>
      </c>
      <c r="Q16" s="40" t="str">
        <f t="shared" si="3"/>
        <v/>
      </c>
      <c r="R16" s="40" t="str">
        <f t="shared" si="4"/>
        <v/>
      </c>
      <c r="S16" s="40" t="str">
        <f>IF($K16="","",IF($C$4="",0,COUNTIFS(Assignments!$B$6:$B$1000,$K16,Assignments!$F$6:$F$1000,$C$4,Assignments!$D$6:$D$1000,"&gt;="&amp;Config!$B$3-7,Assignments!$D$6:$D$1000,"&lt;="&amp;Config!$B$3)))</f>
        <v/>
      </c>
      <c r="T16" s="40" t="str">
        <f>IF($K16="","",IFERROR(VLOOKUP($K16,Grinders!$A$4:$N$998,8,FALSE),""))</f>
        <v/>
      </c>
      <c r="U16" s="40" t="str">
        <f>IFERROR(IF($K16="","",IF($M16="Elite",MAX(50,MIN(100,Config!$B$27*MAX(0,MIN(100,(1-IF($R16="",0,$R16))*100)) + Config!$B$28*MAX(0,MIN(100,(1-MIN(1,IF(Config!$B$30=0,1,$S16/Config!$B$30)))*100)) + Config!$B$29*MAX(0,MIN(100,MIN(1,IF($T16="",0,$T16)/Config!$B$23)*100)))),MIN(100,Config!$B$27*MAX(0,MIN(100,(1-IF($R16="",0,$R16))*100)) + Config!$B$28*MAX(0,MIN(100,(1-MIN(1,IF(Config!$B$30=0,1,$S16/Config!$B$30)))*100)) + Config!$B$29*MAX(0,MIN(100,MIN(1,IF($T16="",0,$T16)/Config!$B$23)*100))))),"")
</f>
        <v/>
      </c>
      <c r="V16" s="40" t="str">
        <f>IF(Bids!$AC16="","",Bids!$AC16)</f>
        <v/>
      </c>
      <c r="W16" s="40" t="str">
        <f>IF(Bids!$F15="","",Bids!$F15)</f>
        <v/>
      </c>
      <c r="X16" s="40" t="str">
        <f t="shared" si="5"/>
        <v/>
      </c>
      <c r="Y16" s="40" t="str">
        <f>IF($X16="","",IF(Config!$B$17=Config!$B$16,IF($X16&gt;=Config!$B$17,100,0),MAX(0,MIN(100,($X16-Config!$B$16)/(Config!$B$17-Config!$B$16)*100))))</f>
        <v/>
      </c>
      <c r="Z16" s="40">
        <f>IF($M16="Elite",Config!$B$21,0)</f>
        <v>0</v>
      </c>
      <c r="AA16" s="40" t="str">
        <f>IFERROR(IF(OR($W16="",$H16=""),"",IF($W16&gt;$H16,
  MAX(0, 60-(($W16-$H16)*24/Config!$B$19)*60),
  MIN(100, 60+(($H16-$W16)*24/Config!$B$20)*40)
)),"")
</f>
        <v/>
      </c>
      <c r="AB16" s="40" t="str">
        <f>IF($K16="","",IFERROR(VLOOKUP($K16,Grinders!$A$4:$N$998,10,FALSE)/5*100,""))</f>
        <v/>
      </c>
      <c r="AC16" s="40" t="str">
        <f>IF($K16="","",IFERROR(VLOOKUP($K16,Grinders!$A$4:$N$998,11,FALSE)*100,""))</f>
        <v/>
      </c>
      <c r="AD16" s="40" t="str">
        <f>IF($K16="","",IFERROR(VLOOKUP($K16,Grinders!$A$4:$N$998,12,FALSE)*100,""))</f>
        <v/>
      </c>
      <c r="AE16" s="40" t="str">
        <f>IF(OR(AO16=1,AP16=1),0,=IFERROR(IFS(
    OR($C16="", $K16=""), 0,
    $F16=0, 0,
    $D16&lt;&gt;"Open", 0,
    COUNTIFS(GrinderServices!$A$6:$A$1000, $K16, GrinderServices!$B$6:$B$1000, $E16, GrinderServices!$D$6:$D$1000, "Y")=0, 0,
    $X16&lt;Config!$B$16, 0,
    Config!$B$18=1, IF($O16&gt;=N16, 0, 1),
    TRUE, 1
), "")
)</f>
        <v>#ERROR!</v>
      </c>
      <c r="AF16" s="40" t="str">
        <f>IFERROR((IF(OR(AO16=1,AP16=1),"",=IFERROR((IFERROR(IF($AE16=0,"",((Config!$B$6*$Y16 + Config!$B$7*$U16 + Config!$B$8*$Z16 + Config!$B$9*$AA16 + Config!$B$10*$AB16 + Config!$B$11*$AC16 - Config!$B$12*$AD16)/Config!$B$13)+$AK16+$AL16),""))*(1-IFERROR(VLOOKUP(K16,Grinders!$A:$AB, 28, FALSE),0)),"")))*(1+AR16),"")</f>
        <v>#ERROR!</v>
      </c>
      <c r="AG16" s="40" t="str">
        <f t="shared" si="6"/>
        <v>#ERROR!</v>
      </c>
      <c r="AH16" s="40" t="str">
        <f t="shared" si="7"/>
        <v/>
      </c>
      <c r="AI16" s="40" t="str">
        <f t="shared" si="8"/>
        <v/>
      </c>
      <c r="AJ16" s="40" t="str">
        <f>IF($K16="","",COUNTIF(Assignments!$B$6:$B$1000,$K16))</f>
        <v/>
      </c>
      <c r="AK16" s="40" t="str">
        <f>IF($K16="","",IF(AND($AJ16=0,$O16&lt;$N16),Config!$B$43,0))</f>
        <v/>
      </c>
      <c r="AL16" s="40" t="str">
        <f>IF($K16="","",IF(AND($M16="Elite",$G16&gt;=Config!$B$41,$O16&lt;$N16),Config!$B$42,0))</f>
        <v/>
      </c>
      <c r="AM16" s="22"/>
      <c r="AN16" s="39">
        <f>IFERROR(VLOOKUP(K16,Grinders!$A:$Q,28,FALSE),0)</f>
        <v>0</v>
      </c>
      <c r="AO16" s="39">
        <f>IF(Config!$B$1003&lt;&gt;"Y",0,IF(IFERROR(VLOOKUP(K16,Grinders!$A:$P,27,FALSE),0)&gt;=3,IF(OR(G16&gt;=Config!$B$1001,ISNUMBER(SEARCH(E16,Config!$B$1002))),1,0),0))</f>
        <v>0</v>
      </c>
      <c r="AP16" s="39">
        <f t="array" ref="AP16">IFERROR(IF(INDEX(Bids!$AE:$AE,MATCH(B16,Bids!$A:$A,0))="Pending",1,0),0)</f>
        <v>0</v>
      </c>
      <c r="AQ16" s="39" t="str">
        <f t="array" ref="AQ16">IF(C16="","",IFERROR(XLOOKUP(C16,Assignments!$C:$C,Assignments!$AU:$AU,0),0))</f>
        <v/>
      </c>
      <c r="AR16" s="39">
        <f>IF(AND(Config!$B$1006="Y",AQ16=1),Config!$B$1007,0)</f>
        <v>0</v>
      </c>
    </row>
    <row r="17">
      <c r="A17" s="46" t="str">
        <f t="shared" si="1"/>
        <v/>
      </c>
      <c r="B17" s="40" t="str">
        <f>IF(Bids!$A16="","",Bids!$A16)</f>
        <v/>
      </c>
      <c r="C17" s="40" t="str">
        <f>IF(Bids!$B16="","",Bids!$B16)</f>
        <v/>
      </c>
      <c r="D17" s="40" t="str">
        <f>IF($C17="","",IFERROR(VLOOKUP($C17,Orders!$A$4:$J$998,9,FALSE),""))</f>
        <v/>
      </c>
      <c r="E17" s="40" t="str">
        <f>IF($C17="","",IFERROR(VLOOKUP($C17,Orders!$A$4:$J$998,3,FALSE),""))</f>
        <v/>
      </c>
      <c r="F17" s="40">
        <f t="shared" si="2"/>
        <v>1</v>
      </c>
      <c r="G17" s="40" t="str">
        <f>IF($C17="","",IFERROR(VLOOKUP($C17,Orders!$A$4:$J$998,4,FALSE),""))</f>
        <v/>
      </c>
      <c r="H17" s="40" t="str">
        <f>IF($C17="","",IFERROR(VLOOKUP($C17,Orders!$A$4:$J$998,5,FALSE),""))</f>
        <v/>
      </c>
      <c r="I17" s="40" t="str">
        <f>IF($C17="","",IFERROR(VLOOKUP($C17,Orders!$A$4:$J$998,6,FALSE),""))</f>
        <v/>
      </c>
      <c r="J17" s="40" t="str">
        <f>IF($C17="","",IFERROR(VLOOKUP($C17,Orders!$A$4:$J$998,7,FALSE),""))</f>
        <v/>
      </c>
      <c r="K17" s="40" t="str">
        <f>IF(Bids!$C16="","",Bids!$C16)</f>
        <v/>
      </c>
      <c r="L17" s="40" t="str">
        <f>IF($K17="","",IFERROR(VLOOKUP($K17,Grinders!$A$4:$N$998,2,FALSE),""))</f>
        <v/>
      </c>
      <c r="M17" s="40" t="str">
        <f>IF($K17="","",IFERROR(VLOOKUP($K17,Grinders!$A$4:$N$998,3,FALSE),""))</f>
        <v/>
      </c>
      <c r="N17" s="40" t="str">
        <f>IF($K17="","",IFERROR(VLOOKUP($K17,Grinders!$A$4:$N$998,4,FALSE),""))</f>
        <v/>
      </c>
      <c r="O17" s="40" t="str">
        <f>IF($K17="","",IFERROR(VLOOKUP($K17,Grinders!$A$4:$N$998,5,FALSE),""))</f>
        <v/>
      </c>
      <c r="P17" s="40" t="str">
        <f>IF($K17="","",IF($C$4="",0,COUNTIFS(Assignments!$B$6:$B$1000,$K17,Assignments!$F$6:$F$1000,$C$4,Assignments!$E$6:$E$1000,"Active")))</f>
        <v/>
      </c>
      <c r="Q17" s="40" t="str">
        <f t="shared" si="3"/>
        <v/>
      </c>
      <c r="R17" s="40" t="str">
        <f t="shared" si="4"/>
        <v/>
      </c>
      <c r="S17" s="40" t="str">
        <f>IF($K17="","",IF($C$4="",0,COUNTIFS(Assignments!$B$6:$B$1000,$K17,Assignments!$F$6:$F$1000,$C$4,Assignments!$D$6:$D$1000,"&gt;="&amp;Config!$B$3-7,Assignments!$D$6:$D$1000,"&lt;="&amp;Config!$B$3)))</f>
        <v/>
      </c>
      <c r="T17" s="40" t="str">
        <f>IF($K17="","",IFERROR(VLOOKUP($K17,Grinders!$A$4:$N$998,8,FALSE),""))</f>
        <v/>
      </c>
      <c r="U17" s="40" t="str">
        <f>IFERROR(IF($K17="","",IF($M17="Elite",MAX(50,MIN(100,Config!$B$27*MAX(0,MIN(100,(1-IF($R17="",0,$R17))*100)) + Config!$B$28*MAX(0,MIN(100,(1-MIN(1,IF(Config!$B$30=0,1,$S17/Config!$B$30)))*100)) + Config!$B$29*MAX(0,MIN(100,MIN(1,IF($T17="",0,$T17)/Config!$B$23)*100)))),MIN(100,Config!$B$27*MAX(0,MIN(100,(1-IF($R17="",0,$R17))*100)) + Config!$B$28*MAX(0,MIN(100,(1-MIN(1,IF(Config!$B$30=0,1,$S17/Config!$B$30)))*100)) + Config!$B$29*MAX(0,MIN(100,MIN(1,IF($T17="",0,$T17)/Config!$B$23)*100))))),"")
</f>
        <v/>
      </c>
      <c r="V17" s="40" t="str">
        <f>IF(Bids!$AC17="","",Bids!$AC17)</f>
        <v/>
      </c>
      <c r="W17" s="40" t="str">
        <f>IF(Bids!$F16="","",Bids!$F16)</f>
        <v/>
      </c>
      <c r="X17" s="40" t="str">
        <f t="shared" si="5"/>
        <v/>
      </c>
      <c r="Y17" s="40" t="str">
        <f>IF($X17="","",IF(Config!$B$17=Config!$B$16,IF($X17&gt;=Config!$B$17,100,0),MAX(0,MIN(100,($X17-Config!$B$16)/(Config!$B$17-Config!$B$16)*100))))</f>
        <v/>
      </c>
      <c r="Z17" s="40">
        <f>IF($M17="Elite",Config!$B$21,0)</f>
        <v>0</v>
      </c>
      <c r="AA17" s="40" t="str">
        <f>IFERROR(IF(OR($W17="",$H17=""),"",IF($W17&gt;$H17,
  MAX(0, 60-(($W17-$H17)*24/Config!$B$19)*60),
  MIN(100, 60+(($H17-$W17)*24/Config!$B$20)*40)
)),"")
</f>
        <v/>
      </c>
      <c r="AB17" s="40" t="str">
        <f>IF($K17="","",IFERROR(VLOOKUP($K17,Grinders!$A$4:$N$998,10,FALSE)/5*100,""))</f>
        <v/>
      </c>
      <c r="AC17" s="40" t="str">
        <f>IF($K17="","",IFERROR(VLOOKUP($K17,Grinders!$A$4:$N$998,11,FALSE)*100,""))</f>
        <v/>
      </c>
      <c r="AD17" s="40" t="str">
        <f>IF($K17="","",IFERROR(VLOOKUP($K17,Grinders!$A$4:$N$998,12,FALSE)*100,""))</f>
        <v/>
      </c>
      <c r="AE17" s="40" t="str">
        <f>IF(OR(AO17=1,AP17=1),0,=IFERROR(IFS(
    OR($C17="", $K17=""), 0,
    $F17=0, 0,
    $D17&lt;&gt;"Open", 0,
    COUNTIFS(GrinderServices!$A$6:$A$1000, $K17, GrinderServices!$B$6:$B$1000, $E17, GrinderServices!$D$6:$D$1000, "Y")=0, 0,
    $X17&lt;Config!$B$16, 0,
    Config!$B$18=1, IF($O17&gt;=N17, 0, 1),
    TRUE, 1
), "")
)</f>
        <v>#ERROR!</v>
      </c>
      <c r="AF17" s="40" t="str">
        <f>IFERROR((IF(OR(AO17=1,AP17=1),"",=IFERROR((IFERROR(IF($AE17=0,"",((Config!$B$6*$Y17 + Config!$B$7*$U17 + Config!$B$8*$Z17 + Config!$B$9*$AA17 + Config!$B$10*$AB17 + Config!$B$11*$AC17 - Config!$B$12*$AD17)/Config!$B$13)+$AK17+$AL17),""))*(1-IFERROR(VLOOKUP(K17,Grinders!$A:$AB, 28, FALSE),0)),"")))*(1+AR17),"")</f>
        <v>#ERROR!</v>
      </c>
      <c r="AG17" s="40" t="str">
        <f t="shared" si="6"/>
        <v>#ERROR!</v>
      </c>
      <c r="AH17" s="40" t="str">
        <f t="shared" si="7"/>
        <v/>
      </c>
      <c r="AI17" s="40" t="str">
        <f t="shared" si="8"/>
        <v/>
      </c>
      <c r="AJ17" s="40" t="str">
        <f>IF($K17="","",COUNTIF(Assignments!$B$6:$B$1000,$K17))</f>
        <v/>
      </c>
      <c r="AK17" s="40" t="str">
        <f>IF($K17="","",IF(AND($AJ17=0,$O17&lt;$N17),Config!$B$43,0))</f>
        <v/>
      </c>
      <c r="AL17" s="40" t="str">
        <f>IF($K17="","",IF(AND($M17="Elite",$G17&gt;=Config!$B$41,$O17&lt;$N17),Config!$B$42,0))</f>
        <v/>
      </c>
      <c r="AM17" s="22"/>
      <c r="AN17" s="39">
        <f>IFERROR(VLOOKUP(K17,Grinders!$A:$Q,28,FALSE),0)</f>
        <v>0</v>
      </c>
      <c r="AO17" s="39">
        <f>IF(Config!$B$1003&lt;&gt;"Y",0,IF(IFERROR(VLOOKUP(K17,Grinders!$A:$P,27,FALSE),0)&gt;=3,IF(OR(G17&gt;=Config!$B$1001,ISNUMBER(SEARCH(E17,Config!$B$1002))),1,0),0))</f>
        <v>0</v>
      </c>
      <c r="AP17" s="39">
        <f t="array" ref="AP17">IFERROR(IF(INDEX(Bids!$AE:$AE,MATCH(B17,Bids!$A:$A,0))="Pending",1,0),0)</f>
        <v>0</v>
      </c>
      <c r="AQ17" s="39" t="str">
        <f t="array" ref="AQ17">IF(C17="","",IFERROR(XLOOKUP(C17,Assignments!$C:$C,Assignments!$AU:$AU,0),0))</f>
        <v/>
      </c>
      <c r="AR17" s="39">
        <f>IF(AND(Config!$B$1006="Y",AQ17=1),Config!$B$1007,0)</f>
        <v>0</v>
      </c>
    </row>
    <row r="18">
      <c r="A18" s="46" t="str">
        <f t="shared" si="1"/>
        <v/>
      </c>
      <c r="B18" s="40" t="str">
        <f>IF(Bids!$A17="","",Bids!$A17)</f>
        <v/>
      </c>
      <c r="C18" s="40" t="str">
        <f>IF(Bids!$B17="","",Bids!$B17)</f>
        <v/>
      </c>
      <c r="D18" s="40" t="str">
        <f>IF($C18="","",IFERROR(VLOOKUP($C18,Orders!$A$4:$J$998,9,FALSE),""))</f>
        <v/>
      </c>
      <c r="E18" s="40" t="str">
        <f>IF($C18="","",IFERROR(VLOOKUP($C18,Orders!$A$4:$J$998,3,FALSE),""))</f>
        <v/>
      </c>
      <c r="F18" s="40">
        <f t="shared" si="2"/>
        <v>1</v>
      </c>
      <c r="G18" s="40" t="str">
        <f>IF($C18="","",IFERROR(VLOOKUP($C18,Orders!$A$4:$J$998,4,FALSE),""))</f>
        <v/>
      </c>
      <c r="H18" s="40" t="str">
        <f>IF($C18="","",IFERROR(VLOOKUP($C18,Orders!$A$4:$J$998,5,FALSE),""))</f>
        <v/>
      </c>
      <c r="I18" s="40" t="str">
        <f>IF($C18="","",IFERROR(VLOOKUP($C18,Orders!$A$4:$J$998,6,FALSE),""))</f>
        <v/>
      </c>
      <c r="J18" s="40" t="str">
        <f>IF($C18="","",IFERROR(VLOOKUP($C18,Orders!$A$4:$J$998,7,FALSE),""))</f>
        <v/>
      </c>
      <c r="K18" s="40" t="str">
        <f>IF(Bids!$C17="","",Bids!$C17)</f>
        <v/>
      </c>
      <c r="L18" s="40" t="str">
        <f>IF($K18="","",IFERROR(VLOOKUP($K18,Grinders!$A$4:$N$998,2,FALSE),""))</f>
        <v/>
      </c>
      <c r="M18" s="40" t="str">
        <f>IF($K18="","",IFERROR(VLOOKUP($K18,Grinders!$A$4:$N$998,3,FALSE),""))</f>
        <v/>
      </c>
      <c r="N18" s="40" t="str">
        <f>IF($K18="","",IFERROR(VLOOKUP($K18,Grinders!$A$4:$N$998,4,FALSE),""))</f>
        <v/>
      </c>
      <c r="O18" s="40" t="str">
        <f>IF($K18="","",IFERROR(VLOOKUP($K18,Grinders!$A$4:$N$998,5,FALSE),""))</f>
        <v/>
      </c>
      <c r="P18" s="40" t="str">
        <f>IF($K18="","",IF($C$4="",0,COUNTIFS(Assignments!$B$6:$B$1000,$K18,Assignments!$F$6:$F$1000,$C$4,Assignments!$E$6:$E$1000,"Active")))</f>
        <v/>
      </c>
      <c r="Q18" s="40" t="str">
        <f t="shared" si="3"/>
        <v/>
      </c>
      <c r="R18" s="40" t="str">
        <f t="shared" si="4"/>
        <v/>
      </c>
      <c r="S18" s="40" t="str">
        <f>IF($K18="","",IF($C$4="",0,COUNTIFS(Assignments!$B$6:$B$1000,$K18,Assignments!$F$6:$F$1000,$C$4,Assignments!$D$6:$D$1000,"&gt;="&amp;Config!$B$3-7,Assignments!$D$6:$D$1000,"&lt;="&amp;Config!$B$3)))</f>
        <v/>
      </c>
      <c r="T18" s="40" t="str">
        <f>IF($K18="","",IFERROR(VLOOKUP($K18,Grinders!$A$4:$N$998,8,FALSE),""))</f>
        <v/>
      </c>
      <c r="U18" s="40" t="str">
        <f>IFERROR(IF($K18="","",IF($M18="Elite",MAX(50,MIN(100,Config!$B$27*MAX(0,MIN(100,(1-IF($R18="",0,$R18))*100)) + Config!$B$28*MAX(0,MIN(100,(1-MIN(1,IF(Config!$B$30=0,1,$S18/Config!$B$30)))*100)) + Config!$B$29*MAX(0,MIN(100,MIN(1,IF($T18="",0,$T18)/Config!$B$23)*100)))),MIN(100,Config!$B$27*MAX(0,MIN(100,(1-IF($R18="",0,$R18))*100)) + Config!$B$28*MAX(0,MIN(100,(1-MIN(1,IF(Config!$B$30=0,1,$S18/Config!$B$30)))*100)) + Config!$B$29*MAX(0,MIN(100,MIN(1,IF($T18="",0,$T18)/Config!$B$23)*100))))),"")
</f>
        <v/>
      </c>
      <c r="V18" s="40" t="str">
        <f>IF(Bids!$AC18="","",Bids!$AC18)</f>
        <v/>
      </c>
      <c r="W18" s="40" t="str">
        <f>IF(Bids!$F17="","",Bids!$F17)</f>
        <v/>
      </c>
      <c r="X18" s="40" t="str">
        <f t="shared" si="5"/>
        <v/>
      </c>
      <c r="Y18" s="40" t="str">
        <f>IF($X18="","",IF(Config!$B$17=Config!$B$16,IF($X18&gt;=Config!$B$17,100,0),MAX(0,MIN(100,($X18-Config!$B$16)/(Config!$B$17-Config!$B$16)*100))))</f>
        <v/>
      </c>
      <c r="Z18" s="40">
        <f>IF($M18="Elite",Config!$B$21,0)</f>
        <v>0</v>
      </c>
      <c r="AA18" s="40" t="str">
        <f>IFERROR(IF(OR($W18="",$H18=""),"",IF($W18&gt;$H18,
  MAX(0, 60-(($W18-$H18)*24/Config!$B$19)*60),
  MIN(100, 60+(($H18-$W18)*24/Config!$B$20)*40)
)),"")
</f>
        <v/>
      </c>
      <c r="AB18" s="40" t="str">
        <f>IF($K18="","",IFERROR(VLOOKUP($K18,Grinders!$A$4:$N$998,10,FALSE)/5*100,""))</f>
        <v/>
      </c>
      <c r="AC18" s="40" t="str">
        <f>IF($K18="","",IFERROR(VLOOKUP($K18,Grinders!$A$4:$N$998,11,FALSE)*100,""))</f>
        <v/>
      </c>
      <c r="AD18" s="40" t="str">
        <f>IF($K18="","",IFERROR(VLOOKUP($K18,Grinders!$A$4:$N$998,12,FALSE)*100,""))</f>
        <v/>
      </c>
      <c r="AE18" s="40" t="str">
        <f>IF(OR(AO18=1,AP18=1),0,=IFERROR(IFS(
    OR($C18="", $K18=""), 0,
    $F18=0, 0,
    $D18&lt;&gt;"Open", 0,
    COUNTIFS(GrinderServices!$A$6:$A$1000, $K18, GrinderServices!$B$6:$B$1000, $E18, GrinderServices!$D$6:$D$1000, "Y")=0, 0,
    $X18&lt;Config!$B$16, 0,
    Config!$B$18=1, IF($O18&gt;=N18, 0, 1),
    TRUE, 1
), "")
)</f>
        <v>#ERROR!</v>
      </c>
      <c r="AF18" s="40" t="str">
        <f>IFERROR((IF(OR(AO18=1,AP18=1),"",=IFERROR((IFERROR(IF($AE18=0,"",((Config!$B$6*$Y18 + Config!$B$7*$U18 + Config!$B$8*$Z18 + Config!$B$9*$AA18 + Config!$B$10*$AB18 + Config!$B$11*$AC18 - Config!$B$12*$AD18)/Config!$B$13)+$AK18+$AL18),""))*(1-IFERROR(VLOOKUP(K18,Grinders!$A:$AB, 28, FALSE),0)),"")))*(1+AR18),"")</f>
        <v>#ERROR!</v>
      </c>
      <c r="AG18" s="40" t="str">
        <f t="shared" si="6"/>
        <v>#ERROR!</v>
      </c>
      <c r="AH18" s="40" t="str">
        <f t="shared" si="7"/>
        <v/>
      </c>
      <c r="AI18" s="40" t="str">
        <f t="shared" si="8"/>
        <v/>
      </c>
      <c r="AJ18" s="40" t="str">
        <f>IF($K18="","",COUNTIF(Assignments!$B$6:$B$1000,$K18))</f>
        <v/>
      </c>
      <c r="AK18" s="40" t="str">
        <f>IF($K18="","",IF(AND($AJ18=0,$O18&lt;$N18),Config!$B$43,0))</f>
        <v/>
      </c>
      <c r="AL18" s="40" t="str">
        <f>IF($K18="","",IF(AND($M18="Elite",$G18&gt;=Config!$B$41,$O18&lt;$N18),Config!$B$42,0))</f>
        <v/>
      </c>
      <c r="AM18" s="22"/>
      <c r="AN18" s="39">
        <f>IFERROR(VLOOKUP(K18,Grinders!$A:$Q,28,FALSE),0)</f>
        <v>0</v>
      </c>
      <c r="AO18" s="39">
        <f>IF(Config!$B$1003&lt;&gt;"Y",0,IF(IFERROR(VLOOKUP(K18,Grinders!$A:$P,27,FALSE),0)&gt;=3,IF(OR(G18&gt;=Config!$B$1001,ISNUMBER(SEARCH(E18,Config!$B$1002))),1,0),0))</f>
        <v>0</v>
      </c>
      <c r="AP18" s="39">
        <f t="array" ref="AP18">IFERROR(IF(INDEX(Bids!$AE:$AE,MATCH(B18,Bids!$A:$A,0))="Pending",1,0),0)</f>
        <v>0</v>
      </c>
      <c r="AQ18" s="39" t="str">
        <f t="array" ref="AQ18">IF(C18="","",IFERROR(XLOOKUP(C18,Assignments!$C:$C,Assignments!$AU:$AU,0),0))</f>
        <v/>
      </c>
      <c r="AR18" s="39">
        <f>IF(AND(Config!$B$1006="Y",AQ18=1),Config!$B$1007,0)</f>
        <v>0</v>
      </c>
    </row>
    <row r="19">
      <c r="A19" s="46" t="str">
        <f t="shared" si="1"/>
        <v/>
      </c>
      <c r="B19" s="40" t="str">
        <f>IF(Bids!$A18="","",Bids!$A18)</f>
        <v/>
      </c>
      <c r="C19" s="40" t="str">
        <f>IF(Bids!$B18="","",Bids!$B18)</f>
        <v/>
      </c>
      <c r="D19" s="40" t="str">
        <f>IF($C19="","",IFERROR(VLOOKUP($C19,Orders!$A$4:$J$998,9,FALSE),""))</f>
        <v/>
      </c>
      <c r="E19" s="40" t="str">
        <f>IF($C19="","",IFERROR(VLOOKUP($C19,Orders!$A$4:$J$998,3,FALSE),""))</f>
        <v/>
      </c>
      <c r="F19" s="40">
        <f t="shared" si="2"/>
        <v>1</v>
      </c>
      <c r="G19" s="40" t="str">
        <f>IF($C19="","",IFERROR(VLOOKUP($C19,Orders!$A$4:$J$998,4,FALSE),""))</f>
        <v/>
      </c>
      <c r="H19" s="40" t="str">
        <f>IF($C19="","",IFERROR(VLOOKUP($C19,Orders!$A$4:$J$998,5,FALSE),""))</f>
        <v/>
      </c>
      <c r="I19" s="40" t="str">
        <f>IF($C19="","",IFERROR(VLOOKUP($C19,Orders!$A$4:$J$998,6,FALSE),""))</f>
        <v/>
      </c>
      <c r="J19" s="40" t="str">
        <f>IF($C19="","",IFERROR(VLOOKUP($C19,Orders!$A$4:$J$998,7,FALSE),""))</f>
        <v/>
      </c>
      <c r="K19" s="40" t="str">
        <f>IF(Bids!$C18="","",Bids!$C18)</f>
        <v/>
      </c>
      <c r="L19" s="40" t="str">
        <f>IF($K19="","",IFERROR(VLOOKUP($K19,Grinders!$A$4:$N$998,2,FALSE),""))</f>
        <v/>
      </c>
      <c r="M19" s="40" t="str">
        <f>IF($K19="","",IFERROR(VLOOKUP($K19,Grinders!$A$4:$N$998,3,FALSE),""))</f>
        <v/>
      </c>
      <c r="N19" s="40" t="str">
        <f>IF($K19="","",IFERROR(VLOOKUP($K19,Grinders!$A$4:$N$998,4,FALSE),""))</f>
        <v/>
      </c>
      <c r="O19" s="40" t="str">
        <f>IF($K19="","",IFERROR(VLOOKUP($K19,Grinders!$A$4:$N$998,5,FALSE),""))</f>
        <v/>
      </c>
      <c r="P19" s="40" t="str">
        <f>IF($K19="","",IF($C$4="",0,COUNTIFS(Assignments!$B$6:$B$1000,$K19,Assignments!$F$6:$F$1000,$C$4,Assignments!$E$6:$E$1000,"Active")))</f>
        <v/>
      </c>
      <c r="Q19" s="40" t="str">
        <f t="shared" si="3"/>
        <v/>
      </c>
      <c r="R19" s="40" t="str">
        <f t="shared" si="4"/>
        <v/>
      </c>
      <c r="S19" s="40" t="str">
        <f>IF($K19="","",IF($C$4="",0,COUNTIFS(Assignments!$B$6:$B$1000,$K19,Assignments!$F$6:$F$1000,$C$4,Assignments!$D$6:$D$1000,"&gt;="&amp;Config!$B$3-7,Assignments!$D$6:$D$1000,"&lt;="&amp;Config!$B$3)))</f>
        <v/>
      </c>
      <c r="T19" s="40" t="str">
        <f>IF($K19="","",IFERROR(VLOOKUP($K19,Grinders!$A$4:$N$998,8,FALSE),""))</f>
        <v/>
      </c>
      <c r="U19" s="40" t="str">
        <f>IFERROR(IF($K19="","",IF($M19="Elite",MAX(50,MIN(100,Config!$B$27*MAX(0,MIN(100,(1-IF($R19="",0,$R19))*100)) + Config!$B$28*MAX(0,MIN(100,(1-MIN(1,IF(Config!$B$30=0,1,$S19/Config!$B$30)))*100)) + Config!$B$29*MAX(0,MIN(100,MIN(1,IF($T19="",0,$T19)/Config!$B$23)*100)))),MIN(100,Config!$B$27*MAX(0,MIN(100,(1-IF($R19="",0,$R19))*100)) + Config!$B$28*MAX(0,MIN(100,(1-MIN(1,IF(Config!$B$30=0,1,$S19/Config!$B$30)))*100)) + Config!$B$29*MAX(0,MIN(100,MIN(1,IF($T19="",0,$T19)/Config!$B$23)*100))))),"")
</f>
        <v/>
      </c>
      <c r="V19" s="40" t="str">
        <f>IF(Bids!$AC19="","",Bids!$AC19)</f>
        <v/>
      </c>
      <c r="W19" s="40" t="str">
        <f>IF(Bids!$F18="","",Bids!$F18)</f>
        <v/>
      </c>
      <c r="X19" s="40" t="str">
        <f t="shared" si="5"/>
        <v/>
      </c>
      <c r="Y19" s="40" t="str">
        <f>IF($X19="","",IF(Config!$B$17=Config!$B$16,IF($X19&gt;=Config!$B$17,100,0),MAX(0,MIN(100,($X19-Config!$B$16)/(Config!$B$17-Config!$B$16)*100))))</f>
        <v/>
      </c>
      <c r="Z19" s="40">
        <f>IF($M19="Elite",Config!$B$21,0)</f>
        <v>0</v>
      </c>
      <c r="AA19" s="40" t="str">
        <f>IFERROR(IF(OR($W19="",$H19=""),"",IF($W19&gt;$H19,
  MAX(0, 60-(($W19-$H19)*24/Config!$B$19)*60),
  MIN(100, 60+(($H19-$W19)*24/Config!$B$20)*40)
)),"")
</f>
        <v/>
      </c>
      <c r="AB19" s="40" t="str">
        <f>IF($K19="","",IFERROR(VLOOKUP($K19,Grinders!$A$4:$N$998,10,FALSE)/5*100,""))</f>
        <v/>
      </c>
      <c r="AC19" s="40" t="str">
        <f>IF($K19="","",IFERROR(VLOOKUP($K19,Grinders!$A$4:$N$998,11,FALSE)*100,""))</f>
        <v/>
      </c>
      <c r="AD19" s="40" t="str">
        <f>IF($K19="","",IFERROR(VLOOKUP($K19,Grinders!$A$4:$N$998,12,FALSE)*100,""))</f>
        <v/>
      </c>
      <c r="AE19" s="40" t="str">
        <f>IF(OR(AO19=1,AP19=1),0,=IFERROR(IFS(
    OR($C19="", $K19=""), 0,
    $F19=0, 0,
    $D19&lt;&gt;"Open", 0,
    COUNTIFS(GrinderServices!$A$6:$A$1000, $K19, GrinderServices!$B$6:$B$1000, $E19, GrinderServices!$D$6:$D$1000, "Y")=0, 0,
    $X19&lt;Config!$B$16, 0,
    Config!$B$18=1, IF($O19&gt;=N19, 0, 1),
    TRUE, 1
), "")
)</f>
        <v>#ERROR!</v>
      </c>
      <c r="AF19" s="40" t="str">
        <f>IFERROR((IF(OR(AO19=1,AP19=1),"",=IFERROR((IFERROR(IF($AE19=0,"",((Config!$B$6*$Y19 + Config!$B$7*$U19 + Config!$B$8*$Z19 + Config!$B$9*$AA19 + Config!$B$10*$AB19 + Config!$B$11*$AC19 - Config!$B$12*$AD19)/Config!$B$13)+$AK19+$AL19),""))*(1-IFERROR(VLOOKUP(K19,Grinders!$A:$AB, 28, FALSE),0)),"")))*(1+AR19),"")</f>
        <v>#ERROR!</v>
      </c>
      <c r="AG19" s="40" t="str">
        <f t="shared" si="6"/>
        <v>#ERROR!</v>
      </c>
      <c r="AH19" s="40" t="str">
        <f t="shared" si="7"/>
        <v/>
      </c>
      <c r="AI19" s="40" t="str">
        <f t="shared" si="8"/>
        <v/>
      </c>
      <c r="AJ19" s="40" t="str">
        <f>IF($K19="","",COUNTIF(Assignments!$B$6:$B$1000,$K19))</f>
        <v/>
      </c>
      <c r="AK19" s="40" t="str">
        <f>IF($K19="","",IF(AND($AJ19=0,$O19&lt;$N19),Config!$B$43,0))</f>
        <v/>
      </c>
      <c r="AL19" s="40" t="str">
        <f>IF($K19="","",IF(AND($M19="Elite",$G19&gt;=Config!$B$41,$O19&lt;$N19),Config!$B$42,0))</f>
        <v/>
      </c>
      <c r="AM19" s="22"/>
      <c r="AN19" s="39">
        <f>IFERROR(VLOOKUP(K19,Grinders!$A:$Q,28,FALSE),0)</f>
        <v>0</v>
      </c>
      <c r="AO19" s="39">
        <f>IF(Config!$B$1003&lt;&gt;"Y",0,IF(IFERROR(VLOOKUP(K19,Grinders!$A:$P,27,FALSE),0)&gt;=3,IF(OR(G19&gt;=Config!$B$1001,ISNUMBER(SEARCH(E19,Config!$B$1002))),1,0),0))</f>
        <v>0</v>
      </c>
      <c r="AP19" s="39">
        <f t="array" ref="AP19">IFERROR(IF(INDEX(Bids!$AE:$AE,MATCH(B19,Bids!$A:$A,0))="Pending",1,0),0)</f>
        <v>0</v>
      </c>
      <c r="AQ19" s="39" t="str">
        <f t="array" ref="AQ19">IF(C19="","",IFERROR(XLOOKUP(C19,Assignments!$C:$C,Assignments!$AU:$AU,0),0))</f>
        <v/>
      </c>
      <c r="AR19" s="39">
        <f>IF(AND(Config!$B$1006="Y",AQ19=1),Config!$B$1007,0)</f>
        <v>0</v>
      </c>
    </row>
    <row r="20">
      <c r="A20" s="46" t="str">
        <f t="shared" si="1"/>
        <v/>
      </c>
      <c r="B20" s="40" t="str">
        <f>IF(Bids!$A19="","",Bids!$A19)</f>
        <v/>
      </c>
      <c r="C20" s="40" t="str">
        <f>IF(Bids!$B19="","",Bids!$B19)</f>
        <v/>
      </c>
      <c r="D20" s="40" t="str">
        <f>IF($C20="","",IFERROR(VLOOKUP($C20,Orders!$A$4:$J$998,9,FALSE),""))</f>
        <v/>
      </c>
      <c r="E20" s="40" t="str">
        <f>IF($C20="","",IFERROR(VLOOKUP($C20,Orders!$A$4:$J$998,3,FALSE),""))</f>
        <v/>
      </c>
      <c r="F20" s="40">
        <f t="shared" si="2"/>
        <v>1</v>
      </c>
      <c r="G20" s="40" t="str">
        <f>IF($C20="","",IFERROR(VLOOKUP($C20,Orders!$A$4:$J$998,4,FALSE),""))</f>
        <v/>
      </c>
      <c r="H20" s="40" t="str">
        <f>IF($C20="","",IFERROR(VLOOKUP($C20,Orders!$A$4:$J$998,5,FALSE),""))</f>
        <v/>
      </c>
      <c r="I20" s="40" t="str">
        <f>IF($C20="","",IFERROR(VLOOKUP($C20,Orders!$A$4:$J$998,6,FALSE),""))</f>
        <v/>
      </c>
      <c r="J20" s="40" t="str">
        <f>IF($C20="","",IFERROR(VLOOKUP($C20,Orders!$A$4:$J$998,7,FALSE),""))</f>
        <v/>
      </c>
      <c r="K20" s="40" t="str">
        <f>IF(Bids!$C19="","",Bids!$C19)</f>
        <v/>
      </c>
      <c r="L20" s="40" t="str">
        <f>IF($K20="","",IFERROR(VLOOKUP($K20,Grinders!$A$4:$N$998,2,FALSE),""))</f>
        <v/>
      </c>
      <c r="M20" s="40" t="str">
        <f>IF($K20="","",IFERROR(VLOOKUP($K20,Grinders!$A$4:$N$998,3,FALSE),""))</f>
        <v/>
      </c>
      <c r="N20" s="40" t="str">
        <f>IF($K20="","",IFERROR(VLOOKUP($K20,Grinders!$A$4:$N$998,4,FALSE),""))</f>
        <v/>
      </c>
      <c r="O20" s="40" t="str">
        <f>IF($K20="","",IFERROR(VLOOKUP($K20,Grinders!$A$4:$N$998,5,FALSE),""))</f>
        <v/>
      </c>
      <c r="P20" s="40" t="str">
        <f>IF($K20="","",IF($C$4="",0,COUNTIFS(Assignments!$B$6:$B$1000,$K20,Assignments!$F$6:$F$1000,$C$4,Assignments!$E$6:$E$1000,"Active")))</f>
        <v/>
      </c>
      <c r="Q20" s="40" t="str">
        <f t="shared" si="3"/>
        <v/>
      </c>
      <c r="R20" s="40" t="str">
        <f t="shared" si="4"/>
        <v/>
      </c>
      <c r="S20" s="40" t="str">
        <f>IF($K20="","",IF($C$4="",0,COUNTIFS(Assignments!$B$6:$B$1000,$K20,Assignments!$F$6:$F$1000,$C$4,Assignments!$D$6:$D$1000,"&gt;="&amp;Config!$B$3-7,Assignments!$D$6:$D$1000,"&lt;="&amp;Config!$B$3)))</f>
        <v/>
      </c>
      <c r="T20" s="40" t="str">
        <f>IF($K20="","",IFERROR(VLOOKUP($K20,Grinders!$A$4:$N$998,8,FALSE),""))</f>
        <v/>
      </c>
      <c r="U20" s="40" t="str">
        <f>IFERROR(IF($K20="","",IF($M20="Elite",MAX(50,MIN(100,Config!$B$27*MAX(0,MIN(100,(1-IF($R20="",0,$R20))*100)) + Config!$B$28*MAX(0,MIN(100,(1-MIN(1,IF(Config!$B$30=0,1,$S20/Config!$B$30)))*100)) + Config!$B$29*MAX(0,MIN(100,MIN(1,IF($T20="",0,$T20)/Config!$B$23)*100)))),MIN(100,Config!$B$27*MAX(0,MIN(100,(1-IF($R20="",0,$R20))*100)) + Config!$B$28*MAX(0,MIN(100,(1-MIN(1,IF(Config!$B$30=0,1,$S20/Config!$B$30)))*100)) + Config!$B$29*MAX(0,MIN(100,MIN(1,IF($T20="",0,$T20)/Config!$B$23)*100))))),"")
</f>
        <v/>
      </c>
      <c r="V20" s="40" t="str">
        <f>IF(Bids!$AC20="","",Bids!$AC20)</f>
        <v/>
      </c>
      <c r="W20" s="40" t="str">
        <f>IF(Bids!$F19="","",Bids!$F19)</f>
        <v/>
      </c>
      <c r="X20" s="40" t="str">
        <f t="shared" si="5"/>
        <v/>
      </c>
      <c r="Y20" s="40" t="str">
        <f>IF($X20="","",IF(Config!$B$17=Config!$B$16,IF($X20&gt;=Config!$B$17,100,0),MAX(0,MIN(100,($X20-Config!$B$16)/(Config!$B$17-Config!$B$16)*100))))</f>
        <v/>
      </c>
      <c r="Z20" s="40">
        <f>IF($M20="Elite",Config!$B$21,0)</f>
        <v>0</v>
      </c>
      <c r="AA20" s="40" t="str">
        <f>IFERROR(IF(OR($W20="",$H20=""),"",IF($W20&gt;$H20,
  MAX(0, 60-(($W20-$H20)*24/Config!$B$19)*60),
  MIN(100, 60+(($H20-$W20)*24/Config!$B$20)*40)
)),"")
</f>
        <v/>
      </c>
      <c r="AB20" s="40" t="str">
        <f>IF($K20="","",IFERROR(VLOOKUP($K20,Grinders!$A$4:$N$998,10,FALSE)/5*100,""))</f>
        <v/>
      </c>
      <c r="AC20" s="40" t="str">
        <f>IF($K20="","",IFERROR(VLOOKUP($K20,Grinders!$A$4:$N$998,11,FALSE)*100,""))</f>
        <v/>
      </c>
      <c r="AD20" s="40" t="str">
        <f>IF($K20="","",IFERROR(VLOOKUP($K20,Grinders!$A$4:$N$998,12,FALSE)*100,""))</f>
        <v/>
      </c>
      <c r="AE20" s="40" t="str">
        <f>IF(OR(AO20=1,AP20=1),0,=IFERROR(IFS(
    OR($C20="", $K20=""), 0,
    $F20=0, 0,
    $D20&lt;&gt;"Open", 0,
    COUNTIFS(GrinderServices!$A$6:$A$1000, $K20, GrinderServices!$B$6:$B$1000, $E20, GrinderServices!$D$6:$D$1000, "Y")=0, 0,
    $X20&lt;Config!$B$16, 0,
    Config!$B$18=1, IF($O20&gt;=N20, 0, 1),
    TRUE, 1
), "")
)</f>
        <v>#ERROR!</v>
      </c>
      <c r="AF20" s="40" t="str">
        <f>IFERROR((IF(OR(AO20=1,AP20=1),"",=IFERROR((IFERROR(IF($AE20=0,"",((Config!$B$6*$Y20 + Config!$B$7*$U20 + Config!$B$8*$Z20 + Config!$B$9*$AA20 + Config!$B$10*$AB20 + Config!$B$11*$AC20 - Config!$B$12*$AD20)/Config!$B$13)+$AK20+$AL20),""))*(1-IFERROR(VLOOKUP(K20,Grinders!$A:$AB, 28, FALSE),0)),"")))*(1+AR20),"")</f>
        <v>#ERROR!</v>
      </c>
      <c r="AG20" s="40" t="str">
        <f t="shared" si="6"/>
        <v>#ERROR!</v>
      </c>
      <c r="AH20" s="40" t="str">
        <f t="shared" si="7"/>
        <v/>
      </c>
      <c r="AI20" s="40" t="str">
        <f t="shared" si="8"/>
        <v/>
      </c>
      <c r="AJ20" s="40" t="str">
        <f>IF($K20="","",COUNTIF(Assignments!$B$6:$B$1000,$K20))</f>
        <v/>
      </c>
      <c r="AK20" s="40" t="str">
        <f>IF($K20="","",IF(AND($AJ20=0,$O20&lt;$N20),Config!$B$43,0))</f>
        <v/>
      </c>
      <c r="AL20" s="40" t="str">
        <f>IF($K20="","",IF(AND($M20="Elite",$G20&gt;=Config!$B$41,$O20&lt;$N20),Config!$B$42,0))</f>
        <v/>
      </c>
      <c r="AM20" s="22"/>
      <c r="AN20" s="39">
        <f>IFERROR(VLOOKUP(K20,Grinders!$A:$Q,28,FALSE),0)</f>
        <v>0</v>
      </c>
      <c r="AO20" s="39">
        <f>IF(Config!$B$1003&lt;&gt;"Y",0,IF(IFERROR(VLOOKUP(K20,Grinders!$A:$P,27,FALSE),0)&gt;=3,IF(OR(G20&gt;=Config!$B$1001,ISNUMBER(SEARCH(E20,Config!$B$1002))),1,0),0))</f>
        <v>0</v>
      </c>
      <c r="AP20" s="39">
        <f t="array" ref="AP20">IFERROR(IF(INDEX(Bids!$AE:$AE,MATCH(B20,Bids!$A:$A,0))="Pending",1,0),0)</f>
        <v>0</v>
      </c>
      <c r="AQ20" s="39" t="str">
        <f t="array" ref="AQ20">IF(C20="","",IFERROR(XLOOKUP(C20,Assignments!$C:$C,Assignments!$AU:$AU,0),0))</f>
        <v/>
      </c>
      <c r="AR20" s="39">
        <f>IF(AND(Config!$B$1006="Y",AQ20=1),Config!$B$1007,0)</f>
        <v>0</v>
      </c>
    </row>
    <row r="21" ht="15.75" customHeight="1">
      <c r="A21" s="46" t="str">
        <f t="shared" si="1"/>
        <v/>
      </c>
      <c r="B21" s="40" t="str">
        <f>IF(Bids!$A20="","",Bids!$A20)</f>
        <v/>
      </c>
      <c r="C21" s="40" t="str">
        <f>IF(Bids!$B20="","",Bids!$B20)</f>
        <v/>
      </c>
      <c r="D21" s="40" t="str">
        <f>IF($C21="","",IFERROR(VLOOKUP($C21,Orders!$A$4:$J$998,9,FALSE),""))</f>
        <v/>
      </c>
      <c r="E21" s="40" t="str">
        <f>IF($C21="","",IFERROR(VLOOKUP($C21,Orders!$A$4:$J$998,3,FALSE),""))</f>
        <v/>
      </c>
      <c r="F21" s="40">
        <f t="shared" si="2"/>
        <v>1</v>
      </c>
      <c r="G21" s="40" t="str">
        <f>IF($C21="","",IFERROR(VLOOKUP($C21,Orders!$A$4:$J$998,4,FALSE),""))</f>
        <v/>
      </c>
      <c r="H21" s="40" t="str">
        <f>IF($C21="","",IFERROR(VLOOKUP($C21,Orders!$A$4:$J$998,5,FALSE),""))</f>
        <v/>
      </c>
      <c r="I21" s="40" t="str">
        <f>IF($C21="","",IFERROR(VLOOKUP($C21,Orders!$A$4:$J$998,6,FALSE),""))</f>
        <v/>
      </c>
      <c r="J21" s="40" t="str">
        <f>IF($C21="","",IFERROR(VLOOKUP($C21,Orders!$A$4:$J$998,7,FALSE),""))</f>
        <v/>
      </c>
      <c r="K21" s="40" t="str">
        <f>IF(Bids!$C20="","",Bids!$C20)</f>
        <v/>
      </c>
      <c r="L21" s="40" t="str">
        <f>IF($K21="","",IFERROR(VLOOKUP($K21,Grinders!$A$4:$N$998,2,FALSE),""))</f>
        <v/>
      </c>
      <c r="M21" s="40" t="str">
        <f>IF($K21="","",IFERROR(VLOOKUP($K21,Grinders!$A$4:$N$998,3,FALSE),""))</f>
        <v/>
      </c>
      <c r="N21" s="40" t="str">
        <f>IF($K21="","",IFERROR(VLOOKUP($K21,Grinders!$A$4:$N$998,4,FALSE),""))</f>
        <v/>
      </c>
      <c r="O21" s="40" t="str">
        <f>IF($K21="","",IFERROR(VLOOKUP($K21,Grinders!$A$4:$N$998,5,FALSE),""))</f>
        <v/>
      </c>
      <c r="P21" s="40" t="str">
        <f>IF($K21="","",IF($C$4="",0,COUNTIFS(Assignments!$B$6:$B$1000,$K21,Assignments!$F$6:$F$1000,$C$4,Assignments!$E$6:$E$1000,"Active")))</f>
        <v/>
      </c>
      <c r="Q21" s="40" t="str">
        <f t="shared" si="3"/>
        <v/>
      </c>
      <c r="R21" s="40" t="str">
        <f t="shared" si="4"/>
        <v/>
      </c>
      <c r="S21" s="40" t="str">
        <f>IF($K21="","",IF($C$4="",0,COUNTIFS(Assignments!$B$6:$B$1000,$K21,Assignments!$F$6:$F$1000,$C$4,Assignments!$D$6:$D$1000,"&gt;="&amp;Config!$B$3-7,Assignments!$D$6:$D$1000,"&lt;="&amp;Config!$B$3)))</f>
        <v/>
      </c>
      <c r="T21" s="40" t="str">
        <f>IF($K21="","",IFERROR(VLOOKUP($K21,Grinders!$A$4:$N$998,8,FALSE),""))</f>
        <v/>
      </c>
      <c r="U21" s="40" t="str">
        <f>IFERROR(IF($K21="","",IF($M21="Elite",MAX(50,MIN(100,Config!$B$27*MAX(0,MIN(100,(1-IF($R21="",0,$R21))*100)) + Config!$B$28*MAX(0,MIN(100,(1-MIN(1,IF(Config!$B$30=0,1,$S21/Config!$B$30)))*100)) + Config!$B$29*MAX(0,MIN(100,MIN(1,IF($T21="",0,$T21)/Config!$B$23)*100)))),MIN(100,Config!$B$27*MAX(0,MIN(100,(1-IF($R21="",0,$R21))*100)) + Config!$B$28*MAX(0,MIN(100,(1-MIN(1,IF(Config!$B$30=0,1,$S21/Config!$B$30)))*100)) + Config!$B$29*MAX(0,MIN(100,MIN(1,IF($T21="",0,$T21)/Config!$B$23)*100))))),"")
</f>
        <v/>
      </c>
      <c r="V21" s="40" t="str">
        <f>IF(Bids!$AC21="","",Bids!$AC21)</f>
        <v/>
      </c>
      <c r="W21" s="40" t="str">
        <f>IF(Bids!$F20="","",Bids!$F20)</f>
        <v/>
      </c>
      <c r="X21" s="40" t="str">
        <f t="shared" si="5"/>
        <v/>
      </c>
      <c r="Y21" s="40" t="str">
        <f>IF($X21="","",IF(Config!$B$17=Config!$B$16,IF($X21&gt;=Config!$B$17,100,0),MAX(0,MIN(100,($X21-Config!$B$16)/(Config!$B$17-Config!$B$16)*100))))</f>
        <v/>
      </c>
      <c r="Z21" s="40">
        <f>IF($M21="Elite",Config!$B$21,0)</f>
        <v>0</v>
      </c>
      <c r="AA21" s="40" t="str">
        <f>IFERROR(IF(OR($W21="",$H21=""),"",IF($W21&gt;$H21,
  MAX(0, 60-(($W21-$H21)*24/Config!$B$19)*60),
  MIN(100, 60+(($H21-$W21)*24/Config!$B$20)*40)
)),"")
</f>
        <v/>
      </c>
      <c r="AB21" s="40" t="str">
        <f>IF($K21="","",IFERROR(VLOOKUP($K21,Grinders!$A$4:$N$998,10,FALSE)/5*100,""))</f>
        <v/>
      </c>
      <c r="AC21" s="40" t="str">
        <f>IF($K21="","",IFERROR(VLOOKUP($K21,Grinders!$A$4:$N$998,11,FALSE)*100,""))</f>
        <v/>
      </c>
      <c r="AD21" s="40" t="str">
        <f>IF($K21="","",IFERROR(VLOOKUP($K21,Grinders!$A$4:$N$998,12,FALSE)*100,""))</f>
        <v/>
      </c>
      <c r="AE21" s="40" t="str">
        <f>IF(OR(AO21=1,AP21=1),0,=IFERROR(IFS(
    OR($C21="", $K21=""), 0,
    $F21=0, 0,
    $D21&lt;&gt;"Open", 0,
    COUNTIFS(GrinderServices!$A$6:$A$1000, $K21, GrinderServices!$B$6:$B$1000, $E21, GrinderServices!$D$6:$D$1000, "Y")=0, 0,
    $X21&lt;Config!$B$16, 0,
    Config!$B$18=1, IF($O21&gt;=N21, 0, 1),
    TRUE, 1
), "")
)</f>
        <v>#ERROR!</v>
      </c>
      <c r="AF21" s="40" t="str">
        <f>IFERROR((IF(OR(AO21=1,AP21=1),"",=IFERROR((IFERROR(IF($AE21=0,"",((Config!$B$6*$Y21 + Config!$B$7*$U21 + Config!$B$8*$Z21 + Config!$B$9*$AA21 + Config!$B$10*$AB21 + Config!$B$11*$AC21 - Config!$B$12*$AD21)/Config!$B$13)+$AK21+$AL21),""))*(1-IFERROR(VLOOKUP(K21,Grinders!$A:$AB, 28, FALSE),0)),"")))*(1+AR21),"")</f>
        <v>#ERROR!</v>
      </c>
      <c r="AG21" s="40" t="str">
        <f t="shared" si="6"/>
        <v>#ERROR!</v>
      </c>
      <c r="AH21" s="40" t="str">
        <f t="shared" si="7"/>
        <v/>
      </c>
      <c r="AI21" s="40" t="str">
        <f t="shared" si="8"/>
        <v/>
      </c>
      <c r="AJ21" s="40" t="str">
        <f>IF($K21="","",COUNTIF(Assignments!$B$6:$B$1000,$K21))</f>
        <v/>
      </c>
      <c r="AK21" s="40" t="str">
        <f>IF($K21="","",IF(AND($AJ21=0,$O21&lt;$N21),Config!$B$43,0))</f>
        <v/>
      </c>
      <c r="AL21" s="40" t="str">
        <f>IF($K21="","",IF(AND($M21="Elite",$G21&gt;=Config!$B$41,$O21&lt;$N21),Config!$B$42,0))</f>
        <v/>
      </c>
      <c r="AM21" s="22"/>
      <c r="AN21" s="39">
        <f>IFERROR(VLOOKUP(K21,Grinders!$A:$Q,28,FALSE),0)</f>
        <v>0</v>
      </c>
      <c r="AO21" s="39">
        <f>IF(Config!$B$1003&lt;&gt;"Y",0,IF(IFERROR(VLOOKUP(K21,Grinders!$A:$P,27,FALSE),0)&gt;=3,IF(OR(G21&gt;=Config!$B$1001,ISNUMBER(SEARCH(E21,Config!$B$1002))),1,0),0))</f>
        <v>0</v>
      </c>
      <c r="AP21" s="39">
        <f t="array" ref="AP21">IFERROR(IF(INDEX(Bids!$AE:$AE,MATCH(B21,Bids!$A:$A,0))="Pending",1,0),0)</f>
        <v>0</v>
      </c>
      <c r="AQ21" s="39" t="str">
        <f t="array" ref="AQ21">IF(C21="","",IFERROR(XLOOKUP(C21,Assignments!$C:$C,Assignments!$AU:$AU,0),0))</f>
        <v/>
      </c>
      <c r="AR21" s="39">
        <f>IF(AND(Config!$B$1006="Y",AQ21=1),Config!$B$1007,0)</f>
        <v>0</v>
      </c>
    </row>
    <row r="22" ht="15.75" customHeight="1">
      <c r="A22" s="46" t="str">
        <f t="shared" si="1"/>
        <v/>
      </c>
      <c r="B22" s="40" t="str">
        <f>IF(Bids!$A21="","",Bids!$A21)</f>
        <v/>
      </c>
      <c r="C22" s="40" t="str">
        <f>IF(Bids!$B21="","",Bids!$B21)</f>
        <v/>
      </c>
      <c r="D22" s="40" t="str">
        <f>IF($C22="","",IFERROR(VLOOKUP($C22,Orders!$A$4:$J$998,9,FALSE),""))</f>
        <v/>
      </c>
      <c r="E22" s="40" t="str">
        <f>IF($C22="","",IFERROR(VLOOKUP($C22,Orders!$A$4:$J$998,3,FALSE),""))</f>
        <v/>
      </c>
      <c r="F22" s="40">
        <f t="shared" si="2"/>
        <v>1</v>
      </c>
      <c r="G22" s="40" t="str">
        <f>IF($C22="","",IFERROR(VLOOKUP($C22,Orders!$A$4:$J$998,4,FALSE),""))</f>
        <v/>
      </c>
      <c r="H22" s="40" t="str">
        <f>IF($C22="","",IFERROR(VLOOKUP($C22,Orders!$A$4:$J$998,5,FALSE),""))</f>
        <v/>
      </c>
      <c r="I22" s="40" t="str">
        <f>IF($C22="","",IFERROR(VLOOKUP($C22,Orders!$A$4:$J$998,6,FALSE),""))</f>
        <v/>
      </c>
      <c r="J22" s="40" t="str">
        <f>IF($C22="","",IFERROR(VLOOKUP($C22,Orders!$A$4:$J$998,7,FALSE),""))</f>
        <v/>
      </c>
      <c r="K22" s="40" t="str">
        <f>IF(Bids!$C21="","",Bids!$C21)</f>
        <v/>
      </c>
      <c r="L22" s="40" t="str">
        <f>IF($K22="","",IFERROR(VLOOKUP($K22,Grinders!$A$4:$N$998,2,FALSE),""))</f>
        <v/>
      </c>
      <c r="M22" s="40" t="str">
        <f>IF($K22="","",IFERROR(VLOOKUP($K22,Grinders!$A$4:$N$998,3,FALSE),""))</f>
        <v/>
      </c>
      <c r="N22" s="40" t="str">
        <f>IF($K22="","",IFERROR(VLOOKUP($K22,Grinders!$A$4:$N$998,4,FALSE),""))</f>
        <v/>
      </c>
      <c r="O22" s="40" t="str">
        <f>IF($K22="","",IFERROR(VLOOKUP($K22,Grinders!$A$4:$N$998,5,FALSE),""))</f>
        <v/>
      </c>
      <c r="P22" s="40" t="str">
        <f>IF($K22="","",IF($C$4="",0,COUNTIFS(Assignments!$B$6:$B$1000,$K22,Assignments!$F$6:$F$1000,$C$4,Assignments!$E$6:$E$1000,"Active")))</f>
        <v/>
      </c>
      <c r="Q22" s="40" t="str">
        <f t="shared" si="3"/>
        <v/>
      </c>
      <c r="R22" s="40" t="str">
        <f t="shared" si="4"/>
        <v/>
      </c>
      <c r="S22" s="40" t="str">
        <f>IF($K22="","",IF($C$4="",0,COUNTIFS(Assignments!$B$6:$B$1000,$K22,Assignments!$F$6:$F$1000,$C$4,Assignments!$D$6:$D$1000,"&gt;="&amp;Config!$B$3-7,Assignments!$D$6:$D$1000,"&lt;="&amp;Config!$B$3)))</f>
        <v/>
      </c>
      <c r="T22" s="40" t="str">
        <f>IF($K22="","",IFERROR(VLOOKUP($K22,Grinders!$A$4:$N$998,8,FALSE),""))</f>
        <v/>
      </c>
      <c r="U22" s="40" t="str">
        <f>IFERROR(IF($K22="","",IF($M22="Elite",MAX(50,MIN(100,Config!$B$27*MAX(0,MIN(100,(1-IF($R22="",0,$R22))*100)) + Config!$B$28*MAX(0,MIN(100,(1-MIN(1,IF(Config!$B$30=0,1,$S22/Config!$B$30)))*100)) + Config!$B$29*MAX(0,MIN(100,MIN(1,IF($T22="",0,$T22)/Config!$B$23)*100)))),MIN(100,Config!$B$27*MAX(0,MIN(100,(1-IF($R22="",0,$R22))*100)) + Config!$B$28*MAX(0,MIN(100,(1-MIN(1,IF(Config!$B$30=0,1,$S22/Config!$B$30)))*100)) + Config!$B$29*MAX(0,MIN(100,MIN(1,IF($T22="",0,$T22)/Config!$B$23)*100))))),"")
</f>
        <v/>
      </c>
      <c r="V22" s="40" t="str">
        <f>IF(Bids!$AC22="","",Bids!$AC22)</f>
        <v/>
      </c>
      <c r="W22" s="40" t="str">
        <f>IF(Bids!$F21="","",Bids!$F21)</f>
        <v/>
      </c>
      <c r="X22" s="40" t="str">
        <f t="shared" si="5"/>
        <v/>
      </c>
      <c r="Y22" s="40" t="str">
        <f>IF($X22="","",IF(Config!$B$17=Config!$B$16,IF($X22&gt;=Config!$B$17,100,0),MAX(0,MIN(100,($X22-Config!$B$16)/(Config!$B$17-Config!$B$16)*100))))</f>
        <v/>
      </c>
      <c r="Z22" s="40">
        <f>IF($M22="Elite",Config!$B$21,0)</f>
        <v>0</v>
      </c>
      <c r="AA22" s="40" t="str">
        <f>IFERROR(IF(OR($W22="",$H22=""),"",IF($W22&gt;$H22,
  MAX(0, 60-(($W22-$H22)*24/Config!$B$19)*60),
  MIN(100, 60+(($H22-$W22)*24/Config!$B$20)*40)
)),"")
</f>
        <v/>
      </c>
      <c r="AB22" s="40" t="str">
        <f>IF($K22="","",IFERROR(VLOOKUP($K22,Grinders!$A$4:$N$998,10,FALSE)/5*100,""))</f>
        <v/>
      </c>
      <c r="AC22" s="40" t="str">
        <f>IF($K22="","",IFERROR(VLOOKUP($K22,Grinders!$A$4:$N$998,11,FALSE)*100,""))</f>
        <v/>
      </c>
      <c r="AD22" s="40" t="str">
        <f>IF($K22="","",IFERROR(VLOOKUP($K22,Grinders!$A$4:$N$998,12,FALSE)*100,""))</f>
        <v/>
      </c>
      <c r="AE22" s="40" t="str">
        <f>IF(OR(AO22=1,AP22=1),0,=IFERROR(IFS(
    OR($C22="", $K22=""), 0,
    $F22=0, 0,
    $D22&lt;&gt;"Open", 0,
    COUNTIFS(GrinderServices!$A$6:$A$1000, $K22, GrinderServices!$B$6:$B$1000, $E22, GrinderServices!$D$6:$D$1000, "Y")=0, 0,
    $X22&lt;Config!$B$16, 0,
    Config!$B$18=1, IF($O22&gt;=N22, 0, 1),
    TRUE, 1
), "")
)</f>
        <v>#ERROR!</v>
      </c>
      <c r="AF22" s="40" t="str">
        <f>IFERROR((IF(OR(AO22=1,AP22=1),"",=IFERROR((IFERROR(IF($AE22=0,"",((Config!$B$6*$Y22 + Config!$B$7*$U22 + Config!$B$8*$Z22 + Config!$B$9*$AA22 + Config!$B$10*$AB22 + Config!$B$11*$AC22 - Config!$B$12*$AD22)/Config!$B$13)+$AK22+$AL22),""))*(1-IFERROR(VLOOKUP(K22,Grinders!$A:$AB, 28, FALSE),0)),"")))*(1+AR22),"")</f>
        <v>#ERROR!</v>
      </c>
      <c r="AG22" s="40" t="str">
        <f t="shared" si="6"/>
        <v>#ERROR!</v>
      </c>
      <c r="AH22" s="40" t="str">
        <f t="shared" si="7"/>
        <v/>
      </c>
      <c r="AI22" s="40" t="str">
        <f t="shared" si="8"/>
        <v/>
      </c>
      <c r="AJ22" s="40" t="str">
        <f>IF($K22="","",COUNTIF(Assignments!$B$6:$B$1000,$K22))</f>
        <v/>
      </c>
      <c r="AK22" s="40" t="str">
        <f>IF($K22="","",IF(AND($AJ22=0,$O22&lt;$N22),Config!$B$43,0))</f>
        <v/>
      </c>
      <c r="AL22" s="40" t="str">
        <f>IF($K22="","",IF(AND($M22="Elite",$G22&gt;=Config!$B$41,$O22&lt;$N22),Config!$B$42,0))</f>
        <v/>
      </c>
      <c r="AM22" s="22"/>
      <c r="AN22" s="39">
        <f>IFERROR(VLOOKUP(K22,Grinders!$A:$Q,28,FALSE),0)</f>
        <v>0</v>
      </c>
      <c r="AO22" s="39">
        <f>IF(Config!$B$1003&lt;&gt;"Y",0,IF(IFERROR(VLOOKUP(K22,Grinders!$A:$P,27,FALSE),0)&gt;=3,IF(OR(G22&gt;=Config!$B$1001,ISNUMBER(SEARCH(E22,Config!$B$1002))),1,0),0))</f>
        <v>0</v>
      </c>
      <c r="AP22" s="39">
        <f t="array" ref="AP22">IFERROR(IF(INDEX(Bids!$AE:$AE,MATCH(B22,Bids!$A:$A,0))="Pending",1,0),0)</f>
        <v>0</v>
      </c>
      <c r="AQ22" s="39" t="str">
        <f t="array" ref="AQ22">IF(C22="","",IFERROR(XLOOKUP(C22,Assignments!$C:$C,Assignments!$AU:$AU,0),0))</f>
        <v/>
      </c>
      <c r="AR22" s="39">
        <f>IF(AND(Config!$B$1006="Y",AQ22=1),Config!$B$1007,0)</f>
        <v>0</v>
      </c>
    </row>
    <row r="23" ht="15.75" customHeight="1">
      <c r="A23" s="46" t="str">
        <f t="shared" si="1"/>
        <v/>
      </c>
      <c r="B23" s="40" t="str">
        <f>IF(Bids!$A22="","",Bids!$A22)</f>
        <v/>
      </c>
      <c r="C23" s="40" t="str">
        <f>IF(Bids!$B22="","",Bids!$B22)</f>
        <v/>
      </c>
      <c r="D23" s="40" t="str">
        <f>IF($C23="","",IFERROR(VLOOKUP($C23,Orders!$A$4:$J$998,9,FALSE),""))</f>
        <v/>
      </c>
      <c r="E23" s="40" t="str">
        <f>IF($C23="","",IFERROR(VLOOKUP($C23,Orders!$A$4:$J$998,3,FALSE),""))</f>
        <v/>
      </c>
      <c r="F23" s="40">
        <f t="shared" si="2"/>
        <v>1</v>
      </c>
      <c r="G23" s="40" t="str">
        <f>IF($C23="","",IFERROR(VLOOKUP($C23,Orders!$A$4:$J$998,4,FALSE),""))</f>
        <v/>
      </c>
      <c r="H23" s="40" t="str">
        <f>IF($C23="","",IFERROR(VLOOKUP($C23,Orders!$A$4:$J$998,5,FALSE),""))</f>
        <v/>
      </c>
      <c r="I23" s="40" t="str">
        <f>IF($C23="","",IFERROR(VLOOKUP($C23,Orders!$A$4:$J$998,6,FALSE),""))</f>
        <v/>
      </c>
      <c r="J23" s="40" t="str">
        <f>IF($C23="","",IFERROR(VLOOKUP($C23,Orders!$A$4:$J$998,7,FALSE),""))</f>
        <v/>
      </c>
      <c r="K23" s="40" t="str">
        <f>IF(Bids!$C22="","",Bids!$C22)</f>
        <v/>
      </c>
      <c r="L23" s="40" t="str">
        <f>IF($K23="","",IFERROR(VLOOKUP($K23,Grinders!$A$4:$N$998,2,FALSE),""))</f>
        <v/>
      </c>
      <c r="M23" s="40" t="str">
        <f>IF($K23="","",IFERROR(VLOOKUP($K23,Grinders!$A$4:$N$998,3,FALSE),""))</f>
        <v/>
      </c>
      <c r="N23" s="40" t="str">
        <f>IF($K23="","",IFERROR(VLOOKUP($K23,Grinders!$A$4:$N$998,4,FALSE),""))</f>
        <v/>
      </c>
      <c r="O23" s="40" t="str">
        <f>IF($K23="","",IFERROR(VLOOKUP($K23,Grinders!$A$4:$N$998,5,FALSE),""))</f>
        <v/>
      </c>
      <c r="P23" s="40" t="str">
        <f>IF($K23="","",IF($C$4="",0,COUNTIFS(Assignments!$B$6:$B$1000,$K23,Assignments!$F$6:$F$1000,$C$4,Assignments!$E$6:$E$1000,"Active")))</f>
        <v/>
      </c>
      <c r="Q23" s="40" t="str">
        <f t="shared" si="3"/>
        <v/>
      </c>
      <c r="R23" s="40" t="str">
        <f t="shared" si="4"/>
        <v/>
      </c>
      <c r="S23" s="40" t="str">
        <f>IF($K23="","",IF($C$4="",0,COUNTIFS(Assignments!$B$6:$B$1000,$K23,Assignments!$F$6:$F$1000,$C$4,Assignments!$D$6:$D$1000,"&gt;="&amp;Config!$B$3-7,Assignments!$D$6:$D$1000,"&lt;="&amp;Config!$B$3)))</f>
        <v/>
      </c>
      <c r="T23" s="40" t="str">
        <f>IF($K23="","",IFERROR(VLOOKUP($K23,Grinders!$A$4:$N$998,8,FALSE),""))</f>
        <v/>
      </c>
      <c r="U23" s="40" t="str">
        <f>IFERROR(IF($K23="","",IF($M23="Elite",MAX(50,MIN(100,Config!$B$27*MAX(0,MIN(100,(1-IF($R23="",0,$R23))*100)) + Config!$B$28*MAX(0,MIN(100,(1-MIN(1,IF(Config!$B$30=0,1,$S23/Config!$B$30)))*100)) + Config!$B$29*MAX(0,MIN(100,MIN(1,IF($T23="",0,$T23)/Config!$B$23)*100)))),MIN(100,Config!$B$27*MAX(0,MIN(100,(1-IF($R23="",0,$R23))*100)) + Config!$B$28*MAX(0,MIN(100,(1-MIN(1,IF(Config!$B$30=0,1,$S23/Config!$B$30)))*100)) + Config!$B$29*MAX(0,MIN(100,MIN(1,IF($T23="",0,$T23)/Config!$B$23)*100))))),"")
</f>
        <v/>
      </c>
      <c r="V23" s="40" t="str">
        <f>IF(Bids!$AC23="","",Bids!$AC23)</f>
        <v/>
      </c>
      <c r="W23" s="40" t="str">
        <f>IF(Bids!$F22="","",Bids!$F22)</f>
        <v/>
      </c>
      <c r="X23" s="40" t="str">
        <f t="shared" si="5"/>
        <v/>
      </c>
      <c r="Y23" s="40" t="str">
        <f>IF($X23="","",IF(Config!$B$17=Config!$B$16,IF($X23&gt;=Config!$B$17,100,0),MAX(0,MIN(100,($X23-Config!$B$16)/(Config!$B$17-Config!$B$16)*100))))</f>
        <v/>
      </c>
      <c r="Z23" s="40">
        <f>IF($M23="Elite",Config!$B$21,0)</f>
        <v>0</v>
      </c>
      <c r="AA23" s="40" t="str">
        <f>IFERROR(IF(OR($W23="",$H23=""),"",IF($W23&gt;$H23,
  MAX(0, 60-(($W23-$H23)*24/Config!$B$19)*60),
  MIN(100, 60+(($H23-$W23)*24/Config!$B$20)*40)
)),"")
</f>
        <v/>
      </c>
      <c r="AB23" s="40" t="str">
        <f>IF($K23="","",IFERROR(VLOOKUP($K23,Grinders!$A$4:$N$998,10,FALSE)/5*100,""))</f>
        <v/>
      </c>
      <c r="AC23" s="40" t="str">
        <f>IF($K23="","",IFERROR(VLOOKUP($K23,Grinders!$A$4:$N$998,11,FALSE)*100,""))</f>
        <v/>
      </c>
      <c r="AD23" s="40" t="str">
        <f>IF($K23="","",IFERROR(VLOOKUP($K23,Grinders!$A$4:$N$998,12,FALSE)*100,""))</f>
        <v/>
      </c>
      <c r="AE23" s="40" t="str">
        <f>IF(OR(AO23=1,AP23=1),0,=IFERROR(IFS(
    OR($C23="", $K23=""), 0,
    $F23=0, 0,
    $D23&lt;&gt;"Open", 0,
    COUNTIFS(GrinderServices!$A$6:$A$1000, $K23, GrinderServices!$B$6:$B$1000, $E23, GrinderServices!$D$6:$D$1000, "Y")=0, 0,
    $X23&lt;Config!$B$16, 0,
    Config!$B$18=1, IF($O23&gt;=N23, 0, 1),
    TRUE, 1
), "")
)</f>
        <v>#ERROR!</v>
      </c>
      <c r="AF23" s="40" t="str">
        <f>IFERROR((IF(OR(AO23=1,AP23=1),"",=IFERROR((IFERROR(IF($AE23=0,"",((Config!$B$6*$Y23 + Config!$B$7*$U23 + Config!$B$8*$Z23 + Config!$B$9*$AA23 + Config!$B$10*$AB23 + Config!$B$11*$AC23 - Config!$B$12*$AD23)/Config!$B$13)+$AK23+$AL23),""))*(1-IFERROR(VLOOKUP(K23,Grinders!$A:$AB, 28, FALSE),0)),"")))*(1+AR23),"")</f>
        <v>#ERROR!</v>
      </c>
      <c r="AG23" s="40" t="str">
        <f t="shared" si="6"/>
        <v>#ERROR!</v>
      </c>
      <c r="AH23" s="40" t="str">
        <f t="shared" si="7"/>
        <v/>
      </c>
      <c r="AI23" s="40" t="str">
        <f t="shared" si="8"/>
        <v/>
      </c>
      <c r="AJ23" s="40" t="str">
        <f>IF($K23="","",COUNTIF(Assignments!$B$6:$B$1000,$K23))</f>
        <v/>
      </c>
      <c r="AK23" s="40" t="str">
        <f>IF($K23="","",IF(AND($AJ23=0,$O23&lt;$N23),Config!$B$43,0))</f>
        <v/>
      </c>
      <c r="AL23" s="40" t="str">
        <f>IF($K23="","",IF(AND($M23="Elite",$G23&gt;=Config!$B$41,$O23&lt;$N23),Config!$B$42,0))</f>
        <v/>
      </c>
      <c r="AM23" s="22"/>
      <c r="AN23" s="39">
        <f>IFERROR(VLOOKUP(K23,Grinders!$A:$Q,28,FALSE),0)</f>
        <v>0</v>
      </c>
      <c r="AO23" s="39">
        <f>IF(Config!$B$1003&lt;&gt;"Y",0,IF(IFERROR(VLOOKUP(K23,Grinders!$A:$P,27,FALSE),0)&gt;=3,IF(OR(G23&gt;=Config!$B$1001,ISNUMBER(SEARCH(E23,Config!$B$1002))),1,0),0))</f>
        <v>0</v>
      </c>
      <c r="AP23" s="39">
        <f t="array" ref="AP23">IFERROR(IF(INDEX(Bids!$AE:$AE,MATCH(B23,Bids!$A:$A,0))="Pending",1,0),0)</f>
        <v>0</v>
      </c>
      <c r="AQ23" s="39" t="str">
        <f t="array" ref="AQ23">IF(C23="","",IFERROR(XLOOKUP(C23,Assignments!$C:$C,Assignments!$AU:$AU,0),0))</f>
        <v/>
      </c>
      <c r="AR23" s="39">
        <f>IF(AND(Config!$B$1006="Y",AQ23=1),Config!$B$1007,0)</f>
        <v>0</v>
      </c>
    </row>
    <row r="24" ht="15.75" customHeight="1">
      <c r="A24" s="46" t="str">
        <f t="shared" si="1"/>
        <v/>
      </c>
      <c r="B24" s="40" t="str">
        <f>IF(Bids!$A23="","",Bids!$A23)</f>
        <v/>
      </c>
      <c r="C24" s="40" t="str">
        <f>IF(Bids!$B23="","",Bids!$B23)</f>
        <v/>
      </c>
      <c r="D24" s="40" t="str">
        <f>IF($C24="","",IFERROR(VLOOKUP($C24,Orders!$A$4:$J$998,9,FALSE),""))</f>
        <v/>
      </c>
      <c r="E24" s="40" t="str">
        <f>IF($C24="","",IFERROR(VLOOKUP($C24,Orders!$A$4:$J$998,3,FALSE),""))</f>
        <v/>
      </c>
      <c r="F24" s="40">
        <f t="shared" si="2"/>
        <v>1</v>
      </c>
      <c r="G24" s="40" t="str">
        <f>IF($C24="","",IFERROR(VLOOKUP($C24,Orders!$A$4:$J$998,4,FALSE),""))</f>
        <v/>
      </c>
      <c r="H24" s="40" t="str">
        <f>IF($C24="","",IFERROR(VLOOKUP($C24,Orders!$A$4:$J$998,5,FALSE),""))</f>
        <v/>
      </c>
      <c r="I24" s="40" t="str">
        <f>IF($C24="","",IFERROR(VLOOKUP($C24,Orders!$A$4:$J$998,6,FALSE),""))</f>
        <v/>
      </c>
      <c r="J24" s="40" t="str">
        <f>IF($C24="","",IFERROR(VLOOKUP($C24,Orders!$A$4:$J$998,7,FALSE),""))</f>
        <v/>
      </c>
      <c r="K24" s="40" t="str">
        <f>IF(Bids!$C23="","",Bids!$C23)</f>
        <v/>
      </c>
      <c r="L24" s="40" t="str">
        <f>IF($K24="","",IFERROR(VLOOKUP($K24,Grinders!$A$4:$N$998,2,FALSE),""))</f>
        <v/>
      </c>
      <c r="M24" s="40" t="str">
        <f>IF($K24="","",IFERROR(VLOOKUP($K24,Grinders!$A$4:$N$998,3,FALSE),""))</f>
        <v/>
      </c>
      <c r="N24" s="40" t="str">
        <f>IF($K24="","",IFERROR(VLOOKUP($K24,Grinders!$A$4:$N$998,4,FALSE),""))</f>
        <v/>
      </c>
      <c r="O24" s="40" t="str">
        <f>IF($K24="","",IFERROR(VLOOKUP($K24,Grinders!$A$4:$N$998,5,FALSE),""))</f>
        <v/>
      </c>
      <c r="P24" s="40" t="str">
        <f>IF($K24="","",IF($C$4="",0,COUNTIFS(Assignments!$B$6:$B$1000,$K24,Assignments!$F$6:$F$1000,$C$4,Assignments!$E$6:$E$1000,"Active")))</f>
        <v/>
      </c>
      <c r="Q24" s="40" t="str">
        <f t="shared" si="3"/>
        <v/>
      </c>
      <c r="R24" s="40" t="str">
        <f t="shared" si="4"/>
        <v/>
      </c>
      <c r="S24" s="40" t="str">
        <f>IF($K24="","",IF($C$4="",0,COUNTIFS(Assignments!$B$6:$B$1000,$K24,Assignments!$F$6:$F$1000,$C$4,Assignments!$D$6:$D$1000,"&gt;="&amp;Config!$B$3-7,Assignments!$D$6:$D$1000,"&lt;="&amp;Config!$B$3)))</f>
        <v/>
      </c>
      <c r="T24" s="40" t="str">
        <f>IF($K24="","",IFERROR(VLOOKUP($K24,Grinders!$A$4:$N$998,8,FALSE),""))</f>
        <v/>
      </c>
      <c r="U24" s="40" t="str">
        <f>IFERROR(IF($K24="","",IF($M24="Elite",MAX(50,MIN(100,Config!$B$27*MAX(0,MIN(100,(1-IF($R24="",0,$R24))*100)) + Config!$B$28*MAX(0,MIN(100,(1-MIN(1,IF(Config!$B$30=0,1,$S24/Config!$B$30)))*100)) + Config!$B$29*MAX(0,MIN(100,MIN(1,IF($T24="",0,$T24)/Config!$B$23)*100)))),MIN(100,Config!$B$27*MAX(0,MIN(100,(1-IF($R24="",0,$R24))*100)) + Config!$B$28*MAX(0,MIN(100,(1-MIN(1,IF(Config!$B$30=0,1,$S24/Config!$B$30)))*100)) + Config!$B$29*MAX(0,MIN(100,MIN(1,IF($T24="",0,$T24)/Config!$B$23)*100))))),"")
</f>
        <v/>
      </c>
      <c r="V24" s="40" t="str">
        <f>IF(Bids!$AC24="","",Bids!$AC24)</f>
        <v/>
      </c>
      <c r="W24" s="40" t="str">
        <f>IF(Bids!$F23="","",Bids!$F23)</f>
        <v/>
      </c>
      <c r="X24" s="40" t="str">
        <f t="shared" si="5"/>
        <v/>
      </c>
      <c r="Y24" s="40" t="str">
        <f>IF($X24="","",IF(Config!$B$17=Config!$B$16,IF($X24&gt;=Config!$B$17,100,0),MAX(0,MIN(100,($X24-Config!$B$16)/(Config!$B$17-Config!$B$16)*100))))</f>
        <v/>
      </c>
      <c r="Z24" s="40">
        <f>IF($M24="Elite",Config!$B$21,0)</f>
        <v>0</v>
      </c>
      <c r="AA24" s="40" t="str">
        <f>IFERROR(IF(OR($W24="",$H24=""),"",IF($W24&gt;$H24,
  MAX(0, 60-(($W24-$H24)*24/Config!$B$19)*60),
  MIN(100, 60+(($H24-$W24)*24/Config!$B$20)*40)
)),"")
</f>
        <v/>
      </c>
      <c r="AB24" s="40" t="str">
        <f>IF($K24="","",IFERROR(VLOOKUP($K24,Grinders!$A$4:$N$998,10,FALSE)/5*100,""))</f>
        <v/>
      </c>
      <c r="AC24" s="40" t="str">
        <f>IF($K24="","",IFERROR(VLOOKUP($K24,Grinders!$A$4:$N$998,11,FALSE)*100,""))</f>
        <v/>
      </c>
      <c r="AD24" s="40" t="str">
        <f>IF($K24="","",IFERROR(VLOOKUP($K24,Grinders!$A$4:$N$998,12,FALSE)*100,""))</f>
        <v/>
      </c>
      <c r="AE24" s="40" t="str">
        <f>IF(OR(AO24=1,AP24=1),0,=IFERROR(IFS(
    OR($C24="", $K24=""), 0,
    $F24=0, 0,
    $D24&lt;&gt;"Open", 0,
    COUNTIFS(GrinderServices!$A$6:$A$1000, $K24, GrinderServices!$B$6:$B$1000, $E24, GrinderServices!$D$6:$D$1000, "Y")=0, 0,
    $X24&lt;Config!$B$16, 0,
    Config!$B$18=1, IF($O24&gt;=N24, 0, 1),
    TRUE, 1
), "")
)</f>
        <v>#ERROR!</v>
      </c>
      <c r="AF24" s="40" t="str">
        <f>IFERROR((IF(OR(AO24=1,AP24=1),"",=IFERROR((IFERROR(IF($AE24=0,"",((Config!$B$6*$Y24 + Config!$B$7*$U24 + Config!$B$8*$Z24 + Config!$B$9*$AA24 + Config!$B$10*$AB24 + Config!$B$11*$AC24 - Config!$B$12*$AD24)/Config!$B$13)+$AK24+$AL24),""))*(1-IFERROR(VLOOKUP(K24,Grinders!$A:$AB, 28, FALSE),0)),"")))*(1+AR24),"")</f>
        <v>#ERROR!</v>
      </c>
      <c r="AG24" s="40" t="str">
        <f t="shared" si="6"/>
        <v>#ERROR!</v>
      </c>
      <c r="AH24" s="40" t="str">
        <f t="shared" si="7"/>
        <v/>
      </c>
      <c r="AI24" s="40" t="str">
        <f t="shared" si="8"/>
        <v/>
      </c>
      <c r="AJ24" s="40" t="str">
        <f>IF($K24="","",COUNTIF(Assignments!$B$6:$B$1000,$K24))</f>
        <v/>
      </c>
      <c r="AK24" s="40" t="str">
        <f>IF($K24="","",IF(AND($AJ24=0,$O24&lt;$N24),Config!$B$43,0))</f>
        <v/>
      </c>
      <c r="AL24" s="40" t="str">
        <f>IF($K24="","",IF(AND($M24="Elite",$G24&gt;=Config!$B$41,$O24&lt;$N24),Config!$B$42,0))</f>
        <v/>
      </c>
      <c r="AM24" s="22"/>
      <c r="AN24" s="39">
        <f>IFERROR(VLOOKUP(K24,Grinders!$A:$Q,28,FALSE),0)</f>
        <v>0</v>
      </c>
      <c r="AO24" s="39">
        <f>IF(Config!$B$1003&lt;&gt;"Y",0,IF(IFERROR(VLOOKUP(K24,Grinders!$A:$P,27,FALSE),0)&gt;=3,IF(OR(G24&gt;=Config!$B$1001,ISNUMBER(SEARCH(E24,Config!$B$1002))),1,0),0))</f>
        <v>0</v>
      </c>
      <c r="AP24" s="39">
        <f t="array" ref="AP24">IFERROR(IF(INDEX(Bids!$AE:$AE,MATCH(B24,Bids!$A:$A,0))="Pending",1,0),0)</f>
        <v>0</v>
      </c>
      <c r="AQ24" s="39" t="str">
        <f t="array" ref="AQ24">IF(C24="","",IFERROR(XLOOKUP(C24,Assignments!$C:$C,Assignments!$AU:$AU,0),0))</f>
        <v/>
      </c>
      <c r="AR24" s="39">
        <f>IF(AND(Config!$B$1006="Y",AQ24=1),Config!$B$1007,0)</f>
        <v>0</v>
      </c>
    </row>
    <row r="25" ht="15.75" customHeight="1">
      <c r="A25" s="46" t="str">
        <f t="shared" si="1"/>
        <v/>
      </c>
      <c r="B25" s="40" t="str">
        <f>IF(Bids!$A24="","",Bids!$A24)</f>
        <v/>
      </c>
      <c r="C25" s="40" t="str">
        <f>IF(Bids!$B24="","",Bids!$B24)</f>
        <v/>
      </c>
      <c r="D25" s="40" t="str">
        <f>IF($C25="","",IFERROR(VLOOKUP($C25,Orders!$A$4:$J$998,9,FALSE),""))</f>
        <v/>
      </c>
      <c r="E25" s="40" t="str">
        <f>IF($C25="","",IFERROR(VLOOKUP($C25,Orders!$A$4:$J$998,3,FALSE),""))</f>
        <v/>
      </c>
      <c r="F25" s="40">
        <f t="shared" si="2"/>
        <v>1</v>
      </c>
      <c r="G25" s="40" t="str">
        <f>IF($C25="","",IFERROR(VLOOKUP($C25,Orders!$A$4:$J$998,4,FALSE),""))</f>
        <v/>
      </c>
      <c r="H25" s="40" t="str">
        <f>IF($C25="","",IFERROR(VLOOKUP($C25,Orders!$A$4:$J$998,5,FALSE),""))</f>
        <v/>
      </c>
      <c r="I25" s="40" t="str">
        <f>IF($C25="","",IFERROR(VLOOKUP($C25,Orders!$A$4:$J$998,6,FALSE),""))</f>
        <v/>
      </c>
      <c r="J25" s="40" t="str">
        <f>IF($C25="","",IFERROR(VLOOKUP($C25,Orders!$A$4:$J$998,7,FALSE),""))</f>
        <v/>
      </c>
      <c r="K25" s="40" t="str">
        <f>IF(Bids!$C24="","",Bids!$C24)</f>
        <v/>
      </c>
      <c r="L25" s="40" t="str">
        <f>IF($K25="","",IFERROR(VLOOKUP($K25,Grinders!$A$4:$N$998,2,FALSE),""))</f>
        <v/>
      </c>
      <c r="M25" s="40" t="str">
        <f>IF($K25="","",IFERROR(VLOOKUP($K25,Grinders!$A$4:$N$998,3,FALSE),""))</f>
        <v/>
      </c>
      <c r="N25" s="40" t="str">
        <f>IF($K25="","",IFERROR(VLOOKUP($K25,Grinders!$A$4:$N$998,4,FALSE),""))</f>
        <v/>
      </c>
      <c r="O25" s="40" t="str">
        <f>IF($K25="","",IFERROR(VLOOKUP($K25,Grinders!$A$4:$N$998,5,FALSE),""))</f>
        <v/>
      </c>
      <c r="P25" s="40" t="str">
        <f>IF($K25="","",IF($C$4="",0,COUNTIFS(Assignments!$B$6:$B$1000,$K25,Assignments!$F$6:$F$1000,$C$4,Assignments!$E$6:$E$1000,"Active")))</f>
        <v/>
      </c>
      <c r="Q25" s="40" t="str">
        <f t="shared" si="3"/>
        <v/>
      </c>
      <c r="R25" s="40" t="str">
        <f t="shared" si="4"/>
        <v/>
      </c>
      <c r="S25" s="40" t="str">
        <f>IF($K25="","",IF($C$4="",0,COUNTIFS(Assignments!$B$6:$B$1000,$K25,Assignments!$F$6:$F$1000,$C$4,Assignments!$D$6:$D$1000,"&gt;="&amp;Config!$B$3-7,Assignments!$D$6:$D$1000,"&lt;="&amp;Config!$B$3)))</f>
        <v/>
      </c>
      <c r="T25" s="40" t="str">
        <f>IF($K25="","",IFERROR(VLOOKUP($K25,Grinders!$A$4:$N$998,8,FALSE),""))</f>
        <v/>
      </c>
      <c r="U25" s="40" t="str">
        <f>IFERROR(IF($K25="","",IF($M25="Elite",MAX(50,MIN(100,Config!$B$27*MAX(0,MIN(100,(1-IF($R25="",0,$R25))*100)) + Config!$B$28*MAX(0,MIN(100,(1-MIN(1,IF(Config!$B$30=0,1,$S25/Config!$B$30)))*100)) + Config!$B$29*MAX(0,MIN(100,MIN(1,IF($T25="",0,$T25)/Config!$B$23)*100)))),MIN(100,Config!$B$27*MAX(0,MIN(100,(1-IF($R25="",0,$R25))*100)) + Config!$B$28*MAX(0,MIN(100,(1-MIN(1,IF(Config!$B$30=0,1,$S25/Config!$B$30)))*100)) + Config!$B$29*MAX(0,MIN(100,MIN(1,IF($T25="",0,$T25)/Config!$B$23)*100))))),"")
</f>
        <v/>
      </c>
      <c r="V25" s="40" t="str">
        <f>IF(Bids!$AC25="","",Bids!$AC25)</f>
        <v/>
      </c>
      <c r="W25" s="40" t="str">
        <f>IF(Bids!$F24="","",Bids!$F24)</f>
        <v/>
      </c>
      <c r="X25" s="40" t="str">
        <f t="shared" si="5"/>
        <v/>
      </c>
      <c r="Y25" s="40" t="str">
        <f>IF($X25="","",IF(Config!$B$17=Config!$B$16,IF($X25&gt;=Config!$B$17,100,0),MAX(0,MIN(100,($X25-Config!$B$16)/(Config!$B$17-Config!$B$16)*100))))</f>
        <v/>
      </c>
      <c r="Z25" s="40">
        <f>IF($M25="Elite",Config!$B$21,0)</f>
        <v>0</v>
      </c>
      <c r="AA25" s="40" t="str">
        <f>IFERROR(IF(OR($W25="",$H25=""),"",IF($W25&gt;$H25,
  MAX(0, 60-(($W25-$H25)*24/Config!$B$19)*60),
  MIN(100, 60+(($H25-$W25)*24/Config!$B$20)*40)
)),"")
</f>
        <v/>
      </c>
      <c r="AB25" s="40" t="str">
        <f>IF($K25="","",IFERROR(VLOOKUP($K25,Grinders!$A$4:$N$998,10,FALSE)/5*100,""))</f>
        <v/>
      </c>
      <c r="AC25" s="40" t="str">
        <f>IF($K25="","",IFERROR(VLOOKUP($K25,Grinders!$A$4:$N$998,11,FALSE)*100,""))</f>
        <v/>
      </c>
      <c r="AD25" s="40" t="str">
        <f>IF($K25="","",IFERROR(VLOOKUP($K25,Grinders!$A$4:$N$998,12,FALSE)*100,""))</f>
        <v/>
      </c>
      <c r="AE25" s="40" t="str">
        <f>IF(OR(AO25=1,AP25=1),0,=IFERROR(IFS(
    OR($C25="", $K25=""), 0,
    $F25=0, 0,
    $D25&lt;&gt;"Open", 0,
    COUNTIFS(GrinderServices!$A$6:$A$1000, $K25, GrinderServices!$B$6:$B$1000, $E25, GrinderServices!$D$6:$D$1000, "Y")=0, 0,
    $X25&lt;Config!$B$16, 0,
    Config!$B$18=1, IF($O25&gt;=N25, 0, 1),
    TRUE, 1
), "")
)</f>
        <v>#ERROR!</v>
      </c>
      <c r="AF25" s="40" t="str">
        <f>IFERROR((IF(OR(AO25=1,AP25=1),"",=IFERROR((IFERROR(IF($AE25=0,"",((Config!$B$6*$Y25 + Config!$B$7*$U25 + Config!$B$8*$Z25 + Config!$B$9*$AA25 + Config!$B$10*$AB25 + Config!$B$11*$AC25 - Config!$B$12*$AD25)/Config!$B$13)+$AK25+$AL25),""))*(1-IFERROR(VLOOKUP(K25,Grinders!$A:$AB, 28, FALSE),0)),"")))*(1+AR25),"")</f>
        <v>#ERROR!</v>
      </c>
      <c r="AG25" s="40" t="str">
        <f t="shared" si="6"/>
        <v>#ERROR!</v>
      </c>
      <c r="AH25" s="40" t="str">
        <f t="shared" si="7"/>
        <v/>
      </c>
      <c r="AI25" s="40" t="str">
        <f t="shared" si="8"/>
        <v/>
      </c>
      <c r="AJ25" s="40" t="str">
        <f>IF($K25="","",COUNTIF(Assignments!$B$6:$B$1000,$K25))</f>
        <v/>
      </c>
      <c r="AK25" s="40" t="str">
        <f>IF($K25="","",IF(AND($AJ25=0,$O25&lt;$N25),Config!$B$43,0))</f>
        <v/>
      </c>
      <c r="AL25" s="40" t="str">
        <f>IF($K25="","",IF(AND($M25="Elite",$G25&gt;=Config!$B$41,$O25&lt;$N25),Config!$B$42,0))</f>
        <v/>
      </c>
      <c r="AM25" s="22"/>
      <c r="AN25" s="39">
        <f>IFERROR(VLOOKUP(K25,Grinders!$A:$Q,28,FALSE),0)</f>
        <v>0</v>
      </c>
      <c r="AO25" s="39">
        <f>IF(Config!$B$1003&lt;&gt;"Y",0,IF(IFERROR(VLOOKUP(K25,Grinders!$A:$P,27,FALSE),0)&gt;=3,IF(OR(G25&gt;=Config!$B$1001,ISNUMBER(SEARCH(E25,Config!$B$1002))),1,0),0))</f>
        <v>0</v>
      </c>
      <c r="AP25" s="39">
        <f t="array" ref="AP25">IFERROR(IF(INDEX(Bids!$AE:$AE,MATCH(B25,Bids!$A:$A,0))="Pending",1,0),0)</f>
        <v>0</v>
      </c>
      <c r="AQ25" s="39" t="str">
        <f t="array" ref="AQ25">IF(C25="","",IFERROR(XLOOKUP(C25,Assignments!$C:$C,Assignments!$AU:$AU,0),0))</f>
        <v/>
      </c>
      <c r="AR25" s="39">
        <f>IF(AND(Config!$B$1006="Y",AQ25=1),Config!$B$1007,0)</f>
        <v>0</v>
      </c>
    </row>
    <row r="26" ht="15.75" customHeight="1">
      <c r="A26" s="46" t="str">
        <f t="shared" si="1"/>
        <v/>
      </c>
      <c r="B26" s="40" t="str">
        <f>IF(Bids!$A25="","",Bids!$A25)</f>
        <v/>
      </c>
      <c r="C26" s="40" t="str">
        <f>IF(Bids!$B25="","",Bids!$B25)</f>
        <v/>
      </c>
      <c r="D26" s="40" t="str">
        <f>IF($C26="","",IFERROR(VLOOKUP($C26,Orders!$A$4:$J$998,9,FALSE),""))</f>
        <v/>
      </c>
      <c r="E26" s="40" t="str">
        <f>IF($C26="","",IFERROR(VLOOKUP($C26,Orders!$A$4:$J$998,3,FALSE),""))</f>
        <v/>
      </c>
      <c r="F26" s="40">
        <f t="shared" si="2"/>
        <v>1</v>
      </c>
      <c r="G26" s="40" t="str">
        <f>IF($C26="","",IFERROR(VLOOKUP($C26,Orders!$A$4:$J$998,4,FALSE),""))</f>
        <v/>
      </c>
      <c r="H26" s="40" t="str">
        <f>IF($C26="","",IFERROR(VLOOKUP($C26,Orders!$A$4:$J$998,5,FALSE),""))</f>
        <v/>
      </c>
      <c r="I26" s="40" t="str">
        <f>IF($C26="","",IFERROR(VLOOKUP($C26,Orders!$A$4:$J$998,6,FALSE),""))</f>
        <v/>
      </c>
      <c r="J26" s="40" t="str">
        <f>IF($C26="","",IFERROR(VLOOKUP($C26,Orders!$A$4:$J$998,7,FALSE),""))</f>
        <v/>
      </c>
      <c r="K26" s="40" t="str">
        <f>IF(Bids!$C25="","",Bids!$C25)</f>
        <v/>
      </c>
      <c r="L26" s="40" t="str">
        <f>IF($K26="","",IFERROR(VLOOKUP($K26,Grinders!$A$4:$N$998,2,FALSE),""))</f>
        <v/>
      </c>
      <c r="M26" s="40" t="str">
        <f>IF($K26="","",IFERROR(VLOOKUP($K26,Grinders!$A$4:$N$998,3,FALSE),""))</f>
        <v/>
      </c>
      <c r="N26" s="40" t="str">
        <f>IF($K26="","",IFERROR(VLOOKUP($K26,Grinders!$A$4:$N$998,4,FALSE),""))</f>
        <v/>
      </c>
      <c r="O26" s="40" t="str">
        <f>IF($K26="","",IFERROR(VLOOKUP($K26,Grinders!$A$4:$N$998,5,FALSE),""))</f>
        <v/>
      </c>
      <c r="P26" s="40" t="str">
        <f>IF($K26="","",IF($C$4="",0,COUNTIFS(Assignments!$B$6:$B$1000,$K26,Assignments!$F$6:$F$1000,$C$4,Assignments!$E$6:$E$1000,"Active")))</f>
        <v/>
      </c>
      <c r="Q26" s="40" t="str">
        <f t="shared" si="3"/>
        <v/>
      </c>
      <c r="R26" s="40" t="str">
        <f t="shared" si="4"/>
        <v/>
      </c>
      <c r="S26" s="40" t="str">
        <f>IF($K26="","",IF($C$4="",0,COUNTIFS(Assignments!$B$6:$B$1000,$K26,Assignments!$F$6:$F$1000,$C$4,Assignments!$D$6:$D$1000,"&gt;="&amp;Config!$B$3-7,Assignments!$D$6:$D$1000,"&lt;="&amp;Config!$B$3)))</f>
        <v/>
      </c>
      <c r="T26" s="40" t="str">
        <f>IF($K26="","",IFERROR(VLOOKUP($K26,Grinders!$A$4:$N$998,8,FALSE),""))</f>
        <v/>
      </c>
      <c r="U26" s="40" t="str">
        <f>IFERROR(IF($K26="","",IF($M26="Elite",MAX(50,MIN(100,Config!$B$27*MAX(0,MIN(100,(1-IF($R26="",0,$R26))*100)) + Config!$B$28*MAX(0,MIN(100,(1-MIN(1,IF(Config!$B$30=0,1,$S26/Config!$B$30)))*100)) + Config!$B$29*MAX(0,MIN(100,MIN(1,IF($T26="",0,$T26)/Config!$B$23)*100)))),MIN(100,Config!$B$27*MAX(0,MIN(100,(1-IF($R26="",0,$R26))*100)) + Config!$B$28*MAX(0,MIN(100,(1-MIN(1,IF(Config!$B$30=0,1,$S26/Config!$B$30)))*100)) + Config!$B$29*MAX(0,MIN(100,MIN(1,IF($T26="",0,$T26)/Config!$B$23)*100))))),"")
</f>
        <v/>
      </c>
      <c r="V26" s="40" t="str">
        <f>IF(Bids!$AC26="","",Bids!$AC26)</f>
        <v/>
      </c>
      <c r="W26" s="40" t="str">
        <f>IF(Bids!$F25="","",Bids!$F25)</f>
        <v/>
      </c>
      <c r="X26" s="40" t="str">
        <f t="shared" si="5"/>
        <v/>
      </c>
      <c r="Y26" s="40" t="str">
        <f>IF($X26="","",IF(Config!$B$17=Config!$B$16,IF($X26&gt;=Config!$B$17,100,0),MAX(0,MIN(100,($X26-Config!$B$16)/(Config!$B$17-Config!$B$16)*100))))</f>
        <v/>
      </c>
      <c r="Z26" s="40">
        <f>IF($M26="Elite",Config!$B$21,0)</f>
        <v>0</v>
      </c>
      <c r="AA26" s="40" t="str">
        <f>IFERROR(IF(OR($W26="",$H26=""),"",IF($W26&gt;$H26,
  MAX(0, 60-(($W26-$H26)*24/Config!$B$19)*60),
  MIN(100, 60+(($H26-$W26)*24/Config!$B$20)*40)
)),"")
</f>
        <v/>
      </c>
      <c r="AB26" s="40" t="str">
        <f>IF($K26="","",IFERROR(VLOOKUP($K26,Grinders!$A$4:$N$998,10,FALSE)/5*100,""))</f>
        <v/>
      </c>
      <c r="AC26" s="40" t="str">
        <f>IF($K26="","",IFERROR(VLOOKUP($K26,Grinders!$A$4:$N$998,11,FALSE)*100,""))</f>
        <v/>
      </c>
      <c r="AD26" s="40" t="str">
        <f>IF($K26="","",IFERROR(VLOOKUP($K26,Grinders!$A$4:$N$998,12,FALSE)*100,""))</f>
        <v/>
      </c>
      <c r="AE26" s="40" t="str">
        <f>IF(OR(AO26=1,AP26=1),0,=IFERROR(IFS(
    OR($C26="", $K26=""), 0,
    $F26=0, 0,
    $D26&lt;&gt;"Open", 0,
    COUNTIFS(GrinderServices!$A$6:$A$1000, $K26, GrinderServices!$B$6:$B$1000, $E26, GrinderServices!$D$6:$D$1000, "Y")=0, 0,
    $X26&lt;Config!$B$16, 0,
    Config!$B$18=1, IF($O26&gt;=N26, 0, 1),
    TRUE, 1
), "")
)</f>
        <v>#ERROR!</v>
      </c>
      <c r="AF26" s="40" t="str">
        <f>IFERROR((IF(OR(AO26=1,AP26=1),"",=IFERROR((IFERROR(IF($AE26=0,"",((Config!$B$6*$Y26 + Config!$B$7*$U26 + Config!$B$8*$Z26 + Config!$B$9*$AA26 + Config!$B$10*$AB26 + Config!$B$11*$AC26 - Config!$B$12*$AD26)/Config!$B$13)+$AK26+$AL26),""))*(1-IFERROR(VLOOKUP(K26,Grinders!$A:$AB, 28, FALSE),0)),"")))*(1+AR26),"")</f>
        <v>#ERROR!</v>
      </c>
      <c r="AG26" s="40" t="str">
        <f t="shared" si="6"/>
        <v>#ERROR!</v>
      </c>
      <c r="AH26" s="40" t="str">
        <f t="shared" si="7"/>
        <v/>
      </c>
      <c r="AI26" s="40" t="str">
        <f t="shared" si="8"/>
        <v/>
      </c>
      <c r="AJ26" s="40" t="str">
        <f>IF($K26="","",COUNTIF(Assignments!$B$6:$B$1000,$K26))</f>
        <v/>
      </c>
      <c r="AK26" s="40" t="str">
        <f>IF($K26="","",IF(AND($AJ26=0,$O26&lt;$N26),Config!$B$43,0))</f>
        <v/>
      </c>
      <c r="AL26" s="40" t="str">
        <f>IF($K26="","",IF(AND($M26="Elite",$G26&gt;=Config!$B$41,$O26&lt;$N26),Config!$B$42,0))</f>
        <v/>
      </c>
      <c r="AM26" s="22"/>
      <c r="AN26" s="39">
        <f>IFERROR(VLOOKUP(K26,Grinders!$A:$Q,28,FALSE),0)</f>
        <v>0</v>
      </c>
      <c r="AO26" s="39">
        <f>IF(Config!$B$1003&lt;&gt;"Y",0,IF(IFERROR(VLOOKUP(K26,Grinders!$A:$P,27,FALSE),0)&gt;=3,IF(OR(G26&gt;=Config!$B$1001,ISNUMBER(SEARCH(E26,Config!$B$1002))),1,0),0))</f>
        <v>0</v>
      </c>
      <c r="AP26" s="39">
        <f t="array" ref="AP26">IFERROR(IF(INDEX(Bids!$AE:$AE,MATCH(B26,Bids!$A:$A,0))="Pending",1,0),0)</f>
        <v>0</v>
      </c>
      <c r="AQ26" s="39" t="str">
        <f t="array" ref="AQ26">IF(C26="","",IFERROR(XLOOKUP(C26,Assignments!$C:$C,Assignments!$AU:$AU,0),0))</f>
        <v/>
      </c>
      <c r="AR26" s="39">
        <f>IF(AND(Config!$B$1006="Y",AQ26=1),Config!$B$1007,0)</f>
        <v>0</v>
      </c>
    </row>
    <row r="27" ht="15.75" customHeight="1">
      <c r="A27" s="46" t="str">
        <f t="shared" si="1"/>
        <v/>
      </c>
      <c r="B27" s="40" t="str">
        <f>IF(Bids!$A26="","",Bids!$A26)</f>
        <v/>
      </c>
      <c r="C27" s="40" t="str">
        <f>IF(Bids!$B26="","",Bids!$B26)</f>
        <v/>
      </c>
      <c r="D27" s="40" t="str">
        <f>IF($C27="","",IFERROR(VLOOKUP($C27,Orders!$A$4:$J$998,9,FALSE),""))</f>
        <v/>
      </c>
      <c r="E27" s="40" t="str">
        <f>IF($C27="","",IFERROR(VLOOKUP($C27,Orders!$A$4:$J$998,3,FALSE),""))</f>
        <v/>
      </c>
      <c r="F27" s="40">
        <f t="shared" si="2"/>
        <v>1</v>
      </c>
      <c r="G27" s="40" t="str">
        <f>IF($C27="","",IFERROR(VLOOKUP($C27,Orders!$A$4:$J$998,4,FALSE),""))</f>
        <v/>
      </c>
      <c r="H27" s="40" t="str">
        <f>IF($C27="","",IFERROR(VLOOKUP($C27,Orders!$A$4:$J$998,5,FALSE),""))</f>
        <v/>
      </c>
      <c r="I27" s="40" t="str">
        <f>IF($C27="","",IFERROR(VLOOKUP($C27,Orders!$A$4:$J$998,6,FALSE),""))</f>
        <v/>
      </c>
      <c r="J27" s="40" t="str">
        <f>IF($C27="","",IFERROR(VLOOKUP($C27,Orders!$A$4:$J$998,7,FALSE),""))</f>
        <v/>
      </c>
      <c r="K27" s="40" t="str">
        <f>IF(Bids!$C26="","",Bids!$C26)</f>
        <v/>
      </c>
      <c r="L27" s="40" t="str">
        <f>IF($K27="","",IFERROR(VLOOKUP($K27,Grinders!$A$4:$N$998,2,FALSE),""))</f>
        <v/>
      </c>
      <c r="M27" s="40" t="str">
        <f>IF($K27="","",IFERROR(VLOOKUP($K27,Grinders!$A$4:$N$998,3,FALSE),""))</f>
        <v/>
      </c>
      <c r="N27" s="40" t="str">
        <f>IF($K27="","",IFERROR(VLOOKUP($K27,Grinders!$A$4:$N$998,4,FALSE),""))</f>
        <v/>
      </c>
      <c r="O27" s="40" t="str">
        <f>IF($K27="","",IFERROR(VLOOKUP($K27,Grinders!$A$4:$N$998,5,FALSE),""))</f>
        <v/>
      </c>
      <c r="P27" s="40" t="str">
        <f>IF($K27="","",IF($C$4="",0,COUNTIFS(Assignments!$B$6:$B$1000,$K27,Assignments!$F$6:$F$1000,$C$4,Assignments!$E$6:$E$1000,"Active")))</f>
        <v/>
      </c>
      <c r="Q27" s="40" t="str">
        <f t="shared" si="3"/>
        <v/>
      </c>
      <c r="R27" s="40" t="str">
        <f t="shared" si="4"/>
        <v/>
      </c>
      <c r="S27" s="40" t="str">
        <f>IF($K27="","",IF($C$4="",0,COUNTIFS(Assignments!$B$6:$B$1000,$K27,Assignments!$F$6:$F$1000,$C$4,Assignments!$D$6:$D$1000,"&gt;="&amp;Config!$B$3-7,Assignments!$D$6:$D$1000,"&lt;="&amp;Config!$B$3)))</f>
        <v/>
      </c>
      <c r="T27" s="40" t="str">
        <f>IF($K27="","",IFERROR(VLOOKUP($K27,Grinders!$A$4:$N$998,8,FALSE),""))</f>
        <v/>
      </c>
      <c r="U27" s="40" t="str">
        <f>IFERROR(IF($K27="","",IF($M27="Elite",MAX(50,MIN(100,Config!$B$27*MAX(0,MIN(100,(1-IF($R27="",0,$R27))*100)) + Config!$B$28*MAX(0,MIN(100,(1-MIN(1,IF(Config!$B$30=0,1,$S27/Config!$B$30)))*100)) + Config!$B$29*MAX(0,MIN(100,MIN(1,IF($T27="",0,$T27)/Config!$B$23)*100)))),MIN(100,Config!$B$27*MAX(0,MIN(100,(1-IF($R27="",0,$R27))*100)) + Config!$B$28*MAX(0,MIN(100,(1-MIN(1,IF(Config!$B$30=0,1,$S27/Config!$B$30)))*100)) + Config!$B$29*MAX(0,MIN(100,MIN(1,IF($T27="",0,$T27)/Config!$B$23)*100))))),"")
</f>
        <v/>
      </c>
      <c r="V27" s="40" t="str">
        <f>IF(Bids!$AC27="","",Bids!$AC27)</f>
        <v/>
      </c>
      <c r="W27" s="40" t="str">
        <f>IF(Bids!$F26="","",Bids!$F26)</f>
        <v/>
      </c>
      <c r="X27" s="40" t="str">
        <f t="shared" si="5"/>
        <v/>
      </c>
      <c r="Y27" s="40" t="str">
        <f>IF($X27="","",IF(Config!$B$17=Config!$B$16,IF($X27&gt;=Config!$B$17,100,0),MAX(0,MIN(100,($X27-Config!$B$16)/(Config!$B$17-Config!$B$16)*100))))</f>
        <v/>
      </c>
      <c r="Z27" s="40">
        <f>IF($M27="Elite",Config!$B$21,0)</f>
        <v>0</v>
      </c>
      <c r="AA27" s="40" t="str">
        <f>IFERROR(IF(OR($W27="",$H27=""),"",IF($W27&gt;$H27,
  MAX(0, 60-(($W27-$H27)*24/Config!$B$19)*60),
  MIN(100, 60+(($H27-$W27)*24/Config!$B$20)*40)
)),"")
</f>
        <v/>
      </c>
      <c r="AB27" s="40" t="str">
        <f>IF($K27="","",IFERROR(VLOOKUP($K27,Grinders!$A$4:$N$998,10,FALSE)/5*100,""))</f>
        <v/>
      </c>
      <c r="AC27" s="40" t="str">
        <f>IF($K27="","",IFERROR(VLOOKUP($K27,Grinders!$A$4:$N$998,11,FALSE)*100,""))</f>
        <v/>
      </c>
      <c r="AD27" s="40" t="str">
        <f>IF($K27="","",IFERROR(VLOOKUP($K27,Grinders!$A$4:$N$998,12,FALSE)*100,""))</f>
        <v/>
      </c>
      <c r="AE27" s="40" t="str">
        <f>IF(OR(AO27=1,AP27=1),0,=IFERROR(IFS(
    OR($C27="", $K27=""), 0,
    $F27=0, 0,
    $D27&lt;&gt;"Open", 0,
    COUNTIFS(GrinderServices!$A$6:$A$1000, $K27, GrinderServices!$B$6:$B$1000, $E27, GrinderServices!$D$6:$D$1000, "Y")=0, 0,
    $X27&lt;Config!$B$16, 0,
    Config!$B$18=1, IF($O27&gt;=N27, 0, 1),
    TRUE, 1
), "")
)</f>
        <v>#ERROR!</v>
      </c>
      <c r="AF27" s="40" t="str">
        <f>IFERROR((IF(OR(AO27=1,AP27=1),"",=IFERROR((IFERROR(IF($AE27=0,"",((Config!$B$6*$Y27 + Config!$B$7*$U27 + Config!$B$8*$Z27 + Config!$B$9*$AA27 + Config!$B$10*$AB27 + Config!$B$11*$AC27 - Config!$B$12*$AD27)/Config!$B$13)+$AK27+$AL27),""))*(1-IFERROR(VLOOKUP(K27,Grinders!$A:$AB, 28, FALSE),0)),"")))*(1+AR27),"")</f>
        <v>#ERROR!</v>
      </c>
      <c r="AG27" s="40" t="str">
        <f t="shared" si="6"/>
        <v>#ERROR!</v>
      </c>
      <c r="AH27" s="40" t="str">
        <f t="shared" si="7"/>
        <v/>
      </c>
      <c r="AI27" s="40" t="str">
        <f t="shared" si="8"/>
        <v/>
      </c>
      <c r="AJ27" s="40" t="str">
        <f>IF($K27="","",COUNTIF(Assignments!$B$6:$B$1000,$K27))</f>
        <v/>
      </c>
      <c r="AK27" s="40" t="str">
        <f>IF($K27="","",IF(AND($AJ27=0,$O27&lt;$N27),Config!$B$43,0))</f>
        <v/>
      </c>
      <c r="AL27" s="40" t="str">
        <f>IF($K27="","",IF(AND($M27="Elite",$G27&gt;=Config!$B$41,$O27&lt;$N27),Config!$B$42,0))</f>
        <v/>
      </c>
      <c r="AM27" s="22"/>
      <c r="AN27" s="39">
        <f>IFERROR(VLOOKUP(K27,Grinders!$A:$Q,28,FALSE),0)</f>
        <v>0</v>
      </c>
      <c r="AO27" s="39">
        <f>IF(Config!$B$1003&lt;&gt;"Y",0,IF(IFERROR(VLOOKUP(K27,Grinders!$A:$P,27,FALSE),0)&gt;=3,IF(OR(G27&gt;=Config!$B$1001,ISNUMBER(SEARCH(E27,Config!$B$1002))),1,0),0))</f>
        <v>0</v>
      </c>
      <c r="AP27" s="39">
        <f t="array" ref="AP27">IFERROR(IF(INDEX(Bids!$AE:$AE,MATCH(B27,Bids!$A:$A,0))="Pending",1,0),0)</f>
        <v>0</v>
      </c>
      <c r="AQ27" s="39" t="str">
        <f t="array" ref="AQ27">IF(C27="","",IFERROR(XLOOKUP(C27,Assignments!$C:$C,Assignments!$AU:$AU,0),0))</f>
        <v/>
      </c>
      <c r="AR27" s="39">
        <f>IF(AND(Config!$B$1006="Y",AQ27=1),Config!$B$1007,0)</f>
        <v>0</v>
      </c>
    </row>
    <row r="28" ht="15.75" customHeight="1">
      <c r="A28" s="46" t="str">
        <f t="shared" si="1"/>
        <v/>
      </c>
      <c r="B28" s="40" t="str">
        <f>IF(Bids!$A27="","",Bids!$A27)</f>
        <v/>
      </c>
      <c r="C28" s="40" t="str">
        <f>IF(Bids!$B27="","",Bids!$B27)</f>
        <v/>
      </c>
      <c r="D28" s="40" t="str">
        <f>IF($C28="","",IFERROR(VLOOKUP($C28,Orders!$A$4:$J$998,9,FALSE),""))</f>
        <v/>
      </c>
      <c r="E28" s="40" t="str">
        <f>IF($C28="","",IFERROR(VLOOKUP($C28,Orders!$A$4:$J$998,3,FALSE),""))</f>
        <v/>
      </c>
      <c r="F28" s="40">
        <f t="shared" si="2"/>
        <v>1</v>
      </c>
      <c r="G28" s="40" t="str">
        <f>IF($C28="","",IFERROR(VLOOKUP($C28,Orders!$A$4:$J$998,4,FALSE),""))</f>
        <v/>
      </c>
      <c r="H28" s="40" t="str">
        <f>IF($C28="","",IFERROR(VLOOKUP($C28,Orders!$A$4:$J$998,5,FALSE),""))</f>
        <v/>
      </c>
      <c r="I28" s="40" t="str">
        <f>IF($C28="","",IFERROR(VLOOKUP($C28,Orders!$A$4:$J$998,6,FALSE),""))</f>
        <v/>
      </c>
      <c r="J28" s="40" t="str">
        <f>IF($C28="","",IFERROR(VLOOKUP($C28,Orders!$A$4:$J$998,7,FALSE),""))</f>
        <v/>
      </c>
      <c r="K28" s="40" t="str">
        <f>IF(Bids!$C27="","",Bids!$C27)</f>
        <v/>
      </c>
      <c r="L28" s="40" t="str">
        <f>IF($K28="","",IFERROR(VLOOKUP($K28,Grinders!$A$4:$N$998,2,FALSE),""))</f>
        <v/>
      </c>
      <c r="M28" s="40" t="str">
        <f>IF($K28="","",IFERROR(VLOOKUP($K28,Grinders!$A$4:$N$998,3,FALSE),""))</f>
        <v/>
      </c>
      <c r="N28" s="40" t="str">
        <f>IF($K28="","",IFERROR(VLOOKUP($K28,Grinders!$A$4:$N$998,4,FALSE),""))</f>
        <v/>
      </c>
      <c r="O28" s="40" t="str">
        <f>IF($K28="","",IFERROR(VLOOKUP($K28,Grinders!$A$4:$N$998,5,FALSE),""))</f>
        <v/>
      </c>
      <c r="P28" s="40" t="str">
        <f>IF($K28="","",IF($C$4="",0,COUNTIFS(Assignments!$B$6:$B$1000,$K28,Assignments!$F$6:$F$1000,$C$4,Assignments!$E$6:$E$1000,"Active")))</f>
        <v/>
      </c>
      <c r="Q28" s="40" t="str">
        <f t="shared" si="3"/>
        <v/>
      </c>
      <c r="R28" s="40" t="str">
        <f t="shared" si="4"/>
        <v/>
      </c>
      <c r="S28" s="40" t="str">
        <f>IF($K28="","",IF($C$4="",0,COUNTIFS(Assignments!$B$6:$B$1000,$K28,Assignments!$F$6:$F$1000,$C$4,Assignments!$D$6:$D$1000,"&gt;="&amp;Config!$B$3-7,Assignments!$D$6:$D$1000,"&lt;="&amp;Config!$B$3)))</f>
        <v/>
      </c>
      <c r="T28" s="40" t="str">
        <f>IF($K28="","",IFERROR(VLOOKUP($K28,Grinders!$A$4:$N$998,8,FALSE),""))</f>
        <v/>
      </c>
      <c r="U28" s="40" t="str">
        <f>IFERROR(IF($K28="","",IF($M28="Elite",MAX(50,MIN(100,Config!$B$27*MAX(0,MIN(100,(1-IF($R28="",0,$R28))*100)) + Config!$B$28*MAX(0,MIN(100,(1-MIN(1,IF(Config!$B$30=0,1,$S28/Config!$B$30)))*100)) + Config!$B$29*MAX(0,MIN(100,MIN(1,IF($T28="",0,$T28)/Config!$B$23)*100)))),MIN(100,Config!$B$27*MAX(0,MIN(100,(1-IF($R28="",0,$R28))*100)) + Config!$B$28*MAX(0,MIN(100,(1-MIN(1,IF(Config!$B$30=0,1,$S28/Config!$B$30)))*100)) + Config!$B$29*MAX(0,MIN(100,MIN(1,IF($T28="",0,$T28)/Config!$B$23)*100))))),"")
</f>
        <v/>
      </c>
      <c r="V28" s="40" t="str">
        <f>IF(Bids!$AC28="","",Bids!$AC28)</f>
        <v/>
      </c>
      <c r="W28" s="40" t="str">
        <f>IF(Bids!$F27="","",Bids!$F27)</f>
        <v/>
      </c>
      <c r="X28" s="40" t="str">
        <f t="shared" si="5"/>
        <v/>
      </c>
      <c r="Y28" s="40" t="str">
        <f>IF($X28="","",IF(Config!$B$17=Config!$B$16,IF($X28&gt;=Config!$B$17,100,0),MAX(0,MIN(100,($X28-Config!$B$16)/(Config!$B$17-Config!$B$16)*100))))</f>
        <v/>
      </c>
      <c r="Z28" s="40">
        <f>IF($M28="Elite",Config!$B$21,0)</f>
        <v>0</v>
      </c>
      <c r="AA28" s="40" t="str">
        <f>IFERROR(IF(OR($W28="",$H28=""),"",IF($W28&gt;$H28,
  MAX(0, 60-(($W28-$H28)*24/Config!$B$19)*60),
  MIN(100, 60+(($H28-$W28)*24/Config!$B$20)*40)
)),"")
</f>
        <v/>
      </c>
      <c r="AB28" s="40" t="str">
        <f>IF($K28="","",IFERROR(VLOOKUP($K28,Grinders!$A$4:$N$998,10,FALSE)/5*100,""))</f>
        <v/>
      </c>
      <c r="AC28" s="40" t="str">
        <f>IF($K28="","",IFERROR(VLOOKUP($K28,Grinders!$A$4:$N$998,11,FALSE)*100,""))</f>
        <v/>
      </c>
      <c r="AD28" s="40" t="str">
        <f>IF($K28="","",IFERROR(VLOOKUP($K28,Grinders!$A$4:$N$998,12,FALSE)*100,""))</f>
        <v/>
      </c>
      <c r="AE28" s="40" t="str">
        <f>IF(OR(AO28=1,AP28=1),0,=IFERROR(IFS(
    OR($C28="", $K28=""), 0,
    $F28=0, 0,
    $D28&lt;&gt;"Open", 0,
    COUNTIFS(GrinderServices!$A$6:$A$1000, $K28, GrinderServices!$B$6:$B$1000, $E28, GrinderServices!$D$6:$D$1000, "Y")=0, 0,
    $X28&lt;Config!$B$16, 0,
    Config!$B$18=1, IF($O28&gt;=N28, 0, 1),
    TRUE, 1
), "")
)</f>
        <v>#ERROR!</v>
      </c>
      <c r="AF28" s="40" t="str">
        <f>IFERROR((IF(OR(AO28=1,AP28=1),"",=IFERROR((IFERROR(IF($AE28=0,"",((Config!$B$6*$Y28 + Config!$B$7*$U28 + Config!$B$8*$Z28 + Config!$B$9*$AA28 + Config!$B$10*$AB28 + Config!$B$11*$AC28 - Config!$B$12*$AD28)/Config!$B$13)+$AK28+$AL28),""))*(1-IFERROR(VLOOKUP(K28,Grinders!$A:$AB, 28, FALSE),0)),"")))*(1+AR28),"")</f>
        <v>#ERROR!</v>
      </c>
      <c r="AG28" s="40" t="str">
        <f t="shared" si="6"/>
        <v>#ERROR!</v>
      </c>
      <c r="AH28" s="40" t="str">
        <f t="shared" si="7"/>
        <v/>
      </c>
      <c r="AI28" s="40" t="str">
        <f t="shared" si="8"/>
        <v/>
      </c>
      <c r="AJ28" s="40" t="str">
        <f>IF($K28="","",COUNTIF(Assignments!$B$6:$B$1000,$K28))</f>
        <v/>
      </c>
      <c r="AK28" s="40" t="str">
        <f>IF($K28="","",IF(AND($AJ28=0,$O28&lt;$N28),Config!$B$43,0))</f>
        <v/>
      </c>
      <c r="AL28" s="40" t="str">
        <f>IF($K28="","",IF(AND($M28="Elite",$G28&gt;=Config!$B$41,$O28&lt;$N28),Config!$B$42,0))</f>
        <v/>
      </c>
      <c r="AM28" s="22"/>
      <c r="AN28" s="39">
        <f>IFERROR(VLOOKUP(K28,Grinders!$A:$Q,28,FALSE),0)</f>
        <v>0</v>
      </c>
      <c r="AO28" s="39">
        <f>IF(Config!$B$1003&lt;&gt;"Y",0,IF(IFERROR(VLOOKUP(K28,Grinders!$A:$P,27,FALSE),0)&gt;=3,IF(OR(G28&gt;=Config!$B$1001,ISNUMBER(SEARCH(E28,Config!$B$1002))),1,0),0))</f>
        <v>0</v>
      </c>
      <c r="AP28" s="39">
        <f t="array" ref="AP28">IFERROR(IF(INDEX(Bids!$AE:$AE,MATCH(B28,Bids!$A:$A,0))="Pending",1,0),0)</f>
        <v>0</v>
      </c>
      <c r="AQ28" s="39" t="str">
        <f t="array" ref="AQ28">IF(C28="","",IFERROR(XLOOKUP(C28,Assignments!$C:$C,Assignments!$AU:$AU,0),0))</f>
        <v/>
      </c>
      <c r="AR28" s="39">
        <f>IF(AND(Config!$B$1006="Y",AQ28=1),Config!$B$1007,0)</f>
        <v>0</v>
      </c>
    </row>
    <row r="29" ht="15.75" customHeight="1">
      <c r="A29" s="46" t="str">
        <f t="shared" si="1"/>
        <v/>
      </c>
      <c r="B29" s="40" t="str">
        <f>IF(Bids!$A28="","",Bids!$A28)</f>
        <v/>
      </c>
      <c r="C29" s="40" t="str">
        <f>IF(Bids!$B28="","",Bids!$B28)</f>
        <v/>
      </c>
      <c r="D29" s="40" t="str">
        <f>IF($C29="","",IFERROR(VLOOKUP($C29,Orders!$A$4:$J$998,9,FALSE),""))</f>
        <v/>
      </c>
      <c r="E29" s="40" t="str">
        <f>IF($C29="","",IFERROR(VLOOKUP($C29,Orders!$A$4:$J$998,3,FALSE),""))</f>
        <v/>
      </c>
      <c r="F29" s="40">
        <f t="shared" si="2"/>
        <v>1</v>
      </c>
      <c r="G29" s="40" t="str">
        <f>IF($C29="","",IFERROR(VLOOKUP($C29,Orders!$A$4:$J$998,4,FALSE),""))</f>
        <v/>
      </c>
      <c r="H29" s="40" t="str">
        <f>IF($C29="","",IFERROR(VLOOKUP($C29,Orders!$A$4:$J$998,5,FALSE),""))</f>
        <v/>
      </c>
      <c r="I29" s="40" t="str">
        <f>IF($C29="","",IFERROR(VLOOKUP($C29,Orders!$A$4:$J$998,6,FALSE),""))</f>
        <v/>
      </c>
      <c r="J29" s="40" t="str">
        <f>IF($C29="","",IFERROR(VLOOKUP($C29,Orders!$A$4:$J$998,7,FALSE),""))</f>
        <v/>
      </c>
      <c r="K29" s="40" t="str">
        <f>IF(Bids!$C28="","",Bids!$C28)</f>
        <v/>
      </c>
      <c r="L29" s="40" t="str">
        <f>IF($K29="","",IFERROR(VLOOKUP($K29,Grinders!$A$4:$N$998,2,FALSE),""))</f>
        <v/>
      </c>
      <c r="M29" s="40" t="str">
        <f>IF($K29="","",IFERROR(VLOOKUP($K29,Grinders!$A$4:$N$998,3,FALSE),""))</f>
        <v/>
      </c>
      <c r="N29" s="40" t="str">
        <f>IF($K29="","",IFERROR(VLOOKUP($K29,Grinders!$A$4:$N$998,4,FALSE),""))</f>
        <v/>
      </c>
      <c r="O29" s="40" t="str">
        <f>IF($K29="","",IFERROR(VLOOKUP($K29,Grinders!$A$4:$N$998,5,FALSE),""))</f>
        <v/>
      </c>
      <c r="P29" s="40" t="str">
        <f>IF($K29="","",IF($C$4="",0,COUNTIFS(Assignments!$B$6:$B$1000,$K29,Assignments!$F$6:$F$1000,$C$4,Assignments!$E$6:$E$1000,"Active")))</f>
        <v/>
      </c>
      <c r="Q29" s="40" t="str">
        <f t="shared" si="3"/>
        <v/>
      </c>
      <c r="R29" s="40" t="str">
        <f t="shared" si="4"/>
        <v/>
      </c>
      <c r="S29" s="40" t="str">
        <f>IF($K29="","",IF($C$4="",0,COUNTIFS(Assignments!$B$6:$B$1000,$K29,Assignments!$F$6:$F$1000,$C$4,Assignments!$D$6:$D$1000,"&gt;="&amp;Config!$B$3-7,Assignments!$D$6:$D$1000,"&lt;="&amp;Config!$B$3)))</f>
        <v/>
      </c>
      <c r="T29" s="40" t="str">
        <f>IF($K29="","",IFERROR(VLOOKUP($K29,Grinders!$A$4:$N$998,8,FALSE),""))</f>
        <v/>
      </c>
      <c r="U29" s="40" t="str">
        <f>IFERROR(IF($K29="","",IF($M29="Elite",MAX(50,MIN(100,Config!$B$27*MAX(0,MIN(100,(1-IF($R29="",0,$R29))*100)) + Config!$B$28*MAX(0,MIN(100,(1-MIN(1,IF(Config!$B$30=0,1,$S29/Config!$B$30)))*100)) + Config!$B$29*MAX(0,MIN(100,MIN(1,IF($T29="",0,$T29)/Config!$B$23)*100)))),MIN(100,Config!$B$27*MAX(0,MIN(100,(1-IF($R29="",0,$R29))*100)) + Config!$B$28*MAX(0,MIN(100,(1-MIN(1,IF(Config!$B$30=0,1,$S29/Config!$B$30)))*100)) + Config!$B$29*MAX(0,MIN(100,MIN(1,IF($T29="",0,$T29)/Config!$B$23)*100))))),"")
</f>
        <v/>
      </c>
      <c r="V29" s="40" t="str">
        <f>IF(Bids!$AC29="","",Bids!$AC29)</f>
        <v/>
      </c>
      <c r="W29" s="40" t="str">
        <f>IF(Bids!$F28="","",Bids!$F28)</f>
        <v/>
      </c>
      <c r="X29" s="40" t="str">
        <f t="shared" si="5"/>
        <v/>
      </c>
      <c r="Y29" s="40" t="str">
        <f>IF($X29="","",IF(Config!$B$17=Config!$B$16,IF($X29&gt;=Config!$B$17,100,0),MAX(0,MIN(100,($X29-Config!$B$16)/(Config!$B$17-Config!$B$16)*100))))</f>
        <v/>
      </c>
      <c r="Z29" s="40">
        <f>IF($M29="Elite",Config!$B$21,0)</f>
        <v>0</v>
      </c>
      <c r="AA29" s="40" t="str">
        <f>IFERROR(IF(OR($W29="",$H29=""),"",IF($W29&gt;$H29,
  MAX(0, 60-(($W29-$H29)*24/Config!$B$19)*60),
  MIN(100, 60+(($H29-$W29)*24/Config!$B$20)*40)
)),"")
</f>
        <v/>
      </c>
      <c r="AB29" s="40" t="str">
        <f>IF($K29="","",IFERROR(VLOOKUP($K29,Grinders!$A$4:$N$998,10,FALSE)/5*100,""))</f>
        <v/>
      </c>
      <c r="AC29" s="40" t="str">
        <f>IF($K29="","",IFERROR(VLOOKUP($K29,Grinders!$A$4:$N$998,11,FALSE)*100,""))</f>
        <v/>
      </c>
      <c r="AD29" s="40" t="str">
        <f>IF($K29="","",IFERROR(VLOOKUP($K29,Grinders!$A$4:$N$998,12,FALSE)*100,""))</f>
        <v/>
      </c>
      <c r="AE29" s="40" t="str">
        <f>IF(OR(AO29=1,AP29=1),0,=IFERROR(IFS(
    OR($C29="", $K29=""), 0,
    $F29=0, 0,
    $D29&lt;&gt;"Open", 0,
    COUNTIFS(GrinderServices!$A$6:$A$1000, $K29, GrinderServices!$B$6:$B$1000, $E29, GrinderServices!$D$6:$D$1000, "Y")=0, 0,
    $X29&lt;Config!$B$16, 0,
    Config!$B$18=1, IF($O29&gt;=N29, 0, 1),
    TRUE, 1
), "")
)</f>
        <v>#ERROR!</v>
      </c>
      <c r="AF29" s="40" t="str">
        <f>IFERROR((IF(OR(AO29=1,AP29=1),"",=IFERROR((IFERROR(IF($AE29=0,"",((Config!$B$6*$Y29 + Config!$B$7*$U29 + Config!$B$8*$Z29 + Config!$B$9*$AA29 + Config!$B$10*$AB29 + Config!$B$11*$AC29 - Config!$B$12*$AD29)/Config!$B$13)+$AK29+$AL29),""))*(1-IFERROR(VLOOKUP(K29,Grinders!$A:$AB, 28, FALSE),0)),"")))*(1+AR29),"")</f>
        <v>#ERROR!</v>
      </c>
      <c r="AG29" s="40" t="str">
        <f t="shared" si="6"/>
        <v>#ERROR!</v>
      </c>
      <c r="AH29" s="40" t="str">
        <f t="shared" si="7"/>
        <v/>
      </c>
      <c r="AI29" s="40" t="str">
        <f t="shared" si="8"/>
        <v/>
      </c>
      <c r="AJ29" s="40" t="str">
        <f>IF($K29="","",COUNTIF(Assignments!$B$6:$B$1000,$K29))</f>
        <v/>
      </c>
      <c r="AK29" s="40" t="str">
        <f>IF($K29="","",IF(AND($AJ29=0,$O29&lt;$N29),Config!$B$43,0))</f>
        <v/>
      </c>
      <c r="AL29" s="40" t="str">
        <f>IF($K29="","",IF(AND($M29="Elite",$G29&gt;=Config!$B$41,$O29&lt;$N29),Config!$B$42,0))</f>
        <v/>
      </c>
      <c r="AM29" s="22"/>
      <c r="AN29" s="39">
        <f>IFERROR(VLOOKUP(K29,Grinders!$A:$Q,28,FALSE),0)</f>
        <v>0</v>
      </c>
      <c r="AO29" s="39">
        <f>IF(Config!$B$1003&lt;&gt;"Y",0,IF(IFERROR(VLOOKUP(K29,Grinders!$A:$P,27,FALSE),0)&gt;=3,IF(OR(G29&gt;=Config!$B$1001,ISNUMBER(SEARCH(E29,Config!$B$1002))),1,0),0))</f>
        <v>0</v>
      </c>
      <c r="AP29" s="39">
        <f t="array" ref="AP29">IFERROR(IF(INDEX(Bids!$AE:$AE,MATCH(B29,Bids!$A:$A,0))="Pending",1,0),0)</f>
        <v>0</v>
      </c>
      <c r="AQ29" s="39" t="str">
        <f t="array" ref="AQ29">IF(C29="","",IFERROR(XLOOKUP(C29,Assignments!$C:$C,Assignments!$AU:$AU,0),0))</f>
        <v/>
      </c>
      <c r="AR29" s="39">
        <f>IF(AND(Config!$B$1006="Y",AQ29=1),Config!$B$1007,0)</f>
        <v>0</v>
      </c>
    </row>
    <row r="30" ht="15.75" customHeight="1">
      <c r="A30" s="46" t="str">
        <f t="shared" si="1"/>
        <v/>
      </c>
      <c r="B30" s="40" t="str">
        <f>IF(Bids!$A29="","",Bids!$A29)</f>
        <v/>
      </c>
      <c r="C30" s="40" t="str">
        <f>IF(Bids!$B29="","",Bids!$B29)</f>
        <v/>
      </c>
      <c r="D30" s="40" t="str">
        <f>IF($C30="","",IFERROR(VLOOKUP($C30,Orders!$A$4:$J$998,9,FALSE),""))</f>
        <v/>
      </c>
      <c r="E30" s="40" t="str">
        <f>IF($C30="","",IFERROR(VLOOKUP($C30,Orders!$A$4:$J$998,3,FALSE),""))</f>
        <v/>
      </c>
      <c r="F30" s="40">
        <f t="shared" si="2"/>
        <v>1</v>
      </c>
      <c r="G30" s="40" t="str">
        <f>IF($C30="","",IFERROR(VLOOKUP($C30,Orders!$A$4:$J$998,4,FALSE),""))</f>
        <v/>
      </c>
      <c r="H30" s="40" t="str">
        <f>IF($C30="","",IFERROR(VLOOKUP($C30,Orders!$A$4:$J$998,5,FALSE),""))</f>
        <v/>
      </c>
      <c r="I30" s="40" t="str">
        <f>IF($C30="","",IFERROR(VLOOKUP($C30,Orders!$A$4:$J$998,6,FALSE),""))</f>
        <v/>
      </c>
      <c r="J30" s="40" t="str">
        <f>IF($C30="","",IFERROR(VLOOKUP($C30,Orders!$A$4:$J$998,7,FALSE),""))</f>
        <v/>
      </c>
      <c r="K30" s="40" t="str">
        <f>IF(Bids!$C29="","",Bids!$C29)</f>
        <v/>
      </c>
      <c r="L30" s="40" t="str">
        <f>IF($K30="","",IFERROR(VLOOKUP($K30,Grinders!$A$4:$N$998,2,FALSE),""))</f>
        <v/>
      </c>
      <c r="M30" s="40" t="str">
        <f>IF($K30="","",IFERROR(VLOOKUP($K30,Grinders!$A$4:$N$998,3,FALSE),""))</f>
        <v/>
      </c>
      <c r="N30" s="40" t="str">
        <f>IF($K30="","",IFERROR(VLOOKUP($K30,Grinders!$A$4:$N$998,4,FALSE),""))</f>
        <v/>
      </c>
      <c r="O30" s="40" t="str">
        <f>IF($K30="","",IFERROR(VLOOKUP($K30,Grinders!$A$4:$N$998,5,FALSE),""))</f>
        <v/>
      </c>
      <c r="P30" s="40" t="str">
        <f>IF($K30="","",IF($C$4="",0,COUNTIFS(Assignments!$B$6:$B$1000,$K30,Assignments!$F$6:$F$1000,$C$4,Assignments!$E$6:$E$1000,"Active")))</f>
        <v/>
      </c>
      <c r="Q30" s="40" t="str">
        <f t="shared" si="3"/>
        <v/>
      </c>
      <c r="R30" s="40" t="str">
        <f t="shared" si="4"/>
        <v/>
      </c>
      <c r="S30" s="40" t="str">
        <f>IF($K30="","",IF($C$4="",0,COUNTIFS(Assignments!$B$6:$B$1000,$K30,Assignments!$F$6:$F$1000,$C$4,Assignments!$D$6:$D$1000,"&gt;="&amp;Config!$B$3-7,Assignments!$D$6:$D$1000,"&lt;="&amp;Config!$B$3)))</f>
        <v/>
      </c>
      <c r="T30" s="40" t="str">
        <f>IF($K30="","",IFERROR(VLOOKUP($K30,Grinders!$A$4:$N$998,8,FALSE),""))</f>
        <v/>
      </c>
      <c r="U30" s="40" t="str">
        <f>IFERROR(IF($K30="","",IF($M30="Elite",MAX(50,MIN(100,Config!$B$27*MAX(0,MIN(100,(1-IF($R30="",0,$R30))*100)) + Config!$B$28*MAX(0,MIN(100,(1-MIN(1,IF(Config!$B$30=0,1,$S30/Config!$B$30)))*100)) + Config!$B$29*MAX(0,MIN(100,MIN(1,IF($T30="",0,$T30)/Config!$B$23)*100)))),MIN(100,Config!$B$27*MAX(0,MIN(100,(1-IF($R30="",0,$R30))*100)) + Config!$B$28*MAX(0,MIN(100,(1-MIN(1,IF(Config!$B$30=0,1,$S30/Config!$B$30)))*100)) + Config!$B$29*MAX(0,MIN(100,MIN(1,IF($T30="",0,$T30)/Config!$B$23)*100))))),"")
</f>
        <v/>
      </c>
      <c r="V30" s="40" t="str">
        <f>IF(Bids!$AC30="","",Bids!$AC30)</f>
        <v/>
      </c>
      <c r="W30" s="40" t="str">
        <f>IF(Bids!$F29="","",Bids!$F29)</f>
        <v/>
      </c>
      <c r="X30" s="40" t="str">
        <f t="shared" si="5"/>
        <v/>
      </c>
      <c r="Y30" s="40" t="str">
        <f>IF($X30="","",IF(Config!$B$17=Config!$B$16,IF($X30&gt;=Config!$B$17,100,0),MAX(0,MIN(100,($X30-Config!$B$16)/(Config!$B$17-Config!$B$16)*100))))</f>
        <v/>
      </c>
      <c r="Z30" s="40">
        <f>IF($M30="Elite",Config!$B$21,0)</f>
        <v>0</v>
      </c>
      <c r="AA30" s="40" t="str">
        <f>IFERROR(IF(OR($W30="",$H30=""),"",IF($W30&gt;$H30,
  MAX(0, 60-(($W30-$H30)*24/Config!$B$19)*60),
  MIN(100, 60+(($H30-$W30)*24/Config!$B$20)*40)
)),"")
</f>
        <v/>
      </c>
      <c r="AB30" s="40" t="str">
        <f>IF($K30="","",IFERROR(VLOOKUP($K30,Grinders!$A$4:$N$998,10,FALSE)/5*100,""))</f>
        <v/>
      </c>
      <c r="AC30" s="40" t="str">
        <f>IF($K30="","",IFERROR(VLOOKUP($K30,Grinders!$A$4:$N$998,11,FALSE)*100,""))</f>
        <v/>
      </c>
      <c r="AD30" s="40" t="str">
        <f>IF($K30="","",IFERROR(VLOOKUP($K30,Grinders!$A$4:$N$998,12,FALSE)*100,""))</f>
        <v/>
      </c>
      <c r="AE30" s="40" t="str">
        <f>IF(OR(AO30=1,AP30=1),0,=IFERROR(IFS(
    OR($C30="", $K30=""), 0,
    $F30=0, 0,
    $D30&lt;&gt;"Open", 0,
    COUNTIFS(GrinderServices!$A$6:$A$1000, $K30, GrinderServices!$B$6:$B$1000, $E30, GrinderServices!$D$6:$D$1000, "Y")=0, 0,
    $X30&lt;Config!$B$16, 0,
    Config!$B$18=1, IF($O30&gt;=N30, 0, 1),
    TRUE, 1
), "")
)</f>
        <v>#ERROR!</v>
      </c>
      <c r="AF30" s="40" t="str">
        <f>IFERROR((IF(OR(AO30=1,AP30=1),"",=IFERROR((IFERROR(IF($AE30=0,"",((Config!$B$6*$Y30 + Config!$B$7*$U30 + Config!$B$8*$Z30 + Config!$B$9*$AA30 + Config!$B$10*$AB30 + Config!$B$11*$AC30 - Config!$B$12*$AD30)/Config!$B$13)+$AK30+$AL30),""))*(1-IFERROR(VLOOKUP(K30,Grinders!$A:$AB, 28, FALSE),0)),"")))*(1+AR30),"")</f>
        <v>#ERROR!</v>
      </c>
      <c r="AG30" s="40" t="str">
        <f t="shared" si="6"/>
        <v>#ERROR!</v>
      </c>
      <c r="AH30" s="40" t="str">
        <f t="shared" si="7"/>
        <v/>
      </c>
      <c r="AI30" s="40" t="str">
        <f t="shared" si="8"/>
        <v/>
      </c>
      <c r="AJ30" s="40" t="str">
        <f>IF($K30="","",COUNTIF(Assignments!$B$6:$B$1000,$K30))</f>
        <v/>
      </c>
      <c r="AK30" s="40" t="str">
        <f>IF($K30="","",IF(AND($AJ30=0,$O30&lt;$N30),Config!$B$43,0))</f>
        <v/>
      </c>
      <c r="AL30" s="40" t="str">
        <f>IF($K30="","",IF(AND($M30="Elite",$G30&gt;=Config!$B$41,$O30&lt;$N30),Config!$B$42,0))</f>
        <v/>
      </c>
      <c r="AM30" s="22"/>
      <c r="AN30" s="39">
        <f>IFERROR(VLOOKUP(K30,Grinders!$A:$Q,28,FALSE),0)</f>
        <v>0</v>
      </c>
      <c r="AO30" s="39">
        <f>IF(Config!$B$1003&lt;&gt;"Y",0,IF(IFERROR(VLOOKUP(K30,Grinders!$A:$P,27,FALSE),0)&gt;=3,IF(OR(G30&gt;=Config!$B$1001,ISNUMBER(SEARCH(E30,Config!$B$1002))),1,0),0))</f>
        <v>0</v>
      </c>
      <c r="AP30" s="39">
        <f t="array" ref="AP30">IFERROR(IF(INDEX(Bids!$AE:$AE,MATCH(B30,Bids!$A:$A,0))="Pending",1,0),0)</f>
        <v>0</v>
      </c>
      <c r="AQ30" s="39" t="str">
        <f t="array" ref="AQ30">IF(C30="","",IFERROR(XLOOKUP(C30,Assignments!$C:$C,Assignments!$AU:$AU,0),0))</f>
        <v/>
      </c>
      <c r="AR30" s="39">
        <f>IF(AND(Config!$B$1006="Y",AQ30=1),Config!$B$1007,0)</f>
        <v>0</v>
      </c>
    </row>
    <row r="31" ht="15.75" customHeight="1">
      <c r="A31" s="46" t="str">
        <f t="shared" si="1"/>
        <v/>
      </c>
      <c r="B31" s="40" t="str">
        <f>IF(Bids!$A30="","",Bids!$A30)</f>
        <v/>
      </c>
      <c r="C31" s="40" t="str">
        <f>IF(Bids!$B30="","",Bids!$B30)</f>
        <v/>
      </c>
      <c r="D31" s="40" t="str">
        <f>IF($C31="","",IFERROR(VLOOKUP($C31,Orders!$A$4:$J$998,9,FALSE),""))</f>
        <v/>
      </c>
      <c r="E31" s="40" t="str">
        <f>IF($C31="","",IFERROR(VLOOKUP($C31,Orders!$A$4:$J$998,3,FALSE),""))</f>
        <v/>
      </c>
      <c r="F31" s="40">
        <f t="shared" si="2"/>
        <v>1</v>
      </c>
      <c r="G31" s="40" t="str">
        <f>IF($C31="","",IFERROR(VLOOKUP($C31,Orders!$A$4:$J$998,4,FALSE),""))</f>
        <v/>
      </c>
      <c r="H31" s="40" t="str">
        <f>IF($C31="","",IFERROR(VLOOKUP($C31,Orders!$A$4:$J$998,5,FALSE),""))</f>
        <v/>
      </c>
      <c r="I31" s="40" t="str">
        <f>IF($C31="","",IFERROR(VLOOKUP($C31,Orders!$A$4:$J$998,6,FALSE),""))</f>
        <v/>
      </c>
      <c r="J31" s="40" t="str">
        <f>IF($C31="","",IFERROR(VLOOKUP($C31,Orders!$A$4:$J$998,7,FALSE),""))</f>
        <v/>
      </c>
      <c r="K31" s="40" t="str">
        <f>IF(Bids!$C30="","",Bids!$C30)</f>
        <v/>
      </c>
      <c r="L31" s="40" t="str">
        <f>IF($K31="","",IFERROR(VLOOKUP($K31,Grinders!$A$4:$N$998,2,FALSE),""))</f>
        <v/>
      </c>
      <c r="M31" s="40" t="str">
        <f>IF($K31="","",IFERROR(VLOOKUP($K31,Grinders!$A$4:$N$998,3,FALSE),""))</f>
        <v/>
      </c>
      <c r="N31" s="40" t="str">
        <f>IF($K31="","",IFERROR(VLOOKUP($K31,Grinders!$A$4:$N$998,4,FALSE),""))</f>
        <v/>
      </c>
      <c r="O31" s="40" t="str">
        <f>IF($K31="","",IFERROR(VLOOKUP($K31,Grinders!$A$4:$N$998,5,FALSE),""))</f>
        <v/>
      </c>
      <c r="P31" s="40" t="str">
        <f>IF($K31="","",IF($C$4="",0,COUNTIFS(Assignments!$B$6:$B$1000,$K31,Assignments!$F$6:$F$1000,$C$4,Assignments!$E$6:$E$1000,"Active")))</f>
        <v/>
      </c>
      <c r="Q31" s="40" t="str">
        <f t="shared" si="3"/>
        <v/>
      </c>
      <c r="R31" s="40" t="str">
        <f t="shared" si="4"/>
        <v/>
      </c>
      <c r="S31" s="40" t="str">
        <f>IF($K31="","",IF($C$4="",0,COUNTIFS(Assignments!$B$6:$B$1000,$K31,Assignments!$F$6:$F$1000,$C$4,Assignments!$D$6:$D$1000,"&gt;="&amp;Config!$B$3-7,Assignments!$D$6:$D$1000,"&lt;="&amp;Config!$B$3)))</f>
        <v/>
      </c>
      <c r="T31" s="40" t="str">
        <f>IF($K31="","",IFERROR(VLOOKUP($K31,Grinders!$A$4:$N$998,8,FALSE),""))</f>
        <v/>
      </c>
      <c r="U31" s="40" t="str">
        <f>IFERROR(IF($K31="","",IF($M31="Elite",MAX(50,MIN(100,Config!$B$27*MAX(0,MIN(100,(1-IF($R31="",0,$R31))*100)) + Config!$B$28*MAX(0,MIN(100,(1-MIN(1,IF(Config!$B$30=0,1,$S31/Config!$B$30)))*100)) + Config!$B$29*MAX(0,MIN(100,MIN(1,IF($T31="",0,$T31)/Config!$B$23)*100)))),MIN(100,Config!$B$27*MAX(0,MIN(100,(1-IF($R31="",0,$R31))*100)) + Config!$B$28*MAX(0,MIN(100,(1-MIN(1,IF(Config!$B$30=0,1,$S31/Config!$B$30)))*100)) + Config!$B$29*MAX(0,MIN(100,MIN(1,IF($T31="",0,$T31)/Config!$B$23)*100))))),"")
</f>
        <v/>
      </c>
      <c r="V31" s="40" t="str">
        <f>IF(Bids!$AC31="","",Bids!$AC31)</f>
        <v/>
      </c>
      <c r="W31" s="40" t="str">
        <f>IF(Bids!$F30="","",Bids!$F30)</f>
        <v/>
      </c>
      <c r="X31" s="40" t="str">
        <f t="shared" si="5"/>
        <v/>
      </c>
      <c r="Y31" s="40" t="str">
        <f>IF($X31="","",IF(Config!$B$17=Config!$B$16,IF($X31&gt;=Config!$B$17,100,0),MAX(0,MIN(100,($X31-Config!$B$16)/(Config!$B$17-Config!$B$16)*100))))</f>
        <v/>
      </c>
      <c r="Z31" s="40">
        <f>IF($M31="Elite",Config!$B$21,0)</f>
        <v>0</v>
      </c>
      <c r="AA31" s="40" t="str">
        <f>IFERROR(IF(OR($W31="",$H31=""),"",IF($W31&gt;$H31,
  MAX(0, 60-(($W31-$H31)*24/Config!$B$19)*60),
  MIN(100, 60+(($H31-$W31)*24/Config!$B$20)*40)
)),"")
</f>
        <v/>
      </c>
      <c r="AB31" s="40" t="str">
        <f>IF($K31="","",IFERROR(VLOOKUP($K31,Grinders!$A$4:$N$998,10,FALSE)/5*100,""))</f>
        <v/>
      </c>
      <c r="AC31" s="40" t="str">
        <f>IF($K31="","",IFERROR(VLOOKUP($K31,Grinders!$A$4:$N$998,11,FALSE)*100,""))</f>
        <v/>
      </c>
      <c r="AD31" s="40" t="str">
        <f>IF($K31="","",IFERROR(VLOOKUP($K31,Grinders!$A$4:$N$998,12,FALSE)*100,""))</f>
        <v/>
      </c>
      <c r="AE31" s="40" t="str">
        <f>IF(OR(AO31=1,AP31=1),0,=IFERROR(IFS(
    OR($C31="", $K31=""), 0,
    $F31=0, 0,
    $D31&lt;&gt;"Open", 0,
    COUNTIFS(GrinderServices!$A$6:$A$1000, $K31, GrinderServices!$B$6:$B$1000, $E31, GrinderServices!$D$6:$D$1000, "Y")=0, 0,
    $X31&lt;Config!$B$16, 0,
    Config!$B$18=1, IF($O31&gt;=N31, 0, 1),
    TRUE, 1
), "")
)</f>
        <v>#ERROR!</v>
      </c>
      <c r="AF31" s="40" t="str">
        <f>IFERROR((IF(OR(AO31=1,AP31=1),"",=IFERROR((IFERROR(IF($AE31=0,"",((Config!$B$6*$Y31 + Config!$B$7*$U31 + Config!$B$8*$Z31 + Config!$B$9*$AA31 + Config!$B$10*$AB31 + Config!$B$11*$AC31 - Config!$B$12*$AD31)/Config!$B$13)+$AK31+$AL31),""))*(1-IFERROR(VLOOKUP(K31,Grinders!$A:$AB, 28, FALSE),0)),"")))*(1+AR31),"")</f>
        <v>#ERROR!</v>
      </c>
      <c r="AG31" s="40" t="str">
        <f t="shared" si="6"/>
        <v>#ERROR!</v>
      </c>
      <c r="AH31" s="40" t="str">
        <f t="shared" si="7"/>
        <v/>
      </c>
      <c r="AI31" s="40" t="str">
        <f t="shared" si="8"/>
        <v/>
      </c>
      <c r="AJ31" s="40" t="str">
        <f>IF($K31="","",COUNTIF(Assignments!$B$6:$B$1000,$K31))</f>
        <v/>
      </c>
      <c r="AK31" s="40" t="str">
        <f>IF($K31="","",IF(AND($AJ31=0,$O31&lt;$N31),Config!$B$43,0))</f>
        <v/>
      </c>
      <c r="AL31" s="40" t="str">
        <f>IF($K31="","",IF(AND($M31="Elite",$G31&gt;=Config!$B$41,$O31&lt;$N31),Config!$B$42,0))</f>
        <v/>
      </c>
      <c r="AM31" s="22"/>
      <c r="AN31" s="39">
        <f>IFERROR(VLOOKUP(K31,Grinders!$A:$Q,28,FALSE),0)</f>
        <v>0</v>
      </c>
      <c r="AO31" s="39">
        <f>IF(Config!$B$1003&lt;&gt;"Y",0,IF(IFERROR(VLOOKUP(K31,Grinders!$A:$P,27,FALSE),0)&gt;=3,IF(OR(G31&gt;=Config!$B$1001,ISNUMBER(SEARCH(E31,Config!$B$1002))),1,0),0))</f>
        <v>0</v>
      </c>
      <c r="AP31" s="39">
        <f t="array" ref="AP31">IFERROR(IF(INDEX(Bids!$AE:$AE,MATCH(B31,Bids!$A:$A,0))="Pending",1,0),0)</f>
        <v>0</v>
      </c>
      <c r="AQ31" s="39" t="str">
        <f t="array" ref="AQ31">IF(C31="","",IFERROR(XLOOKUP(C31,Assignments!$C:$C,Assignments!$AU:$AU,0),0))</f>
        <v/>
      </c>
      <c r="AR31" s="39">
        <f>IF(AND(Config!$B$1006="Y",AQ31=1),Config!$B$1007,0)</f>
        <v>0</v>
      </c>
    </row>
    <row r="32" ht="15.75" customHeight="1">
      <c r="A32" s="46" t="str">
        <f t="shared" si="1"/>
        <v/>
      </c>
      <c r="B32" s="40" t="str">
        <f>IF(Bids!$A31="","",Bids!$A31)</f>
        <v/>
      </c>
      <c r="C32" s="40" t="str">
        <f>IF(Bids!$B31="","",Bids!$B31)</f>
        <v/>
      </c>
      <c r="D32" s="40" t="str">
        <f>IF($C32="","",IFERROR(VLOOKUP($C32,Orders!$A$4:$J$998,9,FALSE),""))</f>
        <v/>
      </c>
      <c r="E32" s="40" t="str">
        <f>IF($C32="","",IFERROR(VLOOKUP($C32,Orders!$A$4:$J$998,3,FALSE),""))</f>
        <v/>
      </c>
      <c r="F32" s="40">
        <f t="shared" si="2"/>
        <v>1</v>
      </c>
      <c r="G32" s="40" t="str">
        <f>IF($C32="","",IFERROR(VLOOKUP($C32,Orders!$A$4:$J$998,4,FALSE),""))</f>
        <v/>
      </c>
      <c r="H32" s="40" t="str">
        <f>IF($C32="","",IFERROR(VLOOKUP($C32,Orders!$A$4:$J$998,5,FALSE),""))</f>
        <v/>
      </c>
      <c r="I32" s="40" t="str">
        <f>IF($C32="","",IFERROR(VLOOKUP($C32,Orders!$A$4:$J$998,6,FALSE),""))</f>
        <v/>
      </c>
      <c r="J32" s="40" t="str">
        <f>IF($C32="","",IFERROR(VLOOKUP($C32,Orders!$A$4:$J$998,7,FALSE),""))</f>
        <v/>
      </c>
      <c r="K32" s="40" t="str">
        <f>IF(Bids!$C31="","",Bids!$C31)</f>
        <v/>
      </c>
      <c r="L32" s="40" t="str">
        <f>IF($K32="","",IFERROR(VLOOKUP($K32,Grinders!$A$4:$N$998,2,FALSE),""))</f>
        <v/>
      </c>
      <c r="M32" s="40" t="str">
        <f>IF($K32="","",IFERROR(VLOOKUP($K32,Grinders!$A$4:$N$998,3,FALSE),""))</f>
        <v/>
      </c>
      <c r="N32" s="40" t="str">
        <f>IF($K32="","",IFERROR(VLOOKUP($K32,Grinders!$A$4:$N$998,4,FALSE),""))</f>
        <v/>
      </c>
      <c r="O32" s="40" t="str">
        <f>IF($K32="","",IFERROR(VLOOKUP($K32,Grinders!$A$4:$N$998,5,FALSE),""))</f>
        <v/>
      </c>
      <c r="P32" s="40" t="str">
        <f>IF($K32="","",IF($C$4="",0,COUNTIFS(Assignments!$B$6:$B$1000,$K32,Assignments!$F$6:$F$1000,$C$4,Assignments!$E$6:$E$1000,"Active")))</f>
        <v/>
      </c>
      <c r="Q32" s="40" t="str">
        <f t="shared" si="3"/>
        <v/>
      </c>
      <c r="R32" s="40" t="str">
        <f t="shared" si="4"/>
        <v/>
      </c>
      <c r="S32" s="40" t="str">
        <f>IF($K32="","",IF($C$4="",0,COUNTIFS(Assignments!$B$6:$B$1000,$K32,Assignments!$F$6:$F$1000,$C$4,Assignments!$D$6:$D$1000,"&gt;="&amp;Config!$B$3-7,Assignments!$D$6:$D$1000,"&lt;="&amp;Config!$B$3)))</f>
        <v/>
      </c>
      <c r="T32" s="40" t="str">
        <f>IF($K32="","",IFERROR(VLOOKUP($K32,Grinders!$A$4:$N$998,8,FALSE),""))</f>
        <v/>
      </c>
      <c r="U32" s="40" t="str">
        <f>IFERROR(IF($K32="","",IF($M32="Elite",MAX(50,MIN(100,Config!$B$27*MAX(0,MIN(100,(1-IF($R32="",0,$R32))*100)) + Config!$B$28*MAX(0,MIN(100,(1-MIN(1,IF(Config!$B$30=0,1,$S32/Config!$B$30)))*100)) + Config!$B$29*MAX(0,MIN(100,MIN(1,IF($T32="",0,$T32)/Config!$B$23)*100)))),MIN(100,Config!$B$27*MAX(0,MIN(100,(1-IF($R32="",0,$R32))*100)) + Config!$B$28*MAX(0,MIN(100,(1-MIN(1,IF(Config!$B$30=0,1,$S32/Config!$B$30)))*100)) + Config!$B$29*MAX(0,MIN(100,MIN(1,IF($T32="",0,$T32)/Config!$B$23)*100))))),"")
</f>
        <v/>
      </c>
      <c r="V32" s="40" t="str">
        <f>IF(Bids!$AC32="","",Bids!$AC32)</f>
        <v/>
      </c>
      <c r="W32" s="40" t="str">
        <f>IF(Bids!$F31="","",Bids!$F31)</f>
        <v/>
      </c>
      <c r="X32" s="40" t="str">
        <f t="shared" si="5"/>
        <v/>
      </c>
      <c r="Y32" s="40" t="str">
        <f>IF($X32="","",IF(Config!$B$17=Config!$B$16,IF($X32&gt;=Config!$B$17,100,0),MAX(0,MIN(100,($X32-Config!$B$16)/(Config!$B$17-Config!$B$16)*100))))</f>
        <v/>
      </c>
      <c r="Z32" s="40">
        <f>IF($M32="Elite",Config!$B$21,0)</f>
        <v>0</v>
      </c>
      <c r="AA32" s="40" t="str">
        <f>IFERROR(IF(OR($W32="",$H32=""),"",IF($W32&gt;$H32,
  MAX(0, 60-(($W32-$H32)*24/Config!$B$19)*60),
  MIN(100, 60+(($H32-$W32)*24/Config!$B$20)*40)
)),"")
</f>
        <v/>
      </c>
      <c r="AB32" s="40" t="str">
        <f>IF($K32="","",IFERROR(VLOOKUP($K32,Grinders!$A$4:$N$998,10,FALSE)/5*100,""))</f>
        <v/>
      </c>
      <c r="AC32" s="40" t="str">
        <f>IF($K32="","",IFERROR(VLOOKUP($K32,Grinders!$A$4:$N$998,11,FALSE)*100,""))</f>
        <v/>
      </c>
      <c r="AD32" s="40" t="str">
        <f>IF($K32="","",IFERROR(VLOOKUP($K32,Grinders!$A$4:$N$998,12,FALSE)*100,""))</f>
        <v/>
      </c>
      <c r="AE32" s="40" t="str">
        <f>IF(OR(AO32=1,AP32=1),0,=IFERROR(IFS(
    OR($C32="", $K32=""), 0,
    $F32=0, 0,
    $D32&lt;&gt;"Open", 0,
    COUNTIFS(GrinderServices!$A$6:$A$1000, $K32, GrinderServices!$B$6:$B$1000, $E32, GrinderServices!$D$6:$D$1000, "Y")=0, 0,
    $X32&lt;Config!$B$16, 0,
    Config!$B$18=1, IF($O32&gt;=N32, 0, 1),
    TRUE, 1
), "")
)</f>
        <v>#ERROR!</v>
      </c>
      <c r="AF32" s="40" t="str">
        <f>IFERROR((IF(OR(AO32=1,AP32=1),"",=IFERROR((IFERROR(IF($AE32=0,"",((Config!$B$6*$Y32 + Config!$B$7*$U32 + Config!$B$8*$Z32 + Config!$B$9*$AA32 + Config!$B$10*$AB32 + Config!$B$11*$AC32 - Config!$B$12*$AD32)/Config!$B$13)+$AK32+$AL32),""))*(1-IFERROR(VLOOKUP(K32,Grinders!$A:$AB, 28, FALSE),0)),"")))*(1+AR32),"")</f>
        <v>#ERROR!</v>
      </c>
      <c r="AG32" s="40" t="str">
        <f t="shared" si="6"/>
        <v>#ERROR!</v>
      </c>
      <c r="AH32" s="40" t="str">
        <f t="shared" si="7"/>
        <v/>
      </c>
      <c r="AI32" s="40" t="str">
        <f t="shared" si="8"/>
        <v/>
      </c>
      <c r="AJ32" s="40" t="str">
        <f>IF($K32="","",COUNTIF(Assignments!$B$6:$B$1000,$K32))</f>
        <v/>
      </c>
      <c r="AK32" s="40" t="str">
        <f>IF($K32="","",IF(AND($AJ32=0,$O32&lt;$N32),Config!$B$43,0))</f>
        <v/>
      </c>
      <c r="AL32" s="40" t="str">
        <f>IF($K32="","",IF(AND($M32="Elite",$G32&gt;=Config!$B$41,$O32&lt;$N32),Config!$B$42,0))</f>
        <v/>
      </c>
      <c r="AM32" s="22"/>
      <c r="AN32" s="39">
        <f>IFERROR(VLOOKUP(K32,Grinders!$A:$Q,28,FALSE),0)</f>
        <v>0</v>
      </c>
      <c r="AO32" s="39">
        <f>IF(Config!$B$1003&lt;&gt;"Y",0,IF(IFERROR(VLOOKUP(K32,Grinders!$A:$P,27,FALSE),0)&gt;=3,IF(OR(G32&gt;=Config!$B$1001,ISNUMBER(SEARCH(E32,Config!$B$1002))),1,0),0))</f>
        <v>0</v>
      </c>
      <c r="AP32" s="39">
        <f t="array" ref="AP32">IFERROR(IF(INDEX(Bids!$AE:$AE,MATCH(B32,Bids!$A:$A,0))="Pending",1,0),0)</f>
        <v>0</v>
      </c>
      <c r="AQ32" s="39" t="str">
        <f t="array" ref="AQ32">IF(C32="","",IFERROR(XLOOKUP(C32,Assignments!$C:$C,Assignments!$AU:$AU,0),0))</f>
        <v/>
      </c>
      <c r="AR32" s="39">
        <f>IF(AND(Config!$B$1006="Y",AQ32=1),Config!$B$1007,0)</f>
        <v>0</v>
      </c>
    </row>
    <row r="33" ht="15.75" customHeight="1">
      <c r="A33" s="46" t="str">
        <f t="shared" si="1"/>
        <v/>
      </c>
      <c r="B33" s="40" t="str">
        <f>IF(Bids!$A32="","",Bids!$A32)</f>
        <v/>
      </c>
      <c r="C33" s="40" t="str">
        <f>IF(Bids!$B32="","",Bids!$B32)</f>
        <v/>
      </c>
      <c r="D33" s="40" t="str">
        <f>IF($C33="","",IFERROR(VLOOKUP($C33,Orders!$A$4:$J$998,9,FALSE),""))</f>
        <v/>
      </c>
      <c r="E33" s="40" t="str">
        <f>IF($C33="","",IFERROR(VLOOKUP($C33,Orders!$A$4:$J$998,3,FALSE),""))</f>
        <v/>
      </c>
      <c r="F33" s="40">
        <f t="shared" si="2"/>
        <v>1</v>
      </c>
      <c r="G33" s="40" t="str">
        <f>IF($C33="","",IFERROR(VLOOKUP($C33,Orders!$A$4:$J$998,4,FALSE),""))</f>
        <v/>
      </c>
      <c r="H33" s="40" t="str">
        <f>IF($C33="","",IFERROR(VLOOKUP($C33,Orders!$A$4:$J$998,5,FALSE),""))</f>
        <v/>
      </c>
      <c r="I33" s="40" t="str">
        <f>IF($C33="","",IFERROR(VLOOKUP($C33,Orders!$A$4:$J$998,6,FALSE),""))</f>
        <v/>
      </c>
      <c r="J33" s="40" t="str">
        <f>IF($C33="","",IFERROR(VLOOKUP($C33,Orders!$A$4:$J$998,7,FALSE),""))</f>
        <v/>
      </c>
      <c r="K33" s="40" t="str">
        <f>IF(Bids!$C32="","",Bids!$C32)</f>
        <v/>
      </c>
      <c r="L33" s="40" t="str">
        <f>IF($K33="","",IFERROR(VLOOKUP($K33,Grinders!$A$4:$N$998,2,FALSE),""))</f>
        <v/>
      </c>
      <c r="M33" s="40" t="str">
        <f>IF($K33="","",IFERROR(VLOOKUP($K33,Grinders!$A$4:$N$998,3,FALSE),""))</f>
        <v/>
      </c>
      <c r="N33" s="40" t="str">
        <f>IF($K33="","",IFERROR(VLOOKUP($K33,Grinders!$A$4:$N$998,4,FALSE),""))</f>
        <v/>
      </c>
      <c r="O33" s="40" t="str">
        <f>IF($K33="","",IFERROR(VLOOKUP($K33,Grinders!$A$4:$N$998,5,FALSE),""))</f>
        <v/>
      </c>
      <c r="P33" s="40" t="str">
        <f>IF($K33="","",IF($C$4="",0,COUNTIFS(Assignments!$B$6:$B$1000,$K33,Assignments!$F$6:$F$1000,$C$4,Assignments!$E$6:$E$1000,"Active")))</f>
        <v/>
      </c>
      <c r="Q33" s="40" t="str">
        <f t="shared" si="3"/>
        <v/>
      </c>
      <c r="R33" s="40" t="str">
        <f t="shared" si="4"/>
        <v/>
      </c>
      <c r="S33" s="40" t="str">
        <f>IF($K33="","",IF($C$4="",0,COUNTIFS(Assignments!$B$6:$B$1000,$K33,Assignments!$F$6:$F$1000,$C$4,Assignments!$D$6:$D$1000,"&gt;="&amp;Config!$B$3-7,Assignments!$D$6:$D$1000,"&lt;="&amp;Config!$B$3)))</f>
        <v/>
      </c>
      <c r="T33" s="40" t="str">
        <f>IF($K33="","",IFERROR(VLOOKUP($K33,Grinders!$A$4:$N$998,8,FALSE),""))</f>
        <v/>
      </c>
      <c r="U33" s="40" t="str">
        <f>IFERROR(IF($K33="","",IF($M33="Elite",MAX(50,MIN(100,Config!$B$27*MAX(0,MIN(100,(1-IF($R33="",0,$R33))*100)) + Config!$B$28*MAX(0,MIN(100,(1-MIN(1,IF(Config!$B$30=0,1,$S33/Config!$B$30)))*100)) + Config!$B$29*MAX(0,MIN(100,MIN(1,IF($T33="",0,$T33)/Config!$B$23)*100)))),MIN(100,Config!$B$27*MAX(0,MIN(100,(1-IF($R33="",0,$R33))*100)) + Config!$B$28*MAX(0,MIN(100,(1-MIN(1,IF(Config!$B$30=0,1,$S33/Config!$B$30)))*100)) + Config!$B$29*MAX(0,MIN(100,MIN(1,IF($T33="",0,$T33)/Config!$B$23)*100))))),"")
</f>
        <v/>
      </c>
      <c r="V33" s="40" t="str">
        <f>IF(Bids!$AC33="","",Bids!$AC33)</f>
        <v/>
      </c>
      <c r="W33" s="40" t="str">
        <f>IF(Bids!$F32="","",Bids!$F32)</f>
        <v/>
      </c>
      <c r="X33" s="40" t="str">
        <f t="shared" si="5"/>
        <v/>
      </c>
      <c r="Y33" s="40" t="str">
        <f>IF($X33="","",IF(Config!$B$17=Config!$B$16,IF($X33&gt;=Config!$B$17,100,0),MAX(0,MIN(100,($X33-Config!$B$16)/(Config!$B$17-Config!$B$16)*100))))</f>
        <v/>
      </c>
      <c r="Z33" s="40">
        <f>IF($M33="Elite",Config!$B$21,0)</f>
        <v>0</v>
      </c>
      <c r="AA33" s="40" t="str">
        <f>IFERROR(IF(OR($W33="",$H33=""),"",IF($W33&gt;$H33,
  MAX(0, 60-(($W33-$H33)*24/Config!$B$19)*60),
  MIN(100, 60+(($H33-$W33)*24/Config!$B$20)*40)
)),"")
</f>
        <v/>
      </c>
      <c r="AB33" s="40" t="str">
        <f>IF($K33="","",IFERROR(VLOOKUP($K33,Grinders!$A$4:$N$998,10,FALSE)/5*100,""))</f>
        <v/>
      </c>
      <c r="AC33" s="40" t="str">
        <f>IF($K33="","",IFERROR(VLOOKUP($K33,Grinders!$A$4:$N$998,11,FALSE)*100,""))</f>
        <v/>
      </c>
      <c r="AD33" s="40" t="str">
        <f>IF($K33="","",IFERROR(VLOOKUP($K33,Grinders!$A$4:$N$998,12,FALSE)*100,""))</f>
        <v/>
      </c>
      <c r="AE33" s="40" t="str">
        <f>IF(OR(AO33=1,AP33=1),0,=IFERROR(IFS(
    OR($C33="", $K33=""), 0,
    $F33=0, 0,
    $D33&lt;&gt;"Open", 0,
    COUNTIFS(GrinderServices!$A$6:$A$1000, $K33, GrinderServices!$B$6:$B$1000, $E33, GrinderServices!$D$6:$D$1000, "Y")=0, 0,
    $X33&lt;Config!$B$16, 0,
    Config!$B$18=1, IF($O33&gt;=N33, 0, 1),
    TRUE, 1
), "")
)</f>
        <v>#ERROR!</v>
      </c>
      <c r="AF33" s="40" t="str">
        <f>IFERROR((IF(OR(AO33=1,AP33=1),"",=IFERROR((IFERROR(IF($AE33=0,"",((Config!$B$6*$Y33 + Config!$B$7*$U33 + Config!$B$8*$Z33 + Config!$B$9*$AA33 + Config!$B$10*$AB33 + Config!$B$11*$AC33 - Config!$B$12*$AD33)/Config!$B$13)+$AK33+$AL33),""))*(1-IFERROR(VLOOKUP(K33,Grinders!$A:$AB, 28, FALSE),0)),"")))*(1+AR33),"")</f>
        <v>#ERROR!</v>
      </c>
      <c r="AG33" s="40" t="str">
        <f t="shared" si="6"/>
        <v>#ERROR!</v>
      </c>
      <c r="AH33" s="40" t="str">
        <f t="shared" si="7"/>
        <v/>
      </c>
      <c r="AI33" s="40" t="str">
        <f t="shared" si="8"/>
        <v/>
      </c>
      <c r="AJ33" s="40" t="str">
        <f>IF($K33="","",COUNTIF(Assignments!$B$6:$B$1000,$K33))</f>
        <v/>
      </c>
      <c r="AK33" s="40" t="str">
        <f>IF($K33="","",IF(AND($AJ33=0,$O33&lt;$N33),Config!$B$43,0))</f>
        <v/>
      </c>
      <c r="AL33" s="40" t="str">
        <f>IF($K33="","",IF(AND($M33="Elite",$G33&gt;=Config!$B$41,$O33&lt;$N33),Config!$B$42,0))</f>
        <v/>
      </c>
      <c r="AM33" s="22"/>
      <c r="AN33" s="39">
        <f>IFERROR(VLOOKUP(K33,Grinders!$A:$Q,28,FALSE),0)</f>
        <v>0</v>
      </c>
      <c r="AO33" s="39">
        <f>IF(Config!$B$1003&lt;&gt;"Y",0,IF(IFERROR(VLOOKUP(K33,Grinders!$A:$P,27,FALSE),0)&gt;=3,IF(OR(G33&gt;=Config!$B$1001,ISNUMBER(SEARCH(E33,Config!$B$1002))),1,0),0))</f>
        <v>0</v>
      </c>
      <c r="AP33" s="39">
        <f t="array" ref="AP33">IFERROR(IF(INDEX(Bids!$AE:$AE,MATCH(B33,Bids!$A:$A,0))="Pending",1,0),0)</f>
        <v>0</v>
      </c>
      <c r="AQ33" s="39" t="str">
        <f t="array" ref="AQ33">IF(C33="","",IFERROR(XLOOKUP(C33,Assignments!$C:$C,Assignments!$AU:$AU,0),0))</f>
        <v/>
      </c>
      <c r="AR33" s="39">
        <f>IF(AND(Config!$B$1006="Y",AQ33=1),Config!$B$1007,0)</f>
        <v>0</v>
      </c>
    </row>
    <row r="34" ht="15.75" customHeight="1">
      <c r="A34" s="46" t="str">
        <f t="shared" si="1"/>
        <v/>
      </c>
      <c r="B34" s="40" t="str">
        <f>IF(Bids!$A33="","",Bids!$A33)</f>
        <v/>
      </c>
      <c r="C34" s="40" t="str">
        <f>IF(Bids!$B33="","",Bids!$B33)</f>
        <v/>
      </c>
      <c r="D34" s="40" t="str">
        <f>IF($C34="","",IFERROR(VLOOKUP($C34,Orders!$A$4:$J$998,9,FALSE),""))</f>
        <v/>
      </c>
      <c r="E34" s="40" t="str">
        <f>IF($C34="","",IFERROR(VLOOKUP($C34,Orders!$A$4:$J$998,3,FALSE),""))</f>
        <v/>
      </c>
      <c r="F34" s="40">
        <f t="shared" si="2"/>
        <v>1</v>
      </c>
      <c r="G34" s="40" t="str">
        <f>IF($C34="","",IFERROR(VLOOKUP($C34,Orders!$A$4:$J$998,4,FALSE),""))</f>
        <v/>
      </c>
      <c r="H34" s="40" t="str">
        <f>IF($C34="","",IFERROR(VLOOKUP($C34,Orders!$A$4:$J$998,5,FALSE),""))</f>
        <v/>
      </c>
      <c r="I34" s="40" t="str">
        <f>IF($C34="","",IFERROR(VLOOKUP($C34,Orders!$A$4:$J$998,6,FALSE),""))</f>
        <v/>
      </c>
      <c r="J34" s="40" t="str">
        <f>IF($C34="","",IFERROR(VLOOKUP($C34,Orders!$A$4:$J$998,7,FALSE),""))</f>
        <v/>
      </c>
      <c r="K34" s="40" t="str">
        <f>IF(Bids!$C33="","",Bids!$C33)</f>
        <v/>
      </c>
      <c r="L34" s="40" t="str">
        <f>IF($K34="","",IFERROR(VLOOKUP($K34,Grinders!$A$4:$N$998,2,FALSE),""))</f>
        <v/>
      </c>
      <c r="M34" s="40" t="str">
        <f>IF($K34="","",IFERROR(VLOOKUP($K34,Grinders!$A$4:$N$998,3,FALSE),""))</f>
        <v/>
      </c>
      <c r="N34" s="40" t="str">
        <f>IF($K34="","",IFERROR(VLOOKUP($K34,Grinders!$A$4:$N$998,4,FALSE),""))</f>
        <v/>
      </c>
      <c r="O34" s="40" t="str">
        <f>IF($K34="","",IFERROR(VLOOKUP($K34,Grinders!$A$4:$N$998,5,FALSE),""))</f>
        <v/>
      </c>
      <c r="P34" s="40" t="str">
        <f>IF($K34="","",IF($C$4="",0,COUNTIFS(Assignments!$B$6:$B$1000,$K34,Assignments!$F$6:$F$1000,$C$4,Assignments!$E$6:$E$1000,"Active")))</f>
        <v/>
      </c>
      <c r="Q34" s="40" t="str">
        <f t="shared" si="3"/>
        <v/>
      </c>
      <c r="R34" s="40" t="str">
        <f t="shared" si="4"/>
        <v/>
      </c>
      <c r="S34" s="40" t="str">
        <f>IF($K34="","",IF($C$4="",0,COUNTIFS(Assignments!$B$6:$B$1000,$K34,Assignments!$F$6:$F$1000,$C$4,Assignments!$D$6:$D$1000,"&gt;="&amp;Config!$B$3-7,Assignments!$D$6:$D$1000,"&lt;="&amp;Config!$B$3)))</f>
        <v/>
      </c>
      <c r="T34" s="40" t="str">
        <f>IF($K34="","",IFERROR(VLOOKUP($K34,Grinders!$A$4:$N$998,8,FALSE),""))</f>
        <v/>
      </c>
      <c r="U34" s="40" t="str">
        <f>IFERROR(IF($K34="","",IF($M34="Elite",MAX(50,MIN(100,Config!$B$27*MAX(0,MIN(100,(1-IF($R34="",0,$R34))*100)) + Config!$B$28*MAX(0,MIN(100,(1-MIN(1,IF(Config!$B$30=0,1,$S34/Config!$B$30)))*100)) + Config!$B$29*MAX(0,MIN(100,MIN(1,IF($T34="",0,$T34)/Config!$B$23)*100)))),MIN(100,Config!$B$27*MAX(0,MIN(100,(1-IF($R34="",0,$R34))*100)) + Config!$B$28*MAX(0,MIN(100,(1-MIN(1,IF(Config!$B$30=0,1,$S34/Config!$B$30)))*100)) + Config!$B$29*MAX(0,MIN(100,MIN(1,IF($T34="",0,$T34)/Config!$B$23)*100))))),"")
</f>
        <v/>
      </c>
      <c r="V34" s="40" t="str">
        <f>IF(Bids!$AC34="","",Bids!$AC34)</f>
        <v/>
      </c>
      <c r="W34" s="40" t="str">
        <f>IF(Bids!$F33="","",Bids!$F33)</f>
        <v/>
      </c>
      <c r="X34" s="40" t="str">
        <f t="shared" si="5"/>
        <v/>
      </c>
      <c r="Y34" s="40" t="str">
        <f>IF($X34="","",IF(Config!$B$17=Config!$B$16,IF($X34&gt;=Config!$B$17,100,0),MAX(0,MIN(100,($X34-Config!$B$16)/(Config!$B$17-Config!$B$16)*100))))</f>
        <v/>
      </c>
      <c r="Z34" s="40">
        <f>IF($M34="Elite",Config!$B$21,0)</f>
        <v>0</v>
      </c>
      <c r="AA34" s="40" t="str">
        <f>IFERROR(IF(OR($W34="",$H34=""),"",IF($W34&gt;$H34,
  MAX(0, 60-(($W34-$H34)*24/Config!$B$19)*60),
  MIN(100, 60+(($H34-$W34)*24/Config!$B$20)*40)
)),"")
</f>
        <v/>
      </c>
      <c r="AB34" s="40" t="str">
        <f>IF($K34="","",IFERROR(VLOOKUP($K34,Grinders!$A$4:$N$998,10,FALSE)/5*100,""))</f>
        <v/>
      </c>
      <c r="AC34" s="40" t="str">
        <f>IF($K34="","",IFERROR(VLOOKUP($K34,Grinders!$A$4:$N$998,11,FALSE)*100,""))</f>
        <v/>
      </c>
      <c r="AD34" s="40" t="str">
        <f>IF($K34="","",IFERROR(VLOOKUP($K34,Grinders!$A$4:$N$998,12,FALSE)*100,""))</f>
        <v/>
      </c>
      <c r="AE34" s="40" t="str">
        <f>IF(OR(AO34=1,AP34=1),0,=IFERROR(IFS(
    OR($C34="", $K34=""), 0,
    $F34=0, 0,
    $D34&lt;&gt;"Open", 0,
    COUNTIFS(GrinderServices!$A$6:$A$1000, $K34, GrinderServices!$B$6:$B$1000, $E34, GrinderServices!$D$6:$D$1000, "Y")=0, 0,
    $X34&lt;Config!$B$16, 0,
    Config!$B$18=1, IF($O34&gt;=N34, 0, 1),
    TRUE, 1
), "")
)</f>
        <v>#ERROR!</v>
      </c>
      <c r="AF34" s="40" t="str">
        <f>IFERROR((IF(OR(AO34=1,AP34=1),"",=IFERROR((IFERROR(IF($AE34=0,"",((Config!$B$6*$Y34 + Config!$B$7*$U34 + Config!$B$8*$Z34 + Config!$B$9*$AA34 + Config!$B$10*$AB34 + Config!$B$11*$AC34 - Config!$B$12*$AD34)/Config!$B$13)+$AK34+$AL34),""))*(1-IFERROR(VLOOKUP(K34,Grinders!$A:$AB, 28, FALSE),0)),"")))*(1+AR34),"")</f>
        <v>#ERROR!</v>
      </c>
      <c r="AG34" s="40" t="str">
        <f t="shared" si="6"/>
        <v>#ERROR!</v>
      </c>
      <c r="AH34" s="40" t="str">
        <f t="shared" si="7"/>
        <v/>
      </c>
      <c r="AI34" s="40" t="str">
        <f t="shared" si="8"/>
        <v/>
      </c>
      <c r="AJ34" s="40" t="str">
        <f>IF($K34="","",COUNTIF(Assignments!$B$6:$B$1000,$K34))</f>
        <v/>
      </c>
      <c r="AK34" s="40" t="str">
        <f>IF($K34="","",IF(AND($AJ34=0,$O34&lt;$N34),Config!$B$43,0))</f>
        <v/>
      </c>
      <c r="AL34" s="40" t="str">
        <f>IF($K34="","",IF(AND($M34="Elite",$G34&gt;=Config!$B$41,$O34&lt;$N34),Config!$B$42,0))</f>
        <v/>
      </c>
      <c r="AM34" s="22"/>
      <c r="AN34" s="39">
        <f>IFERROR(VLOOKUP(K34,Grinders!$A:$Q,28,FALSE),0)</f>
        <v>0</v>
      </c>
      <c r="AO34" s="39">
        <f>IF(Config!$B$1003&lt;&gt;"Y",0,IF(IFERROR(VLOOKUP(K34,Grinders!$A:$P,27,FALSE),0)&gt;=3,IF(OR(G34&gt;=Config!$B$1001,ISNUMBER(SEARCH(E34,Config!$B$1002))),1,0),0))</f>
        <v>0</v>
      </c>
      <c r="AP34" s="39">
        <f t="array" ref="AP34">IFERROR(IF(INDEX(Bids!$AE:$AE,MATCH(B34,Bids!$A:$A,0))="Pending",1,0),0)</f>
        <v>0</v>
      </c>
      <c r="AQ34" s="39" t="str">
        <f t="array" ref="AQ34">IF(C34="","",IFERROR(XLOOKUP(C34,Assignments!$C:$C,Assignments!$AU:$AU,0),0))</f>
        <v/>
      </c>
      <c r="AR34" s="39">
        <f>IF(AND(Config!$B$1006="Y",AQ34=1),Config!$B$1007,0)</f>
        <v>0</v>
      </c>
    </row>
    <row r="35" ht="15.75" customHeight="1">
      <c r="A35" s="46" t="str">
        <f t="shared" si="1"/>
        <v/>
      </c>
      <c r="B35" s="40" t="str">
        <f>IF(Bids!$A34="","",Bids!$A34)</f>
        <v/>
      </c>
      <c r="C35" s="40" t="str">
        <f>IF(Bids!$B34="","",Bids!$B34)</f>
        <v/>
      </c>
      <c r="D35" s="40" t="str">
        <f>IF($C35="","",IFERROR(VLOOKUP($C35,Orders!$A$4:$J$998,9,FALSE),""))</f>
        <v/>
      </c>
      <c r="E35" s="40" t="str">
        <f>IF($C35="","",IFERROR(VLOOKUP($C35,Orders!$A$4:$J$998,3,FALSE),""))</f>
        <v/>
      </c>
      <c r="F35" s="40">
        <f t="shared" si="2"/>
        <v>1</v>
      </c>
      <c r="G35" s="40" t="str">
        <f>IF($C35="","",IFERROR(VLOOKUP($C35,Orders!$A$4:$J$998,4,FALSE),""))</f>
        <v/>
      </c>
      <c r="H35" s="40" t="str">
        <f>IF($C35="","",IFERROR(VLOOKUP($C35,Orders!$A$4:$J$998,5,FALSE),""))</f>
        <v/>
      </c>
      <c r="I35" s="40" t="str">
        <f>IF($C35="","",IFERROR(VLOOKUP($C35,Orders!$A$4:$J$998,6,FALSE),""))</f>
        <v/>
      </c>
      <c r="J35" s="40" t="str">
        <f>IF($C35="","",IFERROR(VLOOKUP($C35,Orders!$A$4:$J$998,7,FALSE),""))</f>
        <v/>
      </c>
      <c r="K35" s="40" t="str">
        <f>IF(Bids!$C34="","",Bids!$C34)</f>
        <v/>
      </c>
      <c r="L35" s="40" t="str">
        <f>IF($K35="","",IFERROR(VLOOKUP($K35,Grinders!$A$4:$N$998,2,FALSE),""))</f>
        <v/>
      </c>
      <c r="M35" s="40" t="str">
        <f>IF($K35="","",IFERROR(VLOOKUP($K35,Grinders!$A$4:$N$998,3,FALSE),""))</f>
        <v/>
      </c>
      <c r="N35" s="40" t="str">
        <f>IF($K35="","",IFERROR(VLOOKUP($K35,Grinders!$A$4:$N$998,4,FALSE),""))</f>
        <v/>
      </c>
      <c r="O35" s="40" t="str">
        <f>IF($K35="","",IFERROR(VLOOKUP($K35,Grinders!$A$4:$N$998,5,FALSE),""))</f>
        <v/>
      </c>
      <c r="P35" s="40" t="str">
        <f>IF($K35="","",IF($C$4="",0,COUNTIFS(Assignments!$B$6:$B$1000,$K35,Assignments!$F$6:$F$1000,$C$4,Assignments!$E$6:$E$1000,"Active")))</f>
        <v/>
      </c>
      <c r="Q35" s="40" t="str">
        <f t="shared" si="3"/>
        <v/>
      </c>
      <c r="R35" s="40" t="str">
        <f t="shared" si="4"/>
        <v/>
      </c>
      <c r="S35" s="40" t="str">
        <f>IF($K35="","",IF($C$4="",0,COUNTIFS(Assignments!$B$6:$B$1000,$K35,Assignments!$F$6:$F$1000,$C$4,Assignments!$D$6:$D$1000,"&gt;="&amp;Config!$B$3-7,Assignments!$D$6:$D$1000,"&lt;="&amp;Config!$B$3)))</f>
        <v/>
      </c>
      <c r="T35" s="40" t="str">
        <f>IF($K35="","",IFERROR(VLOOKUP($K35,Grinders!$A$4:$N$998,8,FALSE),""))</f>
        <v/>
      </c>
      <c r="U35" s="40" t="str">
        <f>IFERROR(IF($K35="","",IF($M35="Elite",MAX(50,MIN(100,Config!$B$27*MAX(0,MIN(100,(1-IF($R35="",0,$R35))*100)) + Config!$B$28*MAX(0,MIN(100,(1-MIN(1,IF(Config!$B$30=0,1,$S35/Config!$B$30)))*100)) + Config!$B$29*MAX(0,MIN(100,MIN(1,IF($T35="",0,$T35)/Config!$B$23)*100)))),MIN(100,Config!$B$27*MAX(0,MIN(100,(1-IF($R35="",0,$R35))*100)) + Config!$B$28*MAX(0,MIN(100,(1-MIN(1,IF(Config!$B$30=0,1,$S35/Config!$B$30)))*100)) + Config!$B$29*MAX(0,MIN(100,MIN(1,IF($T35="",0,$T35)/Config!$B$23)*100))))),"")
</f>
        <v/>
      </c>
      <c r="V35" s="40" t="str">
        <f>IF(Bids!$AC35="","",Bids!$AC35)</f>
        <v/>
      </c>
      <c r="W35" s="40" t="str">
        <f>IF(Bids!$F34="","",Bids!$F34)</f>
        <v/>
      </c>
      <c r="X35" s="40" t="str">
        <f t="shared" si="5"/>
        <v/>
      </c>
      <c r="Y35" s="40" t="str">
        <f>IF($X35="","",IF(Config!$B$17=Config!$B$16,IF($X35&gt;=Config!$B$17,100,0),MAX(0,MIN(100,($X35-Config!$B$16)/(Config!$B$17-Config!$B$16)*100))))</f>
        <v/>
      </c>
      <c r="Z35" s="40">
        <f>IF($M35="Elite",Config!$B$21,0)</f>
        <v>0</v>
      </c>
      <c r="AA35" s="40" t="str">
        <f>IFERROR(IF(OR($W35="",$H35=""),"",IF($W35&gt;$H35,
  MAX(0, 60-(($W35-$H35)*24/Config!$B$19)*60),
  MIN(100, 60+(($H35-$W35)*24/Config!$B$20)*40)
)),"")
</f>
        <v/>
      </c>
      <c r="AB35" s="40" t="str">
        <f>IF($K35="","",IFERROR(VLOOKUP($K35,Grinders!$A$4:$N$998,10,FALSE)/5*100,""))</f>
        <v/>
      </c>
      <c r="AC35" s="40" t="str">
        <f>IF($K35="","",IFERROR(VLOOKUP($K35,Grinders!$A$4:$N$998,11,FALSE)*100,""))</f>
        <v/>
      </c>
      <c r="AD35" s="40" t="str">
        <f>IF($K35="","",IFERROR(VLOOKUP($K35,Grinders!$A$4:$N$998,12,FALSE)*100,""))</f>
        <v/>
      </c>
      <c r="AE35" s="40" t="str">
        <f>IF(OR(AO35=1,AP35=1),0,=IFERROR(IFS(
    OR($C35="", $K35=""), 0,
    $F35=0, 0,
    $D35&lt;&gt;"Open", 0,
    COUNTIFS(GrinderServices!$A$6:$A$1000, $K35, GrinderServices!$B$6:$B$1000, $E35, GrinderServices!$D$6:$D$1000, "Y")=0, 0,
    $X35&lt;Config!$B$16, 0,
    Config!$B$18=1, IF($O35&gt;=N35, 0, 1),
    TRUE, 1
), "")
)</f>
        <v>#ERROR!</v>
      </c>
      <c r="AF35" s="40" t="str">
        <f>IFERROR((IF(OR(AO35=1,AP35=1),"",=IFERROR((IFERROR(IF($AE35=0,"",((Config!$B$6*$Y35 + Config!$B$7*$U35 + Config!$B$8*$Z35 + Config!$B$9*$AA35 + Config!$B$10*$AB35 + Config!$B$11*$AC35 - Config!$B$12*$AD35)/Config!$B$13)+$AK35+$AL35),""))*(1-IFERROR(VLOOKUP(K35,Grinders!$A:$AB, 28, FALSE),0)),"")))*(1+AR35),"")</f>
        <v>#ERROR!</v>
      </c>
      <c r="AG35" s="40" t="str">
        <f t="shared" si="6"/>
        <v>#ERROR!</v>
      </c>
      <c r="AH35" s="40" t="str">
        <f t="shared" si="7"/>
        <v/>
      </c>
      <c r="AI35" s="40" t="str">
        <f t="shared" si="8"/>
        <v/>
      </c>
      <c r="AJ35" s="40" t="str">
        <f>IF($K35="","",COUNTIF(Assignments!$B$6:$B$1000,$K35))</f>
        <v/>
      </c>
      <c r="AK35" s="40" t="str">
        <f>IF($K35="","",IF(AND($AJ35=0,$O35&lt;$N35),Config!$B$43,0))</f>
        <v/>
      </c>
      <c r="AL35" s="40" t="str">
        <f>IF($K35="","",IF(AND($M35="Elite",$G35&gt;=Config!$B$41,$O35&lt;$N35),Config!$B$42,0))</f>
        <v/>
      </c>
      <c r="AM35" s="22"/>
      <c r="AN35" s="39">
        <f>IFERROR(VLOOKUP(K35,Grinders!$A:$Q,28,FALSE),0)</f>
        <v>0</v>
      </c>
      <c r="AO35" s="39">
        <f>IF(Config!$B$1003&lt;&gt;"Y",0,IF(IFERROR(VLOOKUP(K35,Grinders!$A:$P,27,FALSE),0)&gt;=3,IF(OR(G35&gt;=Config!$B$1001,ISNUMBER(SEARCH(E35,Config!$B$1002))),1,0),0))</f>
        <v>0</v>
      </c>
      <c r="AP35" s="39">
        <f t="array" ref="AP35">IFERROR(IF(INDEX(Bids!$AE:$AE,MATCH(B35,Bids!$A:$A,0))="Pending",1,0),0)</f>
        <v>0</v>
      </c>
      <c r="AQ35" s="39" t="str">
        <f t="array" ref="AQ35">IF(C35="","",IFERROR(XLOOKUP(C35,Assignments!$C:$C,Assignments!$AU:$AU,0),0))</f>
        <v/>
      </c>
      <c r="AR35" s="39">
        <f>IF(AND(Config!$B$1006="Y",AQ35=1),Config!$B$1007,0)</f>
        <v>0</v>
      </c>
    </row>
    <row r="36" ht="15.75" customHeight="1">
      <c r="A36" s="46" t="str">
        <f t="shared" si="1"/>
        <v/>
      </c>
      <c r="B36" s="40" t="str">
        <f>IF(Bids!$A35="","",Bids!$A35)</f>
        <v/>
      </c>
      <c r="C36" s="40" t="str">
        <f>IF(Bids!$B35="","",Bids!$B35)</f>
        <v/>
      </c>
      <c r="D36" s="40" t="str">
        <f>IF($C36="","",IFERROR(VLOOKUP($C36,Orders!$A$4:$J$998,9,FALSE),""))</f>
        <v/>
      </c>
      <c r="E36" s="40" t="str">
        <f>IF($C36="","",IFERROR(VLOOKUP($C36,Orders!$A$4:$J$998,3,FALSE),""))</f>
        <v/>
      </c>
      <c r="F36" s="40">
        <f t="shared" si="2"/>
        <v>1</v>
      </c>
      <c r="G36" s="40" t="str">
        <f>IF($C36="","",IFERROR(VLOOKUP($C36,Orders!$A$4:$J$998,4,FALSE),""))</f>
        <v/>
      </c>
      <c r="H36" s="40" t="str">
        <f>IF($C36="","",IFERROR(VLOOKUP($C36,Orders!$A$4:$J$998,5,FALSE),""))</f>
        <v/>
      </c>
      <c r="I36" s="40" t="str">
        <f>IF($C36="","",IFERROR(VLOOKUP($C36,Orders!$A$4:$J$998,6,FALSE),""))</f>
        <v/>
      </c>
      <c r="J36" s="40" t="str">
        <f>IF($C36="","",IFERROR(VLOOKUP($C36,Orders!$A$4:$J$998,7,FALSE),""))</f>
        <v/>
      </c>
      <c r="K36" s="40" t="str">
        <f>IF(Bids!$C35="","",Bids!$C35)</f>
        <v/>
      </c>
      <c r="L36" s="40" t="str">
        <f>IF($K36="","",IFERROR(VLOOKUP($K36,Grinders!$A$4:$N$998,2,FALSE),""))</f>
        <v/>
      </c>
      <c r="M36" s="40" t="str">
        <f>IF($K36="","",IFERROR(VLOOKUP($K36,Grinders!$A$4:$N$998,3,FALSE),""))</f>
        <v/>
      </c>
      <c r="N36" s="40" t="str">
        <f>IF($K36="","",IFERROR(VLOOKUP($K36,Grinders!$A$4:$N$998,4,FALSE),""))</f>
        <v/>
      </c>
      <c r="O36" s="40" t="str">
        <f>IF($K36="","",IFERROR(VLOOKUP($K36,Grinders!$A$4:$N$998,5,FALSE),""))</f>
        <v/>
      </c>
      <c r="P36" s="40" t="str">
        <f>IF($K36="","",IF($C$4="",0,COUNTIFS(Assignments!$B$6:$B$1000,$K36,Assignments!$F$6:$F$1000,$C$4,Assignments!$E$6:$E$1000,"Active")))</f>
        <v/>
      </c>
      <c r="Q36" s="40" t="str">
        <f t="shared" si="3"/>
        <v/>
      </c>
      <c r="R36" s="40" t="str">
        <f t="shared" si="4"/>
        <v/>
      </c>
      <c r="S36" s="40" t="str">
        <f>IF($K36="","",IF($C$4="",0,COUNTIFS(Assignments!$B$6:$B$1000,$K36,Assignments!$F$6:$F$1000,$C$4,Assignments!$D$6:$D$1000,"&gt;="&amp;Config!$B$3-7,Assignments!$D$6:$D$1000,"&lt;="&amp;Config!$B$3)))</f>
        <v/>
      </c>
      <c r="T36" s="40" t="str">
        <f>IF($K36="","",IFERROR(VLOOKUP($K36,Grinders!$A$4:$N$998,8,FALSE),""))</f>
        <v/>
      </c>
      <c r="U36" s="40" t="str">
        <f>IFERROR(IF($K36="","",IF($M36="Elite",MAX(50,MIN(100,Config!$B$27*MAX(0,MIN(100,(1-IF($R36="",0,$R36))*100)) + Config!$B$28*MAX(0,MIN(100,(1-MIN(1,IF(Config!$B$30=0,1,$S36/Config!$B$30)))*100)) + Config!$B$29*MAX(0,MIN(100,MIN(1,IF($T36="",0,$T36)/Config!$B$23)*100)))),MIN(100,Config!$B$27*MAX(0,MIN(100,(1-IF($R36="",0,$R36))*100)) + Config!$B$28*MAX(0,MIN(100,(1-MIN(1,IF(Config!$B$30=0,1,$S36/Config!$B$30)))*100)) + Config!$B$29*MAX(0,MIN(100,MIN(1,IF($T36="",0,$T36)/Config!$B$23)*100))))),"")
</f>
        <v/>
      </c>
      <c r="V36" s="40" t="str">
        <f>IF(Bids!$AC36="","",Bids!$AC36)</f>
        <v/>
      </c>
      <c r="W36" s="40" t="str">
        <f>IF(Bids!$F35="","",Bids!$F35)</f>
        <v/>
      </c>
      <c r="X36" s="40" t="str">
        <f t="shared" si="5"/>
        <v/>
      </c>
      <c r="Y36" s="40" t="str">
        <f>IF($X36="","",IF(Config!$B$17=Config!$B$16,IF($X36&gt;=Config!$B$17,100,0),MAX(0,MIN(100,($X36-Config!$B$16)/(Config!$B$17-Config!$B$16)*100))))</f>
        <v/>
      </c>
      <c r="Z36" s="40">
        <f>IF($M36="Elite",Config!$B$21,0)</f>
        <v>0</v>
      </c>
      <c r="AA36" s="40" t="str">
        <f>IFERROR(IF(OR($W36="",$H36=""),"",IF($W36&gt;$H36,
  MAX(0, 60-(($W36-$H36)*24/Config!$B$19)*60),
  MIN(100, 60+(($H36-$W36)*24/Config!$B$20)*40)
)),"")
</f>
        <v/>
      </c>
      <c r="AB36" s="40" t="str">
        <f>IF($K36="","",IFERROR(VLOOKUP($K36,Grinders!$A$4:$N$998,10,FALSE)/5*100,""))</f>
        <v/>
      </c>
      <c r="AC36" s="40" t="str">
        <f>IF($K36="","",IFERROR(VLOOKUP($K36,Grinders!$A$4:$N$998,11,FALSE)*100,""))</f>
        <v/>
      </c>
      <c r="AD36" s="40" t="str">
        <f>IF($K36="","",IFERROR(VLOOKUP($K36,Grinders!$A$4:$N$998,12,FALSE)*100,""))</f>
        <v/>
      </c>
      <c r="AE36" s="40" t="str">
        <f>IF(OR(AO36=1,AP36=1),0,=IFERROR(IFS(
    OR($C36="", $K36=""), 0,
    $F36=0, 0,
    $D36&lt;&gt;"Open", 0,
    COUNTIFS(GrinderServices!$A$6:$A$1000, $K36, GrinderServices!$B$6:$B$1000, $E36, GrinderServices!$D$6:$D$1000, "Y")=0, 0,
    $X36&lt;Config!$B$16, 0,
    Config!$B$18=1, IF($O36&gt;=N36, 0, 1),
    TRUE, 1
), "")
)</f>
        <v>#ERROR!</v>
      </c>
      <c r="AF36" s="40" t="str">
        <f>IFERROR((IF(OR(AO36=1,AP36=1),"",=IFERROR((IFERROR(IF($AE36=0,"",((Config!$B$6*$Y36 + Config!$B$7*$U36 + Config!$B$8*$Z36 + Config!$B$9*$AA36 + Config!$B$10*$AB36 + Config!$B$11*$AC36 - Config!$B$12*$AD36)/Config!$B$13)+$AK36+$AL36),""))*(1-IFERROR(VLOOKUP(K36,Grinders!$A:$AB, 28, FALSE),0)),"")))*(1+AR36),"")</f>
        <v>#ERROR!</v>
      </c>
      <c r="AG36" s="40" t="str">
        <f t="shared" si="6"/>
        <v>#ERROR!</v>
      </c>
      <c r="AH36" s="40" t="str">
        <f t="shared" si="7"/>
        <v/>
      </c>
      <c r="AI36" s="40" t="str">
        <f t="shared" si="8"/>
        <v/>
      </c>
      <c r="AJ36" s="40" t="str">
        <f>IF($K36="","",COUNTIF(Assignments!$B$6:$B$1000,$K36))</f>
        <v/>
      </c>
      <c r="AK36" s="40" t="str">
        <f>IF($K36="","",IF(AND($AJ36=0,$O36&lt;$N36),Config!$B$43,0))</f>
        <v/>
      </c>
      <c r="AL36" s="40" t="str">
        <f>IF($K36="","",IF(AND($M36="Elite",$G36&gt;=Config!$B$41,$O36&lt;$N36),Config!$B$42,0))</f>
        <v/>
      </c>
      <c r="AM36" s="22"/>
      <c r="AN36" s="39">
        <f>IFERROR(VLOOKUP(K36,Grinders!$A:$Q,28,FALSE),0)</f>
        <v>0</v>
      </c>
      <c r="AO36" s="39">
        <f>IF(Config!$B$1003&lt;&gt;"Y",0,IF(IFERROR(VLOOKUP(K36,Grinders!$A:$P,27,FALSE),0)&gt;=3,IF(OR(G36&gt;=Config!$B$1001,ISNUMBER(SEARCH(E36,Config!$B$1002))),1,0),0))</f>
        <v>0</v>
      </c>
      <c r="AP36" s="39">
        <f t="array" ref="AP36">IFERROR(IF(INDEX(Bids!$AE:$AE,MATCH(B36,Bids!$A:$A,0))="Pending",1,0),0)</f>
        <v>0</v>
      </c>
      <c r="AQ36" s="39" t="str">
        <f t="array" ref="AQ36">IF(C36="","",IFERROR(XLOOKUP(C36,Assignments!$C:$C,Assignments!$AU:$AU,0),0))</f>
        <v/>
      </c>
      <c r="AR36" s="39">
        <f>IF(AND(Config!$B$1006="Y",AQ36=1),Config!$B$1007,0)</f>
        <v>0</v>
      </c>
    </row>
    <row r="37" ht="15.75" customHeight="1">
      <c r="A37" s="46" t="str">
        <f t="shared" si="1"/>
        <v/>
      </c>
      <c r="B37" s="40" t="str">
        <f>IF(Bids!$A36="","",Bids!$A36)</f>
        <v/>
      </c>
      <c r="C37" s="40" t="str">
        <f>IF(Bids!$B36="","",Bids!$B36)</f>
        <v/>
      </c>
      <c r="D37" s="40" t="str">
        <f>IF($C37="","",IFERROR(VLOOKUP($C37,Orders!$A$4:$J$998,9,FALSE),""))</f>
        <v/>
      </c>
      <c r="E37" s="40" t="str">
        <f>IF($C37="","",IFERROR(VLOOKUP($C37,Orders!$A$4:$J$998,3,FALSE),""))</f>
        <v/>
      </c>
      <c r="F37" s="40">
        <f t="shared" si="2"/>
        <v>1</v>
      </c>
      <c r="G37" s="40" t="str">
        <f>IF($C37="","",IFERROR(VLOOKUP($C37,Orders!$A$4:$J$998,4,FALSE),""))</f>
        <v/>
      </c>
      <c r="H37" s="40" t="str">
        <f>IF($C37="","",IFERROR(VLOOKUP($C37,Orders!$A$4:$J$998,5,FALSE),""))</f>
        <v/>
      </c>
      <c r="I37" s="40" t="str">
        <f>IF($C37="","",IFERROR(VLOOKUP($C37,Orders!$A$4:$J$998,6,FALSE),""))</f>
        <v/>
      </c>
      <c r="J37" s="40" t="str">
        <f>IF($C37="","",IFERROR(VLOOKUP($C37,Orders!$A$4:$J$998,7,FALSE),""))</f>
        <v/>
      </c>
      <c r="K37" s="40" t="str">
        <f>IF(Bids!$C36="","",Bids!$C36)</f>
        <v/>
      </c>
      <c r="L37" s="40" t="str">
        <f>IF($K37="","",IFERROR(VLOOKUP($K37,Grinders!$A$4:$N$998,2,FALSE),""))</f>
        <v/>
      </c>
      <c r="M37" s="40" t="str">
        <f>IF($K37="","",IFERROR(VLOOKUP($K37,Grinders!$A$4:$N$998,3,FALSE),""))</f>
        <v/>
      </c>
      <c r="N37" s="40" t="str">
        <f>IF($K37="","",IFERROR(VLOOKUP($K37,Grinders!$A$4:$N$998,4,FALSE),""))</f>
        <v/>
      </c>
      <c r="O37" s="40" t="str">
        <f>IF($K37="","",IFERROR(VLOOKUP($K37,Grinders!$A$4:$N$998,5,FALSE),""))</f>
        <v/>
      </c>
      <c r="P37" s="40" t="str">
        <f>IF($K37="","",IF($C$4="",0,COUNTIFS(Assignments!$B$6:$B$1000,$K37,Assignments!$F$6:$F$1000,$C$4,Assignments!$E$6:$E$1000,"Active")))</f>
        <v/>
      </c>
      <c r="Q37" s="40" t="str">
        <f t="shared" si="3"/>
        <v/>
      </c>
      <c r="R37" s="40" t="str">
        <f t="shared" si="4"/>
        <v/>
      </c>
      <c r="S37" s="40" t="str">
        <f>IF($K37="","",IF($C$4="",0,COUNTIFS(Assignments!$B$6:$B$1000,$K37,Assignments!$F$6:$F$1000,$C$4,Assignments!$D$6:$D$1000,"&gt;="&amp;Config!$B$3-7,Assignments!$D$6:$D$1000,"&lt;="&amp;Config!$B$3)))</f>
        <v/>
      </c>
      <c r="T37" s="40" t="str">
        <f>IF($K37="","",IFERROR(VLOOKUP($K37,Grinders!$A$4:$N$998,8,FALSE),""))</f>
        <v/>
      </c>
      <c r="U37" s="40" t="str">
        <f>IFERROR(IF($K37="","",IF($M37="Elite",MAX(50,MIN(100,Config!$B$27*MAX(0,MIN(100,(1-IF($R37="",0,$R37))*100)) + Config!$B$28*MAX(0,MIN(100,(1-MIN(1,IF(Config!$B$30=0,1,$S37/Config!$B$30)))*100)) + Config!$B$29*MAX(0,MIN(100,MIN(1,IF($T37="",0,$T37)/Config!$B$23)*100)))),MIN(100,Config!$B$27*MAX(0,MIN(100,(1-IF($R37="",0,$R37))*100)) + Config!$B$28*MAX(0,MIN(100,(1-MIN(1,IF(Config!$B$30=0,1,$S37/Config!$B$30)))*100)) + Config!$B$29*MAX(0,MIN(100,MIN(1,IF($T37="",0,$T37)/Config!$B$23)*100))))),"")
</f>
        <v/>
      </c>
      <c r="V37" s="40" t="str">
        <f>IF(Bids!$AC37="","",Bids!$AC37)</f>
        <v/>
      </c>
      <c r="W37" s="40" t="str">
        <f>IF(Bids!$F36="","",Bids!$F36)</f>
        <v/>
      </c>
      <c r="X37" s="40" t="str">
        <f t="shared" si="5"/>
        <v/>
      </c>
      <c r="Y37" s="40" t="str">
        <f>IF($X37="","",IF(Config!$B$17=Config!$B$16,IF($X37&gt;=Config!$B$17,100,0),MAX(0,MIN(100,($X37-Config!$B$16)/(Config!$B$17-Config!$B$16)*100))))</f>
        <v/>
      </c>
      <c r="Z37" s="40">
        <f>IF($M37="Elite",Config!$B$21,0)</f>
        <v>0</v>
      </c>
      <c r="AA37" s="40" t="str">
        <f>IFERROR(IF(OR($W37="",$H37=""),"",IF($W37&gt;$H37,
  MAX(0, 60-(($W37-$H37)*24/Config!$B$19)*60),
  MIN(100, 60+(($H37-$W37)*24/Config!$B$20)*40)
)),"")
</f>
        <v/>
      </c>
      <c r="AB37" s="40" t="str">
        <f>IF($K37="","",IFERROR(VLOOKUP($K37,Grinders!$A$4:$N$998,10,FALSE)/5*100,""))</f>
        <v/>
      </c>
      <c r="AC37" s="40" t="str">
        <f>IF($K37="","",IFERROR(VLOOKUP($K37,Grinders!$A$4:$N$998,11,FALSE)*100,""))</f>
        <v/>
      </c>
      <c r="AD37" s="40" t="str">
        <f>IF($K37="","",IFERROR(VLOOKUP($K37,Grinders!$A$4:$N$998,12,FALSE)*100,""))</f>
        <v/>
      </c>
      <c r="AE37" s="40" t="str">
        <f>IF(OR(AO37=1,AP37=1),0,=IFERROR(IFS(
    OR($C37="", $K37=""), 0,
    $F37=0, 0,
    $D37&lt;&gt;"Open", 0,
    COUNTIFS(GrinderServices!$A$6:$A$1000, $K37, GrinderServices!$B$6:$B$1000, $E37, GrinderServices!$D$6:$D$1000, "Y")=0, 0,
    $X37&lt;Config!$B$16, 0,
    Config!$B$18=1, IF($O37&gt;=N37, 0, 1),
    TRUE, 1
), "")
)</f>
        <v>#ERROR!</v>
      </c>
      <c r="AF37" s="40" t="str">
        <f>IFERROR((IF(OR(AO37=1,AP37=1),"",=IFERROR((IFERROR(IF($AE37=0,"",((Config!$B$6*$Y37 + Config!$B$7*$U37 + Config!$B$8*$Z37 + Config!$B$9*$AA37 + Config!$B$10*$AB37 + Config!$B$11*$AC37 - Config!$B$12*$AD37)/Config!$B$13)+$AK37+$AL37),""))*(1-IFERROR(VLOOKUP(K37,Grinders!$A:$AB, 28, FALSE),0)),"")))*(1+AR37),"")</f>
        <v>#ERROR!</v>
      </c>
      <c r="AG37" s="40" t="str">
        <f t="shared" si="6"/>
        <v>#ERROR!</v>
      </c>
      <c r="AH37" s="40" t="str">
        <f t="shared" si="7"/>
        <v/>
      </c>
      <c r="AI37" s="40" t="str">
        <f t="shared" si="8"/>
        <v/>
      </c>
      <c r="AJ37" s="40" t="str">
        <f>IF($K37="","",COUNTIF(Assignments!$B$6:$B$1000,$K37))</f>
        <v/>
      </c>
      <c r="AK37" s="40" t="str">
        <f>IF($K37="","",IF(AND($AJ37=0,$O37&lt;$N37),Config!$B$43,0))</f>
        <v/>
      </c>
      <c r="AL37" s="40" t="str">
        <f>IF($K37="","",IF(AND($M37="Elite",$G37&gt;=Config!$B$41,$O37&lt;$N37),Config!$B$42,0))</f>
        <v/>
      </c>
      <c r="AM37" s="22"/>
      <c r="AN37" s="39">
        <f>IFERROR(VLOOKUP(K37,Grinders!$A:$Q,28,FALSE),0)</f>
        <v>0</v>
      </c>
      <c r="AO37" s="39">
        <f>IF(Config!$B$1003&lt;&gt;"Y",0,IF(IFERROR(VLOOKUP(K37,Grinders!$A:$P,27,FALSE),0)&gt;=3,IF(OR(G37&gt;=Config!$B$1001,ISNUMBER(SEARCH(E37,Config!$B$1002))),1,0),0))</f>
        <v>0</v>
      </c>
      <c r="AP37" s="39">
        <f t="array" ref="AP37">IFERROR(IF(INDEX(Bids!$AE:$AE,MATCH(B37,Bids!$A:$A,0))="Pending",1,0),0)</f>
        <v>0</v>
      </c>
      <c r="AQ37" s="39" t="str">
        <f t="array" ref="AQ37">IF(C37="","",IFERROR(XLOOKUP(C37,Assignments!$C:$C,Assignments!$AU:$AU,0),0))</f>
        <v/>
      </c>
      <c r="AR37" s="39">
        <f>IF(AND(Config!$B$1006="Y",AQ37=1),Config!$B$1007,0)</f>
        <v>0</v>
      </c>
    </row>
    <row r="38" ht="15.75" customHeight="1">
      <c r="A38" s="46" t="str">
        <f t="shared" si="1"/>
        <v/>
      </c>
      <c r="B38" s="40" t="str">
        <f>IF(Bids!$A37="","",Bids!$A37)</f>
        <v/>
      </c>
      <c r="C38" s="40" t="str">
        <f>IF(Bids!$B37="","",Bids!$B37)</f>
        <v/>
      </c>
      <c r="D38" s="40" t="str">
        <f>IF($C38="","",IFERROR(VLOOKUP($C38,Orders!$A$4:$J$998,9,FALSE),""))</f>
        <v/>
      </c>
      <c r="E38" s="40" t="str">
        <f>IF($C38="","",IFERROR(VLOOKUP($C38,Orders!$A$4:$J$998,3,FALSE),""))</f>
        <v/>
      </c>
      <c r="F38" s="40">
        <f t="shared" si="2"/>
        <v>1</v>
      </c>
      <c r="G38" s="40" t="str">
        <f>IF($C38="","",IFERROR(VLOOKUP($C38,Orders!$A$4:$J$998,4,FALSE),""))</f>
        <v/>
      </c>
      <c r="H38" s="40" t="str">
        <f>IF($C38="","",IFERROR(VLOOKUP($C38,Orders!$A$4:$J$998,5,FALSE),""))</f>
        <v/>
      </c>
      <c r="I38" s="40" t="str">
        <f>IF($C38="","",IFERROR(VLOOKUP($C38,Orders!$A$4:$J$998,6,FALSE),""))</f>
        <v/>
      </c>
      <c r="J38" s="40" t="str">
        <f>IF($C38="","",IFERROR(VLOOKUP($C38,Orders!$A$4:$J$998,7,FALSE),""))</f>
        <v/>
      </c>
      <c r="K38" s="40" t="str">
        <f>IF(Bids!$C37="","",Bids!$C37)</f>
        <v/>
      </c>
      <c r="L38" s="40" t="str">
        <f>IF($K38="","",IFERROR(VLOOKUP($K38,Grinders!$A$4:$N$998,2,FALSE),""))</f>
        <v/>
      </c>
      <c r="M38" s="40" t="str">
        <f>IF($K38="","",IFERROR(VLOOKUP($K38,Grinders!$A$4:$N$998,3,FALSE),""))</f>
        <v/>
      </c>
      <c r="N38" s="40" t="str">
        <f>IF($K38="","",IFERROR(VLOOKUP($K38,Grinders!$A$4:$N$998,4,FALSE),""))</f>
        <v/>
      </c>
      <c r="O38" s="40" t="str">
        <f>IF($K38="","",IFERROR(VLOOKUP($K38,Grinders!$A$4:$N$998,5,FALSE),""))</f>
        <v/>
      </c>
      <c r="P38" s="40" t="str">
        <f>IF($K38="","",IF($C$4="",0,COUNTIFS(Assignments!$B$6:$B$1000,$K38,Assignments!$F$6:$F$1000,$C$4,Assignments!$E$6:$E$1000,"Active")))</f>
        <v/>
      </c>
      <c r="Q38" s="40" t="str">
        <f t="shared" si="3"/>
        <v/>
      </c>
      <c r="R38" s="40" t="str">
        <f t="shared" si="4"/>
        <v/>
      </c>
      <c r="S38" s="40" t="str">
        <f>IF($K38="","",IF($C$4="",0,COUNTIFS(Assignments!$B$6:$B$1000,$K38,Assignments!$F$6:$F$1000,$C$4,Assignments!$D$6:$D$1000,"&gt;="&amp;Config!$B$3-7,Assignments!$D$6:$D$1000,"&lt;="&amp;Config!$B$3)))</f>
        <v/>
      </c>
      <c r="T38" s="40" t="str">
        <f>IF($K38="","",IFERROR(VLOOKUP($K38,Grinders!$A$4:$N$998,8,FALSE),""))</f>
        <v/>
      </c>
      <c r="U38" s="40" t="str">
        <f>IFERROR(IF($K38="","",IF($M38="Elite",MAX(50,MIN(100,Config!$B$27*MAX(0,MIN(100,(1-IF($R38="",0,$R38))*100)) + Config!$B$28*MAX(0,MIN(100,(1-MIN(1,IF(Config!$B$30=0,1,$S38/Config!$B$30)))*100)) + Config!$B$29*MAX(0,MIN(100,MIN(1,IF($T38="",0,$T38)/Config!$B$23)*100)))),MIN(100,Config!$B$27*MAX(0,MIN(100,(1-IF($R38="",0,$R38))*100)) + Config!$B$28*MAX(0,MIN(100,(1-MIN(1,IF(Config!$B$30=0,1,$S38/Config!$B$30)))*100)) + Config!$B$29*MAX(0,MIN(100,MIN(1,IF($T38="",0,$T38)/Config!$B$23)*100))))),"")
</f>
        <v/>
      </c>
      <c r="V38" s="40" t="str">
        <f>IF(Bids!$AC38="","",Bids!$AC38)</f>
        <v/>
      </c>
      <c r="W38" s="40" t="str">
        <f>IF(Bids!$F37="","",Bids!$F37)</f>
        <v/>
      </c>
      <c r="X38" s="40" t="str">
        <f t="shared" si="5"/>
        <v/>
      </c>
      <c r="Y38" s="40" t="str">
        <f>IF($X38="","",IF(Config!$B$17=Config!$B$16,IF($X38&gt;=Config!$B$17,100,0),MAX(0,MIN(100,($X38-Config!$B$16)/(Config!$B$17-Config!$B$16)*100))))</f>
        <v/>
      </c>
      <c r="Z38" s="40">
        <f>IF($M38="Elite",Config!$B$21,0)</f>
        <v>0</v>
      </c>
      <c r="AA38" s="40" t="str">
        <f>IFERROR(IF(OR($W38="",$H38=""),"",IF($W38&gt;$H38,
  MAX(0, 60-(($W38-$H38)*24/Config!$B$19)*60),
  MIN(100, 60+(($H38-$W38)*24/Config!$B$20)*40)
)),"")
</f>
        <v/>
      </c>
      <c r="AB38" s="40" t="str">
        <f>IF($K38="","",IFERROR(VLOOKUP($K38,Grinders!$A$4:$N$998,10,FALSE)/5*100,""))</f>
        <v/>
      </c>
      <c r="AC38" s="40" t="str">
        <f>IF($K38="","",IFERROR(VLOOKUP($K38,Grinders!$A$4:$N$998,11,FALSE)*100,""))</f>
        <v/>
      </c>
      <c r="AD38" s="40" t="str">
        <f>IF($K38="","",IFERROR(VLOOKUP($K38,Grinders!$A$4:$N$998,12,FALSE)*100,""))</f>
        <v/>
      </c>
      <c r="AE38" s="40" t="str">
        <f>IF(OR(AO38=1,AP38=1),0,=IFERROR(IFS(
    OR($C38="", $K38=""), 0,
    $F38=0, 0,
    $D38&lt;&gt;"Open", 0,
    COUNTIFS(GrinderServices!$A$6:$A$1000, $K38, GrinderServices!$B$6:$B$1000, $E38, GrinderServices!$D$6:$D$1000, "Y")=0, 0,
    $X38&lt;Config!$B$16, 0,
    Config!$B$18=1, IF($O38&gt;=N38, 0, 1),
    TRUE, 1
), "")
)</f>
        <v>#ERROR!</v>
      </c>
      <c r="AF38" s="40" t="str">
        <f>IFERROR((IF(OR(AO38=1,AP38=1),"",=IFERROR((IFERROR(IF($AE38=0,"",((Config!$B$6*$Y38 + Config!$B$7*$U38 + Config!$B$8*$Z38 + Config!$B$9*$AA38 + Config!$B$10*$AB38 + Config!$B$11*$AC38 - Config!$B$12*$AD38)/Config!$B$13)+$AK38+$AL38),""))*(1-IFERROR(VLOOKUP(K38,Grinders!$A:$AB, 28, FALSE),0)),"")))*(1+AR38),"")</f>
        <v>#ERROR!</v>
      </c>
      <c r="AG38" s="40" t="str">
        <f t="shared" si="6"/>
        <v>#ERROR!</v>
      </c>
      <c r="AH38" s="40" t="str">
        <f t="shared" si="7"/>
        <v/>
      </c>
      <c r="AI38" s="40" t="str">
        <f t="shared" si="8"/>
        <v/>
      </c>
      <c r="AJ38" s="40" t="str">
        <f>IF($K38="","",COUNTIF(Assignments!$B$6:$B$1000,$K38))</f>
        <v/>
      </c>
      <c r="AK38" s="40" t="str">
        <f>IF($K38="","",IF(AND($AJ38=0,$O38&lt;$N38),Config!$B$43,0))</f>
        <v/>
      </c>
      <c r="AL38" s="40" t="str">
        <f>IF($K38="","",IF(AND($M38="Elite",$G38&gt;=Config!$B$41,$O38&lt;$N38),Config!$B$42,0))</f>
        <v/>
      </c>
      <c r="AM38" s="22"/>
      <c r="AN38" s="39">
        <f>IFERROR(VLOOKUP(K38,Grinders!$A:$Q,28,FALSE),0)</f>
        <v>0</v>
      </c>
      <c r="AO38" s="39">
        <f>IF(Config!$B$1003&lt;&gt;"Y",0,IF(IFERROR(VLOOKUP(K38,Grinders!$A:$P,27,FALSE),0)&gt;=3,IF(OR(G38&gt;=Config!$B$1001,ISNUMBER(SEARCH(E38,Config!$B$1002))),1,0),0))</f>
        <v>0</v>
      </c>
      <c r="AP38" s="39">
        <f t="array" ref="AP38">IFERROR(IF(INDEX(Bids!$AE:$AE,MATCH(B38,Bids!$A:$A,0))="Pending",1,0),0)</f>
        <v>0</v>
      </c>
      <c r="AQ38" s="39" t="str">
        <f t="array" ref="AQ38">IF(C38="","",IFERROR(XLOOKUP(C38,Assignments!$C:$C,Assignments!$AU:$AU,0),0))</f>
        <v/>
      </c>
      <c r="AR38" s="39">
        <f>IF(AND(Config!$B$1006="Y",AQ38=1),Config!$B$1007,0)</f>
        <v>0</v>
      </c>
    </row>
    <row r="39" ht="15.75" customHeight="1">
      <c r="A39" s="46" t="str">
        <f t="shared" si="1"/>
        <v/>
      </c>
      <c r="B39" s="40" t="str">
        <f>IF(Bids!$A38="","",Bids!$A38)</f>
        <v/>
      </c>
      <c r="C39" s="40" t="str">
        <f>IF(Bids!$B38="","",Bids!$B38)</f>
        <v/>
      </c>
      <c r="D39" s="40" t="str">
        <f>IF($C39="","",IFERROR(VLOOKUP($C39,Orders!$A$4:$J$998,9,FALSE),""))</f>
        <v/>
      </c>
      <c r="E39" s="40" t="str">
        <f>IF($C39="","",IFERROR(VLOOKUP($C39,Orders!$A$4:$J$998,3,FALSE),""))</f>
        <v/>
      </c>
      <c r="F39" s="40">
        <f t="shared" si="2"/>
        <v>1</v>
      </c>
      <c r="G39" s="40" t="str">
        <f>IF($C39="","",IFERROR(VLOOKUP($C39,Orders!$A$4:$J$998,4,FALSE),""))</f>
        <v/>
      </c>
      <c r="H39" s="40" t="str">
        <f>IF($C39="","",IFERROR(VLOOKUP($C39,Orders!$A$4:$J$998,5,FALSE),""))</f>
        <v/>
      </c>
      <c r="I39" s="40" t="str">
        <f>IF($C39="","",IFERROR(VLOOKUP($C39,Orders!$A$4:$J$998,6,FALSE),""))</f>
        <v/>
      </c>
      <c r="J39" s="40" t="str">
        <f>IF($C39="","",IFERROR(VLOOKUP($C39,Orders!$A$4:$J$998,7,FALSE),""))</f>
        <v/>
      </c>
      <c r="K39" s="40" t="str">
        <f>IF(Bids!$C38="","",Bids!$C38)</f>
        <v/>
      </c>
      <c r="L39" s="40" t="str">
        <f>IF($K39="","",IFERROR(VLOOKUP($K39,Grinders!$A$4:$N$998,2,FALSE),""))</f>
        <v/>
      </c>
      <c r="M39" s="40" t="str">
        <f>IF($K39="","",IFERROR(VLOOKUP($K39,Grinders!$A$4:$N$998,3,FALSE),""))</f>
        <v/>
      </c>
      <c r="N39" s="40" t="str">
        <f>IF($K39="","",IFERROR(VLOOKUP($K39,Grinders!$A$4:$N$998,4,FALSE),""))</f>
        <v/>
      </c>
      <c r="O39" s="40" t="str">
        <f>IF($K39="","",IFERROR(VLOOKUP($K39,Grinders!$A$4:$N$998,5,FALSE),""))</f>
        <v/>
      </c>
      <c r="P39" s="40" t="str">
        <f>IF($K39="","",IF($C$4="",0,COUNTIFS(Assignments!$B$6:$B$1000,$K39,Assignments!$F$6:$F$1000,$C$4,Assignments!$E$6:$E$1000,"Active")))</f>
        <v/>
      </c>
      <c r="Q39" s="40" t="str">
        <f t="shared" si="3"/>
        <v/>
      </c>
      <c r="R39" s="40" t="str">
        <f t="shared" si="4"/>
        <v/>
      </c>
      <c r="S39" s="40" t="str">
        <f>IF($K39="","",IF($C$4="",0,COUNTIFS(Assignments!$B$6:$B$1000,$K39,Assignments!$F$6:$F$1000,$C$4,Assignments!$D$6:$D$1000,"&gt;="&amp;Config!$B$3-7,Assignments!$D$6:$D$1000,"&lt;="&amp;Config!$B$3)))</f>
        <v/>
      </c>
      <c r="T39" s="40" t="str">
        <f>IF($K39="","",IFERROR(VLOOKUP($K39,Grinders!$A$4:$N$998,8,FALSE),""))</f>
        <v/>
      </c>
      <c r="U39" s="40" t="str">
        <f>IFERROR(IF($K39="","",IF($M39="Elite",MAX(50,MIN(100,Config!$B$27*MAX(0,MIN(100,(1-IF($R39="",0,$R39))*100)) + Config!$B$28*MAX(0,MIN(100,(1-MIN(1,IF(Config!$B$30=0,1,$S39/Config!$B$30)))*100)) + Config!$B$29*MAX(0,MIN(100,MIN(1,IF($T39="",0,$T39)/Config!$B$23)*100)))),MIN(100,Config!$B$27*MAX(0,MIN(100,(1-IF($R39="",0,$R39))*100)) + Config!$B$28*MAX(0,MIN(100,(1-MIN(1,IF(Config!$B$30=0,1,$S39/Config!$B$30)))*100)) + Config!$B$29*MAX(0,MIN(100,MIN(1,IF($T39="",0,$T39)/Config!$B$23)*100))))),"")
</f>
        <v/>
      </c>
      <c r="V39" s="40" t="str">
        <f>IF(Bids!$AC39="","",Bids!$AC39)</f>
        <v/>
      </c>
      <c r="W39" s="40" t="str">
        <f>IF(Bids!$F38="","",Bids!$F38)</f>
        <v/>
      </c>
      <c r="X39" s="40" t="str">
        <f t="shared" si="5"/>
        <v/>
      </c>
      <c r="Y39" s="40" t="str">
        <f>IF($X39="","",IF(Config!$B$17=Config!$B$16,IF($X39&gt;=Config!$B$17,100,0),MAX(0,MIN(100,($X39-Config!$B$16)/(Config!$B$17-Config!$B$16)*100))))</f>
        <v/>
      </c>
      <c r="Z39" s="40">
        <f>IF($M39="Elite",Config!$B$21,0)</f>
        <v>0</v>
      </c>
      <c r="AA39" s="40" t="str">
        <f>IFERROR(IF(OR($W39="",$H39=""),"",IF($W39&gt;$H39,
  MAX(0, 60-(($W39-$H39)*24/Config!$B$19)*60),
  MIN(100, 60+(($H39-$W39)*24/Config!$B$20)*40)
)),"")
</f>
        <v/>
      </c>
      <c r="AB39" s="40" t="str">
        <f>IF($K39="","",IFERROR(VLOOKUP($K39,Grinders!$A$4:$N$998,10,FALSE)/5*100,""))</f>
        <v/>
      </c>
      <c r="AC39" s="40" t="str">
        <f>IF($K39="","",IFERROR(VLOOKUP($K39,Grinders!$A$4:$N$998,11,FALSE)*100,""))</f>
        <v/>
      </c>
      <c r="AD39" s="40" t="str">
        <f>IF($K39="","",IFERROR(VLOOKUP($K39,Grinders!$A$4:$N$998,12,FALSE)*100,""))</f>
        <v/>
      </c>
      <c r="AE39" s="40" t="str">
        <f>IF(OR(AO39=1,AP39=1),0,=IFERROR(IFS(
    OR($C39="", $K39=""), 0,
    $F39=0, 0,
    $D39&lt;&gt;"Open", 0,
    COUNTIFS(GrinderServices!$A$6:$A$1000, $K39, GrinderServices!$B$6:$B$1000, $E39, GrinderServices!$D$6:$D$1000, "Y")=0, 0,
    $X39&lt;Config!$B$16, 0,
    Config!$B$18=1, IF($O39&gt;=N39, 0, 1),
    TRUE, 1
), "")
)</f>
        <v>#ERROR!</v>
      </c>
      <c r="AF39" s="40" t="str">
        <f>IFERROR((IF(OR(AO39=1,AP39=1),"",=IFERROR((IFERROR(IF($AE39=0,"",((Config!$B$6*$Y39 + Config!$B$7*$U39 + Config!$B$8*$Z39 + Config!$B$9*$AA39 + Config!$B$10*$AB39 + Config!$B$11*$AC39 - Config!$B$12*$AD39)/Config!$B$13)+$AK39+$AL39),""))*(1-IFERROR(VLOOKUP(K39,Grinders!$A:$AB, 28, FALSE),0)),"")))*(1+AR39),"")</f>
        <v>#ERROR!</v>
      </c>
      <c r="AG39" s="40" t="str">
        <f t="shared" si="6"/>
        <v>#ERROR!</v>
      </c>
      <c r="AH39" s="40" t="str">
        <f t="shared" si="7"/>
        <v/>
      </c>
      <c r="AI39" s="40" t="str">
        <f t="shared" si="8"/>
        <v/>
      </c>
      <c r="AJ39" s="40" t="str">
        <f>IF($K39="","",COUNTIF(Assignments!$B$6:$B$1000,$K39))</f>
        <v/>
      </c>
      <c r="AK39" s="40" t="str">
        <f>IF($K39="","",IF(AND($AJ39=0,$O39&lt;$N39),Config!$B$43,0))</f>
        <v/>
      </c>
      <c r="AL39" s="40" t="str">
        <f>IF($K39="","",IF(AND($M39="Elite",$G39&gt;=Config!$B$41,$O39&lt;$N39),Config!$B$42,0))</f>
        <v/>
      </c>
      <c r="AM39" s="22"/>
      <c r="AN39" s="39">
        <f>IFERROR(VLOOKUP(K39,Grinders!$A:$Q,28,FALSE),0)</f>
        <v>0</v>
      </c>
      <c r="AO39" s="39">
        <f>IF(Config!$B$1003&lt;&gt;"Y",0,IF(IFERROR(VLOOKUP(K39,Grinders!$A:$P,27,FALSE),0)&gt;=3,IF(OR(G39&gt;=Config!$B$1001,ISNUMBER(SEARCH(E39,Config!$B$1002))),1,0),0))</f>
        <v>0</v>
      </c>
      <c r="AP39" s="39">
        <f t="array" ref="AP39">IFERROR(IF(INDEX(Bids!$AE:$AE,MATCH(B39,Bids!$A:$A,0))="Pending",1,0),0)</f>
        <v>0</v>
      </c>
      <c r="AQ39" s="39" t="str">
        <f t="array" ref="AQ39">IF(C39="","",IFERROR(XLOOKUP(C39,Assignments!$C:$C,Assignments!$AU:$AU,0),0))</f>
        <v/>
      </c>
      <c r="AR39" s="39">
        <f>IF(AND(Config!$B$1006="Y",AQ39=1),Config!$B$1007,0)</f>
        <v>0</v>
      </c>
    </row>
    <row r="40" ht="15.75" customHeight="1">
      <c r="A40" s="46" t="str">
        <f t="shared" si="1"/>
        <v/>
      </c>
      <c r="B40" s="40" t="str">
        <f>IF(Bids!$A39="","",Bids!$A39)</f>
        <v/>
      </c>
      <c r="C40" s="40" t="str">
        <f>IF(Bids!$B39="","",Bids!$B39)</f>
        <v/>
      </c>
      <c r="D40" s="40" t="str">
        <f>IF($C40="","",IFERROR(VLOOKUP($C40,Orders!$A$4:$J$998,9,FALSE),""))</f>
        <v/>
      </c>
      <c r="E40" s="40" t="str">
        <f>IF($C40="","",IFERROR(VLOOKUP($C40,Orders!$A$4:$J$998,3,FALSE),""))</f>
        <v/>
      </c>
      <c r="F40" s="40">
        <f t="shared" si="2"/>
        <v>1</v>
      </c>
      <c r="G40" s="40" t="str">
        <f>IF($C40="","",IFERROR(VLOOKUP($C40,Orders!$A$4:$J$998,4,FALSE),""))</f>
        <v/>
      </c>
      <c r="H40" s="40" t="str">
        <f>IF($C40="","",IFERROR(VLOOKUP($C40,Orders!$A$4:$J$998,5,FALSE),""))</f>
        <v/>
      </c>
      <c r="I40" s="40" t="str">
        <f>IF($C40="","",IFERROR(VLOOKUP($C40,Orders!$A$4:$J$998,6,FALSE),""))</f>
        <v/>
      </c>
      <c r="J40" s="40" t="str">
        <f>IF($C40="","",IFERROR(VLOOKUP($C40,Orders!$A$4:$J$998,7,FALSE),""))</f>
        <v/>
      </c>
      <c r="K40" s="40" t="str">
        <f>IF(Bids!$C39="","",Bids!$C39)</f>
        <v/>
      </c>
      <c r="L40" s="40" t="str">
        <f>IF($K40="","",IFERROR(VLOOKUP($K40,Grinders!$A$4:$N$998,2,FALSE),""))</f>
        <v/>
      </c>
      <c r="M40" s="40" t="str">
        <f>IF($K40="","",IFERROR(VLOOKUP($K40,Grinders!$A$4:$N$998,3,FALSE),""))</f>
        <v/>
      </c>
      <c r="N40" s="40" t="str">
        <f>IF($K40="","",IFERROR(VLOOKUP($K40,Grinders!$A$4:$N$998,4,FALSE),""))</f>
        <v/>
      </c>
      <c r="O40" s="40" t="str">
        <f>IF($K40="","",IFERROR(VLOOKUP($K40,Grinders!$A$4:$N$998,5,FALSE),""))</f>
        <v/>
      </c>
      <c r="P40" s="40" t="str">
        <f>IF($K40="","",IF($C$4="",0,COUNTIFS(Assignments!$B$6:$B$1000,$K40,Assignments!$F$6:$F$1000,$C$4,Assignments!$E$6:$E$1000,"Active")))</f>
        <v/>
      </c>
      <c r="Q40" s="40" t="str">
        <f t="shared" si="3"/>
        <v/>
      </c>
      <c r="R40" s="40" t="str">
        <f t="shared" si="4"/>
        <v/>
      </c>
      <c r="S40" s="40" t="str">
        <f>IF($K40="","",IF($C$4="",0,COUNTIFS(Assignments!$B$6:$B$1000,$K40,Assignments!$F$6:$F$1000,$C$4,Assignments!$D$6:$D$1000,"&gt;="&amp;Config!$B$3-7,Assignments!$D$6:$D$1000,"&lt;="&amp;Config!$B$3)))</f>
        <v/>
      </c>
      <c r="T40" s="40" t="str">
        <f>IF($K40="","",IFERROR(VLOOKUP($K40,Grinders!$A$4:$N$998,8,FALSE),""))</f>
        <v/>
      </c>
      <c r="U40" s="40" t="str">
        <f>IFERROR(IF($K40="","",IF($M40="Elite",MAX(50,MIN(100,Config!$B$27*MAX(0,MIN(100,(1-IF($R40="",0,$R40))*100)) + Config!$B$28*MAX(0,MIN(100,(1-MIN(1,IF(Config!$B$30=0,1,$S40/Config!$B$30)))*100)) + Config!$B$29*MAX(0,MIN(100,MIN(1,IF($T40="",0,$T40)/Config!$B$23)*100)))),MIN(100,Config!$B$27*MAX(0,MIN(100,(1-IF($R40="",0,$R40))*100)) + Config!$B$28*MAX(0,MIN(100,(1-MIN(1,IF(Config!$B$30=0,1,$S40/Config!$B$30)))*100)) + Config!$B$29*MAX(0,MIN(100,MIN(1,IF($T40="",0,$T40)/Config!$B$23)*100))))),"")
</f>
        <v/>
      </c>
      <c r="V40" s="40" t="str">
        <f>IF(Bids!$AC40="","",Bids!$AC40)</f>
        <v/>
      </c>
      <c r="W40" s="40" t="str">
        <f>IF(Bids!$F39="","",Bids!$F39)</f>
        <v/>
      </c>
      <c r="X40" s="40" t="str">
        <f t="shared" si="5"/>
        <v/>
      </c>
      <c r="Y40" s="40" t="str">
        <f>IF($X40="","",IF(Config!$B$17=Config!$B$16,IF($X40&gt;=Config!$B$17,100,0),MAX(0,MIN(100,($X40-Config!$B$16)/(Config!$B$17-Config!$B$16)*100))))</f>
        <v/>
      </c>
      <c r="Z40" s="40">
        <f>IF($M40="Elite",Config!$B$21,0)</f>
        <v>0</v>
      </c>
      <c r="AA40" s="40" t="str">
        <f>IFERROR(IF(OR($W40="",$H40=""),"",IF($W40&gt;$H40,
  MAX(0, 60-(($W40-$H40)*24/Config!$B$19)*60),
  MIN(100, 60+(($H40-$W40)*24/Config!$B$20)*40)
)),"")
</f>
        <v/>
      </c>
      <c r="AB40" s="40" t="str">
        <f>IF($K40="","",IFERROR(VLOOKUP($K40,Grinders!$A$4:$N$998,10,FALSE)/5*100,""))</f>
        <v/>
      </c>
      <c r="AC40" s="40" t="str">
        <f>IF($K40="","",IFERROR(VLOOKUP($K40,Grinders!$A$4:$N$998,11,FALSE)*100,""))</f>
        <v/>
      </c>
      <c r="AD40" s="40" t="str">
        <f>IF($K40="","",IFERROR(VLOOKUP($K40,Grinders!$A$4:$N$998,12,FALSE)*100,""))</f>
        <v/>
      </c>
      <c r="AE40" s="40" t="str">
        <f>IF(OR(AO40=1,AP40=1),0,=IFERROR(IFS(
    OR($C40="", $K40=""), 0,
    $F40=0, 0,
    $D40&lt;&gt;"Open", 0,
    COUNTIFS(GrinderServices!$A$6:$A$1000, $K40, GrinderServices!$B$6:$B$1000, $E40, GrinderServices!$D$6:$D$1000, "Y")=0, 0,
    $X40&lt;Config!$B$16, 0,
    Config!$B$18=1, IF($O40&gt;=N40, 0, 1),
    TRUE, 1
), "")
)</f>
        <v>#ERROR!</v>
      </c>
      <c r="AF40" s="40" t="str">
        <f>IFERROR((IF(OR(AO40=1,AP40=1),"",=IFERROR((IFERROR(IF($AE40=0,"",((Config!$B$6*$Y40 + Config!$B$7*$U40 + Config!$B$8*$Z40 + Config!$B$9*$AA40 + Config!$B$10*$AB40 + Config!$B$11*$AC40 - Config!$B$12*$AD40)/Config!$B$13)+$AK40+$AL40),""))*(1-IFERROR(VLOOKUP(K40,Grinders!$A:$AB, 28, FALSE),0)),"")))*(1+AR40),"")</f>
        <v>#ERROR!</v>
      </c>
      <c r="AG40" s="40" t="str">
        <f t="shared" si="6"/>
        <v>#ERROR!</v>
      </c>
      <c r="AH40" s="40" t="str">
        <f t="shared" si="7"/>
        <v/>
      </c>
      <c r="AI40" s="40" t="str">
        <f t="shared" si="8"/>
        <v/>
      </c>
      <c r="AJ40" s="40" t="str">
        <f>IF($K40="","",COUNTIF(Assignments!$B$6:$B$1000,$K40))</f>
        <v/>
      </c>
      <c r="AK40" s="40" t="str">
        <f>IF($K40="","",IF(AND($AJ40=0,$O40&lt;$N40),Config!$B$43,0))</f>
        <v/>
      </c>
      <c r="AL40" s="40" t="str">
        <f>IF($K40="","",IF(AND($M40="Elite",$G40&gt;=Config!$B$41,$O40&lt;$N40),Config!$B$42,0))</f>
        <v/>
      </c>
      <c r="AM40" s="22"/>
      <c r="AN40" s="39">
        <f>IFERROR(VLOOKUP(K40,Grinders!$A:$Q,28,FALSE),0)</f>
        <v>0</v>
      </c>
      <c r="AO40" s="39">
        <f>IF(Config!$B$1003&lt;&gt;"Y",0,IF(IFERROR(VLOOKUP(K40,Grinders!$A:$P,27,FALSE),0)&gt;=3,IF(OR(G40&gt;=Config!$B$1001,ISNUMBER(SEARCH(E40,Config!$B$1002))),1,0),0))</f>
        <v>0</v>
      </c>
      <c r="AP40" s="39">
        <f t="array" ref="AP40">IFERROR(IF(INDEX(Bids!$AE:$AE,MATCH(B40,Bids!$A:$A,0))="Pending",1,0),0)</f>
        <v>0</v>
      </c>
      <c r="AQ40" s="39" t="str">
        <f t="array" ref="AQ40">IF(C40="","",IFERROR(XLOOKUP(C40,Assignments!$C:$C,Assignments!$AU:$AU,0),0))</f>
        <v/>
      </c>
      <c r="AR40" s="39">
        <f>IF(AND(Config!$B$1006="Y",AQ40=1),Config!$B$1007,0)</f>
        <v>0</v>
      </c>
    </row>
    <row r="41" ht="15.75" customHeight="1">
      <c r="A41" s="46" t="str">
        <f t="shared" si="1"/>
        <v/>
      </c>
      <c r="B41" s="40" t="str">
        <f>IF(Bids!$A40="","",Bids!$A40)</f>
        <v/>
      </c>
      <c r="C41" s="40" t="str">
        <f>IF(Bids!$B40="","",Bids!$B40)</f>
        <v/>
      </c>
      <c r="D41" s="40" t="str">
        <f>IF($C41="","",IFERROR(VLOOKUP($C41,Orders!$A$4:$J$998,9,FALSE),""))</f>
        <v/>
      </c>
      <c r="E41" s="40" t="str">
        <f>IF($C41="","",IFERROR(VLOOKUP($C41,Orders!$A$4:$J$998,3,FALSE),""))</f>
        <v/>
      </c>
      <c r="F41" s="40">
        <f t="shared" si="2"/>
        <v>1</v>
      </c>
      <c r="G41" s="40" t="str">
        <f>IF($C41="","",IFERROR(VLOOKUP($C41,Orders!$A$4:$J$998,4,FALSE),""))</f>
        <v/>
      </c>
      <c r="H41" s="40" t="str">
        <f>IF($C41="","",IFERROR(VLOOKUP($C41,Orders!$A$4:$J$998,5,FALSE),""))</f>
        <v/>
      </c>
      <c r="I41" s="40" t="str">
        <f>IF($C41="","",IFERROR(VLOOKUP($C41,Orders!$A$4:$J$998,6,FALSE),""))</f>
        <v/>
      </c>
      <c r="J41" s="40" t="str">
        <f>IF($C41="","",IFERROR(VLOOKUP($C41,Orders!$A$4:$J$998,7,FALSE),""))</f>
        <v/>
      </c>
      <c r="K41" s="40" t="str">
        <f>IF(Bids!$C40="","",Bids!$C40)</f>
        <v/>
      </c>
      <c r="L41" s="40" t="str">
        <f>IF($K41="","",IFERROR(VLOOKUP($K41,Grinders!$A$4:$N$998,2,FALSE),""))</f>
        <v/>
      </c>
      <c r="M41" s="40" t="str">
        <f>IF($K41="","",IFERROR(VLOOKUP($K41,Grinders!$A$4:$N$998,3,FALSE),""))</f>
        <v/>
      </c>
      <c r="N41" s="40" t="str">
        <f>IF($K41="","",IFERROR(VLOOKUP($K41,Grinders!$A$4:$N$998,4,FALSE),""))</f>
        <v/>
      </c>
      <c r="O41" s="40" t="str">
        <f>IF($K41="","",IFERROR(VLOOKUP($K41,Grinders!$A$4:$N$998,5,FALSE),""))</f>
        <v/>
      </c>
      <c r="P41" s="40" t="str">
        <f>IF($K41="","",IF($C$4="",0,COUNTIFS(Assignments!$B$6:$B$1000,$K41,Assignments!$F$6:$F$1000,$C$4,Assignments!$E$6:$E$1000,"Active")))</f>
        <v/>
      </c>
      <c r="Q41" s="40" t="str">
        <f t="shared" si="3"/>
        <v/>
      </c>
      <c r="R41" s="40" t="str">
        <f t="shared" si="4"/>
        <v/>
      </c>
      <c r="S41" s="40" t="str">
        <f>IF($K41="","",IF($C$4="",0,COUNTIFS(Assignments!$B$6:$B$1000,$K41,Assignments!$F$6:$F$1000,$C$4,Assignments!$D$6:$D$1000,"&gt;="&amp;Config!$B$3-7,Assignments!$D$6:$D$1000,"&lt;="&amp;Config!$B$3)))</f>
        <v/>
      </c>
      <c r="T41" s="40" t="str">
        <f>IF($K41="","",IFERROR(VLOOKUP($K41,Grinders!$A$4:$N$998,8,FALSE),""))</f>
        <v/>
      </c>
      <c r="U41" s="40" t="str">
        <f>IFERROR(IF($K41="","",IF($M41="Elite",MAX(50,MIN(100,Config!$B$27*MAX(0,MIN(100,(1-IF($R41="",0,$R41))*100)) + Config!$B$28*MAX(0,MIN(100,(1-MIN(1,IF(Config!$B$30=0,1,$S41/Config!$B$30)))*100)) + Config!$B$29*MAX(0,MIN(100,MIN(1,IF($T41="",0,$T41)/Config!$B$23)*100)))),MIN(100,Config!$B$27*MAX(0,MIN(100,(1-IF($R41="",0,$R41))*100)) + Config!$B$28*MAX(0,MIN(100,(1-MIN(1,IF(Config!$B$30=0,1,$S41/Config!$B$30)))*100)) + Config!$B$29*MAX(0,MIN(100,MIN(1,IF($T41="",0,$T41)/Config!$B$23)*100))))),"")
</f>
        <v/>
      </c>
      <c r="V41" s="40" t="str">
        <f>IF(Bids!$AC41="","",Bids!$AC41)</f>
        <v/>
      </c>
      <c r="W41" s="40" t="str">
        <f>IF(Bids!$F40="","",Bids!$F40)</f>
        <v/>
      </c>
      <c r="X41" s="40" t="str">
        <f t="shared" si="5"/>
        <v/>
      </c>
      <c r="Y41" s="40" t="str">
        <f>IF($X41="","",IF(Config!$B$17=Config!$B$16,IF($X41&gt;=Config!$B$17,100,0),MAX(0,MIN(100,($X41-Config!$B$16)/(Config!$B$17-Config!$B$16)*100))))</f>
        <v/>
      </c>
      <c r="Z41" s="40">
        <f>IF($M41="Elite",Config!$B$21,0)</f>
        <v>0</v>
      </c>
      <c r="AA41" s="40" t="str">
        <f>IFERROR(IF(OR($W41="",$H41=""),"",IF($W41&gt;$H41,
  MAX(0, 60-(($W41-$H41)*24/Config!$B$19)*60),
  MIN(100, 60+(($H41-$W41)*24/Config!$B$20)*40)
)),"")
</f>
        <v/>
      </c>
      <c r="AB41" s="40" t="str">
        <f>IF($K41="","",IFERROR(VLOOKUP($K41,Grinders!$A$4:$N$998,10,FALSE)/5*100,""))</f>
        <v/>
      </c>
      <c r="AC41" s="40" t="str">
        <f>IF($K41="","",IFERROR(VLOOKUP($K41,Grinders!$A$4:$N$998,11,FALSE)*100,""))</f>
        <v/>
      </c>
      <c r="AD41" s="40" t="str">
        <f>IF($K41="","",IFERROR(VLOOKUP($K41,Grinders!$A$4:$N$998,12,FALSE)*100,""))</f>
        <v/>
      </c>
      <c r="AE41" s="40" t="str">
        <f>IF(OR(AO41=1,AP41=1),0,=IFERROR(IFS(
    OR($C41="", $K41=""), 0,
    $F41=0, 0,
    $D41&lt;&gt;"Open", 0,
    COUNTIFS(GrinderServices!$A$6:$A$1000, $K41, GrinderServices!$B$6:$B$1000, $E41, GrinderServices!$D$6:$D$1000, "Y")=0, 0,
    $X41&lt;Config!$B$16, 0,
    Config!$B$18=1, IF($O41&gt;=N41, 0, 1),
    TRUE, 1
), "")
)</f>
        <v>#ERROR!</v>
      </c>
      <c r="AF41" s="40" t="str">
        <f>IFERROR((IF(OR(AO41=1,AP41=1),"",=IFERROR((IFERROR(IF($AE41=0,"",((Config!$B$6*$Y41 + Config!$B$7*$U41 + Config!$B$8*$Z41 + Config!$B$9*$AA41 + Config!$B$10*$AB41 + Config!$B$11*$AC41 - Config!$B$12*$AD41)/Config!$B$13)+$AK41+$AL41),""))*(1-IFERROR(VLOOKUP(K41,Grinders!$A:$AB, 28, FALSE),0)),"")))*(1+AR41),"")</f>
        <v>#ERROR!</v>
      </c>
      <c r="AG41" s="40" t="str">
        <f t="shared" si="6"/>
        <v>#ERROR!</v>
      </c>
      <c r="AH41" s="40" t="str">
        <f t="shared" si="7"/>
        <v/>
      </c>
      <c r="AI41" s="40" t="str">
        <f t="shared" si="8"/>
        <v/>
      </c>
      <c r="AJ41" s="40" t="str">
        <f>IF($K41="","",COUNTIF(Assignments!$B$6:$B$1000,$K41))</f>
        <v/>
      </c>
      <c r="AK41" s="40" t="str">
        <f>IF($K41="","",IF(AND($AJ41=0,$O41&lt;$N41),Config!$B$43,0))</f>
        <v/>
      </c>
      <c r="AL41" s="40" t="str">
        <f>IF($K41="","",IF(AND($M41="Elite",$G41&gt;=Config!$B$41,$O41&lt;$N41),Config!$B$42,0))</f>
        <v/>
      </c>
      <c r="AM41" s="22"/>
      <c r="AN41" s="39">
        <f>IFERROR(VLOOKUP(K41,Grinders!$A:$Q,28,FALSE),0)</f>
        <v>0</v>
      </c>
      <c r="AO41" s="39">
        <f>IF(Config!$B$1003&lt;&gt;"Y",0,IF(IFERROR(VLOOKUP(K41,Grinders!$A:$P,27,FALSE),0)&gt;=3,IF(OR(G41&gt;=Config!$B$1001,ISNUMBER(SEARCH(E41,Config!$B$1002))),1,0),0))</f>
        <v>0</v>
      </c>
      <c r="AP41" s="39">
        <f t="array" ref="AP41">IFERROR(IF(INDEX(Bids!$AE:$AE,MATCH(B41,Bids!$A:$A,0))="Pending",1,0),0)</f>
        <v>0</v>
      </c>
      <c r="AQ41" s="39" t="str">
        <f t="array" ref="AQ41">IF(C41="","",IFERROR(XLOOKUP(C41,Assignments!$C:$C,Assignments!$AU:$AU,0),0))</f>
        <v/>
      </c>
      <c r="AR41" s="39">
        <f>IF(AND(Config!$B$1006="Y",AQ41=1),Config!$B$1007,0)</f>
        <v>0</v>
      </c>
    </row>
    <row r="42" ht="15.75" customHeight="1">
      <c r="A42" s="46" t="str">
        <f t="shared" si="1"/>
        <v/>
      </c>
      <c r="B42" s="40" t="str">
        <f>IF(Bids!$A41="","",Bids!$A41)</f>
        <v/>
      </c>
      <c r="C42" s="40" t="str">
        <f>IF(Bids!$B41="","",Bids!$B41)</f>
        <v/>
      </c>
      <c r="D42" s="40" t="str">
        <f>IF($C42="","",IFERROR(VLOOKUP($C42,Orders!$A$4:$J$998,9,FALSE),""))</f>
        <v/>
      </c>
      <c r="E42" s="40" t="str">
        <f>IF($C42="","",IFERROR(VLOOKUP($C42,Orders!$A$4:$J$998,3,FALSE),""))</f>
        <v/>
      </c>
      <c r="F42" s="40">
        <f t="shared" si="2"/>
        <v>1</v>
      </c>
      <c r="G42" s="40" t="str">
        <f>IF($C42="","",IFERROR(VLOOKUP($C42,Orders!$A$4:$J$998,4,FALSE),""))</f>
        <v/>
      </c>
      <c r="H42" s="40" t="str">
        <f>IF($C42="","",IFERROR(VLOOKUP($C42,Orders!$A$4:$J$998,5,FALSE),""))</f>
        <v/>
      </c>
      <c r="I42" s="40" t="str">
        <f>IF($C42="","",IFERROR(VLOOKUP($C42,Orders!$A$4:$J$998,6,FALSE),""))</f>
        <v/>
      </c>
      <c r="J42" s="40" t="str">
        <f>IF($C42="","",IFERROR(VLOOKUP($C42,Orders!$A$4:$J$998,7,FALSE),""))</f>
        <v/>
      </c>
      <c r="K42" s="40" t="str">
        <f>IF(Bids!$C41="","",Bids!$C41)</f>
        <v/>
      </c>
      <c r="L42" s="40" t="str">
        <f>IF($K42="","",IFERROR(VLOOKUP($K42,Grinders!$A$4:$N$998,2,FALSE),""))</f>
        <v/>
      </c>
      <c r="M42" s="40" t="str">
        <f>IF($K42="","",IFERROR(VLOOKUP($K42,Grinders!$A$4:$N$998,3,FALSE),""))</f>
        <v/>
      </c>
      <c r="N42" s="40" t="str">
        <f>IF($K42="","",IFERROR(VLOOKUP($K42,Grinders!$A$4:$N$998,4,FALSE),""))</f>
        <v/>
      </c>
      <c r="O42" s="40" t="str">
        <f>IF($K42="","",IFERROR(VLOOKUP($K42,Grinders!$A$4:$N$998,5,FALSE),""))</f>
        <v/>
      </c>
      <c r="P42" s="40" t="str">
        <f>IF($K42="","",IF($C$4="",0,COUNTIFS(Assignments!$B$6:$B$1000,$K42,Assignments!$F$6:$F$1000,$C$4,Assignments!$E$6:$E$1000,"Active")))</f>
        <v/>
      </c>
      <c r="Q42" s="40" t="str">
        <f t="shared" si="3"/>
        <v/>
      </c>
      <c r="R42" s="40" t="str">
        <f t="shared" si="4"/>
        <v/>
      </c>
      <c r="S42" s="40" t="str">
        <f>IF($K42="","",IF($C$4="",0,COUNTIFS(Assignments!$B$6:$B$1000,$K42,Assignments!$F$6:$F$1000,$C$4,Assignments!$D$6:$D$1000,"&gt;="&amp;Config!$B$3-7,Assignments!$D$6:$D$1000,"&lt;="&amp;Config!$B$3)))</f>
        <v/>
      </c>
      <c r="T42" s="40" t="str">
        <f>IF($K42="","",IFERROR(VLOOKUP($K42,Grinders!$A$4:$N$998,8,FALSE),""))</f>
        <v/>
      </c>
      <c r="U42" s="40" t="str">
        <f>IFERROR(IF($K42="","",IF($M42="Elite",MAX(50,MIN(100,Config!$B$27*MAX(0,MIN(100,(1-IF($R42="",0,$R42))*100)) + Config!$B$28*MAX(0,MIN(100,(1-MIN(1,IF(Config!$B$30=0,1,$S42/Config!$B$30)))*100)) + Config!$B$29*MAX(0,MIN(100,MIN(1,IF($T42="",0,$T42)/Config!$B$23)*100)))),MIN(100,Config!$B$27*MAX(0,MIN(100,(1-IF($R42="",0,$R42))*100)) + Config!$B$28*MAX(0,MIN(100,(1-MIN(1,IF(Config!$B$30=0,1,$S42/Config!$B$30)))*100)) + Config!$B$29*MAX(0,MIN(100,MIN(1,IF($T42="",0,$T42)/Config!$B$23)*100))))),"")
</f>
        <v/>
      </c>
      <c r="V42" s="40" t="str">
        <f>IF(Bids!$AC42="","",Bids!$AC42)</f>
        <v/>
      </c>
      <c r="W42" s="40" t="str">
        <f>IF(Bids!$F41="","",Bids!$F41)</f>
        <v/>
      </c>
      <c r="X42" s="40" t="str">
        <f t="shared" si="5"/>
        <v/>
      </c>
      <c r="Y42" s="40" t="str">
        <f>IF($X42="","",IF(Config!$B$17=Config!$B$16,IF($X42&gt;=Config!$B$17,100,0),MAX(0,MIN(100,($X42-Config!$B$16)/(Config!$B$17-Config!$B$16)*100))))</f>
        <v/>
      </c>
      <c r="Z42" s="40">
        <f>IF($M42="Elite",Config!$B$21,0)</f>
        <v>0</v>
      </c>
      <c r="AA42" s="40" t="str">
        <f>IFERROR(IF(OR($W42="",$H42=""),"",IF($W42&gt;$H42,
  MAX(0, 60-(($W42-$H42)*24/Config!$B$19)*60),
  MIN(100, 60+(($H42-$W42)*24/Config!$B$20)*40)
)),"")
</f>
        <v/>
      </c>
      <c r="AB42" s="40" t="str">
        <f>IF($K42="","",IFERROR(VLOOKUP($K42,Grinders!$A$4:$N$998,10,FALSE)/5*100,""))</f>
        <v/>
      </c>
      <c r="AC42" s="40" t="str">
        <f>IF($K42="","",IFERROR(VLOOKUP($K42,Grinders!$A$4:$N$998,11,FALSE)*100,""))</f>
        <v/>
      </c>
      <c r="AD42" s="40" t="str">
        <f>IF($K42="","",IFERROR(VLOOKUP($K42,Grinders!$A$4:$N$998,12,FALSE)*100,""))</f>
        <v/>
      </c>
      <c r="AE42" s="40" t="str">
        <f>IF(OR(AO42=1,AP42=1),0,=IFERROR(IFS(
    OR($C42="", $K42=""), 0,
    $F42=0, 0,
    $D42&lt;&gt;"Open", 0,
    COUNTIFS(GrinderServices!$A$6:$A$1000, $K42, GrinderServices!$B$6:$B$1000, $E42, GrinderServices!$D$6:$D$1000, "Y")=0, 0,
    $X42&lt;Config!$B$16, 0,
    Config!$B$18=1, IF($O42&gt;=N42, 0, 1),
    TRUE, 1
), "")
)</f>
        <v>#ERROR!</v>
      </c>
      <c r="AF42" s="40" t="str">
        <f>IFERROR((IF(OR(AO42=1,AP42=1),"",=IFERROR((IFERROR(IF($AE42=0,"",((Config!$B$6*$Y42 + Config!$B$7*$U42 + Config!$B$8*$Z42 + Config!$B$9*$AA42 + Config!$B$10*$AB42 + Config!$B$11*$AC42 - Config!$B$12*$AD42)/Config!$B$13)+$AK42+$AL42),""))*(1-IFERROR(VLOOKUP(K42,Grinders!$A:$AB, 28, FALSE),0)),"")))*(1+AR42),"")</f>
        <v>#ERROR!</v>
      </c>
      <c r="AG42" s="40" t="str">
        <f t="shared" si="6"/>
        <v>#ERROR!</v>
      </c>
      <c r="AH42" s="40" t="str">
        <f t="shared" si="7"/>
        <v/>
      </c>
      <c r="AI42" s="40" t="str">
        <f t="shared" si="8"/>
        <v/>
      </c>
      <c r="AJ42" s="40" t="str">
        <f>IF($K42="","",COUNTIF(Assignments!$B$6:$B$1000,$K42))</f>
        <v/>
      </c>
      <c r="AK42" s="40" t="str">
        <f>IF($K42="","",IF(AND($AJ42=0,$O42&lt;$N42),Config!$B$43,0))</f>
        <v/>
      </c>
      <c r="AL42" s="40" t="str">
        <f>IF($K42="","",IF(AND($M42="Elite",$G42&gt;=Config!$B$41,$O42&lt;$N42),Config!$B$42,0))</f>
        <v/>
      </c>
      <c r="AM42" s="22"/>
      <c r="AN42" s="39">
        <f>IFERROR(VLOOKUP(K42,Grinders!$A:$Q,28,FALSE),0)</f>
        <v>0</v>
      </c>
      <c r="AO42" s="39">
        <f>IF(Config!$B$1003&lt;&gt;"Y",0,IF(IFERROR(VLOOKUP(K42,Grinders!$A:$P,27,FALSE),0)&gt;=3,IF(OR(G42&gt;=Config!$B$1001,ISNUMBER(SEARCH(E42,Config!$B$1002))),1,0),0))</f>
        <v>0</v>
      </c>
      <c r="AP42" s="39">
        <f t="array" ref="AP42">IFERROR(IF(INDEX(Bids!$AE:$AE,MATCH(B42,Bids!$A:$A,0))="Pending",1,0),0)</f>
        <v>0</v>
      </c>
      <c r="AQ42" s="39" t="str">
        <f t="array" ref="AQ42">IF(C42="","",IFERROR(XLOOKUP(C42,Assignments!$C:$C,Assignments!$AU:$AU,0),0))</f>
        <v/>
      </c>
      <c r="AR42" s="39">
        <f>IF(AND(Config!$B$1006="Y",AQ42=1),Config!$B$1007,0)</f>
        <v>0</v>
      </c>
    </row>
    <row r="43" ht="15.75" customHeight="1">
      <c r="A43" s="46" t="str">
        <f t="shared" si="1"/>
        <v/>
      </c>
      <c r="B43" s="40" t="str">
        <f>IF(Bids!$A42="","",Bids!$A42)</f>
        <v/>
      </c>
      <c r="C43" s="40" t="str">
        <f>IF(Bids!$B42="","",Bids!$B42)</f>
        <v/>
      </c>
      <c r="D43" s="40" t="str">
        <f>IF($C43="","",IFERROR(VLOOKUP($C43,Orders!$A$4:$J$998,9,FALSE),""))</f>
        <v/>
      </c>
      <c r="E43" s="40" t="str">
        <f>IF($C43="","",IFERROR(VLOOKUP($C43,Orders!$A$4:$J$998,3,FALSE),""))</f>
        <v/>
      </c>
      <c r="F43" s="40">
        <f t="shared" si="2"/>
        <v>1</v>
      </c>
      <c r="G43" s="40" t="str">
        <f>IF($C43="","",IFERROR(VLOOKUP($C43,Orders!$A$4:$J$998,4,FALSE),""))</f>
        <v/>
      </c>
      <c r="H43" s="40" t="str">
        <f>IF($C43="","",IFERROR(VLOOKUP($C43,Orders!$A$4:$J$998,5,FALSE),""))</f>
        <v/>
      </c>
      <c r="I43" s="40" t="str">
        <f>IF($C43="","",IFERROR(VLOOKUP($C43,Orders!$A$4:$J$998,6,FALSE),""))</f>
        <v/>
      </c>
      <c r="J43" s="40" t="str">
        <f>IF($C43="","",IFERROR(VLOOKUP($C43,Orders!$A$4:$J$998,7,FALSE),""))</f>
        <v/>
      </c>
      <c r="K43" s="40" t="str">
        <f>IF(Bids!$C42="","",Bids!$C42)</f>
        <v/>
      </c>
      <c r="L43" s="40" t="str">
        <f>IF($K43="","",IFERROR(VLOOKUP($K43,Grinders!$A$4:$N$998,2,FALSE),""))</f>
        <v/>
      </c>
      <c r="M43" s="40" t="str">
        <f>IF($K43="","",IFERROR(VLOOKUP($K43,Grinders!$A$4:$N$998,3,FALSE),""))</f>
        <v/>
      </c>
      <c r="N43" s="40" t="str">
        <f>IF($K43="","",IFERROR(VLOOKUP($K43,Grinders!$A$4:$N$998,4,FALSE),""))</f>
        <v/>
      </c>
      <c r="O43" s="40" t="str">
        <f>IF($K43="","",IFERROR(VLOOKUP($K43,Grinders!$A$4:$N$998,5,FALSE),""))</f>
        <v/>
      </c>
      <c r="P43" s="40" t="str">
        <f>IF($K43="","",IF($C$4="",0,COUNTIFS(Assignments!$B$6:$B$1000,$K43,Assignments!$F$6:$F$1000,$C$4,Assignments!$E$6:$E$1000,"Active")))</f>
        <v/>
      </c>
      <c r="Q43" s="40" t="str">
        <f t="shared" si="3"/>
        <v/>
      </c>
      <c r="R43" s="40" t="str">
        <f t="shared" si="4"/>
        <v/>
      </c>
      <c r="S43" s="40" t="str">
        <f>IF($K43="","",IF($C$4="",0,COUNTIFS(Assignments!$B$6:$B$1000,$K43,Assignments!$F$6:$F$1000,$C$4,Assignments!$D$6:$D$1000,"&gt;="&amp;Config!$B$3-7,Assignments!$D$6:$D$1000,"&lt;="&amp;Config!$B$3)))</f>
        <v/>
      </c>
      <c r="T43" s="40" t="str">
        <f>IF($K43="","",IFERROR(VLOOKUP($K43,Grinders!$A$4:$N$998,8,FALSE),""))</f>
        <v/>
      </c>
      <c r="U43" s="40" t="str">
        <f>IFERROR(IF($K43="","",IF($M43="Elite",MAX(50,MIN(100,Config!$B$27*MAX(0,MIN(100,(1-IF($R43="",0,$R43))*100)) + Config!$B$28*MAX(0,MIN(100,(1-MIN(1,IF(Config!$B$30=0,1,$S43/Config!$B$30)))*100)) + Config!$B$29*MAX(0,MIN(100,MIN(1,IF($T43="",0,$T43)/Config!$B$23)*100)))),MIN(100,Config!$B$27*MAX(0,MIN(100,(1-IF($R43="",0,$R43))*100)) + Config!$B$28*MAX(0,MIN(100,(1-MIN(1,IF(Config!$B$30=0,1,$S43/Config!$B$30)))*100)) + Config!$B$29*MAX(0,MIN(100,MIN(1,IF($T43="",0,$T43)/Config!$B$23)*100))))),"")
</f>
        <v/>
      </c>
      <c r="V43" s="40" t="str">
        <f>IF(Bids!$AC43="","",Bids!$AC43)</f>
        <v/>
      </c>
      <c r="W43" s="40" t="str">
        <f>IF(Bids!$F42="","",Bids!$F42)</f>
        <v/>
      </c>
      <c r="X43" s="40" t="str">
        <f t="shared" si="5"/>
        <v/>
      </c>
      <c r="Y43" s="40" t="str">
        <f>IF($X43="","",IF(Config!$B$17=Config!$B$16,IF($X43&gt;=Config!$B$17,100,0),MAX(0,MIN(100,($X43-Config!$B$16)/(Config!$B$17-Config!$B$16)*100))))</f>
        <v/>
      </c>
      <c r="Z43" s="40">
        <f>IF($M43="Elite",Config!$B$21,0)</f>
        <v>0</v>
      </c>
      <c r="AA43" s="40" t="str">
        <f>IFERROR(IF(OR($W43="",$H43=""),"",IF($W43&gt;$H43,
  MAX(0, 60-(($W43-$H43)*24/Config!$B$19)*60),
  MIN(100, 60+(($H43-$W43)*24/Config!$B$20)*40)
)),"")
</f>
        <v/>
      </c>
      <c r="AB43" s="40" t="str">
        <f>IF($K43="","",IFERROR(VLOOKUP($K43,Grinders!$A$4:$N$998,10,FALSE)/5*100,""))</f>
        <v/>
      </c>
      <c r="AC43" s="40" t="str">
        <f>IF($K43="","",IFERROR(VLOOKUP($K43,Grinders!$A$4:$N$998,11,FALSE)*100,""))</f>
        <v/>
      </c>
      <c r="AD43" s="40" t="str">
        <f>IF($K43="","",IFERROR(VLOOKUP($K43,Grinders!$A$4:$N$998,12,FALSE)*100,""))</f>
        <v/>
      </c>
      <c r="AE43" s="40" t="str">
        <f>IF(OR(AO43=1,AP43=1),0,=IFERROR(IFS(
    OR($C43="", $K43=""), 0,
    $F43=0, 0,
    $D43&lt;&gt;"Open", 0,
    COUNTIFS(GrinderServices!$A$6:$A$1000, $K43, GrinderServices!$B$6:$B$1000, $E43, GrinderServices!$D$6:$D$1000, "Y")=0, 0,
    $X43&lt;Config!$B$16, 0,
    Config!$B$18=1, IF($O43&gt;=N43, 0, 1),
    TRUE, 1
), "")
)</f>
        <v>#ERROR!</v>
      </c>
      <c r="AF43" s="40" t="str">
        <f>IFERROR((IF(OR(AO43=1,AP43=1),"",=IFERROR((IFERROR(IF($AE43=0,"",((Config!$B$6*$Y43 + Config!$B$7*$U43 + Config!$B$8*$Z43 + Config!$B$9*$AA43 + Config!$B$10*$AB43 + Config!$B$11*$AC43 - Config!$B$12*$AD43)/Config!$B$13)+$AK43+$AL43),""))*(1-IFERROR(VLOOKUP(K43,Grinders!$A:$AB, 28, FALSE),0)),"")))*(1+AR43),"")</f>
        <v>#ERROR!</v>
      </c>
      <c r="AG43" s="40" t="str">
        <f t="shared" si="6"/>
        <v>#ERROR!</v>
      </c>
      <c r="AH43" s="40" t="str">
        <f t="shared" si="7"/>
        <v/>
      </c>
      <c r="AI43" s="40" t="str">
        <f t="shared" si="8"/>
        <v/>
      </c>
      <c r="AJ43" s="40" t="str">
        <f>IF($K43="","",COUNTIF(Assignments!$B$6:$B$1000,$K43))</f>
        <v/>
      </c>
      <c r="AK43" s="40" t="str">
        <f>IF($K43="","",IF(AND($AJ43=0,$O43&lt;$N43),Config!$B$43,0))</f>
        <v/>
      </c>
      <c r="AL43" s="40" t="str">
        <f>IF($K43="","",IF(AND($M43="Elite",$G43&gt;=Config!$B$41,$O43&lt;$N43),Config!$B$42,0))</f>
        <v/>
      </c>
      <c r="AM43" s="22"/>
      <c r="AN43" s="39">
        <f>IFERROR(VLOOKUP(K43,Grinders!$A:$Q,28,FALSE),0)</f>
        <v>0</v>
      </c>
      <c r="AO43" s="39">
        <f>IF(Config!$B$1003&lt;&gt;"Y",0,IF(IFERROR(VLOOKUP(K43,Grinders!$A:$P,27,FALSE),0)&gt;=3,IF(OR(G43&gt;=Config!$B$1001,ISNUMBER(SEARCH(E43,Config!$B$1002))),1,0),0))</f>
        <v>0</v>
      </c>
      <c r="AP43" s="39">
        <f t="array" ref="AP43">IFERROR(IF(INDEX(Bids!$AE:$AE,MATCH(B43,Bids!$A:$A,0))="Pending",1,0),0)</f>
        <v>0</v>
      </c>
      <c r="AQ43" s="39" t="str">
        <f t="array" ref="AQ43">IF(C43="","",IFERROR(XLOOKUP(C43,Assignments!$C:$C,Assignments!$AU:$AU,0),0))</f>
        <v/>
      </c>
      <c r="AR43" s="39">
        <f>IF(AND(Config!$B$1006="Y",AQ43=1),Config!$B$1007,0)</f>
        <v>0</v>
      </c>
    </row>
    <row r="44" ht="15.75" customHeight="1">
      <c r="A44" s="46" t="str">
        <f t="shared" si="1"/>
        <v/>
      </c>
      <c r="B44" s="40" t="str">
        <f>IF(Bids!$A43="","",Bids!$A43)</f>
        <v/>
      </c>
      <c r="C44" s="40" t="str">
        <f>IF(Bids!$B43="","",Bids!$B43)</f>
        <v/>
      </c>
      <c r="D44" s="40" t="str">
        <f>IF($C44="","",IFERROR(VLOOKUP($C44,Orders!$A$4:$J$998,9,FALSE),""))</f>
        <v/>
      </c>
      <c r="E44" s="40" t="str">
        <f>IF($C44="","",IFERROR(VLOOKUP($C44,Orders!$A$4:$J$998,3,FALSE),""))</f>
        <v/>
      </c>
      <c r="F44" s="40">
        <f t="shared" si="2"/>
        <v>1</v>
      </c>
      <c r="G44" s="40" t="str">
        <f>IF($C44="","",IFERROR(VLOOKUP($C44,Orders!$A$4:$J$998,4,FALSE),""))</f>
        <v/>
      </c>
      <c r="H44" s="40" t="str">
        <f>IF($C44="","",IFERROR(VLOOKUP($C44,Orders!$A$4:$J$998,5,FALSE),""))</f>
        <v/>
      </c>
      <c r="I44" s="40" t="str">
        <f>IF($C44="","",IFERROR(VLOOKUP($C44,Orders!$A$4:$J$998,6,FALSE),""))</f>
        <v/>
      </c>
      <c r="J44" s="40" t="str">
        <f>IF($C44="","",IFERROR(VLOOKUP($C44,Orders!$A$4:$J$998,7,FALSE),""))</f>
        <v/>
      </c>
      <c r="K44" s="40" t="str">
        <f>IF(Bids!$C43="","",Bids!$C43)</f>
        <v/>
      </c>
      <c r="L44" s="40" t="str">
        <f>IF($K44="","",IFERROR(VLOOKUP($K44,Grinders!$A$4:$N$998,2,FALSE),""))</f>
        <v/>
      </c>
      <c r="M44" s="40" t="str">
        <f>IF($K44="","",IFERROR(VLOOKUP($K44,Grinders!$A$4:$N$998,3,FALSE),""))</f>
        <v/>
      </c>
      <c r="N44" s="40" t="str">
        <f>IF($K44="","",IFERROR(VLOOKUP($K44,Grinders!$A$4:$N$998,4,FALSE),""))</f>
        <v/>
      </c>
      <c r="O44" s="40" t="str">
        <f>IF($K44="","",IFERROR(VLOOKUP($K44,Grinders!$A$4:$N$998,5,FALSE),""))</f>
        <v/>
      </c>
      <c r="P44" s="40" t="str">
        <f>IF($K44="","",IF($C$4="",0,COUNTIFS(Assignments!$B$6:$B$1000,$K44,Assignments!$F$6:$F$1000,$C$4,Assignments!$E$6:$E$1000,"Active")))</f>
        <v/>
      </c>
      <c r="Q44" s="40" t="str">
        <f t="shared" si="3"/>
        <v/>
      </c>
      <c r="R44" s="40" t="str">
        <f t="shared" si="4"/>
        <v/>
      </c>
      <c r="S44" s="40" t="str">
        <f>IF($K44="","",IF($C$4="",0,COUNTIFS(Assignments!$B$6:$B$1000,$K44,Assignments!$F$6:$F$1000,$C$4,Assignments!$D$6:$D$1000,"&gt;="&amp;Config!$B$3-7,Assignments!$D$6:$D$1000,"&lt;="&amp;Config!$B$3)))</f>
        <v/>
      </c>
      <c r="T44" s="40" t="str">
        <f>IF($K44="","",IFERROR(VLOOKUP($K44,Grinders!$A$4:$N$998,8,FALSE),""))</f>
        <v/>
      </c>
      <c r="U44" s="40" t="str">
        <f>IFERROR(IF($K44="","",IF($M44="Elite",MAX(50,MIN(100,Config!$B$27*MAX(0,MIN(100,(1-IF($R44="",0,$R44))*100)) + Config!$B$28*MAX(0,MIN(100,(1-MIN(1,IF(Config!$B$30=0,1,$S44/Config!$B$30)))*100)) + Config!$B$29*MAX(0,MIN(100,MIN(1,IF($T44="",0,$T44)/Config!$B$23)*100)))),MIN(100,Config!$B$27*MAX(0,MIN(100,(1-IF($R44="",0,$R44))*100)) + Config!$B$28*MAX(0,MIN(100,(1-MIN(1,IF(Config!$B$30=0,1,$S44/Config!$B$30)))*100)) + Config!$B$29*MAX(0,MIN(100,MIN(1,IF($T44="",0,$T44)/Config!$B$23)*100))))),"")
</f>
        <v/>
      </c>
      <c r="V44" s="40" t="str">
        <f>IF(Bids!$AC44="","",Bids!$AC44)</f>
        <v/>
      </c>
      <c r="W44" s="40" t="str">
        <f>IF(Bids!$F43="","",Bids!$F43)</f>
        <v/>
      </c>
      <c r="X44" s="40" t="str">
        <f t="shared" si="5"/>
        <v/>
      </c>
      <c r="Y44" s="40" t="str">
        <f>IF($X44="","",IF(Config!$B$17=Config!$B$16,IF($X44&gt;=Config!$B$17,100,0),MAX(0,MIN(100,($X44-Config!$B$16)/(Config!$B$17-Config!$B$16)*100))))</f>
        <v/>
      </c>
      <c r="Z44" s="40">
        <f>IF($M44="Elite",Config!$B$21,0)</f>
        <v>0</v>
      </c>
      <c r="AA44" s="40" t="str">
        <f>IFERROR(IF(OR($W44="",$H44=""),"",IF($W44&gt;$H44,
  MAX(0, 60-(($W44-$H44)*24/Config!$B$19)*60),
  MIN(100, 60+(($H44-$W44)*24/Config!$B$20)*40)
)),"")
</f>
        <v/>
      </c>
      <c r="AB44" s="40" t="str">
        <f>IF($K44="","",IFERROR(VLOOKUP($K44,Grinders!$A$4:$N$998,10,FALSE)/5*100,""))</f>
        <v/>
      </c>
      <c r="AC44" s="40" t="str">
        <f>IF($K44="","",IFERROR(VLOOKUP($K44,Grinders!$A$4:$N$998,11,FALSE)*100,""))</f>
        <v/>
      </c>
      <c r="AD44" s="40" t="str">
        <f>IF($K44="","",IFERROR(VLOOKUP($K44,Grinders!$A$4:$N$998,12,FALSE)*100,""))</f>
        <v/>
      </c>
      <c r="AE44" s="40" t="str">
        <f>IF(OR(AO44=1,AP44=1),0,=IFERROR(IFS(
    OR($C44="", $K44=""), 0,
    $F44=0, 0,
    $D44&lt;&gt;"Open", 0,
    COUNTIFS(GrinderServices!$A$6:$A$1000, $K44, GrinderServices!$B$6:$B$1000, $E44, GrinderServices!$D$6:$D$1000, "Y")=0, 0,
    $X44&lt;Config!$B$16, 0,
    Config!$B$18=1, IF($O44&gt;=N44, 0, 1),
    TRUE, 1
), "")
)</f>
        <v>#ERROR!</v>
      </c>
      <c r="AF44" s="40" t="str">
        <f>IFERROR((IF(OR(AO44=1,AP44=1),"",=IFERROR((IFERROR(IF($AE44=0,"",((Config!$B$6*$Y44 + Config!$B$7*$U44 + Config!$B$8*$Z44 + Config!$B$9*$AA44 + Config!$B$10*$AB44 + Config!$B$11*$AC44 - Config!$B$12*$AD44)/Config!$B$13)+$AK44+$AL44),""))*(1-IFERROR(VLOOKUP(K44,Grinders!$A:$AB, 28, FALSE),0)),"")))*(1+AR44),"")</f>
        <v>#ERROR!</v>
      </c>
      <c r="AG44" s="40" t="str">
        <f t="shared" si="6"/>
        <v>#ERROR!</v>
      </c>
      <c r="AH44" s="40" t="str">
        <f t="shared" si="7"/>
        <v/>
      </c>
      <c r="AI44" s="40" t="str">
        <f t="shared" si="8"/>
        <v/>
      </c>
      <c r="AJ44" s="40" t="str">
        <f>IF($K44="","",COUNTIF(Assignments!$B$6:$B$1000,$K44))</f>
        <v/>
      </c>
      <c r="AK44" s="40" t="str">
        <f>IF($K44="","",IF(AND($AJ44=0,$O44&lt;$N44),Config!$B$43,0))</f>
        <v/>
      </c>
      <c r="AL44" s="40" t="str">
        <f>IF($K44="","",IF(AND($M44="Elite",$G44&gt;=Config!$B$41,$O44&lt;$N44),Config!$B$42,0))</f>
        <v/>
      </c>
      <c r="AM44" s="22"/>
      <c r="AN44" s="39">
        <f>IFERROR(VLOOKUP(K44,Grinders!$A:$Q,28,FALSE),0)</f>
        <v>0</v>
      </c>
      <c r="AO44" s="39">
        <f>IF(Config!$B$1003&lt;&gt;"Y",0,IF(IFERROR(VLOOKUP(K44,Grinders!$A:$P,27,FALSE),0)&gt;=3,IF(OR(G44&gt;=Config!$B$1001,ISNUMBER(SEARCH(E44,Config!$B$1002))),1,0),0))</f>
        <v>0</v>
      </c>
      <c r="AP44" s="39">
        <f t="array" ref="AP44">IFERROR(IF(INDEX(Bids!$AE:$AE,MATCH(B44,Bids!$A:$A,0))="Pending",1,0),0)</f>
        <v>0</v>
      </c>
      <c r="AQ44" s="39" t="str">
        <f t="array" ref="AQ44">IF(C44="","",IFERROR(XLOOKUP(C44,Assignments!$C:$C,Assignments!$AU:$AU,0),0))</f>
        <v/>
      </c>
      <c r="AR44" s="39">
        <f>IF(AND(Config!$B$1006="Y",AQ44=1),Config!$B$1007,0)</f>
        <v>0</v>
      </c>
    </row>
    <row r="45" ht="15.75" customHeight="1">
      <c r="A45" s="46" t="str">
        <f t="shared" si="1"/>
        <v/>
      </c>
      <c r="B45" s="40" t="str">
        <f>IF(Bids!$A44="","",Bids!$A44)</f>
        <v/>
      </c>
      <c r="C45" s="40" t="str">
        <f>IF(Bids!$B44="","",Bids!$B44)</f>
        <v/>
      </c>
      <c r="D45" s="40" t="str">
        <f>IF($C45="","",IFERROR(VLOOKUP($C45,Orders!$A$4:$J$998,9,FALSE),""))</f>
        <v/>
      </c>
      <c r="E45" s="40" t="str">
        <f>IF($C45="","",IFERROR(VLOOKUP($C45,Orders!$A$4:$J$998,3,FALSE),""))</f>
        <v/>
      </c>
      <c r="F45" s="40">
        <f t="shared" si="2"/>
        <v>1</v>
      </c>
      <c r="G45" s="40" t="str">
        <f>IF($C45="","",IFERROR(VLOOKUP($C45,Orders!$A$4:$J$998,4,FALSE),""))</f>
        <v/>
      </c>
      <c r="H45" s="40" t="str">
        <f>IF($C45="","",IFERROR(VLOOKUP($C45,Orders!$A$4:$J$998,5,FALSE),""))</f>
        <v/>
      </c>
      <c r="I45" s="40" t="str">
        <f>IF($C45="","",IFERROR(VLOOKUP($C45,Orders!$A$4:$J$998,6,FALSE),""))</f>
        <v/>
      </c>
      <c r="J45" s="40" t="str">
        <f>IF($C45="","",IFERROR(VLOOKUP($C45,Orders!$A$4:$J$998,7,FALSE),""))</f>
        <v/>
      </c>
      <c r="K45" s="40" t="str">
        <f>IF(Bids!$C44="","",Bids!$C44)</f>
        <v/>
      </c>
      <c r="L45" s="40" t="str">
        <f>IF($K45="","",IFERROR(VLOOKUP($K45,Grinders!$A$4:$N$998,2,FALSE),""))</f>
        <v/>
      </c>
      <c r="M45" s="40" t="str">
        <f>IF($K45="","",IFERROR(VLOOKUP($K45,Grinders!$A$4:$N$998,3,FALSE),""))</f>
        <v/>
      </c>
      <c r="N45" s="40" t="str">
        <f>IF($K45="","",IFERROR(VLOOKUP($K45,Grinders!$A$4:$N$998,4,FALSE),""))</f>
        <v/>
      </c>
      <c r="O45" s="40" t="str">
        <f>IF($K45="","",IFERROR(VLOOKUP($K45,Grinders!$A$4:$N$998,5,FALSE),""))</f>
        <v/>
      </c>
      <c r="P45" s="40" t="str">
        <f>IF($K45="","",IF($C$4="",0,COUNTIFS(Assignments!$B$6:$B$1000,$K45,Assignments!$F$6:$F$1000,$C$4,Assignments!$E$6:$E$1000,"Active")))</f>
        <v/>
      </c>
      <c r="Q45" s="40" t="str">
        <f t="shared" si="3"/>
        <v/>
      </c>
      <c r="R45" s="40" t="str">
        <f t="shared" si="4"/>
        <v/>
      </c>
      <c r="S45" s="40" t="str">
        <f>IF($K45="","",IF($C$4="",0,COUNTIFS(Assignments!$B$6:$B$1000,$K45,Assignments!$F$6:$F$1000,$C$4,Assignments!$D$6:$D$1000,"&gt;="&amp;Config!$B$3-7,Assignments!$D$6:$D$1000,"&lt;="&amp;Config!$B$3)))</f>
        <v/>
      </c>
      <c r="T45" s="40" t="str">
        <f>IF($K45="","",IFERROR(VLOOKUP($K45,Grinders!$A$4:$N$998,8,FALSE),""))</f>
        <v/>
      </c>
      <c r="U45" s="40" t="str">
        <f>IFERROR(IF($K45="","",IF($M45="Elite",MAX(50,MIN(100,Config!$B$27*MAX(0,MIN(100,(1-IF($R45="",0,$R45))*100)) + Config!$B$28*MAX(0,MIN(100,(1-MIN(1,IF(Config!$B$30=0,1,$S45/Config!$B$30)))*100)) + Config!$B$29*MAX(0,MIN(100,MIN(1,IF($T45="",0,$T45)/Config!$B$23)*100)))),MIN(100,Config!$B$27*MAX(0,MIN(100,(1-IF($R45="",0,$R45))*100)) + Config!$B$28*MAX(0,MIN(100,(1-MIN(1,IF(Config!$B$30=0,1,$S45/Config!$B$30)))*100)) + Config!$B$29*MAX(0,MIN(100,MIN(1,IF($T45="",0,$T45)/Config!$B$23)*100))))),"")
</f>
        <v/>
      </c>
      <c r="V45" s="40" t="str">
        <f>IF(Bids!$AC45="","",Bids!$AC45)</f>
        <v/>
      </c>
      <c r="W45" s="40" t="str">
        <f>IF(Bids!$F44="","",Bids!$F44)</f>
        <v/>
      </c>
      <c r="X45" s="40" t="str">
        <f t="shared" si="5"/>
        <v/>
      </c>
      <c r="Y45" s="40" t="str">
        <f>IF($X45="","",IF(Config!$B$17=Config!$B$16,IF($X45&gt;=Config!$B$17,100,0),MAX(0,MIN(100,($X45-Config!$B$16)/(Config!$B$17-Config!$B$16)*100))))</f>
        <v/>
      </c>
      <c r="Z45" s="40">
        <f>IF($M45="Elite",Config!$B$21,0)</f>
        <v>0</v>
      </c>
      <c r="AA45" s="40" t="str">
        <f>IFERROR(IF(OR($W45="",$H45=""),"",IF($W45&gt;$H45,
  MAX(0, 60-(($W45-$H45)*24/Config!$B$19)*60),
  MIN(100, 60+(($H45-$W45)*24/Config!$B$20)*40)
)),"")
</f>
        <v/>
      </c>
      <c r="AB45" s="40" t="str">
        <f>IF($K45="","",IFERROR(VLOOKUP($K45,Grinders!$A$4:$N$998,10,FALSE)/5*100,""))</f>
        <v/>
      </c>
      <c r="AC45" s="40" t="str">
        <f>IF($K45="","",IFERROR(VLOOKUP($K45,Grinders!$A$4:$N$998,11,FALSE)*100,""))</f>
        <v/>
      </c>
      <c r="AD45" s="40" t="str">
        <f>IF($K45="","",IFERROR(VLOOKUP($K45,Grinders!$A$4:$N$998,12,FALSE)*100,""))</f>
        <v/>
      </c>
      <c r="AE45" s="40" t="str">
        <f>IF(OR(AO45=1,AP45=1),0,=IFERROR(IFS(
    OR($C45="", $K45=""), 0,
    $F45=0, 0,
    $D45&lt;&gt;"Open", 0,
    COUNTIFS(GrinderServices!$A$6:$A$1000, $K45, GrinderServices!$B$6:$B$1000, $E45, GrinderServices!$D$6:$D$1000, "Y")=0, 0,
    $X45&lt;Config!$B$16, 0,
    Config!$B$18=1, IF($O45&gt;=N45, 0, 1),
    TRUE, 1
), "")
)</f>
        <v>#ERROR!</v>
      </c>
      <c r="AF45" s="40" t="str">
        <f>IFERROR((IF(OR(AO45=1,AP45=1),"",=IFERROR((IFERROR(IF($AE45=0,"",((Config!$B$6*$Y45 + Config!$B$7*$U45 + Config!$B$8*$Z45 + Config!$B$9*$AA45 + Config!$B$10*$AB45 + Config!$B$11*$AC45 - Config!$B$12*$AD45)/Config!$B$13)+$AK45+$AL45),""))*(1-IFERROR(VLOOKUP(K45,Grinders!$A:$AB, 28, FALSE),0)),"")))*(1+AR45),"")</f>
        <v>#ERROR!</v>
      </c>
      <c r="AG45" s="40" t="str">
        <f t="shared" si="6"/>
        <v>#ERROR!</v>
      </c>
      <c r="AH45" s="40" t="str">
        <f t="shared" si="7"/>
        <v/>
      </c>
      <c r="AI45" s="40" t="str">
        <f t="shared" si="8"/>
        <v/>
      </c>
      <c r="AJ45" s="40" t="str">
        <f>IF($K45="","",COUNTIF(Assignments!$B$6:$B$1000,$K45))</f>
        <v/>
      </c>
      <c r="AK45" s="40" t="str">
        <f>IF($K45="","",IF(AND($AJ45=0,$O45&lt;$N45),Config!$B$43,0))</f>
        <v/>
      </c>
      <c r="AL45" s="40" t="str">
        <f>IF($K45="","",IF(AND($M45="Elite",$G45&gt;=Config!$B$41,$O45&lt;$N45),Config!$B$42,0))</f>
        <v/>
      </c>
      <c r="AM45" s="22"/>
      <c r="AN45" s="39">
        <f>IFERROR(VLOOKUP(K45,Grinders!$A:$Q,28,FALSE),0)</f>
        <v>0</v>
      </c>
      <c r="AO45" s="39">
        <f>IF(Config!$B$1003&lt;&gt;"Y",0,IF(IFERROR(VLOOKUP(K45,Grinders!$A:$P,27,FALSE),0)&gt;=3,IF(OR(G45&gt;=Config!$B$1001,ISNUMBER(SEARCH(E45,Config!$B$1002))),1,0),0))</f>
        <v>0</v>
      </c>
      <c r="AP45" s="39">
        <f t="array" ref="AP45">IFERROR(IF(INDEX(Bids!$AE:$AE,MATCH(B45,Bids!$A:$A,0))="Pending",1,0),0)</f>
        <v>0</v>
      </c>
      <c r="AQ45" s="39" t="str">
        <f t="array" ref="AQ45">IF(C45="","",IFERROR(XLOOKUP(C45,Assignments!$C:$C,Assignments!$AU:$AU,0),0))</f>
        <v/>
      </c>
      <c r="AR45" s="39">
        <f>IF(AND(Config!$B$1006="Y",AQ45=1),Config!$B$1007,0)</f>
        <v>0</v>
      </c>
    </row>
    <row r="46" ht="15.75" customHeight="1">
      <c r="A46" s="46" t="str">
        <f t="shared" si="1"/>
        <v/>
      </c>
      <c r="B46" s="40" t="str">
        <f>IF(Bids!$A45="","",Bids!$A45)</f>
        <v/>
      </c>
      <c r="C46" s="40" t="str">
        <f>IF(Bids!$B45="","",Bids!$B45)</f>
        <v/>
      </c>
      <c r="D46" s="40" t="str">
        <f>IF($C46="","",IFERROR(VLOOKUP($C46,Orders!$A$4:$J$998,9,FALSE),""))</f>
        <v/>
      </c>
      <c r="E46" s="40" t="str">
        <f>IF($C46="","",IFERROR(VLOOKUP($C46,Orders!$A$4:$J$998,3,FALSE),""))</f>
        <v/>
      </c>
      <c r="F46" s="40">
        <f t="shared" si="2"/>
        <v>1</v>
      </c>
      <c r="G46" s="40" t="str">
        <f>IF($C46="","",IFERROR(VLOOKUP($C46,Orders!$A$4:$J$998,4,FALSE),""))</f>
        <v/>
      </c>
      <c r="H46" s="40" t="str">
        <f>IF($C46="","",IFERROR(VLOOKUP($C46,Orders!$A$4:$J$998,5,FALSE),""))</f>
        <v/>
      </c>
      <c r="I46" s="40" t="str">
        <f>IF($C46="","",IFERROR(VLOOKUP($C46,Orders!$A$4:$J$998,6,FALSE),""))</f>
        <v/>
      </c>
      <c r="J46" s="40" t="str">
        <f>IF($C46="","",IFERROR(VLOOKUP($C46,Orders!$A$4:$J$998,7,FALSE),""))</f>
        <v/>
      </c>
      <c r="K46" s="40" t="str">
        <f>IF(Bids!$C45="","",Bids!$C45)</f>
        <v/>
      </c>
      <c r="L46" s="40" t="str">
        <f>IF($K46="","",IFERROR(VLOOKUP($K46,Grinders!$A$4:$N$998,2,FALSE),""))</f>
        <v/>
      </c>
      <c r="M46" s="40" t="str">
        <f>IF($K46="","",IFERROR(VLOOKUP($K46,Grinders!$A$4:$N$998,3,FALSE),""))</f>
        <v/>
      </c>
      <c r="N46" s="40" t="str">
        <f>IF($K46="","",IFERROR(VLOOKUP($K46,Grinders!$A$4:$N$998,4,FALSE),""))</f>
        <v/>
      </c>
      <c r="O46" s="40" t="str">
        <f>IF($K46="","",IFERROR(VLOOKUP($K46,Grinders!$A$4:$N$998,5,FALSE),""))</f>
        <v/>
      </c>
      <c r="P46" s="40" t="str">
        <f>IF($K46="","",IF($C$4="",0,COUNTIFS(Assignments!$B$6:$B$1000,$K46,Assignments!$F$6:$F$1000,$C$4,Assignments!$E$6:$E$1000,"Active")))</f>
        <v/>
      </c>
      <c r="Q46" s="40" t="str">
        <f t="shared" si="3"/>
        <v/>
      </c>
      <c r="R46" s="40" t="str">
        <f t="shared" si="4"/>
        <v/>
      </c>
      <c r="S46" s="40" t="str">
        <f>IF($K46="","",IF($C$4="",0,COUNTIFS(Assignments!$B$6:$B$1000,$K46,Assignments!$F$6:$F$1000,$C$4,Assignments!$D$6:$D$1000,"&gt;="&amp;Config!$B$3-7,Assignments!$D$6:$D$1000,"&lt;="&amp;Config!$B$3)))</f>
        <v/>
      </c>
      <c r="T46" s="40" t="str">
        <f>IF($K46="","",IFERROR(VLOOKUP($K46,Grinders!$A$4:$N$998,8,FALSE),""))</f>
        <v/>
      </c>
      <c r="U46" s="40" t="str">
        <f>IFERROR(IF($K46="","",IF($M46="Elite",MAX(50,MIN(100,Config!$B$27*MAX(0,MIN(100,(1-IF($R46="",0,$R46))*100)) + Config!$B$28*MAX(0,MIN(100,(1-MIN(1,IF(Config!$B$30=0,1,$S46/Config!$B$30)))*100)) + Config!$B$29*MAX(0,MIN(100,MIN(1,IF($T46="",0,$T46)/Config!$B$23)*100)))),MIN(100,Config!$B$27*MAX(0,MIN(100,(1-IF($R46="",0,$R46))*100)) + Config!$B$28*MAX(0,MIN(100,(1-MIN(1,IF(Config!$B$30=0,1,$S46/Config!$B$30)))*100)) + Config!$B$29*MAX(0,MIN(100,MIN(1,IF($T46="",0,$T46)/Config!$B$23)*100))))),"")
</f>
        <v/>
      </c>
      <c r="V46" s="40" t="str">
        <f>IF(Bids!$AC46="","",Bids!$AC46)</f>
        <v/>
      </c>
      <c r="W46" s="40" t="str">
        <f>IF(Bids!$F45="","",Bids!$F45)</f>
        <v/>
      </c>
      <c r="X46" s="40" t="str">
        <f t="shared" si="5"/>
        <v/>
      </c>
      <c r="Y46" s="40" t="str">
        <f>IF($X46="","",IF(Config!$B$17=Config!$B$16,IF($X46&gt;=Config!$B$17,100,0),MAX(0,MIN(100,($X46-Config!$B$16)/(Config!$B$17-Config!$B$16)*100))))</f>
        <v/>
      </c>
      <c r="Z46" s="40">
        <f>IF($M46="Elite",Config!$B$21,0)</f>
        <v>0</v>
      </c>
      <c r="AA46" s="40" t="str">
        <f>IFERROR(IF(OR($W46="",$H46=""),"",IF($W46&gt;$H46,
  MAX(0, 60-(($W46-$H46)*24/Config!$B$19)*60),
  MIN(100, 60+(($H46-$W46)*24/Config!$B$20)*40)
)),"")
</f>
        <v/>
      </c>
      <c r="AB46" s="40" t="str">
        <f>IF($K46="","",IFERROR(VLOOKUP($K46,Grinders!$A$4:$N$998,10,FALSE)/5*100,""))</f>
        <v/>
      </c>
      <c r="AC46" s="40" t="str">
        <f>IF($K46="","",IFERROR(VLOOKUP($K46,Grinders!$A$4:$N$998,11,FALSE)*100,""))</f>
        <v/>
      </c>
      <c r="AD46" s="40" t="str">
        <f>IF($K46="","",IFERROR(VLOOKUP($K46,Grinders!$A$4:$N$998,12,FALSE)*100,""))</f>
        <v/>
      </c>
      <c r="AE46" s="40" t="str">
        <f>IF(OR(AO46=1,AP46=1),0,=IFERROR(IFS(
    OR($C46="", $K46=""), 0,
    $F46=0, 0,
    $D46&lt;&gt;"Open", 0,
    COUNTIFS(GrinderServices!$A$6:$A$1000, $K46, GrinderServices!$B$6:$B$1000, $E46, GrinderServices!$D$6:$D$1000, "Y")=0, 0,
    $X46&lt;Config!$B$16, 0,
    Config!$B$18=1, IF($O46&gt;=N46, 0, 1),
    TRUE, 1
), "")
)</f>
        <v>#ERROR!</v>
      </c>
      <c r="AF46" s="40" t="str">
        <f>IFERROR((IF(OR(AO46=1,AP46=1),"",=IFERROR((IFERROR(IF($AE46=0,"",((Config!$B$6*$Y46 + Config!$B$7*$U46 + Config!$B$8*$Z46 + Config!$B$9*$AA46 + Config!$B$10*$AB46 + Config!$B$11*$AC46 - Config!$B$12*$AD46)/Config!$B$13)+$AK46+$AL46),""))*(1-IFERROR(VLOOKUP(K46,Grinders!$A:$AB, 28, FALSE),0)),"")))*(1+AR46),"")</f>
        <v>#ERROR!</v>
      </c>
      <c r="AG46" s="40" t="str">
        <f t="shared" si="6"/>
        <v>#ERROR!</v>
      </c>
      <c r="AH46" s="40" t="str">
        <f t="shared" si="7"/>
        <v/>
      </c>
      <c r="AI46" s="40" t="str">
        <f t="shared" si="8"/>
        <v/>
      </c>
      <c r="AJ46" s="40" t="str">
        <f>IF($K46="","",COUNTIF(Assignments!$B$6:$B$1000,$K46))</f>
        <v/>
      </c>
      <c r="AK46" s="40" t="str">
        <f>IF($K46="","",IF(AND($AJ46=0,$O46&lt;$N46),Config!$B$43,0))</f>
        <v/>
      </c>
      <c r="AL46" s="40" t="str">
        <f>IF($K46="","",IF(AND($M46="Elite",$G46&gt;=Config!$B$41,$O46&lt;$N46),Config!$B$42,0))</f>
        <v/>
      </c>
      <c r="AM46" s="22"/>
      <c r="AN46" s="39">
        <f>IFERROR(VLOOKUP(K46,Grinders!$A:$Q,28,FALSE),0)</f>
        <v>0</v>
      </c>
      <c r="AO46" s="39">
        <f>IF(Config!$B$1003&lt;&gt;"Y",0,IF(IFERROR(VLOOKUP(K46,Grinders!$A:$P,27,FALSE),0)&gt;=3,IF(OR(G46&gt;=Config!$B$1001,ISNUMBER(SEARCH(E46,Config!$B$1002))),1,0),0))</f>
        <v>0</v>
      </c>
      <c r="AP46" s="39">
        <f t="array" ref="AP46">IFERROR(IF(INDEX(Bids!$AE:$AE,MATCH(B46,Bids!$A:$A,0))="Pending",1,0),0)</f>
        <v>0</v>
      </c>
      <c r="AQ46" s="39" t="str">
        <f t="array" ref="AQ46">IF(C46="","",IFERROR(XLOOKUP(C46,Assignments!$C:$C,Assignments!$AU:$AU,0),0))</f>
        <v/>
      </c>
      <c r="AR46" s="39">
        <f>IF(AND(Config!$B$1006="Y",AQ46=1),Config!$B$1007,0)</f>
        <v>0</v>
      </c>
    </row>
    <row r="47" ht="15.75" customHeight="1">
      <c r="A47" s="46" t="str">
        <f t="shared" si="1"/>
        <v/>
      </c>
      <c r="B47" s="40" t="str">
        <f>IF(Bids!$A46="","",Bids!$A46)</f>
        <v/>
      </c>
      <c r="C47" s="40" t="str">
        <f>IF(Bids!$B46="","",Bids!$B46)</f>
        <v/>
      </c>
      <c r="D47" s="40" t="str">
        <f>IF($C47="","",IFERROR(VLOOKUP($C47,Orders!$A$4:$J$998,9,FALSE),""))</f>
        <v/>
      </c>
      <c r="E47" s="40" t="str">
        <f>IF($C47="","",IFERROR(VLOOKUP($C47,Orders!$A$4:$J$998,3,FALSE),""))</f>
        <v/>
      </c>
      <c r="F47" s="40">
        <f t="shared" si="2"/>
        <v>1</v>
      </c>
      <c r="G47" s="40" t="str">
        <f>IF($C47="","",IFERROR(VLOOKUP($C47,Orders!$A$4:$J$998,4,FALSE),""))</f>
        <v/>
      </c>
      <c r="H47" s="40" t="str">
        <f>IF($C47="","",IFERROR(VLOOKUP($C47,Orders!$A$4:$J$998,5,FALSE),""))</f>
        <v/>
      </c>
      <c r="I47" s="40" t="str">
        <f>IF($C47="","",IFERROR(VLOOKUP($C47,Orders!$A$4:$J$998,6,FALSE),""))</f>
        <v/>
      </c>
      <c r="J47" s="40" t="str">
        <f>IF($C47="","",IFERROR(VLOOKUP($C47,Orders!$A$4:$J$998,7,FALSE),""))</f>
        <v/>
      </c>
      <c r="K47" s="40" t="str">
        <f>IF(Bids!$C46="","",Bids!$C46)</f>
        <v/>
      </c>
      <c r="L47" s="40" t="str">
        <f>IF($K47="","",IFERROR(VLOOKUP($K47,Grinders!$A$4:$N$998,2,FALSE),""))</f>
        <v/>
      </c>
      <c r="M47" s="40" t="str">
        <f>IF($K47="","",IFERROR(VLOOKUP($K47,Grinders!$A$4:$N$998,3,FALSE),""))</f>
        <v/>
      </c>
      <c r="N47" s="40" t="str">
        <f>IF($K47="","",IFERROR(VLOOKUP($K47,Grinders!$A$4:$N$998,4,FALSE),""))</f>
        <v/>
      </c>
      <c r="O47" s="40" t="str">
        <f>IF($K47="","",IFERROR(VLOOKUP($K47,Grinders!$A$4:$N$998,5,FALSE),""))</f>
        <v/>
      </c>
      <c r="P47" s="40" t="str">
        <f>IF($K47="","",IF($C$4="",0,COUNTIFS(Assignments!$B$6:$B$1000,$K47,Assignments!$F$6:$F$1000,$C$4,Assignments!$E$6:$E$1000,"Active")))</f>
        <v/>
      </c>
      <c r="Q47" s="40" t="str">
        <f t="shared" si="3"/>
        <v/>
      </c>
      <c r="R47" s="40" t="str">
        <f t="shared" si="4"/>
        <v/>
      </c>
      <c r="S47" s="40" t="str">
        <f>IF($K47="","",IF($C$4="",0,COUNTIFS(Assignments!$B$6:$B$1000,$K47,Assignments!$F$6:$F$1000,$C$4,Assignments!$D$6:$D$1000,"&gt;="&amp;Config!$B$3-7,Assignments!$D$6:$D$1000,"&lt;="&amp;Config!$B$3)))</f>
        <v/>
      </c>
      <c r="T47" s="40" t="str">
        <f>IF($K47="","",IFERROR(VLOOKUP($K47,Grinders!$A$4:$N$998,8,FALSE),""))</f>
        <v/>
      </c>
      <c r="U47" s="40" t="str">
        <f>IFERROR(IF($K47="","",IF($M47="Elite",MAX(50,MIN(100,Config!$B$27*MAX(0,MIN(100,(1-IF($R47="",0,$R47))*100)) + Config!$B$28*MAX(0,MIN(100,(1-MIN(1,IF(Config!$B$30=0,1,$S47/Config!$B$30)))*100)) + Config!$B$29*MAX(0,MIN(100,MIN(1,IF($T47="",0,$T47)/Config!$B$23)*100)))),MIN(100,Config!$B$27*MAX(0,MIN(100,(1-IF($R47="",0,$R47))*100)) + Config!$B$28*MAX(0,MIN(100,(1-MIN(1,IF(Config!$B$30=0,1,$S47/Config!$B$30)))*100)) + Config!$B$29*MAX(0,MIN(100,MIN(1,IF($T47="",0,$T47)/Config!$B$23)*100))))),"")
</f>
        <v/>
      </c>
      <c r="V47" s="40" t="str">
        <f>IF(Bids!$AC47="","",Bids!$AC47)</f>
        <v/>
      </c>
      <c r="W47" s="40" t="str">
        <f>IF(Bids!$F46="","",Bids!$F46)</f>
        <v/>
      </c>
      <c r="X47" s="40" t="str">
        <f t="shared" si="5"/>
        <v/>
      </c>
      <c r="Y47" s="40" t="str">
        <f>IF($X47="","",IF(Config!$B$17=Config!$B$16,IF($X47&gt;=Config!$B$17,100,0),MAX(0,MIN(100,($X47-Config!$B$16)/(Config!$B$17-Config!$B$16)*100))))</f>
        <v/>
      </c>
      <c r="Z47" s="40">
        <f>IF($M47="Elite",Config!$B$21,0)</f>
        <v>0</v>
      </c>
      <c r="AA47" s="40" t="str">
        <f>IFERROR(IF(OR($W47="",$H47=""),"",IF($W47&gt;$H47,
  MAX(0, 60-(($W47-$H47)*24/Config!$B$19)*60),
  MIN(100, 60+(($H47-$W47)*24/Config!$B$20)*40)
)),"")
</f>
        <v/>
      </c>
      <c r="AB47" s="40" t="str">
        <f>IF($K47="","",IFERROR(VLOOKUP($K47,Grinders!$A$4:$N$998,10,FALSE)/5*100,""))</f>
        <v/>
      </c>
      <c r="AC47" s="40" t="str">
        <f>IF($K47="","",IFERROR(VLOOKUP($K47,Grinders!$A$4:$N$998,11,FALSE)*100,""))</f>
        <v/>
      </c>
      <c r="AD47" s="40" t="str">
        <f>IF($K47="","",IFERROR(VLOOKUP($K47,Grinders!$A$4:$N$998,12,FALSE)*100,""))</f>
        <v/>
      </c>
      <c r="AE47" s="40" t="str">
        <f>IF(OR(AO47=1,AP47=1),0,=IFERROR(IFS(
    OR($C47="", $K47=""), 0,
    $F47=0, 0,
    $D47&lt;&gt;"Open", 0,
    COUNTIFS(GrinderServices!$A$6:$A$1000, $K47, GrinderServices!$B$6:$B$1000, $E47, GrinderServices!$D$6:$D$1000, "Y")=0, 0,
    $X47&lt;Config!$B$16, 0,
    Config!$B$18=1, IF($O47&gt;=N47, 0, 1),
    TRUE, 1
), "")
)</f>
        <v>#ERROR!</v>
      </c>
      <c r="AF47" s="40" t="str">
        <f>IFERROR((IF(OR(AO47=1,AP47=1),"",=IFERROR((IFERROR(IF($AE47=0,"",((Config!$B$6*$Y47 + Config!$B$7*$U47 + Config!$B$8*$Z47 + Config!$B$9*$AA47 + Config!$B$10*$AB47 + Config!$B$11*$AC47 - Config!$B$12*$AD47)/Config!$B$13)+$AK47+$AL47),""))*(1-IFERROR(VLOOKUP(K47,Grinders!$A:$AB, 28, FALSE),0)),"")))*(1+AR47),"")</f>
        <v>#ERROR!</v>
      </c>
      <c r="AG47" s="40" t="str">
        <f t="shared" si="6"/>
        <v>#ERROR!</v>
      </c>
      <c r="AH47" s="40" t="str">
        <f t="shared" si="7"/>
        <v/>
      </c>
      <c r="AI47" s="40" t="str">
        <f t="shared" si="8"/>
        <v/>
      </c>
      <c r="AJ47" s="40" t="str">
        <f>IF($K47="","",COUNTIF(Assignments!$B$6:$B$1000,$K47))</f>
        <v/>
      </c>
      <c r="AK47" s="40" t="str">
        <f>IF($K47="","",IF(AND($AJ47=0,$O47&lt;$N47),Config!$B$43,0))</f>
        <v/>
      </c>
      <c r="AL47" s="40" t="str">
        <f>IF($K47="","",IF(AND($M47="Elite",$G47&gt;=Config!$B$41,$O47&lt;$N47),Config!$B$42,0))</f>
        <v/>
      </c>
      <c r="AM47" s="22"/>
      <c r="AN47" s="39">
        <f>IFERROR(VLOOKUP(K47,Grinders!$A:$Q,28,FALSE),0)</f>
        <v>0</v>
      </c>
      <c r="AO47" s="39">
        <f>IF(Config!$B$1003&lt;&gt;"Y",0,IF(IFERROR(VLOOKUP(K47,Grinders!$A:$P,27,FALSE),0)&gt;=3,IF(OR(G47&gt;=Config!$B$1001,ISNUMBER(SEARCH(E47,Config!$B$1002))),1,0),0))</f>
        <v>0</v>
      </c>
      <c r="AP47" s="39">
        <f t="array" ref="AP47">IFERROR(IF(INDEX(Bids!$AE:$AE,MATCH(B47,Bids!$A:$A,0))="Pending",1,0),0)</f>
        <v>0</v>
      </c>
      <c r="AQ47" s="39" t="str">
        <f t="array" ref="AQ47">IF(C47="","",IFERROR(XLOOKUP(C47,Assignments!$C:$C,Assignments!$AU:$AU,0),0))</f>
        <v/>
      </c>
      <c r="AR47" s="39">
        <f>IF(AND(Config!$B$1006="Y",AQ47=1),Config!$B$1007,0)</f>
        <v>0</v>
      </c>
    </row>
    <row r="48" ht="15.75" customHeight="1">
      <c r="A48" s="46" t="str">
        <f t="shared" si="1"/>
        <v/>
      </c>
      <c r="B48" s="40" t="str">
        <f>IF(Bids!$A47="","",Bids!$A47)</f>
        <v/>
      </c>
      <c r="C48" s="40" t="str">
        <f>IF(Bids!$B47="","",Bids!$B47)</f>
        <v/>
      </c>
      <c r="D48" s="40" t="str">
        <f>IF($C48="","",IFERROR(VLOOKUP($C48,Orders!$A$4:$J$998,9,FALSE),""))</f>
        <v/>
      </c>
      <c r="E48" s="40" t="str">
        <f>IF($C48="","",IFERROR(VLOOKUP($C48,Orders!$A$4:$J$998,3,FALSE),""))</f>
        <v/>
      </c>
      <c r="F48" s="40">
        <f t="shared" si="2"/>
        <v>1</v>
      </c>
      <c r="G48" s="40" t="str">
        <f>IF($C48="","",IFERROR(VLOOKUP($C48,Orders!$A$4:$J$998,4,FALSE),""))</f>
        <v/>
      </c>
      <c r="H48" s="40" t="str">
        <f>IF($C48="","",IFERROR(VLOOKUP($C48,Orders!$A$4:$J$998,5,FALSE),""))</f>
        <v/>
      </c>
      <c r="I48" s="40" t="str">
        <f>IF($C48="","",IFERROR(VLOOKUP($C48,Orders!$A$4:$J$998,6,FALSE),""))</f>
        <v/>
      </c>
      <c r="J48" s="40" t="str">
        <f>IF($C48="","",IFERROR(VLOOKUP($C48,Orders!$A$4:$J$998,7,FALSE),""))</f>
        <v/>
      </c>
      <c r="K48" s="40" t="str">
        <f>IF(Bids!$C47="","",Bids!$C47)</f>
        <v/>
      </c>
      <c r="L48" s="40" t="str">
        <f>IF($K48="","",IFERROR(VLOOKUP($K48,Grinders!$A$4:$N$998,2,FALSE),""))</f>
        <v/>
      </c>
      <c r="M48" s="40" t="str">
        <f>IF($K48="","",IFERROR(VLOOKUP($K48,Grinders!$A$4:$N$998,3,FALSE),""))</f>
        <v/>
      </c>
      <c r="N48" s="40" t="str">
        <f>IF($K48="","",IFERROR(VLOOKUP($K48,Grinders!$A$4:$N$998,4,FALSE),""))</f>
        <v/>
      </c>
      <c r="O48" s="40" t="str">
        <f>IF($K48="","",IFERROR(VLOOKUP($K48,Grinders!$A$4:$N$998,5,FALSE),""))</f>
        <v/>
      </c>
      <c r="P48" s="40" t="str">
        <f>IF($K48="","",IF($C$4="",0,COUNTIFS(Assignments!$B$6:$B$1000,$K48,Assignments!$F$6:$F$1000,$C$4,Assignments!$E$6:$E$1000,"Active")))</f>
        <v/>
      </c>
      <c r="Q48" s="40" t="str">
        <f t="shared" si="3"/>
        <v/>
      </c>
      <c r="R48" s="40" t="str">
        <f t="shared" si="4"/>
        <v/>
      </c>
      <c r="S48" s="40" t="str">
        <f>IF($K48="","",IF($C$4="",0,COUNTIFS(Assignments!$B$6:$B$1000,$K48,Assignments!$F$6:$F$1000,$C$4,Assignments!$D$6:$D$1000,"&gt;="&amp;Config!$B$3-7,Assignments!$D$6:$D$1000,"&lt;="&amp;Config!$B$3)))</f>
        <v/>
      </c>
      <c r="T48" s="40" t="str">
        <f>IF($K48="","",IFERROR(VLOOKUP($K48,Grinders!$A$4:$N$998,8,FALSE),""))</f>
        <v/>
      </c>
      <c r="U48" s="40" t="str">
        <f>IFERROR(IF($K48="","",IF($M48="Elite",MAX(50,MIN(100,Config!$B$27*MAX(0,MIN(100,(1-IF($R48="",0,$R48))*100)) + Config!$B$28*MAX(0,MIN(100,(1-MIN(1,IF(Config!$B$30=0,1,$S48/Config!$B$30)))*100)) + Config!$B$29*MAX(0,MIN(100,MIN(1,IF($T48="",0,$T48)/Config!$B$23)*100)))),MIN(100,Config!$B$27*MAX(0,MIN(100,(1-IF($R48="",0,$R48))*100)) + Config!$B$28*MAX(0,MIN(100,(1-MIN(1,IF(Config!$B$30=0,1,$S48/Config!$B$30)))*100)) + Config!$B$29*MAX(0,MIN(100,MIN(1,IF($T48="",0,$T48)/Config!$B$23)*100))))),"")
</f>
        <v/>
      </c>
      <c r="V48" s="40" t="str">
        <f>IF(Bids!$AC48="","",Bids!$AC48)</f>
        <v/>
      </c>
      <c r="W48" s="40" t="str">
        <f>IF(Bids!$F47="","",Bids!$F47)</f>
        <v/>
      </c>
      <c r="X48" s="40" t="str">
        <f t="shared" si="5"/>
        <v/>
      </c>
      <c r="Y48" s="40" t="str">
        <f>IF($X48="","",IF(Config!$B$17=Config!$B$16,IF($X48&gt;=Config!$B$17,100,0),MAX(0,MIN(100,($X48-Config!$B$16)/(Config!$B$17-Config!$B$16)*100))))</f>
        <v/>
      </c>
      <c r="Z48" s="40">
        <f>IF($M48="Elite",Config!$B$21,0)</f>
        <v>0</v>
      </c>
      <c r="AA48" s="40" t="str">
        <f>IFERROR(IF(OR($W48="",$H48=""),"",IF($W48&gt;$H48,
  MAX(0, 60-(($W48-$H48)*24/Config!$B$19)*60),
  MIN(100, 60+(($H48-$W48)*24/Config!$B$20)*40)
)),"")
</f>
        <v/>
      </c>
      <c r="AB48" s="40" t="str">
        <f>IF($K48="","",IFERROR(VLOOKUP($K48,Grinders!$A$4:$N$998,10,FALSE)/5*100,""))</f>
        <v/>
      </c>
      <c r="AC48" s="40" t="str">
        <f>IF($K48="","",IFERROR(VLOOKUP($K48,Grinders!$A$4:$N$998,11,FALSE)*100,""))</f>
        <v/>
      </c>
      <c r="AD48" s="40" t="str">
        <f>IF($K48="","",IFERROR(VLOOKUP($K48,Grinders!$A$4:$N$998,12,FALSE)*100,""))</f>
        <v/>
      </c>
      <c r="AE48" s="40" t="str">
        <f>IF(OR(AO48=1,AP48=1),0,=IFERROR(IFS(
    OR($C48="", $K48=""), 0,
    $F48=0, 0,
    $D48&lt;&gt;"Open", 0,
    COUNTIFS(GrinderServices!$A$6:$A$1000, $K48, GrinderServices!$B$6:$B$1000, $E48, GrinderServices!$D$6:$D$1000, "Y")=0, 0,
    $X48&lt;Config!$B$16, 0,
    Config!$B$18=1, IF($O48&gt;=N48, 0, 1),
    TRUE, 1
), "")
)</f>
        <v>#ERROR!</v>
      </c>
      <c r="AF48" s="40" t="str">
        <f>IFERROR((IF(OR(AO48=1,AP48=1),"",=IFERROR((IFERROR(IF($AE48=0,"",((Config!$B$6*$Y48 + Config!$B$7*$U48 + Config!$B$8*$Z48 + Config!$B$9*$AA48 + Config!$B$10*$AB48 + Config!$B$11*$AC48 - Config!$B$12*$AD48)/Config!$B$13)+$AK48+$AL48),""))*(1-IFERROR(VLOOKUP(K48,Grinders!$A:$AB, 28, FALSE),0)),"")))*(1+AR48),"")</f>
        <v>#ERROR!</v>
      </c>
      <c r="AG48" s="40" t="str">
        <f t="shared" si="6"/>
        <v>#ERROR!</v>
      </c>
      <c r="AH48" s="40" t="str">
        <f t="shared" si="7"/>
        <v/>
      </c>
      <c r="AI48" s="40" t="str">
        <f t="shared" si="8"/>
        <v/>
      </c>
      <c r="AJ48" s="40" t="str">
        <f>IF($K48="","",COUNTIF(Assignments!$B$6:$B$1000,$K48))</f>
        <v/>
      </c>
      <c r="AK48" s="40" t="str">
        <f>IF($K48="","",IF(AND($AJ48=0,$O48&lt;$N48),Config!$B$43,0))</f>
        <v/>
      </c>
      <c r="AL48" s="40" t="str">
        <f>IF($K48="","",IF(AND($M48="Elite",$G48&gt;=Config!$B$41,$O48&lt;$N48),Config!$B$42,0))</f>
        <v/>
      </c>
      <c r="AM48" s="22"/>
      <c r="AN48" s="39">
        <f>IFERROR(VLOOKUP(K48,Grinders!$A:$Q,28,FALSE),0)</f>
        <v>0</v>
      </c>
      <c r="AO48" s="39">
        <f>IF(Config!$B$1003&lt;&gt;"Y",0,IF(IFERROR(VLOOKUP(K48,Grinders!$A:$P,27,FALSE),0)&gt;=3,IF(OR(G48&gt;=Config!$B$1001,ISNUMBER(SEARCH(E48,Config!$B$1002))),1,0),0))</f>
        <v>0</v>
      </c>
      <c r="AP48" s="39">
        <f t="array" ref="AP48">IFERROR(IF(INDEX(Bids!$AE:$AE,MATCH(B48,Bids!$A:$A,0))="Pending",1,0),0)</f>
        <v>0</v>
      </c>
      <c r="AQ48" s="39" t="str">
        <f t="array" ref="AQ48">IF(C48="","",IFERROR(XLOOKUP(C48,Assignments!$C:$C,Assignments!$AU:$AU,0),0))</f>
        <v/>
      </c>
      <c r="AR48" s="39">
        <f>IF(AND(Config!$B$1006="Y",AQ48=1),Config!$B$1007,0)</f>
        <v>0</v>
      </c>
    </row>
    <row r="49" ht="15.75" customHeight="1">
      <c r="A49" s="46" t="str">
        <f t="shared" si="1"/>
        <v/>
      </c>
      <c r="B49" s="40" t="str">
        <f>IF(Bids!$A48="","",Bids!$A48)</f>
        <v/>
      </c>
      <c r="C49" s="40" t="str">
        <f>IF(Bids!$B48="","",Bids!$B48)</f>
        <v/>
      </c>
      <c r="D49" s="40" t="str">
        <f>IF($C49="","",IFERROR(VLOOKUP($C49,Orders!$A$4:$J$998,9,FALSE),""))</f>
        <v/>
      </c>
      <c r="E49" s="40" t="str">
        <f>IF($C49="","",IFERROR(VLOOKUP($C49,Orders!$A$4:$J$998,3,FALSE),""))</f>
        <v/>
      </c>
      <c r="F49" s="40">
        <f t="shared" si="2"/>
        <v>1</v>
      </c>
      <c r="G49" s="40" t="str">
        <f>IF($C49="","",IFERROR(VLOOKUP($C49,Orders!$A$4:$J$998,4,FALSE),""))</f>
        <v/>
      </c>
      <c r="H49" s="40" t="str">
        <f>IF($C49="","",IFERROR(VLOOKUP($C49,Orders!$A$4:$J$998,5,FALSE),""))</f>
        <v/>
      </c>
      <c r="I49" s="40" t="str">
        <f>IF($C49="","",IFERROR(VLOOKUP($C49,Orders!$A$4:$J$998,6,FALSE),""))</f>
        <v/>
      </c>
      <c r="J49" s="40" t="str">
        <f>IF($C49="","",IFERROR(VLOOKUP($C49,Orders!$A$4:$J$998,7,FALSE),""))</f>
        <v/>
      </c>
      <c r="K49" s="40" t="str">
        <f>IF(Bids!$C48="","",Bids!$C48)</f>
        <v/>
      </c>
      <c r="L49" s="40" t="str">
        <f>IF($K49="","",IFERROR(VLOOKUP($K49,Grinders!$A$4:$N$998,2,FALSE),""))</f>
        <v/>
      </c>
      <c r="M49" s="40" t="str">
        <f>IF($K49="","",IFERROR(VLOOKUP($K49,Grinders!$A$4:$N$998,3,FALSE),""))</f>
        <v/>
      </c>
      <c r="N49" s="40" t="str">
        <f>IF($K49="","",IFERROR(VLOOKUP($K49,Grinders!$A$4:$N$998,4,FALSE),""))</f>
        <v/>
      </c>
      <c r="O49" s="40" t="str">
        <f>IF($K49="","",IFERROR(VLOOKUP($K49,Grinders!$A$4:$N$998,5,FALSE),""))</f>
        <v/>
      </c>
      <c r="P49" s="40" t="str">
        <f>IF($K49="","",IF($C$4="",0,COUNTIFS(Assignments!$B$6:$B$1000,$K49,Assignments!$F$6:$F$1000,$C$4,Assignments!$E$6:$E$1000,"Active")))</f>
        <v/>
      </c>
      <c r="Q49" s="40" t="str">
        <f t="shared" si="3"/>
        <v/>
      </c>
      <c r="R49" s="40" t="str">
        <f t="shared" si="4"/>
        <v/>
      </c>
      <c r="S49" s="40" t="str">
        <f>IF($K49="","",IF($C$4="",0,COUNTIFS(Assignments!$B$6:$B$1000,$K49,Assignments!$F$6:$F$1000,$C$4,Assignments!$D$6:$D$1000,"&gt;="&amp;Config!$B$3-7,Assignments!$D$6:$D$1000,"&lt;="&amp;Config!$B$3)))</f>
        <v/>
      </c>
      <c r="T49" s="40" t="str">
        <f>IF($K49="","",IFERROR(VLOOKUP($K49,Grinders!$A$4:$N$998,8,FALSE),""))</f>
        <v/>
      </c>
      <c r="U49" s="40" t="str">
        <f>IFERROR(IF($K49="","",IF($M49="Elite",MAX(50,MIN(100,Config!$B$27*MAX(0,MIN(100,(1-IF($R49="",0,$R49))*100)) + Config!$B$28*MAX(0,MIN(100,(1-MIN(1,IF(Config!$B$30=0,1,$S49/Config!$B$30)))*100)) + Config!$B$29*MAX(0,MIN(100,MIN(1,IF($T49="",0,$T49)/Config!$B$23)*100)))),MIN(100,Config!$B$27*MAX(0,MIN(100,(1-IF($R49="",0,$R49))*100)) + Config!$B$28*MAX(0,MIN(100,(1-MIN(1,IF(Config!$B$30=0,1,$S49/Config!$B$30)))*100)) + Config!$B$29*MAX(0,MIN(100,MIN(1,IF($T49="",0,$T49)/Config!$B$23)*100))))),"")
</f>
        <v/>
      </c>
      <c r="V49" s="40" t="str">
        <f>IF(Bids!$AC49="","",Bids!$AC49)</f>
        <v/>
      </c>
      <c r="W49" s="40" t="str">
        <f>IF(Bids!$F48="","",Bids!$F48)</f>
        <v/>
      </c>
      <c r="X49" s="40" t="str">
        <f t="shared" si="5"/>
        <v/>
      </c>
      <c r="Y49" s="40" t="str">
        <f>IF($X49="","",IF(Config!$B$17=Config!$B$16,IF($X49&gt;=Config!$B$17,100,0),MAX(0,MIN(100,($X49-Config!$B$16)/(Config!$B$17-Config!$B$16)*100))))</f>
        <v/>
      </c>
      <c r="Z49" s="40">
        <f>IF($M49="Elite",Config!$B$21,0)</f>
        <v>0</v>
      </c>
      <c r="AA49" s="40" t="str">
        <f>IFERROR(IF(OR($W49="",$H49=""),"",IF($W49&gt;$H49,
  MAX(0, 60-(($W49-$H49)*24/Config!$B$19)*60),
  MIN(100, 60+(($H49-$W49)*24/Config!$B$20)*40)
)),"")
</f>
        <v/>
      </c>
      <c r="AB49" s="40" t="str">
        <f>IF($K49="","",IFERROR(VLOOKUP($K49,Grinders!$A$4:$N$998,10,FALSE)/5*100,""))</f>
        <v/>
      </c>
      <c r="AC49" s="40" t="str">
        <f>IF($K49="","",IFERROR(VLOOKUP($K49,Grinders!$A$4:$N$998,11,FALSE)*100,""))</f>
        <v/>
      </c>
      <c r="AD49" s="40" t="str">
        <f>IF($K49="","",IFERROR(VLOOKUP($K49,Grinders!$A$4:$N$998,12,FALSE)*100,""))</f>
        <v/>
      </c>
      <c r="AE49" s="40" t="str">
        <f>IF(OR(AO49=1,AP49=1),0,=IFERROR(IFS(
    OR($C49="", $K49=""), 0,
    $F49=0, 0,
    $D49&lt;&gt;"Open", 0,
    COUNTIFS(GrinderServices!$A$6:$A$1000, $K49, GrinderServices!$B$6:$B$1000, $E49, GrinderServices!$D$6:$D$1000, "Y")=0, 0,
    $X49&lt;Config!$B$16, 0,
    Config!$B$18=1, IF($O49&gt;=N49, 0, 1),
    TRUE, 1
), "")
)</f>
        <v>#ERROR!</v>
      </c>
      <c r="AF49" s="40" t="str">
        <f>IFERROR((IF(OR(AO49=1,AP49=1),"",=IFERROR((IFERROR(IF($AE49=0,"",((Config!$B$6*$Y49 + Config!$B$7*$U49 + Config!$B$8*$Z49 + Config!$B$9*$AA49 + Config!$B$10*$AB49 + Config!$B$11*$AC49 - Config!$B$12*$AD49)/Config!$B$13)+$AK49+$AL49),""))*(1-IFERROR(VLOOKUP(K49,Grinders!$A:$AB, 28, FALSE),0)),"")))*(1+AR49),"")</f>
        <v>#ERROR!</v>
      </c>
      <c r="AG49" s="40" t="str">
        <f t="shared" si="6"/>
        <v>#ERROR!</v>
      </c>
      <c r="AH49" s="40" t="str">
        <f t="shared" si="7"/>
        <v/>
      </c>
      <c r="AI49" s="40" t="str">
        <f t="shared" si="8"/>
        <v/>
      </c>
      <c r="AJ49" s="40" t="str">
        <f>IF($K49="","",COUNTIF(Assignments!$B$6:$B$1000,$K49))</f>
        <v/>
      </c>
      <c r="AK49" s="40" t="str">
        <f>IF($K49="","",IF(AND($AJ49=0,$O49&lt;$N49),Config!$B$43,0))</f>
        <v/>
      </c>
      <c r="AL49" s="40" t="str">
        <f>IF($K49="","",IF(AND($M49="Elite",$G49&gt;=Config!$B$41,$O49&lt;$N49),Config!$B$42,0))</f>
        <v/>
      </c>
      <c r="AM49" s="22"/>
      <c r="AN49" s="39">
        <f>IFERROR(VLOOKUP(K49,Grinders!$A:$Q,28,FALSE),0)</f>
        <v>0</v>
      </c>
      <c r="AO49" s="39">
        <f>IF(Config!$B$1003&lt;&gt;"Y",0,IF(IFERROR(VLOOKUP(K49,Grinders!$A:$P,27,FALSE),0)&gt;=3,IF(OR(G49&gt;=Config!$B$1001,ISNUMBER(SEARCH(E49,Config!$B$1002))),1,0),0))</f>
        <v>0</v>
      </c>
      <c r="AP49" s="39">
        <f t="array" ref="AP49">IFERROR(IF(INDEX(Bids!$AE:$AE,MATCH(B49,Bids!$A:$A,0))="Pending",1,0),0)</f>
        <v>0</v>
      </c>
      <c r="AQ49" s="39" t="str">
        <f t="array" ref="AQ49">IF(C49="","",IFERROR(XLOOKUP(C49,Assignments!$C:$C,Assignments!$AU:$AU,0),0))</f>
        <v/>
      </c>
      <c r="AR49" s="39">
        <f>IF(AND(Config!$B$1006="Y",AQ49=1),Config!$B$1007,0)</f>
        <v>0</v>
      </c>
    </row>
    <row r="50" ht="15.75" customHeight="1">
      <c r="A50" s="46" t="str">
        <f t="shared" si="1"/>
        <v/>
      </c>
      <c r="B50" s="40" t="str">
        <f>IF(Bids!$A49="","",Bids!$A49)</f>
        <v/>
      </c>
      <c r="C50" s="40" t="str">
        <f>IF(Bids!$B49="","",Bids!$B49)</f>
        <v/>
      </c>
      <c r="D50" s="40" t="str">
        <f>IF($C50="","",IFERROR(VLOOKUP($C50,Orders!$A$4:$J$998,9,FALSE),""))</f>
        <v/>
      </c>
      <c r="E50" s="40" t="str">
        <f>IF($C50="","",IFERROR(VLOOKUP($C50,Orders!$A$4:$J$998,3,FALSE),""))</f>
        <v/>
      </c>
      <c r="F50" s="40">
        <f t="shared" si="2"/>
        <v>1</v>
      </c>
      <c r="G50" s="40" t="str">
        <f>IF($C50="","",IFERROR(VLOOKUP($C50,Orders!$A$4:$J$998,4,FALSE),""))</f>
        <v/>
      </c>
      <c r="H50" s="40" t="str">
        <f>IF($C50="","",IFERROR(VLOOKUP($C50,Orders!$A$4:$J$998,5,FALSE),""))</f>
        <v/>
      </c>
      <c r="I50" s="40" t="str">
        <f>IF($C50="","",IFERROR(VLOOKUP($C50,Orders!$A$4:$J$998,6,FALSE),""))</f>
        <v/>
      </c>
      <c r="J50" s="40" t="str">
        <f>IF($C50="","",IFERROR(VLOOKUP($C50,Orders!$A$4:$J$998,7,FALSE),""))</f>
        <v/>
      </c>
      <c r="K50" s="40" t="str">
        <f>IF(Bids!$C49="","",Bids!$C49)</f>
        <v/>
      </c>
      <c r="L50" s="40" t="str">
        <f>IF($K50="","",IFERROR(VLOOKUP($K50,Grinders!$A$4:$N$998,2,FALSE),""))</f>
        <v/>
      </c>
      <c r="M50" s="40" t="str">
        <f>IF($K50="","",IFERROR(VLOOKUP($K50,Grinders!$A$4:$N$998,3,FALSE),""))</f>
        <v/>
      </c>
      <c r="N50" s="40" t="str">
        <f>IF($K50="","",IFERROR(VLOOKUP($K50,Grinders!$A$4:$N$998,4,FALSE),""))</f>
        <v/>
      </c>
      <c r="O50" s="40" t="str">
        <f>IF($K50="","",IFERROR(VLOOKUP($K50,Grinders!$A$4:$N$998,5,FALSE),""))</f>
        <v/>
      </c>
      <c r="P50" s="40" t="str">
        <f>IF($K50="","",IF($C$4="",0,COUNTIFS(Assignments!$B$6:$B$1000,$K50,Assignments!$F$6:$F$1000,$C$4,Assignments!$E$6:$E$1000,"Active")))</f>
        <v/>
      </c>
      <c r="Q50" s="40" t="str">
        <f t="shared" si="3"/>
        <v/>
      </c>
      <c r="R50" s="40" t="str">
        <f t="shared" si="4"/>
        <v/>
      </c>
      <c r="S50" s="40" t="str">
        <f>IF($K50="","",IF($C$4="",0,COUNTIFS(Assignments!$B$6:$B$1000,$K50,Assignments!$F$6:$F$1000,$C$4,Assignments!$D$6:$D$1000,"&gt;="&amp;Config!$B$3-7,Assignments!$D$6:$D$1000,"&lt;="&amp;Config!$B$3)))</f>
        <v/>
      </c>
      <c r="T50" s="40" t="str">
        <f>IF($K50="","",IFERROR(VLOOKUP($K50,Grinders!$A$4:$N$998,8,FALSE),""))</f>
        <v/>
      </c>
      <c r="U50" s="40" t="str">
        <f>IFERROR(IF($K50="","",IF($M50="Elite",MAX(50,MIN(100,Config!$B$27*MAX(0,MIN(100,(1-IF($R50="",0,$R50))*100)) + Config!$B$28*MAX(0,MIN(100,(1-MIN(1,IF(Config!$B$30=0,1,$S50/Config!$B$30)))*100)) + Config!$B$29*MAX(0,MIN(100,MIN(1,IF($T50="",0,$T50)/Config!$B$23)*100)))),MIN(100,Config!$B$27*MAX(0,MIN(100,(1-IF($R50="",0,$R50))*100)) + Config!$B$28*MAX(0,MIN(100,(1-MIN(1,IF(Config!$B$30=0,1,$S50/Config!$B$30)))*100)) + Config!$B$29*MAX(0,MIN(100,MIN(1,IF($T50="",0,$T50)/Config!$B$23)*100))))),"")
</f>
        <v/>
      </c>
      <c r="V50" s="40" t="str">
        <f>IF(Bids!$AC50="","",Bids!$AC50)</f>
        <v/>
      </c>
      <c r="W50" s="40" t="str">
        <f>IF(Bids!$F49="","",Bids!$F49)</f>
        <v/>
      </c>
      <c r="X50" s="40" t="str">
        <f t="shared" si="5"/>
        <v/>
      </c>
      <c r="Y50" s="40" t="str">
        <f>IF($X50="","",IF(Config!$B$17=Config!$B$16,IF($X50&gt;=Config!$B$17,100,0),MAX(0,MIN(100,($X50-Config!$B$16)/(Config!$B$17-Config!$B$16)*100))))</f>
        <v/>
      </c>
      <c r="Z50" s="40">
        <f>IF($M50="Elite",Config!$B$21,0)</f>
        <v>0</v>
      </c>
      <c r="AA50" s="40" t="str">
        <f>IFERROR(IF(OR($W50="",$H50=""),"",IF($W50&gt;$H50,
  MAX(0, 60-(($W50-$H50)*24/Config!$B$19)*60),
  MIN(100, 60+(($H50-$W50)*24/Config!$B$20)*40)
)),"")
</f>
        <v/>
      </c>
      <c r="AB50" s="40" t="str">
        <f>IF($K50="","",IFERROR(VLOOKUP($K50,Grinders!$A$4:$N$998,10,FALSE)/5*100,""))</f>
        <v/>
      </c>
      <c r="AC50" s="40" t="str">
        <f>IF($K50="","",IFERROR(VLOOKUP($K50,Grinders!$A$4:$N$998,11,FALSE)*100,""))</f>
        <v/>
      </c>
      <c r="AD50" s="40" t="str">
        <f>IF($K50="","",IFERROR(VLOOKUP($K50,Grinders!$A$4:$N$998,12,FALSE)*100,""))</f>
        <v/>
      </c>
      <c r="AE50" s="40" t="str">
        <f>IF(OR(AO50=1,AP50=1),0,=IFERROR(IFS(
    OR($C50="", $K50=""), 0,
    $F50=0, 0,
    $D50&lt;&gt;"Open", 0,
    COUNTIFS(GrinderServices!$A$6:$A$1000, $K50, GrinderServices!$B$6:$B$1000, $E50, GrinderServices!$D$6:$D$1000, "Y")=0, 0,
    $X50&lt;Config!$B$16, 0,
    Config!$B$18=1, IF($O50&gt;=N50, 0, 1),
    TRUE, 1
), "")
)</f>
        <v>#ERROR!</v>
      </c>
      <c r="AF50" s="40" t="str">
        <f>IFERROR((IF(OR(AO50=1,AP50=1),"",=IFERROR((IFERROR(IF($AE50=0,"",((Config!$B$6*$Y50 + Config!$B$7*$U50 + Config!$B$8*$Z50 + Config!$B$9*$AA50 + Config!$B$10*$AB50 + Config!$B$11*$AC50 - Config!$B$12*$AD50)/Config!$B$13)+$AK50+$AL50),""))*(1-IFERROR(VLOOKUP(K50,Grinders!$A:$AB, 28, FALSE),0)),"")))*(1+AR50),"")</f>
        <v>#ERROR!</v>
      </c>
      <c r="AG50" s="40" t="str">
        <f t="shared" si="6"/>
        <v>#ERROR!</v>
      </c>
      <c r="AH50" s="40" t="str">
        <f t="shared" si="7"/>
        <v/>
      </c>
      <c r="AI50" s="40" t="str">
        <f t="shared" si="8"/>
        <v/>
      </c>
      <c r="AJ50" s="40" t="str">
        <f>IF($K50="","",COUNTIF(Assignments!$B$6:$B$1000,$K50))</f>
        <v/>
      </c>
      <c r="AK50" s="40" t="str">
        <f>IF($K50="","",IF(AND($AJ50=0,$O50&lt;$N50),Config!$B$43,0))</f>
        <v/>
      </c>
      <c r="AL50" s="40" t="str">
        <f>IF($K50="","",IF(AND($M50="Elite",$G50&gt;=Config!$B$41,$O50&lt;$N50),Config!$B$42,0))</f>
        <v/>
      </c>
      <c r="AM50" s="22"/>
      <c r="AN50" s="39">
        <f>IFERROR(VLOOKUP(K50,Grinders!$A:$Q,28,FALSE),0)</f>
        <v>0</v>
      </c>
      <c r="AO50" s="39">
        <f>IF(Config!$B$1003&lt;&gt;"Y",0,IF(IFERROR(VLOOKUP(K50,Grinders!$A:$P,27,FALSE),0)&gt;=3,IF(OR(G50&gt;=Config!$B$1001,ISNUMBER(SEARCH(E50,Config!$B$1002))),1,0),0))</f>
        <v>0</v>
      </c>
      <c r="AP50" s="39">
        <f t="array" ref="AP50">IFERROR(IF(INDEX(Bids!$AE:$AE,MATCH(B50,Bids!$A:$A,0))="Pending",1,0),0)</f>
        <v>0</v>
      </c>
      <c r="AQ50" s="39" t="str">
        <f t="array" ref="AQ50">IF(C50="","",IFERROR(XLOOKUP(C50,Assignments!$C:$C,Assignments!$AU:$AU,0),0))</f>
        <v/>
      </c>
      <c r="AR50" s="39">
        <f>IF(AND(Config!$B$1006="Y",AQ50=1),Config!$B$1007,0)</f>
        <v>0</v>
      </c>
    </row>
    <row r="51" ht="15.75" customHeight="1">
      <c r="A51" s="46" t="str">
        <f t="shared" si="1"/>
        <v/>
      </c>
      <c r="B51" s="40" t="str">
        <f>IF(Bids!$A50="","",Bids!$A50)</f>
        <v/>
      </c>
      <c r="C51" s="40" t="str">
        <f>IF(Bids!$B50="","",Bids!$B50)</f>
        <v/>
      </c>
      <c r="D51" s="40" t="str">
        <f>IF($C51="","",IFERROR(VLOOKUP($C51,Orders!$A$4:$J$998,9,FALSE),""))</f>
        <v/>
      </c>
      <c r="E51" s="40" t="str">
        <f>IF($C51="","",IFERROR(VLOOKUP($C51,Orders!$A$4:$J$998,3,FALSE),""))</f>
        <v/>
      </c>
      <c r="F51" s="40">
        <f t="shared" si="2"/>
        <v>1</v>
      </c>
      <c r="G51" s="40" t="str">
        <f>IF($C51="","",IFERROR(VLOOKUP($C51,Orders!$A$4:$J$998,4,FALSE),""))</f>
        <v/>
      </c>
      <c r="H51" s="40" t="str">
        <f>IF($C51="","",IFERROR(VLOOKUP($C51,Orders!$A$4:$J$998,5,FALSE),""))</f>
        <v/>
      </c>
      <c r="I51" s="40" t="str">
        <f>IF($C51="","",IFERROR(VLOOKUP($C51,Orders!$A$4:$J$998,6,FALSE),""))</f>
        <v/>
      </c>
      <c r="J51" s="40" t="str">
        <f>IF($C51="","",IFERROR(VLOOKUP($C51,Orders!$A$4:$J$998,7,FALSE),""))</f>
        <v/>
      </c>
      <c r="K51" s="40" t="str">
        <f>IF(Bids!$C50="","",Bids!$C50)</f>
        <v/>
      </c>
      <c r="L51" s="40" t="str">
        <f>IF($K51="","",IFERROR(VLOOKUP($K51,Grinders!$A$4:$N$998,2,FALSE),""))</f>
        <v/>
      </c>
      <c r="M51" s="40" t="str">
        <f>IF($K51="","",IFERROR(VLOOKUP($K51,Grinders!$A$4:$N$998,3,FALSE),""))</f>
        <v/>
      </c>
      <c r="N51" s="40" t="str">
        <f>IF($K51="","",IFERROR(VLOOKUP($K51,Grinders!$A$4:$N$998,4,FALSE),""))</f>
        <v/>
      </c>
      <c r="O51" s="40" t="str">
        <f>IF($K51="","",IFERROR(VLOOKUP($K51,Grinders!$A$4:$N$998,5,FALSE),""))</f>
        <v/>
      </c>
      <c r="P51" s="40" t="str">
        <f>IF($K51="","",IF($C$4="",0,COUNTIFS(Assignments!$B$6:$B$1000,$K51,Assignments!$F$6:$F$1000,$C$4,Assignments!$E$6:$E$1000,"Active")))</f>
        <v/>
      </c>
      <c r="Q51" s="40" t="str">
        <f t="shared" si="3"/>
        <v/>
      </c>
      <c r="R51" s="40" t="str">
        <f t="shared" si="4"/>
        <v/>
      </c>
      <c r="S51" s="40" t="str">
        <f>IF($K51="","",IF($C$4="",0,COUNTIFS(Assignments!$B$6:$B$1000,$K51,Assignments!$F$6:$F$1000,$C$4,Assignments!$D$6:$D$1000,"&gt;="&amp;Config!$B$3-7,Assignments!$D$6:$D$1000,"&lt;="&amp;Config!$B$3)))</f>
        <v/>
      </c>
      <c r="T51" s="40" t="str">
        <f>IF($K51="","",IFERROR(VLOOKUP($K51,Grinders!$A$4:$N$998,8,FALSE),""))</f>
        <v/>
      </c>
      <c r="U51" s="40" t="str">
        <f>IFERROR(IF($K51="","",IF($M51="Elite",MAX(50,MIN(100,Config!$B$27*MAX(0,MIN(100,(1-IF($R51="",0,$R51))*100)) + Config!$B$28*MAX(0,MIN(100,(1-MIN(1,IF(Config!$B$30=0,1,$S51/Config!$B$30)))*100)) + Config!$B$29*MAX(0,MIN(100,MIN(1,IF($T51="",0,$T51)/Config!$B$23)*100)))),MIN(100,Config!$B$27*MAX(0,MIN(100,(1-IF($R51="",0,$R51))*100)) + Config!$B$28*MAX(0,MIN(100,(1-MIN(1,IF(Config!$B$30=0,1,$S51/Config!$B$30)))*100)) + Config!$B$29*MAX(0,MIN(100,MIN(1,IF($T51="",0,$T51)/Config!$B$23)*100))))),"")
</f>
        <v/>
      </c>
      <c r="V51" s="40" t="str">
        <f>IF(Bids!$AC51="","",Bids!$AC51)</f>
        <v/>
      </c>
      <c r="W51" s="40" t="str">
        <f>IF(Bids!$F50="","",Bids!$F50)</f>
        <v/>
      </c>
      <c r="X51" s="40" t="str">
        <f t="shared" si="5"/>
        <v/>
      </c>
      <c r="Y51" s="40" t="str">
        <f>IF($X51="","",IF(Config!$B$17=Config!$B$16,IF($X51&gt;=Config!$B$17,100,0),MAX(0,MIN(100,($X51-Config!$B$16)/(Config!$B$17-Config!$B$16)*100))))</f>
        <v/>
      </c>
      <c r="Z51" s="40">
        <f>IF($M51="Elite",Config!$B$21,0)</f>
        <v>0</v>
      </c>
      <c r="AA51" s="40" t="str">
        <f>IFERROR(IF(OR($W51="",$H51=""),"",IF($W51&gt;$H51,
  MAX(0, 60-(($W51-$H51)*24/Config!$B$19)*60),
  MIN(100, 60+(($H51-$W51)*24/Config!$B$20)*40)
)),"")
</f>
        <v/>
      </c>
      <c r="AB51" s="40" t="str">
        <f>IF($K51="","",IFERROR(VLOOKUP($K51,Grinders!$A$4:$N$998,10,FALSE)/5*100,""))</f>
        <v/>
      </c>
      <c r="AC51" s="40" t="str">
        <f>IF($K51="","",IFERROR(VLOOKUP($K51,Grinders!$A$4:$N$998,11,FALSE)*100,""))</f>
        <v/>
      </c>
      <c r="AD51" s="40" t="str">
        <f>IF($K51="","",IFERROR(VLOOKUP($K51,Grinders!$A$4:$N$998,12,FALSE)*100,""))</f>
        <v/>
      </c>
      <c r="AE51" s="40" t="str">
        <f>IF(OR(AO51=1,AP51=1),0,=IFERROR(IFS(
    OR($C51="", $K51=""), 0,
    $F51=0, 0,
    $D51&lt;&gt;"Open", 0,
    COUNTIFS(GrinderServices!$A$6:$A$1000, $K51, GrinderServices!$B$6:$B$1000, $E51, GrinderServices!$D$6:$D$1000, "Y")=0, 0,
    $X51&lt;Config!$B$16, 0,
    Config!$B$18=1, IF($O51&gt;=N51, 0, 1),
    TRUE, 1
), "")
)</f>
        <v>#ERROR!</v>
      </c>
      <c r="AF51" s="40" t="str">
        <f>IFERROR((IF(OR(AO51=1,AP51=1),"",=IFERROR((IFERROR(IF($AE51=0,"",((Config!$B$6*$Y51 + Config!$B$7*$U51 + Config!$B$8*$Z51 + Config!$B$9*$AA51 + Config!$B$10*$AB51 + Config!$B$11*$AC51 - Config!$B$12*$AD51)/Config!$B$13)+$AK51+$AL51),""))*(1-IFERROR(VLOOKUP(K51,Grinders!$A:$AB, 28, FALSE),0)),"")))*(1+AR51),"")</f>
        <v>#ERROR!</v>
      </c>
      <c r="AG51" s="40" t="str">
        <f t="shared" si="6"/>
        <v>#ERROR!</v>
      </c>
      <c r="AH51" s="40" t="str">
        <f t="shared" si="7"/>
        <v/>
      </c>
      <c r="AI51" s="40" t="str">
        <f t="shared" si="8"/>
        <v/>
      </c>
      <c r="AJ51" s="40" t="str">
        <f>IF($K51="","",COUNTIF(Assignments!$B$6:$B$1000,$K51))</f>
        <v/>
      </c>
      <c r="AK51" s="40" t="str">
        <f>IF($K51="","",IF(AND($AJ51=0,$O51&lt;$N51),Config!$B$43,0))</f>
        <v/>
      </c>
      <c r="AL51" s="40" t="str">
        <f>IF($K51="","",IF(AND($M51="Elite",$G51&gt;=Config!$B$41,$O51&lt;$N51),Config!$B$42,0))</f>
        <v/>
      </c>
      <c r="AM51" s="22"/>
      <c r="AN51" s="39">
        <f>IFERROR(VLOOKUP(K51,Grinders!$A:$Q,28,FALSE),0)</f>
        <v>0</v>
      </c>
      <c r="AO51" s="39">
        <f>IF(Config!$B$1003&lt;&gt;"Y",0,IF(IFERROR(VLOOKUP(K51,Grinders!$A:$P,27,FALSE),0)&gt;=3,IF(OR(G51&gt;=Config!$B$1001,ISNUMBER(SEARCH(E51,Config!$B$1002))),1,0),0))</f>
        <v>0</v>
      </c>
      <c r="AP51" s="39">
        <f t="array" ref="AP51">IFERROR(IF(INDEX(Bids!$AE:$AE,MATCH(B51,Bids!$A:$A,0))="Pending",1,0),0)</f>
        <v>0</v>
      </c>
      <c r="AQ51" s="39" t="str">
        <f t="array" ref="AQ51">IF(C51="","",IFERROR(XLOOKUP(C51,Assignments!$C:$C,Assignments!$AU:$AU,0),0))</f>
        <v/>
      </c>
      <c r="AR51" s="39">
        <f>IF(AND(Config!$B$1006="Y",AQ51=1),Config!$B$1007,0)</f>
        <v>0</v>
      </c>
    </row>
    <row r="52" ht="15.75" customHeight="1">
      <c r="A52" s="46" t="str">
        <f t="shared" si="1"/>
        <v/>
      </c>
      <c r="B52" s="40" t="str">
        <f>IF(Bids!$A51="","",Bids!$A51)</f>
        <v/>
      </c>
      <c r="C52" s="40" t="str">
        <f>IF(Bids!$B51="","",Bids!$B51)</f>
        <v/>
      </c>
      <c r="D52" s="40" t="str">
        <f>IF($C52="","",IFERROR(VLOOKUP($C52,Orders!$A$4:$J$998,9,FALSE),""))</f>
        <v/>
      </c>
      <c r="E52" s="40" t="str">
        <f>IF($C52="","",IFERROR(VLOOKUP($C52,Orders!$A$4:$J$998,3,FALSE),""))</f>
        <v/>
      </c>
      <c r="F52" s="40">
        <f t="shared" si="2"/>
        <v>1</v>
      </c>
      <c r="G52" s="40" t="str">
        <f>IF($C52="","",IFERROR(VLOOKUP($C52,Orders!$A$4:$J$998,4,FALSE),""))</f>
        <v/>
      </c>
      <c r="H52" s="40" t="str">
        <f>IF($C52="","",IFERROR(VLOOKUP($C52,Orders!$A$4:$J$998,5,FALSE),""))</f>
        <v/>
      </c>
      <c r="I52" s="40" t="str">
        <f>IF($C52="","",IFERROR(VLOOKUP($C52,Orders!$A$4:$J$998,6,FALSE),""))</f>
        <v/>
      </c>
      <c r="J52" s="40" t="str">
        <f>IF($C52="","",IFERROR(VLOOKUP($C52,Orders!$A$4:$J$998,7,FALSE),""))</f>
        <v/>
      </c>
      <c r="K52" s="40" t="str">
        <f>IF(Bids!$C51="","",Bids!$C51)</f>
        <v/>
      </c>
      <c r="L52" s="40" t="str">
        <f>IF($K52="","",IFERROR(VLOOKUP($K52,Grinders!$A$4:$N$998,2,FALSE),""))</f>
        <v/>
      </c>
      <c r="M52" s="40" t="str">
        <f>IF($K52="","",IFERROR(VLOOKUP($K52,Grinders!$A$4:$N$998,3,FALSE),""))</f>
        <v/>
      </c>
      <c r="N52" s="40" t="str">
        <f>IF($K52="","",IFERROR(VLOOKUP($K52,Grinders!$A$4:$N$998,4,FALSE),""))</f>
        <v/>
      </c>
      <c r="O52" s="40" t="str">
        <f>IF($K52="","",IFERROR(VLOOKUP($K52,Grinders!$A$4:$N$998,5,FALSE),""))</f>
        <v/>
      </c>
      <c r="P52" s="40" t="str">
        <f>IF($K52="","",IF($C$4="",0,COUNTIFS(Assignments!$B$6:$B$1000,$K52,Assignments!$F$6:$F$1000,$C$4,Assignments!$E$6:$E$1000,"Active")))</f>
        <v/>
      </c>
      <c r="Q52" s="40" t="str">
        <f t="shared" si="3"/>
        <v/>
      </c>
      <c r="R52" s="40" t="str">
        <f t="shared" si="4"/>
        <v/>
      </c>
      <c r="S52" s="40" t="str">
        <f>IF($K52="","",IF($C$4="",0,COUNTIFS(Assignments!$B$6:$B$1000,$K52,Assignments!$F$6:$F$1000,$C$4,Assignments!$D$6:$D$1000,"&gt;="&amp;Config!$B$3-7,Assignments!$D$6:$D$1000,"&lt;="&amp;Config!$B$3)))</f>
        <v/>
      </c>
      <c r="T52" s="40" t="str">
        <f>IF($K52="","",IFERROR(VLOOKUP($K52,Grinders!$A$4:$N$998,8,FALSE),""))</f>
        <v/>
      </c>
      <c r="U52" s="40" t="str">
        <f>IFERROR(IF($K52="","",IF($M52="Elite",MAX(50,MIN(100,Config!$B$27*MAX(0,MIN(100,(1-IF($R52="",0,$R52))*100)) + Config!$B$28*MAX(0,MIN(100,(1-MIN(1,IF(Config!$B$30=0,1,$S52/Config!$B$30)))*100)) + Config!$B$29*MAX(0,MIN(100,MIN(1,IF($T52="",0,$T52)/Config!$B$23)*100)))),MIN(100,Config!$B$27*MAX(0,MIN(100,(1-IF($R52="",0,$R52))*100)) + Config!$B$28*MAX(0,MIN(100,(1-MIN(1,IF(Config!$B$30=0,1,$S52/Config!$B$30)))*100)) + Config!$B$29*MAX(0,MIN(100,MIN(1,IF($T52="",0,$T52)/Config!$B$23)*100))))),"")
</f>
        <v/>
      </c>
      <c r="V52" s="40" t="str">
        <f>IF(Bids!$AC52="","",Bids!$AC52)</f>
        <v/>
      </c>
      <c r="W52" s="40" t="str">
        <f>IF(Bids!$F51="","",Bids!$F51)</f>
        <v/>
      </c>
      <c r="X52" s="40" t="str">
        <f t="shared" si="5"/>
        <v/>
      </c>
      <c r="Y52" s="40" t="str">
        <f>IF($X52="","",IF(Config!$B$17=Config!$B$16,IF($X52&gt;=Config!$B$17,100,0),MAX(0,MIN(100,($X52-Config!$B$16)/(Config!$B$17-Config!$B$16)*100))))</f>
        <v/>
      </c>
      <c r="Z52" s="40">
        <f>IF($M52="Elite",Config!$B$21,0)</f>
        <v>0</v>
      </c>
      <c r="AA52" s="40" t="str">
        <f>IFERROR(IF(OR($W52="",$H52=""),"",IF($W52&gt;$H52,
  MAX(0, 60-(($W52-$H52)*24/Config!$B$19)*60),
  MIN(100, 60+(($H52-$W52)*24/Config!$B$20)*40)
)),"")
</f>
        <v/>
      </c>
      <c r="AB52" s="40" t="str">
        <f>IF($K52="","",IFERROR(VLOOKUP($K52,Grinders!$A$4:$N$998,10,FALSE)/5*100,""))</f>
        <v/>
      </c>
      <c r="AC52" s="40" t="str">
        <f>IF($K52="","",IFERROR(VLOOKUP($K52,Grinders!$A$4:$N$998,11,FALSE)*100,""))</f>
        <v/>
      </c>
      <c r="AD52" s="40" t="str">
        <f>IF($K52="","",IFERROR(VLOOKUP($K52,Grinders!$A$4:$N$998,12,FALSE)*100,""))</f>
        <v/>
      </c>
      <c r="AE52" s="40" t="str">
        <f>IF(OR(AO52=1,AP52=1),0,=IFERROR(IFS(
    OR($C52="", $K52=""), 0,
    $F52=0, 0,
    $D52&lt;&gt;"Open", 0,
    COUNTIFS(GrinderServices!$A$6:$A$1000, $K52, GrinderServices!$B$6:$B$1000, $E52, GrinderServices!$D$6:$D$1000, "Y")=0, 0,
    $X52&lt;Config!$B$16, 0,
    Config!$B$18=1, IF($O52&gt;=N52, 0, 1),
    TRUE, 1
), "")
)</f>
        <v>#ERROR!</v>
      </c>
      <c r="AF52" s="40" t="str">
        <f>IFERROR((IF(OR(AO52=1,AP52=1),"",=IFERROR((IFERROR(IF($AE52=0,"",((Config!$B$6*$Y52 + Config!$B$7*$U52 + Config!$B$8*$Z52 + Config!$B$9*$AA52 + Config!$B$10*$AB52 + Config!$B$11*$AC52 - Config!$B$12*$AD52)/Config!$B$13)+$AK52+$AL52),""))*(1-IFERROR(VLOOKUP(K52,Grinders!$A:$AB, 28, FALSE),0)),"")))*(1+AR52),"")</f>
        <v>#ERROR!</v>
      </c>
      <c r="AG52" s="40" t="str">
        <f t="shared" si="6"/>
        <v>#ERROR!</v>
      </c>
      <c r="AH52" s="40" t="str">
        <f t="shared" si="7"/>
        <v/>
      </c>
      <c r="AI52" s="40" t="str">
        <f t="shared" si="8"/>
        <v/>
      </c>
      <c r="AJ52" s="40" t="str">
        <f>IF($K52="","",COUNTIF(Assignments!$B$6:$B$1000,$K52))</f>
        <v/>
      </c>
      <c r="AK52" s="40" t="str">
        <f>IF($K52="","",IF(AND($AJ52=0,$O52&lt;$N52),Config!$B$43,0))</f>
        <v/>
      </c>
      <c r="AL52" s="40" t="str">
        <f>IF($K52="","",IF(AND($M52="Elite",$G52&gt;=Config!$B$41,$O52&lt;$N52),Config!$B$42,0))</f>
        <v/>
      </c>
      <c r="AM52" s="22"/>
      <c r="AN52" s="39">
        <f>IFERROR(VLOOKUP(K52,Grinders!$A:$Q,28,FALSE),0)</f>
        <v>0</v>
      </c>
      <c r="AO52" s="39">
        <f>IF(Config!$B$1003&lt;&gt;"Y",0,IF(IFERROR(VLOOKUP(K52,Grinders!$A:$P,27,FALSE),0)&gt;=3,IF(OR(G52&gt;=Config!$B$1001,ISNUMBER(SEARCH(E52,Config!$B$1002))),1,0),0))</f>
        <v>0</v>
      </c>
      <c r="AP52" s="39">
        <f t="array" ref="AP52">IFERROR(IF(INDEX(Bids!$AE:$AE,MATCH(B52,Bids!$A:$A,0))="Pending",1,0),0)</f>
        <v>0</v>
      </c>
      <c r="AQ52" s="39" t="str">
        <f t="array" ref="AQ52">IF(C52="","",IFERROR(XLOOKUP(C52,Assignments!$C:$C,Assignments!$AU:$AU,0),0))</f>
        <v/>
      </c>
      <c r="AR52" s="39">
        <f>IF(AND(Config!$B$1006="Y",AQ52=1),Config!$B$1007,0)</f>
        <v>0</v>
      </c>
    </row>
    <row r="53" ht="15.75" customHeight="1">
      <c r="A53" s="46" t="str">
        <f t="shared" si="1"/>
        <v/>
      </c>
      <c r="B53" s="40" t="str">
        <f>IF(Bids!$A52="","",Bids!$A52)</f>
        <v/>
      </c>
      <c r="C53" s="40" t="str">
        <f>IF(Bids!$B52="","",Bids!$B52)</f>
        <v/>
      </c>
      <c r="D53" s="40" t="str">
        <f>IF($C53="","",IFERROR(VLOOKUP($C53,Orders!$A$4:$J$998,9,FALSE),""))</f>
        <v/>
      </c>
      <c r="E53" s="40" t="str">
        <f>IF($C53="","",IFERROR(VLOOKUP($C53,Orders!$A$4:$J$998,3,FALSE),""))</f>
        <v/>
      </c>
      <c r="F53" s="40">
        <f t="shared" si="2"/>
        <v>1</v>
      </c>
      <c r="G53" s="40" t="str">
        <f>IF($C53="","",IFERROR(VLOOKUP($C53,Orders!$A$4:$J$998,4,FALSE),""))</f>
        <v/>
      </c>
      <c r="H53" s="40" t="str">
        <f>IF($C53="","",IFERROR(VLOOKUP($C53,Orders!$A$4:$J$998,5,FALSE),""))</f>
        <v/>
      </c>
      <c r="I53" s="40" t="str">
        <f>IF($C53="","",IFERROR(VLOOKUP($C53,Orders!$A$4:$J$998,6,FALSE),""))</f>
        <v/>
      </c>
      <c r="J53" s="40" t="str">
        <f>IF($C53="","",IFERROR(VLOOKUP($C53,Orders!$A$4:$J$998,7,FALSE),""))</f>
        <v/>
      </c>
      <c r="K53" s="40" t="str">
        <f>IF(Bids!$C52="","",Bids!$C52)</f>
        <v/>
      </c>
      <c r="L53" s="40" t="str">
        <f>IF($K53="","",IFERROR(VLOOKUP($K53,Grinders!$A$4:$N$998,2,FALSE),""))</f>
        <v/>
      </c>
      <c r="M53" s="40" t="str">
        <f>IF($K53="","",IFERROR(VLOOKUP($K53,Grinders!$A$4:$N$998,3,FALSE),""))</f>
        <v/>
      </c>
      <c r="N53" s="40" t="str">
        <f>IF($K53="","",IFERROR(VLOOKUP($K53,Grinders!$A$4:$N$998,4,FALSE),""))</f>
        <v/>
      </c>
      <c r="O53" s="40" t="str">
        <f>IF($K53="","",IFERROR(VLOOKUP($K53,Grinders!$A$4:$N$998,5,FALSE),""))</f>
        <v/>
      </c>
      <c r="P53" s="40" t="str">
        <f>IF($K53="","",IF($C$4="",0,COUNTIFS(Assignments!$B$6:$B$1000,$K53,Assignments!$F$6:$F$1000,$C$4,Assignments!$E$6:$E$1000,"Active")))</f>
        <v/>
      </c>
      <c r="Q53" s="40" t="str">
        <f t="shared" si="3"/>
        <v/>
      </c>
      <c r="R53" s="40" t="str">
        <f t="shared" si="4"/>
        <v/>
      </c>
      <c r="S53" s="40" t="str">
        <f>IF($K53="","",IF($C$4="",0,COUNTIFS(Assignments!$B$6:$B$1000,$K53,Assignments!$F$6:$F$1000,$C$4,Assignments!$D$6:$D$1000,"&gt;="&amp;Config!$B$3-7,Assignments!$D$6:$D$1000,"&lt;="&amp;Config!$B$3)))</f>
        <v/>
      </c>
      <c r="T53" s="40" t="str">
        <f>IF($K53="","",IFERROR(VLOOKUP($K53,Grinders!$A$4:$N$998,8,FALSE),""))</f>
        <v/>
      </c>
      <c r="U53" s="40" t="str">
        <f>IFERROR(IF($K53="","",IF($M53="Elite",MAX(50,MIN(100,Config!$B$27*MAX(0,MIN(100,(1-IF($R53="",0,$R53))*100)) + Config!$B$28*MAX(0,MIN(100,(1-MIN(1,IF(Config!$B$30=0,1,$S53/Config!$B$30)))*100)) + Config!$B$29*MAX(0,MIN(100,MIN(1,IF($T53="",0,$T53)/Config!$B$23)*100)))),MIN(100,Config!$B$27*MAX(0,MIN(100,(1-IF($R53="",0,$R53))*100)) + Config!$B$28*MAX(0,MIN(100,(1-MIN(1,IF(Config!$B$30=0,1,$S53/Config!$B$30)))*100)) + Config!$B$29*MAX(0,MIN(100,MIN(1,IF($T53="",0,$T53)/Config!$B$23)*100))))),"")
</f>
        <v/>
      </c>
      <c r="V53" s="40" t="str">
        <f>IF(Bids!$AC53="","",Bids!$AC53)</f>
        <v/>
      </c>
      <c r="W53" s="40" t="str">
        <f>IF(Bids!$F52="","",Bids!$F52)</f>
        <v/>
      </c>
      <c r="X53" s="40" t="str">
        <f t="shared" si="5"/>
        <v/>
      </c>
      <c r="Y53" s="40" t="str">
        <f>IF($X53="","",IF(Config!$B$17=Config!$B$16,IF($X53&gt;=Config!$B$17,100,0),MAX(0,MIN(100,($X53-Config!$B$16)/(Config!$B$17-Config!$B$16)*100))))</f>
        <v/>
      </c>
      <c r="Z53" s="40">
        <f>IF($M53="Elite",Config!$B$21,0)</f>
        <v>0</v>
      </c>
      <c r="AA53" s="40" t="str">
        <f>IFERROR(IF(OR($W53="",$H53=""),"",IF($W53&gt;$H53,
  MAX(0, 60-(($W53-$H53)*24/Config!$B$19)*60),
  MIN(100, 60+(($H53-$W53)*24/Config!$B$20)*40)
)),"")
</f>
        <v/>
      </c>
      <c r="AB53" s="40" t="str">
        <f>IF($K53="","",IFERROR(VLOOKUP($K53,Grinders!$A$4:$N$998,10,FALSE)/5*100,""))</f>
        <v/>
      </c>
      <c r="AC53" s="40" t="str">
        <f>IF($K53="","",IFERROR(VLOOKUP($K53,Grinders!$A$4:$N$998,11,FALSE)*100,""))</f>
        <v/>
      </c>
      <c r="AD53" s="40" t="str">
        <f>IF($K53="","",IFERROR(VLOOKUP($K53,Grinders!$A$4:$N$998,12,FALSE)*100,""))</f>
        <v/>
      </c>
      <c r="AE53" s="40" t="str">
        <f>IF(OR(AO53=1,AP53=1),0,=IFERROR(IFS(
    OR($C53="", $K53=""), 0,
    $F53=0, 0,
    $D53&lt;&gt;"Open", 0,
    COUNTIFS(GrinderServices!$A$6:$A$1000, $K53, GrinderServices!$B$6:$B$1000, $E53, GrinderServices!$D$6:$D$1000, "Y")=0, 0,
    $X53&lt;Config!$B$16, 0,
    Config!$B$18=1, IF($O53&gt;=N53, 0, 1),
    TRUE, 1
), "")
)</f>
        <v>#ERROR!</v>
      </c>
      <c r="AF53" s="40" t="str">
        <f>IFERROR((IF(OR(AO53=1,AP53=1),"",=IFERROR((IFERROR(IF($AE53=0,"",((Config!$B$6*$Y53 + Config!$B$7*$U53 + Config!$B$8*$Z53 + Config!$B$9*$AA53 + Config!$B$10*$AB53 + Config!$B$11*$AC53 - Config!$B$12*$AD53)/Config!$B$13)+$AK53+$AL53),""))*(1-IFERROR(VLOOKUP(K53,Grinders!$A:$AB, 28, FALSE),0)),"")))*(1+AR53),"")</f>
        <v>#ERROR!</v>
      </c>
      <c r="AG53" s="40" t="str">
        <f t="shared" si="6"/>
        <v>#ERROR!</v>
      </c>
      <c r="AH53" s="40" t="str">
        <f t="shared" si="7"/>
        <v/>
      </c>
      <c r="AI53" s="40" t="str">
        <f t="shared" si="8"/>
        <v/>
      </c>
      <c r="AJ53" s="40" t="str">
        <f>IF($K53="","",COUNTIF(Assignments!$B$6:$B$1000,$K53))</f>
        <v/>
      </c>
      <c r="AK53" s="40" t="str">
        <f>IF($K53="","",IF(AND($AJ53=0,$O53&lt;$N53),Config!$B$43,0))</f>
        <v/>
      </c>
      <c r="AL53" s="40" t="str">
        <f>IF($K53="","",IF(AND($M53="Elite",$G53&gt;=Config!$B$41,$O53&lt;$N53),Config!$B$42,0))</f>
        <v/>
      </c>
      <c r="AM53" s="22"/>
      <c r="AN53" s="39">
        <f>IFERROR(VLOOKUP(K53,Grinders!$A:$Q,28,FALSE),0)</f>
        <v>0</v>
      </c>
      <c r="AO53" s="39">
        <f>IF(Config!$B$1003&lt;&gt;"Y",0,IF(IFERROR(VLOOKUP(K53,Grinders!$A:$P,27,FALSE),0)&gt;=3,IF(OR(G53&gt;=Config!$B$1001,ISNUMBER(SEARCH(E53,Config!$B$1002))),1,0),0))</f>
        <v>0</v>
      </c>
      <c r="AP53" s="39">
        <f t="array" ref="AP53">IFERROR(IF(INDEX(Bids!$AE:$AE,MATCH(B53,Bids!$A:$A,0))="Pending",1,0),0)</f>
        <v>0</v>
      </c>
      <c r="AQ53" s="39" t="str">
        <f t="array" ref="AQ53">IF(C53="","",IFERROR(XLOOKUP(C53,Assignments!$C:$C,Assignments!$AU:$AU,0),0))</f>
        <v/>
      </c>
      <c r="AR53" s="39">
        <f>IF(AND(Config!$B$1006="Y",AQ53=1),Config!$B$1007,0)</f>
        <v>0</v>
      </c>
    </row>
    <row r="54" ht="15.75" customHeight="1">
      <c r="A54" s="46" t="str">
        <f t="shared" si="1"/>
        <v/>
      </c>
      <c r="B54" s="40" t="str">
        <f>IF(Bids!$A53="","",Bids!$A53)</f>
        <v/>
      </c>
      <c r="C54" s="40" t="str">
        <f>IF(Bids!$B53="","",Bids!$B53)</f>
        <v/>
      </c>
      <c r="D54" s="40" t="str">
        <f>IF($C54="","",IFERROR(VLOOKUP($C54,Orders!$A$4:$J$998,9,FALSE),""))</f>
        <v/>
      </c>
      <c r="E54" s="40" t="str">
        <f>IF($C54="","",IFERROR(VLOOKUP($C54,Orders!$A$4:$J$998,3,FALSE),""))</f>
        <v/>
      </c>
      <c r="F54" s="40">
        <f t="shared" si="2"/>
        <v>1</v>
      </c>
      <c r="G54" s="40" t="str">
        <f>IF($C54="","",IFERROR(VLOOKUP($C54,Orders!$A$4:$J$998,4,FALSE),""))</f>
        <v/>
      </c>
      <c r="H54" s="40" t="str">
        <f>IF($C54="","",IFERROR(VLOOKUP($C54,Orders!$A$4:$J$998,5,FALSE),""))</f>
        <v/>
      </c>
      <c r="I54" s="40" t="str">
        <f>IF($C54="","",IFERROR(VLOOKUP($C54,Orders!$A$4:$J$998,6,FALSE),""))</f>
        <v/>
      </c>
      <c r="J54" s="40" t="str">
        <f>IF($C54="","",IFERROR(VLOOKUP($C54,Orders!$A$4:$J$998,7,FALSE),""))</f>
        <v/>
      </c>
      <c r="K54" s="40" t="str">
        <f>IF(Bids!$C53="","",Bids!$C53)</f>
        <v/>
      </c>
      <c r="L54" s="40" t="str">
        <f>IF($K54="","",IFERROR(VLOOKUP($K54,Grinders!$A$4:$N$998,2,FALSE),""))</f>
        <v/>
      </c>
      <c r="M54" s="40" t="str">
        <f>IF($K54="","",IFERROR(VLOOKUP($K54,Grinders!$A$4:$N$998,3,FALSE),""))</f>
        <v/>
      </c>
      <c r="N54" s="40" t="str">
        <f>IF($K54="","",IFERROR(VLOOKUP($K54,Grinders!$A$4:$N$998,4,FALSE),""))</f>
        <v/>
      </c>
      <c r="O54" s="40" t="str">
        <f>IF($K54="","",IFERROR(VLOOKUP($K54,Grinders!$A$4:$N$998,5,FALSE),""))</f>
        <v/>
      </c>
      <c r="P54" s="40" t="str">
        <f>IF($K54="","",IF($C$4="",0,COUNTIFS(Assignments!$B$6:$B$1000,$K54,Assignments!$F$6:$F$1000,$C$4,Assignments!$E$6:$E$1000,"Active")))</f>
        <v/>
      </c>
      <c r="Q54" s="40" t="str">
        <f t="shared" si="3"/>
        <v/>
      </c>
      <c r="R54" s="40" t="str">
        <f t="shared" si="4"/>
        <v/>
      </c>
      <c r="S54" s="40" t="str">
        <f>IF($K54="","",IF($C$4="",0,COUNTIFS(Assignments!$B$6:$B$1000,$K54,Assignments!$F$6:$F$1000,$C$4,Assignments!$D$6:$D$1000,"&gt;="&amp;Config!$B$3-7,Assignments!$D$6:$D$1000,"&lt;="&amp;Config!$B$3)))</f>
        <v/>
      </c>
      <c r="T54" s="40" t="str">
        <f>IF($K54="","",IFERROR(VLOOKUP($K54,Grinders!$A$4:$N$998,8,FALSE),""))</f>
        <v/>
      </c>
      <c r="U54" s="40" t="str">
        <f>IFERROR(IF($K54="","",IF($M54="Elite",MAX(50,MIN(100,Config!$B$27*MAX(0,MIN(100,(1-IF($R54="",0,$R54))*100)) + Config!$B$28*MAX(0,MIN(100,(1-MIN(1,IF(Config!$B$30=0,1,$S54/Config!$B$30)))*100)) + Config!$B$29*MAX(0,MIN(100,MIN(1,IF($T54="",0,$T54)/Config!$B$23)*100)))),MIN(100,Config!$B$27*MAX(0,MIN(100,(1-IF($R54="",0,$R54))*100)) + Config!$B$28*MAX(0,MIN(100,(1-MIN(1,IF(Config!$B$30=0,1,$S54/Config!$B$30)))*100)) + Config!$B$29*MAX(0,MIN(100,MIN(1,IF($T54="",0,$T54)/Config!$B$23)*100))))),"")
</f>
        <v/>
      </c>
      <c r="V54" s="40" t="str">
        <f>IF(Bids!$AC54="","",Bids!$AC54)</f>
        <v/>
      </c>
      <c r="W54" s="40" t="str">
        <f>IF(Bids!$F53="","",Bids!$F53)</f>
        <v/>
      </c>
      <c r="X54" s="40" t="str">
        <f t="shared" si="5"/>
        <v/>
      </c>
      <c r="Y54" s="40" t="str">
        <f>IF($X54="","",IF(Config!$B$17=Config!$B$16,IF($X54&gt;=Config!$B$17,100,0),MAX(0,MIN(100,($X54-Config!$B$16)/(Config!$B$17-Config!$B$16)*100))))</f>
        <v/>
      </c>
      <c r="Z54" s="40">
        <f>IF($M54="Elite",Config!$B$21,0)</f>
        <v>0</v>
      </c>
      <c r="AA54" s="40" t="str">
        <f>IFERROR(IF(OR($W54="",$H54=""),"",IF($W54&gt;$H54,
  MAX(0, 60-(($W54-$H54)*24/Config!$B$19)*60),
  MIN(100, 60+(($H54-$W54)*24/Config!$B$20)*40)
)),"")
</f>
        <v/>
      </c>
      <c r="AB54" s="40" t="str">
        <f>IF($K54="","",IFERROR(VLOOKUP($K54,Grinders!$A$4:$N$998,10,FALSE)/5*100,""))</f>
        <v/>
      </c>
      <c r="AC54" s="40" t="str">
        <f>IF($K54="","",IFERROR(VLOOKUP($K54,Grinders!$A$4:$N$998,11,FALSE)*100,""))</f>
        <v/>
      </c>
      <c r="AD54" s="40" t="str">
        <f>IF($K54="","",IFERROR(VLOOKUP($K54,Grinders!$A$4:$N$998,12,FALSE)*100,""))</f>
        <v/>
      </c>
      <c r="AE54" s="40" t="str">
        <f>IF(OR(AO54=1,AP54=1),0,=IFERROR(IFS(
    OR($C54="", $K54=""), 0,
    $F54=0, 0,
    $D54&lt;&gt;"Open", 0,
    COUNTIFS(GrinderServices!$A$6:$A$1000, $K54, GrinderServices!$B$6:$B$1000, $E54, GrinderServices!$D$6:$D$1000, "Y")=0, 0,
    $X54&lt;Config!$B$16, 0,
    Config!$B$18=1, IF($O54&gt;=N54, 0, 1),
    TRUE, 1
), "")
)</f>
        <v>#ERROR!</v>
      </c>
      <c r="AF54" s="40" t="str">
        <f>IFERROR((IF(OR(AO54=1,AP54=1),"",=IFERROR((IFERROR(IF($AE54=0,"",((Config!$B$6*$Y54 + Config!$B$7*$U54 + Config!$B$8*$Z54 + Config!$B$9*$AA54 + Config!$B$10*$AB54 + Config!$B$11*$AC54 - Config!$B$12*$AD54)/Config!$B$13)+$AK54+$AL54),""))*(1-IFERROR(VLOOKUP(K54,Grinders!$A:$AB, 28, FALSE),0)),"")))*(1+AR54),"")</f>
        <v>#ERROR!</v>
      </c>
      <c r="AG54" s="40" t="str">
        <f t="shared" si="6"/>
        <v>#ERROR!</v>
      </c>
      <c r="AH54" s="40" t="str">
        <f t="shared" si="7"/>
        <v/>
      </c>
      <c r="AI54" s="40" t="str">
        <f t="shared" si="8"/>
        <v/>
      </c>
      <c r="AJ54" s="40" t="str">
        <f>IF($K54="","",COUNTIF(Assignments!$B$6:$B$1000,$K54))</f>
        <v/>
      </c>
      <c r="AK54" s="40" t="str">
        <f>IF($K54="","",IF(AND($AJ54=0,$O54&lt;$N54),Config!$B$43,0))</f>
        <v/>
      </c>
      <c r="AL54" s="40" t="str">
        <f>IF($K54="","",IF(AND($M54="Elite",$G54&gt;=Config!$B$41,$O54&lt;$N54),Config!$B$42,0))</f>
        <v/>
      </c>
      <c r="AM54" s="22"/>
      <c r="AN54" s="39">
        <f>IFERROR(VLOOKUP(K54,Grinders!$A:$Q,28,FALSE),0)</f>
        <v>0</v>
      </c>
      <c r="AO54" s="39">
        <f>IF(Config!$B$1003&lt;&gt;"Y",0,IF(IFERROR(VLOOKUP(K54,Grinders!$A:$P,27,FALSE),0)&gt;=3,IF(OR(G54&gt;=Config!$B$1001,ISNUMBER(SEARCH(E54,Config!$B$1002))),1,0),0))</f>
        <v>0</v>
      </c>
      <c r="AP54" s="39">
        <f t="array" ref="AP54">IFERROR(IF(INDEX(Bids!$AE:$AE,MATCH(B54,Bids!$A:$A,0))="Pending",1,0),0)</f>
        <v>0</v>
      </c>
      <c r="AQ54" s="39" t="str">
        <f t="array" ref="AQ54">IF(C54="","",IFERROR(XLOOKUP(C54,Assignments!$C:$C,Assignments!$AU:$AU,0),0))</f>
        <v/>
      </c>
      <c r="AR54" s="39">
        <f>IF(AND(Config!$B$1006="Y",AQ54=1),Config!$B$1007,0)</f>
        <v>0</v>
      </c>
    </row>
    <row r="55" ht="15.75" customHeight="1">
      <c r="A55" s="46" t="str">
        <f t="shared" si="1"/>
        <v/>
      </c>
      <c r="B55" s="40" t="str">
        <f>IF(Bids!$A54="","",Bids!$A54)</f>
        <v/>
      </c>
      <c r="C55" s="40" t="str">
        <f>IF(Bids!$B54="","",Bids!$B54)</f>
        <v/>
      </c>
      <c r="D55" s="40" t="str">
        <f>IF($C55="","",IFERROR(VLOOKUP($C55,Orders!$A$4:$J$998,9,FALSE),""))</f>
        <v/>
      </c>
      <c r="E55" s="40" t="str">
        <f>IF($C55="","",IFERROR(VLOOKUP($C55,Orders!$A$4:$J$998,3,FALSE),""))</f>
        <v/>
      </c>
      <c r="F55" s="40">
        <f t="shared" si="2"/>
        <v>1</v>
      </c>
      <c r="G55" s="40" t="str">
        <f>IF($C55="","",IFERROR(VLOOKUP($C55,Orders!$A$4:$J$998,4,FALSE),""))</f>
        <v/>
      </c>
      <c r="H55" s="40" t="str">
        <f>IF($C55="","",IFERROR(VLOOKUP($C55,Orders!$A$4:$J$998,5,FALSE),""))</f>
        <v/>
      </c>
      <c r="I55" s="40" t="str">
        <f>IF($C55="","",IFERROR(VLOOKUP($C55,Orders!$A$4:$J$998,6,FALSE),""))</f>
        <v/>
      </c>
      <c r="J55" s="40" t="str">
        <f>IF($C55="","",IFERROR(VLOOKUP($C55,Orders!$A$4:$J$998,7,FALSE),""))</f>
        <v/>
      </c>
      <c r="K55" s="40" t="str">
        <f>IF(Bids!$C54="","",Bids!$C54)</f>
        <v/>
      </c>
      <c r="L55" s="40" t="str">
        <f>IF($K55="","",IFERROR(VLOOKUP($K55,Grinders!$A$4:$N$998,2,FALSE),""))</f>
        <v/>
      </c>
      <c r="M55" s="40" t="str">
        <f>IF($K55="","",IFERROR(VLOOKUP($K55,Grinders!$A$4:$N$998,3,FALSE),""))</f>
        <v/>
      </c>
      <c r="N55" s="40" t="str">
        <f>IF($K55="","",IFERROR(VLOOKUP($K55,Grinders!$A$4:$N$998,4,FALSE),""))</f>
        <v/>
      </c>
      <c r="O55" s="40" t="str">
        <f>IF($K55="","",IFERROR(VLOOKUP($K55,Grinders!$A$4:$N$998,5,FALSE),""))</f>
        <v/>
      </c>
      <c r="P55" s="40" t="str">
        <f>IF($K55="","",IF($C$4="",0,COUNTIFS(Assignments!$B$6:$B$1000,$K55,Assignments!$F$6:$F$1000,$C$4,Assignments!$E$6:$E$1000,"Active")))</f>
        <v/>
      </c>
      <c r="Q55" s="40" t="str">
        <f t="shared" si="3"/>
        <v/>
      </c>
      <c r="R55" s="40" t="str">
        <f t="shared" si="4"/>
        <v/>
      </c>
      <c r="S55" s="40" t="str">
        <f>IF($K55="","",IF($C$4="",0,COUNTIFS(Assignments!$B$6:$B$1000,$K55,Assignments!$F$6:$F$1000,$C$4,Assignments!$D$6:$D$1000,"&gt;="&amp;Config!$B$3-7,Assignments!$D$6:$D$1000,"&lt;="&amp;Config!$B$3)))</f>
        <v/>
      </c>
      <c r="T55" s="40" t="str">
        <f>IF($K55="","",IFERROR(VLOOKUP($K55,Grinders!$A$4:$N$998,8,FALSE),""))</f>
        <v/>
      </c>
      <c r="U55" s="40" t="str">
        <f>IFERROR(IF($K55="","",IF($M55="Elite",MAX(50,MIN(100,Config!$B$27*MAX(0,MIN(100,(1-IF($R55="",0,$R55))*100)) + Config!$B$28*MAX(0,MIN(100,(1-MIN(1,IF(Config!$B$30=0,1,$S55/Config!$B$30)))*100)) + Config!$B$29*MAX(0,MIN(100,MIN(1,IF($T55="",0,$T55)/Config!$B$23)*100)))),MIN(100,Config!$B$27*MAX(0,MIN(100,(1-IF($R55="",0,$R55))*100)) + Config!$B$28*MAX(0,MIN(100,(1-MIN(1,IF(Config!$B$30=0,1,$S55/Config!$B$30)))*100)) + Config!$B$29*MAX(0,MIN(100,MIN(1,IF($T55="",0,$T55)/Config!$B$23)*100))))),"")
</f>
        <v/>
      </c>
      <c r="V55" s="40" t="str">
        <f>IF(Bids!$AC55="","",Bids!$AC55)</f>
        <v/>
      </c>
      <c r="W55" s="40" t="str">
        <f>IF(Bids!$F54="","",Bids!$F54)</f>
        <v/>
      </c>
      <c r="X55" s="40" t="str">
        <f t="shared" si="5"/>
        <v/>
      </c>
      <c r="Y55" s="40" t="str">
        <f>IF($X55="","",IF(Config!$B$17=Config!$B$16,IF($X55&gt;=Config!$B$17,100,0),MAX(0,MIN(100,($X55-Config!$B$16)/(Config!$B$17-Config!$B$16)*100))))</f>
        <v/>
      </c>
      <c r="Z55" s="40">
        <f>IF($M55="Elite",Config!$B$21,0)</f>
        <v>0</v>
      </c>
      <c r="AA55" s="40" t="str">
        <f>IFERROR(IF(OR($W55="",$H55=""),"",IF($W55&gt;$H55,
  MAX(0, 60-(($W55-$H55)*24/Config!$B$19)*60),
  MIN(100, 60+(($H55-$W55)*24/Config!$B$20)*40)
)),"")
</f>
        <v/>
      </c>
      <c r="AB55" s="40" t="str">
        <f>IF($K55="","",IFERROR(VLOOKUP($K55,Grinders!$A$4:$N$998,10,FALSE)/5*100,""))</f>
        <v/>
      </c>
      <c r="AC55" s="40" t="str">
        <f>IF($K55="","",IFERROR(VLOOKUP($K55,Grinders!$A$4:$N$998,11,FALSE)*100,""))</f>
        <v/>
      </c>
      <c r="AD55" s="40" t="str">
        <f>IF($K55="","",IFERROR(VLOOKUP($K55,Grinders!$A$4:$N$998,12,FALSE)*100,""))</f>
        <v/>
      </c>
      <c r="AE55" s="40" t="str">
        <f>IF(OR(AO55=1,AP55=1),0,=IFERROR(IFS(
    OR($C55="", $K55=""), 0,
    $F55=0, 0,
    $D55&lt;&gt;"Open", 0,
    COUNTIFS(GrinderServices!$A$6:$A$1000, $K55, GrinderServices!$B$6:$B$1000, $E55, GrinderServices!$D$6:$D$1000, "Y")=0, 0,
    $X55&lt;Config!$B$16, 0,
    Config!$B$18=1, IF($O55&gt;=N55, 0, 1),
    TRUE, 1
), "")
)</f>
        <v>#ERROR!</v>
      </c>
      <c r="AF55" s="40" t="str">
        <f>IFERROR((IF(OR(AO55=1,AP55=1),"",=IFERROR((IFERROR(IF($AE55=0,"",((Config!$B$6*$Y55 + Config!$B$7*$U55 + Config!$B$8*$Z55 + Config!$B$9*$AA55 + Config!$B$10*$AB55 + Config!$B$11*$AC55 - Config!$B$12*$AD55)/Config!$B$13)+$AK55+$AL55),""))*(1-IFERROR(VLOOKUP(K55,Grinders!$A:$AB, 28, FALSE),0)),"")))*(1+AR55),"")</f>
        <v>#ERROR!</v>
      </c>
      <c r="AG55" s="40" t="str">
        <f t="shared" si="6"/>
        <v>#ERROR!</v>
      </c>
      <c r="AH55" s="40" t="str">
        <f t="shared" si="7"/>
        <v/>
      </c>
      <c r="AI55" s="40" t="str">
        <f t="shared" si="8"/>
        <v/>
      </c>
      <c r="AJ55" s="40" t="str">
        <f>IF($K55="","",COUNTIF(Assignments!$B$6:$B$1000,$K55))</f>
        <v/>
      </c>
      <c r="AK55" s="40" t="str">
        <f>IF($K55="","",IF(AND($AJ55=0,$O55&lt;$N55),Config!$B$43,0))</f>
        <v/>
      </c>
      <c r="AL55" s="40" t="str">
        <f>IF($K55="","",IF(AND($M55="Elite",$G55&gt;=Config!$B$41,$O55&lt;$N55),Config!$B$42,0))</f>
        <v/>
      </c>
      <c r="AM55" s="22"/>
      <c r="AN55" s="39">
        <f>IFERROR(VLOOKUP(K55,Grinders!$A:$Q,28,FALSE),0)</f>
        <v>0</v>
      </c>
      <c r="AO55" s="39">
        <f>IF(Config!$B$1003&lt;&gt;"Y",0,IF(IFERROR(VLOOKUP(K55,Grinders!$A:$P,27,FALSE),0)&gt;=3,IF(OR(G55&gt;=Config!$B$1001,ISNUMBER(SEARCH(E55,Config!$B$1002))),1,0),0))</f>
        <v>0</v>
      </c>
      <c r="AP55" s="39">
        <f t="array" ref="AP55">IFERROR(IF(INDEX(Bids!$AE:$AE,MATCH(B55,Bids!$A:$A,0))="Pending",1,0),0)</f>
        <v>0</v>
      </c>
      <c r="AQ55" s="39" t="str">
        <f t="array" ref="AQ55">IF(C55="","",IFERROR(XLOOKUP(C55,Assignments!$C:$C,Assignments!$AU:$AU,0),0))</f>
        <v/>
      </c>
      <c r="AR55" s="39">
        <f>IF(AND(Config!$B$1006="Y",AQ55=1),Config!$B$1007,0)</f>
        <v>0</v>
      </c>
    </row>
    <row r="56" ht="15.75" customHeight="1">
      <c r="A56" s="46" t="str">
        <f t="shared" si="1"/>
        <v/>
      </c>
      <c r="B56" s="40" t="str">
        <f>IF(Bids!$A55="","",Bids!$A55)</f>
        <v/>
      </c>
      <c r="C56" s="40" t="str">
        <f>IF(Bids!$B55="","",Bids!$B55)</f>
        <v/>
      </c>
      <c r="D56" s="40" t="str">
        <f>IF($C56="","",IFERROR(VLOOKUP($C56,Orders!$A$4:$J$998,9,FALSE),""))</f>
        <v/>
      </c>
      <c r="E56" s="40" t="str">
        <f>IF($C56="","",IFERROR(VLOOKUP($C56,Orders!$A$4:$J$998,3,FALSE),""))</f>
        <v/>
      </c>
      <c r="F56" s="40">
        <f t="shared" si="2"/>
        <v>1</v>
      </c>
      <c r="G56" s="40" t="str">
        <f>IF($C56="","",IFERROR(VLOOKUP($C56,Orders!$A$4:$J$998,4,FALSE),""))</f>
        <v/>
      </c>
      <c r="H56" s="40" t="str">
        <f>IF($C56="","",IFERROR(VLOOKUP($C56,Orders!$A$4:$J$998,5,FALSE),""))</f>
        <v/>
      </c>
      <c r="I56" s="40" t="str">
        <f>IF($C56="","",IFERROR(VLOOKUP($C56,Orders!$A$4:$J$998,6,FALSE),""))</f>
        <v/>
      </c>
      <c r="J56" s="40" t="str">
        <f>IF($C56="","",IFERROR(VLOOKUP($C56,Orders!$A$4:$J$998,7,FALSE),""))</f>
        <v/>
      </c>
      <c r="K56" s="40" t="str">
        <f>IF(Bids!$C55="","",Bids!$C55)</f>
        <v/>
      </c>
      <c r="L56" s="40" t="str">
        <f>IF($K56="","",IFERROR(VLOOKUP($K56,Grinders!$A$4:$N$998,2,FALSE),""))</f>
        <v/>
      </c>
      <c r="M56" s="40" t="str">
        <f>IF($K56="","",IFERROR(VLOOKUP($K56,Grinders!$A$4:$N$998,3,FALSE),""))</f>
        <v/>
      </c>
      <c r="N56" s="40" t="str">
        <f>IF($K56="","",IFERROR(VLOOKUP($K56,Grinders!$A$4:$N$998,4,FALSE),""))</f>
        <v/>
      </c>
      <c r="O56" s="40" t="str">
        <f>IF($K56="","",IFERROR(VLOOKUP($K56,Grinders!$A$4:$N$998,5,FALSE),""))</f>
        <v/>
      </c>
      <c r="P56" s="40" t="str">
        <f>IF($K56="","",IF($C$4="",0,COUNTIFS(Assignments!$B$6:$B$1000,$K56,Assignments!$F$6:$F$1000,$C$4,Assignments!$E$6:$E$1000,"Active")))</f>
        <v/>
      </c>
      <c r="Q56" s="40" t="str">
        <f t="shared" si="3"/>
        <v/>
      </c>
      <c r="R56" s="40" t="str">
        <f t="shared" si="4"/>
        <v/>
      </c>
      <c r="S56" s="40" t="str">
        <f>IF($K56="","",IF($C$4="",0,COUNTIFS(Assignments!$B$6:$B$1000,$K56,Assignments!$F$6:$F$1000,$C$4,Assignments!$D$6:$D$1000,"&gt;="&amp;Config!$B$3-7,Assignments!$D$6:$D$1000,"&lt;="&amp;Config!$B$3)))</f>
        <v/>
      </c>
      <c r="T56" s="40" t="str">
        <f>IF($K56="","",IFERROR(VLOOKUP($K56,Grinders!$A$4:$N$998,8,FALSE),""))</f>
        <v/>
      </c>
      <c r="U56" s="40" t="str">
        <f>IFERROR(IF($K56="","",IF($M56="Elite",MAX(50,MIN(100,Config!$B$27*MAX(0,MIN(100,(1-IF($R56="",0,$R56))*100)) + Config!$B$28*MAX(0,MIN(100,(1-MIN(1,IF(Config!$B$30=0,1,$S56/Config!$B$30)))*100)) + Config!$B$29*MAX(0,MIN(100,MIN(1,IF($T56="",0,$T56)/Config!$B$23)*100)))),MIN(100,Config!$B$27*MAX(0,MIN(100,(1-IF($R56="",0,$R56))*100)) + Config!$B$28*MAX(0,MIN(100,(1-MIN(1,IF(Config!$B$30=0,1,$S56/Config!$B$30)))*100)) + Config!$B$29*MAX(0,MIN(100,MIN(1,IF($T56="",0,$T56)/Config!$B$23)*100))))),"")
</f>
        <v/>
      </c>
      <c r="V56" s="40" t="str">
        <f>IF(Bids!$AC56="","",Bids!$AC56)</f>
        <v/>
      </c>
      <c r="W56" s="40" t="str">
        <f>IF(Bids!$F55="","",Bids!$F55)</f>
        <v/>
      </c>
      <c r="X56" s="40" t="str">
        <f t="shared" si="5"/>
        <v/>
      </c>
      <c r="Y56" s="40" t="str">
        <f>IF($X56="","",IF(Config!$B$17=Config!$B$16,IF($X56&gt;=Config!$B$17,100,0),MAX(0,MIN(100,($X56-Config!$B$16)/(Config!$B$17-Config!$B$16)*100))))</f>
        <v/>
      </c>
      <c r="Z56" s="40">
        <f>IF($M56="Elite",Config!$B$21,0)</f>
        <v>0</v>
      </c>
      <c r="AA56" s="40" t="str">
        <f>IFERROR(IF(OR($W56="",$H56=""),"",IF($W56&gt;$H56,
  MAX(0, 60-(($W56-$H56)*24/Config!$B$19)*60),
  MIN(100, 60+(($H56-$W56)*24/Config!$B$20)*40)
)),"")
</f>
        <v/>
      </c>
      <c r="AB56" s="40" t="str">
        <f>IF($K56="","",IFERROR(VLOOKUP($K56,Grinders!$A$4:$N$998,10,FALSE)/5*100,""))</f>
        <v/>
      </c>
      <c r="AC56" s="40" t="str">
        <f>IF($K56="","",IFERROR(VLOOKUP($K56,Grinders!$A$4:$N$998,11,FALSE)*100,""))</f>
        <v/>
      </c>
      <c r="AD56" s="40" t="str">
        <f>IF($K56="","",IFERROR(VLOOKUP($K56,Grinders!$A$4:$N$998,12,FALSE)*100,""))</f>
        <v/>
      </c>
      <c r="AE56" s="40" t="str">
        <f>IF(OR(AO56=1,AP56=1),0,=IFERROR(IFS(
    OR($C56="", $K56=""), 0,
    $F56=0, 0,
    $D56&lt;&gt;"Open", 0,
    COUNTIFS(GrinderServices!$A$6:$A$1000, $K56, GrinderServices!$B$6:$B$1000, $E56, GrinderServices!$D$6:$D$1000, "Y")=0, 0,
    $X56&lt;Config!$B$16, 0,
    Config!$B$18=1, IF($O56&gt;=N56, 0, 1),
    TRUE, 1
), "")
)</f>
        <v>#ERROR!</v>
      </c>
      <c r="AF56" s="40" t="str">
        <f>IFERROR((IF(OR(AO56=1,AP56=1),"",=IFERROR((IFERROR(IF($AE56=0,"",((Config!$B$6*$Y56 + Config!$B$7*$U56 + Config!$B$8*$Z56 + Config!$B$9*$AA56 + Config!$B$10*$AB56 + Config!$B$11*$AC56 - Config!$B$12*$AD56)/Config!$B$13)+$AK56+$AL56),""))*(1-IFERROR(VLOOKUP(K56,Grinders!$A:$AB, 28, FALSE),0)),"")))*(1+AR56),"")</f>
        <v>#ERROR!</v>
      </c>
      <c r="AG56" s="40" t="str">
        <f t="shared" si="6"/>
        <v>#ERROR!</v>
      </c>
      <c r="AH56" s="40" t="str">
        <f t="shared" si="7"/>
        <v/>
      </c>
      <c r="AI56" s="40" t="str">
        <f t="shared" si="8"/>
        <v/>
      </c>
      <c r="AJ56" s="40" t="str">
        <f>IF($K56="","",COUNTIF(Assignments!$B$6:$B$1000,$K56))</f>
        <v/>
      </c>
      <c r="AK56" s="40" t="str">
        <f>IF($K56="","",IF(AND($AJ56=0,$O56&lt;$N56),Config!$B$43,0))</f>
        <v/>
      </c>
      <c r="AL56" s="40" t="str">
        <f>IF($K56="","",IF(AND($M56="Elite",$G56&gt;=Config!$B$41,$O56&lt;$N56),Config!$B$42,0))</f>
        <v/>
      </c>
      <c r="AM56" s="22"/>
      <c r="AN56" s="39">
        <f>IFERROR(VLOOKUP(K56,Grinders!$A:$Q,28,FALSE),0)</f>
        <v>0</v>
      </c>
      <c r="AO56" s="39">
        <f>IF(Config!$B$1003&lt;&gt;"Y",0,IF(IFERROR(VLOOKUP(K56,Grinders!$A:$P,27,FALSE),0)&gt;=3,IF(OR(G56&gt;=Config!$B$1001,ISNUMBER(SEARCH(E56,Config!$B$1002))),1,0),0))</f>
        <v>0</v>
      </c>
      <c r="AP56" s="39">
        <f t="array" ref="AP56">IFERROR(IF(INDEX(Bids!$AE:$AE,MATCH(B56,Bids!$A:$A,0))="Pending",1,0),0)</f>
        <v>0</v>
      </c>
      <c r="AQ56" s="39" t="str">
        <f t="array" ref="AQ56">IF(C56="","",IFERROR(XLOOKUP(C56,Assignments!$C:$C,Assignments!$AU:$AU,0),0))</f>
        <v/>
      </c>
      <c r="AR56" s="39">
        <f>IF(AND(Config!$B$1006="Y",AQ56=1),Config!$B$1007,0)</f>
        <v>0</v>
      </c>
    </row>
    <row r="57" ht="15.75" customHeight="1">
      <c r="A57" s="46" t="str">
        <f t="shared" si="1"/>
        <v/>
      </c>
      <c r="B57" s="40" t="str">
        <f>IF(Bids!$A56="","",Bids!$A56)</f>
        <v/>
      </c>
      <c r="C57" s="40" t="str">
        <f>IF(Bids!$B56="","",Bids!$B56)</f>
        <v/>
      </c>
      <c r="D57" s="40" t="str">
        <f>IF($C57="","",IFERROR(VLOOKUP($C57,Orders!$A$4:$J$998,9,FALSE),""))</f>
        <v/>
      </c>
      <c r="E57" s="40" t="str">
        <f>IF($C57="","",IFERROR(VLOOKUP($C57,Orders!$A$4:$J$998,3,FALSE),""))</f>
        <v/>
      </c>
      <c r="F57" s="40">
        <f t="shared" si="2"/>
        <v>1</v>
      </c>
      <c r="G57" s="40" t="str">
        <f>IF($C57="","",IFERROR(VLOOKUP($C57,Orders!$A$4:$J$998,4,FALSE),""))</f>
        <v/>
      </c>
      <c r="H57" s="40" t="str">
        <f>IF($C57="","",IFERROR(VLOOKUP($C57,Orders!$A$4:$J$998,5,FALSE),""))</f>
        <v/>
      </c>
      <c r="I57" s="40" t="str">
        <f>IF($C57="","",IFERROR(VLOOKUP($C57,Orders!$A$4:$J$998,6,FALSE),""))</f>
        <v/>
      </c>
      <c r="J57" s="40" t="str">
        <f>IF($C57="","",IFERROR(VLOOKUP($C57,Orders!$A$4:$J$998,7,FALSE),""))</f>
        <v/>
      </c>
      <c r="K57" s="40" t="str">
        <f>IF(Bids!$C56="","",Bids!$C56)</f>
        <v/>
      </c>
      <c r="L57" s="40" t="str">
        <f>IF($K57="","",IFERROR(VLOOKUP($K57,Grinders!$A$4:$N$998,2,FALSE),""))</f>
        <v/>
      </c>
      <c r="M57" s="40" t="str">
        <f>IF($K57="","",IFERROR(VLOOKUP($K57,Grinders!$A$4:$N$998,3,FALSE),""))</f>
        <v/>
      </c>
      <c r="N57" s="40" t="str">
        <f>IF($K57="","",IFERROR(VLOOKUP($K57,Grinders!$A$4:$N$998,4,FALSE),""))</f>
        <v/>
      </c>
      <c r="O57" s="40" t="str">
        <f>IF($K57="","",IFERROR(VLOOKUP($K57,Grinders!$A$4:$N$998,5,FALSE),""))</f>
        <v/>
      </c>
      <c r="P57" s="40" t="str">
        <f>IF($K57="","",IF($C$4="",0,COUNTIFS(Assignments!$B$6:$B$1000,$K57,Assignments!$F$6:$F$1000,$C$4,Assignments!$E$6:$E$1000,"Active")))</f>
        <v/>
      </c>
      <c r="Q57" s="40" t="str">
        <f t="shared" si="3"/>
        <v/>
      </c>
      <c r="R57" s="40" t="str">
        <f t="shared" si="4"/>
        <v/>
      </c>
      <c r="S57" s="40" t="str">
        <f>IF($K57="","",IF($C$4="",0,COUNTIFS(Assignments!$B$6:$B$1000,$K57,Assignments!$F$6:$F$1000,$C$4,Assignments!$D$6:$D$1000,"&gt;="&amp;Config!$B$3-7,Assignments!$D$6:$D$1000,"&lt;="&amp;Config!$B$3)))</f>
        <v/>
      </c>
      <c r="T57" s="40" t="str">
        <f>IF($K57="","",IFERROR(VLOOKUP($K57,Grinders!$A$4:$N$998,8,FALSE),""))</f>
        <v/>
      </c>
      <c r="U57" s="40" t="str">
        <f>IFERROR(IF($K57="","",IF($M57="Elite",MAX(50,MIN(100,Config!$B$27*MAX(0,MIN(100,(1-IF($R57="",0,$R57))*100)) + Config!$B$28*MAX(0,MIN(100,(1-MIN(1,IF(Config!$B$30=0,1,$S57/Config!$B$30)))*100)) + Config!$B$29*MAX(0,MIN(100,MIN(1,IF($T57="",0,$T57)/Config!$B$23)*100)))),MIN(100,Config!$B$27*MAX(0,MIN(100,(1-IF($R57="",0,$R57))*100)) + Config!$B$28*MAX(0,MIN(100,(1-MIN(1,IF(Config!$B$30=0,1,$S57/Config!$B$30)))*100)) + Config!$B$29*MAX(0,MIN(100,MIN(1,IF($T57="",0,$T57)/Config!$B$23)*100))))),"")
</f>
        <v/>
      </c>
      <c r="V57" s="40" t="str">
        <f>IF(Bids!$AC57="","",Bids!$AC57)</f>
        <v/>
      </c>
      <c r="W57" s="40" t="str">
        <f>IF(Bids!$F56="","",Bids!$F56)</f>
        <v/>
      </c>
      <c r="X57" s="40" t="str">
        <f t="shared" si="5"/>
        <v/>
      </c>
      <c r="Y57" s="40" t="str">
        <f>IF($X57="","",IF(Config!$B$17=Config!$B$16,IF($X57&gt;=Config!$B$17,100,0),MAX(0,MIN(100,($X57-Config!$B$16)/(Config!$B$17-Config!$B$16)*100))))</f>
        <v/>
      </c>
      <c r="Z57" s="40">
        <f>IF($M57="Elite",Config!$B$21,0)</f>
        <v>0</v>
      </c>
      <c r="AA57" s="40" t="str">
        <f>IFERROR(IF(OR($W57="",$H57=""),"",IF($W57&gt;$H57,
  MAX(0, 60-(($W57-$H57)*24/Config!$B$19)*60),
  MIN(100, 60+(($H57-$W57)*24/Config!$B$20)*40)
)),"")
</f>
        <v/>
      </c>
      <c r="AB57" s="40" t="str">
        <f>IF($K57="","",IFERROR(VLOOKUP($K57,Grinders!$A$4:$N$998,10,FALSE)/5*100,""))</f>
        <v/>
      </c>
      <c r="AC57" s="40" t="str">
        <f>IF($K57="","",IFERROR(VLOOKUP($K57,Grinders!$A$4:$N$998,11,FALSE)*100,""))</f>
        <v/>
      </c>
      <c r="AD57" s="40" t="str">
        <f>IF($K57="","",IFERROR(VLOOKUP($K57,Grinders!$A$4:$N$998,12,FALSE)*100,""))</f>
        <v/>
      </c>
      <c r="AE57" s="40" t="str">
        <f>IF(OR(AO57=1,AP57=1),0,=IFERROR(IFS(
    OR($C57="", $K57=""), 0,
    $F57=0, 0,
    $D57&lt;&gt;"Open", 0,
    COUNTIFS(GrinderServices!$A$6:$A$1000, $K57, GrinderServices!$B$6:$B$1000, $E57, GrinderServices!$D$6:$D$1000, "Y")=0, 0,
    $X57&lt;Config!$B$16, 0,
    Config!$B$18=1, IF($O57&gt;=N57, 0, 1),
    TRUE, 1
), "")
)</f>
        <v>#ERROR!</v>
      </c>
      <c r="AF57" s="40" t="str">
        <f>IFERROR((IF(OR(AO57=1,AP57=1),"",=IFERROR((IFERROR(IF($AE57=0,"",((Config!$B$6*$Y57 + Config!$B$7*$U57 + Config!$B$8*$Z57 + Config!$B$9*$AA57 + Config!$B$10*$AB57 + Config!$B$11*$AC57 - Config!$B$12*$AD57)/Config!$B$13)+$AK57+$AL57),""))*(1-IFERROR(VLOOKUP(K57,Grinders!$A:$AB, 28, FALSE),0)),"")))*(1+AR57),"")</f>
        <v>#ERROR!</v>
      </c>
      <c r="AG57" s="40" t="str">
        <f t="shared" si="6"/>
        <v>#ERROR!</v>
      </c>
      <c r="AH57" s="40" t="str">
        <f t="shared" si="7"/>
        <v/>
      </c>
      <c r="AI57" s="40" t="str">
        <f t="shared" si="8"/>
        <v/>
      </c>
      <c r="AJ57" s="40" t="str">
        <f>IF($K57="","",COUNTIF(Assignments!$B$6:$B$1000,$K57))</f>
        <v/>
      </c>
      <c r="AK57" s="40" t="str">
        <f>IF($K57="","",IF(AND($AJ57=0,$O57&lt;$N57),Config!$B$43,0))</f>
        <v/>
      </c>
      <c r="AL57" s="40" t="str">
        <f>IF($K57="","",IF(AND($M57="Elite",$G57&gt;=Config!$B$41,$O57&lt;$N57),Config!$B$42,0))</f>
        <v/>
      </c>
      <c r="AM57" s="22"/>
      <c r="AN57" s="39">
        <f>IFERROR(VLOOKUP(K57,Grinders!$A:$Q,28,FALSE),0)</f>
        <v>0</v>
      </c>
      <c r="AO57" s="39">
        <f>IF(Config!$B$1003&lt;&gt;"Y",0,IF(IFERROR(VLOOKUP(K57,Grinders!$A:$P,27,FALSE),0)&gt;=3,IF(OR(G57&gt;=Config!$B$1001,ISNUMBER(SEARCH(E57,Config!$B$1002))),1,0),0))</f>
        <v>0</v>
      </c>
      <c r="AP57" s="39">
        <f t="array" ref="AP57">IFERROR(IF(INDEX(Bids!$AE:$AE,MATCH(B57,Bids!$A:$A,0))="Pending",1,0),0)</f>
        <v>0</v>
      </c>
      <c r="AQ57" s="39" t="str">
        <f t="array" ref="AQ57">IF(C57="","",IFERROR(XLOOKUP(C57,Assignments!$C:$C,Assignments!$AU:$AU,0),0))</f>
        <v/>
      </c>
      <c r="AR57" s="39">
        <f>IF(AND(Config!$B$1006="Y",AQ57=1),Config!$B$1007,0)</f>
        <v>0</v>
      </c>
    </row>
    <row r="58" ht="15.75" customHeight="1">
      <c r="A58" s="46" t="str">
        <f t="shared" si="1"/>
        <v/>
      </c>
      <c r="B58" s="40" t="str">
        <f>IF(Bids!$A57="","",Bids!$A57)</f>
        <v/>
      </c>
      <c r="C58" s="40" t="str">
        <f>IF(Bids!$B57="","",Bids!$B57)</f>
        <v/>
      </c>
      <c r="D58" s="40" t="str">
        <f>IF($C58="","",IFERROR(VLOOKUP($C58,Orders!$A$4:$J$998,9,FALSE),""))</f>
        <v/>
      </c>
      <c r="E58" s="40" t="str">
        <f>IF($C58="","",IFERROR(VLOOKUP($C58,Orders!$A$4:$J$998,3,FALSE),""))</f>
        <v/>
      </c>
      <c r="F58" s="40">
        <f t="shared" si="2"/>
        <v>1</v>
      </c>
      <c r="G58" s="40" t="str">
        <f>IF($C58="","",IFERROR(VLOOKUP($C58,Orders!$A$4:$J$998,4,FALSE),""))</f>
        <v/>
      </c>
      <c r="H58" s="40" t="str">
        <f>IF($C58="","",IFERROR(VLOOKUP($C58,Orders!$A$4:$J$998,5,FALSE),""))</f>
        <v/>
      </c>
      <c r="I58" s="40" t="str">
        <f>IF($C58="","",IFERROR(VLOOKUP($C58,Orders!$A$4:$J$998,6,FALSE),""))</f>
        <v/>
      </c>
      <c r="J58" s="40" t="str">
        <f>IF($C58="","",IFERROR(VLOOKUP($C58,Orders!$A$4:$J$998,7,FALSE),""))</f>
        <v/>
      </c>
      <c r="K58" s="40" t="str">
        <f>IF(Bids!$C57="","",Bids!$C57)</f>
        <v/>
      </c>
      <c r="L58" s="40" t="str">
        <f>IF($K58="","",IFERROR(VLOOKUP($K58,Grinders!$A$4:$N$998,2,FALSE),""))</f>
        <v/>
      </c>
      <c r="M58" s="40" t="str">
        <f>IF($K58="","",IFERROR(VLOOKUP($K58,Grinders!$A$4:$N$998,3,FALSE),""))</f>
        <v/>
      </c>
      <c r="N58" s="40" t="str">
        <f>IF($K58="","",IFERROR(VLOOKUP($K58,Grinders!$A$4:$N$998,4,FALSE),""))</f>
        <v/>
      </c>
      <c r="O58" s="40" t="str">
        <f>IF($K58="","",IFERROR(VLOOKUP($K58,Grinders!$A$4:$N$998,5,FALSE),""))</f>
        <v/>
      </c>
      <c r="P58" s="40" t="str">
        <f>IF($K58="","",IF($C$4="",0,COUNTIFS(Assignments!$B$6:$B$1000,$K58,Assignments!$F$6:$F$1000,$C$4,Assignments!$E$6:$E$1000,"Active")))</f>
        <v/>
      </c>
      <c r="Q58" s="40" t="str">
        <f t="shared" si="3"/>
        <v/>
      </c>
      <c r="R58" s="40" t="str">
        <f t="shared" si="4"/>
        <v/>
      </c>
      <c r="S58" s="40" t="str">
        <f>IF($K58="","",IF($C$4="",0,COUNTIFS(Assignments!$B$6:$B$1000,$K58,Assignments!$F$6:$F$1000,$C$4,Assignments!$D$6:$D$1000,"&gt;="&amp;Config!$B$3-7,Assignments!$D$6:$D$1000,"&lt;="&amp;Config!$B$3)))</f>
        <v/>
      </c>
      <c r="T58" s="40" t="str">
        <f>IF($K58="","",IFERROR(VLOOKUP($K58,Grinders!$A$4:$N$998,8,FALSE),""))</f>
        <v/>
      </c>
      <c r="U58" s="40" t="str">
        <f>IFERROR(IF($K58="","",IF($M58="Elite",MAX(50,MIN(100,Config!$B$27*MAX(0,MIN(100,(1-IF($R58="",0,$R58))*100)) + Config!$B$28*MAX(0,MIN(100,(1-MIN(1,IF(Config!$B$30=0,1,$S58/Config!$B$30)))*100)) + Config!$B$29*MAX(0,MIN(100,MIN(1,IF($T58="",0,$T58)/Config!$B$23)*100)))),MIN(100,Config!$B$27*MAX(0,MIN(100,(1-IF($R58="",0,$R58))*100)) + Config!$B$28*MAX(0,MIN(100,(1-MIN(1,IF(Config!$B$30=0,1,$S58/Config!$B$30)))*100)) + Config!$B$29*MAX(0,MIN(100,MIN(1,IF($T58="",0,$T58)/Config!$B$23)*100))))),"")
</f>
        <v/>
      </c>
      <c r="V58" s="40" t="str">
        <f>IF(Bids!$AC58="","",Bids!$AC58)</f>
        <v/>
      </c>
      <c r="W58" s="40" t="str">
        <f>IF(Bids!$F57="","",Bids!$F57)</f>
        <v/>
      </c>
      <c r="X58" s="40" t="str">
        <f t="shared" si="5"/>
        <v/>
      </c>
      <c r="Y58" s="40" t="str">
        <f>IF($X58="","",IF(Config!$B$17=Config!$B$16,IF($X58&gt;=Config!$B$17,100,0),MAX(0,MIN(100,($X58-Config!$B$16)/(Config!$B$17-Config!$B$16)*100))))</f>
        <v/>
      </c>
      <c r="Z58" s="40">
        <f>IF($M58="Elite",Config!$B$21,0)</f>
        <v>0</v>
      </c>
      <c r="AA58" s="40" t="str">
        <f>IFERROR(IF(OR($W58="",$H58=""),"",IF($W58&gt;$H58,
  MAX(0, 60-(($W58-$H58)*24/Config!$B$19)*60),
  MIN(100, 60+(($H58-$W58)*24/Config!$B$20)*40)
)),"")
</f>
        <v/>
      </c>
      <c r="AB58" s="40" t="str">
        <f>IF($K58="","",IFERROR(VLOOKUP($K58,Grinders!$A$4:$N$998,10,FALSE)/5*100,""))</f>
        <v/>
      </c>
      <c r="AC58" s="40" t="str">
        <f>IF($K58="","",IFERROR(VLOOKUP($K58,Grinders!$A$4:$N$998,11,FALSE)*100,""))</f>
        <v/>
      </c>
      <c r="AD58" s="40" t="str">
        <f>IF($K58="","",IFERROR(VLOOKUP($K58,Grinders!$A$4:$N$998,12,FALSE)*100,""))</f>
        <v/>
      </c>
      <c r="AE58" s="40" t="str">
        <f>IF(OR(AO58=1,AP58=1),0,=IFERROR(IFS(
    OR($C58="", $K58=""), 0,
    $F58=0, 0,
    $D58&lt;&gt;"Open", 0,
    COUNTIFS(GrinderServices!$A$6:$A$1000, $K58, GrinderServices!$B$6:$B$1000, $E58, GrinderServices!$D$6:$D$1000, "Y")=0, 0,
    $X58&lt;Config!$B$16, 0,
    Config!$B$18=1, IF($O58&gt;=N58, 0, 1),
    TRUE, 1
), "")
)</f>
        <v>#ERROR!</v>
      </c>
      <c r="AF58" s="40" t="str">
        <f>IFERROR((IF(OR(AO58=1,AP58=1),"",=IFERROR((IFERROR(IF($AE58=0,"",((Config!$B$6*$Y58 + Config!$B$7*$U58 + Config!$B$8*$Z58 + Config!$B$9*$AA58 + Config!$B$10*$AB58 + Config!$B$11*$AC58 - Config!$B$12*$AD58)/Config!$B$13)+$AK58+$AL58),""))*(1-IFERROR(VLOOKUP(K58,Grinders!$A:$AB, 28, FALSE),0)),"")))*(1+AR58),"")</f>
        <v>#ERROR!</v>
      </c>
      <c r="AG58" s="40" t="str">
        <f t="shared" si="6"/>
        <v>#ERROR!</v>
      </c>
      <c r="AH58" s="40" t="str">
        <f t="shared" si="7"/>
        <v/>
      </c>
      <c r="AI58" s="40" t="str">
        <f t="shared" si="8"/>
        <v/>
      </c>
      <c r="AJ58" s="40" t="str">
        <f>IF($K58="","",COUNTIF(Assignments!$B$6:$B$1000,$K58))</f>
        <v/>
      </c>
      <c r="AK58" s="40" t="str">
        <f>IF($K58="","",IF(AND($AJ58=0,$O58&lt;$N58),Config!$B$43,0))</f>
        <v/>
      </c>
      <c r="AL58" s="40" t="str">
        <f>IF($K58="","",IF(AND($M58="Elite",$G58&gt;=Config!$B$41,$O58&lt;$N58),Config!$B$42,0))</f>
        <v/>
      </c>
      <c r="AM58" s="22"/>
      <c r="AN58" s="39">
        <f>IFERROR(VLOOKUP(K58,Grinders!$A:$Q,28,FALSE),0)</f>
        <v>0</v>
      </c>
      <c r="AO58" s="39">
        <f>IF(Config!$B$1003&lt;&gt;"Y",0,IF(IFERROR(VLOOKUP(K58,Grinders!$A:$P,27,FALSE),0)&gt;=3,IF(OR(G58&gt;=Config!$B$1001,ISNUMBER(SEARCH(E58,Config!$B$1002))),1,0),0))</f>
        <v>0</v>
      </c>
      <c r="AP58" s="39">
        <f t="array" ref="AP58">IFERROR(IF(INDEX(Bids!$AE:$AE,MATCH(B58,Bids!$A:$A,0))="Pending",1,0),0)</f>
        <v>0</v>
      </c>
      <c r="AQ58" s="39" t="str">
        <f t="array" ref="AQ58">IF(C58="","",IFERROR(XLOOKUP(C58,Assignments!$C:$C,Assignments!$AU:$AU,0),0))</f>
        <v/>
      </c>
      <c r="AR58" s="39">
        <f>IF(AND(Config!$B$1006="Y",AQ58=1),Config!$B$1007,0)</f>
        <v>0</v>
      </c>
    </row>
    <row r="59" ht="15.75" customHeight="1">
      <c r="A59" s="46" t="str">
        <f t="shared" si="1"/>
        <v/>
      </c>
      <c r="B59" s="40" t="str">
        <f>IF(Bids!$A58="","",Bids!$A58)</f>
        <v/>
      </c>
      <c r="C59" s="40" t="str">
        <f>IF(Bids!$B58="","",Bids!$B58)</f>
        <v/>
      </c>
      <c r="D59" s="40" t="str">
        <f>IF($C59="","",IFERROR(VLOOKUP($C59,Orders!$A$4:$J$998,9,FALSE),""))</f>
        <v/>
      </c>
      <c r="E59" s="40" t="str">
        <f>IF($C59="","",IFERROR(VLOOKUP($C59,Orders!$A$4:$J$998,3,FALSE),""))</f>
        <v/>
      </c>
      <c r="F59" s="40">
        <f t="shared" si="2"/>
        <v>1</v>
      </c>
      <c r="G59" s="40" t="str">
        <f>IF($C59="","",IFERROR(VLOOKUP($C59,Orders!$A$4:$J$998,4,FALSE),""))</f>
        <v/>
      </c>
      <c r="H59" s="40" t="str">
        <f>IF($C59="","",IFERROR(VLOOKUP($C59,Orders!$A$4:$J$998,5,FALSE),""))</f>
        <v/>
      </c>
      <c r="I59" s="40" t="str">
        <f>IF($C59="","",IFERROR(VLOOKUP($C59,Orders!$A$4:$J$998,6,FALSE),""))</f>
        <v/>
      </c>
      <c r="J59" s="40" t="str">
        <f>IF($C59="","",IFERROR(VLOOKUP($C59,Orders!$A$4:$J$998,7,FALSE),""))</f>
        <v/>
      </c>
      <c r="K59" s="40" t="str">
        <f>IF(Bids!$C58="","",Bids!$C58)</f>
        <v/>
      </c>
      <c r="L59" s="40" t="str">
        <f>IF($K59="","",IFERROR(VLOOKUP($K59,Grinders!$A$4:$N$998,2,FALSE),""))</f>
        <v/>
      </c>
      <c r="M59" s="40" t="str">
        <f>IF($K59="","",IFERROR(VLOOKUP($K59,Grinders!$A$4:$N$998,3,FALSE),""))</f>
        <v/>
      </c>
      <c r="N59" s="40" t="str">
        <f>IF($K59="","",IFERROR(VLOOKUP($K59,Grinders!$A$4:$N$998,4,FALSE),""))</f>
        <v/>
      </c>
      <c r="O59" s="40" t="str">
        <f>IF($K59="","",IFERROR(VLOOKUP($K59,Grinders!$A$4:$N$998,5,FALSE),""))</f>
        <v/>
      </c>
      <c r="P59" s="40" t="str">
        <f>IF($K59="","",IF($C$4="",0,COUNTIFS(Assignments!$B$6:$B$1000,$K59,Assignments!$F$6:$F$1000,$C$4,Assignments!$E$6:$E$1000,"Active")))</f>
        <v/>
      </c>
      <c r="Q59" s="40" t="str">
        <f t="shared" si="3"/>
        <v/>
      </c>
      <c r="R59" s="40" t="str">
        <f t="shared" si="4"/>
        <v/>
      </c>
      <c r="S59" s="40" t="str">
        <f>IF($K59="","",IF($C$4="",0,COUNTIFS(Assignments!$B$6:$B$1000,$K59,Assignments!$F$6:$F$1000,$C$4,Assignments!$D$6:$D$1000,"&gt;="&amp;Config!$B$3-7,Assignments!$D$6:$D$1000,"&lt;="&amp;Config!$B$3)))</f>
        <v/>
      </c>
      <c r="T59" s="40" t="str">
        <f>IF($K59="","",IFERROR(VLOOKUP($K59,Grinders!$A$4:$N$998,8,FALSE),""))</f>
        <v/>
      </c>
      <c r="U59" s="40" t="str">
        <f>IFERROR(IF($K59="","",IF($M59="Elite",MAX(50,MIN(100,Config!$B$27*MAX(0,MIN(100,(1-IF($R59="",0,$R59))*100)) + Config!$B$28*MAX(0,MIN(100,(1-MIN(1,IF(Config!$B$30=0,1,$S59/Config!$B$30)))*100)) + Config!$B$29*MAX(0,MIN(100,MIN(1,IF($T59="",0,$T59)/Config!$B$23)*100)))),MIN(100,Config!$B$27*MAX(0,MIN(100,(1-IF($R59="",0,$R59))*100)) + Config!$B$28*MAX(0,MIN(100,(1-MIN(1,IF(Config!$B$30=0,1,$S59/Config!$B$30)))*100)) + Config!$B$29*MAX(0,MIN(100,MIN(1,IF($T59="",0,$T59)/Config!$B$23)*100))))),"")
</f>
        <v/>
      </c>
      <c r="V59" s="40" t="str">
        <f>IF(Bids!$AC59="","",Bids!$AC59)</f>
        <v/>
      </c>
      <c r="W59" s="40" t="str">
        <f>IF(Bids!$F58="","",Bids!$F58)</f>
        <v/>
      </c>
      <c r="X59" s="40" t="str">
        <f t="shared" si="5"/>
        <v/>
      </c>
      <c r="Y59" s="40" t="str">
        <f>IF($X59="","",IF(Config!$B$17=Config!$B$16,IF($X59&gt;=Config!$B$17,100,0),MAX(0,MIN(100,($X59-Config!$B$16)/(Config!$B$17-Config!$B$16)*100))))</f>
        <v/>
      </c>
      <c r="Z59" s="40">
        <f>IF($M59="Elite",Config!$B$21,0)</f>
        <v>0</v>
      </c>
      <c r="AA59" s="40" t="str">
        <f>IFERROR(IF(OR($W59="",$H59=""),"",IF($W59&gt;$H59,
  MAX(0, 60-(($W59-$H59)*24/Config!$B$19)*60),
  MIN(100, 60+(($H59-$W59)*24/Config!$B$20)*40)
)),"")
</f>
        <v/>
      </c>
      <c r="AB59" s="40" t="str">
        <f>IF($K59="","",IFERROR(VLOOKUP($K59,Grinders!$A$4:$N$998,10,FALSE)/5*100,""))</f>
        <v/>
      </c>
      <c r="AC59" s="40" t="str">
        <f>IF($K59="","",IFERROR(VLOOKUP($K59,Grinders!$A$4:$N$998,11,FALSE)*100,""))</f>
        <v/>
      </c>
      <c r="AD59" s="40" t="str">
        <f>IF($K59="","",IFERROR(VLOOKUP($K59,Grinders!$A$4:$N$998,12,FALSE)*100,""))</f>
        <v/>
      </c>
      <c r="AE59" s="40" t="str">
        <f>IF(OR(AO59=1,AP59=1),0,=IFERROR(IFS(
    OR($C59="", $K59=""), 0,
    $F59=0, 0,
    $D59&lt;&gt;"Open", 0,
    COUNTIFS(GrinderServices!$A$6:$A$1000, $K59, GrinderServices!$B$6:$B$1000, $E59, GrinderServices!$D$6:$D$1000, "Y")=0, 0,
    $X59&lt;Config!$B$16, 0,
    Config!$B$18=1, IF($O59&gt;=N59, 0, 1),
    TRUE, 1
), "")
)</f>
        <v>#ERROR!</v>
      </c>
      <c r="AF59" s="40" t="str">
        <f>IFERROR((IF(OR(AO59=1,AP59=1),"",=IFERROR((IFERROR(IF($AE59=0,"",((Config!$B$6*$Y59 + Config!$B$7*$U59 + Config!$B$8*$Z59 + Config!$B$9*$AA59 + Config!$B$10*$AB59 + Config!$B$11*$AC59 - Config!$B$12*$AD59)/Config!$B$13)+$AK59+$AL59),""))*(1-IFERROR(VLOOKUP(K59,Grinders!$A:$AB, 28, FALSE),0)),"")))*(1+AR59),"")</f>
        <v>#ERROR!</v>
      </c>
      <c r="AG59" s="40" t="str">
        <f t="shared" si="6"/>
        <v>#ERROR!</v>
      </c>
      <c r="AH59" s="40" t="str">
        <f t="shared" si="7"/>
        <v/>
      </c>
      <c r="AI59" s="40" t="str">
        <f t="shared" si="8"/>
        <v/>
      </c>
      <c r="AJ59" s="40" t="str">
        <f>IF($K59="","",COUNTIF(Assignments!$B$6:$B$1000,$K59))</f>
        <v/>
      </c>
      <c r="AK59" s="40" t="str">
        <f>IF($K59="","",IF(AND($AJ59=0,$O59&lt;$N59),Config!$B$43,0))</f>
        <v/>
      </c>
      <c r="AL59" s="40" t="str">
        <f>IF($K59="","",IF(AND($M59="Elite",$G59&gt;=Config!$B$41,$O59&lt;$N59),Config!$B$42,0))</f>
        <v/>
      </c>
      <c r="AM59" s="22"/>
      <c r="AN59" s="39">
        <f>IFERROR(VLOOKUP(K59,Grinders!$A:$Q,28,FALSE),0)</f>
        <v>0</v>
      </c>
      <c r="AO59" s="39">
        <f>IF(Config!$B$1003&lt;&gt;"Y",0,IF(IFERROR(VLOOKUP(K59,Grinders!$A:$P,27,FALSE),0)&gt;=3,IF(OR(G59&gt;=Config!$B$1001,ISNUMBER(SEARCH(E59,Config!$B$1002))),1,0),0))</f>
        <v>0</v>
      </c>
      <c r="AP59" s="39">
        <f t="array" ref="AP59">IFERROR(IF(INDEX(Bids!$AE:$AE,MATCH(B59,Bids!$A:$A,0))="Pending",1,0),0)</f>
        <v>0</v>
      </c>
      <c r="AQ59" s="39" t="str">
        <f t="array" ref="AQ59">IF(C59="","",IFERROR(XLOOKUP(C59,Assignments!$C:$C,Assignments!$AU:$AU,0),0))</f>
        <v/>
      </c>
      <c r="AR59" s="39">
        <f>IF(AND(Config!$B$1006="Y",AQ59=1),Config!$B$1007,0)</f>
        <v>0</v>
      </c>
    </row>
    <row r="60" ht="15.75" customHeight="1">
      <c r="A60" s="46" t="str">
        <f t="shared" si="1"/>
        <v/>
      </c>
      <c r="B60" s="40" t="str">
        <f>IF(Bids!$A59="","",Bids!$A59)</f>
        <v/>
      </c>
      <c r="C60" s="40" t="str">
        <f>IF(Bids!$B59="","",Bids!$B59)</f>
        <v/>
      </c>
      <c r="D60" s="40" t="str">
        <f>IF($C60="","",IFERROR(VLOOKUP($C60,Orders!$A$4:$J$998,9,FALSE),""))</f>
        <v/>
      </c>
      <c r="E60" s="40" t="str">
        <f>IF($C60="","",IFERROR(VLOOKUP($C60,Orders!$A$4:$J$998,3,FALSE),""))</f>
        <v/>
      </c>
      <c r="F60" s="40">
        <f t="shared" si="2"/>
        <v>1</v>
      </c>
      <c r="G60" s="40" t="str">
        <f>IF($C60="","",IFERROR(VLOOKUP($C60,Orders!$A$4:$J$998,4,FALSE),""))</f>
        <v/>
      </c>
      <c r="H60" s="40" t="str">
        <f>IF($C60="","",IFERROR(VLOOKUP($C60,Orders!$A$4:$J$998,5,FALSE),""))</f>
        <v/>
      </c>
      <c r="I60" s="40" t="str">
        <f>IF($C60="","",IFERROR(VLOOKUP($C60,Orders!$A$4:$J$998,6,FALSE),""))</f>
        <v/>
      </c>
      <c r="J60" s="40" t="str">
        <f>IF($C60="","",IFERROR(VLOOKUP($C60,Orders!$A$4:$J$998,7,FALSE),""))</f>
        <v/>
      </c>
      <c r="K60" s="40" t="str">
        <f>IF(Bids!$C59="","",Bids!$C59)</f>
        <v/>
      </c>
      <c r="L60" s="40" t="str">
        <f>IF($K60="","",IFERROR(VLOOKUP($K60,Grinders!$A$4:$N$998,2,FALSE),""))</f>
        <v/>
      </c>
      <c r="M60" s="40" t="str">
        <f>IF($K60="","",IFERROR(VLOOKUP($K60,Grinders!$A$4:$N$998,3,FALSE),""))</f>
        <v/>
      </c>
      <c r="N60" s="40" t="str">
        <f>IF($K60="","",IFERROR(VLOOKUP($K60,Grinders!$A$4:$N$998,4,FALSE),""))</f>
        <v/>
      </c>
      <c r="O60" s="40" t="str">
        <f>IF($K60="","",IFERROR(VLOOKUP($K60,Grinders!$A$4:$N$998,5,FALSE),""))</f>
        <v/>
      </c>
      <c r="P60" s="40" t="str">
        <f>IF($K60="","",IF($C$4="",0,COUNTIFS(Assignments!$B$6:$B$1000,$K60,Assignments!$F$6:$F$1000,$C$4,Assignments!$E$6:$E$1000,"Active")))</f>
        <v/>
      </c>
      <c r="Q60" s="40" t="str">
        <f t="shared" si="3"/>
        <v/>
      </c>
      <c r="R60" s="40" t="str">
        <f t="shared" si="4"/>
        <v/>
      </c>
      <c r="S60" s="40" t="str">
        <f>IF($K60="","",IF($C$4="",0,COUNTIFS(Assignments!$B$6:$B$1000,$K60,Assignments!$F$6:$F$1000,$C$4,Assignments!$D$6:$D$1000,"&gt;="&amp;Config!$B$3-7,Assignments!$D$6:$D$1000,"&lt;="&amp;Config!$B$3)))</f>
        <v/>
      </c>
      <c r="T60" s="40" t="str">
        <f>IF($K60="","",IFERROR(VLOOKUP($K60,Grinders!$A$4:$N$998,8,FALSE),""))</f>
        <v/>
      </c>
      <c r="U60" s="40" t="str">
        <f>IFERROR(IF($K60="","",IF($M60="Elite",MAX(50,MIN(100,Config!$B$27*MAX(0,MIN(100,(1-IF($R60="",0,$R60))*100)) + Config!$B$28*MAX(0,MIN(100,(1-MIN(1,IF(Config!$B$30=0,1,$S60/Config!$B$30)))*100)) + Config!$B$29*MAX(0,MIN(100,MIN(1,IF($T60="",0,$T60)/Config!$B$23)*100)))),MIN(100,Config!$B$27*MAX(0,MIN(100,(1-IF($R60="",0,$R60))*100)) + Config!$B$28*MAX(0,MIN(100,(1-MIN(1,IF(Config!$B$30=0,1,$S60/Config!$B$30)))*100)) + Config!$B$29*MAX(0,MIN(100,MIN(1,IF($T60="",0,$T60)/Config!$B$23)*100))))),"")
</f>
        <v/>
      </c>
      <c r="V60" s="40" t="str">
        <f>IF(Bids!$AC60="","",Bids!$AC60)</f>
        <v/>
      </c>
      <c r="W60" s="40" t="str">
        <f>IF(Bids!$F59="","",Bids!$F59)</f>
        <v/>
      </c>
      <c r="X60" s="40" t="str">
        <f t="shared" si="5"/>
        <v/>
      </c>
      <c r="Y60" s="40" t="str">
        <f>IF($X60="","",IF(Config!$B$17=Config!$B$16,IF($X60&gt;=Config!$B$17,100,0),MAX(0,MIN(100,($X60-Config!$B$16)/(Config!$B$17-Config!$B$16)*100))))</f>
        <v/>
      </c>
      <c r="Z60" s="40">
        <f>IF($M60="Elite",Config!$B$21,0)</f>
        <v>0</v>
      </c>
      <c r="AA60" s="40" t="str">
        <f>IFERROR(IF(OR($W60="",$H60=""),"",IF($W60&gt;$H60,
  MAX(0, 60-(($W60-$H60)*24/Config!$B$19)*60),
  MIN(100, 60+(($H60-$W60)*24/Config!$B$20)*40)
)),"")
</f>
        <v/>
      </c>
      <c r="AB60" s="40" t="str">
        <f>IF($K60="","",IFERROR(VLOOKUP($K60,Grinders!$A$4:$N$998,10,FALSE)/5*100,""))</f>
        <v/>
      </c>
      <c r="AC60" s="40" t="str">
        <f>IF($K60="","",IFERROR(VLOOKUP($K60,Grinders!$A$4:$N$998,11,FALSE)*100,""))</f>
        <v/>
      </c>
      <c r="AD60" s="40" t="str">
        <f>IF($K60="","",IFERROR(VLOOKUP($K60,Grinders!$A$4:$N$998,12,FALSE)*100,""))</f>
        <v/>
      </c>
      <c r="AE60" s="40" t="str">
        <f>IF(OR(AO60=1,AP60=1),0,=IFERROR(IFS(
    OR($C60="", $K60=""), 0,
    $F60=0, 0,
    $D60&lt;&gt;"Open", 0,
    COUNTIFS(GrinderServices!$A$6:$A$1000, $K60, GrinderServices!$B$6:$B$1000, $E60, GrinderServices!$D$6:$D$1000, "Y")=0, 0,
    $X60&lt;Config!$B$16, 0,
    Config!$B$18=1, IF($O60&gt;=N60, 0, 1),
    TRUE, 1
), "")
)</f>
        <v>#ERROR!</v>
      </c>
      <c r="AF60" s="40" t="str">
        <f>IFERROR((IF(OR(AO60=1,AP60=1),"",=IFERROR((IFERROR(IF($AE60=0,"",((Config!$B$6*$Y60 + Config!$B$7*$U60 + Config!$B$8*$Z60 + Config!$B$9*$AA60 + Config!$B$10*$AB60 + Config!$B$11*$AC60 - Config!$B$12*$AD60)/Config!$B$13)+$AK60+$AL60),""))*(1-IFERROR(VLOOKUP(K60,Grinders!$A:$AB, 28, FALSE),0)),"")))*(1+AR60),"")</f>
        <v>#ERROR!</v>
      </c>
      <c r="AG60" s="40" t="str">
        <f t="shared" si="6"/>
        <v>#ERROR!</v>
      </c>
      <c r="AH60" s="40" t="str">
        <f t="shared" si="7"/>
        <v/>
      </c>
      <c r="AI60" s="40" t="str">
        <f t="shared" si="8"/>
        <v/>
      </c>
      <c r="AJ60" s="40" t="str">
        <f>IF($K60="","",COUNTIF(Assignments!$B$6:$B$1000,$K60))</f>
        <v/>
      </c>
      <c r="AK60" s="40" t="str">
        <f>IF($K60="","",IF(AND($AJ60=0,$O60&lt;$N60),Config!$B$43,0))</f>
        <v/>
      </c>
      <c r="AL60" s="40" t="str">
        <f>IF($K60="","",IF(AND($M60="Elite",$G60&gt;=Config!$B$41,$O60&lt;$N60),Config!$B$42,0))</f>
        <v/>
      </c>
      <c r="AM60" s="22"/>
      <c r="AN60" s="39">
        <f>IFERROR(VLOOKUP(K60,Grinders!$A:$Q,28,FALSE),0)</f>
        <v>0</v>
      </c>
      <c r="AO60" s="39">
        <f>IF(Config!$B$1003&lt;&gt;"Y",0,IF(IFERROR(VLOOKUP(K60,Grinders!$A:$P,27,FALSE),0)&gt;=3,IF(OR(G60&gt;=Config!$B$1001,ISNUMBER(SEARCH(E60,Config!$B$1002))),1,0),0))</f>
        <v>0</v>
      </c>
      <c r="AP60" s="39">
        <f t="array" ref="AP60">IFERROR(IF(INDEX(Bids!$AE:$AE,MATCH(B60,Bids!$A:$A,0))="Pending",1,0),0)</f>
        <v>0</v>
      </c>
      <c r="AQ60" s="39" t="str">
        <f t="array" ref="AQ60">IF(C60="","",IFERROR(XLOOKUP(C60,Assignments!$C:$C,Assignments!$AU:$AU,0),0))</f>
        <v/>
      </c>
      <c r="AR60" s="39">
        <f>IF(AND(Config!$B$1006="Y",AQ60=1),Config!$B$1007,0)</f>
        <v>0</v>
      </c>
    </row>
    <row r="61" ht="15.75" customHeight="1">
      <c r="A61" s="46" t="str">
        <f t="shared" si="1"/>
        <v/>
      </c>
      <c r="B61" s="40" t="str">
        <f>IF(Bids!$A60="","",Bids!$A60)</f>
        <v/>
      </c>
      <c r="C61" s="40" t="str">
        <f>IF(Bids!$B60="","",Bids!$B60)</f>
        <v/>
      </c>
      <c r="D61" s="40" t="str">
        <f>IF($C61="","",IFERROR(VLOOKUP($C61,Orders!$A$4:$J$998,9,FALSE),""))</f>
        <v/>
      </c>
      <c r="E61" s="40" t="str">
        <f>IF($C61="","",IFERROR(VLOOKUP($C61,Orders!$A$4:$J$998,3,FALSE),""))</f>
        <v/>
      </c>
      <c r="F61" s="40">
        <f t="shared" si="2"/>
        <v>1</v>
      </c>
      <c r="G61" s="40" t="str">
        <f>IF($C61="","",IFERROR(VLOOKUP($C61,Orders!$A$4:$J$998,4,FALSE),""))</f>
        <v/>
      </c>
      <c r="H61" s="40" t="str">
        <f>IF($C61="","",IFERROR(VLOOKUP($C61,Orders!$A$4:$J$998,5,FALSE),""))</f>
        <v/>
      </c>
      <c r="I61" s="40" t="str">
        <f>IF($C61="","",IFERROR(VLOOKUP($C61,Orders!$A$4:$J$998,6,FALSE),""))</f>
        <v/>
      </c>
      <c r="J61" s="40" t="str">
        <f>IF($C61="","",IFERROR(VLOOKUP($C61,Orders!$A$4:$J$998,7,FALSE),""))</f>
        <v/>
      </c>
      <c r="K61" s="40" t="str">
        <f>IF(Bids!$C60="","",Bids!$C60)</f>
        <v/>
      </c>
      <c r="L61" s="40" t="str">
        <f>IF($K61="","",IFERROR(VLOOKUP($K61,Grinders!$A$4:$N$998,2,FALSE),""))</f>
        <v/>
      </c>
      <c r="M61" s="40" t="str">
        <f>IF($K61="","",IFERROR(VLOOKUP($K61,Grinders!$A$4:$N$998,3,FALSE),""))</f>
        <v/>
      </c>
      <c r="N61" s="40" t="str">
        <f>IF($K61="","",IFERROR(VLOOKUP($K61,Grinders!$A$4:$N$998,4,FALSE),""))</f>
        <v/>
      </c>
      <c r="O61" s="40" t="str">
        <f>IF($K61="","",IFERROR(VLOOKUP($K61,Grinders!$A$4:$N$998,5,FALSE),""))</f>
        <v/>
      </c>
      <c r="P61" s="40" t="str">
        <f>IF($K61="","",IF($C$4="",0,COUNTIFS(Assignments!$B$6:$B$1000,$K61,Assignments!$F$6:$F$1000,$C$4,Assignments!$E$6:$E$1000,"Active")))</f>
        <v/>
      </c>
      <c r="Q61" s="40" t="str">
        <f t="shared" si="3"/>
        <v/>
      </c>
      <c r="R61" s="40" t="str">
        <f t="shared" si="4"/>
        <v/>
      </c>
      <c r="S61" s="40" t="str">
        <f>IF($K61="","",IF($C$4="",0,COUNTIFS(Assignments!$B$6:$B$1000,$K61,Assignments!$F$6:$F$1000,$C$4,Assignments!$D$6:$D$1000,"&gt;="&amp;Config!$B$3-7,Assignments!$D$6:$D$1000,"&lt;="&amp;Config!$B$3)))</f>
        <v/>
      </c>
      <c r="T61" s="40" t="str">
        <f>IF($K61="","",IFERROR(VLOOKUP($K61,Grinders!$A$4:$N$998,8,FALSE),""))</f>
        <v/>
      </c>
      <c r="U61" s="40" t="str">
        <f>IFERROR(IF($K61="","",IF($M61="Elite",MAX(50,MIN(100,Config!$B$27*MAX(0,MIN(100,(1-IF($R61="",0,$R61))*100)) + Config!$B$28*MAX(0,MIN(100,(1-MIN(1,IF(Config!$B$30=0,1,$S61/Config!$B$30)))*100)) + Config!$B$29*MAX(0,MIN(100,MIN(1,IF($T61="",0,$T61)/Config!$B$23)*100)))),MIN(100,Config!$B$27*MAX(0,MIN(100,(1-IF($R61="",0,$R61))*100)) + Config!$B$28*MAX(0,MIN(100,(1-MIN(1,IF(Config!$B$30=0,1,$S61/Config!$B$30)))*100)) + Config!$B$29*MAX(0,MIN(100,MIN(1,IF($T61="",0,$T61)/Config!$B$23)*100))))),"")
</f>
        <v/>
      </c>
      <c r="V61" s="40" t="str">
        <f>IF(Bids!$AC61="","",Bids!$AC61)</f>
        <v/>
      </c>
      <c r="W61" s="40" t="str">
        <f>IF(Bids!$F60="","",Bids!$F60)</f>
        <v/>
      </c>
      <c r="X61" s="40" t="str">
        <f t="shared" si="5"/>
        <v/>
      </c>
      <c r="Y61" s="40" t="str">
        <f>IF($X61="","",IF(Config!$B$17=Config!$B$16,IF($X61&gt;=Config!$B$17,100,0),MAX(0,MIN(100,($X61-Config!$B$16)/(Config!$B$17-Config!$B$16)*100))))</f>
        <v/>
      </c>
      <c r="Z61" s="40">
        <f>IF($M61="Elite",Config!$B$21,0)</f>
        <v>0</v>
      </c>
      <c r="AA61" s="40" t="str">
        <f>IFERROR(IF(OR($W61="",$H61=""),"",IF($W61&gt;$H61,
  MAX(0, 60-(($W61-$H61)*24/Config!$B$19)*60),
  MIN(100, 60+(($H61-$W61)*24/Config!$B$20)*40)
)),"")
</f>
        <v/>
      </c>
      <c r="AB61" s="40" t="str">
        <f>IF($K61="","",IFERROR(VLOOKUP($K61,Grinders!$A$4:$N$998,10,FALSE)/5*100,""))</f>
        <v/>
      </c>
      <c r="AC61" s="40" t="str">
        <f>IF($K61="","",IFERROR(VLOOKUP($K61,Grinders!$A$4:$N$998,11,FALSE)*100,""))</f>
        <v/>
      </c>
      <c r="AD61" s="40" t="str">
        <f>IF($K61="","",IFERROR(VLOOKUP($K61,Grinders!$A$4:$N$998,12,FALSE)*100,""))</f>
        <v/>
      </c>
      <c r="AE61" s="40" t="str">
        <f>IF(OR(AO61=1,AP61=1),0,=IFERROR(IFS(
    OR($C61="", $K61=""), 0,
    $F61=0, 0,
    $D61&lt;&gt;"Open", 0,
    COUNTIFS(GrinderServices!$A$6:$A$1000, $K61, GrinderServices!$B$6:$B$1000, $E61, GrinderServices!$D$6:$D$1000, "Y")=0, 0,
    $X61&lt;Config!$B$16, 0,
    Config!$B$18=1, IF($O61&gt;=N61, 0, 1),
    TRUE, 1
), "")
)</f>
        <v>#ERROR!</v>
      </c>
      <c r="AF61" s="40" t="str">
        <f>IFERROR((IF(OR(AO61=1,AP61=1),"",=IFERROR((IFERROR(IF($AE61=0,"",((Config!$B$6*$Y61 + Config!$B$7*$U61 + Config!$B$8*$Z61 + Config!$B$9*$AA61 + Config!$B$10*$AB61 + Config!$B$11*$AC61 - Config!$B$12*$AD61)/Config!$B$13)+$AK61+$AL61),""))*(1-IFERROR(VLOOKUP(K61,Grinders!$A:$AB, 28, FALSE),0)),"")))*(1+AR61),"")</f>
        <v>#ERROR!</v>
      </c>
      <c r="AG61" s="40" t="str">
        <f t="shared" si="6"/>
        <v>#ERROR!</v>
      </c>
      <c r="AH61" s="40" t="str">
        <f t="shared" si="7"/>
        <v/>
      </c>
      <c r="AI61" s="40" t="str">
        <f t="shared" si="8"/>
        <v/>
      </c>
      <c r="AJ61" s="40" t="str">
        <f>IF($K61="","",COUNTIF(Assignments!$B$6:$B$1000,$K61))</f>
        <v/>
      </c>
      <c r="AK61" s="40" t="str">
        <f>IF($K61="","",IF(AND($AJ61=0,$O61&lt;$N61),Config!$B$43,0))</f>
        <v/>
      </c>
      <c r="AL61" s="40" t="str">
        <f>IF($K61="","",IF(AND($M61="Elite",$G61&gt;=Config!$B$41,$O61&lt;$N61),Config!$B$42,0))</f>
        <v/>
      </c>
      <c r="AM61" s="22"/>
      <c r="AN61" s="39">
        <f>IFERROR(VLOOKUP(K61,Grinders!$A:$Q,28,FALSE),0)</f>
        <v>0</v>
      </c>
      <c r="AO61" s="39">
        <f>IF(Config!$B$1003&lt;&gt;"Y",0,IF(IFERROR(VLOOKUP(K61,Grinders!$A:$P,27,FALSE),0)&gt;=3,IF(OR(G61&gt;=Config!$B$1001,ISNUMBER(SEARCH(E61,Config!$B$1002))),1,0),0))</f>
        <v>0</v>
      </c>
      <c r="AP61" s="39">
        <f t="array" ref="AP61">IFERROR(IF(INDEX(Bids!$AE:$AE,MATCH(B61,Bids!$A:$A,0))="Pending",1,0),0)</f>
        <v>0</v>
      </c>
      <c r="AQ61" s="39" t="str">
        <f t="array" ref="AQ61">IF(C61="","",IFERROR(XLOOKUP(C61,Assignments!$C:$C,Assignments!$AU:$AU,0),0))</f>
        <v/>
      </c>
      <c r="AR61" s="39">
        <f>IF(AND(Config!$B$1006="Y",AQ61=1),Config!$B$1007,0)</f>
        <v>0</v>
      </c>
    </row>
    <row r="62" ht="15.75" customHeight="1">
      <c r="A62" s="46" t="str">
        <f t="shared" si="1"/>
        <v/>
      </c>
      <c r="B62" s="40" t="str">
        <f>IF(Bids!$A61="","",Bids!$A61)</f>
        <v/>
      </c>
      <c r="C62" s="40" t="str">
        <f>IF(Bids!$B61="","",Bids!$B61)</f>
        <v/>
      </c>
      <c r="D62" s="40" t="str">
        <f>IF($C62="","",IFERROR(VLOOKUP($C62,Orders!$A$4:$J$998,9,FALSE),""))</f>
        <v/>
      </c>
      <c r="E62" s="40" t="str">
        <f>IF($C62="","",IFERROR(VLOOKUP($C62,Orders!$A$4:$J$998,3,FALSE),""))</f>
        <v/>
      </c>
      <c r="F62" s="40">
        <f t="shared" si="2"/>
        <v>1</v>
      </c>
      <c r="G62" s="40" t="str">
        <f>IF($C62="","",IFERROR(VLOOKUP($C62,Orders!$A$4:$J$998,4,FALSE),""))</f>
        <v/>
      </c>
      <c r="H62" s="40" t="str">
        <f>IF($C62="","",IFERROR(VLOOKUP($C62,Orders!$A$4:$J$998,5,FALSE),""))</f>
        <v/>
      </c>
      <c r="I62" s="40" t="str">
        <f>IF($C62="","",IFERROR(VLOOKUP($C62,Orders!$A$4:$J$998,6,FALSE),""))</f>
        <v/>
      </c>
      <c r="J62" s="40" t="str">
        <f>IF($C62="","",IFERROR(VLOOKUP($C62,Orders!$A$4:$J$998,7,FALSE),""))</f>
        <v/>
      </c>
      <c r="K62" s="40" t="str">
        <f>IF(Bids!$C61="","",Bids!$C61)</f>
        <v/>
      </c>
      <c r="L62" s="40" t="str">
        <f>IF($K62="","",IFERROR(VLOOKUP($K62,Grinders!$A$4:$N$998,2,FALSE),""))</f>
        <v/>
      </c>
      <c r="M62" s="40" t="str">
        <f>IF($K62="","",IFERROR(VLOOKUP($K62,Grinders!$A$4:$N$998,3,FALSE),""))</f>
        <v/>
      </c>
      <c r="N62" s="40" t="str">
        <f>IF($K62="","",IFERROR(VLOOKUP($K62,Grinders!$A$4:$N$998,4,FALSE),""))</f>
        <v/>
      </c>
      <c r="O62" s="40" t="str">
        <f>IF($K62="","",IFERROR(VLOOKUP($K62,Grinders!$A$4:$N$998,5,FALSE),""))</f>
        <v/>
      </c>
      <c r="P62" s="40" t="str">
        <f>IF($K62="","",IF($C$4="",0,COUNTIFS(Assignments!$B$6:$B$1000,$K62,Assignments!$F$6:$F$1000,$C$4,Assignments!$E$6:$E$1000,"Active")))</f>
        <v/>
      </c>
      <c r="Q62" s="40" t="str">
        <f t="shared" si="3"/>
        <v/>
      </c>
      <c r="R62" s="40" t="str">
        <f t="shared" si="4"/>
        <v/>
      </c>
      <c r="S62" s="40" t="str">
        <f>IF($K62="","",IF($C$4="",0,COUNTIFS(Assignments!$B$6:$B$1000,$K62,Assignments!$F$6:$F$1000,$C$4,Assignments!$D$6:$D$1000,"&gt;="&amp;Config!$B$3-7,Assignments!$D$6:$D$1000,"&lt;="&amp;Config!$B$3)))</f>
        <v/>
      </c>
      <c r="T62" s="40" t="str">
        <f>IF($K62="","",IFERROR(VLOOKUP($K62,Grinders!$A$4:$N$998,8,FALSE),""))</f>
        <v/>
      </c>
      <c r="U62" s="40" t="str">
        <f>IFERROR(IF($K62="","",IF($M62="Elite",MAX(50,MIN(100,Config!$B$27*MAX(0,MIN(100,(1-IF($R62="",0,$R62))*100)) + Config!$B$28*MAX(0,MIN(100,(1-MIN(1,IF(Config!$B$30=0,1,$S62/Config!$B$30)))*100)) + Config!$B$29*MAX(0,MIN(100,MIN(1,IF($T62="",0,$T62)/Config!$B$23)*100)))),MIN(100,Config!$B$27*MAX(0,MIN(100,(1-IF($R62="",0,$R62))*100)) + Config!$B$28*MAX(0,MIN(100,(1-MIN(1,IF(Config!$B$30=0,1,$S62/Config!$B$30)))*100)) + Config!$B$29*MAX(0,MIN(100,MIN(1,IF($T62="",0,$T62)/Config!$B$23)*100))))),"")
</f>
        <v/>
      </c>
      <c r="V62" s="40" t="str">
        <f>IF(Bids!$AC62="","",Bids!$AC62)</f>
        <v/>
      </c>
      <c r="W62" s="40" t="str">
        <f>IF(Bids!$F61="","",Bids!$F61)</f>
        <v/>
      </c>
      <c r="X62" s="40" t="str">
        <f t="shared" si="5"/>
        <v/>
      </c>
      <c r="Y62" s="40" t="str">
        <f>IF($X62="","",IF(Config!$B$17=Config!$B$16,IF($X62&gt;=Config!$B$17,100,0),MAX(0,MIN(100,($X62-Config!$B$16)/(Config!$B$17-Config!$B$16)*100))))</f>
        <v/>
      </c>
      <c r="Z62" s="40">
        <f>IF($M62="Elite",Config!$B$21,0)</f>
        <v>0</v>
      </c>
      <c r="AA62" s="40" t="str">
        <f>IFERROR(IF(OR($W62="",$H62=""),"",IF($W62&gt;$H62,
  MAX(0, 60-(($W62-$H62)*24/Config!$B$19)*60),
  MIN(100, 60+(($H62-$W62)*24/Config!$B$20)*40)
)),"")
</f>
        <v/>
      </c>
      <c r="AB62" s="40" t="str">
        <f>IF($K62="","",IFERROR(VLOOKUP($K62,Grinders!$A$4:$N$998,10,FALSE)/5*100,""))</f>
        <v/>
      </c>
      <c r="AC62" s="40" t="str">
        <f>IF($K62="","",IFERROR(VLOOKUP($K62,Grinders!$A$4:$N$998,11,FALSE)*100,""))</f>
        <v/>
      </c>
      <c r="AD62" s="40" t="str">
        <f>IF($K62="","",IFERROR(VLOOKUP($K62,Grinders!$A$4:$N$998,12,FALSE)*100,""))</f>
        <v/>
      </c>
      <c r="AE62" s="40" t="str">
        <f>IF(OR(AO62=1,AP62=1),0,=IFERROR(IFS(
    OR($C62="", $K62=""), 0,
    $F62=0, 0,
    $D62&lt;&gt;"Open", 0,
    COUNTIFS(GrinderServices!$A$6:$A$1000, $K62, GrinderServices!$B$6:$B$1000, $E62, GrinderServices!$D$6:$D$1000, "Y")=0, 0,
    $X62&lt;Config!$B$16, 0,
    Config!$B$18=1, IF($O62&gt;=N62, 0, 1),
    TRUE, 1
), "")
)</f>
        <v>#ERROR!</v>
      </c>
      <c r="AF62" s="40" t="str">
        <f>IFERROR((IF(OR(AO62=1,AP62=1),"",=IFERROR((IFERROR(IF($AE62=0,"",((Config!$B$6*$Y62 + Config!$B$7*$U62 + Config!$B$8*$Z62 + Config!$B$9*$AA62 + Config!$B$10*$AB62 + Config!$B$11*$AC62 - Config!$B$12*$AD62)/Config!$B$13)+$AK62+$AL62),""))*(1-IFERROR(VLOOKUP(K62,Grinders!$A:$AB, 28, FALSE),0)),"")))*(1+AR62),"")</f>
        <v>#ERROR!</v>
      </c>
      <c r="AG62" s="40" t="str">
        <f t="shared" si="6"/>
        <v>#ERROR!</v>
      </c>
      <c r="AH62" s="40" t="str">
        <f t="shared" si="7"/>
        <v/>
      </c>
      <c r="AI62" s="40" t="str">
        <f t="shared" si="8"/>
        <v/>
      </c>
      <c r="AJ62" s="40" t="str">
        <f>IF($K62="","",COUNTIF(Assignments!$B$6:$B$1000,$K62))</f>
        <v/>
      </c>
      <c r="AK62" s="40" t="str">
        <f>IF($K62="","",IF(AND($AJ62=0,$O62&lt;$N62),Config!$B$43,0))</f>
        <v/>
      </c>
      <c r="AL62" s="40" t="str">
        <f>IF($K62="","",IF(AND($M62="Elite",$G62&gt;=Config!$B$41,$O62&lt;$N62),Config!$B$42,0))</f>
        <v/>
      </c>
      <c r="AM62" s="22"/>
      <c r="AN62" s="39">
        <f>IFERROR(VLOOKUP(K62,Grinders!$A:$Q,28,FALSE),0)</f>
        <v>0</v>
      </c>
      <c r="AO62" s="39">
        <f>IF(Config!$B$1003&lt;&gt;"Y",0,IF(IFERROR(VLOOKUP(K62,Grinders!$A:$P,27,FALSE),0)&gt;=3,IF(OR(G62&gt;=Config!$B$1001,ISNUMBER(SEARCH(E62,Config!$B$1002))),1,0),0))</f>
        <v>0</v>
      </c>
      <c r="AP62" s="39">
        <f t="array" ref="AP62">IFERROR(IF(INDEX(Bids!$AE:$AE,MATCH(B62,Bids!$A:$A,0))="Pending",1,0),0)</f>
        <v>0</v>
      </c>
      <c r="AQ62" s="39" t="str">
        <f t="array" ref="AQ62">IF(C62="","",IFERROR(XLOOKUP(C62,Assignments!$C:$C,Assignments!$AU:$AU,0),0))</f>
        <v/>
      </c>
      <c r="AR62" s="39">
        <f>IF(AND(Config!$B$1006="Y",AQ62=1),Config!$B$1007,0)</f>
        <v>0</v>
      </c>
    </row>
    <row r="63" ht="15.75" customHeight="1">
      <c r="A63" s="46" t="str">
        <f t="shared" si="1"/>
        <v/>
      </c>
      <c r="B63" s="40" t="str">
        <f>IF(Bids!$A62="","",Bids!$A62)</f>
        <v/>
      </c>
      <c r="C63" s="40" t="str">
        <f>IF(Bids!$B62="","",Bids!$B62)</f>
        <v/>
      </c>
      <c r="D63" s="40" t="str">
        <f>IF($C63="","",IFERROR(VLOOKUP($C63,Orders!$A$4:$J$998,9,FALSE),""))</f>
        <v/>
      </c>
      <c r="E63" s="40" t="str">
        <f>IF($C63="","",IFERROR(VLOOKUP($C63,Orders!$A$4:$J$998,3,FALSE),""))</f>
        <v/>
      </c>
      <c r="F63" s="40">
        <f t="shared" si="2"/>
        <v>1</v>
      </c>
      <c r="G63" s="40" t="str">
        <f>IF($C63="","",IFERROR(VLOOKUP($C63,Orders!$A$4:$J$998,4,FALSE),""))</f>
        <v/>
      </c>
      <c r="H63" s="40" t="str">
        <f>IF($C63="","",IFERROR(VLOOKUP($C63,Orders!$A$4:$J$998,5,FALSE),""))</f>
        <v/>
      </c>
      <c r="I63" s="40" t="str">
        <f>IF($C63="","",IFERROR(VLOOKUP($C63,Orders!$A$4:$J$998,6,FALSE),""))</f>
        <v/>
      </c>
      <c r="J63" s="40" t="str">
        <f>IF($C63="","",IFERROR(VLOOKUP($C63,Orders!$A$4:$J$998,7,FALSE),""))</f>
        <v/>
      </c>
      <c r="K63" s="40" t="str">
        <f>IF(Bids!$C62="","",Bids!$C62)</f>
        <v/>
      </c>
      <c r="L63" s="40" t="str">
        <f>IF($K63="","",IFERROR(VLOOKUP($K63,Grinders!$A$4:$N$998,2,FALSE),""))</f>
        <v/>
      </c>
      <c r="M63" s="40" t="str">
        <f>IF($K63="","",IFERROR(VLOOKUP($K63,Grinders!$A$4:$N$998,3,FALSE),""))</f>
        <v/>
      </c>
      <c r="N63" s="40" t="str">
        <f>IF($K63="","",IFERROR(VLOOKUP($K63,Grinders!$A$4:$N$998,4,FALSE),""))</f>
        <v/>
      </c>
      <c r="O63" s="40" t="str">
        <f>IF($K63="","",IFERROR(VLOOKUP($K63,Grinders!$A$4:$N$998,5,FALSE),""))</f>
        <v/>
      </c>
      <c r="P63" s="40" t="str">
        <f>IF($K63="","",IF($C$4="",0,COUNTIFS(Assignments!$B$6:$B$1000,$K63,Assignments!$F$6:$F$1000,$C$4,Assignments!$E$6:$E$1000,"Active")))</f>
        <v/>
      </c>
      <c r="Q63" s="40" t="str">
        <f t="shared" si="3"/>
        <v/>
      </c>
      <c r="R63" s="40" t="str">
        <f t="shared" si="4"/>
        <v/>
      </c>
      <c r="S63" s="40" t="str">
        <f>IF($K63="","",IF($C$4="",0,COUNTIFS(Assignments!$B$6:$B$1000,$K63,Assignments!$F$6:$F$1000,$C$4,Assignments!$D$6:$D$1000,"&gt;="&amp;Config!$B$3-7,Assignments!$D$6:$D$1000,"&lt;="&amp;Config!$B$3)))</f>
        <v/>
      </c>
      <c r="T63" s="40" t="str">
        <f>IF($K63="","",IFERROR(VLOOKUP($K63,Grinders!$A$4:$N$998,8,FALSE),""))</f>
        <v/>
      </c>
      <c r="U63" s="40" t="str">
        <f>IFERROR(IF($K63="","",IF($M63="Elite",MAX(50,MIN(100,Config!$B$27*MAX(0,MIN(100,(1-IF($R63="",0,$R63))*100)) + Config!$B$28*MAX(0,MIN(100,(1-MIN(1,IF(Config!$B$30=0,1,$S63/Config!$B$30)))*100)) + Config!$B$29*MAX(0,MIN(100,MIN(1,IF($T63="",0,$T63)/Config!$B$23)*100)))),MIN(100,Config!$B$27*MAX(0,MIN(100,(1-IF($R63="",0,$R63))*100)) + Config!$B$28*MAX(0,MIN(100,(1-MIN(1,IF(Config!$B$30=0,1,$S63/Config!$B$30)))*100)) + Config!$B$29*MAX(0,MIN(100,MIN(1,IF($T63="",0,$T63)/Config!$B$23)*100))))),"")
</f>
        <v/>
      </c>
      <c r="V63" s="40" t="str">
        <f>IF(Bids!$AC63="","",Bids!$AC63)</f>
        <v/>
      </c>
      <c r="W63" s="40" t="str">
        <f>IF(Bids!$F62="","",Bids!$F62)</f>
        <v/>
      </c>
      <c r="X63" s="40" t="str">
        <f t="shared" si="5"/>
        <v/>
      </c>
      <c r="Y63" s="40" t="str">
        <f>IF($X63="","",IF(Config!$B$17=Config!$B$16,IF($X63&gt;=Config!$B$17,100,0),MAX(0,MIN(100,($X63-Config!$B$16)/(Config!$B$17-Config!$B$16)*100))))</f>
        <v/>
      </c>
      <c r="Z63" s="40">
        <f>IF($M63="Elite",Config!$B$21,0)</f>
        <v>0</v>
      </c>
      <c r="AA63" s="40" t="str">
        <f>IFERROR(IF(OR($W63="",$H63=""),"",IF($W63&gt;$H63,
  MAX(0, 60-(($W63-$H63)*24/Config!$B$19)*60),
  MIN(100, 60+(($H63-$W63)*24/Config!$B$20)*40)
)),"")
</f>
        <v/>
      </c>
      <c r="AB63" s="40" t="str">
        <f>IF($K63="","",IFERROR(VLOOKUP($K63,Grinders!$A$4:$N$998,10,FALSE)/5*100,""))</f>
        <v/>
      </c>
      <c r="AC63" s="40" t="str">
        <f>IF($K63="","",IFERROR(VLOOKUP($K63,Grinders!$A$4:$N$998,11,FALSE)*100,""))</f>
        <v/>
      </c>
      <c r="AD63" s="40" t="str">
        <f>IF($K63="","",IFERROR(VLOOKUP($K63,Grinders!$A$4:$N$998,12,FALSE)*100,""))</f>
        <v/>
      </c>
      <c r="AE63" s="40" t="str">
        <f>IF(OR(AO63=1,AP63=1),0,=IFERROR(IFS(
    OR($C63="", $K63=""), 0,
    $F63=0, 0,
    $D63&lt;&gt;"Open", 0,
    COUNTIFS(GrinderServices!$A$6:$A$1000, $K63, GrinderServices!$B$6:$B$1000, $E63, GrinderServices!$D$6:$D$1000, "Y")=0, 0,
    $X63&lt;Config!$B$16, 0,
    Config!$B$18=1, IF($O63&gt;=N63, 0, 1),
    TRUE, 1
), "")
)</f>
        <v>#ERROR!</v>
      </c>
      <c r="AF63" s="40" t="str">
        <f>IFERROR((IF(OR(AO63=1,AP63=1),"",=IFERROR((IFERROR(IF($AE63=0,"",((Config!$B$6*$Y63 + Config!$B$7*$U63 + Config!$B$8*$Z63 + Config!$B$9*$AA63 + Config!$B$10*$AB63 + Config!$B$11*$AC63 - Config!$B$12*$AD63)/Config!$B$13)+$AK63+$AL63),""))*(1-IFERROR(VLOOKUP(K63,Grinders!$A:$AB, 28, FALSE),0)),"")))*(1+AR63),"")</f>
        <v>#ERROR!</v>
      </c>
      <c r="AG63" s="40" t="str">
        <f t="shared" si="6"/>
        <v>#ERROR!</v>
      </c>
      <c r="AH63" s="40" t="str">
        <f t="shared" si="7"/>
        <v/>
      </c>
      <c r="AI63" s="40" t="str">
        <f t="shared" si="8"/>
        <v/>
      </c>
      <c r="AJ63" s="40" t="str">
        <f>IF($K63="","",COUNTIF(Assignments!$B$6:$B$1000,$K63))</f>
        <v/>
      </c>
      <c r="AK63" s="40" t="str">
        <f>IF($K63="","",IF(AND($AJ63=0,$O63&lt;$N63),Config!$B$43,0))</f>
        <v/>
      </c>
      <c r="AL63" s="40" t="str">
        <f>IF($K63="","",IF(AND($M63="Elite",$G63&gt;=Config!$B$41,$O63&lt;$N63),Config!$B$42,0))</f>
        <v/>
      </c>
      <c r="AM63" s="22"/>
      <c r="AN63" s="39">
        <f>IFERROR(VLOOKUP(K63,Grinders!$A:$Q,28,FALSE),0)</f>
        <v>0</v>
      </c>
      <c r="AO63" s="39">
        <f>IF(Config!$B$1003&lt;&gt;"Y",0,IF(IFERROR(VLOOKUP(K63,Grinders!$A:$P,27,FALSE),0)&gt;=3,IF(OR(G63&gt;=Config!$B$1001,ISNUMBER(SEARCH(E63,Config!$B$1002))),1,0),0))</f>
        <v>0</v>
      </c>
      <c r="AP63" s="39">
        <f t="array" ref="AP63">IFERROR(IF(INDEX(Bids!$AE:$AE,MATCH(B63,Bids!$A:$A,0))="Pending",1,0),0)</f>
        <v>0</v>
      </c>
      <c r="AQ63" s="39" t="str">
        <f t="array" ref="AQ63">IF(C63="","",IFERROR(XLOOKUP(C63,Assignments!$C:$C,Assignments!$AU:$AU,0),0))</f>
        <v/>
      </c>
      <c r="AR63" s="39">
        <f>IF(AND(Config!$B$1006="Y",AQ63=1),Config!$B$1007,0)</f>
        <v>0</v>
      </c>
    </row>
    <row r="64" ht="15.75" customHeight="1">
      <c r="A64" s="46" t="str">
        <f t="shared" si="1"/>
        <v/>
      </c>
      <c r="B64" s="40" t="str">
        <f>IF(Bids!$A63="","",Bids!$A63)</f>
        <v/>
      </c>
      <c r="C64" s="40" t="str">
        <f>IF(Bids!$B63="","",Bids!$B63)</f>
        <v/>
      </c>
      <c r="D64" s="40" t="str">
        <f>IF($C64="","",IFERROR(VLOOKUP($C64,Orders!$A$4:$J$998,9,FALSE),""))</f>
        <v/>
      </c>
      <c r="E64" s="40" t="str">
        <f>IF($C64="","",IFERROR(VLOOKUP($C64,Orders!$A$4:$J$998,3,FALSE),""))</f>
        <v/>
      </c>
      <c r="F64" s="40">
        <f t="shared" si="2"/>
        <v>1</v>
      </c>
      <c r="G64" s="40" t="str">
        <f>IF($C64="","",IFERROR(VLOOKUP($C64,Orders!$A$4:$J$998,4,FALSE),""))</f>
        <v/>
      </c>
      <c r="H64" s="40" t="str">
        <f>IF($C64="","",IFERROR(VLOOKUP($C64,Orders!$A$4:$J$998,5,FALSE),""))</f>
        <v/>
      </c>
      <c r="I64" s="40" t="str">
        <f>IF($C64="","",IFERROR(VLOOKUP($C64,Orders!$A$4:$J$998,6,FALSE),""))</f>
        <v/>
      </c>
      <c r="J64" s="40" t="str">
        <f>IF($C64="","",IFERROR(VLOOKUP($C64,Orders!$A$4:$J$998,7,FALSE),""))</f>
        <v/>
      </c>
      <c r="K64" s="40" t="str">
        <f>IF(Bids!$C63="","",Bids!$C63)</f>
        <v/>
      </c>
      <c r="L64" s="40" t="str">
        <f>IF($K64="","",IFERROR(VLOOKUP($K64,Grinders!$A$4:$N$998,2,FALSE),""))</f>
        <v/>
      </c>
      <c r="M64" s="40" t="str">
        <f>IF($K64="","",IFERROR(VLOOKUP($K64,Grinders!$A$4:$N$998,3,FALSE),""))</f>
        <v/>
      </c>
      <c r="N64" s="40" t="str">
        <f>IF($K64="","",IFERROR(VLOOKUP($K64,Grinders!$A$4:$N$998,4,FALSE),""))</f>
        <v/>
      </c>
      <c r="O64" s="40" t="str">
        <f>IF($K64="","",IFERROR(VLOOKUP($K64,Grinders!$A$4:$N$998,5,FALSE),""))</f>
        <v/>
      </c>
      <c r="P64" s="40" t="str">
        <f>IF($K64="","",IF($C$4="",0,COUNTIFS(Assignments!$B$6:$B$1000,$K64,Assignments!$F$6:$F$1000,$C$4,Assignments!$E$6:$E$1000,"Active")))</f>
        <v/>
      </c>
      <c r="Q64" s="40" t="str">
        <f t="shared" si="3"/>
        <v/>
      </c>
      <c r="R64" s="40" t="str">
        <f t="shared" si="4"/>
        <v/>
      </c>
      <c r="S64" s="40" t="str">
        <f>IF($K64="","",IF($C$4="",0,COUNTIFS(Assignments!$B$6:$B$1000,$K64,Assignments!$F$6:$F$1000,$C$4,Assignments!$D$6:$D$1000,"&gt;="&amp;Config!$B$3-7,Assignments!$D$6:$D$1000,"&lt;="&amp;Config!$B$3)))</f>
        <v/>
      </c>
      <c r="T64" s="40" t="str">
        <f>IF($K64="","",IFERROR(VLOOKUP($K64,Grinders!$A$4:$N$998,8,FALSE),""))</f>
        <v/>
      </c>
      <c r="U64" s="40" t="str">
        <f>IFERROR(IF($K64="","",IF($M64="Elite",MAX(50,MIN(100,Config!$B$27*MAX(0,MIN(100,(1-IF($R64="",0,$R64))*100)) + Config!$B$28*MAX(0,MIN(100,(1-MIN(1,IF(Config!$B$30=0,1,$S64/Config!$B$30)))*100)) + Config!$B$29*MAX(0,MIN(100,MIN(1,IF($T64="",0,$T64)/Config!$B$23)*100)))),MIN(100,Config!$B$27*MAX(0,MIN(100,(1-IF($R64="",0,$R64))*100)) + Config!$B$28*MAX(0,MIN(100,(1-MIN(1,IF(Config!$B$30=0,1,$S64/Config!$B$30)))*100)) + Config!$B$29*MAX(0,MIN(100,MIN(1,IF($T64="",0,$T64)/Config!$B$23)*100))))),"")
</f>
        <v/>
      </c>
      <c r="V64" s="40" t="str">
        <f>IF(Bids!$AC64="","",Bids!$AC64)</f>
        <v/>
      </c>
      <c r="W64" s="40" t="str">
        <f>IF(Bids!$F63="","",Bids!$F63)</f>
        <v/>
      </c>
      <c r="X64" s="40" t="str">
        <f t="shared" si="5"/>
        <v/>
      </c>
      <c r="Y64" s="40" t="str">
        <f>IF($X64="","",IF(Config!$B$17=Config!$B$16,IF($X64&gt;=Config!$B$17,100,0),MAX(0,MIN(100,($X64-Config!$B$16)/(Config!$B$17-Config!$B$16)*100))))</f>
        <v/>
      </c>
      <c r="Z64" s="40">
        <f>IF($M64="Elite",Config!$B$21,0)</f>
        <v>0</v>
      </c>
      <c r="AA64" s="40" t="str">
        <f>IFERROR(IF(OR($W64="",$H64=""),"",IF($W64&gt;$H64,
  MAX(0, 60-(($W64-$H64)*24/Config!$B$19)*60),
  MIN(100, 60+(($H64-$W64)*24/Config!$B$20)*40)
)),"")
</f>
        <v/>
      </c>
      <c r="AB64" s="40" t="str">
        <f>IF($K64="","",IFERROR(VLOOKUP($K64,Grinders!$A$4:$N$998,10,FALSE)/5*100,""))</f>
        <v/>
      </c>
      <c r="AC64" s="40" t="str">
        <f>IF($K64="","",IFERROR(VLOOKUP($K64,Grinders!$A$4:$N$998,11,FALSE)*100,""))</f>
        <v/>
      </c>
      <c r="AD64" s="40" t="str">
        <f>IF($K64="","",IFERROR(VLOOKUP($K64,Grinders!$A$4:$N$998,12,FALSE)*100,""))</f>
        <v/>
      </c>
      <c r="AE64" s="40" t="str">
        <f>IF(OR(AO64=1,AP64=1),0,=IFERROR(IFS(
    OR($C64="", $K64=""), 0,
    $F64=0, 0,
    $D64&lt;&gt;"Open", 0,
    COUNTIFS(GrinderServices!$A$6:$A$1000, $K64, GrinderServices!$B$6:$B$1000, $E64, GrinderServices!$D$6:$D$1000, "Y")=0, 0,
    $X64&lt;Config!$B$16, 0,
    Config!$B$18=1, IF($O64&gt;=N64, 0, 1),
    TRUE, 1
), "")
)</f>
        <v>#ERROR!</v>
      </c>
      <c r="AF64" s="40" t="str">
        <f>IFERROR((IF(OR(AO64=1,AP64=1),"",=IFERROR((IFERROR(IF($AE64=0,"",((Config!$B$6*$Y64 + Config!$B$7*$U64 + Config!$B$8*$Z64 + Config!$B$9*$AA64 + Config!$B$10*$AB64 + Config!$B$11*$AC64 - Config!$B$12*$AD64)/Config!$B$13)+$AK64+$AL64),""))*(1-IFERROR(VLOOKUP(K64,Grinders!$A:$AB, 28, FALSE),0)),"")))*(1+AR64),"")</f>
        <v>#ERROR!</v>
      </c>
      <c r="AG64" s="40" t="str">
        <f t="shared" si="6"/>
        <v>#ERROR!</v>
      </c>
      <c r="AH64" s="40" t="str">
        <f t="shared" si="7"/>
        <v/>
      </c>
      <c r="AI64" s="40" t="str">
        <f t="shared" si="8"/>
        <v/>
      </c>
      <c r="AJ64" s="40" t="str">
        <f>IF($K64="","",COUNTIF(Assignments!$B$6:$B$1000,$K64))</f>
        <v/>
      </c>
      <c r="AK64" s="40" t="str">
        <f>IF($K64="","",IF(AND($AJ64=0,$O64&lt;$N64),Config!$B$43,0))</f>
        <v/>
      </c>
      <c r="AL64" s="40" t="str">
        <f>IF($K64="","",IF(AND($M64="Elite",$G64&gt;=Config!$B$41,$O64&lt;$N64),Config!$B$42,0))</f>
        <v/>
      </c>
      <c r="AM64" s="22"/>
      <c r="AN64" s="39">
        <f>IFERROR(VLOOKUP(K64,Grinders!$A:$Q,28,FALSE),0)</f>
        <v>0</v>
      </c>
      <c r="AO64" s="39">
        <f>IF(Config!$B$1003&lt;&gt;"Y",0,IF(IFERROR(VLOOKUP(K64,Grinders!$A:$P,27,FALSE),0)&gt;=3,IF(OR(G64&gt;=Config!$B$1001,ISNUMBER(SEARCH(E64,Config!$B$1002))),1,0),0))</f>
        <v>0</v>
      </c>
      <c r="AP64" s="39">
        <f t="array" ref="AP64">IFERROR(IF(INDEX(Bids!$AE:$AE,MATCH(B64,Bids!$A:$A,0))="Pending",1,0),0)</f>
        <v>0</v>
      </c>
      <c r="AQ64" s="39" t="str">
        <f t="array" ref="AQ64">IF(C64="","",IFERROR(XLOOKUP(C64,Assignments!$C:$C,Assignments!$AU:$AU,0),0))</f>
        <v/>
      </c>
      <c r="AR64" s="39">
        <f>IF(AND(Config!$B$1006="Y",AQ64=1),Config!$B$1007,0)</f>
        <v>0</v>
      </c>
    </row>
    <row r="65" ht="15.75" customHeight="1">
      <c r="A65" s="46" t="str">
        <f t="shared" si="1"/>
        <v/>
      </c>
      <c r="B65" s="40" t="str">
        <f>IF(Bids!$A64="","",Bids!$A64)</f>
        <v/>
      </c>
      <c r="C65" s="40" t="str">
        <f>IF(Bids!$B64="","",Bids!$B64)</f>
        <v/>
      </c>
      <c r="D65" s="40" t="str">
        <f>IF($C65="","",IFERROR(VLOOKUP($C65,Orders!$A$4:$J$998,9,FALSE),""))</f>
        <v/>
      </c>
      <c r="E65" s="40" t="str">
        <f>IF($C65="","",IFERROR(VLOOKUP($C65,Orders!$A$4:$J$998,3,FALSE),""))</f>
        <v/>
      </c>
      <c r="F65" s="40">
        <f t="shared" si="2"/>
        <v>1</v>
      </c>
      <c r="G65" s="40" t="str">
        <f>IF($C65="","",IFERROR(VLOOKUP($C65,Orders!$A$4:$J$998,4,FALSE),""))</f>
        <v/>
      </c>
      <c r="H65" s="40" t="str">
        <f>IF($C65="","",IFERROR(VLOOKUP($C65,Orders!$A$4:$J$998,5,FALSE),""))</f>
        <v/>
      </c>
      <c r="I65" s="40" t="str">
        <f>IF($C65="","",IFERROR(VLOOKUP($C65,Orders!$A$4:$J$998,6,FALSE),""))</f>
        <v/>
      </c>
      <c r="J65" s="40" t="str">
        <f>IF($C65="","",IFERROR(VLOOKUP($C65,Orders!$A$4:$J$998,7,FALSE),""))</f>
        <v/>
      </c>
      <c r="K65" s="40" t="str">
        <f>IF(Bids!$C64="","",Bids!$C64)</f>
        <v/>
      </c>
      <c r="L65" s="40" t="str">
        <f>IF($K65="","",IFERROR(VLOOKUP($K65,Grinders!$A$4:$N$998,2,FALSE),""))</f>
        <v/>
      </c>
      <c r="M65" s="40" t="str">
        <f>IF($K65="","",IFERROR(VLOOKUP($K65,Grinders!$A$4:$N$998,3,FALSE),""))</f>
        <v/>
      </c>
      <c r="N65" s="40" t="str">
        <f>IF($K65="","",IFERROR(VLOOKUP($K65,Grinders!$A$4:$N$998,4,FALSE),""))</f>
        <v/>
      </c>
      <c r="O65" s="40" t="str">
        <f>IF($K65="","",IFERROR(VLOOKUP($K65,Grinders!$A$4:$N$998,5,FALSE),""))</f>
        <v/>
      </c>
      <c r="P65" s="40" t="str">
        <f>IF($K65="","",IF($C$4="",0,COUNTIFS(Assignments!$B$6:$B$1000,$K65,Assignments!$F$6:$F$1000,$C$4,Assignments!$E$6:$E$1000,"Active")))</f>
        <v/>
      </c>
      <c r="Q65" s="40" t="str">
        <f t="shared" si="3"/>
        <v/>
      </c>
      <c r="R65" s="40" t="str">
        <f t="shared" si="4"/>
        <v/>
      </c>
      <c r="S65" s="40" t="str">
        <f>IF($K65="","",IF($C$4="",0,COUNTIFS(Assignments!$B$6:$B$1000,$K65,Assignments!$F$6:$F$1000,$C$4,Assignments!$D$6:$D$1000,"&gt;="&amp;Config!$B$3-7,Assignments!$D$6:$D$1000,"&lt;="&amp;Config!$B$3)))</f>
        <v/>
      </c>
      <c r="T65" s="40" t="str">
        <f>IF($K65="","",IFERROR(VLOOKUP($K65,Grinders!$A$4:$N$998,8,FALSE),""))</f>
        <v/>
      </c>
      <c r="U65" s="40" t="str">
        <f>IFERROR(IF($K65="","",IF($M65="Elite",MAX(50,MIN(100,Config!$B$27*MAX(0,MIN(100,(1-IF($R65="",0,$R65))*100)) + Config!$B$28*MAX(0,MIN(100,(1-MIN(1,IF(Config!$B$30=0,1,$S65/Config!$B$30)))*100)) + Config!$B$29*MAX(0,MIN(100,MIN(1,IF($T65="",0,$T65)/Config!$B$23)*100)))),MIN(100,Config!$B$27*MAX(0,MIN(100,(1-IF($R65="",0,$R65))*100)) + Config!$B$28*MAX(0,MIN(100,(1-MIN(1,IF(Config!$B$30=0,1,$S65/Config!$B$30)))*100)) + Config!$B$29*MAX(0,MIN(100,MIN(1,IF($T65="",0,$T65)/Config!$B$23)*100))))),"")
</f>
        <v/>
      </c>
      <c r="V65" s="40" t="str">
        <f>IF(Bids!$AC65="","",Bids!$AC65)</f>
        <v/>
      </c>
      <c r="W65" s="40" t="str">
        <f>IF(Bids!$F64="","",Bids!$F64)</f>
        <v/>
      </c>
      <c r="X65" s="40" t="str">
        <f t="shared" si="5"/>
        <v/>
      </c>
      <c r="Y65" s="40" t="str">
        <f>IF($X65="","",IF(Config!$B$17=Config!$B$16,IF($X65&gt;=Config!$B$17,100,0),MAX(0,MIN(100,($X65-Config!$B$16)/(Config!$B$17-Config!$B$16)*100))))</f>
        <v/>
      </c>
      <c r="Z65" s="40">
        <f>IF($M65="Elite",Config!$B$21,0)</f>
        <v>0</v>
      </c>
      <c r="AA65" s="40" t="str">
        <f>IFERROR(IF(OR($W65="",$H65=""),"",IF($W65&gt;$H65,
  MAX(0, 60-(($W65-$H65)*24/Config!$B$19)*60),
  MIN(100, 60+(($H65-$W65)*24/Config!$B$20)*40)
)),"")
</f>
        <v/>
      </c>
      <c r="AB65" s="40" t="str">
        <f>IF($K65="","",IFERROR(VLOOKUP($K65,Grinders!$A$4:$N$998,10,FALSE)/5*100,""))</f>
        <v/>
      </c>
      <c r="AC65" s="40" t="str">
        <f>IF($K65="","",IFERROR(VLOOKUP($K65,Grinders!$A$4:$N$998,11,FALSE)*100,""))</f>
        <v/>
      </c>
      <c r="AD65" s="40" t="str">
        <f>IF($K65="","",IFERROR(VLOOKUP($K65,Grinders!$A$4:$N$998,12,FALSE)*100,""))</f>
        <v/>
      </c>
      <c r="AE65" s="40" t="str">
        <f>IF(OR(AO65=1,AP65=1),0,=IFERROR(IFS(
    OR($C65="", $K65=""), 0,
    $F65=0, 0,
    $D65&lt;&gt;"Open", 0,
    COUNTIFS(GrinderServices!$A$6:$A$1000, $K65, GrinderServices!$B$6:$B$1000, $E65, GrinderServices!$D$6:$D$1000, "Y")=0, 0,
    $X65&lt;Config!$B$16, 0,
    Config!$B$18=1, IF($O65&gt;=N65, 0, 1),
    TRUE, 1
), "")
)</f>
        <v>#ERROR!</v>
      </c>
      <c r="AF65" s="40" t="str">
        <f>IFERROR((IF(OR(AO65=1,AP65=1),"",=IFERROR((IFERROR(IF($AE65=0,"",((Config!$B$6*$Y65 + Config!$B$7*$U65 + Config!$B$8*$Z65 + Config!$B$9*$AA65 + Config!$B$10*$AB65 + Config!$B$11*$AC65 - Config!$B$12*$AD65)/Config!$B$13)+$AK65+$AL65),""))*(1-IFERROR(VLOOKUP(K65,Grinders!$A:$AB, 28, FALSE),0)),"")))*(1+AR65),"")</f>
        <v>#ERROR!</v>
      </c>
      <c r="AG65" s="40" t="str">
        <f t="shared" si="6"/>
        <v>#ERROR!</v>
      </c>
      <c r="AH65" s="40" t="str">
        <f t="shared" si="7"/>
        <v/>
      </c>
      <c r="AI65" s="40" t="str">
        <f t="shared" si="8"/>
        <v/>
      </c>
      <c r="AJ65" s="40" t="str">
        <f>IF($K65="","",COUNTIF(Assignments!$B$6:$B$1000,$K65))</f>
        <v/>
      </c>
      <c r="AK65" s="40" t="str">
        <f>IF($K65="","",IF(AND($AJ65=0,$O65&lt;$N65),Config!$B$43,0))</f>
        <v/>
      </c>
      <c r="AL65" s="40" t="str">
        <f>IF($K65="","",IF(AND($M65="Elite",$G65&gt;=Config!$B$41,$O65&lt;$N65),Config!$B$42,0))</f>
        <v/>
      </c>
      <c r="AM65" s="22"/>
      <c r="AN65" s="39">
        <f>IFERROR(VLOOKUP(K65,Grinders!$A:$Q,28,FALSE),0)</f>
        <v>0</v>
      </c>
      <c r="AO65" s="39">
        <f>IF(Config!$B$1003&lt;&gt;"Y",0,IF(IFERROR(VLOOKUP(K65,Grinders!$A:$P,27,FALSE),0)&gt;=3,IF(OR(G65&gt;=Config!$B$1001,ISNUMBER(SEARCH(E65,Config!$B$1002))),1,0),0))</f>
        <v>0</v>
      </c>
      <c r="AP65" s="39">
        <f t="array" ref="AP65">IFERROR(IF(INDEX(Bids!$AE:$AE,MATCH(B65,Bids!$A:$A,0))="Pending",1,0),0)</f>
        <v>0</v>
      </c>
      <c r="AQ65" s="39" t="str">
        <f t="array" ref="AQ65">IF(C65="","",IFERROR(XLOOKUP(C65,Assignments!$C:$C,Assignments!$AU:$AU,0),0))</f>
        <v/>
      </c>
      <c r="AR65" s="39">
        <f>IF(AND(Config!$B$1006="Y",AQ65=1),Config!$B$1007,0)</f>
        <v>0</v>
      </c>
    </row>
    <row r="66" ht="15.75" customHeight="1">
      <c r="A66" s="46" t="str">
        <f t="shared" si="1"/>
        <v/>
      </c>
      <c r="B66" s="40" t="str">
        <f>IF(Bids!$A65="","",Bids!$A65)</f>
        <v/>
      </c>
      <c r="C66" s="40" t="str">
        <f>IF(Bids!$B65="","",Bids!$B65)</f>
        <v/>
      </c>
      <c r="D66" s="40" t="str">
        <f>IF($C66="","",IFERROR(VLOOKUP($C66,Orders!$A$4:$J$998,9,FALSE),""))</f>
        <v/>
      </c>
      <c r="E66" s="40" t="str">
        <f>IF($C66="","",IFERROR(VLOOKUP($C66,Orders!$A$4:$J$998,3,FALSE),""))</f>
        <v/>
      </c>
      <c r="F66" s="40">
        <f t="shared" si="2"/>
        <v>1</v>
      </c>
      <c r="G66" s="40" t="str">
        <f>IF($C66="","",IFERROR(VLOOKUP($C66,Orders!$A$4:$J$998,4,FALSE),""))</f>
        <v/>
      </c>
      <c r="H66" s="40" t="str">
        <f>IF($C66="","",IFERROR(VLOOKUP($C66,Orders!$A$4:$J$998,5,FALSE),""))</f>
        <v/>
      </c>
      <c r="I66" s="40" t="str">
        <f>IF($C66="","",IFERROR(VLOOKUP($C66,Orders!$A$4:$J$998,6,FALSE),""))</f>
        <v/>
      </c>
      <c r="J66" s="40" t="str">
        <f>IF($C66="","",IFERROR(VLOOKUP($C66,Orders!$A$4:$J$998,7,FALSE),""))</f>
        <v/>
      </c>
      <c r="K66" s="40" t="str">
        <f>IF(Bids!$C65="","",Bids!$C65)</f>
        <v/>
      </c>
      <c r="L66" s="40" t="str">
        <f>IF($K66="","",IFERROR(VLOOKUP($K66,Grinders!$A$4:$N$998,2,FALSE),""))</f>
        <v/>
      </c>
      <c r="M66" s="40" t="str">
        <f>IF($K66="","",IFERROR(VLOOKUP($K66,Grinders!$A$4:$N$998,3,FALSE),""))</f>
        <v/>
      </c>
      <c r="N66" s="40" t="str">
        <f>IF($K66="","",IFERROR(VLOOKUP($K66,Grinders!$A$4:$N$998,4,FALSE),""))</f>
        <v/>
      </c>
      <c r="O66" s="40" t="str">
        <f>IF($K66="","",IFERROR(VLOOKUP($K66,Grinders!$A$4:$N$998,5,FALSE),""))</f>
        <v/>
      </c>
      <c r="P66" s="40" t="str">
        <f>IF($K66="","",IF($C$4="",0,COUNTIFS(Assignments!$B$6:$B$1000,$K66,Assignments!$F$6:$F$1000,$C$4,Assignments!$E$6:$E$1000,"Active")))</f>
        <v/>
      </c>
      <c r="Q66" s="40" t="str">
        <f t="shared" si="3"/>
        <v/>
      </c>
      <c r="R66" s="40" t="str">
        <f t="shared" si="4"/>
        <v/>
      </c>
      <c r="S66" s="40" t="str">
        <f>IF($K66="","",IF($C$4="",0,COUNTIFS(Assignments!$B$6:$B$1000,$K66,Assignments!$F$6:$F$1000,$C$4,Assignments!$D$6:$D$1000,"&gt;="&amp;Config!$B$3-7,Assignments!$D$6:$D$1000,"&lt;="&amp;Config!$B$3)))</f>
        <v/>
      </c>
      <c r="T66" s="40" t="str">
        <f>IF($K66="","",IFERROR(VLOOKUP($K66,Grinders!$A$4:$N$998,8,FALSE),""))</f>
        <v/>
      </c>
      <c r="U66" s="40" t="str">
        <f>IFERROR(IF($K66="","",IF($M66="Elite",MAX(50,MIN(100,Config!$B$27*MAX(0,MIN(100,(1-IF($R66="",0,$R66))*100)) + Config!$B$28*MAX(0,MIN(100,(1-MIN(1,IF(Config!$B$30=0,1,$S66/Config!$B$30)))*100)) + Config!$B$29*MAX(0,MIN(100,MIN(1,IF($T66="",0,$T66)/Config!$B$23)*100)))),MIN(100,Config!$B$27*MAX(0,MIN(100,(1-IF($R66="",0,$R66))*100)) + Config!$B$28*MAX(0,MIN(100,(1-MIN(1,IF(Config!$B$30=0,1,$S66/Config!$B$30)))*100)) + Config!$B$29*MAX(0,MIN(100,MIN(1,IF($T66="",0,$T66)/Config!$B$23)*100))))),"")
</f>
        <v/>
      </c>
      <c r="V66" s="40" t="str">
        <f>IF(Bids!$AC66="","",Bids!$AC66)</f>
        <v/>
      </c>
      <c r="W66" s="40" t="str">
        <f>IF(Bids!$F65="","",Bids!$F65)</f>
        <v/>
      </c>
      <c r="X66" s="40" t="str">
        <f t="shared" si="5"/>
        <v/>
      </c>
      <c r="Y66" s="40" t="str">
        <f>IF($X66="","",IF(Config!$B$17=Config!$B$16,IF($X66&gt;=Config!$B$17,100,0),MAX(0,MIN(100,($X66-Config!$B$16)/(Config!$B$17-Config!$B$16)*100))))</f>
        <v/>
      </c>
      <c r="Z66" s="40">
        <f>IF($M66="Elite",Config!$B$21,0)</f>
        <v>0</v>
      </c>
      <c r="AA66" s="40" t="str">
        <f>IFERROR(IF(OR($W66="",$H66=""),"",IF($W66&gt;$H66,
  MAX(0, 60-(($W66-$H66)*24/Config!$B$19)*60),
  MIN(100, 60+(($H66-$W66)*24/Config!$B$20)*40)
)),"")
</f>
        <v/>
      </c>
      <c r="AB66" s="40" t="str">
        <f>IF($K66="","",IFERROR(VLOOKUP($K66,Grinders!$A$4:$N$998,10,FALSE)/5*100,""))</f>
        <v/>
      </c>
      <c r="AC66" s="40" t="str">
        <f>IF($K66="","",IFERROR(VLOOKUP($K66,Grinders!$A$4:$N$998,11,FALSE)*100,""))</f>
        <v/>
      </c>
      <c r="AD66" s="40" t="str">
        <f>IF($K66="","",IFERROR(VLOOKUP($K66,Grinders!$A$4:$N$998,12,FALSE)*100,""))</f>
        <v/>
      </c>
      <c r="AE66" s="40" t="str">
        <f>IF(OR(AO66=1,AP66=1),0,=IFERROR(IFS(
    OR($C66="", $K66=""), 0,
    $F66=0, 0,
    $D66&lt;&gt;"Open", 0,
    COUNTIFS(GrinderServices!$A$6:$A$1000, $K66, GrinderServices!$B$6:$B$1000, $E66, GrinderServices!$D$6:$D$1000, "Y")=0, 0,
    $X66&lt;Config!$B$16, 0,
    Config!$B$18=1, IF($O66&gt;=N66, 0, 1),
    TRUE, 1
), "")
)</f>
        <v>#ERROR!</v>
      </c>
      <c r="AF66" s="40" t="str">
        <f>IFERROR((IF(OR(AO66=1,AP66=1),"",=IFERROR((IFERROR(IF($AE66=0,"",((Config!$B$6*$Y66 + Config!$B$7*$U66 + Config!$B$8*$Z66 + Config!$B$9*$AA66 + Config!$B$10*$AB66 + Config!$B$11*$AC66 - Config!$B$12*$AD66)/Config!$B$13)+$AK66+$AL66),""))*(1-IFERROR(VLOOKUP(K66,Grinders!$A:$AB, 28, FALSE),0)),"")))*(1+AR66),"")</f>
        <v>#ERROR!</v>
      </c>
      <c r="AG66" s="40" t="str">
        <f t="shared" si="6"/>
        <v>#ERROR!</v>
      </c>
      <c r="AH66" s="40" t="str">
        <f t="shared" si="7"/>
        <v/>
      </c>
      <c r="AI66" s="40" t="str">
        <f t="shared" si="8"/>
        <v/>
      </c>
      <c r="AJ66" s="40" t="str">
        <f>IF($K66="","",COUNTIF(Assignments!$B$6:$B$1000,$K66))</f>
        <v/>
      </c>
      <c r="AK66" s="40" t="str">
        <f>IF($K66="","",IF(AND($AJ66=0,$O66&lt;$N66),Config!$B$43,0))</f>
        <v/>
      </c>
      <c r="AL66" s="40" t="str">
        <f>IF($K66="","",IF(AND($M66="Elite",$G66&gt;=Config!$B$41,$O66&lt;$N66),Config!$B$42,0))</f>
        <v/>
      </c>
      <c r="AM66" s="22"/>
      <c r="AN66" s="39">
        <f>IFERROR(VLOOKUP(K66,Grinders!$A:$Q,28,FALSE),0)</f>
        <v>0</v>
      </c>
      <c r="AO66" s="39">
        <f>IF(Config!$B$1003&lt;&gt;"Y",0,IF(IFERROR(VLOOKUP(K66,Grinders!$A:$P,27,FALSE),0)&gt;=3,IF(OR(G66&gt;=Config!$B$1001,ISNUMBER(SEARCH(E66,Config!$B$1002))),1,0),0))</f>
        <v>0</v>
      </c>
      <c r="AP66" s="39">
        <f t="array" ref="AP66">IFERROR(IF(INDEX(Bids!$AE:$AE,MATCH(B66,Bids!$A:$A,0))="Pending",1,0),0)</f>
        <v>0</v>
      </c>
      <c r="AQ66" s="39" t="str">
        <f t="array" ref="AQ66">IF(C66="","",IFERROR(XLOOKUP(C66,Assignments!$C:$C,Assignments!$AU:$AU,0),0))</f>
        <v/>
      </c>
      <c r="AR66" s="39">
        <f>IF(AND(Config!$B$1006="Y",AQ66=1),Config!$B$1007,0)</f>
        <v>0</v>
      </c>
    </row>
    <row r="67" ht="15.75" customHeight="1">
      <c r="A67" s="46" t="str">
        <f t="shared" si="1"/>
        <v/>
      </c>
      <c r="B67" s="40" t="str">
        <f>IF(Bids!$A66="","",Bids!$A66)</f>
        <v/>
      </c>
      <c r="C67" s="40" t="str">
        <f>IF(Bids!$B66="","",Bids!$B66)</f>
        <v/>
      </c>
      <c r="D67" s="40" t="str">
        <f>IF($C67="","",IFERROR(VLOOKUP($C67,Orders!$A$4:$J$998,9,FALSE),""))</f>
        <v/>
      </c>
      <c r="E67" s="40" t="str">
        <f>IF($C67="","",IFERROR(VLOOKUP($C67,Orders!$A$4:$J$998,3,FALSE),""))</f>
        <v/>
      </c>
      <c r="F67" s="40">
        <f t="shared" si="2"/>
        <v>1</v>
      </c>
      <c r="G67" s="40" t="str">
        <f>IF($C67="","",IFERROR(VLOOKUP($C67,Orders!$A$4:$J$998,4,FALSE),""))</f>
        <v/>
      </c>
      <c r="H67" s="40" t="str">
        <f>IF($C67="","",IFERROR(VLOOKUP($C67,Orders!$A$4:$J$998,5,FALSE),""))</f>
        <v/>
      </c>
      <c r="I67" s="40" t="str">
        <f>IF($C67="","",IFERROR(VLOOKUP($C67,Orders!$A$4:$J$998,6,FALSE),""))</f>
        <v/>
      </c>
      <c r="J67" s="40" t="str">
        <f>IF($C67="","",IFERROR(VLOOKUP($C67,Orders!$A$4:$J$998,7,FALSE),""))</f>
        <v/>
      </c>
      <c r="K67" s="40" t="str">
        <f>IF(Bids!$C66="","",Bids!$C66)</f>
        <v/>
      </c>
      <c r="L67" s="40" t="str">
        <f>IF($K67="","",IFERROR(VLOOKUP($K67,Grinders!$A$4:$N$998,2,FALSE),""))</f>
        <v/>
      </c>
      <c r="M67" s="40" t="str">
        <f>IF($K67="","",IFERROR(VLOOKUP($K67,Grinders!$A$4:$N$998,3,FALSE),""))</f>
        <v/>
      </c>
      <c r="N67" s="40" t="str">
        <f>IF($K67="","",IFERROR(VLOOKUP($K67,Grinders!$A$4:$N$998,4,FALSE),""))</f>
        <v/>
      </c>
      <c r="O67" s="40" t="str">
        <f>IF($K67="","",IFERROR(VLOOKUP($K67,Grinders!$A$4:$N$998,5,FALSE),""))</f>
        <v/>
      </c>
      <c r="P67" s="40" t="str">
        <f>IF($K67="","",IF($C$4="",0,COUNTIFS(Assignments!$B$6:$B$1000,$K67,Assignments!$F$6:$F$1000,$C$4,Assignments!$E$6:$E$1000,"Active")))</f>
        <v/>
      </c>
      <c r="Q67" s="40" t="str">
        <f t="shared" si="3"/>
        <v/>
      </c>
      <c r="R67" s="40" t="str">
        <f t="shared" si="4"/>
        <v/>
      </c>
      <c r="S67" s="40" t="str">
        <f>IF($K67="","",IF($C$4="",0,COUNTIFS(Assignments!$B$6:$B$1000,$K67,Assignments!$F$6:$F$1000,$C$4,Assignments!$D$6:$D$1000,"&gt;="&amp;Config!$B$3-7,Assignments!$D$6:$D$1000,"&lt;="&amp;Config!$B$3)))</f>
        <v/>
      </c>
      <c r="T67" s="40" t="str">
        <f>IF($K67="","",IFERROR(VLOOKUP($K67,Grinders!$A$4:$N$998,8,FALSE),""))</f>
        <v/>
      </c>
      <c r="U67" s="40" t="str">
        <f>IFERROR(IF($K67="","",IF($M67="Elite",MAX(50,MIN(100,Config!$B$27*MAX(0,MIN(100,(1-IF($R67="",0,$R67))*100)) + Config!$B$28*MAX(0,MIN(100,(1-MIN(1,IF(Config!$B$30=0,1,$S67/Config!$B$30)))*100)) + Config!$B$29*MAX(0,MIN(100,MIN(1,IF($T67="",0,$T67)/Config!$B$23)*100)))),MIN(100,Config!$B$27*MAX(0,MIN(100,(1-IF($R67="",0,$R67))*100)) + Config!$B$28*MAX(0,MIN(100,(1-MIN(1,IF(Config!$B$30=0,1,$S67/Config!$B$30)))*100)) + Config!$B$29*MAX(0,MIN(100,MIN(1,IF($T67="",0,$T67)/Config!$B$23)*100))))),"")
</f>
        <v/>
      </c>
      <c r="V67" s="40" t="str">
        <f>IF(Bids!$AC67="","",Bids!$AC67)</f>
        <v/>
      </c>
      <c r="W67" s="40" t="str">
        <f>IF(Bids!$F66="","",Bids!$F66)</f>
        <v/>
      </c>
      <c r="X67" s="40" t="str">
        <f t="shared" si="5"/>
        <v/>
      </c>
      <c r="Y67" s="40" t="str">
        <f>IF($X67="","",IF(Config!$B$17=Config!$B$16,IF($X67&gt;=Config!$B$17,100,0),MAX(0,MIN(100,($X67-Config!$B$16)/(Config!$B$17-Config!$B$16)*100))))</f>
        <v/>
      </c>
      <c r="Z67" s="40">
        <f>IF($M67="Elite",Config!$B$21,0)</f>
        <v>0</v>
      </c>
      <c r="AA67" s="40" t="str">
        <f>IFERROR(IF(OR($W67="",$H67=""),"",IF($W67&gt;$H67,
  MAX(0, 60-(($W67-$H67)*24/Config!$B$19)*60),
  MIN(100, 60+(($H67-$W67)*24/Config!$B$20)*40)
)),"")
</f>
        <v/>
      </c>
      <c r="AB67" s="40" t="str">
        <f>IF($K67="","",IFERROR(VLOOKUP($K67,Grinders!$A$4:$N$998,10,FALSE)/5*100,""))</f>
        <v/>
      </c>
      <c r="AC67" s="40" t="str">
        <f>IF($K67="","",IFERROR(VLOOKUP($K67,Grinders!$A$4:$N$998,11,FALSE)*100,""))</f>
        <v/>
      </c>
      <c r="AD67" s="40" t="str">
        <f>IF($K67="","",IFERROR(VLOOKUP($K67,Grinders!$A$4:$N$998,12,FALSE)*100,""))</f>
        <v/>
      </c>
      <c r="AE67" s="40" t="str">
        <f>IF(OR(AO67=1,AP67=1),0,=IFERROR(IFS(
    OR($C67="", $K67=""), 0,
    $F67=0, 0,
    $D67&lt;&gt;"Open", 0,
    COUNTIFS(GrinderServices!$A$6:$A$1000, $K67, GrinderServices!$B$6:$B$1000, $E67, GrinderServices!$D$6:$D$1000, "Y")=0, 0,
    $X67&lt;Config!$B$16, 0,
    Config!$B$18=1, IF($O67&gt;=N67, 0, 1),
    TRUE, 1
), "")
)</f>
        <v>#ERROR!</v>
      </c>
      <c r="AF67" s="40" t="str">
        <f>IFERROR((IF(OR(AO67=1,AP67=1),"",=IFERROR((IFERROR(IF($AE67=0,"",((Config!$B$6*$Y67 + Config!$B$7*$U67 + Config!$B$8*$Z67 + Config!$B$9*$AA67 + Config!$B$10*$AB67 + Config!$B$11*$AC67 - Config!$B$12*$AD67)/Config!$B$13)+$AK67+$AL67),""))*(1-IFERROR(VLOOKUP(K67,Grinders!$A:$AB, 28, FALSE),0)),"")))*(1+AR67),"")</f>
        <v>#ERROR!</v>
      </c>
      <c r="AG67" s="40" t="str">
        <f t="shared" si="6"/>
        <v>#ERROR!</v>
      </c>
      <c r="AH67" s="40" t="str">
        <f t="shared" si="7"/>
        <v/>
      </c>
      <c r="AI67" s="40" t="str">
        <f t="shared" si="8"/>
        <v/>
      </c>
      <c r="AJ67" s="40" t="str">
        <f>IF($K67="","",COUNTIF(Assignments!$B$6:$B$1000,$K67))</f>
        <v/>
      </c>
      <c r="AK67" s="40" t="str">
        <f>IF($K67="","",IF(AND($AJ67=0,$O67&lt;$N67),Config!$B$43,0))</f>
        <v/>
      </c>
      <c r="AL67" s="40" t="str">
        <f>IF($K67="","",IF(AND($M67="Elite",$G67&gt;=Config!$B$41,$O67&lt;$N67),Config!$B$42,0))</f>
        <v/>
      </c>
      <c r="AM67" s="22"/>
      <c r="AN67" s="39">
        <f>IFERROR(VLOOKUP(K67,Grinders!$A:$Q,28,FALSE),0)</f>
        <v>0</v>
      </c>
      <c r="AO67" s="39">
        <f>IF(Config!$B$1003&lt;&gt;"Y",0,IF(IFERROR(VLOOKUP(K67,Grinders!$A:$P,27,FALSE),0)&gt;=3,IF(OR(G67&gt;=Config!$B$1001,ISNUMBER(SEARCH(E67,Config!$B$1002))),1,0),0))</f>
        <v>0</v>
      </c>
      <c r="AP67" s="39">
        <f t="array" ref="AP67">IFERROR(IF(INDEX(Bids!$AE:$AE,MATCH(B67,Bids!$A:$A,0))="Pending",1,0),0)</f>
        <v>0</v>
      </c>
      <c r="AQ67" s="39" t="str">
        <f t="array" ref="AQ67">IF(C67="","",IFERROR(XLOOKUP(C67,Assignments!$C:$C,Assignments!$AU:$AU,0),0))</f>
        <v/>
      </c>
      <c r="AR67" s="39">
        <f>IF(AND(Config!$B$1006="Y",AQ67=1),Config!$B$1007,0)</f>
        <v>0</v>
      </c>
    </row>
    <row r="68" ht="15.75" customHeight="1">
      <c r="A68" s="46" t="str">
        <f t="shared" si="1"/>
        <v/>
      </c>
      <c r="B68" s="40" t="str">
        <f>IF(Bids!$A67="","",Bids!$A67)</f>
        <v/>
      </c>
      <c r="C68" s="40" t="str">
        <f>IF(Bids!$B67="","",Bids!$B67)</f>
        <v/>
      </c>
      <c r="D68" s="40" t="str">
        <f>IF($C68="","",IFERROR(VLOOKUP($C68,Orders!$A$4:$J$998,9,FALSE),""))</f>
        <v/>
      </c>
      <c r="E68" s="40" t="str">
        <f>IF($C68="","",IFERROR(VLOOKUP($C68,Orders!$A$4:$J$998,3,FALSE),""))</f>
        <v/>
      </c>
      <c r="F68" s="40">
        <f t="shared" si="2"/>
        <v>1</v>
      </c>
      <c r="G68" s="40" t="str">
        <f>IF($C68="","",IFERROR(VLOOKUP($C68,Orders!$A$4:$J$998,4,FALSE),""))</f>
        <v/>
      </c>
      <c r="H68" s="40" t="str">
        <f>IF($C68="","",IFERROR(VLOOKUP($C68,Orders!$A$4:$J$998,5,FALSE),""))</f>
        <v/>
      </c>
      <c r="I68" s="40" t="str">
        <f>IF($C68="","",IFERROR(VLOOKUP($C68,Orders!$A$4:$J$998,6,FALSE),""))</f>
        <v/>
      </c>
      <c r="J68" s="40" t="str">
        <f>IF($C68="","",IFERROR(VLOOKUP($C68,Orders!$A$4:$J$998,7,FALSE),""))</f>
        <v/>
      </c>
      <c r="K68" s="40" t="str">
        <f>IF(Bids!$C67="","",Bids!$C67)</f>
        <v/>
      </c>
      <c r="L68" s="40" t="str">
        <f>IF($K68="","",IFERROR(VLOOKUP($K68,Grinders!$A$4:$N$998,2,FALSE),""))</f>
        <v/>
      </c>
      <c r="M68" s="40" t="str">
        <f>IF($K68="","",IFERROR(VLOOKUP($K68,Grinders!$A$4:$N$998,3,FALSE),""))</f>
        <v/>
      </c>
      <c r="N68" s="40" t="str">
        <f>IF($K68="","",IFERROR(VLOOKUP($K68,Grinders!$A$4:$N$998,4,FALSE),""))</f>
        <v/>
      </c>
      <c r="O68" s="40" t="str">
        <f>IF($K68="","",IFERROR(VLOOKUP($K68,Grinders!$A$4:$N$998,5,FALSE),""))</f>
        <v/>
      </c>
      <c r="P68" s="40" t="str">
        <f>IF($K68="","",IF($C$4="",0,COUNTIFS(Assignments!$B$6:$B$1000,$K68,Assignments!$F$6:$F$1000,$C$4,Assignments!$E$6:$E$1000,"Active")))</f>
        <v/>
      </c>
      <c r="Q68" s="40" t="str">
        <f t="shared" si="3"/>
        <v/>
      </c>
      <c r="R68" s="40" t="str">
        <f t="shared" si="4"/>
        <v/>
      </c>
      <c r="S68" s="40" t="str">
        <f>IF($K68="","",IF($C$4="",0,COUNTIFS(Assignments!$B$6:$B$1000,$K68,Assignments!$F$6:$F$1000,$C$4,Assignments!$D$6:$D$1000,"&gt;="&amp;Config!$B$3-7,Assignments!$D$6:$D$1000,"&lt;="&amp;Config!$B$3)))</f>
        <v/>
      </c>
      <c r="T68" s="40" t="str">
        <f>IF($K68="","",IFERROR(VLOOKUP($K68,Grinders!$A$4:$N$998,8,FALSE),""))</f>
        <v/>
      </c>
      <c r="U68" s="40" t="str">
        <f>IFERROR(IF($K68="","",IF($M68="Elite",MAX(50,MIN(100,Config!$B$27*MAX(0,MIN(100,(1-IF($R68="",0,$R68))*100)) + Config!$B$28*MAX(0,MIN(100,(1-MIN(1,IF(Config!$B$30=0,1,$S68/Config!$B$30)))*100)) + Config!$B$29*MAX(0,MIN(100,MIN(1,IF($T68="",0,$T68)/Config!$B$23)*100)))),MIN(100,Config!$B$27*MAX(0,MIN(100,(1-IF($R68="",0,$R68))*100)) + Config!$B$28*MAX(0,MIN(100,(1-MIN(1,IF(Config!$B$30=0,1,$S68/Config!$B$30)))*100)) + Config!$B$29*MAX(0,MIN(100,MIN(1,IF($T68="",0,$T68)/Config!$B$23)*100))))),"")
</f>
        <v/>
      </c>
      <c r="V68" s="40" t="str">
        <f>IF(Bids!$AC68="","",Bids!$AC68)</f>
        <v/>
      </c>
      <c r="W68" s="40" t="str">
        <f>IF(Bids!$F67="","",Bids!$F67)</f>
        <v/>
      </c>
      <c r="X68" s="40" t="str">
        <f t="shared" si="5"/>
        <v/>
      </c>
      <c r="Y68" s="40" t="str">
        <f>IF($X68="","",IF(Config!$B$17=Config!$B$16,IF($X68&gt;=Config!$B$17,100,0),MAX(0,MIN(100,($X68-Config!$B$16)/(Config!$B$17-Config!$B$16)*100))))</f>
        <v/>
      </c>
      <c r="Z68" s="40">
        <f>IF($M68="Elite",Config!$B$21,0)</f>
        <v>0</v>
      </c>
      <c r="AA68" s="40" t="str">
        <f>IFERROR(IF(OR($W68="",$H68=""),"",IF($W68&gt;$H68,
  MAX(0, 60-(($W68-$H68)*24/Config!$B$19)*60),
  MIN(100, 60+(($H68-$W68)*24/Config!$B$20)*40)
)),"")
</f>
        <v/>
      </c>
      <c r="AB68" s="40" t="str">
        <f>IF($K68="","",IFERROR(VLOOKUP($K68,Grinders!$A$4:$N$998,10,FALSE)/5*100,""))</f>
        <v/>
      </c>
      <c r="AC68" s="40" t="str">
        <f>IF($K68="","",IFERROR(VLOOKUP($K68,Grinders!$A$4:$N$998,11,FALSE)*100,""))</f>
        <v/>
      </c>
      <c r="AD68" s="40" t="str">
        <f>IF($K68="","",IFERROR(VLOOKUP($K68,Grinders!$A$4:$N$998,12,FALSE)*100,""))</f>
        <v/>
      </c>
      <c r="AE68" s="40" t="str">
        <f>IF(OR(AO68=1,AP68=1),0,=IFERROR(IFS(
    OR($C68="", $K68=""), 0,
    $F68=0, 0,
    $D68&lt;&gt;"Open", 0,
    COUNTIFS(GrinderServices!$A$6:$A$1000, $K68, GrinderServices!$B$6:$B$1000, $E68, GrinderServices!$D$6:$D$1000, "Y")=0, 0,
    $X68&lt;Config!$B$16, 0,
    Config!$B$18=1, IF($O68&gt;=N68, 0, 1),
    TRUE, 1
), "")
)</f>
        <v>#ERROR!</v>
      </c>
      <c r="AF68" s="40" t="str">
        <f>IFERROR((IF(OR(AO68=1,AP68=1),"",=IFERROR((IFERROR(IF($AE68=0,"",((Config!$B$6*$Y68 + Config!$B$7*$U68 + Config!$B$8*$Z68 + Config!$B$9*$AA68 + Config!$B$10*$AB68 + Config!$B$11*$AC68 - Config!$B$12*$AD68)/Config!$B$13)+$AK68+$AL68),""))*(1-IFERROR(VLOOKUP(K68,Grinders!$A:$AB, 28, FALSE),0)),"")))*(1+AR68),"")</f>
        <v>#ERROR!</v>
      </c>
      <c r="AG68" s="40" t="str">
        <f t="shared" si="6"/>
        <v>#ERROR!</v>
      </c>
      <c r="AH68" s="40" t="str">
        <f t="shared" si="7"/>
        <v/>
      </c>
      <c r="AI68" s="40" t="str">
        <f t="shared" si="8"/>
        <v/>
      </c>
      <c r="AJ68" s="40" t="str">
        <f>IF($K68="","",COUNTIF(Assignments!$B$6:$B$1000,$K68))</f>
        <v/>
      </c>
      <c r="AK68" s="40" t="str">
        <f>IF($K68="","",IF(AND($AJ68=0,$O68&lt;$N68),Config!$B$43,0))</f>
        <v/>
      </c>
      <c r="AL68" s="40" t="str">
        <f>IF($K68="","",IF(AND($M68="Elite",$G68&gt;=Config!$B$41,$O68&lt;$N68),Config!$B$42,0))</f>
        <v/>
      </c>
      <c r="AM68" s="22"/>
      <c r="AN68" s="39">
        <f>IFERROR(VLOOKUP(K68,Grinders!$A:$Q,28,FALSE),0)</f>
        <v>0</v>
      </c>
      <c r="AO68" s="39">
        <f>IF(Config!$B$1003&lt;&gt;"Y",0,IF(IFERROR(VLOOKUP(K68,Grinders!$A:$P,27,FALSE),0)&gt;=3,IF(OR(G68&gt;=Config!$B$1001,ISNUMBER(SEARCH(E68,Config!$B$1002))),1,0),0))</f>
        <v>0</v>
      </c>
      <c r="AP68" s="39">
        <f t="array" ref="AP68">IFERROR(IF(INDEX(Bids!$AE:$AE,MATCH(B68,Bids!$A:$A,0))="Pending",1,0),0)</f>
        <v>0</v>
      </c>
      <c r="AQ68" s="39" t="str">
        <f t="array" ref="AQ68">IF(C68="","",IFERROR(XLOOKUP(C68,Assignments!$C:$C,Assignments!$AU:$AU,0),0))</f>
        <v/>
      </c>
      <c r="AR68" s="39">
        <f>IF(AND(Config!$B$1006="Y",AQ68=1),Config!$B$1007,0)</f>
        <v>0</v>
      </c>
    </row>
    <row r="69" ht="15.75" customHeight="1">
      <c r="A69" s="46" t="str">
        <f t="shared" si="1"/>
        <v/>
      </c>
      <c r="B69" s="40" t="str">
        <f>IF(Bids!$A68="","",Bids!$A68)</f>
        <v/>
      </c>
      <c r="C69" s="40" t="str">
        <f>IF(Bids!$B68="","",Bids!$B68)</f>
        <v/>
      </c>
      <c r="D69" s="40" t="str">
        <f>IF($C69="","",IFERROR(VLOOKUP($C69,Orders!$A$4:$J$998,9,FALSE),""))</f>
        <v/>
      </c>
      <c r="E69" s="40" t="str">
        <f>IF($C69="","",IFERROR(VLOOKUP($C69,Orders!$A$4:$J$998,3,FALSE),""))</f>
        <v/>
      </c>
      <c r="F69" s="40">
        <f t="shared" si="2"/>
        <v>1</v>
      </c>
      <c r="G69" s="40" t="str">
        <f>IF($C69="","",IFERROR(VLOOKUP($C69,Orders!$A$4:$J$998,4,FALSE),""))</f>
        <v/>
      </c>
      <c r="H69" s="40" t="str">
        <f>IF($C69="","",IFERROR(VLOOKUP($C69,Orders!$A$4:$J$998,5,FALSE),""))</f>
        <v/>
      </c>
      <c r="I69" s="40" t="str">
        <f>IF($C69="","",IFERROR(VLOOKUP($C69,Orders!$A$4:$J$998,6,FALSE),""))</f>
        <v/>
      </c>
      <c r="J69" s="40" t="str">
        <f>IF($C69="","",IFERROR(VLOOKUP($C69,Orders!$A$4:$J$998,7,FALSE),""))</f>
        <v/>
      </c>
      <c r="K69" s="40" t="str">
        <f>IF(Bids!$C68="","",Bids!$C68)</f>
        <v/>
      </c>
      <c r="L69" s="40" t="str">
        <f>IF($K69="","",IFERROR(VLOOKUP($K69,Grinders!$A$4:$N$998,2,FALSE),""))</f>
        <v/>
      </c>
      <c r="M69" s="40" t="str">
        <f>IF($K69="","",IFERROR(VLOOKUP($K69,Grinders!$A$4:$N$998,3,FALSE),""))</f>
        <v/>
      </c>
      <c r="N69" s="40" t="str">
        <f>IF($K69="","",IFERROR(VLOOKUP($K69,Grinders!$A$4:$N$998,4,FALSE),""))</f>
        <v/>
      </c>
      <c r="O69" s="40" t="str">
        <f>IF($K69="","",IFERROR(VLOOKUP($K69,Grinders!$A$4:$N$998,5,FALSE),""))</f>
        <v/>
      </c>
      <c r="P69" s="40" t="str">
        <f>IF($K69="","",IF($C$4="",0,COUNTIFS(Assignments!$B$6:$B$1000,$K69,Assignments!$F$6:$F$1000,$C$4,Assignments!$E$6:$E$1000,"Active")))</f>
        <v/>
      </c>
      <c r="Q69" s="40" t="str">
        <f t="shared" si="3"/>
        <v/>
      </c>
      <c r="R69" s="40" t="str">
        <f t="shared" si="4"/>
        <v/>
      </c>
      <c r="S69" s="40" t="str">
        <f>IF($K69="","",IF($C$4="",0,COUNTIFS(Assignments!$B$6:$B$1000,$K69,Assignments!$F$6:$F$1000,$C$4,Assignments!$D$6:$D$1000,"&gt;="&amp;Config!$B$3-7,Assignments!$D$6:$D$1000,"&lt;="&amp;Config!$B$3)))</f>
        <v/>
      </c>
      <c r="T69" s="40" t="str">
        <f>IF($K69="","",IFERROR(VLOOKUP($K69,Grinders!$A$4:$N$998,8,FALSE),""))</f>
        <v/>
      </c>
      <c r="U69" s="40" t="str">
        <f>IFERROR(IF($K69="","",IF($M69="Elite",MAX(50,MIN(100,Config!$B$27*MAX(0,MIN(100,(1-IF($R69="",0,$R69))*100)) + Config!$B$28*MAX(0,MIN(100,(1-MIN(1,IF(Config!$B$30=0,1,$S69/Config!$B$30)))*100)) + Config!$B$29*MAX(0,MIN(100,MIN(1,IF($T69="",0,$T69)/Config!$B$23)*100)))),MIN(100,Config!$B$27*MAX(0,MIN(100,(1-IF($R69="",0,$R69))*100)) + Config!$B$28*MAX(0,MIN(100,(1-MIN(1,IF(Config!$B$30=0,1,$S69/Config!$B$30)))*100)) + Config!$B$29*MAX(0,MIN(100,MIN(1,IF($T69="",0,$T69)/Config!$B$23)*100))))),"")
</f>
        <v/>
      </c>
      <c r="V69" s="40" t="str">
        <f>IF(Bids!$AC69="","",Bids!$AC69)</f>
        <v/>
      </c>
      <c r="W69" s="40" t="str">
        <f>IF(Bids!$F68="","",Bids!$F68)</f>
        <v/>
      </c>
      <c r="X69" s="40" t="str">
        <f t="shared" si="5"/>
        <v/>
      </c>
      <c r="Y69" s="40" t="str">
        <f>IF($X69="","",IF(Config!$B$17=Config!$B$16,IF($X69&gt;=Config!$B$17,100,0),MAX(0,MIN(100,($X69-Config!$B$16)/(Config!$B$17-Config!$B$16)*100))))</f>
        <v/>
      </c>
      <c r="Z69" s="40">
        <f>IF($M69="Elite",Config!$B$21,0)</f>
        <v>0</v>
      </c>
      <c r="AA69" s="40" t="str">
        <f>IFERROR(IF(OR($W69="",$H69=""),"",IF($W69&gt;$H69,
  MAX(0, 60-(($W69-$H69)*24/Config!$B$19)*60),
  MIN(100, 60+(($H69-$W69)*24/Config!$B$20)*40)
)),"")
</f>
        <v/>
      </c>
      <c r="AB69" s="40" t="str">
        <f>IF($K69="","",IFERROR(VLOOKUP($K69,Grinders!$A$4:$N$998,10,FALSE)/5*100,""))</f>
        <v/>
      </c>
      <c r="AC69" s="40" t="str">
        <f>IF($K69="","",IFERROR(VLOOKUP($K69,Grinders!$A$4:$N$998,11,FALSE)*100,""))</f>
        <v/>
      </c>
      <c r="AD69" s="40" t="str">
        <f>IF($K69="","",IFERROR(VLOOKUP($K69,Grinders!$A$4:$N$998,12,FALSE)*100,""))</f>
        <v/>
      </c>
      <c r="AE69" s="40" t="str">
        <f>IF(OR(AO69=1,AP69=1),0,=IFERROR(IFS(
    OR($C69="", $K69=""), 0,
    $F69=0, 0,
    $D69&lt;&gt;"Open", 0,
    COUNTIFS(GrinderServices!$A$6:$A$1000, $K69, GrinderServices!$B$6:$B$1000, $E69, GrinderServices!$D$6:$D$1000, "Y")=0, 0,
    $X69&lt;Config!$B$16, 0,
    Config!$B$18=1, IF($O69&gt;=N69, 0, 1),
    TRUE, 1
), "")
)</f>
        <v>#ERROR!</v>
      </c>
      <c r="AF69" s="40" t="str">
        <f>IFERROR((IF(OR(AO69=1,AP69=1),"",=IFERROR((IFERROR(IF($AE69=0,"",((Config!$B$6*$Y69 + Config!$B$7*$U69 + Config!$B$8*$Z69 + Config!$B$9*$AA69 + Config!$B$10*$AB69 + Config!$B$11*$AC69 - Config!$B$12*$AD69)/Config!$B$13)+$AK69+$AL69),""))*(1-IFERROR(VLOOKUP(K69,Grinders!$A:$AB, 28, FALSE),0)),"")))*(1+AR69),"")</f>
        <v>#ERROR!</v>
      </c>
      <c r="AG69" s="40" t="str">
        <f t="shared" si="6"/>
        <v>#ERROR!</v>
      </c>
      <c r="AH69" s="40" t="str">
        <f t="shared" si="7"/>
        <v/>
      </c>
      <c r="AI69" s="40" t="str">
        <f t="shared" si="8"/>
        <v/>
      </c>
      <c r="AJ69" s="40" t="str">
        <f>IF($K69="","",COUNTIF(Assignments!$B$6:$B$1000,$K69))</f>
        <v/>
      </c>
      <c r="AK69" s="40" t="str">
        <f>IF($K69="","",IF(AND($AJ69=0,$O69&lt;$N69),Config!$B$43,0))</f>
        <v/>
      </c>
      <c r="AL69" s="40" t="str">
        <f>IF($K69="","",IF(AND($M69="Elite",$G69&gt;=Config!$B$41,$O69&lt;$N69),Config!$B$42,0))</f>
        <v/>
      </c>
      <c r="AM69" s="22"/>
      <c r="AN69" s="39">
        <f>IFERROR(VLOOKUP(K69,Grinders!$A:$Q,28,FALSE),0)</f>
        <v>0</v>
      </c>
      <c r="AO69" s="39">
        <f>IF(Config!$B$1003&lt;&gt;"Y",0,IF(IFERROR(VLOOKUP(K69,Grinders!$A:$P,27,FALSE),0)&gt;=3,IF(OR(G69&gt;=Config!$B$1001,ISNUMBER(SEARCH(E69,Config!$B$1002))),1,0),0))</f>
        <v>0</v>
      </c>
      <c r="AP69" s="39">
        <f t="array" ref="AP69">IFERROR(IF(INDEX(Bids!$AE:$AE,MATCH(B69,Bids!$A:$A,0))="Pending",1,0),0)</f>
        <v>0</v>
      </c>
      <c r="AQ69" s="39" t="str">
        <f t="array" ref="AQ69">IF(C69="","",IFERROR(XLOOKUP(C69,Assignments!$C:$C,Assignments!$AU:$AU,0),0))</f>
        <v/>
      </c>
      <c r="AR69" s="39">
        <f>IF(AND(Config!$B$1006="Y",AQ69=1),Config!$B$1007,0)</f>
        <v>0</v>
      </c>
    </row>
    <row r="70" ht="15.75" customHeight="1">
      <c r="A70" s="46" t="str">
        <f t="shared" si="1"/>
        <v/>
      </c>
      <c r="B70" s="40" t="str">
        <f>IF(Bids!$A69="","",Bids!$A69)</f>
        <v/>
      </c>
      <c r="C70" s="40" t="str">
        <f>IF(Bids!$B69="","",Bids!$B69)</f>
        <v/>
      </c>
      <c r="D70" s="40" t="str">
        <f>IF($C70="","",IFERROR(VLOOKUP($C70,Orders!$A$4:$J$998,9,FALSE),""))</f>
        <v/>
      </c>
      <c r="E70" s="40" t="str">
        <f>IF($C70="","",IFERROR(VLOOKUP($C70,Orders!$A$4:$J$998,3,FALSE),""))</f>
        <v/>
      </c>
      <c r="F70" s="40">
        <f t="shared" si="2"/>
        <v>1</v>
      </c>
      <c r="G70" s="40" t="str">
        <f>IF($C70="","",IFERROR(VLOOKUP($C70,Orders!$A$4:$J$998,4,FALSE),""))</f>
        <v/>
      </c>
      <c r="H70" s="40" t="str">
        <f>IF($C70="","",IFERROR(VLOOKUP($C70,Orders!$A$4:$J$998,5,FALSE),""))</f>
        <v/>
      </c>
      <c r="I70" s="40" t="str">
        <f>IF($C70="","",IFERROR(VLOOKUP($C70,Orders!$A$4:$J$998,6,FALSE),""))</f>
        <v/>
      </c>
      <c r="J70" s="40" t="str">
        <f>IF($C70="","",IFERROR(VLOOKUP($C70,Orders!$A$4:$J$998,7,FALSE),""))</f>
        <v/>
      </c>
      <c r="K70" s="40" t="str">
        <f>IF(Bids!$C69="","",Bids!$C69)</f>
        <v/>
      </c>
      <c r="L70" s="40" t="str">
        <f>IF($K70="","",IFERROR(VLOOKUP($K70,Grinders!$A$4:$N$998,2,FALSE),""))</f>
        <v/>
      </c>
      <c r="M70" s="40" t="str">
        <f>IF($K70="","",IFERROR(VLOOKUP($K70,Grinders!$A$4:$N$998,3,FALSE),""))</f>
        <v/>
      </c>
      <c r="N70" s="40" t="str">
        <f>IF($K70="","",IFERROR(VLOOKUP($K70,Grinders!$A$4:$N$998,4,FALSE),""))</f>
        <v/>
      </c>
      <c r="O70" s="40" t="str">
        <f>IF($K70="","",IFERROR(VLOOKUP($K70,Grinders!$A$4:$N$998,5,FALSE),""))</f>
        <v/>
      </c>
      <c r="P70" s="40" t="str">
        <f>IF($K70="","",IF($C$4="",0,COUNTIFS(Assignments!$B$6:$B$1000,$K70,Assignments!$F$6:$F$1000,$C$4,Assignments!$E$6:$E$1000,"Active")))</f>
        <v/>
      </c>
      <c r="Q70" s="40" t="str">
        <f t="shared" si="3"/>
        <v/>
      </c>
      <c r="R70" s="40" t="str">
        <f t="shared" si="4"/>
        <v/>
      </c>
      <c r="S70" s="40" t="str">
        <f>IF($K70="","",IF($C$4="",0,COUNTIFS(Assignments!$B$6:$B$1000,$K70,Assignments!$F$6:$F$1000,$C$4,Assignments!$D$6:$D$1000,"&gt;="&amp;Config!$B$3-7,Assignments!$D$6:$D$1000,"&lt;="&amp;Config!$B$3)))</f>
        <v/>
      </c>
      <c r="T70" s="40" t="str">
        <f>IF($K70="","",IFERROR(VLOOKUP($K70,Grinders!$A$4:$N$998,8,FALSE),""))</f>
        <v/>
      </c>
      <c r="U70" s="40" t="str">
        <f>IFERROR(IF($K70="","",IF($M70="Elite",MAX(50,MIN(100,Config!$B$27*MAX(0,MIN(100,(1-IF($R70="",0,$R70))*100)) + Config!$B$28*MAX(0,MIN(100,(1-MIN(1,IF(Config!$B$30=0,1,$S70/Config!$B$30)))*100)) + Config!$B$29*MAX(0,MIN(100,MIN(1,IF($T70="",0,$T70)/Config!$B$23)*100)))),MIN(100,Config!$B$27*MAX(0,MIN(100,(1-IF($R70="",0,$R70))*100)) + Config!$B$28*MAX(0,MIN(100,(1-MIN(1,IF(Config!$B$30=0,1,$S70/Config!$B$30)))*100)) + Config!$B$29*MAX(0,MIN(100,MIN(1,IF($T70="",0,$T70)/Config!$B$23)*100))))),"")
</f>
        <v/>
      </c>
      <c r="V70" s="40" t="str">
        <f>IF(Bids!$AC70="","",Bids!$AC70)</f>
        <v/>
      </c>
      <c r="W70" s="40" t="str">
        <f>IF(Bids!$F69="","",Bids!$F69)</f>
        <v/>
      </c>
      <c r="X70" s="40" t="str">
        <f t="shared" si="5"/>
        <v/>
      </c>
      <c r="Y70" s="40" t="str">
        <f>IF($X70="","",IF(Config!$B$17=Config!$B$16,IF($X70&gt;=Config!$B$17,100,0),MAX(0,MIN(100,($X70-Config!$B$16)/(Config!$B$17-Config!$B$16)*100))))</f>
        <v/>
      </c>
      <c r="Z70" s="40">
        <f>IF($M70="Elite",Config!$B$21,0)</f>
        <v>0</v>
      </c>
      <c r="AA70" s="40" t="str">
        <f>IFERROR(IF(OR($W70="",$H70=""),"",IF($W70&gt;$H70,
  MAX(0, 60-(($W70-$H70)*24/Config!$B$19)*60),
  MIN(100, 60+(($H70-$W70)*24/Config!$B$20)*40)
)),"")
</f>
        <v/>
      </c>
      <c r="AB70" s="40" t="str">
        <f>IF($K70="","",IFERROR(VLOOKUP($K70,Grinders!$A$4:$N$998,10,FALSE)/5*100,""))</f>
        <v/>
      </c>
      <c r="AC70" s="40" t="str">
        <f>IF($K70="","",IFERROR(VLOOKUP($K70,Grinders!$A$4:$N$998,11,FALSE)*100,""))</f>
        <v/>
      </c>
      <c r="AD70" s="40" t="str">
        <f>IF($K70="","",IFERROR(VLOOKUP($K70,Grinders!$A$4:$N$998,12,FALSE)*100,""))</f>
        <v/>
      </c>
      <c r="AE70" s="40" t="str">
        <f>IF(OR(AO70=1,AP70=1),0,=IFERROR(IFS(
    OR($C70="", $K70=""), 0,
    $F70=0, 0,
    $D70&lt;&gt;"Open", 0,
    COUNTIFS(GrinderServices!$A$6:$A$1000, $K70, GrinderServices!$B$6:$B$1000, $E70, GrinderServices!$D$6:$D$1000, "Y")=0, 0,
    $X70&lt;Config!$B$16, 0,
    Config!$B$18=1, IF($O70&gt;=N70, 0, 1),
    TRUE, 1
), "")
)</f>
        <v>#ERROR!</v>
      </c>
      <c r="AF70" s="40" t="str">
        <f>IFERROR((IF(OR(AO70=1,AP70=1),"",=IFERROR((IFERROR(IF($AE70=0,"",((Config!$B$6*$Y70 + Config!$B$7*$U70 + Config!$B$8*$Z70 + Config!$B$9*$AA70 + Config!$B$10*$AB70 + Config!$B$11*$AC70 - Config!$B$12*$AD70)/Config!$B$13)+$AK70+$AL70),""))*(1-IFERROR(VLOOKUP(K70,Grinders!$A:$AB, 28, FALSE),0)),"")))*(1+AR70),"")</f>
        <v>#ERROR!</v>
      </c>
      <c r="AG70" s="40" t="str">
        <f t="shared" si="6"/>
        <v>#ERROR!</v>
      </c>
      <c r="AH70" s="40" t="str">
        <f t="shared" si="7"/>
        <v/>
      </c>
      <c r="AI70" s="40" t="str">
        <f t="shared" si="8"/>
        <v/>
      </c>
      <c r="AJ70" s="40" t="str">
        <f>IF($K70="","",COUNTIF(Assignments!$B$6:$B$1000,$K70))</f>
        <v/>
      </c>
      <c r="AK70" s="40" t="str">
        <f>IF($K70="","",IF(AND($AJ70=0,$O70&lt;$N70),Config!$B$43,0))</f>
        <v/>
      </c>
      <c r="AL70" s="40" t="str">
        <f>IF($K70="","",IF(AND($M70="Elite",$G70&gt;=Config!$B$41,$O70&lt;$N70),Config!$B$42,0))</f>
        <v/>
      </c>
      <c r="AM70" s="22"/>
      <c r="AN70" s="39">
        <f>IFERROR(VLOOKUP(K70,Grinders!$A:$Q,28,FALSE),0)</f>
        <v>0</v>
      </c>
      <c r="AO70" s="39">
        <f>IF(Config!$B$1003&lt;&gt;"Y",0,IF(IFERROR(VLOOKUP(K70,Grinders!$A:$P,27,FALSE),0)&gt;=3,IF(OR(G70&gt;=Config!$B$1001,ISNUMBER(SEARCH(E70,Config!$B$1002))),1,0),0))</f>
        <v>0</v>
      </c>
      <c r="AP70" s="39">
        <f t="array" ref="AP70">IFERROR(IF(INDEX(Bids!$AE:$AE,MATCH(B70,Bids!$A:$A,0))="Pending",1,0),0)</f>
        <v>0</v>
      </c>
      <c r="AQ70" s="39" t="str">
        <f t="array" ref="AQ70">IF(C70="","",IFERROR(XLOOKUP(C70,Assignments!$C:$C,Assignments!$AU:$AU,0),0))</f>
        <v/>
      </c>
      <c r="AR70" s="39">
        <f>IF(AND(Config!$B$1006="Y",AQ70=1),Config!$B$1007,0)</f>
        <v>0</v>
      </c>
    </row>
    <row r="71" ht="15.75" customHeight="1">
      <c r="A71" s="46" t="str">
        <f t="shared" si="1"/>
        <v/>
      </c>
      <c r="B71" s="40" t="str">
        <f>IF(Bids!$A70="","",Bids!$A70)</f>
        <v/>
      </c>
      <c r="C71" s="40" t="str">
        <f>IF(Bids!$B70="","",Bids!$B70)</f>
        <v/>
      </c>
      <c r="D71" s="40" t="str">
        <f>IF($C71="","",IFERROR(VLOOKUP($C71,Orders!$A$4:$J$998,9,FALSE),""))</f>
        <v/>
      </c>
      <c r="E71" s="40" t="str">
        <f>IF($C71="","",IFERROR(VLOOKUP($C71,Orders!$A$4:$J$998,3,FALSE),""))</f>
        <v/>
      </c>
      <c r="F71" s="40">
        <f t="shared" si="2"/>
        <v>1</v>
      </c>
      <c r="G71" s="40" t="str">
        <f>IF($C71="","",IFERROR(VLOOKUP($C71,Orders!$A$4:$J$998,4,FALSE),""))</f>
        <v/>
      </c>
      <c r="H71" s="40" t="str">
        <f>IF($C71="","",IFERROR(VLOOKUP($C71,Orders!$A$4:$J$998,5,FALSE),""))</f>
        <v/>
      </c>
      <c r="I71" s="40" t="str">
        <f>IF($C71="","",IFERROR(VLOOKUP($C71,Orders!$A$4:$J$998,6,FALSE),""))</f>
        <v/>
      </c>
      <c r="J71" s="40" t="str">
        <f>IF($C71="","",IFERROR(VLOOKUP($C71,Orders!$A$4:$J$998,7,FALSE),""))</f>
        <v/>
      </c>
      <c r="K71" s="40" t="str">
        <f>IF(Bids!$C70="","",Bids!$C70)</f>
        <v/>
      </c>
      <c r="L71" s="40" t="str">
        <f>IF($K71="","",IFERROR(VLOOKUP($K71,Grinders!$A$4:$N$998,2,FALSE),""))</f>
        <v/>
      </c>
      <c r="M71" s="40" t="str">
        <f>IF($K71="","",IFERROR(VLOOKUP($K71,Grinders!$A$4:$N$998,3,FALSE),""))</f>
        <v/>
      </c>
      <c r="N71" s="40" t="str">
        <f>IF($K71="","",IFERROR(VLOOKUP($K71,Grinders!$A$4:$N$998,4,FALSE),""))</f>
        <v/>
      </c>
      <c r="O71" s="40" t="str">
        <f>IF($K71="","",IFERROR(VLOOKUP($K71,Grinders!$A$4:$N$998,5,FALSE),""))</f>
        <v/>
      </c>
      <c r="P71" s="40" t="str">
        <f>IF($K71="","",IF($C$4="",0,COUNTIFS(Assignments!$B$6:$B$1000,$K71,Assignments!$F$6:$F$1000,$C$4,Assignments!$E$6:$E$1000,"Active")))</f>
        <v/>
      </c>
      <c r="Q71" s="40" t="str">
        <f t="shared" si="3"/>
        <v/>
      </c>
      <c r="R71" s="40" t="str">
        <f t="shared" si="4"/>
        <v/>
      </c>
      <c r="S71" s="40" t="str">
        <f>IF($K71="","",IF($C$4="",0,COUNTIFS(Assignments!$B$6:$B$1000,$K71,Assignments!$F$6:$F$1000,$C$4,Assignments!$D$6:$D$1000,"&gt;="&amp;Config!$B$3-7,Assignments!$D$6:$D$1000,"&lt;="&amp;Config!$B$3)))</f>
        <v/>
      </c>
      <c r="T71" s="40" t="str">
        <f>IF($K71="","",IFERROR(VLOOKUP($K71,Grinders!$A$4:$N$998,8,FALSE),""))</f>
        <v/>
      </c>
      <c r="U71" s="40" t="str">
        <f>IFERROR(IF($K71="","",IF($M71="Elite",MAX(50,MIN(100,Config!$B$27*MAX(0,MIN(100,(1-IF($R71="",0,$R71))*100)) + Config!$B$28*MAX(0,MIN(100,(1-MIN(1,IF(Config!$B$30=0,1,$S71/Config!$B$30)))*100)) + Config!$B$29*MAX(0,MIN(100,MIN(1,IF($T71="",0,$T71)/Config!$B$23)*100)))),MIN(100,Config!$B$27*MAX(0,MIN(100,(1-IF($R71="",0,$R71))*100)) + Config!$B$28*MAX(0,MIN(100,(1-MIN(1,IF(Config!$B$30=0,1,$S71/Config!$B$30)))*100)) + Config!$B$29*MAX(0,MIN(100,MIN(1,IF($T71="",0,$T71)/Config!$B$23)*100))))),"")
</f>
        <v/>
      </c>
      <c r="V71" s="40" t="str">
        <f>IF(Bids!$AC71="","",Bids!$AC71)</f>
        <v/>
      </c>
      <c r="W71" s="40" t="str">
        <f>IF(Bids!$F70="","",Bids!$F70)</f>
        <v/>
      </c>
      <c r="X71" s="40" t="str">
        <f t="shared" si="5"/>
        <v/>
      </c>
      <c r="Y71" s="40" t="str">
        <f>IF($X71="","",IF(Config!$B$17=Config!$B$16,IF($X71&gt;=Config!$B$17,100,0),MAX(0,MIN(100,($X71-Config!$B$16)/(Config!$B$17-Config!$B$16)*100))))</f>
        <v/>
      </c>
      <c r="Z71" s="40">
        <f>IF($M71="Elite",Config!$B$21,0)</f>
        <v>0</v>
      </c>
      <c r="AA71" s="40" t="str">
        <f>IFERROR(IF(OR($W71="",$H71=""),"",IF($W71&gt;$H71,
  MAX(0, 60-(($W71-$H71)*24/Config!$B$19)*60),
  MIN(100, 60+(($H71-$W71)*24/Config!$B$20)*40)
)),"")
</f>
        <v/>
      </c>
      <c r="AB71" s="40" t="str">
        <f>IF($K71="","",IFERROR(VLOOKUP($K71,Grinders!$A$4:$N$998,10,FALSE)/5*100,""))</f>
        <v/>
      </c>
      <c r="AC71" s="40" t="str">
        <f>IF($K71="","",IFERROR(VLOOKUP($K71,Grinders!$A$4:$N$998,11,FALSE)*100,""))</f>
        <v/>
      </c>
      <c r="AD71" s="40" t="str">
        <f>IF($K71="","",IFERROR(VLOOKUP($K71,Grinders!$A$4:$N$998,12,FALSE)*100,""))</f>
        <v/>
      </c>
      <c r="AE71" s="40" t="str">
        <f>IF(OR(AO71=1,AP71=1),0,=IFERROR(IFS(
    OR($C71="", $K71=""), 0,
    $F71=0, 0,
    $D71&lt;&gt;"Open", 0,
    COUNTIFS(GrinderServices!$A$6:$A$1000, $K71, GrinderServices!$B$6:$B$1000, $E71, GrinderServices!$D$6:$D$1000, "Y")=0, 0,
    $X71&lt;Config!$B$16, 0,
    Config!$B$18=1, IF($O71&gt;=N71, 0, 1),
    TRUE, 1
), "")
)</f>
        <v>#ERROR!</v>
      </c>
      <c r="AF71" s="40" t="str">
        <f>IFERROR((IF(OR(AO71=1,AP71=1),"",=IFERROR((IFERROR(IF($AE71=0,"",((Config!$B$6*$Y71 + Config!$B$7*$U71 + Config!$B$8*$Z71 + Config!$B$9*$AA71 + Config!$B$10*$AB71 + Config!$B$11*$AC71 - Config!$B$12*$AD71)/Config!$B$13)+$AK71+$AL71),""))*(1-IFERROR(VLOOKUP(K71,Grinders!$A:$AB, 28, FALSE),0)),"")))*(1+AR71),"")</f>
        <v>#ERROR!</v>
      </c>
      <c r="AG71" s="40" t="str">
        <f t="shared" si="6"/>
        <v>#ERROR!</v>
      </c>
      <c r="AH71" s="40" t="str">
        <f t="shared" si="7"/>
        <v/>
      </c>
      <c r="AI71" s="40" t="str">
        <f t="shared" si="8"/>
        <v/>
      </c>
      <c r="AJ71" s="40" t="str">
        <f>IF($K71="","",COUNTIF(Assignments!$B$6:$B$1000,$K71))</f>
        <v/>
      </c>
      <c r="AK71" s="40" t="str">
        <f>IF($K71="","",IF(AND($AJ71=0,$O71&lt;$N71),Config!$B$43,0))</f>
        <v/>
      </c>
      <c r="AL71" s="40" t="str">
        <f>IF($K71="","",IF(AND($M71="Elite",$G71&gt;=Config!$B$41,$O71&lt;$N71),Config!$B$42,0))</f>
        <v/>
      </c>
      <c r="AM71" s="22"/>
      <c r="AN71" s="39">
        <f>IFERROR(VLOOKUP(K71,Grinders!$A:$Q,28,FALSE),0)</f>
        <v>0</v>
      </c>
      <c r="AO71" s="39">
        <f>IF(Config!$B$1003&lt;&gt;"Y",0,IF(IFERROR(VLOOKUP(K71,Grinders!$A:$P,27,FALSE),0)&gt;=3,IF(OR(G71&gt;=Config!$B$1001,ISNUMBER(SEARCH(E71,Config!$B$1002))),1,0),0))</f>
        <v>0</v>
      </c>
      <c r="AP71" s="39">
        <f t="array" ref="AP71">IFERROR(IF(INDEX(Bids!$AE:$AE,MATCH(B71,Bids!$A:$A,0))="Pending",1,0),0)</f>
        <v>0</v>
      </c>
      <c r="AQ71" s="39" t="str">
        <f t="array" ref="AQ71">IF(C71="","",IFERROR(XLOOKUP(C71,Assignments!$C:$C,Assignments!$AU:$AU,0),0))</f>
        <v/>
      </c>
      <c r="AR71" s="39">
        <f>IF(AND(Config!$B$1006="Y",AQ71=1),Config!$B$1007,0)</f>
        <v>0</v>
      </c>
    </row>
    <row r="72" ht="15.75" customHeight="1">
      <c r="A72" s="46" t="str">
        <f t="shared" si="1"/>
        <v/>
      </c>
      <c r="B72" s="40" t="str">
        <f>IF(Bids!$A71="","",Bids!$A71)</f>
        <v/>
      </c>
      <c r="C72" s="40" t="str">
        <f>IF(Bids!$B71="","",Bids!$B71)</f>
        <v/>
      </c>
      <c r="D72" s="40" t="str">
        <f>IF($C72="","",IFERROR(VLOOKUP($C72,Orders!$A$4:$J$998,9,FALSE),""))</f>
        <v/>
      </c>
      <c r="E72" s="40" t="str">
        <f>IF($C72="","",IFERROR(VLOOKUP($C72,Orders!$A$4:$J$998,3,FALSE),""))</f>
        <v/>
      </c>
      <c r="F72" s="40">
        <f t="shared" si="2"/>
        <v>1</v>
      </c>
      <c r="G72" s="40" t="str">
        <f>IF($C72="","",IFERROR(VLOOKUP($C72,Orders!$A$4:$J$998,4,FALSE),""))</f>
        <v/>
      </c>
      <c r="H72" s="40" t="str">
        <f>IF($C72="","",IFERROR(VLOOKUP($C72,Orders!$A$4:$J$998,5,FALSE),""))</f>
        <v/>
      </c>
      <c r="I72" s="40" t="str">
        <f>IF($C72="","",IFERROR(VLOOKUP($C72,Orders!$A$4:$J$998,6,FALSE),""))</f>
        <v/>
      </c>
      <c r="J72" s="40" t="str">
        <f>IF($C72="","",IFERROR(VLOOKUP($C72,Orders!$A$4:$J$998,7,FALSE),""))</f>
        <v/>
      </c>
      <c r="K72" s="40" t="str">
        <f>IF(Bids!$C71="","",Bids!$C71)</f>
        <v/>
      </c>
      <c r="L72" s="40" t="str">
        <f>IF($K72="","",IFERROR(VLOOKUP($K72,Grinders!$A$4:$N$998,2,FALSE),""))</f>
        <v/>
      </c>
      <c r="M72" s="40" t="str">
        <f>IF($K72="","",IFERROR(VLOOKUP($K72,Grinders!$A$4:$N$998,3,FALSE),""))</f>
        <v/>
      </c>
      <c r="N72" s="40" t="str">
        <f>IF($K72="","",IFERROR(VLOOKUP($K72,Grinders!$A$4:$N$998,4,FALSE),""))</f>
        <v/>
      </c>
      <c r="O72" s="40" t="str">
        <f>IF($K72="","",IFERROR(VLOOKUP($K72,Grinders!$A$4:$N$998,5,FALSE),""))</f>
        <v/>
      </c>
      <c r="P72" s="40" t="str">
        <f>IF($K72="","",IF($C$4="",0,COUNTIFS(Assignments!$B$6:$B$1000,$K72,Assignments!$F$6:$F$1000,$C$4,Assignments!$E$6:$E$1000,"Active")))</f>
        <v/>
      </c>
      <c r="Q72" s="40" t="str">
        <f t="shared" si="3"/>
        <v/>
      </c>
      <c r="R72" s="40" t="str">
        <f t="shared" si="4"/>
        <v/>
      </c>
      <c r="S72" s="40" t="str">
        <f>IF($K72="","",IF($C$4="",0,COUNTIFS(Assignments!$B$6:$B$1000,$K72,Assignments!$F$6:$F$1000,$C$4,Assignments!$D$6:$D$1000,"&gt;="&amp;Config!$B$3-7,Assignments!$D$6:$D$1000,"&lt;="&amp;Config!$B$3)))</f>
        <v/>
      </c>
      <c r="T72" s="40" t="str">
        <f>IF($K72="","",IFERROR(VLOOKUP($K72,Grinders!$A$4:$N$998,8,FALSE),""))</f>
        <v/>
      </c>
      <c r="U72" s="40" t="str">
        <f>IFERROR(IF($K72="","",IF($M72="Elite",MAX(50,MIN(100,Config!$B$27*MAX(0,MIN(100,(1-IF($R72="",0,$R72))*100)) + Config!$B$28*MAX(0,MIN(100,(1-MIN(1,IF(Config!$B$30=0,1,$S72/Config!$B$30)))*100)) + Config!$B$29*MAX(0,MIN(100,MIN(1,IF($T72="",0,$T72)/Config!$B$23)*100)))),MIN(100,Config!$B$27*MAX(0,MIN(100,(1-IF($R72="",0,$R72))*100)) + Config!$B$28*MAX(0,MIN(100,(1-MIN(1,IF(Config!$B$30=0,1,$S72/Config!$B$30)))*100)) + Config!$B$29*MAX(0,MIN(100,MIN(1,IF($T72="",0,$T72)/Config!$B$23)*100))))),"")
</f>
        <v/>
      </c>
      <c r="V72" s="40" t="str">
        <f>IF(Bids!$AC72="","",Bids!$AC72)</f>
        <v/>
      </c>
      <c r="W72" s="40" t="str">
        <f>IF(Bids!$F71="","",Bids!$F71)</f>
        <v/>
      </c>
      <c r="X72" s="40" t="str">
        <f t="shared" si="5"/>
        <v/>
      </c>
      <c r="Y72" s="40" t="str">
        <f>IF($X72="","",IF(Config!$B$17=Config!$B$16,IF($X72&gt;=Config!$B$17,100,0),MAX(0,MIN(100,($X72-Config!$B$16)/(Config!$B$17-Config!$B$16)*100))))</f>
        <v/>
      </c>
      <c r="Z72" s="40">
        <f>IF($M72="Elite",Config!$B$21,0)</f>
        <v>0</v>
      </c>
      <c r="AA72" s="40" t="str">
        <f>IFERROR(IF(OR($W72="",$H72=""),"",IF($W72&gt;$H72,
  MAX(0, 60-(($W72-$H72)*24/Config!$B$19)*60),
  MIN(100, 60+(($H72-$W72)*24/Config!$B$20)*40)
)),"")
</f>
        <v/>
      </c>
      <c r="AB72" s="40" t="str">
        <f>IF($K72="","",IFERROR(VLOOKUP($K72,Grinders!$A$4:$N$998,10,FALSE)/5*100,""))</f>
        <v/>
      </c>
      <c r="AC72" s="40" t="str">
        <f>IF($K72="","",IFERROR(VLOOKUP($K72,Grinders!$A$4:$N$998,11,FALSE)*100,""))</f>
        <v/>
      </c>
      <c r="AD72" s="40" t="str">
        <f>IF($K72="","",IFERROR(VLOOKUP($K72,Grinders!$A$4:$N$998,12,FALSE)*100,""))</f>
        <v/>
      </c>
      <c r="AE72" s="40" t="str">
        <f>IF(OR(AO72=1,AP72=1),0,=IFERROR(IFS(
    OR($C72="", $K72=""), 0,
    $F72=0, 0,
    $D72&lt;&gt;"Open", 0,
    COUNTIFS(GrinderServices!$A$6:$A$1000, $K72, GrinderServices!$B$6:$B$1000, $E72, GrinderServices!$D$6:$D$1000, "Y")=0, 0,
    $X72&lt;Config!$B$16, 0,
    Config!$B$18=1, IF($O72&gt;=N72, 0, 1),
    TRUE, 1
), "")
)</f>
        <v>#ERROR!</v>
      </c>
      <c r="AF72" s="40" t="str">
        <f>IFERROR((IF(OR(AO72=1,AP72=1),"",=IFERROR((IFERROR(IF($AE72=0,"",((Config!$B$6*$Y72 + Config!$B$7*$U72 + Config!$B$8*$Z72 + Config!$B$9*$AA72 + Config!$B$10*$AB72 + Config!$B$11*$AC72 - Config!$B$12*$AD72)/Config!$B$13)+$AK72+$AL72),""))*(1-IFERROR(VLOOKUP(K72,Grinders!$A:$AB, 28, FALSE),0)),"")))*(1+AR72),"")</f>
        <v>#ERROR!</v>
      </c>
      <c r="AG72" s="40" t="str">
        <f t="shared" si="6"/>
        <v>#ERROR!</v>
      </c>
      <c r="AH72" s="40" t="str">
        <f t="shared" si="7"/>
        <v/>
      </c>
      <c r="AI72" s="40" t="str">
        <f t="shared" si="8"/>
        <v/>
      </c>
      <c r="AJ72" s="40" t="str">
        <f>IF($K72="","",COUNTIF(Assignments!$B$6:$B$1000,$K72))</f>
        <v/>
      </c>
      <c r="AK72" s="40" t="str">
        <f>IF($K72="","",IF(AND($AJ72=0,$O72&lt;$N72),Config!$B$43,0))</f>
        <v/>
      </c>
      <c r="AL72" s="40" t="str">
        <f>IF($K72="","",IF(AND($M72="Elite",$G72&gt;=Config!$B$41,$O72&lt;$N72),Config!$B$42,0))</f>
        <v/>
      </c>
      <c r="AM72" s="22"/>
      <c r="AN72" s="39">
        <f>IFERROR(VLOOKUP(K72,Grinders!$A:$Q,28,FALSE),0)</f>
        <v>0</v>
      </c>
      <c r="AO72" s="39">
        <f>IF(Config!$B$1003&lt;&gt;"Y",0,IF(IFERROR(VLOOKUP(K72,Grinders!$A:$P,27,FALSE),0)&gt;=3,IF(OR(G72&gt;=Config!$B$1001,ISNUMBER(SEARCH(E72,Config!$B$1002))),1,0),0))</f>
        <v>0</v>
      </c>
      <c r="AP72" s="39">
        <f t="array" ref="AP72">IFERROR(IF(INDEX(Bids!$AE:$AE,MATCH(B72,Bids!$A:$A,0))="Pending",1,0),0)</f>
        <v>0</v>
      </c>
      <c r="AQ72" s="39" t="str">
        <f t="array" ref="AQ72">IF(C72="","",IFERROR(XLOOKUP(C72,Assignments!$C:$C,Assignments!$AU:$AU,0),0))</f>
        <v/>
      </c>
      <c r="AR72" s="39">
        <f>IF(AND(Config!$B$1006="Y",AQ72=1),Config!$B$1007,0)</f>
        <v>0</v>
      </c>
    </row>
    <row r="73" ht="15.75" customHeight="1">
      <c r="A73" s="46" t="str">
        <f t="shared" si="1"/>
        <v/>
      </c>
      <c r="B73" s="40" t="str">
        <f>IF(Bids!$A72="","",Bids!$A72)</f>
        <v/>
      </c>
      <c r="C73" s="40" t="str">
        <f>IF(Bids!$B72="","",Bids!$B72)</f>
        <v/>
      </c>
      <c r="D73" s="40" t="str">
        <f>IF($C73="","",IFERROR(VLOOKUP($C73,Orders!$A$4:$J$998,9,FALSE),""))</f>
        <v/>
      </c>
      <c r="E73" s="40" t="str">
        <f>IF($C73="","",IFERROR(VLOOKUP($C73,Orders!$A$4:$J$998,3,FALSE),""))</f>
        <v/>
      </c>
      <c r="F73" s="40">
        <f t="shared" si="2"/>
        <v>1</v>
      </c>
      <c r="G73" s="40" t="str">
        <f>IF($C73="","",IFERROR(VLOOKUP($C73,Orders!$A$4:$J$998,4,FALSE),""))</f>
        <v/>
      </c>
      <c r="H73" s="40" t="str">
        <f>IF($C73="","",IFERROR(VLOOKUP($C73,Orders!$A$4:$J$998,5,FALSE),""))</f>
        <v/>
      </c>
      <c r="I73" s="40" t="str">
        <f>IF($C73="","",IFERROR(VLOOKUP($C73,Orders!$A$4:$J$998,6,FALSE),""))</f>
        <v/>
      </c>
      <c r="J73" s="40" t="str">
        <f>IF($C73="","",IFERROR(VLOOKUP($C73,Orders!$A$4:$J$998,7,FALSE),""))</f>
        <v/>
      </c>
      <c r="K73" s="40" t="str">
        <f>IF(Bids!$C72="","",Bids!$C72)</f>
        <v/>
      </c>
      <c r="L73" s="40" t="str">
        <f>IF($K73="","",IFERROR(VLOOKUP($K73,Grinders!$A$4:$N$998,2,FALSE),""))</f>
        <v/>
      </c>
      <c r="M73" s="40" t="str">
        <f>IF($K73="","",IFERROR(VLOOKUP($K73,Grinders!$A$4:$N$998,3,FALSE),""))</f>
        <v/>
      </c>
      <c r="N73" s="40" t="str">
        <f>IF($K73="","",IFERROR(VLOOKUP($K73,Grinders!$A$4:$N$998,4,FALSE),""))</f>
        <v/>
      </c>
      <c r="O73" s="40" t="str">
        <f>IF($K73="","",IFERROR(VLOOKUP($K73,Grinders!$A$4:$N$998,5,FALSE),""))</f>
        <v/>
      </c>
      <c r="P73" s="40" t="str">
        <f>IF($K73="","",IF($C$4="",0,COUNTIFS(Assignments!$B$6:$B$1000,$K73,Assignments!$F$6:$F$1000,$C$4,Assignments!$E$6:$E$1000,"Active")))</f>
        <v/>
      </c>
      <c r="Q73" s="40" t="str">
        <f t="shared" si="3"/>
        <v/>
      </c>
      <c r="R73" s="40" t="str">
        <f t="shared" si="4"/>
        <v/>
      </c>
      <c r="S73" s="40" t="str">
        <f>IF($K73="","",IF($C$4="",0,COUNTIFS(Assignments!$B$6:$B$1000,$K73,Assignments!$F$6:$F$1000,$C$4,Assignments!$D$6:$D$1000,"&gt;="&amp;Config!$B$3-7,Assignments!$D$6:$D$1000,"&lt;="&amp;Config!$B$3)))</f>
        <v/>
      </c>
      <c r="T73" s="40" t="str">
        <f>IF($K73="","",IFERROR(VLOOKUP($K73,Grinders!$A$4:$N$998,8,FALSE),""))</f>
        <v/>
      </c>
      <c r="U73" s="40" t="str">
        <f>IFERROR(IF($K73="","",IF($M73="Elite",MAX(50,MIN(100,Config!$B$27*MAX(0,MIN(100,(1-IF($R73="",0,$R73))*100)) + Config!$B$28*MAX(0,MIN(100,(1-MIN(1,IF(Config!$B$30=0,1,$S73/Config!$B$30)))*100)) + Config!$B$29*MAX(0,MIN(100,MIN(1,IF($T73="",0,$T73)/Config!$B$23)*100)))),MIN(100,Config!$B$27*MAX(0,MIN(100,(1-IF($R73="",0,$R73))*100)) + Config!$B$28*MAX(0,MIN(100,(1-MIN(1,IF(Config!$B$30=0,1,$S73/Config!$B$30)))*100)) + Config!$B$29*MAX(0,MIN(100,MIN(1,IF($T73="",0,$T73)/Config!$B$23)*100))))),"")
</f>
        <v/>
      </c>
      <c r="V73" s="40" t="str">
        <f>IF(Bids!$AC73="","",Bids!$AC73)</f>
        <v/>
      </c>
      <c r="W73" s="40" t="str">
        <f>IF(Bids!$F72="","",Bids!$F72)</f>
        <v/>
      </c>
      <c r="X73" s="40" t="str">
        <f t="shared" si="5"/>
        <v/>
      </c>
      <c r="Y73" s="40" t="str">
        <f>IF($X73="","",IF(Config!$B$17=Config!$B$16,IF($X73&gt;=Config!$B$17,100,0),MAX(0,MIN(100,($X73-Config!$B$16)/(Config!$B$17-Config!$B$16)*100))))</f>
        <v/>
      </c>
      <c r="Z73" s="40">
        <f>IF($M73="Elite",Config!$B$21,0)</f>
        <v>0</v>
      </c>
      <c r="AA73" s="40" t="str">
        <f>IFERROR(IF(OR($W73="",$H73=""),"",IF($W73&gt;$H73,
  MAX(0, 60-(($W73-$H73)*24/Config!$B$19)*60),
  MIN(100, 60+(($H73-$W73)*24/Config!$B$20)*40)
)),"")
</f>
        <v/>
      </c>
      <c r="AB73" s="40" t="str">
        <f>IF($K73="","",IFERROR(VLOOKUP($K73,Grinders!$A$4:$N$998,10,FALSE)/5*100,""))</f>
        <v/>
      </c>
      <c r="AC73" s="40" t="str">
        <f>IF($K73="","",IFERROR(VLOOKUP($K73,Grinders!$A$4:$N$998,11,FALSE)*100,""))</f>
        <v/>
      </c>
      <c r="AD73" s="40" t="str">
        <f>IF($K73="","",IFERROR(VLOOKUP($K73,Grinders!$A$4:$N$998,12,FALSE)*100,""))</f>
        <v/>
      </c>
      <c r="AE73" s="40" t="str">
        <f>IF(OR(AO73=1,AP73=1),0,=IFERROR(IFS(
    OR($C73="", $K73=""), 0,
    $F73=0, 0,
    $D73&lt;&gt;"Open", 0,
    COUNTIFS(GrinderServices!$A$6:$A$1000, $K73, GrinderServices!$B$6:$B$1000, $E73, GrinderServices!$D$6:$D$1000, "Y")=0, 0,
    $X73&lt;Config!$B$16, 0,
    Config!$B$18=1, IF($O73&gt;=N73, 0, 1),
    TRUE, 1
), "")
)</f>
        <v>#ERROR!</v>
      </c>
      <c r="AF73" s="40" t="str">
        <f>IFERROR((IF(OR(AO73=1,AP73=1),"",=IFERROR((IFERROR(IF($AE73=0,"",((Config!$B$6*$Y73 + Config!$B$7*$U73 + Config!$B$8*$Z73 + Config!$B$9*$AA73 + Config!$B$10*$AB73 + Config!$B$11*$AC73 - Config!$B$12*$AD73)/Config!$B$13)+$AK73+$AL73),""))*(1-IFERROR(VLOOKUP(K73,Grinders!$A:$AB, 28, FALSE),0)),"")))*(1+AR73),"")</f>
        <v>#ERROR!</v>
      </c>
      <c r="AG73" s="40" t="str">
        <f t="shared" si="6"/>
        <v>#ERROR!</v>
      </c>
      <c r="AH73" s="40" t="str">
        <f t="shared" si="7"/>
        <v/>
      </c>
      <c r="AI73" s="40" t="str">
        <f t="shared" si="8"/>
        <v/>
      </c>
      <c r="AJ73" s="40" t="str">
        <f>IF($K73="","",COUNTIF(Assignments!$B$6:$B$1000,$K73))</f>
        <v/>
      </c>
      <c r="AK73" s="40" t="str">
        <f>IF($K73="","",IF(AND($AJ73=0,$O73&lt;$N73),Config!$B$43,0))</f>
        <v/>
      </c>
      <c r="AL73" s="40" t="str">
        <f>IF($K73="","",IF(AND($M73="Elite",$G73&gt;=Config!$B$41,$O73&lt;$N73),Config!$B$42,0))</f>
        <v/>
      </c>
      <c r="AM73" s="22"/>
      <c r="AN73" s="39">
        <f>IFERROR(VLOOKUP(K73,Grinders!$A:$Q,28,FALSE),0)</f>
        <v>0</v>
      </c>
      <c r="AO73" s="39">
        <f>IF(Config!$B$1003&lt;&gt;"Y",0,IF(IFERROR(VLOOKUP(K73,Grinders!$A:$P,27,FALSE),0)&gt;=3,IF(OR(G73&gt;=Config!$B$1001,ISNUMBER(SEARCH(E73,Config!$B$1002))),1,0),0))</f>
        <v>0</v>
      </c>
      <c r="AP73" s="39">
        <f t="array" ref="AP73">IFERROR(IF(INDEX(Bids!$AE:$AE,MATCH(B73,Bids!$A:$A,0))="Pending",1,0),0)</f>
        <v>0</v>
      </c>
      <c r="AQ73" s="39" t="str">
        <f t="array" ref="AQ73">IF(C73="","",IFERROR(XLOOKUP(C73,Assignments!$C:$C,Assignments!$AU:$AU,0),0))</f>
        <v/>
      </c>
      <c r="AR73" s="39">
        <f>IF(AND(Config!$B$1006="Y",AQ73=1),Config!$B$1007,0)</f>
        <v>0</v>
      </c>
    </row>
    <row r="74" ht="15.75" customHeight="1">
      <c r="A74" s="46" t="str">
        <f t="shared" si="1"/>
        <v/>
      </c>
      <c r="B74" s="40" t="str">
        <f>IF(Bids!$A73="","",Bids!$A73)</f>
        <v/>
      </c>
      <c r="C74" s="40" t="str">
        <f>IF(Bids!$B73="","",Bids!$B73)</f>
        <v/>
      </c>
      <c r="D74" s="40" t="str">
        <f>IF($C74="","",IFERROR(VLOOKUP($C74,Orders!$A$4:$J$998,9,FALSE),""))</f>
        <v/>
      </c>
      <c r="E74" s="40" t="str">
        <f>IF($C74="","",IFERROR(VLOOKUP($C74,Orders!$A$4:$J$998,3,FALSE),""))</f>
        <v/>
      </c>
      <c r="F74" s="40">
        <f t="shared" si="2"/>
        <v>1</v>
      </c>
      <c r="G74" s="40" t="str">
        <f>IF($C74="","",IFERROR(VLOOKUP($C74,Orders!$A$4:$J$998,4,FALSE),""))</f>
        <v/>
      </c>
      <c r="H74" s="40" t="str">
        <f>IF($C74="","",IFERROR(VLOOKUP($C74,Orders!$A$4:$J$998,5,FALSE),""))</f>
        <v/>
      </c>
      <c r="I74" s="40" t="str">
        <f>IF($C74="","",IFERROR(VLOOKUP($C74,Orders!$A$4:$J$998,6,FALSE),""))</f>
        <v/>
      </c>
      <c r="J74" s="40" t="str">
        <f>IF($C74="","",IFERROR(VLOOKUP($C74,Orders!$A$4:$J$998,7,FALSE),""))</f>
        <v/>
      </c>
      <c r="K74" s="40" t="str">
        <f>IF(Bids!$C73="","",Bids!$C73)</f>
        <v/>
      </c>
      <c r="L74" s="40" t="str">
        <f>IF($K74="","",IFERROR(VLOOKUP($K74,Grinders!$A$4:$N$998,2,FALSE),""))</f>
        <v/>
      </c>
      <c r="M74" s="40" t="str">
        <f>IF($K74="","",IFERROR(VLOOKUP($K74,Grinders!$A$4:$N$998,3,FALSE),""))</f>
        <v/>
      </c>
      <c r="N74" s="40" t="str">
        <f>IF($K74="","",IFERROR(VLOOKUP($K74,Grinders!$A$4:$N$998,4,FALSE),""))</f>
        <v/>
      </c>
      <c r="O74" s="40" t="str">
        <f>IF($K74="","",IFERROR(VLOOKUP($K74,Grinders!$A$4:$N$998,5,FALSE),""))</f>
        <v/>
      </c>
      <c r="P74" s="40" t="str">
        <f>IF($K74="","",IF($C$4="",0,COUNTIFS(Assignments!$B$6:$B$1000,$K74,Assignments!$F$6:$F$1000,$C$4,Assignments!$E$6:$E$1000,"Active")))</f>
        <v/>
      </c>
      <c r="Q74" s="40" t="str">
        <f t="shared" si="3"/>
        <v/>
      </c>
      <c r="R74" s="40" t="str">
        <f t="shared" si="4"/>
        <v/>
      </c>
      <c r="S74" s="40" t="str">
        <f>IF($K74="","",IF($C$4="",0,COUNTIFS(Assignments!$B$6:$B$1000,$K74,Assignments!$F$6:$F$1000,$C$4,Assignments!$D$6:$D$1000,"&gt;="&amp;Config!$B$3-7,Assignments!$D$6:$D$1000,"&lt;="&amp;Config!$B$3)))</f>
        <v/>
      </c>
      <c r="T74" s="40" t="str">
        <f>IF($K74="","",IFERROR(VLOOKUP($K74,Grinders!$A$4:$N$998,8,FALSE),""))</f>
        <v/>
      </c>
      <c r="U74" s="40" t="str">
        <f>IFERROR(IF($K74="","",IF($M74="Elite",MAX(50,MIN(100,Config!$B$27*MAX(0,MIN(100,(1-IF($R74="",0,$R74))*100)) + Config!$B$28*MAX(0,MIN(100,(1-MIN(1,IF(Config!$B$30=0,1,$S74/Config!$B$30)))*100)) + Config!$B$29*MAX(0,MIN(100,MIN(1,IF($T74="",0,$T74)/Config!$B$23)*100)))),MIN(100,Config!$B$27*MAX(0,MIN(100,(1-IF($R74="",0,$R74))*100)) + Config!$B$28*MAX(0,MIN(100,(1-MIN(1,IF(Config!$B$30=0,1,$S74/Config!$B$30)))*100)) + Config!$B$29*MAX(0,MIN(100,MIN(1,IF($T74="",0,$T74)/Config!$B$23)*100))))),"")
</f>
        <v/>
      </c>
      <c r="V74" s="40" t="str">
        <f>IF(Bids!$AC74="","",Bids!$AC74)</f>
        <v/>
      </c>
      <c r="W74" s="40" t="str">
        <f>IF(Bids!$F73="","",Bids!$F73)</f>
        <v/>
      </c>
      <c r="X74" s="40" t="str">
        <f t="shared" si="5"/>
        <v/>
      </c>
      <c r="Y74" s="40" t="str">
        <f>IF($X74="","",IF(Config!$B$17=Config!$B$16,IF($X74&gt;=Config!$B$17,100,0),MAX(0,MIN(100,($X74-Config!$B$16)/(Config!$B$17-Config!$B$16)*100))))</f>
        <v/>
      </c>
      <c r="Z74" s="40">
        <f>IF($M74="Elite",Config!$B$21,0)</f>
        <v>0</v>
      </c>
      <c r="AA74" s="40" t="str">
        <f>IFERROR(IF(OR($W74="",$H74=""),"",IF($W74&gt;$H74,
  MAX(0, 60-(($W74-$H74)*24/Config!$B$19)*60),
  MIN(100, 60+(($H74-$W74)*24/Config!$B$20)*40)
)),"")
</f>
        <v/>
      </c>
      <c r="AB74" s="40" t="str">
        <f>IF($K74="","",IFERROR(VLOOKUP($K74,Grinders!$A$4:$N$998,10,FALSE)/5*100,""))</f>
        <v/>
      </c>
      <c r="AC74" s="40" t="str">
        <f>IF($K74="","",IFERROR(VLOOKUP($K74,Grinders!$A$4:$N$998,11,FALSE)*100,""))</f>
        <v/>
      </c>
      <c r="AD74" s="40" t="str">
        <f>IF($K74="","",IFERROR(VLOOKUP($K74,Grinders!$A$4:$N$998,12,FALSE)*100,""))</f>
        <v/>
      </c>
      <c r="AE74" s="40" t="str">
        <f>IF(OR(AO74=1,AP74=1),0,=IFERROR(IFS(
    OR($C74="", $K74=""), 0,
    $F74=0, 0,
    $D74&lt;&gt;"Open", 0,
    COUNTIFS(GrinderServices!$A$6:$A$1000, $K74, GrinderServices!$B$6:$B$1000, $E74, GrinderServices!$D$6:$D$1000, "Y")=0, 0,
    $X74&lt;Config!$B$16, 0,
    Config!$B$18=1, IF($O74&gt;=N74, 0, 1),
    TRUE, 1
), "")
)</f>
        <v>#ERROR!</v>
      </c>
      <c r="AF74" s="40" t="str">
        <f>IFERROR((IF(OR(AO74=1,AP74=1),"",=IFERROR((IFERROR(IF($AE74=0,"",((Config!$B$6*$Y74 + Config!$B$7*$U74 + Config!$B$8*$Z74 + Config!$B$9*$AA74 + Config!$B$10*$AB74 + Config!$B$11*$AC74 - Config!$B$12*$AD74)/Config!$B$13)+$AK74+$AL74),""))*(1-IFERROR(VLOOKUP(K74,Grinders!$A:$AB, 28, FALSE),0)),"")))*(1+AR74),"")</f>
        <v>#ERROR!</v>
      </c>
      <c r="AG74" s="40" t="str">
        <f t="shared" si="6"/>
        <v>#ERROR!</v>
      </c>
      <c r="AH74" s="40" t="str">
        <f t="shared" si="7"/>
        <v/>
      </c>
      <c r="AI74" s="40" t="str">
        <f t="shared" si="8"/>
        <v/>
      </c>
      <c r="AJ74" s="40" t="str">
        <f>IF($K74="","",COUNTIF(Assignments!$B$6:$B$1000,$K74))</f>
        <v/>
      </c>
      <c r="AK74" s="40" t="str">
        <f>IF($K74="","",IF(AND($AJ74=0,$O74&lt;$N74),Config!$B$43,0))</f>
        <v/>
      </c>
      <c r="AL74" s="40" t="str">
        <f>IF($K74="","",IF(AND($M74="Elite",$G74&gt;=Config!$B$41,$O74&lt;$N74),Config!$B$42,0))</f>
        <v/>
      </c>
      <c r="AM74" s="22"/>
      <c r="AN74" s="39">
        <f>IFERROR(VLOOKUP(K74,Grinders!$A:$Q,28,FALSE),0)</f>
        <v>0</v>
      </c>
      <c r="AO74" s="39">
        <f>IF(Config!$B$1003&lt;&gt;"Y",0,IF(IFERROR(VLOOKUP(K74,Grinders!$A:$P,27,FALSE),0)&gt;=3,IF(OR(G74&gt;=Config!$B$1001,ISNUMBER(SEARCH(E74,Config!$B$1002))),1,0),0))</f>
        <v>0</v>
      </c>
      <c r="AP74" s="39">
        <f t="array" ref="AP74">IFERROR(IF(INDEX(Bids!$AE:$AE,MATCH(B74,Bids!$A:$A,0))="Pending",1,0),0)</f>
        <v>0</v>
      </c>
      <c r="AQ74" s="39" t="str">
        <f t="array" ref="AQ74">IF(C74="","",IFERROR(XLOOKUP(C74,Assignments!$C:$C,Assignments!$AU:$AU,0),0))</f>
        <v/>
      </c>
      <c r="AR74" s="39">
        <f>IF(AND(Config!$B$1006="Y",AQ74=1),Config!$B$1007,0)</f>
        <v>0</v>
      </c>
    </row>
    <row r="75" ht="15.75" customHeight="1">
      <c r="A75" s="46" t="str">
        <f t="shared" si="1"/>
        <v/>
      </c>
      <c r="B75" s="40" t="str">
        <f>IF(Bids!$A74="","",Bids!$A74)</f>
        <v/>
      </c>
      <c r="C75" s="40" t="str">
        <f>IF(Bids!$B74="","",Bids!$B74)</f>
        <v/>
      </c>
      <c r="D75" s="40" t="str">
        <f>IF($C75="","",IFERROR(VLOOKUP($C75,Orders!$A$4:$J$998,9,FALSE),""))</f>
        <v/>
      </c>
      <c r="E75" s="40" t="str">
        <f>IF($C75="","",IFERROR(VLOOKUP($C75,Orders!$A$4:$J$998,3,FALSE),""))</f>
        <v/>
      </c>
      <c r="F75" s="40">
        <f t="shared" si="2"/>
        <v>1</v>
      </c>
      <c r="G75" s="40" t="str">
        <f>IF($C75="","",IFERROR(VLOOKUP($C75,Orders!$A$4:$J$998,4,FALSE),""))</f>
        <v/>
      </c>
      <c r="H75" s="40" t="str">
        <f>IF($C75="","",IFERROR(VLOOKUP($C75,Orders!$A$4:$J$998,5,FALSE),""))</f>
        <v/>
      </c>
      <c r="I75" s="40" t="str">
        <f>IF($C75="","",IFERROR(VLOOKUP($C75,Orders!$A$4:$J$998,6,FALSE),""))</f>
        <v/>
      </c>
      <c r="J75" s="40" t="str">
        <f>IF($C75="","",IFERROR(VLOOKUP($C75,Orders!$A$4:$J$998,7,FALSE),""))</f>
        <v/>
      </c>
      <c r="K75" s="40" t="str">
        <f>IF(Bids!$C74="","",Bids!$C74)</f>
        <v/>
      </c>
      <c r="L75" s="40" t="str">
        <f>IF($K75="","",IFERROR(VLOOKUP($K75,Grinders!$A$4:$N$998,2,FALSE),""))</f>
        <v/>
      </c>
      <c r="M75" s="40" t="str">
        <f>IF($K75="","",IFERROR(VLOOKUP($K75,Grinders!$A$4:$N$998,3,FALSE),""))</f>
        <v/>
      </c>
      <c r="N75" s="40" t="str">
        <f>IF($K75="","",IFERROR(VLOOKUP($K75,Grinders!$A$4:$N$998,4,FALSE),""))</f>
        <v/>
      </c>
      <c r="O75" s="40" t="str">
        <f>IF($K75="","",IFERROR(VLOOKUP($K75,Grinders!$A$4:$N$998,5,FALSE),""))</f>
        <v/>
      </c>
      <c r="P75" s="40" t="str">
        <f>IF($K75="","",IF($C$4="",0,COUNTIFS(Assignments!$B$6:$B$1000,$K75,Assignments!$F$6:$F$1000,$C$4,Assignments!$E$6:$E$1000,"Active")))</f>
        <v/>
      </c>
      <c r="Q75" s="40" t="str">
        <f t="shared" si="3"/>
        <v/>
      </c>
      <c r="R75" s="40" t="str">
        <f t="shared" si="4"/>
        <v/>
      </c>
      <c r="S75" s="40" t="str">
        <f>IF($K75="","",IF($C$4="",0,COUNTIFS(Assignments!$B$6:$B$1000,$K75,Assignments!$F$6:$F$1000,$C$4,Assignments!$D$6:$D$1000,"&gt;="&amp;Config!$B$3-7,Assignments!$D$6:$D$1000,"&lt;="&amp;Config!$B$3)))</f>
        <v/>
      </c>
      <c r="T75" s="40" t="str">
        <f>IF($K75="","",IFERROR(VLOOKUP($K75,Grinders!$A$4:$N$998,8,FALSE),""))</f>
        <v/>
      </c>
      <c r="U75" s="40" t="str">
        <f>IFERROR(IF($K75="","",IF($M75="Elite",MAX(50,MIN(100,Config!$B$27*MAX(0,MIN(100,(1-IF($R75="",0,$R75))*100)) + Config!$B$28*MAX(0,MIN(100,(1-MIN(1,IF(Config!$B$30=0,1,$S75/Config!$B$30)))*100)) + Config!$B$29*MAX(0,MIN(100,MIN(1,IF($T75="",0,$T75)/Config!$B$23)*100)))),MIN(100,Config!$B$27*MAX(0,MIN(100,(1-IF($R75="",0,$R75))*100)) + Config!$B$28*MAX(0,MIN(100,(1-MIN(1,IF(Config!$B$30=0,1,$S75/Config!$B$30)))*100)) + Config!$B$29*MAX(0,MIN(100,MIN(1,IF($T75="",0,$T75)/Config!$B$23)*100))))),"")
</f>
        <v/>
      </c>
      <c r="V75" s="40" t="str">
        <f>IF(Bids!$AC75="","",Bids!$AC75)</f>
        <v/>
      </c>
      <c r="W75" s="40" t="str">
        <f>IF(Bids!$F74="","",Bids!$F74)</f>
        <v/>
      </c>
      <c r="X75" s="40" t="str">
        <f t="shared" si="5"/>
        <v/>
      </c>
      <c r="Y75" s="40" t="str">
        <f>IF($X75="","",IF(Config!$B$17=Config!$B$16,IF($X75&gt;=Config!$B$17,100,0),MAX(0,MIN(100,($X75-Config!$B$16)/(Config!$B$17-Config!$B$16)*100))))</f>
        <v/>
      </c>
      <c r="Z75" s="40">
        <f>IF($M75="Elite",Config!$B$21,0)</f>
        <v>0</v>
      </c>
      <c r="AA75" s="40" t="str">
        <f>IFERROR(IF(OR($W75="",$H75=""),"",IF($W75&gt;$H75,
  MAX(0, 60-(($W75-$H75)*24/Config!$B$19)*60),
  MIN(100, 60+(($H75-$W75)*24/Config!$B$20)*40)
)),"")
</f>
        <v/>
      </c>
      <c r="AB75" s="40" t="str">
        <f>IF($K75="","",IFERROR(VLOOKUP($K75,Grinders!$A$4:$N$998,10,FALSE)/5*100,""))</f>
        <v/>
      </c>
      <c r="AC75" s="40" t="str">
        <f>IF($K75="","",IFERROR(VLOOKUP($K75,Grinders!$A$4:$N$998,11,FALSE)*100,""))</f>
        <v/>
      </c>
      <c r="AD75" s="40" t="str">
        <f>IF($K75="","",IFERROR(VLOOKUP($K75,Grinders!$A$4:$N$998,12,FALSE)*100,""))</f>
        <v/>
      </c>
      <c r="AE75" s="40" t="str">
        <f>IF(OR(AO75=1,AP75=1),0,=IFERROR(IFS(
    OR($C75="", $K75=""), 0,
    $F75=0, 0,
    $D75&lt;&gt;"Open", 0,
    COUNTIFS(GrinderServices!$A$6:$A$1000, $K75, GrinderServices!$B$6:$B$1000, $E75, GrinderServices!$D$6:$D$1000, "Y")=0, 0,
    $X75&lt;Config!$B$16, 0,
    Config!$B$18=1, IF($O75&gt;=N75, 0, 1),
    TRUE, 1
), "")
)</f>
        <v>#ERROR!</v>
      </c>
      <c r="AF75" s="40" t="str">
        <f>IFERROR((IF(OR(AO75=1,AP75=1),"",=IFERROR((IFERROR(IF($AE75=0,"",((Config!$B$6*$Y75 + Config!$B$7*$U75 + Config!$B$8*$Z75 + Config!$B$9*$AA75 + Config!$B$10*$AB75 + Config!$B$11*$AC75 - Config!$B$12*$AD75)/Config!$B$13)+$AK75+$AL75),""))*(1-IFERROR(VLOOKUP(K75,Grinders!$A:$AB, 28, FALSE),0)),"")))*(1+AR75),"")</f>
        <v>#ERROR!</v>
      </c>
      <c r="AG75" s="40" t="str">
        <f t="shared" si="6"/>
        <v>#ERROR!</v>
      </c>
      <c r="AH75" s="40" t="str">
        <f t="shared" si="7"/>
        <v/>
      </c>
      <c r="AI75" s="40" t="str">
        <f t="shared" si="8"/>
        <v/>
      </c>
      <c r="AJ75" s="40" t="str">
        <f>IF($K75="","",COUNTIF(Assignments!$B$6:$B$1000,$K75))</f>
        <v/>
      </c>
      <c r="AK75" s="40" t="str">
        <f>IF($K75="","",IF(AND($AJ75=0,$O75&lt;$N75),Config!$B$43,0))</f>
        <v/>
      </c>
      <c r="AL75" s="40" t="str">
        <f>IF($K75="","",IF(AND($M75="Elite",$G75&gt;=Config!$B$41,$O75&lt;$N75),Config!$B$42,0))</f>
        <v/>
      </c>
      <c r="AM75" s="22"/>
      <c r="AN75" s="39">
        <f>IFERROR(VLOOKUP(K75,Grinders!$A:$Q,28,FALSE),0)</f>
        <v>0</v>
      </c>
      <c r="AO75" s="39">
        <f>IF(Config!$B$1003&lt;&gt;"Y",0,IF(IFERROR(VLOOKUP(K75,Grinders!$A:$P,27,FALSE),0)&gt;=3,IF(OR(G75&gt;=Config!$B$1001,ISNUMBER(SEARCH(E75,Config!$B$1002))),1,0),0))</f>
        <v>0</v>
      </c>
      <c r="AP75" s="39">
        <f t="array" ref="AP75">IFERROR(IF(INDEX(Bids!$AE:$AE,MATCH(B75,Bids!$A:$A,0))="Pending",1,0),0)</f>
        <v>0</v>
      </c>
      <c r="AQ75" s="39" t="str">
        <f t="array" ref="AQ75">IF(C75="","",IFERROR(XLOOKUP(C75,Assignments!$C:$C,Assignments!$AU:$AU,0),0))</f>
        <v/>
      </c>
      <c r="AR75" s="39">
        <f>IF(AND(Config!$B$1006="Y",AQ75=1),Config!$B$1007,0)</f>
        <v>0</v>
      </c>
    </row>
    <row r="76" ht="15.75" customHeight="1">
      <c r="A76" s="46" t="str">
        <f t="shared" si="1"/>
        <v/>
      </c>
      <c r="B76" s="40" t="str">
        <f>IF(Bids!$A75="","",Bids!$A75)</f>
        <v/>
      </c>
      <c r="C76" s="40" t="str">
        <f>IF(Bids!$B75="","",Bids!$B75)</f>
        <v/>
      </c>
      <c r="D76" s="40" t="str">
        <f>IF($C76="","",IFERROR(VLOOKUP($C76,Orders!$A$4:$J$998,9,FALSE),""))</f>
        <v/>
      </c>
      <c r="E76" s="40" t="str">
        <f>IF($C76="","",IFERROR(VLOOKUP($C76,Orders!$A$4:$J$998,3,FALSE),""))</f>
        <v/>
      </c>
      <c r="F76" s="40">
        <f t="shared" si="2"/>
        <v>1</v>
      </c>
      <c r="G76" s="40" t="str">
        <f>IF($C76="","",IFERROR(VLOOKUP($C76,Orders!$A$4:$J$998,4,FALSE),""))</f>
        <v/>
      </c>
      <c r="H76" s="40" t="str">
        <f>IF($C76="","",IFERROR(VLOOKUP($C76,Orders!$A$4:$J$998,5,FALSE),""))</f>
        <v/>
      </c>
      <c r="I76" s="40" t="str">
        <f>IF($C76="","",IFERROR(VLOOKUP($C76,Orders!$A$4:$J$998,6,FALSE),""))</f>
        <v/>
      </c>
      <c r="J76" s="40" t="str">
        <f>IF($C76="","",IFERROR(VLOOKUP($C76,Orders!$A$4:$J$998,7,FALSE),""))</f>
        <v/>
      </c>
      <c r="K76" s="40" t="str">
        <f>IF(Bids!$C75="","",Bids!$C75)</f>
        <v/>
      </c>
      <c r="L76" s="40" t="str">
        <f>IF($K76="","",IFERROR(VLOOKUP($K76,Grinders!$A$4:$N$998,2,FALSE),""))</f>
        <v/>
      </c>
      <c r="M76" s="40" t="str">
        <f>IF($K76="","",IFERROR(VLOOKUP($K76,Grinders!$A$4:$N$998,3,FALSE),""))</f>
        <v/>
      </c>
      <c r="N76" s="40" t="str">
        <f>IF($K76="","",IFERROR(VLOOKUP($K76,Grinders!$A$4:$N$998,4,FALSE),""))</f>
        <v/>
      </c>
      <c r="O76" s="40" t="str">
        <f>IF($K76="","",IFERROR(VLOOKUP($K76,Grinders!$A$4:$N$998,5,FALSE),""))</f>
        <v/>
      </c>
      <c r="P76" s="40" t="str">
        <f>IF($K76="","",IF($C$4="",0,COUNTIFS(Assignments!$B$6:$B$1000,$K76,Assignments!$F$6:$F$1000,$C$4,Assignments!$E$6:$E$1000,"Active")))</f>
        <v/>
      </c>
      <c r="Q76" s="40" t="str">
        <f t="shared" si="3"/>
        <v/>
      </c>
      <c r="R76" s="40" t="str">
        <f t="shared" si="4"/>
        <v/>
      </c>
      <c r="S76" s="40" t="str">
        <f>IF($K76="","",IF($C$4="",0,COUNTIFS(Assignments!$B$6:$B$1000,$K76,Assignments!$F$6:$F$1000,$C$4,Assignments!$D$6:$D$1000,"&gt;="&amp;Config!$B$3-7,Assignments!$D$6:$D$1000,"&lt;="&amp;Config!$B$3)))</f>
        <v/>
      </c>
      <c r="T76" s="40" t="str">
        <f>IF($K76="","",IFERROR(VLOOKUP($K76,Grinders!$A$4:$N$998,8,FALSE),""))</f>
        <v/>
      </c>
      <c r="U76" s="40" t="str">
        <f>IFERROR(IF($K76="","",IF($M76="Elite",MAX(50,MIN(100,Config!$B$27*MAX(0,MIN(100,(1-IF($R76="",0,$R76))*100)) + Config!$B$28*MAX(0,MIN(100,(1-MIN(1,IF(Config!$B$30=0,1,$S76/Config!$B$30)))*100)) + Config!$B$29*MAX(0,MIN(100,MIN(1,IF($T76="",0,$T76)/Config!$B$23)*100)))),MIN(100,Config!$B$27*MAX(0,MIN(100,(1-IF($R76="",0,$R76))*100)) + Config!$B$28*MAX(0,MIN(100,(1-MIN(1,IF(Config!$B$30=0,1,$S76/Config!$B$30)))*100)) + Config!$B$29*MAX(0,MIN(100,MIN(1,IF($T76="",0,$T76)/Config!$B$23)*100))))),"")
</f>
        <v/>
      </c>
      <c r="V76" s="40" t="str">
        <f>IF(Bids!$AC76="","",Bids!$AC76)</f>
        <v/>
      </c>
      <c r="W76" s="40" t="str">
        <f>IF(Bids!$F75="","",Bids!$F75)</f>
        <v/>
      </c>
      <c r="X76" s="40" t="str">
        <f t="shared" si="5"/>
        <v/>
      </c>
      <c r="Y76" s="40" t="str">
        <f>IF($X76="","",IF(Config!$B$17=Config!$B$16,IF($X76&gt;=Config!$B$17,100,0),MAX(0,MIN(100,($X76-Config!$B$16)/(Config!$B$17-Config!$B$16)*100))))</f>
        <v/>
      </c>
      <c r="Z76" s="40">
        <f>IF($M76="Elite",Config!$B$21,0)</f>
        <v>0</v>
      </c>
      <c r="AA76" s="40" t="str">
        <f>IFERROR(IF(OR($W76="",$H76=""),"",IF($W76&gt;$H76,
  MAX(0, 60-(($W76-$H76)*24/Config!$B$19)*60),
  MIN(100, 60+(($H76-$W76)*24/Config!$B$20)*40)
)),"")
</f>
        <v/>
      </c>
      <c r="AB76" s="40" t="str">
        <f>IF($K76="","",IFERROR(VLOOKUP($K76,Grinders!$A$4:$N$998,10,FALSE)/5*100,""))</f>
        <v/>
      </c>
      <c r="AC76" s="40" t="str">
        <f>IF($K76="","",IFERROR(VLOOKUP($K76,Grinders!$A$4:$N$998,11,FALSE)*100,""))</f>
        <v/>
      </c>
      <c r="AD76" s="40" t="str">
        <f>IF($K76="","",IFERROR(VLOOKUP($K76,Grinders!$A$4:$N$998,12,FALSE)*100,""))</f>
        <v/>
      </c>
      <c r="AE76" s="40" t="str">
        <f>IF(OR(AO76=1,AP76=1),0,=IFERROR(IFS(
    OR($C76="", $K76=""), 0,
    $F76=0, 0,
    $D76&lt;&gt;"Open", 0,
    COUNTIFS(GrinderServices!$A$6:$A$1000, $K76, GrinderServices!$B$6:$B$1000, $E76, GrinderServices!$D$6:$D$1000, "Y")=0, 0,
    $X76&lt;Config!$B$16, 0,
    Config!$B$18=1, IF($O76&gt;=N76, 0, 1),
    TRUE, 1
), "")
)</f>
        <v>#ERROR!</v>
      </c>
      <c r="AF76" s="40" t="str">
        <f>IFERROR((IF(OR(AO76=1,AP76=1),"",=IFERROR((IFERROR(IF($AE76=0,"",((Config!$B$6*$Y76 + Config!$B$7*$U76 + Config!$B$8*$Z76 + Config!$B$9*$AA76 + Config!$B$10*$AB76 + Config!$B$11*$AC76 - Config!$B$12*$AD76)/Config!$B$13)+$AK76+$AL76),""))*(1-IFERROR(VLOOKUP(K76,Grinders!$A:$AB, 28, FALSE),0)),"")))*(1+AR76),"")</f>
        <v>#ERROR!</v>
      </c>
      <c r="AG76" s="40" t="str">
        <f t="shared" si="6"/>
        <v>#ERROR!</v>
      </c>
      <c r="AH76" s="40" t="str">
        <f t="shared" si="7"/>
        <v/>
      </c>
      <c r="AI76" s="40" t="str">
        <f t="shared" si="8"/>
        <v/>
      </c>
      <c r="AJ76" s="40" t="str">
        <f>IF($K76="","",COUNTIF(Assignments!$B$6:$B$1000,$K76))</f>
        <v/>
      </c>
      <c r="AK76" s="40" t="str">
        <f>IF($K76="","",IF(AND($AJ76=0,$O76&lt;$N76),Config!$B$43,0))</f>
        <v/>
      </c>
      <c r="AL76" s="40" t="str">
        <f>IF($K76="","",IF(AND($M76="Elite",$G76&gt;=Config!$B$41,$O76&lt;$N76),Config!$B$42,0))</f>
        <v/>
      </c>
      <c r="AM76" s="22"/>
      <c r="AN76" s="39">
        <f>IFERROR(VLOOKUP(K76,Grinders!$A:$Q,28,FALSE),0)</f>
        <v>0</v>
      </c>
      <c r="AO76" s="39">
        <f>IF(Config!$B$1003&lt;&gt;"Y",0,IF(IFERROR(VLOOKUP(K76,Grinders!$A:$P,27,FALSE),0)&gt;=3,IF(OR(G76&gt;=Config!$B$1001,ISNUMBER(SEARCH(E76,Config!$B$1002))),1,0),0))</f>
        <v>0</v>
      </c>
      <c r="AP76" s="39">
        <f t="array" ref="AP76">IFERROR(IF(INDEX(Bids!$AE:$AE,MATCH(B76,Bids!$A:$A,0))="Pending",1,0),0)</f>
        <v>0</v>
      </c>
      <c r="AQ76" s="39" t="str">
        <f t="array" ref="AQ76">IF(C76="","",IFERROR(XLOOKUP(C76,Assignments!$C:$C,Assignments!$AU:$AU,0),0))</f>
        <v/>
      </c>
      <c r="AR76" s="39">
        <f>IF(AND(Config!$B$1006="Y",AQ76=1),Config!$B$1007,0)</f>
        <v>0</v>
      </c>
    </row>
    <row r="77" ht="15.75" customHeight="1">
      <c r="A77" s="46" t="str">
        <f t="shared" si="1"/>
        <v/>
      </c>
      <c r="B77" s="40" t="str">
        <f>IF(Bids!$A76="","",Bids!$A76)</f>
        <v/>
      </c>
      <c r="C77" s="40" t="str">
        <f>IF(Bids!$B76="","",Bids!$B76)</f>
        <v/>
      </c>
      <c r="D77" s="40" t="str">
        <f>IF($C77="","",IFERROR(VLOOKUP($C77,Orders!$A$4:$J$998,9,FALSE),""))</f>
        <v/>
      </c>
      <c r="E77" s="40" t="str">
        <f>IF($C77="","",IFERROR(VLOOKUP($C77,Orders!$A$4:$J$998,3,FALSE),""))</f>
        <v/>
      </c>
      <c r="F77" s="40">
        <f t="shared" si="2"/>
        <v>1</v>
      </c>
      <c r="G77" s="40" t="str">
        <f>IF($C77="","",IFERROR(VLOOKUP($C77,Orders!$A$4:$J$998,4,FALSE),""))</f>
        <v/>
      </c>
      <c r="H77" s="40" t="str">
        <f>IF($C77="","",IFERROR(VLOOKUP($C77,Orders!$A$4:$J$998,5,FALSE),""))</f>
        <v/>
      </c>
      <c r="I77" s="40" t="str">
        <f>IF($C77="","",IFERROR(VLOOKUP($C77,Orders!$A$4:$J$998,6,FALSE),""))</f>
        <v/>
      </c>
      <c r="J77" s="40" t="str">
        <f>IF($C77="","",IFERROR(VLOOKUP($C77,Orders!$A$4:$J$998,7,FALSE),""))</f>
        <v/>
      </c>
      <c r="K77" s="40" t="str">
        <f>IF(Bids!$C76="","",Bids!$C76)</f>
        <v/>
      </c>
      <c r="L77" s="40" t="str">
        <f>IF($K77="","",IFERROR(VLOOKUP($K77,Grinders!$A$4:$N$998,2,FALSE),""))</f>
        <v/>
      </c>
      <c r="M77" s="40" t="str">
        <f>IF($K77="","",IFERROR(VLOOKUP($K77,Grinders!$A$4:$N$998,3,FALSE),""))</f>
        <v/>
      </c>
      <c r="N77" s="40" t="str">
        <f>IF($K77="","",IFERROR(VLOOKUP($K77,Grinders!$A$4:$N$998,4,FALSE),""))</f>
        <v/>
      </c>
      <c r="O77" s="40" t="str">
        <f>IF($K77="","",IFERROR(VLOOKUP($K77,Grinders!$A$4:$N$998,5,FALSE),""))</f>
        <v/>
      </c>
      <c r="P77" s="40" t="str">
        <f>IF($K77="","",IF($C$4="",0,COUNTIFS(Assignments!$B$6:$B$1000,$K77,Assignments!$F$6:$F$1000,$C$4,Assignments!$E$6:$E$1000,"Active")))</f>
        <v/>
      </c>
      <c r="Q77" s="40" t="str">
        <f t="shared" si="3"/>
        <v/>
      </c>
      <c r="R77" s="40" t="str">
        <f t="shared" si="4"/>
        <v/>
      </c>
      <c r="S77" s="40" t="str">
        <f>IF($K77="","",IF($C$4="",0,COUNTIFS(Assignments!$B$6:$B$1000,$K77,Assignments!$F$6:$F$1000,$C$4,Assignments!$D$6:$D$1000,"&gt;="&amp;Config!$B$3-7,Assignments!$D$6:$D$1000,"&lt;="&amp;Config!$B$3)))</f>
        <v/>
      </c>
      <c r="T77" s="40" t="str">
        <f>IF($K77="","",IFERROR(VLOOKUP($K77,Grinders!$A$4:$N$998,8,FALSE),""))</f>
        <v/>
      </c>
      <c r="U77" s="40" t="str">
        <f>IFERROR(IF($K77="","",IF($M77="Elite",MAX(50,MIN(100,Config!$B$27*MAX(0,MIN(100,(1-IF($R77="",0,$R77))*100)) + Config!$B$28*MAX(0,MIN(100,(1-MIN(1,IF(Config!$B$30=0,1,$S77/Config!$B$30)))*100)) + Config!$B$29*MAX(0,MIN(100,MIN(1,IF($T77="",0,$T77)/Config!$B$23)*100)))),MIN(100,Config!$B$27*MAX(0,MIN(100,(1-IF($R77="",0,$R77))*100)) + Config!$B$28*MAX(0,MIN(100,(1-MIN(1,IF(Config!$B$30=0,1,$S77/Config!$B$30)))*100)) + Config!$B$29*MAX(0,MIN(100,MIN(1,IF($T77="",0,$T77)/Config!$B$23)*100))))),"")
</f>
        <v/>
      </c>
      <c r="V77" s="40" t="str">
        <f>IF(Bids!$AC77="","",Bids!$AC77)</f>
        <v/>
      </c>
      <c r="W77" s="40" t="str">
        <f>IF(Bids!$F76="","",Bids!$F76)</f>
        <v/>
      </c>
      <c r="X77" s="40" t="str">
        <f t="shared" si="5"/>
        <v/>
      </c>
      <c r="Y77" s="40" t="str">
        <f>IF($X77="","",IF(Config!$B$17=Config!$B$16,IF($X77&gt;=Config!$B$17,100,0),MAX(0,MIN(100,($X77-Config!$B$16)/(Config!$B$17-Config!$B$16)*100))))</f>
        <v/>
      </c>
      <c r="Z77" s="40">
        <f>IF($M77="Elite",Config!$B$21,0)</f>
        <v>0</v>
      </c>
      <c r="AA77" s="40" t="str">
        <f>IFERROR(IF(OR($W77="",$H77=""),"",IF($W77&gt;$H77,
  MAX(0, 60-(($W77-$H77)*24/Config!$B$19)*60),
  MIN(100, 60+(($H77-$W77)*24/Config!$B$20)*40)
)),"")
</f>
        <v/>
      </c>
      <c r="AB77" s="40" t="str">
        <f>IF($K77="","",IFERROR(VLOOKUP($K77,Grinders!$A$4:$N$998,10,FALSE)/5*100,""))</f>
        <v/>
      </c>
      <c r="AC77" s="40" t="str">
        <f>IF($K77="","",IFERROR(VLOOKUP($K77,Grinders!$A$4:$N$998,11,FALSE)*100,""))</f>
        <v/>
      </c>
      <c r="AD77" s="40" t="str">
        <f>IF($K77="","",IFERROR(VLOOKUP($K77,Grinders!$A$4:$N$998,12,FALSE)*100,""))</f>
        <v/>
      </c>
      <c r="AE77" s="40" t="str">
        <f>IF(OR(AO77=1,AP77=1),0,=IFERROR(IFS(
    OR($C77="", $K77=""), 0,
    $F77=0, 0,
    $D77&lt;&gt;"Open", 0,
    COUNTIFS(GrinderServices!$A$6:$A$1000, $K77, GrinderServices!$B$6:$B$1000, $E77, GrinderServices!$D$6:$D$1000, "Y")=0, 0,
    $X77&lt;Config!$B$16, 0,
    Config!$B$18=1, IF($O77&gt;=N77, 0, 1),
    TRUE, 1
), "")
)</f>
        <v>#ERROR!</v>
      </c>
      <c r="AF77" s="40" t="str">
        <f>IFERROR((IF(OR(AO77=1,AP77=1),"",=IFERROR((IFERROR(IF($AE77=0,"",((Config!$B$6*$Y77 + Config!$B$7*$U77 + Config!$B$8*$Z77 + Config!$B$9*$AA77 + Config!$B$10*$AB77 + Config!$B$11*$AC77 - Config!$B$12*$AD77)/Config!$B$13)+$AK77+$AL77),""))*(1-IFERROR(VLOOKUP(K77,Grinders!$A:$AB, 28, FALSE),0)),"")))*(1+AR77),"")</f>
        <v>#ERROR!</v>
      </c>
      <c r="AG77" s="40" t="str">
        <f t="shared" si="6"/>
        <v>#ERROR!</v>
      </c>
      <c r="AH77" s="40" t="str">
        <f t="shared" si="7"/>
        <v/>
      </c>
      <c r="AI77" s="40" t="str">
        <f t="shared" si="8"/>
        <v/>
      </c>
      <c r="AJ77" s="40" t="str">
        <f>IF($K77="","",COUNTIF(Assignments!$B$6:$B$1000,$K77))</f>
        <v/>
      </c>
      <c r="AK77" s="40" t="str">
        <f>IF($K77="","",IF(AND($AJ77=0,$O77&lt;$N77),Config!$B$43,0))</f>
        <v/>
      </c>
      <c r="AL77" s="40" t="str">
        <f>IF($K77="","",IF(AND($M77="Elite",$G77&gt;=Config!$B$41,$O77&lt;$N77),Config!$B$42,0))</f>
        <v/>
      </c>
      <c r="AM77" s="22"/>
      <c r="AN77" s="39">
        <f>IFERROR(VLOOKUP(K77,Grinders!$A:$Q,28,FALSE),0)</f>
        <v>0</v>
      </c>
      <c r="AO77" s="39">
        <f>IF(Config!$B$1003&lt;&gt;"Y",0,IF(IFERROR(VLOOKUP(K77,Grinders!$A:$P,27,FALSE),0)&gt;=3,IF(OR(G77&gt;=Config!$B$1001,ISNUMBER(SEARCH(E77,Config!$B$1002))),1,0),0))</f>
        <v>0</v>
      </c>
      <c r="AP77" s="39">
        <f t="array" ref="AP77">IFERROR(IF(INDEX(Bids!$AE:$AE,MATCH(B77,Bids!$A:$A,0))="Pending",1,0),0)</f>
        <v>0</v>
      </c>
      <c r="AQ77" s="39" t="str">
        <f t="array" ref="AQ77">IF(C77="","",IFERROR(XLOOKUP(C77,Assignments!$C:$C,Assignments!$AU:$AU,0),0))</f>
        <v/>
      </c>
      <c r="AR77" s="39">
        <f>IF(AND(Config!$B$1006="Y",AQ77=1),Config!$B$1007,0)</f>
        <v>0</v>
      </c>
    </row>
    <row r="78" ht="15.75" customHeight="1">
      <c r="A78" s="46" t="str">
        <f t="shared" si="1"/>
        <v/>
      </c>
      <c r="B78" s="40" t="str">
        <f>IF(Bids!$A77="","",Bids!$A77)</f>
        <v/>
      </c>
      <c r="C78" s="40" t="str">
        <f>IF(Bids!$B77="","",Bids!$B77)</f>
        <v/>
      </c>
      <c r="D78" s="40" t="str">
        <f>IF($C78="","",IFERROR(VLOOKUP($C78,Orders!$A$4:$J$998,9,FALSE),""))</f>
        <v/>
      </c>
      <c r="E78" s="40" t="str">
        <f>IF($C78="","",IFERROR(VLOOKUP($C78,Orders!$A$4:$J$998,3,FALSE),""))</f>
        <v/>
      </c>
      <c r="F78" s="40">
        <f t="shared" si="2"/>
        <v>1</v>
      </c>
      <c r="G78" s="40" t="str">
        <f>IF($C78="","",IFERROR(VLOOKUP($C78,Orders!$A$4:$J$998,4,FALSE),""))</f>
        <v/>
      </c>
      <c r="H78" s="40" t="str">
        <f>IF($C78="","",IFERROR(VLOOKUP($C78,Orders!$A$4:$J$998,5,FALSE),""))</f>
        <v/>
      </c>
      <c r="I78" s="40" t="str">
        <f>IF($C78="","",IFERROR(VLOOKUP($C78,Orders!$A$4:$J$998,6,FALSE),""))</f>
        <v/>
      </c>
      <c r="J78" s="40" t="str">
        <f>IF($C78="","",IFERROR(VLOOKUP($C78,Orders!$A$4:$J$998,7,FALSE),""))</f>
        <v/>
      </c>
      <c r="K78" s="40" t="str">
        <f>IF(Bids!$C77="","",Bids!$C77)</f>
        <v/>
      </c>
      <c r="L78" s="40" t="str">
        <f>IF($K78="","",IFERROR(VLOOKUP($K78,Grinders!$A$4:$N$998,2,FALSE),""))</f>
        <v/>
      </c>
      <c r="M78" s="40" t="str">
        <f>IF($K78="","",IFERROR(VLOOKUP($K78,Grinders!$A$4:$N$998,3,FALSE),""))</f>
        <v/>
      </c>
      <c r="N78" s="40" t="str">
        <f>IF($K78="","",IFERROR(VLOOKUP($K78,Grinders!$A$4:$N$998,4,FALSE),""))</f>
        <v/>
      </c>
      <c r="O78" s="40" t="str">
        <f>IF($K78="","",IFERROR(VLOOKUP($K78,Grinders!$A$4:$N$998,5,FALSE),""))</f>
        <v/>
      </c>
      <c r="P78" s="40" t="str">
        <f>IF($K78="","",IF($C$4="",0,COUNTIFS(Assignments!$B$6:$B$1000,$K78,Assignments!$F$6:$F$1000,$C$4,Assignments!$E$6:$E$1000,"Active")))</f>
        <v/>
      </c>
      <c r="Q78" s="40" t="str">
        <f t="shared" si="3"/>
        <v/>
      </c>
      <c r="R78" s="40" t="str">
        <f t="shared" si="4"/>
        <v/>
      </c>
      <c r="S78" s="40" t="str">
        <f>IF($K78="","",IF($C$4="",0,COUNTIFS(Assignments!$B$6:$B$1000,$K78,Assignments!$F$6:$F$1000,$C$4,Assignments!$D$6:$D$1000,"&gt;="&amp;Config!$B$3-7,Assignments!$D$6:$D$1000,"&lt;="&amp;Config!$B$3)))</f>
        <v/>
      </c>
      <c r="T78" s="40" t="str">
        <f>IF($K78="","",IFERROR(VLOOKUP($K78,Grinders!$A$4:$N$998,8,FALSE),""))</f>
        <v/>
      </c>
      <c r="U78" s="40" t="str">
        <f>IFERROR(IF($K78="","",IF($M78="Elite",MAX(50,MIN(100,Config!$B$27*MAX(0,MIN(100,(1-IF($R78="",0,$R78))*100)) + Config!$B$28*MAX(0,MIN(100,(1-MIN(1,IF(Config!$B$30=0,1,$S78/Config!$B$30)))*100)) + Config!$B$29*MAX(0,MIN(100,MIN(1,IF($T78="",0,$T78)/Config!$B$23)*100)))),MIN(100,Config!$B$27*MAX(0,MIN(100,(1-IF($R78="",0,$R78))*100)) + Config!$B$28*MAX(0,MIN(100,(1-MIN(1,IF(Config!$B$30=0,1,$S78/Config!$B$30)))*100)) + Config!$B$29*MAX(0,MIN(100,MIN(1,IF($T78="",0,$T78)/Config!$B$23)*100))))),"")
</f>
        <v/>
      </c>
      <c r="V78" s="40" t="str">
        <f>IF(Bids!$AC78="","",Bids!$AC78)</f>
        <v/>
      </c>
      <c r="W78" s="40" t="str">
        <f>IF(Bids!$F77="","",Bids!$F77)</f>
        <v/>
      </c>
      <c r="X78" s="40" t="str">
        <f t="shared" si="5"/>
        <v/>
      </c>
      <c r="Y78" s="40" t="str">
        <f>IF($X78="","",IF(Config!$B$17=Config!$B$16,IF($X78&gt;=Config!$B$17,100,0),MAX(0,MIN(100,($X78-Config!$B$16)/(Config!$B$17-Config!$B$16)*100))))</f>
        <v/>
      </c>
      <c r="Z78" s="40">
        <f>IF($M78="Elite",Config!$B$21,0)</f>
        <v>0</v>
      </c>
      <c r="AA78" s="40" t="str">
        <f>IFERROR(IF(OR($W78="",$H78=""),"",IF($W78&gt;$H78,
  MAX(0, 60-(($W78-$H78)*24/Config!$B$19)*60),
  MIN(100, 60+(($H78-$W78)*24/Config!$B$20)*40)
)),"")
</f>
        <v/>
      </c>
      <c r="AB78" s="40" t="str">
        <f>IF($K78="","",IFERROR(VLOOKUP($K78,Grinders!$A$4:$N$998,10,FALSE)/5*100,""))</f>
        <v/>
      </c>
      <c r="AC78" s="40" t="str">
        <f>IF($K78="","",IFERROR(VLOOKUP($K78,Grinders!$A$4:$N$998,11,FALSE)*100,""))</f>
        <v/>
      </c>
      <c r="AD78" s="40" t="str">
        <f>IF($K78="","",IFERROR(VLOOKUP($K78,Grinders!$A$4:$N$998,12,FALSE)*100,""))</f>
        <v/>
      </c>
      <c r="AE78" s="40" t="str">
        <f>IF(OR(AO78=1,AP78=1),0,=IFERROR(IFS(
    OR($C78="", $K78=""), 0,
    $F78=0, 0,
    $D78&lt;&gt;"Open", 0,
    COUNTIFS(GrinderServices!$A$6:$A$1000, $K78, GrinderServices!$B$6:$B$1000, $E78, GrinderServices!$D$6:$D$1000, "Y")=0, 0,
    $X78&lt;Config!$B$16, 0,
    Config!$B$18=1, IF($O78&gt;=N78, 0, 1),
    TRUE, 1
), "")
)</f>
        <v>#ERROR!</v>
      </c>
      <c r="AF78" s="40" t="str">
        <f>IFERROR((IF(OR(AO78=1,AP78=1),"",=IFERROR((IFERROR(IF($AE78=0,"",((Config!$B$6*$Y78 + Config!$B$7*$U78 + Config!$B$8*$Z78 + Config!$B$9*$AA78 + Config!$B$10*$AB78 + Config!$B$11*$AC78 - Config!$B$12*$AD78)/Config!$B$13)+$AK78+$AL78),""))*(1-IFERROR(VLOOKUP(K78,Grinders!$A:$AB, 28, FALSE),0)),"")))*(1+AR78),"")</f>
        <v>#ERROR!</v>
      </c>
      <c r="AG78" s="40" t="str">
        <f t="shared" si="6"/>
        <v>#ERROR!</v>
      </c>
      <c r="AH78" s="40" t="str">
        <f t="shared" si="7"/>
        <v/>
      </c>
      <c r="AI78" s="40" t="str">
        <f t="shared" si="8"/>
        <v/>
      </c>
      <c r="AJ78" s="40" t="str">
        <f>IF($K78="","",COUNTIF(Assignments!$B$6:$B$1000,$K78))</f>
        <v/>
      </c>
      <c r="AK78" s="40" t="str">
        <f>IF($K78="","",IF(AND($AJ78=0,$O78&lt;$N78),Config!$B$43,0))</f>
        <v/>
      </c>
      <c r="AL78" s="40" t="str">
        <f>IF($K78="","",IF(AND($M78="Elite",$G78&gt;=Config!$B$41,$O78&lt;$N78),Config!$B$42,0))</f>
        <v/>
      </c>
      <c r="AM78" s="22"/>
      <c r="AN78" s="39">
        <f>IFERROR(VLOOKUP(K78,Grinders!$A:$Q,28,FALSE),0)</f>
        <v>0</v>
      </c>
      <c r="AO78" s="39">
        <f>IF(Config!$B$1003&lt;&gt;"Y",0,IF(IFERROR(VLOOKUP(K78,Grinders!$A:$P,27,FALSE),0)&gt;=3,IF(OR(G78&gt;=Config!$B$1001,ISNUMBER(SEARCH(E78,Config!$B$1002))),1,0),0))</f>
        <v>0</v>
      </c>
      <c r="AP78" s="39">
        <f t="array" ref="AP78">IFERROR(IF(INDEX(Bids!$AE:$AE,MATCH(B78,Bids!$A:$A,0))="Pending",1,0),0)</f>
        <v>0</v>
      </c>
      <c r="AQ78" s="39" t="str">
        <f t="array" ref="AQ78">IF(C78="","",IFERROR(XLOOKUP(C78,Assignments!$C:$C,Assignments!$AU:$AU,0),0))</f>
        <v/>
      </c>
      <c r="AR78" s="39">
        <f>IF(AND(Config!$B$1006="Y",AQ78=1),Config!$B$1007,0)</f>
        <v>0</v>
      </c>
    </row>
    <row r="79" ht="15.75" customHeight="1">
      <c r="A79" s="46" t="str">
        <f t="shared" si="1"/>
        <v/>
      </c>
      <c r="B79" s="40" t="str">
        <f>IF(Bids!$A78="","",Bids!$A78)</f>
        <v/>
      </c>
      <c r="C79" s="40" t="str">
        <f>IF(Bids!$B78="","",Bids!$B78)</f>
        <v/>
      </c>
      <c r="D79" s="40" t="str">
        <f>IF($C79="","",IFERROR(VLOOKUP($C79,Orders!$A$4:$J$998,9,FALSE),""))</f>
        <v/>
      </c>
      <c r="E79" s="40" t="str">
        <f>IF($C79="","",IFERROR(VLOOKUP($C79,Orders!$A$4:$J$998,3,FALSE),""))</f>
        <v/>
      </c>
      <c r="F79" s="40">
        <f t="shared" si="2"/>
        <v>1</v>
      </c>
      <c r="G79" s="40" t="str">
        <f>IF($C79="","",IFERROR(VLOOKUP($C79,Orders!$A$4:$J$998,4,FALSE),""))</f>
        <v/>
      </c>
      <c r="H79" s="40" t="str">
        <f>IF($C79="","",IFERROR(VLOOKUP($C79,Orders!$A$4:$J$998,5,FALSE),""))</f>
        <v/>
      </c>
      <c r="I79" s="40" t="str">
        <f>IF($C79="","",IFERROR(VLOOKUP($C79,Orders!$A$4:$J$998,6,FALSE),""))</f>
        <v/>
      </c>
      <c r="J79" s="40" t="str">
        <f>IF($C79="","",IFERROR(VLOOKUP($C79,Orders!$A$4:$J$998,7,FALSE),""))</f>
        <v/>
      </c>
      <c r="K79" s="40" t="str">
        <f>IF(Bids!$C78="","",Bids!$C78)</f>
        <v/>
      </c>
      <c r="L79" s="40" t="str">
        <f>IF($K79="","",IFERROR(VLOOKUP($K79,Grinders!$A$4:$N$998,2,FALSE),""))</f>
        <v/>
      </c>
      <c r="M79" s="40" t="str">
        <f>IF($K79="","",IFERROR(VLOOKUP($K79,Grinders!$A$4:$N$998,3,FALSE),""))</f>
        <v/>
      </c>
      <c r="N79" s="40" t="str">
        <f>IF($K79="","",IFERROR(VLOOKUP($K79,Grinders!$A$4:$N$998,4,FALSE),""))</f>
        <v/>
      </c>
      <c r="O79" s="40" t="str">
        <f>IF($K79="","",IFERROR(VLOOKUP($K79,Grinders!$A$4:$N$998,5,FALSE),""))</f>
        <v/>
      </c>
      <c r="P79" s="40" t="str">
        <f>IF($K79="","",IF($C$4="",0,COUNTIFS(Assignments!$B$6:$B$1000,$K79,Assignments!$F$6:$F$1000,$C$4,Assignments!$E$6:$E$1000,"Active")))</f>
        <v/>
      </c>
      <c r="Q79" s="40" t="str">
        <f t="shared" si="3"/>
        <v/>
      </c>
      <c r="R79" s="40" t="str">
        <f t="shared" si="4"/>
        <v/>
      </c>
      <c r="S79" s="40" t="str">
        <f>IF($K79="","",IF($C$4="",0,COUNTIFS(Assignments!$B$6:$B$1000,$K79,Assignments!$F$6:$F$1000,$C$4,Assignments!$D$6:$D$1000,"&gt;="&amp;Config!$B$3-7,Assignments!$D$6:$D$1000,"&lt;="&amp;Config!$B$3)))</f>
        <v/>
      </c>
      <c r="T79" s="40" t="str">
        <f>IF($K79="","",IFERROR(VLOOKUP($K79,Grinders!$A$4:$N$998,8,FALSE),""))</f>
        <v/>
      </c>
      <c r="U79" s="40" t="str">
        <f>IFERROR(IF($K79="","",IF($M79="Elite",MAX(50,MIN(100,Config!$B$27*MAX(0,MIN(100,(1-IF($R79="",0,$R79))*100)) + Config!$B$28*MAX(0,MIN(100,(1-MIN(1,IF(Config!$B$30=0,1,$S79/Config!$B$30)))*100)) + Config!$B$29*MAX(0,MIN(100,MIN(1,IF($T79="",0,$T79)/Config!$B$23)*100)))),MIN(100,Config!$B$27*MAX(0,MIN(100,(1-IF($R79="",0,$R79))*100)) + Config!$B$28*MAX(0,MIN(100,(1-MIN(1,IF(Config!$B$30=0,1,$S79/Config!$B$30)))*100)) + Config!$B$29*MAX(0,MIN(100,MIN(1,IF($T79="",0,$T79)/Config!$B$23)*100))))),"")
</f>
        <v/>
      </c>
      <c r="V79" s="40" t="str">
        <f>IF(Bids!$AC79="","",Bids!$AC79)</f>
        <v/>
      </c>
      <c r="W79" s="40" t="str">
        <f>IF(Bids!$F78="","",Bids!$F78)</f>
        <v/>
      </c>
      <c r="X79" s="40" t="str">
        <f t="shared" si="5"/>
        <v/>
      </c>
      <c r="Y79" s="40" t="str">
        <f>IF($X79="","",IF(Config!$B$17=Config!$B$16,IF($X79&gt;=Config!$B$17,100,0),MAX(0,MIN(100,($X79-Config!$B$16)/(Config!$B$17-Config!$B$16)*100))))</f>
        <v/>
      </c>
      <c r="Z79" s="40">
        <f>IF($M79="Elite",Config!$B$21,0)</f>
        <v>0</v>
      </c>
      <c r="AA79" s="40" t="str">
        <f>IFERROR(IF(OR($W79="",$H79=""),"",IF($W79&gt;$H79,
  MAX(0, 60-(($W79-$H79)*24/Config!$B$19)*60),
  MIN(100, 60+(($H79-$W79)*24/Config!$B$20)*40)
)),"")
</f>
        <v/>
      </c>
      <c r="AB79" s="40" t="str">
        <f>IF($K79="","",IFERROR(VLOOKUP($K79,Grinders!$A$4:$N$998,10,FALSE)/5*100,""))</f>
        <v/>
      </c>
      <c r="AC79" s="40" t="str">
        <f>IF($K79="","",IFERROR(VLOOKUP($K79,Grinders!$A$4:$N$998,11,FALSE)*100,""))</f>
        <v/>
      </c>
      <c r="AD79" s="40" t="str">
        <f>IF($K79="","",IFERROR(VLOOKUP($K79,Grinders!$A$4:$N$998,12,FALSE)*100,""))</f>
        <v/>
      </c>
      <c r="AE79" s="40" t="str">
        <f>IF(OR(AO79=1,AP79=1),0,=IFERROR(IFS(
    OR($C79="", $K79=""), 0,
    $F79=0, 0,
    $D79&lt;&gt;"Open", 0,
    COUNTIFS(GrinderServices!$A$6:$A$1000, $K79, GrinderServices!$B$6:$B$1000, $E79, GrinderServices!$D$6:$D$1000, "Y")=0, 0,
    $X79&lt;Config!$B$16, 0,
    Config!$B$18=1, IF($O79&gt;=N79, 0, 1),
    TRUE, 1
), "")
)</f>
        <v>#ERROR!</v>
      </c>
      <c r="AF79" s="40" t="str">
        <f>IFERROR((IF(OR(AO79=1,AP79=1),"",=IFERROR((IFERROR(IF($AE79=0,"",((Config!$B$6*$Y79 + Config!$B$7*$U79 + Config!$B$8*$Z79 + Config!$B$9*$AA79 + Config!$B$10*$AB79 + Config!$B$11*$AC79 - Config!$B$12*$AD79)/Config!$B$13)+$AK79+$AL79),""))*(1-IFERROR(VLOOKUP(K79,Grinders!$A:$AB, 28, FALSE),0)),"")))*(1+AR79),"")</f>
        <v>#ERROR!</v>
      </c>
      <c r="AG79" s="40" t="str">
        <f t="shared" si="6"/>
        <v>#ERROR!</v>
      </c>
      <c r="AH79" s="40" t="str">
        <f t="shared" si="7"/>
        <v/>
      </c>
      <c r="AI79" s="40" t="str">
        <f t="shared" si="8"/>
        <v/>
      </c>
      <c r="AJ79" s="40" t="str">
        <f>IF($K79="","",COUNTIF(Assignments!$B$6:$B$1000,$K79))</f>
        <v/>
      </c>
      <c r="AK79" s="40" t="str">
        <f>IF($K79="","",IF(AND($AJ79=0,$O79&lt;$N79),Config!$B$43,0))</f>
        <v/>
      </c>
      <c r="AL79" s="40" t="str">
        <f>IF($K79="","",IF(AND($M79="Elite",$G79&gt;=Config!$B$41,$O79&lt;$N79),Config!$B$42,0))</f>
        <v/>
      </c>
      <c r="AM79" s="22"/>
      <c r="AN79" s="39">
        <f>IFERROR(VLOOKUP(K79,Grinders!$A:$Q,28,FALSE),0)</f>
        <v>0</v>
      </c>
      <c r="AO79" s="39">
        <f>IF(Config!$B$1003&lt;&gt;"Y",0,IF(IFERROR(VLOOKUP(K79,Grinders!$A:$P,27,FALSE),0)&gt;=3,IF(OR(G79&gt;=Config!$B$1001,ISNUMBER(SEARCH(E79,Config!$B$1002))),1,0),0))</f>
        <v>0</v>
      </c>
      <c r="AP79" s="39">
        <f t="array" ref="AP79">IFERROR(IF(INDEX(Bids!$AE:$AE,MATCH(B79,Bids!$A:$A,0))="Pending",1,0),0)</f>
        <v>0</v>
      </c>
      <c r="AQ79" s="39" t="str">
        <f t="array" ref="AQ79">IF(C79="","",IFERROR(XLOOKUP(C79,Assignments!$C:$C,Assignments!$AU:$AU,0),0))</f>
        <v/>
      </c>
      <c r="AR79" s="39">
        <f>IF(AND(Config!$B$1006="Y",AQ79=1),Config!$B$1007,0)</f>
        <v>0</v>
      </c>
    </row>
    <row r="80" ht="15.75" customHeight="1">
      <c r="A80" s="46" t="str">
        <f t="shared" si="1"/>
        <v/>
      </c>
      <c r="B80" s="40" t="str">
        <f>IF(Bids!$A79="","",Bids!$A79)</f>
        <v/>
      </c>
      <c r="C80" s="40" t="str">
        <f>IF(Bids!$B79="","",Bids!$B79)</f>
        <v/>
      </c>
      <c r="D80" s="40" t="str">
        <f>IF($C80="","",IFERROR(VLOOKUP($C80,Orders!$A$4:$J$998,9,FALSE),""))</f>
        <v/>
      </c>
      <c r="E80" s="40" t="str">
        <f>IF($C80="","",IFERROR(VLOOKUP($C80,Orders!$A$4:$J$998,3,FALSE),""))</f>
        <v/>
      </c>
      <c r="F80" s="40">
        <f t="shared" si="2"/>
        <v>1</v>
      </c>
      <c r="G80" s="40" t="str">
        <f>IF($C80="","",IFERROR(VLOOKUP($C80,Orders!$A$4:$J$998,4,FALSE),""))</f>
        <v/>
      </c>
      <c r="H80" s="40" t="str">
        <f>IF($C80="","",IFERROR(VLOOKUP($C80,Orders!$A$4:$J$998,5,FALSE),""))</f>
        <v/>
      </c>
      <c r="I80" s="40" t="str">
        <f>IF($C80="","",IFERROR(VLOOKUP($C80,Orders!$A$4:$J$998,6,FALSE),""))</f>
        <v/>
      </c>
      <c r="J80" s="40" t="str">
        <f>IF($C80="","",IFERROR(VLOOKUP($C80,Orders!$A$4:$J$998,7,FALSE),""))</f>
        <v/>
      </c>
      <c r="K80" s="40" t="str">
        <f>IF(Bids!$C79="","",Bids!$C79)</f>
        <v/>
      </c>
      <c r="L80" s="40" t="str">
        <f>IF($K80="","",IFERROR(VLOOKUP($K80,Grinders!$A$4:$N$998,2,FALSE),""))</f>
        <v/>
      </c>
      <c r="M80" s="40" t="str">
        <f>IF($K80="","",IFERROR(VLOOKUP($K80,Grinders!$A$4:$N$998,3,FALSE),""))</f>
        <v/>
      </c>
      <c r="N80" s="40" t="str">
        <f>IF($K80="","",IFERROR(VLOOKUP($K80,Grinders!$A$4:$N$998,4,FALSE),""))</f>
        <v/>
      </c>
      <c r="O80" s="40" t="str">
        <f>IF($K80="","",IFERROR(VLOOKUP($K80,Grinders!$A$4:$N$998,5,FALSE),""))</f>
        <v/>
      </c>
      <c r="P80" s="40" t="str">
        <f>IF($K80="","",IF($C$4="",0,COUNTIFS(Assignments!$B$6:$B$1000,$K80,Assignments!$F$6:$F$1000,$C$4,Assignments!$E$6:$E$1000,"Active")))</f>
        <v/>
      </c>
      <c r="Q80" s="40" t="str">
        <f t="shared" si="3"/>
        <v/>
      </c>
      <c r="R80" s="40" t="str">
        <f t="shared" si="4"/>
        <v/>
      </c>
      <c r="S80" s="40" t="str">
        <f>IF($K80="","",IF($C$4="",0,COUNTIFS(Assignments!$B$6:$B$1000,$K80,Assignments!$F$6:$F$1000,$C$4,Assignments!$D$6:$D$1000,"&gt;="&amp;Config!$B$3-7,Assignments!$D$6:$D$1000,"&lt;="&amp;Config!$B$3)))</f>
        <v/>
      </c>
      <c r="T80" s="40" t="str">
        <f>IF($K80="","",IFERROR(VLOOKUP($K80,Grinders!$A$4:$N$998,8,FALSE),""))</f>
        <v/>
      </c>
      <c r="U80" s="40" t="str">
        <f>IFERROR(IF($K80="","",IF($M80="Elite",MAX(50,MIN(100,Config!$B$27*MAX(0,MIN(100,(1-IF($R80="",0,$R80))*100)) + Config!$B$28*MAX(0,MIN(100,(1-MIN(1,IF(Config!$B$30=0,1,$S80/Config!$B$30)))*100)) + Config!$B$29*MAX(0,MIN(100,MIN(1,IF($T80="",0,$T80)/Config!$B$23)*100)))),MIN(100,Config!$B$27*MAX(0,MIN(100,(1-IF($R80="",0,$R80))*100)) + Config!$B$28*MAX(0,MIN(100,(1-MIN(1,IF(Config!$B$30=0,1,$S80/Config!$B$30)))*100)) + Config!$B$29*MAX(0,MIN(100,MIN(1,IF($T80="",0,$T80)/Config!$B$23)*100))))),"")
</f>
        <v/>
      </c>
      <c r="V80" s="40" t="str">
        <f>IF(Bids!$AC80="","",Bids!$AC80)</f>
        <v/>
      </c>
      <c r="W80" s="40" t="str">
        <f>IF(Bids!$F79="","",Bids!$F79)</f>
        <v/>
      </c>
      <c r="X80" s="40" t="str">
        <f t="shared" si="5"/>
        <v/>
      </c>
      <c r="Y80" s="40" t="str">
        <f>IF($X80="","",IF(Config!$B$17=Config!$B$16,IF($X80&gt;=Config!$B$17,100,0),MAX(0,MIN(100,($X80-Config!$B$16)/(Config!$B$17-Config!$B$16)*100))))</f>
        <v/>
      </c>
      <c r="Z80" s="40">
        <f>IF($M80="Elite",Config!$B$21,0)</f>
        <v>0</v>
      </c>
      <c r="AA80" s="40" t="str">
        <f>IFERROR(IF(OR($W80="",$H80=""),"",IF($W80&gt;$H80,
  MAX(0, 60-(($W80-$H80)*24/Config!$B$19)*60),
  MIN(100, 60+(($H80-$W80)*24/Config!$B$20)*40)
)),"")
</f>
        <v/>
      </c>
      <c r="AB80" s="40" t="str">
        <f>IF($K80="","",IFERROR(VLOOKUP($K80,Grinders!$A$4:$N$998,10,FALSE)/5*100,""))</f>
        <v/>
      </c>
      <c r="AC80" s="40" t="str">
        <f>IF($K80="","",IFERROR(VLOOKUP($K80,Grinders!$A$4:$N$998,11,FALSE)*100,""))</f>
        <v/>
      </c>
      <c r="AD80" s="40" t="str">
        <f>IF($K80="","",IFERROR(VLOOKUP($K80,Grinders!$A$4:$N$998,12,FALSE)*100,""))</f>
        <v/>
      </c>
      <c r="AE80" s="40" t="str">
        <f>IF(OR(AO80=1,AP80=1),0,=IFERROR(IFS(
    OR($C80="", $K80=""), 0,
    $F80=0, 0,
    $D80&lt;&gt;"Open", 0,
    COUNTIFS(GrinderServices!$A$6:$A$1000, $K80, GrinderServices!$B$6:$B$1000, $E80, GrinderServices!$D$6:$D$1000, "Y")=0, 0,
    $X80&lt;Config!$B$16, 0,
    Config!$B$18=1, IF($O80&gt;=N80, 0, 1),
    TRUE, 1
), "")
)</f>
        <v>#ERROR!</v>
      </c>
      <c r="AF80" s="40" t="str">
        <f>IFERROR((IF(OR(AO80=1,AP80=1),"",=IFERROR((IFERROR(IF($AE80=0,"",((Config!$B$6*$Y80 + Config!$B$7*$U80 + Config!$B$8*$Z80 + Config!$B$9*$AA80 + Config!$B$10*$AB80 + Config!$B$11*$AC80 - Config!$B$12*$AD80)/Config!$B$13)+$AK80+$AL80),""))*(1-IFERROR(VLOOKUP(K80,Grinders!$A:$AB, 28, FALSE),0)),"")))*(1+AR80),"")</f>
        <v>#ERROR!</v>
      </c>
      <c r="AG80" s="40" t="str">
        <f t="shared" si="6"/>
        <v>#ERROR!</v>
      </c>
      <c r="AH80" s="40" t="str">
        <f t="shared" si="7"/>
        <v/>
      </c>
      <c r="AI80" s="40" t="str">
        <f t="shared" si="8"/>
        <v/>
      </c>
      <c r="AJ80" s="40" t="str">
        <f>IF($K80="","",COUNTIF(Assignments!$B$6:$B$1000,$K80))</f>
        <v/>
      </c>
      <c r="AK80" s="40" t="str">
        <f>IF($K80="","",IF(AND($AJ80=0,$O80&lt;$N80),Config!$B$43,0))</f>
        <v/>
      </c>
      <c r="AL80" s="40" t="str">
        <f>IF($K80="","",IF(AND($M80="Elite",$G80&gt;=Config!$B$41,$O80&lt;$N80),Config!$B$42,0))</f>
        <v/>
      </c>
      <c r="AM80" s="22"/>
      <c r="AN80" s="39">
        <f>IFERROR(VLOOKUP(K80,Grinders!$A:$Q,28,FALSE),0)</f>
        <v>0</v>
      </c>
      <c r="AO80" s="39">
        <f>IF(Config!$B$1003&lt;&gt;"Y",0,IF(IFERROR(VLOOKUP(K80,Grinders!$A:$P,27,FALSE),0)&gt;=3,IF(OR(G80&gt;=Config!$B$1001,ISNUMBER(SEARCH(E80,Config!$B$1002))),1,0),0))</f>
        <v>0</v>
      </c>
      <c r="AP80" s="39">
        <f t="array" ref="AP80">IFERROR(IF(INDEX(Bids!$AE:$AE,MATCH(B80,Bids!$A:$A,0))="Pending",1,0),0)</f>
        <v>0</v>
      </c>
      <c r="AQ80" s="39" t="str">
        <f t="array" ref="AQ80">IF(C80="","",IFERROR(XLOOKUP(C80,Assignments!$C:$C,Assignments!$AU:$AU,0),0))</f>
        <v/>
      </c>
      <c r="AR80" s="39">
        <f>IF(AND(Config!$B$1006="Y",AQ80=1),Config!$B$1007,0)</f>
        <v>0</v>
      </c>
    </row>
    <row r="81" ht="15.75" customHeight="1">
      <c r="A81" s="46" t="str">
        <f t="shared" si="1"/>
        <v/>
      </c>
      <c r="B81" s="40" t="str">
        <f>IF(Bids!$A80="","",Bids!$A80)</f>
        <v/>
      </c>
      <c r="C81" s="40" t="str">
        <f>IF(Bids!$B80="","",Bids!$B80)</f>
        <v/>
      </c>
      <c r="D81" s="40" t="str">
        <f>IF($C81="","",IFERROR(VLOOKUP($C81,Orders!$A$4:$J$998,9,FALSE),""))</f>
        <v/>
      </c>
      <c r="E81" s="40" t="str">
        <f>IF($C81="","",IFERROR(VLOOKUP($C81,Orders!$A$4:$J$998,3,FALSE),""))</f>
        <v/>
      </c>
      <c r="F81" s="40">
        <f t="shared" si="2"/>
        <v>1</v>
      </c>
      <c r="G81" s="40" t="str">
        <f>IF($C81="","",IFERROR(VLOOKUP($C81,Orders!$A$4:$J$998,4,FALSE),""))</f>
        <v/>
      </c>
      <c r="H81" s="40" t="str">
        <f>IF($C81="","",IFERROR(VLOOKUP($C81,Orders!$A$4:$J$998,5,FALSE),""))</f>
        <v/>
      </c>
      <c r="I81" s="40" t="str">
        <f>IF($C81="","",IFERROR(VLOOKUP($C81,Orders!$A$4:$J$998,6,FALSE),""))</f>
        <v/>
      </c>
      <c r="J81" s="40" t="str">
        <f>IF($C81="","",IFERROR(VLOOKUP($C81,Orders!$A$4:$J$998,7,FALSE),""))</f>
        <v/>
      </c>
      <c r="K81" s="40" t="str">
        <f>IF(Bids!$C80="","",Bids!$C80)</f>
        <v/>
      </c>
      <c r="L81" s="40" t="str">
        <f>IF($K81="","",IFERROR(VLOOKUP($K81,Grinders!$A$4:$N$998,2,FALSE),""))</f>
        <v/>
      </c>
      <c r="M81" s="40" t="str">
        <f>IF($K81="","",IFERROR(VLOOKUP($K81,Grinders!$A$4:$N$998,3,FALSE),""))</f>
        <v/>
      </c>
      <c r="N81" s="40" t="str">
        <f>IF($K81="","",IFERROR(VLOOKUP($K81,Grinders!$A$4:$N$998,4,FALSE),""))</f>
        <v/>
      </c>
      <c r="O81" s="40" t="str">
        <f>IF($K81="","",IFERROR(VLOOKUP($K81,Grinders!$A$4:$N$998,5,FALSE),""))</f>
        <v/>
      </c>
      <c r="P81" s="40" t="str">
        <f>IF($K81="","",IF($C$4="",0,COUNTIFS(Assignments!$B$6:$B$1000,$K81,Assignments!$F$6:$F$1000,$C$4,Assignments!$E$6:$E$1000,"Active")))</f>
        <v/>
      </c>
      <c r="Q81" s="40" t="str">
        <f t="shared" si="3"/>
        <v/>
      </c>
      <c r="R81" s="40" t="str">
        <f t="shared" si="4"/>
        <v/>
      </c>
      <c r="S81" s="40" t="str">
        <f>IF($K81="","",IF($C$4="",0,COUNTIFS(Assignments!$B$6:$B$1000,$K81,Assignments!$F$6:$F$1000,$C$4,Assignments!$D$6:$D$1000,"&gt;="&amp;Config!$B$3-7,Assignments!$D$6:$D$1000,"&lt;="&amp;Config!$B$3)))</f>
        <v/>
      </c>
      <c r="T81" s="40" t="str">
        <f>IF($K81="","",IFERROR(VLOOKUP($K81,Grinders!$A$4:$N$998,8,FALSE),""))</f>
        <v/>
      </c>
      <c r="U81" s="40" t="str">
        <f>IFERROR(IF($K81="","",IF($M81="Elite",MAX(50,MIN(100,Config!$B$27*MAX(0,MIN(100,(1-IF($R81="",0,$R81))*100)) + Config!$B$28*MAX(0,MIN(100,(1-MIN(1,IF(Config!$B$30=0,1,$S81/Config!$B$30)))*100)) + Config!$B$29*MAX(0,MIN(100,MIN(1,IF($T81="",0,$T81)/Config!$B$23)*100)))),MIN(100,Config!$B$27*MAX(0,MIN(100,(1-IF($R81="",0,$R81))*100)) + Config!$B$28*MAX(0,MIN(100,(1-MIN(1,IF(Config!$B$30=0,1,$S81/Config!$B$30)))*100)) + Config!$B$29*MAX(0,MIN(100,MIN(1,IF($T81="",0,$T81)/Config!$B$23)*100))))),"")
</f>
        <v/>
      </c>
      <c r="V81" s="40" t="str">
        <f>IF(Bids!$AC81="","",Bids!$AC81)</f>
        <v/>
      </c>
      <c r="W81" s="40" t="str">
        <f>IF(Bids!$F80="","",Bids!$F80)</f>
        <v/>
      </c>
      <c r="X81" s="40" t="str">
        <f t="shared" si="5"/>
        <v/>
      </c>
      <c r="Y81" s="40" t="str">
        <f>IF($X81="","",IF(Config!$B$17=Config!$B$16,IF($X81&gt;=Config!$B$17,100,0),MAX(0,MIN(100,($X81-Config!$B$16)/(Config!$B$17-Config!$B$16)*100))))</f>
        <v/>
      </c>
      <c r="Z81" s="40">
        <f>IF($M81="Elite",Config!$B$21,0)</f>
        <v>0</v>
      </c>
      <c r="AA81" s="40" t="str">
        <f>IFERROR(IF(OR($W81="",$H81=""),"",IF($W81&gt;$H81,
  MAX(0, 60-(($W81-$H81)*24/Config!$B$19)*60),
  MIN(100, 60+(($H81-$W81)*24/Config!$B$20)*40)
)),"")
</f>
        <v/>
      </c>
      <c r="AB81" s="40" t="str">
        <f>IF($K81="","",IFERROR(VLOOKUP($K81,Grinders!$A$4:$N$998,10,FALSE)/5*100,""))</f>
        <v/>
      </c>
      <c r="AC81" s="40" t="str">
        <f>IF($K81="","",IFERROR(VLOOKUP($K81,Grinders!$A$4:$N$998,11,FALSE)*100,""))</f>
        <v/>
      </c>
      <c r="AD81" s="40" t="str">
        <f>IF($K81="","",IFERROR(VLOOKUP($K81,Grinders!$A$4:$N$998,12,FALSE)*100,""))</f>
        <v/>
      </c>
      <c r="AE81" s="40" t="str">
        <f>IF(OR(AO81=1,AP81=1),0,=IFERROR(IFS(
    OR($C81="", $K81=""), 0,
    $F81=0, 0,
    $D81&lt;&gt;"Open", 0,
    COUNTIFS(GrinderServices!$A$6:$A$1000, $K81, GrinderServices!$B$6:$B$1000, $E81, GrinderServices!$D$6:$D$1000, "Y")=0, 0,
    $X81&lt;Config!$B$16, 0,
    Config!$B$18=1, IF($O81&gt;=N81, 0, 1),
    TRUE, 1
), "")
)</f>
        <v>#ERROR!</v>
      </c>
      <c r="AF81" s="40" t="str">
        <f>IFERROR((IF(OR(AO81=1,AP81=1),"",=IFERROR((IFERROR(IF($AE81=0,"",((Config!$B$6*$Y81 + Config!$B$7*$U81 + Config!$B$8*$Z81 + Config!$B$9*$AA81 + Config!$B$10*$AB81 + Config!$B$11*$AC81 - Config!$B$12*$AD81)/Config!$B$13)+$AK81+$AL81),""))*(1-IFERROR(VLOOKUP(K81,Grinders!$A:$AB, 28, FALSE),0)),"")))*(1+AR81),"")</f>
        <v>#ERROR!</v>
      </c>
      <c r="AG81" s="40" t="str">
        <f t="shared" si="6"/>
        <v>#ERROR!</v>
      </c>
      <c r="AH81" s="40" t="str">
        <f t="shared" si="7"/>
        <v/>
      </c>
      <c r="AI81" s="40" t="str">
        <f t="shared" si="8"/>
        <v/>
      </c>
      <c r="AJ81" s="40" t="str">
        <f>IF($K81="","",COUNTIF(Assignments!$B$6:$B$1000,$K81))</f>
        <v/>
      </c>
      <c r="AK81" s="40" t="str">
        <f>IF($K81="","",IF(AND($AJ81=0,$O81&lt;$N81),Config!$B$43,0))</f>
        <v/>
      </c>
      <c r="AL81" s="40" t="str">
        <f>IF($K81="","",IF(AND($M81="Elite",$G81&gt;=Config!$B$41,$O81&lt;$N81),Config!$B$42,0))</f>
        <v/>
      </c>
      <c r="AM81" s="22"/>
      <c r="AN81" s="39">
        <f>IFERROR(VLOOKUP(K81,Grinders!$A:$Q,28,FALSE),0)</f>
        <v>0</v>
      </c>
      <c r="AO81" s="39">
        <f>IF(Config!$B$1003&lt;&gt;"Y",0,IF(IFERROR(VLOOKUP(K81,Grinders!$A:$P,27,FALSE),0)&gt;=3,IF(OR(G81&gt;=Config!$B$1001,ISNUMBER(SEARCH(E81,Config!$B$1002))),1,0),0))</f>
        <v>0</v>
      </c>
      <c r="AP81" s="39">
        <f t="array" ref="AP81">IFERROR(IF(INDEX(Bids!$AE:$AE,MATCH(B81,Bids!$A:$A,0))="Pending",1,0),0)</f>
        <v>0</v>
      </c>
      <c r="AQ81" s="39" t="str">
        <f t="array" ref="AQ81">IF(C81="","",IFERROR(XLOOKUP(C81,Assignments!$C:$C,Assignments!$AU:$AU,0),0))</f>
        <v/>
      </c>
      <c r="AR81" s="39">
        <f>IF(AND(Config!$B$1006="Y",AQ81=1),Config!$B$1007,0)</f>
        <v>0</v>
      </c>
    </row>
    <row r="82" ht="15.75" customHeight="1">
      <c r="A82" s="46" t="str">
        <f t="shared" si="1"/>
        <v/>
      </c>
      <c r="B82" s="40" t="str">
        <f>IF(Bids!$A81="","",Bids!$A81)</f>
        <v/>
      </c>
      <c r="C82" s="40" t="str">
        <f>IF(Bids!$B81="","",Bids!$B81)</f>
        <v/>
      </c>
      <c r="D82" s="40" t="str">
        <f>IF($C82="","",IFERROR(VLOOKUP($C82,Orders!$A$4:$J$998,9,FALSE),""))</f>
        <v/>
      </c>
      <c r="E82" s="40" t="str">
        <f>IF($C82="","",IFERROR(VLOOKUP($C82,Orders!$A$4:$J$998,3,FALSE),""))</f>
        <v/>
      </c>
      <c r="F82" s="40">
        <f t="shared" si="2"/>
        <v>1</v>
      </c>
      <c r="G82" s="40" t="str">
        <f>IF($C82="","",IFERROR(VLOOKUP($C82,Orders!$A$4:$J$998,4,FALSE),""))</f>
        <v/>
      </c>
      <c r="H82" s="40" t="str">
        <f>IF($C82="","",IFERROR(VLOOKUP($C82,Orders!$A$4:$J$998,5,FALSE),""))</f>
        <v/>
      </c>
      <c r="I82" s="40" t="str">
        <f>IF($C82="","",IFERROR(VLOOKUP($C82,Orders!$A$4:$J$998,6,FALSE),""))</f>
        <v/>
      </c>
      <c r="J82" s="40" t="str">
        <f>IF($C82="","",IFERROR(VLOOKUP($C82,Orders!$A$4:$J$998,7,FALSE),""))</f>
        <v/>
      </c>
      <c r="K82" s="40" t="str">
        <f>IF(Bids!$C81="","",Bids!$C81)</f>
        <v/>
      </c>
      <c r="L82" s="40" t="str">
        <f>IF($K82="","",IFERROR(VLOOKUP($K82,Grinders!$A$4:$N$998,2,FALSE),""))</f>
        <v/>
      </c>
      <c r="M82" s="40" t="str">
        <f>IF($K82="","",IFERROR(VLOOKUP($K82,Grinders!$A$4:$N$998,3,FALSE),""))</f>
        <v/>
      </c>
      <c r="N82" s="40" t="str">
        <f>IF($K82="","",IFERROR(VLOOKUP($K82,Grinders!$A$4:$N$998,4,FALSE),""))</f>
        <v/>
      </c>
      <c r="O82" s="40" t="str">
        <f>IF($K82="","",IFERROR(VLOOKUP($K82,Grinders!$A$4:$N$998,5,FALSE),""))</f>
        <v/>
      </c>
      <c r="P82" s="40" t="str">
        <f>IF($K82="","",IF($C$4="",0,COUNTIFS(Assignments!$B$6:$B$1000,$K82,Assignments!$F$6:$F$1000,$C$4,Assignments!$E$6:$E$1000,"Active")))</f>
        <v/>
      </c>
      <c r="Q82" s="40" t="str">
        <f t="shared" si="3"/>
        <v/>
      </c>
      <c r="R82" s="40" t="str">
        <f t="shared" si="4"/>
        <v/>
      </c>
      <c r="S82" s="40" t="str">
        <f>IF($K82="","",IF($C$4="",0,COUNTIFS(Assignments!$B$6:$B$1000,$K82,Assignments!$F$6:$F$1000,$C$4,Assignments!$D$6:$D$1000,"&gt;="&amp;Config!$B$3-7,Assignments!$D$6:$D$1000,"&lt;="&amp;Config!$B$3)))</f>
        <v/>
      </c>
      <c r="T82" s="40" t="str">
        <f>IF($K82="","",IFERROR(VLOOKUP($K82,Grinders!$A$4:$N$998,8,FALSE),""))</f>
        <v/>
      </c>
      <c r="U82" s="40" t="str">
        <f>IFERROR(IF($K82="","",IF($M82="Elite",MAX(50,MIN(100,Config!$B$27*MAX(0,MIN(100,(1-IF($R82="",0,$R82))*100)) + Config!$B$28*MAX(0,MIN(100,(1-MIN(1,IF(Config!$B$30=0,1,$S82/Config!$B$30)))*100)) + Config!$B$29*MAX(0,MIN(100,MIN(1,IF($T82="",0,$T82)/Config!$B$23)*100)))),MIN(100,Config!$B$27*MAX(0,MIN(100,(1-IF($R82="",0,$R82))*100)) + Config!$B$28*MAX(0,MIN(100,(1-MIN(1,IF(Config!$B$30=0,1,$S82/Config!$B$30)))*100)) + Config!$B$29*MAX(0,MIN(100,MIN(1,IF($T82="",0,$T82)/Config!$B$23)*100))))),"")
</f>
        <v/>
      </c>
      <c r="V82" s="40" t="str">
        <f>IF(Bids!$AC82="","",Bids!$AC82)</f>
        <v/>
      </c>
      <c r="W82" s="40" t="str">
        <f>IF(Bids!$F81="","",Bids!$F81)</f>
        <v/>
      </c>
      <c r="X82" s="40" t="str">
        <f t="shared" si="5"/>
        <v/>
      </c>
      <c r="Y82" s="40" t="str">
        <f>IF($X82="","",IF(Config!$B$17=Config!$B$16,IF($X82&gt;=Config!$B$17,100,0),MAX(0,MIN(100,($X82-Config!$B$16)/(Config!$B$17-Config!$B$16)*100))))</f>
        <v/>
      </c>
      <c r="Z82" s="40">
        <f>IF($M82="Elite",Config!$B$21,0)</f>
        <v>0</v>
      </c>
      <c r="AA82" s="40" t="str">
        <f>IFERROR(IF(OR($W82="",$H82=""),"",IF($W82&gt;$H82,
  MAX(0, 60-(($W82-$H82)*24/Config!$B$19)*60),
  MIN(100, 60+(($H82-$W82)*24/Config!$B$20)*40)
)),"")
</f>
        <v/>
      </c>
      <c r="AB82" s="40" t="str">
        <f>IF($K82="","",IFERROR(VLOOKUP($K82,Grinders!$A$4:$N$998,10,FALSE)/5*100,""))</f>
        <v/>
      </c>
      <c r="AC82" s="40" t="str">
        <f>IF($K82="","",IFERROR(VLOOKUP($K82,Grinders!$A$4:$N$998,11,FALSE)*100,""))</f>
        <v/>
      </c>
      <c r="AD82" s="40" t="str">
        <f>IF($K82="","",IFERROR(VLOOKUP($K82,Grinders!$A$4:$N$998,12,FALSE)*100,""))</f>
        <v/>
      </c>
      <c r="AE82" s="40" t="str">
        <f>IF(OR(AO82=1,AP82=1),0,=IFERROR(IFS(
    OR($C82="", $K82=""), 0,
    $F82=0, 0,
    $D82&lt;&gt;"Open", 0,
    COUNTIFS(GrinderServices!$A$6:$A$1000, $K82, GrinderServices!$B$6:$B$1000, $E82, GrinderServices!$D$6:$D$1000, "Y")=0, 0,
    $X82&lt;Config!$B$16, 0,
    Config!$B$18=1, IF($O82&gt;=N82, 0, 1),
    TRUE, 1
), "")
)</f>
        <v>#ERROR!</v>
      </c>
      <c r="AF82" s="40" t="str">
        <f>IFERROR((IF(OR(AO82=1,AP82=1),"",=IFERROR((IFERROR(IF($AE82=0,"",((Config!$B$6*$Y82 + Config!$B$7*$U82 + Config!$B$8*$Z82 + Config!$B$9*$AA82 + Config!$B$10*$AB82 + Config!$B$11*$AC82 - Config!$B$12*$AD82)/Config!$B$13)+$AK82+$AL82),""))*(1-IFERROR(VLOOKUP(K82,Grinders!$A:$AB, 28, FALSE),0)),"")))*(1+AR82),"")</f>
        <v>#ERROR!</v>
      </c>
      <c r="AG82" s="40" t="str">
        <f t="shared" si="6"/>
        <v>#ERROR!</v>
      </c>
      <c r="AH82" s="40" t="str">
        <f t="shared" si="7"/>
        <v/>
      </c>
      <c r="AI82" s="40" t="str">
        <f t="shared" si="8"/>
        <v/>
      </c>
      <c r="AJ82" s="40" t="str">
        <f>IF($K82="","",COUNTIF(Assignments!$B$6:$B$1000,$K82))</f>
        <v/>
      </c>
      <c r="AK82" s="40" t="str">
        <f>IF($K82="","",IF(AND($AJ82=0,$O82&lt;$N82),Config!$B$43,0))</f>
        <v/>
      </c>
      <c r="AL82" s="40" t="str">
        <f>IF($K82="","",IF(AND($M82="Elite",$G82&gt;=Config!$B$41,$O82&lt;$N82),Config!$B$42,0))</f>
        <v/>
      </c>
      <c r="AM82" s="22"/>
      <c r="AN82" s="39">
        <f>IFERROR(VLOOKUP(K82,Grinders!$A:$Q,28,FALSE),0)</f>
        <v>0</v>
      </c>
      <c r="AO82" s="39">
        <f>IF(Config!$B$1003&lt;&gt;"Y",0,IF(IFERROR(VLOOKUP(K82,Grinders!$A:$P,27,FALSE),0)&gt;=3,IF(OR(G82&gt;=Config!$B$1001,ISNUMBER(SEARCH(E82,Config!$B$1002))),1,0),0))</f>
        <v>0</v>
      </c>
      <c r="AP82" s="39">
        <f t="array" ref="AP82">IFERROR(IF(INDEX(Bids!$AE:$AE,MATCH(B82,Bids!$A:$A,0))="Pending",1,0),0)</f>
        <v>0</v>
      </c>
      <c r="AQ82" s="39" t="str">
        <f t="array" ref="AQ82">IF(C82="","",IFERROR(XLOOKUP(C82,Assignments!$C:$C,Assignments!$AU:$AU,0),0))</f>
        <v/>
      </c>
      <c r="AR82" s="39">
        <f>IF(AND(Config!$B$1006="Y",AQ82=1),Config!$B$1007,0)</f>
        <v>0</v>
      </c>
    </row>
    <row r="83" ht="15.75" customHeight="1">
      <c r="A83" s="46" t="str">
        <f t="shared" si="1"/>
        <v/>
      </c>
      <c r="B83" s="40" t="str">
        <f>IF(Bids!$A82="","",Bids!$A82)</f>
        <v/>
      </c>
      <c r="C83" s="40" t="str">
        <f>IF(Bids!$B82="","",Bids!$B82)</f>
        <v/>
      </c>
      <c r="D83" s="40" t="str">
        <f>IF($C83="","",IFERROR(VLOOKUP($C83,Orders!$A$4:$J$998,9,FALSE),""))</f>
        <v/>
      </c>
      <c r="E83" s="40" t="str">
        <f>IF($C83="","",IFERROR(VLOOKUP($C83,Orders!$A$4:$J$998,3,FALSE),""))</f>
        <v/>
      </c>
      <c r="F83" s="40">
        <f t="shared" si="2"/>
        <v>1</v>
      </c>
      <c r="G83" s="40" t="str">
        <f>IF($C83="","",IFERROR(VLOOKUP($C83,Orders!$A$4:$J$998,4,FALSE),""))</f>
        <v/>
      </c>
      <c r="H83" s="40" t="str">
        <f>IF($C83="","",IFERROR(VLOOKUP($C83,Orders!$A$4:$J$998,5,FALSE),""))</f>
        <v/>
      </c>
      <c r="I83" s="40" t="str">
        <f>IF($C83="","",IFERROR(VLOOKUP($C83,Orders!$A$4:$J$998,6,FALSE),""))</f>
        <v/>
      </c>
      <c r="J83" s="40" t="str">
        <f>IF($C83="","",IFERROR(VLOOKUP($C83,Orders!$A$4:$J$998,7,FALSE),""))</f>
        <v/>
      </c>
      <c r="K83" s="40" t="str">
        <f>IF(Bids!$C82="","",Bids!$C82)</f>
        <v/>
      </c>
      <c r="L83" s="40" t="str">
        <f>IF($K83="","",IFERROR(VLOOKUP($K83,Grinders!$A$4:$N$998,2,FALSE),""))</f>
        <v/>
      </c>
      <c r="M83" s="40" t="str">
        <f>IF($K83="","",IFERROR(VLOOKUP($K83,Grinders!$A$4:$N$998,3,FALSE),""))</f>
        <v/>
      </c>
      <c r="N83" s="40" t="str">
        <f>IF($K83="","",IFERROR(VLOOKUP($K83,Grinders!$A$4:$N$998,4,FALSE),""))</f>
        <v/>
      </c>
      <c r="O83" s="40" t="str">
        <f>IF($K83="","",IFERROR(VLOOKUP($K83,Grinders!$A$4:$N$998,5,FALSE),""))</f>
        <v/>
      </c>
      <c r="P83" s="40" t="str">
        <f>IF($K83="","",IF($C$4="",0,COUNTIFS(Assignments!$B$6:$B$1000,$K83,Assignments!$F$6:$F$1000,$C$4,Assignments!$E$6:$E$1000,"Active")))</f>
        <v/>
      </c>
      <c r="Q83" s="40" t="str">
        <f t="shared" si="3"/>
        <v/>
      </c>
      <c r="R83" s="40" t="str">
        <f t="shared" si="4"/>
        <v/>
      </c>
      <c r="S83" s="40" t="str">
        <f>IF($K83="","",IF($C$4="",0,COUNTIFS(Assignments!$B$6:$B$1000,$K83,Assignments!$F$6:$F$1000,$C$4,Assignments!$D$6:$D$1000,"&gt;="&amp;Config!$B$3-7,Assignments!$D$6:$D$1000,"&lt;="&amp;Config!$B$3)))</f>
        <v/>
      </c>
      <c r="T83" s="40" t="str">
        <f>IF($K83="","",IFERROR(VLOOKUP($K83,Grinders!$A$4:$N$998,8,FALSE),""))</f>
        <v/>
      </c>
      <c r="U83" s="40" t="str">
        <f>IFERROR(IF($K83="","",IF($M83="Elite",MAX(50,MIN(100,Config!$B$27*MAX(0,MIN(100,(1-IF($R83="",0,$R83))*100)) + Config!$B$28*MAX(0,MIN(100,(1-MIN(1,IF(Config!$B$30=0,1,$S83/Config!$B$30)))*100)) + Config!$B$29*MAX(0,MIN(100,MIN(1,IF($T83="",0,$T83)/Config!$B$23)*100)))),MIN(100,Config!$B$27*MAX(0,MIN(100,(1-IF($R83="",0,$R83))*100)) + Config!$B$28*MAX(0,MIN(100,(1-MIN(1,IF(Config!$B$30=0,1,$S83/Config!$B$30)))*100)) + Config!$B$29*MAX(0,MIN(100,MIN(1,IF($T83="",0,$T83)/Config!$B$23)*100))))),"")
</f>
        <v/>
      </c>
      <c r="V83" s="40" t="str">
        <f>IF(Bids!$AC83="","",Bids!$AC83)</f>
        <v/>
      </c>
      <c r="W83" s="40" t="str">
        <f>IF(Bids!$F82="","",Bids!$F82)</f>
        <v/>
      </c>
      <c r="X83" s="40" t="str">
        <f t="shared" si="5"/>
        <v/>
      </c>
      <c r="Y83" s="40" t="str">
        <f>IF($X83="","",IF(Config!$B$17=Config!$B$16,IF($X83&gt;=Config!$B$17,100,0),MAX(0,MIN(100,($X83-Config!$B$16)/(Config!$B$17-Config!$B$16)*100))))</f>
        <v/>
      </c>
      <c r="Z83" s="40">
        <f>IF($M83="Elite",Config!$B$21,0)</f>
        <v>0</v>
      </c>
      <c r="AA83" s="40" t="str">
        <f>IFERROR(IF(OR($W83="",$H83=""),"",IF($W83&gt;$H83,
  MAX(0, 60-(($W83-$H83)*24/Config!$B$19)*60),
  MIN(100, 60+(($H83-$W83)*24/Config!$B$20)*40)
)),"")
</f>
        <v/>
      </c>
      <c r="AB83" s="40" t="str">
        <f>IF($K83="","",IFERROR(VLOOKUP($K83,Grinders!$A$4:$N$998,10,FALSE)/5*100,""))</f>
        <v/>
      </c>
      <c r="AC83" s="40" t="str">
        <f>IF($K83="","",IFERROR(VLOOKUP($K83,Grinders!$A$4:$N$998,11,FALSE)*100,""))</f>
        <v/>
      </c>
      <c r="AD83" s="40" t="str">
        <f>IF($K83="","",IFERROR(VLOOKUP($K83,Grinders!$A$4:$N$998,12,FALSE)*100,""))</f>
        <v/>
      </c>
      <c r="AE83" s="40" t="str">
        <f>IF(OR(AO83=1,AP83=1),0,=IFERROR(IFS(
    OR($C83="", $K83=""), 0,
    $F83=0, 0,
    $D83&lt;&gt;"Open", 0,
    COUNTIFS(GrinderServices!$A$6:$A$1000, $K83, GrinderServices!$B$6:$B$1000, $E83, GrinderServices!$D$6:$D$1000, "Y")=0, 0,
    $X83&lt;Config!$B$16, 0,
    Config!$B$18=1, IF($O83&gt;=N83, 0, 1),
    TRUE, 1
), "")
)</f>
        <v>#ERROR!</v>
      </c>
      <c r="AF83" s="40" t="str">
        <f>IFERROR((IF(OR(AO83=1,AP83=1),"",=IFERROR((IFERROR(IF($AE83=0,"",((Config!$B$6*$Y83 + Config!$B$7*$U83 + Config!$B$8*$Z83 + Config!$B$9*$AA83 + Config!$B$10*$AB83 + Config!$B$11*$AC83 - Config!$B$12*$AD83)/Config!$B$13)+$AK83+$AL83),""))*(1-IFERROR(VLOOKUP(K83,Grinders!$A:$AB, 28, FALSE),0)),"")))*(1+AR83),"")</f>
        <v>#ERROR!</v>
      </c>
      <c r="AG83" s="40" t="str">
        <f t="shared" si="6"/>
        <v>#ERROR!</v>
      </c>
      <c r="AH83" s="40" t="str">
        <f t="shared" si="7"/>
        <v/>
      </c>
      <c r="AI83" s="40" t="str">
        <f t="shared" si="8"/>
        <v/>
      </c>
      <c r="AJ83" s="40" t="str">
        <f>IF($K83="","",COUNTIF(Assignments!$B$6:$B$1000,$K83))</f>
        <v/>
      </c>
      <c r="AK83" s="40" t="str">
        <f>IF($K83="","",IF(AND($AJ83=0,$O83&lt;$N83),Config!$B$43,0))</f>
        <v/>
      </c>
      <c r="AL83" s="40" t="str">
        <f>IF($K83="","",IF(AND($M83="Elite",$G83&gt;=Config!$B$41,$O83&lt;$N83),Config!$B$42,0))</f>
        <v/>
      </c>
      <c r="AM83" s="22"/>
      <c r="AN83" s="39">
        <f>IFERROR(VLOOKUP(K83,Grinders!$A:$Q,28,FALSE),0)</f>
        <v>0</v>
      </c>
      <c r="AO83" s="39">
        <f>IF(Config!$B$1003&lt;&gt;"Y",0,IF(IFERROR(VLOOKUP(K83,Grinders!$A:$P,27,FALSE),0)&gt;=3,IF(OR(G83&gt;=Config!$B$1001,ISNUMBER(SEARCH(E83,Config!$B$1002))),1,0),0))</f>
        <v>0</v>
      </c>
      <c r="AP83" s="39">
        <f t="array" ref="AP83">IFERROR(IF(INDEX(Bids!$AE:$AE,MATCH(B83,Bids!$A:$A,0))="Pending",1,0),0)</f>
        <v>0</v>
      </c>
      <c r="AQ83" s="39" t="str">
        <f t="array" ref="AQ83">IF(C83="","",IFERROR(XLOOKUP(C83,Assignments!$C:$C,Assignments!$AU:$AU,0),0))</f>
        <v/>
      </c>
      <c r="AR83" s="39">
        <f>IF(AND(Config!$B$1006="Y",AQ83=1),Config!$B$1007,0)</f>
        <v>0</v>
      </c>
    </row>
    <row r="84" ht="15.75" customHeight="1">
      <c r="A84" s="46" t="str">
        <f t="shared" si="1"/>
        <v/>
      </c>
      <c r="B84" s="40" t="str">
        <f>IF(Bids!$A83="","",Bids!$A83)</f>
        <v/>
      </c>
      <c r="C84" s="40" t="str">
        <f>IF(Bids!$B83="","",Bids!$B83)</f>
        <v/>
      </c>
      <c r="D84" s="40" t="str">
        <f>IF($C84="","",IFERROR(VLOOKUP($C84,Orders!$A$4:$J$998,9,FALSE),""))</f>
        <v/>
      </c>
      <c r="E84" s="40" t="str">
        <f>IF($C84="","",IFERROR(VLOOKUP($C84,Orders!$A$4:$J$998,3,FALSE),""))</f>
        <v/>
      </c>
      <c r="F84" s="40">
        <f t="shared" si="2"/>
        <v>1</v>
      </c>
      <c r="G84" s="40" t="str">
        <f>IF($C84="","",IFERROR(VLOOKUP($C84,Orders!$A$4:$J$998,4,FALSE),""))</f>
        <v/>
      </c>
      <c r="H84" s="40" t="str">
        <f>IF($C84="","",IFERROR(VLOOKUP($C84,Orders!$A$4:$J$998,5,FALSE),""))</f>
        <v/>
      </c>
      <c r="I84" s="40" t="str">
        <f>IF($C84="","",IFERROR(VLOOKUP($C84,Orders!$A$4:$J$998,6,FALSE),""))</f>
        <v/>
      </c>
      <c r="J84" s="40" t="str">
        <f>IF($C84="","",IFERROR(VLOOKUP($C84,Orders!$A$4:$J$998,7,FALSE),""))</f>
        <v/>
      </c>
      <c r="K84" s="40" t="str">
        <f>IF(Bids!$C83="","",Bids!$C83)</f>
        <v/>
      </c>
      <c r="L84" s="40" t="str">
        <f>IF($K84="","",IFERROR(VLOOKUP($K84,Grinders!$A$4:$N$998,2,FALSE),""))</f>
        <v/>
      </c>
      <c r="M84" s="40" t="str">
        <f>IF($K84="","",IFERROR(VLOOKUP($K84,Grinders!$A$4:$N$998,3,FALSE),""))</f>
        <v/>
      </c>
      <c r="N84" s="40" t="str">
        <f>IF($K84="","",IFERROR(VLOOKUP($K84,Grinders!$A$4:$N$998,4,FALSE),""))</f>
        <v/>
      </c>
      <c r="O84" s="40" t="str">
        <f>IF($K84="","",IFERROR(VLOOKUP($K84,Grinders!$A$4:$N$998,5,FALSE),""))</f>
        <v/>
      </c>
      <c r="P84" s="40" t="str">
        <f>IF($K84="","",IF($C$4="",0,COUNTIFS(Assignments!$B$6:$B$1000,$K84,Assignments!$F$6:$F$1000,$C$4,Assignments!$E$6:$E$1000,"Active")))</f>
        <v/>
      </c>
      <c r="Q84" s="40" t="str">
        <f t="shared" si="3"/>
        <v/>
      </c>
      <c r="R84" s="40" t="str">
        <f t="shared" si="4"/>
        <v/>
      </c>
      <c r="S84" s="40" t="str">
        <f>IF($K84="","",IF($C$4="",0,COUNTIFS(Assignments!$B$6:$B$1000,$K84,Assignments!$F$6:$F$1000,$C$4,Assignments!$D$6:$D$1000,"&gt;="&amp;Config!$B$3-7,Assignments!$D$6:$D$1000,"&lt;="&amp;Config!$B$3)))</f>
        <v/>
      </c>
      <c r="T84" s="40" t="str">
        <f>IF($K84="","",IFERROR(VLOOKUP($K84,Grinders!$A$4:$N$998,8,FALSE),""))</f>
        <v/>
      </c>
      <c r="U84" s="40" t="str">
        <f>IFERROR(IF($K84="","",IF($M84="Elite",MAX(50,MIN(100,Config!$B$27*MAX(0,MIN(100,(1-IF($R84="",0,$R84))*100)) + Config!$B$28*MAX(0,MIN(100,(1-MIN(1,IF(Config!$B$30=0,1,$S84/Config!$B$30)))*100)) + Config!$B$29*MAX(0,MIN(100,MIN(1,IF($T84="",0,$T84)/Config!$B$23)*100)))),MIN(100,Config!$B$27*MAX(0,MIN(100,(1-IF($R84="",0,$R84))*100)) + Config!$B$28*MAX(0,MIN(100,(1-MIN(1,IF(Config!$B$30=0,1,$S84/Config!$B$30)))*100)) + Config!$B$29*MAX(0,MIN(100,MIN(1,IF($T84="",0,$T84)/Config!$B$23)*100))))),"")
</f>
        <v/>
      </c>
      <c r="V84" s="40" t="str">
        <f>IF(Bids!$AC84="","",Bids!$AC84)</f>
        <v/>
      </c>
      <c r="W84" s="40" t="str">
        <f>IF(Bids!$F83="","",Bids!$F83)</f>
        <v/>
      </c>
      <c r="X84" s="40" t="str">
        <f t="shared" si="5"/>
        <v/>
      </c>
      <c r="Y84" s="40" t="str">
        <f>IF($X84="","",IF(Config!$B$17=Config!$B$16,IF($X84&gt;=Config!$B$17,100,0),MAX(0,MIN(100,($X84-Config!$B$16)/(Config!$B$17-Config!$B$16)*100))))</f>
        <v/>
      </c>
      <c r="Z84" s="40">
        <f>IF($M84="Elite",Config!$B$21,0)</f>
        <v>0</v>
      </c>
      <c r="AA84" s="40" t="str">
        <f>IFERROR(IF(OR($W84="",$H84=""),"",IF($W84&gt;$H84,
  MAX(0, 60-(($W84-$H84)*24/Config!$B$19)*60),
  MIN(100, 60+(($H84-$W84)*24/Config!$B$20)*40)
)),"")
</f>
        <v/>
      </c>
      <c r="AB84" s="40" t="str">
        <f>IF($K84="","",IFERROR(VLOOKUP($K84,Grinders!$A$4:$N$998,10,FALSE)/5*100,""))</f>
        <v/>
      </c>
      <c r="AC84" s="40" t="str">
        <f>IF($K84="","",IFERROR(VLOOKUP($K84,Grinders!$A$4:$N$998,11,FALSE)*100,""))</f>
        <v/>
      </c>
      <c r="AD84" s="40" t="str">
        <f>IF($K84="","",IFERROR(VLOOKUP($K84,Grinders!$A$4:$N$998,12,FALSE)*100,""))</f>
        <v/>
      </c>
      <c r="AE84" s="40" t="str">
        <f>IF(OR(AO84=1,AP84=1),0,=IFERROR(IFS(
    OR($C84="", $K84=""), 0,
    $F84=0, 0,
    $D84&lt;&gt;"Open", 0,
    COUNTIFS(GrinderServices!$A$6:$A$1000, $K84, GrinderServices!$B$6:$B$1000, $E84, GrinderServices!$D$6:$D$1000, "Y")=0, 0,
    $X84&lt;Config!$B$16, 0,
    Config!$B$18=1, IF($O84&gt;=N84, 0, 1),
    TRUE, 1
), "")
)</f>
        <v>#ERROR!</v>
      </c>
      <c r="AF84" s="40" t="str">
        <f>IFERROR((IF(OR(AO84=1,AP84=1),"",=IFERROR((IFERROR(IF($AE84=0,"",((Config!$B$6*$Y84 + Config!$B$7*$U84 + Config!$B$8*$Z84 + Config!$B$9*$AA84 + Config!$B$10*$AB84 + Config!$B$11*$AC84 - Config!$B$12*$AD84)/Config!$B$13)+$AK84+$AL84),""))*(1-IFERROR(VLOOKUP(K84,Grinders!$A:$AB, 28, FALSE),0)),"")))*(1+AR84),"")</f>
        <v>#ERROR!</v>
      </c>
      <c r="AG84" s="40" t="str">
        <f t="shared" si="6"/>
        <v>#ERROR!</v>
      </c>
      <c r="AH84" s="40" t="str">
        <f t="shared" si="7"/>
        <v/>
      </c>
      <c r="AI84" s="40" t="str">
        <f t="shared" si="8"/>
        <v/>
      </c>
      <c r="AJ84" s="40" t="str">
        <f>IF($K84="","",COUNTIF(Assignments!$B$6:$B$1000,$K84))</f>
        <v/>
      </c>
      <c r="AK84" s="40" t="str">
        <f>IF($K84="","",IF(AND($AJ84=0,$O84&lt;$N84),Config!$B$43,0))</f>
        <v/>
      </c>
      <c r="AL84" s="40" t="str">
        <f>IF($K84="","",IF(AND($M84="Elite",$G84&gt;=Config!$B$41,$O84&lt;$N84),Config!$B$42,0))</f>
        <v/>
      </c>
      <c r="AM84" s="22"/>
      <c r="AN84" s="39">
        <f>IFERROR(VLOOKUP(K84,Grinders!$A:$Q,28,FALSE),0)</f>
        <v>0</v>
      </c>
      <c r="AO84" s="39">
        <f>IF(Config!$B$1003&lt;&gt;"Y",0,IF(IFERROR(VLOOKUP(K84,Grinders!$A:$P,27,FALSE),0)&gt;=3,IF(OR(G84&gt;=Config!$B$1001,ISNUMBER(SEARCH(E84,Config!$B$1002))),1,0),0))</f>
        <v>0</v>
      </c>
      <c r="AP84" s="39">
        <f t="array" ref="AP84">IFERROR(IF(INDEX(Bids!$AE:$AE,MATCH(B84,Bids!$A:$A,0))="Pending",1,0),0)</f>
        <v>0</v>
      </c>
      <c r="AQ84" s="39" t="str">
        <f t="array" ref="AQ84">IF(C84="","",IFERROR(XLOOKUP(C84,Assignments!$C:$C,Assignments!$AU:$AU,0),0))</f>
        <v/>
      </c>
      <c r="AR84" s="39">
        <f>IF(AND(Config!$B$1006="Y",AQ84=1),Config!$B$1007,0)</f>
        <v>0</v>
      </c>
    </row>
    <row r="85" ht="15.75" customHeight="1">
      <c r="A85" s="46" t="str">
        <f t="shared" si="1"/>
        <v/>
      </c>
      <c r="B85" s="40" t="str">
        <f>IF(Bids!$A84="","",Bids!$A84)</f>
        <v/>
      </c>
      <c r="C85" s="40" t="str">
        <f>IF(Bids!$B84="","",Bids!$B84)</f>
        <v/>
      </c>
      <c r="D85" s="40" t="str">
        <f>IF($C85="","",IFERROR(VLOOKUP($C85,Orders!$A$4:$J$998,9,FALSE),""))</f>
        <v/>
      </c>
      <c r="E85" s="40" t="str">
        <f>IF($C85="","",IFERROR(VLOOKUP($C85,Orders!$A$4:$J$998,3,FALSE),""))</f>
        <v/>
      </c>
      <c r="F85" s="40">
        <f t="shared" si="2"/>
        <v>1</v>
      </c>
      <c r="G85" s="40" t="str">
        <f>IF($C85="","",IFERROR(VLOOKUP($C85,Orders!$A$4:$J$998,4,FALSE),""))</f>
        <v/>
      </c>
      <c r="H85" s="40" t="str">
        <f>IF($C85="","",IFERROR(VLOOKUP($C85,Orders!$A$4:$J$998,5,FALSE),""))</f>
        <v/>
      </c>
      <c r="I85" s="40" t="str">
        <f>IF($C85="","",IFERROR(VLOOKUP($C85,Orders!$A$4:$J$998,6,FALSE),""))</f>
        <v/>
      </c>
      <c r="J85" s="40" t="str">
        <f>IF($C85="","",IFERROR(VLOOKUP($C85,Orders!$A$4:$J$998,7,FALSE),""))</f>
        <v/>
      </c>
      <c r="K85" s="40" t="str">
        <f>IF(Bids!$C84="","",Bids!$C84)</f>
        <v/>
      </c>
      <c r="L85" s="40" t="str">
        <f>IF($K85="","",IFERROR(VLOOKUP($K85,Grinders!$A$4:$N$998,2,FALSE),""))</f>
        <v/>
      </c>
      <c r="M85" s="40" t="str">
        <f>IF($K85="","",IFERROR(VLOOKUP($K85,Grinders!$A$4:$N$998,3,FALSE),""))</f>
        <v/>
      </c>
      <c r="N85" s="40" t="str">
        <f>IF($K85="","",IFERROR(VLOOKUP($K85,Grinders!$A$4:$N$998,4,FALSE),""))</f>
        <v/>
      </c>
      <c r="O85" s="40" t="str">
        <f>IF($K85="","",IFERROR(VLOOKUP($K85,Grinders!$A$4:$N$998,5,FALSE),""))</f>
        <v/>
      </c>
      <c r="P85" s="40" t="str">
        <f>IF($K85="","",IF($C$4="",0,COUNTIFS(Assignments!$B$6:$B$1000,$K85,Assignments!$F$6:$F$1000,$C$4,Assignments!$E$6:$E$1000,"Active")))</f>
        <v/>
      </c>
      <c r="Q85" s="40" t="str">
        <f t="shared" si="3"/>
        <v/>
      </c>
      <c r="R85" s="40" t="str">
        <f t="shared" si="4"/>
        <v/>
      </c>
      <c r="S85" s="40" t="str">
        <f>IF($K85="","",IF($C$4="",0,COUNTIFS(Assignments!$B$6:$B$1000,$K85,Assignments!$F$6:$F$1000,$C$4,Assignments!$D$6:$D$1000,"&gt;="&amp;Config!$B$3-7,Assignments!$D$6:$D$1000,"&lt;="&amp;Config!$B$3)))</f>
        <v/>
      </c>
      <c r="T85" s="40" t="str">
        <f>IF($K85="","",IFERROR(VLOOKUP($K85,Grinders!$A$4:$N$998,8,FALSE),""))</f>
        <v/>
      </c>
      <c r="U85" s="40" t="str">
        <f>IFERROR(IF($K85="","",IF($M85="Elite",MAX(50,MIN(100,Config!$B$27*MAX(0,MIN(100,(1-IF($R85="",0,$R85))*100)) + Config!$B$28*MAX(0,MIN(100,(1-MIN(1,IF(Config!$B$30=0,1,$S85/Config!$B$30)))*100)) + Config!$B$29*MAX(0,MIN(100,MIN(1,IF($T85="",0,$T85)/Config!$B$23)*100)))),MIN(100,Config!$B$27*MAX(0,MIN(100,(1-IF($R85="",0,$R85))*100)) + Config!$B$28*MAX(0,MIN(100,(1-MIN(1,IF(Config!$B$30=0,1,$S85/Config!$B$30)))*100)) + Config!$B$29*MAX(0,MIN(100,MIN(1,IF($T85="",0,$T85)/Config!$B$23)*100))))),"")
</f>
        <v/>
      </c>
      <c r="V85" s="40" t="str">
        <f>IF(Bids!$AC85="","",Bids!$AC85)</f>
        <v/>
      </c>
      <c r="W85" s="40" t="str">
        <f>IF(Bids!$F84="","",Bids!$F84)</f>
        <v/>
      </c>
      <c r="X85" s="40" t="str">
        <f t="shared" si="5"/>
        <v/>
      </c>
      <c r="Y85" s="40" t="str">
        <f>IF($X85="","",IF(Config!$B$17=Config!$B$16,IF($X85&gt;=Config!$B$17,100,0),MAX(0,MIN(100,($X85-Config!$B$16)/(Config!$B$17-Config!$B$16)*100))))</f>
        <v/>
      </c>
      <c r="Z85" s="40">
        <f>IF($M85="Elite",Config!$B$21,0)</f>
        <v>0</v>
      </c>
      <c r="AA85" s="40" t="str">
        <f>IFERROR(IF(OR($W85="",$H85=""),"",IF($W85&gt;$H85,
  MAX(0, 60-(($W85-$H85)*24/Config!$B$19)*60),
  MIN(100, 60+(($H85-$W85)*24/Config!$B$20)*40)
)),"")
</f>
        <v/>
      </c>
      <c r="AB85" s="40" t="str">
        <f>IF($K85="","",IFERROR(VLOOKUP($K85,Grinders!$A$4:$N$998,10,FALSE)/5*100,""))</f>
        <v/>
      </c>
      <c r="AC85" s="40" t="str">
        <f>IF($K85="","",IFERROR(VLOOKUP($K85,Grinders!$A$4:$N$998,11,FALSE)*100,""))</f>
        <v/>
      </c>
      <c r="AD85" s="40" t="str">
        <f>IF($K85="","",IFERROR(VLOOKUP($K85,Grinders!$A$4:$N$998,12,FALSE)*100,""))</f>
        <v/>
      </c>
      <c r="AE85" s="40" t="str">
        <f>IF(OR(AO85=1,AP85=1),0,=IFERROR(IFS(
    OR($C85="", $K85=""), 0,
    $F85=0, 0,
    $D85&lt;&gt;"Open", 0,
    COUNTIFS(GrinderServices!$A$6:$A$1000, $K85, GrinderServices!$B$6:$B$1000, $E85, GrinderServices!$D$6:$D$1000, "Y")=0, 0,
    $X85&lt;Config!$B$16, 0,
    Config!$B$18=1, IF($O85&gt;=N85, 0, 1),
    TRUE, 1
), "")
)</f>
        <v>#ERROR!</v>
      </c>
      <c r="AF85" s="40" t="str">
        <f>IFERROR((IF(OR(AO85=1,AP85=1),"",=IFERROR((IFERROR(IF($AE85=0,"",((Config!$B$6*$Y85 + Config!$B$7*$U85 + Config!$B$8*$Z85 + Config!$B$9*$AA85 + Config!$B$10*$AB85 + Config!$B$11*$AC85 - Config!$B$12*$AD85)/Config!$B$13)+$AK85+$AL85),""))*(1-IFERROR(VLOOKUP(K85,Grinders!$A:$AB, 28, FALSE),0)),"")))*(1+AR85),"")</f>
        <v>#ERROR!</v>
      </c>
      <c r="AG85" s="40" t="str">
        <f t="shared" si="6"/>
        <v>#ERROR!</v>
      </c>
      <c r="AH85" s="40" t="str">
        <f t="shared" si="7"/>
        <v/>
      </c>
      <c r="AI85" s="40" t="str">
        <f t="shared" si="8"/>
        <v/>
      </c>
      <c r="AJ85" s="40" t="str">
        <f>IF($K85="","",COUNTIF(Assignments!$B$6:$B$1000,$K85))</f>
        <v/>
      </c>
      <c r="AK85" s="40" t="str">
        <f>IF($K85="","",IF(AND($AJ85=0,$O85&lt;$N85),Config!$B$43,0))</f>
        <v/>
      </c>
      <c r="AL85" s="40" t="str">
        <f>IF($K85="","",IF(AND($M85="Elite",$G85&gt;=Config!$B$41,$O85&lt;$N85),Config!$B$42,0))</f>
        <v/>
      </c>
      <c r="AM85" s="22"/>
      <c r="AN85" s="39">
        <f>IFERROR(VLOOKUP(K85,Grinders!$A:$Q,28,FALSE),0)</f>
        <v>0</v>
      </c>
      <c r="AO85" s="39">
        <f>IF(Config!$B$1003&lt;&gt;"Y",0,IF(IFERROR(VLOOKUP(K85,Grinders!$A:$P,27,FALSE),0)&gt;=3,IF(OR(G85&gt;=Config!$B$1001,ISNUMBER(SEARCH(E85,Config!$B$1002))),1,0),0))</f>
        <v>0</v>
      </c>
      <c r="AP85" s="39">
        <f t="array" ref="AP85">IFERROR(IF(INDEX(Bids!$AE:$AE,MATCH(B85,Bids!$A:$A,0))="Pending",1,0),0)</f>
        <v>0</v>
      </c>
      <c r="AQ85" s="39" t="str">
        <f t="array" ref="AQ85">IF(C85="","",IFERROR(XLOOKUP(C85,Assignments!$C:$C,Assignments!$AU:$AU,0),0))</f>
        <v/>
      </c>
      <c r="AR85" s="39">
        <f>IF(AND(Config!$B$1006="Y",AQ85=1),Config!$B$1007,0)</f>
        <v>0</v>
      </c>
    </row>
    <row r="86" ht="15.75" customHeight="1">
      <c r="A86" s="46" t="str">
        <f t="shared" si="1"/>
        <v/>
      </c>
      <c r="B86" s="40" t="str">
        <f>IF(Bids!$A85="","",Bids!$A85)</f>
        <v/>
      </c>
      <c r="C86" s="40" t="str">
        <f>IF(Bids!$B85="","",Bids!$B85)</f>
        <v/>
      </c>
      <c r="D86" s="40" t="str">
        <f>IF($C86="","",IFERROR(VLOOKUP($C86,Orders!$A$4:$J$998,9,FALSE),""))</f>
        <v/>
      </c>
      <c r="E86" s="40" t="str">
        <f>IF($C86="","",IFERROR(VLOOKUP($C86,Orders!$A$4:$J$998,3,FALSE),""))</f>
        <v/>
      </c>
      <c r="F86" s="40">
        <f t="shared" si="2"/>
        <v>1</v>
      </c>
      <c r="G86" s="40" t="str">
        <f>IF($C86="","",IFERROR(VLOOKUP($C86,Orders!$A$4:$J$998,4,FALSE),""))</f>
        <v/>
      </c>
      <c r="H86" s="40" t="str">
        <f>IF($C86="","",IFERROR(VLOOKUP($C86,Orders!$A$4:$J$998,5,FALSE),""))</f>
        <v/>
      </c>
      <c r="I86" s="40" t="str">
        <f>IF($C86="","",IFERROR(VLOOKUP($C86,Orders!$A$4:$J$998,6,FALSE),""))</f>
        <v/>
      </c>
      <c r="J86" s="40" t="str">
        <f>IF($C86="","",IFERROR(VLOOKUP($C86,Orders!$A$4:$J$998,7,FALSE),""))</f>
        <v/>
      </c>
      <c r="K86" s="40" t="str">
        <f>IF(Bids!$C85="","",Bids!$C85)</f>
        <v/>
      </c>
      <c r="L86" s="40" t="str">
        <f>IF($K86="","",IFERROR(VLOOKUP($K86,Grinders!$A$4:$N$998,2,FALSE),""))</f>
        <v/>
      </c>
      <c r="M86" s="40" t="str">
        <f>IF($K86="","",IFERROR(VLOOKUP($K86,Grinders!$A$4:$N$998,3,FALSE),""))</f>
        <v/>
      </c>
      <c r="N86" s="40" t="str">
        <f>IF($K86="","",IFERROR(VLOOKUP($K86,Grinders!$A$4:$N$998,4,FALSE),""))</f>
        <v/>
      </c>
      <c r="O86" s="40" t="str">
        <f>IF($K86="","",IFERROR(VLOOKUP($K86,Grinders!$A$4:$N$998,5,FALSE),""))</f>
        <v/>
      </c>
      <c r="P86" s="40" t="str">
        <f>IF($K86="","",IF($C$4="",0,COUNTIFS(Assignments!$B$6:$B$1000,$K86,Assignments!$F$6:$F$1000,$C$4,Assignments!$E$6:$E$1000,"Active")))</f>
        <v/>
      </c>
      <c r="Q86" s="40" t="str">
        <f t="shared" si="3"/>
        <v/>
      </c>
      <c r="R86" s="40" t="str">
        <f t="shared" si="4"/>
        <v/>
      </c>
      <c r="S86" s="40" t="str">
        <f>IF($K86="","",IF($C$4="",0,COUNTIFS(Assignments!$B$6:$B$1000,$K86,Assignments!$F$6:$F$1000,$C$4,Assignments!$D$6:$D$1000,"&gt;="&amp;Config!$B$3-7,Assignments!$D$6:$D$1000,"&lt;="&amp;Config!$B$3)))</f>
        <v/>
      </c>
      <c r="T86" s="40" t="str">
        <f>IF($K86="","",IFERROR(VLOOKUP($K86,Grinders!$A$4:$N$998,8,FALSE),""))</f>
        <v/>
      </c>
      <c r="U86" s="40" t="str">
        <f>IFERROR(IF($K86="","",IF($M86="Elite",MAX(50,MIN(100,Config!$B$27*MAX(0,MIN(100,(1-IF($R86="",0,$R86))*100)) + Config!$B$28*MAX(0,MIN(100,(1-MIN(1,IF(Config!$B$30=0,1,$S86/Config!$B$30)))*100)) + Config!$B$29*MAX(0,MIN(100,MIN(1,IF($T86="",0,$T86)/Config!$B$23)*100)))),MIN(100,Config!$B$27*MAX(0,MIN(100,(1-IF($R86="",0,$R86))*100)) + Config!$B$28*MAX(0,MIN(100,(1-MIN(1,IF(Config!$B$30=0,1,$S86/Config!$B$30)))*100)) + Config!$B$29*MAX(0,MIN(100,MIN(1,IF($T86="",0,$T86)/Config!$B$23)*100))))),"")
</f>
        <v/>
      </c>
      <c r="V86" s="40" t="str">
        <f>IF(Bids!$AC86="","",Bids!$AC86)</f>
        <v/>
      </c>
      <c r="W86" s="40" t="str">
        <f>IF(Bids!$F85="","",Bids!$F85)</f>
        <v/>
      </c>
      <c r="X86" s="40" t="str">
        <f t="shared" si="5"/>
        <v/>
      </c>
      <c r="Y86" s="40" t="str">
        <f>IF($X86="","",IF(Config!$B$17=Config!$B$16,IF($X86&gt;=Config!$B$17,100,0),MAX(0,MIN(100,($X86-Config!$B$16)/(Config!$B$17-Config!$B$16)*100))))</f>
        <v/>
      </c>
      <c r="Z86" s="40">
        <f>IF($M86="Elite",Config!$B$21,0)</f>
        <v>0</v>
      </c>
      <c r="AA86" s="40" t="str">
        <f>IFERROR(IF(OR($W86="",$H86=""),"",IF($W86&gt;$H86,
  MAX(0, 60-(($W86-$H86)*24/Config!$B$19)*60),
  MIN(100, 60+(($H86-$W86)*24/Config!$B$20)*40)
)),"")
</f>
        <v/>
      </c>
      <c r="AB86" s="40" t="str">
        <f>IF($K86="","",IFERROR(VLOOKUP($K86,Grinders!$A$4:$N$998,10,FALSE)/5*100,""))</f>
        <v/>
      </c>
      <c r="AC86" s="40" t="str">
        <f>IF($K86="","",IFERROR(VLOOKUP($K86,Grinders!$A$4:$N$998,11,FALSE)*100,""))</f>
        <v/>
      </c>
      <c r="AD86" s="40" t="str">
        <f>IF($K86="","",IFERROR(VLOOKUP($K86,Grinders!$A$4:$N$998,12,FALSE)*100,""))</f>
        <v/>
      </c>
      <c r="AE86" s="40" t="str">
        <f>IF(OR(AO86=1,AP86=1),0,=IFERROR(IFS(
    OR($C86="", $K86=""), 0,
    $F86=0, 0,
    $D86&lt;&gt;"Open", 0,
    COUNTIFS(GrinderServices!$A$6:$A$1000, $K86, GrinderServices!$B$6:$B$1000, $E86, GrinderServices!$D$6:$D$1000, "Y")=0, 0,
    $X86&lt;Config!$B$16, 0,
    Config!$B$18=1, IF($O86&gt;=N86, 0, 1),
    TRUE, 1
), "")
)</f>
        <v>#ERROR!</v>
      </c>
      <c r="AF86" s="40" t="str">
        <f>IFERROR((IF(OR(AO86=1,AP86=1),"",=IFERROR((IFERROR(IF($AE86=0,"",((Config!$B$6*$Y86 + Config!$B$7*$U86 + Config!$B$8*$Z86 + Config!$B$9*$AA86 + Config!$B$10*$AB86 + Config!$B$11*$AC86 - Config!$B$12*$AD86)/Config!$B$13)+$AK86+$AL86),""))*(1-IFERROR(VLOOKUP(K86,Grinders!$A:$AB, 28, FALSE),0)),"")))*(1+AR86),"")</f>
        <v>#ERROR!</v>
      </c>
      <c r="AG86" s="40" t="str">
        <f t="shared" si="6"/>
        <v>#ERROR!</v>
      </c>
      <c r="AH86" s="40" t="str">
        <f t="shared" si="7"/>
        <v/>
      </c>
      <c r="AI86" s="40" t="str">
        <f t="shared" si="8"/>
        <v/>
      </c>
      <c r="AJ86" s="40" t="str">
        <f>IF($K86="","",COUNTIF(Assignments!$B$6:$B$1000,$K86))</f>
        <v/>
      </c>
      <c r="AK86" s="40" t="str">
        <f>IF($K86="","",IF(AND($AJ86=0,$O86&lt;$N86),Config!$B$43,0))</f>
        <v/>
      </c>
      <c r="AL86" s="40" t="str">
        <f>IF($K86="","",IF(AND($M86="Elite",$G86&gt;=Config!$B$41,$O86&lt;$N86),Config!$B$42,0))</f>
        <v/>
      </c>
      <c r="AM86" s="22"/>
      <c r="AN86" s="39">
        <f>IFERROR(VLOOKUP(K86,Grinders!$A:$Q,28,FALSE),0)</f>
        <v>0</v>
      </c>
      <c r="AO86" s="39">
        <f>IF(Config!$B$1003&lt;&gt;"Y",0,IF(IFERROR(VLOOKUP(K86,Grinders!$A:$P,27,FALSE),0)&gt;=3,IF(OR(G86&gt;=Config!$B$1001,ISNUMBER(SEARCH(E86,Config!$B$1002))),1,0),0))</f>
        <v>0</v>
      </c>
      <c r="AP86" s="39">
        <f t="array" ref="AP86">IFERROR(IF(INDEX(Bids!$AE:$AE,MATCH(B86,Bids!$A:$A,0))="Pending",1,0),0)</f>
        <v>0</v>
      </c>
      <c r="AQ86" s="39" t="str">
        <f t="array" ref="AQ86">IF(C86="","",IFERROR(XLOOKUP(C86,Assignments!$C:$C,Assignments!$AU:$AU,0),0))</f>
        <v/>
      </c>
      <c r="AR86" s="39">
        <f>IF(AND(Config!$B$1006="Y",AQ86=1),Config!$B$1007,0)</f>
        <v>0</v>
      </c>
    </row>
    <row r="87" ht="15.75" customHeight="1">
      <c r="A87" s="46" t="str">
        <f t="shared" si="1"/>
        <v/>
      </c>
      <c r="B87" s="40" t="str">
        <f>IF(Bids!$A86="","",Bids!$A86)</f>
        <v/>
      </c>
      <c r="C87" s="40" t="str">
        <f>IF(Bids!$B86="","",Bids!$B86)</f>
        <v/>
      </c>
      <c r="D87" s="40" t="str">
        <f>IF($C87="","",IFERROR(VLOOKUP($C87,Orders!$A$4:$J$998,9,FALSE),""))</f>
        <v/>
      </c>
      <c r="E87" s="40" t="str">
        <f>IF($C87="","",IFERROR(VLOOKUP($C87,Orders!$A$4:$J$998,3,FALSE),""))</f>
        <v/>
      </c>
      <c r="F87" s="40">
        <f t="shared" si="2"/>
        <v>1</v>
      </c>
      <c r="G87" s="40" t="str">
        <f>IF($C87="","",IFERROR(VLOOKUP($C87,Orders!$A$4:$J$998,4,FALSE),""))</f>
        <v/>
      </c>
      <c r="H87" s="40" t="str">
        <f>IF($C87="","",IFERROR(VLOOKUP($C87,Orders!$A$4:$J$998,5,FALSE),""))</f>
        <v/>
      </c>
      <c r="I87" s="40" t="str">
        <f>IF($C87="","",IFERROR(VLOOKUP($C87,Orders!$A$4:$J$998,6,FALSE),""))</f>
        <v/>
      </c>
      <c r="J87" s="40" t="str">
        <f>IF($C87="","",IFERROR(VLOOKUP($C87,Orders!$A$4:$J$998,7,FALSE),""))</f>
        <v/>
      </c>
      <c r="K87" s="40" t="str">
        <f>IF(Bids!$C86="","",Bids!$C86)</f>
        <v/>
      </c>
      <c r="L87" s="40" t="str">
        <f>IF($K87="","",IFERROR(VLOOKUP($K87,Grinders!$A$4:$N$998,2,FALSE),""))</f>
        <v/>
      </c>
      <c r="M87" s="40" t="str">
        <f>IF($K87="","",IFERROR(VLOOKUP($K87,Grinders!$A$4:$N$998,3,FALSE),""))</f>
        <v/>
      </c>
      <c r="N87" s="40" t="str">
        <f>IF($K87="","",IFERROR(VLOOKUP($K87,Grinders!$A$4:$N$998,4,FALSE),""))</f>
        <v/>
      </c>
      <c r="O87" s="40" t="str">
        <f>IF($K87="","",IFERROR(VLOOKUP($K87,Grinders!$A$4:$N$998,5,FALSE),""))</f>
        <v/>
      </c>
      <c r="P87" s="40" t="str">
        <f>IF($K87="","",IF($C$4="",0,COUNTIFS(Assignments!$B$6:$B$1000,$K87,Assignments!$F$6:$F$1000,$C$4,Assignments!$E$6:$E$1000,"Active")))</f>
        <v/>
      </c>
      <c r="Q87" s="40" t="str">
        <f t="shared" si="3"/>
        <v/>
      </c>
      <c r="R87" s="40" t="str">
        <f t="shared" si="4"/>
        <v/>
      </c>
      <c r="S87" s="40" t="str">
        <f>IF($K87="","",IF($C$4="",0,COUNTIFS(Assignments!$B$6:$B$1000,$K87,Assignments!$F$6:$F$1000,$C$4,Assignments!$D$6:$D$1000,"&gt;="&amp;Config!$B$3-7,Assignments!$D$6:$D$1000,"&lt;="&amp;Config!$B$3)))</f>
        <v/>
      </c>
      <c r="T87" s="40" t="str">
        <f>IF($K87="","",IFERROR(VLOOKUP($K87,Grinders!$A$4:$N$998,8,FALSE),""))</f>
        <v/>
      </c>
      <c r="U87" s="40" t="str">
        <f>IFERROR(IF($K87="","",IF($M87="Elite",MAX(50,MIN(100,Config!$B$27*MAX(0,MIN(100,(1-IF($R87="",0,$R87))*100)) + Config!$B$28*MAX(0,MIN(100,(1-MIN(1,IF(Config!$B$30=0,1,$S87/Config!$B$30)))*100)) + Config!$B$29*MAX(0,MIN(100,MIN(1,IF($T87="",0,$T87)/Config!$B$23)*100)))),MIN(100,Config!$B$27*MAX(0,MIN(100,(1-IF($R87="",0,$R87))*100)) + Config!$B$28*MAX(0,MIN(100,(1-MIN(1,IF(Config!$B$30=0,1,$S87/Config!$B$30)))*100)) + Config!$B$29*MAX(0,MIN(100,MIN(1,IF($T87="",0,$T87)/Config!$B$23)*100))))),"")
</f>
        <v/>
      </c>
      <c r="V87" s="40" t="str">
        <f>IF(Bids!$AC87="","",Bids!$AC87)</f>
        <v/>
      </c>
      <c r="W87" s="40" t="str">
        <f>IF(Bids!$F86="","",Bids!$F86)</f>
        <v/>
      </c>
      <c r="X87" s="40" t="str">
        <f t="shared" si="5"/>
        <v/>
      </c>
      <c r="Y87" s="40" t="str">
        <f>IF($X87="","",IF(Config!$B$17=Config!$B$16,IF($X87&gt;=Config!$B$17,100,0),MAX(0,MIN(100,($X87-Config!$B$16)/(Config!$B$17-Config!$B$16)*100))))</f>
        <v/>
      </c>
      <c r="Z87" s="40">
        <f>IF($M87="Elite",Config!$B$21,0)</f>
        <v>0</v>
      </c>
      <c r="AA87" s="40" t="str">
        <f>IFERROR(IF(OR($W87="",$H87=""),"",IF($W87&gt;$H87,
  MAX(0, 60-(($W87-$H87)*24/Config!$B$19)*60),
  MIN(100, 60+(($H87-$W87)*24/Config!$B$20)*40)
)),"")
</f>
        <v/>
      </c>
      <c r="AB87" s="40" t="str">
        <f>IF($K87="","",IFERROR(VLOOKUP($K87,Grinders!$A$4:$N$998,10,FALSE)/5*100,""))</f>
        <v/>
      </c>
      <c r="AC87" s="40" t="str">
        <f>IF($K87="","",IFERROR(VLOOKUP($K87,Grinders!$A$4:$N$998,11,FALSE)*100,""))</f>
        <v/>
      </c>
      <c r="AD87" s="40" t="str">
        <f>IF($K87="","",IFERROR(VLOOKUP($K87,Grinders!$A$4:$N$998,12,FALSE)*100,""))</f>
        <v/>
      </c>
      <c r="AE87" s="40" t="str">
        <f>IF(OR(AO87=1,AP87=1),0,=IFERROR(IFS(
    OR($C87="", $K87=""), 0,
    $F87=0, 0,
    $D87&lt;&gt;"Open", 0,
    COUNTIFS(GrinderServices!$A$6:$A$1000, $K87, GrinderServices!$B$6:$B$1000, $E87, GrinderServices!$D$6:$D$1000, "Y")=0, 0,
    $X87&lt;Config!$B$16, 0,
    Config!$B$18=1, IF($O87&gt;=N87, 0, 1),
    TRUE, 1
), "")
)</f>
        <v>#ERROR!</v>
      </c>
      <c r="AF87" s="40" t="str">
        <f>IFERROR((IF(OR(AO87=1,AP87=1),"",=IFERROR((IFERROR(IF($AE87=0,"",((Config!$B$6*$Y87 + Config!$B$7*$U87 + Config!$B$8*$Z87 + Config!$B$9*$AA87 + Config!$B$10*$AB87 + Config!$B$11*$AC87 - Config!$B$12*$AD87)/Config!$B$13)+$AK87+$AL87),""))*(1-IFERROR(VLOOKUP(K87,Grinders!$A:$AB, 28, FALSE),0)),"")))*(1+AR87),"")</f>
        <v>#ERROR!</v>
      </c>
      <c r="AG87" s="40" t="str">
        <f t="shared" si="6"/>
        <v>#ERROR!</v>
      </c>
      <c r="AH87" s="40" t="str">
        <f t="shared" si="7"/>
        <v/>
      </c>
      <c r="AI87" s="40" t="str">
        <f t="shared" si="8"/>
        <v/>
      </c>
      <c r="AJ87" s="40" t="str">
        <f>IF($K87="","",COUNTIF(Assignments!$B$6:$B$1000,$K87))</f>
        <v/>
      </c>
      <c r="AK87" s="40" t="str">
        <f>IF($K87="","",IF(AND($AJ87=0,$O87&lt;$N87),Config!$B$43,0))</f>
        <v/>
      </c>
      <c r="AL87" s="40" t="str">
        <f>IF($K87="","",IF(AND($M87="Elite",$G87&gt;=Config!$B$41,$O87&lt;$N87),Config!$B$42,0))</f>
        <v/>
      </c>
      <c r="AM87" s="22"/>
      <c r="AN87" s="39">
        <f>IFERROR(VLOOKUP(K87,Grinders!$A:$Q,28,FALSE),0)</f>
        <v>0</v>
      </c>
      <c r="AO87" s="39">
        <f>IF(Config!$B$1003&lt;&gt;"Y",0,IF(IFERROR(VLOOKUP(K87,Grinders!$A:$P,27,FALSE),0)&gt;=3,IF(OR(G87&gt;=Config!$B$1001,ISNUMBER(SEARCH(E87,Config!$B$1002))),1,0),0))</f>
        <v>0</v>
      </c>
      <c r="AP87" s="39">
        <f t="array" ref="AP87">IFERROR(IF(INDEX(Bids!$AE:$AE,MATCH(B87,Bids!$A:$A,0))="Pending",1,0),0)</f>
        <v>0</v>
      </c>
      <c r="AQ87" s="39" t="str">
        <f t="array" ref="AQ87">IF(C87="","",IFERROR(XLOOKUP(C87,Assignments!$C:$C,Assignments!$AU:$AU,0),0))</f>
        <v/>
      </c>
      <c r="AR87" s="39">
        <f>IF(AND(Config!$B$1006="Y",AQ87=1),Config!$B$1007,0)</f>
        <v>0</v>
      </c>
    </row>
    <row r="88" ht="15.75" customHeight="1">
      <c r="A88" s="46" t="str">
        <f t="shared" si="1"/>
        <v/>
      </c>
      <c r="B88" s="40" t="str">
        <f>IF(Bids!$A87="","",Bids!$A87)</f>
        <v/>
      </c>
      <c r="C88" s="40" t="str">
        <f>IF(Bids!$B87="","",Bids!$B87)</f>
        <v/>
      </c>
      <c r="D88" s="40" t="str">
        <f>IF($C88="","",IFERROR(VLOOKUP($C88,Orders!$A$4:$J$998,9,FALSE),""))</f>
        <v/>
      </c>
      <c r="E88" s="40" t="str">
        <f>IF($C88="","",IFERROR(VLOOKUP($C88,Orders!$A$4:$J$998,3,FALSE),""))</f>
        <v/>
      </c>
      <c r="F88" s="40">
        <f t="shared" si="2"/>
        <v>1</v>
      </c>
      <c r="G88" s="40" t="str">
        <f>IF($C88="","",IFERROR(VLOOKUP($C88,Orders!$A$4:$J$998,4,FALSE),""))</f>
        <v/>
      </c>
      <c r="H88" s="40" t="str">
        <f>IF($C88="","",IFERROR(VLOOKUP($C88,Orders!$A$4:$J$998,5,FALSE),""))</f>
        <v/>
      </c>
      <c r="I88" s="40" t="str">
        <f>IF($C88="","",IFERROR(VLOOKUP($C88,Orders!$A$4:$J$998,6,FALSE),""))</f>
        <v/>
      </c>
      <c r="J88" s="40" t="str">
        <f>IF($C88="","",IFERROR(VLOOKUP($C88,Orders!$A$4:$J$998,7,FALSE),""))</f>
        <v/>
      </c>
      <c r="K88" s="40" t="str">
        <f>IF(Bids!$C87="","",Bids!$C87)</f>
        <v/>
      </c>
      <c r="L88" s="40" t="str">
        <f>IF($K88="","",IFERROR(VLOOKUP($K88,Grinders!$A$4:$N$998,2,FALSE),""))</f>
        <v/>
      </c>
      <c r="M88" s="40" t="str">
        <f>IF($K88="","",IFERROR(VLOOKUP($K88,Grinders!$A$4:$N$998,3,FALSE),""))</f>
        <v/>
      </c>
      <c r="N88" s="40" t="str">
        <f>IF($K88="","",IFERROR(VLOOKUP($K88,Grinders!$A$4:$N$998,4,FALSE),""))</f>
        <v/>
      </c>
      <c r="O88" s="40" t="str">
        <f>IF($K88="","",IFERROR(VLOOKUP($K88,Grinders!$A$4:$N$998,5,FALSE),""))</f>
        <v/>
      </c>
      <c r="P88" s="40" t="str">
        <f>IF($K88="","",IF($C$4="",0,COUNTIFS(Assignments!$B$6:$B$1000,$K88,Assignments!$F$6:$F$1000,$C$4,Assignments!$E$6:$E$1000,"Active")))</f>
        <v/>
      </c>
      <c r="Q88" s="40" t="str">
        <f t="shared" si="3"/>
        <v/>
      </c>
      <c r="R88" s="40" t="str">
        <f t="shared" si="4"/>
        <v/>
      </c>
      <c r="S88" s="40" t="str">
        <f>IF($K88="","",IF($C$4="",0,COUNTIFS(Assignments!$B$6:$B$1000,$K88,Assignments!$F$6:$F$1000,$C$4,Assignments!$D$6:$D$1000,"&gt;="&amp;Config!$B$3-7,Assignments!$D$6:$D$1000,"&lt;="&amp;Config!$B$3)))</f>
        <v/>
      </c>
      <c r="T88" s="40" t="str">
        <f>IF($K88="","",IFERROR(VLOOKUP($K88,Grinders!$A$4:$N$998,8,FALSE),""))</f>
        <v/>
      </c>
      <c r="U88" s="40" t="str">
        <f>IFERROR(IF($K88="","",IF($M88="Elite",MAX(50,MIN(100,Config!$B$27*MAX(0,MIN(100,(1-IF($R88="",0,$R88))*100)) + Config!$B$28*MAX(0,MIN(100,(1-MIN(1,IF(Config!$B$30=0,1,$S88/Config!$B$30)))*100)) + Config!$B$29*MAX(0,MIN(100,MIN(1,IF($T88="",0,$T88)/Config!$B$23)*100)))),MIN(100,Config!$B$27*MAX(0,MIN(100,(1-IF($R88="",0,$R88))*100)) + Config!$B$28*MAX(0,MIN(100,(1-MIN(1,IF(Config!$B$30=0,1,$S88/Config!$B$30)))*100)) + Config!$B$29*MAX(0,MIN(100,MIN(1,IF($T88="",0,$T88)/Config!$B$23)*100))))),"")
</f>
        <v/>
      </c>
      <c r="V88" s="40" t="str">
        <f>IF(Bids!$AC88="","",Bids!$AC88)</f>
        <v/>
      </c>
      <c r="W88" s="40" t="str">
        <f>IF(Bids!$F87="","",Bids!$F87)</f>
        <v/>
      </c>
      <c r="X88" s="40" t="str">
        <f t="shared" si="5"/>
        <v/>
      </c>
      <c r="Y88" s="40" t="str">
        <f>IF($X88="","",IF(Config!$B$17=Config!$B$16,IF($X88&gt;=Config!$B$17,100,0),MAX(0,MIN(100,($X88-Config!$B$16)/(Config!$B$17-Config!$B$16)*100))))</f>
        <v/>
      </c>
      <c r="Z88" s="40">
        <f>IF($M88="Elite",Config!$B$21,0)</f>
        <v>0</v>
      </c>
      <c r="AA88" s="40" t="str">
        <f>IFERROR(IF(OR($W88="",$H88=""),"",IF($W88&gt;$H88,
  MAX(0, 60-(($W88-$H88)*24/Config!$B$19)*60),
  MIN(100, 60+(($H88-$W88)*24/Config!$B$20)*40)
)),"")
</f>
        <v/>
      </c>
      <c r="AB88" s="40" t="str">
        <f>IF($K88="","",IFERROR(VLOOKUP($K88,Grinders!$A$4:$N$998,10,FALSE)/5*100,""))</f>
        <v/>
      </c>
      <c r="AC88" s="40" t="str">
        <f>IF($K88="","",IFERROR(VLOOKUP($K88,Grinders!$A$4:$N$998,11,FALSE)*100,""))</f>
        <v/>
      </c>
      <c r="AD88" s="40" t="str">
        <f>IF($K88="","",IFERROR(VLOOKUP($K88,Grinders!$A$4:$N$998,12,FALSE)*100,""))</f>
        <v/>
      </c>
      <c r="AE88" s="40" t="str">
        <f>IF(OR(AO88=1,AP88=1),0,=IFERROR(IFS(
    OR($C88="", $K88=""), 0,
    $F88=0, 0,
    $D88&lt;&gt;"Open", 0,
    COUNTIFS(GrinderServices!$A$6:$A$1000, $K88, GrinderServices!$B$6:$B$1000, $E88, GrinderServices!$D$6:$D$1000, "Y")=0, 0,
    $X88&lt;Config!$B$16, 0,
    Config!$B$18=1, IF($O88&gt;=N88, 0, 1),
    TRUE, 1
), "")
)</f>
        <v>#ERROR!</v>
      </c>
      <c r="AF88" s="40" t="str">
        <f>IFERROR((IF(OR(AO88=1,AP88=1),"",=IFERROR((IFERROR(IF($AE88=0,"",((Config!$B$6*$Y88 + Config!$B$7*$U88 + Config!$B$8*$Z88 + Config!$B$9*$AA88 + Config!$B$10*$AB88 + Config!$B$11*$AC88 - Config!$B$12*$AD88)/Config!$B$13)+$AK88+$AL88),""))*(1-IFERROR(VLOOKUP(K88,Grinders!$A:$AB, 28, FALSE),0)),"")))*(1+AR88),"")</f>
        <v>#ERROR!</v>
      </c>
      <c r="AG88" s="40" t="str">
        <f t="shared" si="6"/>
        <v>#ERROR!</v>
      </c>
      <c r="AH88" s="40" t="str">
        <f t="shared" si="7"/>
        <v/>
      </c>
      <c r="AI88" s="40" t="str">
        <f t="shared" si="8"/>
        <v/>
      </c>
      <c r="AJ88" s="40" t="str">
        <f>IF($K88="","",COUNTIF(Assignments!$B$6:$B$1000,$K88))</f>
        <v/>
      </c>
      <c r="AK88" s="40" t="str">
        <f>IF($K88="","",IF(AND($AJ88=0,$O88&lt;$N88),Config!$B$43,0))</f>
        <v/>
      </c>
      <c r="AL88" s="40" t="str">
        <f>IF($K88="","",IF(AND($M88="Elite",$G88&gt;=Config!$B$41,$O88&lt;$N88),Config!$B$42,0))</f>
        <v/>
      </c>
      <c r="AM88" s="22"/>
      <c r="AN88" s="39">
        <f>IFERROR(VLOOKUP(K88,Grinders!$A:$Q,28,FALSE),0)</f>
        <v>0</v>
      </c>
      <c r="AO88" s="39">
        <f>IF(Config!$B$1003&lt;&gt;"Y",0,IF(IFERROR(VLOOKUP(K88,Grinders!$A:$P,27,FALSE),0)&gt;=3,IF(OR(G88&gt;=Config!$B$1001,ISNUMBER(SEARCH(E88,Config!$B$1002))),1,0),0))</f>
        <v>0</v>
      </c>
      <c r="AP88" s="39">
        <f t="array" ref="AP88">IFERROR(IF(INDEX(Bids!$AE:$AE,MATCH(B88,Bids!$A:$A,0))="Pending",1,0),0)</f>
        <v>0</v>
      </c>
      <c r="AQ88" s="39" t="str">
        <f t="array" ref="AQ88">IF(C88="","",IFERROR(XLOOKUP(C88,Assignments!$C:$C,Assignments!$AU:$AU,0),0))</f>
        <v/>
      </c>
      <c r="AR88" s="39">
        <f>IF(AND(Config!$B$1006="Y",AQ88=1),Config!$B$1007,0)</f>
        <v>0</v>
      </c>
    </row>
    <row r="89" ht="15.75" customHeight="1">
      <c r="A89" s="46" t="str">
        <f t="shared" si="1"/>
        <v/>
      </c>
      <c r="B89" s="40" t="str">
        <f>IF(Bids!$A88="","",Bids!$A88)</f>
        <v/>
      </c>
      <c r="C89" s="40" t="str">
        <f>IF(Bids!$B88="","",Bids!$B88)</f>
        <v/>
      </c>
      <c r="D89" s="40" t="str">
        <f>IF($C89="","",IFERROR(VLOOKUP($C89,Orders!$A$4:$J$998,9,FALSE),""))</f>
        <v/>
      </c>
      <c r="E89" s="40" t="str">
        <f>IF($C89="","",IFERROR(VLOOKUP($C89,Orders!$A$4:$J$998,3,FALSE),""))</f>
        <v/>
      </c>
      <c r="F89" s="40">
        <f t="shared" si="2"/>
        <v>1</v>
      </c>
      <c r="G89" s="40" t="str">
        <f>IF($C89="","",IFERROR(VLOOKUP($C89,Orders!$A$4:$J$998,4,FALSE),""))</f>
        <v/>
      </c>
      <c r="H89" s="40" t="str">
        <f>IF($C89="","",IFERROR(VLOOKUP($C89,Orders!$A$4:$J$998,5,FALSE),""))</f>
        <v/>
      </c>
      <c r="I89" s="40" t="str">
        <f>IF($C89="","",IFERROR(VLOOKUP($C89,Orders!$A$4:$J$998,6,FALSE),""))</f>
        <v/>
      </c>
      <c r="J89" s="40" t="str">
        <f>IF($C89="","",IFERROR(VLOOKUP($C89,Orders!$A$4:$J$998,7,FALSE),""))</f>
        <v/>
      </c>
      <c r="K89" s="40" t="str">
        <f>IF(Bids!$C88="","",Bids!$C88)</f>
        <v/>
      </c>
      <c r="L89" s="40" t="str">
        <f>IF($K89="","",IFERROR(VLOOKUP($K89,Grinders!$A$4:$N$998,2,FALSE),""))</f>
        <v/>
      </c>
      <c r="M89" s="40" t="str">
        <f>IF($K89="","",IFERROR(VLOOKUP($K89,Grinders!$A$4:$N$998,3,FALSE),""))</f>
        <v/>
      </c>
      <c r="N89" s="40" t="str">
        <f>IF($K89="","",IFERROR(VLOOKUP($K89,Grinders!$A$4:$N$998,4,FALSE),""))</f>
        <v/>
      </c>
      <c r="O89" s="40" t="str">
        <f>IF($K89="","",IFERROR(VLOOKUP($K89,Grinders!$A$4:$N$998,5,FALSE),""))</f>
        <v/>
      </c>
      <c r="P89" s="40" t="str">
        <f>IF($K89="","",IF($C$4="",0,COUNTIFS(Assignments!$B$6:$B$1000,$K89,Assignments!$F$6:$F$1000,$C$4,Assignments!$E$6:$E$1000,"Active")))</f>
        <v/>
      </c>
      <c r="Q89" s="40" t="str">
        <f t="shared" si="3"/>
        <v/>
      </c>
      <c r="R89" s="40" t="str">
        <f t="shared" si="4"/>
        <v/>
      </c>
      <c r="S89" s="40" t="str">
        <f>IF($K89="","",IF($C$4="",0,COUNTIFS(Assignments!$B$6:$B$1000,$K89,Assignments!$F$6:$F$1000,$C$4,Assignments!$D$6:$D$1000,"&gt;="&amp;Config!$B$3-7,Assignments!$D$6:$D$1000,"&lt;="&amp;Config!$B$3)))</f>
        <v/>
      </c>
      <c r="T89" s="40" t="str">
        <f>IF($K89="","",IFERROR(VLOOKUP($K89,Grinders!$A$4:$N$998,8,FALSE),""))</f>
        <v/>
      </c>
      <c r="U89" s="40" t="str">
        <f>IFERROR(IF($K89="","",IF($M89="Elite",MAX(50,MIN(100,Config!$B$27*MAX(0,MIN(100,(1-IF($R89="",0,$R89))*100)) + Config!$B$28*MAX(0,MIN(100,(1-MIN(1,IF(Config!$B$30=0,1,$S89/Config!$B$30)))*100)) + Config!$B$29*MAX(0,MIN(100,MIN(1,IF($T89="",0,$T89)/Config!$B$23)*100)))),MIN(100,Config!$B$27*MAX(0,MIN(100,(1-IF($R89="",0,$R89))*100)) + Config!$B$28*MAX(0,MIN(100,(1-MIN(1,IF(Config!$B$30=0,1,$S89/Config!$B$30)))*100)) + Config!$B$29*MAX(0,MIN(100,MIN(1,IF($T89="",0,$T89)/Config!$B$23)*100))))),"")
</f>
        <v/>
      </c>
      <c r="V89" s="40" t="str">
        <f>IF(Bids!$AC89="","",Bids!$AC89)</f>
        <v/>
      </c>
      <c r="W89" s="40" t="str">
        <f>IF(Bids!$F88="","",Bids!$F88)</f>
        <v/>
      </c>
      <c r="X89" s="40" t="str">
        <f t="shared" si="5"/>
        <v/>
      </c>
      <c r="Y89" s="40" t="str">
        <f>IF($X89="","",IF(Config!$B$17=Config!$B$16,IF($X89&gt;=Config!$B$17,100,0),MAX(0,MIN(100,($X89-Config!$B$16)/(Config!$B$17-Config!$B$16)*100))))</f>
        <v/>
      </c>
      <c r="Z89" s="40">
        <f>IF($M89="Elite",Config!$B$21,0)</f>
        <v>0</v>
      </c>
      <c r="AA89" s="40" t="str">
        <f>IFERROR(IF(OR($W89="",$H89=""),"",IF($W89&gt;$H89,
  MAX(0, 60-(($W89-$H89)*24/Config!$B$19)*60),
  MIN(100, 60+(($H89-$W89)*24/Config!$B$20)*40)
)),"")
</f>
        <v/>
      </c>
      <c r="AB89" s="40" t="str">
        <f>IF($K89="","",IFERROR(VLOOKUP($K89,Grinders!$A$4:$N$998,10,FALSE)/5*100,""))</f>
        <v/>
      </c>
      <c r="AC89" s="40" t="str">
        <f>IF($K89="","",IFERROR(VLOOKUP($K89,Grinders!$A$4:$N$998,11,FALSE)*100,""))</f>
        <v/>
      </c>
      <c r="AD89" s="40" t="str">
        <f>IF($K89="","",IFERROR(VLOOKUP($K89,Grinders!$A$4:$N$998,12,FALSE)*100,""))</f>
        <v/>
      </c>
      <c r="AE89" s="40" t="str">
        <f>IF(OR(AO89=1,AP89=1),0,=IFERROR(IFS(
    OR($C89="", $K89=""), 0,
    $F89=0, 0,
    $D89&lt;&gt;"Open", 0,
    COUNTIFS(GrinderServices!$A$6:$A$1000, $K89, GrinderServices!$B$6:$B$1000, $E89, GrinderServices!$D$6:$D$1000, "Y")=0, 0,
    $X89&lt;Config!$B$16, 0,
    Config!$B$18=1, IF($O89&gt;=N89, 0, 1),
    TRUE, 1
), "")
)</f>
        <v>#ERROR!</v>
      </c>
      <c r="AF89" s="40" t="str">
        <f>IFERROR((IF(OR(AO89=1,AP89=1),"",=IFERROR((IFERROR(IF($AE89=0,"",((Config!$B$6*$Y89 + Config!$B$7*$U89 + Config!$B$8*$Z89 + Config!$B$9*$AA89 + Config!$B$10*$AB89 + Config!$B$11*$AC89 - Config!$B$12*$AD89)/Config!$B$13)+$AK89+$AL89),""))*(1-IFERROR(VLOOKUP(K89,Grinders!$A:$AB, 28, FALSE),0)),"")))*(1+AR89),"")</f>
        <v>#ERROR!</v>
      </c>
      <c r="AG89" s="40" t="str">
        <f t="shared" si="6"/>
        <v>#ERROR!</v>
      </c>
      <c r="AH89" s="40" t="str">
        <f t="shared" si="7"/>
        <v/>
      </c>
      <c r="AI89" s="40" t="str">
        <f t="shared" si="8"/>
        <v/>
      </c>
      <c r="AJ89" s="40" t="str">
        <f>IF($K89="","",COUNTIF(Assignments!$B$6:$B$1000,$K89))</f>
        <v/>
      </c>
      <c r="AK89" s="40" t="str">
        <f>IF($K89="","",IF(AND($AJ89=0,$O89&lt;$N89),Config!$B$43,0))</f>
        <v/>
      </c>
      <c r="AL89" s="40" t="str">
        <f>IF($K89="","",IF(AND($M89="Elite",$G89&gt;=Config!$B$41,$O89&lt;$N89),Config!$B$42,0))</f>
        <v/>
      </c>
      <c r="AM89" s="22"/>
      <c r="AN89" s="39">
        <f>IFERROR(VLOOKUP(K89,Grinders!$A:$Q,28,FALSE),0)</f>
        <v>0</v>
      </c>
      <c r="AO89" s="39">
        <f>IF(Config!$B$1003&lt;&gt;"Y",0,IF(IFERROR(VLOOKUP(K89,Grinders!$A:$P,27,FALSE),0)&gt;=3,IF(OR(G89&gt;=Config!$B$1001,ISNUMBER(SEARCH(E89,Config!$B$1002))),1,0),0))</f>
        <v>0</v>
      </c>
      <c r="AP89" s="39">
        <f t="array" ref="AP89">IFERROR(IF(INDEX(Bids!$AE:$AE,MATCH(B89,Bids!$A:$A,0))="Pending",1,0),0)</f>
        <v>0</v>
      </c>
      <c r="AQ89" s="39" t="str">
        <f t="array" ref="AQ89">IF(C89="","",IFERROR(XLOOKUP(C89,Assignments!$C:$C,Assignments!$AU:$AU,0),0))</f>
        <v/>
      </c>
      <c r="AR89" s="39">
        <f>IF(AND(Config!$B$1006="Y",AQ89=1),Config!$B$1007,0)</f>
        <v>0</v>
      </c>
    </row>
    <row r="90" ht="15.75" customHeight="1">
      <c r="A90" s="46" t="str">
        <f t="shared" si="1"/>
        <v/>
      </c>
      <c r="B90" s="40" t="str">
        <f>IF(Bids!$A89="","",Bids!$A89)</f>
        <v/>
      </c>
      <c r="C90" s="40" t="str">
        <f>IF(Bids!$B89="","",Bids!$B89)</f>
        <v/>
      </c>
      <c r="D90" s="40" t="str">
        <f>IF($C90="","",IFERROR(VLOOKUP($C90,Orders!$A$4:$J$998,9,FALSE),""))</f>
        <v/>
      </c>
      <c r="E90" s="40" t="str">
        <f>IF($C90="","",IFERROR(VLOOKUP($C90,Orders!$A$4:$J$998,3,FALSE),""))</f>
        <v/>
      </c>
      <c r="F90" s="40">
        <f t="shared" si="2"/>
        <v>1</v>
      </c>
      <c r="G90" s="40" t="str">
        <f>IF($C90="","",IFERROR(VLOOKUP($C90,Orders!$A$4:$J$998,4,FALSE),""))</f>
        <v/>
      </c>
      <c r="H90" s="40" t="str">
        <f>IF($C90="","",IFERROR(VLOOKUP($C90,Orders!$A$4:$J$998,5,FALSE),""))</f>
        <v/>
      </c>
      <c r="I90" s="40" t="str">
        <f>IF($C90="","",IFERROR(VLOOKUP($C90,Orders!$A$4:$J$998,6,FALSE),""))</f>
        <v/>
      </c>
      <c r="J90" s="40" t="str">
        <f>IF($C90="","",IFERROR(VLOOKUP($C90,Orders!$A$4:$J$998,7,FALSE),""))</f>
        <v/>
      </c>
      <c r="K90" s="40" t="str">
        <f>IF(Bids!$C89="","",Bids!$C89)</f>
        <v/>
      </c>
      <c r="L90" s="40" t="str">
        <f>IF($K90="","",IFERROR(VLOOKUP($K90,Grinders!$A$4:$N$998,2,FALSE),""))</f>
        <v/>
      </c>
      <c r="M90" s="40" t="str">
        <f>IF($K90="","",IFERROR(VLOOKUP($K90,Grinders!$A$4:$N$998,3,FALSE),""))</f>
        <v/>
      </c>
      <c r="N90" s="40" t="str">
        <f>IF($K90="","",IFERROR(VLOOKUP($K90,Grinders!$A$4:$N$998,4,FALSE),""))</f>
        <v/>
      </c>
      <c r="O90" s="40" t="str">
        <f>IF($K90="","",IFERROR(VLOOKUP($K90,Grinders!$A$4:$N$998,5,FALSE),""))</f>
        <v/>
      </c>
      <c r="P90" s="40" t="str">
        <f>IF($K90="","",IF($C$4="",0,COUNTIFS(Assignments!$B$6:$B$1000,$K90,Assignments!$F$6:$F$1000,$C$4,Assignments!$E$6:$E$1000,"Active")))</f>
        <v/>
      </c>
      <c r="Q90" s="40" t="str">
        <f t="shared" si="3"/>
        <v/>
      </c>
      <c r="R90" s="40" t="str">
        <f t="shared" si="4"/>
        <v/>
      </c>
      <c r="S90" s="40" t="str">
        <f>IF($K90="","",IF($C$4="",0,COUNTIFS(Assignments!$B$6:$B$1000,$K90,Assignments!$F$6:$F$1000,$C$4,Assignments!$D$6:$D$1000,"&gt;="&amp;Config!$B$3-7,Assignments!$D$6:$D$1000,"&lt;="&amp;Config!$B$3)))</f>
        <v/>
      </c>
      <c r="T90" s="40" t="str">
        <f>IF($K90="","",IFERROR(VLOOKUP($K90,Grinders!$A$4:$N$998,8,FALSE),""))</f>
        <v/>
      </c>
      <c r="U90" s="40" t="str">
        <f>IFERROR(IF($K90="","",IF($M90="Elite",MAX(50,MIN(100,Config!$B$27*MAX(0,MIN(100,(1-IF($R90="",0,$R90))*100)) + Config!$B$28*MAX(0,MIN(100,(1-MIN(1,IF(Config!$B$30=0,1,$S90/Config!$B$30)))*100)) + Config!$B$29*MAX(0,MIN(100,MIN(1,IF($T90="",0,$T90)/Config!$B$23)*100)))),MIN(100,Config!$B$27*MAX(0,MIN(100,(1-IF($R90="",0,$R90))*100)) + Config!$B$28*MAX(0,MIN(100,(1-MIN(1,IF(Config!$B$30=0,1,$S90/Config!$B$30)))*100)) + Config!$B$29*MAX(0,MIN(100,MIN(1,IF($T90="",0,$T90)/Config!$B$23)*100))))),"")
</f>
        <v/>
      </c>
      <c r="V90" s="40" t="str">
        <f>IF(Bids!$AC90="","",Bids!$AC90)</f>
        <v/>
      </c>
      <c r="W90" s="40" t="str">
        <f>IF(Bids!$F89="","",Bids!$F89)</f>
        <v/>
      </c>
      <c r="X90" s="40" t="str">
        <f t="shared" si="5"/>
        <v/>
      </c>
      <c r="Y90" s="40" t="str">
        <f>IF($X90="","",IF(Config!$B$17=Config!$B$16,IF($X90&gt;=Config!$B$17,100,0),MAX(0,MIN(100,($X90-Config!$B$16)/(Config!$B$17-Config!$B$16)*100))))</f>
        <v/>
      </c>
      <c r="Z90" s="40">
        <f>IF($M90="Elite",Config!$B$21,0)</f>
        <v>0</v>
      </c>
      <c r="AA90" s="40" t="str">
        <f>IFERROR(IF(OR($W90="",$H90=""),"",IF($W90&gt;$H90,
  MAX(0, 60-(($W90-$H90)*24/Config!$B$19)*60),
  MIN(100, 60+(($H90-$W90)*24/Config!$B$20)*40)
)),"")
</f>
        <v/>
      </c>
      <c r="AB90" s="40" t="str">
        <f>IF($K90="","",IFERROR(VLOOKUP($K90,Grinders!$A$4:$N$998,10,FALSE)/5*100,""))</f>
        <v/>
      </c>
      <c r="AC90" s="40" t="str">
        <f>IF($K90="","",IFERROR(VLOOKUP($K90,Grinders!$A$4:$N$998,11,FALSE)*100,""))</f>
        <v/>
      </c>
      <c r="AD90" s="40" t="str">
        <f>IF($K90="","",IFERROR(VLOOKUP($K90,Grinders!$A$4:$N$998,12,FALSE)*100,""))</f>
        <v/>
      </c>
      <c r="AE90" s="40" t="str">
        <f>IF(OR(AO90=1,AP90=1),0,=IFERROR(IFS(
    OR($C90="", $K90=""), 0,
    $F90=0, 0,
    $D90&lt;&gt;"Open", 0,
    COUNTIFS(GrinderServices!$A$6:$A$1000, $K90, GrinderServices!$B$6:$B$1000, $E90, GrinderServices!$D$6:$D$1000, "Y")=0, 0,
    $X90&lt;Config!$B$16, 0,
    Config!$B$18=1, IF($O90&gt;=N90, 0, 1),
    TRUE, 1
), "")
)</f>
        <v>#ERROR!</v>
      </c>
      <c r="AF90" s="40" t="str">
        <f>IFERROR((IF(OR(AO90=1,AP90=1),"",=IFERROR((IFERROR(IF($AE90=0,"",((Config!$B$6*$Y90 + Config!$B$7*$U90 + Config!$B$8*$Z90 + Config!$B$9*$AA90 + Config!$B$10*$AB90 + Config!$B$11*$AC90 - Config!$B$12*$AD90)/Config!$B$13)+$AK90+$AL90),""))*(1-IFERROR(VLOOKUP(K90,Grinders!$A:$AB, 28, FALSE),0)),"")))*(1+AR90),"")</f>
        <v>#ERROR!</v>
      </c>
      <c r="AG90" s="40" t="str">
        <f t="shared" si="6"/>
        <v>#ERROR!</v>
      </c>
      <c r="AH90" s="40" t="str">
        <f t="shared" si="7"/>
        <v/>
      </c>
      <c r="AI90" s="40" t="str">
        <f t="shared" si="8"/>
        <v/>
      </c>
      <c r="AJ90" s="40" t="str">
        <f>IF($K90="","",COUNTIF(Assignments!$B$6:$B$1000,$K90))</f>
        <v/>
      </c>
      <c r="AK90" s="40" t="str">
        <f>IF($K90="","",IF(AND($AJ90=0,$O90&lt;$N90),Config!$B$43,0))</f>
        <v/>
      </c>
      <c r="AL90" s="40" t="str">
        <f>IF($K90="","",IF(AND($M90="Elite",$G90&gt;=Config!$B$41,$O90&lt;$N90),Config!$B$42,0))</f>
        <v/>
      </c>
      <c r="AM90" s="22"/>
      <c r="AN90" s="39">
        <f>IFERROR(VLOOKUP(K90,Grinders!$A:$Q,28,FALSE),0)</f>
        <v>0</v>
      </c>
      <c r="AO90" s="39">
        <f>IF(Config!$B$1003&lt;&gt;"Y",0,IF(IFERROR(VLOOKUP(K90,Grinders!$A:$P,27,FALSE),0)&gt;=3,IF(OR(G90&gt;=Config!$B$1001,ISNUMBER(SEARCH(E90,Config!$B$1002))),1,0),0))</f>
        <v>0</v>
      </c>
      <c r="AP90" s="39">
        <f t="array" ref="AP90">IFERROR(IF(INDEX(Bids!$AE:$AE,MATCH(B90,Bids!$A:$A,0))="Pending",1,0),0)</f>
        <v>0</v>
      </c>
      <c r="AQ90" s="39" t="str">
        <f t="array" ref="AQ90">IF(C90="","",IFERROR(XLOOKUP(C90,Assignments!$C:$C,Assignments!$AU:$AU,0),0))</f>
        <v/>
      </c>
      <c r="AR90" s="39">
        <f>IF(AND(Config!$B$1006="Y",AQ90=1),Config!$B$1007,0)</f>
        <v>0</v>
      </c>
    </row>
    <row r="91" ht="15.75" customHeight="1">
      <c r="A91" s="46" t="str">
        <f t="shared" si="1"/>
        <v/>
      </c>
      <c r="B91" s="40" t="str">
        <f>IF(Bids!$A90="","",Bids!$A90)</f>
        <v/>
      </c>
      <c r="C91" s="40" t="str">
        <f>IF(Bids!$B90="","",Bids!$B90)</f>
        <v/>
      </c>
      <c r="D91" s="40" t="str">
        <f>IF($C91="","",IFERROR(VLOOKUP($C91,Orders!$A$4:$J$998,9,FALSE),""))</f>
        <v/>
      </c>
      <c r="E91" s="40" t="str">
        <f>IF($C91="","",IFERROR(VLOOKUP($C91,Orders!$A$4:$J$998,3,FALSE),""))</f>
        <v/>
      </c>
      <c r="F91" s="40">
        <f t="shared" si="2"/>
        <v>1</v>
      </c>
      <c r="G91" s="40" t="str">
        <f>IF($C91="","",IFERROR(VLOOKUP($C91,Orders!$A$4:$J$998,4,FALSE),""))</f>
        <v/>
      </c>
      <c r="H91" s="40" t="str">
        <f>IF($C91="","",IFERROR(VLOOKUP($C91,Orders!$A$4:$J$998,5,FALSE),""))</f>
        <v/>
      </c>
      <c r="I91" s="40" t="str">
        <f>IF($C91="","",IFERROR(VLOOKUP($C91,Orders!$A$4:$J$998,6,FALSE),""))</f>
        <v/>
      </c>
      <c r="J91" s="40" t="str">
        <f>IF($C91="","",IFERROR(VLOOKUP($C91,Orders!$A$4:$J$998,7,FALSE),""))</f>
        <v/>
      </c>
      <c r="K91" s="40" t="str">
        <f>IF(Bids!$C90="","",Bids!$C90)</f>
        <v/>
      </c>
      <c r="L91" s="40" t="str">
        <f>IF($K91="","",IFERROR(VLOOKUP($K91,Grinders!$A$4:$N$998,2,FALSE),""))</f>
        <v/>
      </c>
      <c r="M91" s="40" t="str">
        <f>IF($K91="","",IFERROR(VLOOKUP($K91,Grinders!$A$4:$N$998,3,FALSE),""))</f>
        <v/>
      </c>
      <c r="N91" s="40" t="str">
        <f>IF($K91="","",IFERROR(VLOOKUP($K91,Grinders!$A$4:$N$998,4,FALSE),""))</f>
        <v/>
      </c>
      <c r="O91" s="40" t="str">
        <f>IF($K91="","",IFERROR(VLOOKUP($K91,Grinders!$A$4:$N$998,5,FALSE),""))</f>
        <v/>
      </c>
      <c r="P91" s="40" t="str">
        <f>IF($K91="","",IF($C$4="",0,COUNTIFS(Assignments!$B$6:$B$1000,$K91,Assignments!$F$6:$F$1000,$C$4,Assignments!$E$6:$E$1000,"Active")))</f>
        <v/>
      </c>
      <c r="Q91" s="40" t="str">
        <f t="shared" si="3"/>
        <v/>
      </c>
      <c r="R91" s="40" t="str">
        <f t="shared" si="4"/>
        <v/>
      </c>
      <c r="S91" s="40" t="str">
        <f>IF($K91="","",IF($C$4="",0,COUNTIFS(Assignments!$B$6:$B$1000,$K91,Assignments!$F$6:$F$1000,$C$4,Assignments!$D$6:$D$1000,"&gt;="&amp;Config!$B$3-7,Assignments!$D$6:$D$1000,"&lt;="&amp;Config!$B$3)))</f>
        <v/>
      </c>
      <c r="T91" s="40" t="str">
        <f>IF($K91="","",IFERROR(VLOOKUP($K91,Grinders!$A$4:$N$998,8,FALSE),""))</f>
        <v/>
      </c>
      <c r="U91" s="40" t="str">
        <f>IFERROR(IF($K91="","",IF($M91="Elite",MAX(50,MIN(100,Config!$B$27*MAX(0,MIN(100,(1-IF($R91="",0,$R91))*100)) + Config!$B$28*MAX(0,MIN(100,(1-MIN(1,IF(Config!$B$30=0,1,$S91/Config!$B$30)))*100)) + Config!$B$29*MAX(0,MIN(100,MIN(1,IF($T91="",0,$T91)/Config!$B$23)*100)))),MIN(100,Config!$B$27*MAX(0,MIN(100,(1-IF($R91="",0,$R91))*100)) + Config!$B$28*MAX(0,MIN(100,(1-MIN(1,IF(Config!$B$30=0,1,$S91/Config!$B$30)))*100)) + Config!$B$29*MAX(0,MIN(100,MIN(1,IF($T91="",0,$T91)/Config!$B$23)*100))))),"")
</f>
        <v/>
      </c>
      <c r="V91" s="40" t="str">
        <f>IF(Bids!$AC91="","",Bids!$AC91)</f>
        <v/>
      </c>
      <c r="W91" s="40" t="str">
        <f>IF(Bids!$F90="","",Bids!$F90)</f>
        <v/>
      </c>
      <c r="X91" s="40" t="str">
        <f t="shared" si="5"/>
        <v/>
      </c>
      <c r="Y91" s="40" t="str">
        <f>IF($X91="","",IF(Config!$B$17=Config!$B$16,IF($X91&gt;=Config!$B$17,100,0),MAX(0,MIN(100,($X91-Config!$B$16)/(Config!$B$17-Config!$B$16)*100))))</f>
        <v/>
      </c>
      <c r="Z91" s="40">
        <f>IF($M91="Elite",Config!$B$21,0)</f>
        <v>0</v>
      </c>
      <c r="AA91" s="40" t="str">
        <f>IFERROR(IF(OR($W91="",$H91=""),"",IF($W91&gt;$H91,
  MAX(0, 60-(($W91-$H91)*24/Config!$B$19)*60),
  MIN(100, 60+(($H91-$W91)*24/Config!$B$20)*40)
)),"")
</f>
        <v/>
      </c>
      <c r="AB91" s="40" t="str">
        <f>IF($K91="","",IFERROR(VLOOKUP($K91,Grinders!$A$4:$N$998,10,FALSE)/5*100,""))</f>
        <v/>
      </c>
      <c r="AC91" s="40" t="str">
        <f>IF($K91="","",IFERROR(VLOOKUP($K91,Grinders!$A$4:$N$998,11,FALSE)*100,""))</f>
        <v/>
      </c>
      <c r="AD91" s="40" t="str">
        <f>IF($K91="","",IFERROR(VLOOKUP($K91,Grinders!$A$4:$N$998,12,FALSE)*100,""))</f>
        <v/>
      </c>
      <c r="AE91" s="40" t="str">
        <f>IF(OR(AO91=1,AP91=1),0,=IFERROR(IFS(
    OR($C91="", $K91=""), 0,
    $F91=0, 0,
    $D91&lt;&gt;"Open", 0,
    COUNTIFS(GrinderServices!$A$6:$A$1000, $K91, GrinderServices!$B$6:$B$1000, $E91, GrinderServices!$D$6:$D$1000, "Y")=0, 0,
    $X91&lt;Config!$B$16, 0,
    Config!$B$18=1, IF($O91&gt;=N91, 0, 1),
    TRUE, 1
), "")
)</f>
        <v>#ERROR!</v>
      </c>
      <c r="AF91" s="40" t="str">
        <f>IFERROR((IF(OR(AO91=1,AP91=1),"",=IFERROR((IFERROR(IF($AE91=0,"",((Config!$B$6*$Y91 + Config!$B$7*$U91 + Config!$B$8*$Z91 + Config!$B$9*$AA91 + Config!$B$10*$AB91 + Config!$B$11*$AC91 - Config!$B$12*$AD91)/Config!$B$13)+$AK91+$AL91),""))*(1-IFERROR(VLOOKUP(K91,Grinders!$A:$AB, 28, FALSE),0)),"")))*(1+AR91),"")</f>
        <v>#ERROR!</v>
      </c>
      <c r="AG91" s="40" t="str">
        <f t="shared" si="6"/>
        <v>#ERROR!</v>
      </c>
      <c r="AH91" s="40" t="str">
        <f t="shared" si="7"/>
        <v/>
      </c>
      <c r="AI91" s="40" t="str">
        <f t="shared" si="8"/>
        <v/>
      </c>
      <c r="AJ91" s="40" t="str">
        <f>IF($K91="","",COUNTIF(Assignments!$B$6:$B$1000,$K91))</f>
        <v/>
      </c>
      <c r="AK91" s="40" t="str">
        <f>IF($K91="","",IF(AND($AJ91=0,$O91&lt;$N91),Config!$B$43,0))</f>
        <v/>
      </c>
      <c r="AL91" s="40" t="str">
        <f>IF($K91="","",IF(AND($M91="Elite",$G91&gt;=Config!$B$41,$O91&lt;$N91),Config!$B$42,0))</f>
        <v/>
      </c>
      <c r="AM91" s="22"/>
      <c r="AN91" s="39">
        <f>IFERROR(VLOOKUP(K91,Grinders!$A:$Q,28,FALSE),0)</f>
        <v>0</v>
      </c>
      <c r="AO91" s="39">
        <f>IF(Config!$B$1003&lt;&gt;"Y",0,IF(IFERROR(VLOOKUP(K91,Grinders!$A:$P,27,FALSE),0)&gt;=3,IF(OR(G91&gt;=Config!$B$1001,ISNUMBER(SEARCH(E91,Config!$B$1002))),1,0),0))</f>
        <v>0</v>
      </c>
      <c r="AP91" s="39">
        <f t="array" ref="AP91">IFERROR(IF(INDEX(Bids!$AE:$AE,MATCH(B91,Bids!$A:$A,0))="Pending",1,0),0)</f>
        <v>0</v>
      </c>
      <c r="AQ91" s="39" t="str">
        <f t="array" ref="AQ91">IF(C91="","",IFERROR(XLOOKUP(C91,Assignments!$C:$C,Assignments!$AU:$AU,0),0))</f>
        <v/>
      </c>
      <c r="AR91" s="39">
        <f>IF(AND(Config!$B$1006="Y",AQ91=1),Config!$B$1007,0)</f>
        <v>0</v>
      </c>
    </row>
    <row r="92" ht="15.75" customHeight="1">
      <c r="A92" s="46" t="str">
        <f t="shared" si="1"/>
        <v/>
      </c>
      <c r="B92" s="40" t="str">
        <f>IF(Bids!$A91="","",Bids!$A91)</f>
        <v/>
      </c>
      <c r="C92" s="40" t="str">
        <f>IF(Bids!$B91="","",Bids!$B91)</f>
        <v/>
      </c>
      <c r="D92" s="40" t="str">
        <f>IF($C92="","",IFERROR(VLOOKUP($C92,Orders!$A$4:$J$998,9,FALSE),""))</f>
        <v/>
      </c>
      <c r="E92" s="40" t="str">
        <f>IF($C92="","",IFERROR(VLOOKUP($C92,Orders!$A$4:$J$998,3,FALSE),""))</f>
        <v/>
      </c>
      <c r="F92" s="40">
        <f t="shared" si="2"/>
        <v>1</v>
      </c>
      <c r="G92" s="40" t="str">
        <f>IF($C92="","",IFERROR(VLOOKUP($C92,Orders!$A$4:$J$998,4,FALSE),""))</f>
        <v/>
      </c>
      <c r="H92" s="40" t="str">
        <f>IF($C92="","",IFERROR(VLOOKUP($C92,Orders!$A$4:$J$998,5,FALSE),""))</f>
        <v/>
      </c>
      <c r="I92" s="40" t="str">
        <f>IF($C92="","",IFERROR(VLOOKUP($C92,Orders!$A$4:$J$998,6,FALSE),""))</f>
        <v/>
      </c>
      <c r="J92" s="40" t="str">
        <f>IF($C92="","",IFERROR(VLOOKUP($C92,Orders!$A$4:$J$998,7,FALSE),""))</f>
        <v/>
      </c>
      <c r="K92" s="40" t="str">
        <f>IF(Bids!$C91="","",Bids!$C91)</f>
        <v/>
      </c>
      <c r="L92" s="40" t="str">
        <f>IF($K92="","",IFERROR(VLOOKUP($K92,Grinders!$A$4:$N$998,2,FALSE),""))</f>
        <v/>
      </c>
      <c r="M92" s="40" t="str">
        <f>IF($K92="","",IFERROR(VLOOKUP($K92,Grinders!$A$4:$N$998,3,FALSE),""))</f>
        <v/>
      </c>
      <c r="N92" s="40" t="str">
        <f>IF($K92="","",IFERROR(VLOOKUP($K92,Grinders!$A$4:$N$998,4,FALSE),""))</f>
        <v/>
      </c>
      <c r="O92" s="40" t="str">
        <f>IF($K92="","",IFERROR(VLOOKUP($K92,Grinders!$A$4:$N$998,5,FALSE),""))</f>
        <v/>
      </c>
      <c r="P92" s="40" t="str">
        <f>IF($K92="","",IF($C$4="",0,COUNTIFS(Assignments!$B$6:$B$1000,$K92,Assignments!$F$6:$F$1000,$C$4,Assignments!$E$6:$E$1000,"Active")))</f>
        <v/>
      </c>
      <c r="Q92" s="40" t="str">
        <f t="shared" si="3"/>
        <v/>
      </c>
      <c r="R92" s="40" t="str">
        <f t="shared" si="4"/>
        <v/>
      </c>
      <c r="S92" s="40" t="str">
        <f>IF($K92="","",IF($C$4="",0,COUNTIFS(Assignments!$B$6:$B$1000,$K92,Assignments!$F$6:$F$1000,$C$4,Assignments!$D$6:$D$1000,"&gt;="&amp;Config!$B$3-7,Assignments!$D$6:$D$1000,"&lt;="&amp;Config!$B$3)))</f>
        <v/>
      </c>
      <c r="T92" s="40" t="str">
        <f>IF($K92="","",IFERROR(VLOOKUP($K92,Grinders!$A$4:$N$998,8,FALSE),""))</f>
        <v/>
      </c>
      <c r="U92" s="40" t="str">
        <f>IFERROR(IF($K92="","",IF($M92="Elite",MAX(50,MIN(100,Config!$B$27*MAX(0,MIN(100,(1-IF($R92="",0,$R92))*100)) + Config!$B$28*MAX(0,MIN(100,(1-MIN(1,IF(Config!$B$30=0,1,$S92/Config!$B$30)))*100)) + Config!$B$29*MAX(0,MIN(100,MIN(1,IF($T92="",0,$T92)/Config!$B$23)*100)))),MIN(100,Config!$B$27*MAX(0,MIN(100,(1-IF($R92="",0,$R92))*100)) + Config!$B$28*MAX(0,MIN(100,(1-MIN(1,IF(Config!$B$30=0,1,$S92/Config!$B$30)))*100)) + Config!$B$29*MAX(0,MIN(100,MIN(1,IF($T92="",0,$T92)/Config!$B$23)*100))))),"")
</f>
        <v/>
      </c>
      <c r="V92" s="40" t="str">
        <f>IF(Bids!$AC92="","",Bids!$AC92)</f>
        <v/>
      </c>
      <c r="W92" s="40" t="str">
        <f>IF(Bids!$F91="","",Bids!$F91)</f>
        <v/>
      </c>
      <c r="X92" s="40" t="str">
        <f t="shared" si="5"/>
        <v/>
      </c>
      <c r="Y92" s="40" t="str">
        <f>IF($X92="","",IF(Config!$B$17=Config!$B$16,IF($X92&gt;=Config!$B$17,100,0),MAX(0,MIN(100,($X92-Config!$B$16)/(Config!$B$17-Config!$B$16)*100))))</f>
        <v/>
      </c>
      <c r="Z92" s="40">
        <f>IF($M92="Elite",Config!$B$21,0)</f>
        <v>0</v>
      </c>
      <c r="AA92" s="40" t="str">
        <f>IFERROR(IF(OR($W92="",$H92=""),"",IF($W92&gt;$H92,
  MAX(0, 60-(($W92-$H92)*24/Config!$B$19)*60),
  MIN(100, 60+(($H92-$W92)*24/Config!$B$20)*40)
)),"")
</f>
        <v/>
      </c>
      <c r="AB92" s="40" t="str">
        <f>IF($K92="","",IFERROR(VLOOKUP($K92,Grinders!$A$4:$N$998,10,FALSE)/5*100,""))</f>
        <v/>
      </c>
      <c r="AC92" s="40" t="str">
        <f>IF($K92="","",IFERROR(VLOOKUP($K92,Grinders!$A$4:$N$998,11,FALSE)*100,""))</f>
        <v/>
      </c>
      <c r="AD92" s="40" t="str">
        <f>IF($K92="","",IFERROR(VLOOKUP($K92,Grinders!$A$4:$N$998,12,FALSE)*100,""))</f>
        <v/>
      </c>
      <c r="AE92" s="40" t="str">
        <f>IF(OR(AO92=1,AP92=1),0,=IFERROR(IFS(
    OR($C92="", $K92=""), 0,
    $F92=0, 0,
    $D92&lt;&gt;"Open", 0,
    COUNTIFS(GrinderServices!$A$6:$A$1000, $K92, GrinderServices!$B$6:$B$1000, $E92, GrinderServices!$D$6:$D$1000, "Y")=0, 0,
    $X92&lt;Config!$B$16, 0,
    Config!$B$18=1, IF($O92&gt;=N92, 0, 1),
    TRUE, 1
), "")
)</f>
        <v>#ERROR!</v>
      </c>
      <c r="AF92" s="40" t="str">
        <f>IFERROR((IF(OR(AO92=1,AP92=1),"",=IFERROR((IFERROR(IF($AE92=0,"",((Config!$B$6*$Y92 + Config!$B$7*$U92 + Config!$B$8*$Z92 + Config!$B$9*$AA92 + Config!$B$10*$AB92 + Config!$B$11*$AC92 - Config!$B$12*$AD92)/Config!$B$13)+$AK92+$AL92),""))*(1-IFERROR(VLOOKUP(K92,Grinders!$A:$AB, 28, FALSE),0)),"")))*(1+AR92),"")</f>
        <v>#ERROR!</v>
      </c>
      <c r="AG92" s="40" t="str">
        <f t="shared" si="6"/>
        <v>#ERROR!</v>
      </c>
      <c r="AH92" s="40" t="str">
        <f t="shared" si="7"/>
        <v/>
      </c>
      <c r="AI92" s="40" t="str">
        <f t="shared" si="8"/>
        <v/>
      </c>
      <c r="AJ92" s="40" t="str">
        <f>IF($K92="","",COUNTIF(Assignments!$B$6:$B$1000,$K92))</f>
        <v/>
      </c>
      <c r="AK92" s="40" t="str">
        <f>IF($K92="","",IF(AND($AJ92=0,$O92&lt;$N92),Config!$B$43,0))</f>
        <v/>
      </c>
      <c r="AL92" s="40" t="str">
        <f>IF($K92="","",IF(AND($M92="Elite",$G92&gt;=Config!$B$41,$O92&lt;$N92),Config!$B$42,0))</f>
        <v/>
      </c>
      <c r="AM92" s="22"/>
      <c r="AN92" s="39">
        <f>IFERROR(VLOOKUP(K92,Grinders!$A:$Q,28,FALSE),0)</f>
        <v>0</v>
      </c>
      <c r="AO92" s="39">
        <f>IF(Config!$B$1003&lt;&gt;"Y",0,IF(IFERROR(VLOOKUP(K92,Grinders!$A:$P,27,FALSE),0)&gt;=3,IF(OR(G92&gt;=Config!$B$1001,ISNUMBER(SEARCH(E92,Config!$B$1002))),1,0),0))</f>
        <v>0</v>
      </c>
      <c r="AP92" s="39">
        <f t="array" ref="AP92">IFERROR(IF(INDEX(Bids!$AE:$AE,MATCH(B92,Bids!$A:$A,0))="Pending",1,0),0)</f>
        <v>0</v>
      </c>
      <c r="AQ92" s="39" t="str">
        <f t="array" ref="AQ92">IF(C92="","",IFERROR(XLOOKUP(C92,Assignments!$C:$C,Assignments!$AU:$AU,0),0))</f>
        <v/>
      </c>
      <c r="AR92" s="39">
        <f>IF(AND(Config!$B$1006="Y",AQ92=1),Config!$B$1007,0)</f>
        <v>0</v>
      </c>
    </row>
    <row r="93" ht="15.75" customHeight="1">
      <c r="A93" s="46" t="str">
        <f t="shared" si="1"/>
        <v/>
      </c>
      <c r="B93" s="40" t="str">
        <f>IF(Bids!$A92="","",Bids!$A92)</f>
        <v/>
      </c>
      <c r="C93" s="40" t="str">
        <f>IF(Bids!$B92="","",Bids!$B92)</f>
        <v/>
      </c>
      <c r="D93" s="40" t="str">
        <f>IF($C93="","",IFERROR(VLOOKUP($C93,Orders!$A$4:$J$998,9,FALSE),""))</f>
        <v/>
      </c>
      <c r="E93" s="40" t="str">
        <f>IF($C93="","",IFERROR(VLOOKUP($C93,Orders!$A$4:$J$998,3,FALSE),""))</f>
        <v/>
      </c>
      <c r="F93" s="40">
        <f t="shared" si="2"/>
        <v>1</v>
      </c>
      <c r="G93" s="40" t="str">
        <f>IF($C93="","",IFERROR(VLOOKUP($C93,Orders!$A$4:$J$998,4,FALSE),""))</f>
        <v/>
      </c>
      <c r="H93" s="40" t="str">
        <f>IF($C93="","",IFERROR(VLOOKUP($C93,Orders!$A$4:$J$998,5,FALSE),""))</f>
        <v/>
      </c>
      <c r="I93" s="40" t="str">
        <f>IF($C93="","",IFERROR(VLOOKUP($C93,Orders!$A$4:$J$998,6,FALSE),""))</f>
        <v/>
      </c>
      <c r="J93" s="40" t="str">
        <f>IF($C93="","",IFERROR(VLOOKUP($C93,Orders!$A$4:$J$998,7,FALSE),""))</f>
        <v/>
      </c>
      <c r="K93" s="40" t="str">
        <f>IF(Bids!$C92="","",Bids!$C92)</f>
        <v/>
      </c>
      <c r="L93" s="40" t="str">
        <f>IF($K93="","",IFERROR(VLOOKUP($K93,Grinders!$A$4:$N$998,2,FALSE),""))</f>
        <v/>
      </c>
      <c r="M93" s="40" t="str">
        <f>IF($K93="","",IFERROR(VLOOKUP($K93,Grinders!$A$4:$N$998,3,FALSE),""))</f>
        <v/>
      </c>
      <c r="N93" s="40" t="str">
        <f>IF($K93="","",IFERROR(VLOOKUP($K93,Grinders!$A$4:$N$998,4,FALSE),""))</f>
        <v/>
      </c>
      <c r="O93" s="40" t="str">
        <f>IF($K93="","",IFERROR(VLOOKUP($K93,Grinders!$A$4:$N$998,5,FALSE),""))</f>
        <v/>
      </c>
      <c r="P93" s="40" t="str">
        <f>IF($K93="","",IF($C$4="",0,COUNTIFS(Assignments!$B$6:$B$1000,$K93,Assignments!$F$6:$F$1000,$C$4,Assignments!$E$6:$E$1000,"Active")))</f>
        <v/>
      </c>
      <c r="Q93" s="40" t="str">
        <f t="shared" si="3"/>
        <v/>
      </c>
      <c r="R93" s="40" t="str">
        <f t="shared" si="4"/>
        <v/>
      </c>
      <c r="S93" s="40" t="str">
        <f>IF($K93="","",IF($C$4="",0,COUNTIFS(Assignments!$B$6:$B$1000,$K93,Assignments!$F$6:$F$1000,$C$4,Assignments!$D$6:$D$1000,"&gt;="&amp;Config!$B$3-7,Assignments!$D$6:$D$1000,"&lt;="&amp;Config!$B$3)))</f>
        <v/>
      </c>
      <c r="T93" s="40" t="str">
        <f>IF($K93="","",IFERROR(VLOOKUP($K93,Grinders!$A$4:$N$998,8,FALSE),""))</f>
        <v/>
      </c>
      <c r="U93" s="40" t="str">
        <f>IFERROR(IF($K93="","",IF($M93="Elite",MAX(50,MIN(100,Config!$B$27*MAX(0,MIN(100,(1-IF($R93="",0,$R93))*100)) + Config!$B$28*MAX(0,MIN(100,(1-MIN(1,IF(Config!$B$30=0,1,$S93/Config!$B$30)))*100)) + Config!$B$29*MAX(0,MIN(100,MIN(1,IF($T93="",0,$T93)/Config!$B$23)*100)))),MIN(100,Config!$B$27*MAX(0,MIN(100,(1-IF($R93="",0,$R93))*100)) + Config!$B$28*MAX(0,MIN(100,(1-MIN(1,IF(Config!$B$30=0,1,$S93/Config!$B$30)))*100)) + Config!$B$29*MAX(0,MIN(100,MIN(1,IF($T93="",0,$T93)/Config!$B$23)*100))))),"")
</f>
        <v/>
      </c>
      <c r="V93" s="40" t="str">
        <f>IF(Bids!$AC93="","",Bids!$AC93)</f>
        <v/>
      </c>
      <c r="W93" s="40" t="str">
        <f>IF(Bids!$F92="","",Bids!$F92)</f>
        <v/>
      </c>
      <c r="X93" s="40" t="str">
        <f t="shared" si="5"/>
        <v/>
      </c>
      <c r="Y93" s="40" t="str">
        <f>IF($X93="","",IF(Config!$B$17=Config!$B$16,IF($X93&gt;=Config!$B$17,100,0),MAX(0,MIN(100,($X93-Config!$B$16)/(Config!$B$17-Config!$B$16)*100))))</f>
        <v/>
      </c>
      <c r="Z93" s="40">
        <f>IF($M93="Elite",Config!$B$21,0)</f>
        <v>0</v>
      </c>
      <c r="AA93" s="40" t="str">
        <f>IFERROR(IF(OR($W93="",$H93=""),"",IF($W93&gt;$H93,
  MAX(0, 60-(($W93-$H93)*24/Config!$B$19)*60),
  MIN(100, 60+(($H93-$W93)*24/Config!$B$20)*40)
)),"")
</f>
        <v/>
      </c>
      <c r="AB93" s="40" t="str">
        <f>IF($K93="","",IFERROR(VLOOKUP($K93,Grinders!$A$4:$N$998,10,FALSE)/5*100,""))</f>
        <v/>
      </c>
      <c r="AC93" s="40" t="str">
        <f>IF($K93="","",IFERROR(VLOOKUP($K93,Grinders!$A$4:$N$998,11,FALSE)*100,""))</f>
        <v/>
      </c>
      <c r="AD93" s="40" t="str">
        <f>IF($K93="","",IFERROR(VLOOKUP($K93,Grinders!$A$4:$N$998,12,FALSE)*100,""))</f>
        <v/>
      </c>
      <c r="AE93" s="40" t="str">
        <f>IF(OR(AO93=1,AP93=1),0,=IFERROR(IFS(
    OR($C93="", $K93=""), 0,
    $F93=0, 0,
    $D93&lt;&gt;"Open", 0,
    COUNTIFS(GrinderServices!$A$6:$A$1000, $K93, GrinderServices!$B$6:$B$1000, $E93, GrinderServices!$D$6:$D$1000, "Y")=0, 0,
    $X93&lt;Config!$B$16, 0,
    Config!$B$18=1, IF($O93&gt;=N93, 0, 1),
    TRUE, 1
), "")
)</f>
        <v>#ERROR!</v>
      </c>
      <c r="AF93" s="40" t="str">
        <f>IFERROR((IF(OR(AO93=1,AP93=1),"",=IFERROR((IFERROR(IF($AE93=0,"",((Config!$B$6*$Y93 + Config!$B$7*$U93 + Config!$B$8*$Z93 + Config!$B$9*$AA93 + Config!$B$10*$AB93 + Config!$B$11*$AC93 - Config!$B$12*$AD93)/Config!$B$13)+$AK93+$AL93),""))*(1-IFERROR(VLOOKUP(K93,Grinders!$A:$AB, 28, FALSE),0)),"")))*(1+AR93),"")</f>
        <v>#ERROR!</v>
      </c>
      <c r="AG93" s="40" t="str">
        <f t="shared" si="6"/>
        <v>#ERROR!</v>
      </c>
      <c r="AH93" s="40" t="str">
        <f t="shared" si="7"/>
        <v/>
      </c>
      <c r="AI93" s="40" t="str">
        <f t="shared" si="8"/>
        <v/>
      </c>
      <c r="AJ93" s="40" t="str">
        <f>IF($K93="","",COUNTIF(Assignments!$B$6:$B$1000,$K93))</f>
        <v/>
      </c>
      <c r="AK93" s="40" t="str">
        <f>IF($K93="","",IF(AND($AJ93=0,$O93&lt;$N93),Config!$B$43,0))</f>
        <v/>
      </c>
      <c r="AL93" s="40" t="str">
        <f>IF($K93="","",IF(AND($M93="Elite",$G93&gt;=Config!$B$41,$O93&lt;$N93),Config!$B$42,0))</f>
        <v/>
      </c>
      <c r="AM93" s="22"/>
      <c r="AN93" s="39">
        <f>IFERROR(VLOOKUP(K93,Grinders!$A:$Q,28,FALSE),0)</f>
        <v>0</v>
      </c>
      <c r="AO93" s="39">
        <f>IF(Config!$B$1003&lt;&gt;"Y",0,IF(IFERROR(VLOOKUP(K93,Grinders!$A:$P,27,FALSE),0)&gt;=3,IF(OR(G93&gt;=Config!$B$1001,ISNUMBER(SEARCH(E93,Config!$B$1002))),1,0),0))</f>
        <v>0</v>
      </c>
      <c r="AP93" s="39">
        <f t="array" ref="AP93">IFERROR(IF(INDEX(Bids!$AE:$AE,MATCH(B93,Bids!$A:$A,0))="Pending",1,0),0)</f>
        <v>0</v>
      </c>
      <c r="AQ93" s="39" t="str">
        <f t="array" ref="AQ93">IF(C93="","",IFERROR(XLOOKUP(C93,Assignments!$C:$C,Assignments!$AU:$AU,0),0))</f>
        <v/>
      </c>
      <c r="AR93" s="39">
        <f>IF(AND(Config!$B$1006="Y",AQ93=1),Config!$B$1007,0)</f>
        <v>0</v>
      </c>
    </row>
    <row r="94" ht="15.75" customHeight="1">
      <c r="A94" s="46" t="str">
        <f t="shared" si="1"/>
        <v/>
      </c>
      <c r="B94" s="40" t="str">
        <f>IF(Bids!$A93="","",Bids!$A93)</f>
        <v/>
      </c>
      <c r="C94" s="40" t="str">
        <f>IF(Bids!$B93="","",Bids!$B93)</f>
        <v/>
      </c>
      <c r="D94" s="40" t="str">
        <f>IF($C94="","",IFERROR(VLOOKUP($C94,Orders!$A$4:$J$998,9,FALSE),""))</f>
        <v/>
      </c>
      <c r="E94" s="40" t="str">
        <f>IF($C94="","",IFERROR(VLOOKUP($C94,Orders!$A$4:$J$998,3,FALSE),""))</f>
        <v/>
      </c>
      <c r="F94" s="40">
        <f t="shared" si="2"/>
        <v>1</v>
      </c>
      <c r="G94" s="40" t="str">
        <f>IF($C94="","",IFERROR(VLOOKUP($C94,Orders!$A$4:$J$998,4,FALSE),""))</f>
        <v/>
      </c>
      <c r="H94" s="40" t="str">
        <f>IF($C94="","",IFERROR(VLOOKUP($C94,Orders!$A$4:$J$998,5,FALSE),""))</f>
        <v/>
      </c>
      <c r="I94" s="40" t="str">
        <f>IF($C94="","",IFERROR(VLOOKUP($C94,Orders!$A$4:$J$998,6,FALSE),""))</f>
        <v/>
      </c>
      <c r="J94" s="40" t="str">
        <f>IF($C94="","",IFERROR(VLOOKUP($C94,Orders!$A$4:$J$998,7,FALSE),""))</f>
        <v/>
      </c>
      <c r="K94" s="40" t="str">
        <f>IF(Bids!$C93="","",Bids!$C93)</f>
        <v/>
      </c>
      <c r="L94" s="40" t="str">
        <f>IF($K94="","",IFERROR(VLOOKUP($K94,Grinders!$A$4:$N$998,2,FALSE),""))</f>
        <v/>
      </c>
      <c r="M94" s="40" t="str">
        <f>IF($K94="","",IFERROR(VLOOKUP($K94,Grinders!$A$4:$N$998,3,FALSE),""))</f>
        <v/>
      </c>
      <c r="N94" s="40" t="str">
        <f>IF($K94="","",IFERROR(VLOOKUP($K94,Grinders!$A$4:$N$998,4,FALSE),""))</f>
        <v/>
      </c>
      <c r="O94" s="40" t="str">
        <f>IF($K94="","",IFERROR(VLOOKUP($K94,Grinders!$A$4:$N$998,5,FALSE),""))</f>
        <v/>
      </c>
      <c r="P94" s="40" t="str">
        <f>IF($K94="","",IF($C$4="",0,COUNTIFS(Assignments!$B$6:$B$1000,$K94,Assignments!$F$6:$F$1000,$C$4,Assignments!$E$6:$E$1000,"Active")))</f>
        <v/>
      </c>
      <c r="Q94" s="40" t="str">
        <f t="shared" si="3"/>
        <v/>
      </c>
      <c r="R94" s="40" t="str">
        <f t="shared" si="4"/>
        <v/>
      </c>
      <c r="S94" s="40" t="str">
        <f>IF($K94="","",IF($C$4="",0,COUNTIFS(Assignments!$B$6:$B$1000,$K94,Assignments!$F$6:$F$1000,$C$4,Assignments!$D$6:$D$1000,"&gt;="&amp;Config!$B$3-7,Assignments!$D$6:$D$1000,"&lt;="&amp;Config!$B$3)))</f>
        <v/>
      </c>
      <c r="T94" s="40" t="str">
        <f>IF($K94="","",IFERROR(VLOOKUP($K94,Grinders!$A$4:$N$998,8,FALSE),""))</f>
        <v/>
      </c>
      <c r="U94" s="40" t="str">
        <f>IFERROR(IF($K94="","",IF($M94="Elite",MAX(50,MIN(100,Config!$B$27*MAX(0,MIN(100,(1-IF($R94="",0,$R94))*100)) + Config!$B$28*MAX(0,MIN(100,(1-MIN(1,IF(Config!$B$30=0,1,$S94/Config!$B$30)))*100)) + Config!$B$29*MAX(0,MIN(100,MIN(1,IF($T94="",0,$T94)/Config!$B$23)*100)))),MIN(100,Config!$B$27*MAX(0,MIN(100,(1-IF($R94="",0,$R94))*100)) + Config!$B$28*MAX(0,MIN(100,(1-MIN(1,IF(Config!$B$30=0,1,$S94/Config!$B$30)))*100)) + Config!$B$29*MAX(0,MIN(100,MIN(1,IF($T94="",0,$T94)/Config!$B$23)*100))))),"")
</f>
        <v/>
      </c>
      <c r="V94" s="40" t="str">
        <f>IF(Bids!$AC94="","",Bids!$AC94)</f>
        <v/>
      </c>
      <c r="W94" s="40" t="str">
        <f>IF(Bids!$F93="","",Bids!$F93)</f>
        <v/>
      </c>
      <c r="X94" s="40" t="str">
        <f t="shared" si="5"/>
        <v/>
      </c>
      <c r="Y94" s="40" t="str">
        <f>IF($X94="","",IF(Config!$B$17=Config!$B$16,IF($X94&gt;=Config!$B$17,100,0),MAX(0,MIN(100,($X94-Config!$B$16)/(Config!$B$17-Config!$B$16)*100))))</f>
        <v/>
      </c>
      <c r="Z94" s="40">
        <f>IF($M94="Elite",Config!$B$21,0)</f>
        <v>0</v>
      </c>
      <c r="AA94" s="40" t="str">
        <f>IFERROR(IF(OR($W94="",$H94=""),"",IF($W94&gt;$H94,
  MAX(0, 60-(($W94-$H94)*24/Config!$B$19)*60),
  MIN(100, 60+(($H94-$W94)*24/Config!$B$20)*40)
)),"")
</f>
        <v/>
      </c>
      <c r="AB94" s="40" t="str">
        <f>IF($K94="","",IFERROR(VLOOKUP($K94,Grinders!$A$4:$N$998,10,FALSE)/5*100,""))</f>
        <v/>
      </c>
      <c r="AC94" s="40" t="str">
        <f>IF($K94="","",IFERROR(VLOOKUP($K94,Grinders!$A$4:$N$998,11,FALSE)*100,""))</f>
        <v/>
      </c>
      <c r="AD94" s="40" t="str">
        <f>IF($K94="","",IFERROR(VLOOKUP($K94,Grinders!$A$4:$N$998,12,FALSE)*100,""))</f>
        <v/>
      </c>
      <c r="AE94" s="40" t="str">
        <f>IF(OR(AO94=1,AP94=1),0,=IFERROR(IFS(
    OR($C94="", $K94=""), 0,
    $F94=0, 0,
    $D94&lt;&gt;"Open", 0,
    COUNTIFS(GrinderServices!$A$6:$A$1000, $K94, GrinderServices!$B$6:$B$1000, $E94, GrinderServices!$D$6:$D$1000, "Y")=0, 0,
    $X94&lt;Config!$B$16, 0,
    Config!$B$18=1, IF($O94&gt;=N94, 0, 1),
    TRUE, 1
), "")
)</f>
        <v>#ERROR!</v>
      </c>
      <c r="AF94" s="40" t="str">
        <f>IFERROR((IF(OR(AO94=1,AP94=1),"",=IFERROR((IFERROR(IF($AE94=0,"",((Config!$B$6*$Y94 + Config!$B$7*$U94 + Config!$B$8*$Z94 + Config!$B$9*$AA94 + Config!$B$10*$AB94 + Config!$B$11*$AC94 - Config!$B$12*$AD94)/Config!$B$13)+$AK94+$AL94),""))*(1-IFERROR(VLOOKUP(K94,Grinders!$A:$AB, 28, FALSE),0)),"")))*(1+AR94),"")</f>
        <v>#ERROR!</v>
      </c>
      <c r="AG94" s="40" t="str">
        <f t="shared" si="6"/>
        <v>#ERROR!</v>
      </c>
      <c r="AH94" s="40" t="str">
        <f t="shared" si="7"/>
        <v/>
      </c>
      <c r="AI94" s="40" t="str">
        <f t="shared" si="8"/>
        <v/>
      </c>
      <c r="AJ94" s="40" t="str">
        <f>IF($K94="","",COUNTIF(Assignments!$B$6:$B$1000,$K94))</f>
        <v/>
      </c>
      <c r="AK94" s="40" t="str">
        <f>IF($K94="","",IF(AND($AJ94=0,$O94&lt;$N94),Config!$B$43,0))</f>
        <v/>
      </c>
      <c r="AL94" s="40" t="str">
        <f>IF($K94="","",IF(AND($M94="Elite",$G94&gt;=Config!$B$41,$O94&lt;$N94),Config!$B$42,0))</f>
        <v/>
      </c>
      <c r="AM94" s="22"/>
      <c r="AN94" s="39">
        <f>IFERROR(VLOOKUP(K94,Grinders!$A:$Q,28,FALSE),0)</f>
        <v>0</v>
      </c>
      <c r="AO94" s="39">
        <f>IF(Config!$B$1003&lt;&gt;"Y",0,IF(IFERROR(VLOOKUP(K94,Grinders!$A:$P,27,FALSE),0)&gt;=3,IF(OR(G94&gt;=Config!$B$1001,ISNUMBER(SEARCH(E94,Config!$B$1002))),1,0),0))</f>
        <v>0</v>
      </c>
      <c r="AP94" s="39">
        <f t="array" ref="AP94">IFERROR(IF(INDEX(Bids!$AE:$AE,MATCH(B94,Bids!$A:$A,0))="Pending",1,0),0)</f>
        <v>0</v>
      </c>
      <c r="AQ94" s="39" t="str">
        <f t="array" ref="AQ94">IF(C94="","",IFERROR(XLOOKUP(C94,Assignments!$C:$C,Assignments!$AU:$AU,0),0))</f>
        <v/>
      </c>
      <c r="AR94" s="39">
        <f>IF(AND(Config!$B$1006="Y",AQ94=1),Config!$B$1007,0)</f>
        <v>0</v>
      </c>
    </row>
    <row r="95" ht="15.75" customHeight="1">
      <c r="A95" s="46" t="str">
        <f t="shared" si="1"/>
        <v/>
      </c>
      <c r="B95" s="40" t="str">
        <f>IF(Bids!$A94="","",Bids!$A94)</f>
        <v/>
      </c>
      <c r="C95" s="40" t="str">
        <f>IF(Bids!$B94="","",Bids!$B94)</f>
        <v/>
      </c>
      <c r="D95" s="40" t="str">
        <f>IF($C95="","",IFERROR(VLOOKUP($C95,Orders!$A$4:$J$998,9,FALSE),""))</f>
        <v/>
      </c>
      <c r="E95" s="40" t="str">
        <f>IF($C95="","",IFERROR(VLOOKUP($C95,Orders!$A$4:$J$998,3,FALSE),""))</f>
        <v/>
      </c>
      <c r="F95" s="40">
        <f t="shared" si="2"/>
        <v>1</v>
      </c>
      <c r="G95" s="40" t="str">
        <f>IF($C95="","",IFERROR(VLOOKUP($C95,Orders!$A$4:$J$998,4,FALSE),""))</f>
        <v/>
      </c>
      <c r="H95" s="40" t="str">
        <f>IF($C95="","",IFERROR(VLOOKUP($C95,Orders!$A$4:$J$998,5,FALSE),""))</f>
        <v/>
      </c>
      <c r="I95" s="40" t="str">
        <f>IF($C95="","",IFERROR(VLOOKUP($C95,Orders!$A$4:$J$998,6,FALSE),""))</f>
        <v/>
      </c>
      <c r="J95" s="40" t="str">
        <f>IF($C95="","",IFERROR(VLOOKUP($C95,Orders!$A$4:$J$998,7,FALSE),""))</f>
        <v/>
      </c>
      <c r="K95" s="40" t="str">
        <f>IF(Bids!$C94="","",Bids!$C94)</f>
        <v/>
      </c>
      <c r="L95" s="40" t="str">
        <f>IF($K95="","",IFERROR(VLOOKUP($K95,Grinders!$A$4:$N$998,2,FALSE),""))</f>
        <v/>
      </c>
      <c r="M95" s="40" t="str">
        <f>IF($K95="","",IFERROR(VLOOKUP($K95,Grinders!$A$4:$N$998,3,FALSE),""))</f>
        <v/>
      </c>
      <c r="N95" s="40" t="str">
        <f>IF($K95="","",IFERROR(VLOOKUP($K95,Grinders!$A$4:$N$998,4,FALSE),""))</f>
        <v/>
      </c>
      <c r="O95" s="40" t="str">
        <f>IF($K95="","",IFERROR(VLOOKUP($K95,Grinders!$A$4:$N$998,5,FALSE),""))</f>
        <v/>
      </c>
      <c r="P95" s="40" t="str">
        <f>IF($K95="","",IF($C$4="",0,COUNTIFS(Assignments!$B$6:$B$1000,$K95,Assignments!$F$6:$F$1000,$C$4,Assignments!$E$6:$E$1000,"Active")))</f>
        <v/>
      </c>
      <c r="Q95" s="40" t="str">
        <f t="shared" si="3"/>
        <v/>
      </c>
      <c r="R95" s="40" t="str">
        <f t="shared" si="4"/>
        <v/>
      </c>
      <c r="S95" s="40" t="str">
        <f>IF($K95="","",IF($C$4="",0,COUNTIFS(Assignments!$B$6:$B$1000,$K95,Assignments!$F$6:$F$1000,$C$4,Assignments!$D$6:$D$1000,"&gt;="&amp;Config!$B$3-7,Assignments!$D$6:$D$1000,"&lt;="&amp;Config!$B$3)))</f>
        <v/>
      </c>
      <c r="T95" s="40" t="str">
        <f>IF($K95="","",IFERROR(VLOOKUP($K95,Grinders!$A$4:$N$998,8,FALSE),""))</f>
        <v/>
      </c>
      <c r="U95" s="40" t="str">
        <f>IFERROR(IF($K95="","",IF($M95="Elite",MAX(50,MIN(100,Config!$B$27*MAX(0,MIN(100,(1-IF($R95="",0,$R95))*100)) + Config!$B$28*MAX(0,MIN(100,(1-MIN(1,IF(Config!$B$30=0,1,$S95/Config!$B$30)))*100)) + Config!$B$29*MAX(0,MIN(100,MIN(1,IF($T95="",0,$T95)/Config!$B$23)*100)))),MIN(100,Config!$B$27*MAX(0,MIN(100,(1-IF($R95="",0,$R95))*100)) + Config!$B$28*MAX(0,MIN(100,(1-MIN(1,IF(Config!$B$30=0,1,$S95/Config!$B$30)))*100)) + Config!$B$29*MAX(0,MIN(100,MIN(1,IF($T95="",0,$T95)/Config!$B$23)*100))))),"")
</f>
        <v/>
      </c>
      <c r="V95" s="40" t="str">
        <f>IF(Bids!$AC95="","",Bids!$AC95)</f>
        <v/>
      </c>
      <c r="W95" s="40" t="str">
        <f>IF(Bids!$F94="","",Bids!$F94)</f>
        <v/>
      </c>
      <c r="X95" s="40" t="str">
        <f t="shared" si="5"/>
        <v/>
      </c>
      <c r="Y95" s="40" t="str">
        <f>IF($X95="","",IF(Config!$B$17=Config!$B$16,IF($X95&gt;=Config!$B$17,100,0),MAX(0,MIN(100,($X95-Config!$B$16)/(Config!$B$17-Config!$B$16)*100))))</f>
        <v/>
      </c>
      <c r="Z95" s="40">
        <f>IF($M95="Elite",Config!$B$21,0)</f>
        <v>0</v>
      </c>
      <c r="AA95" s="40" t="str">
        <f>IFERROR(IF(OR($W95="",$H95=""),"",IF($W95&gt;$H95,
  MAX(0, 60-(($W95-$H95)*24/Config!$B$19)*60),
  MIN(100, 60+(($H95-$W95)*24/Config!$B$20)*40)
)),"")
</f>
        <v/>
      </c>
      <c r="AB95" s="40" t="str">
        <f>IF($K95="","",IFERROR(VLOOKUP($K95,Grinders!$A$4:$N$998,10,FALSE)/5*100,""))</f>
        <v/>
      </c>
      <c r="AC95" s="40" t="str">
        <f>IF($K95="","",IFERROR(VLOOKUP($K95,Grinders!$A$4:$N$998,11,FALSE)*100,""))</f>
        <v/>
      </c>
      <c r="AD95" s="40" t="str">
        <f>IF($K95="","",IFERROR(VLOOKUP($K95,Grinders!$A$4:$N$998,12,FALSE)*100,""))</f>
        <v/>
      </c>
      <c r="AE95" s="40" t="str">
        <f>IF(OR(AO95=1,AP95=1),0,=IFERROR(IFS(
    OR($C95="", $K95=""), 0,
    $F95=0, 0,
    $D95&lt;&gt;"Open", 0,
    COUNTIFS(GrinderServices!$A$6:$A$1000, $K95, GrinderServices!$B$6:$B$1000, $E95, GrinderServices!$D$6:$D$1000, "Y")=0, 0,
    $X95&lt;Config!$B$16, 0,
    Config!$B$18=1, IF($O95&gt;=N95, 0, 1),
    TRUE, 1
), "")
)</f>
        <v>#ERROR!</v>
      </c>
      <c r="AF95" s="40" t="str">
        <f>IFERROR((IF(OR(AO95=1,AP95=1),"",=IFERROR((IFERROR(IF($AE95=0,"",((Config!$B$6*$Y95 + Config!$B$7*$U95 + Config!$B$8*$Z95 + Config!$B$9*$AA95 + Config!$B$10*$AB95 + Config!$B$11*$AC95 - Config!$B$12*$AD95)/Config!$B$13)+$AK95+$AL95),""))*(1-IFERROR(VLOOKUP(K95,Grinders!$A:$AB, 28, FALSE),0)),"")))*(1+AR95),"")</f>
        <v>#ERROR!</v>
      </c>
      <c r="AG95" s="40" t="str">
        <f t="shared" si="6"/>
        <v>#ERROR!</v>
      </c>
      <c r="AH95" s="40" t="str">
        <f t="shared" si="7"/>
        <v/>
      </c>
      <c r="AI95" s="40" t="str">
        <f t="shared" si="8"/>
        <v/>
      </c>
      <c r="AJ95" s="40" t="str">
        <f>IF($K95="","",COUNTIF(Assignments!$B$6:$B$1000,$K95))</f>
        <v/>
      </c>
      <c r="AK95" s="40" t="str">
        <f>IF($K95="","",IF(AND($AJ95=0,$O95&lt;$N95),Config!$B$43,0))</f>
        <v/>
      </c>
      <c r="AL95" s="40" t="str">
        <f>IF($K95="","",IF(AND($M95="Elite",$G95&gt;=Config!$B$41,$O95&lt;$N95),Config!$B$42,0))</f>
        <v/>
      </c>
      <c r="AM95" s="22"/>
      <c r="AN95" s="39">
        <f>IFERROR(VLOOKUP(K95,Grinders!$A:$Q,28,FALSE),0)</f>
        <v>0</v>
      </c>
      <c r="AO95" s="39">
        <f>IF(Config!$B$1003&lt;&gt;"Y",0,IF(IFERROR(VLOOKUP(K95,Grinders!$A:$P,27,FALSE),0)&gt;=3,IF(OR(G95&gt;=Config!$B$1001,ISNUMBER(SEARCH(E95,Config!$B$1002))),1,0),0))</f>
        <v>0</v>
      </c>
      <c r="AP95" s="39">
        <f t="array" ref="AP95">IFERROR(IF(INDEX(Bids!$AE:$AE,MATCH(B95,Bids!$A:$A,0))="Pending",1,0),0)</f>
        <v>0</v>
      </c>
      <c r="AQ95" s="39" t="str">
        <f t="array" ref="AQ95">IF(C95="","",IFERROR(XLOOKUP(C95,Assignments!$C:$C,Assignments!$AU:$AU,0),0))</f>
        <v/>
      </c>
      <c r="AR95" s="39">
        <f>IF(AND(Config!$B$1006="Y",AQ95=1),Config!$B$1007,0)</f>
        <v>0</v>
      </c>
    </row>
    <row r="96" ht="15.75" customHeight="1">
      <c r="A96" s="46" t="str">
        <f t="shared" si="1"/>
        <v/>
      </c>
      <c r="B96" s="40" t="str">
        <f>IF(Bids!$A95="","",Bids!$A95)</f>
        <v/>
      </c>
      <c r="C96" s="40" t="str">
        <f>IF(Bids!$B95="","",Bids!$B95)</f>
        <v/>
      </c>
      <c r="D96" s="40" t="str">
        <f>IF($C96="","",IFERROR(VLOOKUP($C96,Orders!$A$4:$J$998,9,FALSE),""))</f>
        <v/>
      </c>
      <c r="E96" s="40" t="str">
        <f>IF($C96="","",IFERROR(VLOOKUP($C96,Orders!$A$4:$J$998,3,FALSE),""))</f>
        <v/>
      </c>
      <c r="F96" s="40">
        <f t="shared" si="2"/>
        <v>1</v>
      </c>
      <c r="G96" s="40" t="str">
        <f>IF($C96="","",IFERROR(VLOOKUP($C96,Orders!$A$4:$J$998,4,FALSE),""))</f>
        <v/>
      </c>
      <c r="H96" s="40" t="str">
        <f>IF($C96="","",IFERROR(VLOOKUP($C96,Orders!$A$4:$J$998,5,FALSE),""))</f>
        <v/>
      </c>
      <c r="I96" s="40" t="str">
        <f>IF($C96="","",IFERROR(VLOOKUP($C96,Orders!$A$4:$J$998,6,FALSE),""))</f>
        <v/>
      </c>
      <c r="J96" s="40" t="str">
        <f>IF($C96="","",IFERROR(VLOOKUP($C96,Orders!$A$4:$J$998,7,FALSE),""))</f>
        <v/>
      </c>
      <c r="K96" s="40" t="str">
        <f>IF(Bids!$C95="","",Bids!$C95)</f>
        <v/>
      </c>
      <c r="L96" s="40" t="str">
        <f>IF($K96="","",IFERROR(VLOOKUP($K96,Grinders!$A$4:$N$998,2,FALSE),""))</f>
        <v/>
      </c>
      <c r="M96" s="40" t="str">
        <f>IF($K96="","",IFERROR(VLOOKUP($K96,Grinders!$A$4:$N$998,3,FALSE),""))</f>
        <v/>
      </c>
      <c r="N96" s="40" t="str">
        <f>IF($K96="","",IFERROR(VLOOKUP($K96,Grinders!$A$4:$N$998,4,FALSE),""))</f>
        <v/>
      </c>
      <c r="O96" s="40" t="str">
        <f>IF($K96="","",IFERROR(VLOOKUP($K96,Grinders!$A$4:$N$998,5,FALSE),""))</f>
        <v/>
      </c>
      <c r="P96" s="40" t="str">
        <f>IF($K96="","",IF($C$4="",0,COUNTIFS(Assignments!$B$6:$B$1000,$K96,Assignments!$F$6:$F$1000,$C$4,Assignments!$E$6:$E$1000,"Active")))</f>
        <v/>
      </c>
      <c r="Q96" s="40" t="str">
        <f t="shared" si="3"/>
        <v/>
      </c>
      <c r="R96" s="40" t="str">
        <f t="shared" si="4"/>
        <v/>
      </c>
      <c r="S96" s="40" t="str">
        <f>IF($K96="","",IF($C$4="",0,COUNTIFS(Assignments!$B$6:$B$1000,$K96,Assignments!$F$6:$F$1000,$C$4,Assignments!$D$6:$D$1000,"&gt;="&amp;Config!$B$3-7,Assignments!$D$6:$D$1000,"&lt;="&amp;Config!$B$3)))</f>
        <v/>
      </c>
      <c r="T96" s="40" t="str">
        <f>IF($K96="","",IFERROR(VLOOKUP($K96,Grinders!$A$4:$N$998,8,FALSE),""))</f>
        <v/>
      </c>
      <c r="U96" s="40" t="str">
        <f>IFERROR(IF($K96="","",IF($M96="Elite",MAX(50,MIN(100,Config!$B$27*MAX(0,MIN(100,(1-IF($R96="",0,$R96))*100)) + Config!$B$28*MAX(0,MIN(100,(1-MIN(1,IF(Config!$B$30=0,1,$S96/Config!$B$30)))*100)) + Config!$B$29*MAX(0,MIN(100,MIN(1,IF($T96="",0,$T96)/Config!$B$23)*100)))),MIN(100,Config!$B$27*MAX(0,MIN(100,(1-IF($R96="",0,$R96))*100)) + Config!$B$28*MAX(0,MIN(100,(1-MIN(1,IF(Config!$B$30=0,1,$S96/Config!$B$30)))*100)) + Config!$B$29*MAX(0,MIN(100,MIN(1,IF($T96="",0,$T96)/Config!$B$23)*100))))),"")
</f>
        <v/>
      </c>
      <c r="V96" s="40" t="str">
        <f>IF(Bids!$AC96="","",Bids!$AC96)</f>
        <v/>
      </c>
      <c r="W96" s="40" t="str">
        <f>IF(Bids!$F95="","",Bids!$F95)</f>
        <v/>
      </c>
      <c r="X96" s="40" t="str">
        <f t="shared" si="5"/>
        <v/>
      </c>
      <c r="Y96" s="40" t="str">
        <f>IF($X96="","",IF(Config!$B$17=Config!$B$16,IF($X96&gt;=Config!$B$17,100,0),MAX(0,MIN(100,($X96-Config!$B$16)/(Config!$B$17-Config!$B$16)*100))))</f>
        <v/>
      </c>
      <c r="Z96" s="40">
        <f>IF($M96="Elite",Config!$B$21,0)</f>
        <v>0</v>
      </c>
      <c r="AA96" s="40" t="str">
        <f>IFERROR(IF(OR($W96="",$H96=""),"",IF($W96&gt;$H96,
  MAX(0, 60-(($W96-$H96)*24/Config!$B$19)*60),
  MIN(100, 60+(($H96-$W96)*24/Config!$B$20)*40)
)),"")
</f>
        <v/>
      </c>
      <c r="AB96" s="40" t="str">
        <f>IF($K96="","",IFERROR(VLOOKUP($K96,Grinders!$A$4:$N$998,10,FALSE)/5*100,""))</f>
        <v/>
      </c>
      <c r="AC96" s="40" t="str">
        <f>IF($K96="","",IFERROR(VLOOKUP($K96,Grinders!$A$4:$N$998,11,FALSE)*100,""))</f>
        <v/>
      </c>
      <c r="AD96" s="40" t="str">
        <f>IF($K96="","",IFERROR(VLOOKUP($K96,Grinders!$A$4:$N$998,12,FALSE)*100,""))</f>
        <v/>
      </c>
      <c r="AE96" s="40" t="str">
        <f>IF(OR(AO96=1,AP96=1),0,=IFERROR(IFS(
    OR($C96="", $K96=""), 0,
    $F96=0, 0,
    $D96&lt;&gt;"Open", 0,
    COUNTIFS(GrinderServices!$A$6:$A$1000, $K96, GrinderServices!$B$6:$B$1000, $E96, GrinderServices!$D$6:$D$1000, "Y")=0, 0,
    $X96&lt;Config!$B$16, 0,
    Config!$B$18=1, IF($O96&gt;=N96, 0, 1),
    TRUE, 1
), "")
)</f>
        <v>#ERROR!</v>
      </c>
      <c r="AF96" s="40" t="str">
        <f>IFERROR((IF(OR(AO96=1,AP96=1),"",=IFERROR((IFERROR(IF($AE96=0,"",((Config!$B$6*$Y96 + Config!$B$7*$U96 + Config!$B$8*$Z96 + Config!$B$9*$AA96 + Config!$B$10*$AB96 + Config!$B$11*$AC96 - Config!$B$12*$AD96)/Config!$B$13)+$AK96+$AL96),""))*(1-IFERROR(VLOOKUP(K96,Grinders!$A:$AB, 28, FALSE),0)),"")))*(1+AR96),"")</f>
        <v>#ERROR!</v>
      </c>
      <c r="AG96" s="40" t="str">
        <f t="shared" si="6"/>
        <v>#ERROR!</v>
      </c>
      <c r="AH96" s="40" t="str">
        <f t="shared" si="7"/>
        <v/>
      </c>
      <c r="AI96" s="40" t="str">
        <f t="shared" si="8"/>
        <v/>
      </c>
      <c r="AJ96" s="40" t="str">
        <f>IF($K96="","",COUNTIF(Assignments!$B$6:$B$1000,$K96))</f>
        <v/>
      </c>
      <c r="AK96" s="40" t="str">
        <f>IF($K96="","",IF(AND($AJ96=0,$O96&lt;$N96),Config!$B$43,0))</f>
        <v/>
      </c>
      <c r="AL96" s="40" t="str">
        <f>IF($K96="","",IF(AND($M96="Elite",$G96&gt;=Config!$B$41,$O96&lt;$N96),Config!$B$42,0))</f>
        <v/>
      </c>
      <c r="AM96" s="22"/>
      <c r="AN96" s="39">
        <f>IFERROR(VLOOKUP(K96,Grinders!$A:$Q,28,FALSE),0)</f>
        <v>0</v>
      </c>
      <c r="AO96" s="39">
        <f>IF(Config!$B$1003&lt;&gt;"Y",0,IF(IFERROR(VLOOKUP(K96,Grinders!$A:$P,27,FALSE),0)&gt;=3,IF(OR(G96&gt;=Config!$B$1001,ISNUMBER(SEARCH(E96,Config!$B$1002))),1,0),0))</f>
        <v>0</v>
      </c>
      <c r="AP96" s="39">
        <f t="array" ref="AP96">IFERROR(IF(INDEX(Bids!$AE:$AE,MATCH(B96,Bids!$A:$A,0))="Pending",1,0),0)</f>
        <v>0</v>
      </c>
      <c r="AQ96" s="39" t="str">
        <f t="array" ref="AQ96">IF(C96="","",IFERROR(XLOOKUP(C96,Assignments!$C:$C,Assignments!$AU:$AU,0),0))</f>
        <v/>
      </c>
      <c r="AR96" s="39">
        <f>IF(AND(Config!$B$1006="Y",AQ96=1),Config!$B$1007,0)</f>
        <v>0</v>
      </c>
    </row>
    <row r="97" ht="15.75" customHeight="1">
      <c r="A97" s="46" t="str">
        <f t="shared" si="1"/>
        <v/>
      </c>
      <c r="B97" s="40" t="str">
        <f>IF(Bids!$A96="","",Bids!$A96)</f>
        <v/>
      </c>
      <c r="C97" s="40" t="str">
        <f>IF(Bids!$B96="","",Bids!$B96)</f>
        <v/>
      </c>
      <c r="D97" s="40" t="str">
        <f>IF($C97="","",IFERROR(VLOOKUP($C97,Orders!$A$4:$J$998,9,FALSE),""))</f>
        <v/>
      </c>
      <c r="E97" s="40" t="str">
        <f>IF($C97="","",IFERROR(VLOOKUP($C97,Orders!$A$4:$J$998,3,FALSE),""))</f>
        <v/>
      </c>
      <c r="F97" s="40">
        <f t="shared" si="2"/>
        <v>1</v>
      </c>
      <c r="G97" s="40" t="str">
        <f>IF($C97="","",IFERROR(VLOOKUP($C97,Orders!$A$4:$J$998,4,FALSE),""))</f>
        <v/>
      </c>
      <c r="H97" s="40" t="str">
        <f>IF($C97="","",IFERROR(VLOOKUP($C97,Orders!$A$4:$J$998,5,FALSE),""))</f>
        <v/>
      </c>
      <c r="I97" s="40" t="str">
        <f>IF($C97="","",IFERROR(VLOOKUP($C97,Orders!$A$4:$J$998,6,FALSE),""))</f>
        <v/>
      </c>
      <c r="J97" s="40" t="str">
        <f>IF($C97="","",IFERROR(VLOOKUP($C97,Orders!$A$4:$J$998,7,FALSE),""))</f>
        <v/>
      </c>
      <c r="K97" s="40" t="str">
        <f>IF(Bids!$C96="","",Bids!$C96)</f>
        <v/>
      </c>
      <c r="L97" s="40" t="str">
        <f>IF($K97="","",IFERROR(VLOOKUP($K97,Grinders!$A$4:$N$998,2,FALSE),""))</f>
        <v/>
      </c>
      <c r="M97" s="40" t="str">
        <f>IF($K97="","",IFERROR(VLOOKUP($K97,Grinders!$A$4:$N$998,3,FALSE),""))</f>
        <v/>
      </c>
      <c r="N97" s="40" t="str">
        <f>IF($K97="","",IFERROR(VLOOKUP($K97,Grinders!$A$4:$N$998,4,FALSE),""))</f>
        <v/>
      </c>
      <c r="O97" s="40" t="str">
        <f>IF($K97="","",IFERROR(VLOOKUP($K97,Grinders!$A$4:$N$998,5,FALSE),""))</f>
        <v/>
      </c>
      <c r="P97" s="40" t="str">
        <f>IF($K97="","",IF($C$4="",0,COUNTIFS(Assignments!$B$6:$B$1000,$K97,Assignments!$F$6:$F$1000,$C$4,Assignments!$E$6:$E$1000,"Active")))</f>
        <v/>
      </c>
      <c r="Q97" s="40" t="str">
        <f t="shared" si="3"/>
        <v/>
      </c>
      <c r="R97" s="40" t="str">
        <f t="shared" si="4"/>
        <v/>
      </c>
      <c r="S97" s="40" t="str">
        <f>IF($K97="","",IF($C$4="",0,COUNTIFS(Assignments!$B$6:$B$1000,$K97,Assignments!$F$6:$F$1000,$C$4,Assignments!$D$6:$D$1000,"&gt;="&amp;Config!$B$3-7,Assignments!$D$6:$D$1000,"&lt;="&amp;Config!$B$3)))</f>
        <v/>
      </c>
      <c r="T97" s="40" t="str">
        <f>IF($K97="","",IFERROR(VLOOKUP($K97,Grinders!$A$4:$N$998,8,FALSE),""))</f>
        <v/>
      </c>
      <c r="U97" s="40" t="str">
        <f>IFERROR(IF($K97="","",IF($M97="Elite",MAX(50,MIN(100,Config!$B$27*MAX(0,MIN(100,(1-IF($R97="",0,$R97))*100)) + Config!$B$28*MAX(0,MIN(100,(1-MIN(1,IF(Config!$B$30=0,1,$S97/Config!$B$30)))*100)) + Config!$B$29*MAX(0,MIN(100,MIN(1,IF($T97="",0,$T97)/Config!$B$23)*100)))),MIN(100,Config!$B$27*MAX(0,MIN(100,(1-IF($R97="",0,$R97))*100)) + Config!$B$28*MAX(0,MIN(100,(1-MIN(1,IF(Config!$B$30=0,1,$S97/Config!$B$30)))*100)) + Config!$B$29*MAX(0,MIN(100,MIN(1,IF($T97="",0,$T97)/Config!$B$23)*100))))),"")
</f>
        <v/>
      </c>
      <c r="V97" s="40" t="str">
        <f>IF(Bids!$AC97="","",Bids!$AC97)</f>
        <v/>
      </c>
      <c r="W97" s="40" t="str">
        <f>IF(Bids!$F96="","",Bids!$F96)</f>
        <v/>
      </c>
      <c r="X97" s="40" t="str">
        <f t="shared" si="5"/>
        <v/>
      </c>
      <c r="Y97" s="40" t="str">
        <f>IF($X97="","",IF(Config!$B$17=Config!$B$16,IF($X97&gt;=Config!$B$17,100,0),MAX(0,MIN(100,($X97-Config!$B$16)/(Config!$B$17-Config!$B$16)*100))))</f>
        <v/>
      </c>
      <c r="Z97" s="40">
        <f>IF($M97="Elite",Config!$B$21,0)</f>
        <v>0</v>
      </c>
      <c r="AA97" s="40" t="str">
        <f>IFERROR(IF(OR($W97="",$H97=""),"",IF($W97&gt;$H97,
  MAX(0, 60-(($W97-$H97)*24/Config!$B$19)*60),
  MIN(100, 60+(($H97-$W97)*24/Config!$B$20)*40)
)),"")
</f>
        <v/>
      </c>
      <c r="AB97" s="40" t="str">
        <f>IF($K97="","",IFERROR(VLOOKUP($K97,Grinders!$A$4:$N$998,10,FALSE)/5*100,""))</f>
        <v/>
      </c>
      <c r="AC97" s="40" t="str">
        <f>IF($K97="","",IFERROR(VLOOKUP($K97,Grinders!$A$4:$N$998,11,FALSE)*100,""))</f>
        <v/>
      </c>
      <c r="AD97" s="40" t="str">
        <f>IF($K97="","",IFERROR(VLOOKUP($K97,Grinders!$A$4:$N$998,12,FALSE)*100,""))</f>
        <v/>
      </c>
      <c r="AE97" s="40" t="str">
        <f>IF(OR(AO97=1,AP97=1),0,=IFERROR(IFS(
    OR($C97="", $K97=""), 0,
    $F97=0, 0,
    $D97&lt;&gt;"Open", 0,
    COUNTIFS(GrinderServices!$A$6:$A$1000, $K97, GrinderServices!$B$6:$B$1000, $E97, GrinderServices!$D$6:$D$1000, "Y")=0, 0,
    $X97&lt;Config!$B$16, 0,
    Config!$B$18=1, IF($O97&gt;=N97, 0, 1),
    TRUE, 1
), "")
)</f>
        <v>#ERROR!</v>
      </c>
      <c r="AF97" s="40" t="str">
        <f>IFERROR((IF(OR(AO97=1,AP97=1),"",=IFERROR((IFERROR(IF($AE97=0,"",((Config!$B$6*$Y97 + Config!$B$7*$U97 + Config!$B$8*$Z97 + Config!$B$9*$AA97 + Config!$B$10*$AB97 + Config!$B$11*$AC97 - Config!$B$12*$AD97)/Config!$B$13)+$AK97+$AL97),""))*(1-IFERROR(VLOOKUP(K97,Grinders!$A:$AB, 28, FALSE),0)),"")))*(1+AR97),"")</f>
        <v>#ERROR!</v>
      </c>
      <c r="AG97" s="40" t="str">
        <f t="shared" si="6"/>
        <v>#ERROR!</v>
      </c>
      <c r="AH97" s="40" t="str">
        <f t="shared" si="7"/>
        <v/>
      </c>
      <c r="AI97" s="40" t="str">
        <f t="shared" si="8"/>
        <v/>
      </c>
      <c r="AJ97" s="40" t="str">
        <f>IF($K97="","",COUNTIF(Assignments!$B$6:$B$1000,$K97))</f>
        <v/>
      </c>
      <c r="AK97" s="40" t="str">
        <f>IF($K97="","",IF(AND($AJ97=0,$O97&lt;$N97),Config!$B$43,0))</f>
        <v/>
      </c>
      <c r="AL97" s="40" t="str">
        <f>IF($K97="","",IF(AND($M97="Elite",$G97&gt;=Config!$B$41,$O97&lt;$N97),Config!$B$42,0))</f>
        <v/>
      </c>
      <c r="AM97" s="22"/>
      <c r="AN97" s="39">
        <f>IFERROR(VLOOKUP(K97,Grinders!$A:$Q,28,FALSE),0)</f>
        <v>0</v>
      </c>
      <c r="AO97" s="39">
        <f>IF(Config!$B$1003&lt;&gt;"Y",0,IF(IFERROR(VLOOKUP(K97,Grinders!$A:$P,27,FALSE),0)&gt;=3,IF(OR(G97&gt;=Config!$B$1001,ISNUMBER(SEARCH(E97,Config!$B$1002))),1,0),0))</f>
        <v>0</v>
      </c>
      <c r="AP97" s="39">
        <f t="array" ref="AP97">IFERROR(IF(INDEX(Bids!$AE:$AE,MATCH(B97,Bids!$A:$A,0))="Pending",1,0),0)</f>
        <v>0</v>
      </c>
      <c r="AQ97" s="39" t="str">
        <f t="array" ref="AQ97">IF(C97="","",IFERROR(XLOOKUP(C97,Assignments!$C:$C,Assignments!$AU:$AU,0),0))</f>
        <v/>
      </c>
      <c r="AR97" s="39">
        <f>IF(AND(Config!$B$1006="Y",AQ97=1),Config!$B$1007,0)</f>
        <v>0</v>
      </c>
    </row>
    <row r="98" ht="15.75" customHeight="1">
      <c r="A98" s="46" t="str">
        <f t="shared" si="1"/>
        <v/>
      </c>
      <c r="B98" s="40" t="str">
        <f>IF(Bids!$A97="","",Bids!$A97)</f>
        <v/>
      </c>
      <c r="C98" s="40" t="str">
        <f>IF(Bids!$B97="","",Bids!$B97)</f>
        <v/>
      </c>
      <c r="D98" s="40" t="str">
        <f>IF($C98="","",IFERROR(VLOOKUP($C98,Orders!$A$4:$J$998,9,FALSE),""))</f>
        <v/>
      </c>
      <c r="E98" s="40" t="str">
        <f>IF($C98="","",IFERROR(VLOOKUP($C98,Orders!$A$4:$J$998,3,FALSE),""))</f>
        <v/>
      </c>
      <c r="F98" s="40">
        <f t="shared" si="2"/>
        <v>1</v>
      </c>
      <c r="G98" s="40" t="str">
        <f>IF($C98="","",IFERROR(VLOOKUP($C98,Orders!$A$4:$J$998,4,FALSE),""))</f>
        <v/>
      </c>
      <c r="H98" s="40" t="str">
        <f>IF($C98="","",IFERROR(VLOOKUP($C98,Orders!$A$4:$J$998,5,FALSE),""))</f>
        <v/>
      </c>
      <c r="I98" s="40" t="str">
        <f>IF($C98="","",IFERROR(VLOOKUP($C98,Orders!$A$4:$J$998,6,FALSE),""))</f>
        <v/>
      </c>
      <c r="J98" s="40" t="str">
        <f>IF($C98="","",IFERROR(VLOOKUP($C98,Orders!$A$4:$J$998,7,FALSE),""))</f>
        <v/>
      </c>
      <c r="K98" s="40" t="str">
        <f>IF(Bids!$C97="","",Bids!$C97)</f>
        <v/>
      </c>
      <c r="L98" s="40" t="str">
        <f>IF($K98="","",IFERROR(VLOOKUP($K98,Grinders!$A$4:$N$998,2,FALSE),""))</f>
        <v/>
      </c>
      <c r="M98" s="40" t="str">
        <f>IF($K98="","",IFERROR(VLOOKUP($K98,Grinders!$A$4:$N$998,3,FALSE),""))</f>
        <v/>
      </c>
      <c r="N98" s="40" t="str">
        <f>IF($K98="","",IFERROR(VLOOKUP($K98,Grinders!$A$4:$N$998,4,FALSE),""))</f>
        <v/>
      </c>
      <c r="O98" s="40" t="str">
        <f>IF($K98="","",IFERROR(VLOOKUP($K98,Grinders!$A$4:$N$998,5,FALSE),""))</f>
        <v/>
      </c>
      <c r="P98" s="40" t="str">
        <f>IF($K98="","",IF($C$4="",0,COUNTIFS(Assignments!$B$6:$B$1000,$K98,Assignments!$F$6:$F$1000,$C$4,Assignments!$E$6:$E$1000,"Active")))</f>
        <v/>
      </c>
      <c r="Q98" s="40" t="str">
        <f t="shared" si="3"/>
        <v/>
      </c>
      <c r="R98" s="40" t="str">
        <f t="shared" si="4"/>
        <v/>
      </c>
      <c r="S98" s="40" t="str">
        <f>IF($K98="","",IF($C$4="",0,COUNTIFS(Assignments!$B$6:$B$1000,$K98,Assignments!$F$6:$F$1000,$C$4,Assignments!$D$6:$D$1000,"&gt;="&amp;Config!$B$3-7,Assignments!$D$6:$D$1000,"&lt;="&amp;Config!$B$3)))</f>
        <v/>
      </c>
      <c r="T98" s="40" t="str">
        <f>IF($K98="","",IFERROR(VLOOKUP($K98,Grinders!$A$4:$N$998,8,FALSE),""))</f>
        <v/>
      </c>
      <c r="U98" s="40" t="str">
        <f>IFERROR(IF($K98="","",IF($M98="Elite",MAX(50,MIN(100,Config!$B$27*MAX(0,MIN(100,(1-IF($R98="",0,$R98))*100)) + Config!$B$28*MAX(0,MIN(100,(1-MIN(1,IF(Config!$B$30=0,1,$S98/Config!$B$30)))*100)) + Config!$B$29*MAX(0,MIN(100,MIN(1,IF($T98="",0,$T98)/Config!$B$23)*100)))),MIN(100,Config!$B$27*MAX(0,MIN(100,(1-IF($R98="",0,$R98))*100)) + Config!$B$28*MAX(0,MIN(100,(1-MIN(1,IF(Config!$B$30=0,1,$S98/Config!$B$30)))*100)) + Config!$B$29*MAX(0,MIN(100,MIN(1,IF($T98="",0,$T98)/Config!$B$23)*100))))),"")
</f>
        <v/>
      </c>
      <c r="V98" s="40" t="str">
        <f>IF(Bids!$AC98="","",Bids!$AC98)</f>
        <v/>
      </c>
      <c r="W98" s="40" t="str">
        <f>IF(Bids!$F97="","",Bids!$F97)</f>
        <v/>
      </c>
      <c r="X98" s="40" t="str">
        <f t="shared" si="5"/>
        <v/>
      </c>
      <c r="Y98" s="40" t="str">
        <f>IF($X98="","",IF(Config!$B$17=Config!$B$16,IF($X98&gt;=Config!$B$17,100,0),MAX(0,MIN(100,($X98-Config!$B$16)/(Config!$B$17-Config!$B$16)*100))))</f>
        <v/>
      </c>
      <c r="Z98" s="40">
        <f>IF($M98="Elite",Config!$B$21,0)</f>
        <v>0</v>
      </c>
      <c r="AA98" s="40" t="str">
        <f>IFERROR(IF(OR($W98="",$H98=""),"",IF($W98&gt;$H98,
  MAX(0, 60-(($W98-$H98)*24/Config!$B$19)*60),
  MIN(100, 60+(($H98-$W98)*24/Config!$B$20)*40)
)),"")
</f>
        <v/>
      </c>
      <c r="AB98" s="40" t="str">
        <f>IF($K98="","",IFERROR(VLOOKUP($K98,Grinders!$A$4:$N$998,10,FALSE)/5*100,""))</f>
        <v/>
      </c>
      <c r="AC98" s="40" t="str">
        <f>IF($K98="","",IFERROR(VLOOKUP($K98,Grinders!$A$4:$N$998,11,FALSE)*100,""))</f>
        <v/>
      </c>
      <c r="AD98" s="40" t="str">
        <f>IF($K98="","",IFERROR(VLOOKUP($K98,Grinders!$A$4:$N$998,12,FALSE)*100,""))</f>
        <v/>
      </c>
      <c r="AE98" s="40" t="str">
        <f>IF(OR(AO98=1,AP98=1),0,=IFERROR(IFS(
    OR($C98="", $K98=""), 0,
    $F98=0, 0,
    $D98&lt;&gt;"Open", 0,
    COUNTIFS(GrinderServices!$A$6:$A$1000, $K98, GrinderServices!$B$6:$B$1000, $E98, GrinderServices!$D$6:$D$1000, "Y")=0, 0,
    $X98&lt;Config!$B$16, 0,
    Config!$B$18=1, IF($O98&gt;=N98, 0, 1),
    TRUE, 1
), "")
)</f>
        <v>#ERROR!</v>
      </c>
      <c r="AF98" s="40" t="str">
        <f>IFERROR((IF(OR(AO98=1,AP98=1),"",=IFERROR((IFERROR(IF($AE98=0,"",((Config!$B$6*$Y98 + Config!$B$7*$U98 + Config!$B$8*$Z98 + Config!$B$9*$AA98 + Config!$B$10*$AB98 + Config!$B$11*$AC98 - Config!$B$12*$AD98)/Config!$B$13)+$AK98+$AL98),""))*(1-IFERROR(VLOOKUP(K98,Grinders!$A:$AB, 28, FALSE),0)),"")))*(1+AR98),"")</f>
        <v>#ERROR!</v>
      </c>
      <c r="AG98" s="40" t="str">
        <f t="shared" si="6"/>
        <v>#ERROR!</v>
      </c>
      <c r="AH98" s="40" t="str">
        <f t="shared" si="7"/>
        <v/>
      </c>
      <c r="AI98" s="40" t="str">
        <f t="shared" si="8"/>
        <v/>
      </c>
      <c r="AJ98" s="40" t="str">
        <f>IF($K98="","",COUNTIF(Assignments!$B$6:$B$1000,$K98))</f>
        <v/>
      </c>
      <c r="AK98" s="40" t="str">
        <f>IF($K98="","",IF(AND($AJ98=0,$O98&lt;$N98),Config!$B$43,0))</f>
        <v/>
      </c>
      <c r="AL98" s="40" t="str">
        <f>IF($K98="","",IF(AND($M98="Elite",$G98&gt;=Config!$B$41,$O98&lt;$N98),Config!$B$42,0))</f>
        <v/>
      </c>
      <c r="AM98" s="22"/>
      <c r="AN98" s="39">
        <f>IFERROR(VLOOKUP(K98,Grinders!$A:$Q,28,FALSE),0)</f>
        <v>0</v>
      </c>
      <c r="AO98" s="39">
        <f>IF(Config!$B$1003&lt;&gt;"Y",0,IF(IFERROR(VLOOKUP(K98,Grinders!$A:$P,27,FALSE),0)&gt;=3,IF(OR(G98&gt;=Config!$B$1001,ISNUMBER(SEARCH(E98,Config!$B$1002))),1,0),0))</f>
        <v>0</v>
      </c>
      <c r="AP98" s="39">
        <f t="array" ref="AP98">IFERROR(IF(INDEX(Bids!$AE:$AE,MATCH(B98,Bids!$A:$A,0))="Pending",1,0),0)</f>
        <v>0</v>
      </c>
      <c r="AQ98" s="39" t="str">
        <f t="array" ref="AQ98">IF(C98="","",IFERROR(XLOOKUP(C98,Assignments!$C:$C,Assignments!$AU:$AU,0),0))</f>
        <v/>
      </c>
      <c r="AR98" s="39">
        <f>IF(AND(Config!$B$1006="Y",AQ98=1),Config!$B$1007,0)</f>
        <v>0</v>
      </c>
    </row>
    <row r="99" ht="15.75" customHeight="1">
      <c r="A99" s="46" t="str">
        <f t="shared" si="1"/>
        <v/>
      </c>
      <c r="B99" s="40" t="str">
        <f>IF(Bids!$A98="","",Bids!$A98)</f>
        <v/>
      </c>
      <c r="C99" s="40" t="str">
        <f>IF(Bids!$B98="","",Bids!$B98)</f>
        <v/>
      </c>
      <c r="D99" s="40" t="str">
        <f>IF($C99="","",IFERROR(VLOOKUP($C99,Orders!$A$4:$J$998,9,FALSE),""))</f>
        <v/>
      </c>
      <c r="E99" s="40" t="str">
        <f>IF($C99="","",IFERROR(VLOOKUP($C99,Orders!$A$4:$J$998,3,FALSE),""))</f>
        <v/>
      </c>
      <c r="F99" s="40">
        <f t="shared" si="2"/>
        <v>1</v>
      </c>
      <c r="G99" s="40" t="str">
        <f>IF($C99="","",IFERROR(VLOOKUP($C99,Orders!$A$4:$J$998,4,FALSE),""))</f>
        <v/>
      </c>
      <c r="H99" s="40" t="str">
        <f>IF($C99="","",IFERROR(VLOOKUP($C99,Orders!$A$4:$J$998,5,FALSE),""))</f>
        <v/>
      </c>
      <c r="I99" s="40" t="str">
        <f>IF($C99="","",IFERROR(VLOOKUP($C99,Orders!$A$4:$J$998,6,FALSE),""))</f>
        <v/>
      </c>
      <c r="J99" s="40" t="str">
        <f>IF($C99="","",IFERROR(VLOOKUP($C99,Orders!$A$4:$J$998,7,FALSE),""))</f>
        <v/>
      </c>
      <c r="K99" s="40" t="str">
        <f>IF(Bids!$C98="","",Bids!$C98)</f>
        <v/>
      </c>
      <c r="L99" s="40" t="str">
        <f>IF($K99="","",IFERROR(VLOOKUP($K99,Grinders!$A$4:$N$998,2,FALSE),""))</f>
        <v/>
      </c>
      <c r="M99" s="40" t="str">
        <f>IF($K99="","",IFERROR(VLOOKUP($K99,Grinders!$A$4:$N$998,3,FALSE),""))</f>
        <v/>
      </c>
      <c r="N99" s="40" t="str">
        <f>IF($K99="","",IFERROR(VLOOKUP($K99,Grinders!$A$4:$N$998,4,FALSE),""))</f>
        <v/>
      </c>
      <c r="O99" s="40" t="str">
        <f>IF($K99="","",IFERROR(VLOOKUP($K99,Grinders!$A$4:$N$998,5,FALSE),""))</f>
        <v/>
      </c>
      <c r="P99" s="40" t="str">
        <f>IF($K99="","",IF($C$4="",0,COUNTIFS(Assignments!$B$6:$B$1000,$K99,Assignments!$F$6:$F$1000,$C$4,Assignments!$E$6:$E$1000,"Active")))</f>
        <v/>
      </c>
      <c r="Q99" s="40" t="str">
        <f t="shared" si="3"/>
        <v/>
      </c>
      <c r="R99" s="40" t="str">
        <f t="shared" si="4"/>
        <v/>
      </c>
      <c r="S99" s="40" t="str">
        <f>IF($K99="","",IF($C$4="",0,COUNTIFS(Assignments!$B$6:$B$1000,$K99,Assignments!$F$6:$F$1000,$C$4,Assignments!$D$6:$D$1000,"&gt;="&amp;Config!$B$3-7,Assignments!$D$6:$D$1000,"&lt;="&amp;Config!$B$3)))</f>
        <v/>
      </c>
      <c r="T99" s="40" t="str">
        <f>IF($K99="","",IFERROR(VLOOKUP($K99,Grinders!$A$4:$N$998,8,FALSE),""))</f>
        <v/>
      </c>
      <c r="U99" s="40" t="str">
        <f>IFERROR(IF($K99="","",IF($M99="Elite",MAX(50,MIN(100,Config!$B$27*MAX(0,MIN(100,(1-IF($R99="",0,$R99))*100)) + Config!$B$28*MAX(0,MIN(100,(1-MIN(1,IF(Config!$B$30=0,1,$S99/Config!$B$30)))*100)) + Config!$B$29*MAX(0,MIN(100,MIN(1,IF($T99="",0,$T99)/Config!$B$23)*100)))),MIN(100,Config!$B$27*MAX(0,MIN(100,(1-IF($R99="",0,$R99))*100)) + Config!$B$28*MAX(0,MIN(100,(1-MIN(1,IF(Config!$B$30=0,1,$S99/Config!$B$30)))*100)) + Config!$B$29*MAX(0,MIN(100,MIN(1,IF($T99="",0,$T99)/Config!$B$23)*100))))),"")
</f>
        <v/>
      </c>
      <c r="V99" s="40" t="str">
        <f>IF(Bids!$AC99="","",Bids!$AC99)</f>
        <v/>
      </c>
      <c r="W99" s="40" t="str">
        <f>IF(Bids!$F98="","",Bids!$F98)</f>
        <v/>
      </c>
      <c r="X99" s="40" t="str">
        <f t="shared" si="5"/>
        <v/>
      </c>
      <c r="Y99" s="40" t="str">
        <f>IF($X99="","",IF(Config!$B$17=Config!$B$16,IF($X99&gt;=Config!$B$17,100,0),MAX(0,MIN(100,($X99-Config!$B$16)/(Config!$B$17-Config!$B$16)*100))))</f>
        <v/>
      </c>
      <c r="Z99" s="40">
        <f>IF($M99="Elite",Config!$B$21,0)</f>
        <v>0</v>
      </c>
      <c r="AA99" s="40" t="str">
        <f>IFERROR(IF(OR($W99="",$H99=""),"",IF($W99&gt;$H99,
  MAX(0, 60-(($W99-$H99)*24/Config!$B$19)*60),
  MIN(100, 60+(($H99-$W99)*24/Config!$B$20)*40)
)),"")
</f>
        <v/>
      </c>
      <c r="AB99" s="40" t="str">
        <f>IF($K99="","",IFERROR(VLOOKUP($K99,Grinders!$A$4:$N$998,10,FALSE)/5*100,""))</f>
        <v/>
      </c>
      <c r="AC99" s="40" t="str">
        <f>IF($K99="","",IFERROR(VLOOKUP($K99,Grinders!$A$4:$N$998,11,FALSE)*100,""))</f>
        <v/>
      </c>
      <c r="AD99" s="40" t="str">
        <f>IF($K99="","",IFERROR(VLOOKUP($K99,Grinders!$A$4:$N$998,12,FALSE)*100,""))</f>
        <v/>
      </c>
      <c r="AE99" s="40" t="str">
        <f>IF(OR(AO99=1,AP99=1),0,=IFERROR(IFS(
    OR($C99="", $K99=""), 0,
    $F99=0, 0,
    $D99&lt;&gt;"Open", 0,
    COUNTIFS(GrinderServices!$A$6:$A$1000, $K99, GrinderServices!$B$6:$B$1000, $E99, GrinderServices!$D$6:$D$1000, "Y")=0, 0,
    $X99&lt;Config!$B$16, 0,
    Config!$B$18=1, IF($O99&gt;=N99, 0, 1),
    TRUE, 1
), "")
)</f>
        <v>#ERROR!</v>
      </c>
      <c r="AF99" s="40" t="str">
        <f>IFERROR((IF(OR(AO99=1,AP99=1),"",=IFERROR((IFERROR(IF($AE99=0,"",((Config!$B$6*$Y99 + Config!$B$7*$U99 + Config!$B$8*$Z99 + Config!$B$9*$AA99 + Config!$B$10*$AB99 + Config!$B$11*$AC99 - Config!$B$12*$AD99)/Config!$B$13)+$AK99+$AL99),""))*(1-IFERROR(VLOOKUP(K99,Grinders!$A:$AB, 28, FALSE),0)),"")))*(1+AR99),"")</f>
        <v>#ERROR!</v>
      </c>
      <c r="AG99" s="40" t="str">
        <f t="shared" si="6"/>
        <v>#ERROR!</v>
      </c>
      <c r="AH99" s="40" t="str">
        <f t="shared" si="7"/>
        <v/>
      </c>
      <c r="AI99" s="40" t="str">
        <f t="shared" si="8"/>
        <v/>
      </c>
      <c r="AJ99" s="40" t="str">
        <f>IF($K99="","",COUNTIF(Assignments!$B$6:$B$1000,$K99))</f>
        <v/>
      </c>
      <c r="AK99" s="40" t="str">
        <f>IF($K99="","",IF(AND($AJ99=0,$O99&lt;$N99),Config!$B$43,0))</f>
        <v/>
      </c>
      <c r="AL99" s="40" t="str">
        <f>IF($K99="","",IF(AND($M99="Elite",$G99&gt;=Config!$B$41,$O99&lt;$N99),Config!$B$42,0))</f>
        <v/>
      </c>
      <c r="AM99" s="22"/>
      <c r="AN99" s="39">
        <f>IFERROR(VLOOKUP(K99,Grinders!$A:$Q,28,FALSE),0)</f>
        <v>0</v>
      </c>
      <c r="AO99" s="39">
        <f>IF(Config!$B$1003&lt;&gt;"Y",0,IF(IFERROR(VLOOKUP(K99,Grinders!$A:$P,27,FALSE),0)&gt;=3,IF(OR(G99&gt;=Config!$B$1001,ISNUMBER(SEARCH(E99,Config!$B$1002))),1,0),0))</f>
        <v>0</v>
      </c>
      <c r="AP99" s="39">
        <f t="array" ref="AP99">IFERROR(IF(INDEX(Bids!$AE:$AE,MATCH(B99,Bids!$A:$A,0))="Pending",1,0),0)</f>
        <v>0</v>
      </c>
      <c r="AQ99" s="39" t="str">
        <f t="array" ref="AQ99">IF(C99="","",IFERROR(XLOOKUP(C99,Assignments!$C:$C,Assignments!$AU:$AU,0),0))</f>
        <v/>
      </c>
      <c r="AR99" s="39">
        <f>IF(AND(Config!$B$1006="Y",AQ99=1),Config!$B$1007,0)</f>
        <v>0</v>
      </c>
    </row>
    <row r="100" ht="15.75" customHeight="1">
      <c r="A100" s="46" t="str">
        <f t="shared" si="1"/>
        <v/>
      </c>
      <c r="B100" s="40" t="str">
        <f>IF(Bids!$A99="","",Bids!$A99)</f>
        <v/>
      </c>
      <c r="C100" s="40" t="str">
        <f>IF(Bids!$B99="","",Bids!$B99)</f>
        <v/>
      </c>
      <c r="D100" s="40" t="str">
        <f>IF($C100="","",IFERROR(VLOOKUP($C100,Orders!$A$4:$J$998,9,FALSE),""))</f>
        <v/>
      </c>
      <c r="E100" s="40" t="str">
        <f>IF($C100="","",IFERROR(VLOOKUP($C100,Orders!$A$4:$J$998,3,FALSE),""))</f>
        <v/>
      </c>
      <c r="F100" s="40">
        <f t="shared" si="2"/>
        <v>1</v>
      </c>
      <c r="G100" s="40" t="str">
        <f>IF($C100="","",IFERROR(VLOOKUP($C100,Orders!$A$4:$J$998,4,FALSE),""))</f>
        <v/>
      </c>
      <c r="H100" s="40" t="str">
        <f>IF($C100="","",IFERROR(VLOOKUP($C100,Orders!$A$4:$J$998,5,FALSE),""))</f>
        <v/>
      </c>
      <c r="I100" s="40" t="str">
        <f>IF($C100="","",IFERROR(VLOOKUP($C100,Orders!$A$4:$J$998,6,FALSE),""))</f>
        <v/>
      </c>
      <c r="J100" s="40" t="str">
        <f>IF($C100="","",IFERROR(VLOOKUP($C100,Orders!$A$4:$J$998,7,FALSE),""))</f>
        <v/>
      </c>
      <c r="K100" s="40" t="str">
        <f>IF(Bids!$C99="","",Bids!$C99)</f>
        <v/>
      </c>
      <c r="L100" s="40" t="str">
        <f>IF($K100="","",IFERROR(VLOOKUP($K100,Grinders!$A$4:$N$998,2,FALSE),""))</f>
        <v/>
      </c>
      <c r="M100" s="40" t="str">
        <f>IF($K100="","",IFERROR(VLOOKUP($K100,Grinders!$A$4:$N$998,3,FALSE),""))</f>
        <v/>
      </c>
      <c r="N100" s="40" t="str">
        <f>IF($K100="","",IFERROR(VLOOKUP($K100,Grinders!$A$4:$N$998,4,FALSE),""))</f>
        <v/>
      </c>
      <c r="O100" s="40" t="str">
        <f>IF($K100="","",IFERROR(VLOOKUP($K100,Grinders!$A$4:$N$998,5,FALSE),""))</f>
        <v/>
      </c>
      <c r="P100" s="40" t="str">
        <f>IF($K100="","",IF($C$4="",0,COUNTIFS(Assignments!$B$6:$B$1000,$K100,Assignments!$F$6:$F$1000,$C$4,Assignments!$E$6:$E$1000,"Active")))</f>
        <v/>
      </c>
      <c r="Q100" s="40" t="str">
        <f t="shared" si="3"/>
        <v/>
      </c>
      <c r="R100" s="40" t="str">
        <f t="shared" si="4"/>
        <v/>
      </c>
      <c r="S100" s="40" t="str">
        <f>IF($K100="","",IF($C$4="",0,COUNTIFS(Assignments!$B$6:$B$1000,$K100,Assignments!$F$6:$F$1000,$C$4,Assignments!$D$6:$D$1000,"&gt;="&amp;Config!$B$3-7,Assignments!$D$6:$D$1000,"&lt;="&amp;Config!$B$3)))</f>
        <v/>
      </c>
      <c r="T100" s="40" t="str">
        <f>IF($K100="","",IFERROR(VLOOKUP($K100,Grinders!$A$4:$N$998,8,FALSE),""))</f>
        <v/>
      </c>
      <c r="U100" s="40" t="str">
        <f>IFERROR(IF($K100="","",IF($M100="Elite",MAX(50,MIN(100,Config!$B$27*MAX(0,MIN(100,(1-IF($R100="",0,$R100))*100)) + Config!$B$28*MAX(0,MIN(100,(1-MIN(1,IF(Config!$B$30=0,1,$S100/Config!$B$30)))*100)) + Config!$B$29*MAX(0,MIN(100,MIN(1,IF($T100="",0,$T100)/Config!$B$23)*100)))),MIN(100,Config!$B$27*MAX(0,MIN(100,(1-IF($R100="",0,$R100))*100)) + Config!$B$28*MAX(0,MIN(100,(1-MIN(1,IF(Config!$B$30=0,1,$S100/Config!$B$30)))*100)) + Config!$B$29*MAX(0,MIN(100,MIN(1,IF($T100="",0,$T100)/Config!$B$23)*100))))),"")
</f>
        <v/>
      </c>
      <c r="V100" s="40" t="str">
        <f>IF(Bids!$AC100="","",Bids!$AC100)</f>
        <v/>
      </c>
      <c r="W100" s="40" t="str">
        <f>IF(Bids!$F99="","",Bids!$F99)</f>
        <v/>
      </c>
      <c r="X100" s="40" t="str">
        <f t="shared" si="5"/>
        <v/>
      </c>
      <c r="Y100" s="40" t="str">
        <f>IF($X100="","",IF(Config!$B$17=Config!$B$16,IF($X100&gt;=Config!$B$17,100,0),MAX(0,MIN(100,($X100-Config!$B$16)/(Config!$B$17-Config!$B$16)*100))))</f>
        <v/>
      </c>
      <c r="Z100" s="40">
        <f>IF($M100="Elite",Config!$B$21,0)</f>
        <v>0</v>
      </c>
      <c r="AA100" s="40" t="str">
        <f>IFERROR(IF(OR($W100="",$H100=""),"",IF($W100&gt;$H100,
  MAX(0, 60-(($W100-$H100)*24/Config!$B$19)*60),
  MIN(100, 60+(($H100-$W100)*24/Config!$B$20)*40)
)),"")
</f>
        <v/>
      </c>
      <c r="AB100" s="40" t="str">
        <f>IF($K100="","",IFERROR(VLOOKUP($K100,Grinders!$A$4:$N$998,10,FALSE)/5*100,""))</f>
        <v/>
      </c>
      <c r="AC100" s="40" t="str">
        <f>IF($K100="","",IFERROR(VLOOKUP($K100,Grinders!$A$4:$N$998,11,FALSE)*100,""))</f>
        <v/>
      </c>
      <c r="AD100" s="40" t="str">
        <f>IF($K100="","",IFERROR(VLOOKUP($K100,Grinders!$A$4:$N$998,12,FALSE)*100,""))</f>
        <v/>
      </c>
      <c r="AE100" s="40" t="str">
        <f>IF(OR(AO100=1,AP100=1),0,=IFERROR(IFS(
    OR($C100="", $K100=""), 0,
    $F100=0, 0,
    $D100&lt;&gt;"Open", 0,
    COUNTIFS(GrinderServices!$A$6:$A$1000, $K100, GrinderServices!$B$6:$B$1000, $E100, GrinderServices!$D$6:$D$1000, "Y")=0, 0,
    $X100&lt;Config!$B$16, 0,
    Config!$B$18=1, IF($O100&gt;=N100, 0, 1),
    TRUE, 1
), "")
)</f>
        <v>#ERROR!</v>
      </c>
      <c r="AF100" s="40" t="str">
        <f>IFERROR((IF(OR(AO100=1,AP100=1),"",=IFERROR((IFERROR(IF($AE100=0,"",((Config!$B$6*$Y100 + Config!$B$7*$U100 + Config!$B$8*$Z100 + Config!$B$9*$AA100 + Config!$B$10*$AB100 + Config!$B$11*$AC100 - Config!$B$12*$AD100)/Config!$B$13)+$AK100+$AL100),""))*(1-IFERROR(VLOOKUP(K100,Grinders!$A:$AB, 28, FALSE),0)),"")))*(1+AR100),"")</f>
        <v>#ERROR!</v>
      </c>
      <c r="AG100" s="40" t="str">
        <f t="shared" si="6"/>
        <v>#ERROR!</v>
      </c>
      <c r="AH100" s="40" t="str">
        <f t="shared" si="7"/>
        <v/>
      </c>
      <c r="AI100" s="40" t="str">
        <f t="shared" si="8"/>
        <v/>
      </c>
      <c r="AJ100" s="40" t="str">
        <f>IF($K100="","",COUNTIF(Assignments!$B$6:$B$1000,$K100))</f>
        <v/>
      </c>
      <c r="AK100" s="40" t="str">
        <f>IF($K100="","",IF(AND($AJ100=0,$O100&lt;$N100),Config!$B$43,0))</f>
        <v/>
      </c>
      <c r="AL100" s="40" t="str">
        <f>IF($K100="","",IF(AND($M100="Elite",$G100&gt;=Config!$B$41,$O100&lt;$N100),Config!$B$42,0))</f>
        <v/>
      </c>
      <c r="AM100" s="22"/>
      <c r="AN100" s="39">
        <f>IFERROR(VLOOKUP(K100,Grinders!$A:$Q,28,FALSE),0)</f>
        <v>0</v>
      </c>
      <c r="AO100" s="39">
        <f>IF(Config!$B$1003&lt;&gt;"Y",0,IF(IFERROR(VLOOKUP(K100,Grinders!$A:$P,27,FALSE),0)&gt;=3,IF(OR(G100&gt;=Config!$B$1001,ISNUMBER(SEARCH(E100,Config!$B$1002))),1,0),0))</f>
        <v>0</v>
      </c>
      <c r="AP100" s="39">
        <f t="array" ref="AP100">IFERROR(IF(INDEX(Bids!$AE:$AE,MATCH(B100,Bids!$A:$A,0))="Pending",1,0),0)</f>
        <v>0</v>
      </c>
      <c r="AQ100" s="39" t="str">
        <f t="array" ref="AQ100">IF(C100="","",IFERROR(XLOOKUP(C100,Assignments!$C:$C,Assignments!$AU:$AU,0),0))</f>
        <v/>
      </c>
      <c r="AR100" s="39">
        <f>IF(AND(Config!$B$1006="Y",AQ100=1),Config!$B$1007,0)</f>
        <v>0</v>
      </c>
    </row>
    <row r="101" ht="15.75" customHeight="1">
      <c r="A101" s="46" t="str">
        <f t="shared" si="1"/>
        <v/>
      </c>
      <c r="B101" s="40" t="str">
        <f>IF(Bids!$A100="","",Bids!$A100)</f>
        <v/>
      </c>
      <c r="C101" s="40" t="str">
        <f>IF(Bids!$B100="","",Bids!$B100)</f>
        <v/>
      </c>
      <c r="D101" s="40" t="str">
        <f>IF($C101="","",IFERROR(VLOOKUP($C101,Orders!$A$4:$J$998,9,FALSE),""))</f>
        <v/>
      </c>
      <c r="E101" s="40" t="str">
        <f>IF($C101="","",IFERROR(VLOOKUP($C101,Orders!$A$4:$J$998,3,FALSE),""))</f>
        <v/>
      </c>
      <c r="F101" s="40">
        <f t="shared" si="2"/>
        <v>1</v>
      </c>
      <c r="G101" s="40" t="str">
        <f>IF($C101="","",IFERROR(VLOOKUP($C101,Orders!$A$4:$J$998,4,FALSE),""))</f>
        <v/>
      </c>
      <c r="H101" s="40" t="str">
        <f>IF($C101="","",IFERROR(VLOOKUP($C101,Orders!$A$4:$J$998,5,FALSE),""))</f>
        <v/>
      </c>
      <c r="I101" s="40" t="str">
        <f>IF($C101="","",IFERROR(VLOOKUP($C101,Orders!$A$4:$J$998,6,FALSE),""))</f>
        <v/>
      </c>
      <c r="J101" s="40" t="str">
        <f>IF($C101="","",IFERROR(VLOOKUP($C101,Orders!$A$4:$J$998,7,FALSE),""))</f>
        <v/>
      </c>
      <c r="K101" s="40" t="str">
        <f>IF(Bids!$C100="","",Bids!$C100)</f>
        <v/>
      </c>
      <c r="L101" s="40" t="str">
        <f>IF($K101="","",IFERROR(VLOOKUP($K101,Grinders!$A$4:$N$998,2,FALSE),""))</f>
        <v/>
      </c>
      <c r="M101" s="40" t="str">
        <f>IF($K101="","",IFERROR(VLOOKUP($K101,Grinders!$A$4:$N$998,3,FALSE),""))</f>
        <v/>
      </c>
      <c r="N101" s="40" t="str">
        <f>IF($K101="","",IFERROR(VLOOKUP($K101,Grinders!$A$4:$N$998,4,FALSE),""))</f>
        <v/>
      </c>
      <c r="O101" s="40" t="str">
        <f>IF($K101="","",IFERROR(VLOOKUP($K101,Grinders!$A$4:$N$998,5,FALSE),""))</f>
        <v/>
      </c>
      <c r="P101" s="40" t="str">
        <f>IF($K101="","",IF($C$4="",0,COUNTIFS(Assignments!$B$6:$B$1000,$K101,Assignments!$F$6:$F$1000,$C$4,Assignments!$E$6:$E$1000,"Active")))</f>
        <v/>
      </c>
      <c r="Q101" s="40" t="str">
        <f t="shared" si="3"/>
        <v/>
      </c>
      <c r="R101" s="40" t="str">
        <f t="shared" si="4"/>
        <v/>
      </c>
      <c r="S101" s="40" t="str">
        <f>IF($K101="","",IF($C$4="",0,COUNTIFS(Assignments!$B$6:$B$1000,$K101,Assignments!$F$6:$F$1000,$C$4,Assignments!$D$6:$D$1000,"&gt;="&amp;Config!$B$3-7,Assignments!$D$6:$D$1000,"&lt;="&amp;Config!$B$3)))</f>
        <v/>
      </c>
      <c r="T101" s="40" t="str">
        <f>IF($K101="","",IFERROR(VLOOKUP($K101,Grinders!$A$4:$N$998,8,FALSE),""))</f>
        <v/>
      </c>
      <c r="U101" s="40" t="str">
        <f>IFERROR(IF($K101="","",IF($M101="Elite",MAX(50,MIN(100,Config!$B$27*MAX(0,MIN(100,(1-IF($R101="",0,$R101))*100)) + Config!$B$28*MAX(0,MIN(100,(1-MIN(1,IF(Config!$B$30=0,1,$S101/Config!$B$30)))*100)) + Config!$B$29*MAX(0,MIN(100,MIN(1,IF($T101="",0,$T101)/Config!$B$23)*100)))),MIN(100,Config!$B$27*MAX(0,MIN(100,(1-IF($R101="",0,$R101))*100)) + Config!$B$28*MAX(0,MIN(100,(1-MIN(1,IF(Config!$B$30=0,1,$S101/Config!$B$30)))*100)) + Config!$B$29*MAX(0,MIN(100,MIN(1,IF($T101="",0,$T101)/Config!$B$23)*100))))),"")
</f>
        <v/>
      </c>
      <c r="V101" s="40" t="str">
        <f>IF(Bids!$AC101="","",Bids!$AC101)</f>
        <v/>
      </c>
      <c r="W101" s="40" t="str">
        <f>IF(Bids!$F100="","",Bids!$F100)</f>
        <v/>
      </c>
      <c r="X101" s="40" t="str">
        <f t="shared" si="5"/>
        <v/>
      </c>
      <c r="Y101" s="40" t="str">
        <f>IF($X101="","",IF(Config!$B$17=Config!$B$16,IF($X101&gt;=Config!$B$17,100,0),MAX(0,MIN(100,($X101-Config!$B$16)/(Config!$B$17-Config!$B$16)*100))))</f>
        <v/>
      </c>
      <c r="Z101" s="40">
        <f>IF($M101="Elite",Config!$B$21,0)</f>
        <v>0</v>
      </c>
      <c r="AA101" s="40" t="str">
        <f>IFERROR(IF(OR($W101="",$H101=""),"",IF($W101&gt;$H101,
  MAX(0, 60-(($W101-$H101)*24/Config!$B$19)*60),
  MIN(100, 60+(($H101-$W101)*24/Config!$B$20)*40)
)),"")
</f>
        <v/>
      </c>
      <c r="AB101" s="40" t="str">
        <f>IF($K101="","",IFERROR(VLOOKUP($K101,Grinders!$A$4:$N$998,10,FALSE)/5*100,""))</f>
        <v/>
      </c>
      <c r="AC101" s="40" t="str">
        <f>IF($K101="","",IFERROR(VLOOKUP($K101,Grinders!$A$4:$N$998,11,FALSE)*100,""))</f>
        <v/>
      </c>
      <c r="AD101" s="40" t="str">
        <f>IF($K101="","",IFERROR(VLOOKUP($K101,Grinders!$A$4:$N$998,12,FALSE)*100,""))</f>
        <v/>
      </c>
      <c r="AE101" s="40" t="str">
        <f>IF(OR(AO101=1,AP101=1),0,=IFERROR(IFS(
    OR($C101="", $K101=""), 0,
    $F101=0, 0,
    $D101&lt;&gt;"Open", 0,
    COUNTIFS(GrinderServices!$A$6:$A$1000, $K101, GrinderServices!$B$6:$B$1000, $E101, GrinderServices!$D$6:$D$1000, "Y")=0, 0,
    $X101&lt;Config!$B$16, 0,
    Config!$B$18=1, IF($O101&gt;=N101, 0, 1),
    TRUE, 1
), "")
)</f>
        <v>#ERROR!</v>
      </c>
      <c r="AF101" s="40" t="str">
        <f>IFERROR((IF(OR(AO101=1,AP101=1),"",=IFERROR((IFERROR(IF($AE101=0,"",((Config!$B$6*$Y101 + Config!$B$7*$U101 + Config!$B$8*$Z101 + Config!$B$9*$AA101 + Config!$B$10*$AB101 + Config!$B$11*$AC101 - Config!$B$12*$AD101)/Config!$B$13)+$AK101+$AL101),""))*(1-IFERROR(VLOOKUP(K101,Grinders!$A:$AB, 28, FALSE),0)),"")))*(1+AR101),"")</f>
        <v>#ERROR!</v>
      </c>
      <c r="AG101" s="40" t="str">
        <f t="shared" si="6"/>
        <v>#ERROR!</v>
      </c>
      <c r="AH101" s="40" t="str">
        <f t="shared" si="7"/>
        <v/>
      </c>
      <c r="AI101" s="40" t="str">
        <f t="shared" si="8"/>
        <v/>
      </c>
      <c r="AJ101" s="40" t="str">
        <f>IF($K101="","",COUNTIF(Assignments!$B$6:$B$1000,$K101))</f>
        <v/>
      </c>
      <c r="AK101" s="40" t="str">
        <f>IF($K101="","",IF(AND($AJ101=0,$O101&lt;$N101),Config!$B$43,0))</f>
        <v/>
      </c>
      <c r="AL101" s="40" t="str">
        <f>IF($K101="","",IF(AND($M101="Elite",$G101&gt;=Config!$B$41,$O101&lt;$N101),Config!$B$42,0))</f>
        <v/>
      </c>
      <c r="AM101" s="22"/>
      <c r="AN101" s="39">
        <f>IFERROR(VLOOKUP(K101,Grinders!$A:$Q,28,FALSE),0)</f>
        <v>0</v>
      </c>
      <c r="AO101" s="39">
        <f>IF(Config!$B$1003&lt;&gt;"Y",0,IF(IFERROR(VLOOKUP(K101,Grinders!$A:$P,27,FALSE),0)&gt;=3,IF(OR(G101&gt;=Config!$B$1001,ISNUMBER(SEARCH(E101,Config!$B$1002))),1,0),0))</f>
        <v>0</v>
      </c>
      <c r="AP101" s="39">
        <f t="array" ref="AP101">IFERROR(IF(INDEX(Bids!$AE:$AE,MATCH(B101,Bids!$A:$A,0))="Pending",1,0),0)</f>
        <v>0</v>
      </c>
      <c r="AQ101" s="39" t="str">
        <f t="array" ref="AQ101">IF(C101="","",IFERROR(XLOOKUP(C101,Assignments!$C:$C,Assignments!$AU:$AU,0),0))</f>
        <v/>
      </c>
      <c r="AR101" s="39">
        <f>IF(AND(Config!$B$1006="Y",AQ101=1),Config!$B$1007,0)</f>
        <v>0</v>
      </c>
    </row>
    <row r="102" ht="15.75" customHeight="1">
      <c r="A102" s="46" t="str">
        <f t="shared" si="1"/>
        <v/>
      </c>
      <c r="B102" s="40" t="str">
        <f>IF(Bids!$A101="","",Bids!$A101)</f>
        <v/>
      </c>
      <c r="C102" s="40" t="str">
        <f>IF(Bids!$B101="","",Bids!$B101)</f>
        <v/>
      </c>
      <c r="D102" s="40" t="str">
        <f>IF($C102="","",IFERROR(VLOOKUP($C102,Orders!$A$4:$J$998,9,FALSE),""))</f>
        <v/>
      </c>
      <c r="E102" s="40" t="str">
        <f>IF($C102="","",IFERROR(VLOOKUP($C102,Orders!$A$4:$J$998,3,FALSE),""))</f>
        <v/>
      </c>
      <c r="F102" s="40">
        <f t="shared" si="2"/>
        <v>1</v>
      </c>
      <c r="G102" s="40" t="str">
        <f>IF($C102="","",IFERROR(VLOOKUP($C102,Orders!$A$4:$J$998,4,FALSE),""))</f>
        <v/>
      </c>
      <c r="H102" s="40" t="str">
        <f>IF($C102="","",IFERROR(VLOOKUP($C102,Orders!$A$4:$J$998,5,FALSE),""))</f>
        <v/>
      </c>
      <c r="I102" s="40" t="str">
        <f>IF($C102="","",IFERROR(VLOOKUP($C102,Orders!$A$4:$J$998,6,FALSE),""))</f>
        <v/>
      </c>
      <c r="J102" s="40" t="str">
        <f>IF($C102="","",IFERROR(VLOOKUP($C102,Orders!$A$4:$J$998,7,FALSE),""))</f>
        <v/>
      </c>
      <c r="K102" s="40" t="str">
        <f>IF(Bids!$C101="","",Bids!$C101)</f>
        <v/>
      </c>
      <c r="L102" s="40" t="str">
        <f>IF($K102="","",IFERROR(VLOOKUP($K102,Grinders!$A$4:$N$998,2,FALSE),""))</f>
        <v/>
      </c>
      <c r="M102" s="40" t="str">
        <f>IF($K102="","",IFERROR(VLOOKUP($K102,Grinders!$A$4:$N$998,3,FALSE),""))</f>
        <v/>
      </c>
      <c r="N102" s="40" t="str">
        <f>IF($K102="","",IFERROR(VLOOKUP($K102,Grinders!$A$4:$N$998,4,FALSE),""))</f>
        <v/>
      </c>
      <c r="O102" s="40" t="str">
        <f>IF($K102="","",IFERROR(VLOOKUP($K102,Grinders!$A$4:$N$998,5,FALSE),""))</f>
        <v/>
      </c>
      <c r="P102" s="40" t="str">
        <f>IF($K102="","",IF($C$4="",0,COUNTIFS(Assignments!$B$6:$B$1000,$K102,Assignments!$F$6:$F$1000,$C$4,Assignments!$E$6:$E$1000,"Active")))</f>
        <v/>
      </c>
      <c r="Q102" s="40" t="str">
        <f t="shared" si="3"/>
        <v/>
      </c>
      <c r="R102" s="40" t="str">
        <f t="shared" si="4"/>
        <v/>
      </c>
      <c r="S102" s="40" t="str">
        <f>IF($K102="","",IF($C$4="",0,COUNTIFS(Assignments!$B$6:$B$1000,$K102,Assignments!$F$6:$F$1000,$C$4,Assignments!$D$6:$D$1000,"&gt;="&amp;Config!$B$3-7,Assignments!$D$6:$D$1000,"&lt;="&amp;Config!$B$3)))</f>
        <v/>
      </c>
      <c r="T102" s="40" t="str">
        <f>IF($K102="","",IFERROR(VLOOKUP($K102,Grinders!$A$4:$N$998,8,FALSE),""))</f>
        <v/>
      </c>
      <c r="U102" s="40" t="str">
        <f>IFERROR(IF($K102="","",IF($M102="Elite",MAX(50,MIN(100,Config!$B$27*MAX(0,MIN(100,(1-IF($R102="",0,$R102))*100)) + Config!$B$28*MAX(0,MIN(100,(1-MIN(1,IF(Config!$B$30=0,1,$S102/Config!$B$30)))*100)) + Config!$B$29*MAX(0,MIN(100,MIN(1,IF($T102="",0,$T102)/Config!$B$23)*100)))),MIN(100,Config!$B$27*MAX(0,MIN(100,(1-IF($R102="",0,$R102))*100)) + Config!$B$28*MAX(0,MIN(100,(1-MIN(1,IF(Config!$B$30=0,1,$S102/Config!$B$30)))*100)) + Config!$B$29*MAX(0,MIN(100,MIN(1,IF($T102="",0,$T102)/Config!$B$23)*100))))),"")
</f>
        <v/>
      </c>
      <c r="V102" s="40" t="str">
        <f>IF(Bids!$AC102="","",Bids!$AC102)</f>
        <v/>
      </c>
      <c r="W102" s="40" t="str">
        <f>IF(Bids!$F101="","",Bids!$F101)</f>
        <v/>
      </c>
      <c r="X102" s="40" t="str">
        <f t="shared" si="5"/>
        <v/>
      </c>
      <c r="Y102" s="40" t="str">
        <f>IF($X102="","",IF(Config!$B$17=Config!$B$16,IF($X102&gt;=Config!$B$17,100,0),MAX(0,MIN(100,($X102-Config!$B$16)/(Config!$B$17-Config!$B$16)*100))))</f>
        <v/>
      </c>
      <c r="Z102" s="40">
        <f>IF($M102="Elite",Config!$B$21,0)</f>
        <v>0</v>
      </c>
      <c r="AA102" s="40" t="str">
        <f>IFERROR(IF(OR($W102="",$H102=""),"",IF($W102&gt;$H102,
  MAX(0, 60-(($W102-$H102)*24/Config!$B$19)*60),
  MIN(100, 60+(($H102-$W102)*24/Config!$B$20)*40)
)),"")
</f>
        <v/>
      </c>
      <c r="AB102" s="40" t="str">
        <f>IF($K102="","",IFERROR(VLOOKUP($K102,Grinders!$A$4:$N$998,10,FALSE)/5*100,""))</f>
        <v/>
      </c>
      <c r="AC102" s="40" t="str">
        <f>IF($K102="","",IFERROR(VLOOKUP($K102,Grinders!$A$4:$N$998,11,FALSE)*100,""))</f>
        <v/>
      </c>
      <c r="AD102" s="40" t="str">
        <f>IF($K102="","",IFERROR(VLOOKUP($K102,Grinders!$A$4:$N$998,12,FALSE)*100,""))</f>
        <v/>
      </c>
      <c r="AE102" s="40" t="str">
        <f>IF(OR(AO102=1,AP102=1),0,=IFERROR(IFS(
    OR($C102="", $K102=""), 0,
    $F102=0, 0,
    $D102&lt;&gt;"Open", 0,
    COUNTIFS(GrinderServices!$A$6:$A$1000, $K102, GrinderServices!$B$6:$B$1000, $E102, GrinderServices!$D$6:$D$1000, "Y")=0, 0,
    $X102&lt;Config!$B$16, 0,
    Config!$B$18=1, IF($O102&gt;=N102, 0, 1),
    TRUE, 1
), "")
)</f>
        <v>#ERROR!</v>
      </c>
      <c r="AF102" s="40" t="str">
        <f>IFERROR((IF(OR(AO102=1,AP102=1),"",=IFERROR((IFERROR(IF($AE102=0,"",((Config!$B$6*$Y102 + Config!$B$7*$U102 + Config!$B$8*$Z102 + Config!$B$9*$AA102 + Config!$B$10*$AB102 + Config!$B$11*$AC102 - Config!$B$12*$AD102)/Config!$B$13)+$AK102+$AL102),""))*(1-IFERROR(VLOOKUP(K102,Grinders!$A:$AB, 28, FALSE),0)),"")))*(1+AR102),"")</f>
        <v>#ERROR!</v>
      </c>
      <c r="AG102" s="40" t="str">
        <f t="shared" si="6"/>
        <v>#ERROR!</v>
      </c>
      <c r="AH102" s="40" t="str">
        <f t="shared" si="7"/>
        <v/>
      </c>
      <c r="AI102" s="40" t="str">
        <f t="shared" si="8"/>
        <v/>
      </c>
      <c r="AJ102" s="40" t="str">
        <f>IF($K102="","",COUNTIF(Assignments!$B$6:$B$1000,$K102))</f>
        <v/>
      </c>
      <c r="AK102" s="40" t="str">
        <f>IF($K102="","",IF(AND($AJ102=0,$O102&lt;$N102),Config!$B$43,0))</f>
        <v/>
      </c>
      <c r="AL102" s="40" t="str">
        <f>IF($K102="","",IF(AND($M102="Elite",$G102&gt;=Config!$B$41,$O102&lt;$N102),Config!$B$42,0))</f>
        <v/>
      </c>
      <c r="AM102" s="22"/>
      <c r="AN102" s="39">
        <f>IFERROR(VLOOKUP(K102,Grinders!$A:$Q,28,FALSE),0)</f>
        <v>0</v>
      </c>
      <c r="AO102" s="39">
        <f>IF(Config!$B$1003&lt;&gt;"Y",0,IF(IFERROR(VLOOKUP(K102,Grinders!$A:$P,27,FALSE),0)&gt;=3,IF(OR(G102&gt;=Config!$B$1001,ISNUMBER(SEARCH(E102,Config!$B$1002))),1,0),0))</f>
        <v>0</v>
      </c>
      <c r="AP102" s="39">
        <f t="array" ref="AP102">IFERROR(IF(INDEX(Bids!$AE:$AE,MATCH(B102,Bids!$A:$A,0))="Pending",1,0),0)</f>
        <v>0</v>
      </c>
      <c r="AQ102" s="39" t="str">
        <f t="array" ref="AQ102">IF(C102="","",IFERROR(XLOOKUP(C102,Assignments!$C:$C,Assignments!$AU:$AU,0),0))</f>
        <v/>
      </c>
      <c r="AR102" s="39">
        <f>IF(AND(Config!$B$1006="Y",AQ102=1),Config!$B$1007,0)</f>
        <v>0</v>
      </c>
    </row>
    <row r="103" ht="15.75" customHeight="1">
      <c r="A103" s="46" t="str">
        <f t="shared" si="1"/>
        <v/>
      </c>
      <c r="B103" s="40" t="str">
        <f>IF(Bids!$A102="","",Bids!$A102)</f>
        <v/>
      </c>
      <c r="C103" s="40" t="str">
        <f>IF(Bids!$B102="","",Bids!$B102)</f>
        <v/>
      </c>
      <c r="D103" s="40" t="str">
        <f>IF($C103="","",IFERROR(VLOOKUP($C103,Orders!$A$4:$J$998,9,FALSE),""))</f>
        <v/>
      </c>
      <c r="E103" s="40" t="str">
        <f>IF($C103="","",IFERROR(VLOOKUP($C103,Orders!$A$4:$J$998,3,FALSE),""))</f>
        <v/>
      </c>
      <c r="F103" s="40">
        <f t="shared" si="2"/>
        <v>1</v>
      </c>
      <c r="G103" s="40" t="str">
        <f>IF($C103="","",IFERROR(VLOOKUP($C103,Orders!$A$4:$J$998,4,FALSE),""))</f>
        <v/>
      </c>
      <c r="H103" s="40" t="str">
        <f>IF($C103="","",IFERROR(VLOOKUP($C103,Orders!$A$4:$J$998,5,FALSE),""))</f>
        <v/>
      </c>
      <c r="I103" s="40" t="str">
        <f>IF($C103="","",IFERROR(VLOOKUP($C103,Orders!$A$4:$J$998,6,FALSE),""))</f>
        <v/>
      </c>
      <c r="J103" s="40" t="str">
        <f>IF($C103="","",IFERROR(VLOOKUP($C103,Orders!$A$4:$J$998,7,FALSE),""))</f>
        <v/>
      </c>
      <c r="K103" s="40" t="str">
        <f>IF(Bids!$C102="","",Bids!$C102)</f>
        <v/>
      </c>
      <c r="L103" s="40" t="str">
        <f>IF($K103="","",IFERROR(VLOOKUP($K103,Grinders!$A$4:$N$998,2,FALSE),""))</f>
        <v/>
      </c>
      <c r="M103" s="40" t="str">
        <f>IF($K103="","",IFERROR(VLOOKUP($K103,Grinders!$A$4:$N$998,3,FALSE),""))</f>
        <v/>
      </c>
      <c r="N103" s="40" t="str">
        <f>IF($K103="","",IFERROR(VLOOKUP($K103,Grinders!$A$4:$N$998,4,FALSE),""))</f>
        <v/>
      </c>
      <c r="O103" s="40" t="str">
        <f>IF($K103="","",IFERROR(VLOOKUP($K103,Grinders!$A$4:$N$998,5,FALSE),""))</f>
        <v/>
      </c>
      <c r="P103" s="40" t="str">
        <f>IF($K103="","",IF($C$4="",0,COUNTIFS(Assignments!$B$6:$B$1000,$K103,Assignments!$F$6:$F$1000,$C$4,Assignments!$E$6:$E$1000,"Active")))</f>
        <v/>
      </c>
      <c r="Q103" s="40" t="str">
        <f t="shared" si="3"/>
        <v/>
      </c>
      <c r="R103" s="40" t="str">
        <f t="shared" si="4"/>
        <v/>
      </c>
      <c r="S103" s="40" t="str">
        <f>IF($K103="","",IF($C$4="",0,COUNTIFS(Assignments!$B$6:$B$1000,$K103,Assignments!$F$6:$F$1000,$C$4,Assignments!$D$6:$D$1000,"&gt;="&amp;Config!$B$3-7,Assignments!$D$6:$D$1000,"&lt;="&amp;Config!$B$3)))</f>
        <v/>
      </c>
      <c r="T103" s="40" t="str">
        <f>IF($K103="","",IFERROR(VLOOKUP($K103,Grinders!$A$4:$N$998,8,FALSE),""))</f>
        <v/>
      </c>
      <c r="U103" s="40" t="str">
        <f>IFERROR(IF($K103="","",IF($M103="Elite",MAX(50,MIN(100,Config!$B$27*MAX(0,MIN(100,(1-IF($R103="",0,$R103))*100)) + Config!$B$28*MAX(0,MIN(100,(1-MIN(1,IF(Config!$B$30=0,1,$S103/Config!$B$30)))*100)) + Config!$B$29*MAX(0,MIN(100,MIN(1,IF($T103="",0,$T103)/Config!$B$23)*100)))),MIN(100,Config!$B$27*MAX(0,MIN(100,(1-IF($R103="",0,$R103))*100)) + Config!$B$28*MAX(0,MIN(100,(1-MIN(1,IF(Config!$B$30=0,1,$S103/Config!$B$30)))*100)) + Config!$B$29*MAX(0,MIN(100,MIN(1,IF($T103="",0,$T103)/Config!$B$23)*100))))),"")
</f>
        <v/>
      </c>
      <c r="V103" s="40" t="str">
        <f>IF(Bids!$AC103="","",Bids!$AC103)</f>
        <v/>
      </c>
      <c r="W103" s="40" t="str">
        <f>IF(Bids!$F102="","",Bids!$F102)</f>
        <v/>
      </c>
      <c r="X103" s="40" t="str">
        <f t="shared" si="5"/>
        <v/>
      </c>
      <c r="Y103" s="40" t="str">
        <f>IF($X103="","",IF(Config!$B$17=Config!$B$16,IF($X103&gt;=Config!$B$17,100,0),MAX(0,MIN(100,($X103-Config!$B$16)/(Config!$B$17-Config!$B$16)*100))))</f>
        <v/>
      </c>
      <c r="Z103" s="40">
        <f>IF($M103="Elite",Config!$B$21,0)</f>
        <v>0</v>
      </c>
      <c r="AA103" s="40" t="str">
        <f>IFERROR(IF(OR($W103="",$H103=""),"",IF($W103&gt;$H103,
  MAX(0, 60-(($W103-$H103)*24/Config!$B$19)*60),
  MIN(100, 60+(($H103-$W103)*24/Config!$B$20)*40)
)),"")
</f>
        <v/>
      </c>
      <c r="AB103" s="40" t="str">
        <f>IF($K103="","",IFERROR(VLOOKUP($K103,Grinders!$A$4:$N$998,10,FALSE)/5*100,""))</f>
        <v/>
      </c>
      <c r="AC103" s="40" t="str">
        <f>IF($K103="","",IFERROR(VLOOKUP($K103,Grinders!$A$4:$N$998,11,FALSE)*100,""))</f>
        <v/>
      </c>
      <c r="AD103" s="40" t="str">
        <f>IF($K103="","",IFERROR(VLOOKUP($K103,Grinders!$A$4:$N$998,12,FALSE)*100,""))</f>
        <v/>
      </c>
      <c r="AE103" s="40" t="str">
        <f>IF(OR(AO103=1,AP103=1),0,=IFERROR(IFS(
    OR($C103="", $K103=""), 0,
    $F103=0, 0,
    $D103&lt;&gt;"Open", 0,
    COUNTIFS(GrinderServices!$A$6:$A$1000, $K103, GrinderServices!$B$6:$B$1000, $E103, GrinderServices!$D$6:$D$1000, "Y")=0, 0,
    $X103&lt;Config!$B$16, 0,
    Config!$B$18=1, IF($O103&gt;=N103, 0, 1),
    TRUE, 1
), "")
)</f>
        <v>#ERROR!</v>
      </c>
      <c r="AF103" s="40" t="str">
        <f>IFERROR((IF(OR(AO103=1,AP103=1),"",=IFERROR((IFERROR(IF($AE103=0,"",((Config!$B$6*$Y103 + Config!$B$7*$U103 + Config!$B$8*$Z103 + Config!$B$9*$AA103 + Config!$B$10*$AB103 + Config!$B$11*$AC103 - Config!$B$12*$AD103)/Config!$B$13)+$AK103+$AL103),""))*(1-IFERROR(VLOOKUP(K103,Grinders!$A:$AB, 28, FALSE),0)),"")))*(1+AR103),"")</f>
        <v>#ERROR!</v>
      </c>
      <c r="AG103" s="40" t="str">
        <f t="shared" si="6"/>
        <v>#ERROR!</v>
      </c>
      <c r="AH103" s="40" t="str">
        <f t="shared" si="7"/>
        <v/>
      </c>
      <c r="AI103" s="40" t="str">
        <f t="shared" si="8"/>
        <v/>
      </c>
      <c r="AJ103" s="40" t="str">
        <f>IF($K103="","",COUNTIF(Assignments!$B$6:$B$1000,$K103))</f>
        <v/>
      </c>
      <c r="AK103" s="40" t="str">
        <f>IF($K103="","",IF(AND($AJ103=0,$O103&lt;$N103),Config!$B$43,0))</f>
        <v/>
      </c>
      <c r="AL103" s="40" t="str">
        <f>IF($K103="","",IF(AND($M103="Elite",$G103&gt;=Config!$B$41,$O103&lt;$N103),Config!$B$42,0))</f>
        <v/>
      </c>
      <c r="AM103" s="22"/>
      <c r="AN103" s="39">
        <f>IFERROR(VLOOKUP(K103,Grinders!$A:$Q,28,FALSE),0)</f>
        <v>0</v>
      </c>
      <c r="AO103" s="39">
        <f>IF(Config!$B$1003&lt;&gt;"Y",0,IF(IFERROR(VLOOKUP(K103,Grinders!$A:$P,27,FALSE),0)&gt;=3,IF(OR(G103&gt;=Config!$B$1001,ISNUMBER(SEARCH(E103,Config!$B$1002))),1,0),0))</f>
        <v>0</v>
      </c>
      <c r="AP103" s="39">
        <f t="array" ref="AP103">IFERROR(IF(INDEX(Bids!$AE:$AE,MATCH(B103,Bids!$A:$A,0))="Pending",1,0),0)</f>
        <v>0</v>
      </c>
      <c r="AQ103" s="39" t="str">
        <f t="array" ref="AQ103">IF(C103="","",IFERROR(XLOOKUP(C103,Assignments!$C:$C,Assignments!$AU:$AU,0),0))</f>
        <v/>
      </c>
      <c r="AR103" s="39">
        <f>IF(AND(Config!$B$1006="Y",AQ103=1),Config!$B$1007,0)</f>
        <v>0</v>
      </c>
    </row>
    <row r="104" ht="15.75" customHeight="1">
      <c r="A104" s="46" t="str">
        <f t="shared" si="1"/>
        <v/>
      </c>
      <c r="B104" s="40" t="str">
        <f>IF(Bids!$A103="","",Bids!$A103)</f>
        <v/>
      </c>
      <c r="C104" s="40" t="str">
        <f>IF(Bids!$B103="","",Bids!$B103)</f>
        <v/>
      </c>
      <c r="D104" s="40" t="str">
        <f>IF($C104="","",IFERROR(VLOOKUP($C104,Orders!$A$4:$J$998,9,FALSE),""))</f>
        <v/>
      </c>
      <c r="E104" s="40" t="str">
        <f>IF($C104="","",IFERROR(VLOOKUP($C104,Orders!$A$4:$J$998,3,FALSE),""))</f>
        <v/>
      </c>
      <c r="F104" s="40">
        <f t="shared" si="2"/>
        <v>1</v>
      </c>
      <c r="G104" s="40" t="str">
        <f>IF($C104="","",IFERROR(VLOOKUP($C104,Orders!$A$4:$J$998,4,FALSE),""))</f>
        <v/>
      </c>
      <c r="H104" s="40" t="str">
        <f>IF($C104="","",IFERROR(VLOOKUP($C104,Orders!$A$4:$J$998,5,FALSE),""))</f>
        <v/>
      </c>
      <c r="I104" s="40" t="str">
        <f>IF($C104="","",IFERROR(VLOOKUP($C104,Orders!$A$4:$J$998,6,FALSE),""))</f>
        <v/>
      </c>
      <c r="J104" s="40" t="str">
        <f>IF($C104="","",IFERROR(VLOOKUP($C104,Orders!$A$4:$J$998,7,FALSE),""))</f>
        <v/>
      </c>
      <c r="K104" s="40" t="str">
        <f>IF(Bids!$C103="","",Bids!$C103)</f>
        <v/>
      </c>
      <c r="L104" s="40" t="str">
        <f>IF($K104="","",IFERROR(VLOOKUP($K104,Grinders!$A$4:$N$998,2,FALSE),""))</f>
        <v/>
      </c>
      <c r="M104" s="40" t="str">
        <f>IF($K104="","",IFERROR(VLOOKUP($K104,Grinders!$A$4:$N$998,3,FALSE),""))</f>
        <v/>
      </c>
      <c r="N104" s="40" t="str">
        <f>IF($K104="","",IFERROR(VLOOKUP($K104,Grinders!$A$4:$N$998,4,FALSE),""))</f>
        <v/>
      </c>
      <c r="O104" s="40" t="str">
        <f>IF($K104="","",IFERROR(VLOOKUP($K104,Grinders!$A$4:$N$998,5,FALSE),""))</f>
        <v/>
      </c>
      <c r="P104" s="40" t="str">
        <f>IF($K104="","",IF($C$4="",0,COUNTIFS(Assignments!$B$6:$B$1000,$K104,Assignments!$F$6:$F$1000,$C$4,Assignments!$E$6:$E$1000,"Active")))</f>
        <v/>
      </c>
      <c r="Q104" s="40" t="str">
        <f t="shared" si="3"/>
        <v/>
      </c>
      <c r="R104" s="40" t="str">
        <f t="shared" si="4"/>
        <v/>
      </c>
      <c r="S104" s="40" t="str">
        <f>IF($K104="","",IF($C$4="",0,COUNTIFS(Assignments!$B$6:$B$1000,$K104,Assignments!$F$6:$F$1000,$C$4,Assignments!$D$6:$D$1000,"&gt;="&amp;Config!$B$3-7,Assignments!$D$6:$D$1000,"&lt;="&amp;Config!$B$3)))</f>
        <v/>
      </c>
      <c r="T104" s="40" t="str">
        <f>IF($K104="","",IFERROR(VLOOKUP($K104,Grinders!$A$4:$N$998,8,FALSE),""))</f>
        <v/>
      </c>
      <c r="U104" s="40" t="str">
        <f>IFERROR(IF($K104="","",IF($M104="Elite",MAX(50,MIN(100,Config!$B$27*MAX(0,MIN(100,(1-IF($R104="",0,$R104))*100)) + Config!$B$28*MAX(0,MIN(100,(1-MIN(1,IF(Config!$B$30=0,1,$S104/Config!$B$30)))*100)) + Config!$B$29*MAX(0,MIN(100,MIN(1,IF($T104="",0,$T104)/Config!$B$23)*100)))),MIN(100,Config!$B$27*MAX(0,MIN(100,(1-IF($R104="",0,$R104))*100)) + Config!$B$28*MAX(0,MIN(100,(1-MIN(1,IF(Config!$B$30=0,1,$S104/Config!$B$30)))*100)) + Config!$B$29*MAX(0,MIN(100,MIN(1,IF($T104="",0,$T104)/Config!$B$23)*100))))),"")
</f>
        <v/>
      </c>
      <c r="V104" s="40" t="str">
        <f>IF(Bids!$AC104="","",Bids!$AC104)</f>
        <v/>
      </c>
      <c r="W104" s="40" t="str">
        <f>IF(Bids!$F103="","",Bids!$F103)</f>
        <v/>
      </c>
      <c r="X104" s="40" t="str">
        <f t="shared" si="5"/>
        <v/>
      </c>
      <c r="Y104" s="40" t="str">
        <f>IF($X104="","",IF(Config!$B$17=Config!$B$16,IF($X104&gt;=Config!$B$17,100,0),MAX(0,MIN(100,($X104-Config!$B$16)/(Config!$B$17-Config!$B$16)*100))))</f>
        <v/>
      </c>
      <c r="Z104" s="40">
        <f>IF($M104="Elite",Config!$B$21,0)</f>
        <v>0</v>
      </c>
      <c r="AA104" s="40" t="str">
        <f>IFERROR(IF(OR($W104="",$H104=""),"",IF($W104&gt;$H104,
  MAX(0, 60-(($W104-$H104)*24/Config!$B$19)*60),
  MIN(100, 60+(($H104-$W104)*24/Config!$B$20)*40)
)),"")
</f>
        <v/>
      </c>
      <c r="AB104" s="40" t="str">
        <f>IF($K104="","",IFERROR(VLOOKUP($K104,Grinders!$A$4:$N$998,10,FALSE)/5*100,""))</f>
        <v/>
      </c>
      <c r="AC104" s="40" t="str">
        <f>IF($K104="","",IFERROR(VLOOKUP($K104,Grinders!$A$4:$N$998,11,FALSE)*100,""))</f>
        <v/>
      </c>
      <c r="AD104" s="40" t="str">
        <f>IF($K104="","",IFERROR(VLOOKUP($K104,Grinders!$A$4:$N$998,12,FALSE)*100,""))</f>
        <v/>
      </c>
      <c r="AE104" s="40" t="str">
        <f>IF(OR(AO104=1,AP104=1),0,=IFERROR(IFS(
    OR($C104="", $K104=""), 0,
    $F104=0, 0,
    $D104&lt;&gt;"Open", 0,
    COUNTIFS(GrinderServices!$A$6:$A$1000, $K104, GrinderServices!$B$6:$B$1000, $E104, GrinderServices!$D$6:$D$1000, "Y")=0, 0,
    $X104&lt;Config!$B$16, 0,
    Config!$B$18=1, IF($O104&gt;=N104, 0, 1),
    TRUE, 1
), "")
)</f>
        <v>#ERROR!</v>
      </c>
      <c r="AF104" s="40" t="str">
        <f>IFERROR((IF(OR(AO104=1,AP104=1),"",=IFERROR((IFERROR(IF($AE104=0,"",((Config!$B$6*$Y104 + Config!$B$7*$U104 + Config!$B$8*$Z104 + Config!$B$9*$AA104 + Config!$B$10*$AB104 + Config!$B$11*$AC104 - Config!$B$12*$AD104)/Config!$B$13)+$AK104+$AL104),""))*(1-IFERROR(VLOOKUP(K104,Grinders!$A:$AB, 28, FALSE),0)),"")))*(1+AR104),"")</f>
        <v>#ERROR!</v>
      </c>
      <c r="AG104" s="40" t="str">
        <f t="shared" si="6"/>
        <v>#ERROR!</v>
      </c>
      <c r="AH104" s="40" t="str">
        <f t="shared" si="7"/>
        <v/>
      </c>
      <c r="AI104" s="40" t="str">
        <f t="shared" si="8"/>
        <v/>
      </c>
      <c r="AJ104" s="40" t="str">
        <f>IF($K104="","",COUNTIF(Assignments!$B$6:$B$1000,$K104))</f>
        <v/>
      </c>
      <c r="AK104" s="40" t="str">
        <f>IF($K104="","",IF(AND($AJ104=0,$O104&lt;$N104),Config!$B$43,0))</f>
        <v/>
      </c>
      <c r="AL104" s="40" t="str">
        <f>IF($K104="","",IF(AND($M104="Elite",$G104&gt;=Config!$B$41,$O104&lt;$N104),Config!$B$42,0))</f>
        <v/>
      </c>
      <c r="AM104" s="22"/>
      <c r="AN104" s="39">
        <f>IFERROR(VLOOKUP(K104,Grinders!$A:$Q,28,FALSE),0)</f>
        <v>0</v>
      </c>
      <c r="AO104" s="39">
        <f>IF(Config!$B$1003&lt;&gt;"Y",0,IF(IFERROR(VLOOKUP(K104,Grinders!$A:$P,27,FALSE),0)&gt;=3,IF(OR(G104&gt;=Config!$B$1001,ISNUMBER(SEARCH(E104,Config!$B$1002))),1,0),0))</f>
        <v>0</v>
      </c>
      <c r="AP104" s="39">
        <f t="array" ref="AP104">IFERROR(IF(INDEX(Bids!$AE:$AE,MATCH(B104,Bids!$A:$A,0))="Pending",1,0),0)</f>
        <v>0</v>
      </c>
      <c r="AQ104" s="39" t="str">
        <f t="array" ref="AQ104">IF(C104="","",IFERROR(XLOOKUP(C104,Assignments!$C:$C,Assignments!$AU:$AU,0),0))</f>
        <v/>
      </c>
      <c r="AR104" s="39">
        <f>IF(AND(Config!$B$1006="Y",AQ104=1),Config!$B$1007,0)</f>
        <v>0</v>
      </c>
    </row>
    <row r="105" ht="15.75" customHeight="1">
      <c r="A105" s="46" t="str">
        <f t="shared" si="1"/>
        <v/>
      </c>
      <c r="B105" s="40" t="str">
        <f>IF(Bids!$A104="","",Bids!$A104)</f>
        <v/>
      </c>
      <c r="C105" s="40" t="str">
        <f>IF(Bids!$B104="","",Bids!$B104)</f>
        <v/>
      </c>
      <c r="D105" s="40" t="str">
        <f>IF($C105="","",IFERROR(VLOOKUP($C105,Orders!$A$4:$J$998,9,FALSE),""))</f>
        <v/>
      </c>
      <c r="E105" s="40" t="str">
        <f>IF($C105="","",IFERROR(VLOOKUP($C105,Orders!$A$4:$J$998,3,FALSE),""))</f>
        <v/>
      </c>
      <c r="F105" s="40">
        <f t="shared" si="2"/>
        <v>1</v>
      </c>
      <c r="G105" s="40" t="str">
        <f>IF($C105="","",IFERROR(VLOOKUP($C105,Orders!$A$4:$J$998,4,FALSE),""))</f>
        <v/>
      </c>
      <c r="H105" s="40" t="str">
        <f>IF($C105="","",IFERROR(VLOOKUP($C105,Orders!$A$4:$J$998,5,FALSE),""))</f>
        <v/>
      </c>
      <c r="I105" s="40" t="str">
        <f>IF($C105="","",IFERROR(VLOOKUP($C105,Orders!$A$4:$J$998,6,FALSE),""))</f>
        <v/>
      </c>
      <c r="J105" s="40" t="str">
        <f>IF($C105="","",IFERROR(VLOOKUP($C105,Orders!$A$4:$J$998,7,FALSE),""))</f>
        <v/>
      </c>
      <c r="K105" s="40" t="str">
        <f>IF(Bids!$C104="","",Bids!$C104)</f>
        <v/>
      </c>
      <c r="L105" s="40" t="str">
        <f>IF($K105="","",IFERROR(VLOOKUP($K105,Grinders!$A$4:$N$998,2,FALSE),""))</f>
        <v/>
      </c>
      <c r="M105" s="40" t="str">
        <f>IF($K105="","",IFERROR(VLOOKUP($K105,Grinders!$A$4:$N$998,3,FALSE),""))</f>
        <v/>
      </c>
      <c r="N105" s="40" t="str">
        <f>IF($K105="","",IFERROR(VLOOKUP($K105,Grinders!$A$4:$N$998,4,FALSE),""))</f>
        <v/>
      </c>
      <c r="O105" s="40" t="str">
        <f>IF($K105="","",IFERROR(VLOOKUP($K105,Grinders!$A$4:$N$998,5,FALSE),""))</f>
        <v/>
      </c>
      <c r="P105" s="40" t="str">
        <f>IF($K105="","",IF($C$4="",0,COUNTIFS(Assignments!$B$6:$B$1000,$K105,Assignments!$F$6:$F$1000,$C$4,Assignments!$E$6:$E$1000,"Active")))</f>
        <v/>
      </c>
      <c r="Q105" s="40" t="str">
        <f t="shared" si="3"/>
        <v/>
      </c>
      <c r="R105" s="40" t="str">
        <f t="shared" si="4"/>
        <v/>
      </c>
      <c r="S105" s="40" t="str">
        <f>IF($K105="","",IF($C$4="",0,COUNTIFS(Assignments!$B$6:$B$1000,$K105,Assignments!$F$6:$F$1000,$C$4,Assignments!$D$6:$D$1000,"&gt;="&amp;Config!$B$3-7,Assignments!$D$6:$D$1000,"&lt;="&amp;Config!$B$3)))</f>
        <v/>
      </c>
      <c r="T105" s="40" t="str">
        <f>IF($K105="","",IFERROR(VLOOKUP($K105,Grinders!$A$4:$N$998,8,FALSE),""))</f>
        <v/>
      </c>
      <c r="U105" s="40" t="str">
        <f>IFERROR(IF($K105="","",IF($M105="Elite",MAX(50,MIN(100,Config!$B$27*MAX(0,MIN(100,(1-IF($R105="",0,$R105))*100)) + Config!$B$28*MAX(0,MIN(100,(1-MIN(1,IF(Config!$B$30=0,1,$S105/Config!$B$30)))*100)) + Config!$B$29*MAX(0,MIN(100,MIN(1,IF($T105="",0,$T105)/Config!$B$23)*100)))),MIN(100,Config!$B$27*MAX(0,MIN(100,(1-IF($R105="",0,$R105))*100)) + Config!$B$28*MAX(0,MIN(100,(1-MIN(1,IF(Config!$B$30=0,1,$S105/Config!$B$30)))*100)) + Config!$B$29*MAX(0,MIN(100,MIN(1,IF($T105="",0,$T105)/Config!$B$23)*100))))),"")
</f>
        <v/>
      </c>
      <c r="V105" s="40" t="str">
        <f>IF(Bids!$AC105="","",Bids!$AC105)</f>
        <v/>
      </c>
      <c r="W105" s="40" t="str">
        <f>IF(Bids!$F104="","",Bids!$F104)</f>
        <v/>
      </c>
      <c r="X105" s="40" t="str">
        <f t="shared" si="5"/>
        <v/>
      </c>
      <c r="Y105" s="40" t="str">
        <f>IF($X105="","",IF(Config!$B$17=Config!$B$16,IF($X105&gt;=Config!$B$17,100,0),MAX(0,MIN(100,($X105-Config!$B$16)/(Config!$B$17-Config!$B$16)*100))))</f>
        <v/>
      </c>
      <c r="Z105" s="40">
        <f>IF($M105="Elite",Config!$B$21,0)</f>
        <v>0</v>
      </c>
      <c r="AA105" s="40" t="str">
        <f>IFERROR(IF(OR($W105="",$H105=""),"",IF($W105&gt;$H105,
  MAX(0, 60-(($W105-$H105)*24/Config!$B$19)*60),
  MIN(100, 60+(($H105-$W105)*24/Config!$B$20)*40)
)),"")
</f>
        <v/>
      </c>
      <c r="AB105" s="40" t="str">
        <f>IF($K105="","",IFERROR(VLOOKUP($K105,Grinders!$A$4:$N$998,10,FALSE)/5*100,""))</f>
        <v/>
      </c>
      <c r="AC105" s="40" t="str">
        <f>IF($K105="","",IFERROR(VLOOKUP($K105,Grinders!$A$4:$N$998,11,FALSE)*100,""))</f>
        <v/>
      </c>
      <c r="AD105" s="40" t="str">
        <f>IF($K105="","",IFERROR(VLOOKUP($K105,Grinders!$A$4:$N$998,12,FALSE)*100,""))</f>
        <v/>
      </c>
      <c r="AE105" s="40" t="str">
        <f>IF(OR(AO105=1,AP105=1),0,=IFERROR(IFS(
    OR($C105="", $K105=""), 0,
    $F105=0, 0,
    $D105&lt;&gt;"Open", 0,
    COUNTIFS(GrinderServices!$A$6:$A$1000, $K105, GrinderServices!$B$6:$B$1000, $E105, GrinderServices!$D$6:$D$1000, "Y")=0, 0,
    $X105&lt;Config!$B$16, 0,
    Config!$B$18=1, IF($O105&gt;=N105, 0, 1),
    TRUE, 1
), "")
)</f>
        <v>#ERROR!</v>
      </c>
      <c r="AF105" s="40" t="str">
        <f>IFERROR((IF(OR(AO105=1,AP105=1),"",=IFERROR((IFERROR(IF($AE105=0,"",((Config!$B$6*$Y105 + Config!$B$7*$U105 + Config!$B$8*$Z105 + Config!$B$9*$AA105 + Config!$B$10*$AB105 + Config!$B$11*$AC105 - Config!$B$12*$AD105)/Config!$B$13)+$AK105+$AL105),""))*(1-IFERROR(VLOOKUP(K105,Grinders!$A:$AB, 28, FALSE),0)),"")))*(1+AR105),"")</f>
        <v>#ERROR!</v>
      </c>
      <c r="AG105" s="40" t="str">
        <f t="shared" si="6"/>
        <v>#ERROR!</v>
      </c>
      <c r="AH105" s="40" t="str">
        <f t="shared" si="7"/>
        <v/>
      </c>
      <c r="AI105" s="40" t="str">
        <f t="shared" si="8"/>
        <v/>
      </c>
      <c r="AJ105" s="40" t="str">
        <f>IF($K105="","",COUNTIF(Assignments!$B$6:$B$1000,$K105))</f>
        <v/>
      </c>
      <c r="AK105" s="40" t="str">
        <f>IF($K105="","",IF(AND($AJ105=0,$O105&lt;$N105),Config!$B$43,0))</f>
        <v/>
      </c>
      <c r="AL105" s="40" t="str">
        <f>IF($K105="","",IF(AND($M105="Elite",$G105&gt;=Config!$B$41,$O105&lt;$N105),Config!$B$42,0))</f>
        <v/>
      </c>
      <c r="AM105" s="22"/>
      <c r="AN105" s="39">
        <f>IFERROR(VLOOKUP(K105,Grinders!$A:$Q,28,FALSE),0)</f>
        <v>0</v>
      </c>
      <c r="AO105" s="39">
        <f>IF(Config!$B$1003&lt;&gt;"Y",0,IF(IFERROR(VLOOKUP(K105,Grinders!$A:$P,27,FALSE),0)&gt;=3,IF(OR(G105&gt;=Config!$B$1001,ISNUMBER(SEARCH(E105,Config!$B$1002))),1,0),0))</f>
        <v>0</v>
      </c>
      <c r="AP105" s="39">
        <f t="array" ref="AP105">IFERROR(IF(INDEX(Bids!$AE:$AE,MATCH(B105,Bids!$A:$A,0))="Pending",1,0),0)</f>
        <v>0</v>
      </c>
      <c r="AQ105" s="39" t="str">
        <f t="array" ref="AQ105">IF(C105="","",IFERROR(XLOOKUP(C105,Assignments!$C:$C,Assignments!$AU:$AU,0),0))</f>
        <v/>
      </c>
      <c r="AR105" s="39">
        <f>IF(AND(Config!$B$1006="Y",AQ105=1),Config!$B$1007,0)</f>
        <v>0</v>
      </c>
    </row>
    <row r="106" ht="15.75" customHeight="1">
      <c r="A106" s="46" t="str">
        <f t="shared" si="1"/>
        <v/>
      </c>
      <c r="B106" s="40" t="str">
        <f>IF(Bids!$A105="","",Bids!$A105)</f>
        <v/>
      </c>
      <c r="C106" s="40" t="str">
        <f>IF(Bids!$B105="","",Bids!$B105)</f>
        <v/>
      </c>
      <c r="D106" s="40" t="str">
        <f>IF($C106="","",IFERROR(VLOOKUP($C106,Orders!$A$4:$J$998,9,FALSE),""))</f>
        <v/>
      </c>
      <c r="E106" s="40" t="str">
        <f>IF($C106="","",IFERROR(VLOOKUP($C106,Orders!$A$4:$J$998,3,FALSE),""))</f>
        <v/>
      </c>
      <c r="F106" s="40">
        <f t="shared" si="2"/>
        <v>1</v>
      </c>
      <c r="G106" s="40" t="str">
        <f>IF($C106="","",IFERROR(VLOOKUP($C106,Orders!$A$4:$J$998,4,FALSE),""))</f>
        <v/>
      </c>
      <c r="H106" s="40" t="str">
        <f>IF($C106="","",IFERROR(VLOOKUP($C106,Orders!$A$4:$J$998,5,FALSE),""))</f>
        <v/>
      </c>
      <c r="I106" s="40" t="str">
        <f>IF($C106="","",IFERROR(VLOOKUP($C106,Orders!$A$4:$J$998,6,FALSE),""))</f>
        <v/>
      </c>
      <c r="J106" s="40" t="str">
        <f>IF($C106="","",IFERROR(VLOOKUP($C106,Orders!$A$4:$J$998,7,FALSE),""))</f>
        <v/>
      </c>
      <c r="K106" s="40" t="str">
        <f>IF(Bids!$C105="","",Bids!$C105)</f>
        <v/>
      </c>
      <c r="L106" s="40" t="str">
        <f>IF($K106="","",IFERROR(VLOOKUP($K106,Grinders!$A$4:$N$998,2,FALSE),""))</f>
        <v/>
      </c>
      <c r="M106" s="40" t="str">
        <f>IF($K106="","",IFERROR(VLOOKUP($K106,Grinders!$A$4:$N$998,3,FALSE),""))</f>
        <v/>
      </c>
      <c r="N106" s="40" t="str">
        <f>IF($K106="","",IFERROR(VLOOKUP($K106,Grinders!$A$4:$N$998,4,FALSE),""))</f>
        <v/>
      </c>
      <c r="O106" s="40" t="str">
        <f>IF($K106="","",IFERROR(VLOOKUP($K106,Grinders!$A$4:$N$998,5,FALSE),""))</f>
        <v/>
      </c>
      <c r="P106" s="40" t="str">
        <f>IF($K106="","",IF($C$4="",0,COUNTIFS(Assignments!$B$6:$B$1000,$K106,Assignments!$F$6:$F$1000,$C$4,Assignments!$E$6:$E$1000,"Active")))</f>
        <v/>
      </c>
      <c r="Q106" s="40" t="str">
        <f t="shared" si="3"/>
        <v/>
      </c>
      <c r="R106" s="40" t="str">
        <f t="shared" si="4"/>
        <v/>
      </c>
      <c r="S106" s="40" t="str">
        <f>IF($K106="","",IF($C$4="",0,COUNTIFS(Assignments!$B$6:$B$1000,$K106,Assignments!$F$6:$F$1000,$C$4,Assignments!$D$6:$D$1000,"&gt;="&amp;Config!$B$3-7,Assignments!$D$6:$D$1000,"&lt;="&amp;Config!$B$3)))</f>
        <v/>
      </c>
      <c r="T106" s="40" t="str">
        <f>IF($K106="","",IFERROR(VLOOKUP($K106,Grinders!$A$4:$N$998,8,FALSE),""))</f>
        <v/>
      </c>
      <c r="U106" s="40" t="str">
        <f>IFERROR(IF($K106="","",IF($M106="Elite",MAX(50,MIN(100,Config!$B$27*MAX(0,MIN(100,(1-IF($R106="",0,$R106))*100)) + Config!$B$28*MAX(0,MIN(100,(1-MIN(1,IF(Config!$B$30=0,1,$S106/Config!$B$30)))*100)) + Config!$B$29*MAX(0,MIN(100,MIN(1,IF($T106="",0,$T106)/Config!$B$23)*100)))),MIN(100,Config!$B$27*MAX(0,MIN(100,(1-IF($R106="",0,$R106))*100)) + Config!$B$28*MAX(0,MIN(100,(1-MIN(1,IF(Config!$B$30=0,1,$S106/Config!$B$30)))*100)) + Config!$B$29*MAX(0,MIN(100,MIN(1,IF($T106="",0,$T106)/Config!$B$23)*100))))),"")
</f>
        <v/>
      </c>
      <c r="V106" s="40" t="str">
        <f>IF(Bids!$AC106="","",Bids!$AC106)</f>
        <v/>
      </c>
      <c r="W106" s="40" t="str">
        <f>IF(Bids!$F105="","",Bids!$F105)</f>
        <v/>
      </c>
      <c r="X106" s="40" t="str">
        <f t="shared" si="5"/>
        <v/>
      </c>
      <c r="Y106" s="40" t="str">
        <f>IF($X106="","",IF(Config!$B$17=Config!$B$16,IF($X106&gt;=Config!$B$17,100,0),MAX(0,MIN(100,($X106-Config!$B$16)/(Config!$B$17-Config!$B$16)*100))))</f>
        <v/>
      </c>
      <c r="Z106" s="40">
        <f>IF($M106="Elite",Config!$B$21,0)</f>
        <v>0</v>
      </c>
      <c r="AA106" s="40" t="str">
        <f>IFERROR(IF(OR($W106="",$H106=""),"",IF($W106&gt;$H106,
  MAX(0, 60-(($W106-$H106)*24/Config!$B$19)*60),
  MIN(100, 60+(($H106-$W106)*24/Config!$B$20)*40)
)),"")
</f>
        <v/>
      </c>
      <c r="AB106" s="40" t="str">
        <f>IF($K106="","",IFERROR(VLOOKUP($K106,Grinders!$A$4:$N$998,10,FALSE)/5*100,""))</f>
        <v/>
      </c>
      <c r="AC106" s="40" t="str">
        <f>IF($K106="","",IFERROR(VLOOKUP($K106,Grinders!$A$4:$N$998,11,FALSE)*100,""))</f>
        <v/>
      </c>
      <c r="AD106" s="40" t="str">
        <f>IF($K106="","",IFERROR(VLOOKUP($K106,Grinders!$A$4:$N$998,12,FALSE)*100,""))</f>
        <v/>
      </c>
      <c r="AE106" s="40" t="str">
        <f>IF(OR(AO106=1,AP106=1),0,=IFERROR(IFS(
    OR($C106="", $K106=""), 0,
    $F106=0, 0,
    $D106&lt;&gt;"Open", 0,
    COUNTIFS(GrinderServices!$A$6:$A$1000, $K106, GrinderServices!$B$6:$B$1000, $E106, GrinderServices!$D$6:$D$1000, "Y")=0, 0,
    $X106&lt;Config!$B$16, 0,
    Config!$B$18=1, IF($O106&gt;=N106, 0, 1),
    TRUE, 1
), "")
)</f>
        <v>#ERROR!</v>
      </c>
      <c r="AF106" s="40" t="str">
        <f>IFERROR((IF(OR(AO106=1,AP106=1),"",=IFERROR((IFERROR(IF($AE106=0,"",((Config!$B$6*$Y106 + Config!$B$7*$U106 + Config!$B$8*$Z106 + Config!$B$9*$AA106 + Config!$B$10*$AB106 + Config!$B$11*$AC106 - Config!$B$12*$AD106)/Config!$B$13)+$AK106+$AL106),""))*(1-IFERROR(VLOOKUP(K106,Grinders!$A:$AB, 28, FALSE),0)),"")))*(1+AR106),"")</f>
        <v>#ERROR!</v>
      </c>
      <c r="AG106" s="40" t="str">
        <f t="shared" si="6"/>
        <v>#ERROR!</v>
      </c>
      <c r="AH106" s="40" t="str">
        <f t="shared" si="7"/>
        <v/>
      </c>
      <c r="AI106" s="40" t="str">
        <f t="shared" si="8"/>
        <v/>
      </c>
      <c r="AJ106" s="40" t="str">
        <f>IF($K106="","",COUNTIF(Assignments!$B$6:$B$1000,$K106))</f>
        <v/>
      </c>
      <c r="AK106" s="40" t="str">
        <f>IF($K106="","",IF(AND($AJ106=0,$O106&lt;$N106),Config!$B$43,0))</f>
        <v/>
      </c>
      <c r="AL106" s="40" t="str">
        <f>IF($K106="","",IF(AND($M106="Elite",$G106&gt;=Config!$B$41,$O106&lt;$N106),Config!$B$42,0))</f>
        <v/>
      </c>
      <c r="AM106" s="22"/>
      <c r="AN106" s="39">
        <f>IFERROR(VLOOKUP(K106,Grinders!$A:$Q,28,FALSE),0)</f>
        <v>0</v>
      </c>
      <c r="AO106" s="39">
        <f>IF(Config!$B$1003&lt;&gt;"Y",0,IF(IFERROR(VLOOKUP(K106,Grinders!$A:$P,27,FALSE),0)&gt;=3,IF(OR(G106&gt;=Config!$B$1001,ISNUMBER(SEARCH(E106,Config!$B$1002))),1,0),0))</f>
        <v>0</v>
      </c>
      <c r="AP106" s="39">
        <f t="array" ref="AP106">IFERROR(IF(INDEX(Bids!$AE:$AE,MATCH(B106,Bids!$A:$A,0))="Pending",1,0),0)</f>
        <v>0</v>
      </c>
      <c r="AQ106" s="39" t="str">
        <f t="array" ref="AQ106">IF(C106="","",IFERROR(XLOOKUP(C106,Assignments!$C:$C,Assignments!$AU:$AU,0),0))</f>
        <v/>
      </c>
      <c r="AR106" s="39">
        <f>IF(AND(Config!$B$1006="Y",AQ106=1),Config!$B$1007,0)</f>
        <v>0</v>
      </c>
    </row>
    <row r="107" ht="15.75" customHeight="1">
      <c r="A107" s="46" t="str">
        <f t="shared" si="1"/>
        <v/>
      </c>
      <c r="B107" s="40" t="str">
        <f>IF(Bids!$A106="","",Bids!$A106)</f>
        <v/>
      </c>
      <c r="C107" s="40" t="str">
        <f>IF(Bids!$B106="","",Bids!$B106)</f>
        <v/>
      </c>
      <c r="D107" s="40" t="str">
        <f>IF($C107="","",IFERROR(VLOOKUP($C107,Orders!$A$4:$J$998,9,FALSE),""))</f>
        <v/>
      </c>
      <c r="E107" s="40" t="str">
        <f>IF($C107="","",IFERROR(VLOOKUP($C107,Orders!$A$4:$J$998,3,FALSE),""))</f>
        <v/>
      </c>
      <c r="F107" s="40">
        <f t="shared" si="2"/>
        <v>1</v>
      </c>
      <c r="G107" s="40" t="str">
        <f>IF($C107="","",IFERROR(VLOOKUP($C107,Orders!$A$4:$J$998,4,FALSE),""))</f>
        <v/>
      </c>
      <c r="H107" s="40" t="str">
        <f>IF($C107="","",IFERROR(VLOOKUP($C107,Orders!$A$4:$J$998,5,FALSE),""))</f>
        <v/>
      </c>
      <c r="I107" s="40" t="str">
        <f>IF($C107="","",IFERROR(VLOOKUP($C107,Orders!$A$4:$J$998,6,FALSE),""))</f>
        <v/>
      </c>
      <c r="J107" s="40" t="str">
        <f>IF($C107="","",IFERROR(VLOOKUP($C107,Orders!$A$4:$J$998,7,FALSE),""))</f>
        <v/>
      </c>
      <c r="K107" s="40" t="str">
        <f>IF(Bids!$C106="","",Bids!$C106)</f>
        <v/>
      </c>
      <c r="L107" s="40" t="str">
        <f>IF($K107="","",IFERROR(VLOOKUP($K107,Grinders!$A$4:$N$998,2,FALSE),""))</f>
        <v/>
      </c>
      <c r="M107" s="40" t="str">
        <f>IF($K107="","",IFERROR(VLOOKUP($K107,Grinders!$A$4:$N$998,3,FALSE),""))</f>
        <v/>
      </c>
      <c r="N107" s="40" t="str">
        <f>IF($K107="","",IFERROR(VLOOKUP($K107,Grinders!$A$4:$N$998,4,FALSE),""))</f>
        <v/>
      </c>
      <c r="O107" s="40" t="str">
        <f>IF($K107="","",IFERROR(VLOOKUP($K107,Grinders!$A$4:$N$998,5,FALSE),""))</f>
        <v/>
      </c>
      <c r="P107" s="40" t="str">
        <f>IF($K107="","",IF($C$4="",0,COUNTIFS(Assignments!$B$6:$B$1000,$K107,Assignments!$F$6:$F$1000,$C$4,Assignments!$E$6:$E$1000,"Active")))</f>
        <v/>
      </c>
      <c r="Q107" s="40" t="str">
        <f t="shared" si="3"/>
        <v/>
      </c>
      <c r="R107" s="40" t="str">
        <f t="shared" si="4"/>
        <v/>
      </c>
      <c r="S107" s="40" t="str">
        <f>IF($K107="","",IF($C$4="",0,COUNTIFS(Assignments!$B$6:$B$1000,$K107,Assignments!$F$6:$F$1000,$C$4,Assignments!$D$6:$D$1000,"&gt;="&amp;Config!$B$3-7,Assignments!$D$6:$D$1000,"&lt;="&amp;Config!$B$3)))</f>
        <v/>
      </c>
      <c r="T107" s="40" t="str">
        <f>IF($K107="","",IFERROR(VLOOKUP($K107,Grinders!$A$4:$N$998,8,FALSE),""))</f>
        <v/>
      </c>
      <c r="U107" s="40" t="str">
        <f>IFERROR(IF($K107="","",IF($M107="Elite",MAX(50,MIN(100,Config!$B$27*MAX(0,MIN(100,(1-IF($R107="",0,$R107))*100)) + Config!$B$28*MAX(0,MIN(100,(1-MIN(1,IF(Config!$B$30=0,1,$S107/Config!$B$30)))*100)) + Config!$B$29*MAX(0,MIN(100,MIN(1,IF($T107="",0,$T107)/Config!$B$23)*100)))),MIN(100,Config!$B$27*MAX(0,MIN(100,(1-IF($R107="",0,$R107))*100)) + Config!$B$28*MAX(0,MIN(100,(1-MIN(1,IF(Config!$B$30=0,1,$S107/Config!$B$30)))*100)) + Config!$B$29*MAX(0,MIN(100,MIN(1,IF($T107="",0,$T107)/Config!$B$23)*100))))),"")
</f>
        <v/>
      </c>
      <c r="V107" s="40" t="str">
        <f>IF(Bids!$AC107="","",Bids!$AC107)</f>
        <v/>
      </c>
      <c r="W107" s="40" t="str">
        <f>IF(Bids!$F106="","",Bids!$F106)</f>
        <v/>
      </c>
      <c r="X107" s="40" t="str">
        <f t="shared" si="5"/>
        <v/>
      </c>
      <c r="Y107" s="40" t="str">
        <f>IF($X107="","",IF(Config!$B$17=Config!$B$16,IF($X107&gt;=Config!$B$17,100,0),MAX(0,MIN(100,($X107-Config!$B$16)/(Config!$B$17-Config!$B$16)*100))))</f>
        <v/>
      </c>
      <c r="Z107" s="40">
        <f>IF($M107="Elite",Config!$B$21,0)</f>
        <v>0</v>
      </c>
      <c r="AA107" s="40" t="str">
        <f>IFERROR(IF(OR($W107="",$H107=""),"",IF($W107&gt;$H107,
  MAX(0, 60-(($W107-$H107)*24/Config!$B$19)*60),
  MIN(100, 60+(($H107-$W107)*24/Config!$B$20)*40)
)),"")
</f>
        <v/>
      </c>
      <c r="AB107" s="40" t="str">
        <f>IF($K107="","",IFERROR(VLOOKUP($K107,Grinders!$A$4:$N$998,10,FALSE)/5*100,""))</f>
        <v/>
      </c>
      <c r="AC107" s="40" t="str">
        <f>IF($K107="","",IFERROR(VLOOKUP($K107,Grinders!$A$4:$N$998,11,FALSE)*100,""))</f>
        <v/>
      </c>
      <c r="AD107" s="40" t="str">
        <f>IF($K107="","",IFERROR(VLOOKUP($K107,Grinders!$A$4:$N$998,12,FALSE)*100,""))</f>
        <v/>
      </c>
      <c r="AE107" s="40" t="str">
        <f>IF(OR(AO107=1,AP107=1),0,=IFERROR(IFS(
    OR($C107="", $K107=""), 0,
    $F107=0, 0,
    $D107&lt;&gt;"Open", 0,
    COUNTIFS(GrinderServices!$A$6:$A$1000, $K107, GrinderServices!$B$6:$B$1000, $E107, GrinderServices!$D$6:$D$1000, "Y")=0, 0,
    $X107&lt;Config!$B$16, 0,
    Config!$B$18=1, IF($O107&gt;=N107, 0, 1),
    TRUE, 1
), "")
)</f>
        <v>#ERROR!</v>
      </c>
      <c r="AF107" s="40" t="str">
        <f>IFERROR((IF(OR(AO107=1,AP107=1),"",=IFERROR((IFERROR(IF($AE107=0,"",((Config!$B$6*$Y107 + Config!$B$7*$U107 + Config!$B$8*$Z107 + Config!$B$9*$AA107 + Config!$B$10*$AB107 + Config!$B$11*$AC107 - Config!$B$12*$AD107)/Config!$B$13)+$AK107+$AL107),""))*(1-IFERROR(VLOOKUP(K107,Grinders!$A:$AB, 28, FALSE),0)),"")))*(1+AR107),"")</f>
        <v>#ERROR!</v>
      </c>
      <c r="AG107" s="40" t="str">
        <f t="shared" si="6"/>
        <v>#ERROR!</v>
      </c>
      <c r="AH107" s="40" t="str">
        <f t="shared" si="7"/>
        <v/>
      </c>
      <c r="AI107" s="40" t="str">
        <f t="shared" si="8"/>
        <v/>
      </c>
      <c r="AJ107" s="40" t="str">
        <f>IF($K107="","",COUNTIF(Assignments!$B$6:$B$1000,$K107))</f>
        <v/>
      </c>
      <c r="AK107" s="40" t="str">
        <f>IF($K107="","",IF(AND($AJ107=0,$O107&lt;$N107),Config!$B$43,0))</f>
        <v/>
      </c>
      <c r="AL107" s="40" t="str">
        <f>IF($K107="","",IF(AND($M107="Elite",$G107&gt;=Config!$B$41,$O107&lt;$N107),Config!$B$42,0))</f>
        <v/>
      </c>
      <c r="AM107" s="22"/>
      <c r="AN107" s="39">
        <f>IFERROR(VLOOKUP(K107,Grinders!$A:$Q,28,FALSE),0)</f>
        <v>0</v>
      </c>
      <c r="AO107" s="39">
        <f>IF(Config!$B$1003&lt;&gt;"Y",0,IF(IFERROR(VLOOKUP(K107,Grinders!$A:$P,27,FALSE),0)&gt;=3,IF(OR(G107&gt;=Config!$B$1001,ISNUMBER(SEARCH(E107,Config!$B$1002))),1,0),0))</f>
        <v>0</v>
      </c>
      <c r="AP107" s="39">
        <f t="array" ref="AP107">IFERROR(IF(INDEX(Bids!$AE:$AE,MATCH(B107,Bids!$A:$A,0))="Pending",1,0),0)</f>
        <v>0</v>
      </c>
      <c r="AQ107" s="39" t="str">
        <f t="array" ref="AQ107">IF(C107="","",IFERROR(XLOOKUP(C107,Assignments!$C:$C,Assignments!$AU:$AU,0),0))</f>
        <v/>
      </c>
      <c r="AR107" s="39">
        <f>IF(AND(Config!$B$1006="Y",AQ107=1),Config!$B$1007,0)</f>
        <v>0</v>
      </c>
    </row>
    <row r="108" ht="15.75" customHeight="1">
      <c r="A108" s="46" t="str">
        <f t="shared" si="1"/>
        <v/>
      </c>
      <c r="B108" s="40" t="str">
        <f>IF(Bids!$A107="","",Bids!$A107)</f>
        <v/>
      </c>
      <c r="C108" s="40" t="str">
        <f>IF(Bids!$B107="","",Bids!$B107)</f>
        <v/>
      </c>
      <c r="D108" s="40" t="str">
        <f>IF($C108="","",IFERROR(VLOOKUP($C108,Orders!$A$4:$J$998,9,FALSE),""))</f>
        <v/>
      </c>
      <c r="E108" s="40" t="str">
        <f>IF($C108="","",IFERROR(VLOOKUP($C108,Orders!$A$4:$J$998,3,FALSE),""))</f>
        <v/>
      </c>
      <c r="F108" s="40">
        <f t="shared" si="2"/>
        <v>1</v>
      </c>
      <c r="G108" s="40" t="str">
        <f>IF($C108="","",IFERROR(VLOOKUP($C108,Orders!$A$4:$J$998,4,FALSE),""))</f>
        <v/>
      </c>
      <c r="H108" s="40" t="str">
        <f>IF($C108="","",IFERROR(VLOOKUP($C108,Orders!$A$4:$J$998,5,FALSE),""))</f>
        <v/>
      </c>
      <c r="I108" s="40" t="str">
        <f>IF($C108="","",IFERROR(VLOOKUP($C108,Orders!$A$4:$J$998,6,FALSE),""))</f>
        <v/>
      </c>
      <c r="J108" s="40" t="str">
        <f>IF($C108="","",IFERROR(VLOOKUP($C108,Orders!$A$4:$J$998,7,FALSE),""))</f>
        <v/>
      </c>
      <c r="K108" s="40" t="str">
        <f>IF(Bids!$C107="","",Bids!$C107)</f>
        <v/>
      </c>
      <c r="L108" s="40" t="str">
        <f>IF($K108="","",IFERROR(VLOOKUP($K108,Grinders!$A$4:$N$998,2,FALSE),""))</f>
        <v/>
      </c>
      <c r="M108" s="40" t="str">
        <f>IF($K108="","",IFERROR(VLOOKUP($K108,Grinders!$A$4:$N$998,3,FALSE),""))</f>
        <v/>
      </c>
      <c r="N108" s="40" t="str">
        <f>IF($K108="","",IFERROR(VLOOKUP($K108,Grinders!$A$4:$N$998,4,FALSE),""))</f>
        <v/>
      </c>
      <c r="O108" s="40" t="str">
        <f>IF($K108="","",IFERROR(VLOOKUP($K108,Grinders!$A$4:$N$998,5,FALSE),""))</f>
        <v/>
      </c>
      <c r="P108" s="40" t="str">
        <f>IF($K108="","",IF($C$4="",0,COUNTIFS(Assignments!$B$6:$B$1000,$K108,Assignments!$F$6:$F$1000,$C$4,Assignments!$E$6:$E$1000,"Active")))</f>
        <v/>
      </c>
      <c r="Q108" s="40" t="str">
        <f t="shared" si="3"/>
        <v/>
      </c>
      <c r="R108" s="40" t="str">
        <f t="shared" si="4"/>
        <v/>
      </c>
      <c r="S108" s="40" t="str">
        <f>IF($K108="","",IF($C$4="",0,COUNTIFS(Assignments!$B$6:$B$1000,$K108,Assignments!$F$6:$F$1000,$C$4,Assignments!$D$6:$D$1000,"&gt;="&amp;Config!$B$3-7,Assignments!$D$6:$D$1000,"&lt;="&amp;Config!$B$3)))</f>
        <v/>
      </c>
      <c r="T108" s="40" t="str">
        <f>IF($K108="","",IFERROR(VLOOKUP($K108,Grinders!$A$4:$N$998,8,FALSE),""))</f>
        <v/>
      </c>
      <c r="U108" s="40" t="str">
        <f>IFERROR(IF($K108="","",IF($M108="Elite",MAX(50,MIN(100,Config!$B$27*MAX(0,MIN(100,(1-IF($R108="",0,$R108))*100)) + Config!$B$28*MAX(0,MIN(100,(1-MIN(1,IF(Config!$B$30=0,1,$S108/Config!$B$30)))*100)) + Config!$B$29*MAX(0,MIN(100,MIN(1,IF($T108="",0,$T108)/Config!$B$23)*100)))),MIN(100,Config!$B$27*MAX(0,MIN(100,(1-IF($R108="",0,$R108))*100)) + Config!$B$28*MAX(0,MIN(100,(1-MIN(1,IF(Config!$B$30=0,1,$S108/Config!$B$30)))*100)) + Config!$B$29*MAX(0,MIN(100,MIN(1,IF($T108="",0,$T108)/Config!$B$23)*100))))),"")
</f>
        <v/>
      </c>
      <c r="V108" s="40" t="str">
        <f>IF(Bids!$AC108="","",Bids!$AC108)</f>
        <v/>
      </c>
      <c r="W108" s="40" t="str">
        <f>IF(Bids!$F107="","",Bids!$F107)</f>
        <v/>
      </c>
      <c r="X108" s="40" t="str">
        <f t="shared" si="5"/>
        <v/>
      </c>
      <c r="Y108" s="40" t="str">
        <f>IF($X108="","",IF(Config!$B$17=Config!$B$16,IF($X108&gt;=Config!$B$17,100,0),MAX(0,MIN(100,($X108-Config!$B$16)/(Config!$B$17-Config!$B$16)*100))))</f>
        <v/>
      </c>
      <c r="Z108" s="40">
        <f>IF($M108="Elite",Config!$B$21,0)</f>
        <v>0</v>
      </c>
      <c r="AA108" s="40" t="str">
        <f>IFERROR(IF(OR($W108="",$H108=""),"",IF($W108&gt;$H108,
  MAX(0, 60-(($W108-$H108)*24/Config!$B$19)*60),
  MIN(100, 60+(($H108-$W108)*24/Config!$B$20)*40)
)),"")
</f>
        <v/>
      </c>
      <c r="AB108" s="40" t="str">
        <f>IF($K108="","",IFERROR(VLOOKUP($K108,Grinders!$A$4:$N$998,10,FALSE)/5*100,""))</f>
        <v/>
      </c>
      <c r="AC108" s="40" t="str">
        <f>IF($K108="","",IFERROR(VLOOKUP($K108,Grinders!$A$4:$N$998,11,FALSE)*100,""))</f>
        <v/>
      </c>
      <c r="AD108" s="40" t="str">
        <f>IF($K108="","",IFERROR(VLOOKUP($K108,Grinders!$A$4:$N$998,12,FALSE)*100,""))</f>
        <v/>
      </c>
      <c r="AE108" s="40" t="str">
        <f>IF(OR(AO108=1,AP108=1),0,=IFERROR(IFS(
    OR($C108="", $K108=""), 0,
    $F108=0, 0,
    $D108&lt;&gt;"Open", 0,
    COUNTIFS(GrinderServices!$A$6:$A$1000, $K108, GrinderServices!$B$6:$B$1000, $E108, GrinderServices!$D$6:$D$1000, "Y")=0, 0,
    $X108&lt;Config!$B$16, 0,
    Config!$B$18=1, IF($O108&gt;=N108, 0, 1),
    TRUE, 1
), "")
)</f>
        <v>#ERROR!</v>
      </c>
      <c r="AF108" s="40" t="str">
        <f>IFERROR((IF(OR(AO108=1,AP108=1),"",=IFERROR((IFERROR(IF($AE108=0,"",((Config!$B$6*$Y108 + Config!$B$7*$U108 + Config!$B$8*$Z108 + Config!$B$9*$AA108 + Config!$B$10*$AB108 + Config!$B$11*$AC108 - Config!$B$12*$AD108)/Config!$B$13)+$AK108+$AL108),""))*(1-IFERROR(VLOOKUP(K108,Grinders!$A:$AB, 28, FALSE),0)),"")))*(1+AR108),"")</f>
        <v>#ERROR!</v>
      </c>
      <c r="AG108" s="40" t="str">
        <f t="shared" si="6"/>
        <v>#ERROR!</v>
      </c>
      <c r="AH108" s="40" t="str">
        <f t="shared" si="7"/>
        <v/>
      </c>
      <c r="AI108" s="40" t="str">
        <f t="shared" si="8"/>
        <v/>
      </c>
      <c r="AJ108" s="40" t="str">
        <f>IF($K108="","",COUNTIF(Assignments!$B$6:$B$1000,$K108))</f>
        <v/>
      </c>
      <c r="AK108" s="40" t="str">
        <f>IF($K108="","",IF(AND($AJ108=0,$O108&lt;$N108),Config!$B$43,0))</f>
        <v/>
      </c>
      <c r="AL108" s="40" t="str">
        <f>IF($K108="","",IF(AND($M108="Elite",$G108&gt;=Config!$B$41,$O108&lt;$N108),Config!$B$42,0))</f>
        <v/>
      </c>
      <c r="AM108" s="22"/>
      <c r="AN108" s="39">
        <f>IFERROR(VLOOKUP(K108,Grinders!$A:$Q,28,FALSE),0)</f>
        <v>0</v>
      </c>
      <c r="AO108" s="39">
        <f>IF(Config!$B$1003&lt;&gt;"Y",0,IF(IFERROR(VLOOKUP(K108,Grinders!$A:$P,27,FALSE),0)&gt;=3,IF(OR(G108&gt;=Config!$B$1001,ISNUMBER(SEARCH(E108,Config!$B$1002))),1,0),0))</f>
        <v>0</v>
      </c>
      <c r="AP108" s="39">
        <f t="array" ref="AP108">IFERROR(IF(INDEX(Bids!$AE:$AE,MATCH(B108,Bids!$A:$A,0))="Pending",1,0),0)</f>
        <v>0</v>
      </c>
      <c r="AQ108" s="39" t="str">
        <f t="array" ref="AQ108">IF(C108="","",IFERROR(XLOOKUP(C108,Assignments!$C:$C,Assignments!$AU:$AU,0),0))</f>
        <v/>
      </c>
      <c r="AR108" s="39">
        <f>IF(AND(Config!$B$1006="Y",AQ108=1),Config!$B$1007,0)</f>
        <v>0</v>
      </c>
    </row>
    <row r="109" ht="15.75" customHeight="1">
      <c r="A109" s="46" t="str">
        <f t="shared" si="1"/>
        <v/>
      </c>
      <c r="B109" s="40" t="str">
        <f>IF(Bids!$A108="","",Bids!$A108)</f>
        <v/>
      </c>
      <c r="C109" s="40" t="str">
        <f>IF(Bids!$B108="","",Bids!$B108)</f>
        <v/>
      </c>
      <c r="D109" s="40" t="str">
        <f>IF($C109="","",IFERROR(VLOOKUP($C109,Orders!$A$4:$J$998,9,FALSE),""))</f>
        <v/>
      </c>
      <c r="E109" s="40" t="str">
        <f>IF($C109="","",IFERROR(VLOOKUP($C109,Orders!$A$4:$J$998,3,FALSE),""))</f>
        <v/>
      </c>
      <c r="F109" s="40">
        <f t="shared" si="2"/>
        <v>1</v>
      </c>
      <c r="G109" s="40" t="str">
        <f>IF($C109="","",IFERROR(VLOOKUP($C109,Orders!$A$4:$J$998,4,FALSE),""))</f>
        <v/>
      </c>
      <c r="H109" s="40" t="str">
        <f>IF($C109="","",IFERROR(VLOOKUP($C109,Orders!$A$4:$J$998,5,FALSE),""))</f>
        <v/>
      </c>
      <c r="I109" s="40" t="str">
        <f>IF($C109="","",IFERROR(VLOOKUP($C109,Orders!$A$4:$J$998,6,FALSE),""))</f>
        <v/>
      </c>
      <c r="J109" s="40" t="str">
        <f>IF($C109="","",IFERROR(VLOOKUP($C109,Orders!$A$4:$J$998,7,FALSE),""))</f>
        <v/>
      </c>
      <c r="K109" s="40" t="str">
        <f>IF(Bids!$C108="","",Bids!$C108)</f>
        <v/>
      </c>
      <c r="L109" s="40" t="str">
        <f>IF($K109="","",IFERROR(VLOOKUP($K109,Grinders!$A$4:$N$998,2,FALSE),""))</f>
        <v/>
      </c>
      <c r="M109" s="40" t="str">
        <f>IF($K109="","",IFERROR(VLOOKUP($K109,Grinders!$A$4:$N$998,3,FALSE),""))</f>
        <v/>
      </c>
      <c r="N109" s="40" t="str">
        <f>IF($K109="","",IFERROR(VLOOKUP($K109,Grinders!$A$4:$N$998,4,FALSE),""))</f>
        <v/>
      </c>
      <c r="O109" s="40" t="str">
        <f>IF($K109="","",IFERROR(VLOOKUP($K109,Grinders!$A$4:$N$998,5,FALSE),""))</f>
        <v/>
      </c>
      <c r="P109" s="40" t="str">
        <f>IF($K109="","",IF($C$4="",0,COUNTIFS(Assignments!$B$6:$B$1000,$K109,Assignments!$F$6:$F$1000,$C$4,Assignments!$E$6:$E$1000,"Active")))</f>
        <v/>
      </c>
      <c r="Q109" s="40" t="str">
        <f t="shared" si="3"/>
        <v/>
      </c>
      <c r="R109" s="40" t="str">
        <f t="shared" si="4"/>
        <v/>
      </c>
      <c r="S109" s="40" t="str">
        <f>IF($K109="","",IF($C$4="",0,COUNTIFS(Assignments!$B$6:$B$1000,$K109,Assignments!$F$6:$F$1000,$C$4,Assignments!$D$6:$D$1000,"&gt;="&amp;Config!$B$3-7,Assignments!$D$6:$D$1000,"&lt;="&amp;Config!$B$3)))</f>
        <v/>
      </c>
      <c r="T109" s="40" t="str">
        <f>IF($K109="","",IFERROR(VLOOKUP($K109,Grinders!$A$4:$N$998,8,FALSE),""))</f>
        <v/>
      </c>
      <c r="U109" s="40" t="str">
        <f>IFERROR(IF($K109="","",IF($M109="Elite",MAX(50,MIN(100,Config!$B$27*MAX(0,MIN(100,(1-IF($R109="",0,$R109))*100)) + Config!$B$28*MAX(0,MIN(100,(1-MIN(1,IF(Config!$B$30=0,1,$S109/Config!$B$30)))*100)) + Config!$B$29*MAX(0,MIN(100,MIN(1,IF($T109="",0,$T109)/Config!$B$23)*100)))),MIN(100,Config!$B$27*MAX(0,MIN(100,(1-IF($R109="",0,$R109))*100)) + Config!$B$28*MAX(0,MIN(100,(1-MIN(1,IF(Config!$B$30=0,1,$S109/Config!$B$30)))*100)) + Config!$B$29*MAX(0,MIN(100,MIN(1,IF($T109="",0,$T109)/Config!$B$23)*100))))),"")
</f>
        <v/>
      </c>
      <c r="V109" s="40" t="str">
        <f>IF(Bids!$AC109="","",Bids!$AC109)</f>
        <v/>
      </c>
      <c r="W109" s="40" t="str">
        <f>IF(Bids!$F108="","",Bids!$F108)</f>
        <v/>
      </c>
      <c r="X109" s="40" t="str">
        <f t="shared" si="5"/>
        <v/>
      </c>
      <c r="Y109" s="40" t="str">
        <f>IF($X109="","",IF(Config!$B$17=Config!$B$16,IF($X109&gt;=Config!$B$17,100,0),MAX(0,MIN(100,($X109-Config!$B$16)/(Config!$B$17-Config!$B$16)*100))))</f>
        <v/>
      </c>
      <c r="Z109" s="40">
        <f>IF($M109="Elite",Config!$B$21,0)</f>
        <v>0</v>
      </c>
      <c r="AA109" s="40" t="str">
        <f>IFERROR(IF(OR($W109="",$H109=""),"",IF($W109&gt;$H109,
  MAX(0, 60-(($W109-$H109)*24/Config!$B$19)*60),
  MIN(100, 60+(($H109-$W109)*24/Config!$B$20)*40)
)),"")
</f>
        <v/>
      </c>
      <c r="AB109" s="40" t="str">
        <f>IF($K109="","",IFERROR(VLOOKUP($K109,Grinders!$A$4:$N$998,10,FALSE)/5*100,""))</f>
        <v/>
      </c>
      <c r="AC109" s="40" t="str">
        <f>IF($K109="","",IFERROR(VLOOKUP($K109,Grinders!$A$4:$N$998,11,FALSE)*100,""))</f>
        <v/>
      </c>
      <c r="AD109" s="40" t="str">
        <f>IF($K109="","",IFERROR(VLOOKUP($K109,Grinders!$A$4:$N$998,12,FALSE)*100,""))</f>
        <v/>
      </c>
      <c r="AE109" s="40" t="str">
        <f>IF(OR(AO109=1,AP109=1),0,=IFERROR(IFS(
    OR($C109="", $K109=""), 0,
    $F109=0, 0,
    $D109&lt;&gt;"Open", 0,
    COUNTIFS(GrinderServices!$A$6:$A$1000, $K109, GrinderServices!$B$6:$B$1000, $E109, GrinderServices!$D$6:$D$1000, "Y")=0, 0,
    $X109&lt;Config!$B$16, 0,
    Config!$B$18=1, IF($O109&gt;=N109, 0, 1),
    TRUE, 1
), "")
)</f>
        <v>#ERROR!</v>
      </c>
      <c r="AF109" s="40" t="str">
        <f>IFERROR((IF(OR(AO109=1,AP109=1),"",=IFERROR((IFERROR(IF($AE109=0,"",((Config!$B$6*$Y109 + Config!$B$7*$U109 + Config!$B$8*$Z109 + Config!$B$9*$AA109 + Config!$B$10*$AB109 + Config!$B$11*$AC109 - Config!$B$12*$AD109)/Config!$B$13)+$AK109+$AL109),""))*(1-IFERROR(VLOOKUP(K109,Grinders!$A:$AB, 28, FALSE),0)),"")))*(1+AR109),"")</f>
        <v>#ERROR!</v>
      </c>
      <c r="AG109" s="40" t="str">
        <f t="shared" si="6"/>
        <v>#ERROR!</v>
      </c>
      <c r="AH109" s="40" t="str">
        <f t="shared" si="7"/>
        <v/>
      </c>
      <c r="AI109" s="40" t="str">
        <f t="shared" si="8"/>
        <v/>
      </c>
      <c r="AJ109" s="40" t="str">
        <f>IF($K109="","",COUNTIF(Assignments!$B$6:$B$1000,$K109))</f>
        <v/>
      </c>
      <c r="AK109" s="40" t="str">
        <f>IF($K109="","",IF(AND($AJ109=0,$O109&lt;$N109),Config!$B$43,0))</f>
        <v/>
      </c>
      <c r="AL109" s="40" t="str">
        <f>IF($K109="","",IF(AND($M109="Elite",$G109&gt;=Config!$B$41,$O109&lt;$N109),Config!$B$42,0))</f>
        <v/>
      </c>
      <c r="AM109" s="22"/>
      <c r="AN109" s="39">
        <f>IFERROR(VLOOKUP(K109,Grinders!$A:$Q,28,FALSE),0)</f>
        <v>0</v>
      </c>
      <c r="AO109" s="39">
        <f>IF(Config!$B$1003&lt;&gt;"Y",0,IF(IFERROR(VLOOKUP(K109,Grinders!$A:$P,27,FALSE),0)&gt;=3,IF(OR(G109&gt;=Config!$B$1001,ISNUMBER(SEARCH(E109,Config!$B$1002))),1,0),0))</f>
        <v>0</v>
      </c>
      <c r="AP109" s="39">
        <f t="array" ref="AP109">IFERROR(IF(INDEX(Bids!$AE:$AE,MATCH(B109,Bids!$A:$A,0))="Pending",1,0),0)</f>
        <v>0</v>
      </c>
      <c r="AQ109" s="39" t="str">
        <f t="array" ref="AQ109">IF(C109="","",IFERROR(XLOOKUP(C109,Assignments!$C:$C,Assignments!$AU:$AU,0),0))</f>
        <v/>
      </c>
      <c r="AR109" s="39">
        <f>IF(AND(Config!$B$1006="Y",AQ109=1),Config!$B$1007,0)</f>
        <v>0</v>
      </c>
    </row>
    <row r="110" ht="15.75" customHeight="1">
      <c r="A110" s="46" t="str">
        <f t="shared" si="1"/>
        <v/>
      </c>
      <c r="B110" s="40" t="str">
        <f>IF(Bids!$A109="","",Bids!$A109)</f>
        <v/>
      </c>
      <c r="C110" s="40" t="str">
        <f>IF(Bids!$B109="","",Bids!$B109)</f>
        <v/>
      </c>
      <c r="D110" s="40" t="str">
        <f>IF($C110="","",IFERROR(VLOOKUP($C110,Orders!$A$4:$J$998,9,FALSE),""))</f>
        <v/>
      </c>
      <c r="E110" s="40" t="str">
        <f>IF($C110="","",IFERROR(VLOOKUP($C110,Orders!$A$4:$J$998,3,FALSE),""))</f>
        <v/>
      </c>
      <c r="F110" s="40">
        <f t="shared" si="2"/>
        <v>1</v>
      </c>
      <c r="G110" s="40" t="str">
        <f>IF($C110="","",IFERROR(VLOOKUP($C110,Orders!$A$4:$J$998,4,FALSE),""))</f>
        <v/>
      </c>
      <c r="H110" s="40" t="str">
        <f>IF($C110="","",IFERROR(VLOOKUP($C110,Orders!$A$4:$J$998,5,FALSE),""))</f>
        <v/>
      </c>
      <c r="I110" s="40" t="str">
        <f>IF($C110="","",IFERROR(VLOOKUP($C110,Orders!$A$4:$J$998,6,FALSE),""))</f>
        <v/>
      </c>
      <c r="J110" s="40" t="str">
        <f>IF($C110="","",IFERROR(VLOOKUP($C110,Orders!$A$4:$J$998,7,FALSE),""))</f>
        <v/>
      </c>
      <c r="K110" s="40" t="str">
        <f>IF(Bids!$C109="","",Bids!$C109)</f>
        <v/>
      </c>
      <c r="L110" s="40" t="str">
        <f>IF($K110="","",IFERROR(VLOOKUP($K110,Grinders!$A$4:$N$998,2,FALSE),""))</f>
        <v/>
      </c>
      <c r="M110" s="40" t="str">
        <f>IF($K110="","",IFERROR(VLOOKUP($K110,Grinders!$A$4:$N$998,3,FALSE),""))</f>
        <v/>
      </c>
      <c r="N110" s="40" t="str">
        <f>IF($K110="","",IFERROR(VLOOKUP($K110,Grinders!$A$4:$N$998,4,FALSE),""))</f>
        <v/>
      </c>
      <c r="O110" s="40" t="str">
        <f>IF($K110="","",IFERROR(VLOOKUP($K110,Grinders!$A$4:$N$998,5,FALSE),""))</f>
        <v/>
      </c>
      <c r="P110" s="40" t="str">
        <f>IF($K110="","",IF($C$4="",0,COUNTIFS(Assignments!$B$6:$B$1000,$K110,Assignments!$F$6:$F$1000,$C$4,Assignments!$E$6:$E$1000,"Active")))</f>
        <v/>
      </c>
      <c r="Q110" s="40" t="str">
        <f t="shared" si="3"/>
        <v/>
      </c>
      <c r="R110" s="40" t="str">
        <f t="shared" si="4"/>
        <v/>
      </c>
      <c r="S110" s="40" t="str">
        <f>IF($K110="","",IF($C$4="",0,COUNTIFS(Assignments!$B$6:$B$1000,$K110,Assignments!$F$6:$F$1000,$C$4,Assignments!$D$6:$D$1000,"&gt;="&amp;Config!$B$3-7,Assignments!$D$6:$D$1000,"&lt;="&amp;Config!$B$3)))</f>
        <v/>
      </c>
      <c r="T110" s="40" t="str">
        <f>IF($K110="","",IFERROR(VLOOKUP($K110,Grinders!$A$4:$N$998,8,FALSE),""))</f>
        <v/>
      </c>
      <c r="U110" s="40" t="str">
        <f>IFERROR(IF($K110="","",IF($M110="Elite",MAX(50,MIN(100,Config!$B$27*MAX(0,MIN(100,(1-IF($R110="",0,$R110))*100)) + Config!$B$28*MAX(0,MIN(100,(1-MIN(1,IF(Config!$B$30=0,1,$S110/Config!$B$30)))*100)) + Config!$B$29*MAX(0,MIN(100,MIN(1,IF($T110="",0,$T110)/Config!$B$23)*100)))),MIN(100,Config!$B$27*MAX(0,MIN(100,(1-IF($R110="",0,$R110))*100)) + Config!$B$28*MAX(0,MIN(100,(1-MIN(1,IF(Config!$B$30=0,1,$S110/Config!$B$30)))*100)) + Config!$B$29*MAX(0,MIN(100,MIN(1,IF($T110="",0,$T110)/Config!$B$23)*100))))),"")
</f>
        <v/>
      </c>
      <c r="V110" s="40" t="str">
        <f>IF(Bids!$AC110="","",Bids!$AC110)</f>
        <v/>
      </c>
      <c r="W110" s="40" t="str">
        <f>IF(Bids!$F109="","",Bids!$F109)</f>
        <v/>
      </c>
      <c r="X110" s="40" t="str">
        <f t="shared" si="5"/>
        <v/>
      </c>
      <c r="Y110" s="40" t="str">
        <f>IF($X110="","",IF(Config!$B$17=Config!$B$16,IF($X110&gt;=Config!$B$17,100,0),MAX(0,MIN(100,($X110-Config!$B$16)/(Config!$B$17-Config!$B$16)*100))))</f>
        <v/>
      </c>
      <c r="Z110" s="40">
        <f>IF($M110="Elite",Config!$B$21,0)</f>
        <v>0</v>
      </c>
      <c r="AA110" s="40" t="str">
        <f>IFERROR(IF(OR($W110="",$H110=""),"",IF($W110&gt;$H110,
  MAX(0, 60-(($W110-$H110)*24/Config!$B$19)*60),
  MIN(100, 60+(($H110-$W110)*24/Config!$B$20)*40)
)),"")
</f>
        <v/>
      </c>
      <c r="AB110" s="40" t="str">
        <f>IF($K110="","",IFERROR(VLOOKUP($K110,Grinders!$A$4:$N$998,10,FALSE)/5*100,""))</f>
        <v/>
      </c>
      <c r="AC110" s="40" t="str">
        <f>IF($K110="","",IFERROR(VLOOKUP($K110,Grinders!$A$4:$N$998,11,FALSE)*100,""))</f>
        <v/>
      </c>
      <c r="AD110" s="40" t="str">
        <f>IF($K110="","",IFERROR(VLOOKUP($K110,Grinders!$A$4:$N$998,12,FALSE)*100,""))</f>
        <v/>
      </c>
      <c r="AE110" s="40" t="str">
        <f>IF(OR(AO110=1,AP110=1),0,=IFERROR(IFS(
    OR($C110="", $K110=""), 0,
    $F110=0, 0,
    $D110&lt;&gt;"Open", 0,
    COUNTIFS(GrinderServices!$A$6:$A$1000, $K110, GrinderServices!$B$6:$B$1000, $E110, GrinderServices!$D$6:$D$1000, "Y")=0, 0,
    $X110&lt;Config!$B$16, 0,
    Config!$B$18=1, IF($O110&gt;=N110, 0, 1),
    TRUE, 1
), "")
)</f>
        <v>#ERROR!</v>
      </c>
      <c r="AF110" s="40" t="str">
        <f>IFERROR((IF(OR(AO110=1,AP110=1),"",=IFERROR((IFERROR(IF($AE110=0,"",((Config!$B$6*$Y110 + Config!$B$7*$U110 + Config!$B$8*$Z110 + Config!$B$9*$AA110 + Config!$B$10*$AB110 + Config!$B$11*$AC110 - Config!$B$12*$AD110)/Config!$B$13)+$AK110+$AL110),""))*(1-IFERROR(VLOOKUP(K110,Grinders!$A:$AB, 28, FALSE),0)),"")))*(1+AR110),"")</f>
        <v>#ERROR!</v>
      </c>
      <c r="AG110" s="40" t="str">
        <f t="shared" si="6"/>
        <v>#ERROR!</v>
      </c>
      <c r="AH110" s="40" t="str">
        <f t="shared" si="7"/>
        <v/>
      </c>
      <c r="AI110" s="40" t="str">
        <f t="shared" si="8"/>
        <v/>
      </c>
      <c r="AJ110" s="40" t="str">
        <f>IF($K110="","",COUNTIF(Assignments!$B$6:$B$1000,$K110))</f>
        <v/>
      </c>
      <c r="AK110" s="40" t="str">
        <f>IF($K110="","",IF(AND($AJ110=0,$O110&lt;$N110),Config!$B$43,0))</f>
        <v/>
      </c>
      <c r="AL110" s="40" t="str">
        <f>IF($K110="","",IF(AND($M110="Elite",$G110&gt;=Config!$B$41,$O110&lt;$N110),Config!$B$42,0))</f>
        <v/>
      </c>
      <c r="AM110" s="22"/>
      <c r="AN110" s="39">
        <f>IFERROR(VLOOKUP(K110,Grinders!$A:$Q,28,FALSE),0)</f>
        <v>0</v>
      </c>
      <c r="AO110" s="39">
        <f>IF(Config!$B$1003&lt;&gt;"Y",0,IF(IFERROR(VLOOKUP(K110,Grinders!$A:$P,27,FALSE),0)&gt;=3,IF(OR(G110&gt;=Config!$B$1001,ISNUMBER(SEARCH(E110,Config!$B$1002))),1,0),0))</f>
        <v>0</v>
      </c>
      <c r="AP110" s="39">
        <f t="array" ref="AP110">IFERROR(IF(INDEX(Bids!$AE:$AE,MATCH(B110,Bids!$A:$A,0))="Pending",1,0),0)</f>
        <v>0</v>
      </c>
      <c r="AQ110" s="39" t="str">
        <f t="array" ref="AQ110">IF(C110="","",IFERROR(XLOOKUP(C110,Assignments!$C:$C,Assignments!$AU:$AU,0),0))</f>
        <v/>
      </c>
      <c r="AR110" s="39">
        <f>IF(AND(Config!$B$1006="Y",AQ110=1),Config!$B$1007,0)</f>
        <v>0</v>
      </c>
    </row>
    <row r="111" ht="15.75" customHeight="1">
      <c r="A111" s="46" t="str">
        <f t="shared" si="1"/>
        <v/>
      </c>
      <c r="B111" s="40" t="str">
        <f>IF(Bids!$A110="","",Bids!$A110)</f>
        <v/>
      </c>
      <c r="C111" s="40" t="str">
        <f>IF(Bids!$B110="","",Bids!$B110)</f>
        <v/>
      </c>
      <c r="D111" s="40" t="str">
        <f>IF($C111="","",IFERROR(VLOOKUP($C111,Orders!$A$4:$J$998,9,FALSE),""))</f>
        <v/>
      </c>
      <c r="E111" s="40" t="str">
        <f>IF($C111="","",IFERROR(VLOOKUP($C111,Orders!$A$4:$J$998,3,FALSE),""))</f>
        <v/>
      </c>
      <c r="F111" s="40">
        <f t="shared" si="2"/>
        <v>1</v>
      </c>
      <c r="G111" s="40" t="str">
        <f>IF($C111="","",IFERROR(VLOOKUP($C111,Orders!$A$4:$J$998,4,FALSE),""))</f>
        <v/>
      </c>
      <c r="H111" s="40" t="str">
        <f>IF($C111="","",IFERROR(VLOOKUP($C111,Orders!$A$4:$J$998,5,FALSE),""))</f>
        <v/>
      </c>
      <c r="I111" s="40" t="str">
        <f>IF($C111="","",IFERROR(VLOOKUP($C111,Orders!$A$4:$J$998,6,FALSE),""))</f>
        <v/>
      </c>
      <c r="J111" s="40" t="str">
        <f>IF($C111="","",IFERROR(VLOOKUP($C111,Orders!$A$4:$J$998,7,FALSE),""))</f>
        <v/>
      </c>
      <c r="K111" s="40" t="str">
        <f>IF(Bids!$C110="","",Bids!$C110)</f>
        <v/>
      </c>
      <c r="L111" s="40" t="str">
        <f>IF($K111="","",IFERROR(VLOOKUP($K111,Grinders!$A$4:$N$998,2,FALSE),""))</f>
        <v/>
      </c>
      <c r="M111" s="40" t="str">
        <f>IF($K111="","",IFERROR(VLOOKUP($K111,Grinders!$A$4:$N$998,3,FALSE),""))</f>
        <v/>
      </c>
      <c r="N111" s="40" t="str">
        <f>IF($K111="","",IFERROR(VLOOKUP($K111,Grinders!$A$4:$N$998,4,FALSE),""))</f>
        <v/>
      </c>
      <c r="O111" s="40" t="str">
        <f>IF($K111="","",IFERROR(VLOOKUP($K111,Grinders!$A$4:$N$998,5,FALSE),""))</f>
        <v/>
      </c>
      <c r="P111" s="40" t="str">
        <f>IF($K111="","",IF($C$4="",0,COUNTIFS(Assignments!$B$6:$B$1000,$K111,Assignments!$F$6:$F$1000,$C$4,Assignments!$E$6:$E$1000,"Active")))</f>
        <v/>
      </c>
      <c r="Q111" s="40" t="str">
        <f t="shared" si="3"/>
        <v/>
      </c>
      <c r="R111" s="40" t="str">
        <f t="shared" si="4"/>
        <v/>
      </c>
      <c r="S111" s="40" t="str">
        <f>IF($K111="","",IF($C$4="",0,COUNTIFS(Assignments!$B$6:$B$1000,$K111,Assignments!$F$6:$F$1000,$C$4,Assignments!$D$6:$D$1000,"&gt;="&amp;Config!$B$3-7,Assignments!$D$6:$D$1000,"&lt;="&amp;Config!$B$3)))</f>
        <v/>
      </c>
      <c r="T111" s="40" t="str">
        <f>IF($K111="","",IFERROR(VLOOKUP($K111,Grinders!$A$4:$N$998,8,FALSE),""))</f>
        <v/>
      </c>
      <c r="U111" s="40" t="str">
        <f>IFERROR(IF($K111="","",IF($M111="Elite",MAX(50,MIN(100,Config!$B$27*MAX(0,MIN(100,(1-IF($R111="",0,$R111))*100)) + Config!$B$28*MAX(0,MIN(100,(1-MIN(1,IF(Config!$B$30=0,1,$S111/Config!$B$30)))*100)) + Config!$B$29*MAX(0,MIN(100,MIN(1,IF($T111="",0,$T111)/Config!$B$23)*100)))),MIN(100,Config!$B$27*MAX(0,MIN(100,(1-IF($R111="",0,$R111))*100)) + Config!$B$28*MAX(0,MIN(100,(1-MIN(1,IF(Config!$B$30=0,1,$S111/Config!$B$30)))*100)) + Config!$B$29*MAX(0,MIN(100,MIN(1,IF($T111="",0,$T111)/Config!$B$23)*100))))),"")
</f>
        <v/>
      </c>
      <c r="V111" s="40" t="str">
        <f>IF(Bids!$AC111="","",Bids!$AC111)</f>
        <v/>
      </c>
      <c r="W111" s="40" t="str">
        <f>IF(Bids!$F110="","",Bids!$F110)</f>
        <v/>
      </c>
      <c r="X111" s="40" t="str">
        <f t="shared" si="5"/>
        <v/>
      </c>
      <c r="Y111" s="40" t="str">
        <f>IF($X111="","",IF(Config!$B$17=Config!$B$16,IF($X111&gt;=Config!$B$17,100,0),MAX(0,MIN(100,($X111-Config!$B$16)/(Config!$B$17-Config!$B$16)*100))))</f>
        <v/>
      </c>
      <c r="Z111" s="40">
        <f>IF($M111="Elite",Config!$B$21,0)</f>
        <v>0</v>
      </c>
      <c r="AA111" s="40" t="str">
        <f>IFERROR(IF(OR($W111="",$H111=""),"",IF($W111&gt;$H111,
  MAX(0, 60-(($W111-$H111)*24/Config!$B$19)*60),
  MIN(100, 60+(($H111-$W111)*24/Config!$B$20)*40)
)),"")
</f>
        <v/>
      </c>
      <c r="AB111" s="40" t="str">
        <f>IF($K111="","",IFERROR(VLOOKUP($K111,Grinders!$A$4:$N$998,10,FALSE)/5*100,""))</f>
        <v/>
      </c>
      <c r="AC111" s="40" t="str">
        <f>IF($K111="","",IFERROR(VLOOKUP($K111,Grinders!$A$4:$N$998,11,FALSE)*100,""))</f>
        <v/>
      </c>
      <c r="AD111" s="40" t="str">
        <f>IF($K111="","",IFERROR(VLOOKUP($K111,Grinders!$A$4:$N$998,12,FALSE)*100,""))</f>
        <v/>
      </c>
      <c r="AE111" s="40" t="str">
        <f>IF(OR(AO111=1,AP111=1),0,=IFERROR(IFS(
    OR($C111="", $K111=""), 0,
    $F111=0, 0,
    $D111&lt;&gt;"Open", 0,
    COUNTIFS(GrinderServices!$A$6:$A$1000, $K111, GrinderServices!$B$6:$B$1000, $E111, GrinderServices!$D$6:$D$1000, "Y")=0, 0,
    $X111&lt;Config!$B$16, 0,
    Config!$B$18=1, IF($O111&gt;=N111, 0, 1),
    TRUE, 1
), "")
)</f>
        <v>#ERROR!</v>
      </c>
      <c r="AF111" s="40" t="str">
        <f>IFERROR((IF(OR(AO111=1,AP111=1),"",=IFERROR((IFERROR(IF($AE111=0,"",((Config!$B$6*$Y111 + Config!$B$7*$U111 + Config!$B$8*$Z111 + Config!$B$9*$AA111 + Config!$B$10*$AB111 + Config!$B$11*$AC111 - Config!$B$12*$AD111)/Config!$B$13)+$AK111+$AL111),""))*(1-IFERROR(VLOOKUP(K111,Grinders!$A:$AB, 28, FALSE),0)),"")))*(1+AR111),"")</f>
        <v>#ERROR!</v>
      </c>
      <c r="AG111" s="40" t="str">
        <f t="shared" si="6"/>
        <v>#ERROR!</v>
      </c>
      <c r="AH111" s="40" t="str">
        <f t="shared" si="7"/>
        <v/>
      </c>
      <c r="AI111" s="40" t="str">
        <f t="shared" si="8"/>
        <v/>
      </c>
      <c r="AJ111" s="40" t="str">
        <f>IF($K111="","",COUNTIF(Assignments!$B$6:$B$1000,$K111))</f>
        <v/>
      </c>
      <c r="AK111" s="40" t="str">
        <f>IF($K111="","",IF(AND($AJ111=0,$O111&lt;$N111),Config!$B$43,0))</f>
        <v/>
      </c>
      <c r="AL111" s="40" t="str">
        <f>IF($K111="","",IF(AND($M111="Elite",$G111&gt;=Config!$B$41,$O111&lt;$N111),Config!$B$42,0))</f>
        <v/>
      </c>
      <c r="AM111" s="22"/>
      <c r="AN111" s="39">
        <f>IFERROR(VLOOKUP(K111,Grinders!$A:$Q,28,FALSE),0)</f>
        <v>0</v>
      </c>
      <c r="AO111" s="39">
        <f>IF(Config!$B$1003&lt;&gt;"Y",0,IF(IFERROR(VLOOKUP(K111,Grinders!$A:$P,27,FALSE),0)&gt;=3,IF(OR(G111&gt;=Config!$B$1001,ISNUMBER(SEARCH(E111,Config!$B$1002))),1,0),0))</f>
        <v>0</v>
      </c>
      <c r="AP111" s="39">
        <f t="array" ref="AP111">IFERROR(IF(INDEX(Bids!$AE:$AE,MATCH(B111,Bids!$A:$A,0))="Pending",1,0),0)</f>
        <v>0</v>
      </c>
      <c r="AQ111" s="39" t="str">
        <f t="array" ref="AQ111">IF(C111="","",IFERROR(XLOOKUP(C111,Assignments!$C:$C,Assignments!$AU:$AU,0),0))</f>
        <v/>
      </c>
      <c r="AR111" s="39">
        <f>IF(AND(Config!$B$1006="Y",AQ111=1),Config!$B$1007,0)</f>
        <v>0</v>
      </c>
    </row>
    <row r="112" ht="15.75" customHeight="1">
      <c r="A112" s="46" t="str">
        <f t="shared" si="1"/>
        <v/>
      </c>
      <c r="B112" s="40" t="str">
        <f>IF(Bids!$A111="","",Bids!$A111)</f>
        <v/>
      </c>
      <c r="C112" s="40" t="str">
        <f>IF(Bids!$B111="","",Bids!$B111)</f>
        <v/>
      </c>
      <c r="D112" s="40" t="str">
        <f>IF($C112="","",IFERROR(VLOOKUP($C112,Orders!$A$4:$J$998,9,FALSE),""))</f>
        <v/>
      </c>
      <c r="E112" s="40" t="str">
        <f>IF($C112="","",IFERROR(VLOOKUP($C112,Orders!$A$4:$J$998,3,FALSE),""))</f>
        <v/>
      </c>
      <c r="F112" s="40">
        <f t="shared" si="2"/>
        <v>1</v>
      </c>
      <c r="G112" s="40" t="str">
        <f>IF($C112="","",IFERROR(VLOOKUP($C112,Orders!$A$4:$J$998,4,FALSE),""))</f>
        <v/>
      </c>
      <c r="H112" s="40" t="str">
        <f>IF($C112="","",IFERROR(VLOOKUP($C112,Orders!$A$4:$J$998,5,FALSE),""))</f>
        <v/>
      </c>
      <c r="I112" s="40" t="str">
        <f>IF($C112="","",IFERROR(VLOOKUP($C112,Orders!$A$4:$J$998,6,FALSE),""))</f>
        <v/>
      </c>
      <c r="J112" s="40" t="str">
        <f>IF($C112="","",IFERROR(VLOOKUP($C112,Orders!$A$4:$J$998,7,FALSE),""))</f>
        <v/>
      </c>
      <c r="K112" s="40" t="str">
        <f>IF(Bids!$C111="","",Bids!$C111)</f>
        <v/>
      </c>
      <c r="L112" s="40" t="str">
        <f>IF($K112="","",IFERROR(VLOOKUP($K112,Grinders!$A$4:$N$998,2,FALSE),""))</f>
        <v/>
      </c>
      <c r="M112" s="40" t="str">
        <f>IF($K112="","",IFERROR(VLOOKUP($K112,Grinders!$A$4:$N$998,3,FALSE),""))</f>
        <v/>
      </c>
      <c r="N112" s="40" t="str">
        <f>IF($K112="","",IFERROR(VLOOKUP($K112,Grinders!$A$4:$N$998,4,FALSE),""))</f>
        <v/>
      </c>
      <c r="O112" s="40" t="str">
        <f>IF($K112="","",IFERROR(VLOOKUP($K112,Grinders!$A$4:$N$998,5,FALSE),""))</f>
        <v/>
      </c>
      <c r="P112" s="40" t="str">
        <f>IF($K112="","",IF($C$4="",0,COUNTIFS(Assignments!$B$6:$B$1000,$K112,Assignments!$F$6:$F$1000,$C$4,Assignments!$E$6:$E$1000,"Active")))</f>
        <v/>
      </c>
      <c r="Q112" s="40" t="str">
        <f t="shared" si="3"/>
        <v/>
      </c>
      <c r="R112" s="40" t="str">
        <f t="shared" si="4"/>
        <v/>
      </c>
      <c r="S112" s="40" t="str">
        <f>IF($K112="","",IF($C$4="",0,COUNTIFS(Assignments!$B$6:$B$1000,$K112,Assignments!$F$6:$F$1000,$C$4,Assignments!$D$6:$D$1000,"&gt;="&amp;Config!$B$3-7,Assignments!$D$6:$D$1000,"&lt;="&amp;Config!$B$3)))</f>
        <v/>
      </c>
      <c r="T112" s="40" t="str">
        <f>IF($K112="","",IFERROR(VLOOKUP($K112,Grinders!$A$4:$N$998,8,FALSE),""))</f>
        <v/>
      </c>
      <c r="U112" s="40" t="str">
        <f>IFERROR(IF($K112="","",IF($M112="Elite",MAX(50,MIN(100,Config!$B$27*MAX(0,MIN(100,(1-IF($R112="",0,$R112))*100)) + Config!$B$28*MAX(0,MIN(100,(1-MIN(1,IF(Config!$B$30=0,1,$S112/Config!$B$30)))*100)) + Config!$B$29*MAX(0,MIN(100,MIN(1,IF($T112="",0,$T112)/Config!$B$23)*100)))),MIN(100,Config!$B$27*MAX(0,MIN(100,(1-IF($R112="",0,$R112))*100)) + Config!$B$28*MAX(0,MIN(100,(1-MIN(1,IF(Config!$B$30=0,1,$S112/Config!$B$30)))*100)) + Config!$B$29*MAX(0,MIN(100,MIN(1,IF($T112="",0,$T112)/Config!$B$23)*100))))),"")
</f>
        <v/>
      </c>
      <c r="V112" s="40" t="str">
        <f>IF(Bids!$AC112="","",Bids!$AC112)</f>
        <v/>
      </c>
      <c r="W112" s="40" t="str">
        <f>IF(Bids!$F111="","",Bids!$F111)</f>
        <v/>
      </c>
      <c r="X112" s="40" t="str">
        <f t="shared" si="5"/>
        <v/>
      </c>
      <c r="Y112" s="40" t="str">
        <f>IF($X112="","",IF(Config!$B$17=Config!$B$16,IF($X112&gt;=Config!$B$17,100,0),MAX(0,MIN(100,($X112-Config!$B$16)/(Config!$B$17-Config!$B$16)*100))))</f>
        <v/>
      </c>
      <c r="Z112" s="40">
        <f>IF($M112="Elite",Config!$B$21,0)</f>
        <v>0</v>
      </c>
      <c r="AA112" s="40" t="str">
        <f>IFERROR(IF(OR($W112="",$H112=""),"",IF($W112&gt;$H112,
  MAX(0, 60-(($W112-$H112)*24/Config!$B$19)*60),
  MIN(100, 60+(($H112-$W112)*24/Config!$B$20)*40)
)),"")
</f>
        <v/>
      </c>
      <c r="AB112" s="40" t="str">
        <f>IF($K112="","",IFERROR(VLOOKUP($K112,Grinders!$A$4:$N$998,10,FALSE)/5*100,""))</f>
        <v/>
      </c>
      <c r="AC112" s="40" t="str">
        <f>IF($K112="","",IFERROR(VLOOKUP($K112,Grinders!$A$4:$N$998,11,FALSE)*100,""))</f>
        <v/>
      </c>
      <c r="AD112" s="40" t="str">
        <f>IF($K112="","",IFERROR(VLOOKUP($K112,Grinders!$A$4:$N$998,12,FALSE)*100,""))</f>
        <v/>
      </c>
      <c r="AE112" s="40" t="str">
        <f>IF(OR(AO112=1,AP112=1),0,=IFERROR(IFS(
    OR($C112="", $K112=""), 0,
    $F112=0, 0,
    $D112&lt;&gt;"Open", 0,
    COUNTIFS(GrinderServices!$A$6:$A$1000, $K112, GrinderServices!$B$6:$B$1000, $E112, GrinderServices!$D$6:$D$1000, "Y")=0, 0,
    $X112&lt;Config!$B$16, 0,
    Config!$B$18=1, IF($O112&gt;=N112, 0, 1),
    TRUE, 1
), "")
)</f>
        <v>#ERROR!</v>
      </c>
      <c r="AF112" s="40" t="str">
        <f>IFERROR((IF(OR(AO112=1,AP112=1),"",=IFERROR((IFERROR(IF($AE112=0,"",((Config!$B$6*$Y112 + Config!$B$7*$U112 + Config!$B$8*$Z112 + Config!$B$9*$AA112 + Config!$B$10*$AB112 + Config!$B$11*$AC112 - Config!$B$12*$AD112)/Config!$B$13)+$AK112+$AL112),""))*(1-IFERROR(VLOOKUP(K112,Grinders!$A:$AB, 28, FALSE),0)),"")))*(1+AR112),"")</f>
        <v>#ERROR!</v>
      </c>
      <c r="AG112" s="40" t="str">
        <f t="shared" si="6"/>
        <v>#ERROR!</v>
      </c>
      <c r="AH112" s="40" t="str">
        <f t="shared" si="7"/>
        <v/>
      </c>
      <c r="AI112" s="40" t="str">
        <f t="shared" si="8"/>
        <v/>
      </c>
      <c r="AJ112" s="40" t="str">
        <f>IF($K112="","",COUNTIF(Assignments!$B$6:$B$1000,$K112))</f>
        <v/>
      </c>
      <c r="AK112" s="40" t="str">
        <f>IF($K112="","",IF(AND($AJ112=0,$O112&lt;$N112),Config!$B$43,0))</f>
        <v/>
      </c>
      <c r="AL112" s="40" t="str">
        <f>IF($K112="","",IF(AND($M112="Elite",$G112&gt;=Config!$B$41,$O112&lt;$N112),Config!$B$42,0))</f>
        <v/>
      </c>
      <c r="AM112" s="22"/>
      <c r="AN112" s="39">
        <f>IFERROR(VLOOKUP(K112,Grinders!$A:$Q,28,FALSE),0)</f>
        <v>0</v>
      </c>
      <c r="AO112" s="39">
        <f>IF(Config!$B$1003&lt;&gt;"Y",0,IF(IFERROR(VLOOKUP(K112,Grinders!$A:$P,27,FALSE),0)&gt;=3,IF(OR(G112&gt;=Config!$B$1001,ISNUMBER(SEARCH(E112,Config!$B$1002))),1,0),0))</f>
        <v>0</v>
      </c>
      <c r="AP112" s="39">
        <f t="array" ref="AP112">IFERROR(IF(INDEX(Bids!$AE:$AE,MATCH(B112,Bids!$A:$A,0))="Pending",1,0),0)</f>
        <v>0</v>
      </c>
      <c r="AQ112" s="39" t="str">
        <f t="array" ref="AQ112">IF(C112="","",IFERROR(XLOOKUP(C112,Assignments!$C:$C,Assignments!$AU:$AU,0),0))</f>
        <v/>
      </c>
      <c r="AR112" s="39">
        <f>IF(AND(Config!$B$1006="Y",AQ112=1),Config!$B$1007,0)</f>
        <v>0</v>
      </c>
    </row>
    <row r="113" ht="15.75" customHeight="1">
      <c r="A113" s="46" t="str">
        <f t="shared" si="1"/>
        <v/>
      </c>
      <c r="B113" s="40" t="str">
        <f>IF(Bids!$A112="","",Bids!$A112)</f>
        <v/>
      </c>
      <c r="C113" s="40" t="str">
        <f>IF(Bids!$B112="","",Bids!$B112)</f>
        <v/>
      </c>
      <c r="D113" s="40" t="str">
        <f>IF($C113="","",IFERROR(VLOOKUP($C113,Orders!$A$4:$J$998,9,FALSE),""))</f>
        <v/>
      </c>
      <c r="E113" s="40" t="str">
        <f>IF($C113="","",IFERROR(VLOOKUP($C113,Orders!$A$4:$J$998,3,FALSE),""))</f>
        <v/>
      </c>
      <c r="F113" s="40">
        <f t="shared" si="2"/>
        <v>1</v>
      </c>
      <c r="G113" s="40" t="str">
        <f>IF($C113="","",IFERROR(VLOOKUP($C113,Orders!$A$4:$J$998,4,FALSE),""))</f>
        <v/>
      </c>
      <c r="H113" s="40" t="str">
        <f>IF($C113="","",IFERROR(VLOOKUP($C113,Orders!$A$4:$J$998,5,FALSE),""))</f>
        <v/>
      </c>
      <c r="I113" s="40" t="str">
        <f>IF($C113="","",IFERROR(VLOOKUP($C113,Orders!$A$4:$J$998,6,FALSE),""))</f>
        <v/>
      </c>
      <c r="J113" s="40" t="str">
        <f>IF($C113="","",IFERROR(VLOOKUP($C113,Orders!$A$4:$J$998,7,FALSE),""))</f>
        <v/>
      </c>
      <c r="K113" s="40" t="str">
        <f>IF(Bids!$C112="","",Bids!$C112)</f>
        <v/>
      </c>
      <c r="L113" s="40" t="str">
        <f>IF($K113="","",IFERROR(VLOOKUP($K113,Grinders!$A$4:$N$998,2,FALSE),""))</f>
        <v/>
      </c>
      <c r="M113" s="40" t="str">
        <f>IF($K113="","",IFERROR(VLOOKUP($K113,Grinders!$A$4:$N$998,3,FALSE),""))</f>
        <v/>
      </c>
      <c r="N113" s="40" t="str">
        <f>IF($K113="","",IFERROR(VLOOKUP($K113,Grinders!$A$4:$N$998,4,FALSE),""))</f>
        <v/>
      </c>
      <c r="O113" s="40" t="str">
        <f>IF($K113="","",IFERROR(VLOOKUP($K113,Grinders!$A$4:$N$998,5,FALSE),""))</f>
        <v/>
      </c>
      <c r="P113" s="40" t="str">
        <f>IF($K113="","",IF($C$4="",0,COUNTIFS(Assignments!$B$6:$B$1000,$K113,Assignments!$F$6:$F$1000,$C$4,Assignments!$E$6:$E$1000,"Active")))</f>
        <v/>
      </c>
      <c r="Q113" s="40" t="str">
        <f t="shared" si="3"/>
        <v/>
      </c>
      <c r="R113" s="40" t="str">
        <f t="shared" si="4"/>
        <v/>
      </c>
      <c r="S113" s="40" t="str">
        <f>IF($K113="","",IF($C$4="",0,COUNTIFS(Assignments!$B$6:$B$1000,$K113,Assignments!$F$6:$F$1000,$C$4,Assignments!$D$6:$D$1000,"&gt;="&amp;Config!$B$3-7,Assignments!$D$6:$D$1000,"&lt;="&amp;Config!$B$3)))</f>
        <v/>
      </c>
      <c r="T113" s="40" t="str">
        <f>IF($K113="","",IFERROR(VLOOKUP($K113,Grinders!$A$4:$N$998,8,FALSE),""))</f>
        <v/>
      </c>
      <c r="U113" s="40" t="str">
        <f>IFERROR(IF($K113="","",IF($M113="Elite",MAX(50,MIN(100,Config!$B$27*MAX(0,MIN(100,(1-IF($R113="",0,$R113))*100)) + Config!$B$28*MAX(0,MIN(100,(1-MIN(1,IF(Config!$B$30=0,1,$S113/Config!$B$30)))*100)) + Config!$B$29*MAX(0,MIN(100,MIN(1,IF($T113="",0,$T113)/Config!$B$23)*100)))),MIN(100,Config!$B$27*MAX(0,MIN(100,(1-IF($R113="",0,$R113))*100)) + Config!$B$28*MAX(0,MIN(100,(1-MIN(1,IF(Config!$B$30=0,1,$S113/Config!$B$30)))*100)) + Config!$B$29*MAX(0,MIN(100,MIN(1,IF($T113="",0,$T113)/Config!$B$23)*100))))),"")
</f>
        <v/>
      </c>
      <c r="V113" s="40" t="str">
        <f>IF(Bids!$AC113="","",Bids!$AC113)</f>
        <v/>
      </c>
      <c r="W113" s="40" t="str">
        <f>IF(Bids!$F112="","",Bids!$F112)</f>
        <v/>
      </c>
      <c r="X113" s="40" t="str">
        <f t="shared" si="5"/>
        <v/>
      </c>
      <c r="Y113" s="40" t="str">
        <f>IF($X113="","",IF(Config!$B$17=Config!$B$16,IF($X113&gt;=Config!$B$17,100,0),MAX(0,MIN(100,($X113-Config!$B$16)/(Config!$B$17-Config!$B$16)*100))))</f>
        <v/>
      </c>
      <c r="Z113" s="40">
        <f>IF($M113="Elite",Config!$B$21,0)</f>
        <v>0</v>
      </c>
      <c r="AA113" s="40" t="str">
        <f>IFERROR(IF(OR($W113="",$H113=""),"",IF($W113&gt;$H113,
  MAX(0, 60-(($W113-$H113)*24/Config!$B$19)*60),
  MIN(100, 60+(($H113-$W113)*24/Config!$B$20)*40)
)),"")
</f>
        <v/>
      </c>
      <c r="AB113" s="40" t="str">
        <f>IF($K113="","",IFERROR(VLOOKUP($K113,Grinders!$A$4:$N$998,10,FALSE)/5*100,""))</f>
        <v/>
      </c>
      <c r="AC113" s="40" t="str">
        <f>IF($K113="","",IFERROR(VLOOKUP($K113,Grinders!$A$4:$N$998,11,FALSE)*100,""))</f>
        <v/>
      </c>
      <c r="AD113" s="40" t="str">
        <f>IF($K113="","",IFERROR(VLOOKUP($K113,Grinders!$A$4:$N$998,12,FALSE)*100,""))</f>
        <v/>
      </c>
      <c r="AE113" s="40" t="str">
        <f>IF(OR(AO113=1,AP113=1),0,=IFERROR(IFS(
    OR($C113="", $K113=""), 0,
    $F113=0, 0,
    $D113&lt;&gt;"Open", 0,
    COUNTIFS(GrinderServices!$A$6:$A$1000, $K113, GrinderServices!$B$6:$B$1000, $E113, GrinderServices!$D$6:$D$1000, "Y")=0, 0,
    $X113&lt;Config!$B$16, 0,
    Config!$B$18=1, IF($O113&gt;=N113, 0, 1),
    TRUE, 1
), "")
)</f>
        <v>#ERROR!</v>
      </c>
      <c r="AF113" s="40" t="str">
        <f>IFERROR((IF(OR(AO113=1,AP113=1),"",=IFERROR((IFERROR(IF($AE113=0,"",((Config!$B$6*$Y113 + Config!$B$7*$U113 + Config!$B$8*$Z113 + Config!$B$9*$AA113 + Config!$B$10*$AB113 + Config!$B$11*$AC113 - Config!$B$12*$AD113)/Config!$B$13)+$AK113+$AL113),""))*(1-IFERROR(VLOOKUP(K113,Grinders!$A:$AB, 28, FALSE),0)),"")))*(1+AR113),"")</f>
        <v>#ERROR!</v>
      </c>
      <c r="AG113" s="40" t="str">
        <f t="shared" si="6"/>
        <v>#ERROR!</v>
      </c>
      <c r="AH113" s="40" t="str">
        <f t="shared" si="7"/>
        <v/>
      </c>
      <c r="AI113" s="40" t="str">
        <f t="shared" si="8"/>
        <v/>
      </c>
      <c r="AJ113" s="40" t="str">
        <f>IF($K113="","",COUNTIF(Assignments!$B$6:$B$1000,$K113))</f>
        <v/>
      </c>
      <c r="AK113" s="40" t="str">
        <f>IF($K113="","",IF(AND($AJ113=0,$O113&lt;$N113),Config!$B$43,0))</f>
        <v/>
      </c>
      <c r="AL113" s="40" t="str">
        <f>IF($K113="","",IF(AND($M113="Elite",$G113&gt;=Config!$B$41,$O113&lt;$N113),Config!$B$42,0))</f>
        <v/>
      </c>
      <c r="AM113" s="22"/>
      <c r="AN113" s="39">
        <f>IFERROR(VLOOKUP(K113,Grinders!$A:$Q,28,FALSE),0)</f>
        <v>0</v>
      </c>
      <c r="AO113" s="39">
        <f>IF(Config!$B$1003&lt;&gt;"Y",0,IF(IFERROR(VLOOKUP(K113,Grinders!$A:$P,27,FALSE),0)&gt;=3,IF(OR(G113&gt;=Config!$B$1001,ISNUMBER(SEARCH(E113,Config!$B$1002))),1,0),0))</f>
        <v>0</v>
      </c>
      <c r="AP113" s="39">
        <f t="array" ref="AP113">IFERROR(IF(INDEX(Bids!$AE:$AE,MATCH(B113,Bids!$A:$A,0))="Pending",1,0),0)</f>
        <v>0</v>
      </c>
      <c r="AQ113" s="39" t="str">
        <f t="array" ref="AQ113">IF(C113="","",IFERROR(XLOOKUP(C113,Assignments!$C:$C,Assignments!$AU:$AU,0),0))</f>
        <v/>
      </c>
      <c r="AR113" s="39">
        <f>IF(AND(Config!$B$1006="Y",AQ113=1),Config!$B$1007,0)</f>
        <v>0</v>
      </c>
    </row>
    <row r="114" ht="15.75" customHeight="1">
      <c r="A114" s="46" t="str">
        <f t="shared" si="1"/>
        <v/>
      </c>
      <c r="B114" s="40" t="str">
        <f>IF(Bids!$A113="","",Bids!$A113)</f>
        <v/>
      </c>
      <c r="C114" s="40" t="str">
        <f>IF(Bids!$B113="","",Bids!$B113)</f>
        <v/>
      </c>
      <c r="D114" s="40" t="str">
        <f>IF($C114="","",IFERROR(VLOOKUP($C114,Orders!$A$4:$J$998,9,FALSE),""))</f>
        <v/>
      </c>
      <c r="E114" s="40" t="str">
        <f>IF($C114="","",IFERROR(VLOOKUP($C114,Orders!$A$4:$J$998,3,FALSE),""))</f>
        <v/>
      </c>
      <c r="F114" s="40">
        <f t="shared" si="2"/>
        <v>1</v>
      </c>
      <c r="G114" s="40" t="str">
        <f>IF($C114="","",IFERROR(VLOOKUP($C114,Orders!$A$4:$J$998,4,FALSE),""))</f>
        <v/>
      </c>
      <c r="H114" s="40" t="str">
        <f>IF($C114="","",IFERROR(VLOOKUP($C114,Orders!$A$4:$J$998,5,FALSE),""))</f>
        <v/>
      </c>
      <c r="I114" s="40" t="str">
        <f>IF($C114="","",IFERROR(VLOOKUP($C114,Orders!$A$4:$J$998,6,FALSE),""))</f>
        <v/>
      </c>
      <c r="J114" s="40" t="str">
        <f>IF($C114="","",IFERROR(VLOOKUP($C114,Orders!$A$4:$J$998,7,FALSE),""))</f>
        <v/>
      </c>
      <c r="K114" s="40" t="str">
        <f>IF(Bids!$C113="","",Bids!$C113)</f>
        <v/>
      </c>
      <c r="L114" s="40" t="str">
        <f>IF($K114="","",IFERROR(VLOOKUP($K114,Grinders!$A$4:$N$998,2,FALSE),""))</f>
        <v/>
      </c>
      <c r="M114" s="40" t="str">
        <f>IF($K114="","",IFERROR(VLOOKUP($K114,Grinders!$A$4:$N$998,3,FALSE),""))</f>
        <v/>
      </c>
      <c r="N114" s="40" t="str">
        <f>IF($K114="","",IFERROR(VLOOKUP($K114,Grinders!$A$4:$N$998,4,FALSE),""))</f>
        <v/>
      </c>
      <c r="O114" s="40" t="str">
        <f>IF($K114="","",IFERROR(VLOOKUP($K114,Grinders!$A$4:$N$998,5,FALSE),""))</f>
        <v/>
      </c>
      <c r="P114" s="40" t="str">
        <f>IF($K114="","",IF($C$4="",0,COUNTIFS(Assignments!$B$6:$B$1000,$K114,Assignments!$F$6:$F$1000,$C$4,Assignments!$E$6:$E$1000,"Active")))</f>
        <v/>
      </c>
      <c r="Q114" s="40" t="str">
        <f t="shared" si="3"/>
        <v/>
      </c>
      <c r="R114" s="40" t="str">
        <f t="shared" si="4"/>
        <v/>
      </c>
      <c r="S114" s="40" t="str">
        <f>IF($K114="","",IF($C$4="",0,COUNTIFS(Assignments!$B$6:$B$1000,$K114,Assignments!$F$6:$F$1000,$C$4,Assignments!$D$6:$D$1000,"&gt;="&amp;Config!$B$3-7,Assignments!$D$6:$D$1000,"&lt;="&amp;Config!$B$3)))</f>
        <v/>
      </c>
      <c r="T114" s="40" t="str">
        <f>IF($K114="","",IFERROR(VLOOKUP($K114,Grinders!$A$4:$N$998,8,FALSE),""))</f>
        <v/>
      </c>
      <c r="U114" s="40" t="str">
        <f>IFERROR(IF($K114="","",IF($M114="Elite",MAX(50,MIN(100,Config!$B$27*MAX(0,MIN(100,(1-IF($R114="",0,$R114))*100)) + Config!$B$28*MAX(0,MIN(100,(1-MIN(1,IF(Config!$B$30=0,1,$S114/Config!$B$30)))*100)) + Config!$B$29*MAX(0,MIN(100,MIN(1,IF($T114="",0,$T114)/Config!$B$23)*100)))),MIN(100,Config!$B$27*MAX(0,MIN(100,(1-IF($R114="",0,$R114))*100)) + Config!$B$28*MAX(0,MIN(100,(1-MIN(1,IF(Config!$B$30=0,1,$S114/Config!$B$30)))*100)) + Config!$B$29*MAX(0,MIN(100,MIN(1,IF($T114="",0,$T114)/Config!$B$23)*100))))),"")
</f>
        <v/>
      </c>
      <c r="V114" s="40" t="str">
        <f>IF(Bids!$AC114="","",Bids!$AC114)</f>
        <v/>
      </c>
      <c r="W114" s="40" t="str">
        <f>IF(Bids!$F113="","",Bids!$F113)</f>
        <v/>
      </c>
      <c r="X114" s="40" t="str">
        <f t="shared" si="5"/>
        <v/>
      </c>
      <c r="Y114" s="40" t="str">
        <f>IF($X114="","",IF(Config!$B$17=Config!$B$16,IF($X114&gt;=Config!$B$17,100,0),MAX(0,MIN(100,($X114-Config!$B$16)/(Config!$B$17-Config!$B$16)*100))))</f>
        <v/>
      </c>
      <c r="Z114" s="40">
        <f>IF($M114="Elite",Config!$B$21,0)</f>
        <v>0</v>
      </c>
      <c r="AA114" s="40" t="str">
        <f>IFERROR(IF(OR($W114="",$H114=""),"",IF($W114&gt;$H114,
  MAX(0, 60-(($W114-$H114)*24/Config!$B$19)*60),
  MIN(100, 60+(($H114-$W114)*24/Config!$B$20)*40)
)),"")
</f>
        <v/>
      </c>
      <c r="AB114" s="40" t="str">
        <f>IF($K114="","",IFERROR(VLOOKUP($K114,Grinders!$A$4:$N$998,10,FALSE)/5*100,""))</f>
        <v/>
      </c>
      <c r="AC114" s="40" t="str">
        <f>IF($K114="","",IFERROR(VLOOKUP($K114,Grinders!$A$4:$N$998,11,FALSE)*100,""))</f>
        <v/>
      </c>
      <c r="AD114" s="40" t="str">
        <f>IF($K114="","",IFERROR(VLOOKUP($K114,Grinders!$A$4:$N$998,12,FALSE)*100,""))</f>
        <v/>
      </c>
      <c r="AE114" s="40" t="str">
        <f>IF(OR(AO114=1,AP114=1),0,=IFERROR(IFS(
    OR($C114="", $K114=""), 0,
    $F114=0, 0,
    $D114&lt;&gt;"Open", 0,
    COUNTIFS(GrinderServices!$A$6:$A$1000, $K114, GrinderServices!$B$6:$B$1000, $E114, GrinderServices!$D$6:$D$1000, "Y")=0, 0,
    $X114&lt;Config!$B$16, 0,
    Config!$B$18=1, IF($O114&gt;=N114, 0, 1),
    TRUE, 1
), "")
)</f>
        <v>#ERROR!</v>
      </c>
      <c r="AF114" s="40" t="str">
        <f>IFERROR((IF(OR(AO114=1,AP114=1),"",=IFERROR((IFERROR(IF($AE114=0,"",((Config!$B$6*$Y114 + Config!$B$7*$U114 + Config!$B$8*$Z114 + Config!$B$9*$AA114 + Config!$B$10*$AB114 + Config!$B$11*$AC114 - Config!$B$12*$AD114)/Config!$B$13)+$AK114+$AL114),""))*(1-IFERROR(VLOOKUP(K114,Grinders!$A:$AB, 28, FALSE),0)),"")))*(1+AR114),"")</f>
        <v>#ERROR!</v>
      </c>
      <c r="AG114" s="40" t="str">
        <f t="shared" si="6"/>
        <v>#ERROR!</v>
      </c>
      <c r="AH114" s="40" t="str">
        <f t="shared" si="7"/>
        <v/>
      </c>
      <c r="AI114" s="40" t="str">
        <f t="shared" si="8"/>
        <v/>
      </c>
      <c r="AJ114" s="40" t="str">
        <f>IF($K114="","",COUNTIF(Assignments!$B$6:$B$1000,$K114))</f>
        <v/>
      </c>
      <c r="AK114" s="40" t="str">
        <f>IF($K114="","",IF(AND($AJ114=0,$O114&lt;$N114),Config!$B$43,0))</f>
        <v/>
      </c>
      <c r="AL114" s="40" t="str">
        <f>IF($K114="","",IF(AND($M114="Elite",$G114&gt;=Config!$B$41,$O114&lt;$N114),Config!$B$42,0))</f>
        <v/>
      </c>
      <c r="AM114" s="22"/>
      <c r="AN114" s="39">
        <f>IFERROR(VLOOKUP(K114,Grinders!$A:$Q,28,FALSE),0)</f>
        <v>0</v>
      </c>
      <c r="AO114" s="39">
        <f>IF(Config!$B$1003&lt;&gt;"Y",0,IF(IFERROR(VLOOKUP(K114,Grinders!$A:$P,27,FALSE),0)&gt;=3,IF(OR(G114&gt;=Config!$B$1001,ISNUMBER(SEARCH(E114,Config!$B$1002))),1,0),0))</f>
        <v>0</v>
      </c>
      <c r="AP114" s="39">
        <f t="array" ref="AP114">IFERROR(IF(INDEX(Bids!$AE:$AE,MATCH(B114,Bids!$A:$A,0))="Pending",1,0),0)</f>
        <v>0</v>
      </c>
      <c r="AQ114" s="39" t="str">
        <f t="array" ref="AQ114">IF(C114="","",IFERROR(XLOOKUP(C114,Assignments!$C:$C,Assignments!$AU:$AU,0),0))</f>
        <v/>
      </c>
      <c r="AR114" s="39">
        <f>IF(AND(Config!$B$1006="Y",AQ114=1),Config!$B$1007,0)</f>
        <v>0</v>
      </c>
    </row>
    <row r="115" ht="15.75" customHeight="1">
      <c r="A115" s="46" t="str">
        <f t="shared" si="1"/>
        <v/>
      </c>
      <c r="B115" s="40" t="str">
        <f>IF(Bids!$A114="","",Bids!$A114)</f>
        <v/>
      </c>
      <c r="C115" s="40" t="str">
        <f>IF(Bids!$B114="","",Bids!$B114)</f>
        <v/>
      </c>
      <c r="D115" s="40" t="str">
        <f>IF($C115="","",IFERROR(VLOOKUP($C115,Orders!$A$4:$J$998,9,FALSE),""))</f>
        <v/>
      </c>
      <c r="E115" s="40" t="str">
        <f>IF($C115="","",IFERROR(VLOOKUP($C115,Orders!$A$4:$J$998,3,FALSE),""))</f>
        <v/>
      </c>
      <c r="F115" s="40">
        <f t="shared" si="2"/>
        <v>1</v>
      </c>
      <c r="G115" s="40" t="str">
        <f>IF($C115="","",IFERROR(VLOOKUP($C115,Orders!$A$4:$J$998,4,FALSE),""))</f>
        <v/>
      </c>
      <c r="H115" s="40" t="str">
        <f>IF($C115="","",IFERROR(VLOOKUP($C115,Orders!$A$4:$J$998,5,FALSE),""))</f>
        <v/>
      </c>
      <c r="I115" s="40" t="str">
        <f>IF($C115="","",IFERROR(VLOOKUP($C115,Orders!$A$4:$J$998,6,FALSE),""))</f>
        <v/>
      </c>
      <c r="J115" s="40" t="str">
        <f>IF($C115="","",IFERROR(VLOOKUP($C115,Orders!$A$4:$J$998,7,FALSE),""))</f>
        <v/>
      </c>
      <c r="K115" s="40" t="str">
        <f>IF(Bids!$C114="","",Bids!$C114)</f>
        <v/>
      </c>
      <c r="L115" s="40" t="str">
        <f>IF($K115="","",IFERROR(VLOOKUP($K115,Grinders!$A$4:$N$998,2,FALSE),""))</f>
        <v/>
      </c>
      <c r="M115" s="40" t="str">
        <f>IF($K115="","",IFERROR(VLOOKUP($K115,Grinders!$A$4:$N$998,3,FALSE),""))</f>
        <v/>
      </c>
      <c r="N115" s="40" t="str">
        <f>IF($K115="","",IFERROR(VLOOKUP($K115,Grinders!$A$4:$N$998,4,FALSE),""))</f>
        <v/>
      </c>
      <c r="O115" s="40" t="str">
        <f>IF($K115="","",IFERROR(VLOOKUP($K115,Grinders!$A$4:$N$998,5,FALSE),""))</f>
        <v/>
      </c>
      <c r="P115" s="40" t="str">
        <f>IF($K115="","",IF($C$4="",0,COUNTIFS(Assignments!$B$6:$B$1000,$K115,Assignments!$F$6:$F$1000,$C$4,Assignments!$E$6:$E$1000,"Active")))</f>
        <v/>
      </c>
      <c r="Q115" s="40" t="str">
        <f t="shared" si="3"/>
        <v/>
      </c>
      <c r="R115" s="40" t="str">
        <f t="shared" si="4"/>
        <v/>
      </c>
      <c r="S115" s="40" t="str">
        <f>IF($K115="","",IF($C$4="",0,COUNTIFS(Assignments!$B$6:$B$1000,$K115,Assignments!$F$6:$F$1000,$C$4,Assignments!$D$6:$D$1000,"&gt;="&amp;Config!$B$3-7,Assignments!$D$6:$D$1000,"&lt;="&amp;Config!$B$3)))</f>
        <v/>
      </c>
      <c r="T115" s="40" t="str">
        <f>IF($K115="","",IFERROR(VLOOKUP($K115,Grinders!$A$4:$N$998,8,FALSE),""))</f>
        <v/>
      </c>
      <c r="U115" s="40" t="str">
        <f>IFERROR(IF($K115="","",IF($M115="Elite",MAX(50,MIN(100,Config!$B$27*MAX(0,MIN(100,(1-IF($R115="",0,$R115))*100)) + Config!$B$28*MAX(0,MIN(100,(1-MIN(1,IF(Config!$B$30=0,1,$S115/Config!$B$30)))*100)) + Config!$B$29*MAX(0,MIN(100,MIN(1,IF($T115="",0,$T115)/Config!$B$23)*100)))),MIN(100,Config!$B$27*MAX(0,MIN(100,(1-IF($R115="",0,$R115))*100)) + Config!$B$28*MAX(0,MIN(100,(1-MIN(1,IF(Config!$B$30=0,1,$S115/Config!$B$30)))*100)) + Config!$B$29*MAX(0,MIN(100,MIN(1,IF($T115="",0,$T115)/Config!$B$23)*100))))),"")
</f>
        <v/>
      </c>
      <c r="V115" s="40" t="str">
        <f>IF(Bids!$AC115="","",Bids!$AC115)</f>
        <v/>
      </c>
      <c r="W115" s="40" t="str">
        <f>IF(Bids!$F114="","",Bids!$F114)</f>
        <v/>
      </c>
      <c r="X115" s="40" t="str">
        <f t="shared" si="5"/>
        <v/>
      </c>
      <c r="Y115" s="40" t="str">
        <f>IF($X115="","",IF(Config!$B$17=Config!$B$16,IF($X115&gt;=Config!$B$17,100,0),MAX(0,MIN(100,($X115-Config!$B$16)/(Config!$B$17-Config!$B$16)*100))))</f>
        <v/>
      </c>
      <c r="Z115" s="40">
        <f>IF($M115="Elite",Config!$B$21,0)</f>
        <v>0</v>
      </c>
      <c r="AA115" s="40" t="str">
        <f>IFERROR(IF(OR($W115="",$H115=""),"",IF($W115&gt;$H115,
  MAX(0, 60-(($W115-$H115)*24/Config!$B$19)*60),
  MIN(100, 60+(($H115-$W115)*24/Config!$B$20)*40)
)),"")
</f>
        <v/>
      </c>
      <c r="AB115" s="40" t="str">
        <f>IF($K115="","",IFERROR(VLOOKUP($K115,Grinders!$A$4:$N$998,10,FALSE)/5*100,""))</f>
        <v/>
      </c>
      <c r="AC115" s="40" t="str">
        <f>IF($K115="","",IFERROR(VLOOKUP($K115,Grinders!$A$4:$N$998,11,FALSE)*100,""))</f>
        <v/>
      </c>
      <c r="AD115" s="40" t="str">
        <f>IF($K115="","",IFERROR(VLOOKUP($K115,Grinders!$A$4:$N$998,12,FALSE)*100,""))</f>
        <v/>
      </c>
      <c r="AE115" s="40" t="str">
        <f>IF(OR(AO115=1,AP115=1),0,=IFERROR(IFS(
    OR($C115="", $K115=""), 0,
    $F115=0, 0,
    $D115&lt;&gt;"Open", 0,
    COUNTIFS(GrinderServices!$A$6:$A$1000, $K115, GrinderServices!$B$6:$B$1000, $E115, GrinderServices!$D$6:$D$1000, "Y")=0, 0,
    $X115&lt;Config!$B$16, 0,
    Config!$B$18=1, IF($O115&gt;=N115, 0, 1),
    TRUE, 1
), "")
)</f>
        <v>#ERROR!</v>
      </c>
      <c r="AF115" s="40" t="str">
        <f>IFERROR((IF(OR(AO115=1,AP115=1),"",=IFERROR((IFERROR(IF($AE115=0,"",((Config!$B$6*$Y115 + Config!$B$7*$U115 + Config!$B$8*$Z115 + Config!$B$9*$AA115 + Config!$B$10*$AB115 + Config!$B$11*$AC115 - Config!$B$12*$AD115)/Config!$B$13)+$AK115+$AL115),""))*(1-IFERROR(VLOOKUP(K115,Grinders!$A:$AB, 28, FALSE),0)),"")))*(1+AR115),"")</f>
        <v>#ERROR!</v>
      </c>
      <c r="AG115" s="40" t="str">
        <f t="shared" si="6"/>
        <v>#ERROR!</v>
      </c>
      <c r="AH115" s="40" t="str">
        <f t="shared" si="7"/>
        <v/>
      </c>
      <c r="AI115" s="40" t="str">
        <f t="shared" si="8"/>
        <v/>
      </c>
      <c r="AJ115" s="40" t="str">
        <f>IF($K115="","",COUNTIF(Assignments!$B$6:$B$1000,$K115))</f>
        <v/>
      </c>
      <c r="AK115" s="40" t="str">
        <f>IF($K115="","",IF(AND($AJ115=0,$O115&lt;$N115),Config!$B$43,0))</f>
        <v/>
      </c>
      <c r="AL115" s="40" t="str">
        <f>IF($K115="","",IF(AND($M115="Elite",$G115&gt;=Config!$B$41,$O115&lt;$N115),Config!$B$42,0))</f>
        <v/>
      </c>
      <c r="AM115" s="22"/>
      <c r="AN115" s="39">
        <f>IFERROR(VLOOKUP(K115,Grinders!$A:$Q,28,FALSE),0)</f>
        <v>0</v>
      </c>
      <c r="AO115" s="39">
        <f>IF(Config!$B$1003&lt;&gt;"Y",0,IF(IFERROR(VLOOKUP(K115,Grinders!$A:$P,27,FALSE),0)&gt;=3,IF(OR(G115&gt;=Config!$B$1001,ISNUMBER(SEARCH(E115,Config!$B$1002))),1,0),0))</f>
        <v>0</v>
      </c>
      <c r="AP115" s="39">
        <f t="array" ref="AP115">IFERROR(IF(INDEX(Bids!$AE:$AE,MATCH(B115,Bids!$A:$A,0))="Pending",1,0),0)</f>
        <v>0</v>
      </c>
      <c r="AQ115" s="39" t="str">
        <f t="array" ref="AQ115">IF(C115="","",IFERROR(XLOOKUP(C115,Assignments!$C:$C,Assignments!$AU:$AU,0),0))</f>
        <v/>
      </c>
      <c r="AR115" s="39">
        <f>IF(AND(Config!$B$1006="Y",AQ115=1),Config!$B$1007,0)</f>
        <v>0</v>
      </c>
    </row>
    <row r="116" ht="15.75" customHeight="1">
      <c r="A116" s="46" t="str">
        <f t="shared" si="1"/>
        <v/>
      </c>
      <c r="B116" s="40" t="str">
        <f>IF(Bids!$A115="","",Bids!$A115)</f>
        <v/>
      </c>
      <c r="C116" s="40" t="str">
        <f>IF(Bids!$B115="","",Bids!$B115)</f>
        <v/>
      </c>
      <c r="D116" s="40" t="str">
        <f>IF($C116="","",IFERROR(VLOOKUP($C116,Orders!$A$4:$J$998,9,FALSE),""))</f>
        <v/>
      </c>
      <c r="E116" s="40" t="str">
        <f>IF($C116="","",IFERROR(VLOOKUP($C116,Orders!$A$4:$J$998,3,FALSE),""))</f>
        <v/>
      </c>
      <c r="F116" s="40">
        <f t="shared" si="2"/>
        <v>1</v>
      </c>
      <c r="G116" s="40" t="str">
        <f>IF($C116="","",IFERROR(VLOOKUP($C116,Orders!$A$4:$J$998,4,FALSE),""))</f>
        <v/>
      </c>
      <c r="H116" s="40" t="str">
        <f>IF($C116="","",IFERROR(VLOOKUP($C116,Orders!$A$4:$J$998,5,FALSE),""))</f>
        <v/>
      </c>
      <c r="I116" s="40" t="str">
        <f>IF($C116="","",IFERROR(VLOOKUP($C116,Orders!$A$4:$J$998,6,FALSE),""))</f>
        <v/>
      </c>
      <c r="J116" s="40" t="str">
        <f>IF($C116="","",IFERROR(VLOOKUP($C116,Orders!$A$4:$J$998,7,FALSE),""))</f>
        <v/>
      </c>
      <c r="K116" s="40" t="str">
        <f>IF(Bids!$C115="","",Bids!$C115)</f>
        <v/>
      </c>
      <c r="L116" s="40" t="str">
        <f>IF($K116="","",IFERROR(VLOOKUP($K116,Grinders!$A$4:$N$998,2,FALSE),""))</f>
        <v/>
      </c>
      <c r="M116" s="40" t="str">
        <f>IF($K116="","",IFERROR(VLOOKUP($K116,Grinders!$A$4:$N$998,3,FALSE),""))</f>
        <v/>
      </c>
      <c r="N116" s="40" t="str">
        <f>IF($K116="","",IFERROR(VLOOKUP($K116,Grinders!$A$4:$N$998,4,FALSE),""))</f>
        <v/>
      </c>
      <c r="O116" s="40" t="str">
        <f>IF($K116="","",IFERROR(VLOOKUP($K116,Grinders!$A$4:$N$998,5,FALSE),""))</f>
        <v/>
      </c>
      <c r="P116" s="40" t="str">
        <f>IF($K116="","",IF($C$4="",0,COUNTIFS(Assignments!$B$6:$B$1000,$K116,Assignments!$F$6:$F$1000,$C$4,Assignments!$E$6:$E$1000,"Active")))</f>
        <v/>
      </c>
      <c r="Q116" s="40" t="str">
        <f t="shared" si="3"/>
        <v/>
      </c>
      <c r="R116" s="40" t="str">
        <f t="shared" si="4"/>
        <v/>
      </c>
      <c r="S116" s="40" t="str">
        <f>IF($K116="","",IF($C$4="",0,COUNTIFS(Assignments!$B$6:$B$1000,$K116,Assignments!$F$6:$F$1000,$C$4,Assignments!$D$6:$D$1000,"&gt;="&amp;Config!$B$3-7,Assignments!$D$6:$D$1000,"&lt;="&amp;Config!$B$3)))</f>
        <v/>
      </c>
      <c r="T116" s="40" t="str">
        <f>IF($K116="","",IFERROR(VLOOKUP($K116,Grinders!$A$4:$N$998,8,FALSE),""))</f>
        <v/>
      </c>
      <c r="U116" s="40" t="str">
        <f>IFERROR(IF($K116="","",IF($M116="Elite",MAX(50,MIN(100,Config!$B$27*MAX(0,MIN(100,(1-IF($R116="",0,$R116))*100)) + Config!$B$28*MAX(0,MIN(100,(1-MIN(1,IF(Config!$B$30=0,1,$S116/Config!$B$30)))*100)) + Config!$B$29*MAX(0,MIN(100,MIN(1,IF($T116="",0,$T116)/Config!$B$23)*100)))),MIN(100,Config!$B$27*MAX(0,MIN(100,(1-IF($R116="",0,$R116))*100)) + Config!$B$28*MAX(0,MIN(100,(1-MIN(1,IF(Config!$B$30=0,1,$S116/Config!$B$30)))*100)) + Config!$B$29*MAX(0,MIN(100,MIN(1,IF($T116="",0,$T116)/Config!$B$23)*100))))),"")
</f>
        <v/>
      </c>
      <c r="V116" s="40" t="str">
        <f>IF(Bids!$AC116="","",Bids!$AC116)</f>
        <v/>
      </c>
      <c r="W116" s="40" t="str">
        <f>IF(Bids!$F115="","",Bids!$F115)</f>
        <v/>
      </c>
      <c r="X116" s="40" t="str">
        <f t="shared" si="5"/>
        <v/>
      </c>
      <c r="Y116" s="40" t="str">
        <f>IF($X116="","",IF(Config!$B$17=Config!$B$16,IF($X116&gt;=Config!$B$17,100,0),MAX(0,MIN(100,($X116-Config!$B$16)/(Config!$B$17-Config!$B$16)*100))))</f>
        <v/>
      </c>
      <c r="Z116" s="40">
        <f>IF($M116="Elite",Config!$B$21,0)</f>
        <v>0</v>
      </c>
      <c r="AA116" s="40" t="str">
        <f>IFERROR(IF(OR($W116="",$H116=""),"",IF($W116&gt;$H116,
  MAX(0, 60-(($W116-$H116)*24/Config!$B$19)*60),
  MIN(100, 60+(($H116-$W116)*24/Config!$B$20)*40)
)),"")
</f>
        <v/>
      </c>
      <c r="AB116" s="40" t="str">
        <f>IF($K116="","",IFERROR(VLOOKUP($K116,Grinders!$A$4:$N$998,10,FALSE)/5*100,""))</f>
        <v/>
      </c>
      <c r="AC116" s="40" t="str">
        <f>IF($K116="","",IFERROR(VLOOKUP($K116,Grinders!$A$4:$N$998,11,FALSE)*100,""))</f>
        <v/>
      </c>
      <c r="AD116" s="40" t="str">
        <f>IF($K116="","",IFERROR(VLOOKUP($K116,Grinders!$A$4:$N$998,12,FALSE)*100,""))</f>
        <v/>
      </c>
      <c r="AE116" s="40" t="str">
        <f>IF(OR(AO116=1,AP116=1),0,=IFERROR(IFS(
    OR($C116="", $K116=""), 0,
    $F116=0, 0,
    $D116&lt;&gt;"Open", 0,
    COUNTIFS(GrinderServices!$A$6:$A$1000, $K116, GrinderServices!$B$6:$B$1000, $E116, GrinderServices!$D$6:$D$1000, "Y")=0, 0,
    $X116&lt;Config!$B$16, 0,
    Config!$B$18=1, IF($O116&gt;=N116, 0, 1),
    TRUE, 1
), "")
)</f>
        <v>#ERROR!</v>
      </c>
      <c r="AF116" s="40" t="str">
        <f>IFERROR((IF(OR(AO116=1,AP116=1),"",=IFERROR((IFERROR(IF($AE116=0,"",((Config!$B$6*$Y116 + Config!$B$7*$U116 + Config!$B$8*$Z116 + Config!$B$9*$AA116 + Config!$B$10*$AB116 + Config!$B$11*$AC116 - Config!$B$12*$AD116)/Config!$B$13)+$AK116+$AL116),""))*(1-IFERROR(VLOOKUP(K116,Grinders!$A:$AB, 28, FALSE),0)),"")))*(1+AR116),"")</f>
        <v>#ERROR!</v>
      </c>
      <c r="AG116" s="40" t="str">
        <f t="shared" si="6"/>
        <v>#ERROR!</v>
      </c>
      <c r="AH116" s="40" t="str">
        <f t="shared" si="7"/>
        <v/>
      </c>
      <c r="AI116" s="40" t="str">
        <f t="shared" si="8"/>
        <v/>
      </c>
      <c r="AJ116" s="40" t="str">
        <f>IF($K116="","",COUNTIF(Assignments!$B$6:$B$1000,$K116))</f>
        <v/>
      </c>
      <c r="AK116" s="40" t="str">
        <f>IF($K116="","",IF(AND($AJ116=0,$O116&lt;$N116),Config!$B$43,0))</f>
        <v/>
      </c>
      <c r="AL116" s="40" t="str">
        <f>IF($K116="","",IF(AND($M116="Elite",$G116&gt;=Config!$B$41,$O116&lt;$N116),Config!$B$42,0))</f>
        <v/>
      </c>
      <c r="AM116" s="22"/>
      <c r="AN116" s="39">
        <f>IFERROR(VLOOKUP(K116,Grinders!$A:$Q,28,FALSE),0)</f>
        <v>0</v>
      </c>
      <c r="AO116" s="39">
        <f>IF(Config!$B$1003&lt;&gt;"Y",0,IF(IFERROR(VLOOKUP(K116,Grinders!$A:$P,27,FALSE),0)&gt;=3,IF(OR(G116&gt;=Config!$B$1001,ISNUMBER(SEARCH(E116,Config!$B$1002))),1,0),0))</f>
        <v>0</v>
      </c>
      <c r="AP116" s="39">
        <f t="array" ref="AP116">IFERROR(IF(INDEX(Bids!$AE:$AE,MATCH(B116,Bids!$A:$A,0))="Pending",1,0),0)</f>
        <v>0</v>
      </c>
      <c r="AQ116" s="39" t="str">
        <f t="array" ref="AQ116">IF(C116="","",IFERROR(XLOOKUP(C116,Assignments!$C:$C,Assignments!$AU:$AU,0),0))</f>
        <v/>
      </c>
      <c r="AR116" s="39">
        <f>IF(AND(Config!$B$1006="Y",AQ116=1),Config!$B$1007,0)</f>
        <v>0</v>
      </c>
    </row>
    <row r="117" ht="15.75" customHeight="1">
      <c r="A117" s="46" t="str">
        <f t="shared" si="1"/>
        <v/>
      </c>
      <c r="B117" s="40" t="str">
        <f>IF(Bids!$A116="","",Bids!$A116)</f>
        <v/>
      </c>
      <c r="C117" s="40" t="str">
        <f>IF(Bids!$B116="","",Bids!$B116)</f>
        <v/>
      </c>
      <c r="D117" s="40" t="str">
        <f>IF($C117="","",IFERROR(VLOOKUP($C117,Orders!$A$4:$J$998,9,FALSE),""))</f>
        <v/>
      </c>
      <c r="E117" s="40" t="str">
        <f>IF($C117="","",IFERROR(VLOOKUP($C117,Orders!$A$4:$J$998,3,FALSE),""))</f>
        <v/>
      </c>
      <c r="F117" s="40">
        <f t="shared" si="2"/>
        <v>1</v>
      </c>
      <c r="G117" s="40" t="str">
        <f>IF($C117="","",IFERROR(VLOOKUP($C117,Orders!$A$4:$J$998,4,FALSE),""))</f>
        <v/>
      </c>
      <c r="H117" s="40" t="str">
        <f>IF($C117="","",IFERROR(VLOOKUP($C117,Orders!$A$4:$J$998,5,FALSE),""))</f>
        <v/>
      </c>
      <c r="I117" s="40" t="str">
        <f>IF($C117="","",IFERROR(VLOOKUP($C117,Orders!$A$4:$J$998,6,FALSE),""))</f>
        <v/>
      </c>
      <c r="J117" s="40" t="str">
        <f>IF($C117="","",IFERROR(VLOOKUP($C117,Orders!$A$4:$J$998,7,FALSE),""))</f>
        <v/>
      </c>
      <c r="K117" s="40" t="str">
        <f>IF(Bids!$C116="","",Bids!$C116)</f>
        <v/>
      </c>
      <c r="L117" s="40" t="str">
        <f>IF($K117="","",IFERROR(VLOOKUP($K117,Grinders!$A$4:$N$998,2,FALSE),""))</f>
        <v/>
      </c>
      <c r="M117" s="40" t="str">
        <f>IF($K117="","",IFERROR(VLOOKUP($K117,Grinders!$A$4:$N$998,3,FALSE),""))</f>
        <v/>
      </c>
      <c r="N117" s="40" t="str">
        <f>IF($K117="","",IFERROR(VLOOKUP($K117,Grinders!$A$4:$N$998,4,FALSE),""))</f>
        <v/>
      </c>
      <c r="O117" s="40" t="str">
        <f>IF($K117="","",IFERROR(VLOOKUP($K117,Grinders!$A$4:$N$998,5,FALSE),""))</f>
        <v/>
      </c>
      <c r="P117" s="40" t="str">
        <f>IF($K117="","",IF($C$4="",0,COUNTIFS(Assignments!$B$6:$B$1000,$K117,Assignments!$F$6:$F$1000,$C$4,Assignments!$E$6:$E$1000,"Active")))</f>
        <v/>
      </c>
      <c r="Q117" s="40" t="str">
        <f t="shared" si="3"/>
        <v/>
      </c>
      <c r="R117" s="40" t="str">
        <f t="shared" si="4"/>
        <v/>
      </c>
      <c r="S117" s="40" t="str">
        <f>IF($K117="","",IF($C$4="",0,COUNTIFS(Assignments!$B$6:$B$1000,$K117,Assignments!$F$6:$F$1000,$C$4,Assignments!$D$6:$D$1000,"&gt;="&amp;Config!$B$3-7,Assignments!$D$6:$D$1000,"&lt;="&amp;Config!$B$3)))</f>
        <v/>
      </c>
      <c r="T117" s="40" t="str">
        <f>IF($K117="","",IFERROR(VLOOKUP($K117,Grinders!$A$4:$N$998,8,FALSE),""))</f>
        <v/>
      </c>
      <c r="U117" s="40" t="str">
        <f>IFERROR(IF($K117="","",IF($M117="Elite",MAX(50,MIN(100,Config!$B$27*MAX(0,MIN(100,(1-IF($R117="",0,$R117))*100)) + Config!$B$28*MAX(0,MIN(100,(1-MIN(1,IF(Config!$B$30=0,1,$S117/Config!$B$30)))*100)) + Config!$B$29*MAX(0,MIN(100,MIN(1,IF($T117="",0,$T117)/Config!$B$23)*100)))),MIN(100,Config!$B$27*MAX(0,MIN(100,(1-IF($R117="",0,$R117))*100)) + Config!$B$28*MAX(0,MIN(100,(1-MIN(1,IF(Config!$B$30=0,1,$S117/Config!$B$30)))*100)) + Config!$B$29*MAX(0,MIN(100,MIN(1,IF($T117="",0,$T117)/Config!$B$23)*100))))),"")
</f>
        <v/>
      </c>
      <c r="V117" s="40" t="str">
        <f>IF(Bids!$AC117="","",Bids!$AC117)</f>
        <v/>
      </c>
      <c r="W117" s="40" t="str">
        <f>IF(Bids!$F116="","",Bids!$F116)</f>
        <v/>
      </c>
      <c r="X117" s="40" t="str">
        <f t="shared" si="5"/>
        <v/>
      </c>
      <c r="Y117" s="40" t="str">
        <f>IF($X117="","",IF(Config!$B$17=Config!$B$16,IF($X117&gt;=Config!$B$17,100,0),MAX(0,MIN(100,($X117-Config!$B$16)/(Config!$B$17-Config!$B$16)*100))))</f>
        <v/>
      </c>
      <c r="Z117" s="40">
        <f>IF($M117="Elite",Config!$B$21,0)</f>
        <v>0</v>
      </c>
      <c r="AA117" s="40" t="str">
        <f>IFERROR(IF(OR($W117="",$H117=""),"",IF($W117&gt;$H117,
  MAX(0, 60-(($W117-$H117)*24/Config!$B$19)*60),
  MIN(100, 60+(($H117-$W117)*24/Config!$B$20)*40)
)),"")
</f>
        <v/>
      </c>
      <c r="AB117" s="40" t="str">
        <f>IF($K117="","",IFERROR(VLOOKUP($K117,Grinders!$A$4:$N$998,10,FALSE)/5*100,""))</f>
        <v/>
      </c>
      <c r="AC117" s="40" t="str">
        <f>IF($K117="","",IFERROR(VLOOKUP($K117,Grinders!$A$4:$N$998,11,FALSE)*100,""))</f>
        <v/>
      </c>
      <c r="AD117" s="40" t="str">
        <f>IF($K117="","",IFERROR(VLOOKUP($K117,Grinders!$A$4:$N$998,12,FALSE)*100,""))</f>
        <v/>
      </c>
      <c r="AE117" s="40" t="str">
        <f>IF(OR(AO117=1,AP117=1),0,=IFERROR(IFS(
    OR($C117="", $K117=""), 0,
    $F117=0, 0,
    $D117&lt;&gt;"Open", 0,
    COUNTIFS(GrinderServices!$A$6:$A$1000, $K117, GrinderServices!$B$6:$B$1000, $E117, GrinderServices!$D$6:$D$1000, "Y")=0, 0,
    $X117&lt;Config!$B$16, 0,
    Config!$B$18=1, IF($O117&gt;=N117, 0, 1),
    TRUE, 1
), "")
)</f>
        <v>#ERROR!</v>
      </c>
      <c r="AF117" s="40" t="str">
        <f>IFERROR((IF(OR(AO117=1,AP117=1),"",=IFERROR((IFERROR(IF($AE117=0,"",((Config!$B$6*$Y117 + Config!$B$7*$U117 + Config!$B$8*$Z117 + Config!$B$9*$AA117 + Config!$B$10*$AB117 + Config!$B$11*$AC117 - Config!$B$12*$AD117)/Config!$B$13)+$AK117+$AL117),""))*(1-IFERROR(VLOOKUP(K117,Grinders!$A:$AB, 28, FALSE),0)),"")))*(1+AR117),"")</f>
        <v>#ERROR!</v>
      </c>
      <c r="AG117" s="40" t="str">
        <f t="shared" si="6"/>
        <v>#ERROR!</v>
      </c>
      <c r="AH117" s="40" t="str">
        <f t="shared" si="7"/>
        <v/>
      </c>
      <c r="AI117" s="40" t="str">
        <f t="shared" si="8"/>
        <v/>
      </c>
      <c r="AJ117" s="40" t="str">
        <f>IF($K117="","",COUNTIF(Assignments!$B$6:$B$1000,$K117))</f>
        <v/>
      </c>
      <c r="AK117" s="40" t="str">
        <f>IF($K117="","",IF(AND($AJ117=0,$O117&lt;$N117),Config!$B$43,0))</f>
        <v/>
      </c>
      <c r="AL117" s="40" t="str">
        <f>IF($K117="","",IF(AND($M117="Elite",$G117&gt;=Config!$B$41,$O117&lt;$N117),Config!$B$42,0))</f>
        <v/>
      </c>
      <c r="AM117" s="22"/>
      <c r="AN117" s="39">
        <f>IFERROR(VLOOKUP(K117,Grinders!$A:$Q,28,FALSE),0)</f>
        <v>0</v>
      </c>
      <c r="AO117" s="39">
        <f>IF(Config!$B$1003&lt;&gt;"Y",0,IF(IFERROR(VLOOKUP(K117,Grinders!$A:$P,27,FALSE),0)&gt;=3,IF(OR(G117&gt;=Config!$B$1001,ISNUMBER(SEARCH(E117,Config!$B$1002))),1,0),0))</f>
        <v>0</v>
      </c>
      <c r="AP117" s="39">
        <f t="array" ref="AP117">IFERROR(IF(INDEX(Bids!$AE:$AE,MATCH(B117,Bids!$A:$A,0))="Pending",1,0),0)</f>
        <v>0</v>
      </c>
      <c r="AQ117" s="39" t="str">
        <f t="array" ref="AQ117">IF(C117="","",IFERROR(XLOOKUP(C117,Assignments!$C:$C,Assignments!$AU:$AU,0),0))</f>
        <v/>
      </c>
      <c r="AR117" s="39">
        <f>IF(AND(Config!$B$1006="Y",AQ117=1),Config!$B$1007,0)</f>
        <v>0</v>
      </c>
    </row>
    <row r="118" ht="15.75" customHeight="1">
      <c r="A118" s="46" t="str">
        <f t="shared" si="1"/>
        <v/>
      </c>
      <c r="B118" s="40" t="str">
        <f>IF(Bids!$A117="","",Bids!$A117)</f>
        <v/>
      </c>
      <c r="C118" s="40" t="str">
        <f>IF(Bids!$B117="","",Bids!$B117)</f>
        <v/>
      </c>
      <c r="D118" s="40" t="str">
        <f>IF($C118="","",IFERROR(VLOOKUP($C118,Orders!$A$4:$J$998,9,FALSE),""))</f>
        <v/>
      </c>
      <c r="E118" s="40" t="str">
        <f>IF($C118="","",IFERROR(VLOOKUP($C118,Orders!$A$4:$J$998,3,FALSE),""))</f>
        <v/>
      </c>
      <c r="F118" s="40">
        <f t="shared" si="2"/>
        <v>1</v>
      </c>
      <c r="G118" s="40" t="str">
        <f>IF($C118="","",IFERROR(VLOOKUP($C118,Orders!$A$4:$J$998,4,FALSE),""))</f>
        <v/>
      </c>
      <c r="H118" s="40" t="str">
        <f>IF($C118="","",IFERROR(VLOOKUP($C118,Orders!$A$4:$J$998,5,FALSE),""))</f>
        <v/>
      </c>
      <c r="I118" s="40" t="str">
        <f>IF($C118="","",IFERROR(VLOOKUP($C118,Orders!$A$4:$J$998,6,FALSE),""))</f>
        <v/>
      </c>
      <c r="J118" s="40" t="str">
        <f>IF($C118="","",IFERROR(VLOOKUP($C118,Orders!$A$4:$J$998,7,FALSE),""))</f>
        <v/>
      </c>
      <c r="K118" s="40" t="str">
        <f>IF(Bids!$C117="","",Bids!$C117)</f>
        <v/>
      </c>
      <c r="L118" s="40" t="str">
        <f>IF($K118="","",IFERROR(VLOOKUP($K118,Grinders!$A$4:$N$998,2,FALSE),""))</f>
        <v/>
      </c>
      <c r="M118" s="40" t="str">
        <f>IF($K118="","",IFERROR(VLOOKUP($K118,Grinders!$A$4:$N$998,3,FALSE),""))</f>
        <v/>
      </c>
      <c r="N118" s="40" t="str">
        <f>IF($K118="","",IFERROR(VLOOKUP($K118,Grinders!$A$4:$N$998,4,FALSE),""))</f>
        <v/>
      </c>
      <c r="O118" s="40" t="str">
        <f>IF($K118="","",IFERROR(VLOOKUP($K118,Grinders!$A$4:$N$998,5,FALSE),""))</f>
        <v/>
      </c>
      <c r="P118" s="40" t="str">
        <f>IF($K118="","",IF($C$4="",0,COUNTIFS(Assignments!$B$6:$B$1000,$K118,Assignments!$F$6:$F$1000,$C$4,Assignments!$E$6:$E$1000,"Active")))</f>
        <v/>
      </c>
      <c r="Q118" s="40" t="str">
        <f t="shared" si="3"/>
        <v/>
      </c>
      <c r="R118" s="40" t="str">
        <f t="shared" si="4"/>
        <v/>
      </c>
      <c r="S118" s="40" t="str">
        <f>IF($K118="","",IF($C$4="",0,COUNTIFS(Assignments!$B$6:$B$1000,$K118,Assignments!$F$6:$F$1000,$C$4,Assignments!$D$6:$D$1000,"&gt;="&amp;Config!$B$3-7,Assignments!$D$6:$D$1000,"&lt;="&amp;Config!$B$3)))</f>
        <v/>
      </c>
      <c r="T118" s="40" t="str">
        <f>IF($K118="","",IFERROR(VLOOKUP($K118,Grinders!$A$4:$N$998,8,FALSE),""))</f>
        <v/>
      </c>
      <c r="U118" s="40" t="str">
        <f>IFERROR(IF($K118="","",IF($M118="Elite",MAX(50,MIN(100,Config!$B$27*MAX(0,MIN(100,(1-IF($R118="",0,$R118))*100)) + Config!$B$28*MAX(0,MIN(100,(1-MIN(1,IF(Config!$B$30=0,1,$S118/Config!$B$30)))*100)) + Config!$B$29*MAX(0,MIN(100,MIN(1,IF($T118="",0,$T118)/Config!$B$23)*100)))),MIN(100,Config!$B$27*MAX(0,MIN(100,(1-IF($R118="",0,$R118))*100)) + Config!$B$28*MAX(0,MIN(100,(1-MIN(1,IF(Config!$B$30=0,1,$S118/Config!$B$30)))*100)) + Config!$B$29*MAX(0,MIN(100,MIN(1,IF($T118="",0,$T118)/Config!$B$23)*100))))),"")
</f>
        <v/>
      </c>
      <c r="V118" s="40" t="str">
        <f>IF(Bids!$AC118="","",Bids!$AC118)</f>
        <v/>
      </c>
      <c r="W118" s="40" t="str">
        <f>IF(Bids!$F117="","",Bids!$F117)</f>
        <v/>
      </c>
      <c r="X118" s="40" t="str">
        <f t="shared" si="5"/>
        <v/>
      </c>
      <c r="Y118" s="40" t="str">
        <f>IF($X118="","",IF(Config!$B$17=Config!$B$16,IF($X118&gt;=Config!$B$17,100,0),MAX(0,MIN(100,($X118-Config!$B$16)/(Config!$B$17-Config!$B$16)*100))))</f>
        <v/>
      </c>
      <c r="Z118" s="40">
        <f>IF($M118="Elite",Config!$B$21,0)</f>
        <v>0</v>
      </c>
      <c r="AA118" s="40" t="str">
        <f>IFERROR(IF(OR($W118="",$H118=""),"",IF($W118&gt;$H118,
  MAX(0, 60-(($W118-$H118)*24/Config!$B$19)*60),
  MIN(100, 60+(($H118-$W118)*24/Config!$B$20)*40)
)),"")
</f>
        <v/>
      </c>
      <c r="AB118" s="40" t="str">
        <f>IF($K118="","",IFERROR(VLOOKUP($K118,Grinders!$A$4:$N$998,10,FALSE)/5*100,""))</f>
        <v/>
      </c>
      <c r="AC118" s="40" t="str">
        <f>IF($K118="","",IFERROR(VLOOKUP($K118,Grinders!$A$4:$N$998,11,FALSE)*100,""))</f>
        <v/>
      </c>
      <c r="AD118" s="40" t="str">
        <f>IF($K118="","",IFERROR(VLOOKUP($K118,Grinders!$A$4:$N$998,12,FALSE)*100,""))</f>
        <v/>
      </c>
      <c r="AE118" s="40" t="str">
        <f>IF(OR(AO118=1,AP118=1),0,=IFERROR(IFS(
    OR($C118="", $K118=""), 0,
    $F118=0, 0,
    $D118&lt;&gt;"Open", 0,
    COUNTIFS(GrinderServices!$A$6:$A$1000, $K118, GrinderServices!$B$6:$B$1000, $E118, GrinderServices!$D$6:$D$1000, "Y")=0, 0,
    $X118&lt;Config!$B$16, 0,
    Config!$B$18=1, IF($O118&gt;=N118, 0, 1),
    TRUE, 1
), "")
)</f>
        <v>#ERROR!</v>
      </c>
      <c r="AF118" s="40" t="str">
        <f>IFERROR((IF(OR(AO118=1,AP118=1),"",=IFERROR((IFERROR(IF($AE118=0,"",((Config!$B$6*$Y118 + Config!$B$7*$U118 + Config!$B$8*$Z118 + Config!$B$9*$AA118 + Config!$B$10*$AB118 + Config!$B$11*$AC118 - Config!$B$12*$AD118)/Config!$B$13)+$AK118+$AL118),""))*(1-IFERROR(VLOOKUP(K118,Grinders!$A:$AB, 28, FALSE),0)),"")))*(1+AR118),"")</f>
        <v>#ERROR!</v>
      </c>
      <c r="AG118" s="40" t="str">
        <f t="shared" si="6"/>
        <v>#ERROR!</v>
      </c>
      <c r="AH118" s="40" t="str">
        <f t="shared" si="7"/>
        <v/>
      </c>
      <c r="AI118" s="40" t="str">
        <f t="shared" si="8"/>
        <v/>
      </c>
      <c r="AJ118" s="40" t="str">
        <f>IF($K118="","",COUNTIF(Assignments!$B$6:$B$1000,$K118))</f>
        <v/>
      </c>
      <c r="AK118" s="40" t="str">
        <f>IF($K118="","",IF(AND($AJ118=0,$O118&lt;$N118),Config!$B$43,0))</f>
        <v/>
      </c>
      <c r="AL118" s="40" t="str">
        <f>IF($K118="","",IF(AND($M118="Elite",$G118&gt;=Config!$B$41,$O118&lt;$N118),Config!$B$42,0))</f>
        <v/>
      </c>
      <c r="AM118" s="22"/>
      <c r="AN118" s="39">
        <f>IFERROR(VLOOKUP(K118,Grinders!$A:$Q,28,FALSE),0)</f>
        <v>0</v>
      </c>
      <c r="AO118" s="39">
        <f>IF(Config!$B$1003&lt;&gt;"Y",0,IF(IFERROR(VLOOKUP(K118,Grinders!$A:$P,27,FALSE),0)&gt;=3,IF(OR(G118&gt;=Config!$B$1001,ISNUMBER(SEARCH(E118,Config!$B$1002))),1,0),0))</f>
        <v>0</v>
      </c>
      <c r="AP118" s="39">
        <f t="array" ref="AP118">IFERROR(IF(INDEX(Bids!$AE:$AE,MATCH(B118,Bids!$A:$A,0))="Pending",1,0),0)</f>
        <v>0</v>
      </c>
      <c r="AQ118" s="39" t="str">
        <f t="array" ref="AQ118">IF(C118="","",IFERROR(XLOOKUP(C118,Assignments!$C:$C,Assignments!$AU:$AU,0),0))</f>
        <v/>
      </c>
      <c r="AR118" s="39">
        <f>IF(AND(Config!$B$1006="Y",AQ118=1),Config!$B$1007,0)</f>
        <v>0</v>
      </c>
    </row>
    <row r="119" ht="15.75" customHeight="1">
      <c r="A119" s="46" t="str">
        <f t="shared" si="1"/>
        <v/>
      </c>
      <c r="B119" s="40" t="str">
        <f>IF(Bids!$A118="","",Bids!$A118)</f>
        <v/>
      </c>
      <c r="C119" s="40" t="str">
        <f>IF(Bids!$B118="","",Bids!$B118)</f>
        <v/>
      </c>
      <c r="D119" s="40" t="str">
        <f>IF($C119="","",IFERROR(VLOOKUP($C119,Orders!$A$4:$J$998,9,FALSE),""))</f>
        <v/>
      </c>
      <c r="E119" s="40" t="str">
        <f>IF($C119="","",IFERROR(VLOOKUP($C119,Orders!$A$4:$J$998,3,FALSE),""))</f>
        <v/>
      </c>
      <c r="F119" s="40">
        <f t="shared" si="2"/>
        <v>1</v>
      </c>
      <c r="G119" s="40" t="str">
        <f>IF($C119="","",IFERROR(VLOOKUP($C119,Orders!$A$4:$J$998,4,FALSE),""))</f>
        <v/>
      </c>
      <c r="H119" s="40" t="str">
        <f>IF($C119="","",IFERROR(VLOOKUP($C119,Orders!$A$4:$J$998,5,FALSE),""))</f>
        <v/>
      </c>
      <c r="I119" s="40" t="str">
        <f>IF($C119="","",IFERROR(VLOOKUP($C119,Orders!$A$4:$J$998,6,FALSE),""))</f>
        <v/>
      </c>
      <c r="J119" s="40" t="str">
        <f>IF($C119="","",IFERROR(VLOOKUP($C119,Orders!$A$4:$J$998,7,FALSE),""))</f>
        <v/>
      </c>
      <c r="K119" s="40" t="str">
        <f>IF(Bids!$C118="","",Bids!$C118)</f>
        <v/>
      </c>
      <c r="L119" s="40" t="str">
        <f>IF($K119="","",IFERROR(VLOOKUP($K119,Grinders!$A$4:$N$998,2,FALSE),""))</f>
        <v/>
      </c>
      <c r="M119" s="40" t="str">
        <f>IF($K119="","",IFERROR(VLOOKUP($K119,Grinders!$A$4:$N$998,3,FALSE),""))</f>
        <v/>
      </c>
      <c r="N119" s="40" t="str">
        <f>IF($K119="","",IFERROR(VLOOKUP($K119,Grinders!$A$4:$N$998,4,FALSE),""))</f>
        <v/>
      </c>
      <c r="O119" s="40" t="str">
        <f>IF($K119="","",IFERROR(VLOOKUP($K119,Grinders!$A$4:$N$998,5,FALSE),""))</f>
        <v/>
      </c>
      <c r="P119" s="40" t="str">
        <f>IF($K119="","",IF($C$4="",0,COUNTIFS(Assignments!$B$6:$B$1000,$K119,Assignments!$F$6:$F$1000,$C$4,Assignments!$E$6:$E$1000,"Active")))</f>
        <v/>
      </c>
      <c r="Q119" s="40" t="str">
        <f t="shared" si="3"/>
        <v/>
      </c>
      <c r="R119" s="40" t="str">
        <f t="shared" si="4"/>
        <v/>
      </c>
      <c r="S119" s="40" t="str">
        <f>IF($K119="","",IF($C$4="",0,COUNTIFS(Assignments!$B$6:$B$1000,$K119,Assignments!$F$6:$F$1000,$C$4,Assignments!$D$6:$D$1000,"&gt;="&amp;Config!$B$3-7,Assignments!$D$6:$D$1000,"&lt;="&amp;Config!$B$3)))</f>
        <v/>
      </c>
      <c r="T119" s="40" t="str">
        <f>IF($K119="","",IFERROR(VLOOKUP($K119,Grinders!$A$4:$N$998,8,FALSE),""))</f>
        <v/>
      </c>
      <c r="U119" s="40" t="str">
        <f>IFERROR(IF($K119="","",IF($M119="Elite",MAX(50,MIN(100,Config!$B$27*MAX(0,MIN(100,(1-IF($R119="",0,$R119))*100)) + Config!$B$28*MAX(0,MIN(100,(1-MIN(1,IF(Config!$B$30=0,1,$S119/Config!$B$30)))*100)) + Config!$B$29*MAX(0,MIN(100,MIN(1,IF($T119="",0,$T119)/Config!$B$23)*100)))),MIN(100,Config!$B$27*MAX(0,MIN(100,(1-IF($R119="",0,$R119))*100)) + Config!$B$28*MAX(0,MIN(100,(1-MIN(1,IF(Config!$B$30=0,1,$S119/Config!$B$30)))*100)) + Config!$B$29*MAX(0,MIN(100,MIN(1,IF($T119="",0,$T119)/Config!$B$23)*100))))),"")
</f>
        <v/>
      </c>
      <c r="V119" s="40" t="str">
        <f>IF(Bids!$AC119="","",Bids!$AC119)</f>
        <v/>
      </c>
      <c r="W119" s="40" t="str">
        <f>IF(Bids!$F118="","",Bids!$F118)</f>
        <v/>
      </c>
      <c r="X119" s="40" t="str">
        <f t="shared" si="5"/>
        <v/>
      </c>
      <c r="Y119" s="40" t="str">
        <f>IF($X119="","",IF(Config!$B$17=Config!$B$16,IF($X119&gt;=Config!$B$17,100,0),MAX(0,MIN(100,($X119-Config!$B$16)/(Config!$B$17-Config!$B$16)*100))))</f>
        <v/>
      </c>
      <c r="Z119" s="40">
        <f>IF($M119="Elite",Config!$B$21,0)</f>
        <v>0</v>
      </c>
      <c r="AA119" s="40" t="str">
        <f>IFERROR(IF(OR($W119="",$H119=""),"",IF($W119&gt;$H119,
  MAX(0, 60-(($W119-$H119)*24/Config!$B$19)*60),
  MIN(100, 60+(($H119-$W119)*24/Config!$B$20)*40)
)),"")
</f>
        <v/>
      </c>
      <c r="AB119" s="40" t="str">
        <f>IF($K119="","",IFERROR(VLOOKUP($K119,Grinders!$A$4:$N$998,10,FALSE)/5*100,""))</f>
        <v/>
      </c>
      <c r="AC119" s="40" t="str">
        <f>IF($K119="","",IFERROR(VLOOKUP($K119,Grinders!$A$4:$N$998,11,FALSE)*100,""))</f>
        <v/>
      </c>
      <c r="AD119" s="40" t="str">
        <f>IF($K119="","",IFERROR(VLOOKUP($K119,Grinders!$A$4:$N$998,12,FALSE)*100,""))</f>
        <v/>
      </c>
      <c r="AE119" s="40" t="str">
        <f>IF(OR(AO119=1,AP119=1),0,=IFERROR(IFS(
    OR($C119="", $K119=""), 0,
    $F119=0, 0,
    $D119&lt;&gt;"Open", 0,
    COUNTIFS(GrinderServices!$A$6:$A$1000, $K119, GrinderServices!$B$6:$B$1000, $E119, GrinderServices!$D$6:$D$1000, "Y")=0, 0,
    $X119&lt;Config!$B$16, 0,
    Config!$B$18=1, IF($O119&gt;=N119, 0, 1),
    TRUE, 1
), "")
)</f>
        <v>#ERROR!</v>
      </c>
      <c r="AF119" s="40" t="str">
        <f>IFERROR((IF(OR(AO119=1,AP119=1),"",=IFERROR((IFERROR(IF($AE119=0,"",((Config!$B$6*$Y119 + Config!$B$7*$U119 + Config!$B$8*$Z119 + Config!$B$9*$AA119 + Config!$B$10*$AB119 + Config!$B$11*$AC119 - Config!$B$12*$AD119)/Config!$B$13)+$AK119+$AL119),""))*(1-IFERROR(VLOOKUP(K119,Grinders!$A:$AB, 28, FALSE),0)),"")))*(1+AR119),"")</f>
        <v>#ERROR!</v>
      </c>
      <c r="AG119" s="40" t="str">
        <f t="shared" si="6"/>
        <v>#ERROR!</v>
      </c>
      <c r="AH119" s="40" t="str">
        <f t="shared" si="7"/>
        <v/>
      </c>
      <c r="AI119" s="40" t="str">
        <f t="shared" si="8"/>
        <v/>
      </c>
      <c r="AJ119" s="40" t="str">
        <f>IF($K119="","",COUNTIF(Assignments!$B$6:$B$1000,$K119))</f>
        <v/>
      </c>
      <c r="AK119" s="40" t="str">
        <f>IF($K119="","",IF(AND($AJ119=0,$O119&lt;$N119),Config!$B$43,0))</f>
        <v/>
      </c>
      <c r="AL119" s="40" t="str">
        <f>IF($K119="","",IF(AND($M119="Elite",$G119&gt;=Config!$B$41,$O119&lt;$N119),Config!$B$42,0))</f>
        <v/>
      </c>
      <c r="AM119" s="22"/>
      <c r="AN119" s="39">
        <f>IFERROR(VLOOKUP(K119,Grinders!$A:$Q,28,FALSE),0)</f>
        <v>0</v>
      </c>
      <c r="AO119" s="39">
        <f>IF(Config!$B$1003&lt;&gt;"Y",0,IF(IFERROR(VLOOKUP(K119,Grinders!$A:$P,27,FALSE),0)&gt;=3,IF(OR(G119&gt;=Config!$B$1001,ISNUMBER(SEARCH(E119,Config!$B$1002))),1,0),0))</f>
        <v>0</v>
      </c>
      <c r="AP119" s="39">
        <f t="array" ref="AP119">IFERROR(IF(INDEX(Bids!$AE:$AE,MATCH(B119,Bids!$A:$A,0))="Pending",1,0),0)</f>
        <v>0</v>
      </c>
      <c r="AQ119" s="39" t="str">
        <f t="array" ref="AQ119">IF(C119="","",IFERROR(XLOOKUP(C119,Assignments!$C:$C,Assignments!$AU:$AU,0),0))</f>
        <v/>
      </c>
      <c r="AR119" s="39">
        <f>IF(AND(Config!$B$1006="Y",AQ119=1),Config!$B$1007,0)</f>
        <v>0</v>
      </c>
    </row>
    <row r="120" ht="15.75" customHeight="1">
      <c r="A120" s="46" t="str">
        <f t="shared" si="1"/>
        <v/>
      </c>
      <c r="B120" s="40" t="str">
        <f>IF(Bids!$A119="","",Bids!$A119)</f>
        <v/>
      </c>
      <c r="C120" s="40" t="str">
        <f>IF(Bids!$B119="","",Bids!$B119)</f>
        <v/>
      </c>
      <c r="D120" s="40" t="str">
        <f>IF($C120="","",IFERROR(VLOOKUP($C120,Orders!$A$4:$J$998,9,FALSE),""))</f>
        <v/>
      </c>
      <c r="E120" s="40" t="str">
        <f>IF($C120="","",IFERROR(VLOOKUP($C120,Orders!$A$4:$J$998,3,FALSE),""))</f>
        <v/>
      </c>
      <c r="F120" s="40">
        <f t="shared" si="2"/>
        <v>1</v>
      </c>
      <c r="G120" s="40" t="str">
        <f>IF($C120="","",IFERROR(VLOOKUP($C120,Orders!$A$4:$J$998,4,FALSE),""))</f>
        <v/>
      </c>
      <c r="H120" s="40" t="str">
        <f>IF($C120="","",IFERROR(VLOOKUP($C120,Orders!$A$4:$J$998,5,FALSE),""))</f>
        <v/>
      </c>
      <c r="I120" s="40" t="str">
        <f>IF($C120="","",IFERROR(VLOOKUP($C120,Orders!$A$4:$J$998,6,FALSE),""))</f>
        <v/>
      </c>
      <c r="J120" s="40" t="str">
        <f>IF($C120="","",IFERROR(VLOOKUP($C120,Orders!$A$4:$J$998,7,FALSE),""))</f>
        <v/>
      </c>
      <c r="K120" s="40" t="str">
        <f>IF(Bids!$C119="","",Bids!$C119)</f>
        <v/>
      </c>
      <c r="L120" s="40" t="str">
        <f>IF($K120="","",IFERROR(VLOOKUP($K120,Grinders!$A$4:$N$998,2,FALSE),""))</f>
        <v/>
      </c>
      <c r="M120" s="40" t="str">
        <f>IF($K120="","",IFERROR(VLOOKUP($K120,Grinders!$A$4:$N$998,3,FALSE),""))</f>
        <v/>
      </c>
      <c r="N120" s="40" t="str">
        <f>IF($K120="","",IFERROR(VLOOKUP($K120,Grinders!$A$4:$N$998,4,FALSE),""))</f>
        <v/>
      </c>
      <c r="O120" s="40" t="str">
        <f>IF($K120="","",IFERROR(VLOOKUP($K120,Grinders!$A$4:$N$998,5,FALSE),""))</f>
        <v/>
      </c>
      <c r="P120" s="40" t="str">
        <f>IF($K120="","",IF($C$4="",0,COUNTIFS(Assignments!$B$6:$B$1000,$K120,Assignments!$F$6:$F$1000,$C$4,Assignments!$E$6:$E$1000,"Active")))</f>
        <v/>
      </c>
      <c r="Q120" s="40" t="str">
        <f t="shared" si="3"/>
        <v/>
      </c>
      <c r="R120" s="40" t="str">
        <f t="shared" si="4"/>
        <v/>
      </c>
      <c r="S120" s="40" t="str">
        <f>IF($K120="","",IF($C$4="",0,COUNTIFS(Assignments!$B$6:$B$1000,$K120,Assignments!$F$6:$F$1000,$C$4,Assignments!$D$6:$D$1000,"&gt;="&amp;Config!$B$3-7,Assignments!$D$6:$D$1000,"&lt;="&amp;Config!$B$3)))</f>
        <v/>
      </c>
      <c r="T120" s="40" t="str">
        <f>IF($K120="","",IFERROR(VLOOKUP($K120,Grinders!$A$4:$N$998,8,FALSE),""))</f>
        <v/>
      </c>
      <c r="U120" s="40" t="str">
        <f>IFERROR(IF($K120="","",IF($M120="Elite",MAX(50,MIN(100,Config!$B$27*MAX(0,MIN(100,(1-IF($R120="",0,$R120))*100)) + Config!$B$28*MAX(0,MIN(100,(1-MIN(1,IF(Config!$B$30=0,1,$S120/Config!$B$30)))*100)) + Config!$B$29*MAX(0,MIN(100,MIN(1,IF($T120="",0,$T120)/Config!$B$23)*100)))),MIN(100,Config!$B$27*MAX(0,MIN(100,(1-IF($R120="",0,$R120))*100)) + Config!$B$28*MAX(0,MIN(100,(1-MIN(1,IF(Config!$B$30=0,1,$S120/Config!$B$30)))*100)) + Config!$B$29*MAX(0,MIN(100,MIN(1,IF($T120="",0,$T120)/Config!$B$23)*100))))),"")
</f>
        <v/>
      </c>
      <c r="V120" s="40" t="str">
        <f>IF(Bids!$AC120="","",Bids!$AC120)</f>
        <v/>
      </c>
      <c r="W120" s="40" t="str">
        <f>IF(Bids!$F119="","",Bids!$F119)</f>
        <v/>
      </c>
      <c r="X120" s="40" t="str">
        <f t="shared" si="5"/>
        <v/>
      </c>
      <c r="Y120" s="40" t="str">
        <f>IF($X120="","",IF(Config!$B$17=Config!$B$16,IF($X120&gt;=Config!$B$17,100,0),MAX(0,MIN(100,($X120-Config!$B$16)/(Config!$B$17-Config!$B$16)*100))))</f>
        <v/>
      </c>
      <c r="Z120" s="40">
        <f>IF($M120="Elite",Config!$B$21,0)</f>
        <v>0</v>
      </c>
      <c r="AA120" s="40" t="str">
        <f>IFERROR(IF(OR($W120="",$H120=""),"",IF($W120&gt;$H120,
  MAX(0, 60-(($W120-$H120)*24/Config!$B$19)*60),
  MIN(100, 60+(($H120-$W120)*24/Config!$B$20)*40)
)),"")
</f>
        <v/>
      </c>
      <c r="AB120" s="40" t="str">
        <f>IF($K120="","",IFERROR(VLOOKUP($K120,Grinders!$A$4:$N$998,10,FALSE)/5*100,""))</f>
        <v/>
      </c>
      <c r="AC120" s="40" t="str">
        <f>IF($K120="","",IFERROR(VLOOKUP($K120,Grinders!$A$4:$N$998,11,FALSE)*100,""))</f>
        <v/>
      </c>
      <c r="AD120" s="40" t="str">
        <f>IF($K120="","",IFERROR(VLOOKUP($K120,Grinders!$A$4:$N$998,12,FALSE)*100,""))</f>
        <v/>
      </c>
      <c r="AE120" s="40" t="str">
        <f>IF(OR(AO120=1,AP120=1),0,=IFERROR(IFS(
    OR($C120="", $K120=""), 0,
    $F120=0, 0,
    $D120&lt;&gt;"Open", 0,
    COUNTIFS(GrinderServices!$A$6:$A$1000, $K120, GrinderServices!$B$6:$B$1000, $E120, GrinderServices!$D$6:$D$1000, "Y")=0, 0,
    $X120&lt;Config!$B$16, 0,
    Config!$B$18=1, IF($O120&gt;=N120, 0, 1),
    TRUE, 1
), "")
)</f>
        <v>#ERROR!</v>
      </c>
      <c r="AF120" s="40" t="str">
        <f>IFERROR((IF(OR(AO120=1,AP120=1),"",=IFERROR((IFERROR(IF($AE120=0,"",((Config!$B$6*$Y120 + Config!$B$7*$U120 + Config!$B$8*$Z120 + Config!$B$9*$AA120 + Config!$B$10*$AB120 + Config!$B$11*$AC120 - Config!$B$12*$AD120)/Config!$B$13)+$AK120+$AL120),""))*(1-IFERROR(VLOOKUP(K120,Grinders!$A:$AB, 28, FALSE),0)),"")))*(1+AR120),"")</f>
        <v>#ERROR!</v>
      </c>
      <c r="AG120" s="40" t="str">
        <f t="shared" si="6"/>
        <v>#ERROR!</v>
      </c>
      <c r="AH120" s="40" t="str">
        <f t="shared" si="7"/>
        <v/>
      </c>
      <c r="AI120" s="40" t="str">
        <f t="shared" si="8"/>
        <v/>
      </c>
      <c r="AJ120" s="40" t="str">
        <f>IF($K120="","",COUNTIF(Assignments!$B$6:$B$1000,$K120))</f>
        <v/>
      </c>
      <c r="AK120" s="40" t="str">
        <f>IF($K120="","",IF(AND($AJ120=0,$O120&lt;$N120),Config!$B$43,0))</f>
        <v/>
      </c>
      <c r="AL120" s="40" t="str">
        <f>IF($K120="","",IF(AND($M120="Elite",$G120&gt;=Config!$B$41,$O120&lt;$N120),Config!$B$42,0))</f>
        <v/>
      </c>
      <c r="AM120" s="22"/>
      <c r="AN120" s="39">
        <f>IFERROR(VLOOKUP(K120,Grinders!$A:$Q,28,FALSE),0)</f>
        <v>0</v>
      </c>
      <c r="AO120" s="39">
        <f>IF(Config!$B$1003&lt;&gt;"Y",0,IF(IFERROR(VLOOKUP(K120,Grinders!$A:$P,27,FALSE),0)&gt;=3,IF(OR(G120&gt;=Config!$B$1001,ISNUMBER(SEARCH(E120,Config!$B$1002))),1,0),0))</f>
        <v>0</v>
      </c>
      <c r="AP120" s="39">
        <f t="array" ref="AP120">IFERROR(IF(INDEX(Bids!$AE:$AE,MATCH(B120,Bids!$A:$A,0))="Pending",1,0),0)</f>
        <v>0</v>
      </c>
      <c r="AQ120" s="39" t="str">
        <f t="array" ref="AQ120">IF(C120="","",IFERROR(XLOOKUP(C120,Assignments!$C:$C,Assignments!$AU:$AU,0),0))</f>
        <v/>
      </c>
      <c r="AR120" s="39">
        <f>IF(AND(Config!$B$1006="Y",AQ120=1),Config!$B$1007,0)</f>
        <v>0</v>
      </c>
    </row>
    <row r="121" ht="15.75" customHeight="1">
      <c r="A121" s="46" t="str">
        <f t="shared" si="1"/>
        <v/>
      </c>
      <c r="B121" s="40" t="str">
        <f>IF(Bids!$A120="","",Bids!$A120)</f>
        <v/>
      </c>
      <c r="C121" s="40" t="str">
        <f>IF(Bids!$B120="","",Bids!$B120)</f>
        <v/>
      </c>
      <c r="D121" s="40" t="str">
        <f>IF($C121="","",IFERROR(VLOOKUP($C121,Orders!$A$4:$J$998,9,FALSE),""))</f>
        <v/>
      </c>
      <c r="E121" s="40" t="str">
        <f>IF($C121="","",IFERROR(VLOOKUP($C121,Orders!$A$4:$J$998,3,FALSE),""))</f>
        <v/>
      </c>
      <c r="F121" s="40">
        <f t="shared" si="2"/>
        <v>1</v>
      </c>
      <c r="G121" s="40" t="str">
        <f>IF($C121="","",IFERROR(VLOOKUP($C121,Orders!$A$4:$J$998,4,FALSE),""))</f>
        <v/>
      </c>
      <c r="H121" s="40" t="str">
        <f>IF($C121="","",IFERROR(VLOOKUP($C121,Orders!$A$4:$J$998,5,FALSE),""))</f>
        <v/>
      </c>
      <c r="I121" s="40" t="str">
        <f>IF($C121="","",IFERROR(VLOOKUP($C121,Orders!$A$4:$J$998,6,FALSE),""))</f>
        <v/>
      </c>
      <c r="J121" s="40" t="str">
        <f>IF($C121="","",IFERROR(VLOOKUP($C121,Orders!$A$4:$J$998,7,FALSE),""))</f>
        <v/>
      </c>
      <c r="K121" s="40" t="str">
        <f>IF(Bids!$C120="","",Bids!$C120)</f>
        <v/>
      </c>
      <c r="L121" s="40" t="str">
        <f>IF($K121="","",IFERROR(VLOOKUP($K121,Grinders!$A$4:$N$998,2,FALSE),""))</f>
        <v/>
      </c>
      <c r="M121" s="40" t="str">
        <f>IF($K121="","",IFERROR(VLOOKUP($K121,Grinders!$A$4:$N$998,3,FALSE),""))</f>
        <v/>
      </c>
      <c r="N121" s="40" t="str">
        <f>IF($K121="","",IFERROR(VLOOKUP($K121,Grinders!$A$4:$N$998,4,FALSE),""))</f>
        <v/>
      </c>
      <c r="O121" s="40" t="str">
        <f>IF($K121="","",IFERROR(VLOOKUP($K121,Grinders!$A$4:$N$998,5,FALSE),""))</f>
        <v/>
      </c>
      <c r="P121" s="40" t="str">
        <f>IF($K121="","",IF($C$4="",0,COUNTIFS(Assignments!$B$6:$B$1000,$K121,Assignments!$F$6:$F$1000,$C$4,Assignments!$E$6:$E$1000,"Active")))</f>
        <v/>
      </c>
      <c r="Q121" s="40" t="str">
        <f t="shared" si="3"/>
        <v/>
      </c>
      <c r="R121" s="40" t="str">
        <f t="shared" si="4"/>
        <v/>
      </c>
      <c r="S121" s="40" t="str">
        <f>IF($K121="","",IF($C$4="",0,COUNTIFS(Assignments!$B$6:$B$1000,$K121,Assignments!$F$6:$F$1000,$C$4,Assignments!$D$6:$D$1000,"&gt;="&amp;Config!$B$3-7,Assignments!$D$6:$D$1000,"&lt;="&amp;Config!$B$3)))</f>
        <v/>
      </c>
      <c r="T121" s="40" t="str">
        <f>IF($K121="","",IFERROR(VLOOKUP($K121,Grinders!$A$4:$N$998,8,FALSE),""))</f>
        <v/>
      </c>
      <c r="U121" s="40" t="str">
        <f>IFERROR(IF($K121="","",IF($M121="Elite",MAX(50,MIN(100,Config!$B$27*MAX(0,MIN(100,(1-IF($R121="",0,$R121))*100)) + Config!$B$28*MAX(0,MIN(100,(1-MIN(1,IF(Config!$B$30=0,1,$S121/Config!$B$30)))*100)) + Config!$B$29*MAX(0,MIN(100,MIN(1,IF($T121="",0,$T121)/Config!$B$23)*100)))),MIN(100,Config!$B$27*MAX(0,MIN(100,(1-IF($R121="",0,$R121))*100)) + Config!$B$28*MAX(0,MIN(100,(1-MIN(1,IF(Config!$B$30=0,1,$S121/Config!$B$30)))*100)) + Config!$B$29*MAX(0,MIN(100,MIN(1,IF($T121="",0,$T121)/Config!$B$23)*100))))),"")
</f>
        <v/>
      </c>
      <c r="V121" s="40" t="str">
        <f>IF(Bids!$AC121="","",Bids!$AC121)</f>
        <v/>
      </c>
      <c r="W121" s="40" t="str">
        <f>IF(Bids!$F120="","",Bids!$F120)</f>
        <v/>
      </c>
      <c r="X121" s="40" t="str">
        <f t="shared" si="5"/>
        <v/>
      </c>
      <c r="Y121" s="40" t="str">
        <f>IF($X121="","",IF(Config!$B$17=Config!$B$16,IF($X121&gt;=Config!$B$17,100,0),MAX(0,MIN(100,($X121-Config!$B$16)/(Config!$B$17-Config!$B$16)*100))))</f>
        <v/>
      </c>
      <c r="Z121" s="40">
        <f>IF($M121="Elite",Config!$B$21,0)</f>
        <v>0</v>
      </c>
      <c r="AA121" s="40" t="str">
        <f>IFERROR(IF(OR($W121="",$H121=""),"",IF($W121&gt;$H121,
  MAX(0, 60-(($W121-$H121)*24/Config!$B$19)*60),
  MIN(100, 60+(($H121-$W121)*24/Config!$B$20)*40)
)),"")
</f>
        <v/>
      </c>
      <c r="AB121" s="40" t="str">
        <f>IF($K121="","",IFERROR(VLOOKUP($K121,Grinders!$A$4:$N$998,10,FALSE)/5*100,""))</f>
        <v/>
      </c>
      <c r="AC121" s="40" t="str">
        <f>IF($K121="","",IFERROR(VLOOKUP($K121,Grinders!$A$4:$N$998,11,FALSE)*100,""))</f>
        <v/>
      </c>
      <c r="AD121" s="40" t="str">
        <f>IF($K121="","",IFERROR(VLOOKUP($K121,Grinders!$A$4:$N$998,12,FALSE)*100,""))</f>
        <v/>
      </c>
      <c r="AE121" s="40" t="str">
        <f>IF(OR(AO121=1,AP121=1),0,=IFERROR(IFS(
    OR($C121="", $K121=""), 0,
    $F121=0, 0,
    $D121&lt;&gt;"Open", 0,
    COUNTIFS(GrinderServices!$A$6:$A$1000, $K121, GrinderServices!$B$6:$B$1000, $E121, GrinderServices!$D$6:$D$1000, "Y")=0, 0,
    $X121&lt;Config!$B$16, 0,
    Config!$B$18=1, IF($O121&gt;=N121, 0, 1),
    TRUE, 1
), "")
)</f>
        <v>#ERROR!</v>
      </c>
      <c r="AF121" s="40" t="str">
        <f>IFERROR((IF(OR(AO121=1,AP121=1),"",=IFERROR((IFERROR(IF($AE121=0,"",((Config!$B$6*$Y121 + Config!$B$7*$U121 + Config!$B$8*$Z121 + Config!$B$9*$AA121 + Config!$B$10*$AB121 + Config!$B$11*$AC121 - Config!$B$12*$AD121)/Config!$B$13)+$AK121+$AL121),""))*(1-IFERROR(VLOOKUP(K121,Grinders!$A:$AB, 28, FALSE),0)),"")))*(1+AR121),"")</f>
        <v>#ERROR!</v>
      </c>
      <c r="AG121" s="40" t="str">
        <f t="shared" si="6"/>
        <v>#ERROR!</v>
      </c>
      <c r="AH121" s="40" t="str">
        <f t="shared" si="7"/>
        <v/>
      </c>
      <c r="AI121" s="40" t="str">
        <f t="shared" si="8"/>
        <v/>
      </c>
      <c r="AJ121" s="40" t="str">
        <f>IF($K121="","",COUNTIF(Assignments!$B$6:$B$1000,$K121))</f>
        <v/>
      </c>
      <c r="AK121" s="40" t="str">
        <f>IF($K121="","",IF(AND($AJ121=0,$O121&lt;$N121),Config!$B$43,0))</f>
        <v/>
      </c>
      <c r="AL121" s="40" t="str">
        <f>IF($K121="","",IF(AND($M121="Elite",$G121&gt;=Config!$B$41,$O121&lt;$N121),Config!$B$42,0))</f>
        <v/>
      </c>
      <c r="AM121" s="22"/>
      <c r="AN121" s="39">
        <f>IFERROR(VLOOKUP(K121,Grinders!$A:$Q,28,FALSE),0)</f>
        <v>0</v>
      </c>
      <c r="AO121" s="39">
        <f>IF(Config!$B$1003&lt;&gt;"Y",0,IF(IFERROR(VLOOKUP(K121,Grinders!$A:$P,27,FALSE),0)&gt;=3,IF(OR(G121&gt;=Config!$B$1001,ISNUMBER(SEARCH(E121,Config!$B$1002))),1,0),0))</f>
        <v>0</v>
      </c>
      <c r="AP121" s="39">
        <f t="array" ref="AP121">IFERROR(IF(INDEX(Bids!$AE:$AE,MATCH(B121,Bids!$A:$A,0))="Pending",1,0),0)</f>
        <v>0</v>
      </c>
      <c r="AQ121" s="39" t="str">
        <f t="array" ref="AQ121">IF(C121="","",IFERROR(XLOOKUP(C121,Assignments!$C:$C,Assignments!$AU:$AU,0),0))</f>
        <v/>
      </c>
      <c r="AR121" s="39">
        <f>IF(AND(Config!$B$1006="Y",AQ121=1),Config!$B$1007,0)</f>
        <v>0</v>
      </c>
    </row>
    <row r="122" ht="15.75" customHeight="1">
      <c r="A122" s="46" t="str">
        <f t="shared" si="1"/>
        <v/>
      </c>
      <c r="B122" s="40" t="str">
        <f>IF(Bids!$A121="","",Bids!$A121)</f>
        <v/>
      </c>
      <c r="C122" s="40" t="str">
        <f>IF(Bids!$B121="","",Bids!$B121)</f>
        <v/>
      </c>
      <c r="D122" s="40" t="str">
        <f>IF($C122="","",IFERROR(VLOOKUP($C122,Orders!$A$4:$J$998,9,FALSE),""))</f>
        <v/>
      </c>
      <c r="E122" s="40" t="str">
        <f>IF($C122="","",IFERROR(VLOOKUP($C122,Orders!$A$4:$J$998,3,FALSE),""))</f>
        <v/>
      </c>
      <c r="F122" s="40">
        <f t="shared" si="2"/>
        <v>1</v>
      </c>
      <c r="G122" s="40" t="str">
        <f>IF($C122="","",IFERROR(VLOOKUP($C122,Orders!$A$4:$J$998,4,FALSE),""))</f>
        <v/>
      </c>
      <c r="H122" s="40" t="str">
        <f>IF($C122="","",IFERROR(VLOOKUP($C122,Orders!$A$4:$J$998,5,FALSE),""))</f>
        <v/>
      </c>
      <c r="I122" s="40" t="str">
        <f>IF($C122="","",IFERROR(VLOOKUP($C122,Orders!$A$4:$J$998,6,FALSE),""))</f>
        <v/>
      </c>
      <c r="J122" s="40" t="str">
        <f>IF($C122="","",IFERROR(VLOOKUP($C122,Orders!$A$4:$J$998,7,FALSE),""))</f>
        <v/>
      </c>
      <c r="K122" s="40" t="str">
        <f>IF(Bids!$C121="","",Bids!$C121)</f>
        <v/>
      </c>
      <c r="L122" s="40" t="str">
        <f>IF($K122="","",IFERROR(VLOOKUP($K122,Grinders!$A$4:$N$998,2,FALSE),""))</f>
        <v/>
      </c>
      <c r="M122" s="40" t="str">
        <f>IF($K122="","",IFERROR(VLOOKUP($K122,Grinders!$A$4:$N$998,3,FALSE),""))</f>
        <v/>
      </c>
      <c r="N122" s="40" t="str">
        <f>IF($K122="","",IFERROR(VLOOKUP($K122,Grinders!$A$4:$N$998,4,FALSE),""))</f>
        <v/>
      </c>
      <c r="O122" s="40" t="str">
        <f>IF($K122="","",IFERROR(VLOOKUP($K122,Grinders!$A$4:$N$998,5,FALSE),""))</f>
        <v/>
      </c>
      <c r="P122" s="40" t="str">
        <f>IF($K122="","",IF($C$4="",0,COUNTIFS(Assignments!$B$6:$B$1000,$K122,Assignments!$F$6:$F$1000,$C$4,Assignments!$E$6:$E$1000,"Active")))</f>
        <v/>
      </c>
      <c r="Q122" s="40" t="str">
        <f t="shared" si="3"/>
        <v/>
      </c>
      <c r="R122" s="40" t="str">
        <f t="shared" si="4"/>
        <v/>
      </c>
      <c r="S122" s="40" t="str">
        <f>IF($K122="","",IF($C$4="",0,COUNTIFS(Assignments!$B$6:$B$1000,$K122,Assignments!$F$6:$F$1000,$C$4,Assignments!$D$6:$D$1000,"&gt;="&amp;Config!$B$3-7,Assignments!$D$6:$D$1000,"&lt;="&amp;Config!$B$3)))</f>
        <v/>
      </c>
      <c r="T122" s="40" t="str">
        <f>IF($K122="","",IFERROR(VLOOKUP($K122,Grinders!$A$4:$N$998,8,FALSE),""))</f>
        <v/>
      </c>
      <c r="U122" s="40" t="str">
        <f>IFERROR(IF($K122="","",IF($M122="Elite",MAX(50,MIN(100,Config!$B$27*MAX(0,MIN(100,(1-IF($R122="",0,$R122))*100)) + Config!$B$28*MAX(0,MIN(100,(1-MIN(1,IF(Config!$B$30=0,1,$S122/Config!$B$30)))*100)) + Config!$B$29*MAX(0,MIN(100,MIN(1,IF($T122="",0,$T122)/Config!$B$23)*100)))),MIN(100,Config!$B$27*MAX(0,MIN(100,(1-IF($R122="",0,$R122))*100)) + Config!$B$28*MAX(0,MIN(100,(1-MIN(1,IF(Config!$B$30=0,1,$S122/Config!$B$30)))*100)) + Config!$B$29*MAX(0,MIN(100,MIN(1,IF($T122="",0,$T122)/Config!$B$23)*100))))),"")
</f>
        <v/>
      </c>
      <c r="V122" s="40" t="str">
        <f>IF(Bids!$AC122="","",Bids!$AC122)</f>
        <v/>
      </c>
      <c r="W122" s="40" t="str">
        <f>IF(Bids!$F121="","",Bids!$F121)</f>
        <v/>
      </c>
      <c r="X122" s="40" t="str">
        <f t="shared" si="5"/>
        <v/>
      </c>
      <c r="Y122" s="40" t="str">
        <f>IF($X122="","",IF(Config!$B$17=Config!$B$16,IF($X122&gt;=Config!$B$17,100,0),MAX(0,MIN(100,($X122-Config!$B$16)/(Config!$B$17-Config!$B$16)*100))))</f>
        <v/>
      </c>
      <c r="Z122" s="40">
        <f>IF($M122="Elite",Config!$B$21,0)</f>
        <v>0</v>
      </c>
      <c r="AA122" s="40" t="str">
        <f>IFERROR(IF(OR($W122="",$H122=""),"",IF($W122&gt;$H122,
  MAX(0, 60-(($W122-$H122)*24/Config!$B$19)*60),
  MIN(100, 60+(($H122-$W122)*24/Config!$B$20)*40)
)),"")
</f>
        <v/>
      </c>
      <c r="AB122" s="40" t="str">
        <f>IF($K122="","",IFERROR(VLOOKUP($K122,Grinders!$A$4:$N$998,10,FALSE)/5*100,""))</f>
        <v/>
      </c>
      <c r="AC122" s="40" t="str">
        <f>IF($K122="","",IFERROR(VLOOKUP($K122,Grinders!$A$4:$N$998,11,FALSE)*100,""))</f>
        <v/>
      </c>
      <c r="AD122" s="40" t="str">
        <f>IF($K122="","",IFERROR(VLOOKUP($K122,Grinders!$A$4:$N$998,12,FALSE)*100,""))</f>
        <v/>
      </c>
      <c r="AE122" s="40" t="str">
        <f>IF(OR(AO122=1,AP122=1),0,=IFERROR(IFS(
    OR($C122="", $K122=""), 0,
    $F122=0, 0,
    $D122&lt;&gt;"Open", 0,
    COUNTIFS(GrinderServices!$A$6:$A$1000, $K122, GrinderServices!$B$6:$B$1000, $E122, GrinderServices!$D$6:$D$1000, "Y")=0, 0,
    $X122&lt;Config!$B$16, 0,
    Config!$B$18=1, IF($O122&gt;=N122, 0, 1),
    TRUE, 1
), "")
)</f>
        <v>#ERROR!</v>
      </c>
      <c r="AF122" s="40" t="str">
        <f>IFERROR((IF(OR(AO122=1,AP122=1),"",=IFERROR((IFERROR(IF($AE122=0,"",((Config!$B$6*$Y122 + Config!$B$7*$U122 + Config!$B$8*$Z122 + Config!$B$9*$AA122 + Config!$B$10*$AB122 + Config!$B$11*$AC122 - Config!$B$12*$AD122)/Config!$B$13)+$AK122+$AL122),""))*(1-IFERROR(VLOOKUP(K122,Grinders!$A:$AB, 28, FALSE),0)),"")))*(1+AR122),"")</f>
        <v>#ERROR!</v>
      </c>
      <c r="AG122" s="40" t="str">
        <f t="shared" si="6"/>
        <v>#ERROR!</v>
      </c>
      <c r="AH122" s="40" t="str">
        <f t="shared" si="7"/>
        <v/>
      </c>
      <c r="AI122" s="40" t="str">
        <f t="shared" si="8"/>
        <v/>
      </c>
      <c r="AJ122" s="40" t="str">
        <f>IF($K122="","",COUNTIF(Assignments!$B$6:$B$1000,$K122))</f>
        <v/>
      </c>
      <c r="AK122" s="40" t="str">
        <f>IF($K122="","",IF(AND($AJ122=0,$O122&lt;$N122),Config!$B$43,0))</f>
        <v/>
      </c>
      <c r="AL122" s="40" t="str">
        <f>IF($K122="","",IF(AND($M122="Elite",$G122&gt;=Config!$B$41,$O122&lt;$N122),Config!$B$42,0))</f>
        <v/>
      </c>
      <c r="AM122" s="22"/>
      <c r="AN122" s="39">
        <f>IFERROR(VLOOKUP(K122,Grinders!$A:$Q,28,FALSE),0)</f>
        <v>0</v>
      </c>
      <c r="AO122" s="39">
        <f>IF(Config!$B$1003&lt;&gt;"Y",0,IF(IFERROR(VLOOKUP(K122,Grinders!$A:$P,27,FALSE),0)&gt;=3,IF(OR(G122&gt;=Config!$B$1001,ISNUMBER(SEARCH(E122,Config!$B$1002))),1,0),0))</f>
        <v>0</v>
      </c>
      <c r="AP122" s="39">
        <f t="array" ref="AP122">IFERROR(IF(INDEX(Bids!$AE:$AE,MATCH(B122,Bids!$A:$A,0))="Pending",1,0),0)</f>
        <v>0</v>
      </c>
      <c r="AQ122" s="39" t="str">
        <f t="array" ref="AQ122">IF(C122="","",IFERROR(XLOOKUP(C122,Assignments!$C:$C,Assignments!$AU:$AU,0),0))</f>
        <v/>
      </c>
      <c r="AR122" s="39">
        <f>IF(AND(Config!$B$1006="Y",AQ122=1),Config!$B$1007,0)</f>
        <v>0</v>
      </c>
    </row>
    <row r="123" ht="15.75" customHeight="1">
      <c r="A123" s="46" t="str">
        <f t="shared" si="1"/>
        <v/>
      </c>
      <c r="B123" s="40" t="str">
        <f>IF(Bids!$A122="","",Bids!$A122)</f>
        <v/>
      </c>
      <c r="C123" s="40" t="str">
        <f>IF(Bids!$B122="","",Bids!$B122)</f>
        <v/>
      </c>
      <c r="D123" s="40" t="str">
        <f>IF($C123="","",IFERROR(VLOOKUP($C123,Orders!$A$4:$J$998,9,FALSE),""))</f>
        <v/>
      </c>
      <c r="E123" s="40" t="str">
        <f>IF($C123="","",IFERROR(VLOOKUP($C123,Orders!$A$4:$J$998,3,FALSE),""))</f>
        <v/>
      </c>
      <c r="F123" s="40">
        <f t="shared" si="2"/>
        <v>1</v>
      </c>
      <c r="G123" s="40" t="str">
        <f>IF($C123="","",IFERROR(VLOOKUP($C123,Orders!$A$4:$J$998,4,FALSE),""))</f>
        <v/>
      </c>
      <c r="H123" s="40" t="str">
        <f>IF($C123="","",IFERROR(VLOOKUP($C123,Orders!$A$4:$J$998,5,FALSE),""))</f>
        <v/>
      </c>
      <c r="I123" s="40" t="str">
        <f>IF($C123="","",IFERROR(VLOOKUP($C123,Orders!$A$4:$J$998,6,FALSE),""))</f>
        <v/>
      </c>
      <c r="J123" s="40" t="str">
        <f>IF($C123="","",IFERROR(VLOOKUP($C123,Orders!$A$4:$J$998,7,FALSE),""))</f>
        <v/>
      </c>
      <c r="K123" s="40" t="str">
        <f>IF(Bids!$C122="","",Bids!$C122)</f>
        <v/>
      </c>
      <c r="L123" s="40" t="str">
        <f>IF($K123="","",IFERROR(VLOOKUP($K123,Grinders!$A$4:$N$998,2,FALSE),""))</f>
        <v/>
      </c>
      <c r="M123" s="40" t="str">
        <f>IF($K123="","",IFERROR(VLOOKUP($K123,Grinders!$A$4:$N$998,3,FALSE),""))</f>
        <v/>
      </c>
      <c r="N123" s="40" t="str">
        <f>IF($K123="","",IFERROR(VLOOKUP($K123,Grinders!$A$4:$N$998,4,FALSE),""))</f>
        <v/>
      </c>
      <c r="O123" s="40" t="str">
        <f>IF($K123="","",IFERROR(VLOOKUP($K123,Grinders!$A$4:$N$998,5,FALSE),""))</f>
        <v/>
      </c>
      <c r="P123" s="40" t="str">
        <f>IF($K123="","",IF($C$4="",0,COUNTIFS(Assignments!$B$6:$B$1000,$K123,Assignments!$F$6:$F$1000,$C$4,Assignments!$E$6:$E$1000,"Active")))</f>
        <v/>
      </c>
      <c r="Q123" s="40" t="str">
        <f t="shared" si="3"/>
        <v/>
      </c>
      <c r="R123" s="40" t="str">
        <f t="shared" si="4"/>
        <v/>
      </c>
      <c r="S123" s="40" t="str">
        <f>IF($K123="","",IF($C$4="",0,COUNTIFS(Assignments!$B$6:$B$1000,$K123,Assignments!$F$6:$F$1000,$C$4,Assignments!$D$6:$D$1000,"&gt;="&amp;Config!$B$3-7,Assignments!$D$6:$D$1000,"&lt;="&amp;Config!$B$3)))</f>
        <v/>
      </c>
      <c r="T123" s="40" t="str">
        <f>IF($K123="","",IFERROR(VLOOKUP($K123,Grinders!$A$4:$N$998,8,FALSE),""))</f>
        <v/>
      </c>
      <c r="U123" s="40" t="str">
        <f>IFERROR(IF($K123="","",IF($M123="Elite",MAX(50,MIN(100,Config!$B$27*MAX(0,MIN(100,(1-IF($R123="",0,$R123))*100)) + Config!$B$28*MAX(0,MIN(100,(1-MIN(1,IF(Config!$B$30=0,1,$S123/Config!$B$30)))*100)) + Config!$B$29*MAX(0,MIN(100,MIN(1,IF($T123="",0,$T123)/Config!$B$23)*100)))),MIN(100,Config!$B$27*MAX(0,MIN(100,(1-IF($R123="",0,$R123))*100)) + Config!$B$28*MAX(0,MIN(100,(1-MIN(1,IF(Config!$B$30=0,1,$S123/Config!$B$30)))*100)) + Config!$B$29*MAX(0,MIN(100,MIN(1,IF($T123="",0,$T123)/Config!$B$23)*100))))),"")
</f>
        <v/>
      </c>
      <c r="V123" s="40" t="str">
        <f>IF(Bids!$AC123="","",Bids!$AC123)</f>
        <v/>
      </c>
      <c r="W123" s="40" t="str">
        <f>IF(Bids!$F122="","",Bids!$F122)</f>
        <v/>
      </c>
      <c r="X123" s="40" t="str">
        <f t="shared" si="5"/>
        <v/>
      </c>
      <c r="Y123" s="40" t="str">
        <f>IF($X123="","",IF(Config!$B$17=Config!$B$16,IF($X123&gt;=Config!$B$17,100,0),MAX(0,MIN(100,($X123-Config!$B$16)/(Config!$B$17-Config!$B$16)*100))))</f>
        <v/>
      </c>
      <c r="Z123" s="40">
        <f>IF($M123="Elite",Config!$B$21,0)</f>
        <v>0</v>
      </c>
      <c r="AA123" s="40" t="str">
        <f>IFERROR(IF(OR($W123="",$H123=""),"",IF($W123&gt;$H123,
  MAX(0, 60-(($W123-$H123)*24/Config!$B$19)*60),
  MIN(100, 60+(($H123-$W123)*24/Config!$B$20)*40)
)),"")
</f>
        <v/>
      </c>
      <c r="AB123" s="40" t="str">
        <f>IF($K123="","",IFERROR(VLOOKUP($K123,Grinders!$A$4:$N$998,10,FALSE)/5*100,""))</f>
        <v/>
      </c>
      <c r="AC123" s="40" t="str">
        <f>IF($K123="","",IFERROR(VLOOKUP($K123,Grinders!$A$4:$N$998,11,FALSE)*100,""))</f>
        <v/>
      </c>
      <c r="AD123" s="40" t="str">
        <f>IF($K123="","",IFERROR(VLOOKUP($K123,Grinders!$A$4:$N$998,12,FALSE)*100,""))</f>
        <v/>
      </c>
      <c r="AE123" s="40" t="str">
        <f>IF(OR(AO123=1,AP123=1),0,=IFERROR(IFS(
    OR($C123="", $K123=""), 0,
    $F123=0, 0,
    $D123&lt;&gt;"Open", 0,
    COUNTIFS(GrinderServices!$A$6:$A$1000, $K123, GrinderServices!$B$6:$B$1000, $E123, GrinderServices!$D$6:$D$1000, "Y")=0, 0,
    $X123&lt;Config!$B$16, 0,
    Config!$B$18=1, IF($O123&gt;=N123, 0, 1),
    TRUE, 1
), "")
)</f>
        <v>#ERROR!</v>
      </c>
      <c r="AF123" s="40" t="str">
        <f>IFERROR((IF(OR(AO123=1,AP123=1),"",=IFERROR((IFERROR(IF($AE123=0,"",((Config!$B$6*$Y123 + Config!$B$7*$U123 + Config!$B$8*$Z123 + Config!$B$9*$AA123 + Config!$B$10*$AB123 + Config!$B$11*$AC123 - Config!$B$12*$AD123)/Config!$B$13)+$AK123+$AL123),""))*(1-IFERROR(VLOOKUP(K123,Grinders!$A:$AB, 28, FALSE),0)),"")))*(1+AR123),"")</f>
        <v>#ERROR!</v>
      </c>
      <c r="AG123" s="40" t="str">
        <f t="shared" si="6"/>
        <v>#ERROR!</v>
      </c>
      <c r="AH123" s="40" t="str">
        <f t="shared" si="7"/>
        <v/>
      </c>
      <c r="AI123" s="40" t="str">
        <f t="shared" si="8"/>
        <v/>
      </c>
      <c r="AJ123" s="40" t="str">
        <f>IF($K123="","",COUNTIF(Assignments!$B$6:$B$1000,$K123))</f>
        <v/>
      </c>
      <c r="AK123" s="40" t="str">
        <f>IF($K123="","",IF(AND($AJ123=0,$O123&lt;$N123),Config!$B$43,0))</f>
        <v/>
      </c>
      <c r="AL123" s="40" t="str">
        <f>IF($K123="","",IF(AND($M123="Elite",$G123&gt;=Config!$B$41,$O123&lt;$N123),Config!$B$42,0))</f>
        <v/>
      </c>
      <c r="AM123" s="22"/>
      <c r="AN123" s="39">
        <f>IFERROR(VLOOKUP(K123,Grinders!$A:$Q,28,FALSE),0)</f>
        <v>0</v>
      </c>
      <c r="AO123" s="39">
        <f>IF(Config!$B$1003&lt;&gt;"Y",0,IF(IFERROR(VLOOKUP(K123,Grinders!$A:$P,27,FALSE),0)&gt;=3,IF(OR(G123&gt;=Config!$B$1001,ISNUMBER(SEARCH(E123,Config!$B$1002))),1,0),0))</f>
        <v>0</v>
      </c>
      <c r="AP123" s="39">
        <f t="array" ref="AP123">IFERROR(IF(INDEX(Bids!$AE:$AE,MATCH(B123,Bids!$A:$A,0))="Pending",1,0),0)</f>
        <v>0</v>
      </c>
      <c r="AQ123" s="39" t="str">
        <f t="array" ref="AQ123">IF(C123="","",IFERROR(XLOOKUP(C123,Assignments!$C:$C,Assignments!$AU:$AU,0),0))</f>
        <v/>
      </c>
      <c r="AR123" s="39">
        <f>IF(AND(Config!$B$1006="Y",AQ123=1),Config!$B$1007,0)</f>
        <v>0</v>
      </c>
    </row>
    <row r="124" ht="15.75" customHeight="1">
      <c r="A124" s="46" t="str">
        <f t="shared" si="1"/>
        <v/>
      </c>
      <c r="B124" s="40" t="str">
        <f>IF(Bids!$A123="","",Bids!$A123)</f>
        <v/>
      </c>
      <c r="C124" s="40" t="str">
        <f>IF(Bids!$B123="","",Bids!$B123)</f>
        <v/>
      </c>
      <c r="D124" s="40" t="str">
        <f>IF($C124="","",IFERROR(VLOOKUP($C124,Orders!$A$4:$J$998,9,FALSE),""))</f>
        <v/>
      </c>
      <c r="E124" s="40" t="str">
        <f>IF($C124="","",IFERROR(VLOOKUP($C124,Orders!$A$4:$J$998,3,FALSE),""))</f>
        <v/>
      </c>
      <c r="F124" s="40">
        <f t="shared" si="2"/>
        <v>1</v>
      </c>
      <c r="G124" s="40" t="str">
        <f>IF($C124="","",IFERROR(VLOOKUP($C124,Orders!$A$4:$J$998,4,FALSE),""))</f>
        <v/>
      </c>
      <c r="H124" s="40" t="str">
        <f>IF($C124="","",IFERROR(VLOOKUP($C124,Orders!$A$4:$J$998,5,FALSE),""))</f>
        <v/>
      </c>
      <c r="I124" s="40" t="str">
        <f>IF($C124="","",IFERROR(VLOOKUP($C124,Orders!$A$4:$J$998,6,FALSE),""))</f>
        <v/>
      </c>
      <c r="J124" s="40" t="str">
        <f>IF($C124="","",IFERROR(VLOOKUP($C124,Orders!$A$4:$J$998,7,FALSE),""))</f>
        <v/>
      </c>
      <c r="K124" s="40" t="str">
        <f>IF(Bids!$C123="","",Bids!$C123)</f>
        <v/>
      </c>
      <c r="L124" s="40" t="str">
        <f>IF($K124="","",IFERROR(VLOOKUP($K124,Grinders!$A$4:$N$998,2,FALSE),""))</f>
        <v/>
      </c>
      <c r="M124" s="40" t="str">
        <f>IF($K124="","",IFERROR(VLOOKUP($K124,Grinders!$A$4:$N$998,3,FALSE),""))</f>
        <v/>
      </c>
      <c r="N124" s="40" t="str">
        <f>IF($K124="","",IFERROR(VLOOKUP($K124,Grinders!$A$4:$N$998,4,FALSE),""))</f>
        <v/>
      </c>
      <c r="O124" s="40" t="str">
        <f>IF($K124="","",IFERROR(VLOOKUP($K124,Grinders!$A$4:$N$998,5,FALSE),""))</f>
        <v/>
      </c>
      <c r="P124" s="40" t="str">
        <f>IF($K124="","",IF($C$4="",0,COUNTIFS(Assignments!$B$6:$B$1000,$K124,Assignments!$F$6:$F$1000,$C$4,Assignments!$E$6:$E$1000,"Active")))</f>
        <v/>
      </c>
      <c r="Q124" s="40" t="str">
        <f t="shared" si="3"/>
        <v/>
      </c>
      <c r="R124" s="40" t="str">
        <f t="shared" si="4"/>
        <v/>
      </c>
      <c r="S124" s="40" t="str">
        <f>IF($K124="","",IF($C$4="",0,COUNTIFS(Assignments!$B$6:$B$1000,$K124,Assignments!$F$6:$F$1000,$C$4,Assignments!$D$6:$D$1000,"&gt;="&amp;Config!$B$3-7,Assignments!$D$6:$D$1000,"&lt;="&amp;Config!$B$3)))</f>
        <v/>
      </c>
      <c r="T124" s="40" t="str">
        <f>IF($K124="","",IFERROR(VLOOKUP($K124,Grinders!$A$4:$N$998,8,FALSE),""))</f>
        <v/>
      </c>
      <c r="U124" s="40" t="str">
        <f>IFERROR(IF($K124="","",IF($M124="Elite",MAX(50,MIN(100,Config!$B$27*MAX(0,MIN(100,(1-IF($R124="",0,$R124))*100)) + Config!$B$28*MAX(0,MIN(100,(1-MIN(1,IF(Config!$B$30=0,1,$S124/Config!$B$30)))*100)) + Config!$B$29*MAX(0,MIN(100,MIN(1,IF($T124="",0,$T124)/Config!$B$23)*100)))),MIN(100,Config!$B$27*MAX(0,MIN(100,(1-IF($R124="",0,$R124))*100)) + Config!$B$28*MAX(0,MIN(100,(1-MIN(1,IF(Config!$B$30=0,1,$S124/Config!$B$30)))*100)) + Config!$B$29*MAX(0,MIN(100,MIN(1,IF($T124="",0,$T124)/Config!$B$23)*100))))),"")
</f>
        <v/>
      </c>
      <c r="V124" s="40" t="str">
        <f>IF(Bids!$AC124="","",Bids!$AC124)</f>
        <v/>
      </c>
      <c r="W124" s="40" t="str">
        <f>IF(Bids!$F123="","",Bids!$F123)</f>
        <v/>
      </c>
      <c r="X124" s="40" t="str">
        <f t="shared" si="5"/>
        <v/>
      </c>
      <c r="Y124" s="40" t="str">
        <f>IF($X124="","",IF(Config!$B$17=Config!$B$16,IF($X124&gt;=Config!$B$17,100,0),MAX(0,MIN(100,($X124-Config!$B$16)/(Config!$B$17-Config!$B$16)*100))))</f>
        <v/>
      </c>
      <c r="Z124" s="40">
        <f>IF($M124="Elite",Config!$B$21,0)</f>
        <v>0</v>
      </c>
      <c r="AA124" s="40" t="str">
        <f>IFERROR(IF(OR($W124="",$H124=""),"",IF($W124&gt;$H124,
  MAX(0, 60-(($W124-$H124)*24/Config!$B$19)*60),
  MIN(100, 60+(($H124-$W124)*24/Config!$B$20)*40)
)),"")
</f>
        <v/>
      </c>
      <c r="AB124" s="40" t="str">
        <f>IF($K124="","",IFERROR(VLOOKUP($K124,Grinders!$A$4:$N$998,10,FALSE)/5*100,""))</f>
        <v/>
      </c>
      <c r="AC124" s="40" t="str">
        <f>IF($K124="","",IFERROR(VLOOKUP($K124,Grinders!$A$4:$N$998,11,FALSE)*100,""))</f>
        <v/>
      </c>
      <c r="AD124" s="40" t="str">
        <f>IF($K124="","",IFERROR(VLOOKUP($K124,Grinders!$A$4:$N$998,12,FALSE)*100,""))</f>
        <v/>
      </c>
      <c r="AE124" s="40" t="str">
        <f>IF(OR(AO124=1,AP124=1),0,=IFERROR(IFS(
    OR($C124="", $K124=""), 0,
    $F124=0, 0,
    $D124&lt;&gt;"Open", 0,
    COUNTIFS(GrinderServices!$A$6:$A$1000, $K124, GrinderServices!$B$6:$B$1000, $E124, GrinderServices!$D$6:$D$1000, "Y")=0, 0,
    $X124&lt;Config!$B$16, 0,
    Config!$B$18=1, IF($O124&gt;=N124, 0, 1),
    TRUE, 1
), "")
)</f>
        <v>#ERROR!</v>
      </c>
      <c r="AF124" s="40" t="str">
        <f>IFERROR((IF(OR(AO124=1,AP124=1),"",=IFERROR((IFERROR(IF($AE124=0,"",((Config!$B$6*$Y124 + Config!$B$7*$U124 + Config!$B$8*$Z124 + Config!$B$9*$AA124 + Config!$B$10*$AB124 + Config!$B$11*$AC124 - Config!$B$12*$AD124)/Config!$B$13)+$AK124+$AL124),""))*(1-IFERROR(VLOOKUP(K124,Grinders!$A:$AB, 28, FALSE),0)),"")))*(1+AR124),"")</f>
        <v>#ERROR!</v>
      </c>
      <c r="AG124" s="40" t="str">
        <f t="shared" si="6"/>
        <v>#ERROR!</v>
      </c>
      <c r="AH124" s="40" t="str">
        <f t="shared" si="7"/>
        <v/>
      </c>
      <c r="AI124" s="40" t="str">
        <f t="shared" si="8"/>
        <v/>
      </c>
      <c r="AJ124" s="40" t="str">
        <f>IF($K124="","",COUNTIF(Assignments!$B$6:$B$1000,$K124))</f>
        <v/>
      </c>
      <c r="AK124" s="40" t="str">
        <f>IF($K124="","",IF(AND($AJ124=0,$O124&lt;$N124),Config!$B$43,0))</f>
        <v/>
      </c>
      <c r="AL124" s="40" t="str">
        <f>IF($K124="","",IF(AND($M124="Elite",$G124&gt;=Config!$B$41,$O124&lt;$N124),Config!$B$42,0))</f>
        <v/>
      </c>
      <c r="AM124" s="22"/>
      <c r="AN124" s="39">
        <f>IFERROR(VLOOKUP(K124,Grinders!$A:$Q,28,FALSE),0)</f>
        <v>0</v>
      </c>
      <c r="AO124" s="39">
        <f>IF(Config!$B$1003&lt;&gt;"Y",0,IF(IFERROR(VLOOKUP(K124,Grinders!$A:$P,27,FALSE),0)&gt;=3,IF(OR(G124&gt;=Config!$B$1001,ISNUMBER(SEARCH(E124,Config!$B$1002))),1,0),0))</f>
        <v>0</v>
      </c>
      <c r="AP124" s="39">
        <f t="array" ref="AP124">IFERROR(IF(INDEX(Bids!$AE:$AE,MATCH(B124,Bids!$A:$A,0))="Pending",1,0),0)</f>
        <v>0</v>
      </c>
      <c r="AQ124" s="39" t="str">
        <f t="array" ref="AQ124">IF(C124="","",IFERROR(XLOOKUP(C124,Assignments!$C:$C,Assignments!$AU:$AU,0),0))</f>
        <v/>
      </c>
      <c r="AR124" s="39">
        <f>IF(AND(Config!$B$1006="Y",AQ124=1),Config!$B$1007,0)</f>
        <v>0</v>
      </c>
    </row>
    <row r="125" ht="15.75" customHeight="1">
      <c r="A125" s="46" t="str">
        <f t="shared" si="1"/>
        <v/>
      </c>
      <c r="B125" s="40" t="str">
        <f>IF(Bids!$A124="","",Bids!$A124)</f>
        <v/>
      </c>
      <c r="C125" s="40" t="str">
        <f>IF(Bids!$B124="","",Bids!$B124)</f>
        <v/>
      </c>
      <c r="D125" s="40" t="str">
        <f>IF($C125="","",IFERROR(VLOOKUP($C125,Orders!$A$4:$J$998,9,FALSE),""))</f>
        <v/>
      </c>
      <c r="E125" s="40" t="str">
        <f>IF($C125="","",IFERROR(VLOOKUP($C125,Orders!$A$4:$J$998,3,FALSE),""))</f>
        <v/>
      </c>
      <c r="F125" s="40">
        <f t="shared" si="2"/>
        <v>1</v>
      </c>
      <c r="G125" s="40" t="str">
        <f>IF($C125="","",IFERROR(VLOOKUP($C125,Orders!$A$4:$J$998,4,FALSE),""))</f>
        <v/>
      </c>
      <c r="H125" s="40" t="str">
        <f>IF($C125="","",IFERROR(VLOOKUP($C125,Orders!$A$4:$J$998,5,FALSE),""))</f>
        <v/>
      </c>
      <c r="I125" s="40" t="str">
        <f>IF($C125="","",IFERROR(VLOOKUP($C125,Orders!$A$4:$J$998,6,FALSE),""))</f>
        <v/>
      </c>
      <c r="J125" s="40" t="str">
        <f>IF($C125="","",IFERROR(VLOOKUP($C125,Orders!$A$4:$J$998,7,FALSE),""))</f>
        <v/>
      </c>
      <c r="K125" s="40" t="str">
        <f>IF(Bids!$C124="","",Bids!$C124)</f>
        <v/>
      </c>
      <c r="L125" s="40" t="str">
        <f>IF($K125="","",IFERROR(VLOOKUP($K125,Grinders!$A$4:$N$998,2,FALSE),""))</f>
        <v/>
      </c>
      <c r="M125" s="40" t="str">
        <f>IF($K125="","",IFERROR(VLOOKUP($K125,Grinders!$A$4:$N$998,3,FALSE),""))</f>
        <v/>
      </c>
      <c r="N125" s="40" t="str">
        <f>IF($K125="","",IFERROR(VLOOKUP($K125,Grinders!$A$4:$N$998,4,FALSE),""))</f>
        <v/>
      </c>
      <c r="O125" s="40" t="str">
        <f>IF($K125="","",IFERROR(VLOOKUP($K125,Grinders!$A$4:$N$998,5,FALSE),""))</f>
        <v/>
      </c>
      <c r="P125" s="40" t="str">
        <f>IF($K125="","",IF($C$4="",0,COUNTIFS(Assignments!$B$6:$B$1000,$K125,Assignments!$F$6:$F$1000,$C$4,Assignments!$E$6:$E$1000,"Active")))</f>
        <v/>
      </c>
      <c r="Q125" s="40" t="str">
        <f t="shared" si="3"/>
        <v/>
      </c>
      <c r="R125" s="40" t="str">
        <f t="shared" si="4"/>
        <v/>
      </c>
      <c r="S125" s="40" t="str">
        <f>IF($K125="","",IF($C$4="",0,COUNTIFS(Assignments!$B$6:$B$1000,$K125,Assignments!$F$6:$F$1000,$C$4,Assignments!$D$6:$D$1000,"&gt;="&amp;Config!$B$3-7,Assignments!$D$6:$D$1000,"&lt;="&amp;Config!$B$3)))</f>
        <v/>
      </c>
      <c r="T125" s="40" t="str">
        <f>IF($K125="","",IFERROR(VLOOKUP($K125,Grinders!$A$4:$N$998,8,FALSE),""))</f>
        <v/>
      </c>
      <c r="U125" s="40" t="str">
        <f>IFERROR(IF($K125="","",IF($M125="Elite",MAX(50,MIN(100,Config!$B$27*MAX(0,MIN(100,(1-IF($R125="",0,$R125))*100)) + Config!$B$28*MAX(0,MIN(100,(1-MIN(1,IF(Config!$B$30=0,1,$S125/Config!$B$30)))*100)) + Config!$B$29*MAX(0,MIN(100,MIN(1,IF($T125="",0,$T125)/Config!$B$23)*100)))),MIN(100,Config!$B$27*MAX(0,MIN(100,(1-IF($R125="",0,$R125))*100)) + Config!$B$28*MAX(0,MIN(100,(1-MIN(1,IF(Config!$B$30=0,1,$S125/Config!$B$30)))*100)) + Config!$B$29*MAX(0,MIN(100,MIN(1,IF($T125="",0,$T125)/Config!$B$23)*100))))),"")
</f>
        <v/>
      </c>
      <c r="V125" s="40" t="str">
        <f>IF(Bids!$AC125="","",Bids!$AC125)</f>
        <v/>
      </c>
      <c r="W125" s="40" t="str">
        <f>IF(Bids!$F124="","",Bids!$F124)</f>
        <v/>
      </c>
      <c r="X125" s="40" t="str">
        <f t="shared" si="5"/>
        <v/>
      </c>
      <c r="Y125" s="40" t="str">
        <f>IF($X125="","",IF(Config!$B$17=Config!$B$16,IF($X125&gt;=Config!$B$17,100,0),MAX(0,MIN(100,($X125-Config!$B$16)/(Config!$B$17-Config!$B$16)*100))))</f>
        <v/>
      </c>
      <c r="Z125" s="40">
        <f>IF($M125="Elite",Config!$B$21,0)</f>
        <v>0</v>
      </c>
      <c r="AA125" s="40" t="str">
        <f>IFERROR(IF(OR($W125="",$H125=""),"",IF($W125&gt;$H125,
  MAX(0, 60-(($W125-$H125)*24/Config!$B$19)*60),
  MIN(100, 60+(($H125-$W125)*24/Config!$B$20)*40)
)),"")
</f>
        <v/>
      </c>
      <c r="AB125" s="40" t="str">
        <f>IF($K125="","",IFERROR(VLOOKUP($K125,Grinders!$A$4:$N$998,10,FALSE)/5*100,""))</f>
        <v/>
      </c>
      <c r="AC125" s="40" t="str">
        <f>IF($K125="","",IFERROR(VLOOKUP($K125,Grinders!$A$4:$N$998,11,FALSE)*100,""))</f>
        <v/>
      </c>
      <c r="AD125" s="40" t="str">
        <f>IF($K125="","",IFERROR(VLOOKUP($K125,Grinders!$A$4:$N$998,12,FALSE)*100,""))</f>
        <v/>
      </c>
      <c r="AE125" s="40" t="str">
        <f>IF(OR(AO125=1,AP125=1),0,=IFERROR(IFS(
    OR($C125="", $K125=""), 0,
    $F125=0, 0,
    $D125&lt;&gt;"Open", 0,
    COUNTIFS(GrinderServices!$A$6:$A$1000, $K125, GrinderServices!$B$6:$B$1000, $E125, GrinderServices!$D$6:$D$1000, "Y")=0, 0,
    $X125&lt;Config!$B$16, 0,
    Config!$B$18=1, IF($O125&gt;=N125, 0, 1),
    TRUE, 1
), "")
)</f>
        <v>#ERROR!</v>
      </c>
      <c r="AF125" s="40" t="str">
        <f>IFERROR((IF(OR(AO125=1,AP125=1),"",=IFERROR((IFERROR(IF($AE125=0,"",((Config!$B$6*$Y125 + Config!$B$7*$U125 + Config!$B$8*$Z125 + Config!$B$9*$AA125 + Config!$B$10*$AB125 + Config!$B$11*$AC125 - Config!$B$12*$AD125)/Config!$B$13)+$AK125+$AL125),""))*(1-IFERROR(VLOOKUP(K125,Grinders!$A:$AB, 28, FALSE),0)),"")))*(1+AR125),"")</f>
        <v>#ERROR!</v>
      </c>
      <c r="AG125" s="40" t="str">
        <f t="shared" si="6"/>
        <v>#ERROR!</v>
      </c>
      <c r="AH125" s="40" t="str">
        <f t="shared" si="7"/>
        <v/>
      </c>
      <c r="AI125" s="40" t="str">
        <f t="shared" si="8"/>
        <v/>
      </c>
      <c r="AJ125" s="40" t="str">
        <f>IF($K125="","",COUNTIF(Assignments!$B$6:$B$1000,$K125))</f>
        <v/>
      </c>
      <c r="AK125" s="40" t="str">
        <f>IF($K125="","",IF(AND($AJ125=0,$O125&lt;$N125),Config!$B$43,0))</f>
        <v/>
      </c>
      <c r="AL125" s="40" t="str">
        <f>IF($K125="","",IF(AND($M125="Elite",$G125&gt;=Config!$B$41,$O125&lt;$N125),Config!$B$42,0))</f>
        <v/>
      </c>
      <c r="AM125" s="22"/>
      <c r="AN125" s="39">
        <f>IFERROR(VLOOKUP(K125,Grinders!$A:$Q,28,FALSE),0)</f>
        <v>0</v>
      </c>
      <c r="AO125" s="39">
        <f>IF(Config!$B$1003&lt;&gt;"Y",0,IF(IFERROR(VLOOKUP(K125,Grinders!$A:$P,27,FALSE),0)&gt;=3,IF(OR(G125&gt;=Config!$B$1001,ISNUMBER(SEARCH(E125,Config!$B$1002))),1,0),0))</f>
        <v>0</v>
      </c>
      <c r="AP125" s="39">
        <f t="array" ref="AP125">IFERROR(IF(INDEX(Bids!$AE:$AE,MATCH(B125,Bids!$A:$A,0))="Pending",1,0),0)</f>
        <v>0</v>
      </c>
      <c r="AQ125" s="39" t="str">
        <f t="array" ref="AQ125">IF(C125="","",IFERROR(XLOOKUP(C125,Assignments!$C:$C,Assignments!$AU:$AU,0),0))</f>
        <v/>
      </c>
      <c r="AR125" s="39">
        <f>IF(AND(Config!$B$1006="Y",AQ125=1),Config!$B$1007,0)</f>
        <v>0</v>
      </c>
    </row>
    <row r="126" ht="15.75" customHeight="1">
      <c r="A126" s="46" t="str">
        <f t="shared" si="1"/>
        <v/>
      </c>
      <c r="B126" s="40" t="str">
        <f>IF(Bids!$A125="","",Bids!$A125)</f>
        <v/>
      </c>
      <c r="C126" s="40" t="str">
        <f>IF(Bids!$B125="","",Bids!$B125)</f>
        <v/>
      </c>
      <c r="D126" s="40" t="str">
        <f>IF($C126="","",IFERROR(VLOOKUP($C126,Orders!$A$4:$J$998,9,FALSE),""))</f>
        <v/>
      </c>
      <c r="E126" s="40" t="str">
        <f>IF($C126="","",IFERROR(VLOOKUP($C126,Orders!$A$4:$J$998,3,FALSE),""))</f>
        <v/>
      </c>
      <c r="F126" s="40">
        <f t="shared" si="2"/>
        <v>1</v>
      </c>
      <c r="G126" s="40" t="str">
        <f>IF($C126="","",IFERROR(VLOOKUP($C126,Orders!$A$4:$J$998,4,FALSE),""))</f>
        <v/>
      </c>
      <c r="H126" s="40" t="str">
        <f>IF($C126="","",IFERROR(VLOOKUP($C126,Orders!$A$4:$J$998,5,FALSE),""))</f>
        <v/>
      </c>
      <c r="I126" s="40" t="str">
        <f>IF($C126="","",IFERROR(VLOOKUP($C126,Orders!$A$4:$J$998,6,FALSE),""))</f>
        <v/>
      </c>
      <c r="J126" s="40" t="str">
        <f>IF($C126="","",IFERROR(VLOOKUP($C126,Orders!$A$4:$J$998,7,FALSE),""))</f>
        <v/>
      </c>
      <c r="K126" s="40" t="str">
        <f>IF(Bids!$C125="","",Bids!$C125)</f>
        <v/>
      </c>
      <c r="L126" s="40" t="str">
        <f>IF($K126="","",IFERROR(VLOOKUP($K126,Grinders!$A$4:$N$998,2,FALSE),""))</f>
        <v/>
      </c>
      <c r="M126" s="40" t="str">
        <f>IF($K126="","",IFERROR(VLOOKUP($K126,Grinders!$A$4:$N$998,3,FALSE),""))</f>
        <v/>
      </c>
      <c r="N126" s="40" t="str">
        <f>IF($K126="","",IFERROR(VLOOKUP($K126,Grinders!$A$4:$N$998,4,FALSE),""))</f>
        <v/>
      </c>
      <c r="O126" s="40" t="str">
        <f>IF($K126="","",IFERROR(VLOOKUP($K126,Grinders!$A$4:$N$998,5,FALSE),""))</f>
        <v/>
      </c>
      <c r="P126" s="40" t="str">
        <f>IF($K126="","",IF($C$4="",0,COUNTIFS(Assignments!$B$6:$B$1000,$K126,Assignments!$F$6:$F$1000,$C$4,Assignments!$E$6:$E$1000,"Active")))</f>
        <v/>
      </c>
      <c r="Q126" s="40" t="str">
        <f t="shared" si="3"/>
        <v/>
      </c>
      <c r="R126" s="40" t="str">
        <f t="shared" si="4"/>
        <v/>
      </c>
      <c r="S126" s="40" t="str">
        <f>IF($K126="","",IF($C$4="",0,COUNTIFS(Assignments!$B$6:$B$1000,$K126,Assignments!$F$6:$F$1000,$C$4,Assignments!$D$6:$D$1000,"&gt;="&amp;Config!$B$3-7,Assignments!$D$6:$D$1000,"&lt;="&amp;Config!$B$3)))</f>
        <v/>
      </c>
      <c r="T126" s="40" t="str">
        <f>IF($K126="","",IFERROR(VLOOKUP($K126,Grinders!$A$4:$N$998,8,FALSE),""))</f>
        <v/>
      </c>
      <c r="U126" s="40" t="str">
        <f>IFERROR(IF($K126="","",IF($M126="Elite",MAX(50,MIN(100,Config!$B$27*MAX(0,MIN(100,(1-IF($R126="",0,$R126))*100)) + Config!$B$28*MAX(0,MIN(100,(1-MIN(1,IF(Config!$B$30=0,1,$S126/Config!$B$30)))*100)) + Config!$B$29*MAX(0,MIN(100,MIN(1,IF($T126="",0,$T126)/Config!$B$23)*100)))),MIN(100,Config!$B$27*MAX(0,MIN(100,(1-IF($R126="",0,$R126))*100)) + Config!$B$28*MAX(0,MIN(100,(1-MIN(1,IF(Config!$B$30=0,1,$S126/Config!$B$30)))*100)) + Config!$B$29*MAX(0,MIN(100,MIN(1,IF($T126="",0,$T126)/Config!$B$23)*100))))),"")
</f>
        <v/>
      </c>
      <c r="V126" s="40" t="str">
        <f>IF(Bids!$AC126="","",Bids!$AC126)</f>
        <v/>
      </c>
      <c r="W126" s="40" t="str">
        <f>IF(Bids!$F125="","",Bids!$F125)</f>
        <v/>
      </c>
      <c r="X126" s="40" t="str">
        <f t="shared" si="5"/>
        <v/>
      </c>
      <c r="Y126" s="40" t="str">
        <f>IF($X126="","",IF(Config!$B$17=Config!$B$16,IF($X126&gt;=Config!$B$17,100,0),MAX(0,MIN(100,($X126-Config!$B$16)/(Config!$B$17-Config!$B$16)*100))))</f>
        <v/>
      </c>
      <c r="Z126" s="40">
        <f>IF($M126="Elite",Config!$B$21,0)</f>
        <v>0</v>
      </c>
      <c r="AA126" s="40" t="str">
        <f>IFERROR(IF(OR($W126="",$H126=""),"",IF($W126&gt;$H126,
  MAX(0, 60-(($W126-$H126)*24/Config!$B$19)*60),
  MIN(100, 60+(($H126-$W126)*24/Config!$B$20)*40)
)),"")
</f>
        <v/>
      </c>
      <c r="AB126" s="40" t="str">
        <f>IF($K126="","",IFERROR(VLOOKUP($K126,Grinders!$A$4:$N$998,10,FALSE)/5*100,""))</f>
        <v/>
      </c>
      <c r="AC126" s="40" t="str">
        <f>IF($K126="","",IFERROR(VLOOKUP($K126,Grinders!$A$4:$N$998,11,FALSE)*100,""))</f>
        <v/>
      </c>
      <c r="AD126" s="40" t="str">
        <f>IF($K126="","",IFERROR(VLOOKUP($K126,Grinders!$A$4:$N$998,12,FALSE)*100,""))</f>
        <v/>
      </c>
      <c r="AE126" s="40" t="str">
        <f>IF(OR(AO126=1,AP126=1),0,=IFERROR(IFS(
    OR($C126="", $K126=""), 0,
    $F126=0, 0,
    $D126&lt;&gt;"Open", 0,
    COUNTIFS(GrinderServices!$A$6:$A$1000, $K126, GrinderServices!$B$6:$B$1000, $E126, GrinderServices!$D$6:$D$1000, "Y")=0, 0,
    $X126&lt;Config!$B$16, 0,
    Config!$B$18=1, IF($O126&gt;=N126, 0, 1),
    TRUE, 1
), "")
)</f>
        <v>#ERROR!</v>
      </c>
      <c r="AF126" s="40" t="str">
        <f>IFERROR((IF(OR(AO126=1,AP126=1),"",=IFERROR((IFERROR(IF($AE126=0,"",((Config!$B$6*$Y126 + Config!$B$7*$U126 + Config!$B$8*$Z126 + Config!$B$9*$AA126 + Config!$B$10*$AB126 + Config!$B$11*$AC126 - Config!$B$12*$AD126)/Config!$B$13)+$AK126+$AL126),""))*(1-IFERROR(VLOOKUP(K126,Grinders!$A:$AB, 28, FALSE),0)),"")))*(1+AR126),"")</f>
        <v>#ERROR!</v>
      </c>
      <c r="AG126" s="40" t="str">
        <f t="shared" si="6"/>
        <v>#ERROR!</v>
      </c>
      <c r="AH126" s="40" t="str">
        <f t="shared" si="7"/>
        <v/>
      </c>
      <c r="AI126" s="40" t="str">
        <f t="shared" si="8"/>
        <v/>
      </c>
      <c r="AJ126" s="40" t="str">
        <f>IF($K126="","",COUNTIF(Assignments!$B$6:$B$1000,$K126))</f>
        <v/>
      </c>
      <c r="AK126" s="40" t="str">
        <f>IF($K126="","",IF(AND($AJ126=0,$O126&lt;$N126),Config!$B$43,0))</f>
        <v/>
      </c>
      <c r="AL126" s="40" t="str">
        <f>IF($K126="","",IF(AND($M126="Elite",$G126&gt;=Config!$B$41,$O126&lt;$N126),Config!$B$42,0))</f>
        <v/>
      </c>
      <c r="AM126" s="22"/>
      <c r="AN126" s="39">
        <f>IFERROR(VLOOKUP(K126,Grinders!$A:$Q,28,FALSE),0)</f>
        <v>0</v>
      </c>
      <c r="AO126" s="39">
        <f>IF(Config!$B$1003&lt;&gt;"Y",0,IF(IFERROR(VLOOKUP(K126,Grinders!$A:$P,27,FALSE),0)&gt;=3,IF(OR(G126&gt;=Config!$B$1001,ISNUMBER(SEARCH(E126,Config!$B$1002))),1,0),0))</f>
        <v>0</v>
      </c>
      <c r="AP126" s="39">
        <f t="array" ref="AP126">IFERROR(IF(INDEX(Bids!$AE:$AE,MATCH(B126,Bids!$A:$A,0))="Pending",1,0),0)</f>
        <v>0</v>
      </c>
      <c r="AQ126" s="39" t="str">
        <f t="array" ref="AQ126">IF(C126="","",IFERROR(XLOOKUP(C126,Assignments!$C:$C,Assignments!$AU:$AU,0),0))</f>
        <v/>
      </c>
      <c r="AR126" s="39">
        <f>IF(AND(Config!$B$1006="Y",AQ126=1),Config!$B$1007,0)</f>
        <v>0</v>
      </c>
    </row>
    <row r="127" ht="15.75" customHeight="1">
      <c r="A127" s="46" t="str">
        <f t="shared" si="1"/>
        <v/>
      </c>
      <c r="B127" s="40" t="str">
        <f>IF(Bids!$A126="","",Bids!$A126)</f>
        <v/>
      </c>
      <c r="C127" s="40" t="str">
        <f>IF(Bids!$B126="","",Bids!$B126)</f>
        <v/>
      </c>
      <c r="D127" s="40" t="str">
        <f>IF($C127="","",IFERROR(VLOOKUP($C127,Orders!$A$4:$J$998,9,FALSE),""))</f>
        <v/>
      </c>
      <c r="E127" s="40" t="str">
        <f>IF($C127="","",IFERROR(VLOOKUP($C127,Orders!$A$4:$J$998,3,FALSE),""))</f>
        <v/>
      </c>
      <c r="F127" s="40">
        <f t="shared" si="2"/>
        <v>1</v>
      </c>
      <c r="G127" s="40" t="str">
        <f>IF($C127="","",IFERROR(VLOOKUP($C127,Orders!$A$4:$J$998,4,FALSE),""))</f>
        <v/>
      </c>
      <c r="H127" s="40" t="str">
        <f>IF($C127="","",IFERROR(VLOOKUP($C127,Orders!$A$4:$J$998,5,FALSE),""))</f>
        <v/>
      </c>
      <c r="I127" s="40" t="str">
        <f>IF($C127="","",IFERROR(VLOOKUP($C127,Orders!$A$4:$J$998,6,FALSE),""))</f>
        <v/>
      </c>
      <c r="J127" s="40" t="str">
        <f>IF($C127="","",IFERROR(VLOOKUP($C127,Orders!$A$4:$J$998,7,FALSE),""))</f>
        <v/>
      </c>
      <c r="K127" s="40" t="str">
        <f>IF(Bids!$C126="","",Bids!$C126)</f>
        <v/>
      </c>
      <c r="L127" s="40" t="str">
        <f>IF($K127="","",IFERROR(VLOOKUP($K127,Grinders!$A$4:$N$998,2,FALSE),""))</f>
        <v/>
      </c>
      <c r="M127" s="40" t="str">
        <f>IF($K127="","",IFERROR(VLOOKUP($K127,Grinders!$A$4:$N$998,3,FALSE),""))</f>
        <v/>
      </c>
      <c r="N127" s="40" t="str">
        <f>IF($K127="","",IFERROR(VLOOKUP($K127,Grinders!$A$4:$N$998,4,FALSE),""))</f>
        <v/>
      </c>
      <c r="O127" s="40" t="str">
        <f>IF($K127="","",IFERROR(VLOOKUP($K127,Grinders!$A$4:$N$998,5,FALSE),""))</f>
        <v/>
      </c>
      <c r="P127" s="40" t="str">
        <f>IF($K127="","",IF($C$4="",0,COUNTIFS(Assignments!$B$6:$B$1000,$K127,Assignments!$F$6:$F$1000,$C$4,Assignments!$E$6:$E$1000,"Active")))</f>
        <v/>
      </c>
      <c r="Q127" s="40" t="str">
        <f t="shared" si="3"/>
        <v/>
      </c>
      <c r="R127" s="40" t="str">
        <f t="shared" si="4"/>
        <v/>
      </c>
      <c r="S127" s="40" t="str">
        <f>IF($K127="","",IF($C$4="",0,COUNTIFS(Assignments!$B$6:$B$1000,$K127,Assignments!$F$6:$F$1000,$C$4,Assignments!$D$6:$D$1000,"&gt;="&amp;Config!$B$3-7,Assignments!$D$6:$D$1000,"&lt;="&amp;Config!$B$3)))</f>
        <v/>
      </c>
      <c r="T127" s="40" t="str">
        <f>IF($K127="","",IFERROR(VLOOKUP($K127,Grinders!$A$4:$N$998,8,FALSE),""))</f>
        <v/>
      </c>
      <c r="U127" s="40" t="str">
        <f>IFERROR(IF($K127="","",IF($M127="Elite",MAX(50,MIN(100,Config!$B$27*MAX(0,MIN(100,(1-IF($R127="",0,$R127))*100)) + Config!$B$28*MAX(0,MIN(100,(1-MIN(1,IF(Config!$B$30=0,1,$S127/Config!$B$30)))*100)) + Config!$B$29*MAX(0,MIN(100,MIN(1,IF($T127="",0,$T127)/Config!$B$23)*100)))),MIN(100,Config!$B$27*MAX(0,MIN(100,(1-IF($R127="",0,$R127))*100)) + Config!$B$28*MAX(0,MIN(100,(1-MIN(1,IF(Config!$B$30=0,1,$S127/Config!$B$30)))*100)) + Config!$B$29*MAX(0,MIN(100,MIN(1,IF($T127="",0,$T127)/Config!$B$23)*100))))),"")
</f>
        <v/>
      </c>
      <c r="V127" s="40" t="str">
        <f>IF(Bids!$AC127="","",Bids!$AC127)</f>
        <v/>
      </c>
      <c r="W127" s="40" t="str">
        <f>IF(Bids!$F126="","",Bids!$F126)</f>
        <v/>
      </c>
      <c r="X127" s="40" t="str">
        <f t="shared" si="5"/>
        <v/>
      </c>
      <c r="Y127" s="40" t="str">
        <f>IF($X127="","",IF(Config!$B$17=Config!$B$16,IF($X127&gt;=Config!$B$17,100,0),MAX(0,MIN(100,($X127-Config!$B$16)/(Config!$B$17-Config!$B$16)*100))))</f>
        <v/>
      </c>
      <c r="Z127" s="40">
        <f>IF($M127="Elite",Config!$B$21,0)</f>
        <v>0</v>
      </c>
      <c r="AA127" s="40" t="str">
        <f>IFERROR(IF(OR($W127="",$H127=""),"",IF($W127&gt;$H127,
  MAX(0, 60-(($W127-$H127)*24/Config!$B$19)*60),
  MIN(100, 60+(($H127-$W127)*24/Config!$B$20)*40)
)),"")
</f>
        <v/>
      </c>
      <c r="AB127" s="40" t="str">
        <f>IF($K127="","",IFERROR(VLOOKUP($K127,Grinders!$A$4:$N$998,10,FALSE)/5*100,""))</f>
        <v/>
      </c>
      <c r="AC127" s="40" t="str">
        <f>IF($K127="","",IFERROR(VLOOKUP($K127,Grinders!$A$4:$N$998,11,FALSE)*100,""))</f>
        <v/>
      </c>
      <c r="AD127" s="40" t="str">
        <f>IF($K127="","",IFERROR(VLOOKUP($K127,Grinders!$A$4:$N$998,12,FALSE)*100,""))</f>
        <v/>
      </c>
      <c r="AE127" s="40" t="str">
        <f>IF(OR(AO127=1,AP127=1),0,=IFERROR(IFS(
    OR($C127="", $K127=""), 0,
    $F127=0, 0,
    $D127&lt;&gt;"Open", 0,
    COUNTIFS(GrinderServices!$A$6:$A$1000, $K127, GrinderServices!$B$6:$B$1000, $E127, GrinderServices!$D$6:$D$1000, "Y")=0, 0,
    $X127&lt;Config!$B$16, 0,
    Config!$B$18=1, IF($O127&gt;=N127, 0, 1),
    TRUE, 1
), "")
)</f>
        <v>#ERROR!</v>
      </c>
      <c r="AF127" s="40" t="str">
        <f>IFERROR((IF(OR(AO127=1,AP127=1),"",=IFERROR((IFERROR(IF($AE127=0,"",((Config!$B$6*$Y127 + Config!$B$7*$U127 + Config!$B$8*$Z127 + Config!$B$9*$AA127 + Config!$B$10*$AB127 + Config!$B$11*$AC127 - Config!$B$12*$AD127)/Config!$B$13)+$AK127+$AL127),""))*(1-IFERROR(VLOOKUP(K127,Grinders!$A:$AB, 28, FALSE),0)),"")))*(1+AR127),"")</f>
        <v>#ERROR!</v>
      </c>
      <c r="AG127" s="40" t="str">
        <f t="shared" si="6"/>
        <v>#ERROR!</v>
      </c>
      <c r="AH127" s="40" t="str">
        <f t="shared" si="7"/>
        <v/>
      </c>
      <c r="AI127" s="40" t="str">
        <f t="shared" si="8"/>
        <v/>
      </c>
      <c r="AJ127" s="40" t="str">
        <f>IF($K127="","",COUNTIF(Assignments!$B$6:$B$1000,$K127))</f>
        <v/>
      </c>
      <c r="AK127" s="40" t="str">
        <f>IF($K127="","",IF(AND($AJ127=0,$O127&lt;$N127),Config!$B$43,0))</f>
        <v/>
      </c>
      <c r="AL127" s="40" t="str">
        <f>IF($K127="","",IF(AND($M127="Elite",$G127&gt;=Config!$B$41,$O127&lt;$N127),Config!$B$42,0))</f>
        <v/>
      </c>
      <c r="AM127" s="22"/>
      <c r="AN127" s="39">
        <f>IFERROR(VLOOKUP(K127,Grinders!$A:$Q,28,FALSE),0)</f>
        <v>0</v>
      </c>
      <c r="AO127" s="39">
        <f>IF(Config!$B$1003&lt;&gt;"Y",0,IF(IFERROR(VLOOKUP(K127,Grinders!$A:$P,27,FALSE),0)&gt;=3,IF(OR(G127&gt;=Config!$B$1001,ISNUMBER(SEARCH(E127,Config!$B$1002))),1,0),0))</f>
        <v>0</v>
      </c>
      <c r="AP127" s="39">
        <f t="array" ref="AP127">IFERROR(IF(INDEX(Bids!$AE:$AE,MATCH(B127,Bids!$A:$A,0))="Pending",1,0),0)</f>
        <v>0</v>
      </c>
      <c r="AQ127" s="39" t="str">
        <f t="array" ref="AQ127">IF(C127="","",IFERROR(XLOOKUP(C127,Assignments!$C:$C,Assignments!$AU:$AU,0),0))</f>
        <v/>
      </c>
      <c r="AR127" s="39">
        <f>IF(AND(Config!$B$1006="Y",AQ127=1),Config!$B$1007,0)</f>
        <v>0</v>
      </c>
    </row>
    <row r="128" ht="15.75" customHeight="1">
      <c r="A128" s="46" t="str">
        <f t="shared" si="1"/>
        <v/>
      </c>
      <c r="B128" s="40" t="str">
        <f>IF(Bids!$A127="","",Bids!$A127)</f>
        <v/>
      </c>
      <c r="C128" s="40" t="str">
        <f>IF(Bids!$B127="","",Bids!$B127)</f>
        <v/>
      </c>
      <c r="D128" s="40" t="str">
        <f>IF($C128="","",IFERROR(VLOOKUP($C128,Orders!$A$4:$J$998,9,FALSE),""))</f>
        <v/>
      </c>
      <c r="E128" s="40" t="str">
        <f>IF($C128="","",IFERROR(VLOOKUP($C128,Orders!$A$4:$J$998,3,FALSE),""))</f>
        <v/>
      </c>
      <c r="F128" s="40">
        <f t="shared" si="2"/>
        <v>1</v>
      </c>
      <c r="G128" s="40" t="str">
        <f>IF($C128="","",IFERROR(VLOOKUP($C128,Orders!$A$4:$J$998,4,FALSE),""))</f>
        <v/>
      </c>
      <c r="H128" s="40" t="str">
        <f>IF($C128="","",IFERROR(VLOOKUP($C128,Orders!$A$4:$J$998,5,FALSE),""))</f>
        <v/>
      </c>
      <c r="I128" s="40" t="str">
        <f>IF($C128="","",IFERROR(VLOOKUP($C128,Orders!$A$4:$J$998,6,FALSE),""))</f>
        <v/>
      </c>
      <c r="J128" s="40" t="str">
        <f>IF($C128="","",IFERROR(VLOOKUP($C128,Orders!$A$4:$J$998,7,FALSE),""))</f>
        <v/>
      </c>
      <c r="K128" s="40" t="str">
        <f>IF(Bids!$C127="","",Bids!$C127)</f>
        <v/>
      </c>
      <c r="L128" s="40" t="str">
        <f>IF($K128="","",IFERROR(VLOOKUP($K128,Grinders!$A$4:$N$998,2,FALSE),""))</f>
        <v/>
      </c>
      <c r="M128" s="40" t="str">
        <f>IF($K128="","",IFERROR(VLOOKUP($K128,Grinders!$A$4:$N$998,3,FALSE),""))</f>
        <v/>
      </c>
      <c r="N128" s="40" t="str">
        <f>IF($K128="","",IFERROR(VLOOKUP($K128,Grinders!$A$4:$N$998,4,FALSE),""))</f>
        <v/>
      </c>
      <c r="O128" s="40" t="str">
        <f>IF($K128="","",IFERROR(VLOOKUP($K128,Grinders!$A$4:$N$998,5,FALSE),""))</f>
        <v/>
      </c>
      <c r="P128" s="40" t="str">
        <f>IF($K128="","",IF($C$4="",0,COUNTIFS(Assignments!$B$6:$B$1000,$K128,Assignments!$F$6:$F$1000,$C$4,Assignments!$E$6:$E$1000,"Active")))</f>
        <v/>
      </c>
      <c r="Q128" s="40" t="str">
        <f t="shared" si="3"/>
        <v/>
      </c>
      <c r="R128" s="40" t="str">
        <f t="shared" si="4"/>
        <v/>
      </c>
      <c r="S128" s="40" t="str">
        <f>IF($K128="","",IF($C$4="",0,COUNTIFS(Assignments!$B$6:$B$1000,$K128,Assignments!$F$6:$F$1000,$C$4,Assignments!$D$6:$D$1000,"&gt;="&amp;Config!$B$3-7,Assignments!$D$6:$D$1000,"&lt;="&amp;Config!$B$3)))</f>
        <v/>
      </c>
      <c r="T128" s="40" t="str">
        <f>IF($K128="","",IFERROR(VLOOKUP($K128,Grinders!$A$4:$N$998,8,FALSE),""))</f>
        <v/>
      </c>
      <c r="U128" s="40" t="str">
        <f>IFERROR(IF($K128="","",IF($M128="Elite",MAX(50,MIN(100,Config!$B$27*MAX(0,MIN(100,(1-IF($R128="",0,$R128))*100)) + Config!$B$28*MAX(0,MIN(100,(1-MIN(1,IF(Config!$B$30=0,1,$S128/Config!$B$30)))*100)) + Config!$B$29*MAX(0,MIN(100,MIN(1,IF($T128="",0,$T128)/Config!$B$23)*100)))),MIN(100,Config!$B$27*MAX(0,MIN(100,(1-IF($R128="",0,$R128))*100)) + Config!$B$28*MAX(0,MIN(100,(1-MIN(1,IF(Config!$B$30=0,1,$S128/Config!$B$30)))*100)) + Config!$B$29*MAX(0,MIN(100,MIN(1,IF($T128="",0,$T128)/Config!$B$23)*100))))),"")
</f>
        <v/>
      </c>
      <c r="V128" s="40" t="str">
        <f>IF(Bids!$AC128="","",Bids!$AC128)</f>
        <v/>
      </c>
      <c r="W128" s="40" t="str">
        <f>IF(Bids!$F127="","",Bids!$F127)</f>
        <v/>
      </c>
      <c r="X128" s="40" t="str">
        <f t="shared" si="5"/>
        <v/>
      </c>
      <c r="Y128" s="40" t="str">
        <f>IF($X128="","",IF(Config!$B$17=Config!$B$16,IF($X128&gt;=Config!$B$17,100,0),MAX(0,MIN(100,($X128-Config!$B$16)/(Config!$B$17-Config!$B$16)*100))))</f>
        <v/>
      </c>
      <c r="Z128" s="40">
        <f>IF($M128="Elite",Config!$B$21,0)</f>
        <v>0</v>
      </c>
      <c r="AA128" s="40" t="str">
        <f>IFERROR(IF(OR($W128="",$H128=""),"",IF($W128&gt;$H128,
  MAX(0, 60-(($W128-$H128)*24/Config!$B$19)*60),
  MIN(100, 60+(($H128-$W128)*24/Config!$B$20)*40)
)),"")
</f>
        <v/>
      </c>
      <c r="AB128" s="40" t="str">
        <f>IF($K128="","",IFERROR(VLOOKUP($K128,Grinders!$A$4:$N$998,10,FALSE)/5*100,""))</f>
        <v/>
      </c>
      <c r="AC128" s="40" t="str">
        <f>IF($K128="","",IFERROR(VLOOKUP($K128,Grinders!$A$4:$N$998,11,FALSE)*100,""))</f>
        <v/>
      </c>
      <c r="AD128" s="40" t="str">
        <f>IF($K128="","",IFERROR(VLOOKUP($K128,Grinders!$A$4:$N$998,12,FALSE)*100,""))</f>
        <v/>
      </c>
      <c r="AE128" s="40" t="str">
        <f>IF(OR(AO128=1,AP128=1),0,=IFERROR(IFS(
    OR($C128="", $K128=""), 0,
    $F128=0, 0,
    $D128&lt;&gt;"Open", 0,
    COUNTIFS(GrinderServices!$A$6:$A$1000, $K128, GrinderServices!$B$6:$B$1000, $E128, GrinderServices!$D$6:$D$1000, "Y")=0, 0,
    $X128&lt;Config!$B$16, 0,
    Config!$B$18=1, IF($O128&gt;=N128, 0, 1),
    TRUE, 1
), "")
)</f>
        <v>#ERROR!</v>
      </c>
      <c r="AF128" s="40" t="str">
        <f>IFERROR((IF(OR(AO128=1,AP128=1),"",=IFERROR((IFERROR(IF($AE128=0,"",((Config!$B$6*$Y128 + Config!$B$7*$U128 + Config!$B$8*$Z128 + Config!$B$9*$AA128 + Config!$B$10*$AB128 + Config!$B$11*$AC128 - Config!$B$12*$AD128)/Config!$B$13)+$AK128+$AL128),""))*(1-IFERROR(VLOOKUP(K128,Grinders!$A:$AB, 28, FALSE),0)),"")))*(1+AR128),"")</f>
        <v>#ERROR!</v>
      </c>
      <c r="AG128" s="40" t="str">
        <f t="shared" si="6"/>
        <v>#ERROR!</v>
      </c>
      <c r="AH128" s="40" t="str">
        <f t="shared" si="7"/>
        <v/>
      </c>
      <c r="AI128" s="40" t="str">
        <f t="shared" si="8"/>
        <v/>
      </c>
      <c r="AJ128" s="40" t="str">
        <f>IF($K128="","",COUNTIF(Assignments!$B$6:$B$1000,$K128))</f>
        <v/>
      </c>
      <c r="AK128" s="40" t="str">
        <f>IF($K128="","",IF(AND($AJ128=0,$O128&lt;$N128),Config!$B$43,0))</f>
        <v/>
      </c>
      <c r="AL128" s="40" t="str">
        <f>IF($K128="","",IF(AND($M128="Elite",$G128&gt;=Config!$B$41,$O128&lt;$N128),Config!$B$42,0))</f>
        <v/>
      </c>
      <c r="AM128" s="22"/>
      <c r="AN128" s="39">
        <f>IFERROR(VLOOKUP(K128,Grinders!$A:$Q,28,FALSE),0)</f>
        <v>0</v>
      </c>
      <c r="AO128" s="39">
        <f>IF(Config!$B$1003&lt;&gt;"Y",0,IF(IFERROR(VLOOKUP(K128,Grinders!$A:$P,27,FALSE),0)&gt;=3,IF(OR(G128&gt;=Config!$B$1001,ISNUMBER(SEARCH(E128,Config!$B$1002))),1,0),0))</f>
        <v>0</v>
      </c>
      <c r="AP128" s="39">
        <f t="array" ref="AP128">IFERROR(IF(INDEX(Bids!$AE:$AE,MATCH(B128,Bids!$A:$A,0))="Pending",1,0),0)</f>
        <v>0</v>
      </c>
      <c r="AQ128" s="39" t="str">
        <f t="array" ref="AQ128">IF(C128="","",IFERROR(XLOOKUP(C128,Assignments!$C:$C,Assignments!$AU:$AU,0),0))</f>
        <v/>
      </c>
      <c r="AR128" s="39">
        <f>IF(AND(Config!$B$1006="Y",AQ128=1),Config!$B$1007,0)</f>
        <v>0</v>
      </c>
    </row>
    <row r="129" ht="15.75" customHeight="1">
      <c r="A129" s="46" t="str">
        <f t="shared" si="1"/>
        <v/>
      </c>
      <c r="B129" s="40" t="str">
        <f>IF(Bids!$A128="","",Bids!$A128)</f>
        <v/>
      </c>
      <c r="C129" s="40" t="str">
        <f>IF(Bids!$B128="","",Bids!$B128)</f>
        <v/>
      </c>
      <c r="D129" s="40" t="str">
        <f>IF($C129="","",IFERROR(VLOOKUP($C129,Orders!$A$4:$J$998,9,FALSE),""))</f>
        <v/>
      </c>
      <c r="E129" s="40" t="str">
        <f>IF($C129="","",IFERROR(VLOOKUP($C129,Orders!$A$4:$J$998,3,FALSE),""))</f>
        <v/>
      </c>
      <c r="F129" s="40">
        <f t="shared" si="2"/>
        <v>1</v>
      </c>
      <c r="G129" s="40" t="str">
        <f>IF($C129="","",IFERROR(VLOOKUP($C129,Orders!$A$4:$J$998,4,FALSE),""))</f>
        <v/>
      </c>
      <c r="H129" s="40" t="str">
        <f>IF($C129="","",IFERROR(VLOOKUP($C129,Orders!$A$4:$J$998,5,FALSE),""))</f>
        <v/>
      </c>
      <c r="I129" s="40" t="str">
        <f>IF($C129="","",IFERROR(VLOOKUP($C129,Orders!$A$4:$J$998,6,FALSE),""))</f>
        <v/>
      </c>
      <c r="J129" s="40" t="str">
        <f>IF($C129="","",IFERROR(VLOOKUP($C129,Orders!$A$4:$J$998,7,FALSE),""))</f>
        <v/>
      </c>
      <c r="K129" s="40" t="str">
        <f>IF(Bids!$C128="","",Bids!$C128)</f>
        <v/>
      </c>
      <c r="L129" s="40" t="str">
        <f>IF($K129="","",IFERROR(VLOOKUP($K129,Grinders!$A$4:$N$998,2,FALSE),""))</f>
        <v/>
      </c>
      <c r="M129" s="40" t="str">
        <f>IF($K129="","",IFERROR(VLOOKUP($K129,Grinders!$A$4:$N$998,3,FALSE),""))</f>
        <v/>
      </c>
      <c r="N129" s="40" t="str">
        <f>IF($K129="","",IFERROR(VLOOKUP($K129,Grinders!$A$4:$N$998,4,FALSE),""))</f>
        <v/>
      </c>
      <c r="O129" s="40" t="str">
        <f>IF($K129="","",IFERROR(VLOOKUP($K129,Grinders!$A$4:$N$998,5,FALSE),""))</f>
        <v/>
      </c>
      <c r="P129" s="40" t="str">
        <f>IF($K129="","",IF($C$4="",0,COUNTIFS(Assignments!$B$6:$B$1000,$K129,Assignments!$F$6:$F$1000,$C$4,Assignments!$E$6:$E$1000,"Active")))</f>
        <v/>
      </c>
      <c r="Q129" s="40" t="str">
        <f t="shared" si="3"/>
        <v/>
      </c>
      <c r="R129" s="40" t="str">
        <f t="shared" si="4"/>
        <v/>
      </c>
      <c r="S129" s="40" t="str">
        <f>IF($K129="","",IF($C$4="",0,COUNTIFS(Assignments!$B$6:$B$1000,$K129,Assignments!$F$6:$F$1000,$C$4,Assignments!$D$6:$D$1000,"&gt;="&amp;Config!$B$3-7,Assignments!$D$6:$D$1000,"&lt;="&amp;Config!$B$3)))</f>
        <v/>
      </c>
      <c r="T129" s="40" t="str">
        <f>IF($K129="","",IFERROR(VLOOKUP($K129,Grinders!$A$4:$N$998,8,FALSE),""))</f>
        <v/>
      </c>
      <c r="U129" s="40" t="str">
        <f>IFERROR(IF($K129="","",IF($M129="Elite",MAX(50,MIN(100,Config!$B$27*MAX(0,MIN(100,(1-IF($R129="",0,$R129))*100)) + Config!$B$28*MAX(0,MIN(100,(1-MIN(1,IF(Config!$B$30=0,1,$S129/Config!$B$30)))*100)) + Config!$B$29*MAX(0,MIN(100,MIN(1,IF($T129="",0,$T129)/Config!$B$23)*100)))),MIN(100,Config!$B$27*MAX(0,MIN(100,(1-IF($R129="",0,$R129))*100)) + Config!$B$28*MAX(0,MIN(100,(1-MIN(1,IF(Config!$B$30=0,1,$S129/Config!$B$30)))*100)) + Config!$B$29*MAX(0,MIN(100,MIN(1,IF($T129="",0,$T129)/Config!$B$23)*100))))),"")
</f>
        <v/>
      </c>
      <c r="V129" s="40" t="str">
        <f>IF(Bids!$AC129="","",Bids!$AC129)</f>
        <v/>
      </c>
      <c r="W129" s="40" t="str">
        <f>IF(Bids!$F128="","",Bids!$F128)</f>
        <v/>
      </c>
      <c r="X129" s="40" t="str">
        <f t="shared" si="5"/>
        <v/>
      </c>
      <c r="Y129" s="40" t="str">
        <f>IF($X129="","",IF(Config!$B$17=Config!$B$16,IF($X129&gt;=Config!$B$17,100,0),MAX(0,MIN(100,($X129-Config!$B$16)/(Config!$B$17-Config!$B$16)*100))))</f>
        <v/>
      </c>
      <c r="Z129" s="40">
        <f>IF($M129="Elite",Config!$B$21,0)</f>
        <v>0</v>
      </c>
      <c r="AA129" s="40" t="str">
        <f>IFERROR(IF(OR($W129="",$H129=""),"",IF($W129&gt;$H129,
  MAX(0, 60-(($W129-$H129)*24/Config!$B$19)*60),
  MIN(100, 60+(($H129-$W129)*24/Config!$B$20)*40)
)),"")
</f>
        <v/>
      </c>
      <c r="AB129" s="40" t="str">
        <f>IF($K129="","",IFERROR(VLOOKUP($K129,Grinders!$A$4:$N$998,10,FALSE)/5*100,""))</f>
        <v/>
      </c>
      <c r="AC129" s="40" t="str">
        <f>IF($K129="","",IFERROR(VLOOKUP($K129,Grinders!$A$4:$N$998,11,FALSE)*100,""))</f>
        <v/>
      </c>
      <c r="AD129" s="40" t="str">
        <f>IF($K129="","",IFERROR(VLOOKUP($K129,Grinders!$A$4:$N$998,12,FALSE)*100,""))</f>
        <v/>
      </c>
      <c r="AE129" s="40" t="str">
        <f>IF(OR(AO129=1,AP129=1),0,=IFERROR(IFS(
    OR($C129="", $K129=""), 0,
    $F129=0, 0,
    $D129&lt;&gt;"Open", 0,
    COUNTIFS(GrinderServices!$A$6:$A$1000, $K129, GrinderServices!$B$6:$B$1000, $E129, GrinderServices!$D$6:$D$1000, "Y")=0, 0,
    $X129&lt;Config!$B$16, 0,
    Config!$B$18=1, IF($O129&gt;=N129, 0, 1),
    TRUE, 1
), "")
)</f>
        <v>#ERROR!</v>
      </c>
      <c r="AF129" s="40" t="str">
        <f>IFERROR((IF(OR(AO129=1,AP129=1),"",=IFERROR((IFERROR(IF($AE129=0,"",((Config!$B$6*$Y129 + Config!$B$7*$U129 + Config!$B$8*$Z129 + Config!$B$9*$AA129 + Config!$B$10*$AB129 + Config!$B$11*$AC129 - Config!$B$12*$AD129)/Config!$B$13)+$AK129+$AL129),""))*(1-IFERROR(VLOOKUP(K129,Grinders!$A:$AB, 28, FALSE),0)),"")))*(1+AR129),"")</f>
        <v>#ERROR!</v>
      </c>
      <c r="AG129" s="40" t="str">
        <f t="shared" si="6"/>
        <v>#ERROR!</v>
      </c>
      <c r="AH129" s="40" t="str">
        <f t="shared" si="7"/>
        <v/>
      </c>
      <c r="AI129" s="40" t="str">
        <f t="shared" si="8"/>
        <v/>
      </c>
      <c r="AJ129" s="40" t="str">
        <f>IF($K129="","",COUNTIF(Assignments!$B$6:$B$1000,$K129))</f>
        <v/>
      </c>
      <c r="AK129" s="40" t="str">
        <f>IF($K129="","",IF(AND($AJ129=0,$O129&lt;$N129),Config!$B$43,0))</f>
        <v/>
      </c>
      <c r="AL129" s="40" t="str">
        <f>IF($K129="","",IF(AND($M129="Elite",$G129&gt;=Config!$B$41,$O129&lt;$N129),Config!$B$42,0))</f>
        <v/>
      </c>
      <c r="AM129" s="22"/>
      <c r="AN129" s="39">
        <f>IFERROR(VLOOKUP(K129,Grinders!$A:$Q,28,FALSE),0)</f>
        <v>0</v>
      </c>
      <c r="AO129" s="39">
        <f>IF(Config!$B$1003&lt;&gt;"Y",0,IF(IFERROR(VLOOKUP(K129,Grinders!$A:$P,27,FALSE),0)&gt;=3,IF(OR(G129&gt;=Config!$B$1001,ISNUMBER(SEARCH(E129,Config!$B$1002))),1,0),0))</f>
        <v>0</v>
      </c>
      <c r="AP129" s="39">
        <f t="array" ref="AP129">IFERROR(IF(INDEX(Bids!$AE:$AE,MATCH(B129,Bids!$A:$A,0))="Pending",1,0),0)</f>
        <v>0</v>
      </c>
      <c r="AQ129" s="39" t="str">
        <f t="array" ref="AQ129">IF(C129="","",IFERROR(XLOOKUP(C129,Assignments!$C:$C,Assignments!$AU:$AU,0),0))</f>
        <v/>
      </c>
      <c r="AR129" s="39">
        <f>IF(AND(Config!$B$1006="Y",AQ129=1),Config!$B$1007,0)</f>
        <v>0</v>
      </c>
    </row>
    <row r="130" ht="15.75" customHeight="1">
      <c r="A130" s="46" t="str">
        <f t="shared" si="1"/>
        <v/>
      </c>
      <c r="B130" s="40" t="str">
        <f>IF(Bids!$A129="","",Bids!$A129)</f>
        <v/>
      </c>
      <c r="C130" s="40" t="str">
        <f>IF(Bids!$B129="","",Bids!$B129)</f>
        <v/>
      </c>
      <c r="D130" s="40" t="str">
        <f>IF($C130="","",IFERROR(VLOOKUP($C130,Orders!$A$4:$J$998,9,FALSE),""))</f>
        <v/>
      </c>
      <c r="E130" s="40" t="str">
        <f>IF($C130="","",IFERROR(VLOOKUP($C130,Orders!$A$4:$J$998,3,FALSE),""))</f>
        <v/>
      </c>
      <c r="F130" s="40">
        <f t="shared" si="2"/>
        <v>1</v>
      </c>
      <c r="G130" s="40" t="str">
        <f>IF($C130="","",IFERROR(VLOOKUP($C130,Orders!$A$4:$J$998,4,FALSE),""))</f>
        <v/>
      </c>
      <c r="H130" s="40" t="str">
        <f>IF($C130="","",IFERROR(VLOOKUP($C130,Orders!$A$4:$J$998,5,FALSE),""))</f>
        <v/>
      </c>
      <c r="I130" s="40" t="str">
        <f>IF($C130="","",IFERROR(VLOOKUP($C130,Orders!$A$4:$J$998,6,FALSE),""))</f>
        <v/>
      </c>
      <c r="J130" s="40" t="str">
        <f>IF($C130="","",IFERROR(VLOOKUP($C130,Orders!$A$4:$J$998,7,FALSE),""))</f>
        <v/>
      </c>
      <c r="K130" s="40" t="str">
        <f>IF(Bids!$C129="","",Bids!$C129)</f>
        <v/>
      </c>
      <c r="L130" s="40" t="str">
        <f>IF($K130="","",IFERROR(VLOOKUP($K130,Grinders!$A$4:$N$998,2,FALSE),""))</f>
        <v/>
      </c>
      <c r="M130" s="40" t="str">
        <f>IF($K130="","",IFERROR(VLOOKUP($K130,Grinders!$A$4:$N$998,3,FALSE),""))</f>
        <v/>
      </c>
      <c r="N130" s="40" t="str">
        <f>IF($K130="","",IFERROR(VLOOKUP($K130,Grinders!$A$4:$N$998,4,FALSE),""))</f>
        <v/>
      </c>
      <c r="O130" s="40" t="str">
        <f>IF($K130="","",IFERROR(VLOOKUP($K130,Grinders!$A$4:$N$998,5,FALSE),""))</f>
        <v/>
      </c>
      <c r="P130" s="40" t="str">
        <f>IF($K130="","",IF($C$4="",0,COUNTIFS(Assignments!$B$6:$B$1000,$K130,Assignments!$F$6:$F$1000,$C$4,Assignments!$E$6:$E$1000,"Active")))</f>
        <v/>
      </c>
      <c r="Q130" s="40" t="str">
        <f t="shared" si="3"/>
        <v/>
      </c>
      <c r="R130" s="40" t="str">
        <f t="shared" si="4"/>
        <v/>
      </c>
      <c r="S130" s="40" t="str">
        <f>IF($K130="","",IF($C$4="",0,COUNTIFS(Assignments!$B$6:$B$1000,$K130,Assignments!$F$6:$F$1000,$C$4,Assignments!$D$6:$D$1000,"&gt;="&amp;Config!$B$3-7,Assignments!$D$6:$D$1000,"&lt;="&amp;Config!$B$3)))</f>
        <v/>
      </c>
      <c r="T130" s="40" t="str">
        <f>IF($K130="","",IFERROR(VLOOKUP($K130,Grinders!$A$4:$N$998,8,FALSE),""))</f>
        <v/>
      </c>
      <c r="U130" s="40" t="str">
        <f>IFERROR(IF($K130="","",IF($M130="Elite",MAX(50,MIN(100,Config!$B$27*MAX(0,MIN(100,(1-IF($R130="",0,$R130))*100)) + Config!$B$28*MAX(0,MIN(100,(1-MIN(1,IF(Config!$B$30=0,1,$S130/Config!$B$30)))*100)) + Config!$B$29*MAX(0,MIN(100,MIN(1,IF($T130="",0,$T130)/Config!$B$23)*100)))),MIN(100,Config!$B$27*MAX(0,MIN(100,(1-IF($R130="",0,$R130))*100)) + Config!$B$28*MAX(0,MIN(100,(1-MIN(1,IF(Config!$B$30=0,1,$S130/Config!$B$30)))*100)) + Config!$B$29*MAX(0,MIN(100,MIN(1,IF($T130="",0,$T130)/Config!$B$23)*100))))),"")
</f>
        <v/>
      </c>
      <c r="V130" s="40" t="str">
        <f>IF(Bids!$AC130="","",Bids!$AC130)</f>
        <v/>
      </c>
      <c r="W130" s="40" t="str">
        <f>IF(Bids!$F129="","",Bids!$F129)</f>
        <v/>
      </c>
      <c r="X130" s="40" t="str">
        <f t="shared" si="5"/>
        <v/>
      </c>
      <c r="Y130" s="40" t="str">
        <f>IF($X130="","",IF(Config!$B$17=Config!$B$16,IF($X130&gt;=Config!$B$17,100,0),MAX(0,MIN(100,($X130-Config!$B$16)/(Config!$B$17-Config!$B$16)*100))))</f>
        <v/>
      </c>
      <c r="Z130" s="40">
        <f>IF($M130="Elite",Config!$B$21,0)</f>
        <v>0</v>
      </c>
      <c r="AA130" s="40" t="str">
        <f>IFERROR(IF(OR($W130="",$H130=""),"",IF($W130&gt;$H130,
  MAX(0, 60-(($W130-$H130)*24/Config!$B$19)*60),
  MIN(100, 60+(($H130-$W130)*24/Config!$B$20)*40)
)),"")
</f>
        <v/>
      </c>
      <c r="AB130" s="40" t="str">
        <f>IF($K130="","",IFERROR(VLOOKUP($K130,Grinders!$A$4:$N$998,10,FALSE)/5*100,""))</f>
        <v/>
      </c>
      <c r="AC130" s="40" t="str">
        <f>IF($K130="","",IFERROR(VLOOKUP($K130,Grinders!$A$4:$N$998,11,FALSE)*100,""))</f>
        <v/>
      </c>
      <c r="AD130" s="40" t="str">
        <f>IF($K130="","",IFERROR(VLOOKUP($K130,Grinders!$A$4:$N$998,12,FALSE)*100,""))</f>
        <v/>
      </c>
      <c r="AE130" s="40" t="str">
        <f>IF(OR(AO130=1,AP130=1),0,=IFERROR(IFS(
    OR($C130="", $K130=""), 0,
    $F130=0, 0,
    $D130&lt;&gt;"Open", 0,
    COUNTIFS(GrinderServices!$A$6:$A$1000, $K130, GrinderServices!$B$6:$B$1000, $E130, GrinderServices!$D$6:$D$1000, "Y")=0, 0,
    $X130&lt;Config!$B$16, 0,
    Config!$B$18=1, IF($O130&gt;=N130, 0, 1),
    TRUE, 1
), "")
)</f>
        <v>#ERROR!</v>
      </c>
      <c r="AF130" s="40" t="str">
        <f>IFERROR((IF(OR(AO130=1,AP130=1),"",=IFERROR((IFERROR(IF($AE130=0,"",((Config!$B$6*$Y130 + Config!$B$7*$U130 + Config!$B$8*$Z130 + Config!$B$9*$AA130 + Config!$B$10*$AB130 + Config!$B$11*$AC130 - Config!$B$12*$AD130)/Config!$B$13)+$AK130+$AL130),""))*(1-IFERROR(VLOOKUP(K130,Grinders!$A:$AB, 28, FALSE),0)),"")))*(1+AR130),"")</f>
        <v>#ERROR!</v>
      </c>
      <c r="AG130" s="40" t="str">
        <f t="shared" si="6"/>
        <v>#ERROR!</v>
      </c>
      <c r="AH130" s="40" t="str">
        <f t="shared" si="7"/>
        <v/>
      </c>
      <c r="AI130" s="40" t="str">
        <f t="shared" si="8"/>
        <v/>
      </c>
      <c r="AJ130" s="40" t="str">
        <f>IF($K130="","",COUNTIF(Assignments!$B$6:$B$1000,$K130))</f>
        <v/>
      </c>
      <c r="AK130" s="40" t="str">
        <f>IF($K130="","",IF(AND($AJ130=0,$O130&lt;$N130),Config!$B$43,0))</f>
        <v/>
      </c>
      <c r="AL130" s="40" t="str">
        <f>IF($K130="","",IF(AND($M130="Elite",$G130&gt;=Config!$B$41,$O130&lt;$N130),Config!$B$42,0))</f>
        <v/>
      </c>
      <c r="AM130" s="22"/>
      <c r="AN130" s="39">
        <f>IFERROR(VLOOKUP(K130,Grinders!$A:$Q,28,FALSE),0)</f>
        <v>0</v>
      </c>
      <c r="AO130" s="39">
        <f>IF(Config!$B$1003&lt;&gt;"Y",0,IF(IFERROR(VLOOKUP(K130,Grinders!$A:$P,27,FALSE),0)&gt;=3,IF(OR(G130&gt;=Config!$B$1001,ISNUMBER(SEARCH(E130,Config!$B$1002))),1,0),0))</f>
        <v>0</v>
      </c>
      <c r="AP130" s="39">
        <f t="array" ref="AP130">IFERROR(IF(INDEX(Bids!$AE:$AE,MATCH(B130,Bids!$A:$A,0))="Pending",1,0),0)</f>
        <v>0</v>
      </c>
      <c r="AQ130" s="39" t="str">
        <f t="array" ref="AQ130">IF(C130="","",IFERROR(XLOOKUP(C130,Assignments!$C:$C,Assignments!$AU:$AU,0),0))</f>
        <v/>
      </c>
      <c r="AR130" s="39">
        <f>IF(AND(Config!$B$1006="Y",AQ130=1),Config!$B$1007,0)</f>
        <v>0</v>
      </c>
    </row>
    <row r="131" ht="15.75" customHeight="1">
      <c r="A131" s="46" t="str">
        <f t="shared" si="1"/>
        <v/>
      </c>
      <c r="B131" s="40" t="str">
        <f>IF(Bids!$A130="","",Bids!$A130)</f>
        <v/>
      </c>
      <c r="C131" s="40" t="str">
        <f>IF(Bids!$B130="","",Bids!$B130)</f>
        <v/>
      </c>
      <c r="D131" s="40" t="str">
        <f>IF($C131="","",IFERROR(VLOOKUP($C131,Orders!$A$4:$J$998,9,FALSE),""))</f>
        <v/>
      </c>
      <c r="E131" s="40" t="str">
        <f>IF($C131="","",IFERROR(VLOOKUP($C131,Orders!$A$4:$J$998,3,FALSE),""))</f>
        <v/>
      </c>
      <c r="F131" s="40">
        <f t="shared" si="2"/>
        <v>1</v>
      </c>
      <c r="G131" s="40" t="str">
        <f>IF($C131="","",IFERROR(VLOOKUP($C131,Orders!$A$4:$J$998,4,FALSE),""))</f>
        <v/>
      </c>
      <c r="H131" s="40" t="str">
        <f>IF($C131="","",IFERROR(VLOOKUP($C131,Orders!$A$4:$J$998,5,FALSE),""))</f>
        <v/>
      </c>
      <c r="I131" s="40" t="str">
        <f>IF($C131="","",IFERROR(VLOOKUP($C131,Orders!$A$4:$J$998,6,FALSE),""))</f>
        <v/>
      </c>
      <c r="J131" s="40" t="str">
        <f>IF($C131="","",IFERROR(VLOOKUP($C131,Orders!$A$4:$J$998,7,FALSE),""))</f>
        <v/>
      </c>
      <c r="K131" s="40" t="str">
        <f>IF(Bids!$C130="","",Bids!$C130)</f>
        <v/>
      </c>
      <c r="L131" s="40" t="str">
        <f>IF($K131="","",IFERROR(VLOOKUP($K131,Grinders!$A$4:$N$998,2,FALSE),""))</f>
        <v/>
      </c>
      <c r="M131" s="40" t="str">
        <f>IF($K131="","",IFERROR(VLOOKUP($K131,Grinders!$A$4:$N$998,3,FALSE),""))</f>
        <v/>
      </c>
      <c r="N131" s="40" t="str">
        <f>IF($K131="","",IFERROR(VLOOKUP($K131,Grinders!$A$4:$N$998,4,FALSE),""))</f>
        <v/>
      </c>
      <c r="O131" s="40" t="str">
        <f>IF($K131="","",IFERROR(VLOOKUP($K131,Grinders!$A$4:$N$998,5,FALSE),""))</f>
        <v/>
      </c>
      <c r="P131" s="40" t="str">
        <f>IF($K131="","",IF($C$4="",0,COUNTIFS(Assignments!$B$6:$B$1000,$K131,Assignments!$F$6:$F$1000,$C$4,Assignments!$E$6:$E$1000,"Active")))</f>
        <v/>
      </c>
      <c r="Q131" s="40" t="str">
        <f t="shared" si="3"/>
        <v/>
      </c>
      <c r="R131" s="40" t="str">
        <f t="shared" si="4"/>
        <v/>
      </c>
      <c r="S131" s="40" t="str">
        <f>IF($K131="","",IF($C$4="",0,COUNTIFS(Assignments!$B$6:$B$1000,$K131,Assignments!$F$6:$F$1000,$C$4,Assignments!$D$6:$D$1000,"&gt;="&amp;Config!$B$3-7,Assignments!$D$6:$D$1000,"&lt;="&amp;Config!$B$3)))</f>
        <v/>
      </c>
      <c r="T131" s="40" t="str">
        <f>IF($K131="","",IFERROR(VLOOKUP($K131,Grinders!$A$4:$N$998,8,FALSE),""))</f>
        <v/>
      </c>
      <c r="U131" s="40" t="str">
        <f>IFERROR(IF($K131="","",IF($M131="Elite",MAX(50,MIN(100,Config!$B$27*MAX(0,MIN(100,(1-IF($R131="",0,$R131))*100)) + Config!$B$28*MAX(0,MIN(100,(1-MIN(1,IF(Config!$B$30=0,1,$S131/Config!$B$30)))*100)) + Config!$B$29*MAX(0,MIN(100,MIN(1,IF($T131="",0,$T131)/Config!$B$23)*100)))),MIN(100,Config!$B$27*MAX(0,MIN(100,(1-IF($R131="",0,$R131))*100)) + Config!$B$28*MAX(0,MIN(100,(1-MIN(1,IF(Config!$B$30=0,1,$S131/Config!$B$30)))*100)) + Config!$B$29*MAX(0,MIN(100,MIN(1,IF($T131="",0,$T131)/Config!$B$23)*100))))),"")
</f>
        <v/>
      </c>
      <c r="V131" s="40" t="str">
        <f>IF(Bids!$AC131="","",Bids!$AC131)</f>
        <v/>
      </c>
      <c r="W131" s="40" t="str">
        <f>IF(Bids!$F130="","",Bids!$F130)</f>
        <v/>
      </c>
      <c r="X131" s="40" t="str">
        <f t="shared" si="5"/>
        <v/>
      </c>
      <c r="Y131" s="40" t="str">
        <f>IF($X131="","",IF(Config!$B$17=Config!$B$16,IF($X131&gt;=Config!$B$17,100,0),MAX(0,MIN(100,($X131-Config!$B$16)/(Config!$B$17-Config!$B$16)*100))))</f>
        <v/>
      </c>
      <c r="Z131" s="40">
        <f>IF($M131="Elite",Config!$B$21,0)</f>
        <v>0</v>
      </c>
      <c r="AA131" s="40" t="str">
        <f>IFERROR(IF(OR($W131="",$H131=""),"",IF($W131&gt;$H131,
  MAX(0, 60-(($W131-$H131)*24/Config!$B$19)*60),
  MIN(100, 60+(($H131-$W131)*24/Config!$B$20)*40)
)),"")
</f>
        <v/>
      </c>
      <c r="AB131" s="40" t="str">
        <f>IF($K131="","",IFERROR(VLOOKUP($K131,Grinders!$A$4:$N$998,10,FALSE)/5*100,""))</f>
        <v/>
      </c>
      <c r="AC131" s="40" t="str">
        <f>IF($K131="","",IFERROR(VLOOKUP($K131,Grinders!$A$4:$N$998,11,FALSE)*100,""))</f>
        <v/>
      </c>
      <c r="AD131" s="40" t="str">
        <f>IF($K131="","",IFERROR(VLOOKUP($K131,Grinders!$A$4:$N$998,12,FALSE)*100,""))</f>
        <v/>
      </c>
      <c r="AE131" s="40" t="str">
        <f>IF(OR(AO131=1,AP131=1),0,=IFERROR(IFS(
    OR($C131="", $K131=""), 0,
    $F131=0, 0,
    $D131&lt;&gt;"Open", 0,
    COUNTIFS(GrinderServices!$A$6:$A$1000, $K131, GrinderServices!$B$6:$B$1000, $E131, GrinderServices!$D$6:$D$1000, "Y")=0, 0,
    $X131&lt;Config!$B$16, 0,
    Config!$B$18=1, IF($O131&gt;=N131, 0, 1),
    TRUE, 1
), "")
)</f>
        <v>#ERROR!</v>
      </c>
      <c r="AF131" s="40" t="str">
        <f>IFERROR((IF(OR(AO131=1,AP131=1),"",=IFERROR((IFERROR(IF($AE131=0,"",((Config!$B$6*$Y131 + Config!$B$7*$U131 + Config!$B$8*$Z131 + Config!$B$9*$AA131 + Config!$B$10*$AB131 + Config!$B$11*$AC131 - Config!$B$12*$AD131)/Config!$B$13)+$AK131+$AL131),""))*(1-IFERROR(VLOOKUP(K131,Grinders!$A:$AB, 28, FALSE),0)),"")))*(1+AR131),"")</f>
        <v>#ERROR!</v>
      </c>
      <c r="AG131" s="40" t="str">
        <f t="shared" si="6"/>
        <v>#ERROR!</v>
      </c>
      <c r="AH131" s="40" t="str">
        <f t="shared" si="7"/>
        <v/>
      </c>
      <c r="AI131" s="40" t="str">
        <f t="shared" si="8"/>
        <v/>
      </c>
      <c r="AJ131" s="40" t="str">
        <f>IF($K131="","",COUNTIF(Assignments!$B$6:$B$1000,$K131))</f>
        <v/>
      </c>
      <c r="AK131" s="40" t="str">
        <f>IF($K131="","",IF(AND($AJ131=0,$O131&lt;$N131),Config!$B$43,0))</f>
        <v/>
      </c>
      <c r="AL131" s="40" t="str">
        <f>IF($K131="","",IF(AND($M131="Elite",$G131&gt;=Config!$B$41,$O131&lt;$N131),Config!$B$42,0))</f>
        <v/>
      </c>
      <c r="AM131" s="22"/>
      <c r="AN131" s="39">
        <f>IFERROR(VLOOKUP(K131,Grinders!$A:$Q,28,FALSE),0)</f>
        <v>0</v>
      </c>
      <c r="AO131" s="39">
        <f>IF(Config!$B$1003&lt;&gt;"Y",0,IF(IFERROR(VLOOKUP(K131,Grinders!$A:$P,27,FALSE),0)&gt;=3,IF(OR(G131&gt;=Config!$B$1001,ISNUMBER(SEARCH(E131,Config!$B$1002))),1,0),0))</f>
        <v>0</v>
      </c>
      <c r="AP131" s="39">
        <f t="array" ref="AP131">IFERROR(IF(INDEX(Bids!$AE:$AE,MATCH(B131,Bids!$A:$A,0))="Pending",1,0),0)</f>
        <v>0</v>
      </c>
      <c r="AQ131" s="39" t="str">
        <f t="array" ref="AQ131">IF(C131="","",IFERROR(XLOOKUP(C131,Assignments!$C:$C,Assignments!$AU:$AU,0),0))</f>
        <v/>
      </c>
      <c r="AR131" s="39">
        <f>IF(AND(Config!$B$1006="Y",AQ131=1),Config!$B$1007,0)</f>
        <v>0</v>
      </c>
    </row>
    <row r="132" ht="15.75" customHeight="1">
      <c r="A132" s="46" t="str">
        <f t="shared" si="1"/>
        <v/>
      </c>
      <c r="B132" s="40" t="str">
        <f>IF(Bids!$A131="","",Bids!$A131)</f>
        <v/>
      </c>
      <c r="C132" s="40" t="str">
        <f>IF(Bids!$B131="","",Bids!$B131)</f>
        <v/>
      </c>
      <c r="D132" s="40" t="str">
        <f>IF($C132="","",IFERROR(VLOOKUP($C132,Orders!$A$4:$J$998,9,FALSE),""))</f>
        <v/>
      </c>
      <c r="E132" s="40" t="str">
        <f>IF($C132="","",IFERROR(VLOOKUP($C132,Orders!$A$4:$J$998,3,FALSE),""))</f>
        <v/>
      </c>
      <c r="F132" s="40">
        <f t="shared" si="2"/>
        <v>1</v>
      </c>
      <c r="G132" s="40" t="str">
        <f>IF($C132="","",IFERROR(VLOOKUP($C132,Orders!$A$4:$J$998,4,FALSE),""))</f>
        <v/>
      </c>
      <c r="H132" s="40" t="str">
        <f>IF($C132="","",IFERROR(VLOOKUP($C132,Orders!$A$4:$J$998,5,FALSE),""))</f>
        <v/>
      </c>
      <c r="I132" s="40" t="str">
        <f>IF($C132="","",IFERROR(VLOOKUP($C132,Orders!$A$4:$J$998,6,FALSE),""))</f>
        <v/>
      </c>
      <c r="J132" s="40" t="str">
        <f>IF($C132="","",IFERROR(VLOOKUP($C132,Orders!$A$4:$J$998,7,FALSE),""))</f>
        <v/>
      </c>
      <c r="K132" s="40" t="str">
        <f>IF(Bids!$C131="","",Bids!$C131)</f>
        <v/>
      </c>
      <c r="L132" s="40" t="str">
        <f>IF($K132="","",IFERROR(VLOOKUP($K132,Grinders!$A$4:$N$998,2,FALSE),""))</f>
        <v/>
      </c>
      <c r="M132" s="40" t="str">
        <f>IF($K132="","",IFERROR(VLOOKUP($K132,Grinders!$A$4:$N$998,3,FALSE),""))</f>
        <v/>
      </c>
      <c r="N132" s="40" t="str">
        <f>IF($K132="","",IFERROR(VLOOKUP($K132,Grinders!$A$4:$N$998,4,FALSE),""))</f>
        <v/>
      </c>
      <c r="O132" s="40" t="str">
        <f>IF($K132="","",IFERROR(VLOOKUP($K132,Grinders!$A$4:$N$998,5,FALSE),""))</f>
        <v/>
      </c>
      <c r="P132" s="40" t="str">
        <f>IF($K132="","",IF($C$4="",0,COUNTIFS(Assignments!$B$6:$B$1000,$K132,Assignments!$F$6:$F$1000,$C$4,Assignments!$E$6:$E$1000,"Active")))</f>
        <v/>
      </c>
      <c r="Q132" s="40" t="str">
        <f t="shared" si="3"/>
        <v/>
      </c>
      <c r="R132" s="40" t="str">
        <f t="shared" si="4"/>
        <v/>
      </c>
      <c r="S132" s="40" t="str">
        <f>IF($K132="","",IF($C$4="",0,COUNTIFS(Assignments!$B$6:$B$1000,$K132,Assignments!$F$6:$F$1000,$C$4,Assignments!$D$6:$D$1000,"&gt;="&amp;Config!$B$3-7,Assignments!$D$6:$D$1000,"&lt;="&amp;Config!$B$3)))</f>
        <v/>
      </c>
      <c r="T132" s="40" t="str">
        <f>IF($K132="","",IFERROR(VLOOKUP($K132,Grinders!$A$4:$N$998,8,FALSE),""))</f>
        <v/>
      </c>
      <c r="U132" s="40" t="str">
        <f>IFERROR(IF($K132="","",IF($M132="Elite",MAX(50,MIN(100,Config!$B$27*MAX(0,MIN(100,(1-IF($R132="",0,$R132))*100)) + Config!$B$28*MAX(0,MIN(100,(1-MIN(1,IF(Config!$B$30=0,1,$S132/Config!$B$30)))*100)) + Config!$B$29*MAX(0,MIN(100,MIN(1,IF($T132="",0,$T132)/Config!$B$23)*100)))),MIN(100,Config!$B$27*MAX(0,MIN(100,(1-IF($R132="",0,$R132))*100)) + Config!$B$28*MAX(0,MIN(100,(1-MIN(1,IF(Config!$B$30=0,1,$S132/Config!$B$30)))*100)) + Config!$B$29*MAX(0,MIN(100,MIN(1,IF($T132="",0,$T132)/Config!$B$23)*100))))),"")
</f>
        <v/>
      </c>
      <c r="V132" s="40" t="str">
        <f>IF(Bids!$AC132="","",Bids!$AC132)</f>
        <v/>
      </c>
      <c r="W132" s="40" t="str">
        <f>IF(Bids!$F131="","",Bids!$F131)</f>
        <v/>
      </c>
      <c r="X132" s="40" t="str">
        <f t="shared" si="5"/>
        <v/>
      </c>
      <c r="Y132" s="40" t="str">
        <f>IF($X132="","",IF(Config!$B$17=Config!$B$16,IF($X132&gt;=Config!$B$17,100,0),MAX(0,MIN(100,($X132-Config!$B$16)/(Config!$B$17-Config!$B$16)*100))))</f>
        <v/>
      </c>
      <c r="Z132" s="40">
        <f>IF($M132="Elite",Config!$B$21,0)</f>
        <v>0</v>
      </c>
      <c r="AA132" s="40" t="str">
        <f>IFERROR(IF(OR($W132="",$H132=""),"",IF($W132&gt;$H132,
  MAX(0, 60-(($W132-$H132)*24/Config!$B$19)*60),
  MIN(100, 60+(($H132-$W132)*24/Config!$B$20)*40)
)),"")
</f>
        <v/>
      </c>
      <c r="AB132" s="40" t="str">
        <f>IF($K132="","",IFERROR(VLOOKUP($K132,Grinders!$A$4:$N$998,10,FALSE)/5*100,""))</f>
        <v/>
      </c>
      <c r="AC132" s="40" t="str">
        <f>IF($K132="","",IFERROR(VLOOKUP($K132,Grinders!$A$4:$N$998,11,FALSE)*100,""))</f>
        <v/>
      </c>
      <c r="AD132" s="40" t="str">
        <f>IF($K132="","",IFERROR(VLOOKUP($K132,Grinders!$A$4:$N$998,12,FALSE)*100,""))</f>
        <v/>
      </c>
      <c r="AE132" s="40" t="str">
        <f>IF(OR(AO132=1,AP132=1),0,=IFERROR(IFS(
    OR($C132="", $K132=""), 0,
    $F132=0, 0,
    $D132&lt;&gt;"Open", 0,
    COUNTIFS(GrinderServices!$A$6:$A$1000, $K132, GrinderServices!$B$6:$B$1000, $E132, GrinderServices!$D$6:$D$1000, "Y")=0, 0,
    $X132&lt;Config!$B$16, 0,
    Config!$B$18=1, IF($O132&gt;=N132, 0, 1),
    TRUE, 1
), "")
)</f>
        <v>#ERROR!</v>
      </c>
      <c r="AF132" s="40" t="str">
        <f>IFERROR((IF(OR(AO132=1,AP132=1),"",=IFERROR((IFERROR(IF($AE132=0,"",((Config!$B$6*$Y132 + Config!$B$7*$U132 + Config!$B$8*$Z132 + Config!$B$9*$AA132 + Config!$B$10*$AB132 + Config!$B$11*$AC132 - Config!$B$12*$AD132)/Config!$B$13)+$AK132+$AL132),""))*(1-IFERROR(VLOOKUP(K132,Grinders!$A:$AB, 28, FALSE),0)),"")))*(1+AR132),"")</f>
        <v>#ERROR!</v>
      </c>
      <c r="AG132" s="40" t="str">
        <f t="shared" si="6"/>
        <v>#ERROR!</v>
      </c>
      <c r="AH132" s="40" t="str">
        <f t="shared" si="7"/>
        <v/>
      </c>
      <c r="AI132" s="40" t="str">
        <f t="shared" si="8"/>
        <v/>
      </c>
      <c r="AJ132" s="40" t="str">
        <f>IF($K132="","",COUNTIF(Assignments!$B$6:$B$1000,$K132))</f>
        <v/>
      </c>
      <c r="AK132" s="40" t="str">
        <f>IF($K132="","",IF(AND($AJ132=0,$O132&lt;$N132),Config!$B$43,0))</f>
        <v/>
      </c>
      <c r="AL132" s="40" t="str">
        <f>IF($K132="","",IF(AND($M132="Elite",$G132&gt;=Config!$B$41,$O132&lt;$N132),Config!$B$42,0))</f>
        <v/>
      </c>
      <c r="AM132" s="22"/>
      <c r="AN132" s="39">
        <f>IFERROR(VLOOKUP(K132,Grinders!$A:$Q,28,FALSE),0)</f>
        <v>0</v>
      </c>
      <c r="AO132" s="39">
        <f>IF(Config!$B$1003&lt;&gt;"Y",0,IF(IFERROR(VLOOKUP(K132,Grinders!$A:$P,27,FALSE),0)&gt;=3,IF(OR(G132&gt;=Config!$B$1001,ISNUMBER(SEARCH(E132,Config!$B$1002))),1,0),0))</f>
        <v>0</v>
      </c>
      <c r="AP132" s="39">
        <f t="array" ref="AP132">IFERROR(IF(INDEX(Bids!$AE:$AE,MATCH(B132,Bids!$A:$A,0))="Pending",1,0),0)</f>
        <v>0</v>
      </c>
      <c r="AQ132" s="39" t="str">
        <f t="array" ref="AQ132">IF(C132="","",IFERROR(XLOOKUP(C132,Assignments!$C:$C,Assignments!$AU:$AU,0),0))</f>
        <v/>
      </c>
      <c r="AR132" s="39">
        <f>IF(AND(Config!$B$1006="Y",AQ132=1),Config!$B$1007,0)</f>
        <v>0</v>
      </c>
    </row>
    <row r="133" ht="15.75" customHeight="1">
      <c r="A133" s="46" t="str">
        <f t="shared" si="1"/>
        <v/>
      </c>
      <c r="B133" s="40" t="str">
        <f>IF(Bids!$A132="","",Bids!$A132)</f>
        <v/>
      </c>
      <c r="C133" s="40" t="str">
        <f>IF(Bids!$B132="","",Bids!$B132)</f>
        <v/>
      </c>
      <c r="D133" s="40" t="str">
        <f>IF($C133="","",IFERROR(VLOOKUP($C133,Orders!$A$4:$J$998,9,FALSE),""))</f>
        <v/>
      </c>
      <c r="E133" s="40" t="str">
        <f>IF($C133="","",IFERROR(VLOOKUP($C133,Orders!$A$4:$J$998,3,FALSE),""))</f>
        <v/>
      </c>
      <c r="F133" s="40">
        <f t="shared" si="2"/>
        <v>1</v>
      </c>
      <c r="G133" s="40" t="str">
        <f>IF($C133="","",IFERROR(VLOOKUP($C133,Orders!$A$4:$J$998,4,FALSE),""))</f>
        <v/>
      </c>
      <c r="H133" s="40" t="str">
        <f>IF($C133="","",IFERROR(VLOOKUP($C133,Orders!$A$4:$J$998,5,FALSE),""))</f>
        <v/>
      </c>
      <c r="I133" s="40" t="str">
        <f>IF($C133="","",IFERROR(VLOOKUP($C133,Orders!$A$4:$J$998,6,FALSE),""))</f>
        <v/>
      </c>
      <c r="J133" s="40" t="str">
        <f>IF($C133="","",IFERROR(VLOOKUP($C133,Orders!$A$4:$J$998,7,FALSE),""))</f>
        <v/>
      </c>
      <c r="K133" s="40" t="str">
        <f>IF(Bids!$C132="","",Bids!$C132)</f>
        <v/>
      </c>
      <c r="L133" s="40" t="str">
        <f>IF($K133="","",IFERROR(VLOOKUP($K133,Grinders!$A$4:$N$998,2,FALSE),""))</f>
        <v/>
      </c>
      <c r="M133" s="40" t="str">
        <f>IF($K133="","",IFERROR(VLOOKUP($K133,Grinders!$A$4:$N$998,3,FALSE),""))</f>
        <v/>
      </c>
      <c r="N133" s="40" t="str">
        <f>IF($K133="","",IFERROR(VLOOKUP($K133,Grinders!$A$4:$N$998,4,FALSE),""))</f>
        <v/>
      </c>
      <c r="O133" s="40" t="str">
        <f>IF($K133="","",IFERROR(VLOOKUP($K133,Grinders!$A$4:$N$998,5,FALSE),""))</f>
        <v/>
      </c>
      <c r="P133" s="40" t="str">
        <f>IF($K133="","",IF($C$4="",0,COUNTIFS(Assignments!$B$6:$B$1000,$K133,Assignments!$F$6:$F$1000,$C$4,Assignments!$E$6:$E$1000,"Active")))</f>
        <v/>
      </c>
      <c r="Q133" s="40" t="str">
        <f t="shared" si="3"/>
        <v/>
      </c>
      <c r="R133" s="40" t="str">
        <f t="shared" si="4"/>
        <v/>
      </c>
      <c r="S133" s="40" t="str">
        <f>IF($K133="","",IF($C$4="",0,COUNTIFS(Assignments!$B$6:$B$1000,$K133,Assignments!$F$6:$F$1000,$C$4,Assignments!$D$6:$D$1000,"&gt;="&amp;Config!$B$3-7,Assignments!$D$6:$D$1000,"&lt;="&amp;Config!$B$3)))</f>
        <v/>
      </c>
      <c r="T133" s="40" t="str">
        <f>IF($K133="","",IFERROR(VLOOKUP($K133,Grinders!$A$4:$N$998,8,FALSE),""))</f>
        <v/>
      </c>
      <c r="U133" s="40" t="str">
        <f>IFERROR(IF($K133="","",IF($M133="Elite",MAX(50,MIN(100,Config!$B$27*MAX(0,MIN(100,(1-IF($R133="",0,$R133))*100)) + Config!$B$28*MAX(0,MIN(100,(1-MIN(1,IF(Config!$B$30=0,1,$S133/Config!$B$30)))*100)) + Config!$B$29*MAX(0,MIN(100,MIN(1,IF($T133="",0,$T133)/Config!$B$23)*100)))),MIN(100,Config!$B$27*MAX(0,MIN(100,(1-IF($R133="",0,$R133))*100)) + Config!$B$28*MAX(0,MIN(100,(1-MIN(1,IF(Config!$B$30=0,1,$S133/Config!$B$30)))*100)) + Config!$B$29*MAX(0,MIN(100,MIN(1,IF($T133="",0,$T133)/Config!$B$23)*100))))),"")
</f>
        <v/>
      </c>
      <c r="V133" s="40" t="str">
        <f>IF(Bids!$AC133="","",Bids!$AC133)</f>
        <v/>
      </c>
      <c r="W133" s="40" t="str">
        <f>IF(Bids!$F132="","",Bids!$F132)</f>
        <v/>
      </c>
      <c r="X133" s="40" t="str">
        <f t="shared" si="5"/>
        <v/>
      </c>
      <c r="Y133" s="40" t="str">
        <f>IF($X133="","",IF(Config!$B$17=Config!$B$16,IF($X133&gt;=Config!$B$17,100,0),MAX(0,MIN(100,($X133-Config!$B$16)/(Config!$B$17-Config!$B$16)*100))))</f>
        <v/>
      </c>
      <c r="Z133" s="40">
        <f>IF($M133="Elite",Config!$B$21,0)</f>
        <v>0</v>
      </c>
      <c r="AA133" s="40" t="str">
        <f>IFERROR(IF(OR($W133="",$H133=""),"",IF($W133&gt;$H133,
  MAX(0, 60-(($W133-$H133)*24/Config!$B$19)*60),
  MIN(100, 60+(($H133-$W133)*24/Config!$B$20)*40)
)),"")
</f>
        <v/>
      </c>
      <c r="AB133" s="40" t="str">
        <f>IF($K133="","",IFERROR(VLOOKUP($K133,Grinders!$A$4:$N$998,10,FALSE)/5*100,""))</f>
        <v/>
      </c>
      <c r="AC133" s="40" t="str">
        <f>IF($K133="","",IFERROR(VLOOKUP($K133,Grinders!$A$4:$N$998,11,FALSE)*100,""))</f>
        <v/>
      </c>
      <c r="AD133" s="40" t="str">
        <f>IF($K133="","",IFERROR(VLOOKUP($K133,Grinders!$A$4:$N$998,12,FALSE)*100,""))</f>
        <v/>
      </c>
      <c r="AE133" s="40" t="str">
        <f>IF(OR(AO133=1,AP133=1),0,=IFERROR(IFS(
    OR($C133="", $K133=""), 0,
    $F133=0, 0,
    $D133&lt;&gt;"Open", 0,
    COUNTIFS(GrinderServices!$A$6:$A$1000, $K133, GrinderServices!$B$6:$B$1000, $E133, GrinderServices!$D$6:$D$1000, "Y")=0, 0,
    $X133&lt;Config!$B$16, 0,
    Config!$B$18=1, IF($O133&gt;=N133, 0, 1),
    TRUE, 1
), "")
)</f>
        <v>#ERROR!</v>
      </c>
      <c r="AF133" s="40" t="str">
        <f>IFERROR((IF(OR(AO133=1,AP133=1),"",=IFERROR((IFERROR(IF($AE133=0,"",((Config!$B$6*$Y133 + Config!$B$7*$U133 + Config!$B$8*$Z133 + Config!$B$9*$AA133 + Config!$B$10*$AB133 + Config!$B$11*$AC133 - Config!$B$12*$AD133)/Config!$B$13)+$AK133+$AL133),""))*(1-IFERROR(VLOOKUP(K133,Grinders!$A:$AB, 28, FALSE),0)),"")))*(1+AR133),"")</f>
        <v>#ERROR!</v>
      </c>
      <c r="AG133" s="40" t="str">
        <f t="shared" si="6"/>
        <v>#ERROR!</v>
      </c>
      <c r="AH133" s="40" t="str">
        <f t="shared" si="7"/>
        <v/>
      </c>
      <c r="AI133" s="40" t="str">
        <f t="shared" si="8"/>
        <v/>
      </c>
      <c r="AJ133" s="40" t="str">
        <f>IF($K133="","",COUNTIF(Assignments!$B$6:$B$1000,$K133))</f>
        <v/>
      </c>
      <c r="AK133" s="40" t="str">
        <f>IF($K133="","",IF(AND($AJ133=0,$O133&lt;$N133),Config!$B$43,0))</f>
        <v/>
      </c>
      <c r="AL133" s="40" t="str">
        <f>IF($K133="","",IF(AND($M133="Elite",$G133&gt;=Config!$B$41,$O133&lt;$N133),Config!$B$42,0))</f>
        <v/>
      </c>
      <c r="AM133" s="22"/>
      <c r="AN133" s="39">
        <f>IFERROR(VLOOKUP(K133,Grinders!$A:$Q,28,FALSE),0)</f>
        <v>0</v>
      </c>
      <c r="AO133" s="39">
        <f>IF(Config!$B$1003&lt;&gt;"Y",0,IF(IFERROR(VLOOKUP(K133,Grinders!$A:$P,27,FALSE),0)&gt;=3,IF(OR(G133&gt;=Config!$B$1001,ISNUMBER(SEARCH(E133,Config!$B$1002))),1,0),0))</f>
        <v>0</v>
      </c>
      <c r="AP133" s="39">
        <f t="array" ref="AP133">IFERROR(IF(INDEX(Bids!$AE:$AE,MATCH(B133,Bids!$A:$A,0))="Pending",1,0),0)</f>
        <v>0</v>
      </c>
      <c r="AQ133" s="39" t="str">
        <f t="array" ref="AQ133">IF(C133="","",IFERROR(XLOOKUP(C133,Assignments!$C:$C,Assignments!$AU:$AU,0),0))</f>
        <v/>
      </c>
      <c r="AR133" s="39">
        <f>IF(AND(Config!$B$1006="Y",AQ133=1),Config!$B$1007,0)</f>
        <v>0</v>
      </c>
    </row>
    <row r="134" ht="15.75" customHeight="1">
      <c r="A134" s="46" t="str">
        <f t="shared" si="1"/>
        <v/>
      </c>
      <c r="B134" s="40" t="str">
        <f>IF(Bids!$A133="","",Bids!$A133)</f>
        <v/>
      </c>
      <c r="C134" s="40" t="str">
        <f>IF(Bids!$B133="","",Bids!$B133)</f>
        <v/>
      </c>
      <c r="D134" s="40" t="str">
        <f>IF($C134="","",IFERROR(VLOOKUP($C134,Orders!$A$4:$J$998,9,FALSE),""))</f>
        <v/>
      </c>
      <c r="E134" s="40" t="str">
        <f>IF($C134="","",IFERROR(VLOOKUP($C134,Orders!$A$4:$J$998,3,FALSE),""))</f>
        <v/>
      </c>
      <c r="F134" s="40">
        <f t="shared" si="2"/>
        <v>1</v>
      </c>
      <c r="G134" s="40" t="str">
        <f>IF($C134="","",IFERROR(VLOOKUP($C134,Orders!$A$4:$J$998,4,FALSE),""))</f>
        <v/>
      </c>
      <c r="H134" s="40" t="str">
        <f>IF($C134="","",IFERROR(VLOOKUP($C134,Orders!$A$4:$J$998,5,FALSE),""))</f>
        <v/>
      </c>
      <c r="I134" s="40" t="str">
        <f>IF($C134="","",IFERROR(VLOOKUP($C134,Orders!$A$4:$J$998,6,FALSE),""))</f>
        <v/>
      </c>
      <c r="J134" s="40" t="str">
        <f>IF($C134="","",IFERROR(VLOOKUP($C134,Orders!$A$4:$J$998,7,FALSE),""))</f>
        <v/>
      </c>
      <c r="K134" s="40" t="str">
        <f>IF(Bids!$C133="","",Bids!$C133)</f>
        <v/>
      </c>
      <c r="L134" s="40" t="str">
        <f>IF($K134="","",IFERROR(VLOOKUP($K134,Grinders!$A$4:$N$998,2,FALSE),""))</f>
        <v/>
      </c>
      <c r="M134" s="40" t="str">
        <f>IF($K134="","",IFERROR(VLOOKUP($K134,Grinders!$A$4:$N$998,3,FALSE),""))</f>
        <v/>
      </c>
      <c r="N134" s="40" t="str">
        <f>IF($K134="","",IFERROR(VLOOKUP($K134,Grinders!$A$4:$N$998,4,FALSE),""))</f>
        <v/>
      </c>
      <c r="O134" s="40" t="str">
        <f>IF($K134="","",IFERROR(VLOOKUP($K134,Grinders!$A$4:$N$998,5,FALSE),""))</f>
        <v/>
      </c>
      <c r="P134" s="40" t="str">
        <f>IF($K134="","",IF($C$4="",0,COUNTIFS(Assignments!$B$6:$B$1000,$K134,Assignments!$F$6:$F$1000,$C$4,Assignments!$E$6:$E$1000,"Active")))</f>
        <v/>
      </c>
      <c r="Q134" s="40" t="str">
        <f t="shared" si="3"/>
        <v/>
      </c>
      <c r="R134" s="40" t="str">
        <f t="shared" si="4"/>
        <v/>
      </c>
      <c r="S134" s="40" t="str">
        <f>IF($K134="","",IF($C$4="",0,COUNTIFS(Assignments!$B$6:$B$1000,$K134,Assignments!$F$6:$F$1000,$C$4,Assignments!$D$6:$D$1000,"&gt;="&amp;Config!$B$3-7,Assignments!$D$6:$D$1000,"&lt;="&amp;Config!$B$3)))</f>
        <v/>
      </c>
      <c r="T134" s="40" t="str">
        <f>IF($K134="","",IFERROR(VLOOKUP($K134,Grinders!$A$4:$N$998,8,FALSE),""))</f>
        <v/>
      </c>
      <c r="U134" s="40" t="str">
        <f>IFERROR(IF($K134="","",IF($M134="Elite",MAX(50,MIN(100,Config!$B$27*MAX(0,MIN(100,(1-IF($R134="",0,$R134))*100)) + Config!$B$28*MAX(0,MIN(100,(1-MIN(1,IF(Config!$B$30=0,1,$S134/Config!$B$30)))*100)) + Config!$B$29*MAX(0,MIN(100,MIN(1,IF($T134="",0,$T134)/Config!$B$23)*100)))),MIN(100,Config!$B$27*MAX(0,MIN(100,(1-IF($R134="",0,$R134))*100)) + Config!$B$28*MAX(0,MIN(100,(1-MIN(1,IF(Config!$B$30=0,1,$S134/Config!$B$30)))*100)) + Config!$B$29*MAX(0,MIN(100,MIN(1,IF($T134="",0,$T134)/Config!$B$23)*100))))),"")
</f>
        <v/>
      </c>
      <c r="V134" s="40" t="str">
        <f>IF(Bids!$AC134="","",Bids!$AC134)</f>
        <v/>
      </c>
      <c r="W134" s="40" t="str">
        <f>IF(Bids!$F133="","",Bids!$F133)</f>
        <v/>
      </c>
      <c r="X134" s="40" t="str">
        <f t="shared" si="5"/>
        <v/>
      </c>
      <c r="Y134" s="40" t="str">
        <f>IF($X134="","",IF(Config!$B$17=Config!$B$16,IF($X134&gt;=Config!$B$17,100,0),MAX(0,MIN(100,($X134-Config!$B$16)/(Config!$B$17-Config!$B$16)*100))))</f>
        <v/>
      </c>
      <c r="Z134" s="40">
        <f>IF($M134="Elite",Config!$B$21,0)</f>
        <v>0</v>
      </c>
      <c r="AA134" s="40" t="str">
        <f>IFERROR(IF(OR($W134="",$H134=""),"",IF($W134&gt;$H134,
  MAX(0, 60-(($W134-$H134)*24/Config!$B$19)*60),
  MIN(100, 60+(($H134-$W134)*24/Config!$B$20)*40)
)),"")
</f>
        <v/>
      </c>
      <c r="AB134" s="40" t="str">
        <f>IF($K134="","",IFERROR(VLOOKUP($K134,Grinders!$A$4:$N$998,10,FALSE)/5*100,""))</f>
        <v/>
      </c>
      <c r="AC134" s="40" t="str">
        <f>IF($K134="","",IFERROR(VLOOKUP($K134,Grinders!$A$4:$N$998,11,FALSE)*100,""))</f>
        <v/>
      </c>
      <c r="AD134" s="40" t="str">
        <f>IF($K134="","",IFERROR(VLOOKUP($K134,Grinders!$A$4:$N$998,12,FALSE)*100,""))</f>
        <v/>
      </c>
      <c r="AE134" s="40" t="str">
        <f>IF(OR(AO134=1,AP134=1),0,=IFERROR(IFS(
    OR($C134="", $K134=""), 0,
    $F134=0, 0,
    $D134&lt;&gt;"Open", 0,
    COUNTIFS(GrinderServices!$A$6:$A$1000, $K134, GrinderServices!$B$6:$B$1000, $E134, GrinderServices!$D$6:$D$1000, "Y")=0, 0,
    $X134&lt;Config!$B$16, 0,
    Config!$B$18=1, IF($O134&gt;=N134, 0, 1),
    TRUE, 1
), "")
)</f>
        <v>#ERROR!</v>
      </c>
      <c r="AF134" s="40" t="str">
        <f>IFERROR((IF(OR(AO134=1,AP134=1),"",=IFERROR((IFERROR(IF($AE134=0,"",((Config!$B$6*$Y134 + Config!$B$7*$U134 + Config!$B$8*$Z134 + Config!$B$9*$AA134 + Config!$B$10*$AB134 + Config!$B$11*$AC134 - Config!$B$12*$AD134)/Config!$B$13)+$AK134+$AL134),""))*(1-IFERROR(VLOOKUP(K134,Grinders!$A:$AB, 28, FALSE),0)),"")))*(1+AR134),"")</f>
        <v>#ERROR!</v>
      </c>
      <c r="AG134" s="40" t="str">
        <f t="shared" si="6"/>
        <v>#ERROR!</v>
      </c>
      <c r="AH134" s="40" t="str">
        <f t="shared" si="7"/>
        <v/>
      </c>
      <c r="AI134" s="40" t="str">
        <f t="shared" si="8"/>
        <v/>
      </c>
      <c r="AJ134" s="40" t="str">
        <f>IF($K134="","",COUNTIF(Assignments!$B$6:$B$1000,$K134))</f>
        <v/>
      </c>
      <c r="AK134" s="40" t="str">
        <f>IF($K134="","",IF(AND($AJ134=0,$O134&lt;$N134),Config!$B$43,0))</f>
        <v/>
      </c>
      <c r="AL134" s="40" t="str">
        <f>IF($K134="","",IF(AND($M134="Elite",$G134&gt;=Config!$B$41,$O134&lt;$N134),Config!$B$42,0))</f>
        <v/>
      </c>
      <c r="AM134" s="22"/>
      <c r="AN134" s="39">
        <f>IFERROR(VLOOKUP(K134,Grinders!$A:$Q,28,FALSE),0)</f>
        <v>0</v>
      </c>
      <c r="AO134" s="39">
        <f>IF(Config!$B$1003&lt;&gt;"Y",0,IF(IFERROR(VLOOKUP(K134,Grinders!$A:$P,27,FALSE),0)&gt;=3,IF(OR(G134&gt;=Config!$B$1001,ISNUMBER(SEARCH(E134,Config!$B$1002))),1,0),0))</f>
        <v>0</v>
      </c>
      <c r="AP134" s="39">
        <f t="array" ref="AP134">IFERROR(IF(INDEX(Bids!$AE:$AE,MATCH(B134,Bids!$A:$A,0))="Pending",1,0),0)</f>
        <v>0</v>
      </c>
      <c r="AQ134" s="39" t="str">
        <f t="array" ref="AQ134">IF(C134="","",IFERROR(XLOOKUP(C134,Assignments!$C:$C,Assignments!$AU:$AU,0),0))</f>
        <v/>
      </c>
      <c r="AR134" s="39">
        <f>IF(AND(Config!$B$1006="Y",AQ134=1),Config!$B$1007,0)</f>
        <v>0</v>
      </c>
    </row>
    <row r="135" ht="15.75" customHeight="1">
      <c r="A135" s="46" t="str">
        <f t="shared" si="1"/>
        <v/>
      </c>
      <c r="B135" s="40" t="str">
        <f>IF(Bids!$A134="","",Bids!$A134)</f>
        <v/>
      </c>
      <c r="C135" s="40" t="str">
        <f>IF(Bids!$B134="","",Bids!$B134)</f>
        <v/>
      </c>
      <c r="D135" s="40" t="str">
        <f>IF($C135="","",IFERROR(VLOOKUP($C135,Orders!$A$4:$J$998,9,FALSE),""))</f>
        <v/>
      </c>
      <c r="E135" s="40" t="str">
        <f>IF($C135="","",IFERROR(VLOOKUP($C135,Orders!$A$4:$J$998,3,FALSE),""))</f>
        <v/>
      </c>
      <c r="F135" s="40">
        <f t="shared" si="2"/>
        <v>1</v>
      </c>
      <c r="G135" s="40" t="str">
        <f>IF($C135="","",IFERROR(VLOOKUP($C135,Orders!$A$4:$J$998,4,FALSE),""))</f>
        <v/>
      </c>
      <c r="H135" s="40" t="str">
        <f>IF($C135="","",IFERROR(VLOOKUP($C135,Orders!$A$4:$J$998,5,FALSE),""))</f>
        <v/>
      </c>
      <c r="I135" s="40" t="str">
        <f>IF($C135="","",IFERROR(VLOOKUP($C135,Orders!$A$4:$J$998,6,FALSE),""))</f>
        <v/>
      </c>
      <c r="J135" s="40" t="str">
        <f>IF($C135="","",IFERROR(VLOOKUP($C135,Orders!$A$4:$J$998,7,FALSE),""))</f>
        <v/>
      </c>
      <c r="K135" s="40" t="str">
        <f>IF(Bids!$C134="","",Bids!$C134)</f>
        <v/>
      </c>
      <c r="L135" s="40" t="str">
        <f>IF($K135="","",IFERROR(VLOOKUP($K135,Grinders!$A$4:$N$998,2,FALSE),""))</f>
        <v/>
      </c>
      <c r="M135" s="40" t="str">
        <f>IF($K135="","",IFERROR(VLOOKUP($K135,Grinders!$A$4:$N$998,3,FALSE),""))</f>
        <v/>
      </c>
      <c r="N135" s="40" t="str">
        <f>IF($K135="","",IFERROR(VLOOKUP($K135,Grinders!$A$4:$N$998,4,FALSE),""))</f>
        <v/>
      </c>
      <c r="O135" s="40" t="str">
        <f>IF($K135="","",IFERROR(VLOOKUP($K135,Grinders!$A$4:$N$998,5,FALSE),""))</f>
        <v/>
      </c>
      <c r="P135" s="40" t="str">
        <f>IF($K135="","",IF($C$4="",0,COUNTIFS(Assignments!$B$6:$B$1000,$K135,Assignments!$F$6:$F$1000,$C$4,Assignments!$E$6:$E$1000,"Active")))</f>
        <v/>
      </c>
      <c r="Q135" s="40" t="str">
        <f t="shared" si="3"/>
        <v/>
      </c>
      <c r="R135" s="40" t="str">
        <f t="shared" si="4"/>
        <v/>
      </c>
      <c r="S135" s="40" t="str">
        <f>IF($K135="","",IF($C$4="",0,COUNTIFS(Assignments!$B$6:$B$1000,$K135,Assignments!$F$6:$F$1000,$C$4,Assignments!$D$6:$D$1000,"&gt;="&amp;Config!$B$3-7,Assignments!$D$6:$D$1000,"&lt;="&amp;Config!$B$3)))</f>
        <v/>
      </c>
      <c r="T135" s="40" t="str">
        <f>IF($K135="","",IFERROR(VLOOKUP($K135,Grinders!$A$4:$N$998,8,FALSE),""))</f>
        <v/>
      </c>
      <c r="U135" s="40" t="str">
        <f>IFERROR(IF($K135="","",IF($M135="Elite",MAX(50,MIN(100,Config!$B$27*MAX(0,MIN(100,(1-IF($R135="",0,$R135))*100)) + Config!$B$28*MAX(0,MIN(100,(1-MIN(1,IF(Config!$B$30=0,1,$S135/Config!$B$30)))*100)) + Config!$B$29*MAX(0,MIN(100,MIN(1,IF($T135="",0,$T135)/Config!$B$23)*100)))),MIN(100,Config!$B$27*MAX(0,MIN(100,(1-IF($R135="",0,$R135))*100)) + Config!$B$28*MAX(0,MIN(100,(1-MIN(1,IF(Config!$B$30=0,1,$S135/Config!$B$30)))*100)) + Config!$B$29*MAX(0,MIN(100,MIN(1,IF($T135="",0,$T135)/Config!$B$23)*100))))),"")
</f>
        <v/>
      </c>
      <c r="V135" s="40" t="str">
        <f>IF(Bids!$AC135="","",Bids!$AC135)</f>
        <v/>
      </c>
      <c r="W135" s="40" t="str">
        <f>IF(Bids!$F134="","",Bids!$F134)</f>
        <v/>
      </c>
      <c r="X135" s="40" t="str">
        <f t="shared" si="5"/>
        <v/>
      </c>
      <c r="Y135" s="40" t="str">
        <f>IF($X135="","",IF(Config!$B$17=Config!$B$16,IF($X135&gt;=Config!$B$17,100,0),MAX(0,MIN(100,($X135-Config!$B$16)/(Config!$B$17-Config!$B$16)*100))))</f>
        <v/>
      </c>
      <c r="Z135" s="40">
        <f>IF($M135="Elite",Config!$B$21,0)</f>
        <v>0</v>
      </c>
      <c r="AA135" s="40" t="str">
        <f>IFERROR(IF(OR($W135="",$H135=""),"",IF($W135&gt;$H135,
  MAX(0, 60-(($W135-$H135)*24/Config!$B$19)*60),
  MIN(100, 60+(($H135-$W135)*24/Config!$B$20)*40)
)),"")
</f>
        <v/>
      </c>
      <c r="AB135" s="40" t="str">
        <f>IF($K135="","",IFERROR(VLOOKUP($K135,Grinders!$A$4:$N$998,10,FALSE)/5*100,""))</f>
        <v/>
      </c>
      <c r="AC135" s="40" t="str">
        <f>IF($K135="","",IFERROR(VLOOKUP($K135,Grinders!$A$4:$N$998,11,FALSE)*100,""))</f>
        <v/>
      </c>
      <c r="AD135" s="40" t="str">
        <f>IF($K135="","",IFERROR(VLOOKUP($K135,Grinders!$A$4:$N$998,12,FALSE)*100,""))</f>
        <v/>
      </c>
      <c r="AE135" s="40" t="str">
        <f>IF(OR(AO135=1,AP135=1),0,=IFERROR(IFS(
    OR($C135="", $K135=""), 0,
    $F135=0, 0,
    $D135&lt;&gt;"Open", 0,
    COUNTIFS(GrinderServices!$A$6:$A$1000, $K135, GrinderServices!$B$6:$B$1000, $E135, GrinderServices!$D$6:$D$1000, "Y")=0, 0,
    $X135&lt;Config!$B$16, 0,
    Config!$B$18=1, IF($O135&gt;=N135, 0, 1),
    TRUE, 1
), "")
)</f>
        <v>#ERROR!</v>
      </c>
      <c r="AF135" s="40" t="str">
        <f>IFERROR((IF(OR(AO135=1,AP135=1),"",=IFERROR((IFERROR(IF($AE135=0,"",((Config!$B$6*$Y135 + Config!$B$7*$U135 + Config!$B$8*$Z135 + Config!$B$9*$AA135 + Config!$B$10*$AB135 + Config!$B$11*$AC135 - Config!$B$12*$AD135)/Config!$B$13)+$AK135+$AL135),""))*(1-IFERROR(VLOOKUP(K135,Grinders!$A:$AB, 28, FALSE),0)),"")))*(1+AR135),"")</f>
        <v>#ERROR!</v>
      </c>
      <c r="AG135" s="40" t="str">
        <f t="shared" si="6"/>
        <v>#ERROR!</v>
      </c>
      <c r="AH135" s="40" t="str">
        <f t="shared" si="7"/>
        <v/>
      </c>
      <c r="AI135" s="40" t="str">
        <f t="shared" si="8"/>
        <v/>
      </c>
      <c r="AJ135" s="40" t="str">
        <f>IF($K135="","",COUNTIF(Assignments!$B$6:$B$1000,$K135))</f>
        <v/>
      </c>
      <c r="AK135" s="40" t="str">
        <f>IF($K135="","",IF(AND($AJ135=0,$O135&lt;$N135),Config!$B$43,0))</f>
        <v/>
      </c>
      <c r="AL135" s="40" t="str">
        <f>IF($K135="","",IF(AND($M135="Elite",$G135&gt;=Config!$B$41,$O135&lt;$N135),Config!$B$42,0))</f>
        <v/>
      </c>
      <c r="AM135" s="22"/>
      <c r="AN135" s="39">
        <f>IFERROR(VLOOKUP(K135,Grinders!$A:$Q,28,FALSE),0)</f>
        <v>0</v>
      </c>
      <c r="AO135" s="39">
        <f>IF(Config!$B$1003&lt;&gt;"Y",0,IF(IFERROR(VLOOKUP(K135,Grinders!$A:$P,27,FALSE),0)&gt;=3,IF(OR(G135&gt;=Config!$B$1001,ISNUMBER(SEARCH(E135,Config!$B$1002))),1,0),0))</f>
        <v>0</v>
      </c>
      <c r="AP135" s="39">
        <f t="array" ref="AP135">IFERROR(IF(INDEX(Bids!$AE:$AE,MATCH(B135,Bids!$A:$A,0))="Pending",1,0),0)</f>
        <v>0</v>
      </c>
      <c r="AQ135" s="39" t="str">
        <f t="array" ref="AQ135">IF(C135="","",IFERROR(XLOOKUP(C135,Assignments!$C:$C,Assignments!$AU:$AU,0),0))</f>
        <v/>
      </c>
      <c r="AR135" s="39">
        <f>IF(AND(Config!$B$1006="Y",AQ135=1),Config!$B$1007,0)</f>
        <v>0</v>
      </c>
    </row>
    <row r="136" ht="15.75" customHeight="1">
      <c r="A136" s="46" t="str">
        <f t="shared" si="1"/>
        <v/>
      </c>
      <c r="B136" s="40" t="str">
        <f>IF(Bids!$A135="","",Bids!$A135)</f>
        <v/>
      </c>
      <c r="C136" s="40" t="str">
        <f>IF(Bids!$B135="","",Bids!$B135)</f>
        <v/>
      </c>
      <c r="D136" s="40" t="str">
        <f>IF($C136="","",IFERROR(VLOOKUP($C136,Orders!$A$4:$J$998,9,FALSE),""))</f>
        <v/>
      </c>
      <c r="E136" s="40" t="str">
        <f>IF($C136="","",IFERROR(VLOOKUP($C136,Orders!$A$4:$J$998,3,FALSE),""))</f>
        <v/>
      </c>
      <c r="F136" s="40">
        <f t="shared" si="2"/>
        <v>1</v>
      </c>
      <c r="G136" s="40" t="str">
        <f>IF($C136="","",IFERROR(VLOOKUP($C136,Orders!$A$4:$J$998,4,FALSE),""))</f>
        <v/>
      </c>
      <c r="H136" s="40" t="str">
        <f>IF($C136="","",IFERROR(VLOOKUP($C136,Orders!$A$4:$J$998,5,FALSE),""))</f>
        <v/>
      </c>
      <c r="I136" s="40" t="str">
        <f>IF($C136="","",IFERROR(VLOOKUP($C136,Orders!$A$4:$J$998,6,FALSE),""))</f>
        <v/>
      </c>
      <c r="J136" s="40" t="str">
        <f>IF($C136="","",IFERROR(VLOOKUP($C136,Orders!$A$4:$J$998,7,FALSE),""))</f>
        <v/>
      </c>
      <c r="K136" s="40" t="str">
        <f>IF(Bids!$C135="","",Bids!$C135)</f>
        <v/>
      </c>
      <c r="L136" s="40" t="str">
        <f>IF($K136="","",IFERROR(VLOOKUP($K136,Grinders!$A$4:$N$998,2,FALSE),""))</f>
        <v/>
      </c>
      <c r="M136" s="40" t="str">
        <f>IF($K136="","",IFERROR(VLOOKUP($K136,Grinders!$A$4:$N$998,3,FALSE),""))</f>
        <v/>
      </c>
      <c r="N136" s="40" t="str">
        <f>IF($K136="","",IFERROR(VLOOKUP($K136,Grinders!$A$4:$N$998,4,FALSE),""))</f>
        <v/>
      </c>
      <c r="O136" s="40" t="str">
        <f>IF($K136="","",IFERROR(VLOOKUP($K136,Grinders!$A$4:$N$998,5,FALSE),""))</f>
        <v/>
      </c>
      <c r="P136" s="40" t="str">
        <f>IF($K136="","",IF($C$4="",0,COUNTIFS(Assignments!$B$6:$B$1000,$K136,Assignments!$F$6:$F$1000,$C$4,Assignments!$E$6:$E$1000,"Active")))</f>
        <v/>
      </c>
      <c r="Q136" s="40" t="str">
        <f t="shared" si="3"/>
        <v/>
      </c>
      <c r="R136" s="40" t="str">
        <f t="shared" si="4"/>
        <v/>
      </c>
      <c r="S136" s="40" t="str">
        <f>IF($K136="","",IF($C$4="",0,COUNTIFS(Assignments!$B$6:$B$1000,$K136,Assignments!$F$6:$F$1000,$C$4,Assignments!$D$6:$D$1000,"&gt;="&amp;Config!$B$3-7,Assignments!$D$6:$D$1000,"&lt;="&amp;Config!$B$3)))</f>
        <v/>
      </c>
      <c r="T136" s="40" t="str">
        <f>IF($K136="","",IFERROR(VLOOKUP($K136,Grinders!$A$4:$N$998,8,FALSE),""))</f>
        <v/>
      </c>
      <c r="U136" s="40" t="str">
        <f>IFERROR(IF($K136="","",IF($M136="Elite",MAX(50,MIN(100,Config!$B$27*MAX(0,MIN(100,(1-IF($R136="",0,$R136))*100)) + Config!$B$28*MAX(0,MIN(100,(1-MIN(1,IF(Config!$B$30=0,1,$S136/Config!$B$30)))*100)) + Config!$B$29*MAX(0,MIN(100,MIN(1,IF($T136="",0,$T136)/Config!$B$23)*100)))),MIN(100,Config!$B$27*MAX(0,MIN(100,(1-IF($R136="",0,$R136))*100)) + Config!$B$28*MAX(0,MIN(100,(1-MIN(1,IF(Config!$B$30=0,1,$S136/Config!$B$30)))*100)) + Config!$B$29*MAX(0,MIN(100,MIN(1,IF($T136="",0,$T136)/Config!$B$23)*100))))),"")
</f>
        <v/>
      </c>
      <c r="V136" s="40" t="str">
        <f>IF(Bids!$AC136="","",Bids!$AC136)</f>
        <v/>
      </c>
      <c r="W136" s="40" t="str">
        <f>IF(Bids!$F135="","",Bids!$F135)</f>
        <v/>
      </c>
      <c r="X136" s="40" t="str">
        <f t="shared" si="5"/>
        <v/>
      </c>
      <c r="Y136" s="40" t="str">
        <f>IF($X136="","",IF(Config!$B$17=Config!$B$16,IF($X136&gt;=Config!$B$17,100,0),MAX(0,MIN(100,($X136-Config!$B$16)/(Config!$B$17-Config!$B$16)*100))))</f>
        <v/>
      </c>
      <c r="Z136" s="40">
        <f>IF($M136="Elite",Config!$B$21,0)</f>
        <v>0</v>
      </c>
      <c r="AA136" s="40" t="str">
        <f>IFERROR(IF(OR($W136="",$H136=""),"",IF($W136&gt;$H136,
  MAX(0, 60-(($W136-$H136)*24/Config!$B$19)*60),
  MIN(100, 60+(($H136-$W136)*24/Config!$B$20)*40)
)),"")
</f>
        <v/>
      </c>
      <c r="AB136" s="40" t="str">
        <f>IF($K136="","",IFERROR(VLOOKUP($K136,Grinders!$A$4:$N$998,10,FALSE)/5*100,""))</f>
        <v/>
      </c>
      <c r="AC136" s="40" t="str">
        <f>IF($K136="","",IFERROR(VLOOKUP($K136,Grinders!$A$4:$N$998,11,FALSE)*100,""))</f>
        <v/>
      </c>
      <c r="AD136" s="40" t="str">
        <f>IF($K136="","",IFERROR(VLOOKUP($K136,Grinders!$A$4:$N$998,12,FALSE)*100,""))</f>
        <v/>
      </c>
      <c r="AE136" s="40" t="str">
        <f>IF(OR(AO136=1,AP136=1),0,=IFERROR(IFS(
    OR($C136="", $K136=""), 0,
    $F136=0, 0,
    $D136&lt;&gt;"Open", 0,
    COUNTIFS(GrinderServices!$A$6:$A$1000, $K136, GrinderServices!$B$6:$B$1000, $E136, GrinderServices!$D$6:$D$1000, "Y")=0, 0,
    $X136&lt;Config!$B$16, 0,
    Config!$B$18=1, IF($O136&gt;=N136, 0, 1),
    TRUE, 1
), "")
)</f>
        <v>#ERROR!</v>
      </c>
      <c r="AF136" s="40" t="str">
        <f>IFERROR((IF(OR(AO136=1,AP136=1),"",=IFERROR((IFERROR(IF($AE136=0,"",((Config!$B$6*$Y136 + Config!$B$7*$U136 + Config!$B$8*$Z136 + Config!$B$9*$AA136 + Config!$B$10*$AB136 + Config!$B$11*$AC136 - Config!$B$12*$AD136)/Config!$B$13)+$AK136+$AL136),""))*(1-IFERROR(VLOOKUP(K136,Grinders!$A:$AB, 28, FALSE),0)),"")))*(1+AR136),"")</f>
        <v>#ERROR!</v>
      </c>
      <c r="AG136" s="40" t="str">
        <f t="shared" si="6"/>
        <v>#ERROR!</v>
      </c>
      <c r="AH136" s="40" t="str">
        <f t="shared" si="7"/>
        <v/>
      </c>
      <c r="AI136" s="40" t="str">
        <f t="shared" si="8"/>
        <v/>
      </c>
      <c r="AJ136" s="40" t="str">
        <f>IF($K136="","",COUNTIF(Assignments!$B$6:$B$1000,$K136))</f>
        <v/>
      </c>
      <c r="AK136" s="40" t="str">
        <f>IF($K136="","",IF(AND($AJ136=0,$O136&lt;$N136),Config!$B$43,0))</f>
        <v/>
      </c>
      <c r="AL136" s="40" t="str">
        <f>IF($K136="","",IF(AND($M136="Elite",$G136&gt;=Config!$B$41,$O136&lt;$N136),Config!$B$42,0))</f>
        <v/>
      </c>
      <c r="AM136" s="22"/>
      <c r="AN136" s="39">
        <f>IFERROR(VLOOKUP(K136,Grinders!$A:$Q,28,FALSE),0)</f>
        <v>0</v>
      </c>
      <c r="AO136" s="39">
        <f>IF(Config!$B$1003&lt;&gt;"Y",0,IF(IFERROR(VLOOKUP(K136,Grinders!$A:$P,27,FALSE),0)&gt;=3,IF(OR(G136&gt;=Config!$B$1001,ISNUMBER(SEARCH(E136,Config!$B$1002))),1,0),0))</f>
        <v>0</v>
      </c>
      <c r="AP136" s="39">
        <f t="array" ref="AP136">IFERROR(IF(INDEX(Bids!$AE:$AE,MATCH(B136,Bids!$A:$A,0))="Pending",1,0),0)</f>
        <v>0</v>
      </c>
      <c r="AQ136" s="39" t="str">
        <f t="array" ref="AQ136">IF(C136="","",IFERROR(XLOOKUP(C136,Assignments!$C:$C,Assignments!$AU:$AU,0),0))</f>
        <v/>
      </c>
      <c r="AR136" s="39">
        <f>IF(AND(Config!$B$1006="Y",AQ136=1),Config!$B$1007,0)</f>
        <v>0</v>
      </c>
    </row>
    <row r="137" ht="15.75" customHeight="1">
      <c r="A137" s="46" t="str">
        <f t="shared" si="1"/>
        <v/>
      </c>
      <c r="B137" s="40" t="str">
        <f>IF(Bids!$A136="","",Bids!$A136)</f>
        <v/>
      </c>
      <c r="C137" s="40" t="str">
        <f>IF(Bids!$B136="","",Bids!$B136)</f>
        <v/>
      </c>
      <c r="D137" s="40" t="str">
        <f>IF($C137="","",IFERROR(VLOOKUP($C137,Orders!$A$4:$J$998,9,FALSE),""))</f>
        <v/>
      </c>
      <c r="E137" s="40" t="str">
        <f>IF($C137="","",IFERROR(VLOOKUP($C137,Orders!$A$4:$J$998,3,FALSE),""))</f>
        <v/>
      </c>
      <c r="F137" s="40">
        <f t="shared" si="2"/>
        <v>1</v>
      </c>
      <c r="G137" s="40" t="str">
        <f>IF($C137="","",IFERROR(VLOOKUP($C137,Orders!$A$4:$J$998,4,FALSE),""))</f>
        <v/>
      </c>
      <c r="H137" s="40" t="str">
        <f>IF($C137="","",IFERROR(VLOOKUP($C137,Orders!$A$4:$J$998,5,FALSE),""))</f>
        <v/>
      </c>
      <c r="I137" s="40" t="str">
        <f>IF($C137="","",IFERROR(VLOOKUP($C137,Orders!$A$4:$J$998,6,FALSE),""))</f>
        <v/>
      </c>
      <c r="J137" s="40" t="str">
        <f>IF($C137="","",IFERROR(VLOOKUP($C137,Orders!$A$4:$J$998,7,FALSE),""))</f>
        <v/>
      </c>
      <c r="K137" s="40" t="str">
        <f>IF(Bids!$C136="","",Bids!$C136)</f>
        <v/>
      </c>
      <c r="L137" s="40" t="str">
        <f>IF($K137="","",IFERROR(VLOOKUP($K137,Grinders!$A$4:$N$998,2,FALSE),""))</f>
        <v/>
      </c>
      <c r="M137" s="40" t="str">
        <f>IF($K137="","",IFERROR(VLOOKUP($K137,Grinders!$A$4:$N$998,3,FALSE),""))</f>
        <v/>
      </c>
      <c r="N137" s="40" t="str">
        <f>IF($K137="","",IFERROR(VLOOKUP($K137,Grinders!$A$4:$N$998,4,FALSE),""))</f>
        <v/>
      </c>
      <c r="O137" s="40" t="str">
        <f>IF($K137="","",IFERROR(VLOOKUP($K137,Grinders!$A$4:$N$998,5,FALSE),""))</f>
        <v/>
      </c>
      <c r="P137" s="40" t="str">
        <f>IF($K137="","",IF($C$4="",0,COUNTIFS(Assignments!$B$6:$B$1000,$K137,Assignments!$F$6:$F$1000,$C$4,Assignments!$E$6:$E$1000,"Active")))</f>
        <v/>
      </c>
      <c r="Q137" s="40" t="str">
        <f t="shared" si="3"/>
        <v/>
      </c>
      <c r="R137" s="40" t="str">
        <f t="shared" si="4"/>
        <v/>
      </c>
      <c r="S137" s="40" t="str">
        <f>IF($K137="","",IF($C$4="",0,COUNTIFS(Assignments!$B$6:$B$1000,$K137,Assignments!$F$6:$F$1000,$C$4,Assignments!$D$6:$D$1000,"&gt;="&amp;Config!$B$3-7,Assignments!$D$6:$D$1000,"&lt;="&amp;Config!$B$3)))</f>
        <v/>
      </c>
      <c r="T137" s="40" t="str">
        <f>IF($K137="","",IFERROR(VLOOKUP($K137,Grinders!$A$4:$N$998,8,FALSE),""))</f>
        <v/>
      </c>
      <c r="U137" s="40" t="str">
        <f>IFERROR(IF($K137="","",IF($M137="Elite",MAX(50,MIN(100,Config!$B$27*MAX(0,MIN(100,(1-IF($R137="",0,$R137))*100)) + Config!$B$28*MAX(0,MIN(100,(1-MIN(1,IF(Config!$B$30=0,1,$S137/Config!$B$30)))*100)) + Config!$B$29*MAX(0,MIN(100,MIN(1,IF($T137="",0,$T137)/Config!$B$23)*100)))),MIN(100,Config!$B$27*MAX(0,MIN(100,(1-IF($R137="",0,$R137))*100)) + Config!$B$28*MAX(0,MIN(100,(1-MIN(1,IF(Config!$B$30=0,1,$S137/Config!$B$30)))*100)) + Config!$B$29*MAX(0,MIN(100,MIN(1,IF($T137="",0,$T137)/Config!$B$23)*100))))),"")
</f>
        <v/>
      </c>
      <c r="V137" s="40" t="str">
        <f>IF(Bids!$AC137="","",Bids!$AC137)</f>
        <v/>
      </c>
      <c r="W137" s="40" t="str">
        <f>IF(Bids!$F136="","",Bids!$F136)</f>
        <v/>
      </c>
      <c r="X137" s="40" t="str">
        <f t="shared" si="5"/>
        <v/>
      </c>
      <c r="Y137" s="40" t="str">
        <f>IF($X137="","",IF(Config!$B$17=Config!$B$16,IF($X137&gt;=Config!$B$17,100,0),MAX(0,MIN(100,($X137-Config!$B$16)/(Config!$B$17-Config!$B$16)*100))))</f>
        <v/>
      </c>
      <c r="Z137" s="40">
        <f>IF($M137="Elite",Config!$B$21,0)</f>
        <v>0</v>
      </c>
      <c r="AA137" s="40" t="str">
        <f>IFERROR(IF(OR($W137="",$H137=""),"",IF($W137&gt;$H137,
  MAX(0, 60-(($W137-$H137)*24/Config!$B$19)*60),
  MIN(100, 60+(($H137-$W137)*24/Config!$B$20)*40)
)),"")
</f>
        <v/>
      </c>
      <c r="AB137" s="40" t="str">
        <f>IF($K137="","",IFERROR(VLOOKUP($K137,Grinders!$A$4:$N$998,10,FALSE)/5*100,""))</f>
        <v/>
      </c>
      <c r="AC137" s="40" t="str">
        <f>IF($K137="","",IFERROR(VLOOKUP($K137,Grinders!$A$4:$N$998,11,FALSE)*100,""))</f>
        <v/>
      </c>
      <c r="AD137" s="40" t="str">
        <f>IF($K137="","",IFERROR(VLOOKUP($K137,Grinders!$A$4:$N$998,12,FALSE)*100,""))</f>
        <v/>
      </c>
      <c r="AE137" s="40" t="str">
        <f>IF(OR(AO137=1,AP137=1),0,=IFERROR(IFS(
    OR($C137="", $K137=""), 0,
    $F137=0, 0,
    $D137&lt;&gt;"Open", 0,
    COUNTIFS(GrinderServices!$A$6:$A$1000, $K137, GrinderServices!$B$6:$B$1000, $E137, GrinderServices!$D$6:$D$1000, "Y")=0, 0,
    $X137&lt;Config!$B$16, 0,
    Config!$B$18=1, IF($O137&gt;=N137, 0, 1),
    TRUE, 1
), "")
)</f>
        <v>#ERROR!</v>
      </c>
      <c r="AF137" s="40" t="str">
        <f>IFERROR((IF(OR(AO137=1,AP137=1),"",=IFERROR((IFERROR(IF($AE137=0,"",((Config!$B$6*$Y137 + Config!$B$7*$U137 + Config!$B$8*$Z137 + Config!$B$9*$AA137 + Config!$B$10*$AB137 + Config!$B$11*$AC137 - Config!$B$12*$AD137)/Config!$B$13)+$AK137+$AL137),""))*(1-IFERROR(VLOOKUP(K137,Grinders!$A:$AB, 28, FALSE),0)),"")))*(1+AR137),"")</f>
        <v>#ERROR!</v>
      </c>
      <c r="AG137" s="40" t="str">
        <f t="shared" si="6"/>
        <v>#ERROR!</v>
      </c>
      <c r="AH137" s="40" t="str">
        <f t="shared" si="7"/>
        <v/>
      </c>
      <c r="AI137" s="40" t="str">
        <f t="shared" si="8"/>
        <v/>
      </c>
      <c r="AJ137" s="40" t="str">
        <f>IF($K137="","",COUNTIF(Assignments!$B$6:$B$1000,$K137))</f>
        <v/>
      </c>
      <c r="AK137" s="40" t="str">
        <f>IF($K137="","",IF(AND($AJ137=0,$O137&lt;$N137),Config!$B$43,0))</f>
        <v/>
      </c>
      <c r="AL137" s="40" t="str">
        <f>IF($K137="","",IF(AND($M137="Elite",$G137&gt;=Config!$B$41,$O137&lt;$N137),Config!$B$42,0))</f>
        <v/>
      </c>
      <c r="AM137" s="22"/>
      <c r="AN137" s="39">
        <f>IFERROR(VLOOKUP(K137,Grinders!$A:$Q,28,FALSE),0)</f>
        <v>0</v>
      </c>
      <c r="AO137" s="39">
        <f>IF(Config!$B$1003&lt;&gt;"Y",0,IF(IFERROR(VLOOKUP(K137,Grinders!$A:$P,27,FALSE),0)&gt;=3,IF(OR(G137&gt;=Config!$B$1001,ISNUMBER(SEARCH(E137,Config!$B$1002))),1,0),0))</f>
        <v>0</v>
      </c>
      <c r="AP137" s="39">
        <f t="array" ref="AP137">IFERROR(IF(INDEX(Bids!$AE:$AE,MATCH(B137,Bids!$A:$A,0))="Pending",1,0),0)</f>
        <v>0</v>
      </c>
      <c r="AQ137" s="39" t="str">
        <f t="array" ref="AQ137">IF(C137="","",IFERROR(XLOOKUP(C137,Assignments!$C:$C,Assignments!$AU:$AU,0),0))</f>
        <v/>
      </c>
      <c r="AR137" s="39">
        <f>IF(AND(Config!$B$1006="Y",AQ137=1),Config!$B$1007,0)</f>
        <v>0</v>
      </c>
    </row>
    <row r="138" ht="15.75" customHeight="1">
      <c r="A138" s="46" t="str">
        <f t="shared" si="1"/>
        <v/>
      </c>
      <c r="B138" s="40" t="str">
        <f>IF(Bids!$A137="","",Bids!$A137)</f>
        <v/>
      </c>
      <c r="C138" s="40" t="str">
        <f>IF(Bids!$B137="","",Bids!$B137)</f>
        <v/>
      </c>
      <c r="D138" s="40" t="str">
        <f>IF($C138="","",IFERROR(VLOOKUP($C138,Orders!$A$4:$J$998,9,FALSE),""))</f>
        <v/>
      </c>
      <c r="E138" s="40" t="str">
        <f>IF($C138="","",IFERROR(VLOOKUP($C138,Orders!$A$4:$J$998,3,FALSE),""))</f>
        <v/>
      </c>
      <c r="F138" s="40">
        <f t="shared" si="2"/>
        <v>1</v>
      </c>
      <c r="G138" s="40" t="str">
        <f>IF($C138="","",IFERROR(VLOOKUP($C138,Orders!$A$4:$J$998,4,FALSE),""))</f>
        <v/>
      </c>
      <c r="H138" s="40" t="str">
        <f>IF($C138="","",IFERROR(VLOOKUP($C138,Orders!$A$4:$J$998,5,FALSE),""))</f>
        <v/>
      </c>
      <c r="I138" s="40" t="str">
        <f>IF($C138="","",IFERROR(VLOOKUP($C138,Orders!$A$4:$J$998,6,FALSE),""))</f>
        <v/>
      </c>
      <c r="J138" s="40" t="str">
        <f>IF($C138="","",IFERROR(VLOOKUP($C138,Orders!$A$4:$J$998,7,FALSE),""))</f>
        <v/>
      </c>
      <c r="K138" s="40" t="str">
        <f>IF(Bids!$C137="","",Bids!$C137)</f>
        <v/>
      </c>
      <c r="L138" s="40" t="str">
        <f>IF($K138="","",IFERROR(VLOOKUP($K138,Grinders!$A$4:$N$998,2,FALSE),""))</f>
        <v/>
      </c>
      <c r="M138" s="40" t="str">
        <f>IF($K138="","",IFERROR(VLOOKUP($K138,Grinders!$A$4:$N$998,3,FALSE),""))</f>
        <v/>
      </c>
      <c r="N138" s="40" t="str">
        <f>IF($K138="","",IFERROR(VLOOKUP($K138,Grinders!$A$4:$N$998,4,FALSE),""))</f>
        <v/>
      </c>
      <c r="O138" s="40" t="str">
        <f>IF($K138="","",IFERROR(VLOOKUP($K138,Grinders!$A$4:$N$998,5,FALSE),""))</f>
        <v/>
      </c>
      <c r="P138" s="40" t="str">
        <f>IF($K138="","",IF($C$4="",0,COUNTIFS(Assignments!$B$6:$B$1000,$K138,Assignments!$F$6:$F$1000,$C$4,Assignments!$E$6:$E$1000,"Active")))</f>
        <v/>
      </c>
      <c r="Q138" s="40" t="str">
        <f t="shared" si="3"/>
        <v/>
      </c>
      <c r="R138" s="40" t="str">
        <f t="shared" si="4"/>
        <v/>
      </c>
      <c r="S138" s="40" t="str">
        <f>IF($K138="","",IF($C$4="",0,COUNTIFS(Assignments!$B$6:$B$1000,$K138,Assignments!$F$6:$F$1000,$C$4,Assignments!$D$6:$D$1000,"&gt;="&amp;Config!$B$3-7,Assignments!$D$6:$D$1000,"&lt;="&amp;Config!$B$3)))</f>
        <v/>
      </c>
      <c r="T138" s="40" t="str">
        <f>IF($K138="","",IFERROR(VLOOKUP($K138,Grinders!$A$4:$N$998,8,FALSE),""))</f>
        <v/>
      </c>
      <c r="U138" s="40" t="str">
        <f>IFERROR(IF($K138="","",IF($M138="Elite",MAX(50,MIN(100,Config!$B$27*MAX(0,MIN(100,(1-IF($R138="",0,$R138))*100)) + Config!$B$28*MAX(0,MIN(100,(1-MIN(1,IF(Config!$B$30=0,1,$S138/Config!$B$30)))*100)) + Config!$B$29*MAX(0,MIN(100,MIN(1,IF($T138="",0,$T138)/Config!$B$23)*100)))),MIN(100,Config!$B$27*MAX(0,MIN(100,(1-IF($R138="",0,$R138))*100)) + Config!$B$28*MAX(0,MIN(100,(1-MIN(1,IF(Config!$B$30=0,1,$S138/Config!$B$30)))*100)) + Config!$B$29*MAX(0,MIN(100,MIN(1,IF($T138="",0,$T138)/Config!$B$23)*100))))),"")
</f>
        <v/>
      </c>
      <c r="V138" s="40" t="str">
        <f>IF(Bids!$AC138="","",Bids!$AC138)</f>
        <v/>
      </c>
      <c r="W138" s="40" t="str">
        <f>IF(Bids!$F137="","",Bids!$F137)</f>
        <v/>
      </c>
      <c r="X138" s="40" t="str">
        <f t="shared" si="5"/>
        <v/>
      </c>
      <c r="Y138" s="40" t="str">
        <f>IF($X138="","",IF(Config!$B$17=Config!$B$16,IF($X138&gt;=Config!$B$17,100,0),MAX(0,MIN(100,($X138-Config!$B$16)/(Config!$B$17-Config!$B$16)*100))))</f>
        <v/>
      </c>
      <c r="Z138" s="40">
        <f>IF($M138="Elite",Config!$B$21,0)</f>
        <v>0</v>
      </c>
      <c r="AA138" s="40" t="str">
        <f>IFERROR(IF(OR($W138="",$H138=""),"",IF($W138&gt;$H138,
  MAX(0, 60-(($W138-$H138)*24/Config!$B$19)*60),
  MIN(100, 60+(($H138-$W138)*24/Config!$B$20)*40)
)),"")
</f>
        <v/>
      </c>
      <c r="AB138" s="40" t="str">
        <f>IF($K138="","",IFERROR(VLOOKUP($K138,Grinders!$A$4:$N$998,10,FALSE)/5*100,""))</f>
        <v/>
      </c>
      <c r="AC138" s="40" t="str">
        <f>IF($K138="","",IFERROR(VLOOKUP($K138,Grinders!$A$4:$N$998,11,FALSE)*100,""))</f>
        <v/>
      </c>
      <c r="AD138" s="40" t="str">
        <f>IF($K138="","",IFERROR(VLOOKUP($K138,Grinders!$A$4:$N$998,12,FALSE)*100,""))</f>
        <v/>
      </c>
      <c r="AE138" s="40" t="str">
        <f>IF(OR(AO138=1,AP138=1),0,=IFERROR(IFS(
    OR($C138="", $K138=""), 0,
    $F138=0, 0,
    $D138&lt;&gt;"Open", 0,
    COUNTIFS(GrinderServices!$A$6:$A$1000, $K138, GrinderServices!$B$6:$B$1000, $E138, GrinderServices!$D$6:$D$1000, "Y")=0, 0,
    $X138&lt;Config!$B$16, 0,
    Config!$B$18=1, IF($O138&gt;=N138, 0, 1),
    TRUE, 1
), "")
)</f>
        <v>#ERROR!</v>
      </c>
      <c r="AF138" s="40" t="str">
        <f>IFERROR((IF(OR(AO138=1,AP138=1),"",=IFERROR((IFERROR(IF($AE138=0,"",((Config!$B$6*$Y138 + Config!$B$7*$U138 + Config!$B$8*$Z138 + Config!$B$9*$AA138 + Config!$B$10*$AB138 + Config!$B$11*$AC138 - Config!$B$12*$AD138)/Config!$B$13)+$AK138+$AL138),""))*(1-IFERROR(VLOOKUP(K138,Grinders!$A:$AB, 28, FALSE),0)),"")))*(1+AR138),"")</f>
        <v>#ERROR!</v>
      </c>
      <c r="AG138" s="40" t="str">
        <f t="shared" si="6"/>
        <v>#ERROR!</v>
      </c>
      <c r="AH138" s="40" t="str">
        <f t="shared" si="7"/>
        <v/>
      </c>
      <c r="AI138" s="40" t="str">
        <f t="shared" si="8"/>
        <v/>
      </c>
      <c r="AJ138" s="40" t="str">
        <f>IF($K138="","",COUNTIF(Assignments!$B$6:$B$1000,$K138))</f>
        <v/>
      </c>
      <c r="AK138" s="40" t="str">
        <f>IF($K138="","",IF(AND($AJ138=0,$O138&lt;$N138),Config!$B$43,0))</f>
        <v/>
      </c>
      <c r="AL138" s="40" t="str">
        <f>IF($K138="","",IF(AND($M138="Elite",$G138&gt;=Config!$B$41,$O138&lt;$N138),Config!$B$42,0))</f>
        <v/>
      </c>
      <c r="AM138" s="22"/>
      <c r="AN138" s="39">
        <f>IFERROR(VLOOKUP(K138,Grinders!$A:$Q,28,FALSE),0)</f>
        <v>0</v>
      </c>
      <c r="AO138" s="39">
        <f>IF(Config!$B$1003&lt;&gt;"Y",0,IF(IFERROR(VLOOKUP(K138,Grinders!$A:$P,27,FALSE),0)&gt;=3,IF(OR(G138&gt;=Config!$B$1001,ISNUMBER(SEARCH(E138,Config!$B$1002))),1,0),0))</f>
        <v>0</v>
      </c>
      <c r="AP138" s="39">
        <f t="array" ref="AP138">IFERROR(IF(INDEX(Bids!$AE:$AE,MATCH(B138,Bids!$A:$A,0))="Pending",1,0),0)</f>
        <v>0</v>
      </c>
      <c r="AQ138" s="39" t="str">
        <f t="array" ref="AQ138">IF(C138="","",IFERROR(XLOOKUP(C138,Assignments!$C:$C,Assignments!$AU:$AU,0),0))</f>
        <v/>
      </c>
      <c r="AR138" s="39">
        <f>IF(AND(Config!$B$1006="Y",AQ138=1),Config!$B$1007,0)</f>
        <v>0</v>
      </c>
    </row>
    <row r="139" ht="15.75" customHeight="1">
      <c r="A139" s="46" t="str">
        <f t="shared" si="1"/>
        <v/>
      </c>
      <c r="B139" s="40" t="str">
        <f>IF(Bids!$A138="","",Bids!$A138)</f>
        <v/>
      </c>
      <c r="C139" s="40" t="str">
        <f>IF(Bids!$B138="","",Bids!$B138)</f>
        <v/>
      </c>
      <c r="D139" s="40" t="str">
        <f>IF($C139="","",IFERROR(VLOOKUP($C139,Orders!$A$4:$J$998,9,FALSE),""))</f>
        <v/>
      </c>
      <c r="E139" s="40" t="str">
        <f>IF($C139="","",IFERROR(VLOOKUP($C139,Orders!$A$4:$J$998,3,FALSE),""))</f>
        <v/>
      </c>
      <c r="F139" s="40">
        <f t="shared" si="2"/>
        <v>1</v>
      </c>
      <c r="G139" s="40" t="str">
        <f>IF($C139="","",IFERROR(VLOOKUP($C139,Orders!$A$4:$J$998,4,FALSE),""))</f>
        <v/>
      </c>
      <c r="H139" s="40" t="str">
        <f>IF($C139="","",IFERROR(VLOOKUP($C139,Orders!$A$4:$J$998,5,FALSE),""))</f>
        <v/>
      </c>
      <c r="I139" s="40" t="str">
        <f>IF($C139="","",IFERROR(VLOOKUP($C139,Orders!$A$4:$J$998,6,FALSE),""))</f>
        <v/>
      </c>
      <c r="J139" s="40" t="str">
        <f>IF($C139="","",IFERROR(VLOOKUP($C139,Orders!$A$4:$J$998,7,FALSE),""))</f>
        <v/>
      </c>
      <c r="K139" s="40" t="str">
        <f>IF(Bids!$C138="","",Bids!$C138)</f>
        <v/>
      </c>
      <c r="L139" s="40" t="str">
        <f>IF($K139="","",IFERROR(VLOOKUP($K139,Grinders!$A$4:$N$998,2,FALSE),""))</f>
        <v/>
      </c>
      <c r="M139" s="40" t="str">
        <f>IF($K139="","",IFERROR(VLOOKUP($K139,Grinders!$A$4:$N$998,3,FALSE),""))</f>
        <v/>
      </c>
      <c r="N139" s="40" t="str">
        <f>IF($K139="","",IFERROR(VLOOKUP($K139,Grinders!$A$4:$N$998,4,FALSE),""))</f>
        <v/>
      </c>
      <c r="O139" s="40" t="str">
        <f>IF($K139="","",IFERROR(VLOOKUP($K139,Grinders!$A$4:$N$998,5,FALSE),""))</f>
        <v/>
      </c>
      <c r="P139" s="40" t="str">
        <f>IF($K139="","",IF($C$4="",0,COUNTIFS(Assignments!$B$6:$B$1000,$K139,Assignments!$F$6:$F$1000,$C$4,Assignments!$E$6:$E$1000,"Active")))</f>
        <v/>
      </c>
      <c r="Q139" s="40" t="str">
        <f t="shared" si="3"/>
        <v/>
      </c>
      <c r="R139" s="40" t="str">
        <f t="shared" si="4"/>
        <v/>
      </c>
      <c r="S139" s="40" t="str">
        <f>IF($K139="","",IF($C$4="",0,COUNTIFS(Assignments!$B$6:$B$1000,$K139,Assignments!$F$6:$F$1000,$C$4,Assignments!$D$6:$D$1000,"&gt;="&amp;Config!$B$3-7,Assignments!$D$6:$D$1000,"&lt;="&amp;Config!$B$3)))</f>
        <v/>
      </c>
      <c r="T139" s="40" t="str">
        <f>IF($K139="","",IFERROR(VLOOKUP($K139,Grinders!$A$4:$N$998,8,FALSE),""))</f>
        <v/>
      </c>
      <c r="U139" s="40" t="str">
        <f>IFERROR(IF($K139="","",IF($M139="Elite",MAX(50,MIN(100,Config!$B$27*MAX(0,MIN(100,(1-IF($R139="",0,$R139))*100)) + Config!$B$28*MAX(0,MIN(100,(1-MIN(1,IF(Config!$B$30=0,1,$S139/Config!$B$30)))*100)) + Config!$B$29*MAX(0,MIN(100,MIN(1,IF($T139="",0,$T139)/Config!$B$23)*100)))),MIN(100,Config!$B$27*MAX(0,MIN(100,(1-IF($R139="",0,$R139))*100)) + Config!$B$28*MAX(0,MIN(100,(1-MIN(1,IF(Config!$B$30=0,1,$S139/Config!$B$30)))*100)) + Config!$B$29*MAX(0,MIN(100,MIN(1,IF($T139="",0,$T139)/Config!$B$23)*100))))),"")
</f>
        <v/>
      </c>
      <c r="V139" s="40" t="str">
        <f>IF(Bids!$AC139="","",Bids!$AC139)</f>
        <v/>
      </c>
      <c r="W139" s="40" t="str">
        <f>IF(Bids!$F138="","",Bids!$F138)</f>
        <v/>
      </c>
      <c r="X139" s="40" t="str">
        <f t="shared" si="5"/>
        <v/>
      </c>
      <c r="Y139" s="40" t="str">
        <f>IF($X139="","",IF(Config!$B$17=Config!$B$16,IF($X139&gt;=Config!$B$17,100,0),MAX(0,MIN(100,($X139-Config!$B$16)/(Config!$B$17-Config!$B$16)*100))))</f>
        <v/>
      </c>
      <c r="Z139" s="40">
        <f>IF($M139="Elite",Config!$B$21,0)</f>
        <v>0</v>
      </c>
      <c r="AA139" s="40" t="str">
        <f>IFERROR(IF(OR($W139="",$H139=""),"",IF($W139&gt;$H139,
  MAX(0, 60-(($W139-$H139)*24/Config!$B$19)*60),
  MIN(100, 60+(($H139-$W139)*24/Config!$B$20)*40)
)),"")
</f>
        <v/>
      </c>
      <c r="AB139" s="40" t="str">
        <f>IF($K139="","",IFERROR(VLOOKUP($K139,Grinders!$A$4:$N$998,10,FALSE)/5*100,""))</f>
        <v/>
      </c>
      <c r="AC139" s="40" t="str">
        <f>IF($K139="","",IFERROR(VLOOKUP($K139,Grinders!$A$4:$N$998,11,FALSE)*100,""))</f>
        <v/>
      </c>
      <c r="AD139" s="40" t="str">
        <f>IF($K139="","",IFERROR(VLOOKUP($K139,Grinders!$A$4:$N$998,12,FALSE)*100,""))</f>
        <v/>
      </c>
      <c r="AE139" s="40" t="str">
        <f>IF(OR(AO139=1,AP139=1),0,=IFERROR(IFS(
    OR($C139="", $K139=""), 0,
    $F139=0, 0,
    $D139&lt;&gt;"Open", 0,
    COUNTIFS(GrinderServices!$A$6:$A$1000, $K139, GrinderServices!$B$6:$B$1000, $E139, GrinderServices!$D$6:$D$1000, "Y")=0, 0,
    $X139&lt;Config!$B$16, 0,
    Config!$B$18=1, IF($O139&gt;=N139, 0, 1),
    TRUE, 1
), "")
)</f>
        <v>#ERROR!</v>
      </c>
      <c r="AF139" s="40" t="str">
        <f>IFERROR((IF(OR(AO139=1,AP139=1),"",=IFERROR((IFERROR(IF($AE139=0,"",((Config!$B$6*$Y139 + Config!$B$7*$U139 + Config!$B$8*$Z139 + Config!$B$9*$AA139 + Config!$B$10*$AB139 + Config!$B$11*$AC139 - Config!$B$12*$AD139)/Config!$B$13)+$AK139+$AL139),""))*(1-IFERROR(VLOOKUP(K139,Grinders!$A:$AB, 28, FALSE),0)),"")))*(1+AR139),"")</f>
        <v>#ERROR!</v>
      </c>
      <c r="AG139" s="40" t="str">
        <f t="shared" si="6"/>
        <v>#ERROR!</v>
      </c>
      <c r="AH139" s="40" t="str">
        <f t="shared" si="7"/>
        <v/>
      </c>
      <c r="AI139" s="40" t="str">
        <f t="shared" si="8"/>
        <v/>
      </c>
      <c r="AJ139" s="40" t="str">
        <f>IF($K139="","",COUNTIF(Assignments!$B$6:$B$1000,$K139))</f>
        <v/>
      </c>
      <c r="AK139" s="40" t="str">
        <f>IF($K139="","",IF(AND($AJ139=0,$O139&lt;$N139),Config!$B$43,0))</f>
        <v/>
      </c>
      <c r="AL139" s="40" t="str">
        <f>IF($K139="","",IF(AND($M139="Elite",$G139&gt;=Config!$B$41,$O139&lt;$N139),Config!$B$42,0))</f>
        <v/>
      </c>
      <c r="AM139" s="22"/>
      <c r="AN139" s="39">
        <f>IFERROR(VLOOKUP(K139,Grinders!$A:$Q,28,FALSE),0)</f>
        <v>0</v>
      </c>
      <c r="AO139" s="39">
        <f>IF(Config!$B$1003&lt;&gt;"Y",0,IF(IFERROR(VLOOKUP(K139,Grinders!$A:$P,27,FALSE),0)&gt;=3,IF(OR(G139&gt;=Config!$B$1001,ISNUMBER(SEARCH(E139,Config!$B$1002))),1,0),0))</f>
        <v>0</v>
      </c>
      <c r="AP139" s="39">
        <f t="array" ref="AP139">IFERROR(IF(INDEX(Bids!$AE:$AE,MATCH(B139,Bids!$A:$A,0))="Pending",1,0),0)</f>
        <v>0</v>
      </c>
      <c r="AQ139" s="39" t="str">
        <f t="array" ref="AQ139">IF(C139="","",IFERROR(XLOOKUP(C139,Assignments!$C:$C,Assignments!$AU:$AU,0),0))</f>
        <v/>
      </c>
      <c r="AR139" s="39">
        <f>IF(AND(Config!$B$1006="Y",AQ139=1),Config!$B$1007,0)</f>
        <v>0</v>
      </c>
    </row>
    <row r="140" ht="15.75" customHeight="1">
      <c r="A140" s="46" t="str">
        <f t="shared" si="1"/>
        <v/>
      </c>
      <c r="B140" s="40" t="str">
        <f>IF(Bids!$A139="","",Bids!$A139)</f>
        <v/>
      </c>
      <c r="C140" s="40" t="str">
        <f>IF(Bids!$B139="","",Bids!$B139)</f>
        <v/>
      </c>
      <c r="D140" s="40" t="str">
        <f>IF($C140="","",IFERROR(VLOOKUP($C140,Orders!$A$4:$J$998,9,FALSE),""))</f>
        <v/>
      </c>
      <c r="E140" s="40" t="str">
        <f>IF($C140="","",IFERROR(VLOOKUP($C140,Orders!$A$4:$J$998,3,FALSE),""))</f>
        <v/>
      </c>
      <c r="F140" s="40">
        <f t="shared" si="2"/>
        <v>1</v>
      </c>
      <c r="G140" s="40" t="str">
        <f>IF($C140="","",IFERROR(VLOOKUP($C140,Orders!$A$4:$J$998,4,FALSE),""))</f>
        <v/>
      </c>
      <c r="H140" s="40" t="str">
        <f>IF($C140="","",IFERROR(VLOOKUP($C140,Orders!$A$4:$J$998,5,FALSE),""))</f>
        <v/>
      </c>
      <c r="I140" s="40" t="str">
        <f>IF($C140="","",IFERROR(VLOOKUP($C140,Orders!$A$4:$J$998,6,FALSE),""))</f>
        <v/>
      </c>
      <c r="J140" s="40" t="str">
        <f>IF($C140="","",IFERROR(VLOOKUP($C140,Orders!$A$4:$J$998,7,FALSE),""))</f>
        <v/>
      </c>
      <c r="K140" s="40" t="str">
        <f>IF(Bids!$C139="","",Bids!$C139)</f>
        <v/>
      </c>
      <c r="L140" s="40" t="str">
        <f>IF($K140="","",IFERROR(VLOOKUP($K140,Grinders!$A$4:$N$998,2,FALSE),""))</f>
        <v/>
      </c>
      <c r="M140" s="40" t="str">
        <f>IF($K140="","",IFERROR(VLOOKUP($K140,Grinders!$A$4:$N$998,3,FALSE),""))</f>
        <v/>
      </c>
      <c r="N140" s="40" t="str">
        <f>IF($K140="","",IFERROR(VLOOKUP($K140,Grinders!$A$4:$N$998,4,FALSE),""))</f>
        <v/>
      </c>
      <c r="O140" s="40" t="str">
        <f>IF($K140="","",IFERROR(VLOOKUP($K140,Grinders!$A$4:$N$998,5,FALSE),""))</f>
        <v/>
      </c>
      <c r="P140" s="40" t="str">
        <f>IF($K140="","",IF($C$4="",0,COUNTIFS(Assignments!$B$6:$B$1000,$K140,Assignments!$F$6:$F$1000,$C$4,Assignments!$E$6:$E$1000,"Active")))</f>
        <v/>
      </c>
      <c r="Q140" s="40" t="str">
        <f t="shared" si="3"/>
        <v/>
      </c>
      <c r="R140" s="40" t="str">
        <f t="shared" si="4"/>
        <v/>
      </c>
      <c r="S140" s="40" t="str">
        <f>IF($K140="","",IF($C$4="",0,COUNTIFS(Assignments!$B$6:$B$1000,$K140,Assignments!$F$6:$F$1000,$C$4,Assignments!$D$6:$D$1000,"&gt;="&amp;Config!$B$3-7,Assignments!$D$6:$D$1000,"&lt;="&amp;Config!$B$3)))</f>
        <v/>
      </c>
      <c r="T140" s="40" t="str">
        <f>IF($K140="","",IFERROR(VLOOKUP($K140,Grinders!$A$4:$N$998,8,FALSE),""))</f>
        <v/>
      </c>
      <c r="U140" s="40" t="str">
        <f>IFERROR(IF($K140="","",IF($M140="Elite",MAX(50,MIN(100,Config!$B$27*MAX(0,MIN(100,(1-IF($R140="",0,$R140))*100)) + Config!$B$28*MAX(0,MIN(100,(1-MIN(1,IF(Config!$B$30=0,1,$S140/Config!$B$30)))*100)) + Config!$B$29*MAX(0,MIN(100,MIN(1,IF($T140="",0,$T140)/Config!$B$23)*100)))),MIN(100,Config!$B$27*MAX(0,MIN(100,(1-IF($R140="",0,$R140))*100)) + Config!$B$28*MAX(0,MIN(100,(1-MIN(1,IF(Config!$B$30=0,1,$S140/Config!$B$30)))*100)) + Config!$B$29*MAX(0,MIN(100,MIN(1,IF($T140="",0,$T140)/Config!$B$23)*100))))),"")
</f>
        <v/>
      </c>
      <c r="V140" s="40" t="str">
        <f>IF(Bids!$AC140="","",Bids!$AC140)</f>
        <v/>
      </c>
      <c r="W140" s="40" t="str">
        <f>IF(Bids!$F139="","",Bids!$F139)</f>
        <v/>
      </c>
      <c r="X140" s="40" t="str">
        <f t="shared" si="5"/>
        <v/>
      </c>
      <c r="Y140" s="40" t="str">
        <f>IF($X140="","",IF(Config!$B$17=Config!$B$16,IF($X140&gt;=Config!$B$17,100,0),MAX(0,MIN(100,($X140-Config!$B$16)/(Config!$B$17-Config!$B$16)*100))))</f>
        <v/>
      </c>
      <c r="Z140" s="40">
        <f>IF($M140="Elite",Config!$B$21,0)</f>
        <v>0</v>
      </c>
      <c r="AA140" s="40" t="str">
        <f>IFERROR(IF(OR($W140="",$H140=""),"",IF($W140&gt;$H140,
  MAX(0, 60-(($W140-$H140)*24/Config!$B$19)*60),
  MIN(100, 60+(($H140-$W140)*24/Config!$B$20)*40)
)),"")
</f>
        <v/>
      </c>
      <c r="AB140" s="40" t="str">
        <f>IF($K140="","",IFERROR(VLOOKUP($K140,Grinders!$A$4:$N$998,10,FALSE)/5*100,""))</f>
        <v/>
      </c>
      <c r="AC140" s="40" t="str">
        <f>IF($K140="","",IFERROR(VLOOKUP($K140,Grinders!$A$4:$N$998,11,FALSE)*100,""))</f>
        <v/>
      </c>
      <c r="AD140" s="40" t="str">
        <f>IF($K140="","",IFERROR(VLOOKUP($K140,Grinders!$A$4:$N$998,12,FALSE)*100,""))</f>
        <v/>
      </c>
      <c r="AE140" s="40" t="str">
        <f>IF(OR(AO140=1,AP140=1),0,=IFERROR(IFS(
    OR($C140="", $K140=""), 0,
    $F140=0, 0,
    $D140&lt;&gt;"Open", 0,
    COUNTIFS(GrinderServices!$A$6:$A$1000, $K140, GrinderServices!$B$6:$B$1000, $E140, GrinderServices!$D$6:$D$1000, "Y")=0, 0,
    $X140&lt;Config!$B$16, 0,
    Config!$B$18=1, IF($O140&gt;=N140, 0, 1),
    TRUE, 1
), "")
)</f>
        <v>#ERROR!</v>
      </c>
      <c r="AF140" s="40" t="str">
        <f>IFERROR((IF(OR(AO140=1,AP140=1),"",=IFERROR((IFERROR(IF($AE140=0,"",((Config!$B$6*$Y140 + Config!$B$7*$U140 + Config!$B$8*$Z140 + Config!$B$9*$AA140 + Config!$B$10*$AB140 + Config!$B$11*$AC140 - Config!$B$12*$AD140)/Config!$B$13)+$AK140+$AL140),""))*(1-IFERROR(VLOOKUP(K140,Grinders!$A:$AB, 28, FALSE),0)),"")))*(1+AR140),"")</f>
        <v>#ERROR!</v>
      </c>
      <c r="AG140" s="40" t="str">
        <f t="shared" si="6"/>
        <v>#ERROR!</v>
      </c>
      <c r="AH140" s="40" t="str">
        <f t="shared" si="7"/>
        <v/>
      </c>
      <c r="AI140" s="40" t="str">
        <f t="shared" si="8"/>
        <v/>
      </c>
      <c r="AJ140" s="40" t="str">
        <f>IF($K140="","",COUNTIF(Assignments!$B$6:$B$1000,$K140))</f>
        <v/>
      </c>
      <c r="AK140" s="40" t="str">
        <f>IF($K140="","",IF(AND($AJ140=0,$O140&lt;$N140),Config!$B$43,0))</f>
        <v/>
      </c>
      <c r="AL140" s="40" t="str">
        <f>IF($K140="","",IF(AND($M140="Elite",$G140&gt;=Config!$B$41,$O140&lt;$N140),Config!$B$42,0))</f>
        <v/>
      </c>
      <c r="AM140" s="22"/>
      <c r="AN140" s="39">
        <f>IFERROR(VLOOKUP(K140,Grinders!$A:$Q,28,FALSE),0)</f>
        <v>0</v>
      </c>
      <c r="AO140" s="39">
        <f>IF(Config!$B$1003&lt;&gt;"Y",0,IF(IFERROR(VLOOKUP(K140,Grinders!$A:$P,27,FALSE),0)&gt;=3,IF(OR(G140&gt;=Config!$B$1001,ISNUMBER(SEARCH(E140,Config!$B$1002))),1,0),0))</f>
        <v>0</v>
      </c>
      <c r="AP140" s="39">
        <f t="array" ref="AP140">IFERROR(IF(INDEX(Bids!$AE:$AE,MATCH(B140,Bids!$A:$A,0))="Pending",1,0),0)</f>
        <v>0</v>
      </c>
      <c r="AQ140" s="39" t="str">
        <f t="array" ref="AQ140">IF(C140="","",IFERROR(XLOOKUP(C140,Assignments!$C:$C,Assignments!$AU:$AU,0),0))</f>
        <v/>
      </c>
      <c r="AR140" s="39">
        <f>IF(AND(Config!$B$1006="Y",AQ140=1),Config!$B$1007,0)</f>
        <v>0</v>
      </c>
    </row>
    <row r="141" ht="15.75" customHeight="1">
      <c r="A141" s="46" t="str">
        <f t="shared" si="1"/>
        <v/>
      </c>
      <c r="B141" s="40" t="str">
        <f>IF(Bids!$A140="","",Bids!$A140)</f>
        <v/>
      </c>
      <c r="C141" s="40" t="str">
        <f>IF(Bids!$B140="","",Bids!$B140)</f>
        <v/>
      </c>
      <c r="D141" s="40" t="str">
        <f>IF($C141="","",IFERROR(VLOOKUP($C141,Orders!$A$4:$J$998,9,FALSE),""))</f>
        <v/>
      </c>
      <c r="E141" s="40" t="str">
        <f>IF($C141="","",IFERROR(VLOOKUP($C141,Orders!$A$4:$J$998,3,FALSE),""))</f>
        <v/>
      </c>
      <c r="F141" s="40">
        <f t="shared" si="2"/>
        <v>1</v>
      </c>
      <c r="G141" s="40" t="str">
        <f>IF($C141="","",IFERROR(VLOOKUP($C141,Orders!$A$4:$J$998,4,FALSE),""))</f>
        <v/>
      </c>
      <c r="H141" s="40" t="str">
        <f>IF($C141="","",IFERROR(VLOOKUP($C141,Orders!$A$4:$J$998,5,FALSE),""))</f>
        <v/>
      </c>
      <c r="I141" s="40" t="str">
        <f>IF($C141="","",IFERROR(VLOOKUP($C141,Orders!$A$4:$J$998,6,FALSE),""))</f>
        <v/>
      </c>
      <c r="J141" s="40" t="str">
        <f>IF($C141="","",IFERROR(VLOOKUP($C141,Orders!$A$4:$J$998,7,FALSE),""))</f>
        <v/>
      </c>
      <c r="K141" s="40" t="str">
        <f>IF(Bids!$C140="","",Bids!$C140)</f>
        <v/>
      </c>
      <c r="L141" s="40" t="str">
        <f>IF($K141="","",IFERROR(VLOOKUP($K141,Grinders!$A$4:$N$998,2,FALSE),""))</f>
        <v/>
      </c>
      <c r="M141" s="40" t="str">
        <f>IF($K141="","",IFERROR(VLOOKUP($K141,Grinders!$A$4:$N$998,3,FALSE),""))</f>
        <v/>
      </c>
      <c r="N141" s="40" t="str">
        <f>IF($K141="","",IFERROR(VLOOKUP($K141,Grinders!$A$4:$N$998,4,FALSE),""))</f>
        <v/>
      </c>
      <c r="O141" s="40" t="str">
        <f>IF($K141="","",IFERROR(VLOOKUP($K141,Grinders!$A$4:$N$998,5,FALSE),""))</f>
        <v/>
      </c>
      <c r="P141" s="40" t="str">
        <f>IF($K141="","",IF($C$4="",0,COUNTIFS(Assignments!$B$6:$B$1000,$K141,Assignments!$F$6:$F$1000,$C$4,Assignments!$E$6:$E$1000,"Active")))</f>
        <v/>
      </c>
      <c r="Q141" s="40" t="str">
        <f t="shared" si="3"/>
        <v/>
      </c>
      <c r="R141" s="40" t="str">
        <f t="shared" si="4"/>
        <v/>
      </c>
      <c r="S141" s="40" t="str">
        <f>IF($K141="","",IF($C$4="",0,COUNTIFS(Assignments!$B$6:$B$1000,$K141,Assignments!$F$6:$F$1000,$C$4,Assignments!$D$6:$D$1000,"&gt;="&amp;Config!$B$3-7,Assignments!$D$6:$D$1000,"&lt;="&amp;Config!$B$3)))</f>
        <v/>
      </c>
      <c r="T141" s="40" t="str">
        <f>IF($K141="","",IFERROR(VLOOKUP($K141,Grinders!$A$4:$N$998,8,FALSE),""))</f>
        <v/>
      </c>
      <c r="U141" s="40" t="str">
        <f>IFERROR(IF($K141="","",IF($M141="Elite",MAX(50,MIN(100,Config!$B$27*MAX(0,MIN(100,(1-IF($R141="",0,$R141))*100)) + Config!$B$28*MAX(0,MIN(100,(1-MIN(1,IF(Config!$B$30=0,1,$S141/Config!$B$30)))*100)) + Config!$B$29*MAX(0,MIN(100,MIN(1,IF($T141="",0,$T141)/Config!$B$23)*100)))),MIN(100,Config!$B$27*MAX(0,MIN(100,(1-IF($R141="",0,$R141))*100)) + Config!$B$28*MAX(0,MIN(100,(1-MIN(1,IF(Config!$B$30=0,1,$S141/Config!$B$30)))*100)) + Config!$B$29*MAX(0,MIN(100,MIN(1,IF($T141="",0,$T141)/Config!$B$23)*100))))),"")
</f>
        <v/>
      </c>
      <c r="V141" s="40" t="str">
        <f>IF(Bids!$AC141="","",Bids!$AC141)</f>
        <v/>
      </c>
      <c r="W141" s="40" t="str">
        <f>IF(Bids!$F140="","",Bids!$F140)</f>
        <v/>
      </c>
      <c r="X141" s="40" t="str">
        <f t="shared" si="5"/>
        <v/>
      </c>
      <c r="Y141" s="40" t="str">
        <f>IF($X141="","",IF(Config!$B$17=Config!$B$16,IF($X141&gt;=Config!$B$17,100,0),MAX(0,MIN(100,($X141-Config!$B$16)/(Config!$B$17-Config!$B$16)*100))))</f>
        <v/>
      </c>
      <c r="Z141" s="40">
        <f>IF($M141="Elite",Config!$B$21,0)</f>
        <v>0</v>
      </c>
      <c r="AA141" s="40" t="str">
        <f>IFERROR(IF(OR($W141="",$H141=""),"",IF($W141&gt;$H141,
  MAX(0, 60-(($W141-$H141)*24/Config!$B$19)*60),
  MIN(100, 60+(($H141-$W141)*24/Config!$B$20)*40)
)),"")
</f>
        <v/>
      </c>
      <c r="AB141" s="40" t="str">
        <f>IF($K141="","",IFERROR(VLOOKUP($K141,Grinders!$A$4:$N$998,10,FALSE)/5*100,""))</f>
        <v/>
      </c>
      <c r="AC141" s="40" t="str">
        <f>IF($K141="","",IFERROR(VLOOKUP($K141,Grinders!$A$4:$N$998,11,FALSE)*100,""))</f>
        <v/>
      </c>
      <c r="AD141" s="40" t="str">
        <f>IF($K141="","",IFERROR(VLOOKUP($K141,Grinders!$A$4:$N$998,12,FALSE)*100,""))</f>
        <v/>
      </c>
      <c r="AE141" s="40" t="str">
        <f>IF(OR(AO141=1,AP141=1),0,=IFERROR(IFS(
    OR($C141="", $K141=""), 0,
    $F141=0, 0,
    $D141&lt;&gt;"Open", 0,
    COUNTIFS(GrinderServices!$A$6:$A$1000, $K141, GrinderServices!$B$6:$B$1000, $E141, GrinderServices!$D$6:$D$1000, "Y")=0, 0,
    $X141&lt;Config!$B$16, 0,
    Config!$B$18=1, IF($O141&gt;=N141, 0, 1),
    TRUE, 1
), "")
)</f>
        <v>#ERROR!</v>
      </c>
      <c r="AF141" s="40" t="str">
        <f>IFERROR((IF(OR(AO141=1,AP141=1),"",=IFERROR((IFERROR(IF($AE141=0,"",((Config!$B$6*$Y141 + Config!$B$7*$U141 + Config!$B$8*$Z141 + Config!$B$9*$AA141 + Config!$B$10*$AB141 + Config!$B$11*$AC141 - Config!$B$12*$AD141)/Config!$B$13)+$AK141+$AL141),""))*(1-IFERROR(VLOOKUP(K141,Grinders!$A:$AB, 28, FALSE),0)),"")))*(1+AR141),"")</f>
        <v>#ERROR!</v>
      </c>
      <c r="AG141" s="40" t="str">
        <f t="shared" si="6"/>
        <v>#ERROR!</v>
      </c>
      <c r="AH141" s="40" t="str">
        <f t="shared" si="7"/>
        <v/>
      </c>
      <c r="AI141" s="40" t="str">
        <f t="shared" si="8"/>
        <v/>
      </c>
      <c r="AJ141" s="40" t="str">
        <f>IF($K141="","",COUNTIF(Assignments!$B$6:$B$1000,$K141))</f>
        <v/>
      </c>
      <c r="AK141" s="40" t="str">
        <f>IF($K141="","",IF(AND($AJ141=0,$O141&lt;$N141),Config!$B$43,0))</f>
        <v/>
      </c>
      <c r="AL141" s="40" t="str">
        <f>IF($K141="","",IF(AND($M141="Elite",$G141&gt;=Config!$B$41,$O141&lt;$N141),Config!$B$42,0))</f>
        <v/>
      </c>
      <c r="AM141" s="22"/>
      <c r="AN141" s="39">
        <f>IFERROR(VLOOKUP(K141,Grinders!$A:$Q,28,FALSE),0)</f>
        <v>0</v>
      </c>
      <c r="AO141" s="39">
        <f>IF(Config!$B$1003&lt;&gt;"Y",0,IF(IFERROR(VLOOKUP(K141,Grinders!$A:$P,27,FALSE),0)&gt;=3,IF(OR(G141&gt;=Config!$B$1001,ISNUMBER(SEARCH(E141,Config!$B$1002))),1,0),0))</f>
        <v>0</v>
      </c>
      <c r="AP141" s="39">
        <f t="array" ref="AP141">IFERROR(IF(INDEX(Bids!$AE:$AE,MATCH(B141,Bids!$A:$A,0))="Pending",1,0),0)</f>
        <v>0</v>
      </c>
      <c r="AQ141" s="39" t="str">
        <f t="array" ref="AQ141">IF(C141="","",IFERROR(XLOOKUP(C141,Assignments!$C:$C,Assignments!$AU:$AU,0),0))</f>
        <v/>
      </c>
      <c r="AR141" s="39">
        <f>IF(AND(Config!$B$1006="Y",AQ141=1),Config!$B$1007,0)</f>
        <v>0</v>
      </c>
    </row>
    <row r="142" ht="15.75" customHeight="1">
      <c r="A142" s="46" t="str">
        <f t="shared" si="1"/>
        <v/>
      </c>
      <c r="B142" s="40" t="str">
        <f>IF(Bids!$A141="","",Bids!$A141)</f>
        <v/>
      </c>
      <c r="C142" s="40" t="str">
        <f>IF(Bids!$B141="","",Bids!$B141)</f>
        <v/>
      </c>
      <c r="D142" s="40" t="str">
        <f>IF($C142="","",IFERROR(VLOOKUP($C142,Orders!$A$4:$J$998,9,FALSE),""))</f>
        <v/>
      </c>
      <c r="E142" s="40" t="str">
        <f>IF($C142="","",IFERROR(VLOOKUP($C142,Orders!$A$4:$J$998,3,FALSE),""))</f>
        <v/>
      </c>
      <c r="F142" s="40">
        <f t="shared" si="2"/>
        <v>1</v>
      </c>
      <c r="G142" s="40" t="str">
        <f>IF($C142="","",IFERROR(VLOOKUP($C142,Orders!$A$4:$J$998,4,FALSE),""))</f>
        <v/>
      </c>
      <c r="H142" s="40" t="str">
        <f>IF($C142="","",IFERROR(VLOOKUP($C142,Orders!$A$4:$J$998,5,FALSE),""))</f>
        <v/>
      </c>
      <c r="I142" s="40" t="str">
        <f>IF($C142="","",IFERROR(VLOOKUP($C142,Orders!$A$4:$J$998,6,FALSE),""))</f>
        <v/>
      </c>
      <c r="J142" s="40" t="str">
        <f>IF($C142="","",IFERROR(VLOOKUP($C142,Orders!$A$4:$J$998,7,FALSE),""))</f>
        <v/>
      </c>
      <c r="K142" s="40" t="str">
        <f>IF(Bids!$C141="","",Bids!$C141)</f>
        <v/>
      </c>
      <c r="L142" s="40" t="str">
        <f>IF($K142="","",IFERROR(VLOOKUP($K142,Grinders!$A$4:$N$998,2,FALSE),""))</f>
        <v/>
      </c>
      <c r="M142" s="40" t="str">
        <f>IF($K142="","",IFERROR(VLOOKUP($K142,Grinders!$A$4:$N$998,3,FALSE),""))</f>
        <v/>
      </c>
      <c r="N142" s="40" t="str">
        <f>IF($K142="","",IFERROR(VLOOKUP($K142,Grinders!$A$4:$N$998,4,FALSE),""))</f>
        <v/>
      </c>
      <c r="O142" s="40" t="str">
        <f>IF($K142="","",IFERROR(VLOOKUP($K142,Grinders!$A$4:$N$998,5,FALSE),""))</f>
        <v/>
      </c>
      <c r="P142" s="40" t="str">
        <f>IF($K142="","",IF($C$4="",0,COUNTIFS(Assignments!$B$6:$B$1000,$K142,Assignments!$F$6:$F$1000,$C$4,Assignments!$E$6:$E$1000,"Active")))</f>
        <v/>
      </c>
      <c r="Q142" s="40" t="str">
        <f t="shared" si="3"/>
        <v/>
      </c>
      <c r="R142" s="40" t="str">
        <f t="shared" si="4"/>
        <v/>
      </c>
      <c r="S142" s="40" t="str">
        <f>IF($K142="","",IF($C$4="",0,COUNTIFS(Assignments!$B$6:$B$1000,$K142,Assignments!$F$6:$F$1000,$C$4,Assignments!$D$6:$D$1000,"&gt;="&amp;Config!$B$3-7,Assignments!$D$6:$D$1000,"&lt;="&amp;Config!$B$3)))</f>
        <v/>
      </c>
      <c r="T142" s="40" t="str">
        <f>IF($K142="","",IFERROR(VLOOKUP($K142,Grinders!$A$4:$N$998,8,FALSE),""))</f>
        <v/>
      </c>
      <c r="U142" s="40" t="str">
        <f>IFERROR(IF($K142="","",IF($M142="Elite",MAX(50,MIN(100,Config!$B$27*MAX(0,MIN(100,(1-IF($R142="",0,$R142))*100)) + Config!$B$28*MAX(0,MIN(100,(1-MIN(1,IF(Config!$B$30=0,1,$S142/Config!$B$30)))*100)) + Config!$B$29*MAX(0,MIN(100,MIN(1,IF($T142="",0,$T142)/Config!$B$23)*100)))),MIN(100,Config!$B$27*MAX(0,MIN(100,(1-IF($R142="",0,$R142))*100)) + Config!$B$28*MAX(0,MIN(100,(1-MIN(1,IF(Config!$B$30=0,1,$S142/Config!$B$30)))*100)) + Config!$B$29*MAX(0,MIN(100,MIN(1,IF($T142="",0,$T142)/Config!$B$23)*100))))),"")
</f>
        <v/>
      </c>
      <c r="V142" s="40" t="str">
        <f>IF(Bids!$AC142="","",Bids!$AC142)</f>
        <v/>
      </c>
      <c r="W142" s="40" t="str">
        <f>IF(Bids!$F141="","",Bids!$F141)</f>
        <v/>
      </c>
      <c r="X142" s="40" t="str">
        <f t="shared" si="5"/>
        <v/>
      </c>
      <c r="Y142" s="40" t="str">
        <f>IF($X142="","",IF(Config!$B$17=Config!$B$16,IF($X142&gt;=Config!$B$17,100,0),MAX(0,MIN(100,($X142-Config!$B$16)/(Config!$B$17-Config!$B$16)*100))))</f>
        <v/>
      </c>
      <c r="Z142" s="40">
        <f>IF($M142="Elite",Config!$B$21,0)</f>
        <v>0</v>
      </c>
      <c r="AA142" s="40" t="str">
        <f>IFERROR(IF(OR($W142="",$H142=""),"",IF($W142&gt;$H142,
  MAX(0, 60-(($W142-$H142)*24/Config!$B$19)*60),
  MIN(100, 60+(($H142-$W142)*24/Config!$B$20)*40)
)),"")
</f>
        <v/>
      </c>
      <c r="AB142" s="40" t="str">
        <f>IF($K142="","",IFERROR(VLOOKUP($K142,Grinders!$A$4:$N$998,10,FALSE)/5*100,""))</f>
        <v/>
      </c>
      <c r="AC142" s="40" t="str">
        <f>IF($K142="","",IFERROR(VLOOKUP($K142,Grinders!$A$4:$N$998,11,FALSE)*100,""))</f>
        <v/>
      </c>
      <c r="AD142" s="40" t="str">
        <f>IF($K142="","",IFERROR(VLOOKUP($K142,Grinders!$A$4:$N$998,12,FALSE)*100,""))</f>
        <v/>
      </c>
      <c r="AE142" s="40" t="str">
        <f>IF(OR(AO142=1,AP142=1),0,=IFERROR(IFS(
    OR($C142="", $K142=""), 0,
    $F142=0, 0,
    $D142&lt;&gt;"Open", 0,
    COUNTIFS(GrinderServices!$A$6:$A$1000, $K142, GrinderServices!$B$6:$B$1000, $E142, GrinderServices!$D$6:$D$1000, "Y")=0, 0,
    $X142&lt;Config!$B$16, 0,
    Config!$B$18=1, IF($O142&gt;=N142, 0, 1),
    TRUE, 1
), "")
)</f>
        <v>#ERROR!</v>
      </c>
      <c r="AF142" s="40" t="str">
        <f>IFERROR((IF(OR(AO142=1,AP142=1),"",=IFERROR((IFERROR(IF($AE142=0,"",((Config!$B$6*$Y142 + Config!$B$7*$U142 + Config!$B$8*$Z142 + Config!$B$9*$AA142 + Config!$B$10*$AB142 + Config!$B$11*$AC142 - Config!$B$12*$AD142)/Config!$B$13)+$AK142+$AL142),""))*(1-IFERROR(VLOOKUP(K142,Grinders!$A:$AB, 28, FALSE),0)),"")))*(1+AR142),"")</f>
        <v>#ERROR!</v>
      </c>
      <c r="AG142" s="40" t="str">
        <f t="shared" si="6"/>
        <v>#ERROR!</v>
      </c>
      <c r="AH142" s="40" t="str">
        <f t="shared" si="7"/>
        <v/>
      </c>
      <c r="AI142" s="40" t="str">
        <f t="shared" si="8"/>
        <v/>
      </c>
      <c r="AJ142" s="40" t="str">
        <f>IF($K142="","",COUNTIF(Assignments!$B$6:$B$1000,$K142))</f>
        <v/>
      </c>
      <c r="AK142" s="40" t="str">
        <f>IF($K142="","",IF(AND($AJ142=0,$O142&lt;$N142),Config!$B$43,0))</f>
        <v/>
      </c>
      <c r="AL142" s="40" t="str">
        <f>IF($K142="","",IF(AND($M142="Elite",$G142&gt;=Config!$B$41,$O142&lt;$N142),Config!$B$42,0))</f>
        <v/>
      </c>
      <c r="AM142" s="22"/>
      <c r="AN142" s="39">
        <f>IFERROR(VLOOKUP(K142,Grinders!$A:$Q,28,FALSE),0)</f>
        <v>0</v>
      </c>
      <c r="AO142" s="39">
        <f>IF(Config!$B$1003&lt;&gt;"Y",0,IF(IFERROR(VLOOKUP(K142,Grinders!$A:$P,27,FALSE),0)&gt;=3,IF(OR(G142&gt;=Config!$B$1001,ISNUMBER(SEARCH(E142,Config!$B$1002))),1,0),0))</f>
        <v>0</v>
      </c>
      <c r="AP142" s="39">
        <f t="array" ref="AP142">IFERROR(IF(INDEX(Bids!$AE:$AE,MATCH(B142,Bids!$A:$A,0))="Pending",1,0),0)</f>
        <v>0</v>
      </c>
      <c r="AQ142" s="39" t="str">
        <f t="array" ref="AQ142">IF(C142="","",IFERROR(XLOOKUP(C142,Assignments!$C:$C,Assignments!$AU:$AU,0),0))</f>
        <v/>
      </c>
      <c r="AR142" s="39">
        <f>IF(AND(Config!$B$1006="Y",AQ142=1),Config!$B$1007,0)</f>
        <v>0</v>
      </c>
    </row>
    <row r="143" ht="15.75" customHeight="1">
      <c r="A143" s="46" t="str">
        <f t="shared" si="1"/>
        <v/>
      </c>
      <c r="B143" s="40" t="str">
        <f>IF(Bids!$A142="","",Bids!$A142)</f>
        <v/>
      </c>
      <c r="C143" s="40" t="str">
        <f>IF(Bids!$B142="","",Bids!$B142)</f>
        <v/>
      </c>
      <c r="D143" s="40" t="str">
        <f>IF($C143="","",IFERROR(VLOOKUP($C143,Orders!$A$4:$J$998,9,FALSE),""))</f>
        <v/>
      </c>
      <c r="E143" s="40" t="str">
        <f>IF($C143="","",IFERROR(VLOOKUP($C143,Orders!$A$4:$J$998,3,FALSE),""))</f>
        <v/>
      </c>
      <c r="F143" s="40">
        <f t="shared" si="2"/>
        <v>1</v>
      </c>
      <c r="G143" s="40" t="str">
        <f>IF($C143="","",IFERROR(VLOOKUP($C143,Orders!$A$4:$J$998,4,FALSE),""))</f>
        <v/>
      </c>
      <c r="H143" s="40" t="str">
        <f>IF($C143="","",IFERROR(VLOOKUP($C143,Orders!$A$4:$J$998,5,FALSE),""))</f>
        <v/>
      </c>
      <c r="I143" s="40" t="str">
        <f>IF($C143="","",IFERROR(VLOOKUP($C143,Orders!$A$4:$J$998,6,FALSE),""))</f>
        <v/>
      </c>
      <c r="J143" s="40" t="str">
        <f>IF($C143="","",IFERROR(VLOOKUP($C143,Orders!$A$4:$J$998,7,FALSE),""))</f>
        <v/>
      </c>
      <c r="K143" s="40" t="str">
        <f>IF(Bids!$C142="","",Bids!$C142)</f>
        <v/>
      </c>
      <c r="L143" s="40" t="str">
        <f>IF($K143="","",IFERROR(VLOOKUP($K143,Grinders!$A$4:$N$998,2,FALSE),""))</f>
        <v/>
      </c>
      <c r="M143" s="40" t="str">
        <f>IF($K143="","",IFERROR(VLOOKUP($K143,Grinders!$A$4:$N$998,3,FALSE),""))</f>
        <v/>
      </c>
      <c r="N143" s="40" t="str">
        <f>IF($K143="","",IFERROR(VLOOKUP($K143,Grinders!$A$4:$N$998,4,FALSE),""))</f>
        <v/>
      </c>
      <c r="O143" s="40" t="str">
        <f>IF($K143="","",IFERROR(VLOOKUP($K143,Grinders!$A$4:$N$998,5,FALSE),""))</f>
        <v/>
      </c>
      <c r="P143" s="40" t="str">
        <f>IF($K143="","",IF($C$4="",0,COUNTIFS(Assignments!$B$6:$B$1000,$K143,Assignments!$F$6:$F$1000,$C$4,Assignments!$E$6:$E$1000,"Active")))</f>
        <v/>
      </c>
      <c r="Q143" s="40" t="str">
        <f t="shared" si="3"/>
        <v/>
      </c>
      <c r="R143" s="40" t="str">
        <f t="shared" si="4"/>
        <v/>
      </c>
      <c r="S143" s="40" t="str">
        <f>IF($K143="","",IF($C$4="",0,COUNTIFS(Assignments!$B$6:$B$1000,$K143,Assignments!$F$6:$F$1000,$C$4,Assignments!$D$6:$D$1000,"&gt;="&amp;Config!$B$3-7,Assignments!$D$6:$D$1000,"&lt;="&amp;Config!$B$3)))</f>
        <v/>
      </c>
      <c r="T143" s="40" t="str">
        <f>IF($K143="","",IFERROR(VLOOKUP($K143,Grinders!$A$4:$N$998,8,FALSE),""))</f>
        <v/>
      </c>
      <c r="U143" s="40" t="str">
        <f>IFERROR(IF($K143="","",IF($M143="Elite",MAX(50,MIN(100,Config!$B$27*MAX(0,MIN(100,(1-IF($R143="",0,$R143))*100)) + Config!$B$28*MAX(0,MIN(100,(1-MIN(1,IF(Config!$B$30=0,1,$S143/Config!$B$30)))*100)) + Config!$B$29*MAX(0,MIN(100,MIN(1,IF($T143="",0,$T143)/Config!$B$23)*100)))),MIN(100,Config!$B$27*MAX(0,MIN(100,(1-IF($R143="",0,$R143))*100)) + Config!$B$28*MAX(0,MIN(100,(1-MIN(1,IF(Config!$B$30=0,1,$S143/Config!$B$30)))*100)) + Config!$B$29*MAX(0,MIN(100,MIN(1,IF($T143="",0,$T143)/Config!$B$23)*100))))),"")
</f>
        <v/>
      </c>
      <c r="V143" s="40" t="str">
        <f>IF(Bids!$AC143="","",Bids!$AC143)</f>
        <v/>
      </c>
      <c r="W143" s="40" t="str">
        <f>IF(Bids!$F142="","",Bids!$F142)</f>
        <v/>
      </c>
      <c r="X143" s="40" t="str">
        <f t="shared" si="5"/>
        <v/>
      </c>
      <c r="Y143" s="40" t="str">
        <f>IF($X143="","",IF(Config!$B$17=Config!$B$16,IF($X143&gt;=Config!$B$17,100,0),MAX(0,MIN(100,($X143-Config!$B$16)/(Config!$B$17-Config!$B$16)*100))))</f>
        <v/>
      </c>
      <c r="Z143" s="40">
        <f>IF($M143="Elite",Config!$B$21,0)</f>
        <v>0</v>
      </c>
      <c r="AA143" s="40" t="str">
        <f>IFERROR(IF(OR($W143="",$H143=""),"",IF($W143&gt;$H143,
  MAX(0, 60-(($W143-$H143)*24/Config!$B$19)*60),
  MIN(100, 60+(($H143-$W143)*24/Config!$B$20)*40)
)),"")
</f>
        <v/>
      </c>
      <c r="AB143" s="40" t="str">
        <f>IF($K143="","",IFERROR(VLOOKUP($K143,Grinders!$A$4:$N$998,10,FALSE)/5*100,""))</f>
        <v/>
      </c>
      <c r="AC143" s="40" t="str">
        <f>IF($K143="","",IFERROR(VLOOKUP($K143,Grinders!$A$4:$N$998,11,FALSE)*100,""))</f>
        <v/>
      </c>
      <c r="AD143" s="40" t="str">
        <f>IF($K143="","",IFERROR(VLOOKUP($K143,Grinders!$A$4:$N$998,12,FALSE)*100,""))</f>
        <v/>
      </c>
      <c r="AE143" s="40" t="str">
        <f>IF(OR(AO143=1,AP143=1),0,=IFERROR(IFS(
    OR($C143="", $K143=""), 0,
    $F143=0, 0,
    $D143&lt;&gt;"Open", 0,
    COUNTIFS(GrinderServices!$A$6:$A$1000, $K143, GrinderServices!$B$6:$B$1000, $E143, GrinderServices!$D$6:$D$1000, "Y")=0, 0,
    $X143&lt;Config!$B$16, 0,
    Config!$B$18=1, IF($O143&gt;=N143, 0, 1),
    TRUE, 1
), "")
)</f>
        <v>#ERROR!</v>
      </c>
      <c r="AF143" s="40" t="str">
        <f>IFERROR((IF(OR(AO143=1,AP143=1),"",=IFERROR((IFERROR(IF($AE143=0,"",((Config!$B$6*$Y143 + Config!$B$7*$U143 + Config!$B$8*$Z143 + Config!$B$9*$AA143 + Config!$B$10*$AB143 + Config!$B$11*$AC143 - Config!$B$12*$AD143)/Config!$B$13)+$AK143+$AL143),""))*(1-IFERROR(VLOOKUP(K143,Grinders!$A:$AB, 28, FALSE),0)),"")))*(1+AR143),"")</f>
        <v>#ERROR!</v>
      </c>
      <c r="AG143" s="40" t="str">
        <f t="shared" si="6"/>
        <v>#ERROR!</v>
      </c>
      <c r="AH143" s="40" t="str">
        <f t="shared" si="7"/>
        <v/>
      </c>
      <c r="AI143" s="40" t="str">
        <f t="shared" si="8"/>
        <v/>
      </c>
      <c r="AJ143" s="40" t="str">
        <f>IF($K143="","",COUNTIF(Assignments!$B$6:$B$1000,$K143))</f>
        <v/>
      </c>
      <c r="AK143" s="40" t="str">
        <f>IF($K143="","",IF(AND($AJ143=0,$O143&lt;$N143),Config!$B$43,0))</f>
        <v/>
      </c>
      <c r="AL143" s="40" t="str">
        <f>IF($K143="","",IF(AND($M143="Elite",$G143&gt;=Config!$B$41,$O143&lt;$N143),Config!$B$42,0))</f>
        <v/>
      </c>
      <c r="AM143" s="22"/>
      <c r="AN143" s="39">
        <f>IFERROR(VLOOKUP(K143,Grinders!$A:$Q,28,FALSE),0)</f>
        <v>0</v>
      </c>
      <c r="AO143" s="39">
        <f>IF(Config!$B$1003&lt;&gt;"Y",0,IF(IFERROR(VLOOKUP(K143,Grinders!$A:$P,27,FALSE),0)&gt;=3,IF(OR(G143&gt;=Config!$B$1001,ISNUMBER(SEARCH(E143,Config!$B$1002))),1,0),0))</f>
        <v>0</v>
      </c>
      <c r="AP143" s="39">
        <f t="array" ref="AP143">IFERROR(IF(INDEX(Bids!$AE:$AE,MATCH(B143,Bids!$A:$A,0))="Pending",1,0),0)</f>
        <v>0</v>
      </c>
      <c r="AQ143" s="39" t="str">
        <f t="array" ref="AQ143">IF(C143="","",IFERROR(XLOOKUP(C143,Assignments!$C:$C,Assignments!$AU:$AU,0),0))</f>
        <v/>
      </c>
      <c r="AR143" s="39">
        <f>IF(AND(Config!$B$1006="Y",AQ143=1),Config!$B$1007,0)</f>
        <v>0</v>
      </c>
    </row>
    <row r="144" ht="15.75" customHeight="1">
      <c r="A144" s="46" t="str">
        <f t="shared" si="1"/>
        <v/>
      </c>
      <c r="B144" s="40" t="str">
        <f>IF(Bids!$A143="","",Bids!$A143)</f>
        <v/>
      </c>
      <c r="C144" s="40" t="str">
        <f>IF(Bids!$B143="","",Bids!$B143)</f>
        <v/>
      </c>
      <c r="D144" s="40" t="str">
        <f>IF($C144="","",IFERROR(VLOOKUP($C144,Orders!$A$4:$J$998,9,FALSE),""))</f>
        <v/>
      </c>
      <c r="E144" s="40" t="str">
        <f>IF($C144="","",IFERROR(VLOOKUP($C144,Orders!$A$4:$J$998,3,FALSE),""))</f>
        <v/>
      </c>
      <c r="F144" s="40">
        <f t="shared" si="2"/>
        <v>1</v>
      </c>
      <c r="G144" s="40" t="str">
        <f>IF($C144="","",IFERROR(VLOOKUP($C144,Orders!$A$4:$J$998,4,FALSE),""))</f>
        <v/>
      </c>
      <c r="H144" s="40" t="str">
        <f>IF($C144="","",IFERROR(VLOOKUP($C144,Orders!$A$4:$J$998,5,FALSE),""))</f>
        <v/>
      </c>
      <c r="I144" s="40" t="str">
        <f>IF($C144="","",IFERROR(VLOOKUP($C144,Orders!$A$4:$J$998,6,FALSE),""))</f>
        <v/>
      </c>
      <c r="J144" s="40" t="str">
        <f>IF($C144="","",IFERROR(VLOOKUP($C144,Orders!$A$4:$J$998,7,FALSE),""))</f>
        <v/>
      </c>
      <c r="K144" s="40" t="str">
        <f>IF(Bids!$C143="","",Bids!$C143)</f>
        <v/>
      </c>
      <c r="L144" s="40" t="str">
        <f>IF($K144="","",IFERROR(VLOOKUP($K144,Grinders!$A$4:$N$998,2,FALSE),""))</f>
        <v/>
      </c>
      <c r="M144" s="40" t="str">
        <f>IF($K144="","",IFERROR(VLOOKUP($K144,Grinders!$A$4:$N$998,3,FALSE),""))</f>
        <v/>
      </c>
      <c r="N144" s="40" t="str">
        <f>IF($K144="","",IFERROR(VLOOKUP($K144,Grinders!$A$4:$N$998,4,FALSE),""))</f>
        <v/>
      </c>
      <c r="O144" s="40" t="str">
        <f>IF($K144="","",IFERROR(VLOOKUP($K144,Grinders!$A$4:$N$998,5,FALSE),""))</f>
        <v/>
      </c>
      <c r="P144" s="40" t="str">
        <f>IF($K144="","",IF($C$4="",0,COUNTIFS(Assignments!$B$6:$B$1000,$K144,Assignments!$F$6:$F$1000,$C$4,Assignments!$E$6:$E$1000,"Active")))</f>
        <v/>
      </c>
      <c r="Q144" s="40" t="str">
        <f t="shared" si="3"/>
        <v/>
      </c>
      <c r="R144" s="40" t="str">
        <f t="shared" si="4"/>
        <v/>
      </c>
      <c r="S144" s="40" t="str">
        <f>IF($K144="","",IF($C$4="",0,COUNTIFS(Assignments!$B$6:$B$1000,$K144,Assignments!$F$6:$F$1000,$C$4,Assignments!$D$6:$D$1000,"&gt;="&amp;Config!$B$3-7,Assignments!$D$6:$D$1000,"&lt;="&amp;Config!$B$3)))</f>
        <v/>
      </c>
      <c r="T144" s="40" t="str">
        <f>IF($K144="","",IFERROR(VLOOKUP($K144,Grinders!$A$4:$N$998,8,FALSE),""))</f>
        <v/>
      </c>
      <c r="U144" s="40" t="str">
        <f>IFERROR(IF($K144="","",IF($M144="Elite",MAX(50,MIN(100,Config!$B$27*MAX(0,MIN(100,(1-IF($R144="",0,$R144))*100)) + Config!$B$28*MAX(0,MIN(100,(1-MIN(1,IF(Config!$B$30=0,1,$S144/Config!$B$30)))*100)) + Config!$B$29*MAX(0,MIN(100,MIN(1,IF($T144="",0,$T144)/Config!$B$23)*100)))),MIN(100,Config!$B$27*MAX(0,MIN(100,(1-IF($R144="",0,$R144))*100)) + Config!$B$28*MAX(0,MIN(100,(1-MIN(1,IF(Config!$B$30=0,1,$S144/Config!$B$30)))*100)) + Config!$B$29*MAX(0,MIN(100,MIN(1,IF($T144="",0,$T144)/Config!$B$23)*100))))),"")
</f>
        <v/>
      </c>
      <c r="V144" s="40" t="str">
        <f>IF(Bids!$AC144="","",Bids!$AC144)</f>
        <v/>
      </c>
      <c r="W144" s="40" t="str">
        <f>IF(Bids!$F143="","",Bids!$F143)</f>
        <v/>
      </c>
      <c r="X144" s="40" t="str">
        <f t="shared" si="5"/>
        <v/>
      </c>
      <c r="Y144" s="40" t="str">
        <f>IF($X144="","",IF(Config!$B$17=Config!$B$16,IF($X144&gt;=Config!$B$17,100,0),MAX(0,MIN(100,($X144-Config!$B$16)/(Config!$B$17-Config!$B$16)*100))))</f>
        <v/>
      </c>
      <c r="Z144" s="40">
        <f>IF($M144="Elite",Config!$B$21,0)</f>
        <v>0</v>
      </c>
      <c r="AA144" s="40" t="str">
        <f>IFERROR(IF(OR($W144="",$H144=""),"",IF($W144&gt;$H144,
  MAX(0, 60-(($W144-$H144)*24/Config!$B$19)*60),
  MIN(100, 60+(($H144-$W144)*24/Config!$B$20)*40)
)),"")
</f>
        <v/>
      </c>
      <c r="AB144" s="40" t="str">
        <f>IF($K144="","",IFERROR(VLOOKUP($K144,Grinders!$A$4:$N$998,10,FALSE)/5*100,""))</f>
        <v/>
      </c>
      <c r="AC144" s="40" t="str">
        <f>IF($K144="","",IFERROR(VLOOKUP($K144,Grinders!$A$4:$N$998,11,FALSE)*100,""))</f>
        <v/>
      </c>
      <c r="AD144" s="40" t="str">
        <f>IF($K144="","",IFERROR(VLOOKUP($K144,Grinders!$A$4:$N$998,12,FALSE)*100,""))</f>
        <v/>
      </c>
      <c r="AE144" s="40" t="str">
        <f>IF(OR(AO144=1,AP144=1),0,=IFERROR(IFS(
    OR($C144="", $K144=""), 0,
    $F144=0, 0,
    $D144&lt;&gt;"Open", 0,
    COUNTIFS(GrinderServices!$A$6:$A$1000, $K144, GrinderServices!$B$6:$B$1000, $E144, GrinderServices!$D$6:$D$1000, "Y")=0, 0,
    $X144&lt;Config!$B$16, 0,
    Config!$B$18=1, IF($O144&gt;=N144, 0, 1),
    TRUE, 1
), "")
)</f>
        <v>#ERROR!</v>
      </c>
      <c r="AF144" s="40" t="str">
        <f>IFERROR((IF(OR(AO144=1,AP144=1),"",=IFERROR((IFERROR(IF($AE144=0,"",((Config!$B$6*$Y144 + Config!$B$7*$U144 + Config!$B$8*$Z144 + Config!$B$9*$AA144 + Config!$B$10*$AB144 + Config!$B$11*$AC144 - Config!$B$12*$AD144)/Config!$B$13)+$AK144+$AL144),""))*(1-IFERROR(VLOOKUP(K144,Grinders!$A:$AB, 28, FALSE),0)),"")))*(1+AR144),"")</f>
        <v>#ERROR!</v>
      </c>
      <c r="AG144" s="40" t="str">
        <f t="shared" si="6"/>
        <v>#ERROR!</v>
      </c>
      <c r="AH144" s="40" t="str">
        <f t="shared" si="7"/>
        <v/>
      </c>
      <c r="AI144" s="40" t="str">
        <f t="shared" si="8"/>
        <v/>
      </c>
      <c r="AJ144" s="40" t="str">
        <f>IF($K144="","",COUNTIF(Assignments!$B$6:$B$1000,$K144))</f>
        <v/>
      </c>
      <c r="AK144" s="40" t="str">
        <f>IF($K144="","",IF(AND($AJ144=0,$O144&lt;$N144),Config!$B$43,0))</f>
        <v/>
      </c>
      <c r="AL144" s="40" t="str">
        <f>IF($K144="","",IF(AND($M144="Elite",$G144&gt;=Config!$B$41,$O144&lt;$N144),Config!$B$42,0))</f>
        <v/>
      </c>
      <c r="AM144" s="22"/>
      <c r="AN144" s="39">
        <f>IFERROR(VLOOKUP(K144,Grinders!$A:$Q,28,FALSE),0)</f>
        <v>0</v>
      </c>
      <c r="AO144" s="39">
        <f>IF(Config!$B$1003&lt;&gt;"Y",0,IF(IFERROR(VLOOKUP(K144,Grinders!$A:$P,27,FALSE),0)&gt;=3,IF(OR(G144&gt;=Config!$B$1001,ISNUMBER(SEARCH(E144,Config!$B$1002))),1,0),0))</f>
        <v>0</v>
      </c>
      <c r="AP144" s="39">
        <f t="array" ref="AP144">IFERROR(IF(INDEX(Bids!$AE:$AE,MATCH(B144,Bids!$A:$A,0))="Pending",1,0),0)</f>
        <v>0</v>
      </c>
      <c r="AQ144" s="39" t="str">
        <f t="array" ref="AQ144">IF(C144="","",IFERROR(XLOOKUP(C144,Assignments!$C:$C,Assignments!$AU:$AU,0),0))</f>
        <v/>
      </c>
      <c r="AR144" s="39">
        <f>IF(AND(Config!$B$1006="Y",AQ144=1),Config!$B$1007,0)</f>
        <v>0</v>
      </c>
    </row>
    <row r="145" ht="15.75" customHeight="1">
      <c r="A145" s="46" t="str">
        <f t="shared" si="1"/>
        <v/>
      </c>
      <c r="B145" s="40" t="str">
        <f>IF(Bids!$A144="","",Bids!$A144)</f>
        <v/>
      </c>
      <c r="C145" s="40" t="str">
        <f>IF(Bids!$B144="","",Bids!$B144)</f>
        <v/>
      </c>
      <c r="D145" s="40" t="str">
        <f>IF($C145="","",IFERROR(VLOOKUP($C145,Orders!$A$4:$J$998,9,FALSE),""))</f>
        <v/>
      </c>
      <c r="E145" s="40" t="str">
        <f>IF($C145="","",IFERROR(VLOOKUP($C145,Orders!$A$4:$J$998,3,FALSE),""))</f>
        <v/>
      </c>
      <c r="F145" s="40">
        <f t="shared" si="2"/>
        <v>1</v>
      </c>
      <c r="G145" s="40" t="str">
        <f>IF($C145="","",IFERROR(VLOOKUP($C145,Orders!$A$4:$J$998,4,FALSE),""))</f>
        <v/>
      </c>
      <c r="H145" s="40" t="str">
        <f>IF($C145="","",IFERROR(VLOOKUP($C145,Orders!$A$4:$J$998,5,FALSE),""))</f>
        <v/>
      </c>
      <c r="I145" s="40" t="str">
        <f>IF($C145="","",IFERROR(VLOOKUP($C145,Orders!$A$4:$J$998,6,FALSE),""))</f>
        <v/>
      </c>
      <c r="J145" s="40" t="str">
        <f>IF($C145="","",IFERROR(VLOOKUP($C145,Orders!$A$4:$J$998,7,FALSE),""))</f>
        <v/>
      </c>
      <c r="K145" s="40" t="str">
        <f>IF(Bids!$C144="","",Bids!$C144)</f>
        <v/>
      </c>
      <c r="L145" s="40" t="str">
        <f>IF($K145="","",IFERROR(VLOOKUP($K145,Grinders!$A$4:$N$998,2,FALSE),""))</f>
        <v/>
      </c>
      <c r="M145" s="40" t="str">
        <f>IF($K145="","",IFERROR(VLOOKUP($K145,Grinders!$A$4:$N$998,3,FALSE),""))</f>
        <v/>
      </c>
      <c r="N145" s="40" t="str">
        <f>IF($K145="","",IFERROR(VLOOKUP($K145,Grinders!$A$4:$N$998,4,FALSE),""))</f>
        <v/>
      </c>
      <c r="O145" s="40" t="str">
        <f>IF($K145="","",IFERROR(VLOOKUP($K145,Grinders!$A$4:$N$998,5,FALSE),""))</f>
        <v/>
      </c>
      <c r="P145" s="40" t="str">
        <f>IF($K145="","",IF($C$4="",0,COUNTIFS(Assignments!$B$6:$B$1000,$K145,Assignments!$F$6:$F$1000,$C$4,Assignments!$E$6:$E$1000,"Active")))</f>
        <v/>
      </c>
      <c r="Q145" s="40" t="str">
        <f t="shared" si="3"/>
        <v/>
      </c>
      <c r="R145" s="40" t="str">
        <f t="shared" si="4"/>
        <v/>
      </c>
      <c r="S145" s="40" t="str">
        <f>IF($K145="","",IF($C$4="",0,COUNTIFS(Assignments!$B$6:$B$1000,$K145,Assignments!$F$6:$F$1000,$C$4,Assignments!$D$6:$D$1000,"&gt;="&amp;Config!$B$3-7,Assignments!$D$6:$D$1000,"&lt;="&amp;Config!$B$3)))</f>
        <v/>
      </c>
      <c r="T145" s="40" t="str">
        <f>IF($K145="","",IFERROR(VLOOKUP($K145,Grinders!$A$4:$N$998,8,FALSE),""))</f>
        <v/>
      </c>
      <c r="U145" s="40" t="str">
        <f>IFERROR(IF($K145="","",IF($M145="Elite",MAX(50,MIN(100,Config!$B$27*MAX(0,MIN(100,(1-IF($R145="",0,$R145))*100)) + Config!$B$28*MAX(0,MIN(100,(1-MIN(1,IF(Config!$B$30=0,1,$S145/Config!$B$30)))*100)) + Config!$B$29*MAX(0,MIN(100,MIN(1,IF($T145="",0,$T145)/Config!$B$23)*100)))),MIN(100,Config!$B$27*MAX(0,MIN(100,(1-IF($R145="",0,$R145))*100)) + Config!$B$28*MAX(0,MIN(100,(1-MIN(1,IF(Config!$B$30=0,1,$S145/Config!$B$30)))*100)) + Config!$B$29*MAX(0,MIN(100,MIN(1,IF($T145="",0,$T145)/Config!$B$23)*100))))),"")
</f>
        <v/>
      </c>
      <c r="V145" s="40" t="str">
        <f>IF(Bids!$AC145="","",Bids!$AC145)</f>
        <v/>
      </c>
      <c r="W145" s="40" t="str">
        <f>IF(Bids!$F144="","",Bids!$F144)</f>
        <v/>
      </c>
      <c r="X145" s="40" t="str">
        <f t="shared" si="5"/>
        <v/>
      </c>
      <c r="Y145" s="40" t="str">
        <f>IF($X145="","",IF(Config!$B$17=Config!$B$16,IF($X145&gt;=Config!$B$17,100,0),MAX(0,MIN(100,($X145-Config!$B$16)/(Config!$B$17-Config!$B$16)*100))))</f>
        <v/>
      </c>
      <c r="Z145" s="40">
        <f>IF($M145="Elite",Config!$B$21,0)</f>
        <v>0</v>
      </c>
      <c r="AA145" s="40" t="str">
        <f>IFERROR(IF(OR($W145="",$H145=""),"",IF($W145&gt;$H145,
  MAX(0, 60-(($W145-$H145)*24/Config!$B$19)*60),
  MIN(100, 60+(($H145-$W145)*24/Config!$B$20)*40)
)),"")
</f>
        <v/>
      </c>
      <c r="AB145" s="40" t="str">
        <f>IF($K145="","",IFERROR(VLOOKUP($K145,Grinders!$A$4:$N$998,10,FALSE)/5*100,""))</f>
        <v/>
      </c>
      <c r="AC145" s="40" t="str">
        <f>IF($K145="","",IFERROR(VLOOKUP($K145,Grinders!$A$4:$N$998,11,FALSE)*100,""))</f>
        <v/>
      </c>
      <c r="AD145" s="40" t="str">
        <f>IF($K145="","",IFERROR(VLOOKUP($K145,Grinders!$A$4:$N$998,12,FALSE)*100,""))</f>
        <v/>
      </c>
      <c r="AE145" s="40" t="str">
        <f>IF(OR(AO145=1,AP145=1),0,=IFERROR(IFS(
    OR($C145="", $K145=""), 0,
    $F145=0, 0,
    $D145&lt;&gt;"Open", 0,
    COUNTIFS(GrinderServices!$A$6:$A$1000, $K145, GrinderServices!$B$6:$B$1000, $E145, GrinderServices!$D$6:$D$1000, "Y")=0, 0,
    $X145&lt;Config!$B$16, 0,
    Config!$B$18=1, IF($O145&gt;=N145, 0, 1),
    TRUE, 1
), "")
)</f>
        <v>#ERROR!</v>
      </c>
      <c r="AF145" s="40" t="str">
        <f>IFERROR((IF(OR(AO145=1,AP145=1),"",=IFERROR((IFERROR(IF($AE145=0,"",((Config!$B$6*$Y145 + Config!$B$7*$U145 + Config!$B$8*$Z145 + Config!$B$9*$AA145 + Config!$B$10*$AB145 + Config!$B$11*$AC145 - Config!$B$12*$AD145)/Config!$B$13)+$AK145+$AL145),""))*(1-IFERROR(VLOOKUP(K145,Grinders!$A:$AB, 28, FALSE),0)),"")))*(1+AR145),"")</f>
        <v>#ERROR!</v>
      </c>
      <c r="AG145" s="40" t="str">
        <f t="shared" si="6"/>
        <v>#ERROR!</v>
      </c>
      <c r="AH145" s="40" t="str">
        <f t="shared" si="7"/>
        <v/>
      </c>
      <c r="AI145" s="40" t="str">
        <f t="shared" si="8"/>
        <v/>
      </c>
      <c r="AJ145" s="40" t="str">
        <f>IF($K145="","",COUNTIF(Assignments!$B$6:$B$1000,$K145))</f>
        <v/>
      </c>
      <c r="AK145" s="40" t="str">
        <f>IF($K145="","",IF(AND($AJ145=0,$O145&lt;$N145),Config!$B$43,0))</f>
        <v/>
      </c>
      <c r="AL145" s="40" t="str">
        <f>IF($K145="","",IF(AND($M145="Elite",$G145&gt;=Config!$B$41,$O145&lt;$N145),Config!$B$42,0))</f>
        <v/>
      </c>
      <c r="AM145" s="22"/>
      <c r="AN145" s="39">
        <f>IFERROR(VLOOKUP(K145,Grinders!$A:$Q,28,FALSE),0)</f>
        <v>0</v>
      </c>
      <c r="AO145" s="39">
        <f>IF(Config!$B$1003&lt;&gt;"Y",0,IF(IFERROR(VLOOKUP(K145,Grinders!$A:$P,27,FALSE),0)&gt;=3,IF(OR(G145&gt;=Config!$B$1001,ISNUMBER(SEARCH(E145,Config!$B$1002))),1,0),0))</f>
        <v>0</v>
      </c>
      <c r="AP145" s="39">
        <f t="array" ref="AP145">IFERROR(IF(INDEX(Bids!$AE:$AE,MATCH(B145,Bids!$A:$A,0))="Pending",1,0),0)</f>
        <v>0</v>
      </c>
      <c r="AQ145" s="39" t="str">
        <f t="array" ref="AQ145">IF(C145="","",IFERROR(XLOOKUP(C145,Assignments!$C:$C,Assignments!$AU:$AU,0),0))</f>
        <v/>
      </c>
      <c r="AR145" s="39">
        <f>IF(AND(Config!$B$1006="Y",AQ145=1),Config!$B$1007,0)</f>
        <v>0</v>
      </c>
    </row>
    <row r="146" ht="15.75" customHeight="1">
      <c r="A146" s="46" t="str">
        <f t="shared" si="1"/>
        <v/>
      </c>
      <c r="B146" s="40" t="str">
        <f>IF(Bids!$A145="","",Bids!$A145)</f>
        <v/>
      </c>
      <c r="C146" s="40" t="str">
        <f>IF(Bids!$B145="","",Bids!$B145)</f>
        <v/>
      </c>
      <c r="D146" s="40" t="str">
        <f>IF($C146="","",IFERROR(VLOOKUP($C146,Orders!$A$4:$J$998,9,FALSE),""))</f>
        <v/>
      </c>
      <c r="E146" s="40" t="str">
        <f>IF($C146="","",IFERROR(VLOOKUP($C146,Orders!$A$4:$J$998,3,FALSE),""))</f>
        <v/>
      </c>
      <c r="F146" s="40">
        <f t="shared" si="2"/>
        <v>1</v>
      </c>
      <c r="G146" s="40" t="str">
        <f>IF($C146="","",IFERROR(VLOOKUP($C146,Orders!$A$4:$J$998,4,FALSE),""))</f>
        <v/>
      </c>
      <c r="H146" s="40" t="str">
        <f>IF($C146="","",IFERROR(VLOOKUP($C146,Orders!$A$4:$J$998,5,FALSE),""))</f>
        <v/>
      </c>
      <c r="I146" s="40" t="str">
        <f>IF($C146="","",IFERROR(VLOOKUP($C146,Orders!$A$4:$J$998,6,FALSE),""))</f>
        <v/>
      </c>
      <c r="J146" s="40" t="str">
        <f>IF($C146="","",IFERROR(VLOOKUP($C146,Orders!$A$4:$J$998,7,FALSE),""))</f>
        <v/>
      </c>
      <c r="K146" s="40" t="str">
        <f>IF(Bids!$C145="","",Bids!$C145)</f>
        <v/>
      </c>
      <c r="L146" s="40" t="str">
        <f>IF($K146="","",IFERROR(VLOOKUP($K146,Grinders!$A$4:$N$998,2,FALSE),""))</f>
        <v/>
      </c>
      <c r="M146" s="40" t="str">
        <f>IF($K146="","",IFERROR(VLOOKUP($K146,Grinders!$A$4:$N$998,3,FALSE),""))</f>
        <v/>
      </c>
      <c r="N146" s="40" t="str">
        <f>IF($K146="","",IFERROR(VLOOKUP($K146,Grinders!$A$4:$N$998,4,FALSE),""))</f>
        <v/>
      </c>
      <c r="O146" s="40" t="str">
        <f>IF($K146="","",IFERROR(VLOOKUP($K146,Grinders!$A$4:$N$998,5,FALSE),""))</f>
        <v/>
      </c>
      <c r="P146" s="40" t="str">
        <f>IF($K146="","",IF($C$4="",0,COUNTIFS(Assignments!$B$6:$B$1000,$K146,Assignments!$F$6:$F$1000,$C$4,Assignments!$E$6:$E$1000,"Active")))</f>
        <v/>
      </c>
      <c r="Q146" s="40" t="str">
        <f t="shared" si="3"/>
        <v/>
      </c>
      <c r="R146" s="40" t="str">
        <f t="shared" si="4"/>
        <v/>
      </c>
      <c r="S146" s="40" t="str">
        <f>IF($K146="","",IF($C$4="",0,COUNTIFS(Assignments!$B$6:$B$1000,$K146,Assignments!$F$6:$F$1000,$C$4,Assignments!$D$6:$D$1000,"&gt;="&amp;Config!$B$3-7,Assignments!$D$6:$D$1000,"&lt;="&amp;Config!$B$3)))</f>
        <v/>
      </c>
      <c r="T146" s="40" t="str">
        <f>IF($K146="","",IFERROR(VLOOKUP($K146,Grinders!$A$4:$N$998,8,FALSE),""))</f>
        <v/>
      </c>
      <c r="U146" s="40" t="str">
        <f>IFERROR(IF($K146="","",IF($M146="Elite",MAX(50,MIN(100,Config!$B$27*MAX(0,MIN(100,(1-IF($R146="",0,$R146))*100)) + Config!$B$28*MAX(0,MIN(100,(1-MIN(1,IF(Config!$B$30=0,1,$S146/Config!$B$30)))*100)) + Config!$B$29*MAX(0,MIN(100,MIN(1,IF($T146="",0,$T146)/Config!$B$23)*100)))),MIN(100,Config!$B$27*MAX(0,MIN(100,(1-IF($R146="",0,$R146))*100)) + Config!$B$28*MAX(0,MIN(100,(1-MIN(1,IF(Config!$B$30=0,1,$S146/Config!$B$30)))*100)) + Config!$B$29*MAX(0,MIN(100,MIN(1,IF($T146="",0,$T146)/Config!$B$23)*100))))),"")
</f>
        <v/>
      </c>
      <c r="V146" s="40" t="str">
        <f>IF(Bids!$AC146="","",Bids!$AC146)</f>
        <v/>
      </c>
      <c r="W146" s="40" t="str">
        <f>IF(Bids!$F145="","",Bids!$F145)</f>
        <v/>
      </c>
      <c r="X146" s="40" t="str">
        <f t="shared" si="5"/>
        <v/>
      </c>
      <c r="Y146" s="40" t="str">
        <f>IF($X146="","",IF(Config!$B$17=Config!$B$16,IF($X146&gt;=Config!$B$17,100,0),MAX(0,MIN(100,($X146-Config!$B$16)/(Config!$B$17-Config!$B$16)*100))))</f>
        <v/>
      </c>
      <c r="Z146" s="40">
        <f>IF($M146="Elite",Config!$B$21,0)</f>
        <v>0</v>
      </c>
      <c r="AA146" s="40" t="str">
        <f>IFERROR(IF(OR($W146="",$H146=""),"",IF($W146&gt;$H146,
  MAX(0, 60-(($W146-$H146)*24/Config!$B$19)*60),
  MIN(100, 60+(($H146-$W146)*24/Config!$B$20)*40)
)),"")
</f>
        <v/>
      </c>
      <c r="AB146" s="40" t="str">
        <f>IF($K146="","",IFERROR(VLOOKUP($K146,Grinders!$A$4:$N$998,10,FALSE)/5*100,""))</f>
        <v/>
      </c>
      <c r="AC146" s="40" t="str">
        <f>IF($K146="","",IFERROR(VLOOKUP($K146,Grinders!$A$4:$N$998,11,FALSE)*100,""))</f>
        <v/>
      </c>
      <c r="AD146" s="40" t="str">
        <f>IF($K146="","",IFERROR(VLOOKUP($K146,Grinders!$A$4:$N$998,12,FALSE)*100,""))</f>
        <v/>
      </c>
      <c r="AE146" s="40" t="str">
        <f>IF(OR(AO146=1,AP146=1),0,=IFERROR(IFS(
    OR($C146="", $K146=""), 0,
    $F146=0, 0,
    $D146&lt;&gt;"Open", 0,
    COUNTIFS(GrinderServices!$A$6:$A$1000, $K146, GrinderServices!$B$6:$B$1000, $E146, GrinderServices!$D$6:$D$1000, "Y")=0, 0,
    $X146&lt;Config!$B$16, 0,
    Config!$B$18=1, IF($O146&gt;=N146, 0, 1),
    TRUE, 1
), "")
)</f>
        <v>#ERROR!</v>
      </c>
      <c r="AF146" s="40" t="str">
        <f>IFERROR((IF(OR(AO146=1,AP146=1),"",=IFERROR((IFERROR(IF($AE146=0,"",((Config!$B$6*$Y146 + Config!$B$7*$U146 + Config!$B$8*$Z146 + Config!$B$9*$AA146 + Config!$B$10*$AB146 + Config!$B$11*$AC146 - Config!$B$12*$AD146)/Config!$B$13)+$AK146+$AL146),""))*(1-IFERROR(VLOOKUP(K146,Grinders!$A:$AB, 28, FALSE),0)),"")))*(1+AR146),"")</f>
        <v>#ERROR!</v>
      </c>
      <c r="AG146" s="40" t="str">
        <f t="shared" si="6"/>
        <v>#ERROR!</v>
      </c>
      <c r="AH146" s="40" t="str">
        <f t="shared" si="7"/>
        <v/>
      </c>
      <c r="AI146" s="40" t="str">
        <f t="shared" si="8"/>
        <v/>
      </c>
      <c r="AJ146" s="40" t="str">
        <f>IF($K146="","",COUNTIF(Assignments!$B$6:$B$1000,$K146))</f>
        <v/>
      </c>
      <c r="AK146" s="40" t="str">
        <f>IF($K146="","",IF(AND($AJ146=0,$O146&lt;$N146),Config!$B$43,0))</f>
        <v/>
      </c>
      <c r="AL146" s="40" t="str">
        <f>IF($K146="","",IF(AND($M146="Elite",$G146&gt;=Config!$B$41,$O146&lt;$N146),Config!$B$42,0))</f>
        <v/>
      </c>
      <c r="AM146" s="22"/>
      <c r="AN146" s="39">
        <f>IFERROR(VLOOKUP(K146,Grinders!$A:$Q,28,FALSE),0)</f>
        <v>0</v>
      </c>
      <c r="AO146" s="39">
        <f>IF(Config!$B$1003&lt;&gt;"Y",0,IF(IFERROR(VLOOKUP(K146,Grinders!$A:$P,27,FALSE),0)&gt;=3,IF(OR(G146&gt;=Config!$B$1001,ISNUMBER(SEARCH(E146,Config!$B$1002))),1,0),0))</f>
        <v>0</v>
      </c>
      <c r="AP146" s="39">
        <f t="array" ref="AP146">IFERROR(IF(INDEX(Bids!$AE:$AE,MATCH(B146,Bids!$A:$A,0))="Pending",1,0),0)</f>
        <v>0</v>
      </c>
      <c r="AQ146" s="39" t="str">
        <f t="array" ref="AQ146">IF(C146="","",IFERROR(XLOOKUP(C146,Assignments!$C:$C,Assignments!$AU:$AU,0),0))</f>
        <v/>
      </c>
      <c r="AR146" s="39">
        <f>IF(AND(Config!$B$1006="Y",AQ146=1),Config!$B$1007,0)</f>
        <v>0</v>
      </c>
    </row>
    <row r="147" ht="15.75" customHeight="1">
      <c r="A147" s="46" t="str">
        <f t="shared" si="1"/>
        <v/>
      </c>
      <c r="B147" s="40" t="str">
        <f>IF(Bids!$A146="","",Bids!$A146)</f>
        <v/>
      </c>
      <c r="C147" s="40" t="str">
        <f>IF(Bids!$B146="","",Bids!$B146)</f>
        <v/>
      </c>
      <c r="D147" s="40" t="str">
        <f>IF($C147="","",IFERROR(VLOOKUP($C147,Orders!$A$4:$J$998,9,FALSE),""))</f>
        <v/>
      </c>
      <c r="E147" s="40" t="str">
        <f>IF($C147="","",IFERROR(VLOOKUP($C147,Orders!$A$4:$J$998,3,FALSE),""))</f>
        <v/>
      </c>
      <c r="F147" s="40">
        <f t="shared" si="2"/>
        <v>1</v>
      </c>
      <c r="G147" s="40" t="str">
        <f>IF($C147="","",IFERROR(VLOOKUP($C147,Orders!$A$4:$J$998,4,FALSE),""))</f>
        <v/>
      </c>
      <c r="H147" s="40" t="str">
        <f>IF($C147="","",IFERROR(VLOOKUP($C147,Orders!$A$4:$J$998,5,FALSE),""))</f>
        <v/>
      </c>
      <c r="I147" s="40" t="str">
        <f>IF($C147="","",IFERROR(VLOOKUP($C147,Orders!$A$4:$J$998,6,FALSE),""))</f>
        <v/>
      </c>
      <c r="J147" s="40" t="str">
        <f>IF($C147="","",IFERROR(VLOOKUP($C147,Orders!$A$4:$J$998,7,FALSE),""))</f>
        <v/>
      </c>
      <c r="K147" s="40" t="str">
        <f>IF(Bids!$C146="","",Bids!$C146)</f>
        <v/>
      </c>
      <c r="L147" s="40" t="str">
        <f>IF($K147="","",IFERROR(VLOOKUP($K147,Grinders!$A$4:$N$998,2,FALSE),""))</f>
        <v/>
      </c>
      <c r="M147" s="40" t="str">
        <f>IF($K147="","",IFERROR(VLOOKUP($K147,Grinders!$A$4:$N$998,3,FALSE),""))</f>
        <v/>
      </c>
      <c r="N147" s="40" t="str">
        <f>IF($K147="","",IFERROR(VLOOKUP($K147,Grinders!$A$4:$N$998,4,FALSE),""))</f>
        <v/>
      </c>
      <c r="O147" s="40" t="str">
        <f>IF($K147="","",IFERROR(VLOOKUP($K147,Grinders!$A$4:$N$998,5,FALSE),""))</f>
        <v/>
      </c>
      <c r="P147" s="40" t="str">
        <f>IF($K147="","",IF($C$4="",0,COUNTIFS(Assignments!$B$6:$B$1000,$K147,Assignments!$F$6:$F$1000,$C$4,Assignments!$E$6:$E$1000,"Active")))</f>
        <v/>
      </c>
      <c r="Q147" s="40" t="str">
        <f t="shared" si="3"/>
        <v/>
      </c>
      <c r="R147" s="40" t="str">
        <f t="shared" si="4"/>
        <v/>
      </c>
      <c r="S147" s="40" t="str">
        <f>IF($K147="","",IF($C$4="",0,COUNTIFS(Assignments!$B$6:$B$1000,$K147,Assignments!$F$6:$F$1000,$C$4,Assignments!$D$6:$D$1000,"&gt;="&amp;Config!$B$3-7,Assignments!$D$6:$D$1000,"&lt;="&amp;Config!$B$3)))</f>
        <v/>
      </c>
      <c r="T147" s="40" t="str">
        <f>IF($K147="","",IFERROR(VLOOKUP($K147,Grinders!$A$4:$N$998,8,FALSE),""))</f>
        <v/>
      </c>
      <c r="U147" s="40" t="str">
        <f>IFERROR(IF($K147="","",IF($M147="Elite",MAX(50,MIN(100,Config!$B$27*MAX(0,MIN(100,(1-IF($R147="",0,$R147))*100)) + Config!$B$28*MAX(0,MIN(100,(1-MIN(1,IF(Config!$B$30=0,1,$S147/Config!$B$30)))*100)) + Config!$B$29*MAX(0,MIN(100,MIN(1,IF($T147="",0,$T147)/Config!$B$23)*100)))),MIN(100,Config!$B$27*MAX(0,MIN(100,(1-IF($R147="",0,$R147))*100)) + Config!$B$28*MAX(0,MIN(100,(1-MIN(1,IF(Config!$B$30=0,1,$S147/Config!$B$30)))*100)) + Config!$B$29*MAX(0,MIN(100,MIN(1,IF($T147="",0,$T147)/Config!$B$23)*100))))),"")
</f>
        <v/>
      </c>
      <c r="V147" s="40" t="str">
        <f>IF(Bids!$AC147="","",Bids!$AC147)</f>
        <v/>
      </c>
      <c r="W147" s="40" t="str">
        <f>IF(Bids!$F146="","",Bids!$F146)</f>
        <v/>
      </c>
      <c r="X147" s="40" t="str">
        <f t="shared" si="5"/>
        <v/>
      </c>
      <c r="Y147" s="40" t="str">
        <f>IF($X147="","",IF(Config!$B$17=Config!$B$16,IF($X147&gt;=Config!$B$17,100,0),MAX(0,MIN(100,($X147-Config!$B$16)/(Config!$B$17-Config!$B$16)*100))))</f>
        <v/>
      </c>
      <c r="Z147" s="40">
        <f>IF($M147="Elite",Config!$B$21,0)</f>
        <v>0</v>
      </c>
      <c r="AA147" s="40" t="str">
        <f>IFERROR(IF(OR($W147="",$H147=""),"",IF($W147&gt;$H147,
  MAX(0, 60-(($W147-$H147)*24/Config!$B$19)*60),
  MIN(100, 60+(($H147-$W147)*24/Config!$B$20)*40)
)),"")
</f>
        <v/>
      </c>
      <c r="AB147" s="40" t="str">
        <f>IF($K147="","",IFERROR(VLOOKUP($K147,Grinders!$A$4:$N$998,10,FALSE)/5*100,""))</f>
        <v/>
      </c>
      <c r="AC147" s="40" t="str">
        <f>IF($K147="","",IFERROR(VLOOKUP($K147,Grinders!$A$4:$N$998,11,FALSE)*100,""))</f>
        <v/>
      </c>
      <c r="AD147" s="40" t="str">
        <f>IF($K147="","",IFERROR(VLOOKUP($K147,Grinders!$A$4:$N$998,12,FALSE)*100,""))</f>
        <v/>
      </c>
      <c r="AE147" s="40" t="str">
        <f>IF(OR(AO147=1,AP147=1),0,=IFERROR(IFS(
    OR($C147="", $K147=""), 0,
    $F147=0, 0,
    $D147&lt;&gt;"Open", 0,
    COUNTIFS(GrinderServices!$A$6:$A$1000, $K147, GrinderServices!$B$6:$B$1000, $E147, GrinderServices!$D$6:$D$1000, "Y")=0, 0,
    $X147&lt;Config!$B$16, 0,
    Config!$B$18=1, IF($O147&gt;=N147, 0, 1),
    TRUE, 1
), "")
)</f>
        <v>#ERROR!</v>
      </c>
      <c r="AF147" s="40" t="str">
        <f>IFERROR((IF(OR(AO147=1,AP147=1),"",=IFERROR((IFERROR(IF($AE147=0,"",((Config!$B$6*$Y147 + Config!$B$7*$U147 + Config!$B$8*$Z147 + Config!$B$9*$AA147 + Config!$B$10*$AB147 + Config!$B$11*$AC147 - Config!$B$12*$AD147)/Config!$B$13)+$AK147+$AL147),""))*(1-IFERROR(VLOOKUP(K147,Grinders!$A:$AB, 28, FALSE),0)),"")))*(1+AR147),"")</f>
        <v>#ERROR!</v>
      </c>
      <c r="AG147" s="40" t="str">
        <f t="shared" si="6"/>
        <v>#ERROR!</v>
      </c>
      <c r="AH147" s="40" t="str">
        <f t="shared" si="7"/>
        <v/>
      </c>
      <c r="AI147" s="40" t="str">
        <f t="shared" si="8"/>
        <v/>
      </c>
      <c r="AJ147" s="40" t="str">
        <f>IF($K147="","",COUNTIF(Assignments!$B$6:$B$1000,$K147))</f>
        <v/>
      </c>
      <c r="AK147" s="40" t="str">
        <f>IF($K147="","",IF(AND($AJ147=0,$O147&lt;$N147),Config!$B$43,0))</f>
        <v/>
      </c>
      <c r="AL147" s="40" t="str">
        <f>IF($K147="","",IF(AND($M147="Elite",$G147&gt;=Config!$B$41,$O147&lt;$N147),Config!$B$42,0))</f>
        <v/>
      </c>
      <c r="AM147" s="22"/>
      <c r="AN147" s="39">
        <f>IFERROR(VLOOKUP(K147,Grinders!$A:$Q,28,FALSE),0)</f>
        <v>0</v>
      </c>
      <c r="AO147" s="39">
        <f>IF(Config!$B$1003&lt;&gt;"Y",0,IF(IFERROR(VLOOKUP(K147,Grinders!$A:$P,27,FALSE),0)&gt;=3,IF(OR(G147&gt;=Config!$B$1001,ISNUMBER(SEARCH(E147,Config!$B$1002))),1,0),0))</f>
        <v>0</v>
      </c>
      <c r="AP147" s="39">
        <f t="array" ref="AP147">IFERROR(IF(INDEX(Bids!$AE:$AE,MATCH(B147,Bids!$A:$A,0))="Pending",1,0),0)</f>
        <v>0</v>
      </c>
      <c r="AQ147" s="39" t="str">
        <f t="array" ref="AQ147">IF(C147="","",IFERROR(XLOOKUP(C147,Assignments!$C:$C,Assignments!$AU:$AU,0),0))</f>
        <v/>
      </c>
      <c r="AR147" s="39">
        <f>IF(AND(Config!$B$1006="Y",AQ147=1),Config!$B$1007,0)</f>
        <v>0</v>
      </c>
    </row>
    <row r="148" ht="15.75" customHeight="1">
      <c r="A148" s="46" t="str">
        <f t="shared" si="1"/>
        <v/>
      </c>
      <c r="B148" s="40" t="str">
        <f>IF(Bids!$A147="","",Bids!$A147)</f>
        <v/>
      </c>
      <c r="C148" s="40" t="str">
        <f>IF(Bids!$B147="","",Bids!$B147)</f>
        <v/>
      </c>
      <c r="D148" s="40" t="str">
        <f>IF($C148="","",IFERROR(VLOOKUP($C148,Orders!$A$4:$J$998,9,FALSE),""))</f>
        <v/>
      </c>
      <c r="E148" s="40" t="str">
        <f>IF($C148="","",IFERROR(VLOOKUP($C148,Orders!$A$4:$J$998,3,FALSE),""))</f>
        <v/>
      </c>
      <c r="F148" s="40">
        <f t="shared" si="2"/>
        <v>1</v>
      </c>
      <c r="G148" s="40" t="str">
        <f>IF($C148="","",IFERROR(VLOOKUP($C148,Orders!$A$4:$J$998,4,FALSE),""))</f>
        <v/>
      </c>
      <c r="H148" s="40" t="str">
        <f>IF($C148="","",IFERROR(VLOOKUP($C148,Orders!$A$4:$J$998,5,FALSE),""))</f>
        <v/>
      </c>
      <c r="I148" s="40" t="str">
        <f>IF($C148="","",IFERROR(VLOOKUP($C148,Orders!$A$4:$J$998,6,FALSE),""))</f>
        <v/>
      </c>
      <c r="J148" s="40" t="str">
        <f>IF($C148="","",IFERROR(VLOOKUP($C148,Orders!$A$4:$J$998,7,FALSE),""))</f>
        <v/>
      </c>
      <c r="K148" s="40" t="str">
        <f>IF(Bids!$C147="","",Bids!$C147)</f>
        <v/>
      </c>
      <c r="L148" s="40" t="str">
        <f>IF($K148="","",IFERROR(VLOOKUP($K148,Grinders!$A$4:$N$998,2,FALSE),""))</f>
        <v/>
      </c>
      <c r="M148" s="40" t="str">
        <f>IF($K148="","",IFERROR(VLOOKUP($K148,Grinders!$A$4:$N$998,3,FALSE),""))</f>
        <v/>
      </c>
      <c r="N148" s="40" t="str">
        <f>IF($K148="","",IFERROR(VLOOKUP($K148,Grinders!$A$4:$N$998,4,FALSE),""))</f>
        <v/>
      </c>
      <c r="O148" s="40" t="str">
        <f>IF($K148="","",IFERROR(VLOOKUP($K148,Grinders!$A$4:$N$998,5,FALSE),""))</f>
        <v/>
      </c>
      <c r="P148" s="40" t="str">
        <f>IF($K148="","",IF($C$4="",0,COUNTIFS(Assignments!$B$6:$B$1000,$K148,Assignments!$F$6:$F$1000,$C$4,Assignments!$E$6:$E$1000,"Active")))</f>
        <v/>
      </c>
      <c r="Q148" s="40" t="str">
        <f t="shared" si="3"/>
        <v/>
      </c>
      <c r="R148" s="40" t="str">
        <f t="shared" si="4"/>
        <v/>
      </c>
      <c r="S148" s="40" t="str">
        <f>IF($K148="","",IF($C$4="",0,COUNTIFS(Assignments!$B$6:$B$1000,$K148,Assignments!$F$6:$F$1000,$C$4,Assignments!$D$6:$D$1000,"&gt;="&amp;Config!$B$3-7,Assignments!$D$6:$D$1000,"&lt;="&amp;Config!$B$3)))</f>
        <v/>
      </c>
      <c r="T148" s="40" t="str">
        <f>IF($K148="","",IFERROR(VLOOKUP($K148,Grinders!$A$4:$N$998,8,FALSE),""))</f>
        <v/>
      </c>
      <c r="U148" s="40" t="str">
        <f>IFERROR(IF($K148="","",IF($M148="Elite",MAX(50,MIN(100,Config!$B$27*MAX(0,MIN(100,(1-IF($R148="",0,$R148))*100)) + Config!$B$28*MAX(0,MIN(100,(1-MIN(1,IF(Config!$B$30=0,1,$S148/Config!$B$30)))*100)) + Config!$B$29*MAX(0,MIN(100,MIN(1,IF($T148="",0,$T148)/Config!$B$23)*100)))),MIN(100,Config!$B$27*MAX(0,MIN(100,(1-IF($R148="",0,$R148))*100)) + Config!$B$28*MAX(0,MIN(100,(1-MIN(1,IF(Config!$B$30=0,1,$S148/Config!$B$30)))*100)) + Config!$B$29*MAX(0,MIN(100,MIN(1,IF($T148="",0,$T148)/Config!$B$23)*100))))),"")
</f>
        <v/>
      </c>
      <c r="V148" s="40" t="str">
        <f>IF(Bids!$AC148="","",Bids!$AC148)</f>
        <v/>
      </c>
      <c r="W148" s="40" t="str">
        <f>IF(Bids!$F147="","",Bids!$F147)</f>
        <v/>
      </c>
      <c r="X148" s="40" t="str">
        <f t="shared" si="5"/>
        <v/>
      </c>
      <c r="Y148" s="40" t="str">
        <f>IF($X148="","",IF(Config!$B$17=Config!$B$16,IF($X148&gt;=Config!$B$17,100,0),MAX(0,MIN(100,($X148-Config!$B$16)/(Config!$B$17-Config!$B$16)*100))))</f>
        <v/>
      </c>
      <c r="Z148" s="40">
        <f>IF($M148="Elite",Config!$B$21,0)</f>
        <v>0</v>
      </c>
      <c r="AA148" s="40" t="str">
        <f>IFERROR(IF(OR($W148="",$H148=""),"",IF($W148&gt;$H148,
  MAX(0, 60-(($W148-$H148)*24/Config!$B$19)*60),
  MIN(100, 60+(($H148-$W148)*24/Config!$B$20)*40)
)),"")
</f>
        <v/>
      </c>
      <c r="AB148" s="40" t="str">
        <f>IF($K148="","",IFERROR(VLOOKUP($K148,Grinders!$A$4:$N$998,10,FALSE)/5*100,""))</f>
        <v/>
      </c>
      <c r="AC148" s="40" t="str">
        <f>IF($K148="","",IFERROR(VLOOKUP($K148,Grinders!$A$4:$N$998,11,FALSE)*100,""))</f>
        <v/>
      </c>
      <c r="AD148" s="40" t="str">
        <f>IF($K148="","",IFERROR(VLOOKUP($K148,Grinders!$A$4:$N$998,12,FALSE)*100,""))</f>
        <v/>
      </c>
      <c r="AE148" s="40" t="str">
        <f>IF(OR(AO148=1,AP148=1),0,=IFERROR(IFS(
    OR($C148="", $K148=""), 0,
    $F148=0, 0,
    $D148&lt;&gt;"Open", 0,
    COUNTIFS(GrinderServices!$A$6:$A$1000, $K148, GrinderServices!$B$6:$B$1000, $E148, GrinderServices!$D$6:$D$1000, "Y")=0, 0,
    $X148&lt;Config!$B$16, 0,
    Config!$B$18=1, IF($O148&gt;=N148, 0, 1),
    TRUE, 1
), "")
)</f>
        <v>#ERROR!</v>
      </c>
      <c r="AF148" s="40" t="str">
        <f>IFERROR((IF(OR(AO148=1,AP148=1),"",=IFERROR((IFERROR(IF($AE148=0,"",((Config!$B$6*$Y148 + Config!$B$7*$U148 + Config!$B$8*$Z148 + Config!$B$9*$AA148 + Config!$B$10*$AB148 + Config!$B$11*$AC148 - Config!$B$12*$AD148)/Config!$B$13)+$AK148+$AL148),""))*(1-IFERROR(VLOOKUP(K148,Grinders!$A:$AB, 28, FALSE),0)),"")))*(1+AR148),"")</f>
        <v>#ERROR!</v>
      </c>
      <c r="AG148" s="40" t="str">
        <f t="shared" si="6"/>
        <v>#ERROR!</v>
      </c>
      <c r="AH148" s="40" t="str">
        <f t="shared" si="7"/>
        <v/>
      </c>
      <c r="AI148" s="40" t="str">
        <f t="shared" si="8"/>
        <v/>
      </c>
      <c r="AJ148" s="40" t="str">
        <f>IF($K148="","",COUNTIF(Assignments!$B$6:$B$1000,$K148))</f>
        <v/>
      </c>
      <c r="AK148" s="40" t="str">
        <f>IF($K148="","",IF(AND($AJ148=0,$O148&lt;$N148),Config!$B$43,0))</f>
        <v/>
      </c>
      <c r="AL148" s="40" t="str">
        <f>IF($K148="","",IF(AND($M148="Elite",$G148&gt;=Config!$B$41,$O148&lt;$N148),Config!$B$42,0))</f>
        <v/>
      </c>
      <c r="AM148" s="22"/>
      <c r="AN148" s="39">
        <f>IFERROR(VLOOKUP(K148,Grinders!$A:$Q,28,FALSE),0)</f>
        <v>0</v>
      </c>
      <c r="AO148" s="39">
        <f>IF(Config!$B$1003&lt;&gt;"Y",0,IF(IFERROR(VLOOKUP(K148,Grinders!$A:$P,27,FALSE),0)&gt;=3,IF(OR(G148&gt;=Config!$B$1001,ISNUMBER(SEARCH(E148,Config!$B$1002))),1,0),0))</f>
        <v>0</v>
      </c>
      <c r="AP148" s="39">
        <f t="array" ref="AP148">IFERROR(IF(INDEX(Bids!$AE:$AE,MATCH(B148,Bids!$A:$A,0))="Pending",1,0),0)</f>
        <v>0</v>
      </c>
      <c r="AQ148" s="39" t="str">
        <f t="array" ref="AQ148">IF(C148="","",IFERROR(XLOOKUP(C148,Assignments!$C:$C,Assignments!$AU:$AU,0),0))</f>
        <v/>
      </c>
      <c r="AR148" s="39">
        <f>IF(AND(Config!$B$1006="Y",AQ148=1),Config!$B$1007,0)</f>
        <v>0</v>
      </c>
    </row>
    <row r="149" ht="15.75" customHeight="1">
      <c r="A149" s="46" t="str">
        <f t="shared" si="1"/>
        <v/>
      </c>
      <c r="B149" s="40" t="str">
        <f>IF(Bids!$A148="","",Bids!$A148)</f>
        <v/>
      </c>
      <c r="C149" s="40" t="str">
        <f>IF(Bids!$B148="","",Bids!$B148)</f>
        <v/>
      </c>
      <c r="D149" s="40" t="str">
        <f>IF($C149="","",IFERROR(VLOOKUP($C149,Orders!$A$4:$J$998,9,FALSE),""))</f>
        <v/>
      </c>
      <c r="E149" s="40" t="str">
        <f>IF($C149="","",IFERROR(VLOOKUP($C149,Orders!$A$4:$J$998,3,FALSE),""))</f>
        <v/>
      </c>
      <c r="F149" s="40">
        <f t="shared" si="2"/>
        <v>1</v>
      </c>
      <c r="G149" s="40" t="str">
        <f>IF($C149="","",IFERROR(VLOOKUP($C149,Orders!$A$4:$J$998,4,FALSE),""))</f>
        <v/>
      </c>
      <c r="H149" s="40" t="str">
        <f>IF($C149="","",IFERROR(VLOOKUP($C149,Orders!$A$4:$J$998,5,FALSE),""))</f>
        <v/>
      </c>
      <c r="I149" s="40" t="str">
        <f>IF($C149="","",IFERROR(VLOOKUP($C149,Orders!$A$4:$J$998,6,FALSE),""))</f>
        <v/>
      </c>
      <c r="J149" s="40" t="str">
        <f>IF($C149="","",IFERROR(VLOOKUP($C149,Orders!$A$4:$J$998,7,FALSE),""))</f>
        <v/>
      </c>
      <c r="K149" s="40" t="str">
        <f>IF(Bids!$C148="","",Bids!$C148)</f>
        <v/>
      </c>
      <c r="L149" s="40" t="str">
        <f>IF($K149="","",IFERROR(VLOOKUP($K149,Grinders!$A$4:$N$998,2,FALSE),""))</f>
        <v/>
      </c>
      <c r="M149" s="40" t="str">
        <f>IF($K149="","",IFERROR(VLOOKUP($K149,Grinders!$A$4:$N$998,3,FALSE),""))</f>
        <v/>
      </c>
      <c r="N149" s="40" t="str">
        <f>IF($K149="","",IFERROR(VLOOKUP($K149,Grinders!$A$4:$N$998,4,FALSE),""))</f>
        <v/>
      </c>
      <c r="O149" s="40" t="str">
        <f>IF($K149="","",IFERROR(VLOOKUP($K149,Grinders!$A$4:$N$998,5,FALSE),""))</f>
        <v/>
      </c>
      <c r="P149" s="40" t="str">
        <f>IF($K149="","",IF($C$4="",0,COUNTIFS(Assignments!$B$6:$B$1000,$K149,Assignments!$F$6:$F$1000,$C$4,Assignments!$E$6:$E$1000,"Active")))</f>
        <v/>
      </c>
      <c r="Q149" s="40" t="str">
        <f t="shared" si="3"/>
        <v/>
      </c>
      <c r="R149" s="40" t="str">
        <f t="shared" si="4"/>
        <v/>
      </c>
      <c r="S149" s="40" t="str">
        <f>IF($K149="","",IF($C$4="",0,COUNTIFS(Assignments!$B$6:$B$1000,$K149,Assignments!$F$6:$F$1000,$C$4,Assignments!$D$6:$D$1000,"&gt;="&amp;Config!$B$3-7,Assignments!$D$6:$D$1000,"&lt;="&amp;Config!$B$3)))</f>
        <v/>
      </c>
      <c r="T149" s="40" t="str">
        <f>IF($K149="","",IFERROR(VLOOKUP($K149,Grinders!$A$4:$N$998,8,FALSE),""))</f>
        <v/>
      </c>
      <c r="U149" s="40" t="str">
        <f>IFERROR(IF($K149="","",IF($M149="Elite",MAX(50,MIN(100,Config!$B$27*MAX(0,MIN(100,(1-IF($R149="",0,$R149))*100)) + Config!$B$28*MAX(0,MIN(100,(1-MIN(1,IF(Config!$B$30=0,1,$S149/Config!$B$30)))*100)) + Config!$B$29*MAX(0,MIN(100,MIN(1,IF($T149="",0,$T149)/Config!$B$23)*100)))),MIN(100,Config!$B$27*MAX(0,MIN(100,(1-IF($R149="",0,$R149))*100)) + Config!$B$28*MAX(0,MIN(100,(1-MIN(1,IF(Config!$B$30=0,1,$S149/Config!$B$30)))*100)) + Config!$B$29*MAX(0,MIN(100,MIN(1,IF($T149="",0,$T149)/Config!$B$23)*100))))),"")
</f>
        <v/>
      </c>
      <c r="V149" s="40" t="str">
        <f>IF(Bids!$AC149="","",Bids!$AC149)</f>
        <v/>
      </c>
      <c r="W149" s="40" t="str">
        <f>IF(Bids!$F148="","",Bids!$F148)</f>
        <v/>
      </c>
      <c r="X149" s="40" t="str">
        <f t="shared" si="5"/>
        <v/>
      </c>
      <c r="Y149" s="40" t="str">
        <f>IF($X149="","",IF(Config!$B$17=Config!$B$16,IF($X149&gt;=Config!$B$17,100,0),MAX(0,MIN(100,($X149-Config!$B$16)/(Config!$B$17-Config!$B$16)*100))))</f>
        <v/>
      </c>
      <c r="Z149" s="40">
        <f>IF($M149="Elite",Config!$B$21,0)</f>
        <v>0</v>
      </c>
      <c r="AA149" s="40" t="str">
        <f>IFERROR(IF(OR($W149="",$H149=""),"",IF($W149&gt;$H149,
  MAX(0, 60-(($W149-$H149)*24/Config!$B$19)*60),
  MIN(100, 60+(($H149-$W149)*24/Config!$B$20)*40)
)),"")
</f>
        <v/>
      </c>
      <c r="AB149" s="40" t="str">
        <f>IF($K149="","",IFERROR(VLOOKUP($K149,Grinders!$A$4:$N$998,10,FALSE)/5*100,""))</f>
        <v/>
      </c>
      <c r="AC149" s="40" t="str">
        <f>IF($K149="","",IFERROR(VLOOKUP($K149,Grinders!$A$4:$N$998,11,FALSE)*100,""))</f>
        <v/>
      </c>
      <c r="AD149" s="40" t="str">
        <f>IF($K149="","",IFERROR(VLOOKUP($K149,Grinders!$A$4:$N$998,12,FALSE)*100,""))</f>
        <v/>
      </c>
      <c r="AE149" s="40" t="str">
        <f>IF(OR(AO149=1,AP149=1),0,=IFERROR(IFS(
    OR($C149="", $K149=""), 0,
    $F149=0, 0,
    $D149&lt;&gt;"Open", 0,
    COUNTIFS(GrinderServices!$A$6:$A$1000, $K149, GrinderServices!$B$6:$B$1000, $E149, GrinderServices!$D$6:$D$1000, "Y")=0, 0,
    $X149&lt;Config!$B$16, 0,
    Config!$B$18=1, IF($O149&gt;=N149, 0, 1),
    TRUE, 1
), "")
)</f>
        <v>#ERROR!</v>
      </c>
      <c r="AF149" s="40" t="str">
        <f>IFERROR((IF(OR(AO149=1,AP149=1),"",=IFERROR((IFERROR(IF($AE149=0,"",((Config!$B$6*$Y149 + Config!$B$7*$U149 + Config!$B$8*$Z149 + Config!$B$9*$AA149 + Config!$B$10*$AB149 + Config!$B$11*$AC149 - Config!$B$12*$AD149)/Config!$B$13)+$AK149+$AL149),""))*(1-IFERROR(VLOOKUP(K149,Grinders!$A:$AB, 28, FALSE),0)),"")))*(1+AR149),"")</f>
        <v>#ERROR!</v>
      </c>
      <c r="AG149" s="40" t="str">
        <f t="shared" si="6"/>
        <v>#ERROR!</v>
      </c>
      <c r="AH149" s="40" t="str">
        <f t="shared" si="7"/>
        <v/>
      </c>
      <c r="AI149" s="40" t="str">
        <f t="shared" si="8"/>
        <v/>
      </c>
      <c r="AJ149" s="40" t="str">
        <f>IF($K149="","",COUNTIF(Assignments!$B$6:$B$1000,$K149))</f>
        <v/>
      </c>
      <c r="AK149" s="40" t="str">
        <f>IF($K149="","",IF(AND($AJ149=0,$O149&lt;$N149),Config!$B$43,0))</f>
        <v/>
      </c>
      <c r="AL149" s="40" t="str">
        <f>IF($K149="","",IF(AND($M149="Elite",$G149&gt;=Config!$B$41,$O149&lt;$N149),Config!$B$42,0))</f>
        <v/>
      </c>
      <c r="AM149" s="22"/>
      <c r="AN149" s="39">
        <f>IFERROR(VLOOKUP(K149,Grinders!$A:$Q,28,FALSE),0)</f>
        <v>0</v>
      </c>
      <c r="AO149" s="39">
        <f>IF(Config!$B$1003&lt;&gt;"Y",0,IF(IFERROR(VLOOKUP(K149,Grinders!$A:$P,27,FALSE),0)&gt;=3,IF(OR(G149&gt;=Config!$B$1001,ISNUMBER(SEARCH(E149,Config!$B$1002))),1,0),0))</f>
        <v>0</v>
      </c>
      <c r="AP149" s="39">
        <f t="array" ref="AP149">IFERROR(IF(INDEX(Bids!$AE:$AE,MATCH(B149,Bids!$A:$A,0))="Pending",1,0),0)</f>
        <v>0</v>
      </c>
      <c r="AQ149" s="39" t="str">
        <f t="array" ref="AQ149">IF(C149="","",IFERROR(XLOOKUP(C149,Assignments!$C:$C,Assignments!$AU:$AU,0),0))</f>
        <v/>
      </c>
      <c r="AR149" s="39">
        <f>IF(AND(Config!$B$1006="Y",AQ149=1),Config!$B$1007,0)</f>
        <v>0</v>
      </c>
    </row>
    <row r="150" ht="15.75" customHeight="1">
      <c r="A150" s="46" t="str">
        <f t="shared" si="1"/>
        <v/>
      </c>
      <c r="B150" s="40" t="str">
        <f>IF(Bids!$A149="","",Bids!$A149)</f>
        <v/>
      </c>
      <c r="C150" s="40" t="str">
        <f>IF(Bids!$B149="","",Bids!$B149)</f>
        <v/>
      </c>
      <c r="D150" s="40" t="str">
        <f>IF($C150="","",IFERROR(VLOOKUP($C150,Orders!$A$4:$J$998,9,FALSE),""))</f>
        <v/>
      </c>
      <c r="E150" s="40" t="str">
        <f>IF($C150="","",IFERROR(VLOOKUP($C150,Orders!$A$4:$J$998,3,FALSE),""))</f>
        <v/>
      </c>
      <c r="F150" s="40">
        <f t="shared" si="2"/>
        <v>1</v>
      </c>
      <c r="G150" s="40" t="str">
        <f>IF($C150="","",IFERROR(VLOOKUP($C150,Orders!$A$4:$J$998,4,FALSE),""))</f>
        <v/>
      </c>
      <c r="H150" s="40" t="str">
        <f>IF($C150="","",IFERROR(VLOOKUP($C150,Orders!$A$4:$J$998,5,FALSE),""))</f>
        <v/>
      </c>
      <c r="I150" s="40" t="str">
        <f>IF($C150="","",IFERROR(VLOOKUP($C150,Orders!$A$4:$J$998,6,FALSE),""))</f>
        <v/>
      </c>
      <c r="J150" s="40" t="str">
        <f>IF($C150="","",IFERROR(VLOOKUP($C150,Orders!$A$4:$J$998,7,FALSE),""))</f>
        <v/>
      </c>
      <c r="K150" s="40" t="str">
        <f>IF(Bids!$C149="","",Bids!$C149)</f>
        <v/>
      </c>
      <c r="L150" s="40" t="str">
        <f>IF($K150="","",IFERROR(VLOOKUP($K150,Grinders!$A$4:$N$998,2,FALSE),""))</f>
        <v/>
      </c>
      <c r="M150" s="40" t="str">
        <f>IF($K150="","",IFERROR(VLOOKUP($K150,Grinders!$A$4:$N$998,3,FALSE),""))</f>
        <v/>
      </c>
      <c r="N150" s="40" t="str">
        <f>IF($K150="","",IFERROR(VLOOKUP($K150,Grinders!$A$4:$N$998,4,FALSE),""))</f>
        <v/>
      </c>
      <c r="O150" s="40" t="str">
        <f>IF($K150="","",IFERROR(VLOOKUP($K150,Grinders!$A$4:$N$998,5,FALSE),""))</f>
        <v/>
      </c>
      <c r="P150" s="40" t="str">
        <f>IF($K150="","",IF($C$4="",0,COUNTIFS(Assignments!$B$6:$B$1000,$K150,Assignments!$F$6:$F$1000,$C$4,Assignments!$E$6:$E$1000,"Active")))</f>
        <v/>
      </c>
      <c r="Q150" s="40" t="str">
        <f t="shared" si="3"/>
        <v/>
      </c>
      <c r="R150" s="40" t="str">
        <f t="shared" si="4"/>
        <v/>
      </c>
      <c r="S150" s="40" t="str">
        <f>IF($K150="","",IF($C$4="",0,COUNTIFS(Assignments!$B$6:$B$1000,$K150,Assignments!$F$6:$F$1000,$C$4,Assignments!$D$6:$D$1000,"&gt;="&amp;Config!$B$3-7,Assignments!$D$6:$D$1000,"&lt;="&amp;Config!$B$3)))</f>
        <v/>
      </c>
      <c r="T150" s="40" t="str">
        <f>IF($K150="","",IFERROR(VLOOKUP($K150,Grinders!$A$4:$N$998,8,FALSE),""))</f>
        <v/>
      </c>
      <c r="U150" s="40" t="str">
        <f>IFERROR(IF($K150="","",IF($M150="Elite",MAX(50,MIN(100,Config!$B$27*MAX(0,MIN(100,(1-IF($R150="",0,$R150))*100)) + Config!$B$28*MAX(0,MIN(100,(1-MIN(1,IF(Config!$B$30=0,1,$S150/Config!$B$30)))*100)) + Config!$B$29*MAX(0,MIN(100,MIN(1,IF($T150="",0,$T150)/Config!$B$23)*100)))),MIN(100,Config!$B$27*MAX(0,MIN(100,(1-IF($R150="",0,$R150))*100)) + Config!$B$28*MAX(0,MIN(100,(1-MIN(1,IF(Config!$B$30=0,1,$S150/Config!$B$30)))*100)) + Config!$B$29*MAX(0,MIN(100,MIN(1,IF($T150="",0,$T150)/Config!$B$23)*100))))),"")
</f>
        <v/>
      </c>
      <c r="V150" s="40" t="str">
        <f>IF(Bids!$AC150="","",Bids!$AC150)</f>
        <v/>
      </c>
      <c r="W150" s="40" t="str">
        <f>IF(Bids!$F149="","",Bids!$F149)</f>
        <v/>
      </c>
      <c r="X150" s="40" t="str">
        <f t="shared" si="5"/>
        <v/>
      </c>
      <c r="Y150" s="40" t="str">
        <f>IF($X150="","",IF(Config!$B$17=Config!$B$16,IF($X150&gt;=Config!$B$17,100,0),MAX(0,MIN(100,($X150-Config!$B$16)/(Config!$B$17-Config!$B$16)*100))))</f>
        <v/>
      </c>
      <c r="Z150" s="40">
        <f>IF($M150="Elite",Config!$B$21,0)</f>
        <v>0</v>
      </c>
      <c r="AA150" s="40" t="str">
        <f>IFERROR(IF(OR($W150="",$H150=""),"",IF($W150&gt;$H150,
  MAX(0, 60-(($W150-$H150)*24/Config!$B$19)*60),
  MIN(100, 60+(($H150-$W150)*24/Config!$B$20)*40)
)),"")
</f>
        <v/>
      </c>
      <c r="AB150" s="40" t="str">
        <f>IF($K150="","",IFERROR(VLOOKUP($K150,Grinders!$A$4:$N$998,10,FALSE)/5*100,""))</f>
        <v/>
      </c>
      <c r="AC150" s="40" t="str">
        <f>IF($K150="","",IFERROR(VLOOKUP($K150,Grinders!$A$4:$N$998,11,FALSE)*100,""))</f>
        <v/>
      </c>
      <c r="AD150" s="40" t="str">
        <f>IF($K150="","",IFERROR(VLOOKUP($K150,Grinders!$A$4:$N$998,12,FALSE)*100,""))</f>
        <v/>
      </c>
      <c r="AE150" s="40" t="str">
        <f>IF(OR(AO150=1,AP150=1),0,=IFERROR(IFS(
    OR($C150="", $K150=""), 0,
    $F150=0, 0,
    $D150&lt;&gt;"Open", 0,
    COUNTIFS(GrinderServices!$A$6:$A$1000, $K150, GrinderServices!$B$6:$B$1000, $E150, GrinderServices!$D$6:$D$1000, "Y")=0, 0,
    $X150&lt;Config!$B$16, 0,
    Config!$B$18=1, IF($O150&gt;=N150, 0, 1),
    TRUE, 1
), "")
)</f>
        <v>#ERROR!</v>
      </c>
      <c r="AF150" s="40" t="str">
        <f>IFERROR((IF(OR(AO150=1,AP150=1),"",=IFERROR((IFERROR(IF($AE150=0,"",((Config!$B$6*$Y150 + Config!$B$7*$U150 + Config!$B$8*$Z150 + Config!$B$9*$AA150 + Config!$B$10*$AB150 + Config!$B$11*$AC150 - Config!$B$12*$AD150)/Config!$B$13)+$AK150+$AL150),""))*(1-IFERROR(VLOOKUP(K150,Grinders!$A:$AB, 28, FALSE),0)),"")))*(1+AR150),"")</f>
        <v>#ERROR!</v>
      </c>
      <c r="AG150" s="40" t="str">
        <f t="shared" si="6"/>
        <v>#ERROR!</v>
      </c>
      <c r="AH150" s="40" t="str">
        <f t="shared" si="7"/>
        <v/>
      </c>
      <c r="AI150" s="40" t="str">
        <f t="shared" si="8"/>
        <v/>
      </c>
      <c r="AJ150" s="40" t="str">
        <f>IF($K150="","",COUNTIF(Assignments!$B$6:$B$1000,$K150))</f>
        <v/>
      </c>
      <c r="AK150" s="40" t="str">
        <f>IF($K150="","",IF(AND($AJ150=0,$O150&lt;$N150),Config!$B$43,0))</f>
        <v/>
      </c>
      <c r="AL150" s="40" t="str">
        <f>IF($K150="","",IF(AND($M150="Elite",$G150&gt;=Config!$B$41,$O150&lt;$N150),Config!$B$42,0))</f>
        <v/>
      </c>
      <c r="AM150" s="22"/>
      <c r="AN150" s="39">
        <f>IFERROR(VLOOKUP(K150,Grinders!$A:$Q,28,FALSE),0)</f>
        <v>0</v>
      </c>
      <c r="AO150" s="39">
        <f>IF(Config!$B$1003&lt;&gt;"Y",0,IF(IFERROR(VLOOKUP(K150,Grinders!$A:$P,27,FALSE),0)&gt;=3,IF(OR(G150&gt;=Config!$B$1001,ISNUMBER(SEARCH(E150,Config!$B$1002))),1,0),0))</f>
        <v>0</v>
      </c>
      <c r="AP150" s="39">
        <f t="array" ref="AP150">IFERROR(IF(INDEX(Bids!$AE:$AE,MATCH(B150,Bids!$A:$A,0))="Pending",1,0),0)</f>
        <v>0</v>
      </c>
      <c r="AQ150" s="39" t="str">
        <f t="array" ref="AQ150">IF(C150="","",IFERROR(XLOOKUP(C150,Assignments!$C:$C,Assignments!$AU:$AU,0),0))</f>
        <v/>
      </c>
      <c r="AR150" s="39">
        <f>IF(AND(Config!$B$1006="Y",AQ150=1),Config!$B$1007,0)</f>
        <v>0</v>
      </c>
    </row>
    <row r="151" ht="15.75" customHeight="1">
      <c r="A151" s="46" t="str">
        <f t="shared" si="1"/>
        <v/>
      </c>
      <c r="B151" s="40" t="str">
        <f>IF(Bids!$A150="","",Bids!$A150)</f>
        <v/>
      </c>
      <c r="C151" s="40" t="str">
        <f>IF(Bids!$B150="","",Bids!$B150)</f>
        <v/>
      </c>
      <c r="D151" s="40" t="str">
        <f>IF($C151="","",IFERROR(VLOOKUP($C151,Orders!$A$4:$J$998,9,FALSE),""))</f>
        <v/>
      </c>
      <c r="E151" s="40" t="str">
        <f>IF($C151="","",IFERROR(VLOOKUP($C151,Orders!$A$4:$J$998,3,FALSE),""))</f>
        <v/>
      </c>
      <c r="F151" s="40">
        <f t="shared" si="2"/>
        <v>1</v>
      </c>
      <c r="G151" s="40" t="str">
        <f>IF($C151="","",IFERROR(VLOOKUP($C151,Orders!$A$4:$J$998,4,FALSE),""))</f>
        <v/>
      </c>
      <c r="H151" s="40" t="str">
        <f>IF($C151="","",IFERROR(VLOOKUP($C151,Orders!$A$4:$J$998,5,FALSE),""))</f>
        <v/>
      </c>
      <c r="I151" s="40" t="str">
        <f>IF($C151="","",IFERROR(VLOOKUP($C151,Orders!$A$4:$J$998,6,FALSE),""))</f>
        <v/>
      </c>
      <c r="J151" s="40" t="str">
        <f>IF($C151="","",IFERROR(VLOOKUP($C151,Orders!$A$4:$J$998,7,FALSE),""))</f>
        <v/>
      </c>
      <c r="K151" s="40" t="str">
        <f>IF(Bids!$C150="","",Bids!$C150)</f>
        <v/>
      </c>
      <c r="L151" s="40" t="str">
        <f>IF($K151="","",IFERROR(VLOOKUP($K151,Grinders!$A$4:$N$998,2,FALSE),""))</f>
        <v/>
      </c>
      <c r="M151" s="40" t="str">
        <f>IF($K151="","",IFERROR(VLOOKUP($K151,Grinders!$A$4:$N$998,3,FALSE),""))</f>
        <v/>
      </c>
      <c r="N151" s="40" t="str">
        <f>IF($K151="","",IFERROR(VLOOKUP($K151,Grinders!$A$4:$N$998,4,FALSE),""))</f>
        <v/>
      </c>
      <c r="O151" s="40" t="str">
        <f>IF($K151="","",IFERROR(VLOOKUP($K151,Grinders!$A$4:$N$998,5,FALSE),""))</f>
        <v/>
      </c>
      <c r="P151" s="40" t="str">
        <f>IF($K151="","",IF($C$4="",0,COUNTIFS(Assignments!$B$6:$B$1000,$K151,Assignments!$F$6:$F$1000,$C$4,Assignments!$E$6:$E$1000,"Active")))</f>
        <v/>
      </c>
      <c r="Q151" s="40" t="str">
        <f t="shared" si="3"/>
        <v/>
      </c>
      <c r="R151" s="40" t="str">
        <f t="shared" si="4"/>
        <v/>
      </c>
      <c r="S151" s="40" t="str">
        <f>IF($K151="","",IF($C$4="",0,COUNTIFS(Assignments!$B$6:$B$1000,$K151,Assignments!$F$6:$F$1000,$C$4,Assignments!$D$6:$D$1000,"&gt;="&amp;Config!$B$3-7,Assignments!$D$6:$D$1000,"&lt;="&amp;Config!$B$3)))</f>
        <v/>
      </c>
      <c r="T151" s="40" t="str">
        <f>IF($K151="","",IFERROR(VLOOKUP($K151,Grinders!$A$4:$N$998,8,FALSE),""))</f>
        <v/>
      </c>
      <c r="U151" s="40" t="str">
        <f>IFERROR(IF($K151="","",IF($M151="Elite",MAX(50,MIN(100,Config!$B$27*MAX(0,MIN(100,(1-IF($R151="",0,$R151))*100)) + Config!$B$28*MAX(0,MIN(100,(1-MIN(1,IF(Config!$B$30=0,1,$S151/Config!$B$30)))*100)) + Config!$B$29*MAX(0,MIN(100,MIN(1,IF($T151="",0,$T151)/Config!$B$23)*100)))),MIN(100,Config!$B$27*MAX(0,MIN(100,(1-IF($R151="",0,$R151))*100)) + Config!$B$28*MAX(0,MIN(100,(1-MIN(1,IF(Config!$B$30=0,1,$S151/Config!$B$30)))*100)) + Config!$B$29*MAX(0,MIN(100,MIN(1,IF($T151="",0,$T151)/Config!$B$23)*100))))),"")
</f>
        <v/>
      </c>
      <c r="V151" s="40" t="str">
        <f>IF(Bids!$AC151="","",Bids!$AC151)</f>
        <v/>
      </c>
      <c r="W151" s="40" t="str">
        <f>IF(Bids!$F150="","",Bids!$F150)</f>
        <v/>
      </c>
      <c r="X151" s="40" t="str">
        <f t="shared" si="5"/>
        <v/>
      </c>
      <c r="Y151" s="40" t="str">
        <f>IF($X151="","",IF(Config!$B$17=Config!$B$16,IF($X151&gt;=Config!$B$17,100,0),MAX(0,MIN(100,($X151-Config!$B$16)/(Config!$B$17-Config!$B$16)*100))))</f>
        <v/>
      </c>
      <c r="Z151" s="40">
        <f>IF($M151="Elite",Config!$B$21,0)</f>
        <v>0</v>
      </c>
      <c r="AA151" s="40" t="str">
        <f>IFERROR(IF(OR($W151="",$H151=""),"",IF($W151&gt;$H151,
  MAX(0, 60-(($W151-$H151)*24/Config!$B$19)*60),
  MIN(100, 60+(($H151-$W151)*24/Config!$B$20)*40)
)),"")
</f>
        <v/>
      </c>
      <c r="AB151" s="40" t="str">
        <f>IF($K151="","",IFERROR(VLOOKUP($K151,Grinders!$A$4:$N$998,10,FALSE)/5*100,""))</f>
        <v/>
      </c>
      <c r="AC151" s="40" t="str">
        <f>IF($K151="","",IFERROR(VLOOKUP($K151,Grinders!$A$4:$N$998,11,FALSE)*100,""))</f>
        <v/>
      </c>
      <c r="AD151" s="40" t="str">
        <f>IF($K151="","",IFERROR(VLOOKUP($K151,Grinders!$A$4:$N$998,12,FALSE)*100,""))</f>
        <v/>
      </c>
      <c r="AE151" s="40" t="str">
        <f>IF(OR(AO151=1,AP151=1),0,=IFERROR(IFS(
    OR($C151="", $K151=""), 0,
    $F151=0, 0,
    $D151&lt;&gt;"Open", 0,
    COUNTIFS(GrinderServices!$A$6:$A$1000, $K151, GrinderServices!$B$6:$B$1000, $E151, GrinderServices!$D$6:$D$1000, "Y")=0, 0,
    $X151&lt;Config!$B$16, 0,
    Config!$B$18=1, IF($O151&gt;=N151, 0, 1),
    TRUE, 1
), "")
)</f>
        <v>#ERROR!</v>
      </c>
      <c r="AF151" s="40" t="str">
        <f>IFERROR((IF(OR(AO151=1,AP151=1),"",=IFERROR((IFERROR(IF($AE151=0,"",((Config!$B$6*$Y151 + Config!$B$7*$U151 + Config!$B$8*$Z151 + Config!$B$9*$AA151 + Config!$B$10*$AB151 + Config!$B$11*$AC151 - Config!$B$12*$AD151)/Config!$B$13)+$AK151+$AL151),""))*(1-IFERROR(VLOOKUP(K151,Grinders!$A:$AB, 28, FALSE),0)),"")))*(1+AR151),"")</f>
        <v>#ERROR!</v>
      </c>
      <c r="AG151" s="40" t="str">
        <f t="shared" si="6"/>
        <v>#ERROR!</v>
      </c>
      <c r="AH151" s="40" t="str">
        <f t="shared" si="7"/>
        <v/>
      </c>
      <c r="AI151" s="40" t="str">
        <f t="shared" si="8"/>
        <v/>
      </c>
      <c r="AJ151" s="40" t="str">
        <f>IF($K151="","",COUNTIF(Assignments!$B$6:$B$1000,$K151))</f>
        <v/>
      </c>
      <c r="AK151" s="40" t="str">
        <f>IF($K151="","",IF(AND($AJ151=0,$O151&lt;$N151),Config!$B$43,0))</f>
        <v/>
      </c>
      <c r="AL151" s="40" t="str">
        <f>IF($K151="","",IF(AND($M151="Elite",$G151&gt;=Config!$B$41,$O151&lt;$N151),Config!$B$42,0))</f>
        <v/>
      </c>
      <c r="AM151" s="22"/>
      <c r="AN151" s="39">
        <f>IFERROR(VLOOKUP(K151,Grinders!$A:$Q,28,FALSE),0)</f>
        <v>0</v>
      </c>
      <c r="AO151" s="39">
        <f>IF(Config!$B$1003&lt;&gt;"Y",0,IF(IFERROR(VLOOKUP(K151,Grinders!$A:$P,27,FALSE),0)&gt;=3,IF(OR(G151&gt;=Config!$B$1001,ISNUMBER(SEARCH(E151,Config!$B$1002))),1,0),0))</f>
        <v>0</v>
      </c>
      <c r="AP151" s="39">
        <f t="array" ref="AP151">IFERROR(IF(INDEX(Bids!$AE:$AE,MATCH(B151,Bids!$A:$A,0))="Pending",1,0),0)</f>
        <v>0</v>
      </c>
      <c r="AQ151" s="39" t="str">
        <f t="array" ref="AQ151">IF(C151="","",IFERROR(XLOOKUP(C151,Assignments!$C:$C,Assignments!$AU:$AU,0),0))</f>
        <v/>
      </c>
      <c r="AR151" s="39">
        <f>IF(AND(Config!$B$1006="Y",AQ151=1),Config!$B$1007,0)</f>
        <v>0</v>
      </c>
    </row>
    <row r="152" ht="15.75" customHeight="1">
      <c r="A152" s="46" t="str">
        <f t="shared" si="1"/>
        <v/>
      </c>
      <c r="B152" s="40" t="str">
        <f>IF(Bids!$A151="","",Bids!$A151)</f>
        <v/>
      </c>
      <c r="C152" s="40" t="str">
        <f>IF(Bids!$B151="","",Bids!$B151)</f>
        <v/>
      </c>
      <c r="D152" s="40" t="str">
        <f>IF($C152="","",IFERROR(VLOOKUP($C152,Orders!$A$4:$J$998,9,FALSE),""))</f>
        <v/>
      </c>
      <c r="E152" s="40" t="str">
        <f>IF($C152="","",IFERROR(VLOOKUP($C152,Orders!$A$4:$J$998,3,FALSE),""))</f>
        <v/>
      </c>
      <c r="F152" s="40">
        <f t="shared" si="2"/>
        <v>1</v>
      </c>
      <c r="G152" s="40" t="str">
        <f>IF($C152="","",IFERROR(VLOOKUP($C152,Orders!$A$4:$J$998,4,FALSE),""))</f>
        <v/>
      </c>
      <c r="H152" s="40" t="str">
        <f>IF($C152="","",IFERROR(VLOOKUP($C152,Orders!$A$4:$J$998,5,FALSE),""))</f>
        <v/>
      </c>
      <c r="I152" s="40" t="str">
        <f>IF($C152="","",IFERROR(VLOOKUP($C152,Orders!$A$4:$J$998,6,FALSE),""))</f>
        <v/>
      </c>
      <c r="J152" s="40" t="str">
        <f>IF($C152="","",IFERROR(VLOOKUP($C152,Orders!$A$4:$J$998,7,FALSE),""))</f>
        <v/>
      </c>
      <c r="K152" s="40" t="str">
        <f>IF(Bids!$C151="","",Bids!$C151)</f>
        <v/>
      </c>
      <c r="L152" s="40" t="str">
        <f>IF($K152="","",IFERROR(VLOOKUP($K152,Grinders!$A$4:$N$998,2,FALSE),""))</f>
        <v/>
      </c>
      <c r="M152" s="40" t="str">
        <f>IF($K152="","",IFERROR(VLOOKUP($K152,Grinders!$A$4:$N$998,3,FALSE),""))</f>
        <v/>
      </c>
      <c r="N152" s="40" t="str">
        <f>IF($K152="","",IFERROR(VLOOKUP($K152,Grinders!$A$4:$N$998,4,FALSE),""))</f>
        <v/>
      </c>
      <c r="O152" s="40" t="str">
        <f>IF($K152="","",IFERROR(VLOOKUP($K152,Grinders!$A$4:$N$998,5,FALSE),""))</f>
        <v/>
      </c>
      <c r="P152" s="40" t="str">
        <f>IF($K152="","",IF($C$4="",0,COUNTIFS(Assignments!$B$6:$B$1000,$K152,Assignments!$F$6:$F$1000,$C$4,Assignments!$E$6:$E$1000,"Active")))</f>
        <v/>
      </c>
      <c r="Q152" s="40" t="str">
        <f t="shared" si="3"/>
        <v/>
      </c>
      <c r="R152" s="40" t="str">
        <f t="shared" si="4"/>
        <v/>
      </c>
      <c r="S152" s="40" t="str">
        <f>IF($K152="","",IF($C$4="",0,COUNTIFS(Assignments!$B$6:$B$1000,$K152,Assignments!$F$6:$F$1000,$C$4,Assignments!$D$6:$D$1000,"&gt;="&amp;Config!$B$3-7,Assignments!$D$6:$D$1000,"&lt;="&amp;Config!$B$3)))</f>
        <v/>
      </c>
      <c r="T152" s="40" t="str">
        <f>IF($K152="","",IFERROR(VLOOKUP($K152,Grinders!$A$4:$N$998,8,FALSE),""))</f>
        <v/>
      </c>
      <c r="U152" s="40" t="str">
        <f>IFERROR(IF($K152="","",IF($M152="Elite",MAX(50,MIN(100,Config!$B$27*MAX(0,MIN(100,(1-IF($R152="",0,$R152))*100)) + Config!$B$28*MAX(0,MIN(100,(1-MIN(1,IF(Config!$B$30=0,1,$S152/Config!$B$30)))*100)) + Config!$B$29*MAX(0,MIN(100,MIN(1,IF($T152="",0,$T152)/Config!$B$23)*100)))),MIN(100,Config!$B$27*MAX(0,MIN(100,(1-IF($R152="",0,$R152))*100)) + Config!$B$28*MAX(0,MIN(100,(1-MIN(1,IF(Config!$B$30=0,1,$S152/Config!$B$30)))*100)) + Config!$B$29*MAX(0,MIN(100,MIN(1,IF($T152="",0,$T152)/Config!$B$23)*100))))),"")
</f>
        <v/>
      </c>
      <c r="V152" s="40" t="str">
        <f>IF(Bids!$AC152="","",Bids!$AC152)</f>
        <v/>
      </c>
      <c r="W152" s="40" t="str">
        <f>IF(Bids!$F151="","",Bids!$F151)</f>
        <v/>
      </c>
      <c r="X152" s="40" t="str">
        <f t="shared" si="5"/>
        <v/>
      </c>
      <c r="Y152" s="40" t="str">
        <f>IF($X152="","",IF(Config!$B$17=Config!$B$16,IF($X152&gt;=Config!$B$17,100,0),MAX(0,MIN(100,($X152-Config!$B$16)/(Config!$B$17-Config!$B$16)*100))))</f>
        <v/>
      </c>
      <c r="Z152" s="40">
        <f>IF($M152="Elite",Config!$B$21,0)</f>
        <v>0</v>
      </c>
      <c r="AA152" s="40" t="str">
        <f>IFERROR(IF(OR($W152="",$H152=""),"",IF($W152&gt;$H152,
  MAX(0, 60-(($W152-$H152)*24/Config!$B$19)*60),
  MIN(100, 60+(($H152-$W152)*24/Config!$B$20)*40)
)),"")
</f>
        <v/>
      </c>
      <c r="AB152" s="40" t="str">
        <f>IF($K152="","",IFERROR(VLOOKUP($K152,Grinders!$A$4:$N$998,10,FALSE)/5*100,""))</f>
        <v/>
      </c>
      <c r="AC152" s="40" t="str">
        <f>IF($K152="","",IFERROR(VLOOKUP($K152,Grinders!$A$4:$N$998,11,FALSE)*100,""))</f>
        <v/>
      </c>
      <c r="AD152" s="40" t="str">
        <f>IF($K152="","",IFERROR(VLOOKUP($K152,Grinders!$A$4:$N$998,12,FALSE)*100,""))</f>
        <v/>
      </c>
      <c r="AE152" s="40" t="str">
        <f>IF(OR(AO152=1,AP152=1),0,=IFERROR(IFS(
    OR($C152="", $K152=""), 0,
    $F152=0, 0,
    $D152&lt;&gt;"Open", 0,
    COUNTIFS(GrinderServices!$A$6:$A$1000, $K152, GrinderServices!$B$6:$B$1000, $E152, GrinderServices!$D$6:$D$1000, "Y")=0, 0,
    $X152&lt;Config!$B$16, 0,
    Config!$B$18=1, IF($O152&gt;=N152, 0, 1),
    TRUE, 1
), "")
)</f>
        <v>#ERROR!</v>
      </c>
      <c r="AF152" s="40" t="str">
        <f>IFERROR((IF(OR(AO152=1,AP152=1),"",=IFERROR((IFERROR(IF($AE152=0,"",((Config!$B$6*$Y152 + Config!$B$7*$U152 + Config!$B$8*$Z152 + Config!$B$9*$AA152 + Config!$B$10*$AB152 + Config!$B$11*$AC152 - Config!$B$12*$AD152)/Config!$B$13)+$AK152+$AL152),""))*(1-IFERROR(VLOOKUP(K152,Grinders!$A:$AB, 28, FALSE),0)),"")))*(1+AR152),"")</f>
        <v>#ERROR!</v>
      </c>
      <c r="AG152" s="40" t="str">
        <f t="shared" si="6"/>
        <v>#ERROR!</v>
      </c>
      <c r="AH152" s="40" t="str">
        <f t="shared" si="7"/>
        <v/>
      </c>
      <c r="AI152" s="40" t="str">
        <f t="shared" si="8"/>
        <v/>
      </c>
      <c r="AJ152" s="40" t="str">
        <f>IF($K152="","",COUNTIF(Assignments!$B$6:$B$1000,$K152))</f>
        <v/>
      </c>
      <c r="AK152" s="40" t="str">
        <f>IF($K152="","",IF(AND($AJ152=0,$O152&lt;$N152),Config!$B$43,0))</f>
        <v/>
      </c>
      <c r="AL152" s="40" t="str">
        <f>IF($K152="","",IF(AND($M152="Elite",$G152&gt;=Config!$B$41,$O152&lt;$N152),Config!$B$42,0))</f>
        <v/>
      </c>
      <c r="AM152" s="22"/>
      <c r="AN152" s="39">
        <f>IFERROR(VLOOKUP(K152,Grinders!$A:$Q,28,FALSE),0)</f>
        <v>0</v>
      </c>
      <c r="AO152" s="39">
        <f>IF(Config!$B$1003&lt;&gt;"Y",0,IF(IFERROR(VLOOKUP(K152,Grinders!$A:$P,27,FALSE),0)&gt;=3,IF(OR(G152&gt;=Config!$B$1001,ISNUMBER(SEARCH(E152,Config!$B$1002))),1,0),0))</f>
        <v>0</v>
      </c>
      <c r="AP152" s="39">
        <f t="array" ref="AP152">IFERROR(IF(INDEX(Bids!$AE:$AE,MATCH(B152,Bids!$A:$A,0))="Pending",1,0),0)</f>
        <v>0</v>
      </c>
      <c r="AQ152" s="39" t="str">
        <f t="array" ref="AQ152">IF(C152="","",IFERROR(XLOOKUP(C152,Assignments!$C:$C,Assignments!$AU:$AU,0),0))</f>
        <v/>
      </c>
      <c r="AR152" s="39">
        <f>IF(AND(Config!$B$1006="Y",AQ152=1),Config!$B$1007,0)</f>
        <v>0</v>
      </c>
    </row>
    <row r="153" ht="15.75" customHeight="1">
      <c r="A153" s="46" t="str">
        <f t="shared" si="1"/>
        <v/>
      </c>
      <c r="B153" s="40" t="str">
        <f>IF(Bids!$A152="","",Bids!$A152)</f>
        <v/>
      </c>
      <c r="C153" s="40" t="str">
        <f>IF(Bids!$B152="","",Bids!$B152)</f>
        <v/>
      </c>
      <c r="D153" s="40" t="str">
        <f>IF($C153="","",IFERROR(VLOOKUP($C153,Orders!$A$4:$J$998,9,FALSE),""))</f>
        <v/>
      </c>
      <c r="E153" s="40" t="str">
        <f>IF($C153="","",IFERROR(VLOOKUP($C153,Orders!$A$4:$J$998,3,FALSE),""))</f>
        <v/>
      </c>
      <c r="F153" s="40">
        <f t="shared" si="2"/>
        <v>1</v>
      </c>
      <c r="G153" s="40" t="str">
        <f>IF($C153="","",IFERROR(VLOOKUP($C153,Orders!$A$4:$J$998,4,FALSE),""))</f>
        <v/>
      </c>
      <c r="H153" s="40" t="str">
        <f>IF($C153="","",IFERROR(VLOOKUP($C153,Orders!$A$4:$J$998,5,FALSE),""))</f>
        <v/>
      </c>
      <c r="I153" s="40" t="str">
        <f>IF($C153="","",IFERROR(VLOOKUP($C153,Orders!$A$4:$J$998,6,FALSE),""))</f>
        <v/>
      </c>
      <c r="J153" s="40" t="str">
        <f>IF($C153="","",IFERROR(VLOOKUP($C153,Orders!$A$4:$J$998,7,FALSE),""))</f>
        <v/>
      </c>
      <c r="K153" s="40" t="str">
        <f>IF(Bids!$C152="","",Bids!$C152)</f>
        <v/>
      </c>
      <c r="L153" s="40" t="str">
        <f>IF($K153="","",IFERROR(VLOOKUP($K153,Grinders!$A$4:$N$998,2,FALSE),""))</f>
        <v/>
      </c>
      <c r="M153" s="40" t="str">
        <f>IF($K153="","",IFERROR(VLOOKUP($K153,Grinders!$A$4:$N$998,3,FALSE),""))</f>
        <v/>
      </c>
      <c r="N153" s="40" t="str">
        <f>IF($K153="","",IFERROR(VLOOKUP($K153,Grinders!$A$4:$N$998,4,FALSE),""))</f>
        <v/>
      </c>
      <c r="O153" s="40" t="str">
        <f>IF($K153="","",IFERROR(VLOOKUP($K153,Grinders!$A$4:$N$998,5,FALSE),""))</f>
        <v/>
      </c>
      <c r="P153" s="40" t="str">
        <f>IF($K153="","",IF($C$4="",0,COUNTIFS(Assignments!$B$6:$B$1000,$K153,Assignments!$F$6:$F$1000,$C$4,Assignments!$E$6:$E$1000,"Active")))</f>
        <v/>
      </c>
      <c r="Q153" s="40" t="str">
        <f t="shared" si="3"/>
        <v/>
      </c>
      <c r="R153" s="40" t="str">
        <f t="shared" si="4"/>
        <v/>
      </c>
      <c r="S153" s="40" t="str">
        <f>IF($K153="","",IF($C$4="",0,COUNTIFS(Assignments!$B$6:$B$1000,$K153,Assignments!$F$6:$F$1000,$C$4,Assignments!$D$6:$D$1000,"&gt;="&amp;Config!$B$3-7,Assignments!$D$6:$D$1000,"&lt;="&amp;Config!$B$3)))</f>
        <v/>
      </c>
      <c r="T153" s="40" t="str">
        <f>IF($K153="","",IFERROR(VLOOKUP($K153,Grinders!$A$4:$N$998,8,FALSE),""))</f>
        <v/>
      </c>
      <c r="U153" s="40" t="str">
        <f>IFERROR(IF($K153="","",IF($M153="Elite",MAX(50,MIN(100,Config!$B$27*MAX(0,MIN(100,(1-IF($R153="",0,$R153))*100)) + Config!$B$28*MAX(0,MIN(100,(1-MIN(1,IF(Config!$B$30=0,1,$S153/Config!$B$30)))*100)) + Config!$B$29*MAX(0,MIN(100,MIN(1,IF($T153="",0,$T153)/Config!$B$23)*100)))),MIN(100,Config!$B$27*MAX(0,MIN(100,(1-IF($R153="",0,$R153))*100)) + Config!$B$28*MAX(0,MIN(100,(1-MIN(1,IF(Config!$B$30=0,1,$S153/Config!$B$30)))*100)) + Config!$B$29*MAX(0,MIN(100,MIN(1,IF($T153="",0,$T153)/Config!$B$23)*100))))),"")
</f>
        <v/>
      </c>
      <c r="V153" s="40" t="str">
        <f>IF(Bids!$AC153="","",Bids!$AC153)</f>
        <v/>
      </c>
      <c r="W153" s="40" t="str">
        <f>IF(Bids!$F152="","",Bids!$F152)</f>
        <v/>
      </c>
      <c r="X153" s="40" t="str">
        <f t="shared" si="5"/>
        <v/>
      </c>
      <c r="Y153" s="40" t="str">
        <f>IF($X153="","",IF(Config!$B$17=Config!$B$16,IF($X153&gt;=Config!$B$17,100,0),MAX(0,MIN(100,($X153-Config!$B$16)/(Config!$B$17-Config!$B$16)*100))))</f>
        <v/>
      </c>
      <c r="Z153" s="40">
        <f>IF($M153="Elite",Config!$B$21,0)</f>
        <v>0</v>
      </c>
      <c r="AA153" s="40" t="str">
        <f>IFERROR(IF(OR($W153="",$H153=""),"",IF($W153&gt;$H153,
  MAX(0, 60-(($W153-$H153)*24/Config!$B$19)*60),
  MIN(100, 60+(($H153-$W153)*24/Config!$B$20)*40)
)),"")
</f>
        <v/>
      </c>
      <c r="AB153" s="40" t="str">
        <f>IF($K153="","",IFERROR(VLOOKUP($K153,Grinders!$A$4:$N$998,10,FALSE)/5*100,""))</f>
        <v/>
      </c>
      <c r="AC153" s="40" t="str">
        <f>IF($K153="","",IFERROR(VLOOKUP($K153,Grinders!$A$4:$N$998,11,FALSE)*100,""))</f>
        <v/>
      </c>
      <c r="AD153" s="40" t="str">
        <f>IF($K153="","",IFERROR(VLOOKUP($K153,Grinders!$A$4:$N$998,12,FALSE)*100,""))</f>
        <v/>
      </c>
      <c r="AE153" s="40" t="str">
        <f>IF(OR(AO153=1,AP153=1),0,=IFERROR(IFS(
    OR($C153="", $K153=""), 0,
    $F153=0, 0,
    $D153&lt;&gt;"Open", 0,
    COUNTIFS(GrinderServices!$A$6:$A$1000, $K153, GrinderServices!$B$6:$B$1000, $E153, GrinderServices!$D$6:$D$1000, "Y")=0, 0,
    $X153&lt;Config!$B$16, 0,
    Config!$B$18=1, IF($O153&gt;=N153, 0, 1),
    TRUE, 1
), "")
)</f>
        <v>#ERROR!</v>
      </c>
      <c r="AF153" s="40" t="str">
        <f>IFERROR((IF(OR(AO153=1,AP153=1),"",=IFERROR((IFERROR(IF($AE153=0,"",((Config!$B$6*$Y153 + Config!$B$7*$U153 + Config!$B$8*$Z153 + Config!$B$9*$AA153 + Config!$B$10*$AB153 + Config!$B$11*$AC153 - Config!$B$12*$AD153)/Config!$B$13)+$AK153+$AL153),""))*(1-IFERROR(VLOOKUP(K153,Grinders!$A:$AB, 28, FALSE),0)),"")))*(1+AR153),"")</f>
        <v>#ERROR!</v>
      </c>
      <c r="AG153" s="40" t="str">
        <f t="shared" si="6"/>
        <v>#ERROR!</v>
      </c>
      <c r="AH153" s="40" t="str">
        <f t="shared" si="7"/>
        <v/>
      </c>
      <c r="AI153" s="40" t="str">
        <f t="shared" si="8"/>
        <v/>
      </c>
      <c r="AJ153" s="40" t="str">
        <f>IF($K153="","",COUNTIF(Assignments!$B$6:$B$1000,$K153))</f>
        <v/>
      </c>
      <c r="AK153" s="40" t="str">
        <f>IF($K153="","",IF(AND($AJ153=0,$O153&lt;$N153),Config!$B$43,0))</f>
        <v/>
      </c>
      <c r="AL153" s="40" t="str">
        <f>IF($K153="","",IF(AND($M153="Elite",$G153&gt;=Config!$B$41,$O153&lt;$N153),Config!$B$42,0))</f>
        <v/>
      </c>
      <c r="AM153" s="22"/>
      <c r="AN153" s="39">
        <f>IFERROR(VLOOKUP(K153,Grinders!$A:$Q,28,FALSE),0)</f>
        <v>0</v>
      </c>
      <c r="AO153" s="39">
        <f>IF(Config!$B$1003&lt;&gt;"Y",0,IF(IFERROR(VLOOKUP(K153,Grinders!$A:$P,27,FALSE),0)&gt;=3,IF(OR(G153&gt;=Config!$B$1001,ISNUMBER(SEARCH(E153,Config!$B$1002))),1,0),0))</f>
        <v>0</v>
      </c>
      <c r="AP153" s="39">
        <f t="array" ref="AP153">IFERROR(IF(INDEX(Bids!$AE:$AE,MATCH(B153,Bids!$A:$A,0))="Pending",1,0),0)</f>
        <v>0</v>
      </c>
      <c r="AQ153" s="39" t="str">
        <f t="array" ref="AQ153">IF(C153="","",IFERROR(XLOOKUP(C153,Assignments!$C:$C,Assignments!$AU:$AU,0),0))</f>
        <v/>
      </c>
      <c r="AR153" s="39">
        <f>IF(AND(Config!$B$1006="Y",AQ153=1),Config!$B$1007,0)</f>
        <v>0</v>
      </c>
    </row>
    <row r="154" ht="15.75" customHeight="1">
      <c r="A154" s="46" t="str">
        <f t="shared" si="1"/>
        <v/>
      </c>
      <c r="B154" s="40" t="str">
        <f>IF(Bids!$A153="","",Bids!$A153)</f>
        <v/>
      </c>
      <c r="C154" s="40" t="str">
        <f>IF(Bids!$B153="","",Bids!$B153)</f>
        <v/>
      </c>
      <c r="D154" s="40" t="str">
        <f>IF($C154="","",IFERROR(VLOOKUP($C154,Orders!$A$4:$J$998,9,FALSE),""))</f>
        <v/>
      </c>
      <c r="E154" s="40" t="str">
        <f>IF($C154="","",IFERROR(VLOOKUP($C154,Orders!$A$4:$J$998,3,FALSE),""))</f>
        <v/>
      </c>
      <c r="F154" s="40">
        <f t="shared" si="2"/>
        <v>1</v>
      </c>
      <c r="G154" s="40" t="str">
        <f>IF($C154="","",IFERROR(VLOOKUP($C154,Orders!$A$4:$J$998,4,FALSE),""))</f>
        <v/>
      </c>
      <c r="H154" s="40" t="str">
        <f>IF($C154="","",IFERROR(VLOOKUP($C154,Orders!$A$4:$J$998,5,FALSE),""))</f>
        <v/>
      </c>
      <c r="I154" s="40" t="str">
        <f>IF($C154="","",IFERROR(VLOOKUP($C154,Orders!$A$4:$J$998,6,FALSE),""))</f>
        <v/>
      </c>
      <c r="J154" s="40" t="str">
        <f>IF($C154="","",IFERROR(VLOOKUP($C154,Orders!$A$4:$J$998,7,FALSE),""))</f>
        <v/>
      </c>
      <c r="K154" s="40" t="str">
        <f>IF(Bids!$C153="","",Bids!$C153)</f>
        <v/>
      </c>
      <c r="L154" s="40" t="str">
        <f>IF($K154="","",IFERROR(VLOOKUP($K154,Grinders!$A$4:$N$998,2,FALSE),""))</f>
        <v/>
      </c>
      <c r="M154" s="40" t="str">
        <f>IF($K154="","",IFERROR(VLOOKUP($K154,Grinders!$A$4:$N$998,3,FALSE),""))</f>
        <v/>
      </c>
      <c r="N154" s="40" t="str">
        <f>IF($K154="","",IFERROR(VLOOKUP($K154,Grinders!$A$4:$N$998,4,FALSE),""))</f>
        <v/>
      </c>
      <c r="O154" s="40" t="str">
        <f>IF($K154="","",IFERROR(VLOOKUP($K154,Grinders!$A$4:$N$998,5,FALSE),""))</f>
        <v/>
      </c>
      <c r="P154" s="40" t="str">
        <f>IF($K154="","",IF($C$4="",0,COUNTIFS(Assignments!$B$6:$B$1000,$K154,Assignments!$F$6:$F$1000,$C$4,Assignments!$E$6:$E$1000,"Active")))</f>
        <v/>
      </c>
      <c r="Q154" s="40" t="str">
        <f t="shared" si="3"/>
        <v/>
      </c>
      <c r="R154" s="40" t="str">
        <f t="shared" si="4"/>
        <v/>
      </c>
      <c r="S154" s="40" t="str">
        <f>IF($K154="","",IF($C$4="",0,COUNTIFS(Assignments!$B$6:$B$1000,$K154,Assignments!$F$6:$F$1000,$C$4,Assignments!$D$6:$D$1000,"&gt;="&amp;Config!$B$3-7,Assignments!$D$6:$D$1000,"&lt;="&amp;Config!$B$3)))</f>
        <v/>
      </c>
      <c r="T154" s="40" t="str">
        <f>IF($K154="","",IFERROR(VLOOKUP($K154,Grinders!$A$4:$N$998,8,FALSE),""))</f>
        <v/>
      </c>
      <c r="U154" s="40" t="str">
        <f>IFERROR(IF($K154="","",IF($M154="Elite",MAX(50,MIN(100,Config!$B$27*MAX(0,MIN(100,(1-IF($R154="",0,$R154))*100)) + Config!$B$28*MAX(0,MIN(100,(1-MIN(1,IF(Config!$B$30=0,1,$S154/Config!$B$30)))*100)) + Config!$B$29*MAX(0,MIN(100,MIN(1,IF($T154="",0,$T154)/Config!$B$23)*100)))),MIN(100,Config!$B$27*MAX(0,MIN(100,(1-IF($R154="",0,$R154))*100)) + Config!$B$28*MAX(0,MIN(100,(1-MIN(1,IF(Config!$B$30=0,1,$S154/Config!$B$30)))*100)) + Config!$B$29*MAX(0,MIN(100,MIN(1,IF($T154="",0,$T154)/Config!$B$23)*100))))),"")
</f>
        <v/>
      </c>
      <c r="V154" s="40" t="str">
        <f>IF(Bids!$AC154="","",Bids!$AC154)</f>
        <v/>
      </c>
      <c r="W154" s="40" t="str">
        <f>IF(Bids!$F153="","",Bids!$F153)</f>
        <v/>
      </c>
      <c r="X154" s="40" t="str">
        <f t="shared" si="5"/>
        <v/>
      </c>
      <c r="Y154" s="40" t="str">
        <f>IF($X154="","",IF(Config!$B$17=Config!$B$16,IF($X154&gt;=Config!$B$17,100,0),MAX(0,MIN(100,($X154-Config!$B$16)/(Config!$B$17-Config!$B$16)*100))))</f>
        <v/>
      </c>
      <c r="Z154" s="40">
        <f>IF($M154="Elite",Config!$B$21,0)</f>
        <v>0</v>
      </c>
      <c r="AA154" s="40" t="str">
        <f>IFERROR(IF(OR($W154="",$H154=""),"",IF($W154&gt;$H154,
  MAX(0, 60-(($W154-$H154)*24/Config!$B$19)*60),
  MIN(100, 60+(($H154-$W154)*24/Config!$B$20)*40)
)),"")
</f>
        <v/>
      </c>
      <c r="AB154" s="40" t="str">
        <f>IF($K154="","",IFERROR(VLOOKUP($K154,Grinders!$A$4:$N$998,10,FALSE)/5*100,""))</f>
        <v/>
      </c>
      <c r="AC154" s="40" t="str">
        <f>IF($K154="","",IFERROR(VLOOKUP($K154,Grinders!$A$4:$N$998,11,FALSE)*100,""))</f>
        <v/>
      </c>
      <c r="AD154" s="40" t="str">
        <f>IF($K154="","",IFERROR(VLOOKUP($K154,Grinders!$A$4:$N$998,12,FALSE)*100,""))</f>
        <v/>
      </c>
      <c r="AE154" s="40" t="str">
        <f>IF(OR(AO154=1,AP154=1),0,=IFERROR(IFS(
    OR($C154="", $K154=""), 0,
    $F154=0, 0,
    $D154&lt;&gt;"Open", 0,
    COUNTIFS(GrinderServices!$A$6:$A$1000, $K154, GrinderServices!$B$6:$B$1000, $E154, GrinderServices!$D$6:$D$1000, "Y")=0, 0,
    $X154&lt;Config!$B$16, 0,
    Config!$B$18=1, IF($O154&gt;=N154, 0, 1),
    TRUE, 1
), "")
)</f>
        <v>#ERROR!</v>
      </c>
      <c r="AF154" s="40" t="str">
        <f>IFERROR((IF(OR(AO154=1,AP154=1),"",=IFERROR((IFERROR(IF($AE154=0,"",((Config!$B$6*$Y154 + Config!$B$7*$U154 + Config!$B$8*$Z154 + Config!$B$9*$AA154 + Config!$B$10*$AB154 + Config!$B$11*$AC154 - Config!$B$12*$AD154)/Config!$B$13)+$AK154+$AL154),""))*(1-IFERROR(VLOOKUP(K154,Grinders!$A:$AB, 28, FALSE),0)),"")))*(1+AR154),"")</f>
        <v>#ERROR!</v>
      </c>
      <c r="AG154" s="40" t="str">
        <f t="shared" si="6"/>
        <v>#ERROR!</v>
      </c>
      <c r="AH154" s="40" t="str">
        <f t="shared" si="7"/>
        <v/>
      </c>
      <c r="AI154" s="40" t="str">
        <f t="shared" si="8"/>
        <v/>
      </c>
      <c r="AJ154" s="40" t="str">
        <f>IF($K154="","",COUNTIF(Assignments!$B$6:$B$1000,$K154))</f>
        <v/>
      </c>
      <c r="AK154" s="40" t="str">
        <f>IF($K154="","",IF(AND($AJ154=0,$O154&lt;$N154),Config!$B$43,0))</f>
        <v/>
      </c>
      <c r="AL154" s="40" t="str">
        <f>IF($K154="","",IF(AND($M154="Elite",$G154&gt;=Config!$B$41,$O154&lt;$N154),Config!$B$42,0))</f>
        <v/>
      </c>
      <c r="AM154" s="22"/>
      <c r="AN154" s="39">
        <f>IFERROR(VLOOKUP(K154,Grinders!$A:$Q,28,FALSE),0)</f>
        <v>0</v>
      </c>
      <c r="AO154" s="39">
        <f>IF(Config!$B$1003&lt;&gt;"Y",0,IF(IFERROR(VLOOKUP(K154,Grinders!$A:$P,27,FALSE),0)&gt;=3,IF(OR(G154&gt;=Config!$B$1001,ISNUMBER(SEARCH(E154,Config!$B$1002))),1,0),0))</f>
        <v>0</v>
      </c>
      <c r="AP154" s="39">
        <f t="array" ref="AP154">IFERROR(IF(INDEX(Bids!$AE:$AE,MATCH(B154,Bids!$A:$A,0))="Pending",1,0),0)</f>
        <v>0</v>
      </c>
      <c r="AQ154" s="39" t="str">
        <f t="array" ref="AQ154">IF(C154="","",IFERROR(XLOOKUP(C154,Assignments!$C:$C,Assignments!$AU:$AU,0),0))</f>
        <v/>
      </c>
      <c r="AR154" s="39">
        <f>IF(AND(Config!$B$1006="Y",AQ154=1),Config!$B$1007,0)</f>
        <v>0</v>
      </c>
    </row>
    <row r="155" ht="15.75" customHeight="1">
      <c r="A155" s="46" t="str">
        <f t="shared" si="1"/>
        <v/>
      </c>
      <c r="B155" s="40" t="str">
        <f>IF(Bids!$A154="","",Bids!$A154)</f>
        <v/>
      </c>
      <c r="C155" s="40" t="str">
        <f>IF(Bids!$B154="","",Bids!$B154)</f>
        <v/>
      </c>
      <c r="D155" s="40" t="str">
        <f>IF($C155="","",IFERROR(VLOOKUP($C155,Orders!$A$4:$J$998,9,FALSE),""))</f>
        <v/>
      </c>
      <c r="E155" s="40" t="str">
        <f>IF($C155="","",IFERROR(VLOOKUP($C155,Orders!$A$4:$J$998,3,FALSE),""))</f>
        <v/>
      </c>
      <c r="F155" s="40">
        <f t="shared" si="2"/>
        <v>1</v>
      </c>
      <c r="G155" s="40" t="str">
        <f>IF($C155="","",IFERROR(VLOOKUP($C155,Orders!$A$4:$J$998,4,FALSE),""))</f>
        <v/>
      </c>
      <c r="H155" s="40" t="str">
        <f>IF($C155="","",IFERROR(VLOOKUP($C155,Orders!$A$4:$J$998,5,FALSE),""))</f>
        <v/>
      </c>
      <c r="I155" s="40" t="str">
        <f>IF($C155="","",IFERROR(VLOOKUP($C155,Orders!$A$4:$J$998,6,FALSE),""))</f>
        <v/>
      </c>
      <c r="J155" s="40" t="str">
        <f>IF($C155="","",IFERROR(VLOOKUP($C155,Orders!$A$4:$J$998,7,FALSE),""))</f>
        <v/>
      </c>
      <c r="K155" s="40" t="str">
        <f>IF(Bids!$C154="","",Bids!$C154)</f>
        <v/>
      </c>
      <c r="L155" s="40" t="str">
        <f>IF($K155="","",IFERROR(VLOOKUP($K155,Grinders!$A$4:$N$998,2,FALSE),""))</f>
        <v/>
      </c>
      <c r="M155" s="40" t="str">
        <f>IF($K155="","",IFERROR(VLOOKUP($K155,Grinders!$A$4:$N$998,3,FALSE),""))</f>
        <v/>
      </c>
      <c r="N155" s="40" t="str">
        <f>IF($K155="","",IFERROR(VLOOKUP($K155,Grinders!$A$4:$N$998,4,FALSE),""))</f>
        <v/>
      </c>
      <c r="O155" s="40" t="str">
        <f>IF($K155="","",IFERROR(VLOOKUP($K155,Grinders!$A$4:$N$998,5,FALSE),""))</f>
        <v/>
      </c>
      <c r="P155" s="40" t="str">
        <f>IF($K155="","",IF($C$4="",0,COUNTIFS(Assignments!$B$6:$B$1000,$K155,Assignments!$F$6:$F$1000,$C$4,Assignments!$E$6:$E$1000,"Active")))</f>
        <v/>
      </c>
      <c r="Q155" s="40" t="str">
        <f t="shared" si="3"/>
        <v/>
      </c>
      <c r="R155" s="40" t="str">
        <f t="shared" si="4"/>
        <v/>
      </c>
      <c r="S155" s="40" t="str">
        <f>IF($K155="","",IF($C$4="",0,COUNTIFS(Assignments!$B$6:$B$1000,$K155,Assignments!$F$6:$F$1000,$C$4,Assignments!$D$6:$D$1000,"&gt;="&amp;Config!$B$3-7,Assignments!$D$6:$D$1000,"&lt;="&amp;Config!$B$3)))</f>
        <v/>
      </c>
      <c r="T155" s="40" t="str">
        <f>IF($K155="","",IFERROR(VLOOKUP($K155,Grinders!$A$4:$N$998,8,FALSE),""))</f>
        <v/>
      </c>
      <c r="U155" s="40" t="str">
        <f>IFERROR(IF($K155="","",IF($M155="Elite",MAX(50,MIN(100,Config!$B$27*MAX(0,MIN(100,(1-IF($R155="",0,$R155))*100)) + Config!$B$28*MAX(0,MIN(100,(1-MIN(1,IF(Config!$B$30=0,1,$S155/Config!$B$30)))*100)) + Config!$B$29*MAX(0,MIN(100,MIN(1,IF($T155="",0,$T155)/Config!$B$23)*100)))),MIN(100,Config!$B$27*MAX(0,MIN(100,(1-IF($R155="",0,$R155))*100)) + Config!$B$28*MAX(0,MIN(100,(1-MIN(1,IF(Config!$B$30=0,1,$S155/Config!$B$30)))*100)) + Config!$B$29*MAX(0,MIN(100,MIN(1,IF($T155="",0,$T155)/Config!$B$23)*100))))),"")
</f>
        <v/>
      </c>
      <c r="V155" s="40" t="str">
        <f>IF(Bids!$AC155="","",Bids!$AC155)</f>
        <v/>
      </c>
      <c r="W155" s="40" t="str">
        <f>IF(Bids!$F154="","",Bids!$F154)</f>
        <v/>
      </c>
      <c r="X155" s="40" t="str">
        <f t="shared" si="5"/>
        <v/>
      </c>
      <c r="Y155" s="40" t="str">
        <f>IF($X155="","",IF(Config!$B$17=Config!$B$16,IF($X155&gt;=Config!$B$17,100,0),MAX(0,MIN(100,($X155-Config!$B$16)/(Config!$B$17-Config!$B$16)*100))))</f>
        <v/>
      </c>
      <c r="Z155" s="40">
        <f>IF($M155="Elite",Config!$B$21,0)</f>
        <v>0</v>
      </c>
      <c r="AA155" s="40" t="str">
        <f>IFERROR(IF(OR($W155="",$H155=""),"",IF($W155&gt;$H155,
  MAX(0, 60-(($W155-$H155)*24/Config!$B$19)*60),
  MIN(100, 60+(($H155-$W155)*24/Config!$B$20)*40)
)),"")
</f>
        <v/>
      </c>
      <c r="AB155" s="40" t="str">
        <f>IF($K155="","",IFERROR(VLOOKUP($K155,Grinders!$A$4:$N$998,10,FALSE)/5*100,""))</f>
        <v/>
      </c>
      <c r="AC155" s="40" t="str">
        <f>IF($K155="","",IFERROR(VLOOKUP($K155,Grinders!$A$4:$N$998,11,FALSE)*100,""))</f>
        <v/>
      </c>
      <c r="AD155" s="40" t="str">
        <f>IF($K155="","",IFERROR(VLOOKUP($K155,Grinders!$A$4:$N$998,12,FALSE)*100,""))</f>
        <v/>
      </c>
      <c r="AE155" s="40" t="str">
        <f>IF(OR(AO155=1,AP155=1),0,=IFERROR(IFS(
    OR($C155="", $K155=""), 0,
    $F155=0, 0,
    $D155&lt;&gt;"Open", 0,
    COUNTIFS(GrinderServices!$A$6:$A$1000, $K155, GrinderServices!$B$6:$B$1000, $E155, GrinderServices!$D$6:$D$1000, "Y")=0, 0,
    $X155&lt;Config!$B$16, 0,
    Config!$B$18=1, IF($O155&gt;=N155, 0, 1),
    TRUE, 1
), "")
)</f>
        <v>#ERROR!</v>
      </c>
      <c r="AF155" s="40" t="str">
        <f>IFERROR((IF(OR(AO155=1,AP155=1),"",=IFERROR((IFERROR(IF($AE155=0,"",((Config!$B$6*$Y155 + Config!$B$7*$U155 + Config!$B$8*$Z155 + Config!$B$9*$AA155 + Config!$B$10*$AB155 + Config!$B$11*$AC155 - Config!$B$12*$AD155)/Config!$B$13)+$AK155+$AL155),""))*(1-IFERROR(VLOOKUP(K155,Grinders!$A:$AB, 28, FALSE),0)),"")))*(1+AR155),"")</f>
        <v>#ERROR!</v>
      </c>
      <c r="AG155" s="40" t="str">
        <f t="shared" si="6"/>
        <v>#ERROR!</v>
      </c>
      <c r="AH155" s="40" t="str">
        <f t="shared" si="7"/>
        <v/>
      </c>
      <c r="AI155" s="40" t="str">
        <f t="shared" si="8"/>
        <v/>
      </c>
      <c r="AJ155" s="40" t="str">
        <f>IF($K155="","",COUNTIF(Assignments!$B$6:$B$1000,$K155))</f>
        <v/>
      </c>
      <c r="AK155" s="40" t="str">
        <f>IF($K155="","",IF(AND($AJ155=0,$O155&lt;$N155),Config!$B$43,0))</f>
        <v/>
      </c>
      <c r="AL155" s="40" t="str">
        <f>IF($K155="","",IF(AND($M155="Elite",$G155&gt;=Config!$B$41,$O155&lt;$N155),Config!$B$42,0))</f>
        <v/>
      </c>
      <c r="AM155" s="22"/>
      <c r="AN155" s="39">
        <f>IFERROR(VLOOKUP(K155,Grinders!$A:$Q,28,FALSE),0)</f>
        <v>0</v>
      </c>
      <c r="AO155" s="39">
        <f>IF(Config!$B$1003&lt;&gt;"Y",0,IF(IFERROR(VLOOKUP(K155,Grinders!$A:$P,27,FALSE),0)&gt;=3,IF(OR(G155&gt;=Config!$B$1001,ISNUMBER(SEARCH(E155,Config!$B$1002))),1,0),0))</f>
        <v>0</v>
      </c>
      <c r="AP155" s="39">
        <f t="array" ref="AP155">IFERROR(IF(INDEX(Bids!$AE:$AE,MATCH(B155,Bids!$A:$A,0))="Pending",1,0),0)</f>
        <v>0</v>
      </c>
      <c r="AQ155" s="39" t="str">
        <f t="array" ref="AQ155">IF(C155="","",IFERROR(XLOOKUP(C155,Assignments!$C:$C,Assignments!$AU:$AU,0),0))</f>
        <v/>
      </c>
      <c r="AR155" s="39">
        <f>IF(AND(Config!$B$1006="Y",AQ155=1),Config!$B$1007,0)</f>
        <v>0</v>
      </c>
    </row>
    <row r="156" ht="15.75" customHeight="1">
      <c r="A156" s="46" t="str">
        <f t="shared" si="1"/>
        <v/>
      </c>
      <c r="B156" s="40" t="str">
        <f>IF(Bids!$A155="","",Bids!$A155)</f>
        <v/>
      </c>
      <c r="C156" s="40" t="str">
        <f>IF(Bids!$B155="","",Bids!$B155)</f>
        <v/>
      </c>
      <c r="D156" s="40" t="str">
        <f>IF($C156="","",IFERROR(VLOOKUP($C156,Orders!$A$4:$J$998,9,FALSE),""))</f>
        <v/>
      </c>
      <c r="E156" s="40" t="str">
        <f>IF($C156="","",IFERROR(VLOOKUP($C156,Orders!$A$4:$J$998,3,FALSE),""))</f>
        <v/>
      </c>
      <c r="F156" s="40">
        <f t="shared" si="2"/>
        <v>1</v>
      </c>
      <c r="G156" s="40" t="str">
        <f>IF($C156="","",IFERROR(VLOOKUP($C156,Orders!$A$4:$J$998,4,FALSE),""))</f>
        <v/>
      </c>
      <c r="H156" s="40" t="str">
        <f>IF($C156="","",IFERROR(VLOOKUP($C156,Orders!$A$4:$J$998,5,FALSE),""))</f>
        <v/>
      </c>
      <c r="I156" s="40" t="str">
        <f>IF($C156="","",IFERROR(VLOOKUP($C156,Orders!$A$4:$J$998,6,FALSE),""))</f>
        <v/>
      </c>
      <c r="J156" s="40" t="str">
        <f>IF($C156="","",IFERROR(VLOOKUP($C156,Orders!$A$4:$J$998,7,FALSE),""))</f>
        <v/>
      </c>
      <c r="K156" s="40" t="str">
        <f>IF(Bids!$C155="","",Bids!$C155)</f>
        <v/>
      </c>
      <c r="L156" s="40" t="str">
        <f>IF($K156="","",IFERROR(VLOOKUP($K156,Grinders!$A$4:$N$998,2,FALSE),""))</f>
        <v/>
      </c>
      <c r="M156" s="40" t="str">
        <f>IF($K156="","",IFERROR(VLOOKUP($K156,Grinders!$A$4:$N$998,3,FALSE),""))</f>
        <v/>
      </c>
      <c r="N156" s="40" t="str">
        <f>IF($K156="","",IFERROR(VLOOKUP($K156,Grinders!$A$4:$N$998,4,FALSE),""))</f>
        <v/>
      </c>
      <c r="O156" s="40" t="str">
        <f>IF($K156="","",IFERROR(VLOOKUP($K156,Grinders!$A$4:$N$998,5,FALSE),""))</f>
        <v/>
      </c>
      <c r="P156" s="40" t="str">
        <f>IF($K156="","",IF($C$4="",0,COUNTIFS(Assignments!$B$6:$B$1000,$K156,Assignments!$F$6:$F$1000,$C$4,Assignments!$E$6:$E$1000,"Active")))</f>
        <v/>
      </c>
      <c r="Q156" s="40" t="str">
        <f t="shared" si="3"/>
        <v/>
      </c>
      <c r="R156" s="40" t="str">
        <f t="shared" si="4"/>
        <v/>
      </c>
      <c r="S156" s="40" t="str">
        <f>IF($K156="","",IF($C$4="",0,COUNTIFS(Assignments!$B$6:$B$1000,$K156,Assignments!$F$6:$F$1000,$C$4,Assignments!$D$6:$D$1000,"&gt;="&amp;Config!$B$3-7,Assignments!$D$6:$D$1000,"&lt;="&amp;Config!$B$3)))</f>
        <v/>
      </c>
      <c r="T156" s="40" t="str">
        <f>IF($K156="","",IFERROR(VLOOKUP($K156,Grinders!$A$4:$N$998,8,FALSE),""))</f>
        <v/>
      </c>
      <c r="U156" s="40" t="str">
        <f>IFERROR(IF($K156="","",IF($M156="Elite",MAX(50,MIN(100,Config!$B$27*MAX(0,MIN(100,(1-IF($R156="",0,$R156))*100)) + Config!$B$28*MAX(0,MIN(100,(1-MIN(1,IF(Config!$B$30=0,1,$S156/Config!$B$30)))*100)) + Config!$B$29*MAX(0,MIN(100,MIN(1,IF($T156="",0,$T156)/Config!$B$23)*100)))),MIN(100,Config!$B$27*MAX(0,MIN(100,(1-IF($R156="",0,$R156))*100)) + Config!$B$28*MAX(0,MIN(100,(1-MIN(1,IF(Config!$B$30=0,1,$S156/Config!$B$30)))*100)) + Config!$B$29*MAX(0,MIN(100,MIN(1,IF($T156="",0,$T156)/Config!$B$23)*100))))),"")
</f>
        <v/>
      </c>
      <c r="V156" s="40" t="str">
        <f>IF(Bids!$AC156="","",Bids!$AC156)</f>
        <v/>
      </c>
      <c r="W156" s="40" t="str">
        <f>IF(Bids!$F155="","",Bids!$F155)</f>
        <v/>
      </c>
      <c r="X156" s="40" t="str">
        <f t="shared" si="5"/>
        <v/>
      </c>
      <c r="Y156" s="40" t="str">
        <f>IF($X156="","",IF(Config!$B$17=Config!$B$16,IF($X156&gt;=Config!$B$17,100,0),MAX(0,MIN(100,($X156-Config!$B$16)/(Config!$B$17-Config!$B$16)*100))))</f>
        <v/>
      </c>
      <c r="Z156" s="40">
        <f>IF($M156="Elite",Config!$B$21,0)</f>
        <v>0</v>
      </c>
      <c r="AA156" s="40" t="str">
        <f>IFERROR(IF(OR($W156="",$H156=""),"",IF($W156&gt;$H156,
  MAX(0, 60-(($W156-$H156)*24/Config!$B$19)*60),
  MIN(100, 60+(($H156-$W156)*24/Config!$B$20)*40)
)),"")
</f>
        <v/>
      </c>
      <c r="AB156" s="40" t="str">
        <f>IF($K156="","",IFERROR(VLOOKUP($K156,Grinders!$A$4:$N$998,10,FALSE)/5*100,""))</f>
        <v/>
      </c>
      <c r="AC156" s="40" t="str">
        <f>IF($K156="","",IFERROR(VLOOKUP($K156,Grinders!$A$4:$N$998,11,FALSE)*100,""))</f>
        <v/>
      </c>
      <c r="AD156" s="40" t="str">
        <f>IF($K156="","",IFERROR(VLOOKUP($K156,Grinders!$A$4:$N$998,12,FALSE)*100,""))</f>
        <v/>
      </c>
      <c r="AE156" s="40" t="str">
        <f>IF(OR(AO156=1,AP156=1),0,=IFERROR(IFS(
    OR($C156="", $K156=""), 0,
    $F156=0, 0,
    $D156&lt;&gt;"Open", 0,
    COUNTIFS(GrinderServices!$A$6:$A$1000, $K156, GrinderServices!$B$6:$B$1000, $E156, GrinderServices!$D$6:$D$1000, "Y")=0, 0,
    $X156&lt;Config!$B$16, 0,
    Config!$B$18=1, IF($O156&gt;=N156, 0, 1),
    TRUE, 1
), "")
)</f>
        <v>#ERROR!</v>
      </c>
      <c r="AF156" s="40" t="str">
        <f>IFERROR((IF(OR(AO156=1,AP156=1),"",=IFERROR((IFERROR(IF($AE156=0,"",((Config!$B$6*$Y156 + Config!$B$7*$U156 + Config!$B$8*$Z156 + Config!$B$9*$AA156 + Config!$B$10*$AB156 + Config!$B$11*$AC156 - Config!$B$12*$AD156)/Config!$B$13)+$AK156+$AL156),""))*(1-IFERROR(VLOOKUP(K156,Grinders!$A:$AB, 28, FALSE),0)),"")))*(1+AR156),"")</f>
        <v>#ERROR!</v>
      </c>
      <c r="AG156" s="40" t="str">
        <f t="shared" si="6"/>
        <v>#ERROR!</v>
      </c>
      <c r="AH156" s="40" t="str">
        <f t="shared" si="7"/>
        <v/>
      </c>
      <c r="AI156" s="40" t="str">
        <f t="shared" si="8"/>
        <v/>
      </c>
      <c r="AJ156" s="40" t="str">
        <f>IF($K156="","",COUNTIF(Assignments!$B$6:$B$1000,$K156))</f>
        <v/>
      </c>
      <c r="AK156" s="40" t="str">
        <f>IF($K156="","",IF(AND($AJ156=0,$O156&lt;$N156),Config!$B$43,0))</f>
        <v/>
      </c>
      <c r="AL156" s="40" t="str">
        <f>IF($K156="","",IF(AND($M156="Elite",$G156&gt;=Config!$B$41,$O156&lt;$N156),Config!$B$42,0))</f>
        <v/>
      </c>
      <c r="AM156" s="22"/>
      <c r="AN156" s="39">
        <f>IFERROR(VLOOKUP(K156,Grinders!$A:$Q,28,FALSE),0)</f>
        <v>0</v>
      </c>
      <c r="AO156" s="39">
        <f>IF(Config!$B$1003&lt;&gt;"Y",0,IF(IFERROR(VLOOKUP(K156,Grinders!$A:$P,27,FALSE),0)&gt;=3,IF(OR(G156&gt;=Config!$B$1001,ISNUMBER(SEARCH(E156,Config!$B$1002))),1,0),0))</f>
        <v>0</v>
      </c>
      <c r="AP156" s="39">
        <f t="array" ref="AP156">IFERROR(IF(INDEX(Bids!$AE:$AE,MATCH(B156,Bids!$A:$A,0))="Pending",1,0),0)</f>
        <v>0</v>
      </c>
      <c r="AQ156" s="39" t="str">
        <f t="array" ref="AQ156">IF(C156="","",IFERROR(XLOOKUP(C156,Assignments!$C:$C,Assignments!$AU:$AU,0),0))</f>
        <v/>
      </c>
      <c r="AR156" s="39">
        <f>IF(AND(Config!$B$1006="Y",AQ156=1),Config!$B$1007,0)</f>
        <v>0</v>
      </c>
    </row>
    <row r="157" ht="15.75" customHeight="1">
      <c r="A157" s="46" t="str">
        <f t="shared" si="1"/>
        <v/>
      </c>
      <c r="B157" s="40" t="str">
        <f>IF(Bids!$A156="","",Bids!$A156)</f>
        <v/>
      </c>
      <c r="C157" s="40" t="str">
        <f>IF(Bids!$B156="","",Bids!$B156)</f>
        <v/>
      </c>
      <c r="D157" s="40" t="str">
        <f>IF($C157="","",IFERROR(VLOOKUP($C157,Orders!$A$4:$J$998,9,FALSE),""))</f>
        <v/>
      </c>
      <c r="E157" s="40" t="str">
        <f>IF($C157="","",IFERROR(VLOOKUP($C157,Orders!$A$4:$J$998,3,FALSE),""))</f>
        <v/>
      </c>
      <c r="F157" s="40">
        <f t="shared" si="2"/>
        <v>1</v>
      </c>
      <c r="G157" s="40" t="str">
        <f>IF($C157="","",IFERROR(VLOOKUP($C157,Orders!$A$4:$J$998,4,FALSE),""))</f>
        <v/>
      </c>
      <c r="H157" s="40" t="str">
        <f>IF($C157="","",IFERROR(VLOOKUP($C157,Orders!$A$4:$J$998,5,FALSE),""))</f>
        <v/>
      </c>
      <c r="I157" s="40" t="str">
        <f>IF($C157="","",IFERROR(VLOOKUP($C157,Orders!$A$4:$J$998,6,FALSE),""))</f>
        <v/>
      </c>
      <c r="J157" s="40" t="str">
        <f>IF($C157="","",IFERROR(VLOOKUP($C157,Orders!$A$4:$J$998,7,FALSE),""))</f>
        <v/>
      </c>
      <c r="K157" s="40" t="str">
        <f>IF(Bids!$C156="","",Bids!$C156)</f>
        <v/>
      </c>
      <c r="L157" s="40" t="str">
        <f>IF($K157="","",IFERROR(VLOOKUP($K157,Grinders!$A$4:$N$998,2,FALSE),""))</f>
        <v/>
      </c>
      <c r="M157" s="40" t="str">
        <f>IF($K157="","",IFERROR(VLOOKUP($K157,Grinders!$A$4:$N$998,3,FALSE),""))</f>
        <v/>
      </c>
      <c r="N157" s="40" t="str">
        <f>IF($K157="","",IFERROR(VLOOKUP($K157,Grinders!$A$4:$N$998,4,FALSE),""))</f>
        <v/>
      </c>
      <c r="O157" s="40" t="str">
        <f>IF($K157="","",IFERROR(VLOOKUP($K157,Grinders!$A$4:$N$998,5,FALSE),""))</f>
        <v/>
      </c>
      <c r="P157" s="40" t="str">
        <f>IF($K157="","",IF($C$4="",0,COUNTIFS(Assignments!$B$6:$B$1000,$K157,Assignments!$F$6:$F$1000,$C$4,Assignments!$E$6:$E$1000,"Active")))</f>
        <v/>
      </c>
      <c r="Q157" s="40" t="str">
        <f t="shared" si="3"/>
        <v/>
      </c>
      <c r="R157" s="40" t="str">
        <f t="shared" si="4"/>
        <v/>
      </c>
      <c r="S157" s="40" t="str">
        <f>IF($K157="","",IF($C$4="",0,COUNTIFS(Assignments!$B$6:$B$1000,$K157,Assignments!$F$6:$F$1000,$C$4,Assignments!$D$6:$D$1000,"&gt;="&amp;Config!$B$3-7,Assignments!$D$6:$D$1000,"&lt;="&amp;Config!$B$3)))</f>
        <v/>
      </c>
      <c r="T157" s="40" t="str">
        <f>IF($K157="","",IFERROR(VLOOKUP($K157,Grinders!$A$4:$N$998,8,FALSE),""))</f>
        <v/>
      </c>
      <c r="U157" s="40" t="str">
        <f>IFERROR(IF($K157="","",IF($M157="Elite",MAX(50,MIN(100,Config!$B$27*MAX(0,MIN(100,(1-IF($R157="",0,$R157))*100)) + Config!$B$28*MAX(0,MIN(100,(1-MIN(1,IF(Config!$B$30=0,1,$S157/Config!$B$30)))*100)) + Config!$B$29*MAX(0,MIN(100,MIN(1,IF($T157="",0,$T157)/Config!$B$23)*100)))),MIN(100,Config!$B$27*MAX(0,MIN(100,(1-IF($R157="",0,$R157))*100)) + Config!$B$28*MAX(0,MIN(100,(1-MIN(1,IF(Config!$B$30=0,1,$S157/Config!$B$30)))*100)) + Config!$B$29*MAX(0,MIN(100,MIN(1,IF($T157="",0,$T157)/Config!$B$23)*100))))),"")
</f>
        <v/>
      </c>
      <c r="V157" s="40" t="str">
        <f>IF(Bids!$AC157="","",Bids!$AC157)</f>
        <v/>
      </c>
      <c r="W157" s="40" t="str">
        <f>IF(Bids!$F156="","",Bids!$F156)</f>
        <v/>
      </c>
      <c r="X157" s="40" t="str">
        <f t="shared" si="5"/>
        <v/>
      </c>
      <c r="Y157" s="40" t="str">
        <f>IF($X157="","",IF(Config!$B$17=Config!$B$16,IF($X157&gt;=Config!$B$17,100,0),MAX(0,MIN(100,($X157-Config!$B$16)/(Config!$B$17-Config!$B$16)*100))))</f>
        <v/>
      </c>
      <c r="Z157" s="40">
        <f>IF($M157="Elite",Config!$B$21,0)</f>
        <v>0</v>
      </c>
      <c r="AA157" s="40" t="str">
        <f>IFERROR(IF(OR($W157="",$H157=""),"",IF($W157&gt;$H157,
  MAX(0, 60-(($W157-$H157)*24/Config!$B$19)*60),
  MIN(100, 60+(($H157-$W157)*24/Config!$B$20)*40)
)),"")
</f>
        <v/>
      </c>
      <c r="AB157" s="40" t="str">
        <f>IF($K157="","",IFERROR(VLOOKUP($K157,Grinders!$A$4:$N$998,10,FALSE)/5*100,""))</f>
        <v/>
      </c>
      <c r="AC157" s="40" t="str">
        <f>IF($K157="","",IFERROR(VLOOKUP($K157,Grinders!$A$4:$N$998,11,FALSE)*100,""))</f>
        <v/>
      </c>
      <c r="AD157" s="40" t="str">
        <f>IF($K157="","",IFERROR(VLOOKUP($K157,Grinders!$A$4:$N$998,12,FALSE)*100,""))</f>
        <v/>
      </c>
      <c r="AE157" s="40" t="str">
        <f>IF(OR(AO157=1,AP157=1),0,=IFERROR(IFS(
    OR($C157="", $K157=""), 0,
    $F157=0, 0,
    $D157&lt;&gt;"Open", 0,
    COUNTIFS(GrinderServices!$A$6:$A$1000, $K157, GrinderServices!$B$6:$B$1000, $E157, GrinderServices!$D$6:$D$1000, "Y")=0, 0,
    $X157&lt;Config!$B$16, 0,
    Config!$B$18=1, IF($O157&gt;=N157, 0, 1),
    TRUE, 1
), "")
)</f>
        <v>#ERROR!</v>
      </c>
      <c r="AF157" s="40" t="str">
        <f>IFERROR((IF(OR(AO157=1,AP157=1),"",=IFERROR((IFERROR(IF($AE157=0,"",((Config!$B$6*$Y157 + Config!$B$7*$U157 + Config!$B$8*$Z157 + Config!$B$9*$AA157 + Config!$B$10*$AB157 + Config!$B$11*$AC157 - Config!$B$12*$AD157)/Config!$B$13)+$AK157+$AL157),""))*(1-IFERROR(VLOOKUP(K157,Grinders!$A:$AB, 28, FALSE),0)),"")))*(1+AR157),"")</f>
        <v>#ERROR!</v>
      </c>
      <c r="AG157" s="40" t="str">
        <f t="shared" si="6"/>
        <v>#ERROR!</v>
      </c>
      <c r="AH157" s="40" t="str">
        <f t="shared" si="7"/>
        <v/>
      </c>
      <c r="AI157" s="40" t="str">
        <f t="shared" si="8"/>
        <v/>
      </c>
      <c r="AJ157" s="40" t="str">
        <f>IF($K157="","",COUNTIF(Assignments!$B$6:$B$1000,$K157))</f>
        <v/>
      </c>
      <c r="AK157" s="40" t="str">
        <f>IF($K157="","",IF(AND($AJ157=0,$O157&lt;$N157),Config!$B$43,0))</f>
        <v/>
      </c>
      <c r="AL157" s="40" t="str">
        <f>IF($K157="","",IF(AND($M157="Elite",$G157&gt;=Config!$B$41,$O157&lt;$N157),Config!$B$42,0))</f>
        <v/>
      </c>
      <c r="AM157" s="22"/>
      <c r="AN157" s="39">
        <f>IFERROR(VLOOKUP(K157,Grinders!$A:$Q,28,FALSE),0)</f>
        <v>0</v>
      </c>
      <c r="AO157" s="39">
        <f>IF(Config!$B$1003&lt;&gt;"Y",0,IF(IFERROR(VLOOKUP(K157,Grinders!$A:$P,27,FALSE),0)&gt;=3,IF(OR(G157&gt;=Config!$B$1001,ISNUMBER(SEARCH(E157,Config!$B$1002))),1,0),0))</f>
        <v>0</v>
      </c>
      <c r="AP157" s="39">
        <f t="array" ref="AP157">IFERROR(IF(INDEX(Bids!$AE:$AE,MATCH(B157,Bids!$A:$A,0))="Pending",1,0),0)</f>
        <v>0</v>
      </c>
      <c r="AQ157" s="39" t="str">
        <f t="array" ref="AQ157">IF(C157="","",IFERROR(XLOOKUP(C157,Assignments!$C:$C,Assignments!$AU:$AU,0),0))</f>
        <v/>
      </c>
      <c r="AR157" s="39">
        <f>IF(AND(Config!$B$1006="Y",AQ157=1),Config!$B$1007,0)</f>
        <v>0</v>
      </c>
    </row>
    <row r="158" ht="15.75" customHeight="1">
      <c r="A158" s="46" t="str">
        <f t="shared" si="1"/>
        <v/>
      </c>
      <c r="B158" s="40" t="str">
        <f>IF(Bids!$A157="","",Bids!$A157)</f>
        <v/>
      </c>
      <c r="C158" s="40" t="str">
        <f>IF(Bids!$B157="","",Bids!$B157)</f>
        <v/>
      </c>
      <c r="D158" s="40" t="str">
        <f>IF($C158="","",IFERROR(VLOOKUP($C158,Orders!$A$4:$J$998,9,FALSE),""))</f>
        <v/>
      </c>
      <c r="E158" s="40" t="str">
        <f>IF($C158="","",IFERROR(VLOOKUP($C158,Orders!$A$4:$J$998,3,FALSE),""))</f>
        <v/>
      </c>
      <c r="F158" s="40">
        <f t="shared" si="2"/>
        <v>1</v>
      </c>
      <c r="G158" s="40" t="str">
        <f>IF($C158="","",IFERROR(VLOOKUP($C158,Orders!$A$4:$J$998,4,FALSE),""))</f>
        <v/>
      </c>
      <c r="H158" s="40" t="str">
        <f>IF($C158="","",IFERROR(VLOOKUP($C158,Orders!$A$4:$J$998,5,FALSE),""))</f>
        <v/>
      </c>
      <c r="I158" s="40" t="str">
        <f>IF($C158="","",IFERROR(VLOOKUP($C158,Orders!$A$4:$J$998,6,FALSE),""))</f>
        <v/>
      </c>
      <c r="J158" s="40" t="str">
        <f>IF($C158="","",IFERROR(VLOOKUP($C158,Orders!$A$4:$J$998,7,FALSE),""))</f>
        <v/>
      </c>
      <c r="K158" s="40" t="str">
        <f>IF(Bids!$C157="","",Bids!$C157)</f>
        <v/>
      </c>
      <c r="L158" s="40" t="str">
        <f>IF($K158="","",IFERROR(VLOOKUP($K158,Grinders!$A$4:$N$998,2,FALSE),""))</f>
        <v/>
      </c>
      <c r="M158" s="40" t="str">
        <f>IF($K158="","",IFERROR(VLOOKUP($K158,Grinders!$A$4:$N$998,3,FALSE),""))</f>
        <v/>
      </c>
      <c r="N158" s="40" t="str">
        <f>IF($K158="","",IFERROR(VLOOKUP($K158,Grinders!$A$4:$N$998,4,FALSE),""))</f>
        <v/>
      </c>
      <c r="O158" s="40" t="str">
        <f>IF($K158="","",IFERROR(VLOOKUP($K158,Grinders!$A$4:$N$998,5,FALSE),""))</f>
        <v/>
      </c>
      <c r="P158" s="40" t="str">
        <f>IF($K158="","",IF($C$4="",0,COUNTIFS(Assignments!$B$6:$B$1000,$K158,Assignments!$F$6:$F$1000,$C$4,Assignments!$E$6:$E$1000,"Active")))</f>
        <v/>
      </c>
      <c r="Q158" s="40" t="str">
        <f t="shared" si="3"/>
        <v/>
      </c>
      <c r="R158" s="40" t="str">
        <f t="shared" si="4"/>
        <v/>
      </c>
      <c r="S158" s="40" t="str">
        <f>IF($K158="","",IF($C$4="",0,COUNTIFS(Assignments!$B$6:$B$1000,$K158,Assignments!$F$6:$F$1000,$C$4,Assignments!$D$6:$D$1000,"&gt;="&amp;Config!$B$3-7,Assignments!$D$6:$D$1000,"&lt;="&amp;Config!$B$3)))</f>
        <v/>
      </c>
      <c r="T158" s="40" t="str">
        <f>IF($K158="","",IFERROR(VLOOKUP($K158,Grinders!$A$4:$N$998,8,FALSE),""))</f>
        <v/>
      </c>
      <c r="U158" s="40" t="str">
        <f>IFERROR(IF($K158="","",IF($M158="Elite",MAX(50,MIN(100,Config!$B$27*MAX(0,MIN(100,(1-IF($R158="",0,$R158))*100)) + Config!$B$28*MAX(0,MIN(100,(1-MIN(1,IF(Config!$B$30=0,1,$S158/Config!$B$30)))*100)) + Config!$B$29*MAX(0,MIN(100,MIN(1,IF($T158="",0,$T158)/Config!$B$23)*100)))),MIN(100,Config!$B$27*MAX(0,MIN(100,(1-IF($R158="",0,$R158))*100)) + Config!$B$28*MAX(0,MIN(100,(1-MIN(1,IF(Config!$B$30=0,1,$S158/Config!$B$30)))*100)) + Config!$B$29*MAX(0,MIN(100,MIN(1,IF($T158="",0,$T158)/Config!$B$23)*100))))),"")
</f>
        <v/>
      </c>
      <c r="V158" s="40" t="str">
        <f>IF(Bids!$AC158="","",Bids!$AC158)</f>
        <v/>
      </c>
      <c r="W158" s="40" t="str">
        <f>IF(Bids!$F157="","",Bids!$F157)</f>
        <v/>
      </c>
      <c r="X158" s="40" t="str">
        <f t="shared" si="5"/>
        <v/>
      </c>
      <c r="Y158" s="40" t="str">
        <f>IF($X158="","",IF(Config!$B$17=Config!$B$16,IF($X158&gt;=Config!$B$17,100,0),MAX(0,MIN(100,($X158-Config!$B$16)/(Config!$B$17-Config!$B$16)*100))))</f>
        <v/>
      </c>
      <c r="Z158" s="40">
        <f>IF($M158="Elite",Config!$B$21,0)</f>
        <v>0</v>
      </c>
      <c r="AA158" s="40" t="str">
        <f>IFERROR(IF(OR($W158="",$H158=""),"",IF($W158&gt;$H158,
  MAX(0, 60-(($W158-$H158)*24/Config!$B$19)*60),
  MIN(100, 60+(($H158-$W158)*24/Config!$B$20)*40)
)),"")
</f>
        <v/>
      </c>
      <c r="AB158" s="40" t="str">
        <f>IF($K158="","",IFERROR(VLOOKUP($K158,Grinders!$A$4:$N$998,10,FALSE)/5*100,""))</f>
        <v/>
      </c>
      <c r="AC158" s="40" t="str">
        <f>IF($K158="","",IFERROR(VLOOKUP($K158,Grinders!$A$4:$N$998,11,FALSE)*100,""))</f>
        <v/>
      </c>
      <c r="AD158" s="40" t="str">
        <f>IF($K158="","",IFERROR(VLOOKUP($K158,Grinders!$A$4:$N$998,12,FALSE)*100,""))</f>
        <v/>
      </c>
      <c r="AE158" s="40" t="str">
        <f>IF(OR(AO158=1,AP158=1),0,=IFERROR(IFS(
    OR($C158="", $K158=""), 0,
    $F158=0, 0,
    $D158&lt;&gt;"Open", 0,
    COUNTIFS(GrinderServices!$A$6:$A$1000, $K158, GrinderServices!$B$6:$B$1000, $E158, GrinderServices!$D$6:$D$1000, "Y")=0, 0,
    $X158&lt;Config!$B$16, 0,
    Config!$B$18=1, IF($O158&gt;=N158, 0, 1),
    TRUE, 1
), "")
)</f>
        <v>#ERROR!</v>
      </c>
      <c r="AF158" s="40" t="str">
        <f>IFERROR((IF(OR(AO158=1,AP158=1),"",=IFERROR((IFERROR(IF($AE158=0,"",((Config!$B$6*$Y158 + Config!$B$7*$U158 + Config!$B$8*$Z158 + Config!$B$9*$AA158 + Config!$B$10*$AB158 + Config!$B$11*$AC158 - Config!$B$12*$AD158)/Config!$B$13)+$AK158+$AL158),""))*(1-IFERROR(VLOOKUP(K158,Grinders!$A:$AB, 28, FALSE),0)),"")))*(1+AR158),"")</f>
        <v>#ERROR!</v>
      </c>
      <c r="AG158" s="40" t="str">
        <f t="shared" si="6"/>
        <v>#ERROR!</v>
      </c>
      <c r="AH158" s="40" t="str">
        <f t="shared" si="7"/>
        <v/>
      </c>
      <c r="AI158" s="40" t="str">
        <f t="shared" si="8"/>
        <v/>
      </c>
      <c r="AJ158" s="40" t="str">
        <f>IF($K158="","",COUNTIF(Assignments!$B$6:$B$1000,$K158))</f>
        <v/>
      </c>
      <c r="AK158" s="40" t="str">
        <f>IF($K158="","",IF(AND($AJ158=0,$O158&lt;$N158),Config!$B$43,0))</f>
        <v/>
      </c>
      <c r="AL158" s="40" t="str">
        <f>IF($K158="","",IF(AND($M158="Elite",$G158&gt;=Config!$B$41,$O158&lt;$N158),Config!$B$42,0))</f>
        <v/>
      </c>
      <c r="AM158" s="22"/>
      <c r="AN158" s="39">
        <f>IFERROR(VLOOKUP(K158,Grinders!$A:$Q,28,FALSE),0)</f>
        <v>0</v>
      </c>
      <c r="AO158" s="39">
        <f>IF(Config!$B$1003&lt;&gt;"Y",0,IF(IFERROR(VLOOKUP(K158,Grinders!$A:$P,27,FALSE),0)&gt;=3,IF(OR(G158&gt;=Config!$B$1001,ISNUMBER(SEARCH(E158,Config!$B$1002))),1,0),0))</f>
        <v>0</v>
      </c>
      <c r="AP158" s="39">
        <f t="array" ref="AP158">IFERROR(IF(INDEX(Bids!$AE:$AE,MATCH(B158,Bids!$A:$A,0))="Pending",1,0),0)</f>
        <v>0</v>
      </c>
      <c r="AQ158" s="39" t="str">
        <f t="array" ref="AQ158">IF(C158="","",IFERROR(XLOOKUP(C158,Assignments!$C:$C,Assignments!$AU:$AU,0),0))</f>
        <v/>
      </c>
      <c r="AR158" s="39">
        <f>IF(AND(Config!$B$1006="Y",AQ158=1),Config!$B$1007,0)</f>
        <v>0</v>
      </c>
    </row>
    <row r="159" ht="15.75" customHeight="1">
      <c r="A159" s="46" t="str">
        <f t="shared" si="1"/>
        <v/>
      </c>
      <c r="B159" s="40" t="str">
        <f>IF(Bids!$A158="","",Bids!$A158)</f>
        <v/>
      </c>
      <c r="C159" s="40" t="str">
        <f>IF(Bids!$B158="","",Bids!$B158)</f>
        <v/>
      </c>
      <c r="D159" s="40" t="str">
        <f>IF($C159="","",IFERROR(VLOOKUP($C159,Orders!$A$4:$J$998,9,FALSE),""))</f>
        <v/>
      </c>
      <c r="E159" s="40" t="str">
        <f>IF($C159="","",IFERROR(VLOOKUP($C159,Orders!$A$4:$J$998,3,FALSE),""))</f>
        <v/>
      </c>
      <c r="F159" s="40">
        <f t="shared" si="2"/>
        <v>1</v>
      </c>
      <c r="G159" s="40" t="str">
        <f>IF($C159="","",IFERROR(VLOOKUP($C159,Orders!$A$4:$J$998,4,FALSE),""))</f>
        <v/>
      </c>
      <c r="H159" s="40" t="str">
        <f>IF($C159="","",IFERROR(VLOOKUP($C159,Orders!$A$4:$J$998,5,FALSE),""))</f>
        <v/>
      </c>
      <c r="I159" s="40" t="str">
        <f>IF($C159="","",IFERROR(VLOOKUP($C159,Orders!$A$4:$J$998,6,FALSE),""))</f>
        <v/>
      </c>
      <c r="J159" s="40" t="str">
        <f>IF($C159="","",IFERROR(VLOOKUP($C159,Orders!$A$4:$J$998,7,FALSE),""))</f>
        <v/>
      </c>
      <c r="K159" s="40" t="str">
        <f>IF(Bids!$C158="","",Bids!$C158)</f>
        <v/>
      </c>
      <c r="L159" s="40" t="str">
        <f>IF($K159="","",IFERROR(VLOOKUP($K159,Grinders!$A$4:$N$998,2,FALSE),""))</f>
        <v/>
      </c>
      <c r="M159" s="40" t="str">
        <f>IF($K159="","",IFERROR(VLOOKUP($K159,Grinders!$A$4:$N$998,3,FALSE),""))</f>
        <v/>
      </c>
      <c r="N159" s="40" t="str">
        <f>IF($K159="","",IFERROR(VLOOKUP($K159,Grinders!$A$4:$N$998,4,FALSE),""))</f>
        <v/>
      </c>
      <c r="O159" s="40" t="str">
        <f>IF($K159="","",IFERROR(VLOOKUP($K159,Grinders!$A$4:$N$998,5,FALSE),""))</f>
        <v/>
      </c>
      <c r="P159" s="40" t="str">
        <f>IF($K159="","",IF($C$4="",0,COUNTIFS(Assignments!$B$6:$B$1000,$K159,Assignments!$F$6:$F$1000,$C$4,Assignments!$E$6:$E$1000,"Active")))</f>
        <v/>
      </c>
      <c r="Q159" s="40" t="str">
        <f t="shared" si="3"/>
        <v/>
      </c>
      <c r="R159" s="40" t="str">
        <f t="shared" si="4"/>
        <v/>
      </c>
      <c r="S159" s="40" t="str">
        <f>IF($K159="","",IF($C$4="",0,COUNTIFS(Assignments!$B$6:$B$1000,$K159,Assignments!$F$6:$F$1000,$C$4,Assignments!$D$6:$D$1000,"&gt;="&amp;Config!$B$3-7,Assignments!$D$6:$D$1000,"&lt;="&amp;Config!$B$3)))</f>
        <v/>
      </c>
      <c r="T159" s="40" t="str">
        <f>IF($K159="","",IFERROR(VLOOKUP($K159,Grinders!$A$4:$N$998,8,FALSE),""))</f>
        <v/>
      </c>
      <c r="U159" s="40" t="str">
        <f>IFERROR(IF($K159="","",IF($M159="Elite",MAX(50,MIN(100,Config!$B$27*MAX(0,MIN(100,(1-IF($R159="",0,$R159))*100)) + Config!$B$28*MAX(0,MIN(100,(1-MIN(1,IF(Config!$B$30=0,1,$S159/Config!$B$30)))*100)) + Config!$B$29*MAX(0,MIN(100,MIN(1,IF($T159="",0,$T159)/Config!$B$23)*100)))),MIN(100,Config!$B$27*MAX(0,MIN(100,(1-IF($R159="",0,$R159))*100)) + Config!$B$28*MAX(0,MIN(100,(1-MIN(1,IF(Config!$B$30=0,1,$S159/Config!$B$30)))*100)) + Config!$B$29*MAX(0,MIN(100,MIN(1,IF($T159="",0,$T159)/Config!$B$23)*100))))),"")
</f>
        <v/>
      </c>
      <c r="V159" s="40" t="str">
        <f>IF(Bids!$AC159="","",Bids!$AC159)</f>
        <v/>
      </c>
      <c r="W159" s="40" t="str">
        <f>IF(Bids!$F158="","",Bids!$F158)</f>
        <v/>
      </c>
      <c r="X159" s="40" t="str">
        <f t="shared" si="5"/>
        <v/>
      </c>
      <c r="Y159" s="40" t="str">
        <f>IF($X159="","",IF(Config!$B$17=Config!$B$16,IF($X159&gt;=Config!$B$17,100,0),MAX(0,MIN(100,($X159-Config!$B$16)/(Config!$B$17-Config!$B$16)*100))))</f>
        <v/>
      </c>
      <c r="Z159" s="40">
        <f>IF($M159="Elite",Config!$B$21,0)</f>
        <v>0</v>
      </c>
      <c r="AA159" s="40" t="str">
        <f>IFERROR(IF(OR($W159="",$H159=""),"",IF($W159&gt;$H159,
  MAX(0, 60-(($W159-$H159)*24/Config!$B$19)*60),
  MIN(100, 60+(($H159-$W159)*24/Config!$B$20)*40)
)),"")
</f>
        <v/>
      </c>
      <c r="AB159" s="40" t="str">
        <f>IF($K159="","",IFERROR(VLOOKUP($K159,Grinders!$A$4:$N$998,10,FALSE)/5*100,""))</f>
        <v/>
      </c>
      <c r="AC159" s="40" t="str">
        <f>IF($K159="","",IFERROR(VLOOKUP($K159,Grinders!$A$4:$N$998,11,FALSE)*100,""))</f>
        <v/>
      </c>
      <c r="AD159" s="40" t="str">
        <f>IF($K159="","",IFERROR(VLOOKUP($K159,Grinders!$A$4:$N$998,12,FALSE)*100,""))</f>
        <v/>
      </c>
      <c r="AE159" s="40" t="str">
        <f>IF(OR(AO159=1,AP159=1),0,=IFERROR(IFS(
    OR($C159="", $K159=""), 0,
    $F159=0, 0,
    $D159&lt;&gt;"Open", 0,
    COUNTIFS(GrinderServices!$A$6:$A$1000, $K159, GrinderServices!$B$6:$B$1000, $E159, GrinderServices!$D$6:$D$1000, "Y")=0, 0,
    $X159&lt;Config!$B$16, 0,
    Config!$B$18=1, IF($O159&gt;=N159, 0, 1),
    TRUE, 1
), "")
)</f>
        <v>#ERROR!</v>
      </c>
      <c r="AF159" s="40" t="str">
        <f>IFERROR((IF(OR(AO159=1,AP159=1),"",=IFERROR((IFERROR(IF($AE159=0,"",((Config!$B$6*$Y159 + Config!$B$7*$U159 + Config!$B$8*$Z159 + Config!$B$9*$AA159 + Config!$B$10*$AB159 + Config!$B$11*$AC159 - Config!$B$12*$AD159)/Config!$B$13)+$AK159+$AL159),""))*(1-IFERROR(VLOOKUP(K159,Grinders!$A:$AB, 28, FALSE),0)),"")))*(1+AR159),"")</f>
        <v>#ERROR!</v>
      </c>
      <c r="AG159" s="40" t="str">
        <f t="shared" si="6"/>
        <v>#ERROR!</v>
      </c>
      <c r="AH159" s="40" t="str">
        <f t="shared" si="7"/>
        <v/>
      </c>
      <c r="AI159" s="40" t="str">
        <f t="shared" si="8"/>
        <v/>
      </c>
      <c r="AJ159" s="40" t="str">
        <f>IF($K159="","",COUNTIF(Assignments!$B$6:$B$1000,$K159))</f>
        <v/>
      </c>
      <c r="AK159" s="40" t="str">
        <f>IF($K159="","",IF(AND($AJ159=0,$O159&lt;$N159),Config!$B$43,0))</f>
        <v/>
      </c>
      <c r="AL159" s="40" t="str">
        <f>IF($K159="","",IF(AND($M159="Elite",$G159&gt;=Config!$B$41,$O159&lt;$N159),Config!$B$42,0))</f>
        <v/>
      </c>
      <c r="AM159" s="22"/>
      <c r="AN159" s="39">
        <f>IFERROR(VLOOKUP(K159,Grinders!$A:$Q,28,FALSE),0)</f>
        <v>0</v>
      </c>
      <c r="AO159" s="39">
        <f>IF(Config!$B$1003&lt;&gt;"Y",0,IF(IFERROR(VLOOKUP(K159,Grinders!$A:$P,27,FALSE),0)&gt;=3,IF(OR(G159&gt;=Config!$B$1001,ISNUMBER(SEARCH(E159,Config!$B$1002))),1,0),0))</f>
        <v>0</v>
      </c>
      <c r="AP159" s="39">
        <f t="array" ref="AP159">IFERROR(IF(INDEX(Bids!$AE:$AE,MATCH(B159,Bids!$A:$A,0))="Pending",1,0),0)</f>
        <v>0</v>
      </c>
      <c r="AQ159" s="39" t="str">
        <f t="array" ref="AQ159">IF(C159="","",IFERROR(XLOOKUP(C159,Assignments!$C:$C,Assignments!$AU:$AU,0),0))</f>
        <v/>
      </c>
      <c r="AR159" s="39">
        <f>IF(AND(Config!$B$1006="Y",AQ159=1),Config!$B$1007,0)</f>
        <v>0</v>
      </c>
    </row>
    <row r="160" ht="15.75" customHeight="1">
      <c r="A160" s="46" t="str">
        <f t="shared" si="1"/>
        <v/>
      </c>
      <c r="B160" s="40" t="str">
        <f>IF(Bids!$A159="","",Bids!$A159)</f>
        <v/>
      </c>
      <c r="C160" s="40" t="str">
        <f>IF(Bids!$B159="","",Bids!$B159)</f>
        <v/>
      </c>
      <c r="D160" s="40" t="str">
        <f>IF($C160="","",IFERROR(VLOOKUP($C160,Orders!$A$4:$J$998,9,FALSE),""))</f>
        <v/>
      </c>
      <c r="E160" s="40" t="str">
        <f>IF($C160="","",IFERROR(VLOOKUP($C160,Orders!$A$4:$J$998,3,FALSE),""))</f>
        <v/>
      </c>
      <c r="F160" s="40">
        <f t="shared" si="2"/>
        <v>1</v>
      </c>
      <c r="G160" s="40" t="str">
        <f>IF($C160="","",IFERROR(VLOOKUP($C160,Orders!$A$4:$J$998,4,FALSE),""))</f>
        <v/>
      </c>
      <c r="H160" s="40" t="str">
        <f>IF($C160="","",IFERROR(VLOOKUP($C160,Orders!$A$4:$J$998,5,FALSE),""))</f>
        <v/>
      </c>
      <c r="I160" s="40" t="str">
        <f>IF($C160="","",IFERROR(VLOOKUP($C160,Orders!$A$4:$J$998,6,FALSE),""))</f>
        <v/>
      </c>
      <c r="J160" s="40" t="str">
        <f>IF($C160="","",IFERROR(VLOOKUP($C160,Orders!$A$4:$J$998,7,FALSE),""))</f>
        <v/>
      </c>
      <c r="K160" s="40" t="str">
        <f>IF(Bids!$C159="","",Bids!$C159)</f>
        <v/>
      </c>
      <c r="L160" s="40" t="str">
        <f>IF($K160="","",IFERROR(VLOOKUP($K160,Grinders!$A$4:$N$998,2,FALSE),""))</f>
        <v/>
      </c>
      <c r="M160" s="40" t="str">
        <f>IF($K160="","",IFERROR(VLOOKUP($K160,Grinders!$A$4:$N$998,3,FALSE),""))</f>
        <v/>
      </c>
      <c r="N160" s="40" t="str">
        <f>IF($K160="","",IFERROR(VLOOKUP($K160,Grinders!$A$4:$N$998,4,FALSE),""))</f>
        <v/>
      </c>
      <c r="O160" s="40" t="str">
        <f>IF($K160="","",IFERROR(VLOOKUP($K160,Grinders!$A$4:$N$998,5,FALSE),""))</f>
        <v/>
      </c>
      <c r="P160" s="40" t="str">
        <f>IF($K160="","",IF($C$4="",0,COUNTIFS(Assignments!$B$6:$B$1000,$K160,Assignments!$F$6:$F$1000,$C$4,Assignments!$E$6:$E$1000,"Active")))</f>
        <v/>
      </c>
      <c r="Q160" s="40" t="str">
        <f t="shared" si="3"/>
        <v/>
      </c>
      <c r="R160" s="40" t="str">
        <f t="shared" si="4"/>
        <v/>
      </c>
      <c r="S160" s="40" t="str">
        <f>IF($K160="","",IF($C$4="",0,COUNTIFS(Assignments!$B$6:$B$1000,$K160,Assignments!$F$6:$F$1000,$C$4,Assignments!$D$6:$D$1000,"&gt;="&amp;Config!$B$3-7,Assignments!$D$6:$D$1000,"&lt;="&amp;Config!$B$3)))</f>
        <v/>
      </c>
      <c r="T160" s="40" t="str">
        <f>IF($K160="","",IFERROR(VLOOKUP($K160,Grinders!$A$4:$N$998,8,FALSE),""))</f>
        <v/>
      </c>
      <c r="U160" s="40" t="str">
        <f>IFERROR(IF($K160="","",IF($M160="Elite",MAX(50,MIN(100,Config!$B$27*MAX(0,MIN(100,(1-IF($R160="",0,$R160))*100)) + Config!$B$28*MAX(0,MIN(100,(1-MIN(1,IF(Config!$B$30=0,1,$S160/Config!$B$30)))*100)) + Config!$B$29*MAX(0,MIN(100,MIN(1,IF($T160="",0,$T160)/Config!$B$23)*100)))),MIN(100,Config!$B$27*MAX(0,MIN(100,(1-IF($R160="",0,$R160))*100)) + Config!$B$28*MAX(0,MIN(100,(1-MIN(1,IF(Config!$B$30=0,1,$S160/Config!$B$30)))*100)) + Config!$B$29*MAX(0,MIN(100,MIN(1,IF($T160="",0,$T160)/Config!$B$23)*100))))),"")
</f>
        <v/>
      </c>
      <c r="V160" s="40" t="str">
        <f>IF(Bids!$AC160="","",Bids!$AC160)</f>
        <v/>
      </c>
      <c r="W160" s="40" t="str">
        <f>IF(Bids!$F159="","",Bids!$F159)</f>
        <v/>
      </c>
      <c r="X160" s="40" t="str">
        <f t="shared" si="5"/>
        <v/>
      </c>
      <c r="Y160" s="40" t="str">
        <f>IF($X160="","",IF(Config!$B$17=Config!$B$16,IF($X160&gt;=Config!$B$17,100,0),MAX(0,MIN(100,($X160-Config!$B$16)/(Config!$B$17-Config!$B$16)*100))))</f>
        <v/>
      </c>
      <c r="Z160" s="40">
        <f>IF($M160="Elite",Config!$B$21,0)</f>
        <v>0</v>
      </c>
      <c r="AA160" s="40" t="str">
        <f>IFERROR(IF(OR($W160="",$H160=""),"",IF($W160&gt;$H160,
  MAX(0, 60-(($W160-$H160)*24/Config!$B$19)*60),
  MIN(100, 60+(($H160-$W160)*24/Config!$B$20)*40)
)),"")
</f>
        <v/>
      </c>
      <c r="AB160" s="40" t="str">
        <f>IF($K160="","",IFERROR(VLOOKUP($K160,Grinders!$A$4:$N$998,10,FALSE)/5*100,""))</f>
        <v/>
      </c>
      <c r="AC160" s="40" t="str">
        <f>IF($K160="","",IFERROR(VLOOKUP($K160,Grinders!$A$4:$N$998,11,FALSE)*100,""))</f>
        <v/>
      </c>
      <c r="AD160" s="40" t="str">
        <f>IF($K160="","",IFERROR(VLOOKUP($K160,Grinders!$A$4:$N$998,12,FALSE)*100,""))</f>
        <v/>
      </c>
      <c r="AE160" s="40" t="str">
        <f>IF(OR(AO160=1,AP160=1),0,=IFERROR(IFS(
    OR($C160="", $K160=""), 0,
    $F160=0, 0,
    $D160&lt;&gt;"Open", 0,
    COUNTIFS(GrinderServices!$A$6:$A$1000, $K160, GrinderServices!$B$6:$B$1000, $E160, GrinderServices!$D$6:$D$1000, "Y")=0, 0,
    $X160&lt;Config!$B$16, 0,
    Config!$B$18=1, IF($O160&gt;=N160, 0, 1),
    TRUE, 1
), "")
)</f>
        <v>#ERROR!</v>
      </c>
      <c r="AF160" s="40" t="str">
        <f>IFERROR((IF(OR(AO160=1,AP160=1),"",=IFERROR((IFERROR(IF($AE160=0,"",((Config!$B$6*$Y160 + Config!$B$7*$U160 + Config!$B$8*$Z160 + Config!$B$9*$AA160 + Config!$B$10*$AB160 + Config!$B$11*$AC160 - Config!$B$12*$AD160)/Config!$B$13)+$AK160+$AL160),""))*(1-IFERROR(VLOOKUP(K160,Grinders!$A:$AB, 28, FALSE),0)),"")))*(1+AR160),"")</f>
        <v>#ERROR!</v>
      </c>
      <c r="AG160" s="40" t="str">
        <f t="shared" si="6"/>
        <v>#ERROR!</v>
      </c>
      <c r="AH160" s="40" t="str">
        <f t="shared" si="7"/>
        <v/>
      </c>
      <c r="AI160" s="40" t="str">
        <f t="shared" si="8"/>
        <v/>
      </c>
      <c r="AJ160" s="40" t="str">
        <f>IF($K160="","",COUNTIF(Assignments!$B$6:$B$1000,$K160))</f>
        <v/>
      </c>
      <c r="AK160" s="40" t="str">
        <f>IF($K160="","",IF(AND($AJ160=0,$O160&lt;$N160),Config!$B$43,0))</f>
        <v/>
      </c>
      <c r="AL160" s="40" t="str">
        <f>IF($K160="","",IF(AND($M160="Elite",$G160&gt;=Config!$B$41,$O160&lt;$N160),Config!$B$42,0))</f>
        <v/>
      </c>
      <c r="AM160" s="22"/>
      <c r="AN160" s="39">
        <f>IFERROR(VLOOKUP(K160,Grinders!$A:$Q,28,FALSE),0)</f>
        <v>0</v>
      </c>
      <c r="AO160" s="39">
        <f>IF(Config!$B$1003&lt;&gt;"Y",0,IF(IFERROR(VLOOKUP(K160,Grinders!$A:$P,27,FALSE),0)&gt;=3,IF(OR(G160&gt;=Config!$B$1001,ISNUMBER(SEARCH(E160,Config!$B$1002))),1,0),0))</f>
        <v>0</v>
      </c>
      <c r="AP160" s="39">
        <f t="array" ref="AP160">IFERROR(IF(INDEX(Bids!$AE:$AE,MATCH(B160,Bids!$A:$A,0))="Pending",1,0),0)</f>
        <v>0</v>
      </c>
      <c r="AQ160" s="39" t="str">
        <f t="array" ref="AQ160">IF(C160="","",IFERROR(XLOOKUP(C160,Assignments!$C:$C,Assignments!$AU:$AU,0),0))</f>
        <v/>
      </c>
      <c r="AR160" s="39">
        <f>IF(AND(Config!$B$1006="Y",AQ160=1),Config!$B$1007,0)</f>
        <v>0</v>
      </c>
    </row>
    <row r="161" ht="15.75" customHeight="1">
      <c r="A161" s="46" t="str">
        <f t="shared" si="1"/>
        <v/>
      </c>
      <c r="B161" s="40" t="str">
        <f>IF(Bids!$A160="","",Bids!$A160)</f>
        <v/>
      </c>
      <c r="C161" s="40" t="str">
        <f>IF(Bids!$B160="","",Bids!$B160)</f>
        <v/>
      </c>
      <c r="D161" s="40" t="str">
        <f>IF($C161="","",IFERROR(VLOOKUP($C161,Orders!$A$4:$J$998,9,FALSE),""))</f>
        <v/>
      </c>
      <c r="E161" s="40" t="str">
        <f>IF($C161="","",IFERROR(VLOOKUP($C161,Orders!$A$4:$J$998,3,FALSE),""))</f>
        <v/>
      </c>
      <c r="F161" s="40">
        <f t="shared" si="2"/>
        <v>1</v>
      </c>
      <c r="G161" s="40" t="str">
        <f>IF($C161="","",IFERROR(VLOOKUP($C161,Orders!$A$4:$J$998,4,FALSE),""))</f>
        <v/>
      </c>
      <c r="H161" s="40" t="str">
        <f>IF($C161="","",IFERROR(VLOOKUP($C161,Orders!$A$4:$J$998,5,FALSE),""))</f>
        <v/>
      </c>
      <c r="I161" s="40" t="str">
        <f>IF($C161="","",IFERROR(VLOOKUP($C161,Orders!$A$4:$J$998,6,FALSE),""))</f>
        <v/>
      </c>
      <c r="J161" s="40" t="str">
        <f>IF($C161="","",IFERROR(VLOOKUP($C161,Orders!$A$4:$J$998,7,FALSE),""))</f>
        <v/>
      </c>
      <c r="K161" s="40" t="str">
        <f>IF(Bids!$C160="","",Bids!$C160)</f>
        <v/>
      </c>
      <c r="L161" s="40" t="str">
        <f>IF($K161="","",IFERROR(VLOOKUP($K161,Grinders!$A$4:$N$998,2,FALSE),""))</f>
        <v/>
      </c>
      <c r="M161" s="40" t="str">
        <f>IF($K161="","",IFERROR(VLOOKUP($K161,Grinders!$A$4:$N$998,3,FALSE),""))</f>
        <v/>
      </c>
      <c r="N161" s="40" t="str">
        <f>IF($K161="","",IFERROR(VLOOKUP($K161,Grinders!$A$4:$N$998,4,FALSE),""))</f>
        <v/>
      </c>
      <c r="O161" s="40" t="str">
        <f>IF($K161="","",IFERROR(VLOOKUP($K161,Grinders!$A$4:$N$998,5,FALSE),""))</f>
        <v/>
      </c>
      <c r="P161" s="40" t="str">
        <f>IF($K161="","",IF($C$4="",0,COUNTIFS(Assignments!$B$6:$B$1000,$K161,Assignments!$F$6:$F$1000,$C$4,Assignments!$E$6:$E$1000,"Active")))</f>
        <v/>
      </c>
      <c r="Q161" s="40" t="str">
        <f t="shared" si="3"/>
        <v/>
      </c>
      <c r="R161" s="40" t="str">
        <f t="shared" si="4"/>
        <v/>
      </c>
      <c r="S161" s="40" t="str">
        <f>IF($K161="","",IF($C$4="",0,COUNTIFS(Assignments!$B$6:$B$1000,$K161,Assignments!$F$6:$F$1000,$C$4,Assignments!$D$6:$D$1000,"&gt;="&amp;Config!$B$3-7,Assignments!$D$6:$D$1000,"&lt;="&amp;Config!$B$3)))</f>
        <v/>
      </c>
      <c r="T161" s="40" t="str">
        <f>IF($K161="","",IFERROR(VLOOKUP($K161,Grinders!$A$4:$N$998,8,FALSE),""))</f>
        <v/>
      </c>
      <c r="U161" s="40" t="str">
        <f>IFERROR(IF($K161="","",IF($M161="Elite",MAX(50,MIN(100,Config!$B$27*MAX(0,MIN(100,(1-IF($R161="",0,$R161))*100)) + Config!$B$28*MAX(0,MIN(100,(1-MIN(1,IF(Config!$B$30=0,1,$S161/Config!$B$30)))*100)) + Config!$B$29*MAX(0,MIN(100,MIN(1,IF($T161="",0,$T161)/Config!$B$23)*100)))),MIN(100,Config!$B$27*MAX(0,MIN(100,(1-IF($R161="",0,$R161))*100)) + Config!$B$28*MAX(0,MIN(100,(1-MIN(1,IF(Config!$B$30=0,1,$S161/Config!$B$30)))*100)) + Config!$B$29*MAX(0,MIN(100,MIN(1,IF($T161="",0,$T161)/Config!$B$23)*100))))),"")
</f>
        <v/>
      </c>
      <c r="V161" s="40" t="str">
        <f>IF(Bids!$AC161="","",Bids!$AC161)</f>
        <v/>
      </c>
      <c r="W161" s="40" t="str">
        <f>IF(Bids!$F160="","",Bids!$F160)</f>
        <v/>
      </c>
      <c r="X161" s="40" t="str">
        <f t="shared" si="5"/>
        <v/>
      </c>
      <c r="Y161" s="40" t="str">
        <f>IF($X161="","",IF(Config!$B$17=Config!$B$16,IF($X161&gt;=Config!$B$17,100,0),MAX(0,MIN(100,($X161-Config!$B$16)/(Config!$B$17-Config!$B$16)*100))))</f>
        <v/>
      </c>
      <c r="Z161" s="40">
        <f>IF($M161="Elite",Config!$B$21,0)</f>
        <v>0</v>
      </c>
      <c r="AA161" s="40" t="str">
        <f>IFERROR(IF(OR($W161="",$H161=""),"",IF($W161&gt;$H161,
  MAX(0, 60-(($W161-$H161)*24/Config!$B$19)*60),
  MIN(100, 60+(($H161-$W161)*24/Config!$B$20)*40)
)),"")
</f>
        <v/>
      </c>
      <c r="AB161" s="40" t="str">
        <f>IF($K161="","",IFERROR(VLOOKUP($K161,Grinders!$A$4:$N$998,10,FALSE)/5*100,""))</f>
        <v/>
      </c>
      <c r="AC161" s="40" t="str">
        <f>IF($K161="","",IFERROR(VLOOKUP($K161,Grinders!$A$4:$N$998,11,FALSE)*100,""))</f>
        <v/>
      </c>
      <c r="AD161" s="40" t="str">
        <f>IF($K161="","",IFERROR(VLOOKUP($K161,Grinders!$A$4:$N$998,12,FALSE)*100,""))</f>
        <v/>
      </c>
      <c r="AE161" s="40" t="str">
        <f>IF(OR(AO161=1,AP161=1),0,=IFERROR(IFS(
    OR($C161="", $K161=""), 0,
    $F161=0, 0,
    $D161&lt;&gt;"Open", 0,
    COUNTIFS(GrinderServices!$A$6:$A$1000, $K161, GrinderServices!$B$6:$B$1000, $E161, GrinderServices!$D$6:$D$1000, "Y")=0, 0,
    $X161&lt;Config!$B$16, 0,
    Config!$B$18=1, IF($O161&gt;=N161, 0, 1),
    TRUE, 1
), "")
)</f>
        <v>#ERROR!</v>
      </c>
      <c r="AF161" s="40" t="str">
        <f>IFERROR((IF(OR(AO161=1,AP161=1),"",=IFERROR((IFERROR(IF($AE161=0,"",((Config!$B$6*$Y161 + Config!$B$7*$U161 + Config!$B$8*$Z161 + Config!$B$9*$AA161 + Config!$B$10*$AB161 + Config!$B$11*$AC161 - Config!$B$12*$AD161)/Config!$B$13)+$AK161+$AL161),""))*(1-IFERROR(VLOOKUP(K161,Grinders!$A:$AB, 28, FALSE),0)),"")))*(1+AR161),"")</f>
        <v>#ERROR!</v>
      </c>
      <c r="AG161" s="40" t="str">
        <f t="shared" si="6"/>
        <v>#ERROR!</v>
      </c>
      <c r="AH161" s="40" t="str">
        <f t="shared" si="7"/>
        <v/>
      </c>
      <c r="AI161" s="40" t="str">
        <f t="shared" si="8"/>
        <v/>
      </c>
      <c r="AJ161" s="40" t="str">
        <f>IF($K161="","",COUNTIF(Assignments!$B$6:$B$1000,$K161))</f>
        <v/>
      </c>
      <c r="AK161" s="40" t="str">
        <f>IF($K161="","",IF(AND($AJ161=0,$O161&lt;$N161),Config!$B$43,0))</f>
        <v/>
      </c>
      <c r="AL161" s="40" t="str">
        <f>IF($K161="","",IF(AND($M161="Elite",$G161&gt;=Config!$B$41,$O161&lt;$N161),Config!$B$42,0))</f>
        <v/>
      </c>
      <c r="AM161" s="22"/>
      <c r="AN161" s="39">
        <f>IFERROR(VLOOKUP(K161,Grinders!$A:$Q,28,FALSE),0)</f>
        <v>0</v>
      </c>
      <c r="AO161" s="39">
        <f>IF(Config!$B$1003&lt;&gt;"Y",0,IF(IFERROR(VLOOKUP(K161,Grinders!$A:$P,27,FALSE),0)&gt;=3,IF(OR(G161&gt;=Config!$B$1001,ISNUMBER(SEARCH(E161,Config!$B$1002))),1,0),0))</f>
        <v>0</v>
      </c>
      <c r="AP161" s="39">
        <f t="array" ref="AP161">IFERROR(IF(INDEX(Bids!$AE:$AE,MATCH(B161,Bids!$A:$A,0))="Pending",1,0),0)</f>
        <v>0</v>
      </c>
      <c r="AQ161" s="39" t="str">
        <f t="array" ref="AQ161">IF(C161="","",IFERROR(XLOOKUP(C161,Assignments!$C:$C,Assignments!$AU:$AU,0),0))</f>
        <v/>
      </c>
      <c r="AR161" s="39">
        <f>IF(AND(Config!$B$1006="Y",AQ161=1),Config!$B$1007,0)</f>
        <v>0</v>
      </c>
    </row>
    <row r="162" ht="15.75" customHeight="1">
      <c r="A162" s="46" t="str">
        <f t="shared" si="1"/>
        <v/>
      </c>
      <c r="B162" s="40" t="str">
        <f>IF(Bids!$A161="","",Bids!$A161)</f>
        <v/>
      </c>
      <c r="C162" s="40" t="str">
        <f>IF(Bids!$B161="","",Bids!$B161)</f>
        <v/>
      </c>
      <c r="D162" s="40" t="str">
        <f>IF($C162="","",IFERROR(VLOOKUP($C162,Orders!$A$4:$J$998,9,FALSE),""))</f>
        <v/>
      </c>
      <c r="E162" s="40" t="str">
        <f>IF($C162="","",IFERROR(VLOOKUP($C162,Orders!$A$4:$J$998,3,FALSE),""))</f>
        <v/>
      </c>
      <c r="F162" s="40">
        <f t="shared" si="2"/>
        <v>1</v>
      </c>
      <c r="G162" s="40" t="str">
        <f>IF($C162="","",IFERROR(VLOOKUP($C162,Orders!$A$4:$J$998,4,FALSE),""))</f>
        <v/>
      </c>
      <c r="H162" s="40" t="str">
        <f>IF($C162="","",IFERROR(VLOOKUP($C162,Orders!$A$4:$J$998,5,FALSE),""))</f>
        <v/>
      </c>
      <c r="I162" s="40" t="str">
        <f>IF($C162="","",IFERROR(VLOOKUP($C162,Orders!$A$4:$J$998,6,FALSE),""))</f>
        <v/>
      </c>
      <c r="J162" s="40" t="str">
        <f>IF($C162="","",IFERROR(VLOOKUP($C162,Orders!$A$4:$J$998,7,FALSE),""))</f>
        <v/>
      </c>
      <c r="K162" s="40" t="str">
        <f>IF(Bids!$C161="","",Bids!$C161)</f>
        <v/>
      </c>
      <c r="L162" s="40" t="str">
        <f>IF($K162="","",IFERROR(VLOOKUP($K162,Grinders!$A$4:$N$998,2,FALSE),""))</f>
        <v/>
      </c>
      <c r="M162" s="40" t="str">
        <f>IF($K162="","",IFERROR(VLOOKUP($K162,Grinders!$A$4:$N$998,3,FALSE),""))</f>
        <v/>
      </c>
      <c r="N162" s="40" t="str">
        <f>IF($K162="","",IFERROR(VLOOKUP($K162,Grinders!$A$4:$N$998,4,FALSE),""))</f>
        <v/>
      </c>
      <c r="O162" s="40" t="str">
        <f>IF($K162="","",IFERROR(VLOOKUP($K162,Grinders!$A$4:$N$998,5,FALSE),""))</f>
        <v/>
      </c>
      <c r="P162" s="40" t="str">
        <f>IF($K162="","",IF($C$4="",0,COUNTIFS(Assignments!$B$6:$B$1000,$K162,Assignments!$F$6:$F$1000,$C$4,Assignments!$E$6:$E$1000,"Active")))</f>
        <v/>
      </c>
      <c r="Q162" s="40" t="str">
        <f t="shared" si="3"/>
        <v/>
      </c>
      <c r="R162" s="40" t="str">
        <f t="shared" si="4"/>
        <v/>
      </c>
      <c r="S162" s="40" t="str">
        <f>IF($K162="","",IF($C$4="",0,COUNTIFS(Assignments!$B$6:$B$1000,$K162,Assignments!$F$6:$F$1000,$C$4,Assignments!$D$6:$D$1000,"&gt;="&amp;Config!$B$3-7,Assignments!$D$6:$D$1000,"&lt;="&amp;Config!$B$3)))</f>
        <v/>
      </c>
      <c r="T162" s="40" t="str">
        <f>IF($K162="","",IFERROR(VLOOKUP($K162,Grinders!$A$4:$N$998,8,FALSE),""))</f>
        <v/>
      </c>
      <c r="U162" s="40" t="str">
        <f>IFERROR(IF($K162="","",IF($M162="Elite",MAX(50,MIN(100,Config!$B$27*MAX(0,MIN(100,(1-IF($R162="",0,$R162))*100)) + Config!$B$28*MAX(0,MIN(100,(1-MIN(1,IF(Config!$B$30=0,1,$S162/Config!$B$30)))*100)) + Config!$B$29*MAX(0,MIN(100,MIN(1,IF($T162="",0,$T162)/Config!$B$23)*100)))),MIN(100,Config!$B$27*MAX(0,MIN(100,(1-IF($R162="",0,$R162))*100)) + Config!$B$28*MAX(0,MIN(100,(1-MIN(1,IF(Config!$B$30=0,1,$S162/Config!$B$30)))*100)) + Config!$B$29*MAX(0,MIN(100,MIN(1,IF($T162="",0,$T162)/Config!$B$23)*100))))),"")
</f>
        <v/>
      </c>
      <c r="V162" s="40" t="str">
        <f>IF(Bids!$AC162="","",Bids!$AC162)</f>
        <v/>
      </c>
      <c r="W162" s="40" t="str">
        <f>IF(Bids!$F161="","",Bids!$F161)</f>
        <v/>
      </c>
      <c r="X162" s="40" t="str">
        <f t="shared" si="5"/>
        <v/>
      </c>
      <c r="Y162" s="40" t="str">
        <f>IF($X162="","",IF(Config!$B$17=Config!$B$16,IF($X162&gt;=Config!$B$17,100,0),MAX(0,MIN(100,($X162-Config!$B$16)/(Config!$B$17-Config!$B$16)*100))))</f>
        <v/>
      </c>
      <c r="Z162" s="40">
        <f>IF($M162="Elite",Config!$B$21,0)</f>
        <v>0</v>
      </c>
      <c r="AA162" s="40" t="str">
        <f>IFERROR(IF(OR($W162="",$H162=""),"",IF($W162&gt;$H162,
  MAX(0, 60-(($W162-$H162)*24/Config!$B$19)*60),
  MIN(100, 60+(($H162-$W162)*24/Config!$B$20)*40)
)),"")
</f>
        <v/>
      </c>
      <c r="AB162" s="40" t="str">
        <f>IF($K162="","",IFERROR(VLOOKUP($K162,Grinders!$A$4:$N$998,10,FALSE)/5*100,""))</f>
        <v/>
      </c>
      <c r="AC162" s="40" t="str">
        <f>IF($K162="","",IFERROR(VLOOKUP($K162,Grinders!$A$4:$N$998,11,FALSE)*100,""))</f>
        <v/>
      </c>
      <c r="AD162" s="40" t="str">
        <f>IF($K162="","",IFERROR(VLOOKUP($K162,Grinders!$A$4:$N$998,12,FALSE)*100,""))</f>
        <v/>
      </c>
      <c r="AE162" s="40" t="str">
        <f>IF(OR(AO162=1,AP162=1),0,=IFERROR(IFS(
    OR($C162="", $K162=""), 0,
    $F162=0, 0,
    $D162&lt;&gt;"Open", 0,
    COUNTIFS(GrinderServices!$A$6:$A$1000, $K162, GrinderServices!$B$6:$B$1000, $E162, GrinderServices!$D$6:$D$1000, "Y")=0, 0,
    $X162&lt;Config!$B$16, 0,
    Config!$B$18=1, IF($O162&gt;=N162, 0, 1),
    TRUE, 1
), "")
)</f>
        <v>#ERROR!</v>
      </c>
      <c r="AF162" s="40" t="str">
        <f>IFERROR((IF(OR(AO162=1,AP162=1),"",=IFERROR((IFERROR(IF($AE162=0,"",((Config!$B$6*$Y162 + Config!$B$7*$U162 + Config!$B$8*$Z162 + Config!$B$9*$AA162 + Config!$B$10*$AB162 + Config!$B$11*$AC162 - Config!$B$12*$AD162)/Config!$B$13)+$AK162+$AL162),""))*(1-IFERROR(VLOOKUP(K162,Grinders!$A:$AB, 28, FALSE),0)),"")))*(1+AR162),"")</f>
        <v>#ERROR!</v>
      </c>
      <c r="AG162" s="40" t="str">
        <f t="shared" si="6"/>
        <v>#ERROR!</v>
      </c>
      <c r="AH162" s="40" t="str">
        <f t="shared" si="7"/>
        <v/>
      </c>
      <c r="AI162" s="40" t="str">
        <f t="shared" si="8"/>
        <v/>
      </c>
      <c r="AJ162" s="40" t="str">
        <f>IF($K162="","",COUNTIF(Assignments!$B$6:$B$1000,$K162))</f>
        <v/>
      </c>
      <c r="AK162" s="40" t="str">
        <f>IF($K162="","",IF(AND($AJ162=0,$O162&lt;$N162),Config!$B$43,0))</f>
        <v/>
      </c>
      <c r="AL162" s="40" t="str">
        <f>IF($K162="","",IF(AND($M162="Elite",$G162&gt;=Config!$B$41,$O162&lt;$N162),Config!$B$42,0))</f>
        <v/>
      </c>
      <c r="AM162" s="22"/>
      <c r="AN162" s="39">
        <f>IFERROR(VLOOKUP(K162,Grinders!$A:$Q,28,FALSE),0)</f>
        <v>0</v>
      </c>
      <c r="AO162" s="39">
        <f>IF(Config!$B$1003&lt;&gt;"Y",0,IF(IFERROR(VLOOKUP(K162,Grinders!$A:$P,27,FALSE),0)&gt;=3,IF(OR(G162&gt;=Config!$B$1001,ISNUMBER(SEARCH(E162,Config!$B$1002))),1,0),0))</f>
        <v>0</v>
      </c>
      <c r="AP162" s="39">
        <f t="array" ref="AP162">IFERROR(IF(INDEX(Bids!$AE:$AE,MATCH(B162,Bids!$A:$A,0))="Pending",1,0),0)</f>
        <v>0</v>
      </c>
      <c r="AQ162" s="39" t="str">
        <f t="array" ref="AQ162">IF(C162="","",IFERROR(XLOOKUP(C162,Assignments!$C:$C,Assignments!$AU:$AU,0),0))</f>
        <v/>
      </c>
      <c r="AR162" s="39">
        <f>IF(AND(Config!$B$1006="Y",AQ162=1),Config!$B$1007,0)</f>
        <v>0</v>
      </c>
    </row>
    <row r="163" ht="15.75" customHeight="1">
      <c r="A163" s="46" t="str">
        <f t="shared" si="1"/>
        <v/>
      </c>
      <c r="B163" s="40" t="str">
        <f>IF(Bids!$A162="","",Bids!$A162)</f>
        <v/>
      </c>
      <c r="C163" s="40" t="str">
        <f>IF(Bids!$B162="","",Bids!$B162)</f>
        <v/>
      </c>
      <c r="D163" s="40" t="str">
        <f>IF($C163="","",IFERROR(VLOOKUP($C163,Orders!$A$4:$J$998,9,FALSE),""))</f>
        <v/>
      </c>
      <c r="E163" s="40" t="str">
        <f>IF($C163="","",IFERROR(VLOOKUP($C163,Orders!$A$4:$J$998,3,FALSE),""))</f>
        <v/>
      </c>
      <c r="F163" s="40">
        <f t="shared" si="2"/>
        <v>1</v>
      </c>
      <c r="G163" s="40" t="str">
        <f>IF($C163="","",IFERROR(VLOOKUP($C163,Orders!$A$4:$J$998,4,FALSE),""))</f>
        <v/>
      </c>
      <c r="H163" s="40" t="str">
        <f>IF($C163="","",IFERROR(VLOOKUP($C163,Orders!$A$4:$J$998,5,FALSE),""))</f>
        <v/>
      </c>
      <c r="I163" s="40" t="str">
        <f>IF($C163="","",IFERROR(VLOOKUP($C163,Orders!$A$4:$J$998,6,FALSE),""))</f>
        <v/>
      </c>
      <c r="J163" s="40" t="str">
        <f>IF($C163="","",IFERROR(VLOOKUP($C163,Orders!$A$4:$J$998,7,FALSE),""))</f>
        <v/>
      </c>
      <c r="K163" s="40" t="str">
        <f>IF(Bids!$C162="","",Bids!$C162)</f>
        <v/>
      </c>
      <c r="L163" s="40" t="str">
        <f>IF($K163="","",IFERROR(VLOOKUP($K163,Grinders!$A$4:$N$998,2,FALSE),""))</f>
        <v/>
      </c>
      <c r="M163" s="40" t="str">
        <f>IF($K163="","",IFERROR(VLOOKUP($K163,Grinders!$A$4:$N$998,3,FALSE),""))</f>
        <v/>
      </c>
      <c r="N163" s="40" t="str">
        <f>IF($K163="","",IFERROR(VLOOKUP($K163,Grinders!$A$4:$N$998,4,FALSE),""))</f>
        <v/>
      </c>
      <c r="O163" s="40" t="str">
        <f>IF($K163="","",IFERROR(VLOOKUP($K163,Grinders!$A$4:$N$998,5,FALSE),""))</f>
        <v/>
      </c>
      <c r="P163" s="40" t="str">
        <f>IF($K163="","",IF($C$4="",0,COUNTIFS(Assignments!$B$6:$B$1000,$K163,Assignments!$F$6:$F$1000,$C$4,Assignments!$E$6:$E$1000,"Active")))</f>
        <v/>
      </c>
      <c r="Q163" s="40" t="str">
        <f t="shared" si="3"/>
        <v/>
      </c>
      <c r="R163" s="40" t="str">
        <f t="shared" si="4"/>
        <v/>
      </c>
      <c r="S163" s="40" t="str">
        <f>IF($K163="","",IF($C$4="",0,COUNTIFS(Assignments!$B$6:$B$1000,$K163,Assignments!$F$6:$F$1000,$C$4,Assignments!$D$6:$D$1000,"&gt;="&amp;Config!$B$3-7,Assignments!$D$6:$D$1000,"&lt;="&amp;Config!$B$3)))</f>
        <v/>
      </c>
      <c r="T163" s="40" t="str">
        <f>IF($K163="","",IFERROR(VLOOKUP($K163,Grinders!$A$4:$N$998,8,FALSE),""))</f>
        <v/>
      </c>
      <c r="U163" s="40" t="str">
        <f>IFERROR(IF($K163="","",IF($M163="Elite",MAX(50,MIN(100,Config!$B$27*MAX(0,MIN(100,(1-IF($R163="",0,$R163))*100)) + Config!$B$28*MAX(0,MIN(100,(1-MIN(1,IF(Config!$B$30=0,1,$S163/Config!$B$30)))*100)) + Config!$B$29*MAX(0,MIN(100,MIN(1,IF($T163="",0,$T163)/Config!$B$23)*100)))),MIN(100,Config!$B$27*MAX(0,MIN(100,(1-IF($R163="",0,$R163))*100)) + Config!$B$28*MAX(0,MIN(100,(1-MIN(1,IF(Config!$B$30=0,1,$S163/Config!$B$30)))*100)) + Config!$B$29*MAX(0,MIN(100,MIN(1,IF($T163="",0,$T163)/Config!$B$23)*100))))),"")
</f>
        <v/>
      </c>
      <c r="V163" s="40" t="str">
        <f>IF(Bids!$AC163="","",Bids!$AC163)</f>
        <v/>
      </c>
      <c r="W163" s="40" t="str">
        <f>IF(Bids!$F162="","",Bids!$F162)</f>
        <v/>
      </c>
      <c r="X163" s="40" t="str">
        <f t="shared" si="5"/>
        <v/>
      </c>
      <c r="Y163" s="40" t="str">
        <f>IF($X163="","",IF(Config!$B$17=Config!$B$16,IF($X163&gt;=Config!$B$17,100,0),MAX(0,MIN(100,($X163-Config!$B$16)/(Config!$B$17-Config!$B$16)*100))))</f>
        <v/>
      </c>
      <c r="Z163" s="40">
        <f>IF($M163="Elite",Config!$B$21,0)</f>
        <v>0</v>
      </c>
      <c r="AA163" s="40" t="str">
        <f>IFERROR(IF(OR($W163="",$H163=""),"",IF($W163&gt;$H163,
  MAX(0, 60-(($W163-$H163)*24/Config!$B$19)*60),
  MIN(100, 60+(($H163-$W163)*24/Config!$B$20)*40)
)),"")
</f>
        <v/>
      </c>
      <c r="AB163" s="40" t="str">
        <f>IF($K163="","",IFERROR(VLOOKUP($K163,Grinders!$A$4:$N$998,10,FALSE)/5*100,""))</f>
        <v/>
      </c>
      <c r="AC163" s="40" t="str">
        <f>IF($K163="","",IFERROR(VLOOKUP($K163,Grinders!$A$4:$N$998,11,FALSE)*100,""))</f>
        <v/>
      </c>
      <c r="AD163" s="40" t="str">
        <f>IF($K163="","",IFERROR(VLOOKUP($K163,Grinders!$A$4:$N$998,12,FALSE)*100,""))</f>
        <v/>
      </c>
      <c r="AE163" s="40" t="str">
        <f>IF(OR(AO163=1,AP163=1),0,=IFERROR(IFS(
    OR($C163="", $K163=""), 0,
    $F163=0, 0,
    $D163&lt;&gt;"Open", 0,
    COUNTIFS(GrinderServices!$A$6:$A$1000, $K163, GrinderServices!$B$6:$B$1000, $E163, GrinderServices!$D$6:$D$1000, "Y")=0, 0,
    $X163&lt;Config!$B$16, 0,
    Config!$B$18=1, IF($O163&gt;=N163, 0, 1),
    TRUE, 1
), "")
)</f>
        <v>#ERROR!</v>
      </c>
      <c r="AF163" s="40" t="str">
        <f>IFERROR((IF(OR(AO163=1,AP163=1),"",=IFERROR((IFERROR(IF($AE163=0,"",((Config!$B$6*$Y163 + Config!$B$7*$U163 + Config!$B$8*$Z163 + Config!$B$9*$AA163 + Config!$B$10*$AB163 + Config!$B$11*$AC163 - Config!$B$12*$AD163)/Config!$B$13)+$AK163+$AL163),""))*(1-IFERROR(VLOOKUP(K163,Grinders!$A:$AB, 28, FALSE),0)),"")))*(1+AR163),"")</f>
        <v>#ERROR!</v>
      </c>
      <c r="AG163" s="40" t="str">
        <f t="shared" si="6"/>
        <v>#ERROR!</v>
      </c>
      <c r="AH163" s="40" t="str">
        <f t="shared" si="7"/>
        <v/>
      </c>
      <c r="AI163" s="40" t="str">
        <f t="shared" si="8"/>
        <v/>
      </c>
      <c r="AJ163" s="40" t="str">
        <f>IF($K163="","",COUNTIF(Assignments!$B$6:$B$1000,$K163))</f>
        <v/>
      </c>
      <c r="AK163" s="40" t="str">
        <f>IF($K163="","",IF(AND($AJ163=0,$O163&lt;$N163),Config!$B$43,0))</f>
        <v/>
      </c>
      <c r="AL163" s="40" t="str">
        <f>IF($K163="","",IF(AND($M163="Elite",$G163&gt;=Config!$B$41,$O163&lt;$N163),Config!$B$42,0))</f>
        <v/>
      </c>
      <c r="AM163" s="22"/>
      <c r="AN163" s="39">
        <f>IFERROR(VLOOKUP(K163,Grinders!$A:$Q,28,FALSE),0)</f>
        <v>0</v>
      </c>
      <c r="AO163" s="39">
        <f>IF(Config!$B$1003&lt;&gt;"Y",0,IF(IFERROR(VLOOKUP(K163,Grinders!$A:$P,27,FALSE),0)&gt;=3,IF(OR(G163&gt;=Config!$B$1001,ISNUMBER(SEARCH(E163,Config!$B$1002))),1,0),0))</f>
        <v>0</v>
      </c>
      <c r="AP163" s="39">
        <f t="array" ref="AP163">IFERROR(IF(INDEX(Bids!$AE:$AE,MATCH(B163,Bids!$A:$A,0))="Pending",1,0),0)</f>
        <v>0</v>
      </c>
      <c r="AQ163" s="39" t="str">
        <f t="array" ref="AQ163">IF(C163="","",IFERROR(XLOOKUP(C163,Assignments!$C:$C,Assignments!$AU:$AU,0),0))</f>
        <v/>
      </c>
      <c r="AR163" s="39">
        <f>IF(AND(Config!$B$1006="Y",AQ163=1),Config!$B$1007,0)</f>
        <v>0</v>
      </c>
    </row>
    <row r="164" ht="15.75" customHeight="1">
      <c r="A164" s="46" t="str">
        <f t="shared" si="1"/>
        <v/>
      </c>
      <c r="B164" s="40" t="str">
        <f>IF(Bids!$A163="","",Bids!$A163)</f>
        <v/>
      </c>
      <c r="C164" s="40" t="str">
        <f>IF(Bids!$B163="","",Bids!$B163)</f>
        <v/>
      </c>
      <c r="D164" s="40" t="str">
        <f>IF($C164="","",IFERROR(VLOOKUP($C164,Orders!$A$4:$J$998,9,FALSE),""))</f>
        <v/>
      </c>
      <c r="E164" s="40" t="str">
        <f>IF($C164="","",IFERROR(VLOOKUP($C164,Orders!$A$4:$J$998,3,FALSE),""))</f>
        <v/>
      </c>
      <c r="F164" s="40">
        <f t="shared" si="2"/>
        <v>1</v>
      </c>
      <c r="G164" s="40" t="str">
        <f>IF($C164="","",IFERROR(VLOOKUP($C164,Orders!$A$4:$J$998,4,FALSE),""))</f>
        <v/>
      </c>
      <c r="H164" s="40" t="str">
        <f>IF($C164="","",IFERROR(VLOOKUP($C164,Orders!$A$4:$J$998,5,FALSE),""))</f>
        <v/>
      </c>
      <c r="I164" s="40" t="str">
        <f>IF($C164="","",IFERROR(VLOOKUP($C164,Orders!$A$4:$J$998,6,FALSE),""))</f>
        <v/>
      </c>
      <c r="J164" s="40" t="str">
        <f>IF($C164="","",IFERROR(VLOOKUP($C164,Orders!$A$4:$J$998,7,FALSE),""))</f>
        <v/>
      </c>
      <c r="K164" s="40" t="str">
        <f>IF(Bids!$C163="","",Bids!$C163)</f>
        <v/>
      </c>
      <c r="L164" s="40" t="str">
        <f>IF($K164="","",IFERROR(VLOOKUP($K164,Grinders!$A$4:$N$998,2,FALSE),""))</f>
        <v/>
      </c>
      <c r="M164" s="40" t="str">
        <f>IF($K164="","",IFERROR(VLOOKUP($K164,Grinders!$A$4:$N$998,3,FALSE),""))</f>
        <v/>
      </c>
      <c r="N164" s="40" t="str">
        <f>IF($K164="","",IFERROR(VLOOKUP($K164,Grinders!$A$4:$N$998,4,FALSE),""))</f>
        <v/>
      </c>
      <c r="O164" s="40" t="str">
        <f>IF($K164="","",IFERROR(VLOOKUP($K164,Grinders!$A$4:$N$998,5,FALSE),""))</f>
        <v/>
      </c>
      <c r="P164" s="40" t="str">
        <f>IF($K164="","",IF($C$4="",0,COUNTIFS(Assignments!$B$6:$B$1000,$K164,Assignments!$F$6:$F$1000,$C$4,Assignments!$E$6:$E$1000,"Active")))</f>
        <v/>
      </c>
      <c r="Q164" s="40" t="str">
        <f t="shared" si="3"/>
        <v/>
      </c>
      <c r="R164" s="40" t="str">
        <f t="shared" si="4"/>
        <v/>
      </c>
      <c r="S164" s="40" t="str">
        <f>IF($K164="","",IF($C$4="",0,COUNTIFS(Assignments!$B$6:$B$1000,$K164,Assignments!$F$6:$F$1000,$C$4,Assignments!$D$6:$D$1000,"&gt;="&amp;Config!$B$3-7,Assignments!$D$6:$D$1000,"&lt;="&amp;Config!$B$3)))</f>
        <v/>
      </c>
      <c r="T164" s="40" t="str">
        <f>IF($K164="","",IFERROR(VLOOKUP($K164,Grinders!$A$4:$N$998,8,FALSE),""))</f>
        <v/>
      </c>
      <c r="U164" s="40" t="str">
        <f>IFERROR(IF($K164="","",IF($M164="Elite",MAX(50,MIN(100,Config!$B$27*MAX(0,MIN(100,(1-IF($R164="",0,$R164))*100)) + Config!$B$28*MAX(0,MIN(100,(1-MIN(1,IF(Config!$B$30=0,1,$S164/Config!$B$30)))*100)) + Config!$B$29*MAX(0,MIN(100,MIN(1,IF($T164="",0,$T164)/Config!$B$23)*100)))),MIN(100,Config!$B$27*MAX(0,MIN(100,(1-IF($R164="",0,$R164))*100)) + Config!$B$28*MAX(0,MIN(100,(1-MIN(1,IF(Config!$B$30=0,1,$S164/Config!$B$30)))*100)) + Config!$B$29*MAX(0,MIN(100,MIN(1,IF($T164="",0,$T164)/Config!$B$23)*100))))),"")
</f>
        <v/>
      </c>
      <c r="V164" s="40" t="str">
        <f>IF(Bids!$AC164="","",Bids!$AC164)</f>
        <v/>
      </c>
      <c r="W164" s="40" t="str">
        <f>IF(Bids!$F163="","",Bids!$F163)</f>
        <v/>
      </c>
      <c r="X164" s="40" t="str">
        <f t="shared" si="5"/>
        <v/>
      </c>
      <c r="Y164" s="40" t="str">
        <f>IF($X164="","",IF(Config!$B$17=Config!$B$16,IF($X164&gt;=Config!$B$17,100,0),MAX(0,MIN(100,($X164-Config!$B$16)/(Config!$B$17-Config!$B$16)*100))))</f>
        <v/>
      </c>
      <c r="Z164" s="40">
        <f>IF($M164="Elite",Config!$B$21,0)</f>
        <v>0</v>
      </c>
      <c r="AA164" s="40" t="str">
        <f>IFERROR(IF(OR($W164="",$H164=""),"",IF($W164&gt;$H164,
  MAX(0, 60-(($W164-$H164)*24/Config!$B$19)*60),
  MIN(100, 60+(($H164-$W164)*24/Config!$B$20)*40)
)),"")
</f>
        <v/>
      </c>
      <c r="AB164" s="40" t="str">
        <f>IF($K164="","",IFERROR(VLOOKUP($K164,Grinders!$A$4:$N$998,10,FALSE)/5*100,""))</f>
        <v/>
      </c>
      <c r="AC164" s="40" t="str">
        <f>IF($K164="","",IFERROR(VLOOKUP($K164,Grinders!$A$4:$N$998,11,FALSE)*100,""))</f>
        <v/>
      </c>
      <c r="AD164" s="40" t="str">
        <f>IF($K164="","",IFERROR(VLOOKUP($K164,Grinders!$A$4:$N$998,12,FALSE)*100,""))</f>
        <v/>
      </c>
      <c r="AE164" s="40" t="str">
        <f>IF(OR(AO164=1,AP164=1),0,=IFERROR(IFS(
    OR($C164="", $K164=""), 0,
    $F164=0, 0,
    $D164&lt;&gt;"Open", 0,
    COUNTIFS(GrinderServices!$A$6:$A$1000, $K164, GrinderServices!$B$6:$B$1000, $E164, GrinderServices!$D$6:$D$1000, "Y")=0, 0,
    $X164&lt;Config!$B$16, 0,
    Config!$B$18=1, IF($O164&gt;=N164, 0, 1),
    TRUE, 1
), "")
)</f>
        <v>#ERROR!</v>
      </c>
      <c r="AF164" s="40" t="str">
        <f>IFERROR((IF(OR(AO164=1,AP164=1),"",=IFERROR((IFERROR(IF($AE164=0,"",((Config!$B$6*$Y164 + Config!$B$7*$U164 + Config!$B$8*$Z164 + Config!$B$9*$AA164 + Config!$B$10*$AB164 + Config!$B$11*$AC164 - Config!$B$12*$AD164)/Config!$B$13)+$AK164+$AL164),""))*(1-IFERROR(VLOOKUP(K164,Grinders!$A:$AB, 28, FALSE),0)),"")))*(1+AR164),"")</f>
        <v>#ERROR!</v>
      </c>
      <c r="AG164" s="40" t="str">
        <f t="shared" si="6"/>
        <v>#ERROR!</v>
      </c>
      <c r="AH164" s="40" t="str">
        <f t="shared" si="7"/>
        <v/>
      </c>
      <c r="AI164" s="40" t="str">
        <f t="shared" si="8"/>
        <v/>
      </c>
      <c r="AJ164" s="40" t="str">
        <f>IF($K164="","",COUNTIF(Assignments!$B$6:$B$1000,$K164))</f>
        <v/>
      </c>
      <c r="AK164" s="40" t="str">
        <f>IF($K164="","",IF(AND($AJ164=0,$O164&lt;$N164),Config!$B$43,0))</f>
        <v/>
      </c>
      <c r="AL164" s="40" t="str">
        <f>IF($K164="","",IF(AND($M164="Elite",$G164&gt;=Config!$B$41,$O164&lt;$N164),Config!$B$42,0))</f>
        <v/>
      </c>
      <c r="AM164" s="22"/>
      <c r="AN164" s="39">
        <f>IFERROR(VLOOKUP(K164,Grinders!$A:$Q,28,FALSE),0)</f>
        <v>0</v>
      </c>
      <c r="AO164" s="39">
        <f>IF(Config!$B$1003&lt;&gt;"Y",0,IF(IFERROR(VLOOKUP(K164,Grinders!$A:$P,27,FALSE),0)&gt;=3,IF(OR(G164&gt;=Config!$B$1001,ISNUMBER(SEARCH(E164,Config!$B$1002))),1,0),0))</f>
        <v>0</v>
      </c>
      <c r="AP164" s="39">
        <f t="array" ref="AP164">IFERROR(IF(INDEX(Bids!$AE:$AE,MATCH(B164,Bids!$A:$A,0))="Pending",1,0),0)</f>
        <v>0</v>
      </c>
      <c r="AQ164" s="39" t="str">
        <f t="array" ref="AQ164">IF(C164="","",IFERROR(XLOOKUP(C164,Assignments!$C:$C,Assignments!$AU:$AU,0),0))</f>
        <v/>
      </c>
      <c r="AR164" s="39">
        <f>IF(AND(Config!$B$1006="Y",AQ164=1),Config!$B$1007,0)</f>
        <v>0</v>
      </c>
    </row>
    <row r="165" ht="15.75" customHeight="1">
      <c r="A165" s="46" t="str">
        <f t="shared" si="1"/>
        <v/>
      </c>
      <c r="B165" s="40" t="str">
        <f>IF(Bids!$A164="","",Bids!$A164)</f>
        <v/>
      </c>
      <c r="C165" s="40" t="str">
        <f>IF(Bids!$B164="","",Bids!$B164)</f>
        <v/>
      </c>
      <c r="D165" s="40" t="str">
        <f>IF($C165="","",IFERROR(VLOOKUP($C165,Orders!$A$4:$J$998,9,FALSE),""))</f>
        <v/>
      </c>
      <c r="E165" s="40" t="str">
        <f>IF($C165="","",IFERROR(VLOOKUP($C165,Orders!$A$4:$J$998,3,FALSE),""))</f>
        <v/>
      </c>
      <c r="F165" s="40">
        <f t="shared" si="2"/>
        <v>1</v>
      </c>
      <c r="G165" s="40" t="str">
        <f>IF($C165="","",IFERROR(VLOOKUP($C165,Orders!$A$4:$J$998,4,FALSE),""))</f>
        <v/>
      </c>
      <c r="H165" s="40" t="str">
        <f>IF($C165="","",IFERROR(VLOOKUP($C165,Orders!$A$4:$J$998,5,FALSE),""))</f>
        <v/>
      </c>
      <c r="I165" s="40" t="str">
        <f>IF($C165="","",IFERROR(VLOOKUP($C165,Orders!$A$4:$J$998,6,FALSE),""))</f>
        <v/>
      </c>
      <c r="J165" s="40" t="str">
        <f>IF($C165="","",IFERROR(VLOOKUP($C165,Orders!$A$4:$J$998,7,FALSE),""))</f>
        <v/>
      </c>
      <c r="K165" s="40" t="str">
        <f>IF(Bids!$C164="","",Bids!$C164)</f>
        <v/>
      </c>
      <c r="L165" s="40" t="str">
        <f>IF($K165="","",IFERROR(VLOOKUP($K165,Grinders!$A$4:$N$998,2,FALSE),""))</f>
        <v/>
      </c>
      <c r="M165" s="40" t="str">
        <f>IF($K165="","",IFERROR(VLOOKUP($K165,Grinders!$A$4:$N$998,3,FALSE),""))</f>
        <v/>
      </c>
      <c r="N165" s="40" t="str">
        <f>IF($K165="","",IFERROR(VLOOKUP($K165,Grinders!$A$4:$N$998,4,FALSE),""))</f>
        <v/>
      </c>
      <c r="O165" s="40" t="str">
        <f>IF($K165="","",IFERROR(VLOOKUP($K165,Grinders!$A$4:$N$998,5,FALSE),""))</f>
        <v/>
      </c>
      <c r="P165" s="40" t="str">
        <f>IF($K165="","",IF($C$4="",0,COUNTIFS(Assignments!$B$6:$B$1000,$K165,Assignments!$F$6:$F$1000,$C$4,Assignments!$E$6:$E$1000,"Active")))</f>
        <v/>
      </c>
      <c r="Q165" s="40" t="str">
        <f t="shared" si="3"/>
        <v/>
      </c>
      <c r="R165" s="40" t="str">
        <f t="shared" si="4"/>
        <v/>
      </c>
      <c r="S165" s="40" t="str">
        <f>IF($K165="","",IF($C$4="",0,COUNTIFS(Assignments!$B$6:$B$1000,$K165,Assignments!$F$6:$F$1000,$C$4,Assignments!$D$6:$D$1000,"&gt;="&amp;Config!$B$3-7,Assignments!$D$6:$D$1000,"&lt;="&amp;Config!$B$3)))</f>
        <v/>
      </c>
      <c r="T165" s="40" t="str">
        <f>IF($K165="","",IFERROR(VLOOKUP($K165,Grinders!$A$4:$N$998,8,FALSE),""))</f>
        <v/>
      </c>
      <c r="U165" s="40" t="str">
        <f>IFERROR(IF($K165="","",IF($M165="Elite",MAX(50,MIN(100,Config!$B$27*MAX(0,MIN(100,(1-IF($R165="",0,$R165))*100)) + Config!$B$28*MAX(0,MIN(100,(1-MIN(1,IF(Config!$B$30=0,1,$S165/Config!$B$30)))*100)) + Config!$B$29*MAX(0,MIN(100,MIN(1,IF($T165="",0,$T165)/Config!$B$23)*100)))),MIN(100,Config!$B$27*MAX(0,MIN(100,(1-IF($R165="",0,$R165))*100)) + Config!$B$28*MAX(0,MIN(100,(1-MIN(1,IF(Config!$B$30=0,1,$S165/Config!$B$30)))*100)) + Config!$B$29*MAX(0,MIN(100,MIN(1,IF($T165="",0,$T165)/Config!$B$23)*100))))),"")
</f>
        <v/>
      </c>
      <c r="V165" s="40" t="str">
        <f>IF(Bids!$AC165="","",Bids!$AC165)</f>
        <v/>
      </c>
      <c r="W165" s="40" t="str">
        <f>IF(Bids!$F164="","",Bids!$F164)</f>
        <v/>
      </c>
      <c r="X165" s="40" t="str">
        <f t="shared" si="5"/>
        <v/>
      </c>
      <c r="Y165" s="40" t="str">
        <f>IF($X165="","",IF(Config!$B$17=Config!$B$16,IF($X165&gt;=Config!$B$17,100,0),MAX(0,MIN(100,($X165-Config!$B$16)/(Config!$B$17-Config!$B$16)*100))))</f>
        <v/>
      </c>
      <c r="Z165" s="40">
        <f>IF($M165="Elite",Config!$B$21,0)</f>
        <v>0</v>
      </c>
      <c r="AA165" s="40" t="str">
        <f>IFERROR(IF(OR($W165="",$H165=""),"",IF($W165&gt;$H165,
  MAX(0, 60-(($W165-$H165)*24/Config!$B$19)*60),
  MIN(100, 60+(($H165-$W165)*24/Config!$B$20)*40)
)),"")
</f>
        <v/>
      </c>
      <c r="AB165" s="40" t="str">
        <f>IF($K165="","",IFERROR(VLOOKUP($K165,Grinders!$A$4:$N$998,10,FALSE)/5*100,""))</f>
        <v/>
      </c>
      <c r="AC165" s="40" t="str">
        <f>IF($K165="","",IFERROR(VLOOKUP($K165,Grinders!$A$4:$N$998,11,FALSE)*100,""))</f>
        <v/>
      </c>
      <c r="AD165" s="40" t="str">
        <f>IF($K165="","",IFERROR(VLOOKUP($K165,Grinders!$A$4:$N$998,12,FALSE)*100,""))</f>
        <v/>
      </c>
      <c r="AE165" s="40" t="str">
        <f>IF(OR(AO165=1,AP165=1),0,=IFERROR(IFS(
    OR($C165="", $K165=""), 0,
    $F165=0, 0,
    $D165&lt;&gt;"Open", 0,
    COUNTIFS(GrinderServices!$A$6:$A$1000, $K165, GrinderServices!$B$6:$B$1000, $E165, GrinderServices!$D$6:$D$1000, "Y")=0, 0,
    $X165&lt;Config!$B$16, 0,
    Config!$B$18=1, IF($O165&gt;=N165, 0, 1),
    TRUE, 1
), "")
)</f>
        <v>#ERROR!</v>
      </c>
      <c r="AF165" s="40" t="str">
        <f>IFERROR((IF(OR(AO165=1,AP165=1),"",=IFERROR((IFERROR(IF($AE165=0,"",((Config!$B$6*$Y165 + Config!$B$7*$U165 + Config!$B$8*$Z165 + Config!$B$9*$AA165 + Config!$B$10*$AB165 + Config!$B$11*$AC165 - Config!$B$12*$AD165)/Config!$B$13)+$AK165+$AL165),""))*(1-IFERROR(VLOOKUP(K165,Grinders!$A:$AB, 28, FALSE),0)),"")))*(1+AR165),"")</f>
        <v>#ERROR!</v>
      </c>
      <c r="AG165" s="40" t="str">
        <f t="shared" si="6"/>
        <v>#ERROR!</v>
      </c>
      <c r="AH165" s="40" t="str">
        <f t="shared" si="7"/>
        <v/>
      </c>
      <c r="AI165" s="40" t="str">
        <f t="shared" si="8"/>
        <v/>
      </c>
      <c r="AJ165" s="40" t="str">
        <f>IF($K165="","",COUNTIF(Assignments!$B$6:$B$1000,$K165))</f>
        <v/>
      </c>
      <c r="AK165" s="40" t="str">
        <f>IF($K165="","",IF(AND($AJ165=0,$O165&lt;$N165),Config!$B$43,0))</f>
        <v/>
      </c>
      <c r="AL165" s="40" t="str">
        <f>IF($K165="","",IF(AND($M165="Elite",$G165&gt;=Config!$B$41,$O165&lt;$N165),Config!$B$42,0))</f>
        <v/>
      </c>
      <c r="AM165" s="22"/>
      <c r="AN165" s="39">
        <f>IFERROR(VLOOKUP(K165,Grinders!$A:$Q,28,FALSE),0)</f>
        <v>0</v>
      </c>
      <c r="AO165" s="39">
        <f>IF(Config!$B$1003&lt;&gt;"Y",0,IF(IFERROR(VLOOKUP(K165,Grinders!$A:$P,27,FALSE),0)&gt;=3,IF(OR(G165&gt;=Config!$B$1001,ISNUMBER(SEARCH(E165,Config!$B$1002))),1,0),0))</f>
        <v>0</v>
      </c>
      <c r="AP165" s="39">
        <f t="array" ref="AP165">IFERROR(IF(INDEX(Bids!$AE:$AE,MATCH(B165,Bids!$A:$A,0))="Pending",1,0),0)</f>
        <v>0</v>
      </c>
      <c r="AQ165" s="39" t="str">
        <f t="array" ref="AQ165">IF(C165="","",IFERROR(XLOOKUP(C165,Assignments!$C:$C,Assignments!$AU:$AU,0),0))</f>
        <v/>
      </c>
      <c r="AR165" s="39">
        <f>IF(AND(Config!$B$1006="Y",AQ165=1),Config!$B$1007,0)</f>
        <v>0</v>
      </c>
    </row>
    <row r="166" ht="15.75" customHeight="1">
      <c r="A166" s="46" t="str">
        <f t="shared" si="1"/>
        <v/>
      </c>
      <c r="B166" s="40" t="str">
        <f>IF(Bids!$A165="","",Bids!$A165)</f>
        <v/>
      </c>
      <c r="C166" s="40" t="str">
        <f>IF(Bids!$B165="","",Bids!$B165)</f>
        <v/>
      </c>
      <c r="D166" s="40" t="str">
        <f>IF($C166="","",IFERROR(VLOOKUP($C166,Orders!$A$4:$J$998,9,FALSE),""))</f>
        <v/>
      </c>
      <c r="E166" s="40" t="str">
        <f>IF($C166="","",IFERROR(VLOOKUP($C166,Orders!$A$4:$J$998,3,FALSE),""))</f>
        <v/>
      </c>
      <c r="F166" s="40">
        <f t="shared" si="2"/>
        <v>1</v>
      </c>
      <c r="G166" s="40" t="str">
        <f>IF($C166="","",IFERROR(VLOOKUP($C166,Orders!$A$4:$J$998,4,FALSE),""))</f>
        <v/>
      </c>
      <c r="H166" s="40" t="str">
        <f>IF($C166="","",IFERROR(VLOOKUP($C166,Orders!$A$4:$J$998,5,FALSE),""))</f>
        <v/>
      </c>
      <c r="I166" s="40" t="str">
        <f>IF($C166="","",IFERROR(VLOOKUP($C166,Orders!$A$4:$J$998,6,FALSE),""))</f>
        <v/>
      </c>
      <c r="J166" s="40" t="str">
        <f>IF($C166="","",IFERROR(VLOOKUP($C166,Orders!$A$4:$J$998,7,FALSE),""))</f>
        <v/>
      </c>
      <c r="K166" s="40" t="str">
        <f>IF(Bids!$C165="","",Bids!$C165)</f>
        <v/>
      </c>
      <c r="L166" s="40" t="str">
        <f>IF($K166="","",IFERROR(VLOOKUP($K166,Grinders!$A$4:$N$998,2,FALSE),""))</f>
        <v/>
      </c>
      <c r="M166" s="40" t="str">
        <f>IF($K166="","",IFERROR(VLOOKUP($K166,Grinders!$A$4:$N$998,3,FALSE),""))</f>
        <v/>
      </c>
      <c r="N166" s="40" t="str">
        <f>IF($K166="","",IFERROR(VLOOKUP($K166,Grinders!$A$4:$N$998,4,FALSE),""))</f>
        <v/>
      </c>
      <c r="O166" s="40" t="str">
        <f>IF($K166="","",IFERROR(VLOOKUP($K166,Grinders!$A$4:$N$998,5,FALSE),""))</f>
        <v/>
      </c>
      <c r="P166" s="40" t="str">
        <f>IF($K166="","",IF($C$4="",0,COUNTIFS(Assignments!$B$6:$B$1000,$K166,Assignments!$F$6:$F$1000,$C$4,Assignments!$E$6:$E$1000,"Active")))</f>
        <v/>
      </c>
      <c r="Q166" s="40" t="str">
        <f t="shared" si="3"/>
        <v/>
      </c>
      <c r="R166" s="40" t="str">
        <f t="shared" si="4"/>
        <v/>
      </c>
      <c r="S166" s="40" t="str">
        <f>IF($K166="","",IF($C$4="",0,COUNTIFS(Assignments!$B$6:$B$1000,$K166,Assignments!$F$6:$F$1000,$C$4,Assignments!$D$6:$D$1000,"&gt;="&amp;Config!$B$3-7,Assignments!$D$6:$D$1000,"&lt;="&amp;Config!$B$3)))</f>
        <v/>
      </c>
      <c r="T166" s="40" t="str">
        <f>IF($K166="","",IFERROR(VLOOKUP($K166,Grinders!$A$4:$N$998,8,FALSE),""))</f>
        <v/>
      </c>
      <c r="U166" s="40" t="str">
        <f>IFERROR(IF($K166="","",IF($M166="Elite",MAX(50,MIN(100,Config!$B$27*MAX(0,MIN(100,(1-IF($R166="",0,$R166))*100)) + Config!$B$28*MAX(0,MIN(100,(1-MIN(1,IF(Config!$B$30=0,1,$S166/Config!$B$30)))*100)) + Config!$B$29*MAX(0,MIN(100,MIN(1,IF($T166="",0,$T166)/Config!$B$23)*100)))),MIN(100,Config!$B$27*MAX(0,MIN(100,(1-IF($R166="",0,$R166))*100)) + Config!$B$28*MAX(0,MIN(100,(1-MIN(1,IF(Config!$B$30=0,1,$S166/Config!$B$30)))*100)) + Config!$B$29*MAX(0,MIN(100,MIN(1,IF($T166="",0,$T166)/Config!$B$23)*100))))),"")
</f>
        <v/>
      </c>
      <c r="V166" s="40" t="str">
        <f>IF(Bids!$AC166="","",Bids!$AC166)</f>
        <v/>
      </c>
      <c r="W166" s="40" t="str">
        <f>IF(Bids!$F165="","",Bids!$F165)</f>
        <v/>
      </c>
      <c r="X166" s="40" t="str">
        <f t="shared" si="5"/>
        <v/>
      </c>
      <c r="Y166" s="40" t="str">
        <f>IF($X166="","",IF(Config!$B$17=Config!$B$16,IF($X166&gt;=Config!$B$17,100,0),MAX(0,MIN(100,($X166-Config!$B$16)/(Config!$B$17-Config!$B$16)*100))))</f>
        <v/>
      </c>
      <c r="Z166" s="40">
        <f>IF($M166="Elite",Config!$B$21,0)</f>
        <v>0</v>
      </c>
      <c r="AA166" s="40" t="str">
        <f>IFERROR(IF(OR($W166="",$H166=""),"",IF($W166&gt;$H166,
  MAX(0, 60-(($W166-$H166)*24/Config!$B$19)*60),
  MIN(100, 60+(($H166-$W166)*24/Config!$B$20)*40)
)),"")
</f>
        <v/>
      </c>
      <c r="AB166" s="40" t="str">
        <f>IF($K166="","",IFERROR(VLOOKUP($K166,Grinders!$A$4:$N$998,10,FALSE)/5*100,""))</f>
        <v/>
      </c>
      <c r="AC166" s="40" t="str">
        <f>IF($K166="","",IFERROR(VLOOKUP($K166,Grinders!$A$4:$N$998,11,FALSE)*100,""))</f>
        <v/>
      </c>
      <c r="AD166" s="40" t="str">
        <f>IF($K166="","",IFERROR(VLOOKUP($K166,Grinders!$A$4:$N$998,12,FALSE)*100,""))</f>
        <v/>
      </c>
      <c r="AE166" s="40" t="str">
        <f>IF(OR(AO166=1,AP166=1),0,=IFERROR(IFS(
    OR($C166="", $K166=""), 0,
    $F166=0, 0,
    $D166&lt;&gt;"Open", 0,
    COUNTIFS(GrinderServices!$A$6:$A$1000, $K166, GrinderServices!$B$6:$B$1000, $E166, GrinderServices!$D$6:$D$1000, "Y")=0, 0,
    $X166&lt;Config!$B$16, 0,
    Config!$B$18=1, IF($O166&gt;=N166, 0, 1),
    TRUE, 1
), "")
)</f>
        <v>#ERROR!</v>
      </c>
      <c r="AF166" s="40" t="str">
        <f>IFERROR((IF(OR(AO166=1,AP166=1),"",=IFERROR((IFERROR(IF($AE166=0,"",((Config!$B$6*$Y166 + Config!$B$7*$U166 + Config!$B$8*$Z166 + Config!$B$9*$AA166 + Config!$B$10*$AB166 + Config!$B$11*$AC166 - Config!$B$12*$AD166)/Config!$B$13)+$AK166+$AL166),""))*(1-IFERROR(VLOOKUP(K166,Grinders!$A:$AB, 28, FALSE),0)),"")))*(1+AR166),"")</f>
        <v>#ERROR!</v>
      </c>
      <c r="AG166" s="40" t="str">
        <f t="shared" si="6"/>
        <v>#ERROR!</v>
      </c>
      <c r="AH166" s="40" t="str">
        <f t="shared" si="7"/>
        <v/>
      </c>
      <c r="AI166" s="40" t="str">
        <f t="shared" si="8"/>
        <v/>
      </c>
      <c r="AJ166" s="40" t="str">
        <f>IF($K166="","",COUNTIF(Assignments!$B$6:$B$1000,$K166))</f>
        <v/>
      </c>
      <c r="AK166" s="40" t="str">
        <f>IF($K166="","",IF(AND($AJ166=0,$O166&lt;$N166),Config!$B$43,0))</f>
        <v/>
      </c>
      <c r="AL166" s="40" t="str">
        <f>IF($K166="","",IF(AND($M166="Elite",$G166&gt;=Config!$B$41,$O166&lt;$N166),Config!$B$42,0))</f>
        <v/>
      </c>
      <c r="AM166" s="22"/>
      <c r="AN166" s="39">
        <f>IFERROR(VLOOKUP(K166,Grinders!$A:$Q,28,FALSE),0)</f>
        <v>0</v>
      </c>
      <c r="AO166" s="39">
        <f>IF(Config!$B$1003&lt;&gt;"Y",0,IF(IFERROR(VLOOKUP(K166,Grinders!$A:$P,27,FALSE),0)&gt;=3,IF(OR(G166&gt;=Config!$B$1001,ISNUMBER(SEARCH(E166,Config!$B$1002))),1,0),0))</f>
        <v>0</v>
      </c>
      <c r="AP166" s="39">
        <f t="array" ref="AP166">IFERROR(IF(INDEX(Bids!$AE:$AE,MATCH(B166,Bids!$A:$A,0))="Pending",1,0),0)</f>
        <v>0</v>
      </c>
      <c r="AQ166" s="39" t="str">
        <f t="array" ref="AQ166">IF(C166="","",IFERROR(XLOOKUP(C166,Assignments!$C:$C,Assignments!$AU:$AU,0),0))</f>
        <v/>
      </c>
      <c r="AR166" s="39">
        <f>IF(AND(Config!$B$1006="Y",AQ166=1),Config!$B$1007,0)</f>
        <v>0</v>
      </c>
    </row>
    <row r="167" ht="15.75" customHeight="1">
      <c r="A167" s="46" t="str">
        <f t="shared" si="1"/>
        <v/>
      </c>
      <c r="B167" s="40" t="str">
        <f>IF(Bids!$A166="","",Bids!$A166)</f>
        <v/>
      </c>
      <c r="C167" s="40" t="str">
        <f>IF(Bids!$B166="","",Bids!$B166)</f>
        <v/>
      </c>
      <c r="D167" s="40" t="str">
        <f>IF($C167="","",IFERROR(VLOOKUP($C167,Orders!$A$4:$J$998,9,FALSE),""))</f>
        <v/>
      </c>
      <c r="E167" s="40" t="str">
        <f>IF($C167="","",IFERROR(VLOOKUP($C167,Orders!$A$4:$J$998,3,FALSE),""))</f>
        <v/>
      </c>
      <c r="F167" s="40">
        <f t="shared" si="2"/>
        <v>1</v>
      </c>
      <c r="G167" s="40" t="str">
        <f>IF($C167="","",IFERROR(VLOOKUP($C167,Orders!$A$4:$J$998,4,FALSE),""))</f>
        <v/>
      </c>
      <c r="H167" s="40" t="str">
        <f>IF($C167="","",IFERROR(VLOOKUP($C167,Orders!$A$4:$J$998,5,FALSE),""))</f>
        <v/>
      </c>
      <c r="I167" s="40" t="str">
        <f>IF($C167="","",IFERROR(VLOOKUP($C167,Orders!$A$4:$J$998,6,FALSE),""))</f>
        <v/>
      </c>
      <c r="J167" s="40" t="str">
        <f>IF($C167="","",IFERROR(VLOOKUP($C167,Orders!$A$4:$J$998,7,FALSE),""))</f>
        <v/>
      </c>
      <c r="K167" s="40" t="str">
        <f>IF(Bids!$C166="","",Bids!$C166)</f>
        <v/>
      </c>
      <c r="L167" s="40" t="str">
        <f>IF($K167="","",IFERROR(VLOOKUP($K167,Grinders!$A$4:$N$998,2,FALSE),""))</f>
        <v/>
      </c>
      <c r="M167" s="40" t="str">
        <f>IF($K167="","",IFERROR(VLOOKUP($K167,Grinders!$A$4:$N$998,3,FALSE),""))</f>
        <v/>
      </c>
      <c r="N167" s="40" t="str">
        <f>IF($K167="","",IFERROR(VLOOKUP($K167,Grinders!$A$4:$N$998,4,FALSE),""))</f>
        <v/>
      </c>
      <c r="O167" s="40" t="str">
        <f>IF($K167="","",IFERROR(VLOOKUP($K167,Grinders!$A$4:$N$998,5,FALSE),""))</f>
        <v/>
      </c>
      <c r="P167" s="40" t="str">
        <f>IF($K167="","",IF($C$4="",0,COUNTIFS(Assignments!$B$6:$B$1000,$K167,Assignments!$F$6:$F$1000,$C$4,Assignments!$E$6:$E$1000,"Active")))</f>
        <v/>
      </c>
      <c r="Q167" s="40" t="str">
        <f t="shared" si="3"/>
        <v/>
      </c>
      <c r="R167" s="40" t="str">
        <f t="shared" si="4"/>
        <v/>
      </c>
      <c r="S167" s="40" t="str">
        <f>IF($K167="","",IF($C$4="",0,COUNTIFS(Assignments!$B$6:$B$1000,$K167,Assignments!$F$6:$F$1000,$C$4,Assignments!$D$6:$D$1000,"&gt;="&amp;Config!$B$3-7,Assignments!$D$6:$D$1000,"&lt;="&amp;Config!$B$3)))</f>
        <v/>
      </c>
      <c r="T167" s="40" t="str">
        <f>IF($K167="","",IFERROR(VLOOKUP($K167,Grinders!$A$4:$N$998,8,FALSE),""))</f>
        <v/>
      </c>
      <c r="U167" s="40" t="str">
        <f>IFERROR(IF($K167="","",IF($M167="Elite",MAX(50,MIN(100,Config!$B$27*MAX(0,MIN(100,(1-IF($R167="",0,$R167))*100)) + Config!$B$28*MAX(0,MIN(100,(1-MIN(1,IF(Config!$B$30=0,1,$S167/Config!$B$30)))*100)) + Config!$B$29*MAX(0,MIN(100,MIN(1,IF($T167="",0,$T167)/Config!$B$23)*100)))),MIN(100,Config!$B$27*MAX(0,MIN(100,(1-IF($R167="",0,$R167))*100)) + Config!$B$28*MAX(0,MIN(100,(1-MIN(1,IF(Config!$B$30=0,1,$S167/Config!$B$30)))*100)) + Config!$B$29*MAX(0,MIN(100,MIN(1,IF($T167="",0,$T167)/Config!$B$23)*100))))),"")
</f>
        <v/>
      </c>
      <c r="V167" s="40" t="str">
        <f>IF(Bids!$AC167="","",Bids!$AC167)</f>
        <v/>
      </c>
      <c r="W167" s="40" t="str">
        <f>IF(Bids!$F166="","",Bids!$F166)</f>
        <v/>
      </c>
      <c r="X167" s="40" t="str">
        <f t="shared" si="5"/>
        <v/>
      </c>
      <c r="Y167" s="40" t="str">
        <f>IF($X167="","",IF(Config!$B$17=Config!$B$16,IF($X167&gt;=Config!$B$17,100,0),MAX(0,MIN(100,($X167-Config!$B$16)/(Config!$B$17-Config!$B$16)*100))))</f>
        <v/>
      </c>
      <c r="Z167" s="40">
        <f>IF($M167="Elite",Config!$B$21,0)</f>
        <v>0</v>
      </c>
      <c r="AA167" s="40" t="str">
        <f>IFERROR(IF(OR($W167="",$H167=""),"",IF($W167&gt;$H167,
  MAX(0, 60-(($W167-$H167)*24/Config!$B$19)*60),
  MIN(100, 60+(($H167-$W167)*24/Config!$B$20)*40)
)),"")
</f>
        <v/>
      </c>
      <c r="AB167" s="40" t="str">
        <f>IF($K167="","",IFERROR(VLOOKUP($K167,Grinders!$A$4:$N$998,10,FALSE)/5*100,""))</f>
        <v/>
      </c>
      <c r="AC167" s="40" t="str">
        <f>IF($K167="","",IFERROR(VLOOKUP($K167,Grinders!$A$4:$N$998,11,FALSE)*100,""))</f>
        <v/>
      </c>
      <c r="AD167" s="40" t="str">
        <f>IF($K167="","",IFERROR(VLOOKUP($K167,Grinders!$A$4:$N$998,12,FALSE)*100,""))</f>
        <v/>
      </c>
      <c r="AE167" s="40" t="str">
        <f>IF(OR(AO167=1,AP167=1),0,=IFERROR(IFS(
    OR($C167="", $K167=""), 0,
    $F167=0, 0,
    $D167&lt;&gt;"Open", 0,
    COUNTIFS(GrinderServices!$A$6:$A$1000, $K167, GrinderServices!$B$6:$B$1000, $E167, GrinderServices!$D$6:$D$1000, "Y")=0, 0,
    $X167&lt;Config!$B$16, 0,
    Config!$B$18=1, IF($O167&gt;=N167, 0, 1),
    TRUE, 1
), "")
)</f>
        <v>#ERROR!</v>
      </c>
      <c r="AF167" s="40" t="str">
        <f>IFERROR((IF(OR(AO167=1,AP167=1),"",=IFERROR((IFERROR(IF($AE167=0,"",((Config!$B$6*$Y167 + Config!$B$7*$U167 + Config!$B$8*$Z167 + Config!$B$9*$AA167 + Config!$B$10*$AB167 + Config!$B$11*$AC167 - Config!$B$12*$AD167)/Config!$B$13)+$AK167+$AL167),""))*(1-IFERROR(VLOOKUP(K167,Grinders!$A:$AB, 28, FALSE),0)),"")))*(1+AR167),"")</f>
        <v>#ERROR!</v>
      </c>
      <c r="AG167" s="40" t="str">
        <f t="shared" si="6"/>
        <v>#ERROR!</v>
      </c>
      <c r="AH167" s="40" t="str">
        <f t="shared" si="7"/>
        <v/>
      </c>
      <c r="AI167" s="40" t="str">
        <f t="shared" si="8"/>
        <v/>
      </c>
      <c r="AJ167" s="40" t="str">
        <f>IF($K167="","",COUNTIF(Assignments!$B$6:$B$1000,$K167))</f>
        <v/>
      </c>
      <c r="AK167" s="40" t="str">
        <f>IF($K167="","",IF(AND($AJ167=0,$O167&lt;$N167),Config!$B$43,0))</f>
        <v/>
      </c>
      <c r="AL167" s="40" t="str">
        <f>IF($K167="","",IF(AND($M167="Elite",$G167&gt;=Config!$B$41,$O167&lt;$N167),Config!$B$42,0))</f>
        <v/>
      </c>
      <c r="AM167" s="22"/>
      <c r="AN167" s="39">
        <f>IFERROR(VLOOKUP(K167,Grinders!$A:$Q,28,FALSE),0)</f>
        <v>0</v>
      </c>
      <c r="AO167" s="39">
        <f>IF(Config!$B$1003&lt;&gt;"Y",0,IF(IFERROR(VLOOKUP(K167,Grinders!$A:$P,27,FALSE),0)&gt;=3,IF(OR(G167&gt;=Config!$B$1001,ISNUMBER(SEARCH(E167,Config!$B$1002))),1,0),0))</f>
        <v>0</v>
      </c>
      <c r="AP167" s="39">
        <f t="array" ref="AP167">IFERROR(IF(INDEX(Bids!$AE:$AE,MATCH(B167,Bids!$A:$A,0))="Pending",1,0),0)</f>
        <v>0</v>
      </c>
      <c r="AQ167" s="39" t="str">
        <f t="array" ref="AQ167">IF(C167="","",IFERROR(XLOOKUP(C167,Assignments!$C:$C,Assignments!$AU:$AU,0),0))</f>
        <v/>
      </c>
      <c r="AR167" s="39">
        <f>IF(AND(Config!$B$1006="Y",AQ167=1),Config!$B$1007,0)</f>
        <v>0</v>
      </c>
    </row>
    <row r="168" ht="15.75" customHeight="1">
      <c r="A168" s="46" t="str">
        <f t="shared" si="1"/>
        <v/>
      </c>
      <c r="B168" s="40" t="str">
        <f>IF(Bids!$A167="","",Bids!$A167)</f>
        <v/>
      </c>
      <c r="C168" s="40" t="str">
        <f>IF(Bids!$B167="","",Bids!$B167)</f>
        <v/>
      </c>
      <c r="D168" s="40" t="str">
        <f>IF($C168="","",IFERROR(VLOOKUP($C168,Orders!$A$4:$J$998,9,FALSE),""))</f>
        <v/>
      </c>
      <c r="E168" s="40" t="str">
        <f>IF($C168="","",IFERROR(VLOOKUP($C168,Orders!$A$4:$J$998,3,FALSE),""))</f>
        <v/>
      </c>
      <c r="F168" s="40">
        <f t="shared" si="2"/>
        <v>1</v>
      </c>
      <c r="G168" s="40" t="str">
        <f>IF($C168="","",IFERROR(VLOOKUP($C168,Orders!$A$4:$J$998,4,FALSE),""))</f>
        <v/>
      </c>
      <c r="H168" s="40" t="str">
        <f>IF($C168="","",IFERROR(VLOOKUP($C168,Orders!$A$4:$J$998,5,FALSE),""))</f>
        <v/>
      </c>
      <c r="I168" s="40" t="str">
        <f>IF($C168="","",IFERROR(VLOOKUP($C168,Orders!$A$4:$J$998,6,FALSE),""))</f>
        <v/>
      </c>
      <c r="J168" s="40" t="str">
        <f>IF($C168="","",IFERROR(VLOOKUP($C168,Orders!$A$4:$J$998,7,FALSE),""))</f>
        <v/>
      </c>
      <c r="K168" s="40" t="str">
        <f>IF(Bids!$C167="","",Bids!$C167)</f>
        <v/>
      </c>
      <c r="L168" s="40" t="str">
        <f>IF($K168="","",IFERROR(VLOOKUP($K168,Grinders!$A$4:$N$998,2,FALSE),""))</f>
        <v/>
      </c>
      <c r="M168" s="40" t="str">
        <f>IF($K168="","",IFERROR(VLOOKUP($K168,Grinders!$A$4:$N$998,3,FALSE),""))</f>
        <v/>
      </c>
      <c r="N168" s="40" t="str">
        <f>IF($K168="","",IFERROR(VLOOKUP($K168,Grinders!$A$4:$N$998,4,FALSE),""))</f>
        <v/>
      </c>
      <c r="O168" s="40" t="str">
        <f>IF($K168="","",IFERROR(VLOOKUP($K168,Grinders!$A$4:$N$998,5,FALSE),""))</f>
        <v/>
      </c>
      <c r="P168" s="40" t="str">
        <f>IF($K168="","",IF($C$4="",0,COUNTIFS(Assignments!$B$6:$B$1000,$K168,Assignments!$F$6:$F$1000,$C$4,Assignments!$E$6:$E$1000,"Active")))</f>
        <v/>
      </c>
      <c r="Q168" s="40" t="str">
        <f t="shared" si="3"/>
        <v/>
      </c>
      <c r="R168" s="40" t="str">
        <f t="shared" si="4"/>
        <v/>
      </c>
      <c r="S168" s="40" t="str">
        <f>IF($K168="","",IF($C$4="",0,COUNTIFS(Assignments!$B$6:$B$1000,$K168,Assignments!$F$6:$F$1000,$C$4,Assignments!$D$6:$D$1000,"&gt;="&amp;Config!$B$3-7,Assignments!$D$6:$D$1000,"&lt;="&amp;Config!$B$3)))</f>
        <v/>
      </c>
      <c r="T168" s="40" t="str">
        <f>IF($K168="","",IFERROR(VLOOKUP($K168,Grinders!$A$4:$N$998,8,FALSE),""))</f>
        <v/>
      </c>
      <c r="U168" s="40" t="str">
        <f>IFERROR(IF($K168="","",IF($M168="Elite",MAX(50,MIN(100,Config!$B$27*MAX(0,MIN(100,(1-IF($R168="",0,$R168))*100)) + Config!$B$28*MAX(0,MIN(100,(1-MIN(1,IF(Config!$B$30=0,1,$S168/Config!$B$30)))*100)) + Config!$B$29*MAX(0,MIN(100,MIN(1,IF($T168="",0,$T168)/Config!$B$23)*100)))),MIN(100,Config!$B$27*MAX(0,MIN(100,(1-IF($R168="",0,$R168))*100)) + Config!$B$28*MAX(0,MIN(100,(1-MIN(1,IF(Config!$B$30=0,1,$S168/Config!$B$30)))*100)) + Config!$B$29*MAX(0,MIN(100,MIN(1,IF($T168="",0,$T168)/Config!$B$23)*100))))),"")
</f>
        <v/>
      </c>
      <c r="V168" s="40" t="str">
        <f>IF(Bids!$AC168="","",Bids!$AC168)</f>
        <v/>
      </c>
      <c r="W168" s="40" t="str">
        <f>IF(Bids!$F167="","",Bids!$F167)</f>
        <v/>
      </c>
      <c r="X168" s="40" t="str">
        <f t="shared" si="5"/>
        <v/>
      </c>
      <c r="Y168" s="40" t="str">
        <f>IF($X168="","",IF(Config!$B$17=Config!$B$16,IF($X168&gt;=Config!$B$17,100,0),MAX(0,MIN(100,($X168-Config!$B$16)/(Config!$B$17-Config!$B$16)*100))))</f>
        <v/>
      </c>
      <c r="Z168" s="40">
        <f>IF($M168="Elite",Config!$B$21,0)</f>
        <v>0</v>
      </c>
      <c r="AA168" s="40" t="str">
        <f>IFERROR(IF(OR($W168="",$H168=""),"",IF($W168&gt;$H168,
  MAX(0, 60-(($W168-$H168)*24/Config!$B$19)*60),
  MIN(100, 60+(($H168-$W168)*24/Config!$B$20)*40)
)),"")
</f>
        <v/>
      </c>
      <c r="AB168" s="40" t="str">
        <f>IF($K168="","",IFERROR(VLOOKUP($K168,Grinders!$A$4:$N$998,10,FALSE)/5*100,""))</f>
        <v/>
      </c>
      <c r="AC168" s="40" t="str">
        <f>IF($K168="","",IFERROR(VLOOKUP($K168,Grinders!$A$4:$N$998,11,FALSE)*100,""))</f>
        <v/>
      </c>
      <c r="AD168" s="40" t="str">
        <f>IF($K168="","",IFERROR(VLOOKUP($K168,Grinders!$A$4:$N$998,12,FALSE)*100,""))</f>
        <v/>
      </c>
      <c r="AE168" s="40" t="str">
        <f>IF(OR(AO168=1,AP168=1),0,=IFERROR(IFS(
    OR($C168="", $K168=""), 0,
    $F168=0, 0,
    $D168&lt;&gt;"Open", 0,
    COUNTIFS(GrinderServices!$A$6:$A$1000, $K168, GrinderServices!$B$6:$B$1000, $E168, GrinderServices!$D$6:$D$1000, "Y")=0, 0,
    $X168&lt;Config!$B$16, 0,
    Config!$B$18=1, IF($O168&gt;=N168, 0, 1),
    TRUE, 1
), "")
)</f>
        <v>#ERROR!</v>
      </c>
      <c r="AF168" s="40" t="str">
        <f>IFERROR((IF(OR(AO168=1,AP168=1),"",=IFERROR((IFERROR(IF($AE168=0,"",((Config!$B$6*$Y168 + Config!$B$7*$U168 + Config!$B$8*$Z168 + Config!$B$9*$AA168 + Config!$B$10*$AB168 + Config!$B$11*$AC168 - Config!$B$12*$AD168)/Config!$B$13)+$AK168+$AL168),""))*(1-IFERROR(VLOOKUP(K168,Grinders!$A:$AB, 28, FALSE),0)),"")))*(1+AR168),"")</f>
        <v>#ERROR!</v>
      </c>
      <c r="AG168" s="40" t="str">
        <f t="shared" si="6"/>
        <v>#ERROR!</v>
      </c>
      <c r="AH168" s="40" t="str">
        <f t="shared" si="7"/>
        <v/>
      </c>
      <c r="AI168" s="40" t="str">
        <f t="shared" si="8"/>
        <v/>
      </c>
      <c r="AJ168" s="40" t="str">
        <f>IF($K168="","",COUNTIF(Assignments!$B$6:$B$1000,$K168))</f>
        <v/>
      </c>
      <c r="AK168" s="40" t="str">
        <f>IF($K168="","",IF(AND($AJ168=0,$O168&lt;$N168),Config!$B$43,0))</f>
        <v/>
      </c>
      <c r="AL168" s="40" t="str">
        <f>IF($K168="","",IF(AND($M168="Elite",$G168&gt;=Config!$B$41,$O168&lt;$N168),Config!$B$42,0))</f>
        <v/>
      </c>
      <c r="AM168" s="22"/>
      <c r="AN168" s="39">
        <f>IFERROR(VLOOKUP(K168,Grinders!$A:$Q,28,FALSE),0)</f>
        <v>0</v>
      </c>
      <c r="AO168" s="39">
        <f>IF(Config!$B$1003&lt;&gt;"Y",0,IF(IFERROR(VLOOKUP(K168,Grinders!$A:$P,27,FALSE),0)&gt;=3,IF(OR(G168&gt;=Config!$B$1001,ISNUMBER(SEARCH(E168,Config!$B$1002))),1,0),0))</f>
        <v>0</v>
      </c>
      <c r="AP168" s="39">
        <f t="array" ref="AP168">IFERROR(IF(INDEX(Bids!$AE:$AE,MATCH(B168,Bids!$A:$A,0))="Pending",1,0),0)</f>
        <v>0</v>
      </c>
      <c r="AQ168" s="39" t="str">
        <f t="array" ref="AQ168">IF(C168="","",IFERROR(XLOOKUP(C168,Assignments!$C:$C,Assignments!$AU:$AU,0),0))</f>
        <v/>
      </c>
      <c r="AR168" s="39">
        <f>IF(AND(Config!$B$1006="Y",AQ168=1),Config!$B$1007,0)</f>
        <v>0</v>
      </c>
    </row>
    <row r="169" ht="15.75" customHeight="1">
      <c r="A169" s="46" t="str">
        <f t="shared" si="1"/>
        <v/>
      </c>
      <c r="B169" s="40" t="str">
        <f>IF(Bids!$A168="","",Bids!$A168)</f>
        <v/>
      </c>
      <c r="C169" s="40" t="str">
        <f>IF(Bids!$B168="","",Bids!$B168)</f>
        <v/>
      </c>
      <c r="D169" s="40" t="str">
        <f>IF($C169="","",IFERROR(VLOOKUP($C169,Orders!$A$4:$J$998,9,FALSE),""))</f>
        <v/>
      </c>
      <c r="E169" s="40" t="str">
        <f>IF($C169="","",IFERROR(VLOOKUP($C169,Orders!$A$4:$J$998,3,FALSE),""))</f>
        <v/>
      </c>
      <c r="F169" s="40">
        <f t="shared" si="2"/>
        <v>1</v>
      </c>
      <c r="G169" s="40" t="str">
        <f>IF($C169="","",IFERROR(VLOOKUP($C169,Orders!$A$4:$J$998,4,FALSE),""))</f>
        <v/>
      </c>
      <c r="H169" s="40" t="str">
        <f>IF($C169="","",IFERROR(VLOOKUP($C169,Orders!$A$4:$J$998,5,FALSE),""))</f>
        <v/>
      </c>
      <c r="I169" s="40" t="str">
        <f>IF($C169="","",IFERROR(VLOOKUP($C169,Orders!$A$4:$J$998,6,FALSE),""))</f>
        <v/>
      </c>
      <c r="J169" s="40" t="str">
        <f>IF($C169="","",IFERROR(VLOOKUP($C169,Orders!$A$4:$J$998,7,FALSE),""))</f>
        <v/>
      </c>
      <c r="K169" s="40" t="str">
        <f>IF(Bids!$C168="","",Bids!$C168)</f>
        <v/>
      </c>
      <c r="L169" s="40" t="str">
        <f>IF($K169="","",IFERROR(VLOOKUP($K169,Grinders!$A$4:$N$998,2,FALSE),""))</f>
        <v/>
      </c>
      <c r="M169" s="40" t="str">
        <f>IF($K169="","",IFERROR(VLOOKUP($K169,Grinders!$A$4:$N$998,3,FALSE),""))</f>
        <v/>
      </c>
      <c r="N169" s="40" t="str">
        <f>IF($K169="","",IFERROR(VLOOKUP($K169,Grinders!$A$4:$N$998,4,FALSE),""))</f>
        <v/>
      </c>
      <c r="O169" s="40" t="str">
        <f>IF($K169="","",IFERROR(VLOOKUP($K169,Grinders!$A$4:$N$998,5,FALSE),""))</f>
        <v/>
      </c>
      <c r="P169" s="40" t="str">
        <f>IF($K169="","",IF($C$4="",0,COUNTIFS(Assignments!$B$6:$B$1000,$K169,Assignments!$F$6:$F$1000,$C$4,Assignments!$E$6:$E$1000,"Active")))</f>
        <v/>
      </c>
      <c r="Q169" s="40" t="str">
        <f t="shared" si="3"/>
        <v/>
      </c>
      <c r="R169" s="40" t="str">
        <f t="shared" si="4"/>
        <v/>
      </c>
      <c r="S169" s="40" t="str">
        <f>IF($K169="","",IF($C$4="",0,COUNTIFS(Assignments!$B$6:$B$1000,$K169,Assignments!$F$6:$F$1000,$C$4,Assignments!$D$6:$D$1000,"&gt;="&amp;Config!$B$3-7,Assignments!$D$6:$D$1000,"&lt;="&amp;Config!$B$3)))</f>
        <v/>
      </c>
      <c r="T169" s="40" t="str">
        <f>IF($K169="","",IFERROR(VLOOKUP($K169,Grinders!$A$4:$N$998,8,FALSE),""))</f>
        <v/>
      </c>
      <c r="U169" s="40" t="str">
        <f>IFERROR(IF($K169="","",IF($M169="Elite",MAX(50,MIN(100,Config!$B$27*MAX(0,MIN(100,(1-IF($R169="",0,$R169))*100)) + Config!$B$28*MAX(0,MIN(100,(1-MIN(1,IF(Config!$B$30=0,1,$S169/Config!$B$30)))*100)) + Config!$B$29*MAX(0,MIN(100,MIN(1,IF($T169="",0,$T169)/Config!$B$23)*100)))),MIN(100,Config!$B$27*MAX(0,MIN(100,(1-IF($R169="",0,$R169))*100)) + Config!$B$28*MAX(0,MIN(100,(1-MIN(1,IF(Config!$B$30=0,1,$S169/Config!$B$30)))*100)) + Config!$B$29*MAX(0,MIN(100,MIN(1,IF($T169="",0,$T169)/Config!$B$23)*100))))),"")
</f>
        <v/>
      </c>
      <c r="V169" s="40" t="str">
        <f>IF(Bids!$AC169="","",Bids!$AC169)</f>
        <v/>
      </c>
      <c r="W169" s="40" t="str">
        <f>IF(Bids!$F168="","",Bids!$F168)</f>
        <v/>
      </c>
      <c r="X169" s="40" t="str">
        <f t="shared" si="5"/>
        <v/>
      </c>
      <c r="Y169" s="40" t="str">
        <f>IF($X169="","",IF(Config!$B$17=Config!$B$16,IF($X169&gt;=Config!$B$17,100,0),MAX(0,MIN(100,($X169-Config!$B$16)/(Config!$B$17-Config!$B$16)*100))))</f>
        <v/>
      </c>
      <c r="Z169" s="40">
        <f>IF($M169="Elite",Config!$B$21,0)</f>
        <v>0</v>
      </c>
      <c r="AA169" s="40" t="str">
        <f>IFERROR(IF(OR($W169="",$H169=""),"",IF($W169&gt;$H169,
  MAX(0, 60-(($W169-$H169)*24/Config!$B$19)*60),
  MIN(100, 60+(($H169-$W169)*24/Config!$B$20)*40)
)),"")
</f>
        <v/>
      </c>
      <c r="AB169" s="40" t="str">
        <f>IF($K169="","",IFERROR(VLOOKUP($K169,Grinders!$A$4:$N$998,10,FALSE)/5*100,""))</f>
        <v/>
      </c>
      <c r="AC169" s="40" t="str">
        <f>IF($K169="","",IFERROR(VLOOKUP($K169,Grinders!$A$4:$N$998,11,FALSE)*100,""))</f>
        <v/>
      </c>
      <c r="AD169" s="40" t="str">
        <f>IF($K169="","",IFERROR(VLOOKUP($K169,Grinders!$A$4:$N$998,12,FALSE)*100,""))</f>
        <v/>
      </c>
      <c r="AE169" s="40" t="str">
        <f>IF(OR(AO169=1,AP169=1),0,=IFERROR(IFS(
    OR($C169="", $K169=""), 0,
    $F169=0, 0,
    $D169&lt;&gt;"Open", 0,
    COUNTIFS(GrinderServices!$A$6:$A$1000, $K169, GrinderServices!$B$6:$B$1000, $E169, GrinderServices!$D$6:$D$1000, "Y")=0, 0,
    $X169&lt;Config!$B$16, 0,
    Config!$B$18=1, IF($O169&gt;=N169, 0, 1),
    TRUE, 1
), "")
)</f>
        <v>#ERROR!</v>
      </c>
      <c r="AF169" s="40" t="str">
        <f>IFERROR((IF(OR(AO169=1,AP169=1),"",=IFERROR((IFERROR(IF($AE169=0,"",((Config!$B$6*$Y169 + Config!$B$7*$U169 + Config!$B$8*$Z169 + Config!$B$9*$AA169 + Config!$B$10*$AB169 + Config!$B$11*$AC169 - Config!$B$12*$AD169)/Config!$B$13)+$AK169+$AL169),""))*(1-IFERROR(VLOOKUP(K169,Grinders!$A:$AB, 28, FALSE),0)),"")))*(1+AR169),"")</f>
        <v>#ERROR!</v>
      </c>
      <c r="AG169" s="40" t="str">
        <f t="shared" si="6"/>
        <v>#ERROR!</v>
      </c>
      <c r="AH169" s="40" t="str">
        <f t="shared" si="7"/>
        <v/>
      </c>
      <c r="AI169" s="40" t="str">
        <f t="shared" si="8"/>
        <v/>
      </c>
      <c r="AJ169" s="40" t="str">
        <f>IF($K169="","",COUNTIF(Assignments!$B$6:$B$1000,$K169))</f>
        <v/>
      </c>
      <c r="AK169" s="40" t="str">
        <f>IF($K169="","",IF(AND($AJ169=0,$O169&lt;$N169),Config!$B$43,0))</f>
        <v/>
      </c>
      <c r="AL169" s="40" t="str">
        <f>IF($K169="","",IF(AND($M169="Elite",$G169&gt;=Config!$B$41,$O169&lt;$N169),Config!$B$42,0))</f>
        <v/>
      </c>
      <c r="AM169" s="22"/>
      <c r="AN169" s="39">
        <f>IFERROR(VLOOKUP(K169,Grinders!$A:$Q,28,FALSE),0)</f>
        <v>0</v>
      </c>
      <c r="AO169" s="39">
        <f>IF(Config!$B$1003&lt;&gt;"Y",0,IF(IFERROR(VLOOKUP(K169,Grinders!$A:$P,27,FALSE),0)&gt;=3,IF(OR(G169&gt;=Config!$B$1001,ISNUMBER(SEARCH(E169,Config!$B$1002))),1,0),0))</f>
        <v>0</v>
      </c>
      <c r="AP169" s="39">
        <f t="array" ref="AP169">IFERROR(IF(INDEX(Bids!$AE:$AE,MATCH(B169,Bids!$A:$A,0))="Pending",1,0),0)</f>
        <v>0</v>
      </c>
      <c r="AQ169" s="39" t="str">
        <f t="array" ref="AQ169">IF(C169="","",IFERROR(XLOOKUP(C169,Assignments!$C:$C,Assignments!$AU:$AU,0),0))</f>
        <v/>
      </c>
      <c r="AR169" s="39">
        <f>IF(AND(Config!$B$1006="Y",AQ169=1),Config!$B$1007,0)</f>
        <v>0</v>
      </c>
    </row>
    <row r="170" ht="15.75" customHeight="1">
      <c r="A170" s="46" t="str">
        <f t="shared" si="1"/>
        <v/>
      </c>
      <c r="B170" s="40" t="str">
        <f>IF(Bids!$A169="","",Bids!$A169)</f>
        <v/>
      </c>
      <c r="C170" s="40" t="str">
        <f>IF(Bids!$B169="","",Bids!$B169)</f>
        <v/>
      </c>
      <c r="D170" s="40" t="str">
        <f>IF($C170="","",IFERROR(VLOOKUP($C170,Orders!$A$4:$J$998,9,FALSE),""))</f>
        <v/>
      </c>
      <c r="E170" s="40" t="str">
        <f>IF($C170="","",IFERROR(VLOOKUP($C170,Orders!$A$4:$J$998,3,FALSE),""))</f>
        <v/>
      </c>
      <c r="F170" s="40">
        <f t="shared" si="2"/>
        <v>1</v>
      </c>
      <c r="G170" s="40" t="str">
        <f>IF($C170="","",IFERROR(VLOOKUP($C170,Orders!$A$4:$J$998,4,FALSE),""))</f>
        <v/>
      </c>
      <c r="H170" s="40" t="str">
        <f>IF($C170="","",IFERROR(VLOOKUP($C170,Orders!$A$4:$J$998,5,FALSE),""))</f>
        <v/>
      </c>
      <c r="I170" s="40" t="str">
        <f>IF($C170="","",IFERROR(VLOOKUP($C170,Orders!$A$4:$J$998,6,FALSE),""))</f>
        <v/>
      </c>
      <c r="J170" s="40" t="str">
        <f>IF($C170="","",IFERROR(VLOOKUP($C170,Orders!$A$4:$J$998,7,FALSE),""))</f>
        <v/>
      </c>
      <c r="K170" s="40" t="str">
        <f>IF(Bids!$C169="","",Bids!$C169)</f>
        <v/>
      </c>
      <c r="L170" s="40" t="str">
        <f>IF($K170="","",IFERROR(VLOOKUP($K170,Grinders!$A$4:$N$998,2,FALSE),""))</f>
        <v/>
      </c>
      <c r="M170" s="40" t="str">
        <f>IF($K170="","",IFERROR(VLOOKUP($K170,Grinders!$A$4:$N$998,3,FALSE),""))</f>
        <v/>
      </c>
      <c r="N170" s="40" t="str">
        <f>IF($K170="","",IFERROR(VLOOKUP($K170,Grinders!$A$4:$N$998,4,FALSE),""))</f>
        <v/>
      </c>
      <c r="O170" s="40" t="str">
        <f>IF($K170="","",IFERROR(VLOOKUP($K170,Grinders!$A$4:$N$998,5,FALSE),""))</f>
        <v/>
      </c>
      <c r="P170" s="40" t="str">
        <f>IF($K170="","",IF($C$4="",0,COUNTIFS(Assignments!$B$6:$B$1000,$K170,Assignments!$F$6:$F$1000,$C$4,Assignments!$E$6:$E$1000,"Active")))</f>
        <v/>
      </c>
      <c r="Q170" s="40" t="str">
        <f t="shared" si="3"/>
        <v/>
      </c>
      <c r="R170" s="40" t="str">
        <f t="shared" si="4"/>
        <v/>
      </c>
      <c r="S170" s="40" t="str">
        <f>IF($K170="","",IF($C$4="",0,COUNTIFS(Assignments!$B$6:$B$1000,$K170,Assignments!$F$6:$F$1000,$C$4,Assignments!$D$6:$D$1000,"&gt;="&amp;Config!$B$3-7,Assignments!$D$6:$D$1000,"&lt;="&amp;Config!$B$3)))</f>
        <v/>
      </c>
      <c r="T170" s="40" t="str">
        <f>IF($K170="","",IFERROR(VLOOKUP($K170,Grinders!$A$4:$N$998,8,FALSE),""))</f>
        <v/>
      </c>
      <c r="U170" s="40" t="str">
        <f>IFERROR(IF($K170="","",IF($M170="Elite",MAX(50,MIN(100,Config!$B$27*MAX(0,MIN(100,(1-IF($R170="",0,$R170))*100)) + Config!$B$28*MAX(0,MIN(100,(1-MIN(1,IF(Config!$B$30=0,1,$S170/Config!$B$30)))*100)) + Config!$B$29*MAX(0,MIN(100,MIN(1,IF($T170="",0,$T170)/Config!$B$23)*100)))),MIN(100,Config!$B$27*MAX(0,MIN(100,(1-IF($R170="",0,$R170))*100)) + Config!$B$28*MAX(0,MIN(100,(1-MIN(1,IF(Config!$B$30=0,1,$S170/Config!$B$30)))*100)) + Config!$B$29*MAX(0,MIN(100,MIN(1,IF($T170="",0,$T170)/Config!$B$23)*100))))),"")
</f>
        <v/>
      </c>
      <c r="V170" s="40" t="str">
        <f>IF(Bids!$AC170="","",Bids!$AC170)</f>
        <v/>
      </c>
      <c r="W170" s="40" t="str">
        <f>IF(Bids!$F169="","",Bids!$F169)</f>
        <v/>
      </c>
      <c r="X170" s="40" t="str">
        <f t="shared" si="5"/>
        <v/>
      </c>
      <c r="Y170" s="40" t="str">
        <f>IF($X170="","",IF(Config!$B$17=Config!$B$16,IF($X170&gt;=Config!$B$17,100,0),MAX(0,MIN(100,($X170-Config!$B$16)/(Config!$B$17-Config!$B$16)*100))))</f>
        <v/>
      </c>
      <c r="Z170" s="40">
        <f>IF($M170="Elite",Config!$B$21,0)</f>
        <v>0</v>
      </c>
      <c r="AA170" s="40" t="str">
        <f>IFERROR(IF(OR($W170="",$H170=""),"",IF($W170&gt;$H170,
  MAX(0, 60-(($W170-$H170)*24/Config!$B$19)*60),
  MIN(100, 60+(($H170-$W170)*24/Config!$B$20)*40)
)),"")
</f>
        <v/>
      </c>
      <c r="AB170" s="40" t="str">
        <f>IF($K170="","",IFERROR(VLOOKUP($K170,Grinders!$A$4:$N$998,10,FALSE)/5*100,""))</f>
        <v/>
      </c>
      <c r="AC170" s="40" t="str">
        <f>IF($K170="","",IFERROR(VLOOKUP($K170,Grinders!$A$4:$N$998,11,FALSE)*100,""))</f>
        <v/>
      </c>
      <c r="AD170" s="40" t="str">
        <f>IF($K170="","",IFERROR(VLOOKUP($K170,Grinders!$A$4:$N$998,12,FALSE)*100,""))</f>
        <v/>
      </c>
      <c r="AE170" s="40" t="str">
        <f>IF(OR(AO170=1,AP170=1),0,=IFERROR(IFS(
    OR($C170="", $K170=""), 0,
    $F170=0, 0,
    $D170&lt;&gt;"Open", 0,
    COUNTIFS(GrinderServices!$A$6:$A$1000, $K170, GrinderServices!$B$6:$B$1000, $E170, GrinderServices!$D$6:$D$1000, "Y")=0, 0,
    $X170&lt;Config!$B$16, 0,
    Config!$B$18=1, IF($O170&gt;=N170, 0, 1),
    TRUE, 1
), "")
)</f>
        <v>#ERROR!</v>
      </c>
      <c r="AF170" s="40" t="str">
        <f>IFERROR((IF(OR(AO170=1,AP170=1),"",=IFERROR((IFERROR(IF($AE170=0,"",((Config!$B$6*$Y170 + Config!$B$7*$U170 + Config!$B$8*$Z170 + Config!$B$9*$AA170 + Config!$B$10*$AB170 + Config!$B$11*$AC170 - Config!$B$12*$AD170)/Config!$B$13)+$AK170+$AL170),""))*(1-IFERROR(VLOOKUP(K170,Grinders!$A:$AB, 28, FALSE),0)),"")))*(1+AR170),"")</f>
        <v>#ERROR!</v>
      </c>
      <c r="AG170" s="40" t="str">
        <f t="shared" si="6"/>
        <v>#ERROR!</v>
      </c>
      <c r="AH170" s="40" t="str">
        <f t="shared" si="7"/>
        <v/>
      </c>
      <c r="AI170" s="40" t="str">
        <f t="shared" si="8"/>
        <v/>
      </c>
      <c r="AJ170" s="40" t="str">
        <f>IF($K170="","",COUNTIF(Assignments!$B$6:$B$1000,$K170))</f>
        <v/>
      </c>
      <c r="AK170" s="40" t="str">
        <f>IF($K170="","",IF(AND($AJ170=0,$O170&lt;$N170),Config!$B$43,0))</f>
        <v/>
      </c>
      <c r="AL170" s="40" t="str">
        <f>IF($K170="","",IF(AND($M170="Elite",$G170&gt;=Config!$B$41,$O170&lt;$N170),Config!$B$42,0))</f>
        <v/>
      </c>
      <c r="AM170" s="22"/>
      <c r="AN170" s="39">
        <f>IFERROR(VLOOKUP(K170,Grinders!$A:$Q,28,FALSE),0)</f>
        <v>0</v>
      </c>
      <c r="AO170" s="39">
        <f>IF(Config!$B$1003&lt;&gt;"Y",0,IF(IFERROR(VLOOKUP(K170,Grinders!$A:$P,27,FALSE),0)&gt;=3,IF(OR(G170&gt;=Config!$B$1001,ISNUMBER(SEARCH(E170,Config!$B$1002))),1,0),0))</f>
        <v>0</v>
      </c>
      <c r="AP170" s="39">
        <f t="array" ref="AP170">IFERROR(IF(INDEX(Bids!$AE:$AE,MATCH(B170,Bids!$A:$A,0))="Pending",1,0),0)</f>
        <v>0</v>
      </c>
      <c r="AQ170" s="39" t="str">
        <f t="array" ref="AQ170">IF(C170="","",IFERROR(XLOOKUP(C170,Assignments!$C:$C,Assignments!$AU:$AU,0),0))</f>
        <v/>
      </c>
      <c r="AR170" s="39">
        <f>IF(AND(Config!$B$1006="Y",AQ170=1),Config!$B$1007,0)</f>
        <v>0</v>
      </c>
    </row>
    <row r="171" ht="15.75" customHeight="1">
      <c r="A171" s="46" t="str">
        <f t="shared" si="1"/>
        <v/>
      </c>
      <c r="B171" s="40" t="str">
        <f>IF(Bids!$A170="","",Bids!$A170)</f>
        <v/>
      </c>
      <c r="C171" s="40" t="str">
        <f>IF(Bids!$B170="","",Bids!$B170)</f>
        <v/>
      </c>
      <c r="D171" s="40" t="str">
        <f>IF($C171="","",IFERROR(VLOOKUP($C171,Orders!$A$4:$J$998,9,FALSE),""))</f>
        <v/>
      </c>
      <c r="E171" s="40" t="str">
        <f>IF($C171="","",IFERROR(VLOOKUP($C171,Orders!$A$4:$J$998,3,FALSE),""))</f>
        <v/>
      </c>
      <c r="F171" s="40">
        <f t="shared" si="2"/>
        <v>1</v>
      </c>
      <c r="G171" s="40" t="str">
        <f>IF($C171="","",IFERROR(VLOOKUP($C171,Orders!$A$4:$J$998,4,FALSE),""))</f>
        <v/>
      </c>
      <c r="H171" s="40" t="str">
        <f>IF($C171="","",IFERROR(VLOOKUP($C171,Orders!$A$4:$J$998,5,FALSE),""))</f>
        <v/>
      </c>
      <c r="I171" s="40" t="str">
        <f>IF($C171="","",IFERROR(VLOOKUP($C171,Orders!$A$4:$J$998,6,FALSE),""))</f>
        <v/>
      </c>
      <c r="J171" s="40" t="str">
        <f>IF($C171="","",IFERROR(VLOOKUP($C171,Orders!$A$4:$J$998,7,FALSE),""))</f>
        <v/>
      </c>
      <c r="K171" s="40" t="str">
        <f>IF(Bids!$C170="","",Bids!$C170)</f>
        <v/>
      </c>
      <c r="L171" s="40" t="str">
        <f>IF($K171="","",IFERROR(VLOOKUP($K171,Grinders!$A$4:$N$998,2,FALSE),""))</f>
        <v/>
      </c>
      <c r="M171" s="40" t="str">
        <f>IF($K171="","",IFERROR(VLOOKUP($K171,Grinders!$A$4:$N$998,3,FALSE),""))</f>
        <v/>
      </c>
      <c r="N171" s="40" t="str">
        <f>IF($K171="","",IFERROR(VLOOKUP($K171,Grinders!$A$4:$N$998,4,FALSE),""))</f>
        <v/>
      </c>
      <c r="O171" s="40" t="str">
        <f>IF($K171="","",IFERROR(VLOOKUP($K171,Grinders!$A$4:$N$998,5,FALSE),""))</f>
        <v/>
      </c>
      <c r="P171" s="40" t="str">
        <f>IF($K171="","",IF($C$4="",0,COUNTIFS(Assignments!$B$6:$B$1000,$K171,Assignments!$F$6:$F$1000,$C$4,Assignments!$E$6:$E$1000,"Active")))</f>
        <v/>
      </c>
      <c r="Q171" s="40" t="str">
        <f t="shared" si="3"/>
        <v/>
      </c>
      <c r="R171" s="40" t="str">
        <f t="shared" si="4"/>
        <v/>
      </c>
      <c r="S171" s="40" t="str">
        <f>IF($K171="","",IF($C$4="",0,COUNTIFS(Assignments!$B$6:$B$1000,$K171,Assignments!$F$6:$F$1000,$C$4,Assignments!$D$6:$D$1000,"&gt;="&amp;Config!$B$3-7,Assignments!$D$6:$D$1000,"&lt;="&amp;Config!$B$3)))</f>
        <v/>
      </c>
      <c r="T171" s="40" t="str">
        <f>IF($K171="","",IFERROR(VLOOKUP($K171,Grinders!$A$4:$N$998,8,FALSE),""))</f>
        <v/>
      </c>
      <c r="U171" s="40" t="str">
        <f>IFERROR(IF($K171="","",IF($M171="Elite",MAX(50,MIN(100,Config!$B$27*MAX(0,MIN(100,(1-IF($R171="",0,$R171))*100)) + Config!$B$28*MAX(0,MIN(100,(1-MIN(1,IF(Config!$B$30=0,1,$S171/Config!$B$30)))*100)) + Config!$B$29*MAX(0,MIN(100,MIN(1,IF($T171="",0,$T171)/Config!$B$23)*100)))),MIN(100,Config!$B$27*MAX(0,MIN(100,(1-IF($R171="",0,$R171))*100)) + Config!$B$28*MAX(0,MIN(100,(1-MIN(1,IF(Config!$B$30=0,1,$S171/Config!$B$30)))*100)) + Config!$B$29*MAX(0,MIN(100,MIN(1,IF($T171="",0,$T171)/Config!$B$23)*100))))),"")
</f>
        <v/>
      </c>
      <c r="V171" s="40" t="str">
        <f>IF(Bids!$AC171="","",Bids!$AC171)</f>
        <v/>
      </c>
      <c r="W171" s="40" t="str">
        <f>IF(Bids!$F170="","",Bids!$F170)</f>
        <v/>
      </c>
      <c r="X171" s="40" t="str">
        <f t="shared" si="5"/>
        <v/>
      </c>
      <c r="Y171" s="40" t="str">
        <f>IF($X171="","",IF(Config!$B$17=Config!$B$16,IF($X171&gt;=Config!$B$17,100,0),MAX(0,MIN(100,($X171-Config!$B$16)/(Config!$B$17-Config!$B$16)*100))))</f>
        <v/>
      </c>
      <c r="Z171" s="40">
        <f>IF($M171="Elite",Config!$B$21,0)</f>
        <v>0</v>
      </c>
      <c r="AA171" s="40" t="str">
        <f>IFERROR(IF(OR($W171="",$H171=""),"",IF($W171&gt;$H171,
  MAX(0, 60-(($W171-$H171)*24/Config!$B$19)*60),
  MIN(100, 60+(($H171-$W171)*24/Config!$B$20)*40)
)),"")
</f>
        <v/>
      </c>
      <c r="AB171" s="40" t="str">
        <f>IF($K171="","",IFERROR(VLOOKUP($K171,Grinders!$A$4:$N$998,10,FALSE)/5*100,""))</f>
        <v/>
      </c>
      <c r="AC171" s="40" t="str">
        <f>IF($K171="","",IFERROR(VLOOKUP($K171,Grinders!$A$4:$N$998,11,FALSE)*100,""))</f>
        <v/>
      </c>
      <c r="AD171" s="40" t="str">
        <f>IF($K171="","",IFERROR(VLOOKUP($K171,Grinders!$A$4:$N$998,12,FALSE)*100,""))</f>
        <v/>
      </c>
      <c r="AE171" s="40" t="str">
        <f>IF(OR(AO171=1,AP171=1),0,=IFERROR(IFS(
    OR($C171="", $K171=""), 0,
    $F171=0, 0,
    $D171&lt;&gt;"Open", 0,
    COUNTIFS(GrinderServices!$A$6:$A$1000, $K171, GrinderServices!$B$6:$B$1000, $E171, GrinderServices!$D$6:$D$1000, "Y")=0, 0,
    $X171&lt;Config!$B$16, 0,
    Config!$B$18=1, IF($O171&gt;=N171, 0, 1),
    TRUE, 1
), "")
)</f>
        <v>#ERROR!</v>
      </c>
      <c r="AF171" s="40" t="str">
        <f>IFERROR((IF(OR(AO171=1,AP171=1),"",=IFERROR((IFERROR(IF($AE171=0,"",((Config!$B$6*$Y171 + Config!$B$7*$U171 + Config!$B$8*$Z171 + Config!$B$9*$AA171 + Config!$B$10*$AB171 + Config!$B$11*$AC171 - Config!$B$12*$AD171)/Config!$B$13)+$AK171+$AL171),""))*(1-IFERROR(VLOOKUP(K171,Grinders!$A:$AB, 28, FALSE),0)),"")))*(1+AR171),"")</f>
        <v>#ERROR!</v>
      </c>
      <c r="AG171" s="40" t="str">
        <f t="shared" si="6"/>
        <v>#ERROR!</v>
      </c>
      <c r="AH171" s="40" t="str">
        <f t="shared" si="7"/>
        <v/>
      </c>
      <c r="AI171" s="40" t="str">
        <f t="shared" si="8"/>
        <v/>
      </c>
      <c r="AJ171" s="40" t="str">
        <f>IF($K171="","",COUNTIF(Assignments!$B$6:$B$1000,$K171))</f>
        <v/>
      </c>
      <c r="AK171" s="40" t="str">
        <f>IF($K171="","",IF(AND($AJ171=0,$O171&lt;$N171),Config!$B$43,0))</f>
        <v/>
      </c>
      <c r="AL171" s="40" t="str">
        <f>IF($K171="","",IF(AND($M171="Elite",$G171&gt;=Config!$B$41,$O171&lt;$N171),Config!$B$42,0))</f>
        <v/>
      </c>
      <c r="AM171" s="22"/>
      <c r="AN171" s="39">
        <f>IFERROR(VLOOKUP(K171,Grinders!$A:$Q,28,FALSE),0)</f>
        <v>0</v>
      </c>
      <c r="AO171" s="39">
        <f>IF(Config!$B$1003&lt;&gt;"Y",0,IF(IFERROR(VLOOKUP(K171,Grinders!$A:$P,27,FALSE),0)&gt;=3,IF(OR(G171&gt;=Config!$B$1001,ISNUMBER(SEARCH(E171,Config!$B$1002))),1,0),0))</f>
        <v>0</v>
      </c>
      <c r="AP171" s="39">
        <f t="array" ref="AP171">IFERROR(IF(INDEX(Bids!$AE:$AE,MATCH(B171,Bids!$A:$A,0))="Pending",1,0),0)</f>
        <v>0</v>
      </c>
      <c r="AQ171" s="39" t="str">
        <f t="array" ref="AQ171">IF(C171="","",IFERROR(XLOOKUP(C171,Assignments!$C:$C,Assignments!$AU:$AU,0),0))</f>
        <v/>
      </c>
      <c r="AR171" s="39">
        <f>IF(AND(Config!$B$1006="Y",AQ171=1),Config!$B$1007,0)</f>
        <v>0</v>
      </c>
    </row>
    <row r="172" ht="15.75" customHeight="1">
      <c r="A172" s="46" t="str">
        <f t="shared" si="1"/>
        <v/>
      </c>
      <c r="B172" s="40" t="str">
        <f>IF(Bids!$A171="","",Bids!$A171)</f>
        <v/>
      </c>
      <c r="C172" s="40" t="str">
        <f>IF(Bids!$B171="","",Bids!$B171)</f>
        <v/>
      </c>
      <c r="D172" s="40" t="str">
        <f>IF($C172="","",IFERROR(VLOOKUP($C172,Orders!$A$4:$J$998,9,FALSE),""))</f>
        <v/>
      </c>
      <c r="E172" s="40" t="str">
        <f>IF($C172="","",IFERROR(VLOOKUP($C172,Orders!$A$4:$J$998,3,FALSE),""))</f>
        <v/>
      </c>
      <c r="F172" s="40">
        <f t="shared" si="2"/>
        <v>1</v>
      </c>
      <c r="G172" s="40" t="str">
        <f>IF($C172="","",IFERROR(VLOOKUP($C172,Orders!$A$4:$J$998,4,FALSE),""))</f>
        <v/>
      </c>
      <c r="H172" s="40" t="str">
        <f>IF($C172="","",IFERROR(VLOOKUP($C172,Orders!$A$4:$J$998,5,FALSE),""))</f>
        <v/>
      </c>
      <c r="I172" s="40" t="str">
        <f>IF($C172="","",IFERROR(VLOOKUP($C172,Orders!$A$4:$J$998,6,FALSE),""))</f>
        <v/>
      </c>
      <c r="J172" s="40" t="str">
        <f>IF($C172="","",IFERROR(VLOOKUP($C172,Orders!$A$4:$J$998,7,FALSE),""))</f>
        <v/>
      </c>
      <c r="K172" s="40" t="str">
        <f>IF(Bids!$C171="","",Bids!$C171)</f>
        <v/>
      </c>
      <c r="L172" s="40" t="str">
        <f>IF($K172="","",IFERROR(VLOOKUP($K172,Grinders!$A$4:$N$998,2,FALSE),""))</f>
        <v/>
      </c>
      <c r="M172" s="40" t="str">
        <f>IF($K172="","",IFERROR(VLOOKUP($K172,Grinders!$A$4:$N$998,3,FALSE),""))</f>
        <v/>
      </c>
      <c r="N172" s="40" t="str">
        <f>IF($K172="","",IFERROR(VLOOKUP($K172,Grinders!$A$4:$N$998,4,FALSE),""))</f>
        <v/>
      </c>
      <c r="O172" s="40" t="str">
        <f>IF($K172="","",IFERROR(VLOOKUP($K172,Grinders!$A$4:$N$998,5,FALSE),""))</f>
        <v/>
      </c>
      <c r="P172" s="40" t="str">
        <f>IF($K172="","",IF($C$4="",0,COUNTIFS(Assignments!$B$6:$B$1000,$K172,Assignments!$F$6:$F$1000,$C$4,Assignments!$E$6:$E$1000,"Active")))</f>
        <v/>
      </c>
      <c r="Q172" s="40" t="str">
        <f t="shared" si="3"/>
        <v/>
      </c>
      <c r="R172" s="40" t="str">
        <f t="shared" si="4"/>
        <v/>
      </c>
      <c r="S172" s="40" t="str">
        <f>IF($K172="","",IF($C$4="",0,COUNTIFS(Assignments!$B$6:$B$1000,$K172,Assignments!$F$6:$F$1000,$C$4,Assignments!$D$6:$D$1000,"&gt;="&amp;Config!$B$3-7,Assignments!$D$6:$D$1000,"&lt;="&amp;Config!$B$3)))</f>
        <v/>
      </c>
      <c r="T172" s="40" t="str">
        <f>IF($K172="","",IFERROR(VLOOKUP($K172,Grinders!$A$4:$N$998,8,FALSE),""))</f>
        <v/>
      </c>
      <c r="U172" s="40" t="str">
        <f>IFERROR(IF($K172="","",IF($M172="Elite",MAX(50,MIN(100,Config!$B$27*MAX(0,MIN(100,(1-IF($R172="",0,$R172))*100)) + Config!$B$28*MAX(0,MIN(100,(1-MIN(1,IF(Config!$B$30=0,1,$S172/Config!$B$30)))*100)) + Config!$B$29*MAX(0,MIN(100,MIN(1,IF($T172="",0,$T172)/Config!$B$23)*100)))),MIN(100,Config!$B$27*MAX(0,MIN(100,(1-IF($R172="",0,$R172))*100)) + Config!$B$28*MAX(0,MIN(100,(1-MIN(1,IF(Config!$B$30=0,1,$S172/Config!$B$30)))*100)) + Config!$B$29*MAX(0,MIN(100,MIN(1,IF($T172="",0,$T172)/Config!$B$23)*100))))),"")
</f>
        <v/>
      </c>
      <c r="V172" s="40" t="str">
        <f>IF(Bids!$AC172="","",Bids!$AC172)</f>
        <v/>
      </c>
      <c r="W172" s="40" t="str">
        <f>IF(Bids!$F171="","",Bids!$F171)</f>
        <v/>
      </c>
      <c r="X172" s="40" t="str">
        <f t="shared" si="5"/>
        <v/>
      </c>
      <c r="Y172" s="40" t="str">
        <f>IF($X172="","",IF(Config!$B$17=Config!$B$16,IF($X172&gt;=Config!$B$17,100,0),MAX(0,MIN(100,($X172-Config!$B$16)/(Config!$B$17-Config!$B$16)*100))))</f>
        <v/>
      </c>
      <c r="Z172" s="40">
        <f>IF($M172="Elite",Config!$B$21,0)</f>
        <v>0</v>
      </c>
      <c r="AA172" s="40" t="str">
        <f>IFERROR(IF(OR($W172="",$H172=""),"",IF($W172&gt;$H172,
  MAX(0, 60-(($W172-$H172)*24/Config!$B$19)*60),
  MIN(100, 60+(($H172-$W172)*24/Config!$B$20)*40)
)),"")
</f>
        <v/>
      </c>
      <c r="AB172" s="40" t="str">
        <f>IF($K172="","",IFERROR(VLOOKUP($K172,Grinders!$A$4:$N$998,10,FALSE)/5*100,""))</f>
        <v/>
      </c>
      <c r="AC172" s="40" t="str">
        <f>IF($K172="","",IFERROR(VLOOKUP($K172,Grinders!$A$4:$N$998,11,FALSE)*100,""))</f>
        <v/>
      </c>
      <c r="AD172" s="40" t="str">
        <f>IF($K172="","",IFERROR(VLOOKUP($K172,Grinders!$A$4:$N$998,12,FALSE)*100,""))</f>
        <v/>
      </c>
      <c r="AE172" s="40" t="str">
        <f>IF(OR(AO172=1,AP172=1),0,=IFERROR(IFS(
    OR($C172="", $K172=""), 0,
    $F172=0, 0,
    $D172&lt;&gt;"Open", 0,
    COUNTIFS(GrinderServices!$A$6:$A$1000, $K172, GrinderServices!$B$6:$B$1000, $E172, GrinderServices!$D$6:$D$1000, "Y")=0, 0,
    $X172&lt;Config!$B$16, 0,
    Config!$B$18=1, IF($O172&gt;=N172, 0, 1),
    TRUE, 1
), "")
)</f>
        <v>#ERROR!</v>
      </c>
      <c r="AF172" s="40" t="str">
        <f>IFERROR((IF(OR(AO172=1,AP172=1),"",=IFERROR((IFERROR(IF($AE172=0,"",((Config!$B$6*$Y172 + Config!$B$7*$U172 + Config!$B$8*$Z172 + Config!$B$9*$AA172 + Config!$B$10*$AB172 + Config!$B$11*$AC172 - Config!$B$12*$AD172)/Config!$B$13)+$AK172+$AL172),""))*(1-IFERROR(VLOOKUP(K172,Grinders!$A:$AB, 28, FALSE),0)),"")))*(1+AR172),"")</f>
        <v>#ERROR!</v>
      </c>
      <c r="AG172" s="40" t="str">
        <f t="shared" si="6"/>
        <v>#ERROR!</v>
      </c>
      <c r="AH172" s="40" t="str">
        <f t="shared" si="7"/>
        <v/>
      </c>
      <c r="AI172" s="40" t="str">
        <f t="shared" si="8"/>
        <v/>
      </c>
      <c r="AJ172" s="40" t="str">
        <f>IF($K172="","",COUNTIF(Assignments!$B$6:$B$1000,$K172))</f>
        <v/>
      </c>
      <c r="AK172" s="40" t="str">
        <f>IF($K172="","",IF(AND($AJ172=0,$O172&lt;$N172),Config!$B$43,0))</f>
        <v/>
      </c>
      <c r="AL172" s="40" t="str">
        <f>IF($K172="","",IF(AND($M172="Elite",$G172&gt;=Config!$B$41,$O172&lt;$N172),Config!$B$42,0))</f>
        <v/>
      </c>
      <c r="AM172" s="22"/>
      <c r="AN172" s="39">
        <f>IFERROR(VLOOKUP(K172,Grinders!$A:$Q,28,FALSE),0)</f>
        <v>0</v>
      </c>
      <c r="AO172" s="39">
        <f>IF(Config!$B$1003&lt;&gt;"Y",0,IF(IFERROR(VLOOKUP(K172,Grinders!$A:$P,27,FALSE),0)&gt;=3,IF(OR(G172&gt;=Config!$B$1001,ISNUMBER(SEARCH(E172,Config!$B$1002))),1,0),0))</f>
        <v>0</v>
      </c>
      <c r="AP172" s="39">
        <f t="array" ref="AP172">IFERROR(IF(INDEX(Bids!$AE:$AE,MATCH(B172,Bids!$A:$A,0))="Pending",1,0),0)</f>
        <v>0</v>
      </c>
      <c r="AQ172" s="39" t="str">
        <f t="array" ref="AQ172">IF(C172="","",IFERROR(XLOOKUP(C172,Assignments!$C:$C,Assignments!$AU:$AU,0),0))</f>
        <v/>
      </c>
      <c r="AR172" s="39">
        <f>IF(AND(Config!$B$1006="Y",AQ172=1),Config!$B$1007,0)</f>
        <v>0</v>
      </c>
    </row>
    <row r="173" ht="15.75" customHeight="1">
      <c r="A173" s="46" t="str">
        <f t="shared" si="1"/>
        <v/>
      </c>
      <c r="B173" s="40" t="str">
        <f>IF(Bids!$A172="","",Bids!$A172)</f>
        <v/>
      </c>
      <c r="C173" s="40" t="str">
        <f>IF(Bids!$B172="","",Bids!$B172)</f>
        <v/>
      </c>
      <c r="D173" s="40" t="str">
        <f>IF($C173="","",IFERROR(VLOOKUP($C173,Orders!$A$4:$J$998,9,FALSE),""))</f>
        <v/>
      </c>
      <c r="E173" s="40" t="str">
        <f>IF($C173="","",IFERROR(VLOOKUP($C173,Orders!$A$4:$J$998,3,FALSE),""))</f>
        <v/>
      </c>
      <c r="F173" s="40">
        <f t="shared" si="2"/>
        <v>1</v>
      </c>
      <c r="G173" s="40" t="str">
        <f>IF($C173="","",IFERROR(VLOOKUP($C173,Orders!$A$4:$J$998,4,FALSE),""))</f>
        <v/>
      </c>
      <c r="H173" s="40" t="str">
        <f>IF($C173="","",IFERROR(VLOOKUP($C173,Orders!$A$4:$J$998,5,FALSE),""))</f>
        <v/>
      </c>
      <c r="I173" s="40" t="str">
        <f>IF($C173="","",IFERROR(VLOOKUP($C173,Orders!$A$4:$J$998,6,FALSE),""))</f>
        <v/>
      </c>
      <c r="J173" s="40" t="str">
        <f>IF($C173="","",IFERROR(VLOOKUP($C173,Orders!$A$4:$J$998,7,FALSE),""))</f>
        <v/>
      </c>
      <c r="K173" s="40" t="str">
        <f>IF(Bids!$C172="","",Bids!$C172)</f>
        <v/>
      </c>
      <c r="L173" s="40" t="str">
        <f>IF($K173="","",IFERROR(VLOOKUP($K173,Grinders!$A$4:$N$998,2,FALSE),""))</f>
        <v/>
      </c>
      <c r="M173" s="40" t="str">
        <f>IF($K173="","",IFERROR(VLOOKUP($K173,Grinders!$A$4:$N$998,3,FALSE),""))</f>
        <v/>
      </c>
      <c r="N173" s="40" t="str">
        <f>IF($K173="","",IFERROR(VLOOKUP($K173,Grinders!$A$4:$N$998,4,FALSE),""))</f>
        <v/>
      </c>
      <c r="O173" s="40" t="str">
        <f>IF($K173="","",IFERROR(VLOOKUP($K173,Grinders!$A$4:$N$998,5,FALSE),""))</f>
        <v/>
      </c>
      <c r="P173" s="40" t="str">
        <f>IF($K173="","",IF($C$4="",0,COUNTIFS(Assignments!$B$6:$B$1000,$K173,Assignments!$F$6:$F$1000,$C$4,Assignments!$E$6:$E$1000,"Active")))</f>
        <v/>
      </c>
      <c r="Q173" s="40" t="str">
        <f t="shared" si="3"/>
        <v/>
      </c>
      <c r="R173" s="40" t="str">
        <f t="shared" si="4"/>
        <v/>
      </c>
      <c r="S173" s="40" t="str">
        <f>IF($K173="","",IF($C$4="",0,COUNTIFS(Assignments!$B$6:$B$1000,$K173,Assignments!$F$6:$F$1000,$C$4,Assignments!$D$6:$D$1000,"&gt;="&amp;Config!$B$3-7,Assignments!$D$6:$D$1000,"&lt;="&amp;Config!$B$3)))</f>
        <v/>
      </c>
      <c r="T173" s="40" t="str">
        <f>IF($K173="","",IFERROR(VLOOKUP($K173,Grinders!$A$4:$N$998,8,FALSE),""))</f>
        <v/>
      </c>
      <c r="U173" s="40" t="str">
        <f>IFERROR(IF($K173="","",IF($M173="Elite",MAX(50,MIN(100,Config!$B$27*MAX(0,MIN(100,(1-IF($R173="",0,$R173))*100)) + Config!$B$28*MAX(0,MIN(100,(1-MIN(1,IF(Config!$B$30=0,1,$S173/Config!$B$30)))*100)) + Config!$B$29*MAX(0,MIN(100,MIN(1,IF($T173="",0,$T173)/Config!$B$23)*100)))),MIN(100,Config!$B$27*MAX(0,MIN(100,(1-IF($R173="",0,$R173))*100)) + Config!$B$28*MAX(0,MIN(100,(1-MIN(1,IF(Config!$B$30=0,1,$S173/Config!$B$30)))*100)) + Config!$B$29*MAX(0,MIN(100,MIN(1,IF($T173="",0,$T173)/Config!$B$23)*100))))),"")
</f>
        <v/>
      </c>
      <c r="V173" s="40" t="str">
        <f>IF(Bids!$AC173="","",Bids!$AC173)</f>
        <v/>
      </c>
      <c r="W173" s="40" t="str">
        <f>IF(Bids!$F172="","",Bids!$F172)</f>
        <v/>
      </c>
      <c r="X173" s="40" t="str">
        <f t="shared" si="5"/>
        <v/>
      </c>
      <c r="Y173" s="40" t="str">
        <f>IF($X173="","",IF(Config!$B$17=Config!$B$16,IF($X173&gt;=Config!$B$17,100,0),MAX(0,MIN(100,($X173-Config!$B$16)/(Config!$B$17-Config!$B$16)*100))))</f>
        <v/>
      </c>
      <c r="Z173" s="40">
        <f>IF($M173="Elite",Config!$B$21,0)</f>
        <v>0</v>
      </c>
      <c r="AA173" s="40" t="str">
        <f>IFERROR(IF(OR($W173="",$H173=""),"",IF($W173&gt;$H173,
  MAX(0, 60-(($W173-$H173)*24/Config!$B$19)*60),
  MIN(100, 60+(($H173-$W173)*24/Config!$B$20)*40)
)),"")
</f>
        <v/>
      </c>
      <c r="AB173" s="40" t="str">
        <f>IF($K173="","",IFERROR(VLOOKUP($K173,Grinders!$A$4:$N$998,10,FALSE)/5*100,""))</f>
        <v/>
      </c>
      <c r="AC173" s="40" t="str">
        <f>IF($K173="","",IFERROR(VLOOKUP($K173,Grinders!$A$4:$N$998,11,FALSE)*100,""))</f>
        <v/>
      </c>
      <c r="AD173" s="40" t="str">
        <f>IF($K173="","",IFERROR(VLOOKUP($K173,Grinders!$A$4:$N$998,12,FALSE)*100,""))</f>
        <v/>
      </c>
      <c r="AE173" s="40" t="str">
        <f>IF(OR(AO173=1,AP173=1),0,=IFERROR(IFS(
    OR($C173="", $K173=""), 0,
    $F173=0, 0,
    $D173&lt;&gt;"Open", 0,
    COUNTIFS(GrinderServices!$A$6:$A$1000, $K173, GrinderServices!$B$6:$B$1000, $E173, GrinderServices!$D$6:$D$1000, "Y")=0, 0,
    $X173&lt;Config!$B$16, 0,
    Config!$B$18=1, IF($O173&gt;=N173, 0, 1),
    TRUE, 1
), "")
)</f>
        <v>#ERROR!</v>
      </c>
      <c r="AF173" s="40" t="str">
        <f>IFERROR((IF(OR(AO173=1,AP173=1),"",=IFERROR((IFERROR(IF($AE173=0,"",((Config!$B$6*$Y173 + Config!$B$7*$U173 + Config!$B$8*$Z173 + Config!$B$9*$AA173 + Config!$B$10*$AB173 + Config!$B$11*$AC173 - Config!$B$12*$AD173)/Config!$B$13)+$AK173+$AL173),""))*(1-IFERROR(VLOOKUP(K173,Grinders!$A:$AB, 28, FALSE),0)),"")))*(1+AR173),"")</f>
        <v>#ERROR!</v>
      </c>
      <c r="AG173" s="40" t="str">
        <f t="shared" si="6"/>
        <v>#ERROR!</v>
      </c>
      <c r="AH173" s="40" t="str">
        <f t="shared" si="7"/>
        <v/>
      </c>
      <c r="AI173" s="40" t="str">
        <f t="shared" si="8"/>
        <v/>
      </c>
      <c r="AJ173" s="40" t="str">
        <f>IF($K173="","",COUNTIF(Assignments!$B$6:$B$1000,$K173))</f>
        <v/>
      </c>
      <c r="AK173" s="40" t="str">
        <f>IF($K173="","",IF(AND($AJ173=0,$O173&lt;$N173),Config!$B$43,0))</f>
        <v/>
      </c>
      <c r="AL173" s="40" t="str">
        <f>IF($K173="","",IF(AND($M173="Elite",$G173&gt;=Config!$B$41,$O173&lt;$N173),Config!$B$42,0))</f>
        <v/>
      </c>
      <c r="AM173" s="22"/>
      <c r="AN173" s="39">
        <f>IFERROR(VLOOKUP(K173,Grinders!$A:$Q,28,FALSE),0)</f>
        <v>0</v>
      </c>
      <c r="AO173" s="39">
        <f>IF(Config!$B$1003&lt;&gt;"Y",0,IF(IFERROR(VLOOKUP(K173,Grinders!$A:$P,27,FALSE),0)&gt;=3,IF(OR(G173&gt;=Config!$B$1001,ISNUMBER(SEARCH(E173,Config!$B$1002))),1,0),0))</f>
        <v>0</v>
      </c>
      <c r="AP173" s="39">
        <f t="array" ref="AP173">IFERROR(IF(INDEX(Bids!$AE:$AE,MATCH(B173,Bids!$A:$A,0))="Pending",1,0),0)</f>
        <v>0</v>
      </c>
      <c r="AQ173" s="39" t="str">
        <f t="array" ref="AQ173">IF(C173="","",IFERROR(XLOOKUP(C173,Assignments!$C:$C,Assignments!$AU:$AU,0),0))</f>
        <v/>
      </c>
      <c r="AR173" s="39">
        <f>IF(AND(Config!$B$1006="Y",AQ173=1),Config!$B$1007,0)</f>
        <v>0</v>
      </c>
    </row>
    <row r="174" ht="15.75" customHeight="1">
      <c r="A174" s="46" t="str">
        <f t="shared" si="1"/>
        <v/>
      </c>
      <c r="B174" s="40" t="str">
        <f>IF(Bids!$A173="","",Bids!$A173)</f>
        <v/>
      </c>
      <c r="C174" s="40" t="str">
        <f>IF(Bids!$B173="","",Bids!$B173)</f>
        <v/>
      </c>
      <c r="D174" s="40" t="str">
        <f>IF($C174="","",IFERROR(VLOOKUP($C174,Orders!$A$4:$J$998,9,FALSE),""))</f>
        <v/>
      </c>
      <c r="E174" s="40" t="str">
        <f>IF($C174="","",IFERROR(VLOOKUP($C174,Orders!$A$4:$J$998,3,FALSE),""))</f>
        <v/>
      </c>
      <c r="F174" s="40">
        <f t="shared" si="2"/>
        <v>1</v>
      </c>
      <c r="G174" s="40" t="str">
        <f>IF($C174="","",IFERROR(VLOOKUP($C174,Orders!$A$4:$J$998,4,FALSE),""))</f>
        <v/>
      </c>
      <c r="H174" s="40" t="str">
        <f>IF($C174="","",IFERROR(VLOOKUP($C174,Orders!$A$4:$J$998,5,FALSE),""))</f>
        <v/>
      </c>
      <c r="I174" s="40" t="str">
        <f>IF($C174="","",IFERROR(VLOOKUP($C174,Orders!$A$4:$J$998,6,FALSE),""))</f>
        <v/>
      </c>
      <c r="J174" s="40" t="str">
        <f>IF($C174="","",IFERROR(VLOOKUP($C174,Orders!$A$4:$J$998,7,FALSE),""))</f>
        <v/>
      </c>
      <c r="K174" s="40" t="str">
        <f>IF(Bids!$C173="","",Bids!$C173)</f>
        <v/>
      </c>
      <c r="L174" s="40" t="str">
        <f>IF($K174="","",IFERROR(VLOOKUP($K174,Grinders!$A$4:$N$998,2,FALSE),""))</f>
        <v/>
      </c>
      <c r="M174" s="40" t="str">
        <f>IF($K174="","",IFERROR(VLOOKUP($K174,Grinders!$A$4:$N$998,3,FALSE),""))</f>
        <v/>
      </c>
      <c r="N174" s="40" t="str">
        <f>IF($K174="","",IFERROR(VLOOKUP($K174,Grinders!$A$4:$N$998,4,FALSE),""))</f>
        <v/>
      </c>
      <c r="O174" s="40" t="str">
        <f>IF($K174="","",IFERROR(VLOOKUP($K174,Grinders!$A$4:$N$998,5,FALSE),""))</f>
        <v/>
      </c>
      <c r="P174" s="40" t="str">
        <f>IF($K174="","",IF($C$4="",0,COUNTIFS(Assignments!$B$6:$B$1000,$K174,Assignments!$F$6:$F$1000,$C$4,Assignments!$E$6:$E$1000,"Active")))</f>
        <v/>
      </c>
      <c r="Q174" s="40" t="str">
        <f t="shared" si="3"/>
        <v/>
      </c>
      <c r="R174" s="40" t="str">
        <f t="shared" si="4"/>
        <v/>
      </c>
      <c r="S174" s="40" t="str">
        <f>IF($K174="","",IF($C$4="",0,COUNTIFS(Assignments!$B$6:$B$1000,$K174,Assignments!$F$6:$F$1000,$C$4,Assignments!$D$6:$D$1000,"&gt;="&amp;Config!$B$3-7,Assignments!$D$6:$D$1000,"&lt;="&amp;Config!$B$3)))</f>
        <v/>
      </c>
      <c r="T174" s="40" t="str">
        <f>IF($K174="","",IFERROR(VLOOKUP($K174,Grinders!$A$4:$N$998,8,FALSE),""))</f>
        <v/>
      </c>
      <c r="U174" s="40" t="str">
        <f>IFERROR(IF($K174="","",IF($M174="Elite",MAX(50,MIN(100,Config!$B$27*MAX(0,MIN(100,(1-IF($R174="",0,$R174))*100)) + Config!$B$28*MAX(0,MIN(100,(1-MIN(1,IF(Config!$B$30=0,1,$S174/Config!$B$30)))*100)) + Config!$B$29*MAX(0,MIN(100,MIN(1,IF($T174="",0,$T174)/Config!$B$23)*100)))),MIN(100,Config!$B$27*MAX(0,MIN(100,(1-IF($R174="",0,$R174))*100)) + Config!$B$28*MAX(0,MIN(100,(1-MIN(1,IF(Config!$B$30=0,1,$S174/Config!$B$30)))*100)) + Config!$B$29*MAX(0,MIN(100,MIN(1,IF($T174="",0,$T174)/Config!$B$23)*100))))),"")
</f>
        <v/>
      </c>
      <c r="V174" s="40" t="str">
        <f>IF(Bids!$AC174="","",Bids!$AC174)</f>
        <v/>
      </c>
      <c r="W174" s="40" t="str">
        <f>IF(Bids!$F173="","",Bids!$F173)</f>
        <v/>
      </c>
      <c r="X174" s="40" t="str">
        <f t="shared" si="5"/>
        <v/>
      </c>
      <c r="Y174" s="40" t="str">
        <f>IF($X174="","",IF(Config!$B$17=Config!$B$16,IF($X174&gt;=Config!$B$17,100,0),MAX(0,MIN(100,($X174-Config!$B$16)/(Config!$B$17-Config!$B$16)*100))))</f>
        <v/>
      </c>
      <c r="Z174" s="40">
        <f>IF($M174="Elite",Config!$B$21,0)</f>
        <v>0</v>
      </c>
      <c r="AA174" s="40" t="str">
        <f>IFERROR(IF(OR($W174="",$H174=""),"",IF($W174&gt;$H174,
  MAX(0, 60-(($W174-$H174)*24/Config!$B$19)*60),
  MIN(100, 60+(($H174-$W174)*24/Config!$B$20)*40)
)),"")
</f>
        <v/>
      </c>
      <c r="AB174" s="40" t="str">
        <f>IF($K174="","",IFERROR(VLOOKUP($K174,Grinders!$A$4:$N$998,10,FALSE)/5*100,""))</f>
        <v/>
      </c>
      <c r="AC174" s="40" t="str">
        <f>IF($K174="","",IFERROR(VLOOKUP($K174,Grinders!$A$4:$N$998,11,FALSE)*100,""))</f>
        <v/>
      </c>
      <c r="AD174" s="40" t="str">
        <f>IF($K174="","",IFERROR(VLOOKUP($K174,Grinders!$A$4:$N$998,12,FALSE)*100,""))</f>
        <v/>
      </c>
      <c r="AE174" s="40" t="str">
        <f>IF(OR(AO174=1,AP174=1),0,=IFERROR(IFS(
    OR($C174="", $K174=""), 0,
    $F174=0, 0,
    $D174&lt;&gt;"Open", 0,
    COUNTIFS(GrinderServices!$A$6:$A$1000, $K174, GrinderServices!$B$6:$B$1000, $E174, GrinderServices!$D$6:$D$1000, "Y")=0, 0,
    $X174&lt;Config!$B$16, 0,
    Config!$B$18=1, IF($O174&gt;=N174, 0, 1),
    TRUE, 1
), "")
)</f>
        <v>#ERROR!</v>
      </c>
      <c r="AF174" s="40" t="str">
        <f>IFERROR((IF(OR(AO174=1,AP174=1),"",=IFERROR((IFERROR(IF($AE174=0,"",((Config!$B$6*$Y174 + Config!$B$7*$U174 + Config!$B$8*$Z174 + Config!$B$9*$AA174 + Config!$B$10*$AB174 + Config!$B$11*$AC174 - Config!$B$12*$AD174)/Config!$B$13)+$AK174+$AL174),""))*(1-IFERROR(VLOOKUP(K174,Grinders!$A:$AB, 28, FALSE),0)),"")))*(1+AR174),"")</f>
        <v>#ERROR!</v>
      </c>
      <c r="AG174" s="40" t="str">
        <f t="shared" si="6"/>
        <v>#ERROR!</v>
      </c>
      <c r="AH174" s="40" t="str">
        <f t="shared" si="7"/>
        <v/>
      </c>
      <c r="AI174" s="40" t="str">
        <f t="shared" si="8"/>
        <v/>
      </c>
      <c r="AJ174" s="40" t="str">
        <f>IF($K174="","",COUNTIF(Assignments!$B$6:$B$1000,$K174))</f>
        <v/>
      </c>
      <c r="AK174" s="40" t="str">
        <f>IF($K174="","",IF(AND($AJ174=0,$O174&lt;$N174),Config!$B$43,0))</f>
        <v/>
      </c>
      <c r="AL174" s="40" t="str">
        <f>IF($K174="","",IF(AND($M174="Elite",$G174&gt;=Config!$B$41,$O174&lt;$N174),Config!$B$42,0))</f>
        <v/>
      </c>
      <c r="AM174" s="22"/>
      <c r="AN174" s="39">
        <f>IFERROR(VLOOKUP(K174,Grinders!$A:$Q,28,FALSE),0)</f>
        <v>0</v>
      </c>
      <c r="AO174" s="39">
        <f>IF(Config!$B$1003&lt;&gt;"Y",0,IF(IFERROR(VLOOKUP(K174,Grinders!$A:$P,27,FALSE),0)&gt;=3,IF(OR(G174&gt;=Config!$B$1001,ISNUMBER(SEARCH(E174,Config!$B$1002))),1,0),0))</f>
        <v>0</v>
      </c>
      <c r="AP174" s="39">
        <f t="array" ref="AP174">IFERROR(IF(INDEX(Bids!$AE:$AE,MATCH(B174,Bids!$A:$A,0))="Pending",1,0),0)</f>
        <v>0</v>
      </c>
      <c r="AQ174" s="39" t="str">
        <f t="array" ref="AQ174">IF(C174="","",IFERROR(XLOOKUP(C174,Assignments!$C:$C,Assignments!$AU:$AU,0),0))</f>
        <v/>
      </c>
      <c r="AR174" s="39">
        <f>IF(AND(Config!$B$1006="Y",AQ174=1),Config!$B$1007,0)</f>
        <v>0</v>
      </c>
    </row>
    <row r="175" ht="15.75" customHeight="1">
      <c r="A175" s="46" t="str">
        <f t="shared" si="1"/>
        <v/>
      </c>
      <c r="B175" s="40" t="str">
        <f>IF(Bids!$A174="","",Bids!$A174)</f>
        <v/>
      </c>
      <c r="C175" s="40" t="str">
        <f>IF(Bids!$B174="","",Bids!$B174)</f>
        <v/>
      </c>
      <c r="D175" s="40" t="str">
        <f>IF($C175="","",IFERROR(VLOOKUP($C175,Orders!$A$4:$J$998,9,FALSE),""))</f>
        <v/>
      </c>
      <c r="E175" s="40" t="str">
        <f>IF($C175="","",IFERROR(VLOOKUP($C175,Orders!$A$4:$J$998,3,FALSE),""))</f>
        <v/>
      </c>
      <c r="F175" s="40">
        <f t="shared" si="2"/>
        <v>1</v>
      </c>
      <c r="G175" s="40" t="str">
        <f>IF($C175="","",IFERROR(VLOOKUP($C175,Orders!$A$4:$J$998,4,FALSE),""))</f>
        <v/>
      </c>
      <c r="H175" s="40" t="str">
        <f>IF($C175="","",IFERROR(VLOOKUP($C175,Orders!$A$4:$J$998,5,FALSE),""))</f>
        <v/>
      </c>
      <c r="I175" s="40" t="str">
        <f>IF($C175="","",IFERROR(VLOOKUP($C175,Orders!$A$4:$J$998,6,FALSE),""))</f>
        <v/>
      </c>
      <c r="J175" s="40" t="str">
        <f>IF($C175="","",IFERROR(VLOOKUP($C175,Orders!$A$4:$J$998,7,FALSE),""))</f>
        <v/>
      </c>
      <c r="K175" s="40" t="str">
        <f>IF(Bids!$C174="","",Bids!$C174)</f>
        <v/>
      </c>
      <c r="L175" s="40" t="str">
        <f>IF($K175="","",IFERROR(VLOOKUP($K175,Grinders!$A$4:$N$998,2,FALSE),""))</f>
        <v/>
      </c>
      <c r="M175" s="40" t="str">
        <f>IF($K175="","",IFERROR(VLOOKUP($K175,Grinders!$A$4:$N$998,3,FALSE),""))</f>
        <v/>
      </c>
      <c r="N175" s="40" t="str">
        <f>IF($K175="","",IFERROR(VLOOKUP($K175,Grinders!$A$4:$N$998,4,FALSE),""))</f>
        <v/>
      </c>
      <c r="O175" s="40" t="str">
        <f>IF($K175="","",IFERROR(VLOOKUP($K175,Grinders!$A$4:$N$998,5,FALSE),""))</f>
        <v/>
      </c>
      <c r="P175" s="40" t="str">
        <f>IF($K175="","",IF($C$4="",0,COUNTIFS(Assignments!$B$6:$B$1000,$K175,Assignments!$F$6:$F$1000,$C$4,Assignments!$E$6:$E$1000,"Active")))</f>
        <v/>
      </c>
      <c r="Q175" s="40" t="str">
        <f t="shared" si="3"/>
        <v/>
      </c>
      <c r="R175" s="40" t="str">
        <f t="shared" si="4"/>
        <v/>
      </c>
      <c r="S175" s="40" t="str">
        <f>IF($K175="","",IF($C$4="",0,COUNTIFS(Assignments!$B$6:$B$1000,$K175,Assignments!$F$6:$F$1000,$C$4,Assignments!$D$6:$D$1000,"&gt;="&amp;Config!$B$3-7,Assignments!$D$6:$D$1000,"&lt;="&amp;Config!$B$3)))</f>
        <v/>
      </c>
      <c r="T175" s="40" t="str">
        <f>IF($K175="","",IFERROR(VLOOKUP($K175,Grinders!$A$4:$N$998,8,FALSE),""))</f>
        <v/>
      </c>
      <c r="U175" s="40" t="str">
        <f>IFERROR(IF($K175="","",IF($M175="Elite",MAX(50,MIN(100,Config!$B$27*MAX(0,MIN(100,(1-IF($R175="",0,$R175))*100)) + Config!$B$28*MAX(0,MIN(100,(1-MIN(1,IF(Config!$B$30=0,1,$S175/Config!$B$30)))*100)) + Config!$B$29*MAX(0,MIN(100,MIN(1,IF($T175="",0,$T175)/Config!$B$23)*100)))),MIN(100,Config!$B$27*MAX(0,MIN(100,(1-IF($R175="",0,$R175))*100)) + Config!$B$28*MAX(0,MIN(100,(1-MIN(1,IF(Config!$B$30=0,1,$S175/Config!$B$30)))*100)) + Config!$B$29*MAX(0,MIN(100,MIN(1,IF($T175="",0,$T175)/Config!$B$23)*100))))),"")
</f>
        <v/>
      </c>
      <c r="V175" s="40" t="str">
        <f>IF(Bids!$AC175="","",Bids!$AC175)</f>
        <v/>
      </c>
      <c r="W175" s="40" t="str">
        <f>IF(Bids!$F174="","",Bids!$F174)</f>
        <v/>
      </c>
      <c r="X175" s="40" t="str">
        <f t="shared" si="5"/>
        <v/>
      </c>
      <c r="Y175" s="40" t="str">
        <f>IF($X175="","",IF(Config!$B$17=Config!$B$16,IF($X175&gt;=Config!$B$17,100,0),MAX(0,MIN(100,($X175-Config!$B$16)/(Config!$B$17-Config!$B$16)*100))))</f>
        <v/>
      </c>
      <c r="Z175" s="40">
        <f>IF($M175="Elite",Config!$B$21,0)</f>
        <v>0</v>
      </c>
      <c r="AA175" s="40" t="str">
        <f>IFERROR(IF(OR($W175="",$H175=""),"",IF($W175&gt;$H175,
  MAX(0, 60-(($W175-$H175)*24/Config!$B$19)*60),
  MIN(100, 60+(($H175-$W175)*24/Config!$B$20)*40)
)),"")
</f>
        <v/>
      </c>
      <c r="AB175" s="40" t="str">
        <f>IF($K175="","",IFERROR(VLOOKUP($K175,Grinders!$A$4:$N$998,10,FALSE)/5*100,""))</f>
        <v/>
      </c>
      <c r="AC175" s="40" t="str">
        <f>IF($K175="","",IFERROR(VLOOKUP($K175,Grinders!$A$4:$N$998,11,FALSE)*100,""))</f>
        <v/>
      </c>
      <c r="AD175" s="40" t="str">
        <f>IF($K175="","",IFERROR(VLOOKUP($K175,Grinders!$A$4:$N$998,12,FALSE)*100,""))</f>
        <v/>
      </c>
      <c r="AE175" s="40" t="str">
        <f>IF(OR(AO175=1,AP175=1),0,=IFERROR(IFS(
    OR($C175="", $K175=""), 0,
    $F175=0, 0,
    $D175&lt;&gt;"Open", 0,
    COUNTIFS(GrinderServices!$A$6:$A$1000, $K175, GrinderServices!$B$6:$B$1000, $E175, GrinderServices!$D$6:$D$1000, "Y")=0, 0,
    $X175&lt;Config!$B$16, 0,
    Config!$B$18=1, IF($O175&gt;=N175, 0, 1),
    TRUE, 1
), "")
)</f>
        <v>#ERROR!</v>
      </c>
      <c r="AF175" s="40" t="str">
        <f>IFERROR((IF(OR(AO175=1,AP175=1),"",=IFERROR((IFERROR(IF($AE175=0,"",((Config!$B$6*$Y175 + Config!$B$7*$U175 + Config!$B$8*$Z175 + Config!$B$9*$AA175 + Config!$B$10*$AB175 + Config!$B$11*$AC175 - Config!$B$12*$AD175)/Config!$B$13)+$AK175+$AL175),""))*(1-IFERROR(VLOOKUP(K175,Grinders!$A:$AB, 28, FALSE),0)),"")))*(1+AR175),"")</f>
        <v>#ERROR!</v>
      </c>
      <c r="AG175" s="40" t="str">
        <f t="shared" si="6"/>
        <v>#ERROR!</v>
      </c>
      <c r="AH175" s="40" t="str">
        <f t="shared" si="7"/>
        <v/>
      </c>
      <c r="AI175" s="40" t="str">
        <f t="shared" si="8"/>
        <v/>
      </c>
      <c r="AJ175" s="40" t="str">
        <f>IF($K175="","",COUNTIF(Assignments!$B$6:$B$1000,$K175))</f>
        <v/>
      </c>
      <c r="AK175" s="40" t="str">
        <f>IF($K175="","",IF(AND($AJ175=0,$O175&lt;$N175),Config!$B$43,0))</f>
        <v/>
      </c>
      <c r="AL175" s="40" t="str">
        <f>IF($K175="","",IF(AND($M175="Elite",$G175&gt;=Config!$B$41,$O175&lt;$N175),Config!$B$42,0))</f>
        <v/>
      </c>
      <c r="AM175" s="22"/>
      <c r="AN175" s="39">
        <f>IFERROR(VLOOKUP(K175,Grinders!$A:$Q,28,FALSE),0)</f>
        <v>0</v>
      </c>
      <c r="AO175" s="39">
        <f>IF(Config!$B$1003&lt;&gt;"Y",0,IF(IFERROR(VLOOKUP(K175,Grinders!$A:$P,27,FALSE),0)&gt;=3,IF(OR(G175&gt;=Config!$B$1001,ISNUMBER(SEARCH(E175,Config!$B$1002))),1,0),0))</f>
        <v>0</v>
      </c>
      <c r="AP175" s="39">
        <f t="array" ref="AP175">IFERROR(IF(INDEX(Bids!$AE:$AE,MATCH(B175,Bids!$A:$A,0))="Pending",1,0),0)</f>
        <v>0</v>
      </c>
      <c r="AQ175" s="39" t="str">
        <f t="array" ref="AQ175">IF(C175="","",IFERROR(XLOOKUP(C175,Assignments!$C:$C,Assignments!$AU:$AU,0),0))</f>
        <v/>
      </c>
      <c r="AR175" s="39">
        <f>IF(AND(Config!$B$1006="Y",AQ175=1),Config!$B$1007,0)</f>
        <v>0</v>
      </c>
    </row>
    <row r="176" ht="15.75" customHeight="1">
      <c r="A176" s="46" t="str">
        <f t="shared" si="1"/>
        <v/>
      </c>
      <c r="B176" s="40" t="str">
        <f>IF(Bids!$A175="","",Bids!$A175)</f>
        <v/>
      </c>
      <c r="C176" s="40" t="str">
        <f>IF(Bids!$B175="","",Bids!$B175)</f>
        <v/>
      </c>
      <c r="D176" s="40" t="str">
        <f>IF($C176="","",IFERROR(VLOOKUP($C176,Orders!$A$4:$J$998,9,FALSE),""))</f>
        <v/>
      </c>
      <c r="E176" s="40" t="str">
        <f>IF($C176="","",IFERROR(VLOOKUP($C176,Orders!$A$4:$J$998,3,FALSE),""))</f>
        <v/>
      </c>
      <c r="F176" s="40">
        <f t="shared" si="2"/>
        <v>1</v>
      </c>
      <c r="G176" s="40" t="str">
        <f>IF($C176="","",IFERROR(VLOOKUP($C176,Orders!$A$4:$J$998,4,FALSE),""))</f>
        <v/>
      </c>
      <c r="H176" s="40" t="str">
        <f>IF($C176="","",IFERROR(VLOOKUP($C176,Orders!$A$4:$J$998,5,FALSE),""))</f>
        <v/>
      </c>
      <c r="I176" s="40" t="str">
        <f>IF($C176="","",IFERROR(VLOOKUP($C176,Orders!$A$4:$J$998,6,FALSE),""))</f>
        <v/>
      </c>
      <c r="J176" s="40" t="str">
        <f>IF($C176="","",IFERROR(VLOOKUP($C176,Orders!$A$4:$J$998,7,FALSE),""))</f>
        <v/>
      </c>
      <c r="K176" s="40" t="str">
        <f>IF(Bids!$C175="","",Bids!$C175)</f>
        <v/>
      </c>
      <c r="L176" s="40" t="str">
        <f>IF($K176="","",IFERROR(VLOOKUP($K176,Grinders!$A$4:$N$998,2,FALSE),""))</f>
        <v/>
      </c>
      <c r="M176" s="40" t="str">
        <f>IF($K176="","",IFERROR(VLOOKUP($K176,Grinders!$A$4:$N$998,3,FALSE),""))</f>
        <v/>
      </c>
      <c r="N176" s="40" t="str">
        <f>IF($K176="","",IFERROR(VLOOKUP($K176,Grinders!$A$4:$N$998,4,FALSE),""))</f>
        <v/>
      </c>
      <c r="O176" s="40" t="str">
        <f>IF($K176="","",IFERROR(VLOOKUP($K176,Grinders!$A$4:$N$998,5,FALSE),""))</f>
        <v/>
      </c>
      <c r="P176" s="40" t="str">
        <f>IF($K176="","",IF($C$4="",0,COUNTIFS(Assignments!$B$6:$B$1000,$K176,Assignments!$F$6:$F$1000,$C$4,Assignments!$E$6:$E$1000,"Active")))</f>
        <v/>
      </c>
      <c r="Q176" s="40" t="str">
        <f t="shared" si="3"/>
        <v/>
      </c>
      <c r="R176" s="40" t="str">
        <f t="shared" si="4"/>
        <v/>
      </c>
      <c r="S176" s="40" t="str">
        <f>IF($K176="","",IF($C$4="",0,COUNTIFS(Assignments!$B$6:$B$1000,$K176,Assignments!$F$6:$F$1000,$C$4,Assignments!$D$6:$D$1000,"&gt;="&amp;Config!$B$3-7,Assignments!$D$6:$D$1000,"&lt;="&amp;Config!$B$3)))</f>
        <v/>
      </c>
      <c r="T176" s="40" t="str">
        <f>IF($K176="","",IFERROR(VLOOKUP($K176,Grinders!$A$4:$N$998,8,FALSE),""))</f>
        <v/>
      </c>
      <c r="U176" s="40" t="str">
        <f>IFERROR(IF($K176="","",IF($M176="Elite",MAX(50,MIN(100,Config!$B$27*MAX(0,MIN(100,(1-IF($R176="",0,$R176))*100)) + Config!$B$28*MAX(0,MIN(100,(1-MIN(1,IF(Config!$B$30=0,1,$S176/Config!$B$30)))*100)) + Config!$B$29*MAX(0,MIN(100,MIN(1,IF($T176="",0,$T176)/Config!$B$23)*100)))),MIN(100,Config!$B$27*MAX(0,MIN(100,(1-IF($R176="",0,$R176))*100)) + Config!$B$28*MAX(0,MIN(100,(1-MIN(1,IF(Config!$B$30=0,1,$S176/Config!$B$30)))*100)) + Config!$B$29*MAX(0,MIN(100,MIN(1,IF($T176="",0,$T176)/Config!$B$23)*100))))),"")
</f>
        <v/>
      </c>
      <c r="V176" s="40" t="str">
        <f>IF(Bids!$AC176="","",Bids!$AC176)</f>
        <v/>
      </c>
      <c r="W176" s="40" t="str">
        <f>IF(Bids!$F175="","",Bids!$F175)</f>
        <v/>
      </c>
      <c r="X176" s="40" t="str">
        <f t="shared" si="5"/>
        <v/>
      </c>
      <c r="Y176" s="40" t="str">
        <f>IF($X176="","",IF(Config!$B$17=Config!$B$16,IF($X176&gt;=Config!$B$17,100,0),MAX(0,MIN(100,($X176-Config!$B$16)/(Config!$B$17-Config!$B$16)*100))))</f>
        <v/>
      </c>
      <c r="Z176" s="40">
        <f>IF($M176="Elite",Config!$B$21,0)</f>
        <v>0</v>
      </c>
      <c r="AA176" s="40" t="str">
        <f>IFERROR(IF(OR($W176="",$H176=""),"",IF($W176&gt;$H176,
  MAX(0, 60-(($W176-$H176)*24/Config!$B$19)*60),
  MIN(100, 60+(($H176-$W176)*24/Config!$B$20)*40)
)),"")
</f>
        <v/>
      </c>
      <c r="AB176" s="40" t="str">
        <f>IF($K176="","",IFERROR(VLOOKUP($K176,Grinders!$A$4:$N$998,10,FALSE)/5*100,""))</f>
        <v/>
      </c>
      <c r="AC176" s="40" t="str">
        <f>IF($K176="","",IFERROR(VLOOKUP($K176,Grinders!$A$4:$N$998,11,FALSE)*100,""))</f>
        <v/>
      </c>
      <c r="AD176" s="40" t="str">
        <f>IF($K176="","",IFERROR(VLOOKUP($K176,Grinders!$A$4:$N$998,12,FALSE)*100,""))</f>
        <v/>
      </c>
      <c r="AE176" s="40" t="str">
        <f>IF(OR(AO176=1,AP176=1),0,=IFERROR(IFS(
    OR($C176="", $K176=""), 0,
    $F176=0, 0,
    $D176&lt;&gt;"Open", 0,
    COUNTIFS(GrinderServices!$A$6:$A$1000, $K176, GrinderServices!$B$6:$B$1000, $E176, GrinderServices!$D$6:$D$1000, "Y")=0, 0,
    $X176&lt;Config!$B$16, 0,
    Config!$B$18=1, IF($O176&gt;=N176, 0, 1),
    TRUE, 1
), "")
)</f>
        <v>#ERROR!</v>
      </c>
      <c r="AF176" s="40" t="str">
        <f>IFERROR((IF(OR(AO176=1,AP176=1),"",=IFERROR((IFERROR(IF($AE176=0,"",((Config!$B$6*$Y176 + Config!$B$7*$U176 + Config!$B$8*$Z176 + Config!$B$9*$AA176 + Config!$B$10*$AB176 + Config!$B$11*$AC176 - Config!$B$12*$AD176)/Config!$B$13)+$AK176+$AL176),""))*(1-IFERROR(VLOOKUP(K176,Grinders!$A:$AB, 28, FALSE),0)),"")))*(1+AR176),"")</f>
        <v>#ERROR!</v>
      </c>
      <c r="AG176" s="40" t="str">
        <f t="shared" si="6"/>
        <v>#ERROR!</v>
      </c>
      <c r="AH176" s="40" t="str">
        <f t="shared" si="7"/>
        <v/>
      </c>
      <c r="AI176" s="40" t="str">
        <f t="shared" si="8"/>
        <v/>
      </c>
      <c r="AJ176" s="40" t="str">
        <f>IF($K176="","",COUNTIF(Assignments!$B$6:$B$1000,$K176))</f>
        <v/>
      </c>
      <c r="AK176" s="40" t="str">
        <f>IF($K176="","",IF(AND($AJ176=0,$O176&lt;$N176),Config!$B$43,0))</f>
        <v/>
      </c>
      <c r="AL176" s="40" t="str">
        <f>IF($K176="","",IF(AND($M176="Elite",$G176&gt;=Config!$B$41,$O176&lt;$N176),Config!$B$42,0))</f>
        <v/>
      </c>
      <c r="AM176" s="22"/>
      <c r="AN176" s="39">
        <f>IFERROR(VLOOKUP(K176,Grinders!$A:$Q,28,FALSE),0)</f>
        <v>0</v>
      </c>
      <c r="AO176" s="39">
        <f>IF(Config!$B$1003&lt;&gt;"Y",0,IF(IFERROR(VLOOKUP(K176,Grinders!$A:$P,27,FALSE),0)&gt;=3,IF(OR(G176&gt;=Config!$B$1001,ISNUMBER(SEARCH(E176,Config!$B$1002))),1,0),0))</f>
        <v>0</v>
      </c>
      <c r="AP176" s="39">
        <f t="array" ref="AP176">IFERROR(IF(INDEX(Bids!$AE:$AE,MATCH(B176,Bids!$A:$A,0))="Pending",1,0),0)</f>
        <v>0</v>
      </c>
      <c r="AQ176" s="39" t="str">
        <f t="array" ref="AQ176">IF(C176="","",IFERROR(XLOOKUP(C176,Assignments!$C:$C,Assignments!$AU:$AU,0),0))</f>
        <v/>
      </c>
      <c r="AR176" s="39">
        <f>IF(AND(Config!$B$1006="Y",AQ176=1),Config!$B$1007,0)</f>
        <v>0</v>
      </c>
    </row>
    <row r="177" ht="15.75" customHeight="1">
      <c r="A177" s="46" t="str">
        <f t="shared" si="1"/>
        <v/>
      </c>
      <c r="B177" s="40" t="str">
        <f>IF(Bids!$A176="","",Bids!$A176)</f>
        <v/>
      </c>
      <c r="C177" s="40" t="str">
        <f>IF(Bids!$B176="","",Bids!$B176)</f>
        <v/>
      </c>
      <c r="D177" s="40" t="str">
        <f>IF($C177="","",IFERROR(VLOOKUP($C177,Orders!$A$4:$J$998,9,FALSE),""))</f>
        <v/>
      </c>
      <c r="E177" s="40" t="str">
        <f>IF($C177="","",IFERROR(VLOOKUP($C177,Orders!$A$4:$J$998,3,FALSE),""))</f>
        <v/>
      </c>
      <c r="F177" s="40">
        <f t="shared" si="2"/>
        <v>1</v>
      </c>
      <c r="G177" s="40" t="str">
        <f>IF($C177="","",IFERROR(VLOOKUP($C177,Orders!$A$4:$J$998,4,FALSE),""))</f>
        <v/>
      </c>
      <c r="H177" s="40" t="str">
        <f>IF($C177="","",IFERROR(VLOOKUP($C177,Orders!$A$4:$J$998,5,FALSE),""))</f>
        <v/>
      </c>
      <c r="I177" s="40" t="str">
        <f>IF($C177="","",IFERROR(VLOOKUP($C177,Orders!$A$4:$J$998,6,FALSE),""))</f>
        <v/>
      </c>
      <c r="J177" s="40" t="str">
        <f>IF($C177="","",IFERROR(VLOOKUP($C177,Orders!$A$4:$J$998,7,FALSE),""))</f>
        <v/>
      </c>
      <c r="K177" s="40" t="str">
        <f>IF(Bids!$C176="","",Bids!$C176)</f>
        <v/>
      </c>
      <c r="L177" s="40" t="str">
        <f>IF($K177="","",IFERROR(VLOOKUP($K177,Grinders!$A$4:$N$998,2,FALSE),""))</f>
        <v/>
      </c>
      <c r="M177" s="40" t="str">
        <f>IF($K177="","",IFERROR(VLOOKUP($K177,Grinders!$A$4:$N$998,3,FALSE),""))</f>
        <v/>
      </c>
      <c r="N177" s="40" t="str">
        <f>IF($K177="","",IFERROR(VLOOKUP($K177,Grinders!$A$4:$N$998,4,FALSE),""))</f>
        <v/>
      </c>
      <c r="O177" s="40" t="str">
        <f>IF($K177="","",IFERROR(VLOOKUP($K177,Grinders!$A$4:$N$998,5,FALSE),""))</f>
        <v/>
      </c>
      <c r="P177" s="40" t="str">
        <f>IF($K177="","",IF($C$4="",0,COUNTIFS(Assignments!$B$6:$B$1000,$K177,Assignments!$F$6:$F$1000,$C$4,Assignments!$E$6:$E$1000,"Active")))</f>
        <v/>
      </c>
      <c r="Q177" s="40" t="str">
        <f t="shared" si="3"/>
        <v/>
      </c>
      <c r="R177" s="40" t="str">
        <f t="shared" si="4"/>
        <v/>
      </c>
      <c r="S177" s="40" t="str">
        <f>IF($K177="","",IF($C$4="",0,COUNTIFS(Assignments!$B$6:$B$1000,$K177,Assignments!$F$6:$F$1000,$C$4,Assignments!$D$6:$D$1000,"&gt;="&amp;Config!$B$3-7,Assignments!$D$6:$D$1000,"&lt;="&amp;Config!$B$3)))</f>
        <v/>
      </c>
      <c r="T177" s="40" t="str">
        <f>IF($K177="","",IFERROR(VLOOKUP($K177,Grinders!$A$4:$N$998,8,FALSE),""))</f>
        <v/>
      </c>
      <c r="U177" s="40" t="str">
        <f>IFERROR(IF($K177="","",IF($M177="Elite",MAX(50,MIN(100,Config!$B$27*MAX(0,MIN(100,(1-IF($R177="",0,$R177))*100)) + Config!$B$28*MAX(0,MIN(100,(1-MIN(1,IF(Config!$B$30=0,1,$S177/Config!$B$30)))*100)) + Config!$B$29*MAX(0,MIN(100,MIN(1,IF($T177="",0,$T177)/Config!$B$23)*100)))),MIN(100,Config!$B$27*MAX(0,MIN(100,(1-IF($R177="",0,$R177))*100)) + Config!$B$28*MAX(0,MIN(100,(1-MIN(1,IF(Config!$B$30=0,1,$S177/Config!$B$30)))*100)) + Config!$B$29*MAX(0,MIN(100,MIN(1,IF($T177="",0,$T177)/Config!$B$23)*100))))),"")
</f>
        <v/>
      </c>
      <c r="V177" s="40" t="str">
        <f>IF(Bids!$AC177="","",Bids!$AC177)</f>
        <v/>
      </c>
      <c r="W177" s="40" t="str">
        <f>IF(Bids!$F176="","",Bids!$F176)</f>
        <v/>
      </c>
      <c r="X177" s="40" t="str">
        <f t="shared" si="5"/>
        <v/>
      </c>
      <c r="Y177" s="40" t="str">
        <f>IF($X177="","",IF(Config!$B$17=Config!$B$16,IF($X177&gt;=Config!$B$17,100,0),MAX(0,MIN(100,($X177-Config!$B$16)/(Config!$B$17-Config!$B$16)*100))))</f>
        <v/>
      </c>
      <c r="Z177" s="40">
        <f>IF($M177="Elite",Config!$B$21,0)</f>
        <v>0</v>
      </c>
      <c r="AA177" s="40" t="str">
        <f>IFERROR(IF(OR($W177="",$H177=""),"",IF($W177&gt;$H177,
  MAX(0, 60-(($W177-$H177)*24/Config!$B$19)*60),
  MIN(100, 60+(($H177-$W177)*24/Config!$B$20)*40)
)),"")
</f>
        <v/>
      </c>
      <c r="AB177" s="40" t="str">
        <f>IF($K177="","",IFERROR(VLOOKUP($K177,Grinders!$A$4:$N$998,10,FALSE)/5*100,""))</f>
        <v/>
      </c>
      <c r="AC177" s="40" t="str">
        <f>IF($K177="","",IFERROR(VLOOKUP($K177,Grinders!$A$4:$N$998,11,FALSE)*100,""))</f>
        <v/>
      </c>
      <c r="AD177" s="40" t="str">
        <f>IF($K177="","",IFERROR(VLOOKUP($K177,Grinders!$A$4:$N$998,12,FALSE)*100,""))</f>
        <v/>
      </c>
      <c r="AE177" s="40" t="str">
        <f>IF(OR(AO177=1,AP177=1),0,=IFERROR(IFS(
    OR($C177="", $K177=""), 0,
    $F177=0, 0,
    $D177&lt;&gt;"Open", 0,
    COUNTIFS(GrinderServices!$A$6:$A$1000, $K177, GrinderServices!$B$6:$B$1000, $E177, GrinderServices!$D$6:$D$1000, "Y")=0, 0,
    $X177&lt;Config!$B$16, 0,
    Config!$B$18=1, IF($O177&gt;=N177, 0, 1),
    TRUE, 1
), "")
)</f>
        <v>#ERROR!</v>
      </c>
      <c r="AF177" s="40" t="str">
        <f>IFERROR((IF(OR(AO177=1,AP177=1),"",=IFERROR((IFERROR(IF($AE177=0,"",((Config!$B$6*$Y177 + Config!$B$7*$U177 + Config!$B$8*$Z177 + Config!$B$9*$AA177 + Config!$B$10*$AB177 + Config!$B$11*$AC177 - Config!$B$12*$AD177)/Config!$B$13)+$AK177+$AL177),""))*(1-IFERROR(VLOOKUP(K177,Grinders!$A:$AB, 28, FALSE),0)),"")))*(1+AR177),"")</f>
        <v>#ERROR!</v>
      </c>
      <c r="AG177" s="40" t="str">
        <f t="shared" si="6"/>
        <v>#ERROR!</v>
      </c>
      <c r="AH177" s="40" t="str">
        <f t="shared" si="7"/>
        <v/>
      </c>
      <c r="AI177" s="40" t="str">
        <f t="shared" si="8"/>
        <v/>
      </c>
      <c r="AJ177" s="40" t="str">
        <f>IF($K177="","",COUNTIF(Assignments!$B$6:$B$1000,$K177))</f>
        <v/>
      </c>
      <c r="AK177" s="40" t="str">
        <f>IF($K177="","",IF(AND($AJ177=0,$O177&lt;$N177),Config!$B$43,0))</f>
        <v/>
      </c>
      <c r="AL177" s="40" t="str">
        <f>IF($K177="","",IF(AND($M177="Elite",$G177&gt;=Config!$B$41,$O177&lt;$N177),Config!$B$42,0))</f>
        <v/>
      </c>
      <c r="AM177" s="22"/>
      <c r="AN177" s="39">
        <f>IFERROR(VLOOKUP(K177,Grinders!$A:$Q,28,FALSE),0)</f>
        <v>0</v>
      </c>
      <c r="AO177" s="39">
        <f>IF(Config!$B$1003&lt;&gt;"Y",0,IF(IFERROR(VLOOKUP(K177,Grinders!$A:$P,27,FALSE),0)&gt;=3,IF(OR(G177&gt;=Config!$B$1001,ISNUMBER(SEARCH(E177,Config!$B$1002))),1,0),0))</f>
        <v>0</v>
      </c>
      <c r="AP177" s="39">
        <f t="array" ref="AP177">IFERROR(IF(INDEX(Bids!$AE:$AE,MATCH(B177,Bids!$A:$A,0))="Pending",1,0),0)</f>
        <v>0</v>
      </c>
      <c r="AQ177" s="39" t="str">
        <f t="array" ref="AQ177">IF(C177="","",IFERROR(XLOOKUP(C177,Assignments!$C:$C,Assignments!$AU:$AU,0),0))</f>
        <v/>
      </c>
      <c r="AR177" s="39">
        <f>IF(AND(Config!$B$1006="Y",AQ177=1),Config!$B$1007,0)</f>
        <v>0</v>
      </c>
    </row>
    <row r="178" ht="15.75" customHeight="1">
      <c r="A178" s="46" t="str">
        <f t="shared" si="1"/>
        <v/>
      </c>
      <c r="B178" s="40" t="str">
        <f>IF(Bids!$A177="","",Bids!$A177)</f>
        <v/>
      </c>
      <c r="C178" s="40" t="str">
        <f>IF(Bids!$B177="","",Bids!$B177)</f>
        <v/>
      </c>
      <c r="D178" s="40" t="str">
        <f>IF($C178="","",IFERROR(VLOOKUP($C178,Orders!$A$4:$J$998,9,FALSE),""))</f>
        <v/>
      </c>
      <c r="E178" s="40" t="str">
        <f>IF($C178="","",IFERROR(VLOOKUP($C178,Orders!$A$4:$J$998,3,FALSE),""))</f>
        <v/>
      </c>
      <c r="F178" s="40">
        <f t="shared" si="2"/>
        <v>1</v>
      </c>
      <c r="G178" s="40" t="str">
        <f>IF($C178="","",IFERROR(VLOOKUP($C178,Orders!$A$4:$J$998,4,FALSE),""))</f>
        <v/>
      </c>
      <c r="H178" s="40" t="str">
        <f>IF($C178="","",IFERROR(VLOOKUP($C178,Orders!$A$4:$J$998,5,FALSE),""))</f>
        <v/>
      </c>
      <c r="I178" s="40" t="str">
        <f>IF($C178="","",IFERROR(VLOOKUP($C178,Orders!$A$4:$J$998,6,FALSE),""))</f>
        <v/>
      </c>
      <c r="J178" s="40" t="str">
        <f>IF($C178="","",IFERROR(VLOOKUP($C178,Orders!$A$4:$J$998,7,FALSE),""))</f>
        <v/>
      </c>
      <c r="K178" s="40" t="str">
        <f>IF(Bids!$C177="","",Bids!$C177)</f>
        <v/>
      </c>
      <c r="L178" s="40" t="str">
        <f>IF($K178="","",IFERROR(VLOOKUP($K178,Grinders!$A$4:$N$998,2,FALSE),""))</f>
        <v/>
      </c>
      <c r="M178" s="40" t="str">
        <f>IF($K178="","",IFERROR(VLOOKUP($K178,Grinders!$A$4:$N$998,3,FALSE),""))</f>
        <v/>
      </c>
      <c r="N178" s="40" t="str">
        <f>IF($K178="","",IFERROR(VLOOKUP($K178,Grinders!$A$4:$N$998,4,FALSE),""))</f>
        <v/>
      </c>
      <c r="O178" s="40" t="str">
        <f>IF($K178="","",IFERROR(VLOOKUP($K178,Grinders!$A$4:$N$998,5,FALSE),""))</f>
        <v/>
      </c>
      <c r="P178" s="40" t="str">
        <f>IF($K178="","",IF($C$4="",0,COUNTIFS(Assignments!$B$6:$B$1000,$K178,Assignments!$F$6:$F$1000,$C$4,Assignments!$E$6:$E$1000,"Active")))</f>
        <v/>
      </c>
      <c r="Q178" s="40" t="str">
        <f t="shared" si="3"/>
        <v/>
      </c>
      <c r="R178" s="40" t="str">
        <f t="shared" si="4"/>
        <v/>
      </c>
      <c r="S178" s="40" t="str">
        <f>IF($K178="","",IF($C$4="",0,COUNTIFS(Assignments!$B$6:$B$1000,$K178,Assignments!$F$6:$F$1000,$C$4,Assignments!$D$6:$D$1000,"&gt;="&amp;Config!$B$3-7,Assignments!$D$6:$D$1000,"&lt;="&amp;Config!$B$3)))</f>
        <v/>
      </c>
      <c r="T178" s="40" t="str">
        <f>IF($K178="","",IFERROR(VLOOKUP($K178,Grinders!$A$4:$N$998,8,FALSE),""))</f>
        <v/>
      </c>
      <c r="U178" s="40" t="str">
        <f>IFERROR(IF($K178="","",IF($M178="Elite",MAX(50,MIN(100,Config!$B$27*MAX(0,MIN(100,(1-IF($R178="",0,$R178))*100)) + Config!$B$28*MAX(0,MIN(100,(1-MIN(1,IF(Config!$B$30=0,1,$S178/Config!$B$30)))*100)) + Config!$B$29*MAX(0,MIN(100,MIN(1,IF($T178="",0,$T178)/Config!$B$23)*100)))),MIN(100,Config!$B$27*MAX(0,MIN(100,(1-IF($R178="",0,$R178))*100)) + Config!$B$28*MAX(0,MIN(100,(1-MIN(1,IF(Config!$B$30=0,1,$S178/Config!$B$30)))*100)) + Config!$B$29*MAX(0,MIN(100,MIN(1,IF($T178="",0,$T178)/Config!$B$23)*100))))),"")
</f>
        <v/>
      </c>
      <c r="V178" s="40" t="str">
        <f>IF(Bids!$AC178="","",Bids!$AC178)</f>
        <v/>
      </c>
      <c r="W178" s="40" t="str">
        <f>IF(Bids!$F177="","",Bids!$F177)</f>
        <v/>
      </c>
      <c r="X178" s="40" t="str">
        <f t="shared" si="5"/>
        <v/>
      </c>
      <c r="Y178" s="40" t="str">
        <f>IF($X178="","",IF(Config!$B$17=Config!$B$16,IF($X178&gt;=Config!$B$17,100,0),MAX(0,MIN(100,($X178-Config!$B$16)/(Config!$B$17-Config!$B$16)*100))))</f>
        <v/>
      </c>
      <c r="Z178" s="40">
        <f>IF($M178="Elite",Config!$B$21,0)</f>
        <v>0</v>
      </c>
      <c r="AA178" s="40" t="str">
        <f>IFERROR(IF(OR($W178="",$H178=""),"",IF($W178&gt;$H178,
  MAX(0, 60-(($W178-$H178)*24/Config!$B$19)*60),
  MIN(100, 60+(($H178-$W178)*24/Config!$B$20)*40)
)),"")
</f>
        <v/>
      </c>
      <c r="AB178" s="40" t="str">
        <f>IF($K178="","",IFERROR(VLOOKUP($K178,Grinders!$A$4:$N$998,10,FALSE)/5*100,""))</f>
        <v/>
      </c>
      <c r="AC178" s="40" t="str">
        <f>IF($K178="","",IFERROR(VLOOKUP($K178,Grinders!$A$4:$N$998,11,FALSE)*100,""))</f>
        <v/>
      </c>
      <c r="AD178" s="40" t="str">
        <f>IF($K178="","",IFERROR(VLOOKUP($K178,Grinders!$A$4:$N$998,12,FALSE)*100,""))</f>
        <v/>
      </c>
      <c r="AE178" s="40" t="str">
        <f>IF(OR(AO178=1,AP178=1),0,=IFERROR(IFS(
    OR($C178="", $K178=""), 0,
    $F178=0, 0,
    $D178&lt;&gt;"Open", 0,
    COUNTIFS(GrinderServices!$A$6:$A$1000, $K178, GrinderServices!$B$6:$B$1000, $E178, GrinderServices!$D$6:$D$1000, "Y")=0, 0,
    $X178&lt;Config!$B$16, 0,
    Config!$B$18=1, IF($O178&gt;=N178, 0, 1),
    TRUE, 1
), "")
)</f>
        <v>#ERROR!</v>
      </c>
      <c r="AF178" s="40" t="str">
        <f>IFERROR((IF(OR(AO178=1,AP178=1),"",=IFERROR((IFERROR(IF($AE178=0,"",((Config!$B$6*$Y178 + Config!$B$7*$U178 + Config!$B$8*$Z178 + Config!$B$9*$AA178 + Config!$B$10*$AB178 + Config!$B$11*$AC178 - Config!$B$12*$AD178)/Config!$B$13)+$AK178+$AL178),""))*(1-IFERROR(VLOOKUP(K178,Grinders!$A:$AB, 28, FALSE),0)),"")))*(1+AR178),"")</f>
        <v>#ERROR!</v>
      </c>
      <c r="AG178" s="40" t="str">
        <f t="shared" si="6"/>
        <v>#ERROR!</v>
      </c>
      <c r="AH178" s="40" t="str">
        <f t="shared" si="7"/>
        <v/>
      </c>
      <c r="AI178" s="40" t="str">
        <f t="shared" si="8"/>
        <v/>
      </c>
      <c r="AJ178" s="40" t="str">
        <f>IF($K178="","",COUNTIF(Assignments!$B$6:$B$1000,$K178))</f>
        <v/>
      </c>
      <c r="AK178" s="40" t="str">
        <f>IF($K178="","",IF(AND($AJ178=0,$O178&lt;$N178),Config!$B$43,0))</f>
        <v/>
      </c>
      <c r="AL178" s="40" t="str">
        <f>IF($K178="","",IF(AND($M178="Elite",$G178&gt;=Config!$B$41,$O178&lt;$N178),Config!$B$42,0))</f>
        <v/>
      </c>
      <c r="AM178" s="22"/>
      <c r="AN178" s="39">
        <f>IFERROR(VLOOKUP(K178,Grinders!$A:$Q,28,FALSE),0)</f>
        <v>0</v>
      </c>
      <c r="AO178" s="39">
        <f>IF(Config!$B$1003&lt;&gt;"Y",0,IF(IFERROR(VLOOKUP(K178,Grinders!$A:$P,27,FALSE),0)&gt;=3,IF(OR(G178&gt;=Config!$B$1001,ISNUMBER(SEARCH(E178,Config!$B$1002))),1,0),0))</f>
        <v>0</v>
      </c>
      <c r="AP178" s="39">
        <f t="array" ref="AP178">IFERROR(IF(INDEX(Bids!$AE:$AE,MATCH(B178,Bids!$A:$A,0))="Pending",1,0),0)</f>
        <v>0</v>
      </c>
      <c r="AQ178" s="39" t="str">
        <f t="array" ref="AQ178">IF(C178="","",IFERROR(XLOOKUP(C178,Assignments!$C:$C,Assignments!$AU:$AU,0),0))</f>
        <v/>
      </c>
      <c r="AR178" s="39">
        <f>IF(AND(Config!$B$1006="Y",AQ178=1),Config!$B$1007,0)</f>
        <v>0</v>
      </c>
    </row>
    <row r="179" ht="15.75" customHeight="1">
      <c r="A179" s="46" t="str">
        <f t="shared" si="1"/>
        <v/>
      </c>
      <c r="B179" s="40" t="str">
        <f>IF(Bids!$A178="","",Bids!$A178)</f>
        <v/>
      </c>
      <c r="C179" s="40" t="str">
        <f>IF(Bids!$B178="","",Bids!$B178)</f>
        <v/>
      </c>
      <c r="D179" s="40" t="str">
        <f>IF($C179="","",IFERROR(VLOOKUP($C179,Orders!$A$4:$J$998,9,FALSE),""))</f>
        <v/>
      </c>
      <c r="E179" s="40" t="str">
        <f>IF($C179="","",IFERROR(VLOOKUP($C179,Orders!$A$4:$J$998,3,FALSE),""))</f>
        <v/>
      </c>
      <c r="F179" s="40">
        <f t="shared" si="2"/>
        <v>1</v>
      </c>
      <c r="G179" s="40" t="str">
        <f>IF($C179="","",IFERROR(VLOOKUP($C179,Orders!$A$4:$J$998,4,FALSE),""))</f>
        <v/>
      </c>
      <c r="H179" s="40" t="str">
        <f>IF($C179="","",IFERROR(VLOOKUP($C179,Orders!$A$4:$J$998,5,FALSE),""))</f>
        <v/>
      </c>
      <c r="I179" s="40" t="str">
        <f>IF($C179="","",IFERROR(VLOOKUP($C179,Orders!$A$4:$J$998,6,FALSE),""))</f>
        <v/>
      </c>
      <c r="J179" s="40" t="str">
        <f>IF($C179="","",IFERROR(VLOOKUP($C179,Orders!$A$4:$J$998,7,FALSE),""))</f>
        <v/>
      </c>
      <c r="K179" s="40" t="str">
        <f>IF(Bids!$C178="","",Bids!$C178)</f>
        <v/>
      </c>
      <c r="L179" s="40" t="str">
        <f>IF($K179="","",IFERROR(VLOOKUP($K179,Grinders!$A$4:$N$998,2,FALSE),""))</f>
        <v/>
      </c>
      <c r="M179" s="40" t="str">
        <f>IF($K179="","",IFERROR(VLOOKUP($K179,Grinders!$A$4:$N$998,3,FALSE),""))</f>
        <v/>
      </c>
      <c r="N179" s="40" t="str">
        <f>IF($K179="","",IFERROR(VLOOKUP($K179,Grinders!$A$4:$N$998,4,FALSE),""))</f>
        <v/>
      </c>
      <c r="O179" s="40" t="str">
        <f>IF($K179="","",IFERROR(VLOOKUP($K179,Grinders!$A$4:$N$998,5,FALSE),""))</f>
        <v/>
      </c>
      <c r="P179" s="40" t="str">
        <f>IF($K179="","",IF($C$4="",0,COUNTIFS(Assignments!$B$6:$B$1000,$K179,Assignments!$F$6:$F$1000,$C$4,Assignments!$E$6:$E$1000,"Active")))</f>
        <v/>
      </c>
      <c r="Q179" s="40" t="str">
        <f t="shared" si="3"/>
        <v/>
      </c>
      <c r="R179" s="40" t="str">
        <f t="shared" si="4"/>
        <v/>
      </c>
      <c r="S179" s="40" t="str">
        <f>IF($K179="","",IF($C$4="",0,COUNTIFS(Assignments!$B$6:$B$1000,$K179,Assignments!$F$6:$F$1000,$C$4,Assignments!$D$6:$D$1000,"&gt;="&amp;Config!$B$3-7,Assignments!$D$6:$D$1000,"&lt;="&amp;Config!$B$3)))</f>
        <v/>
      </c>
      <c r="T179" s="40" t="str">
        <f>IF($K179="","",IFERROR(VLOOKUP($K179,Grinders!$A$4:$N$998,8,FALSE),""))</f>
        <v/>
      </c>
      <c r="U179" s="40" t="str">
        <f>IFERROR(IF($K179="","",IF($M179="Elite",MAX(50,MIN(100,Config!$B$27*MAX(0,MIN(100,(1-IF($R179="",0,$R179))*100)) + Config!$B$28*MAX(0,MIN(100,(1-MIN(1,IF(Config!$B$30=0,1,$S179/Config!$B$30)))*100)) + Config!$B$29*MAX(0,MIN(100,MIN(1,IF($T179="",0,$T179)/Config!$B$23)*100)))),MIN(100,Config!$B$27*MAX(0,MIN(100,(1-IF($R179="",0,$R179))*100)) + Config!$B$28*MAX(0,MIN(100,(1-MIN(1,IF(Config!$B$30=0,1,$S179/Config!$B$30)))*100)) + Config!$B$29*MAX(0,MIN(100,MIN(1,IF($T179="",0,$T179)/Config!$B$23)*100))))),"")
</f>
        <v/>
      </c>
      <c r="V179" s="40" t="str">
        <f>IF(Bids!$AC179="","",Bids!$AC179)</f>
        <v/>
      </c>
      <c r="W179" s="40" t="str">
        <f>IF(Bids!$F178="","",Bids!$F178)</f>
        <v/>
      </c>
      <c r="X179" s="40" t="str">
        <f t="shared" si="5"/>
        <v/>
      </c>
      <c r="Y179" s="40" t="str">
        <f>IF($X179="","",IF(Config!$B$17=Config!$B$16,IF($X179&gt;=Config!$B$17,100,0),MAX(0,MIN(100,($X179-Config!$B$16)/(Config!$B$17-Config!$B$16)*100))))</f>
        <v/>
      </c>
      <c r="Z179" s="40">
        <f>IF($M179="Elite",Config!$B$21,0)</f>
        <v>0</v>
      </c>
      <c r="AA179" s="40" t="str">
        <f>IFERROR(IF(OR($W179="",$H179=""),"",IF($W179&gt;$H179,
  MAX(0, 60-(($W179-$H179)*24/Config!$B$19)*60),
  MIN(100, 60+(($H179-$W179)*24/Config!$B$20)*40)
)),"")
</f>
        <v/>
      </c>
      <c r="AB179" s="40" t="str">
        <f>IF($K179="","",IFERROR(VLOOKUP($K179,Grinders!$A$4:$N$998,10,FALSE)/5*100,""))</f>
        <v/>
      </c>
      <c r="AC179" s="40" t="str">
        <f>IF($K179="","",IFERROR(VLOOKUP($K179,Grinders!$A$4:$N$998,11,FALSE)*100,""))</f>
        <v/>
      </c>
      <c r="AD179" s="40" t="str">
        <f>IF($K179="","",IFERROR(VLOOKUP($K179,Grinders!$A$4:$N$998,12,FALSE)*100,""))</f>
        <v/>
      </c>
      <c r="AE179" s="40" t="str">
        <f>IF(OR(AO179=1,AP179=1),0,=IFERROR(IFS(
    OR($C179="", $K179=""), 0,
    $F179=0, 0,
    $D179&lt;&gt;"Open", 0,
    COUNTIFS(GrinderServices!$A$6:$A$1000, $K179, GrinderServices!$B$6:$B$1000, $E179, GrinderServices!$D$6:$D$1000, "Y")=0, 0,
    $X179&lt;Config!$B$16, 0,
    Config!$B$18=1, IF($O179&gt;=N179, 0, 1),
    TRUE, 1
), "")
)</f>
        <v>#ERROR!</v>
      </c>
      <c r="AF179" s="40" t="str">
        <f>IFERROR((IF(OR(AO179=1,AP179=1),"",=IFERROR((IFERROR(IF($AE179=0,"",((Config!$B$6*$Y179 + Config!$B$7*$U179 + Config!$B$8*$Z179 + Config!$B$9*$AA179 + Config!$B$10*$AB179 + Config!$B$11*$AC179 - Config!$B$12*$AD179)/Config!$B$13)+$AK179+$AL179),""))*(1-IFERROR(VLOOKUP(K179,Grinders!$A:$AB, 28, FALSE),0)),"")))*(1+AR179),"")</f>
        <v>#ERROR!</v>
      </c>
      <c r="AG179" s="40" t="str">
        <f t="shared" si="6"/>
        <v>#ERROR!</v>
      </c>
      <c r="AH179" s="40" t="str">
        <f t="shared" si="7"/>
        <v/>
      </c>
      <c r="AI179" s="40" t="str">
        <f t="shared" si="8"/>
        <v/>
      </c>
      <c r="AJ179" s="40" t="str">
        <f>IF($K179="","",COUNTIF(Assignments!$B$6:$B$1000,$K179))</f>
        <v/>
      </c>
      <c r="AK179" s="40" t="str">
        <f>IF($K179="","",IF(AND($AJ179=0,$O179&lt;$N179),Config!$B$43,0))</f>
        <v/>
      </c>
      <c r="AL179" s="40" t="str">
        <f>IF($K179="","",IF(AND($M179="Elite",$G179&gt;=Config!$B$41,$O179&lt;$N179),Config!$B$42,0))</f>
        <v/>
      </c>
      <c r="AM179" s="22"/>
      <c r="AN179" s="39">
        <f>IFERROR(VLOOKUP(K179,Grinders!$A:$Q,28,FALSE),0)</f>
        <v>0</v>
      </c>
      <c r="AO179" s="39">
        <f>IF(Config!$B$1003&lt;&gt;"Y",0,IF(IFERROR(VLOOKUP(K179,Grinders!$A:$P,27,FALSE),0)&gt;=3,IF(OR(G179&gt;=Config!$B$1001,ISNUMBER(SEARCH(E179,Config!$B$1002))),1,0),0))</f>
        <v>0</v>
      </c>
      <c r="AP179" s="39">
        <f t="array" ref="AP179">IFERROR(IF(INDEX(Bids!$AE:$AE,MATCH(B179,Bids!$A:$A,0))="Pending",1,0),0)</f>
        <v>0</v>
      </c>
      <c r="AQ179" s="39" t="str">
        <f t="array" ref="AQ179">IF(C179="","",IFERROR(XLOOKUP(C179,Assignments!$C:$C,Assignments!$AU:$AU,0),0))</f>
        <v/>
      </c>
      <c r="AR179" s="39">
        <f>IF(AND(Config!$B$1006="Y",AQ179=1),Config!$B$1007,0)</f>
        <v>0</v>
      </c>
    </row>
    <row r="180" ht="15.75" customHeight="1">
      <c r="A180" s="46" t="str">
        <f t="shared" si="1"/>
        <v/>
      </c>
      <c r="B180" s="40" t="str">
        <f>IF(Bids!$A179="","",Bids!$A179)</f>
        <v/>
      </c>
      <c r="C180" s="40" t="str">
        <f>IF(Bids!$B179="","",Bids!$B179)</f>
        <v/>
      </c>
      <c r="D180" s="40" t="str">
        <f>IF($C180="","",IFERROR(VLOOKUP($C180,Orders!$A$4:$J$998,9,FALSE),""))</f>
        <v/>
      </c>
      <c r="E180" s="40" t="str">
        <f>IF($C180="","",IFERROR(VLOOKUP($C180,Orders!$A$4:$J$998,3,FALSE),""))</f>
        <v/>
      </c>
      <c r="F180" s="40">
        <f t="shared" si="2"/>
        <v>1</v>
      </c>
      <c r="G180" s="40" t="str">
        <f>IF($C180="","",IFERROR(VLOOKUP($C180,Orders!$A$4:$J$998,4,FALSE),""))</f>
        <v/>
      </c>
      <c r="H180" s="40" t="str">
        <f>IF($C180="","",IFERROR(VLOOKUP($C180,Orders!$A$4:$J$998,5,FALSE),""))</f>
        <v/>
      </c>
      <c r="I180" s="40" t="str">
        <f>IF($C180="","",IFERROR(VLOOKUP($C180,Orders!$A$4:$J$998,6,FALSE),""))</f>
        <v/>
      </c>
      <c r="J180" s="40" t="str">
        <f>IF($C180="","",IFERROR(VLOOKUP($C180,Orders!$A$4:$J$998,7,FALSE),""))</f>
        <v/>
      </c>
      <c r="K180" s="40" t="str">
        <f>IF(Bids!$C179="","",Bids!$C179)</f>
        <v/>
      </c>
      <c r="L180" s="40" t="str">
        <f>IF($K180="","",IFERROR(VLOOKUP($K180,Grinders!$A$4:$N$998,2,FALSE),""))</f>
        <v/>
      </c>
      <c r="M180" s="40" t="str">
        <f>IF($K180="","",IFERROR(VLOOKUP($K180,Grinders!$A$4:$N$998,3,FALSE),""))</f>
        <v/>
      </c>
      <c r="N180" s="40" t="str">
        <f>IF($K180="","",IFERROR(VLOOKUP($K180,Grinders!$A$4:$N$998,4,FALSE),""))</f>
        <v/>
      </c>
      <c r="O180" s="40" t="str">
        <f>IF($K180="","",IFERROR(VLOOKUP($K180,Grinders!$A$4:$N$998,5,FALSE),""))</f>
        <v/>
      </c>
      <c r="P180" s="40" t="str">
        <f>IF($K180="","",IF($C$4="",0,COUNTIFS(Assignments!$B$6:$B$1000,$K180,Assignments!$F$6:$F$1000,$C$4,Assignments!$E$6:$E$1000,"Active")))</f>
        <v/>
      </c>
      <c r="Q180" s="40" t="str">
        <f t="shared" si="3"/>
        <v/>
      </c>
      <c r="R180" s="40" t="str">
        <f t="shared" si="4"/>
        <v/>
      </c>
      <c r="S180" s="40" t="str">
        <f>IF($K180="","",IF($C$4="",0,COUNTIFS(Assignments!$B$6:$B$1000,$K180,Assignments!$F$6:$F$1000,$C$4,Assignments!$D$6:$D$1000,"&gt;="&amp;Config!$B$3-7,Assignments!$D$6:$D$1000,"&lt;="&amp;Config!$B$3)))</f>
        <v/>
      </c>
      <c r="T180" s="40" t="str">
        <f>IF($K180="","",IFERROR(VLOOKUP($K180,Grinders!$A$4:$N$998,8,FALSE),""))</f>
        <v/>
      </c>
      <c r="U180" s="40" t="str">
        <f>IFERROR(IF($K180="","",IF($M180="Elite",MAX(50,MIN(100,Config!$B$27*MAX(0,MIN(100,(1-IF($R180="",0,$R180))*100)) + Config!$B$28*MAX(0,MIN(100,(1-MIN(1,IF(Config!$B$30=0,1,$S180/Config!$B$30)))*100)) + Config!$B$29*MAX(0,MIN(100,MIN(1,IF($T180="",0,$T180)/Config!$B$23)*100)))),MIN(100,Config!$B$27*MAX(0,MIN(100,(1-IF($R180="",0,$R180))*100)) + Config!$B$28*MAX(0,MIN(100,(1-MIN(1,IF(Config!$B$30=0,1,$S180/Config!$B$30)))*100)) + Config!$B$29*MAX(0,MIN(100,MIN(1,IF($T180="",0,$T180)/Config!$B$23)*100))))),"")
</f>
        <v/>
      </c>
      <c r="V180" s="40" t="str">
        <f>IF(Bids!$AC180="","",Bids!$AC180)</f>
        <v/>
      </c>
      <c r="W180" s="40" t="str">
        <f>IF(Bids!$F179="","",Bids!$F179)</f>
        <v/>
      </c>
      <c r="X180" s="40" t="str">
        <f t="shared" si="5"/>
        <v/>
      </c>
      <c r="Y180" s="40" t="str">
        <f>IF($X180="","",IF(Config!$B$17=Config!$B$16,IF($X180&gt;=Config!$B$17,100,0),MAX(0,MIN(100,($X180-Config!$B$16)/(Config!$B$17-Config!$B$16)*100))))</f>
        <v/>
      </c>
      <c r="Z180" s="40">
        <f>IF($M180="Elite",Config!$B$21,0)</f>
        <v>0</v>
      </c>
      <c r="AA180" s="40" t="str">
        <f>IFERROR(IF(OR($W180="",$H180=""),"",IF($W180&gt;$H180,
  MAX(0, 60-(($W180-$H180)*24/Config!$B$19)*60),
  MIN(100, 60+(($H180-$W180)*24/Config!$B$20)*40)
)),"")
</f>
        <v/>
      </c>
      <c r="AB180" s="40" t="str">
        <f>IF($K180="","",IFERROR(VLOOKUP($K180,Grinders!$A$4:$N$998,10,FALSE)/5*100,""))</f>
        <v/>
      </c>
      <c r="AC180" s="40" t="str">
        <f>IF($K180="","",IFERROR(VLOOKUP($K180,Grinders!$A$4:$N$998,11,FALSE)*100,""))</f>
        <v/>
      </c>
      <c r="AD180" s="40" t="str">
        <f>IF($K180="","",IFERROR(VLOOKUP($K180,Grinders!$A$4:$N$998,12,FALSE)*100,""))</f>
        <v/>
      </c>
      <c r="AE180" s="40" t="str">
        <f>IF(OR(AO180=1,AP180=1),0,=IFERROR(IFS(
    OR($C180="", $K180=""), 0,
    $F180=0, 0,
    $D180&lt;&gt;"Open", 0,
    COUNTIFS(GrinderServices!$A$6:$A$1000, $K180, GrinderServices!$B$6:$B$1000, $E180, GrinderServices!$D$6:$D$1000, "Y")=0, 0,
    $X180&lt;Config!$B$16, 0,
    Config!$B$18=1, IF($O180&gt;=N180, 0, 1),
    TRUE, 1
), "")
)</f>
        <v>#ERROR!</v>
      </c>
      <c r="AF180" s="40" t="str">
        <f>IFERROR((IF(OR(AO180=1,AP180=1),"",=IFERROR((IFERROR(IF($AE180=0,"",((Config!$B$6*$Y180 + Config!$B$7*$U180 + Config!$B$8*$Z180 + Config!$B$9*$AA180 + Config!$B$10*$AB180 + Config!$B$11*$AC180 - Config!$B$12*$AD180)/Config!$B$13)+$AK180+$AL180),""))*(1-IFERROR(VLOOKUP(K180,Grinders!$A:$AB, 28, FALSE),0)),"")))*(1+AR180),"")</f>
        <v>#ERROR!</v>
      </c>
      <c r="AG180" s="40" t="str">
        <f t="shared" si="6"/>
        <v>#ERROR!</v>
      </c>
      <c r="AH180" s="40" t="str">
        <f t="shared" si="7"/>
        <v/>
      </c>
      <c r="AI180" s="40" t="str">
        <f t="shared" si="8"/>
        <v/>
      </c>
      <c r="AJ180" s="40" t="str">
        <f>IF($K180="","",COUNTIF(Assignments!$B$6:$B$1000,$K180))</f>
        <v/>
      </c>
      <c r="AK180" s="40" t="str">
        <f>IF($K180="","",IF(AND($AJ180=0,$O180&lt;$N180),Config!$B$43,0))</f>
        <v/>
      </c>
      <c r="AL180" s="40" t="str">
        <f>IF($K180="","",IF(AND($M180="Elite",$G180&gt;=Config!$B$41,$O180&lt;$N180),Config!$B$42,0))</f>
        <v/>
      </c>
      <c r="AM180" s="22"/>
      <c r="AN180" s="39">
        <f>IFERROR(VLOOKUP(K180,Grinders!$A:$Q,28,FALSE),0)</f>
        <v>0</v>
      </c>
      <c r="AO180" s="39">
        <f>IF(Config!$B$1003&lt;&gt;"Y",0,IF(IFERROR(VLOOKUP(K180,Grinders!$A:$P,27,FALSE),0)&gt;=3,IF(OR(G180&gt;=Config!$B$1001,ISNUMBER(SEARCH(E180,Config!$B$1002))),1,0),0))</f>
        <v>0</v>
      </c>
      <c r="AP180" s="39">
        <f t="array" ref="AP180">IFERROR(IF(INDEX(Bids!$AE:$AE,MATCH(B180,Bids!$A:$A,0))="Pending",1,0),0)</f>
        <v>0</v>
      </c>
      <c r="AQ180" s="39" t="str">
        <f t="array" ref="AQ180">IF(C180="","",IFERROR(XLOOKUP(C180,Assignments!$C:$C,Assignments!$AU:$AU,0),0))</f>
        <v/>
      </c>
      <c r="AR180" s="39">
        <f>IF(AND(Config!$B$1006="Y",AQ180=1),Config!$B$1007,0)</f>
        <v>0</v>
      </c>
    </row>
    <row r="181" ht="15.75" customHeight="1">
      <c r="A181" s="46" t="str">
        <f t="shared" si="1"/>
        <v/>
      </c>
      <c r="B181" s="40" t="str">
        <f>IF(Bids!$A180="","",Bids!$A180)</f>
        <v/>
      </c>
      <c r="C181" s="40" t="str">
        <f>IF(Bids!$B180="","",Bids!$B180)</f>
        <v/>
      </c>
      <c r="D181" s="40" t="str">
        <f>IF($C181="","",IFERROR(VLOOKUP($C181,Orders!$A$4:$J$998,9,FALSE),""))</f>
        <v/>
      </c>
      <c r="E181" s="40" t="str">
        <f>IF($C181="","",IFERROR(VLOOKUP($C181,Orders!$A$4:$J$998,3,FALSE),""))</f>
        <v/>
      </c>
      <c r="F181" s="40">
        <f t="shared" si="2"/>
        <v>1</v>
      </c>
      <c r="G181" s="40" t="str">
        <f>IF($C181="","",IFERROR(VLOOKUP($C181,Orders!$A$4:$J$998,4,FALSE),""))</f>
        <v/>
      </c>
      <c r="H181" s="40" t="str">
        <f>IF($C181="","",IFERROR(VLOOKUP($C181,Orders!$A$4:$J$998,5,FALSE),""))</f>
        <v/>
      </c>
      <c r="I181" s="40" t="str">
        <f>IF($C181="","",IFERROR(VLOOKUP($C181,Orders!$A$4:$J$998,6,FALSE),""))</f>
        <v/>
      </c>
      <c r="J181" s="40" t="str">
        <f>IF($C181="","",IFERROR(VLOOKUP($C181,Orders!$A$4:$J$998,7,FALSE),""))</f>
        <v/>
      </c>
      <c r="K181" s="40" t="str">
        <f>IF(Bids!$C180="","",Bids!$C180)</f>
        <v/>
      </c>
      <c r="L181" s="40" t="str">
        <f>IF($K181="","",IFERROR(VLOOKUP($K181,Grinders!$A$4:$N$998,2,FALSE),""))</f>
        <v/>
      </c>
      <c r="M181" s="40" t="str">
        <f>IF($K181="","",IFERROR(VLOOKUP($K181,Grinders!$A$4:$N$998,3,FALSE),""))</f>
        <v/>
      </c>
      <c r="N181" s="40" t="str">
        <f>IF($K181="","",IFERROR(VLOOKUP($K181,Grinders!$A$4:$N$998,4,FALSE),""))</f>
        <v/>
      </c>
      <c r="O181" s="40" t="str">
        <f>IF($K181="","",IFERROR(VLOOKUP($K181,Grinders!$A$4:$N$998,5,FALSE),""))</f>
        <v/>
      </c>
      <c r="P181" s="40" t="str">
        <f>IF($K181="","",IF($C$4="",0,COUNTIFS(Assignments!$B$6:$B$1000,$K181,Assignments!$F$6:$F$1000,$C$4,Assignments!$E$6:$E$1000,"Active")))</f>
        <v/>
      </c>
      <c r="Q181" s="40" t="str">
        <f t="shared" si="3"/>
        <v/>
      </c>
      <c r="R181" s="40" t="str">
        <f t="shared" si="4"/>
        <v/>
      </c>
      <c r="S181" s="40" t="str">
        <f>IF($K181="","",IF($C$4="",0,COUNTIFS(Assignments!$B$6:$B$1000,$K181,Assignments!$F$6:$F$1000,$C$4,Assignments!$D$6:$D$1000,"&gt;="&amp;Config!$B$3-7,Assignments!$D$6:$D$1000,"&lt;="&amp;Config!$B$3)))</f>
        <v/>
      </c>
      <c r="T181" s="40" t="str">
        <f>IF($K181="","",IFERROR(VLOOKUP($K181,Grinders!$A$4:$N$998,8,FALSE),""))</f>
        <v/>
      </c>
      <c r="U181" s="40" t="str">
        <f>IFERROR(IF($K181="","",IF($M181="Elite",MAX(50,MIN(100,Config!$B$27*MAX(0,MIN(100,(1-IF($R181="",0,$R181))*100)) + Config!$B$28*MAX(0,MIN(100,(1-MIN(1,IF(Config!$B$30=0,1,$S181/Config!$B$30)))*100)) + Config!$B$29*MAX(0,MIN(100,MIN(1,IF($T181="",0,$T181)/Config!$B$23)*100)))),MIN(100,Config!$B$27*MAX(0,MIN(100,(1-IF($R181="",0,$R181))*100)) + Config!$B$28*MAX(0,MIN(100,(1-MIN(1,IF(Config!$B$30=0,1,$S181/Config!$B$30)))*100)) + Config!$B$29*MAX(0,MIN(100,MIN(1,IF($T181="",0,$T181)/Config!$B$23)*100))))),"")
</f>
        <v/>
      </c>
      <c r="V181" s="40" t="str">
        <f>IF(Bids!$AC181="","",Bids!$AC181)</f>
        <v/>
      </c>
      <c r="W181" s="40" t="str">
        <f>IF(Bids!$F180="","",Bids!$F180)</f>
        <v/>
      </c>
      <c r="X181" s="40" t="str">
        <f t="shared" si="5"/>
        <v/>
      </c>
      <c r="Y181" s="40" t="str">
        <f>IF($X181="","",IF(Config!$B$17=Config!$B$16,IF($X181&gt;=Config!$B$17,100,0),MAX(0,MIN(100,($X181-Config!$B$16)/(Config!$B$17-Config!$B$16)*100))))</f>
        <v/>
      </c>
      <c r="Z181" s="40">
        <f>IF($M181="Elite",Config!$B$21,0)</f>
        <v>0</v>
      </c>
      <c r="AA181" s="40" t="str">
        <f>IFERROR(IF(OR($W181="",$H181=""),"",IF($W181&gt;$H181,
  MAX(0, 60-(($W181-$H181)*24/Config!$B$19)*60),
  MIN(100, 60+(($H181-$W181)*24/Config!$B$20)*40)
)),"")
</f>
        <v/>
      </c>
      <c r="AB181" s="40" t="str">
        <f>IF($K181="","",IFERROR(VLOOKUP($K181,Grinders!$A$4:$N$998,10,FALSE)/5*100,""))</f>
        <v/>
      </c>
      <c r="AC181" s="40" t="str">
        <f>IF($K181="","",IFERROR(VLOOKUP($K181,Grinders!$A$4:$N$998,11,FALSE)*100,""))</f>
        <v/>
      </c>
      <c r="AD181" s="40" t="str">
        <f>IF($K181="","",IFERROR(VLOOKUP($K181,Grinders!$A$4:$N$998,12,FALSE)*100,""))</f>
        <v/>
      </c>
      <c r="AE181" s="40" t="str">
        <f>IF(OR(AO181=1,AP181=1),0,=IFERROR(IFS(
    OR($C181="", $K181=""), 0,
    $F181=0, 0,
    $D181&lt;&gt;"Open", 0,
    COUNTIFS(GrinderServices!$A$6:$A$1000, $K181, GrinderServices!$B$6:$B$1000, $E181, GrinderServices!$D$6:$D$1000, "Y")=0, 0,
    $X181&lt;Config!$B$16, 0,
    Config!$B$18=1, IF($O181&gt;=N181, 0, 1),
    TRUE, 1
), "")
)</f>
        <v>#ERROR!</v>
      </c>
      <c r="AF181" s="40" t="str">
        <f>IFERROR((IF(OR(AO181=1,AP181=1),"",=IFERROR((IFERROR(IF($AE181=0,"",((Config!$B$6*$Y181 + Config!$B$7*$U181 + Config!$B$8*$Z181 + Config!$B$9*$AA181 + Config!$B$10*$AB181 + Config!$B$11*$AC181 - Config!$B$12*$AD181)/Config!$B$13)+$AK181+$AL181),""))*(1-IFERROR(VLOOKUP(K181,Grinders!$A:$AB, 28, FALSE),0)),"")))*(1+AR181),"")</f>
        <v>#ERROR!</v>
      </c>
      <c r="AG181" s="40" t="str">
        <f t="shared" si="6"/>
        <v>#ERROR!</v>
      </c>
      <c r="AH181" s="40" t="str">
        <f t="shared" si="7"/>
        <v/>
      </c>
      <c r="AI181" s="40" t="str">
        <f t="shared" si="8"/>
        <v/>
      </c>
      <c r="AJ181" s="40" t="str">
        <f>IF($K181="","",COUNTIF(Assignments!$B$6:$B$1000,$K181))</f>
        <v/>
      </c>
      <c r="AK181" s="40" t="str">
        <f>IF($K181="","",IF(AND($AJ181=0,$O181&lt;$N181),Config!$B$43,0))</f>
        <v/>
      </c>
      <c r="AL181" s="40" t="str">
        <f>IF($K181="","",IF(AND($M181="Elite",$G181&gt;=Config!$B$41,$O181&lt;$N181),Config!$B$42,0))</f>
        <v/>
      </c>
      <c r="AM181" s="22"/>
      <c r="AN181" s="39">
        <f>IFERROR(VLOOKUP(K181,Grinders!$A:$Q,28,FALSE),0)</f>
        <v>0</v>
      </c>
      <c r="AO181" s="39">
        <f>IF(Config!$B$1003&lt;&gt;"Y",0,IF(IFERROR(VLOOKUP(K181,Grinders!$A:$P,27,FALSE),0)&gt;=3,IF(OR(G181&gt;=Config!$B$1001,ISNUMBER(SEARCH(E181,Config!$B$1002))),1,0),0))</f>
        <v>0</v>
      </c>
      <c r="AP181" s="39">
        <f t="array" ref="AP181">IFERROR(IF(INDEX(Bids!$AE:$AE,MATCH(B181,Bids!$A:$A,0))="Pending",1,0),0)</f>
        <v>0</v>
      </c>
      <c r="AQ181" s="39" t="str">
        <f t="array" ref="AQ181">IF(C181="","",IFERROR(XLOOKUP(C181,Assignments!$C:$C,Assignments!$AU:$AU,0),0))</f>
        <v/>
      </c>
      <c r="AR181" s="39">
        <f>IF(AND(Config!$B$1006="Y",AQ181=1),Config!$B$1007,0)</f>
        <v>0</v>
      </c>
    </row>
    <row r="182" ht="15.75" customHeight="1">
      <c r="A182" s="46" t="str">
        <f t="shared" si="1"/>
        <v/>
      </c>
      <c r="B182" s="40" t="str">
        <f>IF(Bids!$A181="","",Bids!$A181)</f>
        <v/>
      </c>
      <c r="C182" s="40" t="str">
        <f>IF(Bids!$B181="","",Bids!$B181)</f>
        <v/>
      </c>
      <c r="D182" s="40" t="str">
        <f>IF($C182="","",IFERROR(VLOOKUP($C182,Orders!$A$4:$J$998,9,FALSE),""))</f>
        <v/>
      </c>
      <c r="E182" s="40" t="str">
        <f>IF($C182="","",IFERROR(VLOOKUP($C182,Orders!$A$4:$J$998,3,FALSE),""))</f>
        <v/>
      </c>
      <c r="F182" s="40">
        <f t="shared" si="2"/>
        <v>1</v>
      </c>
      <c r="G182" s="40" t="str">
        <f>IF($C182="","",IFERROR(VLOOKUP($C182,Orders!$A$4:$J$998,4,FALSE),""))</f>
        <v/>
      </c>
      <c r="H182" s="40" t="str">
        <f>IF($C182="","",IFERROR(VLOOKUP($C182,Orders!$A$4:$J$998,5,FALSE),""))</f>
        <v/>
      </c>
      <c r="I182" s="40" t="str">
        <f>IF($C182="","",IFERROR(VLOOKUP($C182,Orders!$A$4:$J$998,6,FALSE),""))</f>
        <v/>
      </c>
      <c r="J182" s="40" t="str">
        <f>IF($C182="","",IFERROR(VLOOKUP($C182,Orders!$A$4:$J$998,7,FALSE),""))</f>
        <v/>
      </c>
      <c r="K182" s="40" t="str">
        <f>IF(Bids!$C181="","",Bids!$C181)</f>
        <v/>
      </c>
      <c r="L182" s="40" t="str">
        <f>IF($K182="","",IFERROR(VLOOKUP($K182,Grinders!$A$4:$N$998,2,FALSE),""))</f>
        <v/>
      </c>
      <c r="M182" s="40" t="str">
        <f>IF($K182="","",IFERROR(VLOOKUP($K182,Grinders!$A$4:$N$998,3,FALSE),""))</f>
        <v/>
      </c>
      <c r="N182" s="40" t="str">
        <f>IF($K182="","",IFERROR(VLOOKUP($K182,Grinders!$A$4:$N$998,4,FALSE),""))</f>
        <v/>
      </c>
      <c r="O182" s="40" t="str">
        <f>IF($K182="","",IFERROR(VLOOKUP($K182,Grinders!$A$4:$N$998,5,FALSE),""))</f>
        <v/>
      </c>
      <c r="P182" s="40" t="str">
        <f>IF($K182="","",IF($C$4="",0,COUNTIFS(Assignments!$B$6:$B$1000,$K182,Assignments!$F$6:$F$1000,$C$4,Assignments!$E$6:$E$1000,"Active")))</f>
        <v/>
      </c>
      <c r="Q182" s="40" t="str">
        <f t="shared" si="3"/>
        <v/>
      </c>
      <c r="R182" s="40" t="str">
        <f t="shared" si="4"/>
        <v/>
      </c>
      <c r="S182" s="40" t="str">
        <f>IF($K182="","",IF($C$4="",0,COUNTIFS(Assignments!$B$6:$B$1000,$K182,Assignments!$F$6:$F$1000,$C$4,Assignments!$D$6:$D$1000,"&gt;="&amp;Config!$B$3-7,Assignments!$D$6:$D$1000,"&lt;="&amp;Config!$B$3)))</f>
        <v/>
      </c>
      <c r="T182" s="40" t="str">
        <f>IF($K182="","",IFERROR(VLOOKUP($K182,Grinders!$A$4:$N$998,8,FALSE),""))</f>
        <v/>
      </c>
      <c r="U182" s="40" t="str">
        <f>IFERROR(IF($K182="","",IF($M182="Elite",MAX(50,MIN(100,Config!$B$27*MAX(0,MIN(100,(1-IF($R182="",0,$R182))*100)) + Config!$B$28*MAX(0,MIN(100,(1-MIN(1,IF(Config!$B$30=0,1,$S182/Config!$B$30)))*100)) + Config!$B$29*MAX(0,MIN(100,MIN(1,IF($T182="",0,$T182)/Config!$B$23)*100)))),MIN(100,Config!$B$27*MAX(0,MIN(100,(1-IF($R182="",0,$R182))*100)) + Config!$B$28*MAX(0,MIN(100,(1-MIN(1,IF(Config!$B$30=0,1,$S182/Config!$B$30)))*100)) + Config!$B$29*MAX(0,MIN(100,MIN(1,IF($T182="",0,$T182)/Config!$B$23)*100))))),"")
</f>
        <v/>
      </c>
      <c r="V182" s="40" t="str">
        <f>IF(Bids!$AC182="","",Bids!$AC182)</f>
        <v/>
      </c>
      <c r="W182" s="40" t="str">
        <f>IF(Bids!$F181="","",Bids!$F181)</f>
        <v/>
      </c>
      <c r="X182" s="40" t="str">
        <f t="shared" si="5"/>
        <v/>
      </c>
      <c r="Y182" s="40" t="str">
        <f>IF($X182="","",IF(Config!$B$17=Config!$B$16,IF($X182&gt;=Config!$B$17,100,0),MAX(0,MIN(100,($X182-Config!$B$16)/(Config!$B$17-Config!$B$16)*100))))</f>
        <v/>
      </c>
      <c r="Z182" s="40">
        <f>IF($M182="Elite",Config!$B$21,0)</f>
        <v>0</v>
      </c>
      <c r="AA182" s="40" t="str">
        <f>IFERROR(IF(OR($W182="",$H182=""),"",IF($W182&gt;$H182,
  MAX(0, 60-(($W182-$H182)*24/Config!$B$19)*60),
  MIN(100, 60+(($H182-$W182)*24/Config!$B$20)*40)
)),"")
</f>
        <v/>
      </c>
      <c r="AB182" s="40" t="str">
        <f>IF($K182="","",IFERROR(VLOOKUP($K182,Grinders!$A$4:$N$998,10,FALSE)/5*100,""))</f>
        <v/>
      </c>
      <c r="AC182" s="40" t="str">
        <f>IF($K182="","",IFERROR(VLOOKUP($K182,Grinders!$A$4:$N$998,11,FALSE)*100,""))</f>
        <v/>
      </c>
      <c r="AD182" s="40" t="str">
        <f>IF($K182="","",IFERROR(VLOOKUP($K182,Grinders!$A$4:$N$998,12,FALSE)*100,""))</f>
        <v/>
      </c>
      <c r="AE182" s="40" t="str">
        <f>IF(OR(AO182=1,AP182=1),0,=IFERROR(IFS(
    OR($C182="", $K182=""), 0,
    $F182=0, 0,
    $D182&lt;&gt;"Open", 0,
    COUNTIFS(GrinderServices!$A$6:$A$1000, $K182, GrinderServices!$B$6:$B$1000, $E182, GrinderServices!$D$6:$D$1000, "Y")=0, 0,
    $X182&lt;Config!$B$16, 0,
    Config!$B$18=1, IF($O182&gt;=N182, 0, 1),
    TRUE, 1
), "")
)</f>
        <v>#ERROR!</v>
      </c>
      <c r="AF182" s="40" t="str">
        <f>IFERROR((IF(OR(AO182=1,AP182=1),"",=IFERROR((IFERROR(IF($AE182=0,"",((Config!$B$6*$Y182 + Config!$B$7*$U182 + Config!$B$8*$Z182 + Config!$B$9*$AA182 + Config!$B$10*$AB182 + Config!$B$11*$AC182 - Config!$B$12*$AD182)/Config!$B$13)+$AK182+$AL182),""))*(1-IFERROR(VLOOKUP(K182,Grinders!$A:$AB, 28, FALSE),0)),"")))*(1+AR182),"")</f>
        <v>#ERROR!</v>
      </c>
      <c r="AG182" s="40" t="str">
        <f t="shared" si="6"/>
        <v>#ERROR!</v>
      </c>
      <c r="AH182" s="40" t="str">
        <f t="shared" si="7"/>
        <v/>
      </c>
      <c r="AI182" s="40" t="str">
        <f t="shared" si="8"/>
        <v/>
      </c>
      <c r="AJ182" s="40" t="str">
        <f>IF($K182="","",COUNTIF(Assignments!$B$6:$B$1000,$K182))</f>
        <v/>
      </c>
      <c r="AK182" s="40" t="str">
        <f>IF($K182="","",IF(AND($AJ182=0,$O182&lt;$N182),Config!$B$43,0))</f>
        <v/>
      </c>
      <c r="AL182" s="40" t="str">
        <f>IF($K182="","",IF(AND($M182="Elite",$G182&gt;=Config!$B$41,$O182&lt;$N182),Config!$B$42,0))</f>
        <v/>
      </c>
      <c r="AM182" s="22"/>
      <c r="AN182" s="39">
        <f>IFERROR(VLOOKUP(K182,Grinders!$A:$Q,28,FALSE),0)</f>
        <v>0</v>
      </c>
      <c r="AO182" s="39">
        <f>IF(Config!$B$1003&lt;&gt;"Y",0,IF(IFERROR(VLOOKUP(K182,Grinders!$A:$P,27,FALSE),0)&gt;=3,IF(OR(G182&gt;=Config!$B$1001,ISNUMBER(SEARCH(E182,Config!$B$1002))),1,0),0))</f>
        <v>0</v>
      </c>
      <c r="AP182" s="39">
        <f t="array" ref="AP182">IFERROR(IF(INDEX(Bids!$AE:$AE,MATCH(B182,Bids!$A:$A,0))="Pending",1,0),0)</f>
        <v>0</v>
      </c>
      <c r="AQ182" s="39" t="str">
        <f t="array" ref="AQ182">IF(C182="","",IFERROR(XLOOKUP(C182,Assignments!$C:$C,Assignments!$AU:$AU,0),0))</f>
        <v/>
      </c>
      <c r="AR182" s="39">
        <f>IF(AND(Config!$B$1006="Y",AQ182=1),Config!$B$1007,0)</f>
        <v>0</v>
      </c>
    </row>
    <row r="183" ht="15.75" customHeight="1">
      <c r="A183" s="46" t="str">
        <f t="shared" si="1"/>
        <v/>
      </c>
      <c r="B183" s="40" t="str">
        <f>IF(Bids!$A182="","",Bids!$A182)</f>
        <v/>
      </c>
      <c r="C183" s="40" t="str">
        <f>IF(Bids!$B182="","",Bids!$B182)</f>
        <v/>
      </c>
      <c r="D183" s="40" t="str">
        <f>IF($C183="","",IFERROR(VLOOKUP($C183,Orders!$A$4:$J$998,9,FALSE),""))</f>
        <v/>
      </c>
      <c r="E183" s="40" t="str">
        <f>IF($C183="","",IFERROR(VLOOKUP($C183,Orders!$A$4:$J$998,3,FALSE),""))</f>
        <v/>
      </c>
      <c r="F183" s="40">
        <f t="shared" si="2"/>
        <v>1</v>
      </c>
      <c r="G183" s="40" t="str">
        <f>IF($C183="","",IFERROR(VLOOKUP($C183,Orders!$A$4:$J$998,4,FALSE),""))</f>
        <v/>
      </c>
      <c r="H183" s="40" t="str">
        <f>IF($C183="","",IFERROR(VLOOKUP($C183,Orders!$A$4:$J$998,5,FALSE),""))</f>
        <v/>
      </c>
      <c r="I183" s="40" t="str">
        <f>IF($C183="","",IFERROR(VLOOKUP($C183,Orders!$A$4:$J$998,6,FALSE),""))</f>
        <v/>
      </c>
      <c r="J183" s="40" t="str">
        <f>IF($C183="","",IFERROR(VLOOKUP($C183,Orders!$A$4:$J$998,7,FALSE),""))</f>
        <v/>
      </c>
      <c r="K183" s="40" t="str">
        <f>IF(Bids!$C182="","",Bids!$C182)</f>
        <v/>
      </c>
      <c r="L183" s="40" t="str">
        <f>IF($K183="","",IFERROR(VLOOKUP($K183,Grinders!$A$4:$N$998,2,FALSE),""))</f>
        <v/>
      </c>
      <c r="M183" s="40" t="str">
        <f>IF($K183="","",IFERROR(VLOOKUP($K183,Grinders!$A$4:$N$998,3,FALSE),""))</f>
        <v/>
      </c>
      <c r="N183" s="40" t="str">
        <f>IF($K183="","",IFERROR(VLOOKUP($K183,Grinders!$A$4:$N$998,4,FALSE),""))</f>
        <v/>
      </c>
      <c r="O183" s="40" t="str">
        <f>IF($K183="","",IFERROR(VLOOKUP($K183,Grinders!$A$4:$N$998,5,FALSE),""))</f>
        <v/>
      </c>
      <c r="P183" s="40" t="str">
        <f>IF($K183="","",IF($C$4="",0,COUNTIFS(Assignments!$B$6:$B$1000,$K183,Assignments!$F$6:$F$1000,$C$4,Assignments!$E$6:$E$1000,"Active")))</f>
        <v/>
      </c>
      <c r="Q183" s="40" t="str">
        <f t="shared" si="3"/>
        <v/>
      </c>
      <c r="R183" s="40" t="str">
        <f t="shared" si="4"/>
        <v/>
      </c>
      <c r="S183" s="40" t="str">
        <f>IF($K183="","",IF($C$4="",0,COUNTIFS(Assignments!$B$6:$B$1000,$K183,Assignments!$F$6:$F$1000,$C$4,Assignments!$D$6:$D$1000,"&gt;="&amp;Config!$B$3-7,Assignments!$D$6:$D$1000,"&lt;="&amp;Config!$B$3)))</f>
        <v/>
      </c>
      <c r="T183" s="40" t="str">
        <f>IF($K183="","",IFERROR(VLOOKUP($K183,Grinders!$A$4:$N$998,8,FALSE),""))</f>
        <v/>
      </c>
      <c r="U183" s="40" t="str">
        <f>IFERROR(IF($K183="","",IF($M183="Elite",MAX(50,MIN(100,Config!$B$27*MAX(0,MIN(100,(1-IF($R183="",0,$R183))*100)) + Config!$B$28*MAX(0,MIN(100,(1-MIN(1,IF(Config!$B$30=0,1,$S183/Config!$B$30)))*100)) + Config!$B$29*MAX(0,MIN(100,MIN(1,IF($T183="",0,$T183)/Config!$B$23)*100)))),MIN(100,Config!$B$27*MAX(0,MIN(100,(1-IF($R183="",0,$R183))*100)) + Config!$B$28*MAX(0,MIN(100,(1-MIN(1,IF(Config!$B$30=0,1,$S183/Config!$B$30)))*100)) + Config!$B$29*MAX(0,MIN(100,MIN(1,IF($T183="",0,$T183)/Config!$B$23)*100))))),"")
</f>
        <v/>
      </c>
      <c r="V183" s="40" t="str">
        <f>IF(Bids!$AC183="","",Bids!$AC183)</f>
        <v/>
      </c>
      <c r="W183" s="40" t="str">
        <f>IF(Bids!$F182="","",Bids!$F182)</f>
        <v/>
      </c>
      <c r="X183" s="40" t="str">
        <f t="shared" si="5"/>
        <v/>
      </c>
      <c r="Y183" s="40" t="str">
        <f>IF($X183="","",IF(Config!$B$17=Config!$B$16,IF($X183&gt;=Config!$B$17,100,0),MAX(0,MIN(100,($X183-Config!$B$16)/(Config!$B$17-Config!$B$16)*100))))</f>
        <v/>
      </c>
      <c r="Z183" s="40">
        <f>IF($M183="Elite",Config!$B$21,0)</f>
        <v>0</v>
      </c>
      <c r="AA183" s="40" t="str">
        <f>IFERROR(IF(OR($W183="",$H183=""),"",IF($W183&gt;$H183,
  MAX(0, 60-(($W183-$H183)*24/Config!$B$19)*60),
  MIN(100, 60+(($H183-$W183)*24/Config!$B$20)*40)
)),"")
</f>
        <v/>
      </c>
      <c r="AB183" s="40" t="str">
        <f>IF($K183="","",IFERROR(VLOOKUP($K183,Grinders!$A$4:$N$998,10,FALSE)/5*100,""))</f>
        <v/>
      </c>
      <c r="AC183" s="40" t="str">
        <f>IF($K183="","",IFERROR(VLOOKUP($K183,Grinders!$A$4:$N$998,11,FALSE)*100,""))</f>
        <v/>
      </c>
      <c r="AD183" s="40" t="str">
        <f>IF($K183="","",IFERROR(VLOOKUP($K183,Grinders!$A$4:$N$998,12,FALSE)*100,""))</f>
        <v/>
      </c>
      <c r="AE183" s="40" t="str">
        <f>IF(OR(AO183=1,AP183=1),0,=IFERROR(IFS(
    OR($C183="", $K183=""), 0,
    $F183=0, 0,
    $D183&lt;&gt;"Open", 0,
    COUNTIFS(GrinderServices!$A$6:$A$1000, $K183, GrinderServices!$B$6:$B$1000, $E183, GrinderServices!$D$6:$D$1000, "Y")=0, 0,
    $X183&lt;Config!$B$16, 0,
    Config!$B$18=1, IF($O183&gt;=N183, 0, 1),
    TRUE, 1
), "")
)</f>
        <v>#ERROR!</v>
      </c>
      <c r="AF183" s="40" t="str">
        <f>IFERROR((IF(OR(AO183=1,AP183=1),"",=IFERROR((IFERROR(IF($AE183=0,"",((Config!$B$6*$Y183 + Config!$B$7*$U183 + Config!$B$8*$Z183 + Config!$B$9*$AA183 + Config!$B$10*$AB183 + Config!$B$11*$AC183 - Config!$B$12*$AD183)/Config!$B$13)+$AK183+$AL183),""))*(1-IFERROR(VLOOKUP(K183,Grinders!$A:$AB, 28, FALSE),0)),"")))*(1+AR183),"")</f>
        <v>#ERROR!</v>
      </c>
      <c r="AG183" s="40" t="str">
        <f t="shared" si="6"/>
        <v>#ERROR!</v>
      </c>
      <c r="AH183" s="40" t="str">
        <f t="shared" si="7"/>
        <v/>
      </c>
      <c r="AI183" s="40" t="str">
        <f t="shared" si="8"/>
        <v/>
      </c>
      <c r="AJ183" s="40" t="str">
        <f>IF($K183="","",COUNTIF(Assignments!$B$6:$B$1000,$K183))</f>
        <v/>
      </c>
      <c r="AK183" s="40" t="str">
        <f>IF($K183="","",IF(AND($AJ183=0,$O183&lt;$N183),Config!$B$43,0))</f>
        <v/>
      </c>
      <c r="AL183" s="40" t="str">
        <f>IF($K183="","",IF(AND($M183="Elite",$G183&gt;=Config!$B$41,$O183&lt;$N183),Config!$B$42,0))</f>
        <v/>
      </c>
      <c r="AM183" s="22"/>
      <c r="AN183" s="39">
        <f>IFERROR(VLOOKUP(K183,Grinders!$A:$Q,28,FALSE),0)</f>
        <v>0</v>
      </c>
      <c r="AO183" s="39">
        <f>IF(Config!$B$1003&lt;&gt;"Y",0,IF(IFERROR(VLOOKUP(K183,Grinders!$A:$P,27,FALSE),0)&gt;=3,IF(OR(G183&gt;=Config!$B$1001,ISNUMBER(SEARCH(E183,Config!$B$1002))),1,0),0))</f>
        <v>0</v>
      </c>
      <c r="AP183" s="39">
        <f t="array" ref="AP183">IFERROR(IF(INDEX(Bids!$AE:$AE,MATCH(B183,Bids!$A:$A,0))="Pending",1,0),0)</f>
        <v>0</v>
      </c>
      <c r="AQ183" s="39" t="str">
        <f t="array" ref="AQ183">IF(C183="","",IFERROR(XLOOKUP(C183,Assignments!$C:$C,Assignments!$AU:$AU,0),0))</f>
        <v/>
      </c>
      <c r="AR183" s="39">
        <f>IF(AND(Config!$B$1006="Y",AQ183=1),Config!$B$1007,0)</f>
        <v>0</v>
      </c>
    </row>
    <row r="184" ht="15.75" customHeight="1">
      <c r="A184" s="46" t="str">
        <f t="shared" si="1"/>
        <v/>
      </c>
      <c r="B184" s="40" t="str">
        <f>IF(Bids!$A183="","",Bids!$A183)</f>
        <v/>
      </c>
      <c r="C184" s="40" t="str">
        <f>IF(Bids!$B183="","",Bids!$B183)</f>
        <v/>
      </c>
      <c r="D184" s="40" t="str">
        <f>IF($C184="","",IFERROR(VLOOKUP($C184,Orders!$A$4:$J$998,9,FALSE),""))</f>
        <v/>
      </c>
      <c r="E184" s="40" t="str">
        <f>IF($C184="","",IFERROR(VLOOKUP($C184,Orders!$A$4:$J$998,3,FALSE),""))</f>
        <v/>
      </c>
      <c r="F184" s="40">
        <f t="shared" si="2"/>
        <v>1</v>
      </c>
      <c r="G184" s="40" t="str">
        <f>IF($C184="","",IFERROR(VLOOKUP($C184,Orders!$A$4:$J$998,4,FALSE),""))</f>
        <v/>
      </c>
      <c r="H184" s="40" t="str">
        <f>IF($C184="","",IFERROR(VLOOKUP($C184,Orders!$A$4:$J$998,5,FALSE),""))</f>
        <v/>
      </c>
      <c r="I184" s="40" t="str">
        <f>IF($C184="","",IFERROR(VLOOKUP($C184,Orders!$A$4:$J$998,6,FALSE),""))</f>
        <v/>
      </c>
      <c r="J184" s="40" t="str">
        <f>IF($C184="","",IFERROR(VLOOKUP($C184,Orders!$A$4:$J$998,7,FALSE),""))</f>
        <v/>
      </c>
      <c r="K184" s="40" t="str">
        <f>IF(Bids!$C183="","",Bids!$C183)</f>
        <v/>
      </c>
      <c r="L184" s="40" t="str">
        <f>IF($K184="","",IFERROR(VLOOKUP($K184,Grinders!$A$4:$N$998,2,FALSE),""))</f>
        <v/>
      </c>
      <c r="M184" s="40" t="str">
        <f>IF($K184="","",IFERROR(VLOOKUP($K184,Grinders!$A$4:$N$998,3,FALSE),""))</f>
        <v/>
      </c>
      <c r="N184" s="40" t="str">
        <f>IF($K184="","",IFERROR(VLOOKUP($K184,Grinders!$A$4:$N$998,4,FALSE),""))</f>
        <v/>
      </c>
      <c r="O184" s="40" t="str">
        <f>IF($K184="","",IFERROR(VLOOKUP($K184,Grinders!$A$4:$N$998,5,FALSE),""))</f>
        <v/>
      </c>
      <c r="P184" s="40" t="str">
        <f>IF($K184="","",IF($C$4="",0,COUNTIFS(Assignments!$B$6:$B$1000,$K184,Assignments!$F$6:$F$1000,$C$4,Assignments!$E$6:$E$1000,"Active")))</f>
        <v/>
      </c>
      <c r="Q184" s="40" t="str">
        <f t="shared" si="3"/>
        <v/>
      </c>
      <c r="R184" s="40" t="str">
        <f t="shared" si="4"/>
        <v/>
      </c>
      <c r="S184" s="40" t="str">
        <f>IF($K184="","",IF($C$4="",0,COUNTIFS(Assignments!$B$6:$B$1000,$K184,Assignments!$F$6:$F$1000,$C$4,Assignments!$D$6:$D$1000,"&gt;="&amp;Config!$B$3-7,Assignments!$D$6:$D$1000,"&lt;="&amp;Config!$B$3)))</f>
        <v/>
      </c>
      <c r="T184" s="40" t="str">
        <f>IF($K184="","",IFERROR(VLOOKUP($K184,Grinders!$A$4:$N$998,8,FALSE),""))</f>
        <v/>
      </c>
      <c r="U184" s="40" t="str">
        <f>IFERROR(IF($K184="","",IF($M184="Elite",MAX(50,MIN(100,Config!$B$27*MAX(0,MIN(100,(1-IF($R184="",0,$R184))*100)) + Config!$B$28*MAX(0,MIN(100,(1-MIN(1,IF(Config!$B$30=0,1,$S184/Config!$B$30)))*100)) + Config!$B$29*MAX(0,MIN(100,MIN(1,IF($T184="",0,$T184)/Config!$B$23)*100)))),MIN(100,Config!$B$27*MAX(0,MIN(100,(1-IF($R184="",0,$R184))*100)) + Config!$B$28*MAX(0,MIN(100,(1-MIN(1,IF(Config!$B$30=0,1,$S184/Config!$B$30)))*100)) + Config!$B$29*MAX(0,MIN(100,MIN(1,IF($T184="",0,$T184)/Config!$B$23)*100))))),"")
</f>
        <v/>
      </c>
      <c r="V184" s="40" t="str">
        <f>IF(Bids!$AC184="","",Bids!$AC184)</f>
        <v/>
      </c>
      <c r="W184" s="40" t="str">
        <f>IF(Bids!$F183="","",Bids!$F183)</f>
        <v/>
      </c>
      <c r="X184" s="40" t="str">
        <f t="shared" si="5"/>
        <v/>
      </c>
      <c r="Y184" s="40" t="str">
        <f>IF($X184="","",IF(Config!$B$17=Config!$B$16,IF($X184&gt;=Config!$B$17,100,0),MAX(0,MIN(100,($X184-Config!$B$16)/(Config!$B$17-Config!$B$16)*100))))</f>
        <v/>
      </c>
      <c r="Z184" s="40">
        <f>IF($M184="Elite",Config!$B$21,0)</f>
        <v>0</v>
      </c>
      <c r="AA184" s="40" t="str">
        <f>IFERROR(IF(OR($W184="",$H184=""),"",IF($W184&gt;$H184,
  MAX(0, 60-(($W184-$H184)*24/Config!$B$19)*60),
  MIN(100, 60+(($H184-$W184)*24/Config!$B$20)*40)
)),"")
</f>
        <v/>
      </c>
      <c r="AB184" s="40" t="str">
        <f>IF($K184="","",IFERROR(VLOOKUP($K184,Grinders!$A$4:$N$998,10,FALSE)/5*100,""))</f>
        <v/>
      </c>
      <c r="AC184" s="40" t="str">
        <f>IF($K184="","",IFERROR(VLOOKUP($K184,Grinders!$A$4:$N$998,11,FALSE)*100,""))</f>
        <v/>
      </c>
      <c r="AD184" s="40" t="str">
        <f>IF($K184="","",IFERROR(VLOOKUP($K184,Grinders!$A$4:$N$998,12,FALSE)*100,""))</f>
        <v/>
      </c>
      <c r="AE184" s="40" t="str">
        <f>IF(OR(AO184=1,AP184=1),0,=IFERROR(IFS(
    OR($C184="", $K184=""), 0,
    $F184=0, 0,
    $D184&lt;&gt;"Open", 0,
    COUNTIFS(GrinderServices!$A$6:$A$1000, $K184, GrinderServices!$B$6:$B$1000, $E184, GrinderServices!$D$6:$D$1000, "Y")=0, 0,
    $X184&lt;Config!$B$16, 0,
    Config!$B$18=1, IF($O184&gt;=N184, 0, 1),
    TRUE, 1
), "")
)</f>
        <v>#ERROR!</v>
      </c>
      <c r="AF184" s="40" t="str">
        <f>IFERROR((IF(OR(AO184=1,AP184=1),"",=IFERROR((IFERROR(IF($AE184=0,"",((Config!$B$6*$Y184 + Config!$B$7*$U184 + Config!$B$8*$Z184 + Config!$B$9*$AA184 + Config!$B$10*$AB184 + Config!$B$11*$AC184 - Config!$B$12*$AD184)/Config!$B$13)+$AK184+$AL184),""))*(1-IFERROR(VLOOKUP(K184,Grinders!$A:$AB, 28, FALSE),0)),"")))*(1+AR184),"")</f>
        <v>#ERROR!</v>
      </c>
      <c r="AG184" s="40" t="str">
        <f t="shared" si="6"/>
        <v>#ERROR!</v>
      </c>
      <c r="AH184" s="40" t="str">
        <f t="shared" si="7"/>
        <v/>
      </c>
      <c r="AI184" s="40" t="str">
        <f t="shared" si="8"/>
        <v/>
      </c>
      <c r="AJ184" s="40" t="str">
        <f>IF($K184="","",COUNTIF(Assignments!$B$6:$B$1000,$K184))</f>
        <v/>
      </c>
      <c r="AK184" s="40" t="str">
        <f>IF($K184="","",IF(AND($AJ184=0,$O184&lt;$N184),Config!$B$43,0))</f>
        <v/>
      </c>
      <c r="AL184" s="40" t="str">
        <f>IF($K184="","",IF(AND($M184="Elite",$G184&gt;=Config!$B$41,$O184&lt;$N184),Config!$B$42,0))</f>
        <v/>
      </c>
      <c r="AM184" s="22"/>
      <c r="AN184" s="39">
        <f>IFERROR(VLOOKUP(K184,Grinders!$A:$Q,28,FALSE),0)</f>
        <v>0</v>
      </c>
      <c r="AO184" s="39">
        <f>IF(Config!$B$1003&lt;&gt;"Y",0,IF(IFERROR(VLOOKUP(K184,Grinders!$A:$P,27,FALSE),0)&gt;=3,IF(OR(G184&gt;=Config!$B$1001,ISNUMBER(SEARCH(E184,Config!$B$1002))),1,0),0))</f>
        <v>0</v>
      </c>
      <c r="AP184" s="39">
        <f t="array" ref="AP184">IFERROR(IF(INDEX(Bids!$AE:$AE,MATCH(B184,Bids!$A:$A,0))="Pending",1,0),0)</f>
        <v>0</v>
      </c>
      <c r="AQ184" s="39" t="str">
        <f t="array" ref="AQ184">IF(C184="","",IFERROR(XLOOKUP(C184,Assignments!$C:$C,Assignments!$AU:$AU,0),0))</f>
        <v/>
      </c>
      <c r="AR184" s="39">
        <f>IF(AND(Config!$B$1006="Y",AQ184=1),Config!$B$1007,0)</f>
        <v>0</v>
      </c>
    </row>
    <row r="185" ht="15.75" customHeight="1">
      <c r="A185" s="46" t="str">
        <f t="shared" si="1"/>
        <v/>
      </c>
      <c r="B185" s="40" t="str">
        <f>IF(Bids!$A184="","",Bids!$A184)</f>
        <v/>
      </c>
      <c r="C185" s="40" t="str">
        <f>IF(Bids!$B184="","",Bids!$B184)</f>
        <v/>
      </c>
      <c r="D185" s="40" t="str">
        <f>IF($C185="","",IFERROR(VLOOKUP($C185,Orders!$A$4:$J$998,9,FALSE),""))</f>
        <v/>
      </c>
      <c r="E185" s="40" t="str">
        <f>IF($C185="","",IFERROR(VLOOKUP($C185,Orders!$A$4:$J$998,3,FALSE),""))</f>
        <v/>
      </c>
      <c r="F185" s="40">
        <f t="shared" si="2"/>
        <v>1</v>
      </c>
      <c r="G185" s="40" t="str">
        <f>IF($C185="","",IFERROR(VLOOKUP($C185,Orders!$A$4:$J$998,4,FALSE),""))</f>
        <v/>
      </c>
      <c r="H185" s="40" t="str">
        <f>IF($C185="","",IFERROR(VLOOKUP($C185,Orders!$A$4:$J$998,5,FALSE),""))</f>
        <v/>
      </c>
      <c r="I185" s="40" t="str">
        <f>IF($C185="","",IFERROR(VLOOKUP($C185,Orders!$A$4:$J$998,6,FALSE),""))</f>
        <v/>
      </c>
      <c r="J185" s="40" t="str">
        <f>IF($C185="","",IFERROR(VLOOKUP($C185,Orders!$A$4:$J$998,7,FALSE),""))</f>
        <v/>
      </c>
      <c r="K185" s="40" t="str">
        <f>IF(Bids!$C184="","",Bids!$C184)</f>
        <v/>
      </c>
      <c r="L185" s="40" t="str">
        <f>IF($K185="","",IFERROR(VLOOKUP($K185,Grinders!$A$4:$N$998,2,FALSE),""))</f>
        <v/>
      </c>
      <c r="M185" s="40" t="str">
        <f>IF($K185="","",IFERROR(VLOOKUP($K185,Grinders!$A$4:$N$998,3,FALSE),""))</f>
        <v/>
      </c>
      <c r="N185" s="40" t="str">
        <f>IF($K185="","",IFERROR(VLOOKUP($K185,Grinders!$A$4:$N$998,4,FALSE),""))</f>
        <v/>
      </c>
      <c r="O185" s="40" t="str">
        <f>IF($K185="","",IFERROR(VLOOKUP($K185,Grinders!$A$4:$N$998,5,FALSE),""))</f>
        <v/>
      </c>
      <c r="P185" s="40" t="str">
        <f>IF($K185="","",IF($C$4="",0,COUNTIFS(Assignments!$B$6:$B$1000,$K185,Assignments!$F$6:$F$1000,$C$4,Assignments!$E$6:$E$1000,"Active")))</f>
        <v/>
      </c>
      <c r="Q185" s="40" t="str">
        <f t="shared" si="3"/>
        <v/>
      </c>
      <c r="R185" s="40" t="str">
        <f t="shared" si="4"/>
        <v/>
      </c>
      <c r="S185" s="40" t="str">
        <f>IF($K185="","",IF($C$4="",0,COUNTIFS(Assignments!$B$6:$B$1000,$K185,Assignments!$F$6:$F$1000,$C$4,Assignments!$D$6:$D$1000,"&gt;="&amp;Config!$B$3-7,Assignments!$D$6:$D$1000,"&lt;="&amp;Config!$B$3)))</f>
        <v/>
      </c>
      <c r="T185" s="40" t="str">
        <f>IF($K185="","",IFERROR(VLOOKUP($K185,Grinders!$A$4:$N$998,8,FALSE),""))</f>
        <v/>
      </c>
      <c r="U185" s="40" t="str">
        <f>IFERROR(IF($K185="","",IF($M185="Elite",MAX(50,MIN(100,Config!$B$27*MAX(0,MIN(100,(1-IF($R185="",0,$R185))*100)) + Config!$B$28*MAX(0,MIN(100,(1-MIN(1,IF(Config!$B$30=0,1,$S185/Config!$B$30)))*100)) + Config!$B$29*MAX(0,MIN(100,MIN(1,IF($T185="",0,$T185)/Config!$B$23)*100)))),MIN(100,Config!$B$27*MAX(0,MIN(100,(1-IF($R185="",0,$R185))*100)) + Config!$B$28*MAX(0,MIN(100,(1-MIN(1,IF(Config!$B$30=0,1,$S185/Config!$B$30)))*100)) + Config!$B$29*MAX(0,MIN(100,MIN(1,IF($T185="",0,$T185)/Config!$B$23)*100))))),"")
</f>
        <v/>
      </c>
      <c r="V185" s="40" t="str">
        <f>IF(Bids!$AC185="","",Bids!$AC185)</f>
        <v/>
      </c>
      <c r="W185" s="40" t="str">
        <f>IF(Bids!$F184="","",Bids!$F184)</f>
        <v/>
      </c>
      <c r="X185" s="40" t="str">
        <f t="shared" si="5"/>
        <v/>
      </c>
      <c r="Y185" s="40" t="str">
        <f>IF($X185="","",IF(Config!$B$17=Config!$B$16,IF($X185&gt;=Config!$B$17,100,0),MAX(0,MIN(100,($X185-Config!$B$16)/(Config!$B$17-Config!$B$16)*100))))</f>
        <v/>
      </c>
      <c r="Z185" s="40">
        <f>IF($M185="Elite",Config!$B$21,0)</f>
        <v>0</v>
      </c>
      <c r="AA185" s="40" t="str">
        <f>IFERROR(IF(OR($W185="",$H185=""),"",IF($W185&gt;$H185,
  MAX(0, 60-(($W185-$H185)*24/Config!$B$19)*60),
  MIN(100, 60+(($H185-$W185)*24/Config!$B$20)*40)
)),"")
</f>
        <v/>
      </c>
      <c r="AB185" s="40" t="str">
        <f>IF($K185="","",IFERROR(VLOOKUP($K185,Grinders!$A$4:$N$998,10,FALSE)/5*100,""))</f>
        <v/>
      </c>
      <c r="AC185" s="40" t="str">
        <f>IF($K185="","",IFERROR(VLOOKUP($K185,Grinders!$A$4:$N$998,11,FALSE)*100,""))</f>
        <v/>
      </c>
      <c r="AD185" s="40" t="str">
        <f>IF($K185="","",IFERROR(VLOOKUP($K185,Grinders!$A$4:$N$998,12,FALSE)*100,""))</f>
        <v/>
      </c>
      <c r="AE185" s="40" t="str">
        <f>IF(OR(AO185=1,AP185=1),0,=IFERROR(IFS(
    OR($C185="", $K185=""), 0,
    $F185=0, 0,
    $D185&lt;&gt;"Open", 0,
    COUNTIFS(GrinderServices!$A$6:$A$1000, $K185, GrinderServices!$B$6:$B$1000, $E185, GrinderServices!$D$6:$D$1000, "Y")=0, 0,
    $X185&lt;Config!$B$16, 0,
    Config!$B$18=1, IF($O185&gt;=N185, 0, 1),
    TRUE, 1
), "")
)</f>
        <v>#ERROR!</v>
      </c>
      <c r="AF185" s="40" t="str">
        <f>IFERROR((IF(OR(AO185=1,AP185=1),"",=IFERROR((IFERROR(IF($AE185=0,"",((Config!$B$6*$Y185 + Config!$B$7*$U185 + Config!$B$8*$Z185 + Config!$B$9*$AA185 + Config!$B$10*$AB185 + Config!$B$11*$AC185 - Config!$B$12*$AD185)/Config!$B$13)+$AK185+$AL185),""))*(1-IFERROR(VLOOKUP(K185,Grinders!$A:$AB, 28, FALSE),0)),"")))*(1+AR185),"")</f>
        <v>#ERROR!</v>
      </c>
      <c r="AG185" s="40" t="str">
        <f t="shared" si="6"/>
        <v>#ERROR!</v>
      </c>
      <c r="AH185" s="40" t="str">
        <f t="shared" si="7"/>
        <v/>
      </c>
      <c r="AI185" s="40" t="str">
        <f t="shared" si="8"/>
        <v/>
      </c>
      <c r="AJ185" s="40" t="str">
        <f>IF($K185="","",COUNTIF(Assignments!$B$6:$B$1000,$K185))</f>
        <v/>
      </c>
      <c r="AK185" s="40" t="str">
        <f>IF($K185="","",IF(AND($AJ185=0,$O185&lt;$N185),Config!$B$43,0))</f>
        <v/>
      </c>
      <c r="AL185" s="40" t="str">
        <f>IF($K185="","",IF(AND($M185="Elite",$G185&gt;=Config!$B$41,$O185&lt;$N185),Config!$B$42,0))</f>
        <v/>
      </c>
      <c r="AM185" s="22"/>
      <c r="AN185" s="39">
        <f>IFERROR(VLOOKUP(K185,Grinders!$A:$Q,28,FALSE),0)</f>
        <v>0</v>
      </c>
      <c r="AO185" s="39">
        <f>IF(Config!$B$1003&lt;&gt;"Y",0,IF(IFERROR(VLOOKUP(K185,Grinders!$A:$P,27,FALSE),0)&gt;=3,IF(OR(G185&gt;=Config!$B$1001,ISNUMBER(SEARCH(E185,Config!$B$1002))),1,0),0))</f>
        <v>0</v>
      </c>
      <c r="AP185" s="39">
        <f t="array" ref="AP185">IFERROR(IF(INDEX(Bids!$AE:$AE,MATCH(B185,Bids!$A:$A,0))="Pending",1,0),0)</f>
        <v>0</v>
      </c>
      <c r="AQ185" s="39" t="str">
        <f t="array" ref="AQ185">IF(C185="","",IFERROR(XLOOKUP(C185,Assignments!$C:$C,Assignments!$AU:$AU,0),0))</f>
        <v/>
      </c>
      <c r="AR185" s="39">
        <f>IF(AND(Config!$B$1006="Y",AQ185=1),Config!$B$1007,0)</f>
        <v>0</v>
      </c>
    </row>
    <row r="186" ht="15.75" customHeight="1">
      <c r="A186" s="46" t="str">
        <f t="shared" si="1"/>
        <v/>
      </c>
      <c r="B186" s="40" t="str">
        <f>IF(Bids!$A185="","",Bids!$A185)</f>
        <v/>
      </c>
      <c r="C186" s="40" t="str">
        <f>IF(Bids!$B185="","",Bids!$B185)</f>
        <v/>
      </c>
      <c r="D186" s="40" t="str">
        <f>IF($C186="","",IFERROR(VLOOKUP($C186,Orders!$A$4:$J$998,9,FALSE),""))</f>
        <v/>
      </c>
      <c r="E186" s="40" t="str">
        <f>IF($C186="","",IFERROR(VLOOKUP($C186,Orders!$A$4:$J$998,3,FALSE),""))</f>
        <v/>
      </c>
      <c r="F186" s="40">
        <f t="shared" si="2"/>
        <v>1</v>
      </c>
      <c r="G186" s="40" t="str">
        <f>IF($C186="","",IFERROR(VLOOKUP($C186,Orders!$A$4:$J$998,4,FALSE),""))</f>
        <v/>
      </c>
      <c r="H186" s="40" t="str">
        <f>IF($C186="","",IFERROR(VLOOKUP($C186,Orders!$A$4:$J$998,5,FALSE),""))</f>
        <v/>
      </c>
      <c r="I186" s="40" t="str">
        <f>IF($C186="","",IFERROR(VLOOKUP($C186,Orders!$A$4:$J$998,6,FALSE),""))</f>
        <v/>
      </c>
      <c r="J186" s="40" t="str">
        <f>IF($C186="","",IFERROR(VLOOKUP($C186,Orders!$A$4:$J$998,7,FALSE),""))</f>
        <v/>
      </c>
      <c r="K186" s="40" t="str">
        <f>IF(Bids!$C185="","",Bids!$C185)</f>
        <v/>
      </c>
      <c r="L186" s="40" t="str">
        <f>IF($K186="","",IFERROR(VLOOKUP($K186,Grinders!$A$4:$N$998,2,FALSE),""))</f>
        <v/>
      </c>
      <c r="M186" s="40" t="str">
        <f>IF($K186="","",IFERROR(VLOOKUP($K186,Grinders!$A$4:$N$998,3,FALSE),""))</f>
        <v/>
      </c>
      <c r="N186" s="40" t="str">
        <f>IF($K186="","",IFERROR(VLOOKUP($K186,Grinders!$A$4:$N$998,4,FALSE),""))</f>
        <v/>
      </c>
      <c r="O186" s="40" t="str">
        <f>IF($K186="","",IFERROR(VLOOKUP($K186,Grinders!$A$4:$N$998,5,FALSE),""))</f>
        <v/>
      </c>
      <c r="P186" s="40" t="str">
        <f>IF($K186="","",IF($C$4="",0,COUNTIFS(Assignments!$B$6:$B$1000,$K186,Assignments!$F$6:$F$1000,$C$4,Assignments!$E$6:$E$1000,"Active")))</f>
        <v/>
      </c>
      <c r="Q186" s="40" t="str">
        <f t="shared" si="3"/>
        <v/>
      </c>
      <c r="R186" s="40" t="str">
        <f t="shared" si="4"/>
        <v/>
      </c>
      <c r="S186" s="40" t="str">
        <f>IF($K186="","",IF($C$4="",0,COUNTIFS(Assignments!$B$6:$B$1000,$K186,Assignments!$F$6:$F$1000,$C$4,Assignments!$D$6:$D$1000,"&gt;="&amp;Config!$B$3-7,Assignments!$D$6:$D$1000,"&lt;="&amp;Config!$B$3)))</f>
        <v/>
      </c>
      <c r="T186" s="40" t="str">
        <f>IF($K186="","",IFERROR(VLOOKUP($K186,Grinders!$A$4:$N$998,8,FALSE),""))</f>
        <v/>
      </c>
      <c r="U186" s="40" t="str">
        <f>IFERROR(IF($K186="","",IF($M186="Elite",MAX(50,MIN(100,Config!$B$27*MAX(0,MIN(100,(1-IF($R186="",0,$R186))*100)) + Config!$B$28*MAX(0,MIN(100,(1-MIN(1,IF(Config!$B$30=0,1,$S186/Config!$B$30)))*100)) + Config!$B$29*MAX(0,MIN(100,MIN(1,IF($T186="",0,$T186)/Config!$B$23)*100)))),MIN(100,Config!$B$27*MAX(0,MIN(100,(1-IF($R186="",0,$R186))*100)) + Config!$B$28*MAX(0,MIN(100,(1-MIN(1,IF(Config!$B$30=0,1,$S186/Config!$B$30)))*100)) + Config!$B$29*MAX(0,MIN(100,MIN(1,IF($T186="",0,$T186)/Config!$B$23)*100))))),"")
</f>
        <v/>
      </c>
      <c r="V186" s="40" t="str">
        <f>IF(Bids!$AC186="","",Bids!$AC186)</f>
        <v/>
      </c>
      <c r="W186" s="40" t="str">
        <f>IF(Bids!$F185="","",Bids!$F185)</f>
        <v/>
      </c>
      <c r="X186" s="40" t="str">
        <f t="shared" si="5"/>
        <v/>
      </c>
      <c r="Y186" s="40" t="str">
        <f>IF($X186="","",IF(Config!$B$17=Config!$B$16,IF($X186&gt;=Config!$B$17,100,0),MAX(0,MIN(100,($X186-Config!$B$16)/(Config!$B$17-Config!$B$16)*100))))</f>
        <v/>
      </c>
      <c r="Z186" s="40">
        <f>IF($M186="Elite",Config!$B$21,0)</f>
        <v>0</v>
      </c>
      <c r="AA186" s="40" t="str">
        <f>IFERROR(IF(OR($W186="",$H186=""),"",IF($W186&gt;$H186,
  MAX(0, 60-(($W186-$H186)*24/Config!$B$19)*60),
  MIN(100, 60+(($H186-$W186)*24/Config!$B$20)*40)
)),"")
</f>
        <v/>
      </c>
      <c r="AB186" s="40" t="str">
        <f>IF($K186="","",IFERROR(VLOOKUP($K186,Grinders!$A$4:$N$998,10,FALSE)/5*100,""))</f>
        <v/>
      </c>
      <c r="AC186" s="40" t="str">
        <f>IF($K186="","",IFERROR(VLOOKUP($K186,Grinders!$A$4:$N$998,11,FALSE)*100,""))</f>
        <v/>
      </c>
      <c r="AD186" s="40" t="str">
        <f>IF($K186="","",IFERROR(VLOOKUP($K186,Grinders!$A$4:$N$998,12,FALSE)*100,""))</f>
        <v/>
      </c>
      <c r="AE186" s="40" t="str">
        <f>IF(OR(AO186=1,AP186=1),0,=IFERROR(IFS(
    OR($C186="", $K186=""), 0,
    $F186=0, 0,
    $D186&lt;&gt;"Open", 0,
    COUNTIFS(GrinderServices!$A$6:$A$1000, $K186, GrinderServices!$B$6:$B$1000, $E186, GrinderServices!$D$6:$D$1000, "Y")=0, 0,
    $X186&lt;Config!$B$16, 0,
    Config!$B$18=1, IF($O186&gt;=N186, 0, 1),
    TRUE, 1
), "")
)</f>
        <v>#ERROR!</v>
      </c>
      <c r="AF186" s="40" t="str">
        <f>IFERROR((IF(OR(AO186=1,AP186=1),"",=IFERROR((IFERROR(IF($AE186=0,"",((Config!$B$6*$Y186 + Config!$B$7*$U186 + Config!$B$8*$Z186 + Config!$B$9*$AA186 + Config!$B$10*$AB186 + Config!$B$11*$AC186 - Config!$B$12*$AD186)/Config!$B$13)+$AK186+$AL186),""))*(1-IFERROR(VLOOKUP(K186,Grinders!$A:$AB, 28, FALSE),0)),"")))*(1+AR186),"")</f>
        <v>#ERROR!</v>
      </c>
      <c r="AG186" s="40" t="str">
        <f t="shared" si="6"/>
        <v>#ERROR!</v>
      </c>
      <c r="AH186" s="40" t="str">
        <f t="shared" si="7"/>
        <v/>
      </c>
      <c r="AI186" s="40" t="str">
        <f t="shared" si="8"/>
        <v/>
      </c>
      <c r="AJ186" s="40" t="str">
        <f>IF($K186="","",COUNTIF(Assignments!$B$6:$B$1000,$K186))</f>
        <v/>
      </c>
      <c r="AK186" s="40" t="str">
        <f>IF($K186="","",IF(AND($AJ186=0,$O186&lt;$N186),Config!$B$43,0))</f>
        <v/>
      </c>
      <c r="AL186" s="40" t="str">
        <f>IF($K186="","",IF(AND($M186="Elite",$G186&gt;=Config!$B$41,$O186&lt;$N186),Config!$B$42,0))</f>
        <v/>
      </c>
      <c r="AM186" s="22"/>
      <c r="AN186" s="39">
        <f>IFERROR(VLOOKUP(K186,Grinders!$A:$Q,28,FALSE),0)</f>
        <v>0</v>
      </c>
      <c r="AO186" s="39">
        <f>IF(Config!$B$1003&lt;&gt;"Y",0,IF(IFERROR(VLOOKUP(K186,Grinders!$A:$P,27,FALSE),0)&gt;=3,IF(OR(G186&gt;=Config!$B$1001,ISNUMBER(SEARCH(E186,Config!$B$1002))),1,0),0))</f>
        <v>0</v>
      </c>
      <c r="AP186" s="39">
        <f t="array" ref="AP186">IFERROR(IF(INDEX(Bids!$AE:$AE,MATCH(B186,Bids!$A:$A,0))="Pending",1,0),0)</f>
        <v>0</v>
      </c>
      <c r="AQ186" s="39" t="str">
        <f t="array" ref="AQ186">IF(C186="","",IFERROR(XLOOKUP(C186,Assignments!$C:$C,Assignments!$AU:$AU,0),0))</f>
        <v/>
      </c>
      <c r="AR186" s="39">
        <f>IF(AND(Config!$B$1006="Y",AQ186=1),Config!$B$1007,0)</f>
        <v>0</v>
      </c>
    </row>
    <row r="187" ht="15.75" customHeight="1">
      <c r="A187" s="46" t="str">
        <f t="shared" si="1"/>
        <v/>
      </c>
      <c r="B187" s="40" t="str">
        <f>IF(Bids!$A186="","",Bids!$A186)</f>
        <v/>
      </c>
      <c r="C187" s="40" t="str">
        <f>IF(Bids!$B186="","",Bids!$B186)</f>
        <v/>
      </c>
      <c r="D187" s="40" t="str">
        <f>IF($C187="","",IFERROR(VLOOKUP($C187,Orders!$A$4:$J$998,9,FALSE),""))</f>
        <v/>
      </c>
      <c r="E187" s="40" t="str">
        <f>IF($C187="","",IFERROR(VLOOKUP($C187,Orders!$A$4:$J$998,3,FALSE),""))</f>
        <v/>
      </c>
      <c r="F187" s="40">
        <f t="shared" si="2"/>
        <v>1</v>
      </c>
      <c r="G187" s="40" t="str">
        <f>IF($C187="","",IFERROR(VLOOKUP($C187,Orders!$A$4:$J$998,4,FALSE),""))</f>
        <v/>
      </c>
      <c r="H187" s="40" t="str">
        <f>IF($C187="","",IFERROR(VLOOKUP($C187,Orders!$A$4:$J$998,5,FALSE),""))</f>
        <v/>
      </c>
      <c r="I187" s="40" t="str">
        <f>IF($C187="","",IFERROR(VLOOKUP($C187,Orders!$A$4:$J$998,6,FALSE),""))</f>
        <v/>
      </c>
      <c r="J187" s="40" t="str">
        <f>IF($C187="","",IFERROR(VLOOKUP($C187,Orders!$A$4:$J$998,7,FALSE),""))</f>
        <v/>
      </c>
      <c r="K187" s="40" t="str">
        <f>IF(Bids!$C186="","",Bids!$C186)</f>
        <v/>
      </c>
      <c r="L187" s="40" t="str">
        <f>IF($K187="","",IFERROR(VLOOKUP($K187,Grinders!$A$4:$N$998,2,FALSE),""))</f>
        <v/>
      </c>
      <c r="M187" s="40" t="str">
        <f>IF($K187="","",IFERROR(VLOOKUP($K187,Grinders!$A$4:$N$998,3,FALSE),""))</f>
        <v/>
      </c>
      <c r="N187" s="40" t="str">
        <f>IF($K187="","",IFERROR(VLOOKUP($K187,Grinders!$A$4:$N$998,4,FALSE),""))</f>
        <v/>
      </c>
      <c r="O187" s="40" t="str">
        <f>IF($K187="","",IFERROR(VLOOKUP($K187,Grinders!$A$4:$N$998,5,FALSE),""))</f>
        <v/>
      </c>
      <c r="P187" s="40" t="str">
        <f>IF($K187="","",IF($C$4="",0,COUNTIFS(Assignments!$B$6:$B$1000,$K187,Assignments!$F$6:$F$1000,$C$4,Assignments!$E$6:$E$1000,"Active")))</f>
        <v/>
      </c>
      <c r="Q187" s="40" t="str">
        <f t="shared" si="3"/>
        <v/>
      </c>
      <c r="R187" s="40" t="str">
        <f t="shared" si="4"/>
        <v/>
      </c>
      <c r="S187" s="40" t="str">
        <f>IF($K187="","",IF($C$4="",0,COUNTIFS(Assignments!$B$6:$B$1000,$K187,Assignments!$F$6:$F$1000,$C$4,Assignments!$D$6:$D$1000,"&gt;="&amp;Config!$B$3-7,Assignments!$D$6:$D$1000,"&lt;="&amp;Config!$B$3)))</f>
        <v/>
      </c>
      <c r="T187" s="40" t="str">
        <f>IF($K187="","",IFERROR(VLOOKUP($K187,Grinders!$A$4:$N$998,8,FALSE),""))</f>
        <v/>
      </c>
      <c r="U187" s="40" t="str">
        <f>IFERROR(IF($K187="","",IF($M187="Elite",MAX(50,MIN(100,Config!$B$27*MAX(0,MIN(100,(1-IF($R187="",0,$R187))*100)) + Config!$B$28*MAX(0,MIN(100,(1-MIN(1,IF(Config!$B$30=0,1,$S187/Config!$B$30)))*100)) + Config!$B$29*MAX(0,MIN(100,MIN(1,IF($T187="",0,$T187)/Config!$B$23)*100)))),MIN(100,Config!$B$27*MAX(0,MIN(100,(1-IF($R187="",0,$R187))*100)) + Config!$B$28*MAX(0,MIN(100,(1-MIN(1,IF(Config!$B$30=0,1,$S187/Config!$B$30)))*100)) + Config!$B$29*MAX(0,MIN(100,MIN(1,IF($T187="",0,$T187)/Config!$B$23)*100))))),"")
</f>
        <v/>
      </c>
      <c r="V187" s="40" t="str">
        <f>IF(Bids!$AC187="","",Bids!$AC187)</f>
        <v/>
      </c>
      <c r="W187" s="40" t="str">
        <f>IF(Bids!$F186="","",Bids!$F186)</f>
        <v/>
      </c>
      <c r="X187" s="40" t="str">
        <f t="shared" si="5"/>
        <v/>
      </c>
      <c r="Y187" s="40" t="str">
        <f>IF($X187="","",IF(Config!$B$17=Config!$B$16,IF($X187&gt;=Config!$B$17,100,0),MAX(0,MIN(100,($X187-Config!$B$16)/(Config!$B$17-Config!$B$16)*100))))</f>
        <v/>
      </c>
      <c r="Z187" s="40">
        <f>IF($M187="Elite",Config!$B$21,0)</f>
        <v>0</v>
      </c>
      <c r="AA187" s="40" t="str">
        <f>IFERROR(IF(OR($W187="",$H187=""),"",IF($W187&gt;$H187,
  MAX(0, 60-(($W187-$H187)*24/Config!$B$19)*60),
  MIN(100, 60+(($H187-$W187)*24/Config!$B$20)*40)
)),"")
</f>
        <v/>
      </c>
      <c r="AB187" s="40" t="str">
        <f>IF($K187="","",IFERROR(VLOOKUP($K187,Grinders!$A$4:$N$998,10,FALSE)/5*100,""))</f>
        <v/>
      </c>
      <c r="AC187" s="40" t="str">
        <f>IF($K187="","",IFERROR(VLOOKUP($K187,Grinders!$A$4:$N$998,11,FALSE)*100,""))</f>
        <v/>
      </c>
      <c r="AD187" s="40" t="str">
        <f>IF($K187="","",IFERROR(VLOOKUP($K187,Grinders!$A$4:$N$998,12,FALSE)*100,""))</f>
        <v/>
      </c>
      <c r="AE187" s="40" t="str">
        <f>IF(OR(AO187=1,AP187=1),0,=IFERROR(IFS(
    OR($C187="", $K187=""), 0,
    $F187=0, 0,
    $D187&lt;&gt;"Open", 0,
    COUNTIFS(GrinderServices!$A$6:$A$1000, $K187, GrinderServices!$B$6:$B$1000, $E187, GrinderServices!$D$6:$D$1000, "Y")=0, 0,
    $X187&lt;Config!$B$16, 0,
    Config!$B$18=1, IF($O187&gt;=N187, 0, 1),
    TRUE, 1
), "")
)</f>
        <v>#ERROR!</v>
      </c>
      <c r="AF187" s="40" t="str">
        <f>IFERROR((IF(OR(AO187=1,AP187=1),"",=IFERROR((IFERROR(IF($AE187=0,"",((Config!$B$6*$Y187 + Config!$B$7*$U187 + Config!$B$8*$Z187 + Config!$B$9*$AA187 + Config!$B$10*$AB187 + Config!$B$11*$AC187 - Config!$B$12*$AD187)/Config!$B$13)+$AK187+$AL187),""))*(1-IFERROR(VLOOKUP(K187,Grinders!$A:$AB, 28, FALSE),0)),"")))*(1+AR187),"")</f>
        <v>#ERROR!</v>
      </c>
      <c r="AG187" s="40" t="str">
        <f t="shared" si="6"/>
        <v>#ERROR!</v>
      </c>
      <c r="AH187" s="40" t="str">
        <f t="shared" si="7"/>
        <v/>
      </c>
      <c r="AI187" s="40" t="str">
        <f t="shared" si="8"/>
        <v/>
      </c>
      <c r="AJ187" s="40" t="str">
        <f>IF($K187="","",COUNTIF(Assignments!$B$6:$B$1000,$K187))</f>
        <v/>
      </c>
      <c r="AK187" s="40" t="str">
        <f>IF($K187="","",IF(AND($AJ187=0,$O187&lt;$N187),Config!$B$43,0))</f>
        <v/>
      </c>
      <c r="AL187" s="40" t="str">
        <f>IF($K187="","",IF(AND($M187="Elite",$G187&gt;=Config!$B$41,$O187&lt;$N187),Config!$B$42,0))</f>
        <v/>
      </c>
      <c r="AM187" s="22"/>
      <c r="AN187" s="39">
        <f>IFERROR(VLOOKUP(K187,Grinders!$A:$Q,28,FALSE),0)</f>
        <v>0</v>
      </c>
      <c r="AO187" s="39">
        <f>IF(Config!$B$1003&lt;&gt;"Y",0,IF(IFERROR(VLOOKUP(K187,Grinders!$A:$P,27,FALSE),0)&gt;=3,IF(OR(G187&gt;=Config!$B$1001,ISNUMBER(SEARCH(E187,Config!$B$1002))),1,0),0))</f>
        <v>0</v>
      </c>
      <c r="AP187" s="39">
        <f t="array" ref="AP187">IFERROR(IF(INDEX(Bids!$AE:$AE,MATCH(B187,Bids!$A:$A,0))="Pending",1,0),0)</f>
        <v>0</v>
      </c>
      <c r="AQ187" s="39" t="str">
        <f t="array" ref="AQ187">IF(C187="","",IFERROR(XLOOKUP(C187,Assignments!$C:$C,Assignments!$AU:$AU,0),0))</f>
        <v/>
      </c>
      <c r="AR187" s="39">
        <f>IF(AND(Config!$B$1006="Y",AQ187=1),Config!$B$1007,0)</f>
        <v>0</v>
      </c>
    </row>
    <row r="188" ht="15.75" customHeight="1">
      <c r="A188" s="46" t="str">
        <f t="shared" si="1"/>
        <v/>
      </c>
      <c r="B188" s="40" t="str">
        <f>IF(Bids!$A187="","",Bids!$A187)</f>
        <v/>
      </c>
      <c r="C188" s="40" t="str">
        <f>IF(Bids!$B187="","",Bids!$B187)</f>
        <v/>
      </c>
      <c r="D188" s="40" t="str">
        <f>IF($C188="","",IFERROR(VLOOKUP($C188,Orders!$A$4:$J$998,9,FALSE),""))</f>
        <v/>
      </c>
      <c r="E188" s="40" t="str">
        <f>IF($C188="","",IFERROR(VLOOKUP($C188,Orders!$A$4:$J$998,3,FALSE),""))</f>
        <v/>
      </c>
      <c r="F188" s="40">
        <f t="shared" si="2"/>
        <v>1</v>
      </c>
      <c r="G188" s="40" t="str">
        <f>IF($C188="","",IFERROR(VLOOKUP($C188,Orders!$A$4:$J$998,4,FALSE),""))</f>
        <v/>
      </c>
      <c r="H188" s="40" t="str">
        <f>IF($C188="","",IFERROR(VLOOKUP($C188,Orders!$A$4:$J$998,5,FALSE),""))</f>
        <v/>
      </c>
      <c r="I188" s="40" t="str">
        <f>IF($C188="","",IFERROR(VLOOKUP($C188,Orders!$A$4:$J$998,6,FALSE),""))</f>
        <v/>
      </c>
      <c r="J188" s="40" t="str">
        <f>IF($C188="","",IFERROR(VLOOKUP($C188,Orders!$A$4:$J$998,7,FALSE),""))</f>
        <v/>
      </c>
      <c r="K188" s="40" t="str">
        <f>IF(Bids!$C187="","",Bids!$C187)</f>
        <v/>
      </c>
      <c r="L188" s="40" t="str">
        <f>IF($K188="","",IFERROR(VLOOKUP($K188,Grinders!$A$4:$N$998,2,FALSE),""))</f>
        <v/>
      </c>
      <c r="M188" s="40" t="str">
        <f>IF($K188="","",IFERROR(VLOOKUP($K188,Grinders!$A$4:$N$998,3,FALSE),""))</f>
        <v/>
      </c>
      <c r="N188" s="40" t="str">
        <f>IF($K188="","",IFERROR(VLOOKUP($K188,Grinders!$A$4:$N$998,4,FALSE),""))</f>
        <v/>
      </c>
      <c r="O188" s="40" t="str">
        <f>IF($K188="","",IFERROR(VLOOKUP($K188,Grinders!$A$4:$N$998,5,FALSE),""))</f>
        <v/>
      </c>
      <c r="P188" s="40" t="str">
        <f>IF($K188="","",IF($C$4="",0,COUNTIFS(Assignments!$B$6:$B$1000,$K188,Assignments!$F$6:$F$1000,$C$4,Assignments!$E$6:$E$1000,"Active")))</f>
        <v/>
      </c>
      <c r="Q188" s="40" t="str">
        <f t="shared" si="3"/>
        <v/>
      </c>
      <c r="R188" s="40" t="str">
        <f t="shared" si="4"/>
        <v/>
      </c>
      <c r="S188" s="40" t="str">
        <f>IF($K188="","",IF($C$4="",0,COUNTIFS(Assignments!$B$6:$B$1000,$K188,Assignments!$F$6:$F$1000,$C$4,Assignments!$D$6:$D$1000,"&gt;="&amp;Config!$B$3-7,Assignments!$D$6:$D$1000,"&lt;="&amp;Config!$B$3)))</f>
        <v/>
      </c>
      <c r="T188" s="40" t="str">
        <f>IF($K188="","",IFERROR(VLOOKUP($K188,Grinders!$A$4:$N$998,8,FALSE),""))</f>
        <v/>
      </c>
      <c r="U188" s="40" t="str">
        <f>IFERROR(IF($K188="","",IF($M188="Elite",MAX(50,MIN(100,Config!$B$27*MAX(0,MIN(100,(1-IF($R188="",0,$R188))*100)) + Config!$B$28*MAX(0,MIN(100,(1-MIN(1,IF(Config!$B$30=0,1,$S188/Config!$B$30)))*100)) + Config!$B$29*MAX(0,MIN(100,MIN(1,IF($T188="",0,$T188)/Config!$B$23)*100)))),MIN(100,Config!$B$27*MAX(0,MIN(100,(1-IF($R188="",0,$R188))*100)) + Config!$B$28*MAX(0,MIN(100,(1-MIN(1,IF(Config!$B$30=0,1,$S188/Config!$B$30)))*100)) + Config!$B$29*MAX(0,MIN(100,MIN(1,IF($T188="",0,$T188)/Config!$B$23)*100))))),"")
</f>
        <v/>
      </c>
      <c r="V188" s="40" t="str">
        <f>IF(Bids!$AC188="","",Bids!$AC188)</f>
        <v/>
      </c>
      <c r="W188" s="40" t="str">
        <f>IF(Bids!$F187="","",Bids!$F187)</f>
        <v/>
      </c>
      <c r="X188" s="40" t="str">
        <f t="shared" si="5"/>
        <v/>
      </c>
      <c r="Y188" s="40" t="str">
        <f>IF($X188="","",IF(Config!$B$17=Config!$B$16,IF($X188&gt;=Config!$B$17,100,0),MAX(0,MIN(100,($X188-Config!$B$16)/(Config!$B$17-Config!$B$16)*100))))</f>
        <v/>
      </c>
      <c r="Z188" s="40">
        <f>IF($M188="Elite",Config!$B$21,0)</f>
        <v>0</v>
      </c>
      <c r="AA188" s="40" t="str">
        <f>IFERROR(IF(OR($W188="",$H188=""),"",IF($W188&gt;$H188,
  MAX(0, 60-(($W188-$H188)*24/Config!$B$19)*60),
  MIN(100, 60+(($H188-$W188)*24/Config!$B$20)*40)
)),"")
</f>
        <v/>
      </c>
      <c r="AB188" s="40" t="str">
        <f>IF($K188="","",IFERROR(VLOOKUP($K188,Grinders!$A$4:$N$998,10,FALSE)/5*100,""))</f>
        <v/>
      </c>
      <c r="AC188" s="40" t="str">
        <f>IF($K188="","",IFERROR(VLOOKUP($K188,Grinders!$A$4:$N$998,11,FALSE)*100,""))</f>
        <v/>
      </c>
      <c r="AD188" s="40" t="str">
        <f>IF($K188="","",IFERROR(VLOOKUP($K188,Grinders!$A$4:$N$998,12,FALSE)*100,""))</f>
        <v/>
      </c>
      <c r="AE188" s="40" t="str">
        <f>IF(OR(AO188=1,AP188=1),0,=IFERROR(IFS(
    OR($C188="", $K188=""), 0,
    $F188=0, 0,
    $D188&lt;&gt;"Open", 0,
    COUNTIFS(GrinderServices!$A$6:$A$1000, $K188, GrinderServices!$B$6:$B$1000, $E188, GrinderServices!$D$6:$D$1000, "Y")=0, 0,
    $X188&lt;Config!$B$16, 0,
    Config!$B$18=1, IF($O188&gt;=N188, 0, 1),
    TRUE, 1
), "")
)</f>
        <v>#ERROR!</v>
      </c>
      <c r="AF188" s="40" t="str">
        <f>IFERROR((IF(OR(AO188=1,AP188=1),"",=IFERROR((IFERROR(IF($AE188=0,"",((Config!$B$6*$Y188 + Config!$B$7*$U188 + Config!$B$8*$Z188 + Config!$B$9*$AA188 + Config!$B$10*$AB188 + Config!$B$11*$AC188 - Config!$B$12*$AD188)/Config!$B$13)+$AK188+$AL188),""))*(1-IFERROR(VLOOKUP(K188,Grinders!$A:$AB, 28, FALSE),0)),"")))*(1+AR188),"")</f>
        <v>#ERROR!</v>
      </c>
      <c r="AG188" s="40" t="str">
        <f t="shared" si="6"/>
        <v>#ERROR!</v>
      </c>
      <c r="AH188" s="40" t="str">
        <f t="shared" si="7"/>
        <v/>
      </c>
      <c r="AI188" s="40" t="str">
        <f t="shared" si="8"/>
        <v/>
      </c>
      <c r="AJ188" s="40" t="str">
        <f>IF($K188="","",COUNTIF(Assignments!$B$6:$B$1000,$K188))</f>
        <v/>
      </c>
      <c r="AK188" s="40" t="str">
        <f>IF($K188="","",IF(AND($AJ188=0,$O188&lt;$N188),Config!$B$43,0))</f>
        <v/>
      </c>
      <c r="AL188" s="40" t="str">
        <f>IF($K188="","",IF(AND($M188="Elite",$G188&gt;=Config!$B$41,$O188&lt;$N188),Config!$B$42,0))</f>
        <v/>
      </c>
      <c r="AM188" s="22"/>
      <c r="AN188" s="39">
        <f>IFERROR(VLOOKUP(K188,Grinders!$A:$Q,28,FALSE),0)</f>
        <v>0</v>
      </c>
      <c r="AO188" s="39">
        <f>IF(Config!$B$1003&lt;&gt;"Y",0,IF(IFERROR(VLOOKUP(K188,Grinders!$A:$P,27,FALSE),0)&gt;=3,IF(OR(G188&gt;=Config!$B$1001,ISNUMBER(SEARCH(E188,Config!$B$1002))),1,0),0))</f>
        <v>0</v>
      </c>
      <c r="AP188" s="39">
        <f t="array" ref="AP188">IFERROR(IF(INDEX(Bids!$AE:$AE,MATCH(B188,Bids!$A:$A,0))="Pending",1,0),0)</f>
        <v>0</v>
      </c>
      <c r="AQ188" s="39" t="str">
        <f t="array" ref="AQ188">IF(C188="","",IFERROR(XLOOKUP(C188,Assignments!$C:$C,Assignments!$AU:$AU,0),0))</f>
        <v/>
      </c>
      <c r="AR188" s="39">
        <f>IF(AND(Config!$B$1006="Y",AQ188=1),Config!$B$1007,0)</f>
        <v>0</v>
      </c>
    </row>
    <row r="189" ht="15.75" customHeight="1">
      <c r="A189" s="46" t="str">
        <f t="shared" si="1"/>
        <v/>
      </c>
      <c r="B189" s="40" t="str">
        <f>IF(Bids!$A188="","",Bids!$A188)</f>
        <v/>
      </c>
      <c r="C189" s="40" t="str">
        <f>IF(Bids!$B188="","",Bids!$B188)</f>
        <v/>
      </c>
      <c r="D189" s="40" t="str">
        <f>IF($C189="","",IFERROR(VLOOKUP($C189,Orders!$A$4:$J$998,9,FALSE),""))</f>
        <v/>
      </c>
      <c r="E189" s="40" t="str">
        <f>IF($C189="","",IFERROR(VLOOKUP($C189,Orders!$A$4:$J$998,3,FALSE),""))</f>
        <v/>
      </c>
      <c r="F189" s="40">
        <f t="shared" si="2"/>
        <v>1</v>
      </c>
      <c r="G189" s="40" t="str">
        <f>IF($C189="","",IFERROR(VLOOKUP($C189,Orders!$A$4:$J$998,4,FALSE),""))</f>
        <v/>
      </c>
      <c r="H189" s="40" t="str">
        <f>IF($C189="","",IFERROR(VLOOKUP($C189,Orders!$A$4:$J$998,5,FALSE),""))</f>
        <v/>
      </c>
      <c r="I189" s="40" t="str">
        <f>IF($C189="","",IFERROR(VLOOKUP($C189,Orders!$A$4:$J$998,6,FALSE),""))</f>
        <v/>
      </c>
      <c r="J189" s="40" t="str">
        <f>IF($C189="","",IFERROR(VLOOKUP($C189,Orders!$A$4:$J$998,7,FALSE),""))</f>
        <v/>
      </c>
      <c r="K189" s="40" t="str">
        <f>IF(Bids!$C188="","",Bids!$C188)</f>
        <v/>
      </c>
      <c r="L189" s="40" t="str">
        <f>IF($K189="","",IFERROR(VLOOKUP($K189,Grinders!$A$4:$N$998,2,FALSE),""))</f>
        <v/>
      </c>
      <c r="M189" s="40" t="str">
        <f>IF($K189="","",IFERROR(VLOOKUP($K189,Grinders!$A$4:$N$998,3,FALSE),""))</f>
        <v/>
      </c>
      <c r="N189" s="40" t="str">
        <f>IF($K189="","",IFERROR(VLOOKUP($K189,Grinders!$A$4:$N$998,4,FALSE),""))</f>
        <v/>
      </c>
      <c r="O189" s="40" t="str">
        <f>IF($K189="","",IFERROR(VLOOKUP($K189,Grinders!$A$4:$N$998,5,FALSE),""))</f>
        <v/>
      </c>
      <c r="P189" s="40" t="str">
        <f>IF($K189="","",IF($C$4="",0,COUNTIFS(Assignments!$B$6:$B$1000,$K189,Assignments!$F$6:$F$1000,$C$4,Assignments!$E$6:$E$1000,"Active")))</f>
        <v/>
      </c>
      <c r="Q189" s="40" t="str">
        <f t="shared" si="3"/>
        <v/>
      </c>
      <c r="R189" s="40" t="str">
        <f t="shared" si="4"/>
        <v/>
      </c>
      <c r="S189" s="40" t="str">
        <f>IF($K189="","",IF($C$4="",0,COUNTIFS(Assignments!$B$6:$B$1000,$K189,Assignments!$F$6:$F$1000,$C$4,Assignments!$D$6:$D$1000,"&gt;="&amp;Config!$B$3-7,Assignments!$D$6:$D$1000,"&lt;="&amp;Config!$B$3)))</f>
        <v/>
      </c>
      <c r="T189" s="40" t="str">
        <f>IF($K189="","",IFERROR(VLOOKUP($K189,Grinders!$A$4:$N$998,8,FALSE),""))</f>
        <v/>
      </c>
      <c r="U189" s="40" t="str">
        <f>IFERROR(IF($K189="","",IF($M189="Elite",MAX(50,MIN(100,Config!$B$27*MAX(0,MIN(100,(1-IF($R189="",0,$R189))*100)) + Config!$B$28*MAX(0,MIN(100,(1-MIN(1,IF(Config!$B$30=0,1,$S189/Config!$B$30)))*100)) + Config!$B$29*MAX(0,MIN(100,MIN(1,IF($T189="",0,$T189)/Config!$B$23)*100)))),MIN(100,Config!$B$27*MAX(0,MIN(100,(1-IF($R189="",0,$R189))*100)) + Config!$B$28*MAX(0,MIN(100,(1-MIN(1,IF(Config!$B$30=0,1,$S189/Config!$B$30)))*100)) + Config!$B$29*MAX(0,MIN(100,MIN(1,IF($T189="",0,$T189)/Config!$B$23)*100))))),"")
</f>
        <v/>
      </c>
      <c r="V189" s="40" t="str">
        <f>IF(Bids!$AC189="","",Bids!$AC189)</f>
        <v/>
      </c>
      <c r="W189" s="40" t="str">
        <f>IF(Bids!$F188="","",Bids!$F188)</f>
        <v/>
      </c>
      <c r="X189" s="40" t="str">
        <f t="shared" si="5"/>
        <v/>
      </c>
      <c r="Y189" s="40" t="str">
        <f>IF($X189="","",IF(Config!$B$17=Config!$B$16,IF($X189&gt;=Config!$B$17,100,0),MAX(0,MIN(100,($X189-Config!$B$16)/(Config!$B$17-Config!$B$16)*100))))</f>
        <v/>
      </c>
      <c r="Z189" s="40">
        <f>IF($M189="Elite",Config!$B$21,0)</f>
        <v>0</v>
      </c>
      <c r="AA189" s="40" t="str">
        <f>IFERROR(IF(OR($W189="",$H189=""),"",IF($W189&gt;$H189,
  MAX(0, 60-(($W189-$H189)*24/Config!$B$19)*60),
  MIN(100, 60+(($H189-$W189)*24/Config!$B$20)*40)
)),"")
</f>
        <v/>
      </c>
      <c r="AB189" s="40" t="str">
        <f>IF($K189="","",IFERROR(VLOOKUP($K189,Grinders!$A$4:$N$998,10,FALSE)/5*100,""))</f>
        <v/>
      </c>
      <c r="AC189" s="40" t="str">
        <f>IF($K189="","",IFERROR(VLOOKUP($K189,Grinders!$A$4:$N$998,11,FALSE)*100,""))</f>
        <v/>
      </c>
      <c r="AD189" s="40" t="str">
        <f>IF($K189="","",IFERROR(VLOOKUP($K189,Grinders!$A$4:$N$998,12,FALSE)*100,""))</f>
        <v/>
      </c>
      <c r="AE189" s="40" t="str">
        <f>IF(OR(AO189=1,AP189=1),0,=IFERROR(IFS(
    OR($C189="", $K189=""), 0,
    $F189=0, 0,
    $D189&lt;&gt;"Open", 0,
    COUNTIFS(GrinderServices!$A$6:$A$1000, $K189, GrinderServices!$B$6:$B$1000, $E189, GrinderServices!$D$6:$D$1000, "Y")=0, 0,
    $X189&lt;Config!$B$16, 0,
    Config!$B$18=1, IF($O189&gt;=N189, 0, 1),
    TRUE, 1
), "")
)</f>
        <v>#ERROR!</v>
      </c>
      <c r="AF189" s="40" t="str">
        <f>IFERROR((IF(OR(AO189=1,AP189=1),"",=IFERROR((IFERROR(IF($AE189=0,"",((Config!$B$6*$Y189 + Config!$B$7*$U189 + Config!$B$8*$Z189 + Config!$B$9*$AA189 + Config!$B$10*$AB189 + Config!$B$11*$AC189 - Config!$B$12*$AD189)/Config!$B$13)+$AK189+$AL189),""))*(1-IFERROR(VLOOKUP(K189,Grinders!$A:$AB, 28, FALSE),0)),"")))*(1+AR189),"")</f>
        <v>#ERROR!</v>
      </c>
      <c r="AG189" s="40" t="str">
        <f t="shared" si="6"/>
        <v>#ERROR!</v>
      </c>
      <c r="AH189" s="40" t="str">
        <f t="shared" si="7"/>
        <v/>
      </c>
      <c r="AI189" s="40" t="str">
        <f t="shared" si="8"/>
        <v/>
      </c>
      <c r="AJ189" s="40" t="str">
        <f>IF($K189="","",COUNTIF(Assignments!$B$6:$B$1000,$K189))</f>
        <v/>
      </c>
      <c r="AK189" s="40" t="str">
        <f>IF($K189="","",IF(AND($AJ189=0,$O189&lt;$N189),Config!$B$43,0))</f>
        <v/>
      </c>
      <c r="AL189" s="40" t="str">
        <f>IF($K189="","",IF(AND($M189="Elite",$G189&gt;=Config!$B$41,$O189&lt;$N189),Config!$B$42,0))</f>
        <v/>
      </c>
      <c r="AM189" s="22"/>
      <c r="AN189" s="39">
        <f>IFERROR(VLOOKUP(K189,Grinders!$A:$Q,28,FALSE),0)</f>
        <v>0</v>
      </c>
      <c r="AO189" s="39">
        <f>IF(Config!$B$1003&lt;&gt;"Y",0,IF(IFERROR(VLOOKUP(K189,Grinders!$A:$P,27,FALSE),0)&gt;=3,IF(OR(G189&gt;=Config!$B$1001,ISNUMBER(SEARCH(E189,Config!$B$1002))),1,0),0))</f>
        <v>0</v>
      </c>
      <c r="AP189" s="39">
        <f t="array" ref="AP189">IFERROR(IF(INDEX(Bids!$AE:$AE,MATCH(B189,Bids!$A:$A,0))="Pending",1,0),0)</f>
        <v>0</v>
      </c>
      <c r="AQ189" s="39" t="str">
        <f t="array" ref="AQ189">IF(C189="","",IFERROR(XLOOKUP(C189,Assignments!$C:$C,Assignments!$AU:$AU,0),0))</f>
        <v/>
      </c>
      <c r="AR189" s="39">
        <f>IF(AND(Config!$B$1006="Y",AQ189=1),Config!$B$1007,0)</f>
        <v>0</v>
      </c>
    </row>
    <row r="190" ht="15.75" customHeight="1">
      <c r="A190" s="46" t="str">
        <f t="shared" si="1"/>
        <v/>
      </c>
      <c r="B190" s="40" t="str">
        <f>IF(Bids!$A189="","",Bids!$A189)</f>
        <v/>
      </c>
      <c r="C190" s="40" t="str">
        <f>IF(Bids!$B189="","",Bids!$B189)</f>
        <v/>
      </c>
      <c r="D190" s="40" t="str">
        <f>IF($C190="","",IFERROR(VLOOKUP($C190,Orders!$A$4:$J$998,9,FALSE),""))</f>
        <v/>
      </c>
      <c r="E190" s="40" t="str">
        <f>IF($C190="","",IFERROR(VLOOKUP($C190,Orders!$A$4:$J$998,3,FALSE),""))</f>
        <v/>
      </c>
      <c r="F190" s="40">
        <f t="shared" si="2"/>
        <v>1</v>
      </c>
      <c r="G190" s="40" t="str">
        <f>IF($C190="","",IFERROR(VLOOKUP($C190,Orders!$A$4:$J$998,4,FALSE),""))</f>
        <v/>
      </c>
      <c r="H190" s="40" t="str">
        <f>IF($C190="","",IFERROR(VLOOKUP($C190,Orders!$A$4:$J$998,5,FALSE),""))</f>
        <v/>
      </c>
      <c r="I190" s="40" t="str">
        <f>IF($C190="","",IFERROR(VLOOKUP($C190,Orders!$A$4:$J$998,6,FALSE),""))</f>
        <v/>
      </c>
      <c r="J190" s="40" t="str">
        <f>IF($C190="","",IFERROR(VLOOKUP($C190,Orders!$A$4:$J$998,7,FALSE),""))</f>
        <v/>
      </c>
      <c r="K190" s="40" t="str">
        <f>IF(Bids!$C189="","",Bids!$C189)</f>
        <v/>
      </c>
      <c r="L190" s="40" t="str">
        <f>IF($K190="","",IFERROR(VLOOKUP($K190,Grinders!$A$4:$N$998,2,FALSE),""))</f>
        <v/>
      </c>
      <c r="M190" s="40" t="str">
        <f>IF($K190="","",IFERROR(VLOOKUP($K190,Grinders!$A$4:$N$998,3,FALSE),""))</f>
        <v/>
      </c>
      <c r="N190" s="40" t="str">
        <f>IF($K190="","",IFERROR(VLOOKUP($K190,Grinders!$A$4:$N$998,4,FALSE),""))</f>
        <v/>
      </c>
      <c r="O190" s="40" t="str">
        <f>IF($K190="","",IFERROR(VLOOKUP($K190,Grinders!$A$4:$N$998,5,FALSE),""))</f>
        <v/>
      </c>
      <c r="P190" s="40" t="str">
        <f>IF($K190="","",IF($C$4="",0,COUNTIFS(Assignments!$B$6:$B$1000,$K190,Assignments!$F$6:$F$1000,$C$4,Assignments!$E$6:$E$1000,"Active")))</f>
        <v/>
      </c>
      <c r="Q190" s="40" t="str">
        <f t="shared" si="3"/>
        <v/>
      </c>
      <c r="R190" s="40" t="str">
        <f t="shared" si="4"/>
        <v/>
      </c>
      <c r="S190" s="40" t="str">
        <f>IF($K190="","",IF($C$4="",0,COUNTIFS(Assignments!$B$6:$B$1000,$K190,Assignments!$F$6:$F$1000,$C$4,Assignments!$D$6:$D$1000,"&gt;="&amp;Config!$B$3-7,Assignments!$D$6:$D$1000,"&lt;="&amp;Config!$B$3)))</f>
        <v/>
      </c>
      <c r="T190" s="40" t="str">
        <f>IF($K190="","",IFERROR(VLOOKUP($K190,Grinders!$A$4:$N$998,8,FALSE),""))</f>
        <v/>
      </c>
      <c r="U190" s="40" t="str">
        <f>IFERROR(IF($K190="","",IF($M190="Elite",MAX(50,MIN(100,Config!$B$27*MAX(0,MIN(100,(1-IF($R190="",0,$R190))*100)) + Config!$B$28*MAX(0,MIN(100,(1-MIN(1,IF(Config!$B$30=0,1,$S190/Config!$B$30)))*100)) + Config!$B$29*MAX(0,MIN(100,MIN(1,IF($T190="",0,$T190)/Config!$B$23)*100)))),MIN(100,Config!$B$27*MAX(0,MIN(100,(1-IF($R190="",0,$R190))*100)) + Config!$B$28*MAX(0,MIN(100,(1-MIN(1,IF(Config!$B$30=0,1,$S190/Config!$B$30)))*100)) + Config!$B$29*MAX(0,MIN(100,MIN(1,IF($T190="",0,$T190)/Config!$B$23)*100))))),"")
</f>
        <v/>
      </c>
      <c r="V190" s="40" t="str">
        <f>IF(Bids!$AC190="","",Bids!$AC190)</f>
        <v/>
      </c>
      <c r="W190" s="40" t="str">
        <f>IF(Bids!$F189="","",Bids!$F189)</f>
        <v/>
      </c>
      <c r="X190" s="40" t="str">
        <f t="shared" si="5"/>
        <v/>
      </c>
      <c r="Y190" s="40" t="str">
        <f>IF($X190="","",IF(Config!$B$17=Config!$B$16,IF($X190&gt;=Config!$B$17,100,0),MAX(0,MIN(100,($X190-Config!$B$16)/(Config!$B$17-Config!$B$16)*100))))</f>
        <v/>
      </c>
      <c r="Z190" s="40">
        <f>IF($M190="Elite",Config!$B$21,0)</f>
        <v>0</v>
      </c>
      <c r="AA190" s="40" t="str">
        <f>IFERROR(IF(OR($W190="",$H190=""),"",IF($W190&gt;$H190,
  MAX(0, 60-(($W190-$H190)*24/Config!$B$19)*60),
  MIN(100, 60+(($H190-$W190)*24/Config!$B$20)*40)
)),"")
</f>
        <v/>
      </c>
      <c r="AB190" s="40" t="str">
        <f>IF($K190="","",IFERROR(VLOOKUP($K190,Grinders!$A$4:$N$998,10,FALSE)/5*100,""))</f>
        <v/>
      </c>
      <c r="AC190" s="40" t="str">
        <f>IF($K190="","",IFERROR(VLOOKUP($K190,Grinders!$A$4:$N$998,11,FALSE)*100,""))</f>
        <v/>
      </c>
      <c r="AD190" s="40" t="str">
        <f>IF($K190="","",IFERROR(VLOOKUP($K190,Grinders!$A$4:$N$998,12,FALSE)*100,""))</f>
        <v/>
      </c>
      <c r="AE190" s="40" t="str">
        <f>IF(OR(AO190=1,AP190=1),0,=IFERROR(IFS(
    OR($C190="", $K190=""), 0,
    $F190=0, 0,
    $D190&lt;&gt;"Open", 0,
    COUNTIFS(GrinderServices!$A$6:$A$1000, $K190, GrinderServices!$B$6:$B$1000, $E190, GrinderServices!$D$6:$D$1000, "Y")=0, 0,
    $X190&lt;Config!$B$16, 0,
    Config!$B$18=1, IF($O190&gt;=N190, 0, 1),
    TRUE, 1
), "")
)</f>
        <v>#ERROR!</v>
      </c>
      <c r="AF190" s="40" t="str">
        <f>IFERROR((IF(OR(AO190=1,AP190=1),"",=IFERROR((IFERROR(IF($AE190=0,"",((Config!$B$6*$Y190 + Config!$B$7*$U190 + Config!$B$8*$Z190 + Config!$B$9*$AA190 + Config!$B$10*$AB190 + Config!$B$11*$AC190 - Config!$B$12*$AD190)/Config!$B$13)+$AK190+$AL190),""))*(1-IFERROR(VLOOKUP(K190,Grinders!$A:$AB, 28, FALSE),0)),"")))*(1+AR190),"")</f>
        <v>#ERROR!</v>
      </c>
      <c r="AG190" s="40" t="str">
        <f t="shared" si="6"/>
        <v>#ERROR!</v>
      </c>
      <c r="AH190" s="40" t="str">
        <f t="shared" si="7"/>
        <v/>
      </c>
      <c r="AI190" s="40" t="str">
        <f t="shared" si="8"/>
        <v/>
      </c>
      <c r="AJ190" s="40" t="str">
        <f>IF($K190="","",COUNTIF(Assignments!$B$6:$B$1000,$K190))</f>
        <v/>
      </c>
      <c r="AK190" s="40" t="str">
        <f>IF($K190="","",IF(AND($AJ190=0,$O190&lt;$N190),Config!$B$43,0))</f>
        <v/>
      </c>
      <c r="AL190" s="40" t="str">
        <f>IF($K190="","",IF(AND($M190="Elite",$G190&gt;=Config!$B$41,$O190&lt;$N190),Config!$B$42,0))</f>
        <v/>
      </c>
      <c r="AM190" s="22"/>
      <c r="AN190" s="39">
        <f>IFERROR(VLOOKUP(K190,Grinders!$A:$Q,28,FALSE),0)</f>
        <v>0</v>
      </c>
      <c r="AO190" s="39">
        <f>IF(Config!$B$1003&lt;&gt;"Y",0,IF(IFERROR(VLOOKUP(K190,Grinders!$A:$P,27,FALSE),0)&gt;=3,IF(OR(G190&gt;=Config!$B$1001,ISNUMBER(SEARCH(E190,Config!$B$1002))),1,0),0))</f>
        <v>0</v>
      </c>
      <c r="AP190" s="39">
        <f t="array" ref="AP190">IFERROR(IF(INDEX(Bids!$AE:$AE,MATCH(B190,Bids!$A:$A,0))="Pending",1,0),0)</f>
        <v>0</v>
      </c>
      <c r="AQ190" s="39" t="str">
        <f t="array" ref="AQ190">IF(C190="","",IFERROR(XLOOKUP(C190,Assignments!$C:$C,Assignments!$AU:$AU,0),0))</f>
        <v/>
      </c>
      <c r="AR190" s="39">
        <f>IF(AND(Config!$B$1006="Y",AQ190=1),Config!$B$1007,0)</f>
        <v>0</v>
      </c>
    </row>
    <row r="191" ht="15.75" customHeight="1">
      <c r="A191" s="46" t="str">
        <f t="shared" si="1"/>
        <v/>
      </c>
      <c r="B191" s="40" t="str">
        <f>IF(Bids!$A190="","",Bids!$A190)</f>
        <v/>
      </c>
      <c r="C191" s="40" t="str">
        <f>IF(Bids!$B190="","",Bids!$B190)</f>
        <v/>
      </c>
      <c r="D191" s="40" t="str">
        <f>IF($C191="","",IFERROR(VLOOKUP($C191,Orders!$A$4:$J$998,9,FALSE),""))</f>
        <v/>
      </c>
      <c r="E191" s="40" t="str">
        <f>IF($C191="","",IFERROR(VLOOKUP($C191,Orders!$A$4:$J$998,3,FALSE),""))</f>
        <v/>
      </c>
      <c r="F191" s="40">
        <f t="shared" si="2"/>
        <v>1</v>
      </c>
      <c r="G191" s="40" t="str">
        <f>IF($C191="","",IFERROR(VLOOKUP($C191,Orders!$A$4:$J$998,4,FALSE),""))</f>
        <v/>
      </c>
      <c r="H191" s="40" t="str">
        <f>IF($C191="","",IFERROR(VLOOKUP($C191,Orders!$A$4:$J$998,5,FALSE),""))</f>
        <v/>
      </c>
      <c r="I191" s="40" t="str">
        <f>IF($C191="","",IFERROR(VLOOKUP($C191,Orders!$A$4:$J$998,6,FALSE),""))</f>
        <v/>
      </c>
      <c r="J191" s="40" t="str">
        <f>IF($C191="","",IFERROR(VLOOKUP($C191,Orders!$A$4:$J$998,7,FALSE),""))</f>
        <v/>
      </c>
      <c r="K191" s="40" t="str">
        <f>IF(Bids!$C190="","",Bids!$C190)</f>
        <v/>
      </c>
      <c r="L191" s="40" t="str">
        <f>IF($K191="","",IFERROR(VLOOKUP($K191,Grinders!$A$4:$N$998,2,FALSE),""))</f>
        <v/>
      </c>
      <c r="M191" s="40" t="str">
        <f>IF($K191="","",IFERROR(VLOOKUP($K191,Grinders!$A$4:$N$998,3,FALSE),""))</f>
        <v/>
      </c>
      <c r="N191" s="40" t="str">
        <f>IF($K191="","",IFERROR(VLOOKUP($K191,Grinders!$A$4:$N$998,4,FALSE),""))</f>
        <v/>
      </c>
      <c r="O191" s="40" t="str">
        <f>IF($K191="","",IFERROR(VLOOKUP($K191,Grinders!$A$4:$N$998,5,FALSE),""))</f>
        <v/>
      </c>
      <c r="P191" s="40" t="str">
        <f>IF($K191="","",IF($C$4="",0,COUNTIFS(Assignments!$B$6:$B$1000,$K191,Assignments!$F$6:$F$1000,$C$4,Assignments!$E$6:$E$1000,"Active")))</f>
        <v/>
      </c>
      <c r="Q191" s="40" t="str">
        <f t="shared" si="3"/>
        <v/>
      </c>
      <c r="R191" s="40" t="str">
        <f t="shared" si="4"/>
        <v/>
      </c>
      <c r="S191" s="40" t="str">
        <f>IF($K191="","",IF($C$4="",0,COUNTIFS(Assignments!$B$6:$B$1000,$K191,Assignments!$F$6:$F$1000,$C$4,Assignments!$D$6:$D$1000,"&gt;="&amp;Config!$B$3-7,Assignments!$D$6:$D$1000,"&lt;="&amp;Config!$B$3)))</f>
        <v/>
      </c>
      <c r="T191" s="40" t="str">
        <f>IF($K191="","",IFERROR(VLOOKUP($K191,Grinders!$A$4:$N$998,8,FALSE),""))</f>
        <v/>
      </c>
      <c r="U191" s="40" t="str">
        <f>IFERROR(IF($K191="","",IF($M191="Elite",MAX(50,MIN(100,Config!$B$27*MAX(0,MIN(100,(1-IF($R191="",0,$R191))*100)) + Config!$B$28*MAX(0,MIN(100,(1-MIN(1,IF(Config!$B$30=0,1,$S191/Config!$B$30)))*100)) + Config!$B$29*MAX(0,MIN(100,MIN(1,IF($T191="",0,$T191)/Config!$B$23)*100)))),MIN(100,Config!$B$27*MAX(0,MIN(100,(1-IF($R191="",0,$R191))*100)) + Config!$B$28*MAX(0,MIN(100,(1-MIN(1,IF(Config!$B$30=0,1,$S191/Config!$B$30)))*100)) + Config!$B$29*MAX(0,MIN(100,MIN(1,IF($T191="",0,$T191)/Config!$B$23)*100))))),"")
</f>
        <v/>
      </c>
      <c r="V191" s="40" t="str">
        <f>IF(Bids!$AC191="","",Bids!$AC191)</f>
        <v/>
      </c>
      <c r="W191" s="40" t="str">
        <f>IF(Bids!$F190="","",Bids!$F190)</f>
        <v/>
      </c>
      <c r="X191" s="40" t="str">
        <f t="shared" si="5"/>
        <v/>
      </c>
      <c r="Y191" s="40" t="str">
        <f>IF($X191="","",IF(Config!$B$17=Config!$B$16,IF($X191&gt;=Config!$B$17,100,0),MAX(0,MIN(100,($X191-Config!$B$16)/(Config!$B$17-Config!$B$16)*100))))</f>
        <v/>
      </c>
      <c r="Z191" s="40">
        <f>IF($M191="Elite",Config!$B$21,0)</f>
        <v>0</v>
      </c>
      <c r="AA191" s="40" t="str">
        <f>IFERROR(IF(OR($W191="",$H191=""),"",IF($W191&gt;$H191,
  MAX(0, 60-(($W191-$H191)*24/Config!$B$19)*60),
  MIN(100, 60+(($H191-$W191)*24/Config!$B$20)*40)
)),"")
</f>
        <v/>
      </c>
      <c r="AB191" s="40" t="str">
        <f>IF($K191="","",IFERROR(VLOOKUP($K191,Grinders!$A$4:$N$998,10,FALSE)/5*100,""))</f>
        <v/>
      </c>
      <c r="AC191" s="40" t="str">
        <f>IF($K191="","",IFERROR(VLOOKUP($K191,Grinders!$A$4:$N$998,11,FALSE)*100,""))</f>
        <v/>
      </c>
      <c r="AD191" s="40" t="str">
        <f>IF($K191="","",IFERROR(VLOOKUP($K191,Grinders!$A$4:$N$998,12,FALSE)*100,""))</f>
        <v/>
      </c>
      <c r="AE191" s="40" t="str">
        <f>IF(OR(AO191=1,AP191=1),0,=IFERROR(IFS(
    OR($C191="", $K191=""), 0,
    $F191=0, 0,
    $D191&lt;&gt;"Open", 0,
    COUNTIFS(GrinderServices!$A$6:$A$1000, $K191, GrinderServices!$B$6:$B$1000, $E191, GrinderServices!$D$6:$D$1000, "Y")=0, 0,
    $X191&lt;Config!$B$16, 0,
    Config!$B$18=1, IF($O191&gt;=N191, 0, 1),
    TRUE, 1
), "")
)</f>
        <v>#ERROR!</v>
      </c>
      <c r="AF191" s="40" t="str">
        <f>IFERROR((IF(OR(AO191=1,AP191=1),"",=IFERROR((IFERROR(IF($AE191=0,"",((Config!$B$6*$Y191 + Config!$B$7*$U191 + Config!$B$8*$Z191 + Config!$B$9*$AA191 + Config!$B$10*$AB191 + Config!$B$11*$AC191 - Config!$B$12*$AD191)/Config!$B$13)+$AK191+$AL191),""))*(1-IFERROR(VLOOKUP(K191,Grinders!$A:$AB, 28, FALSE),0)),"")))*(1+AR191),"")</f>
        <v>#ERROR!</v>
      </c>
      <c r="AG191" s="40" t="str">
        <f t="shared" si="6"/>
        <v>#ERROR!</v>
      </c>
      <c r="AH191" s="40" t="str">
        <f t="shared" si="7"/>
        <v/>
      </c>
      <c r="AI191" s="40" t="str">
        <f t="shared" si="8"/>
        <v/>
      </c>
      <c r="AJ191" s="40" t="str">
        <f>IF($K191="","",COUNTIF(Assignments!$B$6:$B$1000,$K191))</f>
        <v/>
      </c>
      <c r="AK191" s="40" t="str">
        <f>IF($K191="","",IF(AND($AJ191=0,$O191&lt;$N191),Config!$B$43,0))</f>
        <v/>
      </c>
      <c r="AL191" s="40" t="str">
        <f>IF($K191="","",IF(AND($M191="Elite",$G191&gt;=Config!$B$41,$O191&lt;$N191),Config!$B$42,0))</f>
        <v/>
      </c>
      <c r="AM191" s="22"/>
      <c r="AN191" s="39">
        <f>IFERROR(VLOOKUP(K191,Grinders!$A:$Q,28,FALSE),0)</f>
        <v>0</v>
      </c>
      <c r="AO191" s="39">
        <f>IF(Config!$B$1003&lt;&gt;"Y",0,IF(IFERROR(VLOOKUP(K191,Grinders!$A:$P,27,FALSE),0)&gt;=3,IF(OR(G191&gt;=Config!$B$1001,ISNUMBER(SEARCH(E191,Config!$B$1002))),1,0),0))</f>
        <v>0</v>
      </c>
      <c r="AP191" s="39">
        <f t="array" ref="AP191">IFERROR(IF(INDEX(Bids!$AE:$AE,MATCH(B191,Bids!$A:$A,0))="Pending",1,0),0)</f>
        <v>0</v>
      </c>
      <c r="AQ191" s="39" t="str">
        <f t="array" ref="AQ191">IF(C191="","",IFERROR(XLOOKUP(C191,Assignments!$C:$C,Assignments!$AU:$AU,0),0))</f>
        <v/>
      </c>
      <c r="AR191" s="39">
        <f>IF(AND(Config!$B$1006="Y",AQ191=1),Config!$B$1007,0)</f>
        <v>0</v>
      </c>
    </row>
    <row r="192" ht="15.75" customHeight="1">
      <c r="A192" s="46" t="str">
        <f t="shared" si="1"/>
        <v/>
      </c>
      <c r="B192" s="40" t="str">
        <f>IF(Bids!$A191="","",Bids!$A191)</f>
        <v/>
      </c>
      <c r="C192" s="40" t="str">
        <f>IF(Bids!$B191="","",Bids!$B191)</f>
        <v/>
      </c>
      <c r="D192" s="40" t="str">
        <f>IF($C192="","",IFERROR(VLOOKUP($C192,Orders!$A$4:$J$998,9,FALSE),""))</f>
        <v/>
      </c>
      <c r="E192" s="40" t="str">
        <f>IF($C192="","",IFERROR(VLOOKUP($C192,Orders!$A$4:$J$998,3,FALSE),""))</f>
        <v/>
      </c>
      <c r="F192" s="40">
        <f t="shared" si="2"/>
        <v>1</v>
      </c>
      <c r="G192" s="40" t="str">
        <f>IF($C192="","",IFERROR(VLOOKUP($C192,Orders!$A$4:$J$998,4,FALSE),""))</f>
        <v/>
      </c>
      <c r="H192" s="40" t="str">
        <f>IF($C192="","",IFERROR(VLOOKUP($C192,Orders!$A$4:$J$998,5,FALSE),""))</f>
        <v/>
      </c>
      <c r="I192" s="40" t="str">
        <f>IF($C192="","",IFERROR(VLOOKUP($C192,Orders!$A$4:$J$998,6,FALSE),""))</f>
        <v/>
      </c>
      <c r="J192" s="40" t="str">
        <f>IF($C192="","",IFERROR(VLOOKUP($C192,Orders!$A$4:$J$998,7,FALSE),""))</f>
        <v/>
      </c>
      <c r="K192" s="40" t="str">
        <f>IF(Bids!$C191="","",Bids!$C191)</f>
        <v/>
      </c>
      <c r="L192" s="40" t="str">
        <f>IF($K192="","",IFERROR(VLOOKUP($K192,Grinders!$A$4:$N$998,2,FALSE),""))</f>
        <v/>
      </c>
      <c r="M192" s="40" t="str">
        <f>IF($K192="","",IFERROR(VLOOKUP($K192,Grinders!$A$4:$N$998,3,FALSE),""))</f>
        <v/>
      </c>
      <c r="N192" s="40" t="str">
        <f>IF($K192="","",IFERROR(VLOOKUP($K192,Grinders!$A$4:$N$998,4,FALSE),""))</f>
        <v/>
      </c>
      <c r="O192" s="40" t="str">
        <f>IF($K192="","",IFERROR(VLOOKUP($K192,Grinders!$A$4:$N$998,5,FALSE),""))</f>
        <v/>
      </c>
      <c r="P192" s="40" t="str">
        <f>IF($K192="","",IF($C$4="",0,COUNTIFS(Assignments!$B$6:$B$1000,$K192,Assignments!$F$6:$F$1000,$C$4,Assignments!$E$6:$E$1000,"Active")))</f>
        <v/>
      </c>
      <c r="Q192" s="40" t="str">
        <f t="shared" si="3"/>
        <v/>
      </c>
      <c r="R192" s="40" t="str">
        <f t="shared" si="4"/>
        <v/>
      </c>
      <c r="S192" s="40" t="str">
        <f>IF($K192="","",IF($C$4="",0,COUNTIFS(Assignments!$B$6:$B$1000,$K192,Assignments!$F$6:$F$1000,$C$4,Assignments!$D$6:$D$1000,"&gt;="&amp;Config!$B$3-7,Assignments!$D$6:$D$1000,"&lt;="&amp;Config!$B$3)))</f>
        <v/>
      </c>
      <c r="T192" s="40" t="str">
        <f>IF($K192="","",IFERROR(VLOOKUP($K192,Grinders!$A$4:$N$998,8,FALSE),""))</f>
        <v/>
      </c>
      <c r="U192" s="40" t="str">
        <f>IFERROR(IF($K192="","",IF($M192="Elite",MAX(50,MIN(100,Config!$B$27*MAX(0,MIN(100,(1-IF($R192="",0,$R192))*100)) + Config!$B$28*MAX(0,MIN(100,(1-MIN(1,IF(Config!$B$30=0,1,$S192/Config!$B$30)))*100)) + Config!$B$29*MAX(0,MIN(100,MIN(1,IF($T192="",0,$T192)/Config!$B$23)*100)))),MIN(100,Config!$B$27*MAX(0,MIN(100,(1-IF($R192="",0,$R192))*100)) + Config!$B$28*MAX(0,MIN(100,(1-MIN(1,IF(Config!$B$30=0,1,$S192/Config!$B$30)))*100)) + Config!$B$29*MAX(0,MIN(100,MIN(1,IF($T192="",0,$T192)/Config!$B$23)*100))))),"")
</f>
        <v/>
      </c>
      <c r="V192" s="40" t="str">
        <f>IF(Bids!$AC192="","",Bids!$AC192)</f>
        <v/>
      </c>
      <c r="W192" s="40" t="str">
        <f>IF(Bids!$F191="","",Bids!$F191)</f>
        <v/>
      </c>
      <c r="X192" s="40" t="str">
        <f t="shared" si="5"/>
        <v/>
      </c>
      <c r="Y192" s="40" t="str">
        <f>IF($X192="","",IF(Config!$B$17=Config!$B$16,IF($X192&gt;=Config!$B$17,100,0),MAX(0,MIN(100,($X192-Config!$B$16)/(Config!$B$17-Config!$B$16)*100))))</f>
        <v/>
      </c>
      <c r="Z192" s="40">
        <f>IF($M192="Elite",Config!$B$21,0)</f>
        <v>0</v>
      </c>
      <c r="AA192" s="40" t="str">
        <f>IFERROR(IF(OR($W192="",$H192=""),"",IF($W192&gt;$H192,
  MAX(0, 60-(($W192-$H192)*24/Config!$B$19)*60),
  MIN(100, 60+(($H192-$W192)*24/Config!$B$20)*40)
)),"")
</f>
        <v/>
      </c>
      <c r="AB192" s="40" t="str">
        <f>IF($K192="","",IFERROR(VLOOKUP($K192,Grinders!$A$4:$N$998,10,FALSE)/5*100,""))</f>
        <v/>
      </c>
      <c r="AC192" s="40" t="str">
        <f>IF($K192="","",IFERROR(VLOOKUP($K192,Grinders!$A$4:$N$998,11,FALSE)*100,""))</f>
        <v/>
      </c>
      <c r="AD192" s="40" t="str">
        <f>IF($K192="","",IFERROR(VLOOKUP($K192,Grinders!$A$4:$N$998,12,FALSE)*100,""))</f>
        <v/>
      </c>
      <c r="AE192" s="40" t="str">
        <f>IF(OR(AO192=1,AP192=1),0,=IFERROR(IFS(
    OR($C192="", $K192=""), 0,
    $F192=0, 0,
    $D192&lt;&gt;"Open", 0,
    COUNTIFS(GrinderServices!$A$6:$A$1000, $K192, GrinderServices!$B$6:$B$1000, $E192, GrinderServices!$D$6:$D$1000, "Y")=0, 0,
    $X192&lt;Config!$B$16, 0,
    Config!$B$18=1, IF($O192&gt;=N192, 0, 1),
    TRUE, 1
), "")
)</f>
        <v>#ERROR!</v>
      </c>
      <c r="AF192" s="40" t="str">
        <f>IFERROR((IF(OR(AO192=1,AP192=1),"",=IFERROR((IFERROR(IF($AE192=0,"",((Config!$B$6*$Y192 + Config!$B$7*$U192 + Config!$B$8*$Z192 + Config!$B$9*$AA192 + Config!$B$10*$AB192 + Config!$B$11*$AC192 - Config!$B$12*$AD192)/Config!$B$13)+$AK192+$AL192),""))*(1-IFERROR(VLOOKUP(K192,Grinders!$A:$AB, 28, FALSE),0)),"")))*(1+AR192),"")</f>
        <v>#ERROR!</v>
      </c>
      <c r="AG192" s="40" t="str">
        <f t="shared" si="6"/>
        <v>#ERROR!</v>
      </c>
      <c r="AH192" s="40" t="str">
        <f t="shared" si="7"/>
        <v/>
      </c>
      <c r="AI192" s="40" t="str">
        <f t="shared" si="8"/>
        <v/>
      </c>
      <c r="AJ192" s="40" t="str">
        <f>IF($K192="","",COUNTIF(Assignments!$B$6:$B$1000,$K192))</f>
        <v/>
      </c>
      <c r="AK192" s="40" t="str">
        <f>IF($K192="","",IF(AND($AJ192=0,$O192&lt;$N192),Config!$B$43,0))</f>
        <v/>
      </c>
      <c r="AL192" s="40" t="str">
        <f>IF($K192="","",IF(AND($M192="Elite",$G192&gt;=Config!$B$41,$O192&lt;$N192),Config!$B$42,0))</f>
        <v/>
      </c>
      <c r="AM192" s="22"/>
      <c r="AN192" s="39">
        <f>IFERROR(VLOOKUP(K192,Grinders!$A:$Q,28,FALSE),0)</f>
        <v>0</v>
      </c>
      <c r="AO192" s="39">
        <f>IF(Config!$B$1003&lt;&gt;"Y",0,IF(IFERROR(VLOOKUP(K192,Grinders!$A:$P,27,FALSE),0)&gt;=3,IF(OR(G192&gt;=Config!$B$1001,ISNUMBER(SEARCH(E192,Config!$B$1002))),1,0),0))</f>
        <v>0</v>
      </c>
      <c r="AP192" s="39">
        <f t="array" ref="AP192">IFERROR(IF(INDEX(Bids!$AE:$AE,MATCH(B192,Bids!$A:$A,0))="Pending",1,0),0)</f>
        <v>0</v>
      </c>
      <c r="AQ192" s="39" t="str">
        <f t="array" ref="AQ192">IF(C192="","",IFERROR(XLOOKUP(C192,Assignments!$C:$C,Assignments!$AU:$AU,0),0))</f>
        <v/>
      </c>
      <c r="AR192" s="39">
        <f>IF(AND(Config!$B$1006="Y",AQ192=1),Config!$B$1007,0)</f>
        <v>0</v>
      </c>
    </row>
    <row r="193" ht="15.75" customHeight="1">
      <c r="A193" s="46" t="str">
        <f t="shared" si="1"/>
        <v/>
      </c>
      <c r="B193" s="40" t="str">
        <f>IF(Bids!$A192="","",Bids!$A192)</f>
        <v/>
      </c>
      <c r="C193" s="40" t="str">
        <f>IF(Bids!$B192="","",Bids!$B192)</f>
        <v/>
      </c>
      <c r="D193" s="40" t="str">
        <f>IF($C193="","",IFERROR(VLOOKUP($C193,Orders!$A$4:$J$998,9,FALSE),""))</f>
        <v/>
      </c>
      <c r="E193" s="40" t="str">
        <f>IF($C193="","",IFERROR(VLOOKUP($C193,Orders!$A$4:$J$998,3,FALSE),""))</f>
        <v/>
      </c>
      <c r="F193" s="40">
        <f t="shared" si="2"/>
        <v>1</v>
      </c>
      <c r="G193" s="40" t="str">
        <f>IF($C193="","",IFERROR(VLOOKUP($C193,Orders!$A$4:$J$998,4,FALSE),""))</f>
        <v/>
      </c>
      <c r="H193" s="40" t="str">
        <f>IF($C193="","",IFERROR(VLOOKUP($C193,Orders!$A$4:$J$998,5,FALSE),""))</f>
        <v/>
      </c>
      <c r="I193" s="40" t="str">
        <f>IF($C193="","",IFERROR(VLOOKUP($C193,Orders!$A$4:$J$998,6,FALSE),""))</f>
        <v/>
      </c>
      <c r="J193" s="40" t="str">
        <f>IF($C193="","",IFERROR(VLOOKUP($C193,Orders!$A$4:$J$998,7,FALSE),""))</f>
        <v/>
      </c>
      <c r="K193" s="40" t="str">
        <f>IF(Bids!$C192="","",Bids!$C192)</f>
        <v/>
      </c>
      <c r="L193" s="40" t="str">
        <f>IF($K193="","",IFERROR(VLOOKUP($K193,Grinders!$A$4:$N$998,2,FALSE),""))</f>
        <v/>
      </c>
      <c r="M193" s="40" t="str">
        <f>IF($K193="","",IFERROR(VLOOKUP($K193,Grinders!$A$4:$N$998,3,FALSE),""))</f>
        <v/>
      </c>
      <c r="N193" s="40" t="str">
        <f>IF($K193="","",IFERROR(VLOOKUP($K193,Grinders!$A$4:$N$998,4,FALSE),""))</f>
        <v/>
      </c>
      <c r="O193" s="40" t="str">
        <f>IF($K193="","",IFERROR(VLOOKUP($K193,Grinders!$A$4:$N$998,5,FALSE),""))</f>
        <v/>
      </c>
      <c r="P193" s="40" t="str">
        <f>IF($K193="","",IF($C$4="",0,COUNTIFS(Assignments!$B$6:$B$1000,$K193,Assignments!$F$6:$F$1000,$C$4,Assignments!$E$6:$E$1000,"Active")))</f>
        <v/>
      </c>
      <c r="Q193" s="40" t="str">
        <f t="shared" si="3"/>
        <v/>
      </c>
      <c r="R193" s="40" t="str">
        <f t="shared" si="4"/>
        <v/>
      </c>
      <c r="S193" s="40" t="str">
        <f>IF($K193="","",IF($C$4="",0,COUNTIFS(Assignments!$B$6:$B$1000,$K193,Assignments!$F$6:$F$1000,$C$4,Assignments!$D$6:$D$1000,"&gt;="&amp;Config!$B$3-7,Assignments!$D$6:$D$1000,"&lt;="&amp;Config!$B$3)))</f>
        <v/>
      </c>
      <c r="T193" s="40" t="str">
        <f>IF($K193="","",IFERROR(VLOOKUP($K193,Grinders!$A$4:$N$998,8,FALSE),""))</f>
        <v/>
      </c>
      <c r="U193" s="40" t="str">
        <f>IFERROR(IF($K193="","",IF($M193="Elite",MAX(50,MIN(100,Config!$B$27*MAX(0,MIN(100,(1-IF($R193="",0,$R193))*100)) + Config!$B$28*MAX(0,MIN(100,(1-MIN(1,IF(Config!$B$30=0,1,$S193/Config!$B$30)))*100)) + Config!$B$29*MAX(0,MIN(100,MIN(1,IF($T193="",0,$T193)/Config!$B$23)*100)))),MIN(100,Config!$B$27*MAX(0,MIN(100,(1-IF($R193="",0,$R193))*100)) + Config!$B$28*MAX(0,MIN(100,(1-MIN(1,IF(Config!$B$30=0,1,$S193/Config!$B$30)))*100)) + Config!$B$29*MAX(0,MIN(100,MIN(1,IF($T193="",0,$T193)/Config!$B$23)*100))))),"")
</f>
        <v/>
      </c>
      <c r="V193" s="40" t="str">
        <f>IF(Bids!$AC193="","",Bids!$AC193)</f>
        <v/>
      </c>
      <c r="W193" s="40" t="str">
        <f>IF(Bids!$F192="","",Bids!$F192)</f>
        <v/>
      </c>
      <c r="X193" s="40" t="str">
        <f t="shared" si="5"/>
        <v/>
      </c>
      <c r="Y193" s="40" t="str">
        <f>IF($X193="","",IF(Config!$B$17=Config!$B$16,IF($X193&gt;=Config!$B$17,100,0),MAX(0,MIN(100,($X193-Config!$B$16)/(Config!$B$17-Config!$B$16)*100))))</f>
        <v/>
      </c>
      <c r="Z193" s="40">
        <f>IF($M193="Elite",Config!$B$21,0)</f>
        <v>0</v>
      </c>
      <c r="AA193" s="40" t="str">
        <f>IFERROR(IF(OR($W193="",$H193=""),"",IF($W193&gt;$H193,
  MAX(0, 60-(($W193-$H193)*24/Config!$B$19)*60),
  MIN(100, 60+(($H193-$W193)*24/Config!$B$20)*40)
)),"")
</f>
        <v/>
      </c>
      <c r="AB193" s="40" t="str">
        <f>IF($K193="","",IFERROR(VLOOKUP($K193,Grinders!$A$4:$N$998,10,FALSE)/5*100,""))</f>
        <v/>
      </c>
      <c r="AC193" s="40" t="str">
        <f>IF($K193="","",IFERROR(VLOOKUP($K193,Grinders!$A$4:$N$998,11,FALSE)*100,""))</f>
        <v/>
      </c>
      <c r="AD193" s="40" t="str">
        <f>IF($K193="","",IFERROR(VLOOKUP($K193,Grinders!$A$4:$N$998,12,FALSE)*100,""))</f>
        <v/>
      </c>
      <c r="AE193" s="40" t="str">
        <f>IF(OR(AO193=1,AP193=1),0,=IFERROR(IFS(
    OR($C193="", $K193=""), 0,
    $F193=0, 0,
    $D193&lt;&gt;"Open", 0,
    COUNTIFS(GrinderServices!$A$6:$A$1000, $K193, GrinderServices!$B$6:$B$1000, $E193, GrinderServices!$D$6:$D$1000, "Y")=0, 0,
    $X193&lt;Config!$B$16, 0,
    Config!$B$18=1, IF($O193&gt;=N193, 0, 1),
    TRUE, 1
), "")
)</f>
        <v>#ERROR!</v>
      </c>
      <c r="AF193" s="40" t="str">
        <f>IFERROR((IF(OR(AO193=1,AP193=1),"",=IFERROR((IFERROR(IF($AE193=0,"",((Config!$B$6*$Y193 + Config!$B$7*$U193 + Config!$B$8*$Z193 + Config!$B$9*$AA193 + Config!$B$10*$AB193 + Config!$B$11*$AC193 - Config!$B$12*$AD193)/Config!$B$13)+$AK193+$AL193),""))*(1-IFERROR(VLOOKUP(K193,Grinders!$A:$AB, 28, FALSE),0)),"")))*(1+AR193),"")</f>
        <v>#ERROR!</v>
      </c>
      <c r="AG193" s="40" t="str">
        <f t="shared" si="6"/>
        <v>#ERROR!</v>
      </c>
      <c r="AH193" s="40" t="str">
        <f t="shared" si="7"/>
        <v/>
      </c>
      <c r="AI193" s="40" t="str">
        <f t="shared" si="8"/>
        <v/>
      </c>
      <c r="AJ193" s="40" t="str">
        <f>IF($K193="","",COUNTIF(Assignments!$B$6:$B$1000,$K193))</f>
        <v/>
      </c>
      <c r="AK193" s="40" t="str">
        <f>IF($K193="","",IF(AND($AJ193=0,$O193&lt;$N193),Config!$B$43,0))</f>
        <v/>
      </c>
      <c r="AL193" s="40" t="str">
        <f>IF($K193="","",IF(AND($M193="Elite",$G193&gt;=Config!$B$41,$O193&lt;$N193),Config!$B$42,0))</f>
        <v/>
      </c>
      <c r="AM193" s="22"/>
      <c r="AN193" s="39">
        <f>IFERROR(VLOOKUP(K193,Grinders!$A:$Q,28,FALSE),0)</f>
        <v>0</v>
      </c>
      <c r="AO193" s="39">
        <f>IF(Config!$B$1003&lt;&gt;"Y",0,IF(IFERROR(VLOOKUP(K193,Grinders!$A:$P,27,FALSE),0)&gt;=3,IF(OR(G193&gt;=Config!$B$1001,ISNUMBER(SEARCH(E193,Config!$B$1002))),1,0),0))</f>
        <v>0</v>
      </c>
      <c r="AP193" s="39">
        <f t="array" ref="AP193">IFERROR(IF(INDEX(Bids!$AE:$AE,MATCH(B193,Bids!$A:$A,0))="Pending",1,0),0)</f>
        <v>0</v>
      </c>
      <c r="AQ193" s="39" t="str">
        <f t="array" ref="AQ193">IF(C193="","",IFERROR(XLOOKUP(C193,Assignments!$C:$C,Assignments!$AU:$AU,0),0))</f>
        <v/>
      </c>
      <c r="AR193" s="39">
        <f>IF(AND(Config!$B$1006="Y",AQ193=1),Config!$B$1007,0)</f>
        <v>0</v>
      </c>
    </row>
    <row r="194" ht="15.75" customHeight="1">
      <c r="A194" s="46" t="str">
        <f t="shared" si="1"/>
        <v/>
      </c>
      <c r="B194" s="40" t="str">
        <f>IF(Bids!$A193="","",Bids!$A193)</f>
        <v/>
      </c>
      <c r="C194" s="40" t="str">
        <f>IF(Bids!$B193="","",Bids!$B193)</f>
        <v/>
      </c>
      <c r="D194" s="40" t="str">
        <f>IF($C194="","",IFERROR(VLOOKUP($C194,Orders!$A$4:$J$998,9,FALSE),""))</f>
        <v/>
      </c>
      <c r="E194" s="40" t="str">
        <f>IF($C194="","",IFERROR(VLOOKUP($C194,Orders!$A$4:$J$998,3,FALSE),""))</f>
        <v/>
      </c>
      <c r="F194" s="40">
        <f t="shared" si="2"/>
        <v>1</v>
      </c>
      <c r="G194" s="40" t="str">
        <f>IF($C194="","",IFERROR(VLOOKUP($C194,Orders!$A$4:$J$998,4,FALSE),""))</f>
        <v/>
      </c>
      <c r="H194" s="40" t="str">
        <f>IF($C194="","",IFERROR(VLOOKUP($C194,Orders!$A$4:$J$998,5,FALSE),""))</f>
        <v/>
      </c>
      <c r="I194" s="40" t="str">
        <f>IF($C194="","",IFERROR(VLOOKUP($C194,Orders!$A$4:$J$998,6,FALSE),""))</f>
        <v/>
      </c>
      <c r="J194" s="40" t="str">
        <f>IF($C194="","",IFERROR(VLOOKUP($C194,Orders!$A$4:$J$998,7,FALSE),""))</f>
        <v/>
      </c>
      <c r="K194" s="40" t="str">
        <f>IF(Bids!$C193="","",Bids!$C193)</f>
        <v/>
      </c>
      <c r="L194" s="40" t="str">
        <f>IF($K194="","",IFERROR(VLOOKUP($K194,Grinders!$A$4:$N$998,2,FALSE),""))</f>
        <v/>
      </c>
      <c r="M194" s="40" t="str">
        <f>IF($K194="","",IFERROR(VLOOKUP($K194,Grinders!$A$4:$N$998,3,FALSE),""))</f>
        <v/>
      </c>
      <c r="N194" s="40" t="str">
        <f>IF($K194="","",IFERROR(VLOOKUP($K194,Grinders!$A$4:$N$998,4,FALSE),""))</f>
        <v/>
      </c>
      <c r="O194" s="40" t="str">
        <f>IF($K194="","",IFERROR(VLOOKUP($K194,Grinders!$A$4:$N$998,5,FALSE),""))</f>
        <v/>
      </c>
      <c r="P194" s="40" t="str">
        <f>IF($K194="","",IF($C$4="",0,COUNTIFS(Assignments!$B$6:$B$1000,$K194,Assignments!$F$6:$F$1000,$C$4,Assignments!$E$6:$E$1000,"Active")))</f>
        <v/>
      </c>
      <c r="Q194" s="40" t="str">
        <f t="shared" si="3"/>
        <v/>
      </c>
      <c r="R194" s="40" t="str">
        <f t="shared" si="4"/>
        <v/>
      </c>
      <c r="S194" s="40" t="str">
        <f>IF($K194="","",IF($C$4="",0,COUNTIFS(Assignments!$B$6:$B$1000,$K194,Assignments!$F$6:$F$1000,$C$4,Assignments!$D$6:$D$1000,"&gt;="&amp;Config!$B$3-7,Assignments!$D$6:$D$1000,"&lt;="&amp;Config!$B$3)))</f>
        <v/>
      </c>
      <c r="T194" s="40" t="str">
        <f>IF($K194="","",IFERROR(VLOOKUP($K194,Grinders!$A$4:$N$998,8,FALSE),""))</f>
        <v/>
      </c>
      <c r="U194" s="40" t="str">
        <f>IFERROR(IF($K194="","",IF($M194="Elite",MAX(50,MIN(100,Config!$B$27*MAX(0,MIN(100,(1-IF($R194="",0,$R194))*100)) + Config!$B$28*MAX(0,MIN(100,(1-MIN(1,IF(Config!$B$30=0,1,$S194/Config!$B$30)))*100)) + Config!$B$29*MAX(0,MIN(100,MIN(1,IF($T194="",0,$T194)/Config!$B$23)*100)))),MIN(100,Config!$B$27*MAX(0,MIN(100,(1-IF($R194="",0,$R194))*100)) + Config!$B$28*MAX(0,MIN(100,(1-MIN(1,IF(Config!$B$30=0,1,$S194/Config!$B$30)))*100)) + Config!$B$29*MAX(0,MIN(100,MIN(1,IF($T194="",0,$T194)/Config!$B$23)*100))))),"")
</f>
        <v/>
      </c>
      <c r="V194" s="40" t="str">
        <f>IF(Bids!$AC194="","",Bids!$AC194)</f>
        <v/>
      </c>
      <c r="W194" s="40" t="str">
        <f>IF(Bids!$F193="","",Bids!$F193)</f>
        <v/>
      </c>
      <c r="X194" s="40" t="str">
        <f t="shared" si="5"/>
        <v/>
      </c>
      <c r="Y194" s="40" t="str">
        <f>IF($X194="","",IF(Config!$B$17=Config!$B$16,IF($X194&gt;=Config!$B$17,100,0),MAX(0,MIN(100,($X194-Config!$B$16)/(Config!$B$17-Config!$B$16)*100))))</f>
        <v/>
      </c>
      <c r="Z194" s="40">
        <f>IF($M194="Elite",Config!$B$21,0)</f>
        <v>0</v>
      </c>
      <c r="AA194" s="40" t="str">
        <f>IFERROR(IF(OR($W194="",$H194=""),"",IF($W194&gt;$H194,
  MAX(0, 60-(($W194-$H194)*24/Config!$B$19)*60),
  MIN(100, 60+(($H194-$W194)*24/Config!$B$20)*40)
)),"")
</f>
        <v/>
      </c>
      <c r="AB194" s="40" t="str">
        <f>IF($K194="","",IFERROR(VLOOKUP($K194,Grinders!$A$4:$N$998,10,FALSE)/5*100,""))</f>
        <v/>
      </c>
      <c r="AC194" s="40" t="str">
        <f>IF($K194="","",IFERROR(VLOOKUP($K194,Grinders!$A$4:$N$998,11,FALSE)*100,""))</f>
        <v/>
      </c>
      <c r="AD194" s="40" t="str">
        <f>IF($K194="","",IFERROR(VLOOKUP($K194,Grinders!$A$4:$N$998,12,FALSE)*100,""))</f>
        <v/>
      </c>
      <c r="AE194" s="40" t="str">
        <f>IF(OR(AO194=1,AP194=1),0,=IFERROR(IFS(
    OR($C194="", $K194=""), 0,
    $F194=0, 0,
    $D194&lt;&gt;"Open", 0,
    COUNTIFS(GrinderServices!$A$6:$A$1000, $K194, GrinderServices!$B$6:$B$1000, $E194, GrinderServices!$D$6:$D$1000, "Y")=0, 0,
    $X194&lt;Config!$B$16, 0,
    Config!$B$18=1, IF($O194&gt;=N194, 0, 1),
    TRUE, 1
), "")
)</f>
        <v>#ERROR!</v>
      </c>
      <c r="AF194" s="40" t="str">
        <f>IFERROR((IF(OR(AO194=1,AP194=1),"",=IFERROR((IFERROR(IF($AE194=0,"",((Config!$B$6*$Y194 + Config!$B$7*$U194 + Config!$B$8*$Z194 + Config!$B$9*$AA194 + Config!$B$10*$AB194 + Config!$B$11*$AC194 - Config!$B$12*$AD194)/Config!$B$13)+$AK194+$AL194),""))*(1-IFERROR(VLOOKUP(K194,Grinders!$A:$AB, 28, FALSE),0)),"")))*(1+AR194),"")</f>
        <v>#ERROR!</v>
      </c>
      <c r="AG194" s="40" t="str">
        <f t="shared" si="6"/>
        <v>#ERROR!</v>
      </c>
      <c r="AH194" s="40" t="str">
        <f t="shared" si="7"/>
        <v/>
      </c>
      <c r="AI194" s="40" t="str">
        <f t="shared" si="8"/>
        <v/>
      </c>
      <c r="AJ194" s="40" t="str">
        <f>IF($K194="","",COUNTIF(Assignments!$B$6:$B$1000,$K194))</f>
        <v/>
      </c>
      <c r="AK194" s="40" t="str">
        <f>IF($K194="","",IF(AND($AJ194=0,$O194&lt;$N194),Config!$B$43,0))</f>
        <v/>
      </c>
      <c r="AL194" s="40" t="str">
        <f>IF($K194="","",IF(AND($M194="Elite",$G194&gt;=Config!$B$41,$O194&lt;$N194),Config!$B$42,0))</f>
        <v/>
      </c>
      <c r="AM194" s="22"/>
      <c r="AN194" s="39">
        <f>IFERROR(VLOOKUP(K194,Grinders!$A:$Q,28,FALSE),0)</f>
        <v>0</v>
      </c>
      <c r="AO194" s="39">
        <f>IF(Config!$B$1003&lt;&gt;"Y",0,IF(IFERROR(VLOOKUP(K194,Grinders!$A:$P,27,FALSE),0)&gt;=3,IF(OR(G194&gt;=Config!$B$1001,ISNUMBER(SEARCH(E194,Config!$B$1002))),1,0),0))</f>
        <v>0</v>
      </c>
      <c r="AP194" s="39">
        <f t="array" ref="AP194">IFERROR(IF(INDEX(Bids!$AE:$AE,MATCH(B194,Bids!$A:$A,0))="Pending",1,0),0)</f>
        <v>0</v>
      </c>
      <c r="AQ194" s="39" t="str">
        <f t="array" ref="AQ194">IF(C194="","",IFERROR(XLOOKUP(C194,Assignments!$C:$C,Assignments!$AU:$AU,0),0))</f>
        <v/>
      </c>
      <c r="AR194" s="39">
        <f>IF(AND(Config!$B$1006="Y",AQ194=1),Config!$B$1007,0)</f>
        <v>0</v>
      </c>
    </row>
    <row r="195" ht="15.75" customHeight="1">
      <c r="A195" s="46" t="str">
        <f t="shared" si="1"/>
        <v/>
      </c>
      <c r="B195" s="40" t="str">
        <f>IF(Bids!$A194="","",Bids!$A194)</f>
        <v/>
      </c>
      <c r="C195" s="40" t="str">
        <f>IF(Bids!$B194="","",Bids!$B194)</f>
        <v/>
      </c>
      <c r="D195" s="40" t="str">
        <f>IF($C195="","",IFERROR(VLOOKUP($C195,Orders!$A$4:$J$998,9,FALSE),""))</f>
        <v/>
      </c>
      <c r="E195" s="40" t="str">
        <f>IF($C195="","",IFERROR(VLOOKUP($C195,Orders!$A$4:$J$998,3,FALSE),""))</f>
        <v/>
      </c>
      <c r="F195" s="40">
        <f t="shared" si="2"/>
        <v>1</v>
      </c>
      <c r="G195" s="40" t="str">
        <f>IF($C195="","",IFERROR(VLOOKUP($C195,Orders!$A$4:$J$998,4,FALSE),""))</f>
        <v/>
      </c>
      <c r="H195" s="40" t="str">
        <f>IF($C195="","",IFERROR(VLOOKUP($C195,Orders!$A$4:$J$998,5,FALSE),""))</f>
        <v/>
      </c>
      <c r="I195" s="40" t="str">
        <f>IF($C195="","",IFERROR(VLOOKUP($C195,Orders!$A$4:$J$998,6,FALSE),""))</f>
        <v/>
      </c>
      <c r="J195" s="40" t="str">
        <f>IF($C195="","",IFERROR(VLOOKUP($C195,Orders!$A$4:$J$998,7,FALSE),""))</f>
        <v/>
      </c>
      <c r="K195" s="40" t="str">
        <f>IF(Bids!$C194="","",Bids!$C194)</f>
        <v/>
      </c>
      <c r="L195" s="40" t="str">
        <f>IF($K195="","",IFERROR(VLOOKUP($K195,Grinders!$A$4:$N$998,2,FALSE),""))</f>
        <v/>
      </c>
      <c r="M195" s="40" t="str">
        <f>IF($K195="","",IFERROR(VLOOKUP($K195,Grinders!$A$4:$N$998,3,FALSE),""))</f>
        <v/>
      </c>
      <c r="N195" s="40" t="str">
        <f>IF($K195="","",IFERROR(VLOOKUP($K195,Grinders!$A$4:$N$998,4,FALSE),""))</f>
        <v/>
      </c>
      <c r="O195" s="40" t="str">
        <f>IF($K195="","",IFERROR(VLOOKUP($K195,Grinders!$A$4:$N$998,5,FALSE),""))</f>
        <v/>
      </c>
      <c r="P195" s="40" t="str">
        <f>IF($K195="","",IF($C$4="",0,COUNTIFS(Assignments!$B$6:$B$1000,$K195,Assignments!$F$6:$F$1000,$C$4,Assignments!$E$6:$E$1000,"Active")))</f>
        <v/>
      </c>
      <c r="Q195" s="40" t="str">
        <f t="shared" si="3"/>
        <v/>
      </c>
      <c r="R195" s="40" t="str">
        <f t="shared" si="4"/>
        <v/>
      </c>
      <c r="S195" s="40" t="str">
        <f>IF($K195="","",IF($C$4="",0,COUNTIFS(Assignments!$B$6:$B$1000,$K195,Assignments!$F$6:$F$1000,$C$4,Assignments!$D$6:$D$1000,"&gt;="&amp;Config!$B$3-7,Assignments!$D$6:$D$1000,"&lt;="&amp;Config!$B$3)))</f>
        <v/>
      </c>
      <c r="T195" s="40" t="str">
        <f>IF($K195="","",IFERROR(VLOOKUP($K195,Grinders!$A$4:$N$998,8,FALSE),""))</f>
        <v/>
      </c>
      <c r="U195" s="40" t="str">
        <f>IFERROR(IF($K195="","",IF($M195="Elite",MAX(50,MIN(100,Config!$B$27*MAX(0,MIN(100,(1-IF($R195="",0,$R195))*100)) + Config!$B$28*MAX(0,MIN(100,(1-MIN(1,IF(Config!$B$30=0,1,$S195/Config!$B$30)))*100)) + Config!$B$29*MAX(0,MIN(100,MIN(1,IF($T195="",0,$T195)/Config!$B$23)*100)))),MIN(100,Config!$B$27*MAX(0,MIN(100,(1-IF($R195="",0,$R195))*100)) + Config!$B$28*MAX(0,MIN(100,(1-MIN(1,IF(Config!$B$30=0,1,$S195/Config!$B$30)))*100)) + Config!$B$29*MAX(0,MIN(100,MIN(1,IF($T195="",0,$T195)/Config!$B$23)*100))))),"")
</f>
        <v/>
      </c>
      <c r="V195" s="40" t="str">
        <f>IF(Bids!$AC195="","",Bids!$AC195)</f>
        <v/>
      </c>
      <c r="W195" s="40" t="str">
        <f>IF(Bids!$F194="","",Bids!$F194)</f>
        <v/>
      </c>
      <c r="X195" s="40" t="str">
        <f t="shared" si="5"/>
        <v/>
      </c>
      <c r="Y195" s="40" t="str">
        <f>IF($X195="","",IF(Config!$B$17=Config!$B$16,IF($X195&gt;=Config!$B$17,100,0),MAX(0,MIN(100,($X195-Config!$B$16)/(Config!$B$17-Config!$B$16)*100))))</f>
        <v/>
      </c>
      <c r="Z195" s="40">
        <f>IF($M195="Elite",Config!$B$21,0)</f>
        <v>0</v>
      </c>
      <c r="AA195" s="40" t="str">
        <f>IFERROR(IF(OR($W195="",$H195=""),"",IF($W195&gt;$H195,
  MAX(0, 60-(($W195-$H195)*24/Config!$B$19)*60),
  MIN(100, 60+(($H195-$W195)*24/Config!$B$20)*40)
)),"")
</f>
        <v/>
      </c>
      <c r="AB195" s="40" t="str">
        <f>IF($K195="","",IFERROR(VLOOKUP($K195,Grinders!$A$4:$N$998,10,FALSE)/5*100,""))</f>
        <v/>
      </c>
      <c r="AC195" s="40" t="str">
        <f>IF($K195="","",IFERROR(VLOOKUP($K195,Grinders!$A$4:$N$998,11,FALSE)*100,""))</f>
        <v/>
      </c>
      <c r="AD195" s="40" t="str">
        <f>IF($K195="","",IFERROR(VLOOKUP($K195,Grinders!$A$4:$N$998,12,FALSE)*100,""))</f>
        <v/>
      </c>
      <c r="AE195" s="40" t="str">
        <f>IF(OR(AO195=1,AP195=1),0,=IFERROR(IFS(
    OR($C195="", $K195=""), 0,
    $F195=0, 0,
    $D195&lt;&gt;"Open", 0,
    COUNTIFS(GrinderServices!$A$6:$A$1000, $K195, GrinderServices!$B$6:$B$1000, $E195, GrinderServices!$D$6:$D$1000, "Y")=0, 0,
    $X195&lt;Config!$B$16, 0,
    Config!$B$18=1, IF($O195&gt;=N195, 0, 1),
    TRUE, 1
), "")
)</f>
        <v>#ERROR!</v>
      </c>
      <c r="AF195" s="40" t="str">
        <f>IFERROR((IF(OR(AO195=1,AP195=1),"",=IFERROR((IFERROR(IF($AE195=0,"",((Config!$B$6*$Y195 + Config!$B$7*$U195 + Config!$B$8*$Z195 + Config!$B$9*$AA195 + Config!$B$10*$AB195 + Config!$B$11*$AC195 - Config!$B$12*$AD195)/Config!$B$13)+$AK195+$AL195),""))*(1-IFERROR(VLOOKUP(K195,Grinders!$A:$AB, 28, FALSE),0)),"")))*(1+AR195),"")</f>
        <v>#ERROR!</v>
      </c>
      <c r="AG195" s="40" t="str">
        <f t="shared" si="6"/>
        <v>#ERROR!</v>
      </c>
      <c r="AH195" s="40" t="str">
        <f t="shared" si="7"/>
        <v/>
      </c>
      <c r="AI195" s="40" t="str">
        <f t="shared" si="8"/>
        <v/>
      </c>
      <c r="AJ195" s="40" t="str">
        <f>IF($K195="","",COUNTIF(Assignments!$B$6:$B$1000,$K195))</f>
        <v/>
      </c>
      <c r="AK195" s="40" t="str">
        <f>IF($K195="","",IF(AND($AJ195=0,$O195&lt;$N195),Config!$B$43,0))</f>
        <v/>
      </c>
      <c r="AL195" s="40" t="str">
        <f>IF($K195="","",IF(AND($M195="Elite",$G195&gt;=Config!$B$41,$O195&lt;$N195),Config!$B$42,0))</f>
        <v/>
      </c>
      <c r="AM195" s="22"/>
      <c r="AN195" s="39">
        <f>IFERROR(VLOOKUP(K195,Grinders!$A:$Q,28,FALSE),0)</f>
        <v>0</v>
      </c>
      <c r="AO195" s="39">
        <f>IF(Config!$B$1003&lt;&gt;"Y",0,IF(IFERROR(VLOOKUP(K195,Grinders!$A:$P,27,FALSE),0)&gt;=3,IF(OR(G195&gt;=Config!$B$1001,ISNUMBER(SEARCH(E195,Config!$B$1002))),1,0),0))</f>
        <v>0</v>
      </c>
      <c r="AP195" s="39">
        <f t="array" ref="AP195">IFERROR(IF(INDEX(Bids!$AE:$AE,MATCH(B195,Bids!$A:$A,0))="Pending",1,0),0)</f>
        <v>0</v>
      </c>
      <c r="AQ195" s="39" t="str">
        <f t="array" ref="AQ195">IF(C195="","",IFERROR(XLOOKUP(C195,Assignments!$C:$C,Assignments!$AU:$AU,0),0))</f>
        <v/>
      </c>
      <c r="AR195" s="39">
        <f>IF(AND(Config!$B$1006="Y",AQ195=1),Config!$B$1007,0)</f>
        <v>0</v>
      </c>
    </row>
    <row r="196" ht="15.75" customHeight="1">
      <c r="A196" s="46" t="str">
        <f t="shared" si="1"/>
        <v/>
      </c>
      <c r="B196" s="40" t="str">
        <f>IF(Bids!$A195="","",Bids!$A195)</f>
        <v/>
      </c>
      <c r="C196" s="40" t="str">
        <f>IF(Bids!$B195="","",Bids!$B195)</f>
        <v/>
      </c>
      <c r="D196" s="40" t="str">
        <f>IF($C196="","",IFERROR(VLOOKUP($C196,Orders!$A$4:$J$998,9,FALSE),""))</f>
        <v/>
      </c>
      <c r="E196" s="40" t="str">
        <f>IF($C196="","",IFERROR(VLOOKUP($C196,Orders!$A$4:$J$998,3,FALSE),""))</f>
        <v/>
      </c>
      <c r="F196" s="40">
        <f t="shared" si="2"/>
        <v>1</v>
      </c>
      <c r="G196" s="40" t="str">
        <f>IF($C196="","",IFERROR(VLOOKUP($C196,Orders!$A$4:$J$998,4,FALSE),""))</f>
        <v/>
      </c>
      <c r="H196" s="40" t="str">
        <f>IF($C196="","",IFERROR(VLOOKUP($C196,Orders!$A$4:$J$998,5,FALSE),""))</f>
        <v/>
      </c>
      <c r="I196" s="40" t="str">
        <f>IF($C196="","",IFERROR(VLOOKUP($C196,Orders!$A$4:$J$998,6,FALSE),""))</f>
        <v/>
      </c>
      <c r="J196" s="40" t="str">
        <f>IF($C196="","",IFERROR(VLOOKUP($C196,Orders!$A$4:$J$998,7,FALSE),""))</f>
        <v/>
      </c>
      <c r="K196" s="40" t="str">
        <f>IF(Bids!$C195="","",Bids!$C195)</f>
        <v/>
      </c>
      <c r="L196" s="40" t="str">
        <f>IF($K196="","",IFERROR(VLOOKUP($K196,Grinders!$A$4:$N$998,2,FALSE),""))</f>
        <v/>
      </c>
      <c r="M196" s="40" t="str">
        <f>IF($K196="","",IFERROR(VLOOKUP($K196,Grinders!$A$4:$N$998,3,FALSE),""))</f>
        <v/>
      </c>
      <c r="N196" s="40" t="str">
        <f>IF($K196="","",IFERROR(VLOOKUP($K196,Grinders!$A$4:$N$998,4,FALSE),""))</f>
        <v/>
      </c>
      <c r="O196" s="40" t="str">
        <f>IF($K196="","",IFERROR(VLOOKUP($K196,Grinders!$A$4:$N$998,5,FALSE),""))</f>
        <v/>
      </c>
      <c r="P196" s="40" t="str">
        <f>IF($K196="","",IF($C$4="",0,COUNTIFS(Assignments!$B$6:$B$1000,$K196,Assignments!$F$6:$F$1000,$C$4,Assignments!$E$6:$E$1000,"Active")))</f>
        <v/>
      </c>
      <c r="Q196" s="40" t="str">
        <f t="shared" si="3"/>
        <v/>
      </c>
      <c r="R196" s="40" t="str">
        <f t="shared" si="4"/>
        <v/>
      </c>
      <c r="S196" s="40" t="str">
        <f>IF($K196="","",IF($C$4="",0,COUNTIFS(Assignments!$B$6:$B$1000,$K196,Assignments!$F$6:$F$1000,$C$4,Assignments!$D$6:$D$1000,"&gt;="&amp;Config!$B$3-7,Assignments!$D$6:$D$1000,"&lt;="&amp;Config!$B$3)))</f>
        <v/>
      </c>
      <c r="T196" s="40" t="str">
        <f>IF($K196="","",IFERROR(VLOOKUP($K196,Grinders!$A$4:$N$998,8,FALSE),""))</f>
        <v/>
      </c>
      <c r="U196" s="40" t="str">
        <f>IFERROR(IF($K196="","",IF($M196="Elite",MAX(50,MIN(100,Config!$B$27*MAX(0,MIN(100,(1-IF($R196="",0,$R196))*100)) + Config!$B$28*MAX(0,MIN(100,(1-MIN(1,IF(Config!$B$30=0,1,$S196/Config!$B$30)))*100)) + Config!$B$29*MAX(0,MIN(100,MIN(1,IF($T196="",0,$T196)/Config!$B$23)*100)))),MIN(100,Config!$B$27*MAX(0,MIN(100,(1-IF($R196="",0,$R196))*100)) + Config!$B$28*MAX(0,MIN(100,(1-MIN(1,IF(Config!$B$30=0,1,$S196/Config!$B$30)))*100)) + Config!$B$29*MAX(0,MIN(100,MIN(1,IF($T196="",0,$T196)/Config!$B$23)*100))))),"")
</f>
        <v/>
      </c>
      <c r="V196" s="40" t="str">
        <f>IF(Bids!$AC196="","",Bids!$AC196)</f>
        <v/>
      </c>
      <c r="W196" s="40" t="str">
        <f>IF(Bids!$F195="","",Bids!$F195)</f>
        <v/>
      </c>
      <c r="X196" s="40" t="str">
        <f t="shared" si="5"/>
        <v/>
      </c>
      <c r="Y196" s="40" t="str">
        <f>IF($X196="","",IF(Config!$B$17=Config!$B$16,IF($X196&gt;=Config!$B$17,100,0),MAX(0,MIN(100,($X196-Config!$B$16)/(Config!$B$17-Config!$B$16)*100))))</f>
        <v/>
      </c>
      <c r="Z196" s="40">
        <f>IF($M196="Elite",Config!$B$21,0)</f>
        <v>0</v>
      </c>
      <c r="AA196" s="40" t="str">
        <f>IFERROR(IF(OR($W196="",$H196=""),"",IF($W196&gt;$H196,
  MAX(0, 60-(($W196-$H196)*24/Config!$B$19)*60),
  MIN(100, 60+(($H196-$W196)*24/Config!$B$20)*40)
)),"")
</f>
        <v/>
      </c>
      <c r="AB196" s="40" t="str">
        <f>IF($K196="","",IFERROR(VLOOKUP($K196,Grinders!$A$4:$N$998,10,FALSE)/5*100,""))</f>
        <v/>
      </c>
      <c r="AC196" s="40" t="str">
        <f>IF($K196="","",IFERROR(VLOOKUP($K196,Grinders!$A$4:$N$998,11,FALSE)*100,""))</f>
        <v/>
      </c>
      <c r="AD196" s="40" t="str">
        <f>IF($K196="","",IFERROR(VLOOKUP($K196,Grinders!$A$4:$N$998,12,FALSE)*100,""))</f>
        <v/>
      </c>
      <c r="AE196" s="40" t="str">
        <f>IF(OR(AO196=1,AP196=1),0,=IFERROR(IFS(
    OR($C196="", $K196=""), 0,
    $F196=0, 0,
    $D196&lt;&gt;"Open", 0,
    COUNTIFS(GrinderServices!$A$6:$A$1000, $K196, GrinderServices!$B$6:$B$1000, $E196, GrinderServices!$D$6:$D$1000, "Y")=0, 0,
    $X196&lt;Config!$B$16, 0,
    Config!$B$18=1, IF($O196&gt;=N196, 0, 1),
    TRUE, 1
), "")
)</f>
        <v>#ERROR!</v>
      </c>
      <c r="AF196" s="40" t="str">
        <f>IFERROR((IF(OR(AO196=1,AP196=1),"",=IFERROR((IFERROR(IF($AE196=0,"",((Config!$B$6*$Y196 + Config!$B$7*$U196 + Config!$B$8*$Z196 + Config!$B$9*$AA196 + Config!$B$10*$AB196 + Config!$B$11*$AC196 - Config!$B$12*$AD196)/Config!$B$13)+$AK196+$AL196),""))*(1-IFERROR(VLOOKUP(K196,Grinders!$A:$AB, 28, FALSE),0)),"")))*(1+AR196),"")</f>
        <v>#ERROR!</v>
      </c>
      <c r="AG196" s="40" t="str">
        <f t="shared" si="6"/>
        <v>#ERROR!</v>
      </c>
      <c r="AH196" s="40" t="str">
        <f t="shared" si="7"/>
        <v/>
      </c>
      <c r="AI196" s="40" t="str">
        <f t="shared" si="8"/>
        <v/>
      </c>
      <c r="AJ196" s="40" t="str">
        <f>IF($K196="","",COUNTIF(Assignments!$B$6:$B$1000,$K196))</f>
        <v/>
      </c>
      <c r="AK196" s="40" t="str">
        <f>IF($K196="","",IF(AND($AJ196=0,$O196&lt;$N196),Config!$B$43,0))</f>
        <v/>
      </c>
      <c r="AL196" s="40" t="str">
        <f>IF($K196="","",IF(AND($M196="Elite",$G196&gt;=Config!$B$41,$O196&lt;$N196),Config!$B$42,0))</f>
        <v/>
      </c>
      <c r="AM196" s="22"/>
      <c r="AN196" s="39">
        <f>IFERROR(VLOOKUP(K196,Grinders!$A:$Q,28,FALSE),0)</f>
        <v>0</v>
      </c>
      <c r="AO196" s="39">
        <f>IF(Config!$B$1003&lt;&gt;"Y",0,IF(IFERROR(VLOOKUP(K196,Grinders!$A:$P,27,FALSE),0)&gt;=3,IF(OR(G196&gt;=Config!$B$1001,ISNUMBER(SEARCH(E196,Config!$B$1002))),1,0),0))</f>
        <v>0</v>
      </c>
      <c r="AP196" s="39">
        <f t="array" ref="AP196">IFERROR(IF(INDEX(Bids!$AE:$AE,MATCH(B196,Bids!$A:$A,0))="Pending",1,0),0)</f>
        <v>0</v>
      </c>
      <c r="AQ196" s="39" t="str">
        <f t="array" ref="AQ196">IF(C196="","",IFERROR(XLOOKUP(C196,Assignments!$C:$C,Assignments!$AU:$AU,0),0))</f>
        <v/>
      </c>
      <c r="AR196" s="39">
        <f>IF(AND(Config!$B$1006="Y",AQ196=1),Config!$B$1007,0)</f>
        <v>0</v>
      </c>
    </row>
    <row r="197" ht="15.75" customHeight="1">
      <c r="A197" s="46" t="str">
        <f t="shared" si="1"/>
        <v/>
      </c>
      <c r="B197" s="40" t="str">
        <f>IF(Bids!$A196="","",Bids!$A196)</f>
        <v/>
      </c>
      <c r="C197" s="40" t="str">
        <f>IF(Bids!$B196="","",Bids!$B196)</f>
        <v/>
      </c>
      <c r="D197" s="40" t="str">
        <f>IF($C197="","",IFERROR(VLOOKUP($C197,Orders!$A$4:$J$998,9,FALSE),""))</f>
        <v/>
      </c>
      <c r="E197" s="40" t="str">
        <f>IF($C197="","",IFERROR(VLOOKUP($C197,Orders!$A$4:$J$998,3,FALSE),""))</f>
        <v/>
      </c>
      <c r="F197" s="40">
        <f t="shared" si="2"/>
        <v>1</v>
      </c>
      <c r="G197" s="40" t="str">
        <f>IF($C197="","",IFERROR(VLOOKUP($C197,Orders!$A$4:$J$998,4,FALSE),""))</f>
        <v/>
      </c>
      <c r="H197" s="40" t="str">
        <f>IF($C197="","",IFERROR(VLOOKUP($C197,Orders!$A$4:$J$998,5,FALSE),""))</f>
        <v/>
      </c>
      <c r="I197" s="40" t="str">
        <f>IF($C197="","",IFERROR(VLOOKUP($C197,Orders!$A$4:$J$998,6,FALSE),""))</f>
        <v/>
      </c>
      <c r="J197" s="40" t="str">
        <f>IF($C197="","",IFERROR(VLOOKUP($C197,Orders!$A$4:$J$998,7,FALSE),""))</f>
        <v/>
      </c>
      <c r="K197" s="40" t="str">
        <f>IF(Bids!$C196="","",Bids!$C196)</f>
        <v/>
      </c>
      <c r="L197" s="40" t="str">
        <f>IF($K197="","",IFERROR(VLOOKUP($K197,Grinders!$A$4:$N$998,2,FALSE),""))</f>
        <v/>
      </c>
      <c r="M197" s="40" t="str">
        <f>IF($K197="","",IFERROR(VLOOKUP($K197,Grinders!$A$4:$N$998,3,FALSE),""))</f>
        <v/>
      </c>
      <c r="N197" s="40" t="str">
        <f>IF($K197="","",IFERROR(VLOOKUP($K197,Grinders!$A$4:$N$998,4,FALSE),""))</f>
        <v/>
      </c>
      <c r="O197" s="40" t="str">
        <f>IF($K197="","",IFERROR(VLOOKUP($K197,Grinders!$A$4:$N$998,5,FALSE),""))</f>
        <v/>
      </c>
      <c r="P197" s="40" t="str">
        <f>IF($K197="","",IF($C$4="",0,COUNTIFS(Assignments!$B$6:$B$1000,$K197,Assignments!$F$6:$F$1000,$C$4,Assignments!$E$6:$E$1000,"Active")))</f>
        <v/>
      </c>
      <c r="Q197" s="40" t="str">
        <f t="shared" si="3"/>
        <v/>
      </c>
      <c r="R197" s="40" t="str">
        <f t="shared" si="4"/>
        <v/>
      </c>
      <c r="S197" s="40" t="str">
        <f>IF($K197="","",IF($C$4="",0,COUNTIFS(Assignments!$B$6:$B$1000,$K197,Assignments!$F$6:$F$1000,$C$4,Assignments!$D$6:$D$1000,"&gt;="&amp;Config!$B$3-7,Assignments!$D$6:$D$1000,"&lt;="&amp;Config!$B$3)))</f>
        <v/>
      </c>
      <c r="T197" s="40" t="str">
        <f>IF($K197="","",IFERROR(VLOOKUP($K197,Grinders!$A$4:$N$998,8,FALSE),""))</f>
        <v/>
      </c>
      <c r="U197" s="40" t="str">
        <f>IFERROR(IF($K197="","",IF($M197="Elite",MAX(50,MIN(100,Config!$B$27*MAX(0,MIN(100,(1-IF($R197="",0,$R197))*100)) + Config!$B$28*MAX(0,MIN(100,(1-MIN(1,IF(Config!$B$30=0,1,$S197/Config!$B$30)))*100)) + Config!$B$29*MAX(0,MIN(100,MIN(1,IF($T197="",0,$T197)/Config!$B$23)*100)))),MIN(100,Config!$B$27*MAX(0,MIN(100,(1-IF($R197="",0,$R197))*100)) + Config!$B$28*MAX(0,MIN(100,(1-MIN(1,IF(Config!$B$30=0,1,$S197/Config!$B$30)))*100)) + Config!$B$29*MAX(0,MIN(100,MIN(1,IF($T197="",0,$T197)/Config!$B$23)*100))))),"")
</f>
        <v/>
      </c>
      <c r="V197" s="40" t="str">
        <f>IF(Bids!$AC197="","",Bids!$AC197)</f>
        <v/>
      </c>
      <c r="W197" s="40" t="str">
        <f>IF(Bids!$F196="","",Bids!$F196)</f>
        <v/>
      </c>
      <c r="X197" s="40" t="str">
        <f t="shared" si="5"/>
        <v/>
      </c>
      <c r="Y197" s="40" t="str">
        <f>IF($X197="","",IF(Config!$B$17=Config!$B$16,IF($X197&gt;=Config!$B$17,100,0),MAX(0,MIN(100,($X197-Config!$B$16)/(Config!$B$17-Config!$B$16)*100))))</f>
        <v/>
      </c>
      <c r="Z197" s="40">
        <f>IF($M197="Elite",Config!$B$21,0)</f>
        <v>0</v>
      </c>
      <c r="AA197" s="40" t="str">
        <f>IFERROR(IF(OR($W197="",$H197=""),"",IF($W197&gt;$H197,
  MAX(0, 60-(($W197-$H197)*24/Config!$B$19)*60),
  MIN(100, 60+(($H197-$W197)*24/Config!$B$20)*40)
)),"")
</f>
        <v/>
      </c>
      <c r="AB197" s="40" t="str">
        <f>IF($K197="","",IFERROR(VLOOKUP($K197,Grinders!$A$4:$N$998,10,FALSE)/5*100,""))</f>
        <v/>
      </c>
      <c r="AC197" s="40" t="str">
        <f>IF($K197="","",IFERROR(VLOOKUP($K197,Grinders!$A$4:$N$998,11,FALSE)*100,""))</f>
        <v/>
      </c>
      <c r="AD197" s="40" t="str">
        <f>IF($K197="","",IFERROR(VLOOKUP($K197,Grinders!$A$4:$N$998,12,FALSE)*100,""))</f>
        <v/>
      </c>
      <c r="AE197" s="40" t="str">
        <f>IF(OR(AO197=1,AP197=1),0,=IFERROR(IFS(
    OR($C197="", $K197=""), 0,
    $F197=0, 0,
    $D197&lt;&gt;"Open", 0,
    COUNTIFS(GrinderServices!$A$6:$A$1000, $K197, GrinderServices!$B$6:$B$1000, $E197, GrinderServices!$D$6:$D$1000, "Y")=0, 0,
    $X197&lt;Config!$B$16, 0,
    Config!$B$18=1, IF($O197&gt;=N197, 0, 1),
    TRUE, 1
), "")
)</f>
        <v>#ERROR!</v>
      </c>
      <c r="AF197" s="40" t="str">
        <f>IFERROR((IF(OR(AO197=1,AP197=1),"",=IFERROR((IFERROR(IF($AE197=0,"",((Config!$B$6*$Y197 + Config!$B$7*$U197 + Config!$B$8*$Z197 + Config!$B$9*$AA197 + Config!$B$10*$AB197 + Config!$B$11*$AC197 - Config!$B$12*$AD197)/Config!$B$13)+$AK197+$AL197),""))*(1-IFERROR(VLOOKUP(K197,Grinders!$A:$AB, 28, FALSE),0)),"")))*(1+AR197),"")</f>
        <v>#ERROR!</v>
      </c>
      <c r="AG197" s="40" t="str">
        <f t="shared" si="6"/>
        <v>#ERROR!</v>
      </c>
      <c r="AH197" s="40" t="str">
        <f t="shared" si="7"/>
        <v/>
      </c>
      <c r="AI197" s="40" t="str">
        <f t="shared" si="8"/>
        <v/>
      </c>
      <c r="AJ197" s="40" t="str">
        <f>IF($K197="","",COUNTIF(Assignments!$B$6:$B$1000,$K197))</f>
        <v/>
      </c>
      <c r="AK197" s="40" t="str">
        <f>IF($K197="","",IF(AND($AJ197=0,$O197&lt;$N197),Config!$B$43,0))</f>
        <v/>
      </c>
      <c r="AL197" s="40" t="str">
        <f>IF($K197="","",IF(AND($M197="Elite",$G197&gt;=Config!$B$41,$O197&lt;$N197),Config!$B$42,0))</f>
        <v/>
      </c>
      <c r="AM197" s="22"/>
      <c r="AN197" s="39">
        <f>IFERROR(VLOOKUP(K197,Grinders!$A:$Q,28,FALSE),0)</f>
        <v>0</v>
      </c>
      <c r="AO197" s="39">
        <f>IF(Config!$B$1003&lt;&gt;"Y",0,IF(IFERROR(VLOOKUP(K197,Grinders!$A:$P,27,FALSE),0)&gt;=3,IF(OR(G197&gt;=Config!$B$1001,ISNUMBER(SEARCH(E197,Config!$B$1002))),1,0),0))</f>
        <v>0</v>
      </c>
      <c r="AP197" s="39">
        <f t="array" ref="AP197">IFERROR(IF(INDEX(Bids!$AE:$AE,MATCH(B197,Bids!$A:$A,0))="Pending",1,0),0)</f>
        <v>0</v>
      </c>
      <c r="AQ197" s="39" t="str">
        <f t="array" ref="AQ197">IF(C197="","",IFERROR(XLOOKUP(C197,Assignments!$C:$C,Assignments!$AU:$AU,0),0))</f>
        <v/>
      </c>
      <c r="AR197" s="39">
        <f>IF(AND(Config!$B$1006="Y",AQ197=1),Config!$B$1007,0)</f>
        <v>0</v>
      </c>
    </row>
    <row r="198" ht="15.75" customHeight="1">
      <c r="A198" s="46" t="str">
        <f t="shared" si="1"/>
        <v/>
      </c>
      <c r="B198" s="40" t="str">
        <f>IF(Bids!$A197="","",Bids!$A197)</f>
        <v/>
      </c>
      <c r="C198" s="40" t="str">
        <f>IF(Bids!$B197="","",Bids!$B197)</f>
        <v/>
      </c>
      <c r="D198" s="40" t="str">
        <f>IF($C198="","",IFERROR(VLOOKUP($C198,Orders!$A$4:$J$998,9,FALSE),""))</f>
        <v/>
      </c>
      <c r="E198" s="40" t="str">
        <f>IF($C198="","",IFERROR(VLOOKUP($C198,Orders!$A$4:$J$998,3,FALSE),""))</f>
        <v/>
      </c>
      <c r="F198" s="40">
        <f t="shared" si="2"/>
        <v>1</v>
      </c>
      <c r="G198" s="40" t="str">
        <f>IF($C198="","",IFERROR(VLOOKUP($C198,Orders!$A$4:$J$998,4,FALSE),""))</f>
        <v/>
      </c>
      <c r="H198" s="40" t="str">
        <f>IF($C198="","",IFERROR(VLOOKUP($C198,Orders!$A$4:$J$998,5,FALSE),""))</f>
        <v/>
      </c>
      <c r="I198" s="40" t="str">
        <f>IF($C198="","",IFERROR(VLOOKUP($C198,Orders!$A$4:$J$998,6,FALSE),""))</f>
        <v/>
      </c>
      <c r="J198" s="40" t="str">
        <f>IF($C198="","",IFERROR(VLOOKUP($C198,Orders!$A$4:$J$998,7,FALSE),""))</f>
        <v/>
      </c>
      <c r="K198" s="40" t="str">
        <f>IF(Bids!$C197="","",Bids!$C197)</f>
        <v/>
      </c>
      <c r="L198" s="40" t="str">
        <f>IF($K198="","",IFERROR(VLOOKUP($K198,Grinders!$A$4:$N$998,2,FALSE),""))</f>
        <v/>
      </c>
      <c r="M198" s="40" t="str">
        <f>IF($K198="","",IFERROR(VLOOKUP($K198,Grinders!$A$4:$N$998,3,FALSE),""))</f>
        <v/>
      </c>
      <c r="N198" s="40" t="str">
        <f>IF($K198="","",IFERROR(VLOOKUP($K198,Grinders!$A$4:$N$998,4,FALSE),""))</f>
        <v/>
      </c>
      <c r="O198" s="40" t="str">
        <f>IF($K198="","",IFERROR(VLOOKUP($K198,Grinders!$A$4:$N$998,5,FALSE),""))</f>
        <v/>
      </c>
      <c r="P198" s="40" t="str">
        <f>IF($K198="","",IF($C$4="",0,COUNTIFS(Assignments!$B$6:$B$1000,$K198,Assignments!$F$6:$F$1000,$C$4,Assignments!$E$6:$E$1000,"Active")))</f>
        <v/>
      </c>
      <c r="Q198" s="40" t="str">
        <f t="shared" si="3"/>
        <v/>
      </c>
      <c r="R198" s="40" t="str">
        <f t="shared" si="4"/>
        <v/>
      </c>
      <c r="S198" s="40" t="str">
        <f>IF($K198="","",IF($C$4="",0,COUNTIFS(Assignments!$B$6:$B$1000,$K198,Assignments!$F$6:$F$1000,$C$4,Assignments!$D$6:$D$1000,"&gt;="&amp;Config!$B$3-7,Assignments!$D$6:$D$1000,"&lt;="&amp;Config!$B$3)))</f>
        <v/>
      </c>
      <c r="T198" s="40" t="str">
        <f>IF($K198="","",IFERROR(VLOOKUP($K198,Grinders!$A$4:$N$998,8,FALSE),""))</f>
        <v/>
      </c>
      <c r="U198" s="40" t="str">
        <f>IFERROR(IF($K198="","",IF($M198="Elite",MAX(50,MIN(100,Config!$B$27*MAX(0,MIN(100,(1-IF($R198="",0,$R198))*100)) + Config!$B$28*MAX(0,MIN(100,(1-MIN(1,IF(Config!$B$30=0,1,$S198/Config!$B$30)))*100)) + Config!$B$29*MAX(0,MIN(100,MIN(1,IF($T198="",0,$T198)/Config!$B$23)*100)))),MIN(100,Config!$B$27*MAX(0,MIN(100,(1-IF($R198="",0,$R198))*100)) + Config!$B$28*MAX(0,MIN(100,(1-MIN(1,IF(Config!$B$30=0,1,$S198/Config!$B$30)))*100)) + Config!$B$29*MAX(0,MIN(100,MIN(1,IF($T198="",0,$T198)/Config!$B$23)*100))))),"")
</f>
        <v/>
      </c>
      <c r="V198" s="40" t="str">
        <f>IF(Bids!$AC198="","",Bids!$AC198)</f>
        <v/>
      </c>
      <c r="W198" s="40" t="str">
        <f>IF(Bids!$F197="","",Bids!$F197)</f>
        <v/>
      </c>
      <c r="X198" s="40" t="str">
        <f t="shared" si="5"/>
        <v/>
      </c>
      <c r="Y198" s="40" t="str">
        <f>IF($X198="","",IF(Config!$B$17=Config!$B$16,IF($X198&gt;=Config!$B$17,100,0),MAX(0,MIN(100,($X198-Config!$B$16)/(Config!$B$17-Config!$B$16)*100))))</f>
        <v/>
      </c>
      <c r="Z198" s="40">
        <f>IF($M198="Elite",Config!$B$21,0)</f>
        <v>0</v>
      </c>
      <c r="AA198" s="40" t="str">
        <f>IFERROR(IF(OR($W198="",$H198=""),"",IF($W198&gt;$H198,
  MAX(0, 60-(($W198-$H198)*24/Config!$B$19)*60),
  MIN(100, 60+(($H198-$W198)*24/Config!$B$20)*40)
)),"")
</f>
        <v/>
      </c>
      <c r="AB198" s="40" t="str">
        <f>IF($K198="","",IFERROR(VLOOKUP($K198,Grinders!$A$4:$N$998,10,FALSE)/5*100,""))</f>
        <v/>
      </c>
      <c r="AC198" s="40" t="str">
        <f>IF($K198="","",IFERROR(VLOOKUP($K198,Grinders!$A$4:$N$998,11,FALSE)*100,""))</f>
        <v/>
      </c>
      <c r="AD198" s="40" t="str">
        <f>IF($K198="","",IFERROR(VLOOKUP($K198,Grinders!$A$4:$N$998,12,FALSE)*100,""))</f>
        <v/>
      </c>
      <c r="AE198" s="40" t="str">
        <f>IF(OR(AO198=1,AP198=1),0,=IFERROR(IFS(
    OR($C198="", $K198=""), 0,
    $F198=0, 0,
    $D198&lt;&gt;"Open", 0,
    COUNTIFS(GrinderServices!$A$6:$A$1000, $K198, GrinderServices!$B$6:$B$1000, $E198, GrinderServices!$D$6:$D$1000, "Y")=0, 0,
    $X198&lt;Config!$B$16, 0,
    Config!$B$18=1, IF($O198&gt;=N198, 0, 1),
    TRUE, 1
), "")
)</f>
        <v>#ERROR!</v>
      </c>
      <c r="AF198" s="40" t="str">
        <f>IFERROR((IF(OR(AO198=1,AP198=1),"",=IFERROR((IFERROR(IF($AE198=0,"",((Config!$B$6*$Y198 + Config!$B$7*$U198 + Config!$B$8*$Z198 + Config!$B$9*$AA198 + Config!$B$10*$AB198 + Config!$B$11*$AC198 - Config!$B$12*$AD198)/Config!$B$13)+$AK198+$AL198),""))*(1-IFERROR(VLOOKUP(K198,Grinders!$A:$AB, 28, FALSE),0)),"")))*(1+AR198),"")</f>
        <v>#ERROR!</v>
      </c>
      <c r="AG198" s="40" t="str">
        <f t="shared" si="6"/>
        <v>#ERROR!</v>
      </c>
      <c r="AH198" s="40" t="str">
        <f t="shared" si="7"/>
        <v/>
      </c>
      <c r="AI198" s="40" t="str">
        <f t="shared" si="8"/>
        <v/>
      </c>
      <c r="AJ198" s="40" t="str">
        <f>IF($K198="","",COUNTIF(Assignments!$B$6:$B$1000,$K198))</f>
        <v/>
      </c>
      <c r="AK198" s="40" t="str">
        <f>IF($K198="","",IF(AND($AJ198=0,$O198&lt;$N198),Config!$B$43,0))</f>
        <v/>
      </c>
      <c r="AL198" s="40" t="str">
        <f>IF($K198="","",IF(AND($M198="Elite",$G198&gt;=Config!$B$41,$O198&lt;$N198),Config!$B$42,0))</f>
        <v/>
      </c>
      <c r="AM198" s="22"/>
      <c r="AN198" s="39">
        <f>IFERROR(VLOOKUP(K198,Grinders!$A:$Q,28,FALSE),0)</f>
        <v>0</v>
      </c>
      <c r="AO198" s="39">
        <f>IF(Config!$B$1003&lt;&gt;"Y",0,IF(IFERROR(VLOOKUP(K198,Grinders!$A:$P,27,FALSE),0)&gt;=3,IF(OR(G198&gt;=Config!$B$1001,ISNUMBER(SEARCH(E198,Config!$B$1002))),1,0),0))</f>
        <v>0</v>
      </c>
      <c r="AP198" s="39">
        <f t="array" ref="AP198">IFERROR(IF(INDEX(Bids!$AE:$AE,MATCH(B198,Bids!$A:$A,0))="Pending",1,0),0)</f>
        <v>0</v>
      </c>
      <c r="AQ198" s="39" t="str">
        <f t="array" ref="AQ198">IF(C198="","",IFERROR(XLOOKUP(C198,Assignments!$C:$C,Assignments!$AU:$AU,0),0))</f>
        <v/>
      </c>
      <c r="AR198" s="39">
        <f>IF(AND(Config!$B$1006="Y",AQ198=1),Config!$B$1007,0)</f>
        <v>0</v>
      </c>
    </row>
    <row r="199" ht="15.75" customHeight="1">
      <c r="A199" s="46" t="str">
        <f t="shared" si="1"/>
        <v/>
      </c>
      <c r="B199" s="40" t="str">
        <f>IF(Bids!$A198="","",Bids!$A198)</f>
        <v/>
      </c>
      <c r="C199" s="40" t="str">
        <f>IF(Bids!$B198="","",Bids!$B198)</f>
        <v/>
      </c>
      <c r="D199" s="40" t="str">
        <f>IF($C199="","",IFERROR(VLOOKUP($C199,Orders!$A$4:$J$998,9,FALSE),""))</f>
        <v/>
      </c>
      <c r="E199" s="40" t="str">
        <f>IF($C199="","",IFERROR(VLOOKUP($C199,Orders!$A$4:$J$998,3,FALSE),""))</f>
        <v/>
      </c>
      <c r="F199" s="40">
        <f t="shared" si="2"/>
        <v>1</v>
      </c>
      <c r="G199" s="40" t="str">
        <f>IF($C199="","",IFERROR(VLOOKUP($C199,Orders!$A$4:$J$998,4,FALSE),""))</f>
        <v/>
      </c>
      <c r="H199" s="40" t="str">
        <f>IF($C199="","",IFERROR(VLOOKUP($C199,Orders!$A$4:$J$998,5,FALSE),""))</f>
        <v/>
      </c>
      <c r="I199" s="40" t="str">
        <f>IF($C199="","",IFERROR(VLOOKUP($C199,Orders!$A$4:$J$998,6,FALSE),""))</f>
        <v/>
      </c>
      <c r="J199" s="40" t="str">
        <f>IF($C199="","",IFERROR(VLOOKUP($C199,Orders!$A$4:$J$998,7,FALSE),""))</f>
        <v/>
      </c>
      <c r="K199" s="40" t="str">
        <f>IF(Bids!$C198="","",Bids!$C198)</f>
        <v/>
      </c>
      <c r="L199" s="40" t="str">
        <f>IF($K199="","",IFERROR(VLOOKUP($K199,Grinders!$A$4:$N$998,2,FALSE),""))</f>
        <v/>
      </c>
      <c r="M199" s="40" t="str">
        <f>IF($K199="","",IFERROR(VLOOKUP($K199,Grinders!$A$4:$N$998,3,FALSE),""))</f>
        <v/>
      </c>
      <c r="N199" s="40" t="str">
        <f>IF($K199="","",IFERROR(VLOOKUP($K199,Grinders!$A$4:$N$998,4,FALSE),""))</f>
        <v/>
      </c>
      <c r="O199" s="40" t="str">
        <f>IF($K199="","",IFERROR(VLOOKUP($K199,Grinders!$A$4:$N$998,5,FALSE),""))</f>
        <v/>
      </c>
      <c r="P199" s="40" t="str">
        <f>IF($K199="","",IF($C$4="",0,COUNTIFS(Assignments!$B$6:$B$1000,$K199,Assignments!$F$6:$F$1000,$C$4,Assignments!$E$6:$E$1000,"Active")))</f>
        <v/>
      </c>
      <c r="Q199" s="40" t="str">
        <f t="shared" si="3"/>
        <v/>
      </c>
      <c r="R199" s="40" t="str">
        <f t="shared" si="4"/>
        <v/>
      </c>
      <c r="S199" s="40" t="str">
        <f>IF($K199="","",IF($C$4="",0,COUNTIFS(Assignments!$B$6:$B$1000,$K199,Assignments!$F$6:$F$1000,$C$4,Assignments!$D$6:$D$1000,"&gt;="&amp;Config!$B$3-7,Assignments!$D$6:$D$1000,"&lt;="&amp;Config!$B$3)))</f>
        <v/>
      </c>
      <c r="T199" s="40" t="str">
        <f>IF($K199="","",IFERROR(VLOOKUP($K199,Grinders!$A$4:$N$998,8,FALSE),""))</f>
        <v/>
      </c>
      <c r="U199" s="40" t="str">
        <f>IFERROR(IF($K199="","",IF($M199="Elite",MAX(50,MIN(100,Config!$B$27*MAX(0,MIN(100,(1-IF($R199="",0,$R199))*100)) + Config!$B$28*MAX(0,MIN(100,(1-MIN(1,IF(Config!$B$30=0,1,$S199/Config!$B$30)))*100)) + Config!$B$29*MAX(0,MIN(100,MIN(1,IF($T199="",0,$T199)/Config!$B$23)*100)))),MIN(100,Config!$B$27*MAX(0,MIN(100,(1-IF($R199="",0,$R199))*100)) + Config!$B$28*MAX(0,MIN(100,(1-MIN(1,IF(Config!$B$30=0,1,$S199/Config!$B$30)))*100)) + Config!$B$29*MAX(0,MIN(100,MIN(1,IF($T199="",0,$T199)/Config!$B$23)*100))))),"")
</f>
        <v/>
      </c>
      <c r="V199" s="40" t="str">
        <f>IF(Bids!$AC199="","",Bids!$AC199)</f>
        <v/>
      </c>
      <c r="W199" s="40" t="str">
        <f>IF(Bids!$F198="","",Bids!$F198)</f>
        <v/>
      </c>
      <c r="X199" s="40" t="str">
        <f t="shared" si="5"/>
        <v/>
      </c>
      <c r="Y199" s="40" t="str">
        <f>IF($X199="","",IF(Config!$B$17=Config!$B$16,IF($X199&gt;=Config!$B$17,100,0),MAX(0,MIN(100,($X199-Config!$B$16)/(Config!$B$17-Config!$B$16)*100))))</f>
        <v/>
      </c>
      <c r="Z199" s="40">
        <f>IF($M199="Elite",Config!$B$21,0)</f>
        <v>0</v>
      </c>
      <c r="AA199" s="40" t="str">
        <f>IFERROR(IF(OR($W199="",$H199=""),"",IF($W199&gt;$H199,
  MAX(0, 60-(($W199-$H199)*24/Config!$B$19)*60),
  MIN(100, 60+(($H199-$W199)*24/Config!$B$20)*40)
)),"")
</f>
        <v/>
      </c>
      <c r="AB199" s="40" t="str">
        <f>IF($K199="","",IFERROR(VLOOKUP($K199,Grinders!$A$4:$N$998,10,FALSE)/5*100,""))</f>
        <v/>
      </c>
      <c r="AC199" s="40" t="str">
        <f>IF($K199="","",IFERROR(VLOOKUP($K199,Grinders!$A$4:$N$998,11,FALSE)*100,""))</f>
        <v/>
      </c>
      <c r="AD199" s="40" t="str">
        <f>IF($K199="","",IFERROR(VLOOKUP($K199,Grinders!$A$4:$N$998,12,FALSE)*100,""))</f>
        <v/>
      </c>
      <c r="AE199" s="40" t="str">
        <f>IF(OR(AO199=1,AP199=1),0,=IFERROR(IFS(
    OR($C199="", $K199=""), 0,
    $F199=0, 0,
    $D199&lt;&gt;"Open", 0,
    COUNTIFS(GrinderServices!$A$6:$A$1000, $K199, GrinderServices!$B$6:$B$1000, $E199, GrinderServices!$D$6:$D$1000, "Y")=0, 0,
    $X199&lt;Config!$B$16, 0,
    Config!$B$18=1, IF($O199&gt;=N199, 0, 1),
    TRUE, 1
), "")
)</f>
        <v>#ERROR!</v>
      </c>
      <c r="AF199" s="40" t="str">
        <f>IFERROR((IF(OR(AO199=1,AP199=1),"",=IFERROR((IFERROR(IF($AE199=0,"",((Config!$B$6*$Y199 + Config!$B$7*$U199 + Config!$B$8*$Z199 + Config!$B$9*$AA199 + Config!$B$10*$AB199 + Config!$B$11*$AC199 - Config!$B$12*$AD199)/Config!$B$13)+$AK199+$AL199),""))*(1-IFERROR(VLOOKUP(K199,Grinders!$A:$AB, 28, FALSE),0)),"")))*(1+AR199),"")</f>
        <v>#ERROR!</v>
      </c>
      <c r="AG199" s="40" t="str">
        <f t="shared" si="6"/>
        <v>#ERROR!</v>
      </c>
      <c r="AH199" s="40" t="str">
        <f t="shared" si="7"/>
        <v/>
      </c>
      <c r="AI199" s="40" t="str">
        <f t="shared" si="8"/>
        <v/>
      </c>
      <c r="AJ199" s="40" t="str">
        <f>IF($K199="","",COUNTIF(Assignments!$B$6:$B$1000,$K199))</f>
        <v/>
      </c>
      <c r="AK199" s="40" t="str">
        <f>IF($K199="","",IF(AND($AJ199=0,$O199&lt;$N199),Config!$B$43,0))</f>
        <v/>
      </c>
      <c r="AL199" s="40" t="str">
        <f>IF($K199="","",IF(AND($M199="Elite",$G199&gt;=Config!$B$41,$O199&lt;$N199),Config!$B$42,0))</f>
        <v/>
      </c>
      <c r="AM199" s="22"/>
      <c r="AN199" s="39">
        <f>IFERROR(VLOOKUP(K199,Grinders!$A:$Q,28,FALSE),0)</f>
        <v>0</v>
      </c>
      <c r="AO199" s="39">
        <f>IF(Config!$B$1003&lt;&gt;"Y",0,IF(IFERROR(VLOOKUP(K199,Grinders!$A:$P,27,FALSE),0)&gt;=3,IF(OR(G199&gt;=Config!$B$1001,ISNUMBER(SEARCH(E199,Config!$B$1002))),1,0),0))</f>
        <v>0</v>
      </c>
      <c r="AP199" s="39">
        <f t="array" ref="AP199">IFERROR(IF(INDEX(Bids!$AE:$AE,MATCH(B199,Bids!$A:$A,0))="Pending",1,0),0)</f>
        <v>0</v>
      </c>
      <c r="AQ199" s="39" t="str">
        <f t="array" ref="AQ199">IF(C199="","",IFERROR(XLOOKUP(C199,Assignments!$C:$C,Assignments!$AU:$AU,0),0))</f>
        <v/>
      </c>
      <c r="AR199" s="39">
        <f>IF(AND(Config!$B$1006="Y",AQ199=1),Config!$B$1007,0)</f>
        <v>0</v>
      </c>
    </row>
    <row r="200" ht="15.75" customHeight="1">
      <c r="A200" s="46" t="str">
        <f t="shared" si="1"/>
        <v/>
      </c>
      <c r="B200" s="40" t="str">
        <f>IF(Bids!$A199="","",Bids!$A199)</f>
        <v/>
      </c>
      <c r="C200" s="40" t="str">
        <f>IF(Bids!$B199="","",Bids!$B199)</f>
        <v/>
      </c>
      <c r="D200" s="40" t="str">
        <f>IF($C200="","",IFERROR(VLOOKUP($C200,Orders!$A$4:$J$998,9,FALSE),""))</f>
        <v/>
      </c>
      <c r="E200" s="40" t="str">
        <f>IF($C200="","",IFERROR(VLOOKUP($C200,Orders!$A$4:$J$998,3,FALSE),""))</f>
        <v/>
      </c>
      <c r="F200" s="40">
        <f t="shared" si="2"/>
        <v>1</v>
      </c>
      <c r="G200" s="40" t="str">
        <f>IF($C200="","",IFERROR(VLOOKUP($C200,Orders!$A$4:$J$998,4,FALSE),""))</f>
        <v/>
      </c>
      <c r="H200" s="40" t="str">
        <f>IF($C200="","",IFERROR(VLOOKUP($C200,Orders!$A$4:$J$998,5,FALSE),""))</f>
        <v/>
      </c>
      <c r="I200" s="40" t="str">
        <f>IF($C200="","",IFERROR(VLOOKUP($C200,Orders!$A$4:$J$998,6,FALSE),""))</f>
        <v/>
      </c>
      <c r="J200" s="40" t="str">
        <f>IF($C200="","",IFERROR(VLOOKUP($C200,Orders!$A$4:$J$998,7,FALSE),""))</f>
        <v/>
      </c>
      <c r="K200" s="40" t="str">
        <f>IF(Bids!$C199="","",Bids!$C199)</f>
        <v/>
      </c>
      <c r="L200" s="40" t="str">
        <f>IF($K200="","",IFERROR(VLOOKUP($K200,Grinders!$A$4:$N$998,2,FALSE),""))</f>
        <v/>
      </c>
      <c r="M200" s="40" t="str">
        <f>IF($K200="","",IFERROR(VLOOKUP($K200,Grinders!$A$4:$N$998,3,FALSE),""))</f>
        <v/>
      </c>
      <c r="N200" s="40" t="str">
        <f>IF($K200="","",IFERROR(VLOOKUP($K200,Grinders!$A$4:$N$998,4,FALSE),""))</f>
        <v/>
      </c>
      <c r="O200" s="40" t="str">
        <f>IF($K200="","",IFERROR(VLOOKUP($K200,Grinders!$A$4:$N$998,5,FALSE),""))</f>
        <v/>
      </c>
      <c r="P200" s="40" t="str">
        <f>IF($K200="","",IF($C$4="",0,COUNTIFS(Assignments!$B$6:$B$1000,$K200,Assignments!$F$6:$F$1000,$C$4,Assignments!$E$6:$E$1000,"Active")))</f>
        <v/>
      </c>
      <c r="Q200" s="40" t="str">
        <f t="shared" si="3"/>
        <v/>
      </c>
      <c r="R200" s="40" t="str">
        <f t="shared" si="4"/>
        <v/>
      </c>
      <c r="S200" s="40" t="str">
        <f>IF($K200="","",IF($C$4="",0,COUNTIFS(Assignments!$B$6:$B$1000,$K200,Assignments!$F$6:$F$1000,$C$4,Assignments!$D$6:$D$1000,"&gt;="&amp;Config!$B$3-7,Assignments!$D$6:$D$1000,"&lt;="&amp;Config!$B$3)))</f>
        <v/>
      </c>
      <c r="T200" s="40" t="str">
        <f>IF($K200="","",IFERROR(VLOOKUP($K200,Grinders!$A$4:$N$998,8,FALSE),""))</f>
        <v/>
      </c>
      <c r="U200" s="40" t="str">
        <f>IFERROR(IF($K200="","",IF($M200="Elite",MAX(50,MIN(100,Config!$B$27*MAX(0,MIN(100,(1-IF($R200="",0,$R200))*100)) + Config!$B$28*MAX(0,MIN(100,(1-MIN(1,IF(Config!$B$30=0,1,$S200/Config!$B$30)))*100)) + Config!$B$29*MAX(0,MIN(100,MIN(1,IF($T200="",0,$T200)/Config!$B$23)*100)))),MIN(100,Config!$B$27*MAX(0,MIN(100,(1-IF($R200="",0,$R200))*100)) + Config!$B$28*MAX(0,MIN(100,(1-MIN(1,IF(Config!$B$30=0,1,$S200/Config!$B$30)))*100)) + Config!$B$29*MAX(0,MIN(100,MIN(1,IF($T200="",0,$T200)/Config!$B$23)*100))))),"")
</f>
        <v/>
      </c>
      <c r="V200" s="40" t="str">
        <f>IF(Bids!$AC200="","",Bids!$AC200)</f>
        <v/>
      </c>
      <c r="W200" s="40" t="str">
        <f>IF(Bids!$F199="","",Bids!$F199)</f>
        <v/>
      </c>
      <c r="X200" s="40" t="str">
        <f t="shared" si="5"/>
        <v/>
      </c>
      <c r="Y200" s="40" t="str">
        <f>IF($X200="","",IF(Config!$B$17=Config!$B$16,IF($X200&gt;=Config!$B$17,100,0),MAX(0,MIN(100,($X200-Config!$B$16)/(Config!$B$17-Config!$B$16)*100))))</f>
        <v/>
      </c>
      <c r="Z200" s="40">
        <f>IF($M200="Elite",Config!$B$21,0)</f>
        <v>0</v>
      </c>
      <c r="AA200" s="40" t="str">
        <f>IFERROR(IF(OR($W200="",$H200=""),"",IF($W200&gt;$H200,
  MAX(0, 60-(($W200-$H200)*24/Config!$B$19)*60),
  MIN(100, 60+(($H200-$W200)*24/Config!$B$20)*40)
)),"")
</f>
        <v/>
      </c>
      <c r="AB200" s="40" t="str">
        <f>IF($K200="","",IFERROR(VLOOKUP($K200,Grinders!$A$4:$N$998,10,FALSE)/5*100,""))</f>
        <v/>
      </c>
      <c r="AC200" s="40" t="str">
        <f>IF($K200="","",IFERROR(VLOOKUP($K200,Grinders!$A$4:$N$998,11,FALSE)*100,""))</f>
        <v/>
      </c>
      <c r="AD200" s="40" t="str">
        <f>IF($K200="","",IFERROR(VLOOKUP($K200,Grinders!$A$4:$N$998,12,FALSE)*100,""))</f>
        <v/>
      </c>
      <c r="AE200" s="40" t="str">
        <f>IF(OR(AO200=1,AP200=1),0,=IFERROR(IFS(
    OR($C200="", $K200=""), 0,
    $F200=0, 0,
    $D200&lt;&gt;"Open", 0,
    COUNTIFS(GrinderServices!$A$6:$A$1000, $K200, GrinderServices!$B$6:$B$1000, $E200, GrinderServices!$D$6:$D$1000, "Y")=0, 0,
    $X200&lt;Config!$B$16, 0,
    Config!$B$18=1, IF($O200&gt;=N200, 0, 1),
    TRUE, 1
), "")
)</f>
        <v>#ERROR!</v>
      </c>
      <c r="AF200" s="40" t="str">
        <f>IFERROR((IF(OR(AO200=1,AP200=1),"",=IFERROR((IFERROR(IF($AE200=0,"",((Config!$B$6*$Y200 + Config!$B$7*$U200 + Config!$B$8*$Z200 + Config!$B$9*$AA200 + Config!$B$10*$AB200 + Config!$B$11*$AC200 - Config!$B$12*$AD200)/Config!$B$13)+$AK200+$AL200),""))*(1-IFERROR(VLOOKUP(K200,Grinders!$A:$AB, 28, FALSE),0)),"")))*(1+AR200),"")</f>
        <v>#ERROR!</v>
      </c>
      <c r="AG200" s="40" t="str">
        <f t="shared" si="6"/>
        <v>#ERROR!</v>
      </c>
      <c r="AH200" s="40" t="str">
        <f t="shared" si="7"/>
        <v/>
      </c>
      <c r="AI200" s="40" t="str">
        <f t="shared" si="8"/>
        <v/>
      </c>
      <c r="AJ200" s="40" t="str">
        <f>IF($K200="","",COUNTIF(Assignments!$B$6:$B$1000,$K200))</f>
        <v/>
      </c>
      <c r="AK200" s="40" t="str">
        <f>IF($K200="","",IF(AND($AJ200=0,$O200&lt;$N200),Config!$B$43,0))</f>
        <v/>
      </c>
      <c r="AL200" s="40" t="str">
        <f>IF($K200="","",IF(AND($M200="Elite",$G200&gt;=Config!$B$41,$O200&lt;$N200),Config!$B$42,0))</f>
        <v/>
      </c>
      <c r="AM200" s="22"/>
      <c r="AN200" s="39">
        <f>IFERROR(VLOOKUP(K200,Grinders!$A:$Q,28,FALSE),0)</f>
        <v>0</v>
      </c>
      <c r="AO200" s="39">
        <f>IF(Config!$B$1003&lt;&gt;"Y",0,IF(IFERROR(VLOOKUP(K200,Grinders!$A:$P,27,FALSE),0)&gt;=3,IF(OR(G200&gt;=Config!$B$1001,ISNUMBER(SEARCH(E200,Config!$B$1002))),1,0),0))</f>
        <v>0</v>
      </c>
      <c r="AP200" s="39">
        <f t="array" ref="AP200">IFERROR(IF(INDEX(Bids!$AE:$AE,MATCH(B200,Bids!$A:$A,0))="Pending",1,0),0)</f>
        <v>0</v>
      </c>
      <c r="AQ200" s="39" t="str">
        <f t="array" ref="AQ200">IF(C200="","",IFERROR(XLOOKUP(C200,Assignments!$C:$C,Assignments!$AU:$AU,0),0))</f>
        <v/>
      </c>
      <c r="AR200" s="39">
        <f>IF(AND(Config!$B$1006="Y",AQ200=1),Config!$B$1007,0)</f>
        <v>0</v>
      </c>
    </row>
    <row r="201" ht="15.75" customHeight="1">
      <c r="A201" s="46" t="str">
        <f t="shared" si="1"/>
        <v/>
      </c>
      <c r="B201" s="40" t="str">
        <f>IF(Bids!$A200="","",Bids!$A200)</f>
        <v/>
      </c>
      <c r="C201" s="40" t="str">
        <f>IF(Bids!$B200="","",Bids!$B200)</f>
        <v/>
      </c>
      <c r="D201" s="40" t="str">
        <f>IF($C201="","",IFERROR(VLOOKUP($C201,Orders!$A$4:$J$998,9,FALSE),""))</f>
        <v/>
      </c>
      <c r="E201" s="40" t="str">
        <f>IF($C201="","",IFERROR(VLOOKUP($C201,Orders!$A$4:$J$998,3,FALSE),""))</f>
        <v/>
      </c>
      <c r="F201" s="40">
        <f t="shared" si="2"/>
        <v>1</v>
      </c>
      <c r="G201" s="40" t="str">
        <f>IF($C201="","",IFERROR(VLOOKUP($C201,Orders!$A$4:$J$998,4,FALSE),""))</f>
        <v/>
      </c>
      <c r="H201" s="40" t="str">
        <f>IF($C201="","",IFERROR(VLOOKUP($C201,Orders!$A$4:$J$998,5,FALSE),""))</f>
        <v/>
      </c>
      <c r="I201" s="40" t="str">
        <f>IF($C201="","",IFERROR(VLOOKUP($C201,Orders!$A$4:$J$998,6,FALSE),""))</f>
        <v/>
      </c>
      <c r="J201" s="40" t="str">
        <f>IF($C201="","",IFERROR(VLOOKUP($C201,Orders!$A$4:$J$998,7,FALSE),""))</f>
        <v/>
      </c>
      <c r="K201" s="40" t="str">
        <f>IF(Bids!$C200="","",Bids!$C200)</f>
        <v/>
      </c>
      <c r="L201" s="40" t="str">
        <f>IF($K201="","",IFERROR(VLOOKUP($K201,Grinders!$A$4:$N$998,2,FALSE),""))</f>
        <v/>
      </c>
      <c r="M201" s="40" t="str">
        <f>IF($K201="","",IFERROR(VLOOKUP($K201,Grinders!$A$4:$N$998,3,FALSE),""))</f>
        <v/>
      </c>
      <c r="N201" s="40" t="str">
        <f>IF($K201="","",IFERROR(VLOOKUP($K201,Grinders!$A$4:$N$998,4,FALSE),""))</f>
        <v/>
      </c>
      <c r="O201" s="40" t="str">
        <f>IF($K201="","",IFERROR(VLOOKUP($K201,Grinders!$A$4:$N$998,5,FALSE),""))</f>
        <v/>
      </c>
      <c r="P201" s="40" t="str">
        <f>IF($K201="","",IF($C$4="",0,COUNTIFS(Assignments!$B$6:$B$1000,$K201,Assignments!$F$6:$F$1000,$C$4,Assignments!$E$6:$E$1000,"Active")))</f>
        <v/>
      </c>
      <c r="Q201" s="40" t="str">
        <f t="shared" si="3"/>
        <v/>
      </c>
      <c r="R201" s="40" t="str">
        <f t="shared" si="4"/>
        <v/>
      </c>
      <c r="S201" s="40" t="str">
        <f>IF($K201="","",IF($C$4="",0,COUNTIFS(Assignments!$B$6:$B$1000,$K201,Assignments!$F$6:$F$1000,$C$4,Assignments!$D$6:$D$1000,"&gt;="&amp;Config!$B$3-7,Assignments!$D$6:$D$1000,"&lt;="&amp;Config!$B$3)))</f>
        <v/>
      </c>
      <c r="T201" s="40" t="str">
        <f>IF($K201="","",IFERROR(VLOOKUP($K201,Grinders!$A$4:$N$998,8,FALSE),""))</f>
        <v/>
      </c>
      <c r="U201" s="40" t="str">
        <f>IFERROR(IF($K201="","",IF($M201="Elite",MAX(50,MIN(100,Config!$B$27*MAX(0,MIN(100,(1-IF($R201="",0,$R201))*100)) + Config!$B$28*MAX(0,MIN(100,(1-MIN(1,IF(Config!$B$30=0,1,$S201/Config!$B$30)))*100)) + Config!$B$29*MAX(0,MIN(100,MIN(1,IF($T201="",0,$T201)/Config!$B$23)*100)))),MIN(100,Config!$B$27*MAX(0,MIN(100,(1-IF($R201="",0,$R201))*100)) + Config!$B$28*MAX(0,MIN(100,(1-MIN(1,IF(Config!$B$30=0,1,$S201/Config!$B$30)))*100)) + Config!$B$29*MAX(0,MIN(100,MIN(1,IF($T201="",0,$T201)/Config!$B$23)*100))))),"")
</f>
        <v/>
      </c>
      <c r="V201" s="40" t="str">
        <f>IF(Bids!$AC201="","",Bids!$AC201)</f>
        <v/>
      </c>
      <c r="W201" s="40" t="str">
        <f>IF(Bids!$F200="","",Bids!$F200)</f>
        <v/>
      </c>
      <c r="X201" s="40" t="str">
        <f t="shared" si="5"/>
        <v/>
      </c>
      <c r="Y201" s="40" t="str">
        <f>IF($X201="","",IF(Config!$B$17=Config!$B$16,IF($X201&gt;=Config!$B$17,100,0),MAX(0,MIN(100,($X201-Config!$B$16)/(Config!$B$17-Config!$B$16)*100))))</f>
        <v/>
      </c>
      <c r="Z201" s="40">
        <f>IF($M201="Elite",Config!$B$21,0)</f>
        <v>0</v>
      </c>
      <c r="AA201" s="40" t="str">
        <f>IFERROR(IF(OR($W201="",$H201=""),"",IF($W201&gt;$H201,
  MAX(0, 60-(($W201-$H201)*24/Config!$B$19)*60),
  MIN(100, 60+(($H201-$W201)*24/Config!$B$20)*40)
)),"")
</f>
        <v/>
      </c>
      <c r="AB201" s="40" t="str">
        <f>IF($K201="","",IFERROR(VLOOKUP($K201,Grinders!$A$4:$N$998,10,FALSE)/5*100,""))</f>
        <v/>
      </c>
      <c r="AC201" s="40" t="str">
        <f>IF($K201="","",IFERROR(VLOOKUP($K201,Grinders!$A$4:$N$998,11,FALSE)*100,""))</f>
        <v/>
      </c>
      <c r="AD201" s="40" t="str">
        <f>IF($K201="","",IFERROR(VLOOKUP($K201,Grinders!$A$4:$N$998,12,FALSE)*100,""))</f>
        <v/>
      </c>
      <c r="AE201" s="40" t="str">
        <f>IF(OR(AO201=1,AP201=1),0,=IFERROR(IFS(
    OR($C201="", $K201=""), 0,
    $F201=0, 0,
    $D201&lt;&gt;"Open", 0,
    COUNTIFS(GrinderServices!$A$6:$A$1000, $K201, GrinderServices!$B$6:$B$1000, $E201, GrinderServices!$D$6:$D$1000, "Y")=0, 0,
    $X201&lt;Config!$B$16, 0,
    Config!$B$18=1, IF($O201&gt;=N201, 0, 1),
    TRUE, 1
), "")
)</f>
        <v>#ERROR!</v>
      </c>
      <c r="AF201" s="40" t="str">
        <f>IFERROR((IF(OR(AO201=1,AP201=1),"",=IFERROR((IFERROR(IF($AE201=0,"",((Config!$B$6*$Y201 + Config!$B$7*$U201 + Config!$B$8*$Z201 + Config!$B$9*$AA201 + Config!$B$10*$AB201 + Config!$B$11*$AC201 - Config!$B$12*$AD201)/Config!$B$13)+$AK201+$AL201),""))*(1-IFERROR(VLOOKUP(K201,Grinders!$A:$AB, 28, FALSE),0)),"")))*(1+AR201),"")</f>
        <v>#ERROR!</v>
      </c>
      <c r="AG201" s="40" t="str">
        <f t="shared" si="6"/>
        <v>#ERROR!</v>
      </c>
      <c r="AH201" s="40" t="str">
        <f t="shared" si="7"/>
        <v/>
      </c>
      <c r="AI201" s="40" t="str">
        <f t="shared" si="8"/>
        <v/>
      </c>
      <c r="AJ201" s="40" t="str">
        <f>IF($K201="","",COUNTIF(Assignments!$B$6:$B$1000,$K201))</f>
        <v/>
      </c>
      <c r="AK201" s="40" t="str">
        <f>IF($K201="","",IF(AND($AJ201=0,$O201&lt;$N201),Config!$B$43,0))</f>
        <v/>
      </c>
      <c r="AL201" s="40" t="str">
        <f>IF($K201="","",IF(AND($M201="Elite",$G201&gt;=Config!$B$41,$O201&lt;$N201),Config!$B$42,0))</f>
        <v/>
      </c>
      <c r="AM201" s="22"/>
      <c r="AN201" s="39">
        <f>IFERROR(VLOOKUP(K201,Grinders!$A:$Q,28,FALSE),0)</f>
        <v>0</v>
      </c>
      <c r="AO201" s="39">
        <f>IF(Config!$B$1003&lt;&gt;"Y",0,IF(IFERROR(VLOOKUP(K201,Grinders!$A:$P,27,FALSE),0)&gt;=3,IF(OR(G201&gt;=Config!$B$1001,ISNUMBER(SEARCH(E201,Config!$B$1002))),1,0),0))</f>
        <v>0</v>
      </c>
      <c r="AP201" s="39">
        <f t="array" ref="AP201">IFERROR(IF(INDEX(Bids!$AE:$AE,MATCH(B201,Bids!$A:$A,0))="Pending",1,0),0)</f>
        <v>0</v>
      </c>
      <c r="AQ201" s="39" t="str">
        <f t="array" ref="AQ201">IF(C201="","",IFERROR(XLOOKUP(C201,Assignments!$C:$C,Assignments!$AU:$AU,0),0))</f>
        <v/>
      </c>
      <c r="AR201" s="39">
        <f>IF(AND(Config!$B$1006="Y",AQ201=1),Config!$B$1007,0)</f>
        <v>0</v>
      </c>
    </row>
    <row r="202" ht="15.75" customHeight="1">
      <c r="A202" s="46" t="str">
        <f t="shared" si="1"/>
        <v/>
      </c>
      <c r="B202" s="40" t="str">
        <f>IF(Bids!$A201="","",Bids!$A201)</f>
        <v/>
      </c>
      <c r="C202" s="40" t="str">
        <f>IF(Bids!$B201="","",Bids!$B201)</f>
        <v/>
      </c>
      <c r="D202" s="40" t="str">
        <f>IF($C202="","",IFERROR(VLOOKUP($C202,Orders!$A$4:$J$998,9,FALSE),""))</f>
        <v/>
      </c>
      <c r="E202" s="40" t="str">
        <f>IF($C202="","",IFERROR(VLOOKUP($C202,Orders!$A$4:$J$998,3,FALSE),""))</f>
        <v/>
      </c>
      <c r="F202" s="40">
        <f t="shared" si="2"/>
        <v>1</v>
      </c>
      <c r="G202" s="40" t="str">
        <f>IF($C202="","",IFERROR(VLOOKUP($C202,Orders!$A$4:$J$998,4,FALSE),""))</f>
        <v/>
      </c>
      <c r="H202" s="40" t="str">
        <f>IF($C202="","",IFERROR(VLOOKUP($C202,Orders!$A$4:$J$998,5,FALSE),""))</f>
        <v/>
      </c>
      <c r="I202" s="40" t="str">
        <f>IF($C202="","",IFERROR(VLOOKUP($C202,Orders!$A$4:$J$998,6,FALSE),""))</f>
        <v/>
      </c>
      <c r="J202" s="40" t="str">
        <f>IF($C202="","",IFERROR(VLOOKUP($C202,Orders!$A$4:$J$998,7,FALSE),""))</f>
        <v/>
      </c>
      <c r="K202" s="40" t="str">
        <f>IF(Bids!$C201="","",Bids!$C201)</f>
        <v/>
      </c>
      <c r="L202" s="40" t="str">
        <f>IF($K202="","",IFERROR(VLOOKUP($K202,Grinders!$A$4:$N$998,2,FALSE),""))</f>
        <v/>
      </c>
      <c r="M202" s="40" t="str">
        <f>IF($K202="","",IFERROR(VLOOKUP($K202,Grinders!$A$4:$N$998,3,FALSE),""))</f>
        <v/>
      </c>
      <c r="N202" s="40" t="str">
        <f>IF($K202="","",IFERROR(VLOOKUP($K202,Grinders!$A$4:$N$998,4,FALSE),""))</f>
        <v/>
      </c>
      <c r="O202" s="40" t="str">
        <f>IF($K202="","",IFERROR(VLOOKUP($K202,Grinders!$A$4:$N$998,5,FALSE),""))</f>
        <v/>
      </c>
      <c r="P202" s="40" t="str">
        <f>IF($K202="","",IF($C$4="",0,COUNTIFS(Assignments!$B$6:$B$1000,$K202,Assignments!$F$6:$F$1000,$C$4,Assignments!$E$6:$E$1000,"Active")))</f>
        <v/>
      </c>
      <c r="Q202" s="40" t="str">
        <f t="shared" si="3"/>
        <v/>
      </c>
      <c r="R202" s="40" t="str">
        <f t="shared" si="4"/>
        <v/>
      </c>
      <c r="S202" s="40" t="str">
        <f>IF($K202="","",IF($C$4="",0,COUNTIFS(Assignments!$B$6:$B$1000,$K202,Assignments!$F$6:$F$1000,$C$4,Assignments!$D$6:$D$1000,"&gt;="&amp;Config!$B$3-7,Assignments!$D$6:$D$1000,"&lt;="&amp;Config!$B$3)))</f>
        <v/>
      </c>
      <c r="T202" s="40" t="str">
        <f>IF($K202="","",IFERROR(VLOOKUP($K202,Grinders!$A$4:$N$998,8,FALSE),""))</f>
        <v/>
      </c>
      <c r="U202" s="40" t="str">
        <f>IFERROR(IF($K202="","",IF($M202="Elite",MAX(50,MIN(100,Config!$B$27*MAX(0,MIN(100,(1-IF($R202="",0,$R202))*100)) + Config!$B$28*MAX(0,MIN(100,(1-MIN(1,IF(Config!$B$30=0,1,$S202/Config!$B$30)))*100)) + Config!$B$29*MAX(0,MIN(100,MIN(1,IF($T202="",0,$T202)/Config!$B$23)*100)))),MIN(100,Config!$B$27*MAX(0,MIN(100,(1-IF($R202="",0,$R202))*100)) + Config!$B$28*MAX(0,MIN(100,(1-MIN(1,IF(Config!$B$30=0,1,$S202/Config!$B$30)))*100)) + Config!$B$29*MAX(0,MIN(100,MIN(1,IF($T202="",0,$T202)/Config!$B$23)*100))))),"")
</f>
        <v/>
      </c>
      <c r="V202" s="40" t="str">
        <f>IF(Bids!$AC202="","",Bids!$AC202)</f>
        <v/>
      </c>
      <c r="W202" s="40" t="str">
        <f>IF(Bids!$F201="","",Bids!$F201)</f>
        <v/>
      </c>
      <c r="X202" s="40" t="str">
        <f t="shared" si="5"/>
        <v/>
      </c>
      <c r="Y202" s="40" t="str">
        <f>IF($X202="","",IF(Config!$B$17=Config!$B$16,IF($X202&gt;=Config!$B$17,100,0),MAX(0,MIN(100,($X202-Config!$B$16)/(Config!$B$17-Config!$B$16)*100))))</f>
        <v/>
      </c>
      <c r="Z202" s="40">
        <f>IF($M202="Elite",Config!$B$21,0)</f>
        <v>0</v>
      </c>
      <c r="AA202" s="40" t="str">
        <f>IFERROR(IF(OR($W202="",$H202=""),"",IF($W202&gt;$H202,
  MAX(0, 60-(($W202-$H202)*24/Config!$B$19)*60),
  MIN(100, 60+(($H202-$W202)*24/Config!$B$20)*40)
)),"")
</f>
        <v/>
      </c>
      <c r="AB202" s="40" t="str">
        <f>IF($K202="","",IFERROR(VLOOKUP($K202,Grinders!$A$4:$N$998,10,FALSE)/5*100,""))</f>
        <v/>
      </c>
      <c r="AC202" s="40" t="str">
        <f>IF($K202="","",IFERROR(VLOOKUP($K202,Grinders!$A$4:$N$998,11,FALSE)*100,""))</f>
        <v/>
      </c>
      <c r="AD202" s="40" t="str">
        <f>IF($K202="","",IFERROR(VLOOKUP($K202,Grinders!$A$4:$N$998,12,FALSE)*100,""))</f>
        <v/>
      </c>
      <c r="AE202" s="40" t="str">
        <f>IF(OR(AO202=1,AP202=1),0,=IFERROR(IFS(
    OR($C202="", $K202=""), 0,
    $F202=0, 0,
    $D202&lt;&gt;"Open", 0,
    COUNTIFS(GrinderServices!$A$6:$A$1000, $K202, GrinderServices!$B$6:$B$1000, $E202, GrinderServices!$D$6:$D$1000, "Y")=0, 0,
    $X202&lt;Config!$B$16, 0,
    Config!$B$18=1, IF($O202&gt;=N202, 0, 1),
    TRUE, 1
), "")
)</f>
        <v>#ERROR!</v>
      </c>
      <c r="AF202" s="40" t="str">
        <f>IFERROR((IF(OR(AO202=1,AP202=1),"",=IFERROR((IFERROR(IF($AE202=0,"",((Config!$B$6*$Y202 + Config!$B$7*$U202 + Config!$B$8*$Z202 + Config!$B$9*$AA202 + Config!$B$10*$AB202 + Config!$B$11*$AC202 - Config!$B$12*$AD202)/Config!$B$13)+$AK202+$AL202),""))*(1-IFERROR(VLOOKUP(K202,Grinders!$A:$AB, 28, FALSE),0)),"")))*(1+AR202),"")</f>
        <v>#ERROR!</v>
      </c>
      <c r="AG202" s="40" t="str">
        <f t="shared" si="6"/>
        <v>#ERROR!</v>
      </c>
      <c r="AH202" s="40" t="str">
        <f t="shared" si="7"/>
        <v/>
      </c>
      <c r="AI202" s="40" t="str">
        <f t="shared" si="8"/>
        <v/>
      </c>
      <c r="AJ202" s="40" t="str">
        <f>IF($K202="","",COUNTIF(Assignments!$B$6:$B$1000,$K202))</f>
        <v/>
      </c>
      <c r="AK202" s="40" t="str">
        <f>IF($K202="","",IF(AND($AJ202=0,$O202&lt;$N202),Config!$B$43,0))</f>
        <v/>
      </c>
      <c r="AL202" s="40" t="str">
        <f>IF($K202="","",IF(AND($M202="Elite",$G202&gt;=Config!$B$41,$O202&lt;$N202),Config!$B$42,0))</f>
        <v/>
      </c>
      <c r="AM202" s="22"/>
      <c r="AN202" s="39">
        <f>IFERROR(VLOOKUP(K202,Grinders!$A:$Q,28,FALSE),0)</f>
        <v>0</v>
      </c>
      <c r="AO202" s="39">
        <f>IF(Config!$B$1003&lt;&gt;"Y",0,IF(IFERROR(VLOOKUP(K202,Grinders!$A:$P,27,FALSE),0)&gt;=3,IF(OR(G202&gt;=Config!$B$1001,ISNUMBER(SEARCH(E202,Config!$B$1002))),1,0),0))</f>
        <v>0</v>
      </c>
      <c r="AP202" s="39">
        <f t="array" ref="AP202">IFERROR(IF(INDEX(Bids!$AE:$AE,MATCH(B202,Bids!$A:$A,0))="Pending",1,0),0)</f>
        <v>0</v>
      </c>
      <c r="AQ202" s="39" t="str">
        <f t="array" ref="AQ202">IF(C202="","",IFERROR(XLOOKUP(C202,Assignments!$C:$C,Assignments!$AU:$AU,0),0))</f>
        <v/>
      </c>
      <c r="AR202" s="39">
        <f>IF(AND(Config!$B$1006="Y",AQ202=1),Config!$B$1007,0)</f>
        <v>0</v>
      </c>
    </row>
    <row r="203" ht="15.75" customHeight="1">
      <c r="A203" s="46" t="str">
        <f t="shared" si="1"/>
        <v/>
      </c>
      <c r="B203" s="40" t="str">
        <f>IF(Bids!$A202="","",Bids!$A202)</f>
        <v/>
      </c>
      <c r="C203" s="40" t="str">
        <f>IF(Bids!$B202="","",Bids!$B202)</f>
        <v/>
      </c>
      <c r="D203" s="40" t="str">
        <f>IF($C203="","",IFERROR(VLOOKUP($C203,Orders!$A$4:$J$998,9,FALSE),""))</f>
        <v/>
      </c>
      <c r="E203" s="40" t="str">
        <f>IF($C203="","",IFERROR(VLOOKUP($C203,Orders!$A$4:$J$998,3,FALSE),""))</f>
        <v/>
      </c>
      <c r="F203" s="40">
        <f t="shared" si="2"/>
        <v>1</v>
      </c>
      <c r="G203" s="40" t="str">
        <f>IF($C203="","",IFERROR(VLOOKUP($C203,Orders!$A$4:$J$998,4,FALSE),""))</f>
        <v/>
      </c>
      <c r="H203" s="40" t="str">
        <f>IF($C203="","",IFERROR(VLOOKUP($C203,Orders!$A$4:$J$998,5,FALSE),""))</f>
        <v/>
      </c>
      <c r="I203" s="40" t="str">
        <f>IF($C203="","",IFERROR(VLOOKUP($C203,Orders!$A$4:$J$998,6,FALSE),""))</f>
        <v/>
      </c>
      <c r="J203" s="40" t="str">
        <f>IF($C203="","",IFERROR(VLOOKUP($C203,Orders!$A$4:$J$998,7,FALSE),""))</f>
        <v/>
      </c>
      <c r="K203" s="40" t="str">
        <f>IF(Bids!$C202="","",Bids!$C202)</f>
        <v/>
      </c>
      <c r="L203" s="40" t="str">
        <f>IF($K203="","",IFERROR(VLOOKUP($K203,Grinders!$A$4:$N$998,2,FALSE),""))</f>
        <v/>
      </c>
      <c r="M203" s="40" t="str">
        <f>IF($K203="","",IFERROR(VLOOKUP($K203,Grinders!$A$4:$N$998,3,FALSE),""))</f>
        <v/>
      </c>
      <c r="N203" s="40" t="str">
        <f>IF($K203="","",IFERROR(VLOOKUP($K203,Grinders!$A$4:$N$998,4,FALSE),""))</f>
        <v/>
      </c>
      <c r="O203" s="40" t="str">
        <f>IF($K203="","",IFERROR(VLOOKUP($K203,Grinders!$A$4:$N$998,5,FALSE),""))</f>
        <v/>
      </c>
      <c r="P203" s="40" t="str">
        <f>IF($K203="","",IF($C$4="",0,COUNTIFS(Assignments!$B$6:$B$1000,$K203,Assignments!$F$6:$F$1000,$C$4,Assignments!$E$6:$E$1000,"Active")))</f>
        <v/>
      </c>
      <c r="Q203" s="40" t="str">
        <f t="shared" si="3"/>
        <v/>
      </c>
      <c r="R203" s="40" t="str">
        <f t="shared" si="4"/>
        <v/>
      </c>
      <c r="S203" s="40" t="str">
        <f>IF($K203="","",IF($C$4="",0,COUNTIFS(Assignments!$B$6:$B$1000,$K203,Assignments!$F$6:$F$1000,$C$4,Assignments!$D$6:$D$1000,"&gt;="&amp;Config!$B$3-7,Assignments!$D$6:$D$1000,"&lt;="&amp;Config!$B$3)))</f>
        <v/>
      </c>
      <c r="T203" s="40" t="str">
        <f>IF($K203="","",IFERROR(VLOOKUP($K203,Grinders!$A$4:$N$998,8,FALSE),""))</f>
        <v/>
      </c>
      <c r="U203" s="40" t="str">
        <f>IFERROR(IF($K203="","",IF($M203="Elite",MAX(50,MIN(100,Config!$B$27*MAX(0,MIN(100,(1-IF($R203="",0,$R203))*100)) + Config!$B$28*MAX(0,MIN(100,(1-MIN(1,IF(Config!$B$30=0,1,$S203/Config!$B$30)))*100)) + Config!$B$29*MAX(0,MIN(100,MIN(1,IF($T203="",0,$T203)/Config!$B$23)*100)))),MIN(100,Config!$B$27*MAX(0,MIN(100,(1-IF($R203="",0,$R203))*100)) + Config!$B$28*MAX(0,MIN(100,(1-MIN(1,IF(Config!$B$30=0,1,$S203/Config!$B$30)))*100)) + Config!$B$29*MAX(0,MIN(100,MIN(1,IF($T203="",0,$T203)/Config!$B$23)*100))))),"")
</f>
        <v/>
      </c>
      <c r="V203" s="40" t="str">
        <f>IF(Bids!$AC203="","",Bids!$AC203)</f>
        <v/>
      </c>
      <c r="W203" s="40" t="str">
        <f>IF(Bids!$F202="","",Bids!$F202)</f>
        <v/>
      </c>
      <c r="X203" s="40" t="str">
        <f t="shared" si="5"/>
        <v/>
      </c>
      <c r="Y203" s="40" t="str">
        <f>IF($X203="","",IF(Config!$B$17=Config!$B$16,IF($X203&gt;=Config!$B$17,100,0),MAX(0,MIN(100,($X203-Config!$B$16)/(Config!$B$17-Config!$B$16)*100))))</f>
        <v/>
      </c>
      <c r="Z203" s="40">
        <f>IF($M203="Elite",Config!$B$21,0)</f>
        <v>0</v>
      </c>
      <c r="AA203" s="40" t="str">
        <f>IFERROR(IF(OR($W203="",$H203=""),"",IF($W203&gt;$H203,
  MAX(0, 60-(($W203-$H203)*24/Config!$B$19)*60),
  MIN(100, 60+(($H203-$W203)*24/Config!$B$20)*40)
)),"")
</f>
        <v/>
      </c>
      <c r="AB203" s="40" t="str">
        <f>IF($K203="","",IFERROR(VLOOKUP($K203,Grinders!$A$4:$N$998,10,FALSE)/5*100,""))</f>
        <v/>
      </c>
      <c r="AC203" s="40" t="str">
        <f>IF($K203="","",IFERROR(VLOOKUP($K203,Grinders!$A$4:$N$998,11,FALSE)*100,""))</f>
        <v/>
      </c>
      <c r="AD203" s="40" t="str">
        <f>IF($K203="","",IFERROR(VLOOKUP($K203,Grinders!$A$4:$N$998,12,FALSE)*100,""))</f>
        <v/>
      </c>
      <c r="AE203" s="40" t="str">
        <f>IF(OR(AO203=1,AP203=1),0,=IFERROR(IFS(
    OR($C203="", $K203=""), 0,
    $F203=0, 0,
    $D203&lt;&gt;"Open", 0,
    COUNTIFS(GrinderServices!$A$6:$A$1000, $K203, GrinderServices!$B$6:$B$1000, $E203, GrinderServices!$D$6:$D$1000, "Y")=0, 0,
    $X203&lt;Config!$B$16, 0,
    Config!$B$18=1, IF($O203&gt;=N203, 0, 1),
    TRUE, 1
), "")
)</f>
        <v>#ERROR!</v>
      </c>
      <c r="AF203" s="40" t="str">
        <f>IFERROR((IF(OR(AO203=1,AP203=1),"",=IFERROR((IFERROR(IF($AE203=0,"",((Config!$B$6*$Y203 + Config!$B$7*$U203 + Config!$B$8*$Z203 + Config!$B$9*$AA203 + Config!$B$10*$AB203 + Config!$B$11*$AC203 - Config!$B$12*$AD203)/Config!$B$13)+$AK203+$AL203),""))*(1-IFERROR(VLOOKUP(K203,Grinders!$A:$AB, 28, FALSE),0)),"")))*(1+AR203),"")</f>
        <v>#ERROR!</v>
      </c>
      <c r="AG203" s="40" t="str">
        <f t="shared" si="6"/>
        <v>#ERROR!</v>
      </c>
      <c r="AH203" s="40" t="str">
        <f t="shared" si="7"/>
        <v/>
      </c>
      <c r="AI203" s="40" t="str">
        <f t="shared" si="8"/>
        <v/>
      </c>
      <c r="AJ203" s="40" t="str">
        <f>IF($K203="","",COUNTIF(Assignments!$B$6:$B$1000,$K203))</f>
        <v/>
      </c>
      <c r="AK203" s="40" t="str">
        <f>IF($K203="","",IF(AND($AJ203=0,$O203&lt;$N203),Config!$B$43,0))</f>
        <v/>
      </c>
      <c r="AL203" s="40" t="str">
        <f>IF($K203="","",IF(AND($M203="Elite",$G203&gt;=Config!$B$41,$O203&lt;$N203),Config!$B$42,0))</f>
        <v/>
      </c>
      <c r="AM203" s="22"/>
      <c r="AN203" s="39">
        <f>IFERROR(VLOOKUP(K203,Grinders!$A:$Q,28,FALSE),0)</f>
        <v>0</v>
      </c>
      <c r="AO203" s="39">
        <f>IF(Config!$B$1003&lt;&gt;"Y",0,IF(IFERROR(VLOOKUP(K203,Grinders!$A:$P,27,FALSE),0)&gt;=3,IF(OR(G203&gt;=Config!$B$1001,ISNUMBER(SEARCH(E203,Config!$B$1002))),1,0),0))</f>
        <v>0</v>
      </c>
      <c r="AP203" s="39">
        <f t="array" ref="AP203">IFERROR(IF(INDEX(Bids!$AE:$AE,MATCH(B203,Bids!$A:$A,0))="Pending",1,0),0)</f>
        <v>0</v>
      </c>
      <c r="AQ203" s="39" t="str">
        <f t="array" ref="AQ203">IF(C203="","",IFERROR(XLOOKUP(C203,Assignments!$C:$C,Assignments!$AU:$AU,0),0))</f>
        <v/>
      </c>
      <c r="AR203" s="39">
        <f>IF(AND(Config!$B$1006="Y",AQ203=1),Config!$B$1007,0)</f>
        <v>0</v>
      </c>
    </row>
    <row r="204" ht="15.75" customHeight="1">
      <c r="A204" s="46" t="str">
        <f t="shared" si="1"/>
        <v/>
      </c>
      <c r="B204" s="40" t="str">
        <f>IF(Bids!$A203="","",Bids!$A203)</f>
        <v/>
      </c>
      <c r="C204" s="40" t="str">
        <f>IF(Bids!$B203="","",Bids!$B203)</f>
        <v/>
      </c>
      <c r="D204" s="40" t="str">
        <f>IF($C204="","",IFERROR(VLOOKUP($C204,Orders!$A$4:$J$998,9,FALSE),""))</f>
        <v/>
      </c>
      <c r="E204" s="40" t="str">
        <f>IF($C204="","",IFERROR(VLOOKUP($C204,Orders!$A$4:$J$998,3,FALSE),""))</f>
        <v/>
      </c>
      <c r="F204" s="40">
        <f t="shared" si="2"/>
        <v>1</v>
      </c>
      <c r="G204" s="40" t="str">
        <f>IF($C204="","",IFERROR(VLOOKUP($C204,Orders!$A$4:$J$998,4,FALSE),""))</f>
        <v/>
      </c>
      <c r="H204" s="40" t="str">
        <f>IF($C204="","",IFERROR(VLOOKUP($C204,Orders!$A$4:$J$998,5,FALSE),""))</f>
        <v/>
      </c>
      <c r="I204" s="40" t="str">
        <f>IF($C204="","",IFERROR(VLOOKUP($C204,Orders!$A$4:$J$998,6,FALSE),""))</f>
        <v/>
      </c>
      <c r="J204" s="40" t="str">
        <f>IF($C204="","",IFERROR(VLOOKUP($C204,Orders!$A$4:$J$998,7,FALSE),""))</f>
        <v/>
      </c>
      <c r="K204" s="40" t="str">
        <f>IF(Bids!$C203="","",Bids!$C203)</f>
        <v/>
      </c>
      <c r="L204" s="40" t="str">
        <f>IF($K204="","",IFERROR(VLOOKUP($K204,Grinders!$A$4:$N$998,2,FALSE),""))</f>
        <v/>
      </c>
      <c r="M204" s="40" t="str">
        <f>IF($K204="","",IFERROR(VLOOKUP($K204,Grinders!$A$4:$N$998,3,FALSE),""))</f>
        <v/>
      </c>
      <c r="N204" s="40" t="str">
        <f>IF($K204="","",IFERROR(VLOOKUP($K204,Grinders!$A$4:$N$998,4,FALSE),""))</f>
        <v/>
      </c>
      <c r="O204" s="40" t="str">
        <f>IF($K204="","",IFERROR(VLOOKUP($K204,Grinders!$A$4:$N$998,5,FALSE),""))</f>
        <v/>
      </c>
      <c r="P204" s="40" t="str">
        <f>IF($K204="","",IF($C$4="",0,COUNTIFS(Assignments!$B$6:$B$1000,$K204,Assignments!$F$6:$F$1000,$C$4,Assignments!$E$6:$E$1000,"Active")))</f>
        <v/>
      </c>
      <c r="Q204" s="40" t="str">
        <f t="shared" si="3"/>
        <v/>
      </c>
      <c r="R204" s="40" t="str">
        <f t="shared" si="4"/>
        <v/>
      </c>
      <c r="S204" s="40" t="str">
        <f>IF($K204="","",IF($C$4="",0,COUNTIFS(Assignments!$B$6:$B$1000,$K204,Assignments!$F$6:$F$1000,$C$4,Assignments!$D$6:$D$1000,"&gt;="&amp;Config!$B$3-7,Assignments!$D$6:$D$1000,"&lt;="&amp;Config!$B$3)))</f>
        <v/>
      </c>
      <c r="T204" s="40" t="str">
        <f>IF($K204="","",IFERROR(VLOOKUP($K204,Grinders!$A$4:$N$998,8,FALSE),""))</f>
        <v/>
      </c>
      <c r="U204" s="40" t="str">
        <f>IFERROR(IF($K204="","",IF($M204="Elite",MAX(50,MIN(100,Config!$B$27*MAX(0,MIN(100,(1-IF($R204="",0,$R204))*100)) + Config!$B$28*MAX(0,MIN(100,(1-MIN(1,IF(Config!$B$30=0,1,$S204/Config!$B$30)))*100)) + Config!$B$29*MAX(0,MIN(100,MIN(1,IF($T204="",0,$T204)/Config!$B$23)*100)))),MIN(100,Config!$B$27*MAX(0,MIN(100,(1-IF($R204="",0,$R204))*100)) + Config!$B$28*MAX(0,MIN(100,(1-MIN(1,IF(Config!$B$30=0,1,$S204/Config!$B$30)))*100)) + Config!$B$29*MAX(0,MIN(100,MIN(1,IF($T204="",0,$T204)/Config!$B$23)*100))))),"")
</f>
        <v/>
      </c>
      <c r="V204" s="40" t="str">
        <f>IF(Bids!$AC204="","",Bids!$AC204)</f>
        <v/>
      </c>
      <c r="W204" s="40" t="str">
        <f>IF(Bids!$F203="","",Bids!$F203)</f>
        <v/>
      </c>
      <c r="X204" s="40" t="str">
        <f t="shared" si="5"/>
        <v/>
      </c>
      <c r="Y204" s="40" t="str">
        <f>IF($X204="","",IF(Config!$B$17=Config!$B$16,IF($X204&gt;=Config!$B$17,100,0),MAX(0,MIN(100,($X204-Config!$B$16)/(Config!$B$17-Config!$B$16)*100))))</f>
        <v/>
      </c>
      <c r="Z204" s="40">
        <f>IF($M204="Elite",Config!$B$21,0)</f>
        <v>0</v>
      </c>
      <c r="AA204" s="40" t="str">
        <f>IFERROR(IF(OR($W204="",$H204=""),"",IF($W204&gt;$H204,
  MAX(0, 60-(($W204-$H204)*24/Config!$B$19)*60),
  MIN(100, 60+(($H204-$W204)*24/Config!$B$20)*40)
)),"")
</f>
        <v/>
      </c>
      <c r="AB204" s="40" t="str">
        <f>IF($K204="","",IFERROR(VLOOKUP($K204,Grinders!$A$4:$N$998,10,FALSE)/5*100,""))</f>
        <v/>
      </c>
      <c r="AC204" s="40" t="str">
        <f>IF($K204="","",IFERROR(VLOOKUP($K204,Grinders!$A$4:$N$998,11,FALSE)*100,""))</f>
        <v/>
      </c>
      <c r="AD204" s="40" t="str">
        <f>IF($K204="","",IFERROR(VLOOKUP($K204,Grinders!$A$4:$N$998,12,FALSE)*100,""))</f>
        <v/>
      </c>
      <c r="AE204" s="40" t="str">
        <f>IF(OR(AO204=1,AP204=1),0,=IFERROR(IFS(
    OR($C204="", $K204=""), 0,
    $F204=0, 0,
    $D204&lt;&gt;"Open", 0,
    COUNTIFS(GrinderServices!$A$6:$A$1000, $K204, GrinderServices!$B$6:$B$1000, $E204, GrinderServices!$D$6:$D$1000, "Y")=0, 0,
    $X204&lt;Config!$B$16, 0,
    Config!$B$18=1, IF($O204&gt;=N204, 0, 1),
    TRUE, 1
), "")
)</f>
        <v>#ERROR!</v>
      </c>
      <c r="AF204" s="40" t="str">
        <f>IFERROR((IF(OR(AO204=1,AP204=1),"",=IFERROR((IFERROR(IF($AE204=0,"",((Config!$B$6*$Y204 + Config!$B$7*$U204 + Config!$B$8*$Z204 + Config!$B$9*$AA204 + Config!$B$10*$AB204 + Config!$B$11*$AC204 - Config!$B$12*$AD204)/Config!$B$13)+$AK204+$AL204),""))*(1-IFERROR(VLOOKUP(K204,Grinders!$A:$AB, 28, FALSE),0)),"")))*(1+AR204),"")</f>
        <v>#ERROR!</v>
      </c>
      <c r="AG204" s="40" t="str">
        <f t="shared" si="6"/>
        <v>#ERROR!</v>
      </c>
      <c r="AH204" s="40" t="str">
        <f t="shared" si="7"/>
        <v/>
      </c>
      <c r="AI204" s="40" t="str">
        <f t="shared" si="8"/>
        <v/>
      </c>
      <c r="AJ204" s="40" t="str">
        <f>IF($K204="","",COUNTIF(Assignments!$B$6:$B$1000,$K204))</f>
        <v/>
      </c>
      <c r="AK204" s="40" t="str">
        <f>IF($K204="","",IF(AND($AJ204=0,$O204&lt;$N204),Config!$B$43,0))</f>
        <v/>
      </c>
      <c r="AL204" s="40" t="str">
        <f>IF($K204="","",IF(AND($M204="Elite",$G204&gt;=Config!$B$41,$O204&lt;$N204),Config!$B$42,0))</f>
        <v/>
      </c>
      <c r="AM204" s="22"/>
      <c r="AN204" s="39">
        <f>IFERROR(VLOOKUP(K204,Grinders!$A:$Q,28,FALSE),0)</f>
        <v>0</v>
      </c>
      <c r="AO204" s="39">
        <f>IF(Config!$B$1003&lt;&gt;"Y",0,IF(IFERROR(VLOOKUP(K204,Grinders!$A:$P,27,FALSE),0)&gt;=3,IF(OR(G204&gt;=Config!$B$1001,ISNUMBER(SEARCH(E204,Config!$B$1002))),1,0),0))</f>
        <v>0</v>
      </c>
      <c r="AP204" s="39">
        <f t="array" ref="AP204">IFERROR(IF(INDEX(Bids!$AE:$AE,MATCH(B204,Bids!$A:$A,0))="Pending",1,0),0)</f>
        <v>0</v>
      </c>
      <c r="AQ204" s="39" t="str">
        <f t="array" ref="AQ204">IF(C204="","",IFERROR(XLOOKUP(C204,Assignments!$C:$C,Assignments!$AU:$AU,0),0))</f>
        <v/>
      </c>
      <c r="AR204" s="39">
        <f>IF(AND(Config!$B$1006="Y",AQ204=1),Config!$B$1007,0)</f>
        <v>0</v>
      </c>
    </row>
    <row r="205" ht="15.75" customHeight="1">
      <c r="A205" s="46" t="str">
        <f t="shared" si="1"/>
        <v/>
      </c>
      <c r="B205" s="40" t="str">
        <f>IF(Bids!$A204="","",Bids!$A204)</f>
        <v/>
      </c>
      <c r="C205" s="40" t="str">
        <f>IF(Bids!$B204="","",Bids!$B204)</f>
        <v/>
      </c>
      <c r="D205" s="40" t="str">
        <f>IF($C205="","",IFERROR(VLOOKUP($C205,Orders!$A$4:$J$998,9,FALSE),""))</f>
        <v/>
      </c>
      <c r="E205" s="40" t="str">
        <f>IF($C205="","",IFERROR(VLOOKUP($C205,Orders!$A$4:$J$998,3,FALSE),""))</f>
        <v/>
      </c>
      <c r="F205" s="40">
        <f t="shared" si="2"/>
        <v>1</v>
      </c>
      <c r="G205" s="40" t="str">
        <f>IF($C205="","",IFERROR(VLOOKUP($C205,Orders!$A$4:$J$998,4,FALSE),""))</f>
        <v/>
      </c>
      <c r="H205" s="40" t="str">
        <f>IF($C205="","",IFERROR(VLOOKUP($C205,Orders!$A$4:$J$998,5,FALSE),""))</f>
        <v/>
      </c>
      <c r="I205" s="40" t="str">
        <f>IF($C205="","",IFERROR(VLOOKUP($C205,Orders!$A$4:$J$998,6,FALSE),""))</f>
        <v/>
      </c>
      <c r="J205" s="40" t="str">
        <f>IF($C205="","",IFERROR(VLOOKUP($C205,Orders!$A$4:$J$998,7,FALSE),""))</f>
        <v/>
      </c>
      <c r="K205" s="40" t="str">
        <f>IF(Bids!$C204="","",Bids!$C204)</f>
        <v/>
      </c>
      <c r="L205" s="40" t="str">
        <f>IF($K205="","",IFERROR(VLOOKUP($K205,Grinders!$A$4:$N$998,2,FALSE),""))</f>
        <v/>
      </c>
      <c r="M205" s="40" t="str">
        <f>IF($K205="","",IFERROR(VLOOKUP($K205,Grinders!$A$4:$N$998,3,FALSE),""))</f>
        <v/>
      </c>
      <c r="N205" s="40" t="str">
        <f>IF($K205="","",IFERROR(VLOOKUP($K205,Grinders!$A$4:$N$998,4,FALSE),""))</f>
        <v/>
      </c>
      <c r="O205" s="40" t="str">
        <f>IF($K205="","",IFERROR(VLOOKUP($K205,Grinders!$A$4:$N$998,5,FALSE),""))</f>
        <v/>
      </c>
      <c r="P205" s="40" t="str">
        <f>IF($K205="","",IF($C$4="",0,COUNTIFS(Assignments!$B$6:$B$1000,$K205,Assignments!$F$6:$F$1000,$C$4,Assignments!$E$6:$E$1000,"Active")))</f>
        <v/>
      </c>
      <c r="Q205" s="40" t="str">
        <f t="shared" si="3"/>
        <v/>
      </c>
      <c r="R205" s="40" t="str">
        <f t="shared" si="4"/>
        <v/>
      </c>
      <c r="S205" s="40" t="str">
        <f>IF($K205="","",IF($C$4="",0,COUNTIFS(Assignments!$B$6:$B$1000,$K205,Assignments!$F$6:$F$1000,$C$4,Assignments!$D$6:$D$1000,"&gt;="&amp;Config!$B$3-7,Assignments!$D$6:$D$1000,"&lt;="&amp;Config!$B$3)))</f>
        <v/>
      </c>
      <c r="T205" s="40" t="str">
        <f>IF($K205="","",IFERROR(VLOOKUP($K205,Grinders!$A$4:$N$998,8,FALSE),""))</f>
        <v/>
      </c>
      <c r="U205" s="40" t="str">
        <f>IFERROR(IF($K205="","",IF($M205="Elite",MAX(50,MIN(100,Config!$B$27*MAX(0,MIN(100,(1-IF($R205="",0,$R205))*100)) + Config!$B$28*MAX(0,MIN(100,(1-MIN(1,IF(Config!$B$30=0,1,$S205/Config!$B$30)))*100)) + Config!$B$29*MAX(0,MIN(100,MIN(1,IF($T205="",0,$T205)/Config!$B$23)*100)))),MIN(100,Config!$B$27*MAX(0,MIN(100,(1-IF($R205="",0,$R205))*100)) + Config!$B$28*MAX(0,MIN(100,(1-MIN(1,IF(Config!$B$30=0,1,$S205/Config!$B$30)))*100)) + Config!$B$29*MAX(0,MIN(100,MIN(1,IF($T205="",0,$T205)/Config!$B$23)*100))))),"")
</f>
        <v/>
      </c>
      <c r="V205" s="40" t="str">
        <f>IF(Bids!$AC205="","",Bids!$AC205)</f>
        <v/>
      </c>
      <c r="W205" s="40" t="str">
        <f>IF(Bids!$F204="","",Bids!$F204)</f>
        <v/>
      </c>
      <c r="X205" s="40" t="str">
        <f t="shared" si="5"/>
        <v/>
      </c>
      <c r="Y205" s="40" t="str">
        <f>IF($X205="","",IF(Config!$B$17=Config!$B$16,IF($X205&gt;=Config!$B$17,100,0),MAX(0,MIN(100,($X205-Config!$B$16)/(Config!$B$17-Config!$B$16)*100))))</f>
        <v/>
      </c>
      <c r="Z205" s="40">
        <f>IF($M205="Elite",Config!$B$21,0)</f>
        <v>0</v>
      </c>
      <c r="AA205" s="40" t="str">
        <f>IFERROR(IF(OR($W205="",$H205=""),"",IF($W205&gt;$H205,
  MAX(0, 60-(($W205-$H205)*24/Config!$B$19)*60),
  MIN(100, 60+(($H205-$W205)*24/Config!$B$20)*40)
)),"")
</f>
        <v/>
      </c>
      <c r="AB205" s="40" t="str">
        <f>IF($K205="","",IFERROR(VLOOKUP($K205,Grinders!$A$4:$N$998,10,FALSE)/5*100,""))</f>
        <v/>
      </c>
      <c r="AC205" s="40" t="str">
        <f>IF($K205="","",IFERROR(VLOOKUP($K205,Grinders!$A$4:$N$998,11,FALSE)*100,""))</f>
        <v/>
      </c>
      <c r="AD205" s="40" t="str">
        <f>IF($K205="","",IFERROR(VLOOKUP($K205,Grinders!$A$4:$N$998,12,FALSE)*100,""))</f>
        <v/>
      </c>
      <c r="AE205" s="40" t="str">
        <f>IF(OR(AO205=1,AP205=1),0,=IFERROR(IFS(
    OR($C205="", $K205=""), 0,
    $F205=0, 0,
    $D205&lt;&gt;"Open", 0,
    COUNTIFS(GrinderServices!$A$6:$A$1000, $K205, GrinderServices!$B$6:$B$1000, $E205, GrinderServices!$D$6:$D$1000, "Y")=0, 0,
    $X205&lt;Config!$B$16, 0,
    Config!$B$18=1, IF($O205&gt;=N205, 0, 1),
    TRUE, 1
), "")
)</f>
        <v>#ERROR!</v>
      </c>
      <c r="AF205" s="40" t="str">
        <f>IFERROR((IF(OR(AO205=1,AP205=1),"",=IFERROR((IFERROR(IF($AE205=0,"",((Config!$B$6*$Y205 + Config!$B$7*$U205 + Config!$B$8*$Z205 + Config!$B$9*$AA205 + Config!$B$10*$AB205 + Config!$B$11*$AC205 - Config!$B$12*$AD205)/Config!$B$13)+$AK205+$AL205),""))*(1-IFERROR(VLOOKUP(K205,Grinders!$A:$AB, 28, FALSE),0)),"")))*(1+AR205),"")</f>
        <v>#ERROR!</v>
      </c>
      <c r="AG205" s="40" t="str">
        <f t="shared" si="6"/>
        <v>#ERROR!</v>
      </c>
      <c r="AH205" s="40" t="str">
        <f t="shared" si="7"/>
        <v/>
      </c>
      <c r="AI205" s="40" t="str">
        <f t="shared" si="8"/>
        <v/>
      </c>
      <c r="AJ205" s="40" t="str">
        <f>IF($K205="","",COUNTIF(Assignments!$B$6:$B$1000,$K205))</f>
        <v/>
      </c>
      <c r="AK205" s="40" t="str">
        <f>IF($K205="","",IF(AND($AJ205=0,$O205&lt;$N205),Config!$B$43,0))</f>
        <v/>
      </c>
      <c r="AL205" s="40" t="str">
        <f>IF($K205="","",IF(AND($M205="Elite",$G205&gt;=Config!$B$41,$O205&lt;$N205),Config!$B$42,0))</f>
        <v/>
      </c>
      <c r="AM205" s="22"/>
      <c r="AN205" s="39">
        <f>IFERROR(VLOOKUP(K205,Grinders!$A:$Q,28,FALSE),0)</f>
        <v>0</v>
      </c>
      <c r="AO205" s="39">
        <f>IF(Config!$B$1003&lt;&gt;"Y",0,IF(IFERROR(VLOOKUP(K205,Grinders!$A:$P,27,FALSE),0)&gt;=3,IF(OR(G205&gt;=Config!$B$1001,ISNUMBER(SEARCH(E205,Config!$B$1002))),1,0),0))</f>
        <v>0</v>
      </c>
      <c r="AP205" s="39">
        <f t="array" ref="AP205">IFERROR(IF(INDEX(Bids!$AE:$AE,MATCH(B205,Bids!$A:$A,0))="Pending",1,0),0)</f>
        <v>0</v>
      </c>
      <c r="AQ205" s="39" t="str">
        <f t="array" ref="AQ205">IF(C205="","",IFERROR(XLOOKUP(C205,Assignments!$C:$C,Assignments!$AU:$AU,0),0))</f>
        <v/>
      </c>
      <c r="AR205" s="39">
        <f>IF(AND(Config!$B$1006="Y",AQ205=1),Config!$B$1007,0)</f>
        <v>0</v>
      </c>
    </row>
    <row r="206" ht="15.75" customHeight="1">
      <c r="A206" s="46" t="str">
        <f t="shared" si="1"/>
        <v/>
      </c>
      <c r="B206" s="40" t="str">
        <f>IF(Bids!$A205="","",Bids!$A205)</f>
        <v/>
      </c>
      <c r="C206" s="40" t="str">
        <f>IF(Bids!$B205="","",Bids!$B205)</f>
        <v/>
      </c>
      <c r="D206" s="40" t="str">
        <f>IF($C206="","",IFERROR(VLOOKUP($C206,Orders!$A$4:$J$998,9,FALSE),""))</f>
        <v/>
      </c>
      <c r="E206" s="40" t="str">
        <f>IF($C206="","",IFERROR(VLOOKUP($C206,Orders!$A$4:$J$998,3,FALSE),""))</f>
        <v/>
      </c>
      <c r="F206" s="40">
        <f t="shared" si="2"/>
        <v>1</v>
      </c>
      <c r="G206" s="40" t="str">
        <f>IF($C206="","",IFERROR(VLOOKUP($C206,Orders!$A$4:$J$998,4,FALSE),""))</f>
        <v/>
      </c>
      <c r="H206" s="40" t="str">
        <f>IF($C206="","",IFERROR(VLOOKUP($C206,Orders!$A$4:$J$998,5,FALSE),""))</f>
        <v/>
      </c>
      <c r="I206" s="40" t="str">
        <f>IF($C206="","",IFERROR(VLOOKUP($C206,Orders!$A$4:$J$998,6,FALSE),""))</f>
        <v/>
      </c>
      <c r="J206" s="40" t="str">
        <f>IF($C206="","",IFERROR(VLOOKUP($C206,Orders!$A$4:$J$998,7,FALSE),""))</f>
        <v/>
      </c>
      <c r="K206" s="40" t="str">
        <f>IF(Bids!$C205="","",Bids!$C205)</f>
        <v/>
      </c>
      <c r="L206" s="40" t="str">
        <f>IF($K206="","",IFERROR(VLOOKUP($K206,Grinders!$A$4:$N$998,2,FALSE),""))</f>
        <v/>
      </c>
      <c r="M206" s="40" t="str">
        <f>IF($K206="","",IFERROR(VLOOKUP($K206,Grinders!$A$4:$N$998,3,FALSE),""))</f>
        <v/>
      </c>
      <c r="N206" s="40" t="str">
        <f>IF($K206="","",IFERROR(VLOOKUP($K206,Grinders!$A$4:$N$998,4,FALSE),""))</f>
        <v/>
      </c>
      <c r="O206" s="40" t="str">
        <f>IF($K206="","",IFERROR(VLOOKUP($K206,Grinders!$A$4:$N$998,5,FALSE),""))</f>
        <v/>
      </c>
      <c r="P206" s="40" t="str">
        <f>IF($K206="","",IF($C$4="",0,COUNTIFS(Assignments!$B$6:$B$1000,$K206,Assignments!$F$6:$F$1000,$C$4,Assignments!$E$6:$E$1000,"Active")))</f>
        <v/>
      </c>
      <c r="Q206" s="40" t="str">
        <f t="shared" si="3"/>
        <v/>
      </c>
      <c r="R206" s="40" t="str">
        <f t="shared" si="4"/>
        <v/>
      </c>
      <c r="S206" s="40" t="str">
        <f>IF($K206="","",IF($C$4="",0,COUNTIFS(Assignments!$B$6:$B$1000,$K206,Assignments!$F$6:$F$1000,$C$4,Assignments!$D$6:$D$1000,"&gt;="&amp;Config!$B$3-7,Assignments!$D$6:$D$1000,"&lt;="&amp;Config!$B$3)))</f>
        <v/>
      </c>
      <c r="T206" s="40" t="str">
        <f>IF($K206="","",IFERROR(VLOOKUP($K206,Grinders!$A$4:$N$998,8,FALSE),""))</f>
        <v/>
      </c>
      <c r="U206" s="40" t="str">
        <f>IFERROR(IF($K206="","",IF($M206="Elite",MAX(50,MIN(100,Config!$B$27*MAX(0,MIN(100,(1-IF($R206="",0,$R206))*100)) + Config!$B$28*MAX(0,MIN(100,(1-MIN(1,IF(Config!$B$30=0,1,$S206/Config!$B$30)))*100)) + Config!$B$29*MAX(0,MIN(100,MIN(1,IF($T206="",0,$T206)/Config!$B$23)*100)))),MIN(100,Config!$B$27*MAX(0,MIN(100,(1-IF($R206="",0,$R206))*100)) + Config!$B$28*MAX(0,MIN(100,(1-MIN(1,IF(Config!$B$30=0,1,$S206/Config!$B$30)))*100)) + Config!$B$29*MAX(0,MIN(100,MIN(1,IF($T206="",0,$T206)/Config!$B$23)*100))))),"")
</f>
        <v/>
      </c>
      <c r="V206" s="40" t="str">
        <f>IF(Bids!$AC206="","",Bids!$AC206)</f>
        <v/>
      </c>
      <c r="W206" s="40" t="str">
        <f>IF(Bids!$F205="","",Bids!$F205)</f>
        <v/>
      </c>
      <c r="X206" s="40" t="str">
        <f t="shared" si="5"/>
        <v/>
      </c>
      <c r="Y206" s="40" t="str">
        <f>IF($X206="","",IF(Config!$B$17=Config!$B$16,IF($X206&gt;=Config!$B$17,100,0),MAX(0,MIN(100,($X206-Config!$B$16)/(Config!$B$17-Config!$B$16)*100))))</f>
        <v/>
      </c>
      <c r="Z206" s="40">
        <f>IF($M206="Elite",Config!$B$21,0)</f>
        <v>0</v>
      </c>
      <c r="AA206" s="40" t="str">
        <f>IFERROR(IF(OR($W206="",$H206=""),"",IF($W206&gt;$H206,
  MAX(0, 60-(($W206-$H206)*24/Config!$B$19)*60),
  MIN(100, 60+(($H206-$W206)*24/Config!$B$20)*40)
)),"")
</f>
        <v/>
      </c>
      <c r="AB206" s="40" t="str">
        <f>IF($K206="","",IFERROR(VLOOKUP($K206,Grinders!$A$4:$N$998,10,FALSE)/5*100,""))</f>
        <v/>
      </c>
      <c r="AC206" s="40" t="str">
        <f>IF($K206="","",IFERROR(VLOOKUP($K206,Grinders!$A$4:$N$998,11,FALSE)*100,""))</f>
        <v/>
      </c>
      <c r="AD206" s="40" t="str">
        <f>IF($K206="","",IFERROR(VLOOKUP($K206,Grinders!$A$4:$N$998,12,FALSE)*100,""))</f>
        <v/>
      </c>
      <c r="AE206" s="40" t="str">
        <f>IF(OR(AO206=1,AP206=1),0,=IFERROR(IFS(
    OR($C206="", $K206=""), 0,
    $F206=0, 0,
    $D206&lt;&gt;"Open", 0,
    COUNTIFS(GrinderServices!$A$6:$A$1000, $K206, GrinderServices!$B$6:$B$1000, $E206, GrinderServices!$D$6:$D$1000, "Y")=0, 0,
    $X206&lt;Config!$B$16, 0,
    Config!$B$18=1, IF($O206&gt;=N206, 0, 1),
    TRUE, 1
), "")
)</f>
        <v>#ERROR!</v>
      </c>
      <c r="AF206" s="40" t="str">
        <f>IFERROR((IF(OR(AO206=1,AP206=1),"",=IFERROR((IFERROR(IF($AE206=0,"",((Config!$B$6*$Y206 + Config!$B$7*$U206 + Config!$B$8*$Z206 + Config!$B$9*$AA206 + Config!$B$10*$AB206 + Config!$B$11*$AC206 - Config!$B$12*$AD206)/Config!$B$13)+$AK206+$AL206),""))*(1-IFERROR(VLOOKUP(K206,Grinders!$A:$AB, 28, FALSE),0)),"")))*(1+AR206),"")</f>
        <v>#ERROR!</v>
      </c>
      <c r="AG206" s="40" t="str">
        <f t="shared" si="6"/>
        <v>#ERROR!</v>
      </c>
      <c r="AH206" s="40" t="str">
        <f t="shared" si="7"/>
        <v/>
      </c>
      <c r="AI206" s="40" t="str">
        <f t="shared" si="8"/>
        <v/>
      </c>
      <c r="AJ206" s="40" t="str">
        <f>IF($K206="","",COUNTIF(Assignments!$B$6:$B$1000,$K206))</f>
        <v/>
      </c>
      <c r="AK206" s="40" t="str">
        <f>IF($K206="","",IF(AND($AJ206=0,$O206&lt;$N206),Config!$B$43,0))</f>
        <v/>
      </c>
      <c r="AL206" s="40" t="str">
        <f>IF($K206="","",IF(AND($M206="Elite",$G206&gt;=Config!$B$41,$O206&lt;$N206),Config!$B$42,0))</f>
        <v/>
      </c>
      <c r="AM206" s="22"/>
      <c r="AN206" s="39">
        <f>IFERROR(VLOOKUP(K206,Grinders!$A:$Q,28,FALSE),0)</f>
        <v>0</v>
      </c>
      <c r="AO206" s="39">
        <f>IF(Config!$B$1003&lt;&gt;"Y",0,IF(IFERROR(VLOOKUP(K206,Grinders!$A:$P,27,FALSE),0)&gt;=3,IF(OR(G206&gt;=Config!$B$1001,ISNUMBER(SEARCH(E206,Config!$B$1002))),1,0),0))</f>
        <v>0</v>
      </c>
      <c r="AP206" s="39">
        <f t="array" ref="AP206">IFERROR(IF(INDEX(Bids!$AE:$AE,MATCH(B206,Bids!$A:$A,0))="Pending",1,0),0)</f>
        <v>0</v>
      </c>
      <c r="AQ206" s="39" t="str">
        <f t="array" ref="AQ206">IF(C206="","",IFERROR(XLOOKUP(C206,Assignments!$C:$C,Assignments!$AU:$AU,0),0))</f>
        <v/>
      </c>
      <c r="AR206" s="39">
        <f>IF(AND(Config!$B$1006="Y",AQ206=1),Config!$B$1007,0)</f>
        <v>0</v>
      </c>
    </row>
    <row r="207" ht="15.75" customHeight="1">
      <c r="A207" s="46" t="str">
        <f t="shared" si="1"/>
        <v/>
      </c>
      <c r="B207" s="40" t="str">
        <f>IF(Bids!$A206="","",Bids!$A206)</f>
        <v/>
      </c>
      <c r="C207" s="40" t="str">
        <f>IF(Bids!$B206="","",Bids!$B206)</f>
        <v/>
      </c>
      <c r="D207" s="40" t="str">
        <f>IF($C207="","",IFERROR(VLOOKUP($C207,Orders!$A$4:$J$998,9,FALSE),""))</f>
        <v/>
      </c>
      <c r="E207" s="40" t="str">
        <f>IF($C207="","",IFERROR(VLOOKUP($C207,Orders!$A$4:$J$998,3,FALSE),""))</f>
        <v/>
      </c>
      <c r="F207" s="40">
        <f t="shared" si="2"/>
        <v>1</v>
      </c>
      <c r="G207" s="40" t="str">
        <f>IF($C207="","",IFERROR(VLOOKUP($C207,Orders!$A$4:$J$998,4,FALSE),""))</f>
        <v/>
      </c>
      <c r="H207" s="40" t="str">
        <f>IF($C207="","",IFERROR(VLOOKUP($C207,Orders!$A$4:$J$998,5,FALSE),""))</f>
        <v/>
      </c>
      <c r="I207" s="40" t="str">
        <f>IF($C207="","",IFERROR(VLOOKUP($C207,Orders!$A$4:$J$998,6,FALSE),""))</f>
        <v/>
      </c>
      <c r="J207" s="40" t="str">
        <f>IF($C207="","",IFERROR(VLOOKUP($C207,Orders!$A$4:$J$998,7,FALSE),""))</f>
        <v/>
      </c>
      <c r="K207" s="40" t="str">
        <f>IF(Bids!$C206="","",Bids!$C206)</f>
        <v/>
      </c>
      <c r="L207" s="40" t="str">
        <f>IF($K207="","",IFERROR(VLOOKUP($K207,Grinders!$A$4:$N$998,2,FALSE),""))</f>
        <v/>
      </c>
      <c r="M207" s="40" t="str">
        <f>IF($K207="","",IFERROR(VLOOKUP($K207,Grinders!$A$4:$N$998,3,FALSE),""))</f>
        <v/>
      </c>
      <c r="N207" s="40" t="str">
        <f>IF($K207="","",IFERROR(VLOOKUP($K207,Grinders!$A$4:$N$998,4,FALSE),""))</f>
        <v/>
      </c>
      <c r="O207" s="40" t="str">
        <f>IF($K207="","",IFERROR(VLOOKUP($K207,Grinders!$A$4:$N$998,5,FALSE),""))</f>
        <v/>
      </c>
      <c r="P207" s="40" t="str">
        <f>IF($K207="","",IF($C$4="",0,COUNTIFS(Assignments!$B$6:$B$1000,$K207,Assignments!$F$6:$F$1000,$C$4,Assignments!$E$6:$E$1000,"Active")))</f>
        <v/>
      </c>
      <c r="Q207" s="40" t="str">
        <f t="shared" si="3"/>
        <v/>
      </c>
      <c r="R207" s="40" t="str">
        <f t="shared" si="4"/>
        <v/>
      </c>
      <c r="S207" s="40" t="str">
        <f>IF($K207="","",IF($C$4="",0,COUNTIFS(Assignments!$B$6:$B$1000,$K207,Assignments!$F$6:$F$1000,$C$4,Assignments!$D$6:$D$1000,"&gt;="&amp;Config!$B$3-7,Assignments!$D$6:$D$1000,"&lt;="&amp;Config!$B$3)))</f>
        <v/>
      </c>
      <c r="T207" s="40" t="str">
        <f>IF($K207="","",IFERROR(VLOOKUP($K207,Grinders!$A$4:$N$998,8,FALSE),""))</f>
        <v/>
      </c>
      <c r="U207" s="40" t="str">
        <f>IFERROR(IF($K207="","",IF($M207="Elite",MAX(50,MIN(100,Config!$B$27*MAX(0,MIN(100,(1-IF($R207="",0,$R207))*100)) + Config!$B$28*MAX(0,MIN(100,(1-MIN(1,IF(Config!$B$30=0,1,$S207/Config!$B$30)))*100)) + Config!$B$29*MAX(0,MIN(100,MIN(1,IF($T207="",0,$T207)/Config!$B$23)*100)))),MIN(100,Config!$B$27*MAX(0,MIN(100,(1-IF($R207="",0,$R207))*100)) + Config!$B$28*MAX(0,MIN(100,(1-MIN(1,IF(Config!$B$30=0,1,$S207/Config!$B$30)))*100)) + Config!$B$29*MAX(0,MIN(100,MIN(1,IF($T207="",0,$T207)/Config!$B$23)*100))))),"")
</f>
        <v/>
      </c>
      <c r="V207" s="40" t="str">
        <f>IF(Bids!$AC207="","",Bids!$AC207)</f>
        <v/>
      </c>
      <c r="W207" s="40" t="str">
        <f>IF(Bids!$F206="","",Bids!$F206)</f>
        <v/>
      </c>
      <c r="X207" s="40" t="str">
        <f t="shared" si="5"/>
        <v/>
      </c>
      <c r="Y207" s="40" t="str">
        <f>IF($X207="","",IF(Config!$B$17=Config!$B$16,IF($X207&gt;=Config!$B$17,100,0),MAX(0,MIN(100,($X207-Config!$B$16)/(Config!$B$17-Config!$B$16)*100))))</f>
        <v/>
      </c>
      <c r="Z207" s="40">
        <f>IF($M207="Elite",Config!$B$21,0)</f>
        <v>0</v>
      </c>
      <c r="AA207" s="40" t="str">
        <f>IFERROR(IF(OR($W207="",$H207=""),"",IF($W207&gt;$H207,
  MAX(0, 60-(($W207-$H207)*24/Config!$B$19)*60),
  MIN(100, 60+(($H207-$W207)*24/Config!$B$20)*40)
)),"")
</f>
        <v/>
      </c>
      <c r="AB207" s="40" t="str">
        <f>IF($K207="","",IFERROR(VLOOKUP($K207,Grinders!$A$4:$N$998,10,FALSE)/5*100,""))</f>
        <v/>
      </c>
      <c r="AC207" s="40" t="str">
        <f>IF($K207="","",IFERROR(VLOOKUP($K207,Grinders!$A$4:$N$998,11,FALSE)*100,""))</f>
        <v/>
      </c>
      <c r="AD207" s="40" t="str">
        <f>IF($K207="","",IFERROR(VLOOKUP($K207,Grinders!$A$4:$N$998,12,FALSE)*100,""))</f>
        <v/>
      </c>
      <c r="AE207" s="40" t="str">
        <f>IF(OR(AO207=1,AP207=1),0,=IFERROR(IFS(
    OR($C207="", $K207=""), 0,
    $F207=0, 0,
    $D207&lt;&gt;"Open", 0,
    COUNTIFS(GrinderServices!$A$6:$A$1000, $K207, GrinderServices!$B$6:$B$1000, $E207, GrinderServices!$D$6:$D$1000, "Y")=0, 0,
    $X207&lt;Config!$B$16, 0,
    Config!$B$18=1, IF($O207&gt;=N207, 0, 1),
    TRUE, 1
), "")
)</f>
        <v>#ERROR!</v>
      </c>
      <c r="AF207" s="40" t="str">
        <f>IFERROR((IF(OR(AO207=1,AP207=1),"",=IFERROR((IFERROR(IF($AE207=0,"",((Config!$B$6*$Y207 + Config!$B$7*$U207 + Config!$B$8*$Z207 + Config!$B$9*$AA207 + Config!$B$10*$AB207 + Config!$B$11*$AC207 - Config!$B$12*$AD207)/Config!$B$13)+$AK207+$AL207),""))*(1-IFERROR(VLOOKUP(K207,Grinders!$A:$AB, 28, FALSE),0)),"")))*(1+AR207),"")</f>
        <v>#ERROR!</v>
      </c>
      <c r="AG207" s="40" t="str">
        <f t="shared" si="6"/>
        <v>#ERROR!</v>
      </c>
      <c r="AH207" s="40" t="str">
        <f t="shared" si="7"/>
        <v/>
      </c>
      <c r="AI207" s="40" t="str">
        <f t="shared" si="8"/>
        <v/>
      </c>
      <c r="AJ207" s="40" t="str">
        <f>IF($K207="","",COUNTIF(Assignments!$B$6:$B$1000,$K207))</f>
        <v/>
      </c>
      <c r="AK207" s="40" t="str">
        <f>IF($K207="","",IF(AND($AJ207=0,$O207&lt;$N207),Config!$B$43,0))</f>
        <v/>
      </c>
      <c r="AL207" s="40" t="str">
        <f>IF($K207="","",IF(AND($M207="Elite",$G207&gt;=Config!$B$41,$O207&lt;$N207),Config!$B$42,0))</f>
        <v/>
      </c>
      <c r="AM207" s="22"/>
      <c r="AN207" s="39">
        <f>IFERROR(VLOOKUP(K207,Grinders!$A:$Q,28,FALSE),0)</f>
        <v>0</v>
      </c>
      <c r="AO207" s="39">
        <f>IF(Config!$B$1003&lt;&gt;"Y",0,IF(IFERROR(VLOOKUP(K207,Grinders!$A:$P,27,FALSE),0)&gt;=3,IF(OR(G207&gt;=Config!$B$1001,ISNUMBER(SEARCH(E207,Config!$B$1002))),1,0),0))</f>
        <v>0</v>
      </c>
      <c r="AP207" s="39">
        <f t="array" ref="AP207">IFERROR(IF(INDEX(Bids!$AE:$AE,MATCH(B207,Bids!$A:$A,0))="Pending",1,0),0)</f>
        <v>0</v>
      </c>
      <c r="AQ207" s="39" t="str">
        <f t="array" ref="AQ207">IF(C207="","",IFERROR(XLOOKUP(C207,Assignments!$C:$C,Assignments!$AU:$AU,0),0))</f>
        <v/>
      </c>
      <c r="AR207" s="39">
        <f>IF(AND(Config!$B$1006="Y",AQ207=1),Config!$B$1007,0)</f>
        <v>0</v>
      </c>
    </row>
    <row r="208" ht="15.75" customHeight="1">
      <c r="A208" s="46" t="str">
        <f t="shared" si="1"/>
        <v/>
      </c>
      <c r="B208" s="40" t="str">
        <f>IF(Bids!$A207="","",Bids!$A207)</f>
        <v/>
      </c>
      <c r="C208" s="40" t="str">
        <f>IF(Bids!$B207="","",Bids!$B207)</f>
        <v/>
      </c>
      <c r="D208" s="40" t="str">
        <f>IF($C208="","",IFERROR(VLOOKUP($C208,Orders!$A$4:$J$998,9,FALSE),""))</f>
        <v/>
      </c>
      <c r="E208" s="40" t="str">
        <f>IF($C208="","",IFERROR(VLOOKUP($C208,Orders!$A$4:$J$998,3,FALSE),""))</f>
        <v/>
      </c>
      <c r="F208" s="40">
        <f t="shared" si="2"/>
        <v>1</v>
      </c>
      <c r="G208" s="40" t="str">
        <f>IF($C208="","",IFERROR(VLOOKUP($C208,Orders!$A$4:$J$998,4,FALSE),""))</f>
        <v/>
      </c>
      <c r="H208" s="40" t="str">
        <f>IF($C208="","",IFERROR(VLOOKUP($C208,Orders!$A$4:$J$998,5,FALSE),""))</f>
        <v/>
      </c>
      <c r="I208" s="40" t="str">
        <f>IF($C208="","",IFERROR(VLOOKUP($C208,Orders!$A$4:$J$998,6,FALSE),""))</f>
        <v/>
      </c>
      <c r="J208" s="40" t="str">
        <f>IF($C208="","",IFERROR(VLOOKUP($C208,Orders!$A$4:$J$998,7,FALSE),""))</f>
        <v/>
      </c>
      <c r="K208" s="40" t="str">
        <f>IF(Bids!$C207="","",Bids!$C207)</f>
        <v/>
      </c>
      <c r="L208" s="40" t="str">
        <f>IF($K208="","",IFERROR(VLOOKUP($K208,Grinders!$A$4:$N$998,2,FALSE),""))</f>
        <v/>
      </c>
      <c r="M208" s="40" t="str">
        <f>IF($K208="","",IFERROR(VLOOKUP($K208,Grinders!$A$4:$N$998,3,FALSE),""))</f>
        <v/>
      </c>
      <c r="N208" s="40" t="str">
        <f>IF($K208="","",IFERROR(VLOOKUP($K208,Grinders!$A$4:$N$998,4,FALSE),""))</f>
        <v/>
      </c>
      <c r="O208" s="40" t="str">
        <f>IF($K208="","",IFERROR(VLOOKUP($K208,Grinders!$A$4:$N$998,5,FALSE),""))</f>
        <v/>
      </c>
      <c r="P208" s="40" t="str">
        <f>IF($K208="","",IF($C$4="",0,COUNTIFS(Assignments!$B$6:$B$1000,$K208,Assignments!$F$6:$F$1000,$C$4,Assignments!$E$6:$E$1000,"Active")))</f>
        <v/>
      </c>
      <c r="Q208" s="40" t="str">
        <f t="shared" si="3"/>
        <v/>
      </c>
      <c r="R208" s="40" t="str">
        <f t="shared" si="4"/>
        <v/>
      </c>
      <c r="S208" s="40" t="str">
        <f>IF($K208="","",IF($C$4="",0,COUNTIFS(Assignments!$B$6:$B$1000,$K208,Assignments!$F$6:$F$1000,$C$4,Assignments!$D$6:$D$1000,"&gt;="&amp;Config!$B$3-7,Assignments!$D$6:$D$1000,"&lt;="&amp;Config!$B$3)))</f>
        <v/>
      </c>
      <c r="T208" s="40" t="str">
        <f>IF($K208="","",IFERROR(VLOOKUP($K208,Grinders!$A$4:$N$998,8,FALSE),""))</f>
        <v/>
      </c>
      <c r="U208" s="40" t="str">
        <f>IFERROR(IF($K208="","",IF($M208="Elite",MAX(50,MIN(100,Config!$B$27*MAX(0,MIN(100,(1-IF($R208="",0,$R208))*100)) + Config!$B$28*MAX(0,MIN(100,(1-MIN(1,IF(Config!$B$30=0,1,$S208/Config!$B$30)))*100)) + Config!$B$29*MAX(0,MIN(100,MIN(1,IF($T208="",0,$T208)/Config!$B$23)*100)))),MIN(100,Config!$B$27*MAX(0,MIN(100,(1-IF($R208="",0,$R208))*100)) + Config!$B$28*MAX(0,MIN(100,(1-MIN(1,IF(Config!$B$30=0,1,$S208/Config!$B$30)))*100)) + Config!$B$29*MAX(0,MIN(100,MIN(1,IF($T208="",0,$T208)/Config!$B$23)*100))))),"")
</f>
        <v/>
      </c>
      <c r="V208" s="40" t="str">
        <f>IF(Bids!$AC208="","",Bids!$AC208)</f>
        <v/>
      </c>
      <c r="W208" s="40" t="str">
        <f>IF(Bids!$F207="","",Bids!$F207)</f>
        <v/>
      </c>
      <c r="X208" s="40" t="str">
        <f t="shared" si="5"/>
        <v/>
      </c>
      <c r="Y208" s="40" t="str">
        <f>IF($X208="","",IF(Config!$B$17=Config!$B$16,IF($X208&gt;=Config!$B$17,100,0),MAX(0,MIN(100,($X208-Config!$B$16)/(Config!$B$17-Config!$B$16)*100))))</f>
        <v/>
      </c>
      <c r="Z208" s="40">
        <f>IF($M208="Elite",Config!$B$21,0)</f>
        <v>0</v>
      </c>
      <c r="AA208" s="40" t="str">
        <f>IFERROR(IF(OR($W208="",$H208=""),"",IF($W208&gt;$H208,
  MAX(0, 60-(($W208-$H208)*24/Config!$B$19)*60),
  MIN(100, 60+(($H208-$W208)*24/Config!$B$20)*40)
)),"")
</f>
        <v/>
      </c>
      <c r="AB208" s="40" t="str">
        <f>IF($K208="","",IFERROR(VLOOKUP($K208,Grinders!$A$4:$N$998,10,FALSE)/5*100,""))</f>
        <v/>
      </c>
      <c r="AC208" s="40" t="str">
        <f>IF($K208="","",IFERROR(VLOOKUP($K208,Grinders!$A$4:$N$998,11,FALSE)*100,""))</f>
        <v/>
      </c>
      <c r="AD208" s="40" t="str">
        <f>IF($K208="","",IFERROR(VLOOKUP($K208,Grinders!$A$4:$N$998,12,FALSE)*100,""))</f>
        <v/>
      </c>
      <c r="AE208" s="40" t="str">
        <f>IF(OR(AO208=1,AP208=1),0,=IFERROR(IFS(
    OR($C208="", $K208=""), 0,
    $F208=0, 0,
    $D208&lt;&gt;"Open", 0,
    COUNTIFS(GrinderServices!$A$6:$A$1000, $K208, GrinderServices!$B$6:$B$1000, $E208, GrinderServices!$D$6:$D$1000, "Y")=0, 0,
    $X208&lt;Config!$B$16, 0,
    Config!$B$18=1, IF($O208&gt;=N208, 0, 1),
    TRUE, 1
), "")
)</f>
        <v>#ERROR!</v>
      </c>
      <c r="AF208" s="40" t="str">
        <f>IFERROR((IF(OR(AO208=1,AP208=1),"",=IFERROR((IFERROR(IF($AE208=0,"",((Config!$B$6*$Y208 + Config!$B$7*$U208 + Config!$B$8*$Z208 + Config!$B$9*$AA208 + Config!$B$10*$AB208 + Config!$B$11*$AC208 - Config!$B$12*$AD208)/Config!$B$13)+$AK208+$AL208),""))*(1-IFERROR(VLOOKUP(K208,Grinders!$A:$AB, 28, FALSE),0)),"")))*(1+AR208),"")</f>
        <v>#ERROR!</v>
      </c>
      <c r="AG208" s="40" t="str">
        <f t="shared" si="6"/>
        <v>#ERROR!</v>
      </c>
      <c r="AH208" s="40" t="str">
        <f t="shared" si="7"/>
        <v/>
      </c>
      <c r="AI208" s="40" t="str">
        <f t="shared" si="8"/>
        <v/>
      </c>
      <c r="AJ208" s="40" t="str">
        <f>IF($K208="","",COUNTIF(Assignments!$B$6:$B$1000,$K208))</f>
        <v/>
      </c>
      <c r="AK208" s="40" t="str">
        <f>IF($K208="","",IF(AND($AJ208=0,$O208&lt;$N208),Config!$B$43,0))</f>
        <v/>
      </c>
      <c r="AL208" s="40" t="str">
        <f>IF($K208="","",IF(AND($M208="Elite",$G208&gt;=Config!$B$41,$O208&lt;$N208),Config!$B$42,0))</f>
        <v/>
      </c>
      <c r="AM208" s="22"/>
      <c r="AN208" s="39">
        <f>IFERROR(VLOOKUP(K208,Grinders!$A:$Q,28,FALSE),0)</f>
        <v>0</v>
      </c>
      <c r="AO208" s="39">
        <f>IF(Config!$B$1003&lt;&gt;"Y",0,IF(IFERROR(VLOOKUP(K208,Grinders!$A:$P,27,FALSE),0)&gt;=3,IF(OR(G208&gt;=Config!$B$1001,ISNUMBER(SEARCH(E208,Config!$B$1002))),1,0),0))</f>
        <v>0</v>
      </c>
      <c r="AP208" s="39">
        <f t="array" ref="AP208">IFERROR(IF(INDEX(Bids!$AE:$AE,MATCH(B208,Bids!$A:$A,0))="Pending",1,0),0)</f>
        <v>0</v>
      </c>
      <c r="AQ208" s="39" t="str">
        <f t="array" ref="AQ208">IF(C208="","",IFERROR(XLOOKUP(C208,Assignments!$C:$C,Assignments!$AU:$AU,0),0))</f>
        <v/>
      </c>
      <c r="AR208" s="39">
        <f>IF(AND(Config!$B$1006="Y",AQ208=1),Config!$B$1007,0)</f>
        <v>0</v>
      </c>
    </row>
    <row r="209" ht="15.75" customHeight="1">
      <c r="A209" s="46" t="str">
        <f t="shared" si="1"/>
        <v/>
      </c>
      <c r="B209" s="40" t="str">
        <f>IF(Bids!$A208="","",Bids!$A208)</f>
        <v/>
      </c>
      <c r="C209" s="40" t="str">
        <f>IF(Bids!$B208="","",Bids!$B208)</f>
        <v/>
      </c>
      <c r="D209" s="40" t="str">
        <f>IF($C209="","",IFERROR(VLOOKUP($C209,Orders!$A$4:$J$998,9,FALSE),""))</f>
        <v/>
      </c>
      <c r="E209" s="40" t="str">
        <f>IF($C209="","",IFERROR(VLOOKUP($C209,Orders!$A$4:$J$998,3,FALSE),""))</f>
        <v/>
      </c>
      <c r="F209" s="40">
        <f t="shared" si="2"/>
        <v>1</v>
      </c>
      <c r="G209" s="40" t="str">
        <f>IF($C209="","",IFERROR(VLOOKUP($C209,Orders!$A$4:$J$998,4,FALSE),""))</f>
        <v/>
      </c>
      <c r="H209" s="40" t="str">
        <f>IF($C209="","",IFERROR(VLOOKUP($C209,Orders!$A$4:$J$998,5,FALSE),""))</f>
        <v/>
      </c>
      <c r="I209" s="40" t="str">
        <f>IF($C209="","",IFERROR(VLOOKUP($C209,Orders!$A$4:$J$998,6,FALSE),""))</f>
        <v/>
      </c>
      <c r="J209" s="40" t="str">
        <f>IF($C209="","",IFERROR(VLOOKUP($C209,Orders!$A$4:$J$998,7,FALSE),""))</f>
        <v/>
      </c>
      <c r="K209" s="40" t="str">
        <f>IF(Bids!$C208="","",Bids!$C208)</f>
        <v/>
      </c>
      <c r="L209" s="40" t="str">
        <f>IF($K209="","",IFERROR(VLOOKUP($K209,Grinders!$A$4:$N$998,2,FALSE),""))</f>
        <v/>
      </c>
      <c r="M209" s="40" t="str">
        <f>IF($K209="","",IFERROR(VLOOKUP($K209,Grinders!$A$4:$N$998,3,FALSE),""))</f>
        <v/>
      </c>
      <c r="N209" s="40" t="str">
        <f>IF($K209="","",IFERROR(VLOOKUP($K209,Grinders!$A$4:$N$998,4,FALSE),""))</f>
        <v/>
      </c>
      <c r="O209" s="40" t="str">
        <f>IF($K209="","",IFERROR(VLOOKUP($K209,Grinders!$A$4:$N$998,5,FALSE),""))</f>
        <v/>
      </c>
      <c r="P209" s="40" t="str">
        <f>IF($K209="","",IF($C$4="",0,COUNTIFS(Assignments!$B$6:$B$1000,$K209,Assignments!$F$6:$F$1000,$C$4,Assignments!$E$6:$E$1000,"Active")))</f>
        <v/>
      </c>
      <c r="Q209" s="40" t="str">
        <f t="shared" si="3"/>
        <v/>
      </c>
      <c r="R209" s="40" t="str">
        <f t="shared" si="4"/>
        <v/>
      </c>
      <c r="S209" s="40" t="str">
        <f>IF($K209="","",IF($C$4="",0,COUNTIFS(Assignments!$B$6:$B$1000,$K209,Assignments!$F$6:$F$1000,$C$4,Assignments!$D$6:$D$1000,"&gt;="&amp;Config!$B$3-7,Assignments!$D$6:$D$1000,"&lt;="&amp;Config!$B$3)))</f>
        <v/>
      </c>
      <c r="T209" s="40" t="str">
        <f>IF($K209="","",IFERROR(VLOOKUP($K209,Grinders!$A$4:$N$998,8,FALSE),""))</f>
        <v/>
      </c>
      <c r="U209" s="40" t="str">
        <f>IFERROR(IF($K209="","",IF($M209="Elite",MAX(50,MIN(100,Config!$B$27*MAX(0,MIN(100,(1-IF($R209="",0,$R209))*100)) + Config!$B$28*MAX(0,MIN(100,(1-MIN(1,IF(Config!$B$30=0,1,$S209/Config!$B$30)))*100)) + Config!$B$29*MAX(0,MIN(100,MIN(1,IF($T209="",0,$T209)/Config!$B$23)*100)))),MIN(100,Config!$B$27*MAX(0,MIN(100,(1-IF($R209="",0,$R209))*100)) + Config!$B$28*MAX(0,MIN(100,(1-MIN(1,IF(Config!$B$30=0,1,$S209/Config!$B$30)))*100)) + Config!$B$29*MAX(0,MIN(100,MIN(1,IF($T209="",0,$T209)/Config!$B$23)*100))))),"")
</f>
        <v/>
      </c>
      <c r="V209" s="40" t="str">
        <f>IF(Bids!$AC209="","",Bids!$AC209)</f>
        <v/>
      </c>
      <c r="W209" s="40" t="str">
        <f>IF(Bids!$F208="","",Bids!$F208)</f>
        <v/>
      </c>
      <c r="X209" s="40" t="str">
        <f t="shared" si="5"/>
        <v/>
      </c>
      <c r="Y209" s="40" t="str">
        <f>IF($X209="","",IF(Config!$B$17=Config!$B$16,IF($X209&gt;=Config!$B$17,100,0),MAX(0,MIN(100,($X209-Config!$B$16)/(Config!$B$17-Config!$B$16)*100))))</f>
        <v/>
      </c>
      <c r="Z209" s="40">
        <f>IF($M209="Elite",Config!$B$21,0)</f>
        <v>0</v>
      </c>
      <c r="AA209" s="40" t="str">
        <f>IFERROR(IF(OR($W209="",$H209=""),"",IF($W209&gt;$H209,
  MAX(0, 60-(($W209-$H209)*24/Config!$B$19)*60),
  MIN(100, 60+(($H209-$W209)*24/Config!$B$20)*40)
)),"")
</f>
        <v/>
      </c>
      <c r="AB209" s="40" t="str">
        <f>IF($K209="","",IFERROR(VLOOKUP($K209,Grinders!$A$4:$N$998,10,FALSE)/5*100,""))</f>
        <v/>
      </c>
      <c r="AC209" s="40" t="str">
        <f>IF($K209="","",IFERROR(VLOOKUP($K209,Grinders!$A$4:$N$998,11,FALSE)*100,""))</f>
        <v/>
      </c>
      <c r="AD209" s="40" t="str">
        <f>IF($K209="","",IFERROR(VLOOKUP($K209,Grinders!$A$4:$N$998,12,FALSE)*100,""))</f>
        <v/>
      </c>
      <c r="AE209" s="40" t="str">
        <f>IF(OR(AO209=1,AP209=1),0,=IFERROR(IFS(
    OR($C209="", $K209=""), 0,
    $F209=0, 0,
    $D209&lt;&gt;"Open", 0,
    COUNTIFS(GrinderServices!$A$6:$A$1000, $K209, GrinderServices!$B$6:$B$1000, $E209, GrinderServices!$D$6:$D$1000, "Y")=0, 0,
    $X209&lt;Config!$B$16, 0,
    Config!$B$18=1, IF($O209&gt;=N209, 0, 1),
    TRUE, 1
), "")
)</f>
        <v>#ERROR!</v>
      </c>
      <c r="AF209" s="40" t="str">
        <f>IFERROR((IF(OR(AO209=1,AP209=1),"",=IFERROR((IFERROR(IF($AE209=0,"",((Config!$B$6*$Y209 + Config!$B$7*$U209 + Config!$B$8*$Z209 + Config!$B$9*$AA209 + Config!$B$10*$AB209 + Config!$B$11*$AC209 - Config!$B$12*$AD209)/Config!$B$13)+$AK209+$AL209),""))*(1-IFERROR(VLOOKUP(K209,Grinders!$A:$AB, 28, FALSE),0)),"")))*(1+AR209),"")</f>
        <v>#ERROR!</v>
      </c>
      <c r="AG209" s="40" t="str">
        <f t="shared" si="6"/>
        <v>#ERROR!</v>
      </c>
      <c r="AH209" s="40" t="str">
        <f t="shared" si="7"/>
        <v/>
      </c>
      <c r="AI209" s="40" t="str">
        <f t="shared" si="8"/>
        <v/>
      </c>
      <c r="AJ209" s="40" t="str">
        <f>IF($K209="","",COUNTIF(Assignments!$B$6:$B$1000,$K209))</f>
        <v/>
      </c>
      <c r="AK209" s="40" t="str">
        <f>IF($K209="","",IF(AND($AJ209=0,$O209&lt;$N209),Config!$B$43,0))</f>
        <v/>
      </c>
      <c r="AL209" s="40" t="str">
        <f>IF($K209="","",IF(AND($M209="Elite",$G209&gt;=Config!$B$41,$O209&lt;$N209),Config!$B$42,0))</f>
        <v/>
      </c>
      <c r="AM209" s="22"/>
      <c r="AN209" s="39">
        <f>IFERROR(VLOOKUP(K209,Grinders!$A:$Q,28,FALSE),0)</f>
        <v>0</v>
      </c>
      <c r="AO209" s="39">
        <f>IF(Config!$B$1003&lt;&gt;"Y",0,IF(IFERROR(VLOOKUP(K209,Grinders!$A:$P,27,FALSE),0)&gt;=3,IF(OR(G209&gt;=Config!$B$1001,ISNUMBER(SEARCH(E209,Config!$B$1002))),1,0),0))</f>
        <v>0</v>
      </c>
      <c r="AP209" s="39">
        <f t="array" ref="AP209">IFERROR(IF(INDEX(Bids!$AE:$AE,MATCH(B209,Bids!$A:$A,0))="Pending",1,0),0)</f>
        <v>0</v>
      </c>
      <c r="AQ209" s="39" t="str">
        <f t="array" ref="AQ209">IF(C209="","",IFERROR(XLOOKUP(C209,Assignments!$C:$C,Assignments!$AU:$AU,0),0))</f>
        <v/>
      </c>
      <c r="AR209" s="39">
        <f>IF(AND(Config!$B$1006="Y",AQ209=1),Config!$B$1007,0)</f>
        <v>0</v>
      </c>
    </row>
    <row r="210" ht="15.75" customHeight="1">
      <c r="A210" s="46" t="str">
        <f t="shared" si="1"/>
        <v/>
      </c>
      <c r="B210" s="40" t="str">
        <f>IF(Bids!$A209="","",Bids!$A209)</f>
        <v/>
      </c>
      <c r="C210" s="40" t="str">
        <f>IF(Bids!$B209="","",Bids!$B209)</f>
        <v/>
      </c>
      <c r="D210" s="40" t="str">
        <f>IF($C210="","",IFERROR(VLOOKUP($C210,Orders!$A$4:$J$998,9,FALSE),""))</f>
        <v/>
      </c>
      <c r="E210" s="40" t="str">
        <f>IF($C210="","",IFERROR(VLOOKUP($C210,Orders!$A$4:$J$998,3,FALSE),""))</f>
        <v/>
      </c>
      <c r="F210" s="40">
        <f t="shared" si="2"/>
        <v>1</v>
      </c>
      <c r="G210" s="40" t="str">
        <f>IF($C210="","",IFERROR(VLOOKUP($C210,Orders!$A$4:$J$998,4,FALSE),""))</f>
        <v/>
      </c>
      <c r="H210" s="40" t="str">
        <f>IF($C210="","",IFERROR(VLOOKUP($C210,Orders!$A$4:$J$998,5,FALSE),""))</f>
        <v/>
      </c>
      <c r="I210" s="40" t="str">
        <f>IF($C210="","",IFERROR(VLOOKUP($C210,Orders!$A$4:$J$998,6,FALSE),""))</f>
        <v/>
      </c>
      <c r="J210" s="40" t="str">
        <f>IF($C210="","",IFERROR(VLOOKUP($C210,Orders!$A$4:$J$998,7,FALSE),""))</f>
        <v/>
      </c>
      <c r="K210" s="40" t="str">
        <f>IF(Bids!$C209="","",Bids!$C209)</f>
        <v/>
      </c>
      <c r="L210" s="40" t="str">
        <f>IF($K210="","",IFERROR(VLOOKUP($K210,Grinders!$A$4:$N$998,2,FALSE),""))</f>
        <v/>
      </c>
      <c r="M210" s="40" t="str">
        <f>IF($K210="","",IFERROR(VLOOKUP($K210,Grinders!$A$4:$N$998,3,FALSE),""))</f>
        <v/>
      </c>
      <c r="N210" s="40" t="str">
        <f>IF($K210="","",IFERROR(VLOOKUP($K210,Grinders!$A$4:$N$998,4,FALSE),""))</f>
        <v/>
      </c>
      <c r="O210" s="40" t="str">
        <f>IF($K210="","",IFERROR(VLOOKUP($K210,Grinders!$A$4:$N$998,5,FALSE),""))</f>
        <v/>
      </c>
      <c r="P210" s="40" t="str">
        <f>IF($K210="","",IF($C$4="",0,COUNTIFS(Assignments!$B$6:$B$1000,$K210,Assignments!$F$6:$F$1000,$C$4,Assignments!$E$6:$E$1000,"Active")))</f>
        <v/>
      </c>
      <c r="Q210" s="40" t="str">
        <f t="shared" si="3"/>
        <v/>
      </c>
      <c r="R210" s="40" t="str">
        <f t="shared" si="4"/>
        <v/>
      </c>
      <c r="S210" s="40" t="str">
        <f>IF($K210="","",IF($C$4="",0,COUNTIFS(Assignments!$B$6:$B$1000,$K210,Assignments!$F$6:$F$1000,$C$4,Assignments!$D$6:$D$1000,"&gt;="&amp;Config!$B$3-7,Assignments!$D$6:$D$1000,"&lt;="&amp;Config!$B$3)))</f>
        <v/>
      </c>
      <c r="T210" s="40" t="str">
        <f>IF($K210="","",IFERROR(VLOOKUP($K210,Grinders!$A$4:$N$998,8,FALSE),""))</f>
        <v/>
      </c>
      <c r="U210" s="40" t="str">
        <f>IFERROR(IF($K210="","",IF($M210="Elite",MAX(50,MIN(100,Config!$B$27*MAX(0,MIN(100,(1-IF($R210="",0,$R210))*100)) + Config!$B$28*MAX(0,MIN(100,(1-MIN(1,IF(Config!$B$30=0,1,$S210/Config!$B$30)))*100)) + Config!$B$29*MAX(0,MIN(100,MIN(1,IF($T210="",0,$T210)/Config!$B$23)*100)))),MIN(100,Config!$B$27*MAX(0,MIN(100,(1-IF($R210="",0,$R210))*100)) + Config!$B$28*MAX(0,MIN(100,(1-MIN(1,IF(Config!$B$30=0,1,$S210/Config!$B$30)))*100)) + Config!$B$29*MAX(0,MIN(100,MIN(1,IF($T210="",0,$T210)/Config!$B$23)*100))))),"")
</f>
        <v/>
      </c>
      <c r="V210" s="40" t="str">
        <f>IF(Bids!$AC210="","",Bids!$AC210)</f>
        <v/>
      </c>
      <c r="W210" s="40" t="str">
        <f>IF(Bids!$F209="","",Bids!$F209)</f>
        <v/>
      </c>
      <c r="X210" s="40" t="str">
        <f t="shared" si="5"/>
        <v/>
      </c>
      <c r="Y210" s="40" t="str">
        <f>IF($X210="","",IF(Config!$B$17=Config!$B$16,IF($X210&gt;=Config!$B$17,100,0),MAX(0,MIN(100,($X210-Config!$B$16)/(Config!$B$17-Config!$B$16)*100))))</f>
        <v/>
      </c>
      <c r="Z210" s="40">
        <f>IF($M210="Elite",Config!$B$21,0)</f>
        <v>0</v>
      </c>
      <c r="AA210" s="40" t="str">
        <f>IFERROR(IF(OR($W210="",$H210=""),"",IF($W210&gt;$H210,
  MAX(0, 60-(($W210-$H210)*24/Config!$B$19)*60),
  MIN(100, 60+(($H210-$W210)*24/Config!$B$20)*40)
)),"")
</f>
        <v/>
      </c>
      <c r="AB210" s="40" t="str">
        <f>IF($K210="","",IFERROR(VLOOKUP($K210,Grinders!$A$4:$N$998,10,FALSE)/5*100,""))</f>
        <v/>
      </c>
      <c r="AC210" s="40" t="str">
        <f>IF($K210="","",IFERROR(VLOOKUP($K210,Grinders!$A$4:$N$998,11,FALSE)*100,""))</f>
        <v/>
      </c>
      <c r="AD210" s="40" t="str">
        <f>IF($K210="","",IFERROR(VLOOKUP($K210,Grinders!$A$4:$N$998,12,FALSE)*100,""))</f>
        <v/>
      </c>
      <c r="AE210" s="40" t="str">
        <f>IF(OR(AO210=1,AP210=1),0,=IFERROR(IFS(
    OR($C210="", $K210=""), 0,
    $F210=0, 0,
    $D210&lt;&gt;"Open", 0,
    COUNTIFS(GrinderServices!$A$6:$A$1000, $K210, GrinderServices!$B$6:$B$1000, $E210, GrinderServices!$D$6:$D$1000, "Y")=0, 0,
    $X210&lt;Config!$B$16, 0,
    Config!$B$18=1, IF($O210&gt;=N210, 0, 1),
    TRUE, 1
), "")
)</f>
        <v>#ERROR!</v>
      </c>
      <c r="AF210" s="40" t="str">
        <f>IFERROR((IF(OR(AO210=1,AP210=1),"",=IFERROR((IFERROR(IF($AE210=0,"",((Config!$B$6*$Y210 + Config!$B$7*$U210 + Config!$B$8*$Z210 + Config!$B$9*$AA210 + Config!$B$10*$AB210 + Config!$B$11*$AC210 - Config!$B$12*$AD210)/Config!$B$13)+$AK210+$AL210),""))*(1-IFERROR(VLOOKUP(K210,Grinders!$A:$AB, 28, FALSE),0)),"")))*(1+AR210),"")</f>
        <v>#ERROR!</v>
      </c>
      <c r="AG210" s="40" t="str">
        <f t="shared" si="6"/>
        <v>#ERROR!</v>
      </c>
      <c r="AH210" s="40" t="str">
        <f t="shared" si="7"/>
        <v/>
      </c>
      <c r="AI210" s="40" t="str">
        <f t="shared" si="8"/>
        <v/>
      </c>
      <c r="AJ210" s="40" t="str">
        <f>IF($K210="","",COUNTIF(Assignments!$B$6:$B$1000,$K210))</f>
        <v/>
      </c>
      <c r="AK210" s="40" t="str">
        <f>IF($K210="","",IF(AND($AJ210=0,$O210&lt;$N210),Config!$B$43,0))</f>
        <v/>
      </c>
      <c r="AL210" s="40" t="str">
        <f>IF($K210="","",IF(AND($M210="Elite",$G210&gt;=Config!$B$41,$O210&lt;$N210),Config!$B$42,0))</f>
        <v/>
      </c>
      <c r="AM210" s="22"/>
      <c r="AN210" s="39">
        <f>IFERROR(VLOOKUP(K210,Grinders!$A:$Q,28,FALSE),0)</f>
        <v>0</v>
      </c>
      <c r="AO210" s="39">
        <f>IF(Config!$B$1003&lt;&gt;"Y",0,IF(IFERROR(VLOOKUP(K210,Grinders!$A:$P,27,FALSE),0)&gt;=3,IF(OR(G210&gt;=Config!$B$1001,ISNUMBER(SEARCH(E210,Config!$B$1002))),1,0),0))</f>
        <v>0</v>
      </c>
      <c r="AP210" s="39">
        <f t="array" ref="AP210">IFERROR(IF(INDEX(Bids!$AE:$AE,MATCH(B210,Bids!$A:$A,0))="Pending",1,0),0)</f>
        <v>0</v>
      </c>
      <c r="AQ210" s="39" t="str">
        <f t="array" ref="AQ210">IF(C210="","",IFERROR(XLOOKUP(C210,Assignments!$C:$C,Assignments!$AU:$AU,0),0))</f>
        <v/>
      </c>
      <c r="AR210" s="39">
        <f>IF(AND(Config!$B$1006="Y",AQ210=1),Config!$B$1007,0)</f>
        <v>0</v>
      </c>
    </row>
    <row r="211" ht="15.75" customHeight="1">
      <c r="A211" s="46" t="str">
        <f t="shared" si="1"/>
        <v/>
      </c>
      <c r="B211" s="40" t="str">
        <f>IF(Bids!$A210="","",Bids!$A210)</f>
        <v/>
      </c>
      <c r="C211" s="40" t="str">
        <f>IF(Bids!$B210="","",Bids!$B210)</f>
        <v/>
      </c>
      <c r="D211" s="40" t="str">
        <f>IF($C211="","",IFERROR(VLOOKUP($C211,Orders!$A$4:$J$998,9,FALSE),""))</f>
        <v/>
      </c>
      <c r="E211" s="40" t="str">
        <f>IF($C211="","",IFERROR(VLOOKUP($C211,Orders!$A$4:$J$998,3,FALSE),""))</f>
        <v/>
      </c>
      <c r="F211" s="40">
        <f t="shared" si="2"/>
        <v>1</v>
      </c>
      <c r="G211" s="40" t="str">
        <f>IF($C211="","",IFERROR(VLOOKUP($C211,Orders!$A$4:$J$998,4,FALSE),""))</f>
        <v/>
      </c>
      <c r="H211" s="40" t="str">
        <f>IF($C211="","",IFERROR(VLOOKUP($C211,Orders!$A$4:$J$998,5,FALSE),""))</f>
        <v/>
      </c>
      <c r="I211" s="40" t="str">
        <f>IF($C211="","",IFERROR(VLOOKUP($C211,Orders!$A$4:$J$998,6,FALSE),""))</f>
        <v/>
      </c>
      <c r="J211" s="40" t="str">
        <f>IF($C211="","",IFERROR(VLOOKUP($C211,Orders!$A$4:$J$998,7,FALSE),""))</f>
        <v/>
      </c>
      <c r="K211" s="40" t="str">
        <f>IF(Bids!$C210="","",Bids!$C210)</f>
        <v/>
      </c>
      <c r="L211" s="40" t="str">
        <f>IF($K211="","",IFERROR(VLOOKUP($K211,Grinders!$A$4:$N$998,2,FALSE),""))</f>
        <v/>
      </c>
      <c r="M211" s="40" t="str">
        <f>IF($K211="","",IFERROR(VLOOKUP($K211,Grinders!$A$4:$N$998,3,FALSE),""))</f>
        <v/>
      </c>
      <c r="N211" s="40" t="str">
        <f>IF($K211="","",IFERROR(VLOOKUP($K211,Grinders!$A$4:$N$998,4,FALSE),""))</f>
        <v/>
      </c>
      <c r="O211" s="40" t="str">
        <f>IF($K211="","",IFERROR(VLOOKUP($K211,Grinders!$A$4:$N$998,5,FALSE),""))</f>
        <v/>
      </c>
      <c r="P211" s="40" t="str">
        <f>IF($K211="","",IF($C$4="",0,COUNTIFS(Assignments!$B$6:$B$1000,$K211,Assignments!$F$6:$F$1000,$C$4,Assignments!$E$6:$E$1000,"Active")))</f>
        <v/>
      </c>
      <c r="Q211" s="40" t="str">
        <f t="shared" si="3"/>
        <v/>
      </c>
      <c r="R211" s="40" t="str">
        <f t="shared" si="4"/>
        <v/>
      </c>
      <c r="S211" s="40" t="str">
        <f>IF($K211="","",IF($C$4="",0,COUNTIFS(Assignments!$B$6:$B$1000,$K211,Assignments!$F$6:$F$1000,$C$4,Assignments!$D$6:$D$1000,"&gt;="&amp;Config!$B$3-7,Assignments!$D$6:$D$1000,"&lt;="&amp;Config!$B$3)))</f>
        <v/>
      </c>
      <c r="T211" s="40" t="str">
        <f>IF($K211="","",IFERROR(VLOOKUP($K211,Grinders!$A$4:$N$998,8,FALSE),""))</f>
        <v/>
      </c>
      <c r="U211" s="40" t="str">
        <f>IFERROR(IF($K211="","",IF($M211="Elite",MAX(50,MIN(100,Config!$B$27*MAX(0,MIN(100,(1-IF($R211="",0,$R211))*100)) + Config!$B$28*MAX(0,MIN(100,(1-MIN(1,IF(Config!$B$30=0,1,$S211/Config!$B$30)))*100)) + Config!$B$29*MAX(0,MIN(100,MIN(1,IF($T211="",0,$T211)/Config!$B$23)*100)))),MIN(100,Config!$B$27*MAX(0,MIN(100,(1-IF($R211="",0,$R211))*100)) + Config!$B$28*MAX(0,MIN(100,(1-MIN(1,IF(Config!$B$30=0,1,$S211/Config!$B$30)))*100)) + Config!$B$29*MAX(0,MIN(100,MIN(1,IF($T211="",0,$T211)/Config!$B$23)*100))))),"")
</f>
        <v/>
      </c>
      <c r="V211" s="40" t="str">
        <f>IF(Bids!$AC211="","",Bids!$AC211)</f>
        <v/>
      </c>
      <c r="W211" s="40" t="str">
        <f>IF(Bids!$F210="","",Bids!$F210)</f>
        <v/>
      </c>
      <c r="X211" s="40" t="str">
        <f t="shared" si="5"/>
        <v/>
      </c>
      <c r="Y211" s="40" t="str">
        <f>IF($X211="","",IF(Config!$B$17=Config!$B$16,IF($X211&gt;=Config!$B$17,100,0),MAX(0,MIN(100,($X211-Config!$B$16)/(Config!$B$17-Config!$B$16)*100))))</f>
        <v/>
      </c>
      <c r="Z211" s="40">
        <f>IF($M211="Elite",Config!$B$21,0)</f>
        <v>0</v>
      </c>
      <c r="AA211" s="40" t="str">
        <f>IFERROR(IF(OR($W211="",$H211=""),"",IF($W211&gt;$H211,
  MAX(0, 60-(($W211-$H211)*24/Config!$B$19)*60),
  MIN(100, 60+(($H211-$W211)*24/Config!$B$20)*40)
)),"")
</f>
        <v/>
      </c>
      <c r="AB211" s="40" t="str">
        <f>IF($K211="","",IFERROR(VLOOKUP($K211,Grinders!$A$4:$N$998,10,FALSE)/5*100,""))</f>
        <v/>
      </c>
      <c r="AC211" s="40" t="str">
        <f>IF($K211="","",IFERROR(VLOOKUP($K211,Grinders!$A$4:$N$998,11,FALSE)*100,""))</f>
        <v/>
      </c>
      <c r="AD211" s="40" t="str">
        <f>IF($K211="","",IFERROR(VLOOKUP($K211,Grinders!$A$4:$N$998,12,FALSE)*100,""))</f>
        <v/>
      </c>
      <c r="AE211" s="40" t="str">
        <f>IF(OR(AO211=1,AP211=1),0,=IFERROR(IFS(
    OR($C211="", $K211=""), 0,
    $F211=0, 0,
    $D211&lt;&gt;"Open", 0,
    COUNTIFS(GrinderServices!$A$6:$A$1000, $K211, GrinderServices!$B$6:$B$1000, $E211, GrinderServices!$D$6:$D$1000, "Y")=0, 0,
    $X211&lt;Config!$B$16, 0,
    Config!$B$18=1, IF($O211&gt;=N211, 0, 1),
    TRUE, 1
), "")
)</f>
        <v>#ERROR!</v>
      </c>
      <c r="AF211" s="40" t="str">
        <f>IFERROR((IF(OR(AO211=1,AP211=1),"",=IFERROR((IFERROR(IF($AE211=0,"",((Config!$B$6*$Y211 + Config!$B$7*$U211 + Config!$B$8*$Z211 + Config!$B$9*$AA211 + Config!$B$10*$AB211 + Config!$B$11*$AC211 - Config!$B$12*$AD211)/Config!$B$13)+$AK211+$AL211),""))*(1-IFERROR(VLOOKUP(K211,Grinders!$A:$AB, 28, FALSE),0)),"")))*(1+AR211),"")</f>
        <v>#ERROR!</v>
      </c>
      <c r="AG211" s="40" t="str">
        <f t="shared" si="6"/>
        <v>#ERROR!</v>
      </c>
      <c r="AH211" s="40" t="str">
        <f t="shared" si="7"/>
        <v/>
      </c>
      <c r="AI211" s="40" t="str">
        <f t="shared" si="8"/>
        <v/>
      </c>
      <c r="AJ211" s="40" t="str">
        <f>IF($K211="","",COUNTIF(Assignments!$B$6:$B$1000,$K211))</f>
        <v/>
      </c>
      <c r="AK211" s="40" t="str">
        <f>IF($K211="","",IF(AND($AJ211=0,$O211&lt;$N211),Config!$B$43,0))</f>
        <v/>
      </c>
      <c r="AL211" s="40" t="str">
        <f>IF($K211="","",IF(AND($M211="Elite",$G211&gt;=Config!$B$41,$O211&lt;$N211),Config!$B$42,0))</f>
        <v/>
      </c>
      <c r="AM211" s="22"/>
      <c r="AN211" s="39">
        <f>IFERROR(VLOOKUP(K211,Grinders!$A:$Q,28,FALSE),0)</f>
        <v>0</v>
      </c>
      <c r="AO211" s="39">
        <f>IF(Config!$B$1003&lt;&gt;"Y",0,IF(IFERROR(VLOOKUP(K211,Grinders!$A:$P,27,FALSE),0)&gt;=3,IF(OR(G211&gt;=Config!$B$1001,ISNUMBER(SEARCH(E211,Config!$B$1002))),1,0),0))</f>
        <v>0</v>
      </c>
      <c r="AP211" s="39">
        <f t="array" ref="AP211">IFERROR(IF(INDEX(Bids!$AE:$AE,MATCH(B211,Bids!$A:$A,0))="Pending",1,0),0)</f>
        <v>0</v>
      </c>
      <c r="AQ211" s="39" t="str">
        <f t="array" ref="AQ211">IF(C211="","",IFERROR(XLOOKUP(C211,Assignments!$C:$C,Assignments!$AU:$AU,0),0))</f>
        <v/>
      </c>
      <c r="AR211" s="39">
        <f>IF(AND(Config!$B$1006="Y",AQ211=1),Config!$B$1007,0)</f>
        <v>0</v>
      </c>
    </row>
    <row r="212" ht="15.75" customHeight="1">
      <c r="A212" s="46" t="str">
        <f t="shared" si="1"/>
        <v/>
      </c>
      <c r="B212" s="40" t="str">
        <f>IF(Bids!$A211="","",Bids!$A211)</f>
        <v/>
      </c>
      <c r="C212" s="40" t="str">
        <f>IF(Bids!$B211="","",Bids!$B211)</f>
        <v/>
      </c>
      <c r="D212" s="40" t="str">
        <f>IF($C212="","",IFERROR(VLOOKUP($C212,Orders!$A$4:$J$998,9,FALSE),""))</f>
        <v/>
      </c>
      <c r="E212" s="40" t="str">
        <f>IF($C212="","",IFERROR(VLOOKUP($C212,Orders!$A$4:$J$998,3,FALSE),""))</f>
        <v/>
      </c>
      <c r="F212" s="40">
        <f t="shared" si="2"/>
        <v>1</v>
      </c>
      <c r="G212" s="40" t="str">
        <f>IF($C212="","",IFERROR(VLOOKUP($C212,Orders!$A$4:$J$998,4,FALSE),""))</f>
        <v/>
      </c>
      <c r="H212" s="40" t="str">
        <f>IF($C212="","",IFERROR(VLOOKUP($C212,Orders!$A$4:$J$998,5,FALSE),""))</f>
        <v/>
      </c>
      <c r="I212" s="40" t="str">
        <f>IF($C212="","",IFERROR(VLOOKUP($C212,Orders!$A$4:$J$998,6,FALSE),""))</f>
        <v/>
      </c>
      <c r="J212" s="40" t="str">
        <f>IF($C212="","",IFERROR(VLOOKUP($C212,Orders!$A$4:$J$998,7,FALSE),""))</f>
        <v/>
      </c>
      <c r="K212" s="40" t="str">
        <f>IF(Bids!$C211="","",Bids!$C211)</f>
        <v/>
      </c>
      <c r="L212" s="40" t="str">
        <f>IF($K212="","",IFERROR(VLOOKUP($K212,Grinders!$A$4:$N$998,2,FALSE),""))</f>
        <v/>
      </c>
      <c r="M212" s="40" t="str">
        <f>IF($K212="","",IFERROR(VLOOKUP($K212,Grinders!$A$4:$N$998,3,FALSE),""))</f>
        <v/>
      </c>
      <c r="N212" s="40" t="str">
        <f>IF($K212="","",IFERROR(VLOOKUP($K212,Grinders!$A$4:$N$998,4,FALSE),""))</f>
        <v/>
      </c>
      <c r="O212" s="40" t="str">
        <f>IF($K212="","",IFERROR(VLOOKUP($K212,Grinders!$A$4:$N$998,5,FALSE),""))</f>
        <v/>
      </c>
      <c r="P212" s="40" t="str">
        <f>IF($K212="","",IF($C$4="",0,COUNTIFS(Assignments!$B$6:$B$1000,$K212,Assignments!$F$6:$F$1000,$C$4,Assignments!$E$6:$E$1000,"Active")))</f>
        <v/>
      </c>
      <c r="Q212" s="40" t="str">
        <f t="shared" si="3"/>
        <v/>
      </c>
      <c r="R212" s="40" t="str">
        <f t="shared" si="4"/>
        <v/>
      </c>
      <c r="S212" s="40" t="str">
        <f>IF($K212="","",IF($C$4="",0,COUNTIFS(Assignments!$B$6:$B$1000,$K212,Assignments!$F$6:$F$1000,$C$4,Assignments!$D$6:$D$1000,"&gt;="&amp;Config!$B$3-7,Assignments!$D$6:$D$1000,"&lt;="&amp;Config!$B$3)))</f>
        <v/>
      </c>
      <c r="T212" s="40" t="str">
        <f>IF($K212="","",IFERROR(VLOOKUP($K212,Grinders!$A$4:$N$998,8,FALSE),""))</f>
        <v/>
      </c>
      <c r="U212" s="40" t="str">
        <f>IFERROR(IF($K212="","",IF($M212="Elite",MAX(50,MIN(100,Config!$B$27*MAX(0,MIN(100,(1-IF($R212="",0,$R212))*100)) + Config!$B$28*MAX(0,MIN(100,(1-MIN(1,IF(Config!$B$30=0,1,$S212/Config!$B$30)))*100)) + Config!$B$29*MAX(0,MIN(100,MIN(1,IF($T212="",0,$T212)/Config!$B$23)*100)))),MIN(100,Config!$B$27*MAX(0,MIN(100,(1-IF($R212="",0,$R212))*100)) + Config!$B$28*MAX(0,MIN(100,(1-MIN(1,IF(Config!$B$30=0,1,$S212/Config!$B$30)))*100)) + Config!$B$29*MAX(0,MIN(100,MIN(1,IF($T212="",0,$T212)/Config!$B$23)*100))))),"")
</f>
        <v/>
      </c>
      <c r="V212" s="40" t="str">
        <f>IF(Bids!$AC212="","",Bids!$AC212)</f>
        <v/>
      </c>
      <c r="W212" s="40" t="str">
        <f>IF(Bids!$F211="","",Bids!$F211)</f>
        <v/>
      </c>
      <c r="X212" s="40" t="str">
        <f t="shared" si="5"/>
        <v/>
      </c>
      <c r="Y212" s="40" t="str">
        <f>IF($X212="","",IF(Config!$B$17=Config!$B$16,IF($X212&gt;=Config!$B$17,100,0),MAX(0,MIN(100,($X212-Config!$B$16)/(Config!$B$17-Config!$B$16)*100))))</f>
        <v/>
      </c>
      <c r="Z212" s="40">
        <f>IF($M212="Elite",Config!$B$21,0)</f>
        <v>0</v>
      </c>
      <c r="AA212" s="40" t="str">
        <f>IFERROR(IF(OR($W212="",$H212=""),"",IF($W212&gt;$H212,
  MAX(0, 60-(($W212-$H212)*24/Config!$B$19)*60),
  MIN(100, 60+(($H212-$W212)*24/Config!$B$20)*40)
)),"")
</f>
        <v/>
      </c>
      <c r="AB212" s="40" t="str">
        <f>IF($K212="","",IFERROR(VLOOKUP($K212,Grinders!$A$4:$N$998,10,FALSE)/5*100,""))</f>
        <v/>
      </c>
      <c r="AC212" s="40" t="str">
        <f>IF($K212="","",IFERROR(VLOOKUP($K212,Grinders!$A$4:$N$998,11,FALSE)*100,""))</f>
        <v/>
      </c>
      <c r="AD212" s="40" t="str">
        <f>IF($K212="","",IFERROR(VLOOKUP($K212,Grinders!$A$4:$N$998,12,FALSE)*100,""))</f>
        <v/>
      </c>
      <c r="AE212" s="40" t="str">
        <f>IF(OR(AO212=1,AP212=1),0,=IFERROR(IFS(
    OR($C212="", $K212=""), 0,
    $F212=0, 0,
    $D212&lt;&gt;"Open", 0,
    COUNTIFS(GrinderServices!$A$6:$A$1000, $K212, GrinderServices!$B$6:$B$1000, $E212, GrinderServices!$D$6:$D$1000, "Y")=0, 0,
    $X212&lt;Config!$B$16, 0,
    Config!$B$18=1, IF($O212&gt;=N212, 0, 1),
    TRUE, 1
), "")
)</f>
        <v>#ERROR!</v>
      </c>
      <c r="AF212" s="40" t="str">
        <f>IFERROR((IF(OR(AO212=1,AP212=1),"",=IFERROR((IFERROR(IF($AE212=0,"",((Config!$B$6*$Y212 + Config!$B$7*$U212 + Config!$B$8*$Z212 + Config!$B$9*$AA212 + Config!$B$10*$AB212 + Config!$B$11*$AC212 - Config!$B$12*$AD212)/Config!$B$13)+$AK212+$AL212),""))*(1-IFERROR(VLOOKUP(K212,Grinders!$A:$AB, 28, FALSE),0)),"")))*(1+AR212),"")</f>
        <v>#ERROR!</v>
      </c>
      <c r="AG212" s="40" t="str">
        <f t="shared" si="6"/>
        <v>#ERROR!</v>
      </c>
      <c r="AH212" s="40" t="str">
        <f t="shared" si="7"/>
        <v/>
      </c>
      <c r="AI212" s="40" t="str">
        <f t="shared" si="8"/>
        <v/>
      </c>
      <c r="AJ212" s="40" t="str">
        <f>IF($K212="","",COUNTIF(Assignments!$B$6:$B$1000,$K212))</f>
        <v/>
      </c>
      <c r="AK212" s="40" t="str">
        <f>IF($K212="","",IF(AND($AJ212=0,$O212&lt;$N212),Config!$B$43,0))</f>
        <v/>
      </c>
      <c r="AL212" s="40" t="str">
        <f>IF($K212="","",IF(AND($M212="Elite",$G212&gt;=Config!$B$41,$O212&lt;$N212),Config!$B$42,0))</f>
        <v/>
      </c>
      <c r="AM212" s="22"/>
      <c r="AN212" s="39">
        <f>IFERROR(VLOOKUP(K212,Grinders!$A:$Q,28,FALSE),0)</f>
        <v>0</v>
      </c>
      <c r="AO212" s="39">
        <f>IF(Config!$B$1003&lt;&gt;"Y",0,IF(IFERROR(VLOOKUP(K212,Grinders!$A:$P,27,FALSE),0)&gt;=3,IF(OR(G212&gt;=Config!$B$1001,ISNUMBER(SEARCH(E212,Config!$B$1002))),1,0),0))</f>
        <v>0</v>
      </c>
      <c r="AP212" s="39">
        <f t="array" ref="AP212">IFERROR(IF(INDEX(Bids!$AE:$AE,MATCH(B212,Bids!$A:$A,0))="Pending",1,0),0)</f>
        <v>0</v>
      </c>
      <c r="AQ212" s="39" t="str">
        <f t="array" ref="AQ212">IF(C212="","",IFERROR(XLOOKUP(C212,Assignments!$C:$C,Assignments!$AU:$AU,0),0))</f>
        <v/>
      </c>
      <c r="AR212" s="39">
        <f>IF(AND(Config!$B$1006="Y",AQ212=1),Config!$B$1007,0)</f>
        <v>0</v>
      </c>
    </row>
    <row r="213" ht="15.75" customHeight="1">
      <c r="A213" s="46" t="str">
        <f t="shared" si="1"/>
        <v/>
      </c>
      <c r="B213" s="40" t="str">
        <f>IF(Bids!$A212="","",Bids!$A212)</f>
        <v/>
      </c>
      <c r="C213" s="40" t="str">
        <f>IF(Bids!$B212="","",Bids!$B212)</f>
        <v/>
      </c>
      <c r="D213" s="40" t="str">
        <f>IF($C213="","",IFERROR(VLOOKUP($C213,Orders!$A$4:$J$998,9,FALSE),""))</f>
        <v/>
      </c>
      <c r="E213" s="40" t="str">
        <f>IF($C213="","",IFERROR(VLOOKUP($C213,Orders!$A$4:$J$998,3,FALSE),""))</f>
        <v/>
      </c>
      <c r="F213" s="40">
        <f t="shared" si="2"/>
        <v>1</v>
      </c>
      <c r="G213" s="40" t="str">
        <f>IF($C213="","",IFERROR(VLOOKUP($C213,Orders!$A$4:$J$998,4,FALSE),""))</f>
        <v/>
      </c>
      <c r="H213" s="40" t="str">
        <f>IF($C213="","",IFERROR(VLOOKUP($C213,Orders!$A$4:$J$998,5,FALSE),""))</f>
        <v/>
      </c>
      <c r="I213" s="40" t="str">
        <f>IF($C213="","",IFERROR(VLOOKUP($C213,Orders!$A$4:$J$998,6,FALSE),""))</f>
        <v/>
      </c>
      <c r="J213" s="40" t="str">
        <f>IF($C213="","",IFERROR(VLOOKUP($C213,Orders!$A$4:$J$998,7,FALSE),""))</f>
        <v/>
      </c>
      <c r="K213" s="40" t="str">
        <f>IF(Bids!$C212="","",Bids!$C212)</f>
        <v/>
      </c>
      <c r="L213" s="40" t="str">
        <f>IF($K213="","",IFERROR(VLOOKUP($K213,Grinders!$A$4:$N$998,2,FALSE),""))</f>
        <v/>
      </c>
      <c r="M213" s="40" t="str">
        <f>IF($K213="","",IFERROR(VLOOKUP($K213,Grinders!$A$4:$N$998,3,FALSE),""))</f>
        <v/>
      </c>
      <c r="N213" s="40" t="str">
        <f>IF($K213="","",IFERROR(VLOOKUP($K213,Grinders!$A$4:$N$998,4,FALSE),""))</f>
        <v/>
      </c>
      <c r="O213" s="40" t="str">
        <f>IF($K213="","",IFERROR(VLOOKUP($K213,Grinders!$A$4:$N$998,5,FALSE),""))</f>
        <v/>
      </c>
      <c r="P213" s="40" t="str">
        <f>IF($K213="","",IF($C$4="",0,COUNTIFS(Assignments!$B$6:$B$1000,$K213,Assignments!$F$6:$F$1000,$C$4,Assignments!$E$6:$E$1000,"Active")))</f>
        <v/>
      </c>
      <c r="Q213" s="40" t="str">
        <f t="shared" si="3"/>
        <v/>
      </c>
      <c r="R213" s="40" t="str">
        <f t="shared" si="4"/>
        <v/>
      </c>
      <c r="S213" s="40" t="str">
        <f>IF($K213="","",IF($C$4="",0,COUNTIFS(Assignments!$B$6:$B$1000,$K213,Assignments!$F$6:$F$1000,$C$4,Assignments!$D$6:$D$1000,"&gt;="&amp;Config!$B$3-7,Assignments!$D$6:$D$1000,"&lt;="&amp;Config!$B$3)))</f>
        <v/>
      </c>
      <c r="T213" s="40" t="str">
        <f>IF($K213="","",IFERROR(VLOOKUP($K213,Grinders!$A$4:$N$998,8,FALSE),""))</f>
        <v/>
      </c>
      <c r="U213" s="40" t="str">
        <f>IFERROR(IF($K213="","",IF($M213="Elite",MAX(50,MIN(100,Config!$B$27*MAX(0,MIN(100,(1-IF($R213="",0,$R213))*100)) + Config!$B$28*MAX(0,MIN(100,(1-MIN(1,IF(Config!$B$30=0,1,$S213/Config!$B$30)))*100)) + Config!$B$29*MAX(0,MIN(100,MIN(1,IF($T213="",0,$T213)/Config!$B$23)*100)))),MIN(100,Config!$B$27*MAX(0,MIN(100,(1-IF($R213="",0,$R213))*100)) + Config!$B$28*MAX(0,MIN(100,(1-MIN(1,IF(Config!$B$30=0,1,$S213/Config!$B$30)))*100)) + Config!$B$29*MAX(0,MIN(100,MIN(1,IF($T213="",0,$T213)/Config!$B$23)*100))))),"")
</f>
        <v/>
      </c>
      <c r="V213" s="40" t="str">
        <f>IF(Bids!$AC213="","",Bids!$AC213)</f>
        <v/>
      </c>
      <c r="W213" s="40" t="str">
        <f>IF(Bids!$F212="","",Bids!$F212)</f>
        <v/>
      </c>
      <c r="X213" s="40" t="str">
        <f t="shared" si="5"/>
        <v/>
      </c>
      <c r="Y213" s="40" t="str">
        <f>IF($X213="","",IF(Config!$B$17=Config!$B$16,IF($X213&gt;=Config!$B$17,100,0),MAX(0,MIN(100,($X213-Config!$B$16)/(Config!$B$17-Config!$B$16)*100))))</f>
        <v/>
      </c>
      <c r="Z213" s="40">
        <f>IF($M213="Elite",Config!$B$21,0)</f>
        <v>0</v>
      </c>
      <c r="AA213" s="40" t="str">
        <f>IFERROR(IF(OR($W213="",$H213=""),"",IF($W213&gt;$H213,
  MAX(0, 60-(($W213-$H213)*24/Config!$B$19)*60),
  MIN(100, 60+(($H213-$W213)*24/Config!$B$20)*40)
)),"")
</f>
        <v/>
      </c>
      <c r="AB213" s="40" t="str">
        <f>IF($K213="","",IFERROR(VLOOKUP($K213,Grinders!$A$4:$N$998,10,FALSE)/5*100,""))</f>
        <v/>
      </c>
      <c r="AC213" s="40" t="str">
        <f>IF($K213="","",IFERROR(VLOOKUP($K213,Grinders!$A$4:$N$998,11,FALSE)*100,""))</f>
        <v/>
      </c>
      <c r="AD213" s="40" t="str">
        <f>IF($K213="","",IFERROR(VLOOKUP($K213,Grinders!$A$4:$N$998,12,FALSE)*100,""))</f>
        <v/>
      </c>
      <c r="AE213" s="40" t="str">
        <f>IF(OR(AO213=1,AP213=1),0,=IFERROR(IFS(
    OR($C213="", $K213=""), 0,
    $F213=0, 0,
    $D213&lt;&gt;"Open", 0,
    COUNTIFS(GrinderServices!$A$6:$A$1000, $K213, GrinderServices!$B$6:$B$1000, $E213, GrinderServices!$D$6:$D$1000, "Y")=0, 0,
    $X213&lt;Config!$B$16, 0,
    Config!$B$18=1, IF($O213&gt;=N213, 0, 1),
    TRUE, 1
), "")
)</f>
        <v>#ERROR!</v>
      </c>
      <c r="AF213" s="40" t="str">
        <f>IFERROR((IF(OR(AO213=1,AP213=1),"",=IFERROR((IFERROR(IF($AE213=0,"",((Config!$B$6*$Y213 + Config!$B$7*$U213 + Config!$B$8*$Z213 + Config!$B$9*$AA213 + Config!$B$10*$AB213 + Config!$B$11*$AC213 - Config!$B$12*$AD213)/Config!$B$13)+$AK213+$AL213),""))*(1-IFERROR(VLOOKUP(K213,Grinders!$A:$AB, 28, FALSE),0)),"")))*(1+AR213),"")</f>
        <v>#ERROR!</v>
      </c>
      <c r="AG213" s="40" t="str">
        <f t="shared" si="6"/>
        <v>#ERROR!</v>
      </c>
      <c r="AH213" s="40" t="str">
        <f t="shared" si="7"/>
        <v/>
      </c>
      <c r="AI213" s="40" t="str">
        <f t="shared" si="8"/>
        <v/>
      </c>
      <c r="AJ213" s="40" t="str">
        <f>IF($K213="","",COUNTIF(Assignments!$B$6:$B$1000,$K213))</f>
        <v/>
      </c>
      <c r="AK213" s="40" t="str">
        <f>IF($K213="","",IF(AND($AJ213=0,$O213&lt;$N213),Config!$B$43,0))</f>
        <v/>
      </c>
      <c r="AL213" s="40" t="str">
        <f>IF($K213="","",IF(AND($M213="Elite",$G213&gt;=Config!$B$41,$O213&lt;$N213),Config!$B$42,0))</f>
        <v/>
      </c>
      <c r="AM213" s="22"/>
      <c r="AN213" s="39">
        <f>IFERROR(VLOOKUP(K213,Grinders!$A:$Q,28,FALSE),0)</f>
        <v>0</v>
      </c>
      <c r="AO213" s="39">
        <f>IF(Config!$B$1003&lt;&gt;"Y",0,IF(IFERROR(VLOOKUP(K213,Grinders!$A:$P,27,FALSE),0)&gt;=3,IF(OR(G213&gt;=Config!$B$1001,ISNUMBER(SEARCH(E213,Config!$B$1002))),1,0),0))</f>
        <v>0</v>
      </c>
      <c r="AP213" s="39">
        <f t="array" ref="AP213">IFERROR(IF(INDEX(Bids!$AE:$AE,MATCH(B213,Bids!$A:$A,0))="Pending",1,0),0)</f>
        <v>0</v>
      </c>
      <c r="AQ213" s="39" t="str">
        <f t="array" ref="AQ213">IF(C213="","",IFERROR(XLOOKUP(C213,Assignments!$C:$C,Assignments!$AU:$AU,0),0))</f>
        <v/>
      </c>
      <c r="AR213" s="39">
        <f>IF(AND(Config!$B$1006="Y",AQ213=1),Config!$B$1007,0)</f>
        <v>0</v>
      </c>
    </row>
    <row r="214" ht="15.75" customHeight="1">
      <c r="A214" s="46" t="str">
        <f t="shared" si="1"/>
        <v/>
      </c>
      <c r="B214" s="40" t="str">
        <f>IF(Bids!$A213="","",Bids!$A213)</f>
        <v/>
      </c>
      <c r="C214" s="40" t="str">
        <f>IF(Bids!$B213="","",Bids!$B213)</f>
        <v/>
      </c>
      <c r="D214" s="40" t="str">
        <f>IF($C214="","",IFERROR(VLOOKUP($C214,Orders!$A$4:$J$998,9,FALSE),""))</f>
        <v/>
      </c>
      <c r="E214" s="40" t="str">
        <f>IF($C214="","",IFERROR(VLOOKUP($C214,Orders!$A$4:$J$998,3,FALSE),""))</f>
        <v/>
      </c>
      <c r="F214" s="40">
        <f t="shared" si="2"/>
        <v>1</v>
      </c>
      <c r="G214" s="40" t="str">
        <f>IF($C214="","",IFERROR(VLOOKUP($C214,Orders!$A$4:$J$998,4,FALSE),""))</f>
        <v/>
      </c>
      <c r="H214" s="40" t="str">
        <f>IF($C214="","",IFERROR(VLOOKUP($C214,Orders!$A$4:$J$998,5,FALSE),""))</f>
        <v/>
      </c>
      <c r="I214" s="40" t="str">
        <f>IF($C214="","",IFERROR(VLOOKUP($C214,Orders!$A$4:$J$998,6,FALSE),""))</f>
        <v/>
      </c>
      <c r="J214" s="40" t="str">
        <f>IF($C214="","",IFERROR(VLOOKUP($C214,Orders!$A$4:$J$998,7,FALSE),""))</f>
        <v/>
      </c>
      <c r="K214" s="40" t="str">
        <f>IF(Bids!$C213="","",Bids!$C213)</f>
        <v/>
      </c>
      <c r="L214" s="40" t="str">
        <f>IF($K214="","",IFERROR(VLOOKUP($K214,Grinders!$A$4:$N$998,2,FALSE),""))</f>
        <v/>
      </c>
      <c r="M214" s="40" t="str">
        <f>IF($K214="","",IFERROR(VLOOKUP($K214,Grinders!$A$4:$N$998,3,FALSE),""))</f>
        <v/>
      </c>
      <c r="N214" s="40" t="str">
        <f>IF($K214="","",IFERROR(VLOOKUP($K214,Grinders!$A$4:$N$998,4,FALSE),""))</f>
        <v/>
      </c>
      <c r="O214" s="40" t="str">
        <f>IF($K214="","",IFERROR(VLOOKUP($K214,Grinders!$A$4:$N$998,5,FALSE),""))</f>
        <v/>
      </c>
      <c r="P214" s="40" t="str">
        <f>IF($K214="","",IF($C$4="",0,COUNTIFS(Assignments!$B$6:$B$1000,$K214,Assignments!$F$6:$F$1000,$C$4,Assignments!$E$6:$E$1000,"Active")))</f>
        <v/>
      </c>
      <c r="Q214" s="40" t="str">
        <f t="shared" si="3"/>
        <v/>
      </c>
      <c r="R214" s="40" t="str">
        <f t="shared" si="4"/>
        <v/>
      </c>
      <c r="S214" s="40" t="str">
        <f>IF($K214="","",IF($C$4="",0,COUNTIFS(Assignments!$B$6:$B$1000,$K214,Assignments!$F$6:$F$1000,$C$4,Assignments!$D$6:$D$1000,"&gt;="&amp;Config!$B$3-7,Assignments!$D$6:$D$1000,"&lt;="&amp;Config!$B$3)))</f>
        <v/>
      </c>
      <c r="T214" s="40" t="str">
        <f>IF($K214="","",IFERROR(VLOOKUP($K214,Grinders!$A$4:$N$998,8,FALSE),""))</f>
        <v/>
      </c>
      <c r="U214" s="40" t="str">
        <f>IFERROR(IF($K214="","",IF($M214="Elite",MAX(50,MIN(100,Config!$B$27*MAX(0,MIN(100,(1-IF($R214="",0,$R214))*100)) + Config!$B$28*MAX(0,MIN(100,(1-MIN(1,IF(Config!$B$30=0,1,$S214/Config!$B$30)))*100)) + Config!$B$29*MAX(0,MIN(100,MIN(1,IF($T214="",0,$T214)/Config!$B$23)*100)))),MIN(100,Config!$B$27*MAX(0,MIN(100,(1-IF($R214="",0,$R214))*100)) + Config!$B$28*MAX(0,MIN(100,(1-MIN(1,IF(Config!$B$30=0,1,$S214/Config!$B$30)))*100)) + Config!$B$29*MAX(0,MIN(100,MIN(1,IF($T214="",0,$T214)/Config!$B$23)*100))))),"")
</f>
        <v/>
      </c>
      <c r="V214" s="40" t="str">
        <f>IF(Bids!$AC214="","",Bids!$AC214)</f>
        <v/>
      </c>
      <c r="W214" s="40" t="str">
        <f>IF(Bids!$F213="","",Bids!$F213)</f>
        <v/>
      </c>
      <c r="X214" s="40" t="str">
        <f t="shared" si="5"/>
        <v/>
      </c>
      <c r="Y214" s="40" t="str">
        <f>IF($X214="","",IF(Config!$B$17=Config!$B$16,IF($X214&gt;=Config!$B$17,100,0),MAX(0,MIN(100,($X214-Config!$B$16)/(Config!$B$17-Config!$B$16)*100))))</f>
        <v/>
      </c>
      <c r="Z214" s="40">
        <f>IF($M214="Elite",Config!$B$21,0)</f>
        <v>0</v>
      </c>
      <c r="AA214" s="40" t="str">
        <f>IFERROR(IF(OR($W214="",$H214=""),"",IF($W214&gt;$H214,
  MAX(0, 60-(($W214-$H214)*24/Config!$B$19)*60),
  MIN(100, 60+(($H214-$W214)*24/Config!$B$20)*40)
)),"")
</f>
        <v/>
      </c>
      <c r="AB214" s="40" t="str">
        <f>IF($K214="","",IFERROR(VLOOKUP($K214,Grinders!$A$4:$N$998,10,FALSE)/5*100,""))</f>
        <v/>
      </c>
      <c r="AC214" s="40" t="str">
        <f>IF($K214="","",IFERROR(VLOOKUP($K214,Grinders!$A$4:$N$998,11,FALSE)*100,""))</f>
        <v/>
      </c>
      <c r="AD214" s="40" t="str">
        <f>IF($K214="","",IFERROR(VLOOKUP($K214,Grinders!$A$4:$N$998,12,FALSE)*100,""))</f>
        <v/>
      </c>
      <c r="AE214" s="40" t="str">
        <f>IF(OR(AO214=1,AP214=1),0,=IFERROR(IFS(
    OR($C214="", $K214=""), 0,
    $F214=0, 0,
    $D214&lt;&gt;"Open", 0,
    COUNTIFS(GrinderServices!$A$6:$A$1000, $K214, GrinderServices!$B$6:$B$1000, $E214, GrinderServices!$D$6:$D$1000, "Y")=0, 0,
    $X214&lt;Config!$B$16, 0,
    Config!$B$18=1, IF($O214&gt;=N214, 0, 1),
    TRUE, 1
), "")
)</f>
        <v>#ERROR!</v>
      </c>
      <c r="AF214" s="40" t="str">
        <f>IFERROR((IF(OR(AO214=1,AP214=1),"",=IFERROR((IFERROR(IF($AE214=0,"",((Config!$B$6*$Y214 + Config!$B$7*$U214 + Config!$B$8*$Z214 + Config!$B$9*$AA214 + Config!$B$10*$AB214 + Config!$B$11*$AC214 - Config!$B$12*$AD214)/Config!$B$13)+$AK214+$AL214),""))*(1-IFERROR(VLOOKUP(K214,Grinders!$A:$AB, 28, FALSE),0)),"")))*(1+AR214),"")</f>
        <v>#ERROR!</v>
      </c>
      <c r="AG214" s="40" t="str">
        <f t="shared" si="6"/>
        <v>#ERROR!</v>
      </c>
      <c r="AH214" s="40" t="str">
        <f t="shared" si="7"/>
        <v/>
      </c>
      <c r="AI214" s="40" t="str">
        <f t="shared" si="8"/>
        <v/>
      </c>
      <c r="AJ214" s="40" t="str">
        <f>IF($K214="","",COUNTIF(Assignments!$B$6:$B$1000,$K214))</f>
        <v/>
      </c>
      <c r="AK214" s="40" t="str">
        <f>IF($K214="","",IF(AND($AJ214=0,$O214&lt;$N214),Config!$B$43,0))</f>
        <v/>
      </c>
      <c r="AL214" s="40" t="str">
        <f>IF($K214="","",IF(AND($M214="Elite",$G214&gt;=Config!$B$41,$O214&lt;$N214),Config!$B$42,0))</f>
        <v/>
      </c>
      <c r="AM214" s="22"/>
      <c r="AN214" s="39">
        <f>IFERROR(VLOOKUP(K214,Grinders!$A:$Q,28,FALSE),0)</f>
        <v>0</v>
      </c>
      <c r="AO214" s="39">
        <f>IF(Config!$B$1003&lt;&gt;"Y",0,IF(IFERROR(VLOOKUP(K214,Grinders!$A:$P,27,FALSE),0)&gt;=3,IF(OR(G214&gt;=Config!$B$1001,ISNUMBER(SEARCH(E214,Config!$B$1002))),1,0),0))</f>
        <v>0</v>
      </c>
      <c r="AP214" s="39">
        <f t="array" ref="AP214">IFERROR(IF(INDEX(Bids!$AE:$AE,MATCH(B214,Bids!$A:$A,0))="Pending",1,0),0)</f>
        <v>0</v>
      </c>
      <c r="AQ214" s="39" t="str">
        <f t="array" ref="AQ214">IF(C214="","",IFERROR(XLOOKUP(C214,Assignments!$C:$C,Assignments!$AU:$AU,0),0))</f>
        <v/>
      </c>
      <c r="AR214" s="39">
        <f>IF(AND(Config!$B$1006="Y",AQ214=1),Config!$B$1007,0)</f>
        <v>0</v>
      </c>
    </row>
    <row r="215" ht="15.75" customHeight="1">
      <c r="A215" s="46" t="str">
        <f t="shared" si="1"/>
        <v/>
      </c>
      <c r="B215" s="40" t="str">
        <f>IF(Bids!$A214="","",Bids!$A214)</f>
        <v/>
      </c>
      <c r="C215" s="40" t="str">
        <f>IF(Bids!$B214="","",Bids!$B214)</f>
        <v/>
      </c>
      <c r="D215" s="40" t="str">
        <f>IF($C215="","",IFERROR(VLOOKUP($C215,Orders!$A$4:$J$998,9,FALSE),""))</f>
        <v/>
      </c>
      <c r="E215" s="40" t="str">
        <f>IF($C215="","",IFERROR(VLOOKUP($C215,Orders!$A$4:$J$998,3,FALSE),""))</f>
        <v/>
      </c>
      <c r="F215" s="40">
        <f t="shared" si="2"/>
        <v>1</v>
      </c>
      <c r="G215" s="40" t="str">
        <f>IF($C215="","",IFERROR(VLOOKUP($C215,Orders!$A$4:$J$998,4,FALSE),""))</f>
        <v/>
      </c>
      <c r="H215" s="40" t="str">
        <f>IF($C215="","",IFERROR(VLOOKUP($C215,Orders!$A$4:$J$998,5,FALSE),""))</f>
        <v/>
      </c>
      <c r="I215" s="40" t="str">
        <f>IF($C215="","",IFERROR(VLOOKUP($C215,Orders!$A$4:$J$998,6,FALSE),""))</f>
        <v/>
      </c>
      <c r="J215" s="40" t="str">
        <f>IF($C215="","",IFERROR(VLOOKUP($C215,Orders!$A$4:$J$998,7,FALSE),""))</f>
        <v/>
      </c>
      <c r="K215" s="40" t="str">
        <f>IF(Bids!$C214="","",Bids!$C214)</f>
        <v/>
      </c>
      <c r="L215" s="40" t="str">
        <f>IF($K215="","",IFERROR(VLOOKUP($K215,Grinders!$A$4:$N$998,2,FALSE),""))</f>
        <v/>
      </c>
      <c r="M215" s="40" t="str">
        <f>IF($K215="","",IFERROR(VLOOKUP($K215,Grinders!$A$4:$N$998,3,FALSE),""))</f>
        <v/>
      </c>
      <c r="N215" s="40" t="str">
        <f>IF($K215="","",IFERROR(VLOOKUP($K215,Grinders!$A$4:$N$998,4,FALSE),""))</f>
        <v/>
      </c>
      <c r="O215" s="40" t="str">
        <f>IF($K215="","",IFERROR(VLOOKUP($K215,Grinders!$A$4:$N$998,5,FALSE),""))</f>
        <v/>
      </c>
      <c r="P215" s="40" t="str">
        <f>IF($K215="","",IF($C$4="",0,COUNTIFS(Assignments!$B$6:$B$1000,$K215,Assignments!$F$6:$F$1000,$C$4,Assignments!$E$6:$E$1000,"Active")))</f>
        <v/>
      </c>
      <c r="Q215" s="40" t="str">
        <f t="shared" si="3"/>
        <v/>
      </c>
      <c r="R215" s="40" t="str">
        <f t="shared" si="4"/>
        <v/>
      </c>
      <c r="S215" s="40" t="str">
        <f>IF($K215="","",IF($C$4="",0,COUNTIFS(Assignments!$B$6:$B$1000,$K215,Assignments!$F$6:$F$1000,$C$4,Assignments!$D$6:$D$1000,"&gt;="&amp;Config!$B$3-7,Assignments!$D$6:$D$1000,"&lt;="&amp;Config!$B$3)))</f>
        <v/>
      </c>
      <c r="T215" s="40" t="str">
        <f>IF($K215="","",IFERROR(VLOOKUP($K215,Grinders!$A$4:$N$998,8,FALSE),""))</f>
        <v/>
      </c>
      <c r="U215" s="40" t="str">
        <f>IFERROR(IF($K215="","",IF($M215="Elite",MAX(50,MIN(100,Config!$B$27*MAX(0,MIN(100,(1-IF($R215="",0,$R215))*100)) + Config!$B$28*MAX(0,MIN(100,(1-MIN(1,IF(Config!$B$30=0,1,$S215/Config!$B$30)))*100)) + Config!$B$29*MAX(0,MIN(100,MIN(1,IF($T215="",0,$T215)/Config!$B$23)*100)))),MIN(100,Config!$B$27*MAX(0,MIN(100,(1-IF($R215="",0,$R215))*100)) + Config!$B$28*MAX(0,MIN(100,(1-MIN(1,IF(Config!$B$30=0,1,$S215/Config!$B$30)))*100)) + Config!$B$29*MAX(0,MIN(100,MIN(1,IF($T215="",0,$T215)/Config!$B$23)*100))))),"")
</f>
        <v/>
      </c>
      <c r="V215" s="40" t="str">
        <f>IF(Bids!$AC215="","",Bids!$AC215)</f>
        <v/>
      </c>
      <c r="W215" s="40" t="str">
        <f>IF(Bids!$F214="","",Bids!$F214)</f>
        <v/>
      </c>
      <c r="X215" s="40" t="str">
        <f t="shared" si="5"/>
        <v/>
      </c>
      <c r="Y215" s="40" t="str">
        <f>IF($X215="","",IF(Config!$B$17=Config!$B$16,IF($X215&gt;=Config!$B$17,100,0),MAX(0,MIN(100,($X215-Config!$B$16)/(Config!$B$17-Config!$B$16)*100))))</f>
        <v/>
      </c>
      <c r="Z215" s="40">
        <f>IF($M215="Elite",Config!$B$21,0)</f>
        <v>0</v>
      </c>
      <c r="AA215" s="40" t="str">
        <f>IFERROR(IF(OR($W215="",$H215=""),"",IF($W215&gt;$H215,
  MAX(0, 60-(($W215-$H215)*24/Config!$B$19)*60),
  MIN(100, 60+(($H215-$W215)*24/Config!$B$20)*40)
)),"")
</f>
        <v/>
      </c>
      <c r="AB215" s="40" t="str">
        <f>IF($K215="","",IFERROR(VLOOKUP($K215,Grinders!$A$4:$N$998,10,FALSE)/5*100,""))</f>
        <v/>
      </c>
      <c r="AC215" s="40" t="str">
        <f>IF($K215="","",IFERROR(VLOOKUP($K215,Grinders!$A$4:$N$998,11,FALSE)*100,""))</f>
        <v/>
      </c>
      <c r="AD215" s="40" t="str">
        <f>IF($K215="","",IFERROR(VLOOKUP($K215,Grinders!$A$4:$N$998,12,FALSE)*100,""))</f>
        <v/>
      </c>
      <c r="AE215" s="40" t="str">
        <f>IF(OR(AO215=1,AP215=1),0,=IFERROR(IFS(
    OR($C215="", $K215=""), 0,
    $F215=0, 0,
    $D215&lt;&gt;"Open", 0,
    COUNTIFS(GrinderServices!$A$6:$A$1000, $K215, GrinderServices!$B$6:$B$1000, $E215, GrinderServices!$D$6:$D$1000, "Y")=0, 0,
    $X215&lt;Config!$B$16, 0,
    Config!$B$18=1, IF($O215&gt;=N215, 0, 1),
    TRUE, 1
), "")
)</f>
        <v>#ERROR!</v>
      </c>
      <c r="AF215" s="40" t="str">
        <f>IFERROR((IF(OR(AO215=1,AP215=1),"",=IFERROR((IFERROR(IF($AE215=0,"",((Config!$B$6*$Y215 + Config!$B$7*$U215 + Config!$B$8*$Z215 + Config!$B$9*$AA215 + Config!$B$10*$AB215 + Config!$B$11*$AC215 - Config!$B$12*$AD215)/Config!$B$13)+$AK215+$AL215),""))*(1-IFERROR(VLOOKUP(K215,Grinders!$A:$AB, 28, FALSE),0)),"")))*(1+AR215),"")</f>
        <v>#ERROR!</v>
      </c>
      <c r="AG215" s="40" t="str">
        <f t="shared" si="6"/>
        <v>#ERROR!</v>
      </c>
      <c r="AH215" s="40" t="str">
        <f t="shared" si="7"/>
        <v/>
      </c>
      <c r="AI215" s="40" t="str">
        <f t="shared" si="8"/>
        <v/>
      </c>
      <c r="AJ215" s="40" t="str">
        <f>IF($K215="","",COUNTIF(Assignments!$B$6:$B$1000,$K215))</f>
        <v/>
      </c>
      <c r="AK215" s="40" t="str">
        <f>IF($K215="","",IF(AND($AJ215=0,$O215&lt;$N215),Config!$B$43,0))</f>
        <v/>
      </c>
      <c r="AL215" s="40" t="str">
        <f>IF($K215="","",IF(AND($M215="Elite",$G215&gt;=Config!$B$41,$O215&lt;$N215),Config!$B$42,0))</f>
        <v/>
      </c>
      <c r="AM215" s="22"/>
      <c r="AN215" s="39">
        <f>IFERROR(VLOOKUP(K215,Grinders!$A:$Q,28,FALSE),0)</f>
        <v>0</v>
      </c>
      <c r="AO215" s="39">
        <f>IF(Config!$B$1003&lt;&gt;"Y",0,IF(IFERROR(VLOOKUP(K215,Grinders!$A:$P,27,FALSE),0)&gt;=3,IF(OR(G215&gt;=Config!$B$1001,ISNUMBER(SEARCH(E215,Config!$B$1002))),1,0),0))</f>
        <v>0</v>
      </c>
      <c r="AP215" s="39">
        <f t="array" ref="AP215">IFERROR(IF(INDEX(Bids!$AE:$AE,MATCH(B215,Bids!$A:$A,0))="Pending",1,0),0)</f>
        <v>0</v>
      </c>
      <c r="AQ215" s="39" t="str">
        <f t="array" ref="AQ215">IF(C215="","",IFERROR(XLOOKUP(C215,Assignments!$C:$C,Assignments!$AU:$AU,0),0))</f>
        <v/>
      </c>
      <c r="AR215" s="39">
        <f>IF(AND(Config!$B$1006="Y",AQ215=1),Config!$B$1007,0)</f>
        <v>0</v>
      </c>
    </row>
    <row r="216" ht="15.75" customHeight="1">
      <c r="A216" s="46" t="str">
        <f t="shared" si="1"/>
        <v/>
      </c>
      <c r="B216" s="40" t="str">
        <f>IF(Bids!$A215="","",Bids!$A215)</f>
        <v/>
      </c>
      <c r="C216" s="40" t="str">
        <f>IF(Bids!$B215="","",Bids!$B215)</f>
        <v/>
      </c>
      <c r="D216" s="40" t="str">
        <f>IF($C216="","",IFERROR(VLOOKUP($C216,Orders!$A$4:$J$998,9,FALSE),""))</f>
        <v/>
      </c>
      <c r="E216" s="40" t="str">
        <f>IF($C216="","",IFERROR(VLOOKUP($C216,Orders!$A$4:$J$998,3,FALSE),""))</f>
        <v/>
      </c>
      <c r="F216" s="40">
        <f t="shared" si="2"/>
        <v>1</v>
      </c>
      <c r="G216" s="40" t="str">
        <f>IF($C216="","",IFERROR(VLOOKUP($C216,Orders!$A$4:$J$998,4,FALSE),""))</f>
        <v/>
      </c>
      <c r="H216" s="40" t="str">
        <f>IF($C216="","",IFERROR(VLOOKUP($C216,Orders!$A$4:$J$998,5,FALSE),""))</f>
        <v/>
      </c>
      <c r="I216" s="40" t="str">
        <f>IF($C216="","",IFERROR(VLOOKUP($C216,Orders!$A$4:$J$998,6,FALSE),""))</f>
        <v/>
      </c>
      <c r="J216" s="40" t="str">
        <f>IF($C216="","",IFERROR(VLOOKUP($C216,Orders!$A$4:$J$998,7,FALSE),""))</f>
        <v/>
      </c>
      <c r="K216" s="40" t="str">
        <f>IF(Bids!$C215="","",Bids!$C215)</f>
        <v/>
      </c>
      <c r="L216" s="40" t="str">
        <f>IF($K216="","",IFERROR(VLOOKUP($K216,Grinders!$A$4:$N$998,2,FALSE),""))</f>
        <v/>
      </c>
      <c r="M216" s="40" t="str">
        <f>IF($K216="","",IFERROR(VLOOKUP($K216,Grinders!$A$4:$N$998,3,FALSE),""))</f>
        <v/>
      </c>
      <c r="N216" s="40" t="str">
        <f>IF($K216="","",IFERROR(VLOOKUP($K216,Grinders!$A$4:$N$998,4,FALSE),""))</f>
        <v/>
      </c>
      <c r="O216" s="40" t="str">
        <f>IF($K216="","",IFERROR(VLOOKUP($K216,Grinders!$A$4:$N$998,5,FALSE),""))</f>
        <v/>
      </c>
      <c r="P216" s="40" t="str">
        <f>IF($K216="","",IF($C$4="",0,COUNTIFS(Assignments!$B$6:$B$1000,$K216,Assignments!$F$6:$F$1000,$C$4,Assignments!$E$6:$E$1000,"Active")))</f>
        <v/>
      </c>
      <c r="Q216" s="40" t="str">
        <f t="shared" si="3"/>
        <v/>
      </c>
      <c r="R216" s="40" t="str">
        <f t="shared" si="4"/>
        <v/>
      </c>
      <c r="S216" s="40" t="str">
        <f>IF($K216="","",IF($C$4="",0,COUNTIFS(Assignments!$B$6:$B$1000,$K216,Assignments!$F$6:$F$1000,$C$4,Assignments!$D$6:$D$1000,"&gt;="&amp;Config!$B$3-7,Assignments!$D$6:$D$1000,"&lt;="&amp;Config!$B$3)))</f>
        <v/>
      </c>
      <c r="T216" s="40" t="str">
        <f>IF($K216="","",IFERROR(VLOOKUP($K216,Grinders!$A$4:$N$998,8,FALSE),""))</f>
        <v/>
      </c>
      <c r="U216" s="40" t="str">
        <f>IFERROR(IF($K216="","",IF($M216="Elite",MAX(50,MIN(100,Config!$B$27*MAX(0,MIN(100,(1-IF($R216="",0,$R216))*100)) + Config!$B$28*MAX(0,MIN(100,(1-MIN(1,IF(Config!$B$30=0,1,$S216/Config!$B$30)))*100)) + Config!$B$29*MAX(0,MIN(100,MIN(1,IF($T216="",0,$T216)/Config!$B$23)*100)))),MIN(100,Config!$B$27*MAX(0,MIN(100,(1-IF($R216="",0,$R216))*100)) + Config!$B$28*MAX(0,MIN(100,(1-MIN(1,IF(Config!$B$30=0,1,$S216/Config!$B$30)))*100)) + Config!$B$29*MAX(0,MIN(100,MIN(1,IF($T216="",0,$T216)/Config!$B$23)*100))))),"")
</f>
        <v/>
      </c>
      <c r="V216" s="40" t="str">
        <f>IF(Bids!$AC216="","",Bids!$AC216)</f>
        <v/>
      </c>
      <c r="W216" s="40" t="str">
        <f>IF(Bids!$F215="","",Bids!$F215)</f>
        <v/>
      </c>
      <c r="X216" s="40" t="str">
        <f t="shared" si="5"/>
        <v/>
      </c>
      <c r="Y216" s="40" t="str">
        <f>IF($X216="","",IF(Config!$B$17=Config!$B$16,IF($X216&gt;=Config!$B$17,100,0),MAX(0,MIN(100,($X216-Config!$B$16)/(Config!$B$17-Config!$B$16)*100))))</f>
        <v/>
      </c>
      <c r="Z216" s="40">
        <f>IF($M216="Elite",Config!$B$21,0)</f>
        <v>0</v>
      </c>
      <c r="AA216" s="40" t="str">
        <f>IFERROR(IF(OR($W216="",$H216=""),"",IF($W216&gt;$H216,
  MAX(0, 60-(($W216-$H216)*24/Config!$B$19)*60),
  MIN(100, 60+(($H216-$W216)*24/Config!$B$20)*40)
)),"")
</f>
        <v/>
      </c>
      <c r="AB216" s="40" t="str">
        <f>IF($K216="","",IFERROR(VLOOKUP($K216,Grinders!$A$4:$N$998,10,FALSE)/5*100,""))</f>
        <v/>
      </c>
      <c r="AC216" s="40" t="str">
        <f>IF($K216="","",IFERROR(VLOOKUP($K216,Grinders!$A$4:$N$998,11,FALSE)*100,""))</f>
        <v/>
      </c>
      <c r="AD216" s="40" t="str">
        <f>IF($K216="","",IFERROR(VLOOKUP($K216,Grinders!$A$4:$N$998,12,FALSE)*100,""))</f>
        <v/>
      </c>
      <c r="AE216" s="40" t="str">
        <f>IF(OR(AO216=1,AP216=1),0,=IFERROR(IFS(
    OR($C216="", $K216=""), 0,
    $F216=0, 0,
    $D216&lt;&gt;"Open", 0,
    COUNTIFS(GrinderServices!$A$6:$A$1000, $K216, GrinderServices!$B$6:$B$1000, $E216, GrinderServices!$D$6:$D$1000, "Y")=0, 0,
    $X216&lt;Config!$B$16, 0,
    Config!$B$18=1, IF($O216&gt;=N216, 0, 1),
    TRUE, 1
), "")
)</f>
        <v>#ERROR!</v>
      </c>
      <c r="AF216" s="40" t="str">
        <f>IFERROR((IF(OR(AO216=1,AP216=1),"",=IFERROR((IFERROR(IF($AE216=0,"",((Config!$B$6*$Y216 + Config!$B$7*$U216 + Config!$B$8*$Z216 + Config!$B$9*$AA216 + Config!$B$10*$AB216 + Config!$B$11*$AC216 - Config!$B$12*$AD216)/Config!$B$13)+$AK216+$AL216),""))*(1-IFERROR(VLOOKUP(K216,Grinders!$A:$AB, 28, FALSE),0)),"")))*(1+AR216),"")</f>
        <v>#ERROR!</v>
      </c>
      <c r="AG216" s="40" t="str">
        <f t="shared" si="6"/>
        <v>#ERROR!</v>
      </c>
      <c r="AH216" s="40" t="str">
        <f t="shared" si="7"/>
        <v/>
      </c>
      <c r="AI216" s="40" t="str">
        <f t="shared" si="8"/>
        <v/>
      </c>
      <c r="AJ216" s="40" t="str">
        <f>IF($K216="","",COUNTIF(Assignments!$B$6:$B$1000,$K216))</f>
        <v/>
      </c>
      <c r="AK216" s="40" t="str">
        <f>IF($K216="","",IF(AND($AJ216=0,$O216&lt;$N216),Config!$B$43,0))</f>
        <v/>
      </c>
      <c r="AL216" s="40" t="str">
        <f>IF($K216="","",IF(AND($M216="Elite",$G216&gt;=Config!$B$41,$O216&lt;$N216),Config!$B$42,0))</f>
        <v/>
      </c>
      <c r="AM216" s="22"/>
      <c r="AN216" s="39">
        <f>IFERROR(VLOOKUP(K216,Grinders!$A:$Q,28,FALSE),0)</f>
        <v>0</v>
      </c>
      <c r="AO216" s="39">
        <f>IF(Config!$B$1003&lt;&gt;"Y",0,IF(IFERROR(VLOOKUP(K216,Grinders!$A:$P,27,FALSE),0)&gt;=3,IF(OR(G216&gt;=Config!$B$1001,ISNUMBER(SEARCH(E216,Config!$B$1002))),1,0),0))</f>
        <v>0</v>
      </c>
      <c r="AP216" s="39">
        <f t="array" ref="AP216">IFERROR(IF(INDEX(Bids!$AE:$AE,MATCH(B216,Bids!$A:$A,0))="Pending",1,0),0)</f>
        <v>0</v>
      </c>
      <c r="AQ216" s="39" t="str">
        <f t="array" ref="AQ216">IF(C216="","",IFERROR(XLOOKUP(C216,Assignments!$C:$C,Assignments!$AU:$AU,0),0))</f>
        <v/>
      </c>
      <c r="AR216" s="39">
        <f>IF(AND(Config!$B$1006="Y",AQ216=1),Config!$B$1007,0)</f>
        <v>0</v>
      </c>
    </row>
    <row r="217" ht="15.75" customHeight="1">
      <c r="A217" s="46" t="str">
        <f t="shared" si="1"/>
        <v/>
      </c>
      <c r="B217" s="40" t="str">
        <f>IF(Bids!$A216="","",Bids!$A216)</f>
        <v/>
      </c>
      <c r="C217" s="40" t="str">
        <f>IF(Bids!$B216="","",Bids!$B216)</f>
        <v/>
      </c>
      <c r="D217" s="40" t="str">
        <f>IF($C217="","",IFERROR(VLOOKUP($C217,Orders!$A$4:$J$998,9,FALSE),""))</f>
        <v/>
      </c>
      <c r="E217" s="40" t="str">
        <f>IF($C217="","",IFERROR(VLOOKUP($C217,Orders!$A$4:$J$998,3,FALSE),""))</f>
        <v/>
      </c>
      <c r="F217" s="40">
        <f t="shared" si="2"/>
        <v>1</v>
      </c>
      <c r="G217" s="40" t="str">
        <f>IF($C217="","",IFERROR(VLOOKUP($C217,Orders!$A$4:$J$998,4,FALSE),""))</f>
        <v/>
      </c>
      <c r="H217" s="40" t="str">
        <f>IF($C217="","",IFERROR(VLOOKUP($C217,Orders!$A$4:$J$998,5,FALSE),""))</f>
        <v/>
      </c>
      <c r="I217" s="40" t="str">
        <f>IF($C217="","",IFERROR(VLOOKUP($C217,Orders!$A$4:$J$998,6,FALSE),""))</f>
        <v/>
      </c>
      <c r="J217" s="40" t="str">
        <f>IF($C217="","",IFERROR(VLOOKUP($C217,Orders!$A$4:$J$998,7,FALSE),""))</f>
        <v/>
      </c>
      <c r="K217" s="40" t="str">
        <f>IF(Bids!$C216="","",Bids!$C216)</f>
        <v/>
      </c>
      <c r="L217" s="40" t="str">
        <f>IF($K217="","",IFERROR(VLOOKUP($K217,Grinders!$A$4:$N$998,2,FALSE),""))</f>
        <v/>
      </c>
      <c r="M217" s="40" t="str">
        <f>IF($K217="","",IFERROR(VLOOKUP($K217,Grinders!$A$4:$N$998,3,FALSE),""))</f>
        <v/>
      </c>
      <c r="N217" s="40" t="str">
        <f>IF($K217="","",IFERROR(VLOOKUP($K217,Grinders!$A$4:$N$998,4,FALSE),""))</f>
        <v/>
      </c>
      <c r="O217" s="40" t="str">
        <f>IF($K217="","",IFERROR(VLOOKUP($K217,Grinders!$A$4:$N$998,5,FALSE),""))</f>
        <v/>
      </c>
      <c r="P217" s="40" t="str">
        <f>IF($K217="","",IF($C$4="",0,COUNTIFS(Assignments!$B$6:$B$1000,$K217,Assignments!$F$6:$F$1000,$C$4,Assignments!$E$6:$E$1000,"Active")))</f>
        <v/>
      </c>
      <c r="Q217" s="40" t="str">
        <f t="shared" si="3"/>
        <v/>
      </c>
      <c r="R217" s="40" t="str">
        <f t="shared" si="4"/>
        <v/>
      </c>
      <c r="S217" s="40" t="str">
        <f>IF($K217="","",IF($C$4="",0,COUNTIFS(Assignments!$B$6:$B$1000,$K217,Assignments!$F$6:$F$1000,$C$4,Assignments!$D$6:$D$1000,"&gt;="&amp;Config!$B$3-7,Assignments!$D$6:$D$1000,"&lt;="&amp;Config!$B$3)))</f>
        <v/>
      </c>
      <c r="T217" s="40" t="str">
        <f>IF($K217="","",IFERROR(VLOOKUP($K217,Grinders!$A$4:$N$998,8,FALSE),""))</f>
        <v/>
      </c>
      <c r="U217" s="40" t="str">
        <f>IFERROR(IF($K217="","",IF($M217="Elite",MAX(50,MIN(100,Config!$B$27*MAX(0,MIN(100,(1-IF($R217="",0,$R217))*100)) + Config!$B$28*MAX(0,MIN(100,(1-MIN(1,IF(Config!$B$30=0,1,$S217/Config!$B$30)))*100)) + Config!$B$29*MAX(0,MIN(100,MIN(1,IF($T217="",0,$T217)/Config!$B$23)*100)))),MIN(100,Config!$B$27*MAX(0,MIN(100,(1-IF($R217="",0,$R217))*100)) + Config!$B$28*MAX(0,MIN(100,(1-MIN(1,IF(Config!$B$30=0,1,$S217/Config!$B$30)))*100)) + Config!$B$29*MAX(0,MIN(100,MIN(1,IF($T217="",0,$T217)/Config!$B$23)*100))))),"")
</f>
        <v/>
      </c>
      <c r="V217" s="40" t="str">
        <f>IF(Bids!$AC217="","",Bids!$AC217)</f>
        <v/>
      </c>
      <c r="W217" s="40" t="str">
        <f>IF(Bids!$F216="","",Bids!$F216)</f>
        <v/>
      </c>
      <c r="X217" s="40" t="str">
        <f t="shared" si="5"/>
        <v/>
      </c>
      <c r="Y217" s="40" t="str">
        <f>IF($X217="","",IF(Config!$B$17=Config!$B$16,IF($X217&gt;=Config!$B$17,100,0),MAX(0,MIN(100,($X217-Config!$B$16)/(Config!$B$17-Config!$B$16)*100))))</f>
        <v/>
      </c>
      <c r="Z217" s="40">
        <f>IF($M217="Elite",Config!$B$21,0)</f>
        <v>0</v>
      </c>
      <c r="AA217" s="40" t="str">
        <f>IFERROR(IF(OR($W217="",$H217=""),"",IF($W217&gt;$H217,
  MAX(0, 60-(($W217-$H217)*24/Config!$B$19)*60),
  MIN(100, 60+(($H217-$W217)*24/Config!$B$20)*40)
)),"")
</f>
        <v/>
      </c>
      <c r="AB217" s="40" t="str">
        <f>IF($K217="","",IFERROR(VLOOKUP($K217,Grinders!$A$4:$N$998,10,FALSE)/5*100,""))</f>
        <v/>
      </c>
      <c r="AC217" s="40" t="str">
        <f>IF($K217="","",IFERROR(VLOOKUP($K217,Grinders!$A$4:$N$998,11,FALSE)*100,""))</f>
        <v/>
      </c>
      <c r="AD217" s="40" t="str">
        <f>IF($K217="","",IFERROR(VLOOKUP($K217,Grinders!$A$4:$N$998,12,FALSE)*100,""))</f>
        <v/>
      </c>
      <c r="AE217" s="40" t="str">
        <f>IF(OR(AO217=1,AP217=1),0,=IFERROR(IFS(
    OR($C217="", $K217=""), 0,
    $F217=0, 0,
    $D217&lt;&gt;"Open", 0,
    COUNTIFS(GrinderServices!$A$6:$A$1000, $K217, GrinderServices!$B$6:$B$1000, $E217, GrinderServices!$D$6:$D$1000, "Y")=0, 0,
    $X217&lt;Config!$B$16, 0,
    Config!$B$18=1, IF($O217&gt;=N217, 0, 1),
    TRUE, 1
), "")
)</f>
        <v>#ERROR!</v>
      </c>
      <c r="AF217" s="40" t="str">
        <f>IFERROR((IF(OR(AO217=1,AP217=1),"",=IFERROR((IFERROR(IF($AE217=0,"",((Config!$B$6*$Y217 + Config!$B$7*$U217 + Config!$B$8*$Z217 + Config!$B$9*$AA217 + Config!$B$10*$AB217 + Config!$B$11*$AC217 - Config!$B$12*$AD217)/Config!$B$13)+$AK217+$AL217),""))*(1-IFERROR(VLOOKUP(K217,Grinders!$A:$AB, 28, FALSE),0)),"")))*(1+AR217),"")</f>
        <v>#ERROR!</v>
      </c>
      <c r="AG217" s="40" t="str">
        <f t="shared" si="6"/>
        <v>#ERROR!</v>
      </c>
      <c r="AH217" s="40" t="str">
        <f t="shared" si="7"/>
        <v/>
      </c>
      <c r="AI217" s="40" t="str">
        <f t="shared" si="8"/>
        <v/>
      </c>
      <c r="AJ217" s="40" t="str">
        <f>IF($K217="","",COUNTIF(Assignments!$B$6:$B$1000,$K217))</f>
        <v/>
      </c>
      <c r="AK217" s="40" t="str">
        <f>IF($K217="","",IF(AND($AJ217=0,$O217&lt;$N217),Config!$B$43,0))</f>
        <v/>
      </c>
      <c r="AL217" s="40" t="str">
        <f>IF($K217="","",IF(AND($M217="Elite",$G217&gt;=Config!$B$41,$O217&lt;$N217),Config!$B$42,0))</f>
        <v/>
      </c>
      <c r="AM217" s="22"/>
      <c r="AN217" s="39">
        <f>IFERROR(VLOOKUP(K217,Grinders!$A:$Q,28,FALSE),0)</f>
        <v>0</v>
      </c>
      <c r="AO217" s="39">
        <f>IF(Config!$B$1003&lt;&gt;"Y",0,IF(IFERROR(VLOOKUP(K217,Grinders!$A:$P,27,FALSE),0)&gt;=3,IF(OR(G217&gt;=Config!$B$1001,ISNUMBER(SEARCH(E217,Config!$B$1002))),1,0),0))</f>
        <v>0</v>
      </c>
      <c r="AP217" s="39">
        <f t="array" ref="AP217">IFERROR(IF(INDEX(Bids!$AE:$AE,MATCH(B217,Bids!$A:$A,0))="Pending",1,0),0)</f>
        <v>0</v>
      </c>
      <c r="AQ217" s="39" t="str">
        <f t="array" ref="AQ217">IF(C217="","",IFERROR(XLOOKUP(C217,Assignments!$C:$C,Assignments!$AU:$AU,0),0))</f>
        <v/>
      </c>
      <c r="AR217" s="39">
        <f>IF(AND(Config!$B$1006="Y",AQ217=1),Config!$B$1007,0)</f>
        <v>0</v>
      </c>
    </row>
    <row r="218" ht="15.75" customHeight="1">
      <c r="A218" s="46" t="str">
        <f t="shared" si="1"/>
        <v/>
      </c>
      <c r="B218" s="40" t="str">
        <f>IF(Bids!$A217="","",Bids!$A217)</f>
        <v/>
      </c>
      <c r="C218" s="40" t="str">
        <f>IF(Bids!$B217="","",Bids!$B217)</f>
        <v/>
      </c>
      <c r="D218" s="40" t="str">
        <f>IF($C218="","",IFERROR(VLOOKUP($C218,Orders!$A$4:$J$998,9,FALSE),""))</f>
        <v/>
      </c>
      <c r="E218" s="40" t="str">
        <f>IF($C218="","",IFERROR(VLOOKUP($C218,Orders!$A$4:$J$998,3,FALSE),""))</f>
        <v/>
      </c>
      <c r="F218" s="40">
        <f t="shared" si="2"/>
        <v>1</v>
      </c>
      <c r="G218" s="40" t="str">
        <f>IF($C218="","",IFERROR(VLOOKUP($C218,Orders!$A$4:$J$998,4,FALSE),""))</f>
        <v/>
      </c>
      <c r="H218" s="40" t="str">
        <f>IF($C218="","",IFERROR(VLOOKUP($C218,Orders!$A$4:$J$998,5,FALSE),""))</f>
        <v/>
      </c>
      <c r="I218" s="40" t="str">
        <f>IF($C218="","",IFERROR(VLOOKUP($C218,Orders!$A$4:$J$998,6,FALSE),""))</f>
        <v/>
      </c>
      <c r="J218" s="40" t="str">
        <f>IF($C218="","",IFERROR(VLOOKUP($C218,Orders!$A$4:$J$998,7,FALSE),""))</f>
        <v/>
      </c>
      <c r="K218" s="40" t="str">
        <f>IF(Bids!$C217="","",Bids!$C217)</f>
        <v/>
      </c>
      <c r="L218" s="40" t="str">
        <f>IF($K218="","",IFERROR(VLOOKUP($K218,Grinders!$A$4:$N$998,2,FALSE),""))</f>
        <v/>
      </c>
      <c r="M218" s="40" t="str">
        <f>IF($K218="","",IFERROR(VLOOKUP($K218,Grinders!$A$4:$N$998,3,FALSE),""))</f>
        <v/>
      </c>
      <c r="N218" s="40" t="str">
        <f>IF($K218="","",IFERROR(VLOOKUP($K218,Grinders!$A$4:$N$998,4,FALSE),""))</f>
        <v/>
      </c>
      <c r="O218" s="40" t="str">
        <f>IF($K218="","",IFERROR(VLOOKUP($K218,Grinders!$A$4:$N$998,5,FALSE),""))</f>
        <v/>
      </c>
      <c r="P218" s="40" t="str">
        <f>IF($K218="","",IF($C$4="",0,COUNTIFS(Assignments!$B$6:$B$1000,$K218,Assignments!$F$6:$F$1000,$C$4,Assignments!$E$6:$E$1000,"Active")))</f>
        <v/>
      </c>
      <c r="Q218" s="40" t="str">
        <f t="shared" si="3"/>
        <v/>
      </c>
      <c r="R218" s="40" t="str">
        <f t="shared" si="4"/>
        <v/>
      </c>
      <c r="S218" s="40" t="str">
        <f>IF($K218="","",IF($C$4="",0,COUNTIFS(Assignments!$B$6:$B$1000,$K218,Assignments!$F$6:$F$1000,$C$4,Assignments!$D$6:$D$1000,"&gt;="&amp;Config!$B$3-7,Assignments!$D$6:$D$1000,"&lt;="&amp;Config!$B$3)))</f>
        <v/>
      </c>
      <c r="T218" s="40" t="str">
        <f>IF($K218="","",IFERROR(VLOOKUP($K218,Grinders!$A$4:$N$998,8,FALSE),""))</f>
        <v/>
      </c>
      <c r="U218" s="40" t="str">
        <f>IFERROR(IF($K218="","",IF($M218="Elite",MAX(50,MIN(100,Config!$B$27*MAX(0,MIN(100,(1-IF($R218="",0,$R218))*100)) + Config!$B$28*MAX(0,MIN(100,(1-MIN(1,IF(Config!$B$30=0,1,$S218/Config!$B$30)))*100)) + Config!$B$29*MAX(0,MIN(100,MIN(1,IF($T218="",0,$T218)/Config!$B$23)*100)))),MIN(100,Config!$B$27*MAX(0,MIN(100,(1-IF($R218="",0,$R218))*100)) + Config!$B$28*MAX(0,MIN(100,(1-MIN(1,IF(Config!$B$30=0,1,$S218/Config!$B$30)))*100)) + Config!$B$29*MAX(0,MIN(100,MIN(1,IF($T218="",0,$T218)/Config!$B$23)*100))))),"")
</f>
        <v/>
      </c>
      <c r="V218" s="40" t="str">
        <f>IF(Bids!$AC218="","",Bids!$AC218)</f>
        <v/>
      </c>
      <c r="W218" s="40" t="str">
        <f>IF(Bids!$F217="","",Bids!$F217)</f>
        <v/>
      </c>
      <c r="X218" s="40" t="str">
        <f t="shared" si="5"/>
        <v/>
      </c>
      <c r="Y218" s="40" t="str">
        <f>IF($X218="","",IF(Config!$B$17=Config!$B$16,IF($X218&gt;=Config!$B$17,100,0),MAX(0,MIN(100,($X218-Config!$B$16)/(Config!$B$17-Config!$B$16)*100))))</f>
        <v/>
      </c>
      <c r="Z218" s="40">
        <f>IF($M218="Elite",Config!$B$21,0)</f>
        <v>0</v>
      </c>
      <c r="AA218" s="40" t="str">
        <f>IFERROR(IF(OR($W218="",$H218=""),"",IF($W218&gt;$H218,
  MAX(0, 60-(($W218-$H218)*24/Config!$B$19)*60),
  MIN(100, 60+(($H218-$W218)*24/Config!$B$20)*40)
)),"")
</f>
        <v/>
      </c>
      <c r="AB218" s="40" t="str">
        <f>IF($K218="","",IFERROR(VLOOKUP($K218,Grinders!$A$4:$N$998,10,FALSE)/5*100,""))</f>
        <v/>
      </c>
      <c r="AC218" s="40" t="str">
        <f>IF($K218="","",IFERROR(VLOOKUP($K218,Grinders!$A$4:$N$998,11,FALSE)*100,""))</f>
        <v/>
      </c>
      <c r="AD218" s="40" t="str">
        <f>IF($K218="","",IFERROR(VLOOKUP($K218,Grinders!$A$4:$N$998,12,FALSE)*100,""))</f>
        <v/>
      </c>
      <c r="AE218" s="40" t="str">
        <f>IF(OR(AO218=1,AP218=1),0,=IFERROR(IFS(
    OR($C218="", $K218=""), 0,
    $F218=0, 0,
    $D218&lt;&gt;"Open", 0,
    COUNTIFS(GrinderServices!$A$6:$A$1000, $K218, GrinderServices!$B$6:$B$1000, $E218, GrinderServices!$D$6:$D$1000, "Y")=0, 0,
    $X218&lt;Config!$B$16, 0,
    Config!$B$18=1, IF($O218&gt;=N218, 0, 1),
    TRUE, 1
), "")
)</f>
        <v>#ERROR!</v>
      </c>
      <c r="AF218" s="40" t="str">
        <f>IFERROR((IF(OR(AO218=1,AP218=1),"",=IFERROR((IFERROR(IF($AE218=0,"",((Config!$B$6*$Y218 + Config!$B$7*$U218 + Config!$B$8*$Z218 + Config!$B$9*$AA218 + Config!$B$10*$AB218 + Config!$B$11*$AC218 - Config!$B$12*$AD218)/Config!$B$13)+$AK218+$AL218),""))*(1-IFERROR(VLOOKUP(K218,Grinders!$A:$AB, 28, FALSE),0)),"")))*(1+AR218),"")</f>
        <v>#ERROR!</v>
      </c>
      <c r="AG218" s="40" t="str">
        <f t="shared" si="6"/>
        <v>#ERROR!</v>
      </c>
      <c r="AH218" s="40" t="str">
        <f t="shared" si="7"/>
        <v/>
      </c>
      <c r="AI218" s="40" t="str">
        <f t="shared" si="8"/>
        <v/>
      </c>
      <c r="AJ218" s="40" t="str">
        <f>IF($K218="","",COUNTIF(Assignments!$B$6:$B$1000,$K218))</f>
        <v/>
      </c>
      <c r="AK218" s="40" t="str">
        <f>IF($K218="","",IF(AND($AJ218=0,$O218&lt;$N218),Config!$B$43,0))</f>
        <v/>
      </c>
      <c r="AL218" s="40" t="str">
        <f>IF($K218="","",IF(AND($M218="Elite",$G218&gt;=Config!$B$41,$O218&lt;$N218),Config!$B$42,0))</f>
        <v/>
      </c>
      <c r="AM218" s="22"/>
      <c r="AN218" s="39">
        <f>IFERROR(VLOOKUP(K218,Grinders!$A:$Q,28,FALSE),0)</f>
        <v>0</v>
      </c>
      <c r="AO218" s="39">
        <f>IF(Config!$B$1003&lt;&gt;"Y",0,IF(IFERROR(VLOOKUP(K218,Grinders!$A:$P,27,FALSE),0)&gt;=3,IF(OR(G218&gt;=Config!$B$1001,ISNUMBER(SEARCH(E218,Config!$B$1002))),1,0),0))</f>
        <v>0</v>
      </c>
      <c r="AP218" s="39">
        <f t="array" ref="AP218">IFERROR(IF(INDEX(Bids!$AE:$AE,MATCH(B218,Bids!$A:$A,0))="Pending",1,0),0)</f>
        <v>0</v>
      </c>
      <c r="AQ218" s="39" t="str">
        <f t="array" ref="AQ218">IF(C218="","",IFERROR(XLOOKUP(C218,Assignments!$C:$C,Assignments!$AU:$AU,0),0))</f>
        <v/>
      </c>
      <c r="AR218" s="39">
        <f>IF(AND(Config!$B$1006="Y",AQ218=1),Config!$B$1007,0)</f>
        <v>0</v>
      </c>
    </row>
    <row r="219" ht="15.75" customHeight="1">
      <c r="A219" s="46" t="str">
        <f t="shared" si="1"/>
        <v/>
      </c>
      <c r="B219" s="40" t="str">
        <f>IF(Bids!$A218="","",Bids!$A218)</f>
        <v/>
      </c>
      <c r="C219" s="40" t="str">
        <f>IF(Bids!$B218="","",Bids!$B218)</f>
        <v/>
      </c>
      <c r="D219" s="40" t="str">
        <f>IF($C219="","",IFERROR(VLOOKUP($C219,Orders!$A$4:$J$998,9,FALSE),""))</f>
        <v/>
      </c>
      <c r="E219" s="40" t="str">
        <f>IF($C219="","",IFERROR(VLOOKUP($C219,Orders!$A$4:$J$998,3,FALSE),""))</f>
        <v/>
      </c>
      <c r="F219" s="40">
        <f t="shared" si="2"/>
        <v>1</v>
      </c>
      <c r="G219" s="40" t="str">
        <f>IF($C219="","",IFERROR(VLOOKUP($C219,Orders!$A$4:$J$998,4,FALSE),""))</f>
        <v/>
      </c>
      <c r="H219" s="40" t="str">
        <f>IF($C219="","",IFERROR(VLOOKUP($C219,Orders!$A$4:$J$998,5,FALSE),""))</f>
        <v/>
      </c>
      <c r="I219" s="40" t="str">
        <f>IF($C219="","",IFERROR(VLOOKUP($C219,Orders!$A$4:$J$998,6,FALSE),""))</f>
        <v/>
      </c>
      <c r="J219" s="40" t="str">
        <f>IF($C219="","",IFERROR(VLOOKUP($C219,Orders!$A$4:$J$998,7,FALSE),""))</f>
        <v/>
      </c>
      <c r="K219" s="40" t="str">
        <f>IF(Bids!$C218="","",Bids!$C218)</f>
        <v/>
      </c>
      <c r="L219" s="40" t="str">
        <f>IF($K219="","",IFERROR(VLOOKUP($K219,Grinders!$A$4:$N$998,2,FALSE),""))</f>
        <v/>
      </c>
      <c r="M219" s="40" t="str">
        <f>IF($K219="","",IFERROR(VLOOKUP($K219,Grinders!$A$4:$N$998,3,FALSE),""))</f>
        <v/>
      </c>
      <c r="N219" s="40" t="str">
        <f>IF($K219="","",IFERROR(VLOOKUP($K219,Grinders!$A$4:$N$998,4,FALSE),""))</f>
        <v/>
      </c>
      <c r="O219" s="40" t="str">
        <f>IF($K219="","",IFERROR(VLOOKUP($K219,Grinders!$A$4:$N$998,5,FALSE),""))</f>
        <v/>
      </c>
      <c r="P219" s="40" t="str">
        <f>IF($K219="","",IF($C$4="",0,COUNTIFS(Assignments!$B$6:$B$1000,$K219,Assignments!$F$6:$F$1000,$C$4,Assignments!$E$6:$E$1000,"Active")))</f>
        <v/>
      </c>
      <c r="Q219" s="40" t="str">
        <f t="shared" si="3"/>
        <v/>
      </c>
      <c r="R219" s="40" t="str">
        <f t="shared" si="4"/>
        <v/>
      </c>
      <c r="S219" s="40" t="str">
        <f>IF($K219="","",IF($C$4="",0,COUNTIFS(Assignments!$B$6:$B$1000,$K219,Assignments!$F$6:$F$1000,$C$4,Assignments!$D$6:$D$1000,"&gt;="&amp;Config!$B$3-7,Assignments!$D$6:$D$1000,"&lt;="&amp;Config!$B$3)))</f>
        <v/>
      </c>
      <c r="T219" s="40" t="str">
        <f>IF($K219="","",IFERROR(VLOOKUP($K219,Grinders!$A$4:$N$998,8,FALSE),""))</f>
        <v/>
      </c>
      <c r="U219" s="40" t="str">
        <f>IFERROR(IF($K219="","",IF($M219="Elite",MAX(50,MIN(100,Config!$B$27*MAX(0,MIN(100,(1-IF($R219="",0,$R219))*100)) + Config!$B$28*MAX(0,MIN(100,(1-MIN(1,IF(Config!$B$30=0,1,$S219/Config!$B$30)))*100)) + Config!$B$29*MAX(0,MIN(100,MIN(1,IF($T219="",0,$T219)/Config!$B$23)*100)))),MIN(100,Config!$B$27*MAX(0,MIN(100,(1-IF($R219="",0,$R219))*100)) + Config!$B$28*MAX(0,MIN(100,(1-MIN(1,IF(Config!$B$30=0,1,$S219/Config!$B$30)))*100)) + Config!$B$29*MAX(0,MIN(100,MIN(1,IF($T219="",0,$T219)/Config!$B$23)*100))))),"")
</f>
        <v/>
      </c>
      <c r="V219" s="40" t="str">
        <f>IF(Bids!$AC219="","",Bids!$AC219)</f>
        <v/>
      </c>
      <c r="W219" s="40" t="str">
        <f>IF(Bids!$F218="","",Bids!$F218)</f>
        <v/>
      </c>
      <c r="X219" s="40" t="str">
        <f t="shared" si="5"/>
        <v/>
      </c>
      <c r="Y219" s="40" t="str">
        <f>IF($X219="","",IF(Config!$B$17=Config!$B$16,IF($X219&gt;=Config!$B$17,100,0),MAX(0,MIN(100,($X219-Config!$B$16)/(Config!$B$17-Config!$B$16)*100))))</f>
        <v/>
      </c>
      <c r="Z219" s="40">
        <f>IF($M219="Elite",Config!$B$21,0)</f>
        <v>0</v>
      </c>
      <c r="AA219" s="40" t="str">
        <f>IFERROR(IF(OR($W219="",$H219=""),"",IF($W219&gt;$H219,
  MAX(0, 60-(($W219-$H219)*24/Config!$B$19)*60),
  MIN(100, 60+(($H219-$W219)*24/Config!$B$20)*40)
)),"")
</f>
        <v/>
      </c>
      <c r="AB219" s="40" t="str">
        <f>IF($K219="","",IFERROR(VLOOKUP($K219,Grinders!$A$4:$N$998,10,FALSE)/5*100,""))</f>
        <v/>
      </c>
      <c r="AC219" s="40" t="str">
        <f>IF($K219="","",IFERROR(VLOOKUP($K219,Grinders!$A$4:$N$998,11,FALSE)*100,""))</f>
        <v/>
      </c>
      <c r="AD219" s="40" t="str">
        <f>IF($K219="","",IFERROR(VLOOKUP($K219,Grinders!$A$4:$N$998,12,FALSE)*100,""))</f>
        <v/>
      </c>
      <c r="AE219" s="40" t="str">
        <f>IF(OR(AO219=1,AP219=1),0,=IFERROR(IFS(
    OR($C219="", $K219=""), 0,
    $F219=0, 0,
    $D219&lt;&gt;"Open", 0,
    COUNTIFS(GrinderServices!$A$6:$A$1000, $K219, GrinderServices!$B$6:$B$1000, $E219, GrinderServices!$D$6:$D$1000, "Y")=0, 0,
    $X219&lt;Config!$B$16, 0,
    Config!$B$18=1, IF($O219&gt;=N219, 0, 1),
    TRUE, 1
), "")
)</f>
        <v>#ERROR!</v>
      </c>
      <c r="AF219" s="40" t="str">
        <f>IFERROR((IF(OR(AO219=1,AP219=1),"",=IFERROR((IFERROR(IF($AE219=0,"",((Config!$B$6*$Y219 + Config!$B$7*$U219 + Config!$B$8*$Z219 + Config!$B$9*$AA219 + Config!$B$10*$AB219 + Config!$B$11*$AC219 - Config!$B$12*$AD219)/Config!$B$13)+$AK219+$AL219),""))*(1-IFERROR(VLOOKUP(K219,Grinders!$A:$AB, 28, FALSE),0)),"")))*(1+AR219),"")</f>
        <v>#ERROR!</v>
      </c>
      <c r="AG219" s="40" t="str">
        <f t="shared" si="6"/>
        <v>#ERROR!</v>
      </c>
      <c r="AH219" s="40" t="str">
        <f t="shared" si="7"/>
        <v/>
      </c>
      <c r="AI219" s="40" t="str">
        <f t="shared" si="8"/>
        <v/>
      </c>
      <c r="AJ219" s="40" t="str">
        <f>IF($K219="","",COUNTIF(Assignments!$B$6:$B$1000,$K219))</f>
        <v/>
      </c>
      <c r="AK219" s="40" t="str">
        <f>IF($K219="","",IF(AND($AJ219=0,$O219&lt;$N219),Config!$B$43,0))</f>
        <v/>
      </c>
      <c r="AL219" s="40" t="str">
        <f>IF($K219="","",IF(AND($M219="Elite",$G219&gt;=Config!$B$41,$O219&lt;$N219),Config!$B$42,0))</f>
        <v/>
      </c>
      <c r="AM219" s="22"/>
      <c r="AN219" s="39">
        <f>IFERROR(VLOOKUP(K219,Grinders!$A:$Q,28,FALSE),0)</f>
        <v>0</v>
      </c>
      <c r="AO219" s="39">
        <f>IF(Config!$B$1003&lt;&gt;"Y",0,IF(IFERROR(VLOOKUP(K219,Grinders!$A:$P,27,FALSE),0)&gt;=3,IF(OR(G219&gt;=Config!$B$1001,ISNUMBER(SEARCH(E219,Config!$B$1002))),1,0),0))</f>
        <v>0</v>
      </c>
      <c r="AP219" s="39">
        <f t="array" ref="AP219">IFERROR(IF(INDEX(Bids!$AE:$AE,MATCH(B219,Bids!$A:$A,0))="Pending",1,0),0)</f>
        <v>0</v>
      </c>
      <c r="AQ219" s="39" t="str">
        <f t="array" ref="AQ219">IF(C219="","",IFERROR(XLOOKUP(C219,Assignments!$C:$C,Assignments!$AU:$AU,0),0))</f>
        <v/>
      </c>
      <c r="AR219" s="39">
        <f>IF(AND(Config!$B$1006="Y",AQ219=1),Config!$B$1007,0)</f>
        <v>0</v>
      </c>
    </row>
    <row r="220" ht="15.75" customHeight="1">
      <c r="A220" s="46" t="str">
        <f t="shared" si="1"/>
        <v/>
      </c>
      <c r="B220" s="40" t="str">
        <f>IF(Bids!$A219="","",Bids!$A219)</f>
        <v/>
      </c>
      <c r="C220" s="40" t="str">
        <f>IF(Bids!$B219="","",Bids!$B219)</f>
        <v/>
      </c>
      <c r="D220" s="40" t="str">
        <f>IF($C220="","",IFERROR(VLOOKUP($C220,Orders!$A$4:$J$998,9,FALSE),""))</f>
        <v/>
      </c>
      <c r="E220" s="40" t="str">
        <f>IF($C220="","",IFERROR(VLOOKUP($C220,Orders!$A$4:$J$998,3,FALSE),""))</f>
        <v/>
      </c>
      <c r="F220" s="40">
        <f t="shared" si="2"/>
        <v>1</v>
      </c>
      <c r="G220" s="40" t="str">
        <f>IF($C220="","",IFERROR(VLOOKUP($C220,Orders!$A$4:$J$998,4,FALSE),""))</f>
        <v/>
      </c>
      <c r="H220" s="40" t="str">
        <f>IF($C220="","",IFERROR(VLOOKUP($C220,Orders!$A$4:$J$998,5,FALSE),""))</f>
        <v/>
      </c>
      <c r="I220" s="40" t="str">
        <f>IF($C220="","",IFERROR(VLOOKUP($C220,Orders!$A$4:$J$998,6,FALSE),""))</f>
        <v/>
      </c>
      <c r="J220" s="40" t="str">
        <f>IF($C220="","",IFERROR(VLOOKUP($C220,Orders!$A$4:$J$998,7,FALSE),""))</f>
        <v/>
      </c>
      <c r="K220" s="40" t="str">
        <f>IF(Bids!$C219="","",Bids!$C219)</f>
        <v/>
      </c>
      <c r="L220" s="40" t="str">
        <f>IF($K220="","",IFERROR(VLOOKUP($K220,Grinders!$A$4:$N$998,2,FALSE),""))</f>
        <v/>
      </c>
      <c r="M220" s="40" t="str">
        <f>IF($K220="","",IFERROR(VLOOKUP($K220,Grinders!$A$4:$N$998,3,FALSE),""))</f>
        <v/>
      </c>
      <c r="N220" s="40" t="str">
        <f>IF($K220="","",IFERROR(VLOOKUP($K220,Grinders!$A$4:$N$998,4,FALSE),""))</f>
        <v/>
      </c>
      <c r="O220" s="40" t="str">
        <f>IF($K220="","",IFERROR(VLOOKUP($K220,Grinders!$A$4:$N$998,5,FALSE),""))</f>
        <v/>
      </c>
      <c r="P220" s="40" t="str">
        <f>IF($K220="","",IF($C$4="",0,COUNTIFS(Assignments!$B$6:$B$1000,$K220,Assignments!$F$6:$F$1000,$C$4,Assignments!$E$6:$E$1000,"Active")))</f>
        <v/>
      </c>
      <c r="Q220" s="40" t="str">
        <f t="shared" si="3"/>
        <v/>
      </c>
      <c r="R220" s="40" t="str">
        <f t="shared" si="4"/>
        <v/>
      </c>
      <c r="S220" s="40" t="str">
        <f>IF($K220="","",IF($C$4="",0,COUNTIFS(Assignments!$B$6:$B$1000,$K220,Assignments!$F$6:$F$1000,$C$4,Assignments!$D$6:$D$1000,"&gt;="&amp;Config!$B$3-7,Assignments!$D$6:$D$1000,"&lt;="&amp;Config!$B$3)))</f>
        <v/>
      </c>
      <c r="T220" s="40" t="str">
        <f>IF($K220="","",IFERROR(VLOOKUP($K220,Grinders!$A$4:$N$998,8,FALSE),""))</f>
        <v/>
      </c>
      <c r="U220" s="40" t="str">
        <f>IFERROR(IF($K220="","",IF($M220="Elite",MAX(50,MIN(100,Config!$B$27*MAX(0,MIN(100,(1-IF($R220="",0,$R220))*100)) + Config!$B$28*MAX(0,MIN(100,(1-MIN(1,IF(Config!$B$30=0,1,$S220/Config!$B$30)))*100)) + Config!$B$29*MAX(0,MIN(100,MIN(1,IF($T220="",0,$T220)/Config!$B$23)*100)))),MIN(100,Config!$B$27*MAX(0,MIN(100,(1-IF($R220="",0,$R220))*100)) + Config!$B$28*MAX(0,MIN(100,(1-MIN(1,IF(Config!$B$30=0,1,$S220/Config!$B$30)))*100)) + Config!$B$29*MAX(0,MIN(100,MIN(1,IF($T220="",0,$T220)/Config!$B$23)*100))))),"")
</f>
        <v/>
      </c>
      <c r="V220" s="40" t="str">
        <f>IF(Bids!$AC220="","",Bids!$AC220)</f>
        <v/>
      </c>
      <c r="W220" s="40" t="str">
        <f>IF(Bids!$F219="","",Bids!$F219)</f>
        <v/>
      </c>
      <c r="X220" s="40" t="str">
        <f t="shared" si="5"/>
        <v/>
      </c>
      <c r="Y220" s="40" t="str">
        <f>IF($X220="","",IF(Config!$B$17=Config!$B$16,IF($X220&gt;=Config!$B$17,100,0),MAX(0,MIN(100,($X220-Config!$B$16)/(Config!$B$17-Config!$B$16)*100))))</f>
        <v/>
      </c>
      <c r="Z220" s="40">
        <f>IF($M220="Elite",Config!$B$21,0)</f>
        <v>0</v>
      </c>
      <c r="AA220" s="40" t="str">
        <f>IFERROR(IF(OR($W220="",$H220=""),"",IF($W220&gt;$H220,
  MAX(0, 60-(($W220-$H220)*24/Config!$B$19)*60),
  MIN(100, 60+(($H220-$W220)*24/Config!$B$20)*40)
)),"")
</f>
        <v/>
      </c>
      <c r="AB220" s="40" t="str">
        <f>IF($K220="","",IFERROR(VLOOKUP($K220,Grinders!$A$4:$N$998,10,FALSE)/5*100,""))</f>
        <v/>
      </c>
      <c r="AC220" s="40" t="str">
        <f>IF($K220="","",IFERROR(VLOOKUP($K220,Grinders!$A$4:$N$998,11,FALSE)*100,""))</f>
        <v/>
      </c>
      <c r="AD220" s="40" t="str">
        <f>IF($K220="","",IFERROR(VLOOKUP($K220,Grinders!$A$4:$N$998,12,FALSE)*100,""))</f>
        <v/>
      </c>
      <c r="AE220" s="40" t="str">
        <f>IF(OR(AO220=1,AP220=1),0,=IFERROR(IFS(
    OR($C220="", $K220=""), 0,
    $F220=0, 0,
    $D220&lt;&gt;"Open", 0,
    COUNTIFS(GrinderServices!$A$6:$A$1000, $K220, GrinderServices!$B$6:$B$1000, $E220, GrinderServices!$D$6:$D$1000, "Y")=0, 0,
    $X220&lt;Config!$B$16, 0,
    Config!$B$18=1, IF($O220&gt;=N220, 0, 1),
    TRUE, 1
), "")
)</f>
        <v>#ERROR!</v>
      </c>
      <c r="AF220" s="40" t="str">
        <f>IFERROR((IF(OR(AO220=1,AP220=1),"",=IFERROR((IFERROR(IF($AE220=0,"",((Config!$B$6*$Y220 + Config!$B$7*$U220 + Config!$B$8*$Z220 + Config!$B$9*$AA220 + Config!$B$10*$AB220 + Config!$B$11*$AC220 - Config!$B$12*$AD220)/Config!$B$13)+$AK220+$AL220),""))*(1-IFERROR(VLOOKUP(K220,Grinders!$A:$AB, 28, FALSE),0)),"")))*(1+AR220),"")</f>
        <v>#ERROR!</v>
      </c>
      <c r="AG220" s="40" t="str">
        <f t="shared" si="6"/>
        <v>#ERROR!</v>
      </c>
      <c r="AH220" s="40" t="str">
        <f t="shared" si="7"/>
        <v/>
      </c>
      <c r="AI220" s="40" t="str">
        <f t="shared" si="8"/>
        <v/>
      </c>
      <c r="AJ220" s="40" t="str">
        <f>IF($K220="","",COUNTIF(Assignments!$B$6:$B$1000,$K220))</f>
        <v/>
      </c>
      <c r="AK220" s="40" t="str">
        <f>IF($K220="","",IF(AND($AJ220=0,$O220&lt;$N220),Config!$B$43,0))</f>
        <v/>
      </c>
      <c r="AL220" s="40" t="str">
        <f>IF($K220="","",IF(AND($M220="Elite",$G220&gt;=Config!$B$41,$O220&lt;$N220),Config!$B$42,0))</f>
        <v/>
      </c>
      <c r="AM220" s="22"/>
      <c r="AN220" s="39">
        <f>IFERROR(VLOOKUP(K220,Grinders!$A:$Q,28,FALSE),0)</f>
        <v>0</v>
      </c>
      <c r="AO220" s="39">
        <f>IF(Config!$B$1003&lt;&gt;"Y",0,IF(IFERROR(VLOOKUP(K220,Grinders!$A:$P,27,FALSE),0)&gt;=3,IF(OR(G220&gt;=Config!$B$1001,ISNUMBER(SEARCH(E220,Config!$B$1002))),1,0),0))</f>
        <v>0</v>
      </c>
      <c r="AP220" s="39">
        <f t="array" ref="AP220">IFERROR(IF(INDEX(Bids!$AE:$AE,MATCH(B220,Bids!$A:$A,0))="Pending",1,0),0)</f>
        <v>0</v>
      </c>
      <c r="AQ220" s="39" t="str">
        <f t="array" ref="AQ220">IF(C220="","",IFERROR(XLOOKUP(C220,Assignments!$C:$C,Assignments!$AU:$AU,0),0))</f>
        <v/>
      </c>
      <c r="AR220" s="39">
        <f>IF(AND(Config!$B$1006="Y",AQ220=1),Config!$B$1007,0)</f>
        <v>0</v>
      </c>
    </row>
    <row r="221" ht="15.75" customHeight="1">
      <c r="A221" s="46" t="str">
        <f t="shared" si="1"/>
        <v/>
      </c>
      <c r="B221" s="40" t="str">
        <f>IF(Bids!$A220="","",Bids!$A220)</f>
        <v/>
      </c>
      <c r="C221" s="40" t="str">
        <f>IF(Bids!$B220="","",Bids!$B220)</f>
        <v/>
      </c>
      <c r="D221" s="40" t="str">
        <f>IF($C221="","",IFERROR(VLOOKUP($C221,Orders!$A$4:$J$998,9,FALSE),""))</f>
        <v/>
      </c>
      <c r="E221" s="40" t="str">
        <f>IF($C221="","",IFERROR(VLOOKUP($C221,Orders!$A$4:$J$998,3,FALSE),""))</f>
        <v/>
      </c>
      <c r="F221" s="40">
        <f t="shared" si="2"/>
        <v>1</v>
      </c>
      <c r="G221" s="40" t="str">
        <f>IF($C221="","",IFERROR(VLOOKUP($C221,Orders!$A$4:$J$998,4,FALSE),""))</f>
        <v/>
      </c>
      <c r="H221" s="40" t="str">
        <f>IF($C221="","",IFERROR(VLOOKUP($C221,Orders!$A$4:$J$998,5,FALSE),""))</f>
        <v/>
      </c>
      <c r="I221" s="40" t="str">
        <f>IF($C221="","",IFERROR(VLOOKUP($C221,Orders!$A$4:$J$998,6,FALSE),""))</f>
        <v/>
      </c>
      <c r="J221" s="40" t="str">
        <f>IF($C221="","",IFERROR(VLOOKUP($C221,Orders!$A$4:$J$998,7,FALSE),""))</f>
        <v/>
      </c>
      <c r="K221" s="40" t="str">
        <f>IF(Bids!$C220="","",Bids!$C220)</f>
        <v/>
      </c>
      <c r="L221" s="40" t="str">
        <f>IF($K221="","",IFERROR(VLOOKUP($K221,Grinders!$A$4:$N$998,2,FALSE),""))</f>
        <v/>
      </c>
      <c r="M221" s="40" t="str">
        <f>IF($K221="","",IFERROR(VLOOKUP($K221,Grinders!$A$4:$N$998,3,FALSE),""))</f>
        <v/>
      </c>
      <c r="N221" s="40" t="str">
        <f>IF($K221="","",IFERROR(VLOOKUP($K221,Grinders!$A$4:$N$998,4,FALSE),""))</f>
        <v/>
      </c>
      <c r="O221" s="40" t="str">
        <f>IF($K221="","",IFERROR(VLOOKUP($K221,Grinders!$A$4:$N$998,5,FALSE),""))</f>
        <v/>
      </c>
      <c r="P221" s="40" t="str">
        <f>IF($K221="","",IF($C$4="",0,COUNTIFS(Assignments!$B$6:$B$1000,$K221,Assignments!$F$6:$F$1000,$C$4,Assignments!$E$6:$E$1000,"Active")))</f>
        <v/>
      </c>
      <c r="Q221" s="40" t="str">
        <f t="shared" si="3"/>
        <v/>
      </c>
      <c r="R221" s="40" t="str">
        <f t="shared" si="4"/>
        <v/>
      </c>
      <c r="S221" s="40" t="str">
        <f>IF($K221="","",IF($C$4="",0,COUNTIFS(Assignments!$B$6:$B$1000,$K221,Assignments!$F$6:$F$1000,$C$4,Assignments!$D$6:$D$1000,"&gt;="&amp;Config!$B$3-7,Assignments!$D$6:$D$1000,"&lt;="&amp;Config!$B$3)))</f>
        <v/>
      </c>
      <c r="T221" s="40" t="str">
        <f>IF($K221="","",IFERROR(VLOOKUP($K221,Grinders!$A$4:$N$998,8,FALSE),""))</f>
        <v/>
      </c>
      <c r="U221" s="40" t="str">
        <f>IFERROR(IF($K221="","",IF($M221="Elite",MAX(50,MIN(100,Config!$B$27*MAX(0,MIN(100,(1-IF($R221="",0,$R221))*100)) + Config!$B$28*MAX(0,MIN(100,(1-MIN(1,IF(Config!$B$30=0,1,$S221/Config!$B$30)))*100)) + Config!$B$29*MAX(0,MIN(100,MIN(1,IF($T221="",0,$T221)/Config!$B$23)*100)))),MIN(100,Config!$B$27*MAX(0,MIN(100,(1-IF($R221="",0,$R221))*100)) + Config!$B$28*MAX(0,MIN(100,(1-MIN(1,IF(Config!$B$30=0,1,$S221/Config!$B$30)))*100)) + Config!$B$29*MAX(0,MIN(100,MIN(1,IF($T221="",0,$T221)/Config!$B$23)*100))))),"")
</f>
        <v/>
      </c>
      <c r="V221" s="40" t="str">
        <f>IF(Bids!$AC221="","",Bids!$AC221)</f>
        <v/>
      </c>
      <c r="W221" s="40" t="str">
        <f>IF(Bids!$F220="","",Bids!$F220)</f>
        <v/>
      </c>
      <c r="X221" s="40" t="str">
        <f t="shared" si="5"/>
        <v/>
      </c>
      <c r="Y221" s="40" t="str">
        <f>IF($X221="","",IF(Config!$B$17=Config!$B$16,IF($X221&gt;=Config!$B$17,100,0),MAX(0,MIN(100,($X221-Config!$B$16)/(Config!$B$17-Config!$B$16)*100))))</f>
        <v/>
      </c>
      <c r="Z221" s="40">
        <f>IF($M221="Elite",Config!$B$21,0)</f>
        <v>0</v>
      </c>
      <c r="AA221" s="40" t="str">
        <f>IFERROR(IF(OR($W221="",$H221=""),"",IF($W221&gt;$H221,
  MAX(0, 60-(($W221-$H221)*24/Config!$B$19)*60),
  MIN(100, 60+(($H221-$W221)*24/Config!$B$20)*40)
)),"")
</f>
        <v/>
      </c>
      <c r="AB221" s="40" t="str">
        <f>IF($K221="","",IFERROR(VLOOKUP($K221,Grinders!$A$4:$N$998,10,FALSE)/5*100,""))</f>
        <v/>
      </c>
      <c r="AC221" s="40" t="str">
        <f>IF($K221="","",IFERROR(VLOOKUP($K221,Grinders!$A$4:$N$998,11,FALSE)*100,""))</f>
        <v/>
      </c>
      <c r="AD221" s="40" t="str">
        <f>IF($K221="","",IFERROR(VLOOKUP($K221,Grinders!$A$4:$N$998,12,FALSE)*100,""))</f>
        <v/>
      </c>
      <c r="AE221" s="40" t="str">
        <f>IF(OR(AO221=1,AP221=1),0,=IFERROR(IFS(
    OR($C221="", $K221=""), 0,
    $F221=0, 0,
    $D221&lt;&gt;"Open", 0,
    COUNTIFS(GrinderServices!$A$6:$A$1000, $K221, GrinderServices!$B$6:$B$1000, $E221, GrinderServices!$D$6:$D$1000, "Y")=0, 0,
    $X221&lt;Config!$B$16, 0,
    Config!$B$18=1, IF($O221&gt;=N221, 0, 1),
    TRUE, 1
), "")
)</f>
        <v>#ERROR!</v>
      </c>
      <c r="AF221" s="40" t="str">
        <f>IFERROR((IF(OR(AO221=1,AP221=1),"",=IFERROR((IFERROR(IF($AE221=0,"",((Config!$B$6*$Y221 + Config!$B$7*$U221 + Config!$B$8*$Z221 + Config!$B$9*$AA221 + Config!$B$10*$AB221 + Config!$B$11*$AC221 - Config!$B$12*$AD221)/Config!$B$13)+$AK221+$AL221),""))*(1-IFERROR(VLOOKUP(K221,Grinders!$A:$AB, 28, FALSE),0)),"")))*(1+AR221),"")</f>
        <v>#ERROR!</v>
      </c>
      <c r="AG221" s="40" t="str">
        <f t="shared" si="6"/>
        <v>#ERROR!</v>
      </c>
      <c r="AH221" s="40" t="str">
        <f t="shared" si="7"/>
        <v/>
      </c>
      <c r="AI221" s="40" t="str">
        <f t="shared" si="8"/>
        <v/>
      </c>
      <c r="AJ221" s="40" t="str">
        <f>IF($K221="","",COUNTIF(Assignments!$B$6:$B$1000,$K221))</f>
        <v/>
      </c>
      <c r="AK221" s="40" t="str">
        <f>IF($K221="","",IF(AND($AJ221=0,$O221&lt;$N221),Config!$B$43,0))</f>
        <v/>
      </c>
      <c r="AL221" s="40" t="str">
        <f>IF($K221="","",IF(AND($M221="Elite",$G221&gt;=Config!$B$41,$O221&lt;$N221),Config!$B$42,0))</f>
        <v/>
      </c>
      <c r="AM221" s="22"/>
      <c r="AN221" s="39">
        <f>IFERROR(VLOOKUP(K221,Grinders!$A:$Q,28,FALSE),0)</f>
        <v>0</v>
      </c>
      <c r="AO221" s="39">
        <f>IF(Config!$B$1003&lt;&gt;"Y",0,IF(IFERROR(VLOOKUP(K221,Grinders!$A:$P,27,FALSE),0)&gt;=3,IF(OR(G221&gt;=Config!$B$1001,ISNUMBER(SEARCH(E221,Config!$B$1002))),1,0),0))</f>
        <v>0</v>
      </c>
      <c r="AP221" s="39">
        <f t="array" ref="AP221">IFERROR(IF(INDEX(Bids!$AE:$AE,MATCH(B221,Bids!$A:$A,0))="Pending",1,0),0)</f>
        <v>0</v>
      </c>
      <c r="AQ221" s="39" t="str">
        <f t="array" ref="AQ221">IF(C221="","",IFERROR(XLOOKUP(C221,Assignments!$C:$C,Assignments!$AU:$AU,0),0))</f>
        <v/>
      </c>
      <c r="AR221" s="39">
        <f>IF(AND(Config!$B$1006="Y",AQ221=1),Config!$B$1007,0)</f>
        <v>0</v>
      </c>
    </row>
    <row r="222" ht="15.75" customHeight="1">
      <c r="A222" s="46" t="str">
        <f t="shared" si="1"/>
        <v/>
      </c>
      <c r="B222" s="40" t="str">
        <f>IF(Bids!$A221="","",Bids!$A221)</f>
        <v/>
      </c>
      <c r="C222" s="40" t="str">
        <f>IF(Bids!$B221="","",Bids!$B221)</f>
        <v/>
      </c>
      <c r="D222" s="40" t="str">
        <f>IF($C222="","",IFERROR(VLOOKUP($C222,Orders!$A$4:$J$998,9,FALSE),""))</f>
        <v/>
      </c>
      <c r="E222" s="40" t="str">
        <f>IF($C222="","",IFERROR(VLOOKUP($C222,Orders!$A$4:$J$998,3,FALSE),""))</f>
        <v/>
      </c>
      <c r="F222" s="40">
        <f t="shared" si="2"/>
        <v>1</v>
      </c>
      <c r="G222" s="40" t="str">
        <f>IF($C222="","",IFERROR(VLOOKUP($C222,Orders!$A$4:$J$998,4,FALSE),""))</f>
        <v/>
      </c>
      <c r="H222" s="40" t="str">
        <f>IF($C222="","",IFERROR(VLOOKUP($C222,Orders!$A$4:$J$998,5,FALSE),""))</f>
        <v/>
      </c>
      <c r="I222" s="40" t="str">
        <f>IF($C222="","",IFERROR(VLOOKUP($C222,Orders!$A$4:$J$998,6,FALSE),""))</f>
        <v/>
      </c>
      <c r="J222" s="40" t="str">
        <f>IF($C222="","",IFERROR(VLOOKUP($C222,Orders!$A$4:$J$998,7,FALSE),""))</f>
        <v/>
      </c>
      <c r="K222" s="40" t="str">
        <f>IF(Bids!$C221="","",Bids!$C221)</f>
        <v/>
      </c>
      <c r="L222" s="40" t="str">
        <f>IF($K222="","",IFERROR(VLOOKUP($K222,Grinders!$A$4:$N$998,2,FALSE),""))</f>
        <v/>
      </c>
      <c r="M222" s="40" t="str">
        <f>IF($K222="","",IFERROR(VLOOKUP($K222,Grinders!$A$4:$N$998,3,FALSE),""))</f>
        <v/>
      </c>
      <c r="N222" s="40" t="str">
        <f>IF($K222="","",IFERROR(VLOOKUP($K222,Grinders!$A$4:$N$998,4,FALSE),""))</f>
        <v/>
      </c>
      <c r="O222" s="40" t="str">
        <f>IF($K222="","",IFERROR(VLOOKUP($K222,Grinders!$A$4:$N$998,5,FALSE),""))</f>
        <v/>
      </c>
      <c r="P222" s="40" t="str">
        <f>IF($K222="","",IF($C$4="",0,COUNTIFS(Assignments!$B$6:$B$1000,$K222,Assignments!$F$6:$F$1000,$C$4,Assignments!$E$6:$E$1000,"Active")))</f>
        <v/>
      </c>
      <c r="Q222" s="40" t="str">
        <f t="shared" si="3"/>
        <v/>
      </c>
      <c r="R222" s="40" t="str">
        <f t="shared" si="4"/>
        <v/>
      </c>
      <c r="S222" s="40" t="str">
        <f>IF($K222="","",IF($C$4="",0,COUNTIFS(Assignments!$B$6:$B$1000,$K222,Assignments!$F$6:$F$1000,$C$4,Assignments!$D$6:$D$1000,"&gt;="&amp;Config!$B$3-7,Assignments!$D$6:$D$1000,"&lt;="&amp;Config!$B$3)))</f>
        <v/>
      </c>
      <c r="T222" s="40" t="str">
        <f>IF($K222="","",IFERROR(VLOOKUP($K222,Grinders!$A$4:$N$998,8,FALSE),""))</f>
        <v/>
      </c>
      <c r="U222" s="40" t="str">
        <f>IFERROR(IF($K222="","",IF($M222="Elite",MAX(50,MIN(100,Config!$B$27*MAX(0,MIN(100,(1-IF($R222="",0,$R222))*100)) + Config!$B$28*MAX(0,MIN(100,(1-MIN(1,IF(Config!$B$30=0,1,$S222/Config!$B$30)))*100)) + Config!$B$29*MAX(0,MIN(100,MIN(1,IF($T222="",0,$T222)/Config!$B$23)*100)))),MIN(100,Config!$B$27*MAX(0,MIN(100,(1-IF($R222="",0,$R222))*100)) + Config!$B$28*MAX(0,MIN(100,(1-MIN(1,IF(Config!$B$30=0,1,$S222/Config!$B$30)))*100)) + Config!$B$29*MAX(0,MIN(100,MIN(1,IF($T222="",0,$T222)/Config!$B$23)*100))))),"")
</f>
        <v/>
      </c>
      <c r="V222" s="40" t="str">
        <f>IF(Bids!$AC222="","",Bids!$AC222)</f>
        <v/>
      </c>
      <c r="W222" s="40" t="str">
        <f>IF(Bids!$F221="","",Bids!$F221)</f>
        <v/>
      </c>
      <c r="X222" s="40" t="str">
        <f t="shared" si="5"/>
        <v/>
      </c>
      <c r="Y222" s="40" t="str">
        <f>IF($X222="","",IF(Config!$B$17=Config!$B$16,IF($X222&gt;=Config!$B$17,100,0),MAX(0,MIN(100,($X222-Config!$B$16)/(Config!$B$17-Config!$B$16)*100))))</f>
        <v/>
      </c>
      <c r="Z222" s="40">
        <f>IF($M222="Elite",Config!$B$21,0)</f>
        <v>0</v>
      </c>
      <c r="AA222" s="40" t="str">
        <f>IFERROR(IF(OR($W222="",$H222=""),"",IF($W222&gt;$H222,
  MAX(0, 60-(($W222-$H222)*24/Config!$B$19)*60),
  MIN(100, 60+(($H222-$W222)*24/Config!$B$20)*40)
)),"")
</f>
        <v/>
      </c>
      <c r="AB222" s="40" t="str">
        <f>IF($K222="","",IFERROR(VLOOKUP($K222,Grinders!$A$4:$N$998,10,FALSE)/5*100,""))</f>
        <v/>
      </c>
      <c r="AC222" s="40" t="str">
        <f>IF($K222="","",IFERROR(VLOOKUP($K222,Grinders!$A$4:$N$998,11,FALSE)*100,""))</f>
        <v/>
      </c>
      <c r="AD222" s="40" t="str">
        <f>IF($K222="","",IFERROR(VLOOKUP($K222,Grinders!$A$4:$N$998,12,FALSE)*100,""))</f>
        <v/>
      </c>
      <c r="AE222" s="40" t="str">
        <f>IF(OR(AO222=1,AP222=1),0,=IFERROR(IFS(
    OR($C222="", $K222=""), 0,
    $F222=0, 0,
    $D222&lt;&gt;"Open", 0,
    COUNTIFS(GrinderServices!$A$6:$A$1000, $K222, GrinderServices!$B$6:$B$1000, $E222, GrinderServices!$D$6:$D$1000, "Y")=0, 0,
    $X222&lt;Config!$B$16, 0,
    Config!$B$18=1, IF($O222&gt;=N222, 0, 1),
    TRUE, 1
), "")
)</f>
        <v>#ERROR!</v>
      </c>
      <c r="AF222" s="40" t="str">
        <f>IFERROR((IF(OR(AO222=1,AP222=1),"",=IFERROR((IFERROR(IF($AE222=0,"",((Config!$B$6*$Y222 + Config!$B$7*$U222 + Config!$B$8*$Z222 + Config!$B$9*$AA222 + Config!$B$10*$AB222 + Config!$B$11*$AC222 - Config!$B$12*$AD222)/Config!$B$13)+$AK222+$AL222),""))*(1-IFERROR(VLOOKUP(K222,Grinders!$A:$AB, 28, FALSE),0)),"")))*(1+AR222),"")</f>
        <v>#ERROR!</v>
      </c>
      <c r="AG222" s="40" t="str">
        <f t="shared" si="6"/>
        <v>#ERROR!</v>
      </c>
      <c r="AH222" s="40" t="str">
        <f t="shared" si="7"/>
        <v/>
      </c>
      <c r="AI222" s="40" t="str">
        <f t="shared" si="8"/>
        <v/>
      </c>
      <c r="AJ222" s="40" t="str">
        <f>IF($K222="","",COUNTIF(Assignments!$B$6:$B$1000,$K222))</f>
        <v/>
      </c>
      <c r="AK222" s="40" t="str">
        <f>IF($K222="","",IF(AND($AJ222=0,$O222&lt;$N222),Config!$B$43,0))</f>
        <v/>
      </c>
      <c r="AL222" s="40" t="str">
        <f>IF($K222="","",IF(AND($M222="Elite",$G222&gt;=Config!$B$41,$O222&lt;$N222),Config!$B$42,0))</f>
        <v/>
      </c>
      <c r="AM222" s="22"/>
      <c r="AN222" s="39">
        <f>IFERROR(VLOOKUP(K222,Grinders!$A:$Q,28,FALSE),0)</f>
        <v>0</v>
      </c>
      <c r="AO222" s="39">
        <f>IF(Config!$B$1003&lt;&gt;"Y",0,IF(IFERROR(VLOOKUP(K222,Grinders!$A:$P,27,FALSE),0)&gt;=3,IF(OR(G222&gt;=Config!$B$1001,ISNUMBER(SEARCH(E222,Config!$B$1002))),1,0),0))</f>
        <v>0</v>
      </c>
      <c r="AP222" s="39">
        <f t="array" ref="AP222">IFERROR(IF(INDEX(Bids!$AE:$AE,MATCH(B222,Bids!$A:$A,0))="Pending",1,0),0)</f>
        <v>0</v>
      </c>
      <c r="AQ222" s="39" t="str">
        <f t="array" ref="AQ222">IF(C222="","",IFERROR(XLOOKUP(C222,Assignments!$C:$C,Assignments!$AU:$AU,0),0))</f>
        <v/>
      </c>
      <c r="AR222" s="39">
        <f>IF(AND(Config!$B$1006="Y",AQ222=1),Config!$B$1007,0)</f>
        <v>0</v>
      </c>
    </row>
    <row r="223" ht="15.75" customHeight="1">
      <c r="A223" s="46" t="str">
        <f t="shared" si="1"/>
        <v/>
      </c>
      <c r="B223" s="40" t="str">
        <f>IF(Bids!$A222="","",Bids!$A222)</f>
        <v/>
      </c>
      <c r="C223" s="40" t="str">
        <f>IF(Bids!$B222="","",Bids!$B222)</f>
        <v/>
      </c>
      <c r="D223" s="40" t="str">
        <f>IF($C223="","",IFERROR(VLOOKUP($C223,Orders!$A$4:$J$998,9,FALSE),""))</f>
        <v/>
      </c>
      <c r="E223" s="40" t="str">
        <f>IF($C223="","",IFERROR(VLOOKUP($C223,Orders!$A$4:$J$998,3,FALSE),""))</f>
        <v/>
      </c>
      <c r="F223" s="40">
        <f t="shared" si="2"/>
        <v>1</v>
      </c>
      <c r="G223" s="40" t="str">
        <f>IF($C223="","",IFERROR(VLOOKUP($C223,Orders!$A$4:$J$998,4,FALSE),""))</f>
        <v/>
      </c>
      <c r="H223" s="40" t="str">
        <f>IF($C223="","",IFERROR(VLOOKUP($C223,Orders!$A$4:$J$998,5,FALSE),""))</f>
        <v/>
      </c>
      <c r="I223" s="40" t="str">
        <f>IF($C223="","",IFERROR(VLOOKUP($C223,Orders!$A$4:$J$998,6,FALSE),""))</f>
        <v/>
      </c>
      <c r="J223" s="40" t="str">
        <f>IF($C223="","",IFERROR(VLOOKUP($C223,Orders!$A$4:$J$998,7,FALSE),""))</f>
        <v/>
      </c>
      <c r="K223" s="40" t="str">
        <f>IF(Bids!$C222="","",Bids!$C222)</f>
        <v/>
      </c>
      <c r="L223" s="40" t="str">
        <f>IF($K223="","",IFERROR(VLOOKUP($K223,Grinders!$A$4:$N$998,2,FALSE),""))</f>
        <v/>
      </c>
      <c r="M223" s="40" t="str">
        <f>IF($K223="","",IFERROR(VLOOKUP($K223,Grinders!$A$4:$N$998,3,FALSE),""))</f>
        <v/>
      </c>
      <c r="N223" s="40" t="str">
        <f>IF($K223="","",IFERROR(VLOOKUP($K223,Grinders!$A$4:$N$998,4,FALSE),""))</f>
        <v/>
      </c>
      <c r="O223" s="40" t="str">
        <f>IF($K223="","",IFERROR(VLOOKUP($K223,Grinders!$A$4:$N$998,5,FALSE),""))</f>
        <v/>
      </c>
      <c r="P223" s="40" t="str">
        <f>IF($K223="","",IF($C$4="",0,COUNTIFS(Assignments!$B$6:$B$1000,$K223,Assignments!$F$6:$F$1000,$C$4,Assignments!$E$6:$E$1000,"Active")))</f>
        <v/>
      </c>
      <c r="Q223" s="40" t="str">
        <f t="shared" si="3"/>
        <v/>
      </c>
      <c r="R223" s="40" t="str">
        <f t="shared" si="4"/>
        <v/>
      </c>
      <c r="S223" s="40" t="str">
        <f>IF($K223="","",IF($C$4="",0,COUNTIFS(Assignments!$B$6:$B$1000,$K223,Assignments!$F$6:$F$1000,$C$4,Assignments!$D$6:$D$1000,"&gt;="&amp;Config!$B$3-7,Assignments!$D$6:$D$1000,"&lt;="&amp;Config!$B$3)))</f>
        <v/>
      </c>
      <c r="T223" s="40" t="str">
        <f>IF($K223="","",IFERROR(VLOOKUP($K223,Grinders!$A$4:$N$998,8,FALSE),""))</f>
        <v/>
      </c>
      <c r="U223" s="40" t="str">
        <f>IFERROR(IF($K223="","",IF($M223="Elite",MAX(50,MIN(100,Config!$B$27*MAX(0,MIN(100,(1-IF($R223="",0,$R223))*100)) + Config!$B$28*MAX(0,MIN(100,(1-MIN(1,IF(Config!$B$30=0,1,$S223/Config!$B$30)))*100)) + Config!$B$29*MAX(0,MIN(100,MIN(1,IF($T223="",0,$T223)/Config!$B$23)*100)))),MIN(100,Config!$B$27*MAX(0,MIN(100,(1-IF($R223="",0,$R223))*100)) + Config!$B$28*MAX(0,MIN(100,(1-MIN(1,IF(Config!$B$30=0,1,$S223/Config!$B$30)))*100)) + Config!$B$29*MAX(0,MIN(100,MIN(1,IF($T223="",0,$T223)/Config!$B$23)*100))))),"")
</f>
        <v/>
      </c>
      <c r="V223" s="40" t="str">
        <f>IF(Bids!$AC223="","",Bids!$AC223)</f>
        <v/>
      </c>
      <c r="W223" s="40" t="str">
        <f>IF(Bids!$F222="","",Bids!$F222)</f>
        <v/>
      </c>
      <c r="X223" s="40" t="str">
        <f t="shared" si="5"/>
        <v/>
      </c>
      <c r="Y223" s="40" t="str">
        <f>IF($X223="","",IF(Config!$B$17=Config!$B$16,IF($X223&gt;=Config!$B$17,100,0),MAX(0,MIN(100,($X223-Config!$B$16)/(Config!$B$17-Config!$B$16)*100))))</f>
        <v/>
      </c>
      <c r="Z223" s="40">
        <f>IF($M223="Elite",Config!$B$21,0)</f>
        <v>0</v>
      </c>
      <c r="AA223" s="40" t="str">
        <f>IFERROR(IF(OR($W223="",$H223=""),"",IF($W223&gt;$H223,
  MAX(0, 60-(($W223-$H223)*24/Config!$B$19)*60),
  MIN(100, 60+(($H223-$W223)*24/Config!$B$20)*40)
)),"")
</f>
        <v/>
      </c>
      <c r="AB223" s="40" t="str">
        <f>IF($K223="","",IFERROR(VLOOKUP($K223,Grinders!$A$4:$N$998,10,FALSE)/5*100,""))</f>
        <v/>
      </c>
      <c r="AC223" s="40" t="str">
        <f>IF($K223="","",IFERROR(VLOOKUP($K223,Grinders!$A$4:$N$998,11,FALSE)*100,""))</f>
        <v/>
      </c>
      <c r="AD223" s="40" t="str">
        <f>IF($K223="","",IFERROR(VLOOKUP($K223,Grinders!$A$4:$N$998,12,FALSE)*100,""))</f>
        <v/>
      </c>
      <c r="AE223" s="40" t="str">
        <f>IF(OR(AO223=1,AP223=1),0,=IFERROR(IFS(
    OR($C223="", $K223=""), 0,
    $F223=0, 0,
    $D223&lt;&gt;"Open", 0,
    COUNTIFS(GrinderServices!$A$6:$A$1000, $K223, GrinderServices!$B$6:$B$1000, $E223, GrinderServices!$D$6:$D$1000, "Y")=0, 0,
    $X223&lt;Config!$B$16, 0,
    Config!$B$18=1, IF($O223&gt;=N223, 0, 1),
    TRUE, 1
), "")
)</f>
        <v>#ERROR!</v>
      </c>
      <c r="AF223" s="40" t="str">
        <f>IFERROR((IF(OR(AO223=1,AP223=1),"",=IFERROR((IFERROR(IF($AE223=0,"",((Config!$B$6*$Y223 + Config!$B$7*$U223 + Config!$B$8*$Z223 + Config!$B$9*$AA223 + Config!$B$10*$AB223 + Config!$B$11*$AC223 - Config!$B$12*$AD223)/Config!$B$13)+$AK223+$AL223),""))*(1-IFERROR(VLOOKUP(K223,Grinders!$A:$AB, 28, FALSE),0)),"")))*(1+AR223),"")</f>
        <v>#ERROR!</v>
      </c>
      <c r="AG223" s="40" t="str">
        <f t="shared" si="6"/>
        <v>#ERROR!</v>
      </c>
      <c r="AH223" s="40" t="str">
        <f t="shared" si="7"/>
        <v/>
      </c>
      <c r="AI223" s="40" t="str">
        <f t="shared" si="8"/>
        <v/>
      </c>
      <c r="AJ223" s="40" t="str">
        <f>IF($K223="","",COUNTIF(Assignments!$B$6:$B$1000,$K223))</f>
        <v/>
      </c>
      <c r="AK223" s="40" t="str">
        <f>IF($K223="","",IF(AND($AJ223=0,$O223&lt;$N223),Config!$B$43,0))</f>
        <v/>
      </c>
      <c r="AL223" s="40" t="str">
        <f>IF($K223="","",IF(AND($M223="Elite",$G223&gt;=Config!$B$41,$O223&lt;$N223),Config!$B$42,0))</f>
        <v/>
      </c>
      <c r="AM223" s="22"/>
      <c r="AN223" s="39">
        <f>IFERROR(VLOOKUP(K223,Grinders!$A:$Q,28,FALSE),0)</f>
        <v>0</v>
      </c>
      <c r="AO223" s="39">
        <f>IF(Config!$B$1003&lt;&gt;"Y",0,IF(IFERROR(VLOOKUP(K223,Grinders!$A:$P,27,FALSE),0)&gt;=3,IF(OR(G223&gt;=Config!$B$1001,ISNUMBER(SEARCH(E223,Config!$B$1002))),1,0),0))</f>
        <v>0</v>
      </c>
      <c r="AP223" s="39">
        <f t="array" ref="AP223">IFERROR(IF(INDEX(Bids!$AE:$AE,MATCH(B223,Bids!$A:$A,0))="Pending",1,0),0)</f>
        <v>0</v>
      </c>
      <c r="AQ223" s="39" t="str">
        <f t="array" ref="AQ223">IF(C223="","",IFERROR(XLOOKUP(C223,Assignments!$C:$C,Assignments!$AU:$AU,0),0))</f>
        <v/>
      </c>
      <c r="AR223" s="39">
        <f>IF(AND(Config!$B$1006="Y",AQ223=1),Config!$B$1007,0)</f>
        <v>0</v>
      </c>
    </row>
    <row r="224" ht="15.75" customHeight="1">
      <c r="A224" s="46" t="str">
        <f t="shared" si="1"/>
        <v/>
      </c>
      <c r="B224" s="40" t="str">
        <f>IF(Bids!$A223="","",Bids!$A223)</f>
        <v/>
      </c>
      <c r="C224" s="40" t="str">
        <f>IF(Bids!$B223="","",Bids!$B223)</f>
        <v/>
      </c>
      <c r="D224" s="40" t="str">
        <f>IF($C224="","",IFERROR(VLOOKUP($C224,Orders!$A$4:$J$998,9,FALSE),""))</f>
        <v/>
      </c>
      <c r="E224" s="40" t="str">
        <f>IF($C224="","",IFERROR(VLOOKUP($C224,Orders!$A$4:$J$998,3,FALSE),""))</f>
        <v/>
      </c>
      <c r="F224" s="40">
        <f t="shared" si="2"/>
        <v>1</v>
      </c>
      <c r="G224" s="40" t="str">
        <f>IF($C224="","",IFERROR(VLOOKUP($C224,Orders!$A$4:$J$998,4,FALSE),""))</f>
        <v/>
      </c>
      <c r="H224" s="40" t="str">
        <f>IF($C224="","",IFERROR(VLOOKUP($C224,Orders!$A$4:$J$998,5,FALSE),""))</f>
        <v/>
      </c>
      <c r="I224" s="40" t="str">
        <f>IF($C224="","",IFERROR(VLOOKUP($C224,Orders!$A$4:$J$998,6,FALSE),""))</f>
        <v/>
      </c>
      <c r="J224" s="40" t="str">
        <f>IF($C224="","",IFERROR(VLOOKUP($C224,Orders!$A$4:$J$998,7,FALSE),""))</f>
        <v/>
      </c>
      <c r="K224" s="40" t="str">
        <f>IF(Bids!$C223="","",Bids!$C223)</f>
        <v/>
      </c>
      <c r="L224" s="40" t="str">
        <f>IF($K224="","",IFERROR(VLOOKUP($K224,Grinders!$A$4:$N$998,2,FALSE),""))</f>
        <v/>
      </c>
      <c r="M224" s="40" t="str">
        <f>IF($K224="","",IFERROR(VLOOKUP($K224,Grinders!$A$4:$N$998,3,FALSE),""))</f>
        <v/>
      </c>
      <c r="N224" s="40" t="str">
        <f>IF($K224="","",IFERROR(VLOOKUP($K224,Grinders!$A$4:$N$998,4,FALSE),""))</f>
        <v/>
      </c>
      <c r="O224" s="40" t="str">
        <f>IF($K224="","",IFERROR(VLOOKUP($K224,Grinders!$A$4:$N$998,5,FALSE),""))</f>
        <v/>
      </c>
      <c r="P224" s="40" t="str">
        <f>IF($K224="","",IF($C$4="",0,COUNTIFS(Assignments!$B$6:$B$1000,$K224,Assignments!$F$6:$F$1000,$C$4,Assignments!$E$6:$E$1000,"Active")))</f>
        <v/>
      </c>
      <c r="Q224" s="40" t="str">
        <f t="shared" si="3"/>
        <v/>
      </c>
      <c r="R224" s="40" t="str">
        <f t="shared" si="4"/>
        <v/>
      </c>
      <c r="S224" s="40" t="str">
        <f>IF($K224="","",IF($C$4="",0,COUNTIFS(Assignments!$B$6:$B$1000,$K224,Assignments!$F$6:$F$1000,$C$4,Assignments!$D$6:$D$1000,"&gt;="&amp;Config!$B$3-7,Assignments!$D$6:$D$1000,"&lt;="&amp;Config!$B$3)))</f>
        <v/>
      </c>
      <c r="T224" s="40" t="str">
        <f>IF($K224="","",IFERROR(VLOOKUP($K224,Grinders!$A$4:$N$998,8,FALSE),""))</f>
        <v/>
      </c>
      <c r="U224" s="40" t="str">
        <f>IFERROR(IF($K224="","",IF($M224="Elite",MAX(50,MIN(100,Config!$B$27*MAX(0,MIN(100,(1-IF($R224="",0,$R224))*100)) + Config!$B$28*MAX(0,MIN(100,(1-MIN(1,IF(Config!$B$30=0,1,$S224/Config!$B$30)))*100)) + Config!$B$29*MAX(0,MIN(100,MIN(1,IF($T224="",0,$T224)/Config!$B$23)*100)))),MIN(100,Config!$B$27*MAX(0,MIN(100,(1-IF($R224="",0,$R224))*100)) + Config!$B$28*MAX(0,MIN(100,(1-MIN(1,IF(Config!$B$30=0,1,$S224/Config!$B$30)))*100)) + Config!$B$29*MAX(0,MIN(100,MIN(1,IF($T224="",0,$T224)/Config!$B$23)*100))))),"")
</f>
        <v/>
      </c>
      <c r="V224" s="40" t="str">
        <f>IF(Bids!$AC224="","",Bids!$AC224)</f>
        <v/>
      </c>
      <c r="W224" s="40" t="str">
        <f>IF(Bids!$F223="","",Bids!$F223)</f>
        <v/>
      </c>
      <c r="X224" s="40" t="str">
        <f t="shared" si="5"/>
        <v/>
      </c>
      <c r="Y224" s="40" t="str">
        <f>IF($X224="","",IF(Config!$B$17=Config!$B$16,IF($X224&gt;=Config!$B$17,100,0),MAX(0,MIN(100,($X224-Config!$B$16)/(Config!$B$17-Config!$B$16)*100))))</f>
        <v/>
      </c>
      <c r="Z224" s="40">
        <f>IF($M224="Elite",Config!$B$21,0)</f>
        <v>0</v>
      </c>
      <c r="AA224" s="40" t="str">
        <f>IFERROR(IF(OR($W224="",$H224=""),"",IF($W224&gt;$H224,
  MAX(0, 60-(($W224-$H224)*24/Config!$B$19)*60),
  MIN(100, 60+(($H224-$W224)*24/Config!$B$20)*40)
)),"")
</f>
        <v/>
      </c>
      <c r="AB224" s="40" t="str">
        <f>IF($K224="","",IFERROR(VLOOKUP($K224,Grinders!$A$4:$N$998,10,FALSE)/5*100,""))</f>
        <v/>
      </c>
      <c r="AC224" s="40" t="str">
        <f>IF($K224="","",IFERROR(VLOOKUP($K224,Grinders!$A$4:$N$998,11,FALSE)*100,""))</f>
        <v/>
      </c>
      <c r="AD224" s="40" t="str">
        <f>IF($K224="","",IFERROR(VLOOKUP($K224,Grinders!$A$4:$N$998,12,FALSE)*100,""))</f>
        <v/>
      </c>
      <c r="AE224" s="40" t="str">
        <f>IF(OR(AO224=1,AP224=1),0,=IFERROR(IFS(
    OR($C224="", $K224=""), 0,
    $F224=0, 0,
    $D224&lt;&gt;"Open", 0,
    COUNTIFS(GrinderServices!$A$6:$A$1000, $K224, GrinderServices!$B$6:$B$1000, $E224, GrinderServices!$D$6:$D$1000, "Y")=0, 0,
    $X224&lt;Config!$B$16, 0,
    Config!$B$18=1, IF($O224&gt;=N224, 0, 1),
    TRUE, 1
), "")
)</f>
        <v>#ERROR!</v>
      </c>
      <c r="AF224" s="40" t="str">
        <f>IFERROR((IF(OR(AO224=1,AP224=1),"",=IFERROR((IFERROR(IF($AE224=0,"",((Config!$B$6*$Y224 + Config!$B$7*$U224 + Config!$B$8*$Z224 + Config!$B$9*$AA224 + Config!$B$10*$AB224 + Config!$B$11*$AC224 - Config!$B$12*$AD224)/Config!$B$13)+$AK224+$AL224),""))*(1-IFERROR(VLOOKUP(K224,Grinders!$A:$AB, 28, FALSE),0)),"")))*(1+AR224),"")</f>
        <v>#ERROR!</v>
      </c>
      <c r="AG224" s="40" t="str">
        <f t="shared" si="6"/>
        <v>#ERROR!</v>
      </c>
      <c r="AH224" s="40" t="str">
        <f t="shared" si="7"/>
        <v/>
      </c>
      <c r="AI224" s="40" t="str">
        <f t="shared" si="8"/>
        <v/>
      </c>
      <c r="AJ224" s="40" t="str">
        <f>IF($K224="","",COUNTIF(Assignments!$B$6:$B$1000,$K224))</f>
        <v/>
      </c>
      <c r="AK224" s="40" t="str">
        <f>IF($K224="","",IF(AND($AJ224=0,$O224&lt;$N224),Config!$B$43,0))</f>
        <v/>
      </c>
      <c r="AL224" s="40" t="str">
        <f>IF($K224="","",IF(AND($M224="Elite",$G224&gt;=Config!$B$41,$O224&lt;$N224),Config!$B$42,0))</f>
        <v/>
      </c>
      <c r="AM224" s="22"/>
      <c r="AN224" s="39">
        <f>IFERROR(VLOOKUP(K224,Grinders!$A:$Q,28,FALSE),0)</f>
        <v>0</v>
      </c>
      <c r="AO224" s="39">
        <f>IF(Config!$B$1003&lt;&gt;"Y",0,IF(IFERROR(VLOOKUP(K224,Grinders!$A:$P,27,FALSE),0)&gt;=3,IF(OR(G224&gt;=Config!$B$1001,ISNUMBER(SEARCH(E224,Config!$B$1002))),1,0),0))</f>
        <v>0</v>
      </c>
      <c r="AP224" s="39">
        <f t="array" ref="AP224">IFERROR(IF(INDEX(Bids!$AE:$AE,MATCH(B224,Bids!$A:$A,0))="Pending",1,0),0)</f>
        <v>0</v>
      </c>
      <c r="AQ224" s="39" t="str">
        <f t="array" ref="AQ224">IF(C224="","",IFERROR(XLOOKUP(C224,Assignments!$C:$C,Assignments!$AU:$AU,0),0))</f>
        <v/>
      </c>
      <c r="AR224" s="39">
        <f>IF(AND(Config!$B$1006="Y",AQ224=1),Config!$B$1007,0)</f>
        <v>0</v>
      </c>
    </row>
    <row r="225" ht="15.75" customHeight="1">
      <c r="A225" s="46" t="str">
        <f t="shared" si="1"/>
        <v/>
      </c>
      <c r="B225" s="40" t="str">
        <f>IF(Bids!$A224="","",Bids!$A224)</f>
        <v/>
      </c>
      <c r="C225" s="40" t="str">
        <f>IF(Bids!$B224="","",Bids!$B224)</f>
        <v/>
      </c>
      <c r="D225" s="40" t="str">
        <f>IF($C225="","",IFERROR(VLOOKUP($C225,Orders!$A$4:$J$998,9,FALSE),""))</f>
        <v/>
      </c>
      <c r="E225" s="40" t="str">
        <f>IF($C225="","",IFERROR(VLOOKUP($C225,Orders!$A$4:$J$998,3,FALSE),""))</f>
        <v/>
      </c>
      <c r="F225" s="40">
        <f t="shared" si="2"/>
        <v>1</v>
      </c>
      <c r="G225" s="40" t="str">
        <f>IF($C225="","",IFERROR(VLOOKUP($C225,Orders!$A$4:$J$998,4,FALSE),""))</f>
        <v/>
      </c>
      <c r="H225" s="40" t="str">
        <f>IF($C225="","",IFERROR(VLOOKUP($C225,Orders!$A$4:$J$998,5,FALSE),""))</f>
        <v/>
      </c>
      <c r="I225" s="40" t="str">
        <f>IF($C225="","",IFERROR(VLOOKUP($C225,Orders!$A$4:$J$998,6,FALSE),""))</f>
        <v/>
      </c>
      <c r="J225" s="40" t="str">
        <f>IF($C225="","",IFERROR(VLOOKUP($C225,Orders!$A$4:$J$998,7,FALSE),""))</f>
        <v/>
      </c>
      <c r="K225" s="40" t="str">
        <f>IF(Bids!$C224="","",Bids!$C224)</f>
        <v/>
      </c>
      <c r="L225" s="40" t="str">
        <f>IF($K225="","",IFERROR(VLOOKUP($K225,Grinders!$A$4:$N$998,2,FALSE),""))</f>
        <v/>
      </c>
      <c r="M225" s="40" t="str">
        <f>IF($K225="","",IFERROR(VLOOKUP($K225,Grinders!$A$4:$N$998,3,FALSE),""))</f>
        <v/>
      </c>
      <c r="N225" s="40" t="str">
        <f>IF($K225="","",IFERROR(VLOOKUP($K225,Grinders!$A$4:$N$998,4,FALSE),""))</f>
        <v/>
      </c>
      <c r="O225" s="40" t="str">
        <f>IF($K225="","",IFERROR(VLOOKUP($K225,Grinders!$A$4:$N$998,5,FALSE),""))</f>
        <v/>
      </c>
      <c r="P225" s="40" t="str">
        <f>IF($K225="","",IF($C$4="",0,COUNTIFS(Assignments!$B$6:$B$1000,$K225,Assignments!$F$6:$F$1000,$C$4,Assignments!$E$6:$E$1000,"Active")))</f>
        <v/>
      </c>
      <c r="Q225" s="40" t="str">
        <f t="shared" si="3"/>
        <v/>
      </c>
      <c r="R225" s="40" t="str">
        <f t="shared" si="4"/>
        <v/>
      </c>
      <c r="S225" s="40" t="str">
        <f>IF($K225="","",IF($C$4="",0,COUNTIFS(Assignments!$B$6:$B$1000,$K225,Assignments!$F$6:$F$1000,$C$4,Assignments!$D$6:$D$1000,"&gt;="&amp;Config!$B$3-7,Assignments!$D$6:$D$1000,"&lt;="&amp;Config!$B$3)))</f>
        <v/>
      </c>
      <c r="T225" s="40" t="str">
        <f>IF($K225="","",IFERROR(VLOOKUP($K225,Grinders!$A$4:$N$998,8,FALSE),""))</f>
        <v/>
      </c>
      <c r="U225" s="40" t="str">
        <f>IFERROR(IF($K225="","",IF($M225="Elite",MAX(50,MIN(100,Config!$B$27*MAX(0,MIN(100,(1-IF($R225="",0,$R225))*100)) + Config!$B$28*MAX(0,MIN(100,(1-MIN(1,IF(Config!$B$30=0,1,$S225/Config!$B$30)))*100)) + Config!$B$29*MAX(0,MIN(100,MIN(1,IF($T225="",0,$T225)/Config!$B$23)*100)))),MIN(100,Config!$B$27*MAX(0,MIN(100,(1-IF($R225="",0,$R225))*100)) + Config!$B$28*MAX(0,MIN(100,(1-MIN(1,IF(Config!$B$30=0,1,$S225/Config!$B$30)))*100)) + Config!$B$29*MAX(0,MIN(100,MIN(1,IF($T225="",0,$T225)/Config!$B$23)*100))))),"")
</f>
        <v/>
      </c>
      <c r="V225" s="40" t="str">
        <f>IF(Bids!$AC225="","",Bids!$AC225)</f>
        <v/>
      </c>
      <c r="W225" s="40" t="str">
        <f>IF(Bids!$F224="","",Bids!$F224)</f>
        <v/>
      </c>
      <c r="X225" s="40" t="str">
        <f t="shared" si="5"/>
        <v/>
      </c>
      <c r="Y225" s="40" t="str">
        <f>IF($X225="","",IF(Config!$B$17=Config!$B$16,IF($X225&gt;=Config!$B$17,100,0),MAX(0,MIN(100,($X225-Config!$B$16)/(Config!$B$17-Config!$B$16)*100))))</f>
        <v/>
      </c>
      <c r="Z225" s="40">
        <f>IF($M225="Elite",Config!$B$21,0)</f>
        <v>0</v>
      </c>
      <c r="AA225" s="40" t="str">
        <f>IFERROR(IF(OR($W225="",$H225=""),"",IF($W225&gt;$H225,
  MAX(0, 60-(($W225-$H225)*24/Config!$B$19)*60),
  MIN(100, 60+(($H225-$W225)*24/Config!$B$20)*40)
)),"")
</f>
        <v/>
      </c>
      <c r="AB225" s="40" t="str">
        <f>IF($K225="","",IFERROR(VLOOKUP($K225,Grinders!$A$4:$N$998,10,FALSE)/5*100,""))</f>
        <v/>
      </c>
      <c r="AC225" s="40" t="str">
        <f>IF($K225="","",IFERROR(VLOOKUP($K225,Grinders!$A$4:$N$998,11,FALSE)*100,""))</f>
        <v/>
      </c>
      <c r="AD225" s="40" t="str">
        <f>IF($K225="","",IFERROR(VLOOKUP($K225,Grinders!$A$4:$N$998,12,FALSE)*100,""))</f>
        <v/>
      </c>
      <c r="AE225" s="40" t="str">
        <f>IF(OR(AO225=1,AP225=1),0,=IFERROR(IFS(
    OR($C225="", $K225=""), 0,
    $F225=0, 0,
    $D225&lt;&gt;"Open", 0,
    COUNTIFS(GrinderServices!$A$6:$A$1000, $K225, GrinderServices!$B$6:$B$1000, $E225, GrinderServices!$D$6:$D$1000, "Y")=0, 0,
    $X225&lt;Config!$B$16, 0,
    Config!$B$18=1, IF($O225&gt;=N225, 0, 1),
    TRUE, 1
), "")
)</f>
        <v>#ERROR!</v>
      </c>
      <c r="AF225" s="40" t="str">
        <f>IFERROR((IF(OR(AO225=1,AP225=1),"",=IFERROR((IFERROR(IF($AE225=0,"",((Config!$B$6*$Y225 + Config!$B$7*$U225 + Config!$B$8*$Z225 + Config!$B$9*$AA225 + Config!$B$10*$AB225 + Config!$B$11*$AC225 - Config!$B$12*$AD225)/Config!$B$13)+$AK225+$AL225),""))*(1-IFERROR(VLOOKUP(K225,Grinders!$A:$AB, 28, FALSE),0)),"")))*(1+AR225),"")</f>
        <v>#ERROR!</v>
      </c>
      <c r="AG225" s="40" t="str">
        <f t="shared" si="6"/>
        <v>#ERROR!</v>
      </c>
      <c r="AH225" s="40" t="str">
        <f t="shared" si="7"/>
        <v/>
      </c>
      <c r="AI225" s="40" t="str">
        <f t="shared" si="8"/>
        <v/>
      </c>
      <c r="AJ225" s="40" t="str">
        <f>IF($K225="","",COUNTIF(Assignments!$B$6:$B$1000,$K225))</f>
        <v/>
      </c>
      <c r="AK225" s="40" t="str">
        <f>IF($K225="","",IF(AND($AJ225=0,$O225&lt;$N225),Config!$B$43,0))</f>
        <v/>
      </c>
      <c r="AL225" s="40" t="str">
        <f>IF($K225="","",IF(AND($M225="Elite",$G225&gt;=Config!$B$41,$O225&lt;$N225),Config!$B$42,0))</f>
        <v/>
      </c>
      <c r="AM225" s="22"/>
      <c r="AN225" s="39">
        <f>IFERROR(VLOOKUP(K225,Grinders!$A:$Q,28,FALSE),0)</f>
        <v>0</v>
      </c>
      <c r="AO225" s="39">
        <f>IF(Config!$B$1003&lt;&gt;"Y",0,IF(IFERROR(VLOOKUP(K225,Grinders!$A:$P,27,FALSE),0)&gt;=3,IF(OR(G225&gt;=Config!$B$1001,ISNUMBER(SEARCH(E225,Config!$B$1002))),1,0),0))</f>
        <v>0</v>
      </c>
      <c r="AP225" s="39">
        <f t="array" ref="AP225">IFERROR(IF(INDEX(Bids!$AE:$AE,MATCH(B225,Bids!$A:$A,0))="Pending",1,0),0)</f>
        <v>0</v>
      </c>
      <c r="AQ225" s="39" t="str">
        <f t="array" ref="AQ225">IF(C225="","",IFERROR(XLOOKUP(C225,Assignments!$C:$C,Assignments!$AU:$AU,0),0))</f>
        <v/>
      </c>
      <c r="AR225" s="39">
        <f>IF(AND(Config!$B$1006="Y",AQ225=1),Config!$B$1007,0)</f>
        <v>0</v>
      </c>
    </row>
    <row r="226" ht="15.75" customHeight="1">
      <c r="A226" s="46" t="str">
        <f t="shared" si="1"/>
        <v/>
      </c>
      <c r="B226" s="40" t="str">
        <f>IF(Bids!$A225="","",Bids!$A225)</f>
        <v/>
      </c>
      <c r="C226" s="40" t="str">
        <f>IF(Bids!$B225="","",Bids!$B225)</f>
        <v/>
      </c>
      <c r="D226" s="40" t="str">
        <f>IF($C226="","",IFERROR(VLOOKUP($C226,Orders!$A$4:$J$998,9,FALSE),""))</f>
        <v/>
      </c>
      <c r="E226" s="40" t="str">
        <f>IF($C226="","",IFERROR(VLOOKUP($C226,Orders!$A$4:$J$998,3,FALSE),""))</f>
        <v/>
      </c>
      <c r="F226" s="40">
        <f t="shared" si="2"/>
        <v>1</v>
      </c>
      <c r="G226" s="40" t="str">
        <f>IF($C226="","",IFERROR(VLOOKUP($C226,Orders!$A$4:$J$998,4,FALSE),""))</f>
        <v/>
      </c>
      <c r="H226" s="40" t="str">
        <f>IF($C226="","",IFERROR(VLOOKUP($C226,Orders!$A$4:$J$998,5,FALSE),""))</f>
        <v/>
      </c>
      <c r="I226" s="40" t="str">
        <f>IF($C226="","",IFERROR(VLOOKUP($C226,Orders!$A$4:$J$998,6,FALSE),""))</f>
        <v/>
      </c>
      <c r="J226" s="40" t="str">
        <f>IF($C226="","",IFERROR(VLOOKUP($C226,Orders!$A$4:$J$998,7,FALSE),""))</f>
        <v/>
      </c>
      <c r="K226" s="40" t="str">
        <f>IF(Bids!$C225="","",Bids!$C225)</f>
        <v/>
      </c>
      <c r="L226" s="40" t="str">
        <f>IF($K226="","",IFERROR(VLOOKUP($K226,Grinders!$A$4:$N$998,2,FALSE),""))</f>
        <v/>
      </c>
      <c r="M226" s="40" t="str">
        <f>IF($K226="","",IFERROR(VLOOKUP($K226,Grinders!$A$4:$N$998,3,FALSE),""))</f>
        <v/>
      </c>
      <c r="N226" s="40" t="str">
        <f>IF($K226="","",IFERROR(VLOOKUP($K226,Grinders!$A$4:$N$998,4,FALSE),""))</f>
        <v/>
      </c>
      <c r="O226" s="40" t="str">
        <f>IF($K226="","",IFERROR(VLOOKUP($K226,Grinders!$A$4:$N$998,5,FALSE),""))</f>
        <v/>
      </c>
      <c r="P226" s="40" t="str">
        <f>IF($K226="","",IF($C$4="",0,COUNTIFS(Assignments!$B$6:$B$1000,$K226,Assignments!$F$6:$F$1000,$C$4,Assignments!$E$6:$E$1000,"Active")))</f>
        <v/>
      </c>
      <c r="Q226" s="40" t="str">
        <f t="shared" si="3"/>
        <v/>
      </c>
      <c r="R226" s="40" t="str">
        <f t="shared" si="4"/>
        <v/>
      </c>
      <c r="S226" s="40" t="str">
        <f>IF($K226="","",IF($C$4="",0,COUNTIFS(Assignments!$B$6:$B$1000,$K226,Assignments!$F$6:$F$1000,$C$4,Assignments!$D$6:$D$1000,"&gt;="&amp;Config!$B$3-7,Assignments!$D$6:$D$1000,"&lt;="&amp;Config!$B$3)))</f>
        <v/>
      </c>
      <c r="T226" s="40" t="str">
        <f>IF($K226="","",IFERROR(VLOOKUP($K226,Grinders!$A$4:$N$998,8,FALSE),""))</f>
        <v/>
      </c>
      <c r="U226" s="40" t="str">
        <f>IFERROR(IF($K226="","",IF($M226="Elite",MAX(50,MIN(100,Config!$B$27*MAX(0,MIN(100,(1-IF($R226="",0,$R226))*100)) + Config!$B$28*MAX(0,MIN(100,(1-MIN(1,IF(Config!$B$30=0,1,$S226/Config!$B$30)))*100)) + Config!$B$29*MAX(0,MIN(100,MIN(1,IF($T226="",0,$T226)/Config!$B$23)*100)))),MIN(100,Config!$B$27*MAX(0,MIN(100,(1-IF($R226="",0,$R226))*100)) + Config!$B$28*MAX(0,MIN(100,(1-MIN(1,IF(Config!$B$30=0,1,$S226/Config!$B$30)))*100)) + Config!$B$29*MAX(0,MIN(100,MIN(1,IF($T226="",0,$T226)/Config!$B$23)*100))))),"")
</f>
        <v/>
      </c>
      <c r="V226" s="40" t="str">
        <f>IF(Bids!$AC226="","",Bids!$AC226)</f>
        <v/>
      </c>
      <c r="W226" s="40" t="str">
        <f>IF(Bids!$F225="","",Bids!$F225)</f>
        <v/>
      </c>
      <c r="X226" s="40" t="str">
        <f t="shared" si="5"/>
        <v/>
      </c>
      <c r="Y226" s="40" t="str">
        <f>IF($X226="","",IF(Config!$B$17=Config!$B$16,IF($X226&gt;=Config!$B$17,100,0),MAX(0,MIN(100,($X226-Config!$B$16)/(Config!$B$17-Config!$B$16)*100))))</f>
        <v/>
      </c>
      <c r="Z226" s="40">
        <f>IF($M226="Elite",Config!$B$21,0)</f>
        <v>0</v>
      </c>
      <c r="AA226" s="40" t="str">
        <f>IFERROR(IF(OR($W226="",$H226=""),"",IF($W226&gt;$H226,
  MAX(0, 60-(($W226-$H226)*24/Config!$B$19)*60),
  MIN(100, 60+(($H226-$W226)*24/Config!$B$20)*40)
)),"")
</f>
        <v/>
      </c>
      <c r="AB226" s="40" t="str">
        <f>IF($K226="","",IFERROR(VLOOKUP($K226,Grinders!$A$4:$N$998,10,FALSE)/5*100,""))</f>
        <v/>
      </c>
      <c r="AC226" s="40" t="str">
        <f>IF($K226="","",IFERROR(VLOOKUP($K226,Grinders!$A$4:$N$998,11,FALSE)*100,""))</f>
        <v/>
      </c>
      <c r="AD226" s="40" t="str">
        <f>IF($K226="","",IFERROR(VLOOKUP($K226,Grinders!$A$4:$N$998,12,FALSE)*100,""))</f>
        <v/>
      </c>
      <c r="AE226" s="40" t="str">
        <f>IF(OR(AO226=1,AP226=1),0,=IFERROR(IFS(
    OR($C226="", $K226=""), 0,
    $F226=0, 0,
    $D226&lt;&gt;"Open", 0,
    COUNTIFS(GrinderServices!$A$6:$A$1000, $K226, GrinderServices!$B$6:$B$1000, $E226, GrinderServices!$D$6:$D$1000, "Y")=0, 0,
    $X226&lt;Config!$B$16, 0,
    Config!$B$18=1, IF($O226&gt;=N226, 0, 1),
    TRUE, 1
), "")
)</f>
        <v>#ERROR!</v>
      </c>
      <c r="AF226" s="40" t="str">
        <f>IFERROR((IF(OR(AO226=1,AP226=1),"",=IFERROR((IFERROR(IF($AE226=0,"",((Config!$B$6*$Y226 + Config!$B$7*$U226 + Config!$B$8*$Z226 + Config!$B$9*$AA226 + Config!$B$10*$AB226 + Config!$B$11*$AC226 - Config!$B$12*$AD226)/Config!$B$13)+$AK226+$AL226),""))*(1-IFERROR(VLOOKUP(K226,Grinders!$A:$AB, 28, FALSE),0)),"")))*(1+AR226),"")</f>
        <v>#ERROR!</v>
      </c>
      <c r="AG226" s="40" t="str">
        <f t="shared" si="6"/>
        <v>#ERROR!</v>
      </c>
      <c r="AH226" s="40" t="str">
        <f t="shared" si="7"/>
        <v/>
      </c>
      <c r="AI226" s="40" t="str">
        <f t="shared" si="8"/>
        <v/>
      </c>
      <c r="AJ226" s="40" t="str">
        <f>IF($K226="","",COUNTIF(Assignments!$B$6:$B$1000,$K226))</f>
        <v/>
      </c>
      <c r="AK226" s="40" t="str">
        <f>IF($K226="","",IF(AND($AJ226=0,$O226&lt;$N226),Config!$B$43,0))</f>
        <v/>
      </c>
      <c r="AL226" s="40" t="str">
        <f>IF($K226="","",IF(AND($M226="Elite",$G226&gt;=Config!$B$41,$O226&lt;$N226),Config!$B$42,0))</f>
        <v/>
      </c>
      <c r="AM226" s="22"/>
      <c r="AN226" s="39">
        <f>IFERROR(VLOOKUP(K226,Grinders!$A:$Q,28,FALSE),0)</f>
        <v>0</v>
      </c>
      <c r="AO226" s="39">
        <f>IF(Config!$B$1003&lt;&gt;"Y",0,IF(IFERROR(VLOOKUP(K226,Grinders!$A:$P,27,FALSE),0)&gt;=3,IF(OR(G226&gt;=Config!$B$1001,ISNUMBER(SEARCH(E226,Config!$B$1002))),1,0),0))</f>
        <v>0</v>
      </c>
      <c r="AP226" s="39">
        <f t="array" ref="AP226">IFERROR(IF(INDEX(Bids!$AE:$AE,MATCH(B226,Bids!$A:$A,0))="Pending",1,0),0)</f>
        <v>0</v>
      </c>
      <c r="AQ226" s="39" t="str">
        <f t="array" ref="AQ226">IF(C226="","",IFERROR(XLOOKUP(C226,Assignments!$C:$C,Assignments!$AU:$AU,0),0))</f>
        <v/>
      </c>
      <c r="AR226" s="39">
        <f>IF(AND(Config!$B$1006="Y",AQ226=1),Config!$B$1007,0)</f>
        <v>0</v>
      </c>
    </row>
    <row r="227" ht="15.75" customHeight="1">
      <c r="A227" s="46" t="str">
        <f t="shared" si="1"/>
        <v/>
      </c>
      <c r="B227" s="40" t="str">
        <f>IF(Bids!$A226="","",Bids!$A226)</f>
        <v/>
      </c>
      <c r="C227" s="40" t="str">
        <f>IF(Bids!$B226="","",Bids!$B226)</f>
        <v/>
      </c>
      <c r="D227" s="40" t="str">
        <f>IF($C227="","",IFERROR(VLOOKUP($C227,Orders!$A$4:$J$998,9,FALSE),""))</f>
        <v/>
      </c>
      <c r="E227" s="40" t="str">
        <f>IF($C227="","",IFERROR(VLOOKUP($C227,Orders!$A$4:$J$998,3,FALSE),""))</f>
        <v/>
      </c>
      <c r="F227" s="40">
        <f t="shared" si="2"/>
        <v>1</v>
      </c>
      <c r="G227" s="40" t="str">
        <f>IF($C227="","",IFERROR(VLOOKUP($C227,Orders!$A$4:$J$998,4,FALSE),""))</f>
        <v/>
      </c>
      <c r="H227" s="40" t="str">
        <f>IF($C227="","",IFERROR(VLOOKUP($C227,Orders!$A$4:$J$998,5,FALSE),""))</f>
        <v/>
      </c>
      <c r="I227" s="40" t="str">
        <f>IF($C227="","",IFERROR(VLOOKUP($C227,Orders!$A$4:$J$998,6,FALSE),""))</f>
        <v/>
      </c>
      <c r="J227" s="40" t="str">
        <f>IF($C227="","",IFERROR(VLOOKUP($C227,Orders!$A$4:$J$998,7,FALSE),""))</f>
        <v/>
      </c>
      <c r="K227" s="40" t="str">
        <f>IF(Bids!$C226="","",Bids!$C226)</f>
        <v/>
      </c>
      <c r="L227" s="40" t="str">
        <f>IF($K227="","",IFERROR(VLOOKUP($K227,Grinders!$A$4:$N$998,2,FALSE),""))</f>
        <v/>
      </c>
      <c r="M227" s="40" t="str">
        <f>IF($K227="","",IFERROR(VLOOKUP($K227,Grinders!$A$4:$N$998,3,FALSE),""))</f>
        <v/>
      </c>
      <c r="N227" s="40" t="str">
        <f>IF($K227="","",IFERROR(VLOOKUP($K227,Grinders!$A$4:$N$998,4,FALSE),""))</f>
        <v/>
      </c>
      <c r="O227" s="40" t="str">
        <f>IF($K227="","",IFERROR(VLOOKUP($K227,Grinders!$A$4:$N$998,5,FALSE),""))</f>
        <v/>
      </c>
      <c r="P227" s="40" t="str">
        <f>IF($K227="","",IF($C$4="",0,COUNTIFS(Assignments!$B$6:$B$1000,$K227,Assignments!$F$6:$F$1000,$C$4,Assignments!$E$6:$E$1000,"Active")))</f>
        <v/>
      </c>
      <c r="Q227" s="40" t="str">
        <f t="shared" si="3"/>
        <v/>
      </c>
      <c r="R227" s="40" t="str">
        <f t="shared" si="4"/>
        <v/>
      </c>
      <c r="S227" s="40" t="str">
        <f>IF($K227="","",IF($C$4="",0,COUNTIFS(Assignments!$B$6:$B$1000,$K227,Assignments!$F$6:$F$1000,$C$4,Assignments!$D$6:$D$1000,"&gt;="&amp;Config!$B$3-7,Assignments!$D$6:$D$1000,"&lt;="&amp;Config!$B$3)))</f>
        <v/>
      </c>
      <c r="T227" s="40" t="str">
        <f>IF($K227="","",IFERROR(VLOOKUP($K227,Grinders!$A$4:$N$998,8,FALSE),""))</f>
        <v/>
      </c>
      <c r="U227" s="40" t="str">
        <f>IFERROR(IF($K227="","",IF($M227="Elite",MAX(50,MIN(100,Config!$B$27*MAX(0,MIN(100,(1-IF($R227="",0,$R227))*100)) + Config!$B$28*MAX(0,MIN(100,(1-MIN(1,IF(Config!$B$30=0,1,$S227/Config!$B$30)))*100)) + Config!$B$29*MAX(0,MIN(100,MIN(1,IF($T227="",0,$T227)/Config!$B$23)*100)))),MIN(100,Config!$B$27*MAX(0,MIN(100,(1-IF($R227="",0,$R227))*100)) + Config!$B$28*MAX(0,MIN(100,(1-MIN(1,IF(Config!$B$30=0,1,$S227/Config!$B$30)))*100)) + Config!$B$29*MAX(0,MIN(100,MIN(1,IF($T227="",0,$T227)/Config!$B$23)*100))))),"")
</f>
        <v/>
      </c>
      <c r="V227" s="40" t="str">
        <f>IF(Bids!$AC227="","",Bids!$AC227)</f>
        <v/>
      </c>
      <c r="W227" s="40" t="str">
        <f>IF(Bids!$F226="","",Bids!$F226)</f>
        <v/>
      </c>
      <c r="X227" s="40" t="str">
        <f t="shared" si="5"/>
        <v/>
      </c>
      <c r="Y227" s="40" t="str">
        <f>IF($X227="","",IF(Config!$B$17=Config!$B$16,IF($X227&gt;=Config!$B$17,100,0),MAX(0,MIN(100,($X227-Config!$B$16)/(Config!$B$17-Config!$B$16)*100))))</f>
        <v/>
      </c>
      <c r="Z227" s="40">
        <f>IF($M227="Elite",Config!$B$21,0)</f>
        <v>0</v>
      </c>
      <c r="AA227" s="40" t="str">
        <f>IFERROR(IF(OR($W227="",$H227=""),"",IF($W227&gt;$H227,
  MAX(0, 60-(($W227-$H227)*24/Config!$B$19)*60),
  MIN(100, 60+(($H227-$W227)*24/Config!$B$20)*40)
)),"")
</f>
        <v/>
      </c>
      <c r="AB227" s="40" t="str">
        <f>IF($K227="","",IFERROR(VLOOKUP($K227,Grinders!$A$4:$N$998,10,FALSE)/5*100,""))</f>
        <v/>
      </c>
      <c r="AC227" s="40" t="str">
        <f>IF($K227="","",IFERROR(VLOOKUP($K227,Grinders!$A$4:$N$998,11,FALSE)*100,""))</f>
        <v/>
      </c>
      <c r="AD227" s="40" t="str">
        <f>IF($K227="","",IFERROR(VLOOKUP($K227,Grinders!$A$4:$N$998,12,FALSE)*100,""))</f>
        <v/>
      </c>
      <c r="AE227" s="40" t="str">
        <f>IF(OR(AO227=1,AP227=1),0,=IFERROR(IFS(
    OR($C227="", $K227=""), 0,
    $F227=0, 0,
    $D227&lt;&gt;"Open", 0,
    COUNTIFS(GrinderServices!$A$6:$A$1000, $K227, GrinderServices!$B$6:$B$1000, $E227, GrinderServices!$D$6:$D$1000, "Y")=0, 0,
    $X227&lt;Config!$B$16, 0,
    Config!$B$18=1, IF($O227&gt;=N227, 0, 1),
    TRUE, 1
), "")
)</f>
        <v>#ERROR!</v>
      </c>
      <c r="AF227" s="40" t="str">
        <f>IFERROR((IF(OR(AO227=1,AP227=1),"",=IFERROR((IFERROR(IF($AE227=0,"",((Config!$B$6*$Y227 + Config!$B$7*$U227 + Config!$B$8*$Z227 + Config!$B$9*$AA227 + Config!$B$10*$AB227 + Config!$B$11*$AC227 - Config!$B$12*$AD227)/Config!$B$13)+$AK227+$AL227),""))*(1-IFERROR(VLOOKUP(K227,Grinders!$A:$AB, 28, FALSE),0)),"")))*(1+AR227),"")</f>
        <v>#ERROR!</v>
      </c>
      <c r="AG227" s="40" t="str">
        <f t="shared" si="6"/>
        <v>#ERROR!</v>
      </c>
      <c r="AH227" s="40" t="str">
        <f t="shared" si="7"/>
        <v/>
      </c>
      <c r="AI227" s="40" t="str">
        <f t="shared" si="8"/>
        <v/>
      </c>
      <c r="AJ227" s="40" t="str">
        <f>IF($K227="","",COUNTIF(Assignments!$B$6:$B$1000,$K227))</f>
        <v/>
      </c>
      <c r="AK227" s="40" t="str">
        <f>IF($K227="","",IF(AND($AJ227=0,$O227&lt;$N227),Config!$B$43,0))</f>
        <v/>
      </c>
      <c r="AL227" s="40" t="str">
        <f>IF($K227="","",IF(AND($M227="Elite",$G227&gt;=Config!$B$41,$O227&lt;$N227),Config!$B$42,0))</f>
        <v/>
      </c>
      <c r="AM227" s="22"/>
      <c r="AN227" s="39">
        <f>IFERROR(VLOOKUP(K227,Grinders!$A:$Q,28,FALSE),0)</f>
        <v>0</v>
      </c>
      <c r="AO227" s="39">
        <f>IF(Config!$B$1003&lt;&gt;"Y",0,IF(IFERROR(VLOOKUP(K227,Grinders!$A:$P,27,FALSE),0)&gt;=3,IF(OR(G227&gt;=Config!$B$1001,ISNUMBER(SEARCH(E227,Config!$B$1002))),1,0),0))</f>
        <v>0</v>
      </c>
      <c r="AP227" s="39">
        <f t="array" ref="AP227">IFERROR(IF(INDEX(Bids!$AE:$AE,MATCH(B227,Bids!$A:$A,0))="Pending",1,0),0)</f>
        <v>0</v>
      </c>
      <c r="AQ227" s="39" t="str">
        <f t="array" ref="AQ227">IF(C227="","",IFERROR(XLOOKUP(C227,Assignments!$C:$C,Assignments!$AU:$AU,0),0))</f>
        <v/>
      </c>
      <c r="AR227" s="39">
        <f>IF(AND(Config!$B$1006="Y",AQ227=1),Config!$B$1007,0)</f>
        <v>0</v>
      </c>
    </row>
    <row r="228" ht="15.75" customHeight="1">
      <c r="A228" s="46" t="str">
        <f t="shared" si="1"/>
        <v/>
      </c>
      <c r="B228" s="40" t="str">
        <f>IF(Bids!$A227="","",Bids!$A227)</f>
        <v/>
      </c>
      <c r="C228" s="40" t="str">
        <f>IF(Bids!$B227="","",Bids!$B227)</f>
        <v/>
      </c>
      <c r="D228" s="40" t="str">
        <f>IF($C228="","",IFERROR(VLOOKUP($C228,Orders!$A$4:$J$998,9,FALSE),""))</f>
        <v/>
      </c>
      <c r="E228" s="40" t="str">
        <f>IF($C228="","",IFERROR(VLOOKUP($C228,Orders!$A$4:$J$998,3,FALSE),""))</f>
        <v/>
      </c>
      <c r="F228" s="40">
        <f t="shared" si="2"/>
        <v>1</v>
      </c>
      <c r="G228" s="40" t="str">
        <f>IF($C228="","",IFERROR(VLOOKUP($C228,Orders!$A$4:$J$998,4,FALSE),""))</f>
        <v/>
      </c>
      <c r="H228" s="40" t="str">
        <f>IF($C228="","",IFERROR(VLOOKUP($C228,Orders!$A$4:$J$998,5,FALSE),""))</f>
        <v/>
      </c>
      <c r="I228" s="40" t="str">
        <f>IF($C228="","",IFERROR(VLOOKUP($C228,Orders!$A$4:$J$998,6,FALSE),""))</f>
        <v/>
      </c>
      <c r="J228" s="40" t="str">
        <f>IF($C228="","",IFERROR(VLOOKUP($C228,Orders!$A$4:$J$998,7,FALSE),""))</f>
        <v/>
      </c>
      <c r="K228" s="40" t="str">
        <f>IF(Bids!$C227="","",Bids!$C227)</f>
        <v/>
      </c>
      <c r="L228" s="40" t="str">
        <f>IF($K228="","",IFERROR(VLOOKUP($K228,Grinders!$A$4:$N$998,2,FALSE),""))</f>
        <v/>
      </c>
      <c r="M228" s="40" t="str">
        <f>IF($K228="","",IFERROR(VLOOKUP($K228,Grinders!$A$4:$N$998,3,FALSE),""))</f>
        <v/>
      </c>
      <c r="N228" s="40" t="str">
        <f>IF($K228="","",IFERROR(VLOOKUP($K228,Grinders!$A$4:$N$998,4,FALSE),""))</f>
        <v/>
      </c>
      <c r="O228" s="40" t="str">
        <f>IF($K228="","",IFERROR(VLOOKUP($K228,Grinders!$A$4:$N$998,5,FALSE),""))</f>
        <v/>
      </c>
      <c r="P228" s="40" t="str">
        <f>IF($K228="","",IF($C$4="",0,COUNTIFS(Assignments!$B$6:$B$1000,$K228,Assignments!$F$6:$F$1000,$C$4,Assignments!$E$6:$E$1000,"Active")))</f>
        <v/>
      </c>
      <c r="Q228" s="40" t="str">
        <f t="shared" si="3"/>
        <v/>
      </c>
      <c r="R228" s="40" t="str">
        <f t="shared" si="4"/>
        <v/>
      </c>
      <c r="S228" s="40" t="str">
        <f>IF($K228="","",IF($C$4="",0,COUNTIFS(Assignments!$B$6:$B$1000,$K228,Assignments!$F$6:$F$1000,$C$4,Assignments!$D$6:$D$1000,"&gt;="&amp;Config!$B$3-7,Assignments!$D$6:$D$1000,"&lt;="&amp;Config!$B$3)))</f>
        <v/>
      </c>
      <c r="T228" s="40" t="str">
        <f>IF($K228="","",IFERROR(VLOOKUP($K228,Grinders!$A$4:$N$998,8,FALSE),""))</f>
        <v/>
      </c>
      <c r="U228" s="40" t="str">
        <f>IFERROR(IF($K228="","",IF($M228="Elite",MAX(50,MIN(100,Config!$B$27*MAX(0,MIN(100,(1-IF($R228="",0,$R228))*100)) + Config!$B$28*MAX(0,MIN(100,(1-MIN(1,IF(Config!$B$30=0,1,$S228/Config!$B$30)))*100)) + Config!$B$29*MAX(0,MIN(100,MIN(1,IF($T228="",0,$T228)/Config!$B$23)*100)))),MIN(100,Config!$B$27*MAX(0,MIN(100,(1-IF($R228="",0,$R228))*100)) + Config!$B$28*MAX(0,MIN(100,(1-MIN(1,IF(Config!$B$30=0,1,$S228/Config!$B$30)))*100)) + Config!$B$29*MAX(0,MIN(100,MIN(1,IF($T228="",0,$T228)/Config!$B$23)*100))))),"")
</f>
        <v/>
      </c>
      <c r="V228" s="40" t="str">
        <f>IF(Bids!$AC228="","",Bids!$AC228)</f>
        <v/>
      </c>
      <c r="W228" s="40" t="str">
        <f>IF(Bids!$F227="","",Bids!$F227)</f>
        <v/>
      </c>
      <c r="X228" s="40" t="str">
        <f t="shared" si="5"/>
        <v/>
      </c>
      <c r="Y228" s="40" t="str">
        <f>IF($X228="","",IF(Config!$B$17=Config!$B$16,IF($X228&gt;=Config!$B$17,100,0),MAX(0,MIN(100,($X228-Config!$B$16)/(Config!$B$17-Config!$B$16)*100))))</f>
        <v/>
      </c>
      <c r="Z228" s="40">
        <f>IF($M228="Elite",Config!$B$21,0)</f>
        <v>0</v>
      </c>
      <c r="AA228" s="40" t="str">
        <f>IFERROR(IF(OR($W228="",$H228=""),"",IF($W228&gt;$H228,
  MAX(0, 60-(($W228-$H228)*24/Config!$B$19)*60),
  MIN(100, 60+(($H228-$W228)*24/Config!$B$20)*40)
)),"")
</f>
        <v/>
      </c>
      <c r="AB228" s="40" t="str">
        <f>IF($K228="","",IFERROR(VLOOKUP($K228,Grinders!$A$4:$N$998,10,FALSE)/5*100,""))</f>
        <v/>
      </c>
      <c r="AC228" s="40" t="str">
        <f>IF($K228="","",IFERROR(VLOOKUP($K228,Grinders!$A$4:$N$998,11,FALSE)*100,""))</f>
        <v/>
      </c>
      <c r="AD228" s="40" t="str">
        <f>IF($K228="","",IFERROR(VLOOKUP($K228,Grinders!$A$4:$N$998,12,FALSE)*100,""))</f>
        <v/>
      </c>
      <c r="AE228" s="40" t="str">
        <f>IF(OR(AO228=1,AP228=1),0,=IFERROR(IFS(
    OR($C228="", $K228=""), 0,
    $F228=0, 0,
    $D228&lt;&gt;"Open", 0,
    COUNTIFS(GrinderServices!$A$6:$A$1000, $K228, GrinderServices!$B$6:$B$1000, $E228, GrinderServices!$D$6:$D$1000, "Y")=0, 0,
    $X228&lt;Config!$B$16, 0,
    Config!$B$18=1, IF($O228&gt;=N228, 0, 1),
    TRUE, 1
), "")
)</f>
        <v>#ERROR!</v>
      </c>
      <c r="AF228" s="40" t="str">
        <f>IFERROR((IF(OR(AO228=1,AP228=1),"",=IFERROR((IFERROR(IF($AE228=0,"",((Config!$B$6*$Y228 + Config!$B$7*$U228 + Config!$B$8*$Z228 + Config!$B$9*$AA228 + Config!$B$10*$AB228 + Config!$B$11*$AC228 - Config!$B$12*$AD228)/Config!$B$13)+$AK228+$AL228),""))*(1-IFERROR(VLOOKUP(K228,Grinders!$A:$AB, 28, FALSE),0)),"")))*(1+AR228),"")</f>
        <v>#ERROR!</v>
      </c>
      <c r="AG228" s="40" t="str">
        <f t="shared" si="6"/>
        <v>#ERROR!</v>
      </c>
      <c r="AH228" s="40" t="str">
        <f t="shared" si="7"/>
        <v/>
      </c>
      <c r="AI228" s="40" t="str">
        <f t="shared" si="8"/>
        <v/>
      </c>
      <c r="AJ228" s="40" t="str">
        <f>IF($K228="","",COUNTIF(Assignments!$B$6:$B$1000,$K228))</f>
        <v/>
      </c>
      <c r="AK228" s="40" t="str">
        <f>IF($K228="","",IF(AND($AJ228=0,$O228&lt;$N228),Config!$B$43,0))</f>
        <v/>
      </c>
      <c r="AL228" s="40" t="str">
        <f>IF($K228="","",IF(AND($M228="Elite",$G228&gt;=Config!$B$41,$O228&lt;$N228),Config!$B$42,0))</f>
        <v/>
      </c>
      <c r="AM228" s="22"/>
      <c r="AN228" s="39">
        <f>IFERROR(VLOOKUP(K228,Grinders!$A:$Q,28,FALSE),0)</f>
        <v>0</v>
      </c>
      <c r="AO228" s="39">
        <f>IF(Config!$B$1003&lt;&gt;"Y",0,IF(IFERROR(VLOOKUP(K228,Grinders!$A:$P,27,FALSE),0)&gt;=3,IF(OR(G228&gt;=Config!$B$1001,ISNUMBER(SEARCH(E228,Config!$B$1002))),1,0),0))</f>
        <v>0</v>
      </c>
      <c r="AP228" s="39">
        <f t="array" ref="AP228">IFERROR(IF(INDEX(Bids!$AE:$AE,MATCH(B228,Bids!$A:$A,0))="Pending",1,0),0)</f>
        <v>0</v>
      </c>
      <c r="AQ228" s="39" t="str">
        <f t="array" ref="AQ228">IF(C228="","",IFERROR(XLOOKUP(C228,Assignments!$C:$C,Assignments!$AU:$AU,0),0))</f>
        <v/>
      </c>
      <c r="AR228" s="39">
        <f>IF(AND(Config!$B$1006="Y",AQ228=1),Config!$B$1007,0)</f>
        <v>0</v>
      </c>
    </row>
    <row r="229" ht="15.75" customHeight="1">
      <c r="A229" s="46" t="str">
        <f t="shared" si="1"/>
        <v/>
      </c>
      <c r="B229" s="40" t="str">
        <f>IF(Bids!$A228="","",Bids!$A228)</f>
        <v/>
      </c>
      <c r="C229" s="40" t="str">
        <f>IF(Bids!$B228="","",Bids!$B228)</f>
        <v/>
      </c>
      <c r="D229" s="40" t="str">
        <f>IF($C229="","",IFERROR(VLOOKUP($C229,Orders!$A$4:$J$998,9,FALSE),""))</f>
        <v/>
      </c>
      <c r="E229" s="40" t="str">
        <f>IF($C229="","",IFERROR(VLOOKUP($C229,Orders!$A$4:$J$998,3,FALSE),""))</f>
        <v/>
      </c>
      <c r="F229" s="40">
        <f t="shared" si="2"/>
        <v>1</v>
      </c>
      <c r="G229" s="40" t="str">
        <f>IF($C229="","",IFERROR(VLOOKUP($C229,Orders!$A$4:$J$998,4,FALSE),""))</f>
        <v/>
      </c>
      <c r="H229" s="40" t="str">
        <f>IF($C229="","",IFERROR(VLOOKUP($C229,Orders!$A$4:$J$998,5,FALSE),""))</f>
        <v/>
      </c>
      <c r="I229" s="40" t="str">
        <f>IF($C229="","",IFERROR(VLOOKUP($C229,Orders!$A$4:$J$998,6,FALSE),""))</f>
        <v/>
      </c>
      <c r="J229" s="40" t="str">
        <f>IF($C229="","",IFERROR(VLOOKUP($C229,Orders!$A$4:$J$998,7,FALSE),""))</f>
        <v/>
      </c>
      <c r="K229" s="40" t="str">
        <f>IF(Bids!$C228="","",Bids!$C228)</f>
        <v/>
      </c>
      <c r="L229" s="40" t="str">
        <f>IF($K229="","",IFERROR(VLOOKUP($K229,Grinders!$A$4:$N$998,2,FALSE),""))</f>
        <v/>
      </c>
      <c r="M229" s="40" t="str">
        <f>IF($K229="","",IFERROR(VLOOKUP($K229,Grinders!$A$4:$N$998,3,FALSE),""))</f>
        <v/>
      </c>
      <c r="N229" s="40" t="str">
        <f>IF($K229="","",IFERROR(VLOOKUP($K229,Grinders!$A$4:$N$998,4,FALSE),""))</f>
        <v/>
      </c>
      <c r="O229" s="40" t="str">
        <f>IF($K229="","",IFERROR(VLOOKUP($K229,Grinders!$A$4:$N$998,5,FALSE),""))</f>
        <v/>
      </c>
      <c r="P229" s="40" t="str">
        <f>IF($K229="","",IF($C$4="",0,COUNTIFS(Assignments!$B$6:$B$1000,$K229,Assignments!$F$6:$F$1000,$C$4,Assignments!$E$6:$E$1000,"Active")))</f>
        <v/>
      </c>
      <c r="Q229" s="40" t="str">
        <f t="shared" si="3"/>
        <v/>
      </c>
      <c r="R229" s="40" t="str">
        <f t="shared" si="4"/>
        <v/>
      </c>
      <c r="S229" s="40" t="str">
        <f>IF($K229="","",IF($C$4="",0,COUNTIFS(Assignments!$B$6:$B$1000,$K229,Assignments!$F$6:$F$1000,$C$4,Assignments!$D$6:$D$1000,"&gt;="&amp;Config!$B$3-7,Assignments!$D$6:$D$1000,"&lt;="&amp;Config!$B$3)))</f>
        <v/>
      </c>
      <c r="T229" s="40" t="str">
        <f>IF($K229="","",IFERROR(VLOOKUP($K229,Grinders!$A$4:$N$998,8,FALSE),""))</f>
        <v/>
      </c>
      <c r="U229" s="40" t="str">
        <f>IFERROR(IF($K229="","",IF($M229="Elite",MAX(50,MIN(100,Config!$B$27*MAX(0,MIN(100,(1-IF($R229="",0,$R229))*100)) + Config!$B$28*MAX(0,MIN(100,(1-MIN(1,IF(Config!$B$30=0,1,$S229/Config!$B$30)))*100)) + Config!$B$29*MAX(0,MIN(100,MIN(1,IF($T229="",0,$T229)/Config!$B$23)*100)))),MIN(100,Config!$B$27*MAX(0,MIN(100,(1-IF($R229="",0,$R229))*100)) + Config!$B$28*MAX(0,MIN(100,(1-MIN(1,IF(Config!$B$30=0,1,$S229/Config!$B$30)))*100)) + Config!$B$29*MAX(0,MIN(100,MIN(1,IF($T229="",0,$T229)/Config!$B$23)*100))))),"")
</f>
        <v/>
      </c>
      <c r="V229" s="40" t="str">
        <f>IF(Bids!$AC229="","",Bids!$AC229)</f>
        <v/>
      </c>
      <c r="W229" s="40" t="str">
        <f>IF(Bids!$F228="","",Bids!$F228)</f>
        <v/>
      </c>
      <c r="X229" s="40" t="str">
        <f t="shared" si="5"/>
        <v/>
      </c>
      <c r="Y229" s="40" t="str">
        <f>IF($X229="","",IF(Config!$B$17=Config!$B$16,IF($X229&gt;=Config!$B$17,100,0),MAX(0,MIN(100,($X229-Config!$B$16)/(Config!$B$17-Config!$B$16)*100))))</f>
        <v/>
      </c>
      <c r="Z229" s="40">
        <f>IF($M229="Elite",Config!$B$21,0)</f>
        <v>0</v>
      </c>
      <c r="AA229" s="40" t="str">
        <f>IFERROR(IF(OR($W229="",$H229=""),"",IF($W229&gt;$H229,
  MAX(0, 60-(($W229-$H229)*24/Config!$B$19)*60),
  MIN(100, 60+(($H229-$W229)*24/Config!$B$20)*40)
)),"")
</f>
        <v/>
      </c>
      <c r="AB229" s="40" t="str">
        <f>IF($K229="","",IFERROR(VLOOKUP($K229,Grinders!$A$4:$N$998,10,FALSE)/5*100,""))</f>
        <v/>
      </c>
      <c r="AC229" s="40" t="str">
        <f>IF($K229="","",IFERROR(VLOOKUP($K229,Grinders!$A$4:$N$998,11,FALSE)*100,""))</f>
        <v/>
      </c>
      <c r="AD229" s="40" t="str">
        <f>IF($K229="","",IFERROR(VLOOKUP($K229,Grinders!$A$4:$N$998,12,FALSE)*100,""))</f>
        <v/>
      </c>
      <c r="AE229" s="40" t="str">
        <f>IF(OR(AO229=1,AP229=1),0,=IFERROR(IFS(
    OR($C229="", $K229=""), 0,
    $F229=0, 0,
    $D229&lt;&gt;"Open", 0,
    COUNTIFS(GrinderServices!$A$6:$A$1000, $K229, GrinderServices!$B$6:$B$1000, $E229, GrinderServices!$D$6:$D$1000, "Y")=0, 0,
    $X229&lt;Config!$B$16, 0,
    Config!$B$18=1, IF($O229&gt;=N229, 0, 1),
    TRUE, 1
), "")
)</f>
        <v>#ERROR!</v>
      </c>
      <c r="AF229" s="40" t="str">
        <f>IFERROR((IF(OR(AO229=1,AP229=1),"",=IFERROR((IFERROR(IF($AE229=0,"",((Config!$B$6*$Y229 + Config!$B$7*$U229 + Config!$B$8*$Z229 + Config!$B$9*$AA229 + Config!$B$10*$AB229 + Config!$B$11*$AC229 - Config!$B$12*$AD229)/Config!$B$13)+$AK229+$AL229),""))*(1-IFERROR(VLOOKUP(K229,Grinders!$A:$AB, 28, FALSE),0)),"")))*(1+AR229),"")</f>
        <v>#ERROR!</v>
      </c>
      <c r="AG229" s="40" t="str">
        <f t="shared" si="6"/>
        <v>#ERROR!</v>
      </c>
      <c r="AH229" s="40" t="str">
        <f t="shared" si="7"/>
        <v/>
      </c>
      <c r="AI229" s="40" t="str">
        <f t="shared" si="8"/>
        <v/>
      </c>
      <c r="AJ229" s="40" t="str">
        <f>IF($K229="","",COUNTIF(Assignments!$B$6:$B$1000,$K229))</f>
        <v/>
      </c>
      <c r="AK229" s="40" t="str">
        <f>IF($K229="","",IF(AND($AJ229=0,$O229&lt;$N229),Config!$B$43,0))</f>
        <v/>
      </c>
      <c r="AL229" s="40" t="str">
        <f>IF($K229="","",IF(AND($M229="Elite",$G229&gt;=Config!$B$41,$O229&lt;$N229),Config!$B$42,0))</f>
        <v/>
      </c>
      <c r="AM229" s="22"/>
      <c r="AN229" s="39">
        <f>IFERROR(VLOOKUP(K229,Grinders!$A:$Q,28,FALSE),0)</f>
        <v>0</v>
      </c>
      <c r="AO229" s="39">
        <f>IF(Config!$B$1003&lt;&gt;"Y",0,IF(IFERROR(VLOOKUP(K229,Grinders!$A:$P,27,FALSE),0)&gt;=3,IF(OR(G229&gt;=Config!$B$1001,ISNUMBER(SEARCH(E229,Config!$B$1002))),1,0),0))</f>
        <v>0</v>
      </c>
      <c r="AP229" s="39">
        <f t="array" ref="AP229">IFERROR(IF(INDEX(Bids!$AE:$AE,MATCH(B229,Bids!$A:$A,0))="Pending",1,0),0)</f>
        <v>0</v>
      </c>
      <c r="AQ229" s="39" t="str">
        <f t="array" ref="AQ229">IF(C229="","",IFERROR(XLOOKUP(C229,Assignments!$C:$C,Assignments!$AU:$AU,0),0))</f>
        <v/>
      </c>
      <c r="AR229" s="39">
        <f>IF(AND(Config!$B$1006="Y",AQ229=1),Config!$B$1007,0)</f>
        <v>0</v>
      </c>
    </row>
    <row r="230" ht="15.75" customHeight="1">
      <c r="A230" s="46" t="str">
        <f t="shared" si="1"/>
        <v/>
      </c>
      <c r="B230" s="40" t="str">
        <f>IF(Bids!$A229="","",Bids!$A229)</f>
        <v/>
      </c>
      <c r="C230" s="40" t="str">
        <f>IF(Bids!$B229="","",Bids!$B229)</f>
        <v/>
      </c>
      <c r="D230" s="40" t="str">
        <f>IF($C230="","",IFERROR(VLOOKUP($C230,Orders!$A$4:$J$998,9,FALSE),""))</f>
        <v/>
      </c>
      <c r="E230" s="40" t="str">
        <f>IF($C230="","",IFERROR(VLOOKUP($C230,Orders!$A$4:$J$998,3,FALSE),""))</f>
        <v/>
      </c>
      <c r="F230" s="40">
        <f t="shared" si="2"/>
        <v>1</v>
      </c>
      <c r="G230" s="40" t="str">
        <f>IF($C230="","",IFERROR(VLOOKUP($C230,Orders!$A$4:$J$998,4,FALSE),""))</f>
        <v/>
      </c>
      <c r="H230" s="40" t="str">
        <f>IF($C230="","",IFERROR(VLOOKUP($C230,Orders!$A$4:$J$998,5,FALSE),""))</f>
        <v/>
      </c>
      <c r="I230" s="40" t="str">
        <f>IF($C230="","",IFERROR(VLOOKUP($C230,Orders!$A$4:$J$998,6,FALSE),""))</f>
        <v/>
      </c>
      <c r="J230" s="40" t="str">
        <f>IF($C230="","",IFERROR(VLOOKUP($C230,Orders!$A$4:$J$998,7,FALSE),""))</f>
        <v/>
      </c>
      <c r="K230" s="40" t="str">
        <f>IF(Bids!$C229="","",Bids!$C229)</f>
        <v/>
      </c>
      <c r="L230" s="40" t="str">
        <f>IF($K230="","",IFERROR(VLOOKUP($K230,Grinders!$A$4:$N$998,2,FALSE),""))</f>
        <v/>
      </c>
      <c r="M230" s="40" t="str">
        <f>IF($K230="","",IFERROR(VLOOKUP($K230,Grinders!$A$4:$N$998,3,FALSE),""))</f>
        <v/>
      </c>
      <c r="N230" s="40" t="str">
        <f>IF($K230="","",IFERROR(VLOOKUP($K230,Grinders!$A$4:$N$998,4,FALSE),""))</f>
        <v/>
      </c>
      <c r="O230" s="40" t="str">
        <f>IF($K230="","",IFERROR(VLOOKUP($K230,Grinders!$A$4:$N$998,5,FALSE),""))</f>
        <v/>
      </c>
      <c r="P230" s="40" t="str">
        <f>IF($K230="","",IF($C$4="",0,COUNTIFS(Assignments!$B$6:$B$1000,$K230,Assignments!$F$6:$F$1000,$C$4,Assignments!$E$6:$E$1000,"Active")))</f>
        <v/>
      </c>
      <c r="Q230" s="40" t="str">
        <f t="shared" si="3"/>
        <v/>
      </c>
      <c r="R230" s="40" t="str">
        <f t="shared" si="4"/>
        <v/>
      </c>
      <c r="S230" s="40" t="str">
        <f>IF($K230="","",IF($C$4="",0,COUNTIFS(Assignments!$B$6:$B$1000,$K230,Assignments!$F$6:$F$1000,$C$4,Assignments!$D$6:$D$1000,"&gt;="&amp;Config!$B$3-7,Assignments!$D$6:$D$1000,"&lt;="&amp;Config!$B$3)))</f>
        <v/>
      </c>
      <c r="T230" s="40" t="str">
        <f>IF($K230="","",IFERROR(VLOOKUP($K230,Grinders!$A$4:$N$998,8,FALSE),""))</f>
        <v/>
      </c>
      <c r="U230" s="40" t="str">
        <f>IFERROR(IF($K230="","",IF($M230="Elite",MAX(50,MIN(100,Config!$B$27*MAX(0,MIN(100,(1-IF($R230="",0,$R230))*100)) + Config!$B$28*MAX(0,MIN(100,(1-MIN(1,IF(Config!$B$30=0,1,$S230/Config!$B$30)))*100)) + Config!$B$29*MAX(0,MIN(100,MIN(1,IF($T230="",0,$T230)/Config!$B$23)*100)))),MIN(100,Config!$B$27*MAX(0,MIN(100,(1-IF($R230="",0,$R230))*100)) + Config!$B$28*MAX(0,MIN(100,(1-MIN(1,IF(Config!$B$30=0,1,$S230/Config!$B$30)))*100)) + Config!$B$29*MAX(0,MIN(100,MIN(1,IF($T230="",0,$T230)/Config!$B$23)*100))))),"")
</f>
        <v/>
      </c>
      <c r="V230" s="40" t="str">
        <f>IF(Bids!$AC230="","",Bids!$AC230)</f>
        <v/>
      </c>
      <c r="W230" s="40" t="str">
        <f>IF(Bids!$F229="","",Bids!$F229)</f>
        <v/>
      </c>
      <c r="X230" s="40" t="str">
        <f t="shared" si="5"/>
        <v/>
      </c>
      <c r="Y230" s="40" t="str">
        <f>IF($X230="","",IF(Config!$B$17=Config!$B$16,IF($X230&gt;=Config!$B$17,100,0),MAX(0,MIN(100,($X230-Config!$B$16)/(Config!$B$17-Config!$B$16)*100))))</f>
        <v/>
      </c>
      <c r="Z230" s="40">
        <f>IF($M230="Elite",Config!$B$21,0)</f>
        <v>0</v>
      </c>
      <c r="AA230" s="40" t="str">
        <f>IFERROR(IF(OR($W230="",$H230=""),"",IF($W230&gt;$H230,
  MAX(0, 60-(($W230-$H230)*24/Config!$B$19)*60),
  MIN(100, 60+(($H230-$W230)*24/Config!$B$20)*40)
)),"")
</f>
        <v/>
      </c>
      <c r="AB230" s="40" t="str">
        <f>IF($K230="","",IFERROR(VLOOKUP($K230,Grinders!$A$4:$N$998,10,FALSE)/5*100,""))</f>
        <v/>
      </c>
      <c r="AC230" s="40" t="str">
        <f>IF($K230="","",IFERROR(VLOOKUP($K230,Grinders!$A$4:$N$998,11,FALSE)*100,""))</f>
        <v/>
      </c>
      <c r="AD230" s="40" t="str">
        <f>IF($K230="","",IFERROR(VLOOKUP($K230,Grinders!$A$4:$N$998,12,FALSE)*100,""))</f>
        <v/>
      </c>
      <c r="AE230" s="40" t="str">
        <f>IF(OR(AO230=1,AP230=1),0,=IFERROR(IFS(
    OR($C230="", $K230=""), 0,
    $F230=0, 0,
    $D230&lt;&gt;"Open", 0,
    COUNTIFS(GrinderServices!$A$6:$A$1000, $K230, GrinderServices!$B$6:$B$1000, $E230, GrinderServices!$D$6:$D$1000, "Y")=0, 0,
    $X230&lt;Config!$B$16, 0,
    Config!$B$18=1, IF($O230&gt;=N230, 0, 1),
    TRUE, 1
), "")
)</f>
        <v>#ERROR!</v>
      </c>
      <c r="AF230" s="40" t="str">
        <f>IFERROR((IF(OR(AO230=1,AP230=1),"",=IFERROR((IFERROR(IF($AE230=0,"",((Config!$B$6*$Y230 + Config!$B$7*$U230 + Config!$B$8*$Z230 + Config!$B$9*$AA230 + Config!$B$10*$AB230 + Config!$B$11*$AC230 - Config!$B$12*$AD230)/Config!$B$13)+$AK230+$AL230),""))*(1-IFERROR(VLOOKUP(K230,Grinders!$A:$AB, 28, FALSE),0)),"")))*(1+AR230),"")</f>
        <v>#ERROR!</v>
      </c>
      <c r="AG230" s="40" t="str">
        <f t="shared" si="6"/>
        <v>#ERROR!</v>
      </c>
      <c r="AH230" s="40" t="str">
        <f t="shared" si="7"/>
        <v/>
      </c>
      <c r="AI230" s="40" t="str">
        <f t="shared" si="8"/>
        <v/>
      </c>
      <c r="AJ230" s="40" t="str">
        <f>IF($K230="","",COUNTIF(Assignments!$B$6:$B$1000,$K230))</f>
        <v/>
      </c>
      <c r="AK230" s="40" t="str">
        <f>IF($K230="","",IF(AND($AJ230=0,$O230&lt;$N230),Config!$B$43,0))</f>
        <v/>
      </c>
      <c r="AL230" s="40" t="str">
        <f>IF($K230="","",IF(AND($M230="Elite",$G230&gt;=Config!$B$41,$O230&lt;$N230),Config!$B$42,0))</f>
        <v/>
      </c>
      <c r="AM230" s="22"/>
      <c r="AN230" s="39">
        <f>IFERROR(VLOOKUP(K230,Grinders!$A:$Q,28,FALSE),0)</f>
        <v>0</v>
      </c>
      <c r="AO230" s="39">
        <f>IF(Config!$B$1003&lt;&gt;"Y",0,IF(IFERROR(VLOOKUP(K230,Grinders!$A:$P,27,FALSE),0)&gt;=3,IF(OR(G230&gt;=Config!$B$1001,ISNUMBER(SEARCH(E230,Config!$B$1002))),1,0),0))</f>
        <v>0</v>
      </c>
      <c r="AP230" s="39">
        <f t="array" ref="AP230">IFERROR(IF(INDEX(Bids!$AE:$AE,MATCH(B230,Bids!$A:$A,0))="Pending",1,0),0)</f>
        <v>0</v>
      </c>
      <c r="AQ230" s="39" t="str">
        <f t="array" ref="AQ230">IF(C230="","",IFERROR(XLOOKUP(C230,Assignments!$C:$C,Assignments!$AU:$AU,0),0))</f>
        <v/>
      </c>
      <c r="AR230" s="39">
        <f>IF(AND(Config!$B$1006="Y",AQ230=1),Config!$B$1007,0)</f>
        <v>0</v>
      </c>
    </row>
    <row r="231" ht="15.75" customHeight="1">
      <c r="A231" s="46" t="str">
        <f t="shared" si="1"/>
        <v/>
      </c>
      <c r="B231" s="40" t="str">
        <f>IF(Bids!$A230="","",Bids!$A230)</f>
        <v/>
      </c>
      <c r="C231" s="40" t="str">
        <f>IF(Bids!$B230="","",Bids!$B230)</f>
        <v/>
      </c>
      <c r="D231" s="40" t="str">
        <f>IF($C231="","",IFERROR(VLOOKUP($C231,Orders!$A$4:$J$998,9,FALSE),""))</f>
        <v/>
      </c>
      <c r="E231" s="40" t="str">
        <f>IF($C231="","",IFERROR(VLOOKUP($C231,Orders!$A$4:$J$998,3,FALSE),""))</f>
        <v/>
      </c>
      <c r="F231" s="40">
        <f t="shared" si="2"/>
        <v>1</v>
      </c>
      <c r="G231" s="40" t="str">
        <f>IF($C231="","",IFERROR(VLOOKUP($C231,Orders!$A$4:$J$998,4,FALSE),""))</f>
        <v/>
      </c>
      <c r="H231" s="40" t="str">
        <f>IF($C231="","",IFERROR(VLOOKUP($C231,Orders!$A$4:$J$998,5,FALSE),""))</f>
        <v/>
      </c>
      <c r="I231" s="40" t="str">
        <f>IF($C231="","",IFERROR(VLOOKUP($C231,Orders!$A$4:$J$998,6,FALSE),""))</f>
        <v/>
      </c>
      <c r="J231" s="40" t="str">
        <f>IF($C231="","",IFERROR(VLOOKUP($C231,Orders!$A$4:$J$998,7,FALSE),""))</f>
        <v/>
      </c>
      <c r="K231" s="40" t="str">
        <f>IF(Bids!$C230="","",Bids!$C230)</f>
        <v/>
      </c>
      <c r="L231" s="40" t="str">
        <f>IF($K231="","",IFERROR(VLOOKUP($K231,Grinders!$A$4:$N$998,2,FALSE),""))</f>
        <v/>
      </c>
      <c r="M231" s="40" t="str">
        <f>IF($K231="","",IFERROR(VLOOKUP($K231,Grinders!$A$4:$N$998,3,FALSE),""))</f>
        <v/>
      </c>
      <c r="N231" s="40" t="str">
        <f>IF($K231="","",IFERROR(VLOOKUP($K231,Grinders!$A$4:$N$998,4,FALSE),""))</f>
        <v/>
      </c>
      <c r="O231" s="40" t="str">
        <f>IF($K231="","",IFERROR(VLOOKUP($K231,Grinders!$A$4:$N$998,5,FALSE),""))</f>
        <v/>
      </c>
      <c r="P231" s="40" t="str">
        <f>IF($K231="","",IF($C$4="",0,COUNTIFS(Assignments!$B$6:$B$1000,$K231,Assignments!$F$6:$F$1000,$C$4,Assignments!$E$6:$E$1000,"Active")))</f>
        <v/>
      </c>
      <c r="Q231" s="40" t="str">
        <f t="shared" si="3"/>
        <v/>
      </c>
      <c r="R231" s="40" t="str">
        <f t="shared" si="4"/>
        <v/>
      </c>
      <c r="S231" s="40" t="str">
        <f>IF($K231="","",IF($C$4="",0,COUNTIFS(Assignments!$B$6:$B$1000,$K231,Assignments!$F$6:$F$1000,$C$4,Assignments!$D$6:$D$1000,"&gt;="&amp;Config!$B$3-7,Assignments!$D$6:$D$1000,"&lt;="&amp;Config!$B$3)))</f>
        <v/>
      </c>
      <c r="T231" s="40" t="str">
        <f>IF($K231="","",IFERROR(VLOOKUP($K231,Grinders!$A$4:$N$998,8,FALSE),""))</f>
        <v/>
      </c>
      <c r="U231" s="40" t="str">
        <f>IFERROR(IF($K231="","",IF($M231="Elite",MAX(50,MIN(100,Config!$B$27*MAX(0,MIN(100,(1-IF($R231="",0,$R231))*100)) + Config!$B$28*MAX(0,MIN(100,(1-MIN(1,IF(Config!$B$30=0,1,$S231/Config!$B$30)))*100)) + Config!$B$29*MAX(0,MIN(100,MIN(1,IF($T231="",0,$T231)/Config!$B$23)*100)))),MIN(100,Config!$B$27*MAX(0,MIN(100,(1-IF($R231="",0,$R231))*100)) + Config!$B$28*MAX(0,MIN(100,(1-MIN(1,IF(Config!$B$30=0,1,$S231/Config!$B$30)))*100)) + Config!$B$29*MAX(0,MIN(100,MIN(1,IF($T231="",0,$T231)/Config!$B$23)*100))))),"")
</f>
        <v/>
      </c>
      <c r="V231" s="40" t="str">
        <f>IF(Bids!$AC231="","",Bids!$AC231)</f>
        <v/>
      </c>
      <c r="W231" s="40" t="str">
        <f>IF(Bids!$F230="","",Bids!$F230)</f>
        <v/>
      </c>
      <c r="X231" s="40" t="str">
        <f t="shared" si="5"/>
        <v/>
      </c>
      <c r="Y231" s="40" t="str">
        <f>IF($X231="","",IF(Config!$B$17=Config!$B$16,IF($X231&gt;=Config!$B$17,100,0),MAX(0,MIN(100,($X231-Config!$B$16)/(Config!$B$17-Config!$B$16)*100))))</f>
        <v/>
      </c>
      <c r="Z231" s="40">
        <f>IF($M231="Elite",Config!$B$21,0)</f>
        <v>0</v>
      </c>
      <c r="AA231" s="40" t="str">
        <f>IFERROR(IF(OR($W231="",$H231=""),"",IF($W231&gt;$H231,
  MAX(0, 60-(($W231-$H231)*24/Config!$B$19)*60),
  MIN(100, 60+(($H231-$W231)*24/Config!$B$20)*40)
)),"")
</f>
        <v/>
      </c>
      <c r="AB231" s="40" t="str">
        <f>IF($K231="","",IFERROR(VLOOKUP($K231,Grinders!$A$4:$N$998,10,FALSE)/5*100,""))</f>
        <v/>
      </c>
      <c r="AC231" s="40" t="str">
        <f>IF($K231="","",IFERROR(VLOOKUP($K231,Grinders!$A$4:$N$998,11,FALSE)*100,""))</f>
        <v/>
      </c>
      <c r="AD231" s="40" t="str">
        <f>IF($K231="","",IFERROR(VLOOKUP($K231,Grinders!$A$4:$N$998,12,FALSE)*100,""))</f>
        <v/>
      </c>
      <c r="AE231" s="40" t="str">
        <f>IF(OR(AO231=1,AP231=1),0,=IFERROR(IFS(
    OR($C231="", $K231=""), 0,
    $F231=0, 0,
    $D231&lt;&gt;"Open", 0,
    COUNTIFS(GrinderServices!$A$6:$A$1000, $K231, GrinderServices!$B$6:$B$1000, $E231, GrinderServices!$D$6:$D$1000, "Y")=0, 0,
    $X231&lt;Config!$B$16, 0,
    Config!$B$18=1, IF($O231&gt;=N231, 0, 1),
    TRUE, 1
), "")
)</f>
        <v>#ERROR!</v>
      </c>
      <c r="AF231" s="40" t="str">
        <f>IFERROR((IF(OR(AO231=1,AP231=1),"",=IFERROR((IFERROR(IF($AE231=0,"",((Config!$B$6*$Y231 + Config!$B$7*$U231 + Config!$B$8*$Z231 + Config!$B$9*$AA231 + Config!$B$10*$AB231 + Config!$B$11*$AC231 - Config!$B$12*$AD231)/Config!$B$13)+$AK231+$AL231),""))*(1-IFERROR(VLOOKUP(K231,Grinders!$A:$AB, 28, FALSE),0)),"")))*(1+AR231),"")</f>
        <v>#ERROR!</v>
      </c>
      <c r="AG231" s="40" t="str">
        <f t="shared" si="6"/>
        <v>#ERROR!</v>
      </c>
      <c r="AH231" s="40" t="str">
        <f t="shared" si="7"/>
        <v/>
      </c>
      <c r="AI231" s="40" t="str">
        <f t="shared" si="8"/>
        <v/>
      </c>
      <c r="AJ231" s="40" t="str">
        <f>IF($K231="","",COUNTIF(Assignments!$B$6:$B$1000,$K231))</f>
        <v/>
      </c>
      <c r="AK231" s="40" t="str">
        <f>IF($K231="","",IF(AND($AJ231=0,$O231&lt;$N231),Config!$B$43,0))</f>
        <v/>
      </c>
      <c r="AL231" s="40" t="str">
        <f>IF($K231="","",IF(AND($M231="Elite",$G231&gt;=Config!$B$41,$O231&lt;$N231),Config!$B$42,0))</f>
        <v/>
      </c>
      <c r="AM231" s="22"/>
      <c r="AN231" s="39">
        <f>IFERROR(VLOOKUP(K231,Grinders!$A:$Q,28,FALSE),0)</f>
        <v>0</v>
      </c>
      <c r="AO231" s="39">
        <f>IF(Config!$B$1003&lt;&gt;"Y",0,IF(IFERROR(VLOOKUP(K231,Grinders!$A:$P,27,FALSE),0)&gt;=3,IF(OR(G231&gt;=Config!$B$1001,ISNUMBER(SEARCH(E231,Config!$B$1002))),1,0),0))</f>
        <v>0</v>
      </c>
      <c r="AP231" s="39">
        <f t="array" ref="AP231">IFERROR(IF(INDEX(Bids!$AE:$AE,MATCH(B231,Bids!$A:$A,0))="Pending",1,0),0)</f>
        <v>0</v>
      </c>
      <c r="AQ231" s="39" t="str">
        <f t="array" ref="AQ231">IF(C231="","",IFERROR(XLOOKUP(C231,Assignments!$C:$C,Assignments!$AU:$AU,0),0))</f>
        <v/>
      </c>
      <c r="AR231" s="39">
        <f>IF(AND(Config!$B$1006="Y",AQ231=1),Config!$B$1007,0)</f>
        <v>0</v>
      </c>
    </row>
    <row r="232" ht="15.75" customHeight="1">
      <c r="A232" s="46" t="str">
        <f t="shared" si="1"/>
        <v/>
      </c>
      <c r="B232" s="40" t="str">
        <f>IF(Bids!$A231="","",Bids!$A231)</f>
        <v/>
      </c>
      <c r="C232" s="40" t="str">
        <f>IF(Bids!$B231="","",Bids!$B231)</f>
        <v/>
      </c>
      <c r="D232" s="40" t="str">
        <f>IF($C232="","",IFERROR(VLOOKUP($C232,Orders!$A$4:$J$998,9,FALSE),""))</f>
        <v/>
      </c>
      <c r="E232" s="40" t="str">
        <f>IF($C232="","",IFERROR(VLOOKUP($C232,Orders!$A$4:$J$998,3,FALSE),""))</f>
        <v/>
      </c>
      <c r="F232" s="40">
        <f t="shared" si="2"/>
        <v>1</v>
      </c>
      <c r="G232" s="40" t="str">
        <f>IF($C232="","",IFERROR(VLOOKUP($C232,Orders!$A$4:$J$998,4,FALSE),""))</f>
        <v/>
      </c>
      <c r="H232" s="40" t="str">
        <f>IF($C232="","",IFERROR(VLOOKUP($C232,Orders!$A$4:$J$998,5,FALSE),""))</f>
        <v/>
      </c>
      <c r="I232" s="40" t="str">
        <f>IF($C232="","",IFERROR(VLOOKUP($C232,Orders!$A$4:$J$998,6,FALSE),""))</f>
        <v/>
      </c>
      <c r="J232" s="40" t="str">
        <f>IF($C232="","",IFERROR(VLOOKUP($C232,Orders!$A$4:$J$998,7,FALSE),""))</f>
        <v/>
      </c>
      <c r="K232" s="40" t="str">
        <f>IF(Bids!$C231="","",Bids!$C231)</f>
        <v/>
      </c>
      <c r="L232" s="40" t="str">
        <f>IF($K232="","",IFERROR(VLOOKUP($K232,Grinders!$A$4:$N$998,2,FALSE),""))</f>
        <v/>
      </c>
      <c r="M232" s="40" t="str">
        <f>IF($K232="","",IFERROR(VLOOKUP($K232,Grinders!$A$4:$N$998,3,FALSE),""))</f>
        <v/>
      </c>
      <c r="N232" s="40" t="str">
        <f>IF($K232="","",IFERROR(VLOOKUP($K232,Grinders!$A$4:$N$998,4,FALSE),""))</f>
        <v/>
      </c>
      <c r="O232" s="40" t="str">
        <f>IF($K232="","",IFERROR(VLOOKUP($K232,Grinders!$A$4:$N$998,5,FALSE),""))</f>
        <v/>
      </c>
      <c r="P232" s="40" t="str">
        <f>IF($K232="","",IF($C$4="",0,COUNTIFS(Assignments!$B$6:$B$1000,$K232,Assignments!$F$6:$F$1000,$C$4,Assignments!$E$6:$E$1000,"Active")))</f>
        <v/>
      </c>
      <c r="Q232" s="40" t="str">
        <f t="shared" si="3"/>
        <v/>
      </c>
      <c r="R232" s="40" t="str">
        <f t="shared" si="4"/>
        <v/>
      </c>
      <c r="S232" s="40" t="str">
        <f>IF($K232="","",IF($C$4="",0,COUNTIFS(Assignments!$B$6:$B$1000,$K232,Assignments!$F$6:$F$1000,$C$4,Assignments!$D$6:$D$1000,"&gt;="&amp;Config!$B$3-7,Assignments!$D$6:$D$1000,"&lt;="&amp;Config!$B$3)))</f>
        <v/>
      </c>
      <c r="T232" s="40" t="str">
        <f>IF($K232="","",IFERROR(VLOOKUP($K232,Grinders!$A$4:$N$998,8,FALSE),""))</f>
        <v/>
      </c>
      <c r="U232" s="40" t="str">
        <f>IFERROR(IF($K232="","",IF($M232="Elite",MAX(50,MIN(100,Config!$B$27*MAX(0,MIN(100,(1-IF($R232="",0,$R232))*100)) + Config!$B$28*MAX(0,MIN(100,(1-MIN(1,IF(Config!$B$30=0,1,$S232/Config!$B$30)))*100)) + Config!$B$29*MAX(0,MIN(100,MIN(1,IF($T232="",0,$T232)/Config!$B$23)*100)))),MIN(100,Config!$B$27*MAX(0,MIN(100,(1-IF($R232="",0,$R232))*100)) + Config!$B$28*MAX(0,MIN(100,(1-MIN(1,IF(Config!$B$30=0,1,$S232/Config!$B$30)))*100)) + Config!$B$29*MAX(0,MIN(100,MIN(1,IF($T232="",0,$T232)/Config!$B$23)*100))))),"")
</f>
        <v/>
      </c>
      <c r="V232" s="40" t="str">
        <f>IF(Bids!$AC232="","",Bids!$AC232)</f>
        <v/>
      </c>
      <c r="W232" s="40" t="str">
        <f>IF(Bids!$F231="","",Bids!$F231)</f>
        <v/>
      </c>
      <c r="X232" s="40" t="str">
        <f t="shared" si="5"/>
        <v/>
      </c>
      <c r="Y232" s="40" t="str">
        <f>IF($X232="","",IF(Config!$B$17=Config!$B$16,IF($X232&gt;=Config!$B$17,100,0),MAX(0,MIN(100,($X232-Config!$B$16)/(Config!$B$17-Config!$B$16)*100))))</f>
        <v/>
      </c>
      <c r="Z232" s="40">
        <f>IF($M232="Elite",Config!$B$21,0)</f>
        <v>0</v>
      </c>
      <c r="AA232" s="40" t="str">
        <f>IFERROR(IF(OR($W232="",$H232=""),"",IF($W232&gt;$H232,
  MAX(0, 60-(($W232-$H232)*24/Config!$B$19)*60),
  MIN(100, 60+(($H232-$W232)*24/Config!$B$20)*40)
)),"")
</f>
        <v/>
      </c>
      <c r="AB232" s="40" t="str">
        <f>IF($K232="","",IFERROR(VLOOKUP($K232,Grinders!$A$4:$N$998,10,FALSE)/5*100,""))</f>
        <v/>
      </c>
      <c r="AC232" s="40" t="str">
        <f>IF($K232="","",IFERROR(VLOOKUP($K232,Grinders!$A$4:$N$998,11,FALSE)*100,""))</f>
        <v/>
      </c>
      <c r="AD232" s="40" t="str">
        <f>IF($K232="","",IFERROR(VLOOKUP($K232,Grinders!$A$4:$N$998,12,FALSE)*100,""))</f>
        <v/>
      </c>
      <c r="AE232" s="40" t="str">
        <f>IF(OR(AO232=1,AP232=1),0,=IFERROR(IFS(
    OR($C232="", $K232=""), 0,
    $F232=0, 0,
    $D232&lt;&gt;"Open", 0,
    COUNTIFS(GrinderServices!$A$6:$A$1000, $K232, GrinderServices!$B$6:$B$1000, $E232, GrinderServices!$D$6:$D$1000, "Y")=0, 0,
    $X232&lt;Config!$B$16, 0,
    Config!$B$18=1, IF($O232&gt;=N232, 0, 1),
    TRUE, 1
), "")
)</f>
        <v>#ERROR!</v>
      </c>
      <c r="AF232" s="40" t="str">
        <f>IFERROR((IF(OR(AO232=1,AP232=1),"",=IFERROR((IFERROR(IF($AE232=0,"",((Config!$B$6*$Y232 + Config!$B$7*$U232 + Config!$B$8*$Z232 + Config!$B$9*$AA232 + Config!$B$10*$AB232 + Config!$B$11*$AC232 - Config!$B$12*$AD232)/Config!$B$13)+$AK232+$AL232),""))*(1-IFERROR(VLOOKUP(K232,Grinders!$A:$AB, 28, FALSE),0)),"")))*(1+AR232),"")</f>
        <v>#ERROR!</v>
      </c>
      <c r="AG232" s="40" t="str">
        <f t="shared" si="6"/>
        <v>#ERROR!</v>
      </c>
      <c r="AH232" s="40" t="str">
        <f t="shared" si="7"/>
        <v/>
      </c>
      <c r="AI232" s="40" t="str">
        <f t="shared" si="8"/>
        <v/>
      </c>
      <c r="AJ232" s="40" t="str">
        <f>IF($K232="","",COUNTIF(Assignments!$B$6:$B$1000,$K232))</f>
        <v/>
      </c>
      <c r="AK232" s="40" t="str">
        <f>IF($K232="","",IF(AND($AJ232=0,$O232&lt;$N232),Config!$B$43,0))</f>
        <v/>
      </c>
      <c r="AL232" s="40" t="str">
        <f>IF($K232="","",IF(AND($M232="Elite",$G232&gt;=Config!$B$41,$O232&lt;$N232),Config!$B$42,0))</f>
        <v/>
      </c>
      <c r="AM232" s="22"/>
      <c r="AN232" s="39">
        <f>IFERROR(VLOOKUP(K232,Grinders!$A:$Q,28,FALSE),0)</f>
        <v>0</v>
      </c>
      <c r="AO232" s="39">
        <f>IF(Config!$B$1003&lt;&gt;"Y",0,IF(IFERROR(VLOOKUP(K232,Grinders!$A:$P,27,FALSE),0)&gt;=3,IF(OR(G232&gt;=Config!$B$1001,ISNUMBER(SEARCH(E232,Config!$B$1002))),1,0),0))</f>
        <v>0</v>
      </c>
      <c r="AP232" s="39">
        <f t="array" ref="AP232">IFERROR(IF(INDEX(Bids!$AE:$AE,MATCH(B232,Bids!$A:$A,0))="Pending",1,0),0)</f>
        <v>0</v>
      </c>
      <c r="AQ232" s="39" t="str">
        <f t="array" ref="AQ232">IF(C232="","",IFERROR(XLOOKUP(C232,Assignments!$C:$C,Assignments!$AU:$AU,0),0))</f>
        <v/>
      </c>
      <c r="AR232" s="39">
        <f>IF(AND(Config!$B$1006="Y",AQ232=1),Config!$B$1007,0)</f>
        <v>0</v>
      </c>
    </row>
    <row r="233" ht="15.75" customHeight="1">
      <c r="A233" s="46" t="str">
        <f t="shared" si="1"/>
        <v/>
      </c>
      <c r="B233" s="40" t="str">
        <f>IF(Bids!$A232="","",Bids!$A232)</f>
        <v/>
      </c>
      <c r="C233" s="40" t="str">
        <f>IF(Bids!$B232="","",Bids!$B232)</f>
        <v/>
      </c>
      <c r="D233" s="40" t="str">
        <f>IF($C233="","",IFERROR(VLOOKUP($C233,Orders!$A$4:$J$998,9,FALSE),""))</f>
        <v/>
      </c>
      <c r="E233" s="40" t="str">
        <f>IF($C233="","",IFERROR(VLOOKUP($C233,Orders!$A$4:$J$998,3,FALSE),""))</f>
        <v/>
      </c>
      <c r="F233" s="40">
        <f t="shared" si="2"/>
        <v>1</v>
      </c>
      <c r="G233" s="40" t="str">
        <f>IF($C233="","",IFERROR(VLOOKUP($C233,Orders!$A$4:$J$998,4,FALSE),""))</f>
        <v/>
      </c>
      <c r="H233" s="40" t="str">
        <f>IF($C233="","",IFERROR(VLOOKUP($C233,Orders!$A$4:$J$998,5,FALSE),""))</f>
        <v/>
      </c>
      <c r="I233" s="40" t="str">
        <f>IF($C233="","",IFERROR(VLOOKUP($C233,Orders!$A$4:$J$998,6,FALSE),""))</f>
        <v/>
      </c>
      <c r="J233" s="40" t="str">
        <f>IF($C233="","",IFERROR(VLOOKUP($C233,Orders!$A$4:$J$998,7,FALSE),""))</f>
        <v/>
      </c>
      <c r="K233" s="40" t="str">
        <f>IF(Bids!$C232="","",Bids!$C232)</f>
        <v/>
      </c>
      <c r="L233" s="40" t="str">
        <f>IF($K233="","",IFERROR(VLOOKUP($K233,Grinders!$A$4:$N$998,2,FALSE),""))</f>
        <v/>
      </c>
      <c r="M233" s="40" t="str">
        <f>IF($K233="","",IFERROR(VLOOKUP($K233,Grinders!$A$4:$N$998,3,FALSE),""))</f>
        <v/>
      </c>
      <c r="N233" s="40" t="str">
        <f>IF($K233="","",IFERROR(VLOOKUP($K233,Grinders!$A$4:$N$998,4,FALSE),""))</f>
        <v/>
      </c>
      <c r="O233" s="40" t="str">
        <f>IF($K233="","",IFERROR(VLOOKUP($K233,Grinders!$A$4:$N$998,5,FALSE),""))</f>
        <v/>
      </c>
      <c r="P233" s="40" t="str">
        <f>IF($K233="","",IF($C$4="",0,COUNTIFS(Assignments!$B$6:$B$1000,$K233,Assignments!$F$6:$F$1000,$C$4,Assignments!$E$6:$E$1000,"Active")))</f>
        <v/>
      </c>
      <c r="Q233" s="40" t="str">
        <f t="shared" si="3"/>
        <v/>
      </c>
      <c r="R233" s="40" t="str">
        <f t="shared" si="4"/>
        <v/>
      </c>
      <c r="S233" s="40" t="str">
        <f>IF($K233="","",IF($C$4="",0,COUNTIFS(Assignments!$B$6:$B$1000,$K233,Assignments!$F$6:$F$1000,$C$4,Assignments!$D$6:$D$1000,"&gt;="&amp;Config!$B$3-7,Assignments!$D$6:$D$1000,"&lt;="&amp;Config!$B$3)))</f>
        <v/>
      </c>
      <c r="T233" s="40" t="str">
        <f>IF($K233="","",IFERROR(VLOOKUP($K233,Grinders!$A$4:$N$998,8,FALSE),""))</f>
        <v/>
      </c>
      <c r="U233" s="40" t="str">
        <f>IFERROR(IF($K233="","",IF($M233="Elite",MAX(50,MIN(100,Config!$B$27*MAX(0,MIN(100,(1-IF($R233="",0,$R233))*100)) + Config!$B$28*MAX(0,MIN(100,(1-MIN(1,IF(Config!$B$30=0,1,$S233/Config!$B$30)))*100)) + Config!$B$29*MAX(0,MIN(100,MIN(1,IF($T233="",0,$T233)/Config!$B$23)*100)))),MIN(100,Config!$B$27*MAX(0,MIN(100,(1-IF($R233="",0,$R233))*100)) + Config!$B$28*MAX(0,MIN(100,(1-MIN(1,IF(Config!$B$30=0,1,$S233/Config!$B$30)))*100)) + Config!$B$29*MAX(0,MIN(100,MIN(1,IF($T233="",0,$T233)/Config!$B$23)*100))))),"")
</f>
        <v/>
      </c>
      <c r="V233" s="40" t="str">
        <f>IF(Bids!$AC233="","",Bids!$AC233)</f>
        <v/>
      </c>
      <c r="W233" s="40" t="str">
        <f>IF(Bids!$F232="","",Bids!$F232)</f>
        <v/>
      </c>
      <c r="X233" s="40" t="str">
        <f t="shared" si="5"/>
        <v/>
      </c>
      <c r="Y233" s="40" t="str">
        <f>IF($X233="","",IF(Config!$B$17=Config!$B$16,IF($X233&gt;=Config!$B$17,100,0),MAX(0,MIN(100,($X233-Config!$B$16)/(Config!$B$17-Config!$B$16)*100))))</f>
        <v/>
      </c>
      <c r="Z233" s="40">
        <f>IF($M233="Elite",Config!$B$21,0)</f>
        <v>0</v>
      </c>
      <c r="AA233" s="40" t="str">
        <f>IFERROR(IF(OR($W233="",$H233=""),"",IF($W233&gt;$H233,
  MAX(0, 60-(($W233-$H233)*24/Config!$B$19)*60),
  MIN(100, 60+(($H233-$W233)*24/Config!$B$20)*40)
)),"")
</f>
        <v/>
      </c>
      <c r="AB233" s="40" t="str">
        <f>IF($K233="","",IFERROR(VLOOKUP($K233,Grinders!$A$4:$N$998,10,FALSE)/5*100,""))</f>
        <v/>
      </c>
      <c r="AC233" s="40" t="str">
        <f>IF($K233="","",IFERROR(VLOOKUP($K233,Grinders!$A$4:$N$998,11,FALSE)*100,""))</f>
        <v/>
      </c>
      <c r="AD233" s="40" t="str">
        <f>IF($K233="","",IFERROR(VLOOKUP($K233,Grinders!$A$4:$N$998,12,FALSE)*100,""))</f>
        <v/>
      </c>
      <c r="AE233" s="40" t="str">
        <f>IF(OR(AO233=1,AP233=1),0,=IFERROR(IFS(
    OR($C233="", $K233=""), 0,
    $F233=0, 0,
    $D233&lt;&gt;"Open", 0,
    COUNTIFS(GrinderServices!$A$6:$A$1000, $K233, GrinderServices!$B$6:$B$1000, $E233, GrinderServices!$D$6:$D$1000, "Y")=0, 0,
    $X233&lt;Config!$B$16, 0,
    Config!$B$18=1, IF($O233&gt;=N233, 0, 1),
    TRUE, 1
), "")
)</f>
        <v>#ERROR!</v>
      </c>
      <c r="AF233" s="40" t="str">
        <f>IFERROR((IF(OR(AO233=1,AP233=1),"",=IFERROR((IFERROR(IF($AE233=0,"",((Config!$B$6*$Y233 + Config!$B$7*$U233 + Config!$B$8*$Z233 + Config!$B$9*$AA233 + Config!$B$10*$AB233 + Config!$B$11*$AC233 - Config!$B$12*$AD233)/Config!$B$13)+$AK233+$AL233),""))*(1-IFERROR(VLOOKUP(K233,Grinders!$A:$AB, 28, FALSE),0)),"")))*(1+AR233),"")</f>
        <v>#ERROR!</v>
      </c>
      <c r="AG233" s="40" t="str">
        <f t="shared" si="6"/>
        <v>#ERROR!</v>
      </c>
      <c r="AH233" s="40" t="str">
        <f t="shared" si="7"/>
        <v/>
      </c>
      <c r="AI233" s="40" t="str">
        <f t="shared" si="8"/>
        <v/>
      </c>
      <c r="AJ233" s="40" t="str">
        <f>IF($K233="","",COUNTIF(Assignments!$B$6:$B$1000,$K233))</f>
        <v/>
      </c>
      <c r="AK233" s="40" t="str">
        <f>IF($K233="","",IF(AND($AJ233=0,$O233&lt;$N233),Config!$B$43,0))</f>
        <v/>
      </c>
      <c r="AL233" s="40" t="str">
        <f>IF($K233="","",IF(AND($M233="Elite",$G233&gt;=Config!$B$41,$O233&lt;$N233),Config!$B$42,0))</f>
        <v/>
      </c>
      <c r="AM233" s="22"/>
      <c r="AN233" s="39">
        <f>IFERROR(VLOOKUP(K233,Grinders!$A:$Q,28,FALSE),0)</f>
        <v>0</v>
      </c>
      <c r="AO233" s="39">
        <f>IF(Config!$B$1003&lt;&gt;"Y",0,IF(IFERROR(VLOOKUP(K233,Grinders!$A:$P,27,FALSE),0)&gt;=3,IF(OR(G233&gt;=Config!$B$1001,ISNUMBER(SEARCH(E233,Config!$B$1002))),1,0),0))</f>
        <v>0</v>
      </c>
      <c r="AP233" s="39">
        <f t="array" ref="AP233">IFERROR(IF(INDEX(Bids!$AE:$AE,MATCH(B233,Bids!$A:$A,0))="Pending",1,0),0)</f>
        <v>0</v>
      </c>
      <c r="AQ233" s="39" t="str">
        <f t="array" ref="AQ233">IF(C233="","",IFERROR(XLOOKUP(C233,Assignments!$C:$C,Assignments!$AU:$AU,0),0))</f>
        <v/>
      </c>
      <c r="AR233" s="39">
        <f>IF(AND(Config!$B$1006="Y",AQ233=1),Config!$B$1007,0)</f>
        <v>0</v>
      </c>
    </row>
    <row r="234" ht="15.75" customHeight="1">
      <c r="A234" s="46" t="str">
        <f t="shared" si="1"/>
        <v/>
      </c>
      <c r="B234" s="40" t="str">
        <f>IF(Bids!$A233="","",Bids!$A233)</f>
        <v/>
      </c>
      <c r="C234" s="40" t="str">
        <f>IF(Bids!$B233="","",Bids!$B233)</f>
        <v/>
      </c>
      <c r="D234" s="40" t="str">
        <f>IF($C234="","",IFERROR(VLOOKUP($C234,Orders!$A$4:$J$998,9,FALSE),""))</f>
        <v/>
      </c>
      <c r="E234" s="40" t="str">
        <f>IF($C234="","",IFERROR(VLOOKUP($C234,Orders!$A$4:$J$998,3,FALSE),""))</f>
        <v/>
      </c>
      <c r="F234" s="40">
        <f t="shared" si="2"/>
        <v>1</v>
      </c>
      <c r="G234" s="40" t="str">
        <f>IF($C234="","",IFERROR(VLOOKUP($C234,Orders!$A$4:$J$998,4,FALSE),""))</f>
        <v/>
      </c>
      <c r="H234" s="40" t="str">
        <f>IF($C234="","",IFERROR(VLOOKUP($C234,Orders!$A$4:$J$998,5,FALSE),""))</f>
        <v/>
      </c>
      <c r="I234" s="40" t="str">
        <f>IF($C234="","",IFERROR(VLOOKUP($C234,Orders!$A$4:$J$998,6,FALSE),""))</f>
        <v/>
      </c>
      <c r="J234" s="40" t="str">
        <f>IF($C234="","",IFERROR(VLOOKUP($C234,Orders!$A$4:$J$998,7,FALSE),""))</f>
        <v/>
      </c>
      <c r="K234" s="40" t="str">
        <f>IF(Bids!$C233="","",Bids!$C233)</f>
        <v/>
      </c>
      <c r="L234" s="40" t="str">
        <f>IF($K234="","",IFERROR(VLOOKUP($K234,Grinders!$A$4:$N$998,2,FALSE),""))</f>
        <v/>
      </c>
      <c r="M234" s="40" t="str">
        <f>IF($K234="","",IFERROR(VLOOKUP($K234,Grinders!$A$4:$N$998,3,FALSE),""))</f>
        <v/>
      </c>
      <c r="N234" s="40" t="str">
        <f>IF($K234="","",IFERROR(VLOOKUP($K234,Grinders!$A$4:$N$998,4,FALSE),""))</f>
        <v/>
      </c>
      <c r="O234" s="40" t="str">
        <f>IF($K234="","",IFERROR(VLOOKUP($K234,Grinders!$A$4:$N$998,5,FALSE),""))</f>
        <v/>
      </c>
      <c r="P234" s="40" t="str">
        <f>IF($K234="","",IF($C$4="",0,COUNTIFS(Assignments!$B$6:$B$1000,$K234,Assignments!$F$6:$F$1000,$C$4,Assignments!$E$6:$E$1000,"Active")))</f>
        <v/>
      </c>
      <c r="Q234" s="40" t="str">
        <f t="shared" si="3"/>
        <v/>
      </c>
      <c r="R234" s="40" t="str">
        <f t="shared" si="4"/>
        <v/>
      </c>
      <c r="S234" s="40" t="str">
        <f>IF($K234="","",IF($C$4="",0,COUNTIFS(Assignments!$B$6:$B$1000,$K234,Assignments!$F$6:$F$1000,$C$4,Assignments!$D$6:$D$1000,"&gt;="&amp;Config!$B$3-7,Assignments!$D$6:$D$1000,"&lt;="&amp;Config!$B$3)))</f>
        <v/>
      </c>
      <c r="T234" s="40" t="str">
        <f>IF($K234="","",IFERROR(VLOOKUP($K234,Grinders!$A$4:$N$998,8,FALSE),""))</f>
        <v/>
      </c>
      <c r="U234" s="40" t="str">
        <f>IFERROR(IF($K234="","",IF($M234="Elite",MAX(50,MIN(100,Config!$B$27*MAX(0,MIN(100,(1-IF($R234="",0,$R234))*100)) + Config!$B$28*MAX(0,MIN(100,(1-MIN(1,IF(Config!$B$30=0,1,$S234/Config!$B$30)))*100)) + Config!$B$29*MAX(0,MIN(100,MIN(1,IF($T234="",0,$T234)/Config!$B$23)*100)))),MIN(100,Config!$B$27*MAX(0,MIN(100,(1-IF($R234="",0,$R234))*100)) + Config!$B$28*MAX(0,MIN(100,(1-MIN(1,IF(Config!$B$30=0,1,$S234/Config!$B$30)))*100)) + Config!$B$29*MAX(0,MIN(100,MIN(1,IF($T234="",0,$T234)/Config!$B$23)*100))))),"")
</f>
        <v/>
      </c>
      <c r="V234" s="40" t="str">
        <f>IF(Bids!$AC234="","",Bids!$AC234)</f>
        <v/>
      </c>
      <c r="W234" s="40" t="str">
        <f>IF(Bids!$F233="","",Bids!$F233)</f>
        <v/>
      </c>
      <c r="X234" s="40" t="str">
        <f t="shared" si="5"/>
        <v/>
      </c>
      <c r="Y234" s="40" t="str">
        <f>IF($X234="","",IF(Config!$B$17=Config!$B$16,IF($X234&gt;=Config!$B$17,100,0),MAX(0,MIN(100,($X234-Config!$B$16)/(Config!$B$17-Config!$B$16)*100))))</f>
        <v/>
      </c>
      <c r="Z234" s="40">
        <f>IF($M234="Elite",Config!$B$21,0)</f>
        <v>0</v>
      </c>
      <c r="AA234" s="40" t="str">
        <f>IFERROR(IF(OR($W234="",$H234=""),"",IF($W234&gt;$H234,
  MAX(0, 60-(($W234-$H234)*24/Config!$B$19)*60),
  MIN(100, 60+(($H234-$W234)*24/Config!$B$20)*40)
)),"")
</f>
        <v/>
      </c>
      <c r="AB234" s="40" t="str">
        <f>IF($K234="","",IFERROR(VLOOKUP($K234,Grinders!$A$4:$N$998,10,FALSE)/5*100,""))</f>
        <v/>
      </c>
      <c r="AC234" s="40" t="str">
        <f>IF($K234="","",IFERROR(VLOOKUP($K234,Grinders!$A$4:$N$998,11,FALSE)*100,""))</f>
        <v/>
      </c>
      <c r="AD234" s="40" t="str">
        <f>IF($K234="","",IFERROR(VLOOKUP($K234,Grinders!$A$4:$N$998,12,FALSE)*100,""))</f>
        <v/>
      </c>
      <c r="AE234" s="40" t="str">
        <f>IF(OR(AO234=1,AP234=1),0,=IFERROR(IFS(
    OR($C234="", $K234=""), 0,
    $F234=0, 0,
    $D234&lt;&gt;"Open", 0,
    COUNTIFS(GrinderServices!$A$6:$A$1000, $K234, GrinderServices!$B$6:$B$1000, $E234, GrinderServices!$D$6:$D$1000, "Y")=0, 0,
    $X234&lt;Config!$B$16, 0,
    Config!$B$18=1, IF($O234&gt;=N234, 0, 1),
    TRUE, 1
), "")
)</f>
        <v>#ERROR!</v>
      </c>
      <c r="AF234" s="40" t="str">
        <f>IFERROR((IF(OR(AO234=1,AP234=1),"",=IFERROR((IFERROR(IF($AE234=0,"",((Config!$B$6*$Y234 + Config!$B$7*$U234 + Config!$B$8*$Z234 + Config!$B$9*$AA234 + Config!$B$10*$AB234 + Config!$B$11*$AC234 - Config!$B$12*$AD234)/Config!$B$13)+$AK234+$AL234),""))*(1-IFERROR(VLOOKUP(K234,Grinders!$A:$AB, 28, FALSE),0)),"")))*(1+AR234),"")</f>
        <v>#ERROR!</v>
      </c>
      <c r="AG234" s="40" t="str">
        <f t="shared" si="6"/>
        <v>#ERROR!</v>
      </c>
      <c r="AH234" s="40" t="str">
        <f t="shared" si="7"/>
        <v/>
      </c>
      <c r="AI234" s="40" t="str">
        <f t="shared" si="8"/>
        <v/>
      </c>
      <c r="AJ234" s="40" t="str">
        <f>IF($K234="","",COUNTIF(Assignments!$B$6:$B$1000,$K234))</f>
        <v/>
      </c>
      <c r="AK234" s="40" t="str">
        <f>IF($K234="","",IF(AND($AJ234=0,$O234&lt;$N234),Config!$B$43,0))</f>
        <v/>
      </c>
      <c r="AL234" s="40" t="str">
        <f>IF($K234="","",IF(AND($M234="Elite",$G234&gt;=Config!$B$41,$O234&lt;$N234),Config!$B$42,0))</f>
        <v/>
      </c>
      <c r="AM234" s="22"/>
      <c r="AN234" s="39">
        <f>IFERROR(VLOOKUP(K234,Grinders!$A:$Q,28,FALSE),0)</f>
        <v>0</v>
      </c>
      <c r="AO234" s="39">
        <f>IF(Config!$B$1003&lt;&gt;"Y",0,IF(IFERROR(VLOOKUP(K234,Grinders!$A:$P,27,FALSE),0)&gt;=3,IF(OR(G234&gt;=Config!$B$1001,ISNUMBER(SEARCH(E234,Config!$B$1002))),1,0),0))</f>
        <v>0</v>
      </c>
      <c r="AP234" s="39">
        <f t="array" ref="AP234">IFERROR(IF(INDEX(Bids!$AE:$AE,MATCH(B234,Bids!$A:$A,0))="Pending",1,0),0)</f>
        <v>0</v>
      </c>
      <c r="AQ234" s="39" t="str">
        <f t="array" ref="AQ234">IF(C234="","",IFERROR(XLOOKUP(C234,Assignments!$C:$C,Assignments!$AU:$AU,0),0))</f>
        <v/>
      </c>
      <c r="AR234" s="39">
        <f>IF(AND(Config!$B$1006="Y",AQ234=1),Config!$B$1007,0)</f>
        <v>0</v>
      </c>
    </row>
    <row r="235" ht="15.75" customHeight="1">
      <c r="A235" s="46" t="str">
        <f t="shared" si="1"/>
        <v/>
      </c>
      <c r="B235" s="40" t="str">
        <f>IF(Bids!$A234="","",Bids!$A234)</f>
        <v/>
      </c>
      <c r="C235" s="40" t="str">
        <f>IF(Bids!$B234="","",Bids!$B234)</f>
        <v/>
      </c>
      <c r="D235" s="40" t="str">
        <f>IF($C235="","",IFERROR(VLOOKUP($C235,Orders!$A$4:$J$998,9,FALSE),""))</f>
        <v/>
      </c>
      <c r="E235" s="40" t="str">
        <f>IF($C235="","",IFERROR(VLOOKUP($C235,Orders!$A$4:$J$998,3,FALSE),""))</f>
        <v/>
      </c>
      <c r="F235" s="40">
        <f t="shared" si="2"/>
        <v>1</v>
      </c>
      <c r="G235" s="40" t="str">
        <f>IF($C235="","",IFERROR(VLOOKUP($C235,Orders!$A$4:$J$998,4,FALSE),""))</f>
        <v/>
      </c>
      <c r="H235" s="40" t="str">
        <f>IF($C235="","",IFERROR(VLOOKUP($C235,Orders!$A$4:$J$998,5,FALSE),""))</f>
        <v/>
      </c>
      <c r="I235" s="40" t="str">
        <f>IF($C235="","",IFERROR(VLOOKUP($C235,Orders!$A$4:$J$998,6,FALSE),""))</f>
        <v/>
      </c>
      <c r="J235" s="40" t="str">
        <f>IF($C235="","",IFERROR(VLOOKUP($C235,Orders!$A$4:$J$998,7,FALSE),""))</f>
        <v/>
      </c>
      <c r="K235" s="40" t="str">
        <f>IF(Bids!$C234="","",Bids!$C234)</f>
        <v/>
      </c>
      <c r="L235" s="40" t="str">
        <f>IF($K235="","",IFERROR(VLOOKUP($K235,Grinders!$A$4:$N$998,2,FALSE),""))</f>
        <v/>
      </c>
      <c r="M235" s="40" t="str">
        <f>IF($K235="","",IFERROR(VLOOKUP($K235,Grinders!$A$4:$N$998,3,FALSE),""))</f>
        <v/>
      </c>
      <c r="N235" s="40" t="str">
        <f>IF($K235="","",IFERROR(VLOOKUP($K235,Grinders!$A$4:$N$998,4,FALSE),""))</f>
        <v/>
      </c>
      <c r="O235" s="40" t="str">
        <f>IF($K235="","",IFERROR(VLOOKUP($K235,Grinders!$A$4:$N$998,5,FALSE),""))</f>
        <v/>
      </c>
      <c r="P235" s="40" t="str">
        <f>IF($K235="","",IF($C$4="",0,COUNTIFS(Assignments!$B$6:$B$1000,$K235,Assignments!$F$6:$F$1000,$C$4,Assignments!$E$6:$E$1000,"Active")))</f>
        <v/>
      </c>
      <c r="Q235" s="40" t="str">
        <f t="shared" si="3"/>
        <v/>
      </c>
      <c r="R235" s="40" t="str">
        <f t="shared" si="4"/>
        <v/>
      </c>
      <c r="S235" s="40" t="str">
        <f>IF($K235="","",IF($C$4="",0,COUNTIFS(Assignments!$B$6:$B$1000,$K235,Assignments!$F$6:$F$1000,$C$4,Assignments!$D$6:$D$1000,"&gt;="&amp;Config!$B$3-7,Assignments!$D$6:$D$1000,"&lt;="&amp;Config!$B$3)))</f>
        <v/>
      </c>
      <c r="T235" s="40" t="str">
        <f>IF($K235="","",IFERROR(VLOOKUP($K235,Grinders!$A$4:$N$998,8,FALSE),""))</f>
        <v/>
      </c>
      <c r="U235" s="40" t="str">
        <f>IFERROR(IF($K235="","",IF($M235="Elite",MAX(50,MIN(100,Config!$B$27*MAX(0,MIN(100,(1-IF($R235="",0,$R235))*100)) + Config!$B$28*MAX(0,MIN(100,(1-MIN(1,IF(Config!$B$30=0,1,$S235/Config!$B$30)))*100)) + Config!$B$29*MAX(0,MIN(100,MIN(1,IF($T235="",0,$T235)/Config!$B$23)*100)))),MIN(100,Config!$B$27*MAX(0,MIN(100,(1-IF($R235="",0,$R235))*100)) + Config!$B$28*MAX(0,MIN(100,(1-MIN(1,IF(Config!$B$30=0,1,$S235/Config!$B$30)))*100)) + Config!$B$29*MAX(0,MIN(100,MIN(1,IF($T235="",0,$T235)/Config!$B$23)*100))))),"")
</f>
        <v/>
      </c>
      <c r="V235" s="40" t="str">
        <f>IF(Bids!$AC235="","",Bids!$AC235)</f>
        <v/>
      </c>
      <c r="W235" s="40" t="str">
        <f>IF(Bids!$F234="","",Bids!$F234)</f>
        <v/>
      </c>
      <c r="X235" s="40" t="str">
        <f t="shared" si="5"/>
        <v/>
      </c>
      <c r="Y235" s="40" t="str">
        <f>IF($X235="","",IF(Config!$B$17=Config!$B$16,IF($X235&gt;=Config!$B$17,100,0),MAX(0,MIN(100,($X235-Config!$B$16)/(Config!$B$17-Config!$B$16)*100))))</f>
        <v/>
      </c>
      <c r="Z235" s="40">
        <f>IF($M235="Elite",Config!$B$21,0)</f>
        <v>0</v>
      </c>
      <c r="AA235" s="40" t="str">
        <f>IFERROR(IF(OR($W235="",$H235=""),"",IF($W235&gt;$H235,
  MAX(0, 60-(($W235-$H235)*24/Config!$B$19)*60),
  MIN(100, 60+(($H235-$W235)*24/Config!$B$20)*40)
)),"")
</f>
        <v/>
      </c>
      <c r="AB235" s="40" t="str">
        <f>IF($K235="","",IFERROR(VLOOKUP($K235,Grinders!$A$4:$N$998,10,FALSE)/5*100,""))</f>
        <v/>
      </c>
      <c r="AC235" s="40" t="str">
        <f>IF($K235="","",IFERROR(VLOOKUP($K235,Grinders!$A$4:$N$998,11,FALSE)*100,""))</f>
        <v/>
      </c>
      <c r="AD235" s="40" t="str">
        <f>IF($K235="","",IFERROR(VLOOKUP($K235,Grinders!$A$4:$N$998,12,FALSE)*100,""))</f>
        <v/>
      </c>
      <c r="AE235" s="40" t="str">
        <f>IF(OR(AO235=1,AP235=1),0,=IFERROR(IFS(
    OR($C235="", $K235=""), 0,
    $F235=0, 0,
    $D235&lt;&gt;"Open", 0,
    COUNTIFS(GrinderServices!$A$6:$A$1000, $K235, GrinderServices!$B$6:$B$1000, $E235, GrinderServices!$D$6:$D$1000, "Y")=0, 0,
    $X235&lt;Config!$B$16, 0,
    Config!$B$18=1, IF($O235&gt;=N235, 0, 1),
    TRUE, 1
), "")
)</f>
        <v>#ERROR!</v>
      </c>
      <c r="AF235" s="40" t="str">
        <f>IFERROR((IF(OR(AO235=1,AP235=1),"",=IFERROR((IFERROR(IF($AE235=0,"",((Config!$B$6*$Y235 + Config!$B$7*$U235 + Config!$B$8*$Z235 + Config!$B$9*$AA235 + Config!$B$10*$AB235 + Config!$B$11*$AC235 - Config!$B$12*$AD235)/Config!$B$13)+$AK235+$AL235),""))*(1-IFERROR(VLOOKUP(K235,Grinders!$A:$AB, 28, FALSE),0)),"")))*(1+AR235),"")</f>
        <v>#ERROR!</v>
      </c>
      <c r="AG235" s="40" t="str">
        <f t="shared" si="6"/>
        <v>#ERROR!</v>
      </c>
      <c r="AH235" s="40" t="str">
        <f t="shared" si="7"/>
        <v/>
      </c>
      <c r="AI235" s="40" t="str">
        <f t="shared" si="8"/>
        <v/>
      </c>
      <c r="AJ235" s="40" t="str">
        <f>IF($K235="","",COUNTIF(Assignments!$B$6:$B$1000,$K235))</f>
        <v/>
      </c>
      <c r="AK235" s="40" t="str">
        <f>IF($K235="","",IF(AND($AJ235=0,$O235&lt;$N235),Config!$B$43,0))</f>
        <v/>
      </c>
      <c r="AL235" s="40" t="str">
        <f>IF($K235="","",IF(AND($M235="Elite",$G235&gt;=Config!$B$41,$O235&lt;$N235),Config!$B$42,0))</f>
        <v/>
      </c>
      <c r="AM235" s="22"/>
      <c r="AN235" s="39">
        <f>IFERROR(VLOOKUP(K235,Grinders!$A:$Q,28,FALSE),0)</f>
        <v>0</v>
      </c>
      <c r="AO235" s="39">
        <f>IF(Config!$B$1003&lt;&gt;"Y",0,IF(IFERROR(VLOOKUP(K235,Grinders!$A:$P,27,FALSE),0)&gt;=3,IF(OR(G235&gt;=Config!$B$1001,ISNUMBER(SEARCH(E235,Config!$B$1002))),1,0),0))</f>
        <v>0</v>
      </c>
      <c r="AP235" s="39">
        <f t="array" ref="AP235">IFERROR(IF(INDEX(Bids!$AE:$AE,MATCH(B235,Bids!$A:$A,0))="Pending",1,0),0)</f>
        <v>0</v>
      </c>
      <c r="AQ235" s="39" t="str">
        <f t="array" ref="AQ235">IF(C235="","",IFERROR(XLOOKUP(C235,Assignments!$C:$C,Assignments!$AU:$AU,0),0))</f>
        <v/>
      </c>
      <c r="AR235" s="39">
        <f>IF(AND(Config!$B$1006="Y",AQ235=1),Config!$B$1007,0)</f>
        <v>0</v>
      </c>
    </row>
    <row r="236" ht="15.75" customHeight="1">
      <c r="A236" s="46" t="str">
        <f t="shared" si="1"/>
        <v/>
      </c>
      <c r="B236" s="40" t="str">
        <f>IF(Bids!$A235="","",Bids!$A235)</f>
        <v/>
      </c>
      <c r="C236" s="40" t="str">
        <f>IF(Bids!$B235="","",Bids!$B235)</f>
        <v/>
      </c>
      <c r="D236" s="40" t="str">
        <f>IF($C236="","",IFERROR(VLOOKUP($C236,Orders!$A$4:$J$998,9,FALSE),""))</f>
        <v/>
      </c>
      <c r="E236" s="40" t="str">
        <f>IF($C236="","",IFERROR(VLOOKUP($C236,Orders!$A$4:$J$998,3,FALSE),""))</f>
        <v/>
      </c>
      <c r="F236" s="40">
        <f t="shared" si="2"/>
        <v>1</v>
      </c>
      <c r="G236" s="40" t="str">
        <f>IF($C236="","",IFERROR(VLOOKUP($C236,Orders!$A$4:$J$998,4,FALSE),""))</f>
        <v/>
      </c>
      <c r="H236" s="40" t="str">
        <f>IF($C236="","",IFERROR(VLOOKUP($C236,Orders!$A$4:$J$998,5,FALSE),""))</f>
        <v/>
      </c>
      <c r="I236" s="40" t="str">
        <f>IF($C236="","",IFERROR(VLOOKUP($C236,Orders!$A$4:$J$998,6,FALSE),""))</f>
        <v/>
      </c>
      <c r="J236" s="40" t="str">
        <f>IF($C236="","",IFERROR(VLOOKUP($C236,Orders!$A$4:$J$998,7,FALSE),""))</f>
        <v/>
      </c>
      <c r="K236" s="40" t="str">
        <f>IF(Bids!$C235="","",Bids!$C235)</f>
        <v/>
      </c>
      <c r="L236" s="40" t="str">
        <f>IF($K236="","",IFERROR(VLOOKUP($K236,Grinders!$A$4:$N$998,2,FALSE),""))</f>
        <v/>
      </c>
      <c r="M236" s="40" t="str">
        <f>IF($K236="","",IFERROR(VLOOKUP($K236,Grinders!$A$4:$N$998,3,FALSE),""))</f>
        <v/>
      </c>
      <c r="N236" s="40" t="str">
        <f>IF($K236="","",IFERROR(VLOOKUP($K236,Grinders!$A$4:$N$998,4,FALSE),""))</f>
        <v/>
      </c>
      <c r="O236" s="40" t="str">
        <f>IF($K236="","",IFERROR(VLOOKUP($K236,Grinders!$A$4:$N$998,5,FALSE),""))</f>
        <v/>
      </c>
      <c r="P236" s="40" t="str">
        <f>IF($K236="","",IF($C$4="",0,COUNTIFS(Assignments!$B$6:$B$1000,$K236,Assignments!$F$6:$F$1000,$C$4,Assignments!$E$6:$E$1000,"Active")))</f>
        <v/>
      </c>
      <c r="Q236" s="40" t="str">
        <f t="shared" si="3"/>
        <v/>
      </c>
      <c r="R236" s="40" t="str">
        <f t="shared" si="4"/>
        <v/>
      </c>
      <c r="S236" s="40" t="str">
        <f>IF($K236="","",IF($C$4="",0,COUNTIFS(Assignments!$B$6:$B$1000,$K236,Assignments!$F$6:$F$1000,$C$4,Assignments!$D$6:$D$1000,"&gt;="&amp;Config!$B$3-7,Assignments!$D$6:$D$1000,"&lt;="&amp;Config!$B$3)))</f>
        <v/>
      </c>
      <c r="T236" s="40" t="str">
        <f>IF($K236="","",IFERROR(VLOOKUP($K236,Grinders!$A$4:$N$998,8,FALSE),""))</f>
        <v/>
      </c>
      <c r="U236" s="40" t="str">
        <f>IFERROR(IF($K236="","",IF($M236="Elite",MAX(50,MIN(100,Config!$B$27*MAX(0,MIN(100,(1-IF($R236="",0,$R236))*100)) + Config!$B$28*MAX(0,MIN(100,(1-MIN(1,IF(Config!$B$30=0,1,$S236/Config!$B$30)))*100)) + Config!$B$29*MAX(0,MIN(100,MIN(1,IF($T236="",0,$T236)/Config!$B$23)*100)))),MIN(100,Config!$B$27*MAX(0,MIN(100,(1-IF($R236="",0,$R236))*100)) + Config!$B$28*MAX(0,MIN(100,(1-MIN(1,IF(Config!$B$30=0,1,$S236/Config!$B$30)))*100)) + Config!$B$29*MAX(0,MIN(100,MIN(1,IF($T236="",0,$T236)/Config!$B$23)*100))))),"")
</f>
        <v/>
      </c>
      <c r="V236" s="40" t="str">
        <f>IF(Bids!$AC236="","",Bids!$AC236)</f>
        <v/>
      </c>
      <c r="W236" s="40" t="str">
        <f>IF(Bids!$F235="","",Bids!$F235)</f>
        <v/>
      </c>
      <c r="X236" s="40" t="str">
        <f t="shared" si="5"/>
        <v/>
      </c>
      <c r="Y236" s="40" t="str">
        <f>IF($X236="","",IF(Config!$B$17=Config!$B$16,IF($X236&gt;=Config!$B$17,100,0),MAX(0,MIN(100,($X236-Config!$B$16)/(Config!$B$17-Config!$B$16)*100))))</f>
        <v/>
      </c>
      <c r="Z236" s="40">
        <f>IF($M236="Elite",Config!$B$21,0)</f>
        <v>0</v>
      </c>
      <c r="AA236" s="40" t="str">
        <f>IFERROR(IF(OR($W236="",$H236=""),"",IF($W236&gt;$H236,
  MAX(0, 60-(($W236-$H236)*24/Config!$B$19)*60),
  MIN(100, 60+(($H236-$W236)*24/Config!$B$20)*40)
)),"")
</f>
        <v/>
      </c>
      <c r="AB236" s="40" t="str">
        <f>IF($K236="","",IFERROR(VLOOKUP($K236,Grinders!$A$4:$N$998,10,FALSE)/5*100,""))</f>
        <v/>
      </c>
      <c r="AC236" s="40" t="str">
        <f>IF($K236="","",IFERROR(VLOOKUP($K236,Grinders!$A$4:$N$998,11,FALSE)*100,""))</f>
        <v/>
      </c>
      <c r="AD236" s="40" t="str">
        <f>IF($K236="","",IFERROR(VLOOKUP($K236,Grinders!$A$4:$N$998,12,FALSE)*100,""))</f>
        <v/>
      </c>
      <c r="AE236" s="40" t="str">
        <f>IF(OR(AO236=1,AP236=1),0,=IFERROR(IFS(
    OR($C236="", $K236=""), 0,
    $F236=0, 0,
    $D236&lt;&gt;"Open", 0,
    COUNTIFS(GrinderServices!$A$6:$A$1000, $K236, GrinderServices!$B$6:$B$1000, $E236, GrinderServices!$D$6:$D$1000, "Y")=0, 0,
    $X236&lt;Config!$B$16, 0,
    Config!$B$18=1, IF($O236&gt;=N236, 0, 1),
    TRUE, 1
), "")
)</f>
        <v>#ERROR!</v>
      </c>
      <c r="AF236" s="40" t="str">
        <f>IFERROR((IF(OR(AO236=1,AP236=1),"",=IFERROR((IFERROR(IF($AE236=0,"",((Config!$B$6*$Y236 + Config!$B$7*$U236 + Config!$B$8*$Z236 + Config!$B$9*$AA236 + Config!$B$10*$AB236 + Config!$B$11*$AC236 - Config!$B$12*$AD236)/Config!$B$13)+$AK236+$AL236),""))*(1-IFERROR(VLOOKUP(K236,Grinders!$A:$AB, 28, FALSE),0)),"")))*(1+AR236),"")</f>
        <v>#ERROR!</v>
      </c>
      <c r="AG236" s="40" t="str">
        <f t="shared" si="6"/>
        <v>#ERROR!</v>
      </c>
      <c r="AH236" s="40" t="str">
        <f t="shared" si="7"/>
        <v/>
      </c>
      <c r="AI236" s="40" t="str">
        <f t="shared" si="8"/>
        <v/>
      </c>
      <c r="AJ236" s="40" t="str">
        <f>IF($K236="","",COUNTIF(Assignments!$B$6:$B$1000,$K236))</f>
        <v/>
      </c>
      <c r="AK236" s="40" t="str">
        <f>IF($K236="","",IF(AND($AJ236=0,$O236&lt;$N236),Config!$B$43,0))</f>
        <v/>
      </c>
      <c r="AL236" s="40" t="str">
        <f>IF($K236="","",IF(AND($M236="Elite",$G236&gt;=Config!$B$41,$O236&lt;$N236),Config!$B$42,0))</f>
        <v/>
      </c>
      <c r="AM236" s="22"/>
      <c r="AN236" s="39">
        <f>IFERROR(VLOOKUP(K236,Grinders!$A:$Q,28,FALSE),0)</f>
        <v>0</v>
      </c>
      <c r="AO236" s="39">
        <f>IF(Config!$B$1003&lt;&gt;"Y",0,IF(IFERROR(VLOOKUP(K236,Grinders!$A:$P,27,FALSE),0)&gt;=3,IF(OR(G236&gt;=Config!$B$1001,ISNUMBER(SEARCH(E236,Config!$B$1002))),1,0),0))</f>
        <v>0</v>
      </c>
      <c r="AP236" s="39">
        <f t="array" ref="AP236">IFERROR(IF(INDEX(Bids!$AE:$AE,MATCH(B236,Bids!$A:$A,0))="Pending",1,0),0)</f>
        <v>0</v>
      </c>
      <c r="AQ236" s="39" t="str">
        <f t="array" ref="AQ236">IF(C236="","",IFERROR(XLOOKUP(C236,Assignments!$C:$C,Assignments!$AU:$AU,0),0))</f>
        <v/>
      </c>
      <c r="AR236" s="39">
        <f>IF(AND(Config!$B$1006="Y",AQ236=1),Config!$B$1007,0)</f>
        <v>0</v>
      </c>
    </row>
    <row r="237" ht="15.75" customHeight="1">
      <c r="A237" s="46" t="str">
        <f t="shared" si="1"/>
        <v/>
      </c>
      <c r="B237" s="40" t="str">
        <f>IF(Bids!$A236="","",Bids!$A236)</f>
        <v/>
      </c>
      <c r="C237" s="40" t="str">
        <f>IF(Bids!$B236="","",Bids!$B236)</f>
        <v/>
      </c>
      <c r="D237" s="40" t="str">
        <f>IF($C237="","",IFERROR(VLOOKUP($C237,Orders!$A$4:$J$998,9,FALSE),""))</f>
        <v/>
      </c>
      <c r="E237" s="40" t="str">
        <f>IF($C237="","",IFERROR(VLOOKUP($C237,Orders!$A$4:$J$998,3,FALSE),""))</f>
        <v/>
      </c>
      <c r="F237" s="40">
        <f t="shared" si="2"/>
        <v>1</v>
      </c>
      <c r="G237" s="40" t="str">
        <f>IF($C237="","",IFERROR(VLOOKUP($C237,Orders!$A$4:$J$998,4,FALSE),""))</f>
        <v/>
      </c>
      <c r="H237" s="40" t="str">
        <f>IF($C237="","",IFERROR(VLOOKUP($C237,Orders!$A$4:$J$998,5,FALSE),""))</f>
        <v/>
      </c>
      <c r="I237" s="40" t="str">
        <f>IF($C237="","",IFERROR(VLOOKUP($C237,Orders!$A$4:$J$998,6,FALSE),""))</f>
        <v/>
      </c>
      <c r="J237" s="40" t="str">
        <f>IF($C237="","",IFERROR(VLOOKUP($C237,Orders!$A$4:$J$998,7,FALSE),""))</f>
        <v/>
      </c>
      <c r="K237" s="40" t="str">
        <f>IF(Bids!$C236="","",Bids!$C236)</f>
        <v/>
      </c>
      <c r="L237" s="40" t="str">
        <f>IF($K237="","",IFERROR(VLOOKUP($K237,Grinders!$A$4:$N$998,2,FALSE),""))</f>
        <v/>
      </c>
      <c r="M237" s="40" t="str">
        <f>IF($K237="","",IFERROR(VLOOKUP($K237,Grinders!$A$4:$N$998,3,FALSE),""))</f>
        <v/>
      </c>
      <c r="N237" s="40" t="str">
        <f>IF($K237="","",IFERROR(VLOOKUP($K237,Grinders!$A$4:$N$998,4,FALSE),""))</f>
        <v/>
      </c>
      <c r="O237" s="40" t="str">
        <f>IF($K237="","",IFERROR(VLOOKUP($K237,Grinders!$A$4:$N$998,5,FALSE),""))</f>
        <v/>
      </c>
      <c r="P237" s="40" t="str">
        <f>IF($K237="","",IF($C$4="",0,COUNTIFS(Assignments!$B$6:$B$1000,$K237,Assignments!$F$6:$F$1000,$C$4,Assignments!$E$6:$E$1000,"Active")))</f>
        <v/>
      </c>
      <c r="Q237" s="40" t="str">
        <f t="shared" si="3"/>
        <v/>
      </c>
      <c r="R237" s="40" t="str">
        <f t="shared" si="4"/>
        <v/>
      </c>
      <c r="S237" s="40" t="str">
        <f>IF($K237="","",IF($C$4="",0,COUNTIFS(Assignments!$B$6:$B$1000,$K237,Assignments!$F$6:$F$1000,$C$4,Assignments!$D$6:$D$1000,"&gt;="&amp;Config!$B$3-7,Assignments!$D$6:$D$1000,"&lt;="&amp;Config!$B$3)))</f>
        <v/>
      </c>
      <c r="T237" s="40" t="str">
        <f>IF($K237="","",IFERROR(VLOOKUP($K237,Grinders!$A$4:$N$998,8,FALSE),""))</f>
        <v/>
      </c>
      <c r="U237" s="40" t="str">
        <f>IFERROR(IF($K237="","",IF($M237="Elite",MAX(50,MIN(100,Config!$B$27*MAX(0,MIN(100,(1-IF($R237="",0,$R237))*100)) + Config!$B$28*MAX(0,MIN(100,(1-MIN(1,IF(Config!$B$30=0,1,$S237/Config!$B$30)))*100)) + Config!$B$29*MAX(0,MIN(100,MIN(1,IF($T237="",0,$T237)/Config!$B$23)*100)))),MIN(100,Config!$B$27*MAX(0,MIN(100,(1-IF($R237="",0,$R237))*100)) + Config!$B$28*MAX(0,MIN(100,(1-MIN(1,IF(Config!$B$30=0,1,$S237/Config!$B$30)))*100)) + Config!$B$29*MAX(0,MIN(100,MIN(1,IF($T237="",0,$T237)/Config!$B$23)*100))))),"")
</f>
        <v/>
      </c>
      <c r="V237" s="40" t="str">
        <f>IF(Bids!$AC237="","",Bids!$AC237)</f>
        <v/>
      </c>
      <c r="W237" s="40" t="str">
        <f>IF(Bids!$F236="","",Bids!$F236)</f>
        <v/>
      </c>
      <c r="X237" s="40" t="str">
        <f t="shared" si="5"/>
        <v/>
      </c>
      <c r="Y237" s="40" t="str">
        <f>IF($X237="","",IF(Config!$B$17=Config!$B$16,IF($X237&gt;=Config!$B$17,100,0),MAX(0,MIN(100,($X237-Config!$B$16)/(Config!$B$17-Config!$B$16)*100))))</f>
        <v/>
      </c>
      <c r="Z237" s="40">
        <f>IF($M237="Elite",Config!$B$21,0)</f>
        <v>0</v>
      </c>
      <c r="AA237" s="40" t="str">
        <f>IFERROR(IF(OR($W237="",$H237=""),"",IF($W237&gt;$H237,
  MAX(0, 60-(($W237-$H237)*24/Config!$B$19)*60),
  MIN(100, 60+(($H237-$W237)*24/Config!$B$20)*40)
)),"")
</f>
        <v/>
      </c>
      <c r="AB237" s="40" t="str">
        <f>IF($K237="","",IFERROR(VLOOKUP($K237,Grinders!$A$4:$N$998,10,FALSE)/5*100,""))</f>
        <v/>
      </c>
      <c r="AC237" s="40" t="str">
        <f>IF($K237="","",IFERROR(VLOOKUP($K237,Grinders!$A$4:$N$998,11,FALSE)*100,""))</f>
        <v/>
      </c>
      <c r="AD237" s="40" t="str">
        <f>IF($K237="","",IFERROR(VLOOKUP($K237,Grinders!$A$4:$N$998,12,FALSE)*100,""))</f>
        <v/>
      </c>
      <c r="AE237" s="40" t="str">
        <f>IF(OR(AO237=1,AP237=1),0,=IFERROR(IFS(
    OR($C237="", $K237=""), 0,
    $F237=0, 0,
    $D237&lt;&gt;"Open", 0,
    COUNTIFS(GrinderServices!$A$6:$A$1000, $K237, GrinderServices!$B$6:$B$1000, $E237, GrinderServices!$D$6:$D$1000, "Y")=0, 0,
    $X237&lt;Config!$B$16, 0,
    Config!$B$18=1, IF($O237&gt;=N237, 0, 1),
    TRUE, 1
), "")
)</f>
        <v>#ERROR!</v>
      </c>
      <c r="AF237" s="40" t="str">
        <f>IFERROR((IF(OR(AO237=1,AP237=1),"",=IFERROR((IFERROR(IF($AE237=0,"",((Config!$B$6*$Y237 + Config!$B$7*$U237 + Config!$B$8*$Z237 + Config!$B$9*$AA237 + Config!$B$10*$AB237 + Config!$B$11*$AC237 - Config!$B$12*$AD237)/Config!$B$13)+$AK237+$AL237),""))*(1-IFERROR(VLOOKUP(K237,Grinders!$A:$AB, 28, FALSE),0)),"")))*(1+AR237),"")</f>
        <v>#ERROR!</v>
      </c>
      <c r="AG237" s="40" t="str">
        <f t="shared" si="6"/>
        <v>#ERROR!</v>
      </c>
      <c r="AH237" s="40" t="str">
        <f t="shared" si="7"/>
        <v/>
      </c>
      <c r="AI237" s="40" t="str">
        <f t="shared" si="8"/>
        <v/>
      </c>
      <c r="AJ237" s="40" t="str">
        <f>IF($K237="","",COUNTIF(Assignments!$B$6:$B$1000,$K237))</f>
        <v/>
      </c>
      <c r="AK237" s="40" t="str">
        <f>IF($K237="","",IF(AND($AJ237=0,$O237&lt;$N237),Config!$B$43,0))</f>
        <v/>
      </c>
      <c r="AL237" s="40" t="str">
        <f>IF($K237="","",IF(AND($M237="Elite",$G237&gt;=Config!$B$41,$O237&lt;$N237),Config!$B$42,0))</f>
        <v/>
      </c>
      <c r="AM237" s="22"/>
      <c r="AN237" s="39">
        <f>IFERROR(VLOOKUP(K237,Grinders!$A:$Q,28,FALSE),0)</f>
        <v>0</v>
      </c>
      <c r="AO237" s="39">
        <f>IF(Config!$B$1003&lt;&gt;"Y",0,IF(IFERROR(VLOOKUP(K237,Grinders!$A:$P,27,FALSE),0)&gt;=3,IF(OR(G237&gt;=Config!$B$1001,ISNUMBER(SEARCH(E237,Config!$B$1002))),1,0),0))</f>
        <v>0</v>
      </c>
      <c r="AP237" s="39">
        <f t="array" ref="AP237">IFERROR(IF(INDEX(Bids!$AE:$AE,MATCH(B237,Bids!$A:$A,0))="Pending",1,0),0)</f>
        <v>0</v>
      </c>
      <c r="AQ237" s="39" t="str">
        <f t="array" ref="AQ237">IF(C237="","",IFERROR(XLOOKUP(C237,Assignments!$C:$C,Assignments!$AU:$AU,0),0))</f>
        <v/>
      </c>
      <c r="AR237" s="39">
        <f>IF(AND(Config!$B$1006="Y",AQ237=1),Config!$B$1007,0)</f>
        <v>0</v>
      </c>
    </row>
    <row r="238" ht="15.75" customHeight="1">
      <c r="A238" s="46" t="str">
        <f t="shared" si="1"/>
        <v/>
      </c>
      <c r="B238" s="40" t="str">
        <f>IF(Bids!$A237="","",Bids!$A237)</f>
        <v/>
      </c>
      <c r="C238" s="40" t="str">
        <f>IF(Bids!$B237="","",Bids!$B237)</f>
        <v/>
      </c>
      <c r="D238" s="40" t="str">
        <f>IF($C238="","",IFERROR(VLOOKUP($C238,Orders!$A$4:$J$998,9,FALSE),""))</f>
        <v/>
      </c>
      <c r="E238" s="40" t="str">
        <f>IF($C238="","",IFERROR(VLOOKUP($C238,Orders!$A$4:$J$998,3,FALSE),""))</f>
        <v/>
      </c>
      <c r="F238" s="40">
        <f t="shared" si="2"/>
        <v>1</v>
      </c>
      <c r="G238" s="40" t="str">
        <f>IF($C238="","",IFERROR(VLOOKUP($C238,Orders!$A$4:$J$998,4,FALSE),""))</f>
        <v/>
      </c>
      <c r="H238" s="40" t="str">
        <f>IF($C238="","",IFERROR(VLOOKUP($C238,Orders!$A$4:$J$998,5,FALSE),""))</f>
        <v/>
      </c>
      <c r="I238" s="40" t="str">
        <f>IF($C238="","",IFERROR(VLOOKUP($C238,Orders!$A$4:$J$998,6,FALSE),""))</f>
        <v/>
      </c>
      <c r="J238" s="40" t="str">
        <f>IF($C238="","",IFERROR(VLOOKUP($C238,Orders!$A$4:$J$998,7,FALSE),""))</f>
        <v/>
      </c>
      <c r="K238" s="40" t="str">
        <f>IF(Bids!$C237="","",Bids!$C237)</f>
        <v/>
      </c>
      <c r="L238" s="40" t="str">
        <f>IF($K238="","",IFERROR(VLOOKUP($K238,Grinders!$A$4:$N$998,2,FALSE),""))</f>
        <v/>
      </c>
      <c r="M238" s="40" t="str">
        <f>IF($K238="","",IFERROR(VLOOKUP($K238,Grinders!$A$4:$N$998,3,FALSE),""))</f>
        <v/>
      </c>
      <c r="N238" s="40" t="str">
        <f>IF($K238="","",IFERROR(VLOOKUP($K238,Grinders!$A$4:$N$998,4,FALSE),""))</f>
        <v/>
      </c>
      <c r="O238" s="40" t="str">
        <f>IF($K238="","",IFERROR(VLOOKUP($K238,Grinders!$A$4:$N$998,5,FALSE),""))</f>
        <v/>
      </c>
      <c r="P238" s="40" t="str">
        <f>IF($K238="","",IF($C$4="",0,COUNTIFS(Assignments!$B$6:$B$1000,$K238,Assignments!$F$6:$F$1000,$C$4,Assignments!$E$6:$E$1000,"Active")))</f>
        <v/>
      </c>
      <c r="Q238" s="40" t="str">
        <f t="shared" si="3"/>
        <v/>
      </c>
      <c r="R238" s="40" t="str">
        <f t="shared" si="4"/>
        <v/>
      </c>
      <c r="S238" s="40" t="str">
        <f>IF($K238="","",IF($C$4="",0,COUNTIFS(Assignments!$B$6:$B$1000,$K238,Assignments!$F$6:$F$1000,$C$4,Assignments!$D$6:$D$1000,"&gt;="&amp;Config!$B$3-7,Assignments!$D$6:$D$1000,"&lt;="&amp;Config!$B$3)))</f>
        <v/>
      </c>
      <c r="T238" s="40" t="str">
        <f>IF($K238="","",IFERROR(VLOOKUP($K238,Grinders!$A$4:$N$998,8,FALSE),""))</f>
        <v/>
      </c>
      <c r="U238" s="40" t="str">
        <f>IFERROR(IF($K238="","",IF($M238="Elite",MAX(50,MIN(100,Config!$B$27*MAX(0,MIN(100,(1-IF($R238="",0,$R238))*100)) + Config!$B$28*MAX(0,MIN(100,(1-MIN(1,IF(Config!$B$30=0,1,$S238/Config!$B$30)))*100)) + Config!$B$29*MAX(0,MIN(100,MIN(1,IF($T238="",0,$T238)/Config!$B$23)*100)))),MIN(100,Config!$B$27*MAX(0,MIN(100,(1-IF($R238="",0,$R238))*100)) + Config!$B$28*MAX(0,MIN(100,(1-MIN(1,IF(Config!$B$30=0,1,$S238/Config!$B$30)))*100)) + Config!$B$29*MAX(0,MIN(100,MIN(1,IF($T238="",0,$T238)/Config!$B$23)*100))))),"")
</f>
        <v/>
      </c>
      <c r="V238" s="40" t="str">
        <f>IF(Bids!$AC238="","",Bids!$AC238)</f>
        <v/>
      </c>
      <c r="W238" s="40" t="str">
        <f>IF(Bids!$F237="","",Bids!$F237)</f>
        <v/>
      </c>
      <c r="X238" s="40" t="str">
        <f t="shared" si="5"/>
        <v/>
      </c>
      <c r="Y238" s="40" t="str">
        <f>IF($X238="","",IF(Config!$B$17=Config!$B$16,IF($X238&gt;=Config!$B$17,100,0),MAX(0,MIN(100,($X238-Config!$B$16)/(Config!$B$17-Config!$B$16)*100))))</f>
        <v/>
      </c>
      <c r="Z238" s="40">
        <f>IF($M238="Elite",Config!$B$21,0)</f>
        <v>0</v>
      </c>
      <c r="AA238" s="40" t="str">
        <f>IFERROR(IF(OR($W238="",$H238=""),"",IF($W238&gt;$H238,
  MAX(0, 60-(($W238-$H238)*24/Config!$B$19)*60),
  MIN(100, 60+(($H238-$W238)*24/Config!$B$20)*40)
)),"")
</f>
        <v/>
      </c>
      <c r="AB238" s="40" t="str">
        <f>IF($K238="","",IFERROR(VLOOKUP($K238,Grinders!$A$4:$N$998,10,FALSE)/5*100,""))</f>
        <v/>
      </c>
      <c r="AC238" s="40" t="str">
        <f>IF($K238="","",IFERROR(VLOOKUP($K238,Grinders!$A$4:$N$998,11,FALSE)*100,""))</f>
        <v/>
      </c>
      <c r="AD238" s="40" t="str">
        <f>IF($K238="","",IFERROR(VLOOKUP($K238,Grinders!$A$4:$N$998,12,FALSE)*100,""))</f>
        <v/>
      </c>
      <c r="AE238" s="40" t="str">
        <f>IF(OR(AO238=1,AP238=1),0,=IFERROR(IFS(
    OR($C238="", $K238=""), 0,
    $F238=0, 0,
    $D238&lt;&gt;"Open", 0,
    COUNTIFS(GrinderServices!$A$6:$A$1000, $K238, GrinderServices!$B$6:$B$1000, $E238, GrinderServices!$D$6:$D$1000, "Y")=0, 0,
    $X238&lt;Config!$B$16, 0,
    Config!$B$18=1, IF($O238&gt;=N238, 0, 1),
    TRUE, 1
), "")
)</f>
        <v>#ERROR!</v>
      </c>
      <c r="AF238" s="40" t="str">
        <f>IFERROR((IF(OR(AO238=1,AP238=1),"",=IFERROR((IFERROR(IF($AE238=0,"",((Config!$B$6*$Y238 + Config!$B$7*$U238 + Config!$B$8*$Z238 + Config!$B$9*$AA238 + Config!$B$10*$AB238 + Config!$B$11*$AC238 - Config!$B$12*$AD238)/Config!$B$13)+$AK238+$AL238),""))*(1-IFERROR(VLOOKUP(K238,Grinders!$A:$AB, 28, FALSE),0)),"")))*(1+AR238),"")</f>
        <v>#ERROR!</v>
      </c>
      <c r="AG238" s="40" t="str">
        <f t="shared" si="6"/>
        <v>#ERROR!</v>
      </c>
      <c r="AH238" s="40" t="str">
        <f t="shared" si="7"/>
        <v/>
      </c>
      <c r="AI238" s="40" t="str">
        <f t="shared" si="8"/>
        <v/>
      </c>
      <c r="AJ238" s="40" t="str">
        <f>IF($K238="","",COUNTIF(Assignments!$B$6:$B$1000,$K238))</f>
        <v/>
      </c>
      <c r="AK238" s="40" t="str">
        <f>IF($K238="","",IF(AND($AJ238=0,$O238&lt;$N238),Config!$B$43,0))</f>
        <v/>
      </c>
      <c r="AL238" s="40" t="str">
        <f>IF($K238="","",IF(AND($M238="Elite",$G238&gt;=Config!$B$41,$O238&lt;$N238),Config!$B$42,0))</f>
        <v/>
      </c>
      <c r="AM238" s="22"/>
      <c r="AN238" s="39">
        <f>IFERROR(VLOOKUP(K238,Grinders!$A:$Q,28,FALSE),0)</f>
        <v>0</v>
      </c>
      <c r="AO238" s="39">
        <f>IF(Config!$B$1003&lt;&gt;"Y",0,IF(IFERROR(VLOOKUP(K238,Grinders!$A:$P,27,FALSE),0)&gt;=3,IF(OR(G238&gt;=Config!$B$1001,ISNUMBER(SEARCH(E238,Config!$B$1002))),1,0),0))</f>
        <v>0</v>
      </c>
      <c r="AP238" s="39">
        <f t="array" ref="AP238">IFERROR(IF(INDEX(Bids!$AE:$AE,MATCH(B238,Bids!$A:$A,0))="Pending",1,0),0)</f>
        <v>0</v>
      </c>
      <c r="AQ238" s="39" t="str">
        <f t="array" ref="AQ238">IF(C238="","",IFERROR(XLOOKUP(C238,Assignments!$C:$C,Assignments!$AU:$AU,0),0))</f>
        <v/>
      </c>
      <c r="AR238" s="39">
        <f>IF(AND(Config!$B$1006="Y",AQ238=1),Config!$B$1007,0)</f>
        <v>0</v>
      </c>
    </row>
    <row r="239" ht="15.75" customHeight="1">
      <c r="A239" s="46" t="str">
        <f t="shared" si="1"/>
        <v/>
      </c>
      <c r="B239" s="40" t="str">
        <f>IF(Bids!$A238="","",Bids!$A238)</f>
        <v/>
      </c>
      <c r="C239" s="40" t="str">
        <f>IF(Bids!$B238="","",Bids!$B238)</f>
        <v/>
      </c>
      <c r="D239" s="40" t="str">
        <f>IF($C239="","",IFERROR(VLOOKUP($C239,Orders!$A$4:$J$998,9,FALSE),""))</f>
        <v/>
      </c>
      <c r="E239" s="40" t="str">
        <f>IF($C239="","",IFERROR(VLOOKUP($C239,Orders!$A$4:$J$998,3,FALSE),""))</f>
        <v/>
      </c>
      <c r="F239" s="40">
        <f t="shared" si="2"/>
        <v>1</v>
      </c>
      <c r="G239" s="40" t="str">
        <f>IF($C239="","",IFERROR(VLOOKUP($C239,Orders!$A$4:$J$998,4,FALSE),""))</f>
        <v/>
      </c>
      <c r="H239" s="40" t="str">
        <f>IF($C239="","",IFERROR(VLOOKUP($C239,Orders!$A$4:$J$998,5,FALSE),""))</f>
        <v/>
      </c>
      <c r="I239" s="40" t="str">
        <f>IF($C239="","",IFERROR(VLOOKUP($C239,Orders!$A$4:$J$998,6,FALSE),""))</f>
        <v/>
      </c>
      <c r="J239" s="40" t="str">
        <f>IF($C239="","",IFERROR(VLOOKUP($C239,Orders!$A$4:$J$998,7,FALSE),""))</f>
        <v/>
      </c>
      <c r="K239" s="40" t="str">
        <f>IF(Bids!$C238="","",Bids!$C238)</f>
        <v/>
      </c>
      <c r="L239" s="40" t="str">
        <f>IF($K239="","",IFERROR(VLOOKUP($K239,Grinders!$A$4:$N$998,2,FALSE),""))</f>
        <v/>
      </c>
      <c r="M239" s="40" t="str">
        <f>IF($K239="","",IFERROR(VLOOKUP($K239,Grinders!$A$4:$N$998,3,FALSE),""))</f>
        <v/>
      </c>
      <c r="N239" s="40" t="str">
        <f>IF($K239="","",IFERROR(VLOOKUP($K239,Grinders!$A$4:$N$998,4,FALSE),""))</f>
        <v/>
      </c>
      <c r="O239" s="40" t="str">
        <f>IF($K239="","",IFERROR(VLOOKUP($K239,Grinders!$A$4:$N$998,5,FALSE),""))</f>
        <v/>
      </c>
      <c r="P239" s="40" t="str">
        <f>IF($K239="","",IF($C$4="",0,COUNTIFS(Assignments!$B$6:$B$1000,$K239,Assignments!$F$6:$F$1000,$C$4,Assignments!$E$6:$E$1000,"Active")))</f>
        <v/>
      </c>
      <c r="Q239" s="40" t="str">
        <f t="shared" si="3"/>
        <v/>
      </c>
      <c r="R239" s="40" t="str">
        <f t="shared" si="4"/>
        <v/>
      </c>
      <c r="S239" s="40" t="str">
        <f>IF($K239="","",IF($C$4="",0,COUNTIFS(Assignments!$B$6:$B$1000,$K239,Assignments!$F$6:$F$1000,$C$4,Assignments!$D$6:$D$1000,"&gt;="&amp;Config!$B$3-7,Assignments!$D$6:$D$1000,"&lt;="&amp;Config!$B$3)))</f>
        <v/>
      </c>
      <c r="T239" s="40" t="str">
        <f>IF($K239="","",IFERROR(VLOOKUP($K239,Grinders!$A$4:$N$998,8,FALSE),""))</f>
        <v/>
      </c>
      <c r="U239" s="40" t="str">
        <f>IFERROR(IF($K239="","",IF($M239="Elite",MAX(50,MIN(100,Config!$B$27*MAX(0,MIN(100,(1-IF($R239="",0,$R239))*100)) + Config!$B$28*MAX(0,MIN(100,(1-MIN(1,IF(Config!$B$30=0,1,$S239/Config!$B$30)))*100)) + Config!$B$29*MAX(0,MIN(100,MIN(1,IF($T239="",0,$T239)/Config!$B$23)*100)))),MIN(100,Config!$B$27*MAX(0,MIN(100,(1-IF($R239="",0,$R239))*100)) + Config!$B$28*MAX(0,MIN(100,(1-MIN(1,IF(Config!$B$30=0,1,$S239/Config!$B$30)))*100)) + Config!$B$29*MAX(0,MIN(100,MIN(1,IF($T239="",0,$T239)/Config!$B$23)*100))))),"")
</f>
        <v/>
      </c>
      <c r="V239" s="40" t="str">
        <f>IF(Bids!$AC239="","",Bids!$AC239)</f>
        <v/>
      </c>
      <c r="W239" s="40" t="str">
        <f>IF(Bids!$F238="","",Bids!$F238)</f>
        <v/>
      </c>
      <c r="X239" s="40" t="str">
        <f t="shared" si="5"/>
        <v/>
      </c>
      <c r="Y239" s="40" t="str">
        <f>IF($X239="","",IF(Config!$B$17=Config!$B$16,IF($X239&gt;=Config!$B$17,100,0),MAX(0,MIN(100,($X239-Config!$B$16)/(Config!$B$17-Config!$B$16)*100))))</f>
        <v/>
      </c>
      <c r="Z239" s="40">
        <f>IF($M239="Elite",Config!$B$21,0)</f>
        <v>0</v>
      </c>
      <c r="AA239" s="40" t="str">
        <f>IFERROR(IF(OR($W239="",$H239=""),"",IF($W239&gt;$H239,
  MAX(0, 60-(($W239-$H239)*24/Config!$B$19)*60),
  MIN(100, 60+(($H239-$W239)*24/Config!$B$20)*40)
)),"")
</f>
        <v/>
      </c>
      <c r="AB239" s="40" t="str">
        <f>IF($K239="","",IFERROR(VLOOKUP($K239,Grinders!$A$4:$N$998,10,FALSE)/5*100,""))</f>
        <v/>
      </c>
      <c r="AC239" s="40" t="str">
        <f>IF($K239="","",IFERROR(VLOOKUP($K239,Grinders!$A$4:$N$998,11,FALSE)*100,""))</f>
        <v/>
      </c>
      <c r="AD239" s="40" t="str">
        <f>IF($K239="","",IFERROR(VLOOKUP($K239,Grinders!$A$4:$N$998,12,FALSE)*100,""))</f>
        <v/>
      </c>
      <c r="AE239" s="40" t="str">
        <f>IF(OR(AO239=1,AP239=1),0,=IFERROR(IFS(
    OR($C239="", $K239=""), 0,
    $F239=0, 0,
    $D239&lt;&gt;"Open", 0,
    COUNTIFS(GrinderServices!$A$6:$A$1000, $K239, GrinderServices!$B$6:$B$1000, $E239, GrinderServices!$D$6:$D$1000, "Y")=0, 0,
    $X239&lt;Config!$B$16, 0,
    Config!$B$18=1, IF($O239&gt;=N239, 0, 1),
    TRUE, 1
), "")
)</f>
        <v>#ERROR!</v>
      </c>
      <c r="AF239" s="40" t="str">
        <f>IFERROR((IF(OR(AO239=1,AP239=1),"",=IFERROR((IFERROR(IF($AE239=0,"",((Config!$B$6*$Y239 + Config!$B$7*$U239 + Config!$B$8*$Z239 + Config!$B$9*$AA239 + Config!$B$10*$AB239 + Config!$B$11*$AC239 - Config!$B$12*$AD239)/Config!$B$13)+$AK239+$AL239),""))*(1-IFERROR(VLOOKUP(K239,Grinders!$A:$AB, 28, FALSE),0)),"")))*(1+AR239),"")</f>
        <v>#ERROR!</v>
      </c>
      <c r="AG239" s="40" t="str">
        <f t="shared" si="6"/>
        <v>#ERROR!</v>
      </c>
      <c r="AH239" s="40" t="str">
        <f t="shared" si="7"/>
        <v/>
      </c>
      <c r="AI239" s="40" t="str">
        <f t="shared" si="8"/>
        <v/>
      </c>
      <c r="AJ239" s="40" t="str">
        <f>IF($K239="","",COUNTIF(Assignments!$B$6:$B$1000,$K239))</f>
        <v/>
      </c>
      <c r="AK239" s="40" t="str">
        <f>IF($K239="","",IF(AND($AJ239=0,$O239&lt;$N239),Config!$B$43,0))</f>
        <v/>
      </c>
      <c r="AL239" s="40" t="str">
        <f>IF($K239="","",IF(AND($M239="Elite",$G239&gt;=Config!$B$41,$O239&lt;$N239),Config!$B$42,0))</f>
        <v/>
      </c>
      <c r="AM239" s="22"/>
      <c r="AN239" s="39">
        <f>IFERROR(VLOOKUP(K239,Grinders!$A:$Q,28,FALSE),0)</f>
        <v>0</v>
      </c>
      <c r="AO239" s="39">
        <f>IF(Config!$B$1003&lt;&gt;"Y",0,IF(IFERROR(VLOOKUP(K239,Grinders!$A:$P,27,FALSE),0)&gt;=3,IF(OR(G239&gt;=Config!$B$1001,ISNUMBER(SEARCH(E239,Config!$B$1002))),1,0),0))</f>
        <v>0</v>
      </c>
      <c r="AP239" s="39">
        <f t="array" ref="AP239">IFERROR(IF(INDEX(Bids!$AE:$AE,MATCH(B239,Bids!$A:$A,0))="Pending",1,0),0)</f>
        <v>0</v>
      </c>
      <c r="AQ239" s="39" t="str">
        <f t="array" ref="AQ239">IF(C239="","",IFERROR(XLOOKUP(C239,Assignments!$C:$C,Assignments!$AU:$AU,0),0))</f>
        <v/>
      </c>
      <c r="AR239" s="39">
        <f>IF(AND(Config!$B$1006="Y",AQ239=1),Config!$B$1007,0)</f>
        <v>0</v>
      </c>
    </row>
    <row r="240" ht="15.75" customHeight="1">
      <c r="A240" s="46" t="str">
        <f t="shared" si="1"/>
        <v/>
      </c>
      <c r="B240" s="40" t="str">
        <f>IF(Bids!$A239="","",Bids!$A239)</f>
        <v/>
      </c>
      <c r="C240" s="40" t="str">
        <f>IF(Bids!$B239="","",Bids!$B239)</f>
        <v/>
      </c>
      <c r="D240" s="40" t="str">
        <f>IF($C240="","",IFERROR(VLOOKUP($C240,Orders!$A$4:$J$998,9,FALSE),""))</f>
        <v/>
      </c>
      <c r="E240" s="40" t="str">
        <f>IF($C240="","",IFERROR(VLOOKUP($C240,Orders!$A$4:$J$998,3,FALSE),""))</f>
        <v/>
      </c>
      <c r="F240" s="40">
        <f t="shared" si="2"/>
        <v>1</v>
      </c>
      <c r="G240" s="40" t="str">
        <f>IF($C240="","",IFERROR(VLOOKUP($C240,Orders!$A$4:$J$998,4,FALSE),""))</f>
        <v/>
      </c>
      <c r="H240" s="40" t="str">
        <f>IF($C240="","",IFERROR(VLOOKUP($C240,Orders!$A$4:$J$998,5,FALSE),""))</f>
        <v/>
      </c>
      <c r="I240" s="40" t="str">
        <f>IF($C240="","",IFERROR(VLOOKUP($C240,Orders!$A$4:$J$998,6,FALSE),""))</f>
        <v/>
      </c>
      <c r="J240" s="40" t="str">
        <f>IF($C240="","",IFERROR(VLOOKUP($C240,Orders!$A$4:$J$998,7,FALSE),""))</f>
        <v/>
      </c>
      <c r="K240" s="40" t="str">
        <f>IF(Bids!$C239="","",Bids!$C239)</f>
        <v/>
      </c>
      <c r="L240" s="40" t="str">
        <f>IF($K240="","",IFERROR(VLOOKUP($K240,Grinders!$A$4:$N$998,2,FALSE),""))</f>
        <v/>
      </c>
      <c r="M240" s="40" t="str">
        <f>IF($K240="","",IFERROR(VLOOKUP($K240,Grinders!$A$4:$N$998,3,FALSE),""))</f>
        <v/>
      </c>
      <c r="N240" s="40" t="str">
        <f>IF($K240="","",IFERROR(VLOOKUP($K240,Grinders!$A$4:$N$998,4,FALSE),""))</f>
        <v/>
      </c>
      <c r="O240" s="40" t="str">
        <f>IF($K240="","",IFERROR(VLOOKUP($K240,Grinders!$A$4:$N$998,5,FALSE),""))</f>
        <v/>
      </c>
      <c r="P240" s="40" t="str">
        <f>IF($K240="","",IF($C$4="",0,COUNTIFS(Assignments!$B$6:$B$1000,$K240,Assignments!$F$6:$F$1000,$C$4,Assignments!$E$6:$E$1000,"Active")))</f>
        <v/>
      </c>
      <c r="Q240" s="40" t="str">
        <f t="shared" si="3"/>
        <v/>
      </c>
      <c r="R240" s="40" t="str">
        <f t="shared" si="4"/>
        <v/>
      </c>
      <c r="S240" s="40" t="str">
        <f>IF($K240="","",IF($C$4="",0,COUNTIFS(Assignments!$B$6:$B$1000,$K240,Assignments!$F$6:$F$1000,$C$4,Assignments!$D$6:$D$1000,"&gt;="&amp;Config!$B$3-7,Assignments!$D$6:$D$1000,"&lt;="&amp;Config!$B$3)))</f>
        <v/>
      </c>
      <c r="T240" s="40" t="str">
        <f>IF($K240="","",IFERROR(VLOOKUP($K240,Grinders!$A$4:$N$998,8,FALSE),""))</f>
        <v/>
      </c>
      <c r="U240" s="40" t="str">
        <f>IFERROR(IF($K240="","",IF($M240="Elite",MAX(50,MIN(100,Config!$B$27*MAX(0,MIN(100,(1-IF($R240="",0,$R240))*100)) + Config!$B$28*MAX(0,MIN(100,(1-MIN(1,IF(Config!$B$30=0,1,$S240/Config!$B$30)))*100)) + Config!$B$29*MAX(0,MIN(100,MIN(1,IF($T240="",0,$T240)/Config!$B$23)*100)))),MIN(100,Config!$B$27*MAX(0,MIN(100,(1-IF($R240="",0,$R240))*100)) + Config!$B$28*MAX(0,MIN(100,(1-MIN(1,IF(Config!$B$30=0,1,$S240/Config!$B$30)))*100)) + Config!$B$29*MAX(0,MIN(100,MIN(1,IF($T240="",0,$T240)/Config!$B$23)*100))))),"")
</f>
        <v/>
      </c>
      <c r="V240" s="40" t="str">
        <f>IF(Bids!$AC240="","",Bids!$AC240)</f>
        <v/>
      </c>
      <c r="W240" s="40" t="str">
        <f>IF(Bids!$F239="","",Bids!$F239)</f>
        <v/>
      </c>
      <c r="X240" s="40" t="str">
        <f t="shared" si="5"/>
        <v/>
      </c>
      <c r="Y240" s="40" t="str">
        <f>IF($X240="","",IF(Config!$B$17=Config!$B$16,IF($X240&gt;=Config!$B$17,100,0),MAX(0,MIN(100,($X240-Config!$B$16)/(Config!$B$17-Config!$B$16)*100))))</f>
        <v/>
      </c>
      <c r="Z240" s="40">
        <f>IF($M240="Elite",Config!$B$21,0)</f>
        <v>0</v>
      </c>
      <c r="AA240" s="40" t="str">
        <f>IFERROR(IF(OR($W240="",$H240=""),"",IF($W240&gt;$H240,
  MAX(0, 60-(($W240-$H240)*24/Config!$B$19)*60),
  MIN(100, 60+(($H240-$W240)*24/Config!$B$20)*40)
)),"")
</f>
        <v/>
      </c>
      <c r="AB240" s="40" t="str">
        <f>IF($K240="","",IFERROR(VLOOKUP($K240,Grinders!$A$4:$N$998,10,FALSE)/5*100,""))</f>
        <v/>
      </c>
      <c r="AC240" s="40" t="str">
        <f>IF($K240="","",IFERROR(VLOOKUP($K240,Grinders!$A$4:$N$998,11,FALSE)*100,""))</f>
        <v/>
      </c>
      <c r="AD240" s="40" t="str">
        <f>IF($K240="","",IFERROR(VLOOKUP($K240,Grinders!$A$4:$N$998,12,FALSE)*100,""))</f>
        <v/>
      </c>
      <c r="AE240" s="40" t="str">
        <f>IF(OR(AO240=1,AP240=1),0,=IFERROR(IFS(
    OR($C240="", $K240=""), 0,
    $F240=0, 0,
    $D240&lt;&gt;"Open", 0,
    COUNTIFS(GrinderServices!$A$6:$A$1000, $K240, GrinderServices!$B$6:$B$1000, $E240, GrinderServices!$D$6:$D$1000, "Y")=0, 0,
    $X240&lt;Config!$B$16, 0,
    Config!$B$18=1, IF($O240&gt;=N240, 0, 1),
    TRUE, 1
), "")
)</f>
        <v>#ERROR!</v>
      </c>
      <c r="AF240" s="40" t="str">
        <f>IFERROR((IF(OR(AO240=1,AP240=1),"",=IFERROR((IFERROR(IF($AE240=0,"",((Config!$B$6*$Y240 + Config!$B$7*$U240 + Config!$B$8*$Z240 + Config!$B$9*$AA240 + Config!$B$10*$AB240 + Config!$B$11*$AC240 - Config!$B$12*$AD240)/Config!$B$13)+$AK240+$AL240),""))*(1-IFERROR(VLOOKUP(K240,Grinders!$A:$AB, 28, FALSE),0)),"")))*(1+AR240),"")</f>
        <v>#ERROR!</v>
      </c>
      <c r="AG240" s="40" t="str">
        <f t="shared" si="6"/>
        <v>#ERROR!</v>
      </c>
      <c r="AH240" s="40" t="str">
        <f t="shared" si="7"/>
        <v/>
      </c>
      <c r="AI240" s="40" t="str">
        <f t="shared" si="8"/>
        <v/>
      </c>
      <c r="AJ240" s="40" t="str">
        <f>IF($K240="","",COUNTIF(Assignments!$B$6:$B$1000,$K240))</f>
        <v/>
      </c>
      <c r="AK240" s="40" t="str">
        <f>IF($K240="","",IF(AND($AJ240=0,$O240&lt;$N240),Config!$B$43,0))</f>
        <v/>
      </c>
      <c r="AL240" s="40" t="str">
        <f>IF($K240="","",IF(AND($M240="Elite",$G240&gt;=Config!$B$41,$O240&lt;$N240),Config!$B$42,0))</f>
        <v/>
      </c>
      <c r="AM240" s="22"/>
      <c r="AN240" s="39">
        <f>IFERROR(VLOOKUP(K240,Grinders!$A:$Q,28,FALSE),0)</f>
        <v>0</v>
      </c>
      <c r="AO240" s="39">
        <f>IF(Config!$B$1003&lt;&gt;"Y",0,IF(IFERROR(VLOOKUP(K240,Grinders!$A:$P,27,FALSE),0)&gt;=3,IF(OR(G240&gt;=Config!$B$1001,ISNUMBER(SEARCH(E240,Config!$B$1002))),1,0),0))</f>
        <v>0</v>
      </c>
      <c r="AP240" s="39">
        <f t="array" ref="AP240">IFERROR(IF(INDEX(Bids!$AE:$AE,MATCH(B240,Bids!$A:$A,0))="Pending",1,0),0)</f>
        <v>0</v>
      </c>
      <c r="AQ240" s="39" t="str">
        <f t="array" ref="AQ240">IF(C240="","",IFERROR(XLOOKUP(C240,Assignments!$C:$C,Assignments!$AU:$AU,0),0))</f>
        <v/>
      </c>
      <c r="AR240" s="39">
        <f>IF(AND(Config!$B$1006="Y",AQ240=1),Config!$B$1007,0)</f>
        <v>0</v>
      </c>
    </row>
    <row r="241" ht="15.75" customHeight="1">
      <c r="A241" s="46" t="str">
        <f t="shared" si="1"/>
        <v/>
      </c>
      <c r="B241" s="40" t="str">
        <f>IF(Bids!$A240="","",Bids!$A240)</f>
        <v/>
      </c>
      <c r="C241" s="40" t="str">
        <f>IF(Bids!$B240="","",Bids!$B240)</f>
        <v/>
      </c>
      <c r="D241" s="40" t="str">
        <f>IF($C241="","",IFERROR(VLOOKUP($C241,Orders!$A$4:$J$998,9,FALSE),""))</f>
        <v/>
      </c>
      <c r="E241" s="40" t="str">
        <f>IF($C241="","",IFERROR(VLOOKUP($C241,Orders!$A$4:$J$998,3,FALSE),""))</f>
        <v/>
      </c>
      <c r="F241" s="40">
        <f t="shared" si="2"/>
        <v>1</v>
      </c>
      <c r="G241" s="40" t="str">
        <f>IF($C241="","",IFERROR(VLOOKUP($C241,Orders!$A$4:$J$998,4,FALSE),""))</f>
        <v/>
      </c>
      <c r="H241" s="40" t="str">
        <f>IF($C241="","",IFERROR(VLOOKUP($C241,Orders!$A$4:$J$998,5,FALSE),""))</f>
        <v/>
      </c>
      <c r="I241" s="40" t="str">
        <f>IF($C241="","",IFERROR(VLOOKUP($C241,Orders!$A$4:$J$998,6,FALSE),""))</f>
        <v/>
      </c>
      <c r="J241" s="40" t="str">
        <f>IF($C241="","",IFERROR(VLOOKUP($C241,Orders!$A$4:$J$998,7,FALSE),""))</f>
        <v/>
      </c>
      <c r="K241" s="40" t="str">
        <f>IF(Bids!$C240="","",Bids!$C240)</f>
        <v/>
      </c>
      <c r="L241" s="40" t="str">
        <f>IF($K241="","",IFERROR(VLOOKUP($K241,Grinders!$A$4:$N$998,2,FALSE),""))</f>
        <v/>
      </c>
      <c r="M241" s="40" t="str">
        <f>IF($K241="","",IFERROR(VLOOKUP($K241,Grinders!$A$4:$N$998,3,FALSE),""))</f>
        <v/>
      </c>
      <c r="N241" s="40" t="str">
        <f>IF($K241="","",IFERROR(VLOOKUP($K241,Grinders!$A$4:$N$998,4,FALSE),""))</f>
        <v/>
      </c>
      <c r="O241" s="40" t="str">
        <f>IF($K241="","",IFERROR(VLOOKUP($K241,Grinders!$A$4:$N$998,5,FALSE),""))</f>
        <v/>
      </c>
      <c r="P241" s="40" t="str">
        <f>IF($K241="","",IF($C$4="",0,COUNTIFS(Assignments!$B$6:$B$1000,$K241,Assignments!$F$6:$F$1000,$C$4,Assignments!$E$6:$E$1000,"Active")))</f>
        <v/>
      </c>
      <c r="Q241" s="40" t="str">
        <f t="shared" si="3"/>
        <v/>
      </c>
      <c r="R241" s="40" t="str">
        <f t="shared" si="4"/>
        <v/>
      </c>
      <c r="S241" s="40" t="str">
        <f>IF($K241="","",IF($C$4="",0,COUNTIFS(Assignments!$B$6:$B$1000,$K241,Assignments!$F$6:$F$1000,$C$4,Assignments!$D$6:$D$1000,"&gt;="&amp;Config!$B$3-7,Assignments!$D$6:$D$1000,"&lt;="&amp;Config!$B$3)))</f>
        <v/>
      </c>
      <c r="T241" s="40" t="str">
        <f>IF($K241="","",IFERROR(VLOOKUP($K241,Grinders!$A$4:$N$998,8,FALSE),""))</f>
        <v/>
      </c>
      <c r="U241" s="40" t="str">
        <f>IFERROR(IF($K241="","",IF($M241="Elite",MAX(50,MIN(100,Config!$B$27*MAX(0,MIN(100,(1-IF($R241="",0,$R241))*100)) + Config!$B$28*MAX(0,MIN(100,(1-MIN(1,IF(Config!$B$30=0,1,$S241/Config!$B$30)))*100)) + Config!$B$29*MAX(0,MIN(100,MIN(1,IF($T241="",0,$T241)/Config!$B$23)*100)))),MIN(100,Config!$B$27*MAX(0,MIN(100,(1-IF($R241="",0,$R241))*100)) + Config!$B$28*MAX(0,MIN(100,(1-MIN(1,IF(Config!$B$30=0,1,$S241/Config!$B$30)))*100)) + Config!$B$29*MAX(0,MIN(100,MIN(1,IF($T241="",0,$T241)/Config!$B$23)*100))))),"")
</f>
        <v/>
      </c>
      <c r="V241" s="40" t="str">
        <f>IF(Bids!$AC241="","",Bids!$AC241)</f>
        <v/>
      </c>
      <c r="W241" s="40" t="str">
        <f>IF(Bids!$F240="","",Bids!$F240)</f>
        <v/>
      </c>
      <c r="X241" s="40" t="str">
        <f t="shared" si="5"/>
        <v/>
      </c>
      <c r="Y241" s="40" t="str">
        <f>IF($X241="","",IF(Config!$B$17=Config!$B$16,IF($X241&gt;=Config!$B$17,100,0),MAX(0,MIN(100,($X241-Config!$B$16)/(Config!$B$17-Config!$B$16)*100))))</f>
        <v/>
      </c>
      <c r="Z241" s="40">
        <f>IF($M241="Elite",Config!$B$21,0)</f>
        <v>0</v>
      </c>
      <c r="AA241" s="40" t="str">
        <f>IFERROR(IF(OR($W241="",$H241=""),"",IF($W241&gt;$H241,
  MAX(0, 60-(($W241-$H241)*24/Config!$B$19)*60),
  MIN(100, 60+(($H241-$W241)*24/Config!$B$20)*40)
)),"")
</f>
        <v/>
      </c>
      <c r="AB241" s="40" t="str">
        <f>IF($K241="","",IFERROR(VLOOKUP($K241,Grinders!$A$4:$N$998,10,FALSE)/5*100,""))</f>
        <v/>
      </c>
      <c r="AC241" s="40" t="str">
        <f>IF($K241="","",IFERROR(VLOOKUP($K241,Grinders!$A$4:$N$998,11,FALSE)*100,""))</f>
        <v/>
      </c>
      <c r="AD241" s="40" t="str">
        <f>IF($K241="","",IFERROR(VLOOKUP($K241,Grinders!$A$4:$N$998,12,FALSE)*100,""))</f>
        <v/>
      </c>
      <c r="AE241" s="40" t="str">
        <f>IF(OR(AO241=1,AP241=1),0,=IFERROR(IFS(
    OR($C241="", $K241=""), 0,
    $F241=0, 0,
    $D241&lt;&gt;"Open", 0,
    COUNTIFS(GrinderServices!$A$6:$A$1000, $K241, GrinderServices!$B$6:$B$1000, $E241, GrinderServices!$D$6:$D$1000, "Y")=0, 0,
    $X241&lt;Config!$B$16, 0,
    Config!$B$18=1, IF($O241&gt;=N241, 0, 1),
    TRUE, 1
), "")
)</f>
        <v>#ERROR!</v>
      </c>
      <c r="AF241" s="40" t="str">
        <f>IFERROR((IF(OR(AO241=1,AP241=1),"",=IFERROR((IFERROR(IF($AE241=0,"",((Config!$B$6*$Y241 + Config!$B$7*$U241 + Config!$B$8*$Z241 + Config!$B$9*$AA241 + Config!$B$10*$AB241 + Config!$B$11*$AC241 - Config!$B$12*$AD241)/Config!$B$13)+$AK241+$AL241),""))*(1-IFERROR(VLOOKUP(K241,Grinders!$A:$AB, 28, FALSE),0)),"")))*(1+AR241),"")</f>
        <v>#ERROR!</v>
      </c>
      <c r="AG241" s="40" t="str">
        <f t="shared" si="6"/>
        <v>#ERROR!</v>
      </c>
      <c r="AH241" s="40" t="str">
        <f t="shared" si="7"/>
        <v/>
      </c>
      <c r="AI241" s="40" t="str">
        <f t="shared" si="8"/>
        <v/>
      </c>
      <c r="AJ241" s="40" t="str">
        <f>IF($K241="","",COUNTIF(Assignments!$B$6:$B$1000,$K241))</f>
        <v/>
      </c>
      <c r="AK241" s="40" t="str">
        <f>IF($K241="","",IF(AND($AJ241=0,$O241&lt;$N241),Config!$B$43,0))</f>
        <v/>
      </c>
      <c r="AL241" s="40" t="str">
        <f>IF($K241="","",IF(AND($M241="Elite",$G241&gt;=Config!$B$41,$O241&lt;$N241),Config!$B$42,0))</f>
        <v/>
      </c>
      <c r="AM241" s="22"/>
      <c r="AN241" s="39">
        <f>IFERROR(VLOOKUP(K241,Grinders!$A:$Q,28,FALSE),0)</f>
        <v>0</v>
      </c>
      <c r="AO241" s="39">
        <f>IF(Config!$B$1003&lt;&gt;"Y",0,IF(IFERROR(VLOOKUP(K241,Grinders!$A:$P,27,FALSE),0)&gt;=3,IF(OR(G241&gt;=Config!$B$1001,ISNUMBER(SEARCH(E241,Config!$B$1002))),1,0),0))</f>
        <v>0</v>
      </c>
      <c r="AP241" s="39">
        <f t="array" ref="AP241">IFERROR(IF(INDEX(Bids!$AE:$AE,MATCH(B241,Bids!$A:$A,0))="Pending",1,0),0)</f>
        <v>0</v>
      </c>
      <c r="AQ241" s="39" t="str">
        <f t="array" ref="AQ241">IF(C241="","",IFERROR(XLOOKUP(C241,Assignments!$C:$C,Assignments!$AU:$AU,0),0))</f>
        <v/>
      </c>
      <c r="AR241" s="39">
        <f>IF(AND(Config!$B$1006="Y",AQ241=1),Config!$B$1007,0)</f>
        <v>0</v>
      </c>
    </row>
    <row r="242" ht="15.75" customHeight="1">
      <c r="A242" s="46" t="str">
        <f t="shared" si="1"/>
        <v/>
      </c>
      <c r="B242" s="40" t="str">
        <f>IF(Bids!$A241="","",Bids!$A241)</f>
        <v/>
      </c>
      <c r="C242" s="40" t="str">
        <f>IF(Bids!$B241="","",Bids!$B241)</f>
        <v/>
      </c>
      <c r="D242" s="40" t="str">
        <f>IF($C242="","",IFERROR(VLOOKUP($C242,Orders!$A$4:$J$998,9,FALSE),""))</f>
        <v/>
      </c>
      <c r="E242" s="40" t="str">
        <f>IF($C242="","",IFERROR(VLOOKUP($C242,Orders!$A$4:$J$998,3,FALSE),""))</f>
        <v/>
      </c>
      <c r="F242" s="40">
        <f t="shared" si="2"/>
        <v>1</v>
      </c>
      <c r="G242" s="40" t="str">
        <f>IF($C242="","",IFERROR(VLOOKUP($C242,Orders!$A$4:$J$998,4,FALSE),""))</f>
        <v/>
      </c>
      <c r="H242" s="40" t="str">
        <f>IF($C242="","",IFERROR(VLOOKUP($C242,Orders!$A$4:$J$998,5,FALSE),""))</f>
        <v/>
      </c>
      <c r="I242" s="40" t="str">
        <f>IF($C242="","",IFERROR(VLOOKUP($C242,Orders!$A$4:$J$998,6,FALSE),""))</f>
        <v/>
      </c>
      <c r="J242" s="40" t="str">
        <f>IF($C242="","",IFERROR(VLOOKUP($C242,Orders!$A$4:$J$998,7,FALSE),""))</f>
        <v/>
      </c>
      <c r="K242" s="40" t="str">
        <f>IF(Bids!$C241="","",Bids!$C241)</f>
        <v/>
      </c>
      <c r="L242" s="40" t="str">
        <f>IF($K242="","",IFERROR(VLOOKUP($K242,Grinders!$A$4:$N$998,2,FALSE),""))</f>
        <v/>
      </c>
      <c r="M242" s="40" t="str">
        <f>IF($K242="","",IFERROR(VLOOKUP($K242,Grinders!$A$4:$N$998,3,FALSE),""))</f>
        <v/>
      </c>
      <c r="N242" s="40" t="str">
        <f>IF($K242="","",IFERROR(VLOOKUP($K242,Grinders!$A$4:$N$998,4,FALSE),""))</f>
        <v/>
      </c>
      <c r="O242" s="40" t="str">
        <f>IF($K242="","",IFERROR(VLOOKUP($K242,Grinders!$A$4:$N$998,5,FALSE),""))</f>
        <v/>
      </c>
      <c r="P242" s="40" t="str">
        <f>IF($K242="","",IF($C$4="",0,COUNTIFS(Assignments!$B$6:$B$1000,$K242,Assignments!$F$6:$F$1000,$C$4,Assignments!$E$6:$E$1000,"Active")))</f>
        <v/>
      </c>
      <c r="Q242" s="40" t="str">
        <f t="shared" si="3"/>
        <v/>
      </c>
      <c r="R242" s="40" t="str">
        <f t="shared" si="4"/>
        <v/>
      </c>
      <c r="S242" s="40" t="str">
        <f>IF($K242="","",IF($C$4="",0,COUNTIFS(Assignments!$B$6:$B$1000,$K242,Assignments!$F$6:$F$1000,$C$4,Assignments!$D$6:$D$1000,"&gt;="&amp;Config!$B$3-7,Assignments!$D$6:$D$1000,"&lt;="&amp;Config!$B$3)))</f>
        <v/>
      </c>
      <c r="T242" s="40" t="str">
        <f>IF($K242="","",IFERROR(VLOOKUP($K242,Grinders!$A$4:$N$998,8,FALSE),""))</f>
        <v/>
      </c>
      <c r="U242" s="40" t="str">
        <f>IFERROR(IF($K242="","",IF($M242="Elite",MAX(50,MIN(100,Config!$B$27*MAX(0,MIN(100,(1-IF($R242="",0,$R242))*100)) + Config!$B$28*MAX(0,MIN(100,(1-MIN(1,IF(Config!$B$30=0,1,$S242/Config!$B$30)))*100)) + Config!$B$29*MAX(0,MIN(100,MIN(1,IF($T242="",0,$T242)/Config!$B$23)*100)))),MIN(100,Config!$B$27*MAX(0,MIN(100,(1-IF($R242="",0,$R242))*100)) + Config!$B$28*MAX(0,MIN(100,(1-MIN(1,IF(Config!$B$30=0,1,$S242/Config!$B$30)))*100)) + Config!$B$29*MAX(0,MIN(100,MIN(1,IF($T242="",0,$T242)/Config!$B$23)*100))))),"")
</f>
        <v/>
      </c>
      <c r="V242" s="40" t="str">
        <f>IF(Bids!$AC242="","",Bids!$AC242)</f>
        <v/>
      </c>
      <c r="W242" s="40" t="str">
        <f>IF(Bids!$F241="","",Bids!$F241)</f>
        <v/>
      </c>
      <c r="X242" s="40" t="str">
        <f t="shared" si="5"/>
        <v/>
      </c>
      <c r="Y242" s="40" t="str">
        <f>IF($X242="","",IF(Config!$B$17=Config!$B$16,IF($X242&gt;=Config!$B$17,100,0),MAX(0,MIN(100,($X242-Config!$B$16)/(Config!$B$17-Config!$B$16)*100))))</f>
        <v/>
      </c>
      <c r="Z242" s="40">
        <f>IF($M242="Elite",Config!$B$21,0)</f>
        <v>0</v>
      </c>
      <c r="AA242" s="40" t="str">
        <f>IFERROR(IF(OR($W242="",$H242=""),"",IF($W242&gt;$H242,
  MAX(0, 60-(($W242-$H242)*24/Config!$B$19)*60),
  MIN(100, 60+(($H242-$W242)*24/Config!$B$20)*40)
)),"")
</f>
        <v/>
      </c>
      <c r="AB242" s="40" t="str">
        <f>IF($K242="","",IFERROR(VLOOKUP($K242,Grinders!$A$4:$N$998,10,FALSE)/5*100,""))</f>
        <v/>
      </c>
      <c r="AC242" s="40" t="str">
        <f>IF($K242="","",IFERROR(VLOOKUP($K242,Grinders!$A$4:$N$998,11,FALSE)*100,""))</f>
        <v/>
      </c>
      <c r="AD242" s="40" t="str">
        <f>IF($K242="","",IFERROR(VLOOKUP($K242,Grinders!$A$4:$N$998,12,FALSE)*100,""))</f>
        <v/>
      </c>
      <c r="AE242" s="40" t="str">
        <f>IF(OR(AO242=1,AP242=1),0,=IFERROR(IFS(
    OR($C242="", $K242=""), 0,
    $F242=0, 0,
    $D242&lt;&gt;"Open", 0,
    COUNTIFS(GrinderServices!$A$6:$A$1000, $K242, GrinderServices!$B$6:$B$1000, $E242, GrinderServices!$D$6:$D$1000, "Y")=0, 0,
    $X242&lt;Config!$B$16, 0,
    Config!$B$18=1, IF($O242&gt;=N242, 0, 1),
    TRUE, 1
), "")
)</f>
        <v>#ERROR!</v>
      </c>
      <c r="AF242" s="40" t="str">
        <f>IFERROR((IF(OR(AO242=1,AP242=1),"",=IFERROR((IFERROR(IF($AE242=0,"",((Config!$B$6*$Y242 + Config!$B$7*$U242 + Config!$B$8*$Z242 + Config!$B$9*$AA242 + Config!$B$10*$AB242 + Config!$B$11*$AC242 - Config!$B$12*$AD242)/Config!$B$13)+$AK242+$AL242),""))*(1-IFERROR(VLOOKUP(K242,Grinders!$A:$AB, 28, FALSE),0)),"")))*(1+AR242),"")</f>
        <v>#ERROR!</v>
      </c>
      <c r="AG242" s="40" t="str">
        <f t="shared" si="6"/>
        <v>#ERROR!</v>
      </c>
      <c r="AH242" s="40" t="str">
        <f t="shared" si="7"/>
        <v/>
      </c>
      <c r="AI242" s="40" t="str">
        <f t="shared" si="8"/>
        <v/>
      </c>
      <c r="AJ242" s="40" t="str">
        <f>IF($K242="","",COUNTIF(Assignments!$B$6:$B$1000,$K242))</f>
        <v/>
      </c>
      <c r="AK242" s="40" t="str">
        <f>IF($K242="","",IF(AND($AJ242=0,$O242&lt;$N242),Config!$B$43,0))</f>
        <v/>
      </c>
      <c r="AL242" s="40" t="str">
        <f>IF($K242="","",IF(AND($M242="Elite",$G242&gt;=Config!$B$41,$O242&lt;$N242),Config!$B$42,0))</f>
        <v/>
      </c>
      <c r="AM242" s="22"/>
      <c r="AN242" s="39">
        <f>IFERROR(VLOOKUP(K242,Grinders!$A:$Q,28,FALSE),0)</f>
        <v>0</v>
      </c>
      <c r="AO242" s="39">
        <f>IF(Config!$B$1003&lt;&gt;"Y",0,IF(IFERROR(VLOOKUP(K242,Grinders!$A:$P,27,FALSE),0)&gt;=3,IF(OR(G242&gt;=Config!$B$1001,ISNUMBER(SEARCH(E242,Config!$B$1002))),1,0),0))</f>
        <v>0</v>
      </c>
      <c r="AP242" s="39">
        <f t="array" ref="AP242">IFERROR(IF(INDEX(Bids!$AE:$AE,MATCH(B242,Bids!$A:$A,0))="Pending",1,0),0)</f>
        <v>0</v>
      </c>
      <c r="AQ242" s="39" t="str">
        <f t="array" ref="AQ242">IF(C242="","",IFERROR(XLOOKUP(C242,Assignments!$C:$C,Assignments!$AU:$AU,0),0))</f>
        <v/>
      </c>
      <c r="AR242" s="39">
        <f>IF(AND(Config!$B$1006="Y",AQ242=1),Config!$B$1007,0)</f>
        <v>0</v>
      </c>
    </row>
    <row r="243" ht="15.75" customHeight="1">
      <c r="A243" s="46" t="str">
        <f t="shared" si="1"/>
        <v/>
      </c>
      <c r="B243" s="40" t="str">
        <f>IF(Bids!$A242="","",Bids!$A242)</f>
        <v/>
      </c>
      <c r="C243" s="40" t="str">
        <f>IF(Bids!$B242="","",Bids!$B242)</f>
        <v/>
      </c>
      <c r="D243" s="40" t="str">
        <f>IF($C243="","",IFERROR(VLOOKUP($C243,Orders!$A$4:$J$998,9,FALSE),""))</f>
        <v/>
      </c>
      <c r="E243" s="40" t="str">
        <f>IF($C243="","",IFERROR(VLOOKUP($C243,Orders!$A$4:$J$998,3,FALSE),""))</f>
        <v/>
      </c>
      <c r="F243" s="40">
        <f t="shared" si="2"/>
        <v>1</v>
      </c>
      <c r="G243" s="40" t="str">
        <f>IF($C243="","",IFERROR(VLOOKUP($C243,Orders!$A$4:$J$998,4,FALSE),""))</f>
        <v/>
      </c>
      <c r="H243" s="40" t="str">
        <f>IF($C243="","",IFERROR(VLOOKUP($C243,Orders!$A$4:$J$998,5,FALSE),""))</f>
        <v/>
      </c>
      <c r="I243" s="40" t="str">
        <f>IF($C243="","",IFERROR(VLOOKUP($C243,Orders!$A$4:$J$998,6,FALSE),""))</f>
        <v/>
      </c>
      <c r="J243" s="40" t="str">
        <f>IF($C243="","",IFERROR(VLOOKUP($C243,Orders!$A$4:$J$998,7,FALSE),""))</f>
        <v/>
      </c>
      <c r="K243" s="40" t="str">
        <f>IF(Bids!$C242="","",Bids!$C242)</f>
        <v/>
      </c>
      <c r="L243" s="40" t="str">
        <f>IF($K243="","",IFERROR(VLOOKUP($K243,Grinders!$A$4:$N$998,2,FALSE),""))</f>
        <v/>
      </c>
      <c r="M243" s="40" t="str">
        <f>IF($K243="","",IFERROR(VLOOKUP($K243,Grinders!$A$4:$N$998,3,FALSE),""))</f>
        <v/>
      </c>
      <c r="N243" s="40" t="str">
        <f>IF($K243="","",IFERROR(VLOOKUP($K243,Grinders!$A$4:$N$998,4,FALSE),""))</f>
        <v/>
      </c>
      <c r="O243" s="40" t="str">
        <f>IF($K243="","",IFERROR(VLOOKUP($K243,Grinders!$A$4:$N$998,5,FALSE),""))</f>
        <v/>
      </c>
      <c r="P243" s="40" t="str">
        <f>IF($K243="","",IF($C$4="",0,COUNTIFS(Assignments!$B$6:$B$1000,$K243,Assignments!$F$6:$F$1000,$C$4,Assignments!$E$6:$E$1000,"Active")))</f>
        <v/>
      </c>
      <c r="Q243" s="40" t="str">
        <f t="shared" si="3"/>
        <v/>
      </c>
      <c r="R243" s="40" t="str">
        <f t="shared" si="4"/>
        <v/>
      </c>
      <c r="S243" s="40" t="str">
        <f>IF($K243="","",IF($C$4="",0,COUNTIFS(Assignments!$B$6:$B$1000,$K243,Assignments!$F$6:$F$1000,$C$4,Assignments!$D$6:$D$1000,"&gt;="&amp;Config!$B$3-7,Assignments!$D$6:$D$1000,"&lt;="&amp;Config!$B$3)))</f>
        <v/>
      </c>
      <c r="T243" s="40" t="str">
        <f>IF($K243="","",IFERROR(VLOOKUP($K243,Grinders!$A$4:$N$998,8,FALSE),""))</f>
        <v/>
      </c>
      <c r="U243" s="40" t="str">
        <f>IFERROR(IF($K243="","",IF($M243="Elite",MAX(50,MIN(100,Config!$B$27*MAX(0,MIN(100,(1-IF($R243="",0,$R243))*100)) + Config!$B$28*MAX(0,MIN(100,(1-MIN(1,IF(Config!$B$30=0,1,$S243/Config!$B$30)))*100)) + Config!$B$29*MAX(0,MIN(100,MIN(1,IF($T243="",0,$T243)/Config!$B$23)*100)))),MIN(100,Config!$B$27*MAX(0,MIN(100,(1-IF($R243="",0,$R243))*100)) + Config!$B$28*MAX(0,MIN(100,(1-MIN(1,IF(Config!$B$30=0,1,$S243/Config!$B$30)))*100)) + Config!$B$29*MAX(0,MIN(100,MIN(1,IF($T243="",0,$T243)/Config!$B$23)*100))))),"")
</f>
        <v/>
      </c>
      <c r="V243" s="40" t="str">
        <f>IF(Bids!$AC243="","",Bids!$AC243)</f>
        <v/>
      </c>
      <c r="W243" s="40" t="str">
        <f>IF(Bids!$F242="","",Bids!$F242)</f>
        <v/>
      </c>
      <c r="X243" s="40" t="str">
        <f t="shared" si="5"/>
        <v/>
      </c>
      <c r="Y243" s="40" t="str">
        <f>IF($X243="","",IF(Config!$B$17=Config!$B$16,IF($X243&gt;=Config!$B$17,100,0),MAX(0,MIN(100,($X243-Config!$B$16)/(Config!$B$17-Config!$B$16)*100))))</f>
        <v/>
      </c>
      <c r="Z243" s="40">
        <f>IF($M243="Elite",Config!$B$21,0)</f>
        <v>0</v>
      </c>
      <c r="AA243" s="40" t="str">
        <f>IFERROR(IF(OR($W243="",$H243=""),"",IF($W243&gt;$H243,
  MAX(0, 60-(($W243-$H243)*24/Config!$B$19)*60),
  MIN(100, 60+(($H243-$W243)*24/Config!$B$20)*40)
)),"")
</f>
        <v/>
      </c>
      <c r="AB243" s="40" t="str">
        <f>IF($K243="","",IFERROR(VLOOKUP($K243,Grinders!$A$4:$N$998,10,FALSE)/5*100,""))</f>
        <v/>
      </c>
      <c r="AC243" s="40" t="str">
        <f>IF($K243="","",IFERROR(VLOOKUP($K243,Grinders!$A$4:$N$998,11,FALSE)*100,""))</f>
        <v/>
      </c>
      <c r="AD243" s="40" t="str">
        <f>IF($K243="","",IFERROR(VLOOKUP($K243,Grinders!$A$4:$N$998,12,FALSE)*100,""))</f>
        <v/>
      </c>
      <c r="AE243" s="40" t="str">
        <f>IF(OR(AO243=1,AP243=1),0,=IFERROR(IFS(
    OR($C243="", $K243=""), 0,
    $F243=0, 0,
    $D243&lt;&gt;"Open", 0,
    COUNTIFS(GrinderServices!$A$6:$A$1000, $K243, GrinderServices!$B$6:$B$1000, $E243, GrinderServices!$D$6:$D$1000, "Y")=0, 0,
    $X243&lt;Config!$B$16, 0,
    Config!$B$18=1, IF($O243&gt;=N243, 0, 1),
    TRUE, 1
), "")
)</f>
        <v>#ERROR!</v>
      </c>
      <c r="AF243" s="40" t="str">
        <f>IFERROR((IF(OR(AO243=1,AP243=1),"",=IFERROR((IFERROR(IF($AE243=0,"",((Config!$B$6*$Y243 + Config!$B$7*$U243 + Config!$B$8*$Z243 + Config!$B$9*$AA243 + Config!$B$10*$AB243 + Config!$B$11*$AC243 - Config!$B$12*$AD243)/Config!$B$13)+$AK243+$AL243),""))*(1-IFERROR(VLOOKUP(K243,Grinders!$A:$AB, 28, FALSE),0)),"")))*(1+AR243),"")</f>
        <v>#ERROR!</v>
      </c>
      <c r="AG243" s="40" t="str">
        <f t="shared" si="6"/>
        <v>#ERROR!</v>
      </c>
      <c r="AH243" s="40" t="str">
        <f t="shared" si="7"/>
        <v/>
      </c>
      <c r="AI243" s="40" t="str">
        <f t="shared" si="8"/>
        <v/>
      </c>
      <c r="AJ243" s="40" t="str">
        <f>IF($K243="","",COUNTIF(Assignments!$B$6:$B$1000,$K243))</f>
        <v/>
      </c>
      <c r="AK243" s="40" t="str">
        <f>IF($K243="","",IF(AND($AJ243=0,$O243&lt;$N243),Config!$B$43,0))</f>
        <v/>
      </c>
      <c r="AL243" s="40" t="str">
        <f>IF($K243="","",IF(AND($M243="Elite",$G243&gt;=Config!$B$41,$O243&lt;$N243),Config!$B$42,0))</f>
        <v/>
      </c>
      <c r="AM243" s="22"/>
      <c r="AN243" s="39">
        <f>IFERROR(VLOOKUP(K243,Grinders!$A:$Q,28,FALSE),0)</f>
        <v>0</v>
      </c>
      <c r="AO243" s="39">
        <f>IF(Config!$B$1003&lt;&gt;"Y",0,IF(IFERROR(VLOOKUP(K243,Grinders!$A:$P,27,FALSE),0)&gt;=3,IF(OR(G243&gt;=Config!$B$1001,ISNUMBER(SEARCH(E243,Config!$B$1002))),1,0),0))</f>
        <v>0</v>
      </c>
      <c r="AP243" s="39">
        <f t="array" ref="AP243">IFERROR(IF(INDEX(Bids!$AE:$AE,MATCH(B243,Bids!$A:$A,0))="Pending",1,0),0)</f>
        <v>0</v>
      </c>
      <c r="AQ243" s="39" t="str">
        <f t="array" ref="AQ243">IF(C243="","",IFERROR(XLOOKUP(C243,Assignments!$C:$C,Assignments!$AU:$AU,0),0))</f>
        <v/>
      </c>
      <c r="AR243" s="39">
        <f>IF(AND(Config!$B$1006="Y",AQ243=1),Config!$B$1007,0)</f>
        <v>0</v>
      </c>
    </row>
    <row r="244" ht="15.75" customHeight="1">
      <c r="A244" s="46" t="str">
        <f t="shared" si="1"/>
        <v/>
      </c>
      <c r="B244" s="40" t="str">
        <f>IF(Bids!$A243="","",Bids!$A243)</f>
        <v/>
      </c>
      <c r="C244" s="40" t="str">
        <f>IF(Bids!$B243="","",Bids!$B243)</f>
        <v/>
      </c>
      <c r="D244" s="40" t="str">
        <f>IF($C244="","",IFERROR(VLOOKUP($C244,Orders!$A$4:$J$998,9,FALSE),""))</f>
        <v/>
      </c>
      <c r="E244" s="40" t="str">
        <f>IF($C244="","",IFERROR(VLOOKUP($C244,Orders!$A$4:$J$998,3,FALSE),""))</f>
        <v/>
      </c>
      <c r="F244" s="40">
        <f t="shared" si="2"/>
        <v>1</v>
      </c>
      <c r="G244" s="40" t="str">
        <f>IF($C244="","",IFERROR(VLOOKUP($C244,Orders!$A$4:$J$998,4,FALSE),""))</f>
        <v/>
      </c>
      <c r="H244" s="40" t="str">
        <f>IF($C244="","",IFERROR(VLOOKUP($C244,Orders!$A$4:$J$998,5,FALSE),""))</f>
        <v/>
      </c>
      <c r="I244" s="40" t="str">
        <f>IF($C244="","",IFERROR(VLOOKUP($C244,Orders!$A$4:$J$998,6,FALSE),""))</f>
        <v/>
      </c>
      <c r="J244" s="40" t="str">
        <f>IF($C244="","",IFERROR(VLOOKUP($C244,Orders!$A$4:$J$998,7,FALSE),""))</f>
        <v/>
      </c>
      <c r="K244" s="40" t="str">
        <f>IF(Bids!$C243="","",Bids!$C243)</f>
        <v/>
      </c>
      <c r="L244" s="40" t="str">
        <f>IF($K244="","",IFERROR(VLOOKUP($K244,Grinders!$A$4:$N$998,2,FALSE),""))</f>
        <v/>
      </c>
      <c r="M244" s="40" t="str">
        <f>IF($K244="","",IFERROR(VLOOKUP($K244,Grinders!$A$4:$N$998,3,FALSE),""))</f>
        <v/>
      </c>
      <c r="N244" s="40" t="str">
        <f>IF($K244="","",IFERROR(VLOOKUP($K244,Grinders!$A$4:$N$998,4,FALSE),""))</f>
        <v/>
      </c>
      <c r="O244" s="40" t="str">
        <f>IF($K244="","",IFERROR(VLOOKUP($K244,Grinders!$A$4:$N$998,5,FALSE),""))</f>
        <v/>
      </c>
      <c r="P244" s="40" t="str">
        <f>IF($K244="","",IF($C$4="",0,COUNTIFS(Assignments!$B$6:$B$1000,$K244,Assignments!$F$6:$F$1000,$C$4,Assignments!$E$6:$E$1000,"Active")))</f>
        <v/>
      </c>
      <c r="Q244" s="40" t="str">
        <f t="shared" si="3"/>
        <v/>
      </c>
      <c r="R244" s="40" t="str">
        <f t="shared" si="4"/>
        <v/>
      </c>
      <c r="S244" s="40" t="str">
        <f>IF($K244="","",IF($C$4="",0,COUNTIFS(Assignments!$B$6:$B$1000,$K244,Assignments!$F$6:$F$1000,$C$4,Assignments!$D$6:$D$1000,"&gt;="&amp;Config!$B$3-7,Assignments!$D$6:$D$1000,"&lt;="&amp;Config!$B$3)))</f>
        <v/>
      </c>
      <c r="T244" s="40" t="str">
        <f>IF($K244="","",IFERROR(VLOOKUP($K244,Grinders!$A$4:$N$998,8,FALSE),""))</f>
        <v/>
      </c>
      <c r="U244" s="40" t="str">
        <f>IFERROR(IF($K244="","",IF($M244="Elite",MAX(50,MIN(100,Config!$B$27*MAX(0,MIN(100,(1-IF($R244="",0,$R244))*100)) + Config!$B$28*MAX(0,MIN(100,(1-MIN(1,IF(Config!$B$30=0,1,$S244/Config!$B$30)))*100)) + Config!$B$29*MAX(0,MIN(100,MIN(1,IF($T244="",0,$T244)/Config!$B$23)*100)))),MIN(100,Config!$B$27*MAX(0,MIN(100,(1-IF($R244="",0,$R244))*100)) + Config!$B$28*MAX(0,MIN(100,(1-MIN(1,IF(Config!$B$30=0,1,$S244/Config!$B$30)))*100)) + Config!$B$29*MAX(0,MIN(100,MIN(1,IF($T244="",0,$T244)/Config!$B$23)*100))))),"")
</f>
        <v/>
      </c>
      <c r="V244" s="40" t="str">
        <f>IF(Bids!$AC244="","",Bids!$AC244)</f>
        <v/>
      </c>
      <c r="W244" s="40" t="str">
        <f>IF(Bids!$F243="","",Bids!$F243)</f>
        <v/>
      </c>
      <c r="X244" s="40" t="str">
        <f t="shared" si="5"/>
        <v/>
      </c>
      <c r="Y244" s="40" t="str">
        <f>IF($X244="","",IF(Config!$B$17=Config!$B$16,IF($X244&gt;=Config!$B$17,100,0),MAX(0,MIN(100,($X244-Config!$B$16)/(Config!$B$17-Config!$B$16)*100))))</f>
        <v/>
      </c>
      <c r="Z244" s="40">
        <f>IF($M244="Elite",Config!$B$21,0)</f>
        <v>0</v>
      </c>
      <c r="AA244" s="40" t="str">
        <f>IFERROR(IF(OR($W244="",$H244=""),"",IF($W244&gt;$H244,
  MAX(0, 60-(($W244-$H244)*24/Config!$B$19)*60),
  MIN(100, 60+(($H244-$W244)*24/Config!$B$20)*40)
)),"")
</f>
        <v/>
      </c>
      <c r="AB244" s="40" t="str">
        <f>IF($K244="","",IFERROR(VLOOKUP($K244,Grinders!$A$4:$N$998,10,FALSE)/5*100,""))</f>
        <v/>
      </c>
      <c r="AC244" s="40" t="str">
        <f>IF($K244="","",IFERROR(VLOOKUP($K244,Grinders!$A$4:$N$998,11,FALSE)*100,""))</f>
        <v/>
      </c>
      <c r="AD244" s="40" t="str">
        <f>IF($K244="","",IFERROR(VLOOKUP($K244,Grinders!$A$4:$N$998,12,FALSE)*100,""))</f>
        <v/>
      </c>
      <c r="AE244" s="40" t="str">
        <f>IF(OR(AO244=1,AP244=1),0,=IFERROR(IFS(
    OR($C244="", $K244=""), 0,
    $F244=0, 0,
    $D244&lt;&gt;"Open", 0,
    COUNTIFS(GrinderServices!$A$6:$A$1000, $K244, GrinderServices!$B$6:$B$1000, $E244, GrinderServices!$D$6:$D$1000, "Y")=0, 0,
    $X244&lt;Config!$B$16, 0,
    Config!$B$18=1, IF($O244&gt;=N244, 0, 1),
    TRUE, 1
), "")
)</f>
        <v>#ERROR!</v>
      </c>
      <c r="AF244" s="40" t="str">
        <f>IFERROR((IF(OR(AO244=1,AP244=1),"",=IFERROR((IFERROR(IF($AE244=0,"",((Config!$B$6*$Y244 + Config!$B$7*$U244 + Config!$B$8*$Z244 + Config!$B$9*$AA244 + Config!$B$10*$AB244 + Config!$B$11*$AC244 - Config!$B$12*$AD244)/Config!$B$13)+$AK244+$AL244),""))*(1-IFERROR(VLOOKUP(K244,Grinders!$A:$AB, 28, FALSE),0)),"")))*(1+AR244),"")</f>
        <v>#ERROR!</v>
      </c>
      <c r="AG244" s="40" t="str">
        <f t="shared" si="6"/>
        <v>#ERROR!</v>
      </c>
      <c r="AH244" s="40" t="str">
        <f t="shared" si="7"/>
        <v/>
      </c>
      <c r="AI244" s="40" t="str">
        <f t="shared" si="8"/>
        <v/>
      </c>
      <c r="AJ244" s="40" t="str">
        <f>IF($K244="","",COUNTIF(Assignments!$B$6:$B$1000,$K244))</f>
        <v/>
      </c>
      <c r="AK244" s="40" t="str">
        <f>IF($K244="","",IF(AND($AJ244=0,$O244&lt;$N244),Config!$B$43,0))</f>
        <v/>
      </c>
      <c r="AL244" s="40" t="str">
        <f>IF($K244="","",IF(AND($M244="Elite",$G244&gt;=Config!$B$41,$O244&lt;$N244),Config!$B$42,0))</f>
        <v/>
      </c>
      <c r="AM244" s="22"/>
      <c r="AN244" s="39">
        <f>IFERROR(VLOOKUP(K244,Grinders!$A:$Q,28,FALSE),0)</f>
        <v>0</v>
      </c>
      <c r="AO244" s="39">
        <f>IF(Config!$B$1003&lt;&gt;"Y",0,IF(IFERROR(VLOOKUP(K244,Grinders!$A:$P,27,FALSE),0)&gt;=3,IF(OR(G244&gt;=Config!$B$1001,ISNUMBER(SEARCH(E244,Config!$B$1002))),1,0),0))</f>
        <v>0</v>
      </c>
      <c r="AP244" s="39">
        <f t="array" ref="AP244">IFERROR(IF(INDEX(Bids!$AE:$AE,MATCH(B244,Bids!$A:$A,0))="Pending",1,0),0)</f>
        <v>0</v>
      </c>
      <c r="AQ244" s="39" t="str">
        <f t="array" ref="AQ244">IF(C244="","",IFERROR(XLOOKUP(C244,Assignments!$C:$C,Assignments!$AU:$AU,0),0))</f>
        <v/>
      </c>
      <c r="AR244" s="39">
        <f>IF(AND(Config!$B$1006="Y",AQ244=1),Config!$B$1007,0)</f>
        <v>0</v>
      </c>
    </row>
    <row r="245" ht="15.75" customHeight="1">
      <c r="A245" s="46" t="str">
        <f t="shared" si="1"/>
        <v/>
      </c>
      <c r="B245" s="40" t="str">
        <f>IF(Bids!$A244="","",Bids!$A244)</f>
        <v/>
      </c>
      <c r="C245" s="40" t="str">
        <f>IF(Bids!$B244="","",Bids!$B244)</f>
        <v/>
      </c>
      <c r="D245" s="40" t="str">
        <f>IF($C245="","",IFERROR(VLOOKUP($C245,Orders!$A$4:$J$998,9,FALSE),""))</f>
        <v/>
      </c>
      <c r="E245" s="40" t="str">
        <f>IF($C245="","",IFERROR(VLOOKUP($C245,Orders!$A$4:$J$998,3,FALSE),""))</f>
        <v/>
      </c>
      <c r="F245" s="40">
        <f t="shared" si="2"/>
        <v>1</v>
      </c>
      <c r="G245" s="40" t="str">
        <f>IF($C245="","",IFERROR(VLOOKUP($C245,Orders!$A$4:$J$998,4,FALSE),""))</f>
        <v/>
      </c>
      <c r="H245" s="40" t="str">
        <f>IF($C245="","",IFERROR(VLOOKUP($C245,Orders!$A$4:$J$998,5,FALSE),""))</f>
        <v/>
      </c>
      <c r="I245" s="40" t="str">
        <f>IF($C245="","",IFERROR(VLOOKUP($C245,Orders!$A$4:$J$998,6,FALSE),""))</f>
        <v/>
      </c>
      <c r="J245" s="40" t="str">
        <f>IF($C245="","",IFERROR(VLOOKUP($C245,Orders!$A$4:$J$998,7,FALSE),""))</f>
        <v/>
      </c>
      <c r="K245" s="40" t="str">
        <f>IF(Bids!$C244="","",Bids!$C244)</f>
        <v/>
      </c>
      <c r="L245" s="40" t="str">
        <f>IF($K245="","",IFERROR(VLOOKUP($K245,Grinders!$A$4:$N$998,2,FALSE),""))</f>
        <v/>
      </c>
      <c r="M245" s="40" t="str">
        <f>IF($K245="","",IFERROR(VLOOKUP($K245,Grinders!$A$4:$N$998,3,FALSE),""))</f>
        <v/>
      </c>
      <c r="N245" s="40" t="str">
        <f>IF($K245="","",IFERROR(VLOOKUP($K245,Grinders!$A$4:$N$998,4,FALSE),""))</f>
        <v/>
      </c>
      <c r="O245" s="40" t="str">
        <f>IF($K245="","",IFERROR(VLOOKUP($K245,Grinders!$A$4:$N$998,5,FALSE),""))</f>
        <v/>
      </c>
      <c r="P245" s="40" t="str">
        <f>IF($K245="","",IF($C$4="",0,COUNTIFS(Assignments!$B$6:$B$1000,$K245,Assignments!$F$6:$F$1000,$C$4,Assignments!$E$6:$E$1000,"Active")))</f>
        <v/>
      </c>
      <c r="Q245" s="40" t="str">
        <f t="shared" si="3"/>
        <v/>
      </c>
      <c r="R245" s="40" t="str">
        <f t="shared" si="4"/>
        <v/>
      </c>
      <c r="S245" s="40" t="str">
        <f>IF($K245="","",IF($C$4="",0,COUNTIFS(Assignments!$B$6:$B$1000,$K245,Assignments!$F$6:$F$1000,$C$4,Assignments!$D$6:$D$1000,"&gt;="&amp;Config!$B$3-7,Assignments!$D$6:$D$1000,"&lt;="&amp;Config!$B$3)))</f>
        <v/>
      </c>
      <c r="T245" s="40" t="str">
        <f>IF($K245="","",IFERROR(VLOOKUP($K245,Grinders!$A$4:$N$998,8,FALSE),""))</f>
        <v/>
      </c>
      <c r="U245" s="40" t="str">
        <f>IFERROR(IF($K245="","",IF($M245="Elite",MAX(50,MIN(100,Config!$B$27*MAX(0,MIN(100,(1-IF($R245="",0,$R245))*100)) + Config!$B$28*MAX(0,MIN(100,(1-MIN(1,IF(Config!$B$30=0,1,$S245/Config!$B$30)))*100)) + Config!$B$29*MAX(0,MIN(100,MIN(1,IF($T245="",0,$T245)/Config!$B$23)*100)))),MIN(100,Config!$B$27*MAX(0,MIN(100,(1-IF($R245="",0,$R245))*100)) + Config!$B$28*MAX(0,MIN(100,(1-MIN(1,IF(Config!$B$30=0,1,$S245/Config!$B$30)))*100)) + Config!$B$29*MAX(0,MIN(100,MIN(1,IF($T245="",0,$T245)/Config!$B$23)*100))))),"")
</f>
        <v/>
      </c>
      <c r="V245" s="40" t="str">
        <f>IF(Bids!$AC245="","",Bids!$AC245)</f>
        <v/>
      </c>
      <c r="W245" s="40" t="str">
        <f>IF(Bids!$F244="","",Bids!$F244)</f>
        <v/>
      </c>
      <c r="X245" s="40" t="str">
        <f t="shared" si="5"/>
        <v/>
      </c>
      <c r="Y245" s="40" t="str">
        <f>IF($X245="","",IF(Config!$B$17=Config!$B$16,IF($X245&gt;=Config!$B$17,100,0),MAX(0,MIN(100,($X245-Config!$B$16)/(Config!$B$17-Config!$B$16)*100))))</f>
        <v/>
      </c>
      <c r="Z245" s="40">
        <f>IF($M245="Elite",Config!$B$21,0)</f>
        <v>0</v>
      </c>
      <c r="AA245" s="40" t="str">
        <f>IFERROR(IF(OR($W245="",$H245=""),"",IF($W245&gt;$H245,
  MAX(0, 60-(($W245-$H245)*24/Config!$B$19)*60),
  MIN(100, 60+(($H245-$W245)*24/Config!$B$20)*40)
)),"")
</f>
        <v/>
      </c>
      <c r="AB245" s="40" t="str">
        <f>IF($K245="","",IFERROR(VLOOKUP($K245,Grinders!$A$4:$N$998,10,FALSE)/5*100,""))</f>
        <v/>
      </c>
      <c r="AC245" s="40" t="str">
        <f>IF($K245="","",IFERROR(VLOOKUP($K245,Grinders!$A$4:$N$998,11,FALSE)*100,""))</f>
        <v/>
      </c>
      <c r="AD245" s="40" t="str">
        <f>IF($K245="","",IFERROR(VLOOKUP($K245,Grinders!$A$4:$N$998,12,FALSE)*100,""))</f>
        <v/>
      </c>
      <c r="AE245" s="40" t="str">
        <f>IF(OR(AO245=1,AP245=1),0,=IFERROR(IFS(
    OR($C245="", $K245=""), 0,
    $F245=0, 0,
    $D245&lt;&gt;"Open", 0,
    COUNTIFS(GrinderServices!$A$6:$A$1000, $K245, GrinderServices!$B$6:$B$1000, $E245, GrinderServices!$D$6:$D$1000, "Y")=0, 0,
    $X245&lt;Config!$B$16, 0,
    Config!$B$18=1, IF($O245&gt;=N245, 0, 1),
    TRUE, 1
), "")
)</f>
        <v>#ERROR!</v>
      </c>
      <c r="AF245" s="40" t="str">
        <f>IFERROR((IF(OR(AO245=1,AP245=1),"",=IFERROR((IFERROR(IF($AE245=0,"",((Config!$B$6*$Y245 + Config!$B$7*$U245 + Config!$B$8*$Z245 + Config!$B$9*$AA245 + Config!$B$10*$AB245 + Config!$B$11*$AC245 - Config!$B$12*$AD245)/Config!$B$13)+$AK245+$AL245),""))*(1-IFERROR(VLOOKUP(K245,Grinders!$A:$AB, 28, FALSE),0)),"")))*(1+AR245),"")</f>
        <v>#ERROR!</v>
      </c>
      <c r="AG245" s="40" t="str">
        <f t="shared" si="6"/>
        <v>#ERROR!</v>
      </c>
      <c r="AH245" s="40" t="str">
        <f t="shared" si="7"/>
        <v/>
      </c>
      <c r="AI245" s="40" t="str">
        <f t="shared" si="8"/>
        <v/>
      </c>
      <c r="AJ245" s="40" t="str">
        <f>IF($K245="","",COUNTIF(Assignments!$B$6:$B$1000,$K245))</f>
        <v/>
      </c>
      <c r="AK245" s="40" t="str">
        <f>IF($K245="","",IF(AND($AJ245=0,$O245&lt;$N245),Config!$B$43,0))</f>
        <v/>
      </c>
      <c r="AL245" s="40" t="str">
        <f>IF($K245="","",IF(AND($M245="Elite",$G245&gt;=Config!$B$41,$O245&lt;$N245),Config!$B$42,0))</f>
        <v/>
      </c>
      <c r="AM245" s="22"/>
      <c r="AN245" s="39">
        <f>IFERROR(VLOOKUP(K245,Grinders!$A:$Q,28,FALSE),0)</f>
        <v>0</v>
      </c>
      <c r="AO245" s="39">
        <f>IF(Config!$B$1003&lt;&gt;"Y",0,IF(IFERROR(VLOOKUP(K245,Grinders!$A:$P,27,FALSE),0)&gt;=3,IF(OR(G245&gt;=Config!$B$1001,ISNUMBER(SEARCH(E245,Config!$B$1002))),1,0),0))</f>
        <v>0</v>
      </c>
      <c r="AP245" s="39">
        <f t="array" ref="AP245">IFERROR(IF(INDEX(Bids!$AE:$AE,MATCH(B245,Bids!$A:$A,0))="Pending",1,0),0)</f>
        <v>0</v>
      </c>
      <c r="AQ245" s="39" t="str">
        <f t="array" ref="AQ245">IF(C245="","",IFERROR(XLOOKUP(C245,Assignments!$C:$C,Assignments!$AU:$AU,0),0))</f>
        <v/>
      </c>
      <c r="AR245" s="39">
        <f>IF(AND(Config!$B$1006="Y",AQ245=1),Config!$B$1007,0)</f>
        <v>0</v>
      </c>
    </row>
    <row r="246" ht="15.75" customHeight="1">
      <c r="A246" s="46" t="str">
        <f t="shared" si="1"/>
        <v/>
      </c>
      <c r="B246" s="40" t="str">
        <f>IF(Bids!$A245="","",Bids!$A245)</f>
        <v/>
      </c>
      <c r="C246" s="40" t="str">
        <f>IF(Bids!$B245="","",Bids!$B245)</f>
        <v/>
      </c>
      <c r="D246" s="40" t="str">
        <f>IF($C246="","",IFERROR(VLOOKUP($C246,Orders!$A$4:$J$998,9,FALSE),""))</f>
        <v/>
      </c>
      <c r="E246" s="40" t="str">
        <f>IF($C246="","",IFERROR(VLOOKUP($C246,Orders!$A$4:$J$998,3,FALSE),""))</f>
        <v/>
      </c>
      <c r="F246" s="40">
        <f t="shared" si="2"/>
        <v>1</v>
      </c>
      <c r="G246" s="40" t="str">
        <f>IF($C246="","",IFERROR(VLOOKUP($C246,Orders!$A$4:$J$998,4,FALSE),""))</f>
        <v/>
      </c>
      <c r="H246" s="40" t="str">
        <f>IF($C246="","",IFERROR(VLOOKUP($C246,Orders!$A$4:$J$998,5,FALSE),""))</f>
        <v/>
      </c>
      <c r="I246" s="40" t="str">
        <f>IF($C246="","",IFERROR(VLOOKUP($C246,Orders!$A$4:$J$998,6,FALSE),""))</f>
        <v/>
      </c>
      <c r="J246" s="40" t="str">
        <f>IF($C246="","",IFERROR(VLOOKUP($C246,Orders!$A$4:$J$998,7,FALSE),""))</f>
        <v/>
      </c>
      <c r="K246" s="40" t="str">
        <f>IF(Bids!$C245="","",Bids!$C245)</f>
        <v/>
      </c>
      <c r="L246" s="40" t="str">
        <f>IF($K246="","",IFERROR(VLOOKUP($K246,Grinders!$A$4:$N$998,2,FALSE),""))</f>
        <v/>
      </c>
      <c r="M246" s="40" t="str">
        <f>IF($K246="","",IFERROR(VLOOKUP($K246,Grinders!$A$4:$N$998,3,FALSE),""))</f>
        <v/>
      </c>
      <c r="N246" s="40" t="str">
        <f>IF($K246="","",IFERROR(VLOOKUP($K246,Grinders!$A$4:$N$998,4,FALSE),""))</f>
        <v/>
      </c>
      <c r="O246" s="40" t="str">
        <f>IF($K246="","",IFERROR(VLOOKUP($K246,Grinders!$A$4:$N$998,5,FALSE),""))</f>
        <v/>
      </c>
      <c r="P246" s="40" t="str">
        <f>IF($K246="","",IF($C$4="",0,COUNTIFS(Assignments!$B$6:$B$1000,$K246,Assignments!$F$6:$F$1000,$C$4,Assignments!$E$6:$E$1000,"Active")))</f>
        <v/>
      </c>
      <c r="Q246" s="40" t="str">
        <f t="shared" si="3"/>
        <v/>
      </c>
      <c r="R246" s="40" t="str">
        <f t="shared" si="4"/>
        <v/>
      </c>
      <c r="S246" s="40" t="str">
        <f>IF($K246="","",IF($C$4="",0,COUNTIFS(Assignments!$B$6:$B$1000,$K246,Assignments!$F$6:$F$1000,$C$4,Assignments!$D$6:$D$1000,"&gt;="&amp;Config!$B$3-7,Assignments!$D$6:$D$1000,"&lt;="&amp;Config!$B$3)))</f>
        <v/>
      </c>
      <c r="T246" s="40" t="str">
        <f>IF($K246="","",IFERROR(VLOOKUP($K246,Grinders!$A$4:$N$998,8,FALSE),""))</f>
        <v/>
      </c>
      <c r="U246" s="40" t="str">
        <f>IFERROR(IF($K246="","",IF($M246="Elite",MAX(50,MIN(100,Config!$B$27*MAX(0,MIN(100,(1-IF($R246="",0,$R246))*100)) + Config!$B$28*MAX(0,MIN(100,(1-MIN(1,IF(Config!$B$30=0,1,$S246/Config!$B$30)))*100)) + Config!$B$29*MAX(0,MIN(100,MIN(1,IF($T246="",0,$T246)/Config!$B$23)*100)))),MIN(100,Config!$B$27*MAX(0,MIN(100,(1-IF($R246="",0,$R246))*100)) + Config!$B$28*MAX(0,MIN(100,(1-MIN(1,IF(Config!$B$30=0,1,$S246/Config!$B$30)))*100)) + Config!$B$29*MAX(0,MIN(100,MIN(1,IF($T246="",0,$T246)/Config!$B$23)*100))))),"")
</f>
        <v/>
      </c>
      <c r="V246" s="40" t="str">
        <f>IF(Bids!$AC246="","",Bids!$AC246)</f>
        <v/>
      </c>
      <c r="W246" s="40" t="str">
        <f>IF(Bids!$F245="","",Bids!$F245)</f>
        <v/>
      </c>
      <c r="X246" s="40" t="str">
        <f t="shared" si="5"/>
        <v/>
      </c>
      <c r="Y246" s="40" t="str">
        <f>IF($X246="","",IF(Config!$B$17=Config!$B$16,IF($X246&gt;=Config!$B$17,100,0),MAX(0,MIN(100,($X246-Config!$B$16)/(Config!$B$17-Config!$B$16)*100))))</f>
        <v/>
      </c>
      <c r="Z246" s="40">
        <f>IF($M246="Elite",Config!$B$21,0)</f>
        <v>0</v>
      </c>
      <c r="AA246" s="40" t="str">
        <f>IFERROR(IF(OR($W246="",$H246=""),"",IF($W246&gt;$H246,
  MAX(0, 60-(($W246-$H246)*24/Config!$B$19)*60),
  MIN(100, 60+(($H246-$W246)*24/Config!$B$20)*40)
)),"")
</f>
        <v/>
      </c>
      <c r="AB246" s="40" t="str">
        <f>IF($K246="","",IFERROR(VLOOKUP($K246,Grinders!$A$4:$N$998,10,FALSE)/5*100,""))</f>
        <v/>
      </c>
      <c r="AC246" s="40" t="str">
        <f>IF($K246="","",IFERROR(VLOOKUP($K246,Grinders!$A$4:$N$998,11,FALSE)*100,""))</f>
        <v/>
      </c>
      <c r="AD246" s="40" t="str">
        <f>IF($K246="","",IFERROR(VLOOKUP($K246,Grinders!$A$4:$N$998,12,FALSE)*100,""))</f>
        <v/>
      </c>
      <c r="AE246" s="40" t="str">
        <f>IF(OR(AO246=1,AP246=1),0,=IFERROR(IFS(
    OR($C246="", $K246=""), 0,
    $F246=0, 0,
    $D246&lt;&gt;"Open", 0,
    COUNTIFS(GrinderServices!$A$6:$A$1000, $K246, GrinderServices!$B$6:$B$1000, $E246, GrinderServices!$D$6:$D$1000, "Y")=0, 0,
    $X246&lt;Config!$B$16, 0,
    Config!$B$18=1, IF($O246&gt;=N246, 0, 1),
    TRUE, 1
), "")
)</f>
        <v>#ERROR!</v>
      </c>
      <c r="AF246" s="40" t="str">
        <f>IFERROR((IF(OR(AO246=1,AP246=1),"",=IFERROR((IFERROR(IF($AE246=0,"",((Config!$B$6*$Y246 + Config!$B$7*$U246 + Config!$B$8*$Z246 + Config!$B$9*$AA246 + Config!$B$10*$AB246 + Config!$B$11*$AC246 - Config!$B$12*$AD246)/Config!$B$13)+$AK246+$AL246),""))*(1-IFERROR(VLOOKUP(K246,Grinders!$A:$AB, 28, FALSE),0)),"")))*(1+AR246),"")</f>
        <v>#ERROR!</v>
      </c>
      <c r="AG246" s="40" t="str">
        <f t="shared" si="6"/>
        <v>#ERROR!</v>
      </c>
      <c r="AH246" s="40" t="str">
        <f t="shared" si="7"/>
        <v/>
      </c>
      <c r="AI246" s="40" t="str">
        <f t="shared" si="8"/>
        <v/>
      </c>
      <c r="AJ246" s="40" t="str">
        <f>IF($K246="","",COUNTIF(Assignments!$B$6:$B$1000,$K246))</f>
        <v/>
      </c>
      <c r="AK246" s="40" t="str">
        <f>IF($K246="","",IF(AND($AJ246=0,$O246&lt;$N246),Config!$B$43,0))</f>
        <v/>
      </c>
      <c r="AL246" s="40" t="str">
        <f>IF($K246="","",IF(AND($M246="Elite",$G246&gt;=Config!$B$41,$O246&lt;$N246),Config!$B$42,0))</f>
        <v/>
      </c>
      <c r="AM246" s="22"/>
      <c r="AN246" s="39">
        <f>IFERROR(VLOOKUP(K246,Grinders!$A:$Q,28,FALSE),0)</f>
        <v>0</v>
      </c>
      <c r="AO246" s="39">
        <f>IF(Config!$B$1003&lt;&gt;"Y",0,IF(IFERROR(VLOOKUP(K246,Grinders!$A:$P,27,FALSE),0)&gt;=3,IF(OR(G246&gt;=Config!$B$1001,ISNUMBER(SEARCH(E246,Config!$B$1002))),1,0),0))</f>
        <v>0</v>
      </c>
      <c r="AP246" s="39">
        <f t="array" ref="AP246">IFERROR(IF(INDEX(Bids!$AE:$AE,MATCH(B246,Bids!$A:$A,0))="Pending",1,0),0)</f>
        <v>0</v>
      </c>
      <c r="AQ246" s="39" t="str">
        <f t="array" ref="AQ246">IF(C246="","",IFERROR(XLOOKUP(C246,Assignments!$C:$C,Assignments!$AU:$AU,0),0))</f>
        <v/>
      </c>
      <c r="AR246" s="39">
        <f>IF(AND(Config!$B$1006="Y",AQ246=1),Config!$B$1007,0)</f>
        <v>0</v>
      </c>
    </row>
    <row r="247" ht="15.75" customHeight="1">
      <c r="A247" s="46" t="str">
        <f t="shared" si="1"/>
        <v/>
      </c>
      <c r="B247" s="40" t="str">
        <f>IF(Bids!$A246="","",Bids!$A246)</f>
        <v/>
      </c>
      <c r="C247" s="40" t="str">
        <f>IF(Bids!$B246="","",Bids!$B246)</f>
        <v/>
      </c>
      <c r="D247" s="40" t="str">
        <f>IF($C247="","",IFERROR(VLOOKUP($C247,Orders!$A$4:$J$998,9,FALSE),""))</f>
        <v/>
      </c>
      <c r="E247" s="40" t="str">
        <f>IF($C247="","",IFERROR(VLOOKUP($C247,Orders!$A$4:$J$998,3,FALSE),""))</f>
        <v/>
      </c>
      <c r="F247" s="40">
        <f t="shared" si="2"/>
        <v>1</v>
      </c>
      <c r="G247" s="40" t="str">
        <f>IF($C247="","",IFERROR(VLOOKUP($C247,Orders!$A$4:$J$998,4,FALSE),""))</f>
        <v/>
      </c>
      <c r="H247" s="40" t="str">
        <f>IF($C247="","",IFERROR(VLOOKUP($C247,Orders!$A$4:$J$998,5,FALSE),""))</f>
        <v/>
      </c>
      <c r="I247" s="40" t="str">
        <f>IF($C247="","",IFERROR(VLOOKUP($C247,Orders!$A$4:$J$998,6,FALSE),""))</f>
        <v/>
      </c>
      <c r="J247" s="40" t="str">
        <f>IF($C247="","",IFERROR(VLOOKUP($C247,Orders!$A$4:$J$998,7,FALSE),""))</f>
        <v/>
      </c>
      <c r="K247" s="40" t="str">
        <f>IF(Bids!$C246="","",Bids!$C246)</f>
        <v/>
      </c>
      <c r="L247" s="40" t="str">
        <f>IF($K247="","",IFERROR(VLOOKUP($K247,Grinders!$A$4:$N$998,2,FALSE),""))</f>
        <v/>
      </c>
      <c r="M247" s="40" t="str">
        <f>IF($K247="","",IFERROR(VLOOKUP($K247,Grinders!$A$4:$N$998,3,FALSE),""))</f>
        <v/>
      </c>
      <c r="N247" s="40" t="str">
        <f>IF($K247="","",IFERROR(VLOOKUP($K247,Grinders!$A$4:$N$998,4,FALSE),""))</f>
        <v/>
      </c>
      <c r="O247" s="40" t="str">
        <f>IF($K247="","",IFERROR(VLOOKUP($K247,Grinders!$A$4:$N$998,5,FALSE),""))</f>
        <v/>
      </c>
      <c r="P247" s="40" t="str">
        <f>IF($K247="","",IF($C$4="",0,COUNTIFS(Assignments!$B$6:$B$1000,$K247,Assignments!$F$6:$F$1000,$C$4,Assignments!$E$6:$E$1000,"Active")))</f>
        <v/>
      </c>
      <c r="Q247" s="40" t="str">
        <f t="shared" si="3"/>
        <v/>
      </c>
      <c r="R247" s="40" t="str">
        <f t="shared" si="4"/>
        <v/>
      </c>
      <c r="S247" s="40" t="str">
        <f>IF($K247="","",IF($C$4="",0,COUNTIFS(Assignments!$B$6:$B$1000,$K247,Assignments!$F$6:$F$1000,$C$4,Assignments!$D$6:$D$1000,"&gt;="&amp;Config!$B$3-7,Assignments!$D$6:$D$1000,"&lt;="&amp;Config!$B$3)))</f>
        <v/>
      </c>
      <c r="T247" s="40" t="str">
        <f>IF($K247="","",IFERROR(VLOOKUP($K247,Grinders!$A$4:$N$998,8,FALSE),""))</f>
        <v/>
      </c>
      <c r="U247" s="40" t="str">
        <f>IFERROR(IF($K247="","",IF($M247="Elite",MAX(50,MIN(100,Config!$B$27*MAX(0,MIN(100,(1-IF($R247="",0,$R247))*100)) + Config!$B$28*MAX(0,MIN(100,(1-MIN(1,IF(Config!$B$30=0,1,$S247/Config!$B$30)))*100)) + Config!$B$29*MAX(0,MIN(100,MIN(1,IF($T247="",0,$T247)/Config!$B$23)*100)))),MIN(100,Config!$B$27*MAX(0,MIN(100,(1-IF($R247="",0,$R247))*100)) + Config!$B$28*MAX(0,MIN(100,(1-MIN(1,IF(Config!$B$30=0,1,$S247/Config!$B$30)))*100)) + Config!$B$29*MAX(0,MIN(100,MIN(1,IF($T247="",0,$T247)/Config!$B$23)*100))))),"")
</f>
        <v/>
      </c>
      <c r="V247" s="40" t="str">
        <f>IF(Bids!$AC247="","",Bids!$AC247)</f>
        <v/>
      </c>
      <c r="W247" s="40" t="str">
        <f>IF(Bids!$F246="","",Bids!$F246)</f>
        <v/>
      </c>
      <c r="X247" s="40" t="str">
        <f t="shared" si="5"/>
        <v/>
      </c>
      <c r="Y247" s="40" t="str">
        <f>IF($X247="","",IF(Config!$B$17=Config!$B$16,IF($X247&gt;=Config!$B$17,100,0),MAX(0,MIN(100,($X247-Config!$B$16)/(Config!$B$17-Config!$B$16)*100))))</f>
        <v/>
      </c>
      <c r="Z247" s="40">
        <f>IF($M247="Elite",Config!$B$21,0)</f>
        <v>0</v>
      </c>
      <c r="AA247" s="40" t="str">
        <f>IFERROR(IF(OR($W247="",$H247=""),"",IF($W247&gt;$H247,
  MAX(0, 60-(($W247-$H247)*24/Config!$B$19)*60),
  MIN(100, 60+(($H247-$W247)*24/Config!$B$20)*40)
)),"")
</f>
        <v/>
      </c>
      <c r="AB247" s="40" t="str">
        <f>IF($K247="","",IFERROR(VLOOKUP($K247,Grinders!$A$4:$N$998,10,FALSE)/5*100,""))</f>
        <v/>
      </c>
      <c r="AC247" s="40" t="str">
        <f>IF($K247="","",IFERROR(VLOOKUP($K247,Grinders!$A$4:$N$998,11,FALSE)*100,""))</f>
        <v/>
      </c>
      <c r="AD247" s="40" t="str">
        <f>IF($K247="","",IFERROR(VLOOKUP($K247,Grinders!$A$4:$N$998,12,FALSE)*100,""))</f>
        <v/>
      </c>
      <c r="AE247" s="40" t="str">
        <f>IF(OR(AO247=1,AP247=1),0,=IFERROR(IFS(
    OR($C247="", $K247=""), 0,
    $F247=0, 0,
    $D247&lt;&gt;"Open", 0,
    COUNTIFS(GrinderServices!$A$6:$A$1000, $K247, GrinderServices!$B$6:$B$1000, $E247, GrinderServices!$D$6:$D$1000, "Y")=0, 0,
    $X247&lt;Config!$B$16, 0,
    Config!$B$18=1, IF($O247&gt;=N247, 0, 1),
    TRUE, 1
), "")
)</f>
        <v>#ERROR!</v>
      </c>
      <c r="AF247" s="40" t="str">
        <f>IFERROR((IF(OR(AO247=1,AP247=1),"",=IFERROR((IFERROR(IF($AE247=0,"",((Config!$B$6*$Y247 + Config!$B$7*$U247 + Config!$B$8*$Z247 + Config!$B$9*$AA247 + Config!$B$10*$AB247 + Config!$B$11*$AC247 - Config!$B$12*$AD247)/Config!$B$13)+$AK247+$AL247),""))*(1-IFERROR(VLOOKUP(K247,Grinders!$A:$AB, 28, FALSE),0)),"")))*(1+AR247),"")</f>
        <v>#ERROR!</v>
      </c>
      <c r="AG247" s="40" t="str">
        <f t="shared" si="6"/>
        <v>#ERROR!</v>
      </c>
      <c r="AH247" s="40" t="str">
        <f t="shared" si="7"/>
        <v/>
      </c>
      <c r="AI247" s="40" t="str">
        <f t="shared" si="8"/>
        <v/>
      </c>
      <c r="AJ247" s="40" t="str">
        <f>IF($K247="","",COUNTIF(Assignments!$B$6:$B$1000,$K247))</f>
        <v/>
      </c>
      <c r="AK247" s="40" t="str">
        <f>IF($K247="","",IF(AND($AJ247=0,$O247&lt;$N247),Config!$B$43,0))</f>
        <v/>
      </c>
      <c r="AL247" s="40" t="str">
        <f>IF($K247="","",IF(AND($M247="Elite",$G247&gt;=Config!$B$41,$O247&lt;$N247),Config!$B$42,0))</f>
        <v/>
      </c>
      <c r="AM247" s="22"/>
      <c r="AN247" s="39">
        <f>IFERROR(VLOOKUP(K247,Grinders!$A:$Q,28,FALSE),0)</f>
        <v>0</v>
      </c>
      <c r="AO247" s="39">
        <f>IF(Config!$B$1003&lt;&gt;"Y",0,IF(IFERROR(VLOOKUP(K247,Grinders!$A:$P,27,FALSE),0)&gt;=3,IF(OR(G247&gt;=Config!$B$1001,ISNUMBER(SEARCH(E247,Config!$B$1002))),1,0),0))</f>
        <v>0</v>
      </c>
      <c r="AP247" s="39">
        <f t="array" ref="AP247">IFERROR(IF(INDEX(Bids!$AE:$AE,MATCH(B247,Bids!$A:$A,0))="Pending",1,0),0)</f>
        <v>0</v>
      </c>
      <c r="AQ247" s="39" t="str">
        <f t="array" ref="AQ247">IF(C247="","",IFERROR(XLOOKUP(C247,Assignments!$C:$C,Assignments!$AU:$AU,0),0))</f>
        <v/>
      </c>
      <c r="AR247" s="39">
        <f>IF(AND(Config!$B$1006="Y",AQ247=1),Config!$B$1007,0)</f>
        <v>0</v>
      </c>
    </row>
    <row r="248" ht="15.75" customHeight="1">
      <c r="A248" s="46" t="str">
        <f t="shared" si="1"/>
        <v/>
      </c>
      <c r="B248" s="40" t="str">
        <f>IF(Bids!$A247="","",Bids!$A247)</f>
        <v/>
      </c>
      <c r="C248" s="40" t="str">
        <f>IF(Bids!$B247="","",Bids!$B247)</f>
        <v/>
      </c>
      <c r="D248" s="40" t="str">
        <f>IF($C248="","",IFERROR(VLOOKUP($C248,Orders!$A$4:$J$998,9,FALSE),""))</f>
        <v/>
      </c>
      <c r="E248" s="40" t="str">
        <f>IF($C248="","",IFERROR(VLOOKUP($C248,Orders!$A$4:$J$998,3,FALSE),""))</f>
        <v/>
      </c>
      <c r="F248" s="40">
        <f t="shared" si="2"/>
        <v>1</v>
      </c>
      <c r="G248" s="40" t="str">
        <f>IF($C248="","",IFERROR(VLOOKUP($C248,Orders!$A$4:$J$998,4,FALSE),""))</f>
        <v/>
      </c>
      <c r="H248" s="40" t="str">
        <f>IF($C248="","",IFERROR(VLOOKUP($C248,Orders!$A$4:$J$998,5,FALSE),""))</f>
        <v/>
      </c>
      <c r="I248" s="40" t="str">
        <f>IF($C248="","",IFERROR(VLOOKUP($C248,Orders!$A$4:$J$998,6,FALSE),""))</f>
        <v/>
      </c>
      <c r="J248" s="40" t="str">
        <f>IF($C248="","",IFERROR(VLOOKUP($C248,Orders!$A$4:$J$998,7,FALSE),""))</f>
        <v/>
      </c>
      <c r="K248" s="40" t="str">
        <f>IF(Bids!$C247="","",Bids!$C247)</f>
        <v/>
      </c>
      <c r="L248" s="40" t="str">
        <f>IF($K248="","",IFERROR(VLOOKUP($K248,Grinders!$A$4:$N$998,2,FALSE),""))</f>
        <v/>
      </c>
      <c r="M248" s="40" t="str">
        <f>IF($K248="","",IFERROR(VLOOKUP($K248,Grinders!$A$4:$N$998,3,FALSE),""))</f>
        <v/>
      </c>
      <c r="N248" s="40" t="str">
        <f>IF($K248="","",IFERROR(VLOOKUP($K248,Grinders!$A$4:$N$998,4,FALSE),""))</f>
        <v/>
      </c>
      <c r="O248" s="40" t="str">
        <f>IF($K248="","",IFERROR(VLOOKUP($K248,Grinders!$A$4:$N$998,5,FALSE),""))</f>
        <v/>
      </c>
      <c r="P248" s="40" t="str">
        <f>IF($K248="","",IF($C$4="",0,COUNTIFS(Assignments!$B$6:$B$1000,$K248,Assignments!$F$6:$F$1000,$C$4,Assignments!$E$6:$E$1000,"Active")))</f>
        <v/>
      </c>
      <c r="Q248" s="40" t="str">
        <f t="shared" si="3"/>
        <v/>
      </c>
      <c r="R248" s="40" t="str">
        <f t="shared" si="4"/>
        <v/>
      </c>
      <c r="S248" s="40" t="str">
        <f>IF($K248="","",IF($C$4="",0,COUNTIFS(Assignments!$B$6:$B$1000,$K248,Assignments!$F$6:$F$1000,$C$4,Assignments!$D$6:$D$1000,"&gt;="&amp;Config!$B$3-7,Assignments!$D$6:$D$1000,"&lt;="&amp;Config!$B$3)))</f>
        <v/>
      </c>
      <c r="T248" s="40" t="str">
        <f>IF($K248="","",IFERROR(VLOOKUP($K248,Grinders!$A$4:$N$998,8,FALSE),""))</f>
        <v/>
      </c>
      <c r="U248" s="40" t="str">
        <f>IFERROR(IF($K248="","",IF($M248="Elite",MAX(50,MIN(100,Config!$B$27*MAX(0,MIN(100,(1-IF($R248="",0,$R248))*100)) + Config!$B$28*MAX(0,MIN(100,(1-MIN(1,IF(Config!$B$30=0,1,$S248/Config!$B$30)))*100)) + Config!$B$29*MAX(0,MIN(100,MIN(1,IF($T248="",0,$T248)/Config!$B$23)*100)))),MIN(100,Config!$B$27*MAX(0,MIN(100,(1-IF($R248="",0,$R248))*100)) + Config!$B$28*MAX(0,MIN(100,(1-MIN(1,IF(Config!$B$30=0,1,$S248/Config!$B$30)))*100)) + Config!$B$29*MAX(0,MIN(100,MIN(1,IF($T248="",0,$T248)/Config!$B$23)*100))))),"")
</f>
        <v/>
      </c>
      <c r="V248" s="40" t="str">
        <f>IF(Bids!$AC248="","",Bids!$AC248)</f>
        <v/>
      </c>
      <c r="W248" s="40" t="str">
        <f>IF(Bids!$F247="","",Bids!$F247)</f>
        <v/>
      </c>
      <c r="X248" s="40" t="str">
        <f t="shared" si="5"/>
        <v/>
      </c>
      <c r="Y248" s="40" t="str">
        <f>IF($X248="","",IF(Config!$B$17=Config!$B$16,IF($X248&gt;=Config!$B$17,100,0),MAX(0,MIN(100,($X248-Config!$B$16)/(Config!$B$17-Config!$B$16)*100))))</f>
        <v/>
      </c>
      <c r="Z248" s="40">
        <f>IF($M248="Elite",Config!$B$21,0)</f>
        <v>0</v>
      </c>
      <c r="AA248" s="40" t="str">
        <f>IFERROR(IF(OR($W248="",$H248=""),"",IF($W248&gt;$H248,
  MAX(0, 60-(($W248-$H248)*24/Config!$B$19)*60),
  MIN(100, 60+(($H248-$W248)*24/Config!$B$20)*40)
)),"")
</f>
        <v/>
      </c>
      <c r="AB248" s="40" t="str">
        <f>IF($K248="","",IFERROR(VLOOKUP($K248,Grinders!$A$4:$N$998,10,FALSE)/5*100,""))</f>
        <v/>
      </c>
      <c r="AC248" s="40" t="str">
        <f>IF($K248="","",IFERROR(VLOOKUP($K248,Grinders!$A$4:$N$998,11,FALSE)*100,""))</f>
        <v/>
      </c>
      <c r="AD248" s="40" t="str">
        <f>IF($K248="","",IFERROR(VLOOKUP($K248,Grinders!$A$4:$N$998,12,FALSE)*100,""))</f>
        <v/>
      </c>
      <c r="AE248" s="40" t="str">
        <f>IF(OR(AO248=1,AP248=1),0,=IFERROR(IFS(
    OR($C248="", $K248=""), 0,
    $F248=0, 0,
    $D248&lt;&gt;"Open", 0,
    COUNTIFS(GrinderServices!$A$6:$A$1000, $K248, GrinderServices!$B$6:$B$1000, $E248, GrinderServices!$D$6:$D$1000, "Y")=0, 0,
    $X248&lt;Config!$B$16, 0,
    Config!$B$18=1, IF($O248&gt;=N248, 0, 1),
    TRUE, 1
), "")
)</f>
        <v>#ERROR!</v>
      </c>
      <c r="AF248" s="40" t="str">
        <f>IFERROR((IF(OR(AO248=1,AP248=1),"",=IFERROR((IFERROR(IF($AE248=0,"",((Config!$B$6*$Y248 + Config!$B$7*$U248 + Config!$B$8*$Z248 + Config!$B$9*$AA248 + Config!$B$10*$AB248 + Config!$B$11*$AC248 - Config!$B$12*$AD248)/Config!$B$13)+$AK248+$AL248),""))*(1-IFERROR(VLOOKUP(K248,Grinders!$A:$AB, 28, FALSE),0)),"")))*(1+AR248),"")</f>
        <v>#ERROR!</v>
      </c>
      <c r="AG248" s="40" t="str">
        <f t="shared" si="6"/>
        <v>#ERROR!</v>
      </c>
      <c r="AH248" s="40" t="str">
        <f t="shared" si="7"/>
        <v/>
      </c>
      <c r="AI248" s="40" t="str">
        <f t="shared" si="8"/>
        <v/>
      </c>
      <c r="AJ248" s="40" t="str">
        <f>IF($K248="","",COUNTIF(Assignments!$B$6:$B$1000,$K248))</f>
        <v/>
      </c>
      <c r="AK248" s="40" t="str">
        <f>IF($K248="","",IF(AND($AJ248=0,$O248&lt;$N248),Config!$B$43,0))</f>
        <v/>
      </c>
      <c r="AL248" s="40" t="str">
        <f>IF($K248="","",IF(AND($M248="Elite",$G248&gt;=Config!$B$41,$O248&lt;$N248),Config!$B$42,0))</f>
        <v/>
      </c>
      <c r="AM248" s="22"/>
      <c r="AN248" s="39">
        <f>IFERROR(VLOOKUP(K248,Grinders!$A:$Q,28,FALSE),0)</f>
        <v>0</v>
      </c>
      <c r="AO248" s="39">
        <f>IF(Config!$B$1003&lt;&gt;"Y",0,IF(IFERROR(VLOOKUP(K248,Grinders!$A:$P,27,FALSE),0)&gt;=3,IF(OR(G248&gt;=Config!$B$1001,ISNUMBER(SEARCH(E248,Config!$B$1002))),1,0),0))</f>
        <v>0</v>
      </c>
      <c r="AP248" s="39">
        <f t="array" ref="AP248">IFERROR(IF(INDEX(Bids!$AE:$AE,MATCH(B248,Bids!$A:$A,0))="Pending",1,0),0)</f>
        <v>0</v>
      </c>
      <c r="AQ248" s="39" t="str">
        <f t="array" ref="AQ248">IF(C248="","",IFERROR(XLOOKUP(C248,Assignments!$C:$C,Assignments!$AU:$AU,0),0))</f>
        <v/>
      </c>
      <c r="AR248" s="39">
        <f>IF(AND(Config!$B$1006="Y",AQ248=1),Config!$B$1007,0)</f>
        <v>0</v>
      </c>
    </row>
    <row r="249" ht="15.75" customHeight="1">
      <c r="A249" s="46" t="str">
        <f t="shared" si="1"/>
        <v/>
      </c>
      <c r="B249" s="40" t="str">
        <f>IF(Bids!$A248="","",Bids!$A248)</f>
        <v/>
      </c>
      <c r="C249" s="40" t="str">
        <f>IF(Bids!$B248="","",Bids!$B248)</f>
        <v/>
      </c>
      <c r="D249" s="40" t="str">
        <f>IF($C249="","",IFERROR(VLOOKUP($C249,Orders!$A$4:$J$998,9,FALSE),""))</f>
        <v/>
      </c>
      <c r="E249" s="40" t="str">
        <f>IF($C249="","",IFERROR(VLOOKUP($C249,Orders!$A$4:$J$998,3,FALSE),""))</f>
        <v/>
      </c>
      <c r="F249" s="40">
        <f t="shared" si="2"/>
        <v>1</v>
      </c>
      <c r="G249" s="40" t="str">
        <f>IF($C249="","",IFERROR(VLOOKUP($C249,Orders!$A$4:$J$998,4,FALSE),""))</f>
        <v/>
      </c>
      <c r="H249" s="40" t="str">
        <f>IF($C249="","",IFERROR(VLOOKUP($C249,Orders!$A$4:$J$998,5,FALSE),""))</f>
        <v/>
      </c>
      <c r="I249" s="40" t="str">
        <f>IF($C249="","",IFERROR(VLOOKUP($C249,Orders!$A$4:$J$998,6,FALSE),""))</f>
        <v/>
      </c>
      <c r="J249" s="40" t="str">
        <f>IF($C249="","",IFERROR(VLOOKUP($C249,Orders!$A$4:$J$998,7,FALSE),""))</f>
        <v/>
      </c>
      <c r="K249" s="40" t="str">
        <f>IF(Bids!$C248="","",Bids!$C248)</f>
        <v/>
      </c>
      <c r="L249" s="40" t="str">
        <f>IF($K249="","",IFERROR(VLOOKUP($K249,Grinders!$A$4:$N$998,2,FALSE),""))</f>
        <v/>
      </c>
      <c r="M249" s="40" t="str">
        <f>IF($K249="","",IFERROR(VLOOKUP($K249,Grinders!$A$4:$N$998,3,FALSE),""))</f>
        <v/>
      </c>
      <c r="N249" s="40" t="str">
        <f>IF($K249="","",IFERROR(VLOOKUP($K249,Grinders!$A$4:$N$998,4,FALSE),""))</f>
        <v/>
      </c>
      <c r="O249" s="40" t="str">
        <f>IF($K249="","",IFERROR(VLOOKUP($K249,Grinders!$A$4:$N$998,5,FALSE),""))</f>
        <v/>
      </c>
      <c r="P249" s="40" t="str">
        <f>IF($K249="","",IF($C$4="",0,COUNTIFS(Assignments!$B$6:$B$1000,$K249,Assignments!$F$6:$F$1000,$C$4,Assignments!$E$6:$E$1000,"Active")))</f>
        <v/>
      </c>
      <c r="Q249" s="40" t="str">
        <f t="shared" si="3"/>
        <v/>
      </c>
      <c r="R249" s="40" t="str">
        <f t="shared" si="4"/>
        <v/>
      </c>
      <c r="S249" s="40" t="str">
        <f>IF($K249="","",IF($C$4="",0,COUNTIFS(Assignments!$B$6:$B$1000,$K249,Assignments!$F$6:$F$1000,$C$4,Assignments!$D$6:$D$1000,"&gt;="&amp;Config!$B$3-7,Assignments!$D$6:$D$1000,"&lt;="&amp;Config!$B$3)))</f>
        <v/>
      </c>
      <c r="T249" s="40" t="str">
        <f>IF($K249="","",IFERROR(VLOOKUP($K249,Grinders!$A$4:$N$998,8,FALSE),""))</f>
        <v/>
      </c>
      <c r="U249" s="40" t="str">
        <f>IFERROR(IF($K249="","",IF($M249="Elite",MAX(50,MIN(100,Config!$B$27*MAX(0,MIN(100,(1-IF($R249="",0,$R249))*100)) + Config!$B$28*MAX(0,MIN(100,(1-MIN(1,IF(Config!$B$30=0,1,$S249/Config!$B$30)))*100)) + Config!$B$29*MAX(0,MIN(100,MIN(1,IF($T249="",0,$T249)/Config!$B$23)*100)))),MIN(100,Config!$B$27*MAX(0,MIN(100,(1-IF($R249="",0,$R249))*100)) + Config!$B$28*MAX(0,MIN(100,(1-MIN(1,IF(Config!$B$30=0,1,$S249/Config!$B$30)))*100)) + Config!$B$29*MAX(0,MIN(100,MIN(1,IF($T249="",0,$T249)/Config!$B$23)*100))))),"")
</f>
        <v/>
      </c>
      <c r="V249" s="40" t="str">
        <f>IF(Bids!$AC249="","",Bids!$AC249)</f>
        <v/>
      </c>
      <c r="W249" s="40" t="str">
        <f>IF(Bids!$F248="","",Bids!$F248)</f>
        <v/>
      </c>
      <c r="X249" s="40" t="str">
        <f t="shared" si="5"/>
        <v/>
      </c>
      <c r="Y249" s="40" t="str">
        <f>IF($X249="","",IF(Config!$B$17=Config!$B$16,IF($X249&gt;=Config!$B$17,100,0),MAX(0,MIN(100,($X249-Config!$B$16)/(Config!$B$17-Config!$B$16)*100))))</f>
        <v/>
      </c>
      <c r="Z249" s="40">
        <f>IF($M249="Elite",Config!$B$21,0)</f>
        <v>0</v>
      </c>
      <c r="AA249" s="40" t="str">
        <f>IFERROR(IF(OR($W249="",$H249=""),"",IF($W249&gt;$H249,
  MAX(0, 60-(($W249-$H249)*24/Config!$B$19)*60),
  MIN(100, 60+(($H249-$W249)*24/Config!$B$20)*40)
)),"")
</f>
        <v/>
      </c>
      <c r="AB249" s="40" t="str">
        <f>IF($K249="","",IFERROR(VLOOKUP($K249,Grinders!$A$4:$N$998,10,FALSE)/5*100,""))</f>
        <v/>
      </c>
      <c r="AC249" s="40" t="str">
        <f>IF($K249="","",IFERROR(VLOOKUP($K249,Grinders!$A$4:$N$998,11,FALSE)*100,""))</f>
        <v/>
      </c>
      <c r="AD249" s="40" t="str">
        <f>IF($K249="","",IFERROR(VLOOKUP($K249,Grinders!$A$4:$N$998,12,FALSE)*100,""))</f>
        <v/>
      </c>
      <c r="AE249" s="40" t="str">
        <f>IF(OR(AO249=1,AP249=1),0,=IFERROR(IFS(
    OR($C249="", $K249=""), 0,
    $F249=0, 0,
    $D249&lt;&gt;"Open", 0,
    COUNTIFS(GrinderServices!$A$6:$A$1000, $K249, GrinderServices!$B$6:$B$1000, $E249, GrinderServices!$D$6:$D$1000, "Y")=0, 0,
    $X249&lt;Config!$B$16, 0,
    Config!$B$18=1, IF($O249&gt;=N249, 0, 1),
    TRUE, 1
), "")
)</f>
        <v>#ERROR!</v>
      </c>
      <c r="AF249" s="40" t="str">
        <f>IFERROR((IF(OR(AO249=1,AP249=1),"",=IFERROR((IFERROR(IF($AE249=0,"",((Config!$B$6*$Y249 + Config!$B$7*$U249 + Config!$B$8*$Z249 + Config!$B$9*$AA249 + Config!$B$10*$AB249 + Config!$B$11*$AC249 - Config!$B$12*$AD249)/Config!$B$13)+$AK249+$AL249),""))*(1-IFERROR(VLOOKUP(K249,Grinders!$A:$AB, 28, FALSE),0)),"")))*(1+AR249),"")</f>
        <v>#ERROR!</v>
      </c>
      <c r="AG249" s="40" t="str">
        <f t="shared" si="6"/>
        <v>#ERROR!</v>
      </c>
      <c r="AH249" s="40" t="str">
        <f t="shared" si="7"/>
        <v/>
      </c>
      <c r="AI249" s="40" t="str">
        <f t="shared" si="8"/>
        <v/>
      </c>
      <c r="AJ249" s="40" t="str">
        <f>IF($K249="","",COUNTIF(Assignments!$B$6:$B$1000,$K249))</f>
        <v/>
      </c>
      <c r="AK249" s="40" t="str">
        <f>IF($K249="","",IF(AND($AJ249=0,$O249&lt;$N249),Config!$B$43,0))</f>
        <v/>
      </c>
      <c r="AL249" s="40" t="str">
        <f>IF($K249="","",IF(AND($M249="Elite",$G249&gt;=Config!$B$41,$O249&lt;$N249),Config!$B$42,0))</f>
        <v/>
      </c>
      <c r="AM249" s="22"/>
      <c r="AN249" s="39">
        <f>IFERROR(VLOOKUP(K249,Grinders!$A:$Q,28,FALSE),0)</f>
        <v>0</v>
      </c>
      <c r="AO249" s="39">
        <f>IF(Config!$B$1003&lt;&gt;"Y",0,IF(IFERROR(VLOOKUP(K249,Grinders!$A:$P,27,FALSE),0)&gt;=3,IF(OR(G249&gt;=Config!$B$1001,ISNUMBER(SEARCH(E249,Config!$B$1002))),1,0),0))</f>
        <v>0</v>
      </c>
      <c r="AP249" s="39">
        <f t="array" ref="AP249">IFERROR(IF(INDEX(Bids!$AE:$AE,MATCH(B249,Bids!$A:$A,0))="Pending",1,0),0)</f>
        <v>0</v>
      </c>
      <c r="AQ249" s="39" t="str">
        <f t="array" ref="AQ249">IF(C249="","",IFERROR(XLOOKUP(C249,Assignments!$C:$C,Assignments!$AU:$AU,0),0))</f>
        <v/>
      </c>
      <c r="AR249" s="39">
        <f>IF(AND(Config!$B$1006="Y",AQ249=1),Config!$B$1007,0)</f>
        <v>0</v>
      </c>
    </row>
    <row r="250" ht="15.75" customHeight="1">
      <c r="A250" s="46" t="str">
        <f t="shared" si="1"/>
        <v/>
      </c>
      <c r="B250" s="40" t="str">
        <f>IF(Bids!$A249="","",Bids!$A249)</f>
        <v/>
      </c>
      <c r="C250" s="40" t="str">
        <f>IF(Bids!$B249="","",Bids!$B249)</f>
        <v/>
      </c>
      <c r="D250" s="40" t="str">
        <f>IF($C250="","",IFERROR(VLOOKUP($C250,Orders!$A$4:$J$998,9,FALSE),""))</f>
        <v/>
      </c>
      <c r="E250" s="40" t="str">
        <f>IF($C250="","",IFERROR(VLOOKUP($C250,Orders!$A$4:$J$998,3,FALSE),""))</f>
        <v/>
      </c>
      <c r="F250" s="40">
        <f t="shared" si="2"/>
        <v>1</v>
      </c>
      <c r="G250" s="40" t="str">
        <f>IF($C250="","",IFERROR(VLOOKUP($C250,Orders!$A$4:$J$998,4,FALSE),""))</f>
        <v/>
      </c>
      <c r="H250" s="40" t="str">
        <f>IF($C250="","",IFERROR(VLOOKUP($C250,Orders!$A$4:$J$998,5,FALSE),""))</f>
        <v/>
      </c>
      <c r="I250" s="40" t="str">
        <f>IF($C250="","",IFERROR(VLOOKUP($C250,Orders!$A$4:$J$998,6,FALSE),""))</f>
        <v/>
      </c>
      <c r="J250" s="40" t="str">
        <f>IF($C250="","",IFERROR(VLOOKUP($C250,Orders!$A$4:$J$998,7,FALSE),""))</f>
        <v/>
      </c>
      <c r="K250" s="40" t="str">
        <f>IF(Bids!$C249="","",Bids!$C249)</f>
        <v/>
      </c>
      <c r="L250" s="40" t="str">
        <f>IF($K250="","",IFERROR(VLOOKUP($K250,Grinders!$A$4:$N$998,2,FALSE),""))</f>
        <v/>
      </c>
      <c r="M250" s="40" t="str">
        <f>IF($K250="","",IFERROR(VLOOKUP($K250,Grinders!$A$4:$N$998,3,FALSE),""))</f>
        <v/>
      </c>
      <c r="N250" s="40" t="str">
        <f>IF($K250="","",IFERROR(VLOOKUP($K250,Grinders!$A$4:$N$998,4,FALSE),""))</f>
        <v/>
      </c>
      <c r="O250" s="40" t="str">
        <f>IF($K250="","",IFERROR(VLOOKUP($K250,Grinders!$A$4:$N$998,5,FALSE),""))</f>
        <v/>
      </c>
      <c r="P250" s="40" t="str">
        <f>IF($K250="","",IF($C$4="",0,COUNTIFS(Assignments!$B$6:$B$1000,$K250,Assignments!$F$6:$F$1000,$C$4,Assignments!$E$6:$E$1000,"Active")))</f>
        <v/>
      </c>
      <c r="Q250" s="40" t="str">
        <f t="shared" si="3"/>
        <v/>
      </c>
      <c r="R250" s="40" t="str">
        <f t="shared" si="4"/>
        <v/>
      </c>
      <c r="S250" s="40" t="str">
        <f>IF($K250="","",IF($C$4="",0,COUNTIFS(Assignments!$B$6:$B$1000,$K250,Assignments!$F$6:$F$1000,$C$4,Assignments!$D$6:$D$1000,"&gt;="&amp;Config!$B$3-7,Assignments!$D$6:$D$1000,"&lt;="&amp;Config!$B$3)))</f>
        <v/>
      </c>
      <c r="T250" s="40" t="str">
        <f>IF($K250="","",IFERROR(VLOOKUP($K250,Grinders!$A$4:$N$998,8,FALSE),""))</f>
        <v/>
      </c>
      <c r="U250" s="40" t="str">
        <f>IFERROR(IF($K250="","",IF($M250="Elite",MAX(50,MIN(100,Config!$B$27*MAX(0,MIN(100,(1-IF($R250="",0,$R250))*100)) + Config!$B$28*MAX(0,MIN(100,(1-MIN(1,IF(Config!$B$30=0,1,$S250/Config!$B$30)))*100)) + Config!$B$29*MAX(0,MIN(100,MIN(1,IF($T250="",0,$T250)/Config!$B$23)*100)))),MIN(100,Config!$B$27*MAX(0,MIN(100,(1-IF($R250="",0,$R250))*100)) + Config!$B$28*MAX(0,MIN(100,(1-MIN(1,IF(Config!$B$30=0,1,$S250/Config!$B$30)))*100)) + Config!$B$29*MAX(0,MIN(100,MIN(1,IF($T250="",0,$T250)/Config!$B$23)*100))))),"")
</f>
        <v/>
      </c>
      <c r="V250" s="40" t="str">
        <f>IF(Bids!$AC250="","",Bids!$AC250)</f>
        <v/>
      </c>
      <c r="W250" s="40" t="str">
        <f>IF(Bids!$F249="","",Bids!$F249)</f>
        <v/>
      </c>
      <c r="X250" s="40" t="str">
        <f t="shared" si="5"/>
        <v/>
      </c>
      <c r="Y250" s="40" t="str">
        <f>IF($X250="","",IF(Config!$B$17=Config!$B$16,IF($X250&gt;=Config!$B$17,100,0),MAX(0,MIN(100,($X250-Config!$B$16)/(Config!$B$17-Config!$B$16)*100))))</f>
        <v/>
      </c>
      <c r="Z250" s="40">
        <f>IF($M250="Elite",Config!$B$21,0)</f>
        <v>0</v>
      </c>
      <c r="AA250" s="40" t="str">
        <f>IFERROR(IF(OR($W250="",$H250=""),"",IF($W250&gt;$H250,
  MAX(0, 60-(($W250-$H250)*24/Config!$B$19)*60),
  MIN(100, 60+(($H250-$W250)*24/Config!$B$20)*40)
)),"")
</f>
        <v/>
      </c>
      <c r="AB250" s="40" t="str">
        <f>IF($K250="","",IFERROR(VLOOKUP($K250,Grinders!$A$4:$N$998,10,FALSE)/5*100,""))</f>
        <v/>
      </c>
      <c r="AC250" s="40" t="str">
        <f>IF($K250="","",IFERROR(VLOOKUP($K250,Grinders!$A$4:$N$998,11,FALSE)*100,""))</f>
        <v/>
      </c>
      <c r="AD250" s="40" t="str">
        <f>IF($K250="","",IFERROR(VLOOKUP($K250,Grinders!$A$4:$N$998,12,FALSE)*100,""))</f>
        <v/>
      </c>
      <c r="AE250" s="40" t="str">
        <f>IF(OR(AO250=1,AP250=1),0,=IFERROR(IFS(
    OR($C250="", $K250=""), 0,
    $F250=0, 0,
    $D250&lt;&gt;"Open", 0,
    COUNTIFS(GrinderServices!$A$6:$A$1000, $K250, GrinderServices!$B$6:$B$1000, $E250, GrinderServices!$D$6:$D$1000, "Y")=0, 0,
    $X250&lt;Config!$B$16, 0,
    Config!$B$18=1, IF($O250&gt;=N250, 0, 1),
    TRUE, 1
), "")
)</f>
        <v>#ERROR!</v>
      </c>
      <c r="AF250" s="40" t="str">
        <f>IFERROR((IF(OR(AO250=1,AP250=1),"",=IFERROR((IFERROR(IF($AE250=0,"",((Config!$B$6*$Y250 + Config!$B$7*$U250 + Config!$B$8*$Z250 + Config!$B$9*$AA250 + Config!$B$10*$AB250 + Config!$B$11*$AC250 - Config!$B$12*$AD250)/Config!$B$13)+$AK250+$AL250),""))*(1-IFERROR(VLOOKUP(K250,Grinders!$A:$AB, 28, FALSE),0)),"")))*(1+AR250),"")</f>
        <v>#ERROR!</v>
      </c>
      <c r="AG250" s="40" t="str">
        <f t="shared" si="6"/>
        <v>#ERROR!</v>
      </c>
      <c r="AH250" s="40" t="str">
        <f t="shared" si="7"/>
        <v/>
      </c>
      <c r="AI250" s="40" t="str">
        <f t="shared" si="8"/>
        <v/>
      </c>
      <c r="AJ250" s="40" t="str">
        <f>IF($K250="","",COUNTIF(Assignments!$B$6:$B$1000,$K250))</f>
        <v/>
      </c>
      <c r="AK250" s="40" t="str">
        <f>IF($K250="","",IF(AND($AJ250=0,$O250&lt;$N250),Config!$B$43,0))</f>
        <v/>
      </c>
      <c r="AL250" s="40" t="str">
        <f>IF($K250="","",IF(AND($M250="Elite",$G250&gt;=Config!$B$41,$O250&lt;$N250),Config!$B$42,0))</f>
        <v/>
      </c>
      <c r="AM250" s="22"/>
      <c r="AN250" s="39">
        <f>IFERROR(VLOOKUP(K250,Grinders!$A:$Q,28,FALSE),0)</f>
        <v>0</v>
      </c>
      <c r="AO250" s="39">
        <f>IF(Config!$B$1003&lt;&gt;"Y",0,IF(IFERROR(VLOOKUP(K250,Grinders!$A:$P,27,FALSE),0)&gt;=3,IF(OR(G250&gt;=Config!$B$1001,ISNUMBER(SEARCH(E250,Config!$B$1002))),1,0),0))</f>
        <v>0</v>
      </c>
      <c r="AP250" s="39">
        <f t="array" ref="AP250">IFERROR(IF(INDEX(Bids!$AE:$AE,MATCH(B250,Bids!$A:$A,0))="Pending",1,0),0)</f>
        <v>0</v>
      </c>
      <c r="AQ250" s="39" t="str">
        <f t="array" ref="AQ250">IF(C250="","",IFERROR(XLOOKUP(C250,Assignments!$C:$C,Assignments!$AU:$AU,0),0))</f>
        <v/>
      </c>
      <c r="AR250" s="39">
        <f>IF(AND(Config!$B$1006="Y",AQ250=1),Config!$B$1007,0)</f>
        <v>0</v>
      </c>
    </row>
    <row r="251" ht="15.75" customHeight="1">
      <c r="A251" s="46" t="str">
        <f t="shared" si="1"/>
        <v/>
      </c>
      <c r="B251" s="40" t="str">
        <f>IF(Bids!$A250="","",Bids!$A250)</f>
        <v/>
      </c>
      <c r="C251" s="40" t="str">
        <f>IF(Bids!$B250="","",Bids!$B250)</f>
        <v/>
      </c>
      <c r="D251" s="40" t="str">
        <f>IF($C251="","",IFERROR(VLOOKUP($C251,Orders!$A$4:$J$998,9,FALSE),""))</f>
        <v/>
      </c>
      <c r="E251" s="40" t="str">
        <f>IF($C251="","",IFERROR(VLOOKUP($C251,Orders!$A$4:$J$998,3,FALSE),""))</f>
        <v/>
      </c>
      <c r="F251" s="40">
        <f t="shared" si="2"/>
        <v>1</v>
      </c>
      <c r="G251" s="40" t="str">
        <f>IF($C251="","",IFERROR(VLOOKUP($C251,Orders!$A$4:$J$998,4,FALSE),""))</f>
        <v/>
      </c>
      <c r="H251" s="40" t="str">
        <f>IF($C251="","",IFERROR(VLOOKUP($C251,Orders!$A$4:$J$998,5,FALSE),""))</f>
        <v/>
      </c>
      <c r="I251" s="40" t="str">
        <f>IF($C251="","",IFERROR(VLOOKUP($C251,Orders!$A$4:$J$998,6,FALSE),""))</f>
        <v/>
      </c>
      <c r="J251" s="40" t="str">
        <f>IF($C251="","",IFERROR(VLOOKUP($C251,Orders!$A$4:$J$998,7,FALSE),""))</f>
        <v/>
      </c>
      <c r="K251" s="40" t="str">
        <f>IF(Bids!$C250="","",Bids!$C250)</f>
        <v/>
      </c>
      <c r="L251" s="40" t="str">
        <f>IF($K251="","",IFERROR(VLOOKUP($K251,Grinders!$A$4:$N$998,2,FALSE),""))</f>
        <v/>
      </c>
      <c r="M251" s="40" t="str">
        <f>IF($K251="","",IFERROR(VLOOKUP($K251,Grinders!$A$4:$N$998,3,FALSE),""))</f>
        <v/>
      </c>
      <c r="N251" s="40" t="str">
        <f>IF($K251="","",IFERROR(VLOOKUP($K251,Grinders!$A$4:$N$998,4,FALSE),""))</f>
        <v/>
      </c>
      <c r="O251" s="40" t="str">
        <f>IF($K251="","",IFERROR(VLOOKUP($K251,Grinders!$A$4:$N$998,5,FALSE),""))</f>
        <v/>
      </c>
      <c r="P251" s="40" t="str">
        <f>IF($K251="","",IF($C$4="",0,COUNTIFS(Assignments!$B$6:$B$1000,$K251,Assignments!$F$6:$F$1000,$C$4,Assignments!$E$6:$E$1000,"Active")))</f>
        <v/>
      </c>
      <c r="Q251" s="40" t="str">
        <f t="shared" si="3"/>
        <v/>
      </c>
      <c r="R251" s="40" t="str">
        <f t="shared" si="4"/>
        <v/>
      </c>
      <c r="S251" s="40" t="str">
        <f>IF($K251="","",IF($C$4="",0,COUNTIFS(Assignments!$B$6:$B$1000,$K251,Assignments!$F$6:$F$1000,$C$4,Assignments!$D$6:$D$1000,"&gt;="&amp;Config!$B$3-7,Assignments!$D$6:$D$1000,"&lt;="&amp;Config!$B$3)))</f>
        <v/>
      </c>
      <c r="T251" s="40" t="str">
        <f>IF($K251="","",IFERROR(VLOOKUP($K251,Grinders!$A$4:$N$998,8,FALSE),""))</f>
        <v/>
      </c>
      <c r="U251" s="40" t="str">
        <f>IFERROR(IF($K251="","",IF($M251="Elite",MAX(50,MIN(100,Config!$B$27*MAX(0,MIN(100,(1-IF($R251="",0,$R251))*100)) + Config!$B$28*MAX(0,MIN(100,(1-MIN(1,IF(Config!$B$30=0,1,$S251/Config!$B$30)))*100)) + Config!$B$29*MAX(0,MIN(100,MIN(1,IF($T251="",0,$T251)/Config!$B$23)*100)))),MIN(100,Config!$B$27*MAX(0,MIN(100,(1-IF($R251="",0,$R251))*100)) + Config!$B$28*MAX(0,MIN(100,(1-MIN(1,IF(Config!$B$30=0,1,$S251/Config!$B$30)))*100)) + Config!$B$29*MAX(0,MIN(100,MIN(1,IF($T251="",0,$T251)/Config!$B$23)*100))))),"")
</f>
        <v/>
      </c>
      <c r="V251" s="40" t="str">
        <f>IF(Bids!$AC251="","",Bids!$AC251)</f>
        <v/>
      </c>
      <c r="W251" s="40" t="str">
        <f>IF(Bids!$F250="","",Bids!$F250)</f>
        <v/>
      </c>
      <c r="X251" s="40" t="str">
        <f t="shared" si="5"/>
        <v/>
      </c>
      <c r="Y251" s="40" t="str">
        <f>IF($X251="","",IF(Config!$B$17=Config!$B$16,IF($X251&gt;=Config!$B$17,100,0),MAX(0,MIN(100,($X251-Config!$B$16)/(Config!$B$17-Config!$B$16)*100))))</f>
        <v/>
      </c>
      <c r="Z251" s="40">
        <f>IF($M251="Elite",Config!$B$21,0)</f>
        <v>0</v>
      </c>
      <c r="AA251" s="40" t="str">
        <f>IFERROR(IF(OR($W251="",$H251=""),"",IF($W251&gt;$H251,
  MAX(0, 60-(($W251-$H251)*24/Config!$B$19)*60),
  MIN(100, 60+(($H251-$W251)*24/Config!$B$20)*40)
)),"")
</f>
        <v/>
      </c>
      <c r="AB251" s="40" t="str">
        <f>IF($K251="","",IFERROR(VLOOKUP($K251,Grinders!$A$4:$N$998,10,FALSE)/5*100,""))</f>
        <v/>
      </c>
      <c r="AC251" s="40" t="str">
        <f>IF($K251="","",IFERROR(VLOOKUP($K251,Grinders!$A$4:$N$998,11,FALSE)*100,""))</f>
        <v/>
      </c>
      <c r="AD251" s="40" t="str">
        <f>IF($K251="","",IFERROR(VLOOKUP($K251,Grinders!$A$4:$N$998,12,FALSE)*100,""))</f>
        <v/>
      </c>
      <c r="AE251" s="40" t="str">
        <f>IF(OR(AO251=1,AP251=1),0,=IFERROR(IFS(
    OR($C251="", $K251=""), 0,
    $F251=0, 0,
    $D251&lt;&gt;"Open", 0,
    COUNTIFS(GrinderServices!$A$6:$A$1000, $K251, GrinderServices!$B$6:$B$1000, $E251, GrinderServices!$D$6:$D$1000, "Y")=0, 0,
    $X251&lt;Config!$B$16, 0,
    Config!$B$18=1, IF($O251&gt;=N251, 0, 1),
    TRUE, 1
), "")
)</f>
        <v>#ERROR!</v>
      </c>
      <c r="AF251" s="40" t="str">
        <f>IFERROR((IF(OR(AO251=1,AP251=1),"",=IFERROR((IFERROR(IF($AE251=0,"",((Config!$B$6*$Y251 + Config!$B$7*$U251 + Config!$B$8*$Z251 + Config!$B$9*$AA251 + Config!$B$10*$AB251 + Config!$B$11*$AC251 - Config!$B$12*$AD251)/Config!$B$13)+$AK251+$AL251),""))*(1-IFERROR(VLOOKUP(K251,Grinders!$A:$AB, 28, FALSE),0)),"")))*(1+AR251),"")</f>
        <v>#ERROR!</v>
      </c>
      <c r="AG251" s="40" t="str">
        <f t="shared" si="6"/>
        <v>#ERROR!</v>
      </c>
      <c r="AH251" s="40" t="str">
        <f t="shared" si="7"/>
        <v/>
      </c>
      <c r="AI251" s="40" t="str">
        <f t="shared" si="8"/>
        <v/>
      </c>
      <c r="AJ251" s="40" t="str">
        <f>IF($K251="","",COUNTIF(Assignments!$B$6:$B$1000,$K251))</f>
        <v/>
      </c>
      <c r="AK251" s="40" t="str">
        <f>IF($K251="","",IF(AND($AJ251=0,$O251&lt;$N251),Config!$B$43,0))</f>
        <v/>
      </c>
      <c r="AL251" s="40" t="str">
        <f>IF($K251="","",IF(AND($M251="Elite",$G251&gt;=Config!$B$41,$O251&lt;$N251),Config!$B$42,0))</f>
        <v/>
      </c>
      <c r="AM251" s="22"/>
      <c r="AN251" s="39">
        <f>IFERROR(VLOOKUP(K251,Grinders!$A:$Q,28,FALSE),0)</f>
        <v>0</v>
      </c>
      <c r="AO251" s="39">
        <f>IF(Config!$B$1003&lt;&gt;"Y",0,IF(IFERROR(VLOOKUP(K251,Grinders!$A:$P,27,FALSE),0)&gt;=3,IF(OR(G251&gt;=Config!$B$1001,ISNUMBER(SEARCH(E251,Config!$B$1002))),1,0),0))</f>
        <v>0</v>
      </c>
      <c r="AP251" s="39">
        <f t="array" ref="AP251">IFERROR(IF(INDEX(Bids!$AE:$AE,MATCH(B251,Bids!$A:$A,0))="Pending",1,0),0)</f>
        <v>0</v>
      </c>
      <c r="AQ251" s="39" t="str">
        <f t="array" ref="AQ251">IF(C251="","",IFERROR(XLOOKUP(C251,Assignments!$C:$C,Assignments!$AU:$AU,0),0))</f>
        <v/>
      </c>
      <c r="AR251" s="39">
        <f>IF(AND(Config!$B$1006="Y",AQ251=1),Config!$B$1007,0)</f>
        <v>0</v>
      </c>
    </row>
    <row r="252" ht="15.75" customHeight="1">
      <c r="A252" s="46" t="str">
        <f t="shared" si="1"/>
        <v/>
      </c>
      <c r="B252" s="40" t="str">
        <f>IF(Bids!$A251="","",Bids!$A251)</f>
        <v/>
      </c>
      <c r="C252" s="40" t="str">
        <f>IF(Bids!$B251="","",Bids!$B251)</f>
        <v/>
      </c>
      <c r="D252" s="40" t="str">
        <f>IF($C252="","",IFERROR(VLOOKUP($C252,Orders!$A$4:$J$998,9,FALSE),""))</f>
        <v/>
      </c>
      <c r="E252" s="40" t="str">
        <f>IF($C252="","",IFERROR(VLOOKUP($C252,Orders!$A$4:$J$998,3,FALSE),""))</f>
        <v/>
      </c>
      <c r="F252" s="40">
        <f t="shared" si="2"/>
        <v>1</v>
      </c>
      <c r="G252" s="40" t="str">
        <f>IF($C252="","",IFERROR(VLOOKUP($C252,Orders!$A$4:$J$998,4,FALSE),""))</f>
        <v/>
      </c>
      <c r="H252" s="40" t="str">
        <f>IF($C252="","",IFERROR(VLOOKUP($C252,Orders!$A$4:$J$998,5,FALSE),""))</f>
        <v/>
      </c>
      <c r="I252" s="40" t="str">
        <f>IF($C252="","",IFERROR(VLOOKUP($C252,Orders!$A$4:$J$998,6,FALSE),""))</f>
        <v/>
      </c>
      <c r="J252" s="40" t="str">
        <f>IF($C252="","",IFERROR(VLOOKUP($C252,Orders!$A$4:$J$998,7,FALSE),""))</f>
        <v/>
      </c>
      <c r="K252" s="40" t="str">
        <f>IF(Bids!$C251="","",Bids!$C251)</f>
        <v/>
      </c>
      <c r="L252" s="40" t="str">
        <f>IF($K252="","",IFERROR(VLOOKUP($K252,Grinders!$A$4:$N$998,2,FALSE),""))</f>
        <v/>
      </c>
      <c r="M252" s="40" t="str">
        <f>IF($K252="","",IFERROR(VLOOKUP($K252,Grinders!$A$4:$N$998,3,FALSE),""))</f>
        <v/>
      </c>
      <c r="N252" s="40" t="str">
        <f>IF($K252="","",IFERROR(VLOOKUP($K252,Grinders!$A$4:$N$998,4,FALSE),""))</f>
        <v/>
      </c>
      <c r="O252" s="40" t="str">
        <f>IF($K252="","",IFERROR(VLOOKUP($K252,Grinders!$A$4:$N$998,5,FALSE),""))</f>
        <v/>
      </c>
      <c r="P252" s="40" t="str">
        <f>IF($K252="","",IF($C$4="",0,COUNTIFS(Assignments!$B$6:$B$1000,$K252,Assignments!$F$6:$F$1000,$C$4,Assignments!$E$6:$E$1000,"Active")))</f>
        <v/>
      </c>
      <c r="Q252" s="40" t="str">
        <f t="shared" si="3"/>
        <v/>
      </c>
      <c r="R252" s="40" t="str">
        <f t="shared" si="4"/>
        <v/>
      </c>
      <c r="S252" s="40" t="str">
        <f>IF($K252="","",IF($C$4="",0,COUNTIFS(Assignments!$B$6:$B$1000,$K252,Assignments!$F$6:$F$1000,$C$4,Assignments!$D$6:$D$1000,"&gt;="&amp;Config!$B$3-7,Assignments!$D$6:$D$1000,"&lt;="&amp;Config!$B$3)))</f>
        <v/>
      </c>
      <c r="T252" s="40" t="str">
        <f>IF($K252="","",IFERROR(VLOOKUP($K252,Grinders!$A$4:$N$998,8,FALSE),""))</f>
        <v/>
      </c>
      <c r="U252" s="40" t="str">
        <f>IFERROR(IF($K252="","",IF($M252="Elite",MAX(50,MIN(100,Config!$B$27*MAX(0,MIN(100,(1-IF($R252="",0,$R252))*100)) + Config!$B$28*MAX(0,MIN(100,(1-MIN(1,IF(Config!$B$30=0,1,$S252/Config!$B$30)))*100)) + Config!$B$29*MAX(0,MIN(100,MIN(1,IF($T252="",0,$T252)/Config!$B$23)*100)))),MIN(100,Config!$B$27*MAX(0,MIN(100,(1-IF($R252="",0,$R252))*100)) + Config!$B$28*MAX(0,MIN(100,(1-MIN(1,IF(Config!$B$30=0,1,$S252/Config!$B$30)))*100)) + Config!$B$29*MAX(0,MIN(100,MIN(1,IF($T252="",0,$T252)/Config!$B$23)*100))))),"")
</f>
        <v/>
      </c>
      <c r="V252" s="40" t="str">
        <f>IF(Bids!$AC252="","",Bids!$AC252)</f>
        <v/>
      </c>
      <c r="W252" s="40" t="str">
        <f>IF(Bids!$F251="","",Bids!$F251)</f>
        <v/>
      </c>
      <c r="X252" s="40" t="str">
        <f t="shared" si="5"/>
        <v/>
      </c>
      <c r="Y252" s="40" t="str">
        <f>IF($X252="","",IF(Config!$B$17=Config!$B$16,IF($X252&gt;=Config!$B$17,100,0),MAX(0,MIN(100,($X252-Config!$B$16)/(Config!$B$17-Config!$B$16)*100))))</f>
        <v/>
      </c>
      <c r="Z252" s="40">
        <f>IF($M252="Elite",Config!$B$21,0)</f>
        <v>0</v>
      </c>
      <c r="AA252" s="40" t="str">
        <f>IFERROR(IF(OR($W252="",$H252=""),"",IF($W252&gt;$H252,
  MAX(0, 60-(($W252-$H252)*24/Config!$B$19)*60),
  MIN(100, 60+(($H252-$W252)*24/Config!$B$20)*40)
)),"")
</f>
        <v/>
      </c>
      <c r="AB252" s="40" t="str">
        <f>IF($K252="","",IFERROR(VLOOKUP($K252,Grinders!$A$4:$N$998,10,FALSE)/5*100,""))</f>
        <v/>
      </c>
      <c r="AC252" s="40" t="str">
        <f>IF($K252="","",IFERROR(VLOOKUP($K252,Grinders!$A$4:$N$998,11,FALSE)*100,""))</f>
        <v/>
      </c>
      <c r="AD252" s="40" t="str">
        <f>IF($K252="","",IFERROR(VLOOKUP($K252,Grinders!$A$4:$N$998,12,FALSE)*100,""))</f>
        <v/>
      </c>
      <c r="AE252" s="40" t="str">
        <f>IF(OR(AO252=1,AP252=1),0,=IFERROR(IFS(
    OR($C252="", $K252=""), 0,
    $F252=0, 0,
    $D252&lt;&gt;"Open", 0,
    COUNTIFS(GrinderServices!$A$6:$A$1000, $K252, GrinderServices!$B$6:$B$1000, $E252, GrinderServices!$D$6:$D$1000, "Y")=0, 0,
    $X252&lt;Config!$B$16, 0,
    Config!$B$18=1, IF($O252&gt;=N252, 0, 1),
    TRUE, 1
), "")
)</f>
        <v>#ERROR!</v>
      </c>
      <c r="AF252" s="40" t="str">
        <f>IFERROR((IF(OR(AO252=1,AP252=1),"",=IFERROR((IFERROR(IF($AE252=0,"",((Config!$B$6*$Y252 + Config!$B$7*$U252 + Config!$B$8*$Z252 + Config!$B$9*$AA252 + Config!$B$10*$AB252 + Config!$B$11*$AC252 - Config!$B$12*$AD252)/Config!$B$13)+$AK252+$AL252),""))*(1-IFERROR(VLOOKUP(K252,Grinders!$A:$AB, 28, FALSE),0)),"")))*(1+AR252),"")</f>
        <v>#ERROR!</v>
      </c>
      <c r="AG252" s="40" t="str">
        <f t="shared" si="6"/>
        <v>#ERROR!</v>
      </c>
      <c r="AH252" s="40" t="str">
        <f t="shared" si="7"/>
        <v/>
      </c>
      <c r="AI252" s="40" t="str">
        <f t="shared" si="8"/>
        <v/>
      </c>
      <c r="AJ252" s="40" t="str">
        <f>IF($K252="","",COUNTIF(Assignments!$B$6:$B$1000,$K252))</f>
        <v/>
      </c>
      <c r="AK252" s="40" t="str">
        <f>IF($K252="","",IF(AND($AJ252=0,$O252&lt;$N252),Config!$B$43,0))</f>
        <v/>
      </c>
      <c r="AL252" s="40" t="str">
        <f>IF($K252="","",IF(AND($M252="Elite",$G252&gt;=Config!$B$41,$O252&lt;$N252),Config!$B$42,0))</f>
        <v/>
      </c>
      <c r="AM252" s="22"/>
      <c r="AN252" s="39">
        <f>IFERROR(VLOOKUP(K252,Grinders!$A:$Q,28,FALSE),0)</f>
        <v>0</v>
      </c>
      <c r="AO252" s="39">
        <f>IF(Config!$B$1003&lt;&gt;"Y",0,IF(IFERROR(VLOOKUP(K252,Grinders!$A:$P,27,FALSE),0)&gt;=3,IF(OR(G252&gt;=Config!$B$1001,ISNUMBER(SEARCH(E252,Config!$B$1002))),1,0),0))</f>
        <v>0</v>
      </c>
      <c r="AP252" s="39">
        <f t="array" ref="AP252">IFERROR(IF(INDEX(Bids!$AE:$AE,MATCH(B252,Bids!$A:$A,0))="Pending",1,0),0)</f>
        <v>0</v>
      </c>
      <c r="AQ252" s="39" t="str">
        <f t="array" ref="AQ252">IF(C252="","",IFERROR(XLOOKUP(C252,Assignments!$C:$C,Assignments!$AU:$AU,0),0))</f>
        <v/>
      </c>
      <c r="AR252" s="39">
        <f>IF(AND(Config!$B$1006="Y",AQ252=1),Config!$B$1007,0)</f>
        <v>0</v>
      </c>
    </row>
    <row r="253" ht="15.75" customHeight="1">
      <c r="A253" s="46" t="str">
        <f t="shared" si="1"/>
        <v/>
      </c>
      <c r="B253" s="40" t="str">
        <f>IF(Bids!$A252="","",Bids!$A252)</f>
        <v/>
      </c>
      <c r="C253" s="40" t="str">
        <f>IF(Bids!$B252="","",Bids!$B252)</f>
        <v/>
      </c>
      <c r="D253" s="40" t="str">
        <f>IF($C253="","",IFERROR(VLOOKUP($C253,Orders!$A$4:$J$998,9,FALSE),""))</f>
        <v/>
      </c>
      <c r="E253" s="40" t="str">
        <f>IF($C253="","",IFERROR(VLOOKUP($C253,Orders!$A$4:$J$998,3,FALSE),""))</f>
        <v/>
      </c>
      <c r="F253" s="40">
        <f t="shared" si="2"/>
        <v>1</v>
      </c>
      <c r="G253" s="40" t="str">
        <f>IF($C253="","",IFERROR(VLOOKUP($C253,Orders!$A$4:$J$998,4,FALSE),""))</f>
        <v/>
      </c>
      <c r="H253" s="40" t="str">
        <f>IF($C253="","",IFERROR(VLOOKUP($C253,Orders!$A$4:$J$998,5,FALSE),""))</f>
        <v/>
      </c>
      <c r="I253" s="40" t="str">
        <f>IF($C253="","",IFERROR(VLOOKUP($C253,Orders!$A$4:$J$998,6,FALSE),""))</f>
        <v/>
      </c>
      <c r="J253" s="40" t="str">
        <f>IF($C253="","",IFERROR(VLOOKUP($C253,Orders!$A$4:$J$998,7,FALSE),""))</f>
        <v/>
      </c>
      <c r="K253" s="40" t="str">
        <f>IF(Bids!$C252="","",Bids!$C252)</f>
        <v/>
      </c>
      <c r="L253" s="40" t="str">
        <f>IF($K253="","",IFERROR(VLOOKUP($K253,Grinders!$A$4:$N$998,2,FALSE),""))</f>
        <v/>
      </c>
      <c r="M253" s="40" t="str">
        <f>IF($K253="","",IFERROR(VLOOKUP($K253,Grinders!$A$4:$N$998,3,FALSE),""))</f>
        <v/>
      </c>
      <c r="N253" s="40" t="str">
        <f>IF($K253="","",IFERROR(VLOOKUP($K253,Grinders!$A$4:$N$998,4,FALSE),""))</f>
        <v/>
      </c>
      <c r="O253" s="40" t="str">
        <f>IF($K253="","",IFERROR(VLOOKUP($K253,Grinders!$A$4:$N$998,5,FALSE),""))</f>
        <v/>
      </c>
      <c r="P253" s="40" t="str">
        <f>IF($K253="","",IF($C$4="",0,COUNTIFS(Assignments!$B$6:$B$1000,$K253,Assignments!$F$6:$F$1000,$C$4,Assignments!$E$6:$E$1000,"Active")))</f>
        <v/>
      </c>
      <c r="Q253" s="40" t="str">
        <f t="shared" si="3"/>
        <v/>
      </c>
      <c r="R253" s="40" t="str">
        <f t="shared" si="4"/>
        <v/>
      </c>
      <c r="S253" s="40" t="str">
        <f>IF($K253="","",IF($C$4="",0,COUNTIFS(Assignments!$B$6:$B$1000,$K253,Assignments!$F$6:$F$1000,$C$4,Assignments!$D$6:$D$1000,"&gt;="&amp;Config!$B$3-7,Assignments!$D$6:$D$1000,"&lt;="&amp;Config!$B$3)))</f>
        <v/>
      </c>
      <c r="T253" s="40" t="str">
        <f>IF($K253="","",IFERROR(VLOOKUP($K253,Grinders!$A$4:$N$998,8,FALSE),""))</f>
        <v/>
      </c>
      <c r="U253" s="40" t="str">
        <f>IFERROR(IF($K253="","",IF($M253="Elite",MAX(50,MIN(100,Config!$B$27*MAX(0,MIN(100,(1-IF($R253="",0,$R253))*100)) + Config!$B$28*MAX(0,MIN(100,(1-MIN(1,IF(Config!$B$30=0,1,$S253/Config!$B$30)))*100)) + Config!$B$29*MAX(0,MIN(100,MIN(1,IF($T253="",0,$T253)/Config!$B$23)*100)))),MIN(100,Config!$B$27*MAX(0,MIN(100,(1-IF($R253="",0,$R253))*100)) + Config!$B$28*MAX(0,MIN(100,(1-MIN(1,IF(Config!$B$30=0,1,$S253/Config!$B$30)))*100)) + Config!$B$29*MAX(0,MIN(100,MIN(1,IF($T253="",0,$T253)/Config!$B$23)*100))))),"")
</f>
        <v/>
      </c>
      <c r="V253" s="40" t="str">
        <f>IF(Bids!$AC253="","",Bids!$AC253)</f>
        <v/>
      </c>
      <c r="W253" s="40" t="str">
        <f>IF(Bids!$F252="","",Bids!$F252)</f>
        <v/>
      </c>
      <c r="X253" s="40" t="str">
        <f t="shared" si="5"/>
        <v/>
      </c>
      <c r="Y253" s="40" t="str">
        <f>IF($X253="","",IF(Config!$B$17=Config!$B$16,IF($X253&gt;=Config!$B$17,100,0),MAX(0,MIN(100,($X253-Config!$B$16)/(Config!$B$17-Config!$B$16)*100))))</f>
        <v/>
      </c>
      <c r="Z253" s="40">
        <f>IF($M253="Elite",Config!$B$21,0)</f>
        <v>0</v>
      </c>
      <c r="AA253" s="40" t="str">
        <f>IFERROR(IF(OR($W253="",$H253=""),"",IF($W253&gt;$H253,
  MAX(0, 60-(($W253-$H253)*24/Config!$B$19)*60),
  MIN(100, 60+(($H253-$W253)*24/Config!$B$20)*40)
)),"")
</f>
        <v/>
      </c>
      <c r="AB253" s="40" t="str">
        <f>IF($K253="","",IFERROR(VLOOKUP($K253,Grinders!$A$4:$N$998,10,FALSE)/5*100,""))</f>
        <v/>
      </c>
      <c r="AC253" s="40" t="str">
        <f>IF($K253="","",IFERROR(VLOOKUP($K253,Grinders!$A$4:$N$998,11,FALSE)*100,""))</f>
        <v/>
      </c>
      <c r="AD253" s="40" t="str">
        <f>IF($K253="","",IFERROR(VLOOKUP($K253,Grinders!$A$4:$N$998,12,FALSE)*100,""))</f>
        <v/>
      </c>
      <c r="AE253" s="40" t="str">
        <f>IF(OR(AO253=1,AP253=1),0,=IFERROR(IFS(
    OR($C253="", $K253=""), 0,
    $F253=0, 0,
    $D253&lt;&gt;"Open", 0,
    COUNTIFS(GrinderServices!$A$6:$A$1000, $K253, GrinderServices!$B$6:$B$1000, $E253, GrinderServices!$D$6:$D$1000, "Y")=0, 0,
    $X253&lt;Config!$B$16, 0,
    Config!$B$18=1, IF($O253&gt;=N253, 0, 1),
    TRUE, 1
), "")
)</f>
        <v>#ERROR!</v>
      </c>
      <c r="AF253" s="40" t="str">
        <f>IFERROR((IF(OR(AO253=1,AP253=1),"",=IFERROR((IFERROR(IF($AE253=0,"",((Config!$B$6*$Y253 + Config!$B$7*$U253 + Config!$B$8*$Z253 + Config!$B$9*$AA253 + Config!$B$10*$AB253 + Config!$B$11*$AC253 - Config!$B$12*$AD253)/Config!$B$13)+$AK253+$AL253),""))*(1-IFERROR(VLOOKUP(K253,Grinders!$A:$AB, 28, FALSE),0)),"")))*(1+AR253),"")</f>
        <v>#ERROR!</v>
      </c>
      <c r="AG253" s="40" t="str">
        <f t="shared" si="6"/>
        <v>#ERROR!</v>
      </c>
      <c r="AH253" s="40" t="str">
        <f t="shared" si="7"/>
        <v/>
      </c>
      <c r="AI253" s="40" t="str">
        <f t="shared" si="8"/>
        <v/>
      </c>
      <c r="AJ253" s="40" t="str">
        <f>IF($K253="","",COUNTIF(Assignments!$B$6:$B$1000,$K253))</f>
        <v/>
      </c>
      <c r="AK253" s="40" t="str">
        <f>IF($K253="","",IF(AND($AJ253=0,$O253&lt;$N253),Config!$B$43,0))</f>
        <v/>
      </c>
      <c r="AL253" s="40" t="str">
        <f>IF($K253="","",IF(AND($M253="Elite",$G253&gt;=Config!$B$41,$O253&lt;$N253),Config!$B$42,0))</f>
        <v/>
      </c>
      <c r="AM253" s="22"/>
      <c r="AN253" s="39">
        <f>IFERROR(VLOOKUP(K253,Grinders!$A:$Q,28,FALSE),0)</f>
        <v>0</v>
      </c>
      <c r="AO253" s="39">
        <f>IF(Config!$B$1003&lt;&gt;"Y",0,IF(IFERROR(VLOOKUP(K253,Grinders!$A:$P,27,FALSE),0)&gt;=3,IF(OR(G253&gt;=Config!$B$1001,ISNUMBER(SEARCH(E253,Config!$B$1002))),1,0),0))</f>
        <v>0</v>
      </c>
      <c r="AP253" s="39">
        <f t="array" ref="AP253">IFERROR(IF(INDEX(Bids!$AE:$AE,MATCH(B253,Bids!$A:$A,0))="Pending",1,0),0)</f>
        <v>0</v>
      </c>
      <c r="AQ253" s="39" t="str">
        <f t="array" ref="AQ253">IF(C253="","",IFERROR(XLOOKUP(C253,Assignments!$C:$C,Assignments!$AU:$AU,0),0))</f>
        <v/>
      </c>
      <c r="AR253" s="39">
        <f>IF(AND(Config!$B$1006="Y",AQ253=1),Config!$B$1007,0)</f>
        <v>0</v>
      </c>
    </row>
    <row r="254" ht="15.75" customHeight="1">
      <c r="A254" s="46" t="str">
        <f t="shared" si="1"/>
        <v/>
      </c>
      <c r="B254" s="40" t="str">
        <f>IF(Bids!$A253="","",Bids!$A253)</f>
        <v/>
      </c>
      <c r="C254" s="40" t="str">
        <f>IF(Bids!$B253="","",Bids!$B253)</f>
        <v/>
      </c>
      <c r="D254" s="40" t="str">
        <f>IF($C254="","",IFERROR(VLOOKUP($C254,Orders!$A$4:$J$998,9,FALSE),""))</f>
        <v/>
      </c>
      <c r="E254" s="40" t="str">
        <f>IF($C254="","",IFERROR(VLOOKUP($C254,Orders!$A$4:$J$998,3,FALSE),""))</f>
        <v/>
      </c>
      <c r="F254" s="40">
        <f t="shared" si="2"/>
        <v>1</v>
      </c>
      <c r="G254" s="40" t="str">
        <f>IF($C254="","",IFERROR(VLOOKUP($C254,Orders!$A$4:$J$998,4,FALSE),""))</f>
        <v/>
      </c>
      <c r="H254" s="40" t="str">
        <f>IF($C254="","",IFERROR(VLOOKUP($C254,Orders!$A$4:$J$998,5,FALSE),""))</f>
        <v/>
      </c>
      <c r="I254" s="40" t="str">
        <f>IF($C254="","",IFERROR(VLOOKUP($C254,Orders!$A$4:$J$998,6,FALSE),""))</f>
        <v/>
      </c>
      <c r="J254" s="40" t="str">
        <f>IF($C254="","",IFERROR(VLOOKUP($C254,Orders!$A$4:$J$998,7,FALSE),""))</f>
        <v/>
      </c>
      <c r="K254" s="40" t="str">
        <f>IF(Bids!$C253="","",Bids!$C253)</f>
        <v/>
      </c>
      <c r="L254" s="40" t="str">
        <f>IF($K254="","",IFERROR(VLOOKUP($K254,Grinders!$A$4:$N$998,2,FALSE),""))</f>
        <v/>
      </c>
      <c r="M254" s="40" t="str">
        <f>IF($K254="","",IFERROR(VLOOKUP($K254,Grinders!$A$4:$N$998,3,FALSE),""))</f>
        <v/>
      </c>
      <c r="N254" s="40" t="str">
        <f>IF($K254="","",IFERROR(VLOOKUP($K254,Grinders!$A$4:$N$998,4,FALSE),""))</f>
        <v/>
      </c>
      <c r="O254" s="40" t="str">
        <f>IF($K254="","",IFERROR(VLOOKUP($K254,Grinders!$A$4:$N$998,5,FALSE),""))</f>
        <v/>
      </c>
      <c r="P254" s="40" t="str">
        <f>IF($K254="","",IF($C$4="",0,COUNTIFS(Assignments!$B$6:$B$1000,$K254,Assignments!$F$6:$F$1000,$C$4,Assignments!$E$6:$E$1000,"Active")))</f>
        <v/>
      </c>
      <c r="Q254" s="40" t="str">
        <f t="shared" si="3"/>
        <v/>
      </c>
      <c r="R254" s="40" t="str">
        <f t="shared" si="4"/>
        <v/>
      </c>
      <c r="S254" s="40" t="str">
        <f>IF($K254="","",IF($C$4="",0,COUNTIFS(Assignments!$B$6:$B$1000,$K254,Assignments!$F$6:$F$1000,$C$4,Assignments!$D$6:$D$1000,"&gt;="&amp;Config!$B$3-7,Assignments!$D$6:$D$1000,"&lt;="&amp;Config!$B$3)))</f>
        <v/>
      </c>
      <c r="T254" s="40" t="str">
        <f>IF($K254="","",IFERROR(VLOOKUP($K254,Grinders!$A$4:$N$998,8,FALSE),""))</f>
        <v/>
      </c>
      <c r="U254" s="40" t="str">
        <f>IFERROR(IF($K254="","",IF($M254="Elite",MAX(50,MIN(100,Config!$B$27*MAX(0,MIN(100,(1-IF($R254="",0,$R254))*100)) + Config!$B$28*MAX(0,MIN(100,(1-MIN(1,IF(Config!$B$30=0,1,$S254/Config!$B$30)))*100)) + Config!$B$29*MAX(0,MIN(100,MIN(1,IF($T254="",0,$T254)/Config!$B$23)*100)))),MIN(100,Config!$B$27*MAX(0,MIN(100,(1-IF($R254="",0,$R254))*100)) + Config!$B$28*MAX(0,MIN(100,(1-MIN(1,IF(Config!$B$30=0,1,$S254/Config!$B$30)))*100)) + Config!$B$29*MAX(0,MIN(100,MIN(1,IF($T254="",0,$T254)/Config!$B$23)*100))))),"")
</f>
        <v/>
      </c>
      <c r="V254" s="40" t="str">
        <f>IF(Bids!$AC254="","",Bids!$AC254)</f>
        <v/>
      </c>
      <c r="W254" s="40" t="str">
        <f>IF(Bids!$F253="","",Bids!$F253)</f>
        <v/>
      </c>
      <c r="X254" s="40" t="str">
        <f t="shared" si="5"/>
        <v/>
      </c>
      <c r="Y254" s="40" t="str">
        <f>IF($X254="","",IF(Config!$B$17=Config!$B$16,IF($X254&gt;=Config!$B$17,100,0),MAX(0,MIN(100,($X254-Config!$B$16)/(Config!$B$17-Config!$B$16)*100))))</f>
        <v/>
      </c>
      <c r="Z254" s="40">
        <f>IF($M254="Elite",Config!$B$21,0)</f>
        <v>0</v>
      </c>
      <c r="AA254" s="40" t="str">
        <f>IFERROR(IF(OR($W254="",$H254=""),"",IF($W254&gt;$H254,
  MAX(0, 60-(($W254-$H254)*24/Config!$B$19)*60),
  MIN(100, 60+(($H254-$W254)*24/Config!$B$20)*40)
)),"")
</f>
        <v/>
      </c>
      <c r="AB254" s="40" t="str">
        <f>IF($K254="","",IFERROR(VLOOKUP($K254,Grinders!$A$4:$N$998,10,FALSE)/5*100,""))</f>
        <v/>
      </c>
      <c r="AC254" s="40" t="str">
        <f>IF($K254="","",IFERROR(VLOOKUP($K254,Grinders!$A$4:$N$998,11,FALSE)*100,""))</f>
        <v/>
      </c>
      <c r="AD254" s="40" t="str">
        <f>IF($K254="","",IFERROR(VLOOKUP($K254,Grinders!$A$4:$N$998,12,FALSE)*100,""))</f>
        <v/>
      </c>
      <c r="AE254" s="40" t="str">
        <f>IF(OR(AO254=1,AP254=1),0,=IFERROR(IFS(
    OR($C254="", $K254=""), 0,
    $F254=0, 0,
    $D254&lt;&gt;"Open", 0,
    COUNTIFS(GrinderServices!$A$6:$A$1000, $K254, GrinderServices!$B$6:$B$1000, $E254, GrinderServices!$D$6:$D$1000, "Y")=0, 0,
    $X254&lt;Config!$B$16, 0,
    Config!$B$18=1, IF($O254&gt;=N254, 0, 1),
    TRUE, 1
), "")
)</f>
        <v>#ERROR!</v>
      </c>
      <c r="AF254" s="40" t="str">
        <f>IFERROR((IF(OR(AO254=1,AP254=1),"",=IFERROR((IFERROR(IF($AE254=0,"",((Config!$B$6*$Y254 + Config!$B$7*$U254 + Config!$B$8*$Z254 + Config!$B$9*$AA254 + Config!$B$10*$AB254 + Config!$B$11*$AC254 - Config!$B$12*$AD254)/Config!$B$13)+$AK254+$AL254),""))*(1-IFERROR(VLOOKUP(K254,Grinders!$A:$AB, 28, FALSE),0)),"")))*(1+AR254),"")</f>
        <v>#ERROR!</v>
      </c>
      <c r="AG254" s="40" t="str">
        <f t="shared" si="6"/>
        <v>#ERROR!</v>
      </c>
      <c r="AH254" s="40" t="str">
        <f t="shared" si="7"/>
        <v/>
      </c>
      <c r="AI254" s="40" t="str">
        <f t="shared" si="8"/>
        <v/>
      </c>
      <c r="AJ254" s="40" t="str">
        <f>IF($K254="","",COUNTIF(Assignments!$B$6:$B$1000,$K254))</f>
        <v/>
      </c>
      <c r="AK254" s="40" t="str">
        <f>IF($K254="","",IF(AND($AJ254=0,$O254&lt;$N254),Config!$B$43,0))</f>
        <v/>
      </c>
      <c r="AL254" s="40" t="str">
        <f>IF($K254="","",IF(AND($M254="Elite",$G254&gt;=Config!$B$41,$O254&lt;$N254),Config!$B$42,0))</f>
        <v/>
      </c>
      <c r="AM254" s="22"/>
      <c r="AN254" s="39">
        <f>IFERROR(VLOOKUP(K254,Grinders!$A:$Q,28,FALSE),0)</f>
        <v>0</v>
      </c>
      <c r="AO254" s="39">
        <f>IF(Config!$B$1003&lt;&gt;"Y",0,IF(IFERROR(VLOOKUP(K254,Grinders!$A:$P,27,FALSE),0)&gt;=3,IF(OR(G254&gt;=Config!$B$1001,ISNUMBER(SEARCH(E254,Config!$B$1002))),1,0),0))</f>
        <v>0</v>
      </c>
      <c r="AP254" s="39">
        <f t="array" ref="AP254">IFERROR(IF(INDEX(Bids!$AE:$AE,MATCH(B254,Bids!$A:$A,0))="Pending",1,0),0)</f>
        <v>0</v>
      </c>
      <c r="AQ254" s="39" t="str">
        <f t="array" ref="AQ254">IF(C254="","",IFERROR(XLOOKUP(C254,Assignments!$C:$C,Assignments!$AU:$AU,0),0))</f>
        <v/>
      </c>
      <c r="AR254" s="39">
        <f>IF(AND(Config!$B$1006="Y",AQ254=1),Config!$B$1007,0)</f>
        <v>0</v>
      </c>
    </row>
    <row r="255" ht="15.75" customHeight="1">
      <c r="A255" s="46" t="str">
        <f t="shared" si="1"/>
        <v/>
      </c>
      <c r="B255" s="40" t="str">
        <f>IF(Bids!$A254="","",Bids!$A254)</f>
        <v/>
      </c>
      <c r="C255" s="40" t="str">
        <f>IF(Bids!$B254="","",Bids!$B254)</f>
        <v/>
      </c>
      <c r="D255" s="40" t="str">
        <f>IF($C255="","",IFERROR(VLOOKUP($C255,Orders!$A$4:$J$998,9,FALSE),""))</f>
        <v/>
      </c>
      <c r="E255" s="40" t="str">
        <f>IF($C255="","",IFERROR(VLOOKUP($C255,Orders!$A$4:$J$998,3,FALSE),""))</f>
        <v/>
      </c>
      <c r="F255" s="40">
        <f t="shared" si="2"/>
        <v>1</v>
      </c>
      <c r="G255" s="40" t="str">
        <f>IF($C255="","",IFERROR(VLOOKUP($C255,Orders!$A$4:$J$998,4,FALSE),""))</f>
        <v/>
      </c>
      <c r="H255" s="40" t="str">
        <f>IF($C255="","",IFERROR(VLOOKUP($C255,Orders!$A$4:$J$998,5,FALSE),""))</f>
        <v/>
      </c>
      <c r="I255" s="40" t="str">
        <f>IF($C255="","",IFERROR(VLOOKUP($C255,Orders!$A$4:$J$998,6,FALSE),""))</f>
        <v/>
      </c>
      <c r="J255" s="40" t="str">
        <f>IF($C255="","",IFERROR(VLOOKUP($C255,Orders!$A$4:$J$998,7,FALSE),""))</f>
        <v/>
      </c>
      <c r="K255" s="40" t="str">
        <f>IF(Bids!$C254="","",Bids!$C254)</f>
        <v/>
      </c>
      <c r="L255" s="40" t="str">
        <f>IF($K255="","",IFERROR(VLOOKUP($K255,Grinders!$A$4:$N$998,2,FALSE),""))</f>
        <v/>
      </c>
      <c r="M255" s="40" t="str">
        <f>IF($K255="","",IFERROR(VLOOKUP($K255,Grinders!$A$4:$N$998,3,FALSE),""))</f>
        <v/>
      </c>
      <c r="N255" s="40" t="str">
        <f>IF($K255="","",IFERROR(VLOOKUP($K255,Grinders!$A$4:$N$998,4,FALSE),""))</f>
        <v/>
      </c>
      <c r="O255" s="40" t="str">
        <f>IF($K255="","",IFERROR(VLOOKUP($K255,Grinders!$A$4:$N$998,5,FALSE),""))</f>
        <v/>
      </c>
      <c r="P255" s="40" t="str">
        <f>IF($K255="","",IF($C$4="",0,COUNTIFS(Assignments!$B$6:$B$1000,$K255,Assignments!$F$6:$F$1000,$C$4,Assignments!$E$6:$E$1000,"Active")))</f>
        <v/>
      </c>
      <c r="Q255" s="40" t="str">
        <f t="shared" si="3"/>
        <v/>
      </c>
      <c r="R255" s="40" t="str">
        <f t="shared" si="4"/>
        <v/>
      </c>
      <c r="S255" s="40" t="str">
        <f>IF($K255="","",IF($C$4="",0,COUNTIFS(Assignments!$B$6:$B$1000,$K255,Assignments!$F$6:$F$1000,$C$4,Assignments!$D$6:$D$1000,"&gt;="&amp;Config!$B$3-7,Assignments!$D$6:$D$1000,"&lt;="&amp;Config!$B$3)))</f>
        <v/>
      </c>
      <c r="T255" s="40" t="str">
        <f>IF($K255="","",IFERROR(VLOOKUP($K255,Grinders!$A$4:$N$998,8,FALSE),""))</f>
        <v/>
      </c>
      <c r="U255" s="40" t="str">
        <f>IFERROR(IF($K255="","",IF($M255="Elite",MAX(50,MIN(100,Config!$B$27*MAX(0,MIN(100,(1-IF($R255="",0,$R255))*100)) + Config!$B$28*MAX(0,MIN(100,(1-MIN(1,IF(Config!$B$30=0,1,$S255/Config!$B$30)))*100)) + Config!$B$29*MAX(0,MIN(100,MIN(1,IF($T255="",0,$T255)/Config!$B$23)*100)))),MIN(100,Config!$B$27*MAX(0,MIN(100,(1-IF($R255="",0,$R255))*100)) + Config!$B$28*MAX(0,MIN(100,(1-MIN(1,IF(Config!$B$30=0,1,$S255/Config!$B$30)))*100)) + Config!$B$29*MAX(0,MIN(100,MIN(1,IF($T255="",0,$T255)/Config!$B$23)*100))))),"")
</f>
        <v/>
      </c>
      <c r="V255" s="40" t="str">
        <f>IF(Bids!$AC255="","",Bids!$AC255)</f>
        <v/>
      </c>
      <c r="W255" s="40" t="str">
        <f>IF(Bids!$F254="","",Bids!$F254)</f>
        <v/>
      </c>
      <c r="X255" s="40" t="str">
        <f t="shared" si="5"/>
        <v/>
      </c>
      <c r="Y255" s="40" t="str">
        <f>IF($X255="","",IF(Config!$B$17=Config!$B$16,IF($X255&gt;=Config!$B$17,100,0),MAX(0,MIN(100,($X255-Config!$B$16)/(Config!$B$17-Config!$B$16)*100))))</f>
        <v/>
      </c>
      <c r="Z255" s="40">
        <f>IF($M255="Elite",Config!$B$21,0)</f>
        <v>0</v>
      </c>
      <c r="AA255" s="40" t="str">
        <f>IFERROR(IF(OR($W255="",$H255=""),"",IF($W255&gt;$H255,
  MAX(0, 60-(($W255-$H255)*24/Config!$B$19)*60),
  MIN(100, 60+(($H255-$W255)*24/Config!$B$20)*40)
)),"")
</f>
        <v/>
      </c>
      <c r="AB255" s="40" t="str">
        <f>IF($K255="","",IFERROR(VLOOKUP($K255,Grinders!$A$4:$N$998,10,FALSE)/5*100,""))</f>
        <v/>
      </c>
      <c r="AC255" s="40" t="str">
        <f>IF($K255="","",IFERROR(VLOOKUP($K255,Grinders!$A$4:$N$998,11,FALSE)*100,""))</f>
        <v/>
      </c>
      <c r="AD255" s="40" t="str">
        <f>IF($K255="","",IFERROR(VLOOKUP($K255,Grinders!$A$4:$N$998,12,FALSE)*100,""))</f>
        <v/>
      </c>
      <c r="AE255" s="40" t="str">
        <f>IF(OR(AO255=1,AP255=1),0,=IFERROR(IFS(
    OR($C255="", $K255=""), 0,
    $F255=0, 0,
    $D255&lt;&gt;"Open", 0,
    COUNTIFS(GrinderServices!$A$6:$A$1000, $K255, GrinderServices!$B$6:$B$1000, $E255, GrinderServices!$D$6:$D$1000, "Y")=0, 0,
    $X255&lt;Config!$B$16, 0,
    Config!$B$18=1, IF($O255&gt;=N255, 0, 1),
    TRUE, 1
), "")
)</f>
        <v>#ERROR!</v>
      </c>
      <c r="AF255" s="40" t="str">
        <f>IFERROR((IF(OR(AO255=1,AP255=1),"",=IFERROR((IFERROR(IF($AE255=0,"",((Config!$B$6*$Y255 + Config!$B$7*$U255 + Config!$B$8*$Z255 + Config!$B$9*$AA255 + Config!$B$10*$AB255 + Config!$B$11*$AC255 - Config!$B$12*$AD255)/Config!$B$13)+$AK255+$AL255),""))*(1-IFERROR(VLOOKUP(K255,Grinders!$A:$AB, 28, FALSE),0)),"")))*(1+AR255),"")</f>
        <v>#ERROR!</v>
      </c>
      <c r="AG255" s="40" t="str">
        <f t="shared" si="6"/>
        <v>#ERROR!</v>
      </c>
      <c r="AH255" s="40" t="str">
        <f t="shared" si="7"/>
        <v/>
      </c>
      <c r="AI255" s="40" t="str">
        <f t="shared" si="8"/>
        <v/>
      </c>
      <c r="AJ255" s="40" t="str">
        <f>IF($K255="","",COUNTIF(Assignments!$B$6:$B$1000,$K255))</f>
        <v/>
      </c>
      <c r="AK255" s="40" t="str">
        <f>IF($K255="","",IF(AND($AJ255=0,$O255&lt;$N255),Config!$B$43,0))</f>
        <v/>
      </c>
      <c r="AL255" s="40" t="str">
        <f>IF($K255="","",IF(AND($M255="Elite",$G255&gt;=Config!$B$41,$O255&lt;$N255),Config!$B$42,0))</f>
        <v/>
      </c>
      <c r="AM255" s="22"/>
      <c r="AN255" s="39">
        <f>IFERROR(VLOOKUP(K255,Grinders!$A:$Q,28,FALSE),0)</f>
        <v>0</v>
      </c>
      <c r="AO255" s="39">
        <f>IF(Config!$B$1003&lt;&gt;"Y",0,IF(IFERROR(VLOOKUP(K255,Grinders!$A:$P,27,FALSE),0)&gt;=3,IF(OR(G255&gt;=Config!$B$1001,ISNUMBER(SEARCH(E255,Config!$B$1002))),1,0),0))</f>
        <v>0</v>
      </c>
      <c r="AP255" s="39">
        <f t="array" ref="AP255">IFERROR(IF(INDEX(Bids!$AE:$AE,MATCH(B255,Bids!$A:$A,0))="Pending",1,0),0)</f>
        <v>0</v>
      </c>
      <c r="AQ255" s="39" t="str">
        <f t="array" ref="AQ255">IF(C255="","",IFERROR(XLOOKUP(C255,Assignments!$C:$C,Assignments!$AU:$AU,0),0))</f>
        <v/>
      </c>
      <c r="AR255" s="39">
        <f>IF(AND(Config!$B$1006="Y",AQ255=1),Config!$B$1007,0)</f>
        <v>0</v>
      </c>
    </row>
    <row r="256" ht="15.75" customHeight="1">
      <c r="A256" s="46" t="str">
        <f t="shared" si="1"/>
        <v/>
      </c>
      <c r="B256" s="40" t="str">
        <f>IF(Bids!$A255="","",Bids!$A255)</f>
        <v/>
      </c>
      <c r="C256" s="40" t="str">
        <f>IF(Bids!$B255="","",Bids!$B255)</f>
        <v/>
      </c>
      <c r="D256" s="40" t="str">
        <f>IF($C256="","",IFERROR(VLOOKUP($C256,Orders!$A$4:$J$998,9,FALSE),""))</f>
        <v/>
      </c>
      <c r="E256" s="40" t="str">
        <f>IF($C256="","",IFERROR(VLOOKUP($C256,Orders!$A$4:$J$998,3,FALSE),""))</f>
        <v/>
      </c>
      <c r="F256" s="40">
        <f t="shared" si="2"/>
        <v>1</v>
      </c>
      <c r="G256" s="40" t="str">
        <f>IF($C256="","",IFERROR(VLOOKUP($C256,Orders!$A$4:$J$998,4,FALSE),""))</f>
        <v/>
      </c>
      <c r="H256" s="40" t="str">
        <f>IF($C256="","",IFERROR(VLOOKUP($C256,Orders!$A$4:$J$998,5,FALSE),""))</f>
        <v/>
      </c>
      <c r="I256" s="40" t="str">
        <f>IF($C256="","",IFERROR(VLOOKUP($C256,Orders!$A$4:$J$998,6,FALSE),""))</f>
        <v/>
      </c>
      <c r="J256" s="40" t="str">
        <f>IF($C256="","",IFERROR(VLOOKUP($C256,Orders!$A$4:$J$998,7,FALSE),""))</f>
        <v/>
      </c>
      <c r="K256" s="40" t="str">
        <f>IF(Bids!$C255="","",Bids!$C255)</f>
        <v/>
      </c>
      <c r="L256" s="40" t="str">
        <f>IF($K256="","",IFERROR(VLOOKUP($K256,Grinders!$A$4:$N$998,2,FALSE),""))</f>
        <v/>
      </c>
      <c r="M256" s="40" t="str">
        <f>IF($K256="","",IFERROR(VLOOKUP($K256,Grinders!$A$4:$N$998,3,FALSE),""))</f>
        <v/>
      </c>
      <c r="N256" s="40" t="str">
        <f>IF($K256="","",IFERROR(VLOOKUP($K256,Grinders!$A$4:$N$998,4,FALSE),""))</f>
        <v/>
      </c>
      <c r="O256" s="40" t="str">
        <f>IF($K256="","",IFERROR(VLOOKUP($K256,Grinders!$A$4:$N$998,5,FALSE),""))</f>
        <v/>
      </c>
      <c r="P256" s="40" t="str">
        <f>IF($K256="","",IF($C$4="",0,COUNTIFS(Assignments!$B$6:$B$1000,$K256,Assignments!$F$6:$F$1000,$C$4,Assignments!$E$6:$E$1000,"Active")))</f>
        <v/>
      </c>
      <c r="Q256" s="40" t="str">
        <f t="shared" si="3"/>
        <v/>
      </c>
      <c r="R256" s="40" t="str">
        <f t="shared" si="4"/>
        <v/>
      </c>
      <c r="S256" s="40" t="str">
        <f>IF($K256="","",IF($C$4="",0,COUNTIFS(Assignments!$B$6:$B$1000,$K256,Assignments!$F$6:$F$1000,$C$4,Assignments!$D$6:$D$1000,"&gt;="&amp;Config!$B$3-7,Assignments!$D$6:$D$1000,"&lt;="&amp;Config!$B$3)))</f>
        <v/>
      </c>
      <c r="T256" s="40" t="str">
        <f>IF($K256="","",IFERROR(VLOOKUP($K256,Grinders!$A$4:$N$998,8,FALSE),""))</f>
        <v/>
      </c>
      <c r="U256" s="40" t="str">
        <f>IFERROR(IF($K256="","",IF($M256="Elite",MAX(50,MIN(100,Config!$B$27*MAX(0,MIN(100,(1-IF($R256="",0,$R256))*100)) + Config!$B$28*MAX(0,MIN(100,(1-MIN(1,IF(Config!$B$30=0,1,$S256/Config!$B$30)))*100)) + Config!$B$29*MAX(0,MIN(100,MIN(1,IF($T256="",0,$T256)/Config!$B$23)*100)))),MIN(100,Config!$B$27*MAX(0,MIN(100,(1-IF($R256="",0,$R256))*100)) + Config!$B$28*MAX(0,MIN(100,(1-MIN(1,IF(Config!$B$30=0,1,$S256/Config!$B$30)))*100)) + Config!$B$29*MAX(0,MIN(100,MIN(1,IF($T256="",0,$T256)/Config!$B$23)*100))))),"")
</f>
        <v/>
      </c>
      <c r="V256" s="40" t="str">
        <f>IF(Bids!$AC256="","",Bids!$AC256)</f>
        <v/>
      </c>
      <c r="W256" s="40" t="str">
        <f>IF(Bids!$F255="","",Bids!$F255)</f>
        <v/>
      </c>
      <c r="X256" s="40" t="str">
        <f t="shared" si="5"/>
        <v/>
      </c>
      <c r="Y256" s="40" t="str">
        <f>IF($X256="","",IF(Config!$B$17=Config!$B$16,IF($X256&gt;=Config!$B$17,100,0),MAX(0,MIN(100,($X256-Config!$B$16)/(Config!$B$17-Config!$B$16)*100))))</f>
        <v/>
      </c>
      <c r="Z256" s="40">
        <f>IF($M256="Elite",Config!$B$21,0)</f>
        <v>0</v>
      </c>
      <c r="AA256" s="40" t="str">
        <f>IFERROR(IF(OR($W256="",$H256=""),"",IF($W256&gt;$H256,
  MAX(0, 60-(($W256-$H256)*24/Config!$B$19)*60),
  MIN(100, 60+(($H256-$W256)*24/Config!$B$20)*40)
)),"")
</f>
        <v/>
      </c>
      <c r="AB256" s="40" t="str">
        <f>IF($K256="","",IFERROR(VLOOKUP($K256,Grinders!$A$4:$N$998,10,FALSE)/5*100,""))</f>
        <v/>
      </c>
      <c r="AC256" s="40" t="str">
        <f>IF($K256="","",IFERROR(VLOOKUP($K256,Grinders!$A$4:$N$998,11,FALSE)*100,""))</f>
        <v/>
      </c>
      <c r="AD256" s="40" t="str">
        <f>IF($K256="","",IFERROR(VLOOKUP($K256,Grinders!$A$4:$N$998,12,FALSE)*100,""))</f>
        <v/>
      </c>
      <c r="AE256" s="40" t="str">
        <f>IF(OR(AO256=1,AP256=1),0,=IFERROR(IFS(
    OR($C256="", $K256=""), 0,
    $F256=0, 0,
    $D256&lt;&gt;"Open", 0,
    COUNTIFS(GrinderServices!$A$6:$A$1000, $K256, GrinderServices!$B$6:$B$1000, $E256, GrinderServices!$D$6:$D$1000, "Y")=0, 0,
    $X256&lt;Config!$B$16, 0,
    Config!$B$18=1, IF($O256&gt;=N256, 0, 1),
    TRUE, 1
), "")
)</f>
        <v>#ERROR!</v>
      </c>
      <c r="AF256" s="40" t="str">
        <f>IFERROR((IF(OR(AO256=1,AP256=1),"",=IFERROR((IFERROR(IF($AE256=0,"",((Config!$B$6*$Y256 + Config!$B$7*$U256 + Config!$B$8*$Z256 + Config!$B$9*$AA256 + Config!$B$10*$AB256 + Config!$B$11*$AC256 - Config!$B$12*$AD256)/Config!$B$13)+$AK256+$AL256),""))*(1-IFERROR(VLOOKUP(K256,Grinders!$A:$AB, 28, FALSE),0)),"")))*(1+AR256),"")</f>
        <v>#ERROR!</v>
      </c>
      <c r="AG256" s="40" t="str">
        <f t="shared" si="6"/>
        <v>#ERROR!</v>
      </c>
      <c r="AH256" s="40" t="str">
        <f t="shared" si="7"/>
        <v/>
      </c>
      <c r="AI256" s="40" t="str">
        <f t="shared" si="8"/>
        <v/>
      </c>
      <c r="AJ256" s="40" t="str">
        <f>IF($K256="","",COUNTIF(Assignments!$B$6:$B$1000,$K256))</f>
        <v/>
      </c>
      <c r="AK256" s="40" t="str">
        <f>IF($K256="","",IF(AND($AJ256=0,$O256&lt;$N256),Config!$B$43,0))</f>
        <v/>
      </c>
      <c r="AL256" s="40" t="str">
        <f>IF($K256="","",IF(AND($M256="Elite",$G256&gt;=Config!$B$41,$O256&lt;$N256),Config!$B$42,0))</f>
        <v/>
      </c>
      <c r="AM256" s="22"/>
      <c r="AN256" s="39">
        <f>IFERROR(VLOOKUP(K256,Grinders!$A:$Q,28,FALSE),0)</f>
        <v>0</v>
      </c>
      <c r="AO256" s="39">
        <f>IF(Config!$B$1003&lt;&gt;"Y",0,IF(IFERROR(VLOOKUP(K256,Grinders!$A:$P,27,FALSE),0)&gt;=3,IF(OR(G256&gt;=Config!$B$1001,ISNUMBER(SEARCH(E256,Config!$B$1002))),1,0),0))</f>
        <v>0</v>
      </c>
      <c r="AP256" s="39">
        <f t="array" ref="AP256">IFERROR(IF(INDEX(Bids!$AE:$AE,MATCH(B256,Bids!$A:$A,0))="Pending",1,0),0)</f>
        <v>0</v>
      </c>
      <c r="AQ256" s="39" t="str">
        <f t="array" ref="AQ256">IF(C256="","",IFERROR(XLOOKUP(C256,Assignments!$C:$C,Assignments!$AU:$AU,0),0))</f>
        <v/>
      </c>
      <c r="AR256" s="39">
        <f>IF(AND(Config!$B$1006="Y",AQ256=1),Config!$B$1007,0)</f>
        <v>0</v>
      </c>
    </row>
    <row r="257" ht="15.75" customHeight="1">
      <c r="A257" s="46" t="str">
        <f t="shared" si="1"/>
        <v/>
      </c>
      <c r="B257" s="40" t="str">
        <f>IF(Bids!$A256="","",Bids!$A256)</f>
        <v/>
      </c>
      <c r="C257" s="40" t="str">
        <f>IF(Bids!$B256="","",Bids!$B256)</f>
        <v/>
      </c>
      <c r="D257" s="40" t="str">
        <f>IF($C257="","",IFERROR(VLOOKUP($C257,Orders!$A$4:$J$998,9,FALSE),""))</f>
        <v/>
      </c>
      <c r="E257" s="40" t="str">
        <f>IF($C257="","",IFERROR(VLOOKUP($C257,Orders!$A$4:$J$998,3,FALSE),""))</f>
        <v/>
      </c>
      <c r="F257" s="40">
        <f t="shared" si="2"/>
        <v>1</v>
      </c>
      <c r="G257" s="40" t="str">
        <f>IF($C257="","",IFERROR(VLOOKUP($C257,Orders!$A$4:$J$998,4,FALSE),""))</f>
        <v/>
      </c>
      <c r="H257" s="40" t="str">
        <f>IF($C257="","",IFERROR(VLOOKUP($C257,Orders!$A$4:$J$998,5,FALSE),""))</f>
        <v/>
      </c>
      <c r="I257" s="40" t="str">
        <f>IF($C257="","",IFERROR(VLOOKUP($C257,Orders!$A$4:$J$998,6,FALSE),""))</f>
        <v/>
      </c>
      <c r="J257" s="40" t="str">
        <f>IF($C257="","",IFERROR(VLOOKUP($C257,Orders!$A$4:$J$998,7,FALSE),""))</f>
        <v/>
      </c>
      <c r="K257" s="40" t="str">
        <f>IF(Bids!$C256="","",Bids!$C256)</f>
        <v/>
      </c>
      <c r="L257" s="40" t="str">
        <f>IF($K257="","",IFERROR(VLOOKUP($K257,Grinders!$A$4:$N$998,2,FALSE),""))</f>
        <v/>
      </c>
      <c r="M257" s="40" t="str">
        <f>IF($K257="","",IFERROR(VLOOKUP($K257,Grinders!$A$4:$N$998,3,FALSE),""))</f>
        <v/>
      </c>
      <c r="N257" s="40" t="str">
        <f>IF($K257="","",IFERROR(VLOOKUP($K257,Grinders!$A$4:$N$998,4,FALSE),""))</f>
        <v/>
      </c>
      <c r="O257" s="40" t="str">
        <f>IF($K257="","",IFERROR(VLOOKUP($K257,Grinders!$A$4:$N$998,5,FALSE),""))</f>
        <v/>
      </c>
      <c r="P257" s="40" t="str">
        <f>IF($K257="","",IF($C$4="",0,COUNTIFS(Assignments!$B$6:$B$1000,$K257,Assignments!$F$6:$F$1000,$C$4,Assignments!$E$6:$E$1000,"Active")))</f>
        <v/>
      </c>
      <c r="Q257" s="40" t="str">
        <f t="shared" si="3"/>
        <v/>
      </c>
      <c r="R257" s="40" t="str">
        <f t="shared" si="4"/>
        <v/>
      </c>
      <c r="S257" s="40" t="str">
        <f>IF($K257="","",IF($C$4="",0,COUNTIFS(Assignments!$B$6:$B$1000,$K257,Assignments!$F$6:$F$1000,$C$4,Assignments!$D$6:$D$1000,"&gt;="&amp;Config!$B$3-7,Assignments!$D$6:$D$1000,"&lt;="&amp;Config!$B$3)))</f>
        <v/>
      </c>
      <c r="T257" s="40" t="str">
        <f>IF($K257="","",IFERROR(VLOOKUP($K257,Grinders!$A$4:$N$998,8,FALSE),""))</f>
        <v/>
      </c>
      <c r="U257" s="40" t="str">
        <f>IFERROR(IF($K257="","",IF($M257="Elite",MAX(50,MIN(100,Config!$B$27*MAX(0,MIN(100,(1-IF($R257="",0,$R257))*100)) + Config!$B$28*MAX(0,MIN(100,(1-MIN(1,IF(Config!$B$30=0,1,$S257/Config!$B$30)))*100)) + Config!$B$29*MAX(0,MIN(100,MIN(1,IF($T257="",0,$T257)/Config!$B$23)*100)))),MIN(100,Config!$B$27*MAX(0,MIN(100,(1-IF($R257="",0,$R257))*100)) + Config!$B$28*MAX(0,MIN(100,(1-MIN(1,IF(Config!$B$30=0,1,$S257/Config!$B$30)))*100)) + Config!$B$29*MAX(0,MIN(100,MIN(1,IF($T257="",0,$T257)/Config!$B$23)*100))))),"")
</f>
        <v/>
      </c>
      <c r="V257" s="40" t="str">
        <f>IF(Bids!$AC257="","",Bids!$AC257)</f>
        <v/>
      </c>
      <c r="W257" s="40" t="str">
        <f>IF(Bids!$F256="","",Bids!$F256)</f>
        <v/>
      </c>
      <c r="X257" s="40" t="str">
        <f t="shared" si="5"/>
        <v/>
      </c>
      <c r="Y257" s="40" t="str">
        <f>IF($X257="","",IF(Config!$B$17=Config!$B$16,IF($X257&gt;=Config!$B$17,100,0),MAX(0,MIN(100,($X257-Config!$B$16)/(Config!$B$17-Config!$B$16)*100))))</f>
        <v/>
      </c>
      <c r="Z257" s="40">
        <f>IF($M257="Elite",Config!$B$21,0)</f>
        <v>0</v>
      </c>
      <c r="AA257" s="40" t="str">
        <f>IFERROR(IF(OR($W257="",$H257=""),"",IF($W257&gt;$H257,
  MAX(0, 60-(($W257-$H257)*24/Config!$B$19)*60),
  MIN(100, 60+(($H257-$W257)*24/Config!$B$20)*40)
)),"")
</f>
        <v/>
      </c>
      <c r="AB257" s="40" t="str">
        <f>IF($K257="","",IFERROR(VLOOKUP($K257,Grinders!$A$4:$N$998,10,FALSE)/5*100,""))</f>
        <v/>
      </c>
      <c r="AC257" s="40" t="str">
        <f>IF($K257="","",IFERROR(VLOOKUP($K257,Grinders!$A$4:$N$998,11,FALSE)*100,""))</f>
        <v/>
      </c>
      <c r="AD257" s="40" t="str">
        <f>IF($K257="","",IFERROR(VLOOKUP($K257,Grinders!$A$4:$N$998,12,FALSE)*100,""))</f>
        <v/>
      </c>
      <c r="AE257" s="40" t="str">
        <f>IF(OR(AO257=1,AP257=1),0,=IFERROR(IFS(
    OR($C257="", $K257=""), 0,
    $F257=0, 0,
    $D257&lt;&gt;"Open", 0,
    COUNTIFS(GrinderServices!$A$6:$A$1000, $K257, GrinderServices!$B$6:$B$1000, $E257, GrinderServices!$D$6:$D$1000, "Y")=0, 0,
    $X257&lt;Config!$B$16, 0,
    Config!$B$18=1, IF($O257&gt;=N257, 0, 1),
    TRUE, 1
), "")
)</f>
        <v>#ERROR!</v>
      </c>
      <c r="AF257" s="40" t="str">
        <f>IFERROR((IF(OR(AO257=1,AP257=1),"",=IFERROR((IFERROR(IF($AE257=0,"",((Config!$B$6*$Y257 + Config!$B$7*$U257 + Config!$B$8*$Z257 + Config!$B$9*$AA257 + Config!$B$10*$AB257 + Config!$B$11*$AC257 - Config!$B$12*$AD257)/Config!$B$13)+$AK257+$AL257),""))*(1-IFERROR(VLOOKUP(K257,Grinders!$A:$AB, 28, FALSE),0)),"")))*(1+AR257),"")</f>
        <v>#ERROR!</v>
      </c>
      <c r="AG257" s="40" t="str">
        <f t="shared" si="6"/>
        <v>#ERROR!</v>
      </c>
      <c r="AH257" s="40" t="str">
        <f t="shared" si="7"/>
        <v/>
      </c>
      <c r="AI257" s="40" t="str">
        <f t="shared" si="8"/>
        <v/>
      </c>
      <c r="AJ257" s="40" t="str">
        <f>IF($K257="","",COUNTIF(Assignments!$B$6:$B$1000,$K257))</f>
        <v/>
      </c>
      <c r="AK257" s="40" t="str">
        <f>IF($K257="","",IF(AND($AJ257=0,$O257&lt;$N257),Config!$B$43,0))</f>
        <v/>
      </c>
      <c r="AL257" s="40" t="str">
        <f>IF($K257="","",IF(AND($M257="Elite",$G257&gt;=Config!$B$41,$O257&lt;$N257),Config!$B$42,0))</f>
        <v/>
      </c>
      <c r="AM257" s="22"/>
      <c r="AN257" s="39">
        <f>IFERROR(VLOOKUP(K257,Grinders!$A:$Q,28,FALSE),0)</f>
        <v>0</v>
      </c>
      <c r="AO257" s="39">
        <f>IF(Config!$B$1003&lt;&gt;"Y",0,IF(IFERROR(VLOOKUP(K257,Grinders!$A:$P,27,FALSE),0)&gt;=3,IF(OR(G257&gt;=Config!$B$1001,ISNUMBER(SEARCH(E257,Config!$B$1002))),1,0),0))</f>
        <v>0</v>
      </c>
      <c r="AP257" s="39">
        <f t="array" ref="AP257">IFERROR(IF(INDEX(Bids!$AE:$AE,MATCH(B257,Bids!$A:$A,0))="Pending",1,0),0)</f>
        <v>0</v>
      </c>
      <c r="AQ257" s="39" t="str">
        <f t="array" ref="AQ257">IF(C257="","",IFERROR(XLOOKUP(C257,Assignments!$C:$C,Assignments!$AU:$AU,0),0))</f>
        <v/>
      </c>
      <c r="AR257" s="39">
        <f>IF(AND(Config!$B$1006="Y",AQ257=1),Config!$B$1007,0)</f>
        <v>0</v>
      </c>
    </row>
    <row r="258" ht="15.75" customHeight="1">
      <c r="A258" s="46" t="str">
        <f t="shared" si="1"/>
        <v/>
      </c>
      <c r="B258" s="40" t="str">
        <f>IF(Bids!$A257="","",Bids!$A257)</f>
        <v/>
      </c>
      <c r="C258" s="40" t="str">
        <f>IF(Bids!$B257="","",Bids!$B257)</f>
        <v/>
      </c>
      <c r="D258" s="40" t="str">
        <f>IF($C258="","",IFERROR(VLOOKUP($C258,Orders!$A$4:$J$998,9,FALSE),""))</f>
        <v/>
      </c>
      <c r="E258" s="40" t="str">
        <f>IF($C258="","",IFERROR(VLOOKUP($C258,Orders!$A$4:$J$998,3,FALSE),""))</f>
        <v/>
      </c>
      <c r="F258" s="40">
        <f t="shared" si="2"/>
        <v>1</v>
      </c>
      <c r="G258" s="40" t="str">
        <f>IF($C258="","",IFERROR(VLOOKUP($C258,Orders!$A$4:$J$998,4,FALSE),""))</f>
        <v/>
      </c>
      <c r="H258" s="40" t="str">
        <f>IF($C258="","",IFERROR(VLOOKUP($C258,Orders!$A$4:$J$998,5,FALSE),""))</f>
        <v/>
      </c>
      <c r="I258" s="40" t="str">
        <f>IF($C258="","",IFERROR(VLOOKUP($C258,Orders!$A$4:$J$998,6,FALSE),""))</f>
        <v/>
      </c>
      <c r="J258" s="40" t="str">
        <f>IF($C258="","",IFERROR(VLOOKUP($C258,Orders!$A$4:$J$998,7,FALSE),""))</f>
        <v/>
      </c>
      <c r="K258" s="40" t="str">
        <f>IF(Bids!$C257="","",Bids!$C257)</f>
        <v/>
      </c>
      <c r="L258" s="40" t="str">
        <f>IF($K258="","",IFERROR(VLOOKUP($K258,Grinders!$A$4:$N$998,2,FALSE),""))</f>
        <v/>
      </c>
      <c r="M258" s="40" t="str">
        <f>IF($K258="","",IFERROR(VLOOKUP($K258,Grinders!$A$4:$N$998,3,FALSE),""))</f>
        <v/>
      </c>
      <c r="N258" s="40" t="str">
        <f>IF($K258="","",IFERROR(VLOOKUP($K258,Grinders!$A$4:$N$998,4,FALSE),""))</f>
        <v/>
      </c>
      <c r="O258" s="40" t="str">
        <f>IF($K258="","",IFERROR(VLOOKUP($K258,Grinders!$A$4:$N$998,5,FALSE),""))</f>
        <v/>
      </c>
      <c r="P258" s="40" t="str">
        <f>IF($K258="","",IF($C$4="",0,COUNTIFS(Assignments!$B$6:$B$1000,$K258,Assignments!$F$6:$F$1000,$C$4,Assignments!$E$6:$E$1000,"Active")))</f>
        <v/>
      </c>
      <c r="Q258" s="40" t="str">
        <f t="shared" si="3"/>
        <v/>
      </c>
      <c r="R258" s="40" t="str">
        <f t="shared" si="4"/>
        <v/>
      </c>
      <c r="S258" s="40" t="str">
        <f>IF($K258="","",IF($C$4="",0,COUNTIFS(Assignments!$B$6:$B$1000,$K258,Assignments!$F$6:$F$1000,$C$4,Assignments!$D$6:$D$1000,"&gt;="&amp;Config!$B$3-7,Assignments!$D$6:$D$1000,"&lt;="&amp;Config!$B$3)))</f>
        <v/>
      </c>
      <c r="T258" s="40" t="str">
        <f>IF($K258="","",IFERROR(VLOOKUP($K258,Grinders!$A$4:$N$998,8,FALSE),""))</f>
        <v/>
      </c>
      <c r="U258" s="40" t="str">
        <f>IFERROR(IF($K258="","",IF($M258="Elite",MAX(50,MIN(100,Config!$B$27*MAX(0,MIN(100,(1-IF($R258="",0,$R258))*100)) + Config!$B$28*MAX(0,MIN(100,(1-MIN(1,IF(Config!$B$30=0,1,$S258/Config!$B$30)))*100)) + Config!$B$29*MAX(0,MIN(100,MIN(1,IF($T258="",0,$T258)/Config!$B$23)*100)))),MIN(100,Config!$B$27*MAX(0,MIN(100,(1-IF($R258="",0,$R258))*100)) + Config!$B$28*MAX(0,MIN(100,(1-MIN(1,IF(Config!$B$30=0,1,$S258/Config!$B$30)))*100)) + Config!$B$29*MAX(0,MIN(100,MIN(1,IF($T258="",0,$T258)/Config!$B$23)*100))))),"")
</f>
        <v/>
      </c>
      <c r="V258" s="40" t="str">
        <f>IF(Bids!$AC258="","",Bids!$AC258)</f>
        <v/>
      </c>
      <c r="W258" s="40" t="str">
        <f>IF(Bids!$F257="","",Bids!$F257)</f>
        <v/>
      </c>
      <c r="X258" s="40" t="str">
        <f t="shared" si="5"/>
        <v/>
      </c>
      <c r="Y258" s="40" t="str">
        <f>IF($X258="","",IF(Config!$B$17=Config!$B$16,IF($X258&gt;=Config!$B$17,100,0),MAX(0,MIN(100,($X258-Config!$B$16)/(Config!$B$17-Config!$B$16)*100))))</f>
        <v/>
      </c>
      <c r="Z258" s="40">
        <f>IF($M258="Elite",Config!$B$21,0)</f>
        <v>0</v>
      </c>
      <c r="AA258" s="40" t="str">
        <f>IFERROR(IF(OR($W258="",$H258=""),"",IF($W258&gt;$H258,
  MAX(0, 60-(($W258-$H258)*24/Config!$B$19)*60),
  MIN(100, 60+(($H258-$W258)*24/Config!$B$20)*40)
)),"")
</f>
        <v/>
      </c>
      <c r="AB258" s="40" t="str">
        <f>IF($K258="","",IFERROR(VLOOKUP($K258,Grinders!$A$4:$N$998,10,FALSE)/5*100,""))</f>
        <v/>
      </c>
      <c r="AC258" s="40" t="str">
        <f>IF($K258="","",IFERROR(VLOOKUP($K258,Grinders!$A$4:$N$998,11,FALSE)*100,""))</f>
        <v/>
      </c>
      <c r="AD258" s="40" t="str">
        <f>IF($K258="","",IFERROR(VLOOKUP($K258,Grinders!$A$4:$N$998,12,FALSE)*100,""))</f>
        <v/>
      </c>
      <c r="AE258" s="40" t="str">
        <f>IF(OR(AO258=1,AP258=1),0,=IFERROR(IFS(
    OR($C258="", $K258=""), 0,
    $F258=0, 0,
    $D258&lt;&gt;"Open", 0,
    COUNTIFS(GrinderServices!$A$6:$A$1000, $K258, GrinderServices!$B$6:$B$1000, $E258, GrinderServices!$D$6:$D$1000, "Y")=0, 0,
    $X258&lt;Config!$B$16, 0,
    Config!$B$18=1, IF($O258&gt;=N258, 0, 1),
    TRUE, 1
), "")
)</f>
        <v>#ERROR!</v>
      </c>
      <c r="AF258" s="40" t="str">
        <f>IFERROR((IF(OR(AO258=1,AP258=1),"",=IFERROR((IFERROR(IF($AE258=0,"",((Config!$B$6*$Y258 + Config!$B$7*$U258 + Config!$B$8*$Z258 + Config!$B$9*$AA258 + Config!$B$10*$AB258 + Config!$B$11*$AC258 - Config!$B$12*$AD258)/Config!$B$13)+$AK258+$AL258),""))*(1-IFERROR(VLOOKUP(K258,Grinders!$A:$AB, 28, FALSE),0)),"")))*(1+AR258),"")</f>
        <v>#ERROR!</v>
      </c>
      <c r="AG258" s="40" t="str">
        <f t="shared" si="6"/>
        <v>#ERROR!</v>
      </c>
      <c r="AH258" s="40" t="str">
        <f t="shared" si="7"/>
        <v/>
      </c>
      <c r="AI258" s="40" t="str">
        <f t="shared" si="8"/>
        <v/>
      </c>
      <c r="AJ258" s="40" t="str">
        <f>IF($K258="","",COUNTIF(Assignments!$B$6:$B$1000,$K258))</f>
        <v/>
      </c>
      <c r="AK258" s="40" t="str">
        <f>IF($K258="","",IF(AND($AJ258=0,$O258&lt;$N258),Config!$B$43,0))</f>
        <v/>
      </c>
      <c r="AL258" s="40" t="str">
        <f>IF($K258="","",IF(AND($M258="Elite",$G258&gt;=Config!$B$41,$O258&lt;$N258),Config!$B$42,0))</f>
        <v/>
      </c>
      <c r="AM258" s="22"/>
      <c r="AN258" s="39">
        <f>IFERROR(VLOOKUP(K258,Grinders!$A:$Q,28,FALSE),0)</f>
        <v>0</v>
      </c>
      <c r="AO258" s="39">
        <f>IF(Config!$B$1003&lt;&gt;"Y",0,IF(IFERROR(VLOOKUP(K258,Grinders!$A:$P,27,FALSE),0)&gt;=3,IF(OR(G258&gt;=Config!$B$1001,ISNUMBER(SEARCH(E258,Config!$B$1002))),1,0),0))</f>
        <v>0</v>
      </c>
      <c r="AP258" s="39">
        <f t="array" ref="AP258">IFERROR(IF(INDEX(Bids!$AE:$AE,MATCH(B258,Bids!$A:$A,0))="Pending",1,0),0)</f>
        <v>0</v>
      </c>
      <c r="AQ258" s="39" t="str">
        <f t="array" ref="AQ258">IF(C258="","",IFERROR(XLOOKUP(C258,Assignments!$C:$C,Assignments!$AU:$AU,0),0))</f>
        <v/>
      </c>
      <c r="AR258" s="39">
        <f>IF(AND(Config!$B$1006="Y",AQ258=1),Config!$B$1007,0)</f>
        <v>0</v>
      </c>
    </row>
    <row r="259" ht="15.75" customHeight="1">
      <c r="A259" s="46" t="str">
        <f t="shared" si="1"/>
        <v/>
      </c>
      <c r="B259" s="40" t="str">
        <f>IF(Bids!$A258="","",Bids!$A258)</f>
        <v/>
      </c>
      <c r="C259" s="40" t="str">
        <f>IF(Bids!$B258="","",Bids!$B258)</f>
        <v/>
      </c>
      <c r="D259" s="40" t="str">
        <f>IF($C259="","",IFERROR(VLOOKUP($C259,Orders!$A$4:$J$998,9,FALSE),""))</f>
        <v/>
      </c>
      <c r="E259" s="40" t="str">
        <f>IF($C259="","",IFERROR(VLOOKUP($C259,Orders!$A$4:$J$998,3,FALSE),""))</f>
        <v/>
      </c>
      <c r="F259" s="40">
        <f t="shared" si="2"/>
        <v>1</v>
      </c>
      <c r="G259" s="40" t="str">
        <f>IF($C259="","",IFERROR(VLOOKUP($C259,Orders!$A$4:$J$998,4,FALSE),""))</f>
        <v/>
      </c>
      <c r="H259" s="40" t="str">
        <f>IF($C259="","",IFERROR(VLOOKUP($C259,Orders!$A$4:$J$998,5,FALSE),""))</f>
        <v/>
      </c>
      <c r="I259" s="40" t="str">
        <f>IF($C259="","",IFERROR(VLOOKUP($C259,Orders!$A$4:$J$998,6,FALSE),""))</f>
        <v/>
      </c>
      <c r="J259" s="40" t="str">
        <f>IF($C259="","",IFERROR(VLOOKUP($C259,Orders!$A$4:$J$998,7,FALSE),""))</f>
        <v/>
      </c>
      <c r="K259" s="40" t="str">
        <f>IF(Bids!$C258="","",Bids!$C258)</f>
        <v/>
      </c>
      <c r="L259" s="40" t="str">
        <f>IF($K259="","",IFERROR(VLOOKUP($K259,Grinders!$A$4:$N$998,2,FALSE),""))</f>
        <v/>
      </c>
      <c r="M259" s="40" t="str">
        <f>IF($K259="","",IFERROR(VLOOKUP($K259,Grinders!$A$4:$N$998,3,FALSE),""))</f>
        <v/>
      </c>
      <c r="N259" s="40" t="str">
        <f>IF($K259="","",IFERROR(VLOOKUP($K259,Grinders!$A$4:$N$998,4,FALSE),""))</f>
        <v/>
      </c>
      <c r="O259" s="40" t="str">
        <f>IF($K259="","",IFERROR(VLOOKUP($K259,Grinders!$A$4:$N$998,5,FALSE),""))</f>
        <v/>
      </c>
      <c r="P259" s="40" t="str">
        <f>IF($K259="","",IF($C$4="",0,COUNTIFS(Assignments!$B$6:$B$1000,$K259,Assignments!$F$6:$F$1000,$C$4,Assignments!$E$6:$E$1000,"Active")))</f>
        <v/>
      </c>
      <c r="Q259" s="40" t="str">
        <f t="shared" si="3"/>
        <v/>
      </c>
      <c r="R259" s="40" t="str">
        <f t="shared" si="4"/>
        <v/>
      </c>
      <c r="S259" s="40" t="str">
        <f>IF($K259="","",IF($C$4="",0,COUNTIFS(Assignments!$B$6:$B$1000,$K259,Assignments!$F$6:$F$1000,$C$4,Assignments!$D$6:$D$1000,"&gt;="&amp;Config!$B$3-7,Assignments!$D$6:$D$1000,"&lt;="&amp;Config!$B$3)))</f>
        <v/>
      </c>
      <c r="T259" s="40" t="str">
        <f>IF($K259="","",IFERROR(VLOOKUP($K259,Grinders!$A$4:$N$998,8,FALSE),""))</f>
        <v/>
      </c>
      <c r="U259" s="40" t="str">
        <f>IFERROR(IF($K259="","",IF($M259="Elite",MAX(50,MIN(100,Config!$B$27*MAX(0,MIN(100,(1-IF($R259="",0,$R259))*100)) + Config!$B$28*MAX(0,MIN(100,(1-MIN(1,IF(Config!$B$30=0,1,$S259/Config!$B$30)))*100)) + Config!$B$29*MAX(0,MIN(100,MIN(1,IF($T259="",0,$T259)/Config!$B$23)*100)))),MIN(100,Config!$B$27*MAX(0,MIN(100,(1-IF($R259="",0,$R259))*100)) + Config!$B$28*MAX(0,MIN(100,(1-MIN(1,IF(Config!$B$30=0,1,$S259/Config!$B$30)))*100)) + Config!$B$29*MAX(0,MIN(100,MIN(1,IF($T259="",0,$T259)/Config!$B$23)*100))))),"")
</f>
        <v/>
      </c>
      <c r="V259" s="40" t="str">
        <f>IF(Bids!$AC259="","",Bids!$AC259)</f>
        <v/>
      </c>
      <c r="W259" s="40" t="str">
        <f>IF(Bids!$F258="","",Bids!$F258)</f>
        <v/>
      </c>
      <c r="X259" s="40" t="str">
        <f t="shared" si="5"/>
        <v/>
      </c>
      <c r="Y259" s="40" t="str">
        <f>IF($X259="","",IF(Config!$B$17=Config!$B$16,IF($X259&gt;=Config!$B$17,100,0),MAX(0,MIN(100,($X259-Config!$B$16)/(Config!$B$17-Config!$B$16)*100))))</f>
        <v/>
      </c>
      <c r="Z259" s="40">
        <f>IF($M259="Elite",Config!$B$21,0)</f>
        <v>0</v>
      </c>
      <c r="AA259" s="40" t="str">
        <f>IFERROR(IF(OR($W259="",$H259=""),"",IF($W259&gt;$H259,
  MAX(0, 60-(($W259-$H259)*24/Config!$B$19)*60),
  MIN(100, 60+(($H259-$W259)*24/Config!$B$20)*40)
)),"")
</f>
        <v/>
      </c>
      <c r="AB259" s="40" t="str">
        <f>IF($K259="","",IFERROR(VLOOKUP($K259,Grinders!$A$4:$N$998,10,FALSE)/5*100,""))</f>
        <v/>
      </c>
      <c r="AC259" s="40" t="str">
        <f>IF($K259="","",IFERROR(VLOOKUP($K259,Grinders!$A$4:$N$998,11,FALSE)*100,""))</f>
        <v/>
      </c>
      <c r="AD259" s="40" t="str">
        <f>IF($K259="","",IFERROR(VLOOKUP($K259,Grinders!$A$4:$N$998,12,FALSE)*100,""))</f>
        <v/>
      </c>
      <c r="AE259" s="40" t="str">
        <f>IF(OR(AO259=1,AP259=1),0,=IFERROR(IFS(
    OR($C259="", $K259=""), 0,
    $F259=0, 0,
    $D259&lt;&gt;"Open", 0,
    COUNTIFS(GrinderServices!$A$6:$A$1000, $K259, GrinderServices!$B$6:$B$1000, $E259, GrinderServices!$D$6:$D$1000, "Y")=0, 0,
    $X259&lt;Config!$B$16, 0,
    Config!$B$18=1, IF($O259&gt;=N259, 0, 1),
    TRUE, 1
), "")
)</f>
        <v>#ERROR!</v>
      </c>
      <c r="AF259" s="40" t="str">
        <f>IFERROR((IF(OR(AO259=1,AP259=1),"",=IFERROR((IFERROR(IF($AE259=0,"",((Config!$B$6*$Y259 + Config!$B$7*$U259 + Config!$B$8*$Z259 + Config!$B$9*$AA259 + Config!$B$10*$AB259 + Config!$B$11*$AC259 - Config!$B$12*$AD259)/Config!$B$13)+$AK259+$AL259),""))*(1-IFERROR(VLOOKUP(K259,Grinders!$A:$AB, 28, FALSE),0)),"")))*(1+AR259),"")</f>
        <v>#ERROR!</v>
      </c>
      <c r="AG259" s="40" t="str">
        <f t="shared" si="6"/>
        <v>#ERROR!</v>
      </c>
      <c r="AH259" s="40" t="str">
        <f t="shared" si="7"/>
        <v/>
      </c>
      <c r="AI259" s="40" t="str">
        <f t="shared" si="8"/>
        <v/>
      </c>
      <c r="AJ259" s="40" t="str">
        <f>IF($K259="","",COUNTIF(Assignments!$B$6:$B$1000,$K259))</f>
        <v/>
      </c>
      <c r="AK259" s="40" t="str">
        <f>IF($K259="","",IF(AND($AJ259=0,$O259&lt;$N259),Config!$B$43,0))</f>
        <v/>
      </c>
      <c r="AL259" s="40" t="str">
        <f>IF($K259="","",IF(AND($M259="Elite",$G259&gt;=Config!$B$41,$O259&lt;$N259),Config!$B$42,0))</f>
        <v/>
      </c>
      <c r="AM259" s="22"/>
      <c r="AN259" s="39">
        <f>IFERROR(VLOOKUP(K259,Grinders!$A:$Q,28,FALSE),0)</f>
        <v>0</v>
      </c>
      <c r="AO259" s="39">
        <f>IF(Config!$B$1003&lt;&gt;"Y",0,IF(IFERROR(VLOOKUP(K259,Grinders!$A:$P,27,FALSE),0)&gt;=3,IF(OR(G259&gt;=Config!$B$1001,ISNUMBER(SEARCH(E259,Config!$B$1002))),1,0),0))</f>
        <v>0</v>
      </c>
      <c r="AP259" s="39">
        <f t="array" ref="AP259">IFERROR(IF(INDEX(Bids!$AE:$AE,MATCH(B259,Bids!$A:$A,0))="Pending",1,0),0)</f>
        <v>0</v>
      </c>
      <c r="AQ259" s="39" t="str">
        <f t="array" ref="AQ259">IF(C259="","",IFERROR(XLOOKUP(C259,Assignments!$C:$C,Assignments!$AU:$AU,0),0))</f>
        <v/>
      </c>
      <c r="AR259" s="39">
        <f>IF(AND(Config!$B$1006="Y",AQ259=1),Config!$B$1007,0)</f>
        <v>0</v>
      </c>
    </row>
    <row r="260" ht="15.75" customHeight="1">
      <c r="A260" s="46" t="str">
        <f t="shared" si="1"/>
        <v/>
      </c>
      <c r="B260" s="40" t="str">
        <f>IF(Bids!$A259="","",Bids!$A259)</f>
        <v/>
      </c>
      <c r="C260" s="40" t="str">
        <f>IF(Bids!$B259="","",Bids!$B259)</f>
        <v/>
      </c>
      <c r="D260" s="40" t="str">
        <f>IF($C260="","",IFERROR(VLOOKUP($C260,Orders!$A$4:$J$998,9,FALSE),""))</f>
        <v/>
      </c>
      <c r="E260" s="40" t="str">
        <f>IF($C260="","",IFERROR(VLOOKUP($C260,Orders!$A$4:$J$998,3,FALSE),""))</f>
        <v/>
      </c>
      <c r="F260" s="40">
        <f t="shared" si="2"/>
        <v>1</v>
      </c>
      <c r="G260" s="40" t="str">
        <f>IF($C260="","",IFERROR(VLOOKUP($C260,Orders!$A$4:$J$998,4,FALSE),""))</f>
        <v/>
      </c>
      <c r="H260" s="40" t="str">
        <f>IF($C260="","",IFERROR(VLOOKUP($C260,Orders!$A$4:$J$998,5,FALSE),""))</f>
        <v/>
      </c>
      <c r="I260" s="40" t="str">
        <f>IF($C260="","",IFERROR(VLOOKUP($C260,Orders!$A$4:$J$998,6,FALSE),""))</f>
        <v/>
      </c>
      <c r="J260" s="40" t="str">
        <f>IF($C260="","",IFERROR(VLOOKUP($C260,Orders!$A$4:$J$998,7,FALSE),""))</f>
        <v/>
      </c>
      <c r="K260" s="40" t="str">
        <f>IF(Bids!$C259="","",Bids!$C259)</f>
        <v/>
      </c>
      <c r="L260" s="40" t="str">
        <f>IF($K260="","",IFERROR(VLOOKUP($K260,Grinders!$A$4:$N$998,2,FALSE),""))</f>
        <v/>
      </c>
      <c r="M260" s="40" t="str">
        <f>IF($K260="","",IFERROR(VLOOKUP($K260,Grinders!$A$4:$N$998,3,FALSE),""))</f>
        <v/>
      </c>
      <c r="N260" s="40" t="str">
        <f>IF($K260="","",IFERROR(VLOOKUP($K260,Grinders!$A$4:$N$998,4,FALSE),""))</f>
        <v/>
      </c>
      <c r="O260" s="40" t="str">
        <f>IF($K260="","",IFERROR(VLOOKUP($K260,Grinders!$A$4:$N$998,5,FALSE),""))</f>
        <v/>
      </c>
      <c r="P260" s="40" t="str">
        <f>IF($K260="","",IF($C$4="",0,COUNTIFS(Assignments!$B$6:$B$1000,$K260,Assignments!$F$6:$F$1000,$C$4,Assignments!$E$6:$E$1000,"Active")))</f>
        <v/>
      </c>
      <c r="Q260" s="40" t="str">
        <f t="shared" si="3"/>
        <v/>
      </c>
      <c r="R260" s="40" t="str">
        <f t="shared" si="4"/>
        <v/>
      </c>
      <c r="S260" s="40" t="str">
        <f>IF($K260="","",IF($C$4="",0,COUNTIFS(Assignments!$B$6:$B$1000,$K260,Assignments!$F$6:$F$1000,$C$4,Assignments!$D$6:$D$1000,"&gt;="&amp;Config!$B$3-7,Assignments!$D$6:$D$1000,"&lt;="&amp;Config!$B$3)))</f>
        <v/>
      </c>
      <c r="T260" s="40" t="str">
        <f>IF($K260="","",IFERROR(VLOOKUP($K260,Grinders!$A$4:$N$998,8,FALSE),""))</f>
        <v/>
      </c>
      <c r="U260" s="40" t="str">
        <f>IFERROR(IF($K260="","",IF($M260="Elite",MAX(50,MIN(100,Config!$B$27*MAX(0,MIN(100,(1-IF($R260="",0,$R260))*100)) + Config!$B$28*MAX(0,MIN(100,(1-MIN(1,IF(Config!$B$30=0,1,$S260/Config!$B$30)))*100)) + Config!$B$29*MAX(0,MIN(100,MIN(1,IF($T260="",0,$T260)/Config!$B$23)*100)))),MIN(100,Config!$B$27*MAX(0,MIN(100,(1-IF($R260="",0,$R260))*100)) + Config!$B$28*MAX(0,MIN(100,(1-MIN(1,IF(Config!$B$30=0,1,$S260/Config!$B$30)))*100)) + Config!$B$29*MAX(0,MIN(100,MIN(1,IF($T260="",0,$T260)/Config!$B$23)*100))))),"")
</f>
        <v/>
      </c>
      <c r="V260" s="40" t="str">
        <f>IF(Bids!$AC260="","",Bids!$AC260)</f>
        <v/>
      </c>
      <c r="W260" s="40" t="str">
        <f>IF(Bids!$F259="","",Bids!$F259)</f>
        <v/>
      </c>
      <c r="X260" s="40" t="str">
        <f t="shared" si="5"/>
        <v/>
      </c>
      <c r="Y260" s="40" t="str">
        <f>IF($X260="","",IF(Config!$B$17=Config!$B$16,IF($X260&gt;=Config!$B$17,100,0),MAX(0,MIN(100,($X260-Config!$B$16)/(Config!$B$17-Config!$B$16)*100))))</f>
        <v/>
      </c>
      <c r="Z260" s="40">
        <f>IF($M260="Elite",Config!$B$21,0)</f>
        <v>0</v>
      </c>
      <c r="AA260" s="40" t="str">
        <f>IFERROR(IF(OR($W260="",$H260=""),"",IF($W260&gt;$H260,
  MAX(0, 60-(($W260-$H260)*24/Config!$B$19)*60),
  MIN(100, 60+(($H260-$W260)*24/Config!$B$20)*40)
)),"")
</f>
        <v/>
      </c>
      <c r="AB260" s="40" t="str">
        <f>IF($K260="","",IFERROR(VLOOKUP($K260,Grinders!$A$4:$N$998,10,FALSE)/5*100,""))</f>
        <v/>
      </c>
      <c r="AC260" s="40" t="str">
        <f>IF($K260="","",IFERROR(VLOOKUP($K260,Grinders!$A$4:$N$998,11,FALSE)*100,""))</f>
        <v/>
      </c>
      <c r="AD260" s="40" t="str">
        <f>IF($K260="","",IFERROR(VLOOKUP($K260,Grinders!$A$4:$N$998,12,FALSE)*100,""))</f>
        <v/>
      </c>
      <c r="AE260" s="40" t="str">
        <f>IF(OR(AO260=1,AP260=1),0,=IFERROR(IFS(
    OR($C260="", $K260=""), 0,
    $F260=0, 0,
    $D260&lt;&gt;"Open", 0,
    COUNTIFS(GrinderServices!$A$6:$A$1000, $K260, GrinderServices!$B$6:$B$1000, $E260, GrinderServices!$D$6:$D$1000, "Y")=0, 0,
    $X260&lt;Config!$B$16, 0,
    Config!$B$18=1, IF($O260&gt;=N260, 0, 1),
    TRUE, 1
), "")
)</f>
        <v>#ERROR!</v>
      </c>
      <c r="AF260" s="40" t="str">
        <f>IFERROR((IF(OR(AO260=1,AP260=1),"",=IFERROR((IFERROR(IF($AE260=0,"",((Config!$B$6*$Y260 + Config!$B$7*$U260 + Config!$B$8*$Z260 + Config!$B$9*$AA260 + Config!$B$10*$AB260 + Config!$B$11*$AC260 - Config!$B$12*$AD260)/Config!$B$13)+$AK260+$AL260),""))*(1-IFERROR(VLOOKUP(K260,Grinders!$A:$AB, 28, FALSE),0)),"")))*(1+AR260),"")</f>
        <v>#ERROR!</v>
      </c>
      <c r="AG260" s="40" t="str">
        <f t="shared" si="6"/>
        <v>#ERROR!</v>
      </c>
      <c r="AH260" s="40" t="str">
        <f t="shared" si="7"/>
        <v/>
      </c>
      <c r="AI260" s="40" t="str">
        <f t="shared" si="8"/>
        <v/>
      </c>
      <c r="AJ260" s="40" t="str">
        <f>IF($K260="","",COUNTIF(Assignments!$B$6:$B$1000,$K260))</f>
        <v/>
      </c>
      <c r="AK260" s="40" t="str">
        <f>IF($K260="","",IF(AND($AJ260=0,$O260&lt;$N260),Config!$B$43,0))</f>
        <v/>
      </c>
      <c r="AL260" s="40" t="str">
        <f>IF($K260="","",IF(AND($M260="Elite",$G260&gt;=Config!$B$41,$O260&lt;$N260),Config!$B$42,0))</f>
        <v/>
      </c>
      <c r="AM260" s="22"/>
      <c r="AN260" s="39">
        <f>IFERROR(VLOOKUP(K260,Grinders!$A:$Q,28,FALSE),0)</f>
        <v>0</v>
      </c>
      <c r="AO260" s="39">
        <f>IF(Config!$B$1003&lt;&gt;"Y",0,IF(IFERROR(VLOOKUP(K260,Grinders!$A:$P,27,FALSE),0)&gt;=3,IF(OR(G260&gt;=Config!$B$1001,ISNUMBER(SEARCH(E260,Config!$B$1002))),1,0),0))</f>
        <v>0</v>
      </c>
      <c r="AP260" s="39">
        <f t="array" ref="AP260">IFERROR(IF(INDEX(Bids!$AE:$AE,MATCH(B260,Bids!$A:$A,0))="Pending",1,0),0)</f>
        <v>0</v>
      </c>
      <c r="AQ260" s="39" t="str">
        <f t="array" ref="AQ260">IF(C260="","",IFERROR(XLOOKUP(C260,Assignments!$C:$C,Assignments!$AU:$AU,0),0))</f>
        <v/>
      </c>
      <c r="AR260" s="39">
        <f>IF(AND(Config!$B$1006="Y",AQ260=1),Config!$B$1007,0)</f>
        <v>0</v>
      </c>
    </row>
    <row r="261" ht="15.75" customHeight="1">
      <c r="A261" s="46" t="str">
        <f t="shared" si="1"/>
        <v/>
      </c>
      <c r="B261" s="40" t="str">
        <f>IF(Bids!$A260="","",Bids!$A260)</f>
        <v/>
      </c>
      <c r="C261" s="40" t="str">
        <f>IF(Bids!$B260="","",Bids!$B260)</f>
        <v/>
      </c>
      <c r="D261" s="40" t="str">
        <f>IF($C261="","",IFERROR(VLOOKUP($C261,Orders!$A$4:$J$998,9,FALSE),""))</f>
        <v/>
      </c>
      <c r="E261" s="40" t="str">
        <f>IF($C261="","",IFERROR(VLOOKUP($C261,Orders!$A$4:$J$998,3,FALSE),""))</f>
        <v/>
      </c>
      <c r="F261" s="40">
        <f t="shared" si="2"/>
        <v>1</v>
      </c>
      <c r="G261" s="40" t="str">
        <f>IF($C261="","",IFERROR(VLOOKUP($C261,Orders!$A$4:$J$998,4,FALSE),""))</f>
        <v/>
      </c>
      <c r="H261" s="40" t="str">
        <f>IF($C261="","",IFERROR(VLOOKUP($C261,Orders!$A$4:$J$998,5,FALSE),""))</f>
        <v/>
      </c>
      <c r="I261" s="40" t="str">
        <f>IF($C261="","",IFERROR(VLOOKUP($C261,Orders!$A$4:$J$998,6,FALSE),""))</f>
        <v/>
      </c>
      <c r="J261" s="40" t="str">
        <f>IF($C261="","",IFERROR(VLOOKUP($C261,Orders!$A$4:$J$998,7,FALSE),""))</f>
        <v/>
      </c>
      <c r="K261" s="40" t="str">
        <f>IF(Bids!$C260="","",Bids!$C260)</f>
        <v/>
      </c>
      <c r="L261" s="40" t="str">
        <f>IF($K261="","",IFERROR(VLOOKUP($K261,Grinders!$A$4:$N$998,2,FALSE),""))</f>
        <v/>
      </c>
      <c r="M261" s="40" t="str">
        <f>IF($K261="","",IFERROR(VLOOKUP($K261,Grinders!$A$4:$N$998,3,FALSE),""))</f>
        <v/>
      </c>
      <c r="N261" s="40" t="str">
        <f>IF($K261="","",IFERROR(VLOOKUP($K261,Grinders!$A$4:$N$998,4,FALSE),""))</f>
        <v/>
      </c>
      <c r="O261" s="40" t="str">
        <f>IF($K261="","",IFERROR(VLOOKUP($K261,Grinders!$A$4:$N$998,5,FALSE),""))</f>
        <v/>
      </c>
      <c r="P261" s="40" t="str">
        <f>IF($K261="","",IF($C$4="",0,COUNTIFS(Assignments!$B$6:$B$1000,$K261,Assignments!$F$6:$F$1000,$C$4,Assignments!$E$6:$E$1000,"Active")))</f>
        <v/>
      </c>
      <c r="Q261" s="40" t="str">
        <f t="shared" si="3"/>
        <v/>
      </c>
      <c r="R261" s="40" t="str">
        <f t="shared" si="4"/>
        <v/>
      </c>
      <c r="S261" s="40" t="str">
        <f>IF($K261="","",IF($C$4="",0,COUNTIFS(Assignments!$B$6:$B$1000,$K261,Assignments!$F$6:$F$1000,$C$4,Assignments!$D$6:$D$1000,"&gt;="&amp;Config!$B$3-7,Assignments!$D$6:$D$1000,"&lt;="&amp;Config!$B$3)))</f>
        <v/>
      </c>
      <c r="T261" s="40" t="str">
        <f>IF($K261="","",IFERROR(VLOOKUP($K261,Grinders!$A$4:$N$998,8,FALSE),""))</f>
        <v/>
      </c>
      <c r="U261" s="40" t="str">
        <f>IFERROR(IF($K261="","",IF($M261="Elite",MAX(50,MIN(100,Config!$B$27*MAX(0,MIN(100,(1-IF($R261="",0,$R261))*100)) + Config!$B$28*MAX(0,MIN(100,(1-MIN(1,IF(Config!$B$30=0,1,$S261/Config!$B$30)))*100)) + Config!$B$29*MAX(0,MIN(100,MIN(1,IF($T261="",0,$T261)/Config!$B$23)*100)))),MIN(100,Config!$B$27*MAX(0,MIN(100,(1-IF($R261="",0,$R261))*100)) + Config!$B$28*MAX(0,MIN(100,(1-MIN(1,IF(Config!$B$30=0,1,$S261/Config!$B$30)))*100)) + Config!$B$29*MAX(0,MIN(100,MIN(1,IF($T261="",0,$T261)/Config!$B$23)*100))))),"")
</f>
        <v/>
      </c>
      <c r="V261" s="40" t="str">
        <f>IF(Bids!$AC261="","",Bids!$AC261)</f>
        <v/>
      </c>
      <c r="W261" s="40" t="str">
        <f>IF(Bids!$F260="","",Bids!$F260)</f>
        <v/>
      </c>
      <c r="X261" s="40" t="str">
        <f t="shared" si="5"/>
        <v/>
      </c>
      <c r="Y261" s="40" t="str">
        <f>IF($X261="","",IF(Config!$B$17=Config!$B$16,IF($X261&gt;=Config!$B$17,100,0),MAX(0,MIN(100,($X261-Config!$B$16)/(Config!$B$17-Config!$B$16)*100))))</f>
        <v/>
      </c>
      <c r="Z261" s="40">
        <f>IF($M261="Elite",Config!$B$21,0)</f>
        <v>0</v>
      </c>
      <c r="AA261" s="40" t="str">
        <f>IFERROR(IF(OR($W261="",$H261=""),"",IF($W261&gt;$H261,
  MAX(0, 60-(($W261-$H261)*24/Config!$B$19)*60),
  MIN(100, 60+(($H261-$W261)*24/Config!$B$20)*40)
)),"")
</f>
        <v/>
      </c>
      <c r="AB261" s="40" t="str">
        <f>IF($K261="","",IFERROR(VLOOKUP($K261,Grinders!$A$4:$N$998,10,FALSE)/5*100,""))</f>
        <v/>
      </c>
      <c r="AC261" s="40" t="str">
        <f>IF($K261="","",IFERROR(VLOOKUP($K261,Grinders!$A$4:$N$998,11,FALSE)*100,""))</f>
        <v/>
      </c>
      <c r="AD261" s="40" t="str">
        <f>IF($K261="","",IFERROR(VLOOKUP($K261,Grinders!$A$4:$N$998,12,FALSE)*100,""))</f>
        <v/>
      </c>
      <c r="AE261" s="40" t="str">
        <f>IF(OR(AO261=1,AP261=1),0,=IFERROR(IFS(
    OR($C261="", $K261=""), 0,
    $F261=0, 0,
    $D261&lt;&gt;"Open", 0,
    COUNTIFS(GrinderServices!$A$6:$A$1000, $K261, GrinderServices!$B$6:$B$1000, $E261, GrinderServices!$D$6:$D$1000, "Y")=0, 0,
    $X261&lt;Config!$B$16, 0,
    Config!$B$18=1, IF($O261&gt;=N261, 0, 1),
    TRUE, 1
), "")
)</f>
        <v>#ERROR!</v>
      </c>
      <c r="AF261" s="40" t="str">
        <f>IFERROR((IF(OR(AO261=1,AP261=1),"",=IFERROR((IFERROR(IF($AE261=0,"",((Config!$B$6*$Y261 + Config!$B$7*$U261 + Config!$B$8*$Z261 + Config!$B$9*$AA261 + Config!$B$10*$AB261 + Config!$B$11*$AC261 - Config!$B$12*$AD261)/Config!$B$13)+$AK261+$AL261),""))*(1-IFERROR(VLOOKUP(K261,Grinders!$A:$AB, 28, FALSE),0)),"")))*(1+AR261),"")</f>
        <v>#ERROR!</v>
      </c>
      <c r="AG261" s="40" t="str">
        <f t="shared" si="6"/>
        <v>#ERROR!</v>
      </c>
      <c r="AH261" s="40" t="str">
        <f t="shared" si="7"/>
        <v/>
      </c>
      <c r="AI261" s="40" t="str">
        <f t="shared" si="8"/>
        <v/>
      </c>
      <c r="AJ261" s="40" t="str">
        <f>IF($K261="","",COUNTIF(Assignments!$B$6:$B$1000,$K261))</f>
        <v/>
      </c>
      <c r="AK261" s="40" t="str">
        <f>IF($K261="","",IF(AND($AJ261=0,$O261&lt;$N261),Config!$B$43,0))</f>
        <v/>
      </c>
      <c r="AL261" s="40" t="str">
        <f>IF($K261="","",IF(AND($M261="Elite",$G261&gt;=Config!$B$41,$O261&lt;$N261),Config!$B$42,0))</f>
        <v/>
      </c>
      <c r="AM261" s="22"/>
      <c r="AN261" s="39">
        <f>IFERROR(VLOOKUP(K261,Grinders!$A:$Q,28,FALSE),0)</f>
        <v>0</v>
      </c>
      <c r="AO261" s="39">
        <f>IF(Config!$B$1003&lt;&gt;"Y",0,IF(IFERROR(VLOOKUP(K261,Grinders!$A:$P,27,FALSE),0)&gt;=3,IF(OR(G261&gt;=Config!$B$1001,ISNUMBER(SEARCH(E261,Config!$B$1002))),1,0),0))</f>
        <v>0</v>
      </c>
      <c r="AP261" s="39">
        <f t="array" ref="AP261">IFERROR(IF(INDEX(Bids!$AE:$AE,MATCH(B261,Bids!$A:$A,0))="Pending",1,0),0)</f>
        <v>0</v>
      </c>
      <c r="AQ261" s="39" t="str">
        <f t="array" ref="AQ261">IF(C261="","",IFERROR(XLOOKUP(C261,Assignments!$C:$C,Assignments!$AU:$AU,0),0))</f>
        <v/>
      </c>
      <c r="AR261" s="39">
        <f>IF(AND(Config!$B$1006="Y",AQ261=1),Config!$B$1007,0)</f>
        <v>0</v>
      </c>
    </row>
    <row r="262" ht="15.75" customHeight="1">
      <c r="A262" s="46" t="str">
        <f t="shared" si="1"/>
        <v/>
      </c>
      <c r="B262" s="40" t="str">
        <f>IF(Bids!$A261="","",Bids!$A261)</f>
        <v/>
      </c>
      <c r="C262" s="40" t="str">
        <f>IF(Bids!$B261="","",Bids!$B261)</f>
        <v/>
      </c>
      <c r="D262" s="40" t="str">
        <f>IF($C262="","",IFERROR(VLOOKUP($C262,Orders!$A$4:$J$998,9,FALSE),""))</f>
        <v/>
      </c>
      <c r="E262" s="40" t="str">
        <f>IF($C262="","",IFERROR(VLOOKUP($C262,Orders!$A$4:$J$998,3,FALSE),""))</f>
        <v/>
      </c>
      <c r="F262" s="40">
        <f t="shared" si="2"/>
        <v>1</v>
      </c>
      <c r="G262" s="40" t="str">
        <f>IF($C262="","",IFERROR(VLOOKUP($C262,Orders!$A$4:$J$998,4,FALSE),""))</f>
        <v/>
      </c>
      <c r="H262" s="40" t="str">
        <f>IF($C262="","",IFERROR(VLOOKUP($C262,Orders!$A$4:$J$998,5,FALSE),""))</f>
        <v/>
      </c>
      <c r="I262" s="40" t="str">
        <f>IF($C262="","",IFERROR(VLOOKUP($C262,Orders!$A$4:$J$998,6,FALSE),""))</f>
        <v/>
      </c>
      <c r="J262" s="40" t="str">
        <f>IF($C262="","",IFERROR(VLOOKUP($C262,Orders!$A$4:$J$998,7,FALSE),""))</f>
        <v/>
      </c>
      <c r="K262" s="40" t="str">
        <f>IF(Bids!$C261="","",Bids!$C261)</f>
        <v/>
      </c>
      <c r="L262" s="40" t="str">
        <f>IF($K262="","",IFERROR(VLOOKUP($K262,Grinders!$A$4:$N$998,2,FALSE),""))</f>
        <v/>
      </c>
      <c r="M262" s="40" t="str">
        <f>IF($K262="","",IFERROR(VLOOKUP($K262,Grinders!$A$4:$N$998,3,FALSE),""))</f>
        <v/>
      </c>
      <c r="N262" s="40" t="str">
        <f>IF($K262="","",IFERROR(VLOOKUP($K262,Grinders!$A$4:$N$998,4,FALSE),""))</f>
        <v/>
      </c>
      <c r="O262" s="40" t="str">
        <f>IF($K262="","",IFERROR(VLOOKUP($K262,Grinders!$A$4:$N$998,5,FALSE),""))</f>
        <v/>
      </c>
      <c r="P262" s="40" t="str">
        <f>IF($K262="","",IF($C$4="",0,COUNTIFS(Assignments!$B$6:$B$1000,$K262,Assignments!$F$6:$F$1000,$C$4,Assignments!$E$6:$E$1000,"Active")))</f>
        <v/>
      </c>
      <c r="Q262" s="40" t="str">
        <f t="shared" si="3"/>
        <v/>
      </c>
      <c r="R262" s="40" t="str">
        <f t="shared" si="4"/>
        <v/>
      </c>
      <c r="S262" s="40" t="str">
        <f>IF($K262="","",IF($C$4="",0,COUNTIFS(Assignments!$B$6:$B$1000,$K262,Assignments!$F$6:$F$1000,$C$4,Assignments!$D$6:$D$1000,"&gt;="&amp;Config!$B$3-7,Assignments!$D$6:$D$1000,"&lt;="&amp;Config!$B$3)))</f>
        <v/>
      </c>
      <c r="T262" s="40" t="str">
        <f>IF($K262="","",IFERROR(VLOOKUP($K262,Grinders!$A$4:$N$998,8,FALSE),""))</f>
        <v/>
      </c>
      <c r="U262" s="40" t="str">
        <f>IFERROR(IF($K262="","",IF($M262="Elite",MAX(50,MIN(100,Config!$B$27*MAX(0,MIN(100,(1-IF($R262="",0,$R262))*100)) + Config!$B$28*MAX(0,MIN(100,(1-MIN(1,IF(Config!$B$30=0,1,$S262/Config!$B$30)))*100)) + Config!$B$29*MAX(0,MIN(100,MIN(1,IF($T262="",0,$T262)/Config!$B$23)*100)))),MIN(100,Config!$B$27*MAX(0,MIN(100,(1-IF($R262="",0,$R262))*100)) + Config!$B$28*MAX(0,MIN(100,(1-MIN(1,IF(Config!$B$30=0,1,$S262/Config!$B$30)))*100)) + Config!$B$29*MAX(0,MIN(100,MIN(1,IF($T262="",0,$T262)/Config!$B$23)*100))))),"")
</f>
        <v/>
      </c>
      <c r="V262" s="40" t="str">
        <f>IF(Bids!$AC262="","",Bids!$AC262)</f>
        <v/>
      </c>
      <c r="W262" s="40" t="str">
        <f>IF(Bids!$F261="","",Bids!$F261)</f>
        <v/>
      </c>
      <c r="X262" s="40" t="str">
        <f t="shared" si="5"/>
        <v/>
      </c>
      <c r="Y262" s="40" t="str">
        <f>IF($X262="","",IF(Config!$B$17=Config!$B$16,IF($X262&gt;=Config!$B$17,100,0),MAX(0,MIN(100,($X262-Config!$B$16)/(Config!$B$17-Config!$B$16)*100))))</f>
        <v/>
      </c>
      <c r="Z262" s="40">
        <f>IF($M262="Elite",Config!$B$21,0)</f>
        <v>0</v>
      </c>
      <c r="AA262" s="40" t="str">
        <f>IFERROR(IF(OR($W262="",$H262=""),"",IF($W262&gt;$H262,
  MAX(0, 60-(($W262-$H262)*24/Config!$B$19)*60),
  MIN(100, 60+(($H262-$W262)*24/Config!$B$20)*40)
)),"")
</f>
        <v/>
      </c>
      <c r="AB262" s="40" t="str">
        <f>IF($K262="","",IFERROR(VLOOKUP($K262,Grinders!$A$4:$N$998,10,FALSE)/5*100,""))</f>
        <v/>
      </c>
      <c r="AC262" s="40" t="str">
        <f>IF($K262="","",IFERROR(VLOOKUP($K262,Grinders!$A$4:$N$998,11,FALSE)*100,""))</f>
        <v/>
      </c>
      <c r="AD262" s="40" t="str">
        <f>IF($K262="","",IFERROR(VLOOKUP($K262,Grinders!$A$4:$N$998,12,FALSE)*100,""))</f>
        <v/>
      </c>
      <c r="AE262" s="40" t="str">
        <f>IF(OR(AO262=1,AP262=1),0,=IFERROR(IFS(
    OR($C262="", $K262=""), 0,
    $F262=0, 0,
    $D262&lt;&gt;"Open", 0,
    COUNTIFS(GrinderServices!$A$6:$A$1000, $K262, GrinderServices!$B$6:$B$1000, $E262, GrinderServices!$D$6:$D$1000, "Y")=0, 0,
    $X262&lt;Config!$B$16, 0,
    Config!$B$18=1, IF($O262&gt;=N262, 0, 1),
    TRUE, 1
), "")
)</f>
        <v>#ERROR!</v>
      </c>
      <c r="AF262" s="40" t="str">
        <f>IFERROR((IF(OR(AO262=1,AP262=1),"",=IFERROR((IFERROR(IF($AE262=0,"",((Config!$B$6*$Y262 + Config!$B$7*$U262 + Config!$B$8*$Z262 + Config!$B$9*$AA262 + Config!$B$10*$AB262 + Config!$B$11*$AC262 - Config!$B$12*$AD262)/Config!$B$13)+$AK262+$AL262),""))*(1-IFERROR(VLOOKUP(K262,Grinders!$A:$AB, 28, FALSE),0)),"")))*(1+AR262),"")</f>
        <v>#ERROR!</v>
      </c>
      <c r="AG262" s="40" t="str">
        <f t="shared" si="6"/>
        <v>#ERROR!</v>
      </c>
      <c r="AH262" s="40" t="str">
        <f t="shared" si="7"/>
        <v/>
      </c>
      <c r="AI262" s="40" t="str">
        <f t="shared" si="8"/>
        <v/>
      </c>
      <c r="AJ262" s="40" t="str">
        <f>IF($K262="","",COUNTIF(Assignments!$B$6:$B$1000,$K262))</f>
        <v/>
      </c>
      <c r="AK262" s="40" t="str">
        <f>IF($K262="","",IF(AND($AJ262=0,$O262&lt;$N262),Config!$B$43,0))</f>
        <v/>
      </c>
      <c r="AL262" s="40" t="str">
        <f>IF($K262="","",IF(AND($M262="Elite",$G262&gt;=Config!$B$41,$O262&lt;$N262),Config!$B$42,0))</f>
        <v/>
      </c>
      <c r="AM262" s="22"/>
      <c r="AN262" s="39">
        <f>IFERROR(VLOOKUP(K262,Grinders!$A:$Q,28,FALSE),0)</f>
        <v>0</v>
      </c>
      <c r="AO262" s="39">
        <f>IF(Config!$B$1003&lt;&gt;"Y",0,IF(IFERROR(VLOOKUP(K262,Grinders!$A:$P,27,FALSE),0)&gt;=3,IF(OR(G262&gt;=Config!$B$1001,ISNUMBER(SEARCH(E262,Config!$B$1002))),1,0),0))</f>
        <v>0</v>
      </c>
      <c r="AP262" s="39">
        <f t="array" ref="AP262">IFERROR(IF(INDEX(Bids!$AE:$AE,MATCH(B262,Bids!$A:$A,0))="Pending",1,0),0)</f>
        <v>0</v>
      </c>
      <c r="AQ262" s="39" t="str">
        <f t="array" ref="AQ262">IF(C262="","",IFERROR(XLOOKUP(C262,Assignments!$C:$C,Assignments!$AU:$AU,0),0))</f>
        <v/>
      </c>
      <c r="AR262" s="39">
        <f>IF(AND(Config!$B$1006="Y",AQ262=1),Config!$B$1007,0)</f>
        <v>0</v>
      </c>
    </row>
    <row r="263" ht="15.75" customHeight="1">
      <c r="A263" s="46" t="str">
        <f t="shared" si="1"/>
        <v/>
      </c>
      <c r="B263" s="40" t="str">
        <f>IF(Bids!$A262="","",Bids!$A262)</f>
        <v/>
      </c>
      <c r="C263" s="40" t="str">
        <f>IF(Bids!$B262="","",Bids!$B262)</f>
        <v/>
      </c>
      <c r="D263" s="40" t="str">
        <f>IF($C263="","",IFERROR(VLOOKUP($C263,Orders!$A$4:$J$998,9,FALSE),""))</f>
        <v/>
      </c>
      <c r="E263" s="40" t="str">
        <f>IF($C263="","",IFERROR(VLOOKUP($C263,Orders!$A$4:$J$998,3,FALSE),""))</f>
        <v/>
      </c>
      <c r="F263" s="40">
        <f t="shared" si="2"/>
        <v>1</v>
      </c>
      <c r="G263" s="40" t="str">
        <f>IF($C263="","",IFERROR(VLOOKUP($C263,Orders!$A$4:$J$998,4,FALSE),""))</f>
        <v/>
      </c>
      <c r="H263" s="40" t="str">
        <f>IF($C263="","",IFERROR(VLOOKUP($C263,Orders!$A$4:$J$998,5,FALSE),""))</f>
        <v/>
      </c>
      <c r="I263" s="40" t="str">
        <f>IF($C263="","",IFERROR(VLOOKUP($C263,Orders!$A$4:$J$998,6,FALSE),""))</f>
        <v/>
      </c>
      <c r="J263" s="40" t="str">
        <f>IF($C263="","",IFERROR(VLOOKUP($C263,Orders!$A$4:$J$998,7,FALSE),""))</f>
        <v/>
      </c>
      <c r="K263" s="40" t="str">
        <f>IF(Bids!$C262="","",Bids!$C262)</f>
        <v/>
      </c>
      <c r="L263" s="40" t="str">
        <f>IF($K263="","",IFERROR(VLOOKUP($K263,Grinders!$A$4:$N$998,2,FALSE),""))</f>
        <v/>
      </c>
      <c r="M263" s="40" t="str">
        <f>IF($K263="","",IFERROR(VLOOKUP($K263,Grinders!$A$4:$N$998,3,FALSE),""))</f>
        <v/>
      </c>
      <c r="N263" s="40" t="str">
        <f>IF($K263="","",IFERROR(VLOOKUP($K263,Grinders!$A$4:$N$998,4,FALSE),""))</f>
        <v/>
      </c>
      <c r="O263" s="40" t="str">
        <f>IF($K263="","",IFERROR(VLOOKUP($K263,Grinders!$A$4:$N$998,5,FALSE),""))</f>
        <v/>
      </c>
      <c r="P263" s="40" t="str">
        <f>IF($K263="","",IF($C$4="",0,COUNTIFS(Assignments!$B$6:$B$1000,$K263,Assignments!$F$6:$F$1000,$C$4,Assignments!$E$6:$E$1000,"Active")))</f>
        <v/>
      </c>
      <c r="Q263" s="40" t="str">
        <f t="shared" si="3"/>
        <v/>
      </c>
      <c r="R263" s="40" t="str">
        <f t="shared" si="4"/>
        <v/>
      </c>
      <c r="S263" s="40" t="str">
        <f>IF($K263="","",IF($C$4="",0,COUNTIFS(Assignments!$B$6:$B$1000,$K263,Assignments!$F$6:$F$1000,$C$4,Assignments!$D$6:$D$1000,"&gt;="&amp;Config!$B$3-7,Assignments!$D$6:$D$1000,"&lt;="&amp;Config!$B$3)))</f>
        <v/>
      </c>
      <c r="T263" s="40" t="str">
        <f>IF($K263="","",IFERROR(VLOOKUP($K263,Grinders!$A$4:$N$998,8,FALSE),""))</f>
        <v/>
      </c>
      <c r="U263" s="40" t="str">
        <f>IFERROR(IF($K263="","",IF($M263="Elite",MAX(50,MIN(100,Config!$B$27*MAX(0,MIN(100,(1-IF($R263="",0,$R263))*100)) + Config!$B$28*MAX(0,MIN(100,(1-MIN(1,IF(Config!$B$30=0,1,$S263/Config!$B$30)))*100)) + Config!$B$29*MAX(0,MIN(100,MIN(1,IF($T263="",0,$T263)/Config!$B$23)*100)))),MIN(100,Config!$B$27*MAX(0,MIN(100,(1-IF($R263="",0,$R263))*100)) + Config!$B$28*MAX(0,MIN(100,(1-MIN(1,IF(Config!$B$30=0,1,$S263/Config!$B$30)))*100)) + Config!$B$29*MAX(0,MIN(100,MIN(1,IF($T263="",0,$T263)/Config!$B$23)*100))))),"")
</f>
        <v/>
      </c>
      <c r="V263" s="40" t="str">
        <f>IF(Bids!$AC263="","",Bids!$AC263)</f>
        <v/>
      </c>
      <c r="W263" s="40" t="str">
        <f>IF(Bids!$F262="","",Bids!$F262)</f>
        <v/>
      </c>
      <c r="X263" s="40" t="str">
        <f t="shared" si="5"/>
        <v/>
      </c>
      <c r="Y263" s="40" t="str">
        <f>IF($X263="","",IF(Config!$B$17=Config!$B$16,IF($X263&gt;=Config!$B$17,100,0),MAX(0,MIN(100,($X263-Config!$B$16)/(Config!$B$17-Config!$B$16)*100))))</f>
        <v/>
      </c>
      <c r="Z263" s="40">
        <f>IF($M263="Elite",Config!$B$21,0)</f>
        <v>0</v>
      </c>
      <c r="AA263" s="40" t="str">
        <f>IFERROR(IF(OR($W263="",$H263=""),"",IF($W263&gt;$H263,
  MAX(0, 60-(($W263-$H263)*24/Config!$B$19)*60),
  MIN(100, 60+(($H263-$W263)*24/Config!$B$20)*40)
)),"")
</f>
        <v/>
      </c>
      <c r="AB263" s="40" t="str">
        <f>IF($K263="","",IFERROR(VLOOKUP($K263,Grinders!$A$4:$N$998,10,FALSE)/5*100,""))</f>
        <v/>
      </c>
      <c r="AC263" s="40" t="str">
        <f>IF($K263="","",IFERROR(VLOOKUP($K263,Grinders!$A$4:$N$998,11,FALSE)*100,""))</f>
        <v/>
      </c>
      <c r="AD263" s="40" t="str">
        <f>IF($K263="","",IFERROR(VLOOKUP($K263,Grinders!$A$4:$N$998,12,FALSE)*100,""))</f>
        <v/>
      </c>
      <c r="AE263" s="40" t="str">
        <f>IF(OR(AO263=1,AP263=1),0,=IFERROR(IFS(
    OR($C263="", $K263=""), 0,
    $F263=0, 0,
    $D263&lt;&gt;"Open", 0,
    COUNTIFS(GrinderServices!$A$6:$A$1000, $K263, GrinderServices!$B$6:$B$1000, $E263, GrinderServices!$D$6:$D$1000, "Y")=0, 0,
    $X263&lt;Config!$B$16, 0,
    Config!$B$18=1, IF($O263&gt;=N263, 0, 1),
    TRUE, 1
), "")
)</f>
        <v>#ERROR!</v>
      </c>
      <c r="AF263" s="40" t="str">
        <f>IFERROR((IF(OR(AO263=1,AP263=1),"",=IFERROR((IFERROR(IF($AE263=0,"",((Config!$B$6*$Y263 + Config!$B$7*$U263 + Config!$B$8*$Z263 + Config!$B$9*$AA263 + Config!$B$10*$AB263 + Config!$B$11*$AC263 - Config!$B$12*$AD263)/Config!$B$13)+$AK263+$AL263),""))*(1-IFERROR(VLOOKUP(K263,Grinders!$A:$AB, 28, FALSE),0)),"")))*(1+AR263),"")</f>
        <v>#ERROR!</v>
      </c>
      <c r="AG263" s="40" t="str">
        <f t="shared" si="6"/>
        <v>#ERROR!</v>
      </c>
      <c r="AH263" s="40" t="str">
        <f t="shared" si="7"/>
        <v/>
      </c>
      <c r="AI263" s="40" t="str">
        <f t="shared" si="8"/>
        <v/>
      </c>
      <c r="AJ263" s="40" t="str">
        <f>IF($K263="","",COUNTIF(Assignments!$B$6:$B$1000,$K263))</f>
        <v/>
      </c>
      <c r="AK263" s="40" t="str">
        <f>IF($K263="","",IF(AND($AJ263=0,$O263&lt;$N263),Config!$B$43,0))</f>
        <v/>
      </c>
      <c r="AL263" s="40" t="str">
        <f>IF($K263="","",IF(AND($M263="Elite",$G263&gt;=Config!$B$41,$O263&lt;$N263),Config!$B$42,0))</f>
        <v/>
      </c>
      <c r="AM263" s="22"/>
      <c r="AN263" s="39">
        <f>IFERROR(VLOOKUP(K263,Grinders!$A:$Q,28,FALSE),0)</f>
        <v>0</v>
      </c>
      <c r="AO263" s="39">
        <f>IF(Config!$B$1003&lt;&gt;"Y",0,IF(IFERROR(VLOOKUP(K263,Grinders!$A:$P,27,FALSE),0)&gt;=3,IF(OR(G263&gt;=Config!$B$1001,ISNUMBER(SEARCH(E263,Config!$B$1002))),1,0),0))</f>
        <v>0</v>
      </c>
      <c r="AP263" s="39">
        <f t="array" ref="AP263">IFERROR(IF(INDEX(Bids!$AE:$AE,MATCH(B263,Bids!$A:$A,0))="Pending",1,0),0)</f>
        <v>0</v>
      </c>
      <c r="AQ263" s="39" t="str">
        <f t="array" ref="AQ263">IF(C263="","",IFERROR(XLOOKUP(C263,Assignments!$C:$C,Assignments!$AU:$AU,0),0))</f>
        <v/>
      </c>
      <c r="AR263" s="39">
        <f>IF(AND(Config!$B$1006="Y",AQ263=1),Config!$B$1007,0)</f>
        <v>0</v>
      </c>
    </row>
    <row r="264" ht="15.75" customHeight="1">
      <c r="A264" s="46" t="str">
        <f t="shared" si="1"/>
        <v/>
      </c>
      <c r="B264" s="40" t="str">
        <f>IF(Bids!$A263="","",Bids!$A263)</f>
        <v/>
      </c>
      <c r="C264" s="40" t="str">
        <f>IF(Bids!$B263="","",Bids!$B263)</f>
        <v/>
      </c>
      <c r="D264" s="40" t="str">
        <f>IF($C264="","",IFERROR(VLOOKUP($C264,Orders!$A$4:$J$998,9,FALSE),""))</f>
        <v/>
      </c>
      <c r="E264" s="40" t="str">
        <f>IF($C264="","",IFERROR(VLOOKUP($C264,Orders!$A$4:$J$998,3,FALSE),""))</f>
        <v/>
      </c>
      <c r="F264" s="40">
        <f t="shared" si="2"/>
        <v>1</v>
      </c>
      <c r="G264" s="40" t="str">
        <f>IF($C264="","",IFERROR(VLOOKUP($C264,Orders!$A$4:$J$998,4,FALSE),""))</f>
        <v/>
      </c>
      <c r="H264" s="40" t="str">
        <f>IF($C264="","",IFERROR(VLOOKUP($C264,Orders!$A$4:$J$998,5,FALSE),""))</f>
        <v/>
      </c>
      <c r="I264" s="40" t="str">
        <f>IF($C264="","",IFERROR(VLOOKUP($C264,Orders!$A$4:$J$998,6,FALSE),""))</f>
        <v/>
      </c>
      <c r="J264" s="40" t="str">
        <f>IF($C264="","",IFERROR(VLOOKUP($C264,Orders!$A$4:$J$998,7,FALSE),""))</f>
        <v/>
      </c>
      <c r="K264" s="40" t="str">
        <f>IF(Bids!$C263="","",Bids!$C263)</f>
        <v/>
      </c>
      <c r="L264" s="40" t="str">
        <f>IF($K264="","",IFERROR(VLOOKUP($K264,Grinders!$A$4:$N$998,2,FALSE),""))</f>
        <v/>
      </c>
      <c r="M264" s="40" t="str">
        <f>IF($K264="","",IFERROR(VLOOKUP($K264,Grinders!$A$4:$N$998,3,FALSE),""))</f>
        <v/>
      </c>
      <c r="N264" s="40" t="str">
        <f>IF($K264="","",IFERROR(VLOOKUP($K264,Grinders!$A$4:$N$998,4,FALSE),""))</f>
        <v/>
      </c>
      <c r="O264" s="40" t="str">
        <f>IF($K264="","",IFERROR(VLOOKUP($K264,Grinders!$A$4:$N$998,5,FALSE),""))</f>
        <v/>
      </c>
      <c r="P264" s="40" t="str">
        <f>IF($K264="","",IF($C$4="",0,COUNTIFS(Assignments!$B$6:$B$1000,$K264,Assignments!$F$6:$F$1000,$C$4,Assignments!$E$6:$E$1000,"Active")))</f>
        <v/>
      </c>
      <c r="Q264" s="40" t="str">
        <f t="shared" si="3"/>
        <v/>
      </c>
      <c r="R264" s="40" t="str">
        <f t="shared" si="4"/>
        <v/>
      </c>
      <c r="S264" s="40" t="str">
        <f>IF($K264="","",IF($C$4="",0,COUNTIFS(Assignments!$B$6:$B$1000,$K264,Assignments!$F$6:$F$1000,$C$4,Assignments!$D$6:$D$1000,"&gt;="&amp;Config!$B$3-7,Assignments!$D$6:$D$1000,"&lt;="&amp;Config!$B$3)))</f>
        <v/>
      </c>
      <c r="T264" s="40" t="str">
        <f>IF($K264="","",IFERROR(VLOOKUP($K264,Grinders!$A$4:$N$998,8,FALSE),""))</f>
        <v/>
      </c>
      <c r="U264" s="40" t="str">
        <f>IFERROR(IF($K264="","",IF($M264="Elite",MAX(50,MIN(100,Config!$B$27*MAX(0,MIN(100,(1-IF($R264="",0,$R264))*100)) + Config!$B$28*MAX(0,MIN(100,(1-MIN(1,IF(Config!$B$30=0,1,$S264/Config!$B$30)))*100)) + Config!$B$29*MAX(0,MIN(100,MIN(1,IF($T264="",0,$T264)/Config!$B$23)*100)))),MIN(100,Config!$B$27*MAX(0,MIN(100,(1-IF($R264="",0,$R264))*100)) + Config!$B$28*MAX(0,MIN(100,(1-MIN(1,IF(Config!$B$30=0,1,$S264/Config!$B$30)))*100)) + Config!$B$29*MAX(0,MIN(100,MIN(1,IF($T264="",0,$T264)/Config!$B$23)*100))))),"")
</f>
        <v/>
      </c>
      <c r="V264" s="40" t="str">
        <f>IF(Bids!$AC264="","",Bids!$AC264)</f>
        <v/>
      </c>
      <c r="W264" s="40" t="str">
        <f>IF(Bids!$F263="","",Bids!$F263)</f>
        <v/>
      </c>
      <c r="X264" s="40" t="str">
        <f t="shared" si="5"/>
        <v/>
      </c>
      <c r="Y264" s="40" t="str">
        <f>IF($X264="","",IF(Config!$B$17=Config!$B$16,IF($X264&gt;=Config!$B$17,100,0),MAX(0,MIN(100,($X264-Config!$B$16)/(Config!$B$17-Config!$B$16)*100))))</f>
        <v/>
      </c>
      <c r="Z264" s="40">
        <f>IF($M264="Elite",Config!$B$21,0)</f>
        <v>0</v>
      </c>
      <c r="AA264" s="40" t="str">
        <f>IFERROR(IF(OR($W264="",$H264=""),"",IF($W264&gt;$H264,
  MAX(0, 60-(($W264-$H264)*24/Config!$B$19)*60),
  MIN(100, 60+(($H264-$W264)*24/Config!$B$20)*40)
)),"")
</f>
        <v/>
      </c>
      <c r="AB264" s="40" t="str">
        <f>IF($K264="","",IFERROR(VLOOKUP($K264,Grinders!$A$4:$N$998,10,FALSE)/5*100,""))</f>
        <v/>
      </c>
      <c r="AC264" s="40" t="str">
        <f>IF($K264="","",IFERROR(VLOOKUP($K264,Grinders!$A$4:$N$998,11,FALSE)*100,""))</f>
        <v/>
      </c>
      <c r="AD264" s="40" t="str">
        <f>IF($K264="","",IFERROR(VLOOKUP($K264,Grinders!$A$4:$N$998,12,FALSE)*100,""))</f>
        <v/>
      </c>
      <c r="AE264" s="40" t="str">
        <f>IF(OR(AO264=1,AP264=1),0,=IFERROR(IFS(
    OR($C264="", $K264=""), 0,
    $F264=0, 0,
    $D264&lt;&gt;"Open", 0,
    COUNTIFS(GrinderServices!$A$6:$A$1000, $K264, GrinderServices!$B$6:$B$1000, $E264, GrinderServices!$D$6:$D$1000, "Y")=0, 0,
    $X264&lt;Config!$B$16, 0,
    Config!$B$18=1, IF($O264&gt;=N264, 0, 1),
    TRUE, 1
), "")
)</f>
        <v>#ERROR!</v>
      </c>
      <c r="AF264" s="40" t="str">
        <f>IFERROR((IF(OR(AO264=1,AP264=1),"",=IFERROR((IFERROR(IF($AE264=0,"",((Config!$B$6*$Y264 + Config!$B$7*$U264 + Config!$B$8*$Z264 + Config!$B$9*$AA264 + Config!$B$10*$AB264 + Config!$B$11*$AC264 - Config!$B$12*$AD264)/Config!$B$13)+$AK264+$AL264),""))*(1-IFERROR(VLOOKUP(K264,Grinders!$A:$AB, 28, FALSE),0)),"")))*(1+AR264),"")</f>
        <v>#ERROR!</v>
      </c>
      <c r="AG264" s="40" t="str">
        <f t="shared" si="6"/>
        <v>#ERROR!</v>
      </c>
      <c r="AH264" s="40" t="str">
        <f t="shared" si="7"/>
        <v/>
      </c>
      <c r="AI264" s="40" t="str">
        <f t="shared" si="8"/>
        <v/>
      </c>
      <c r="AJ264" s="40" t="str">
        <f>IF($K264="","",COUNTIF(Assignments!$B$6:$B$1000,$K264))</f>
        <v/>
      </c>
      <c r="AK264" s="40" t="str">
        <f>IF($K264="","",IF(AND($AJ264=0,$O264&lt;$N264),Config!$B$43,0))</f>
        <v/>
      </c>
      <c r="AL264" s="40" t="str">
        <f>IF($K264="","",IF(AND($M264="Elite",$G264&gt;=Config!$B$41,$O264&lt;$N264),Config!$B$42,0))</f>
        <v/>
      </c>
      <c r="AM264" s="22"/>
      <c r="AN264" s="39">
        <f>IFERROR(VLOOKUP(K264,Grinders!$A:$Q,28,FALSE),0)</f>
        <v>0</v>
      </c>
      <c r="AO264" s="39">
        <f>IF(Config!$B$1003&lt;&gt;"Y",0,IF(IFERROR(VLOOKUP(K264,Grinders!$A:$P,27,FALSE),0)&gt;=3,IF(OR(G264&gt;=Config!$B$1001,ISNUMBER(SEARCH(E264,Config!$B$1002))),1,0),0))</f>
        <v>0</v>
      </c>
      <c r="AP264" s="39">
        <f t="array" ref="AP264">IFERROR(IF(INDEX(Bids!$AE:$AE,MATCH(B264,Bids!$A:$A,0))="Pending",1,0),0)</f>
        <v>0</v>
      </c>
      <c r="AQ264" s="39" t="str">
        <f t="array" ref="AQ264">IF(C264="","",IFERROR(XLOOKUP(C264,Assignments!$C:$C,Assignments!$AU:$AU,0),0))</f>
        <v/>
      </c>
      <c r="AR264" s="39">
        <f>IF(AND(Config!$B$1006="Y",AQ264=1),Config!$B$1007,0)</f>
        <v>0</v>
      </c>
    </row>
    <row r="265" ht="15.75" customHeight="1">
      <c r="A265" s="46" t="str">
        <f t="shared" si="1"/>
        <v/>
      </c>
      <c r="B265" s="40" t="str">
        <f>IF(Bids!$A264="","",Bids!$A264)</f>
        <v/>
      </c>
      <c r="C265" s="40" t="str">
        <f>IF(Bids!$B264="","",Bids!$B264)</f>
        <v/>
      </c>
      <c r="D265" s="40" t="str">
        <f>IF($C265="","",IFERROR(VLOOKUP($C265,Orders!$A$4:$J$998,9,FALSE),""))</f>
        <v/>
      </c>
      <c r="E265" s="40" t="str">
        <f>IF($C265="","",IFERROR(VLOOKUP($C265,Orders!$A$4:$J$998,3,FALSE),""))</f>
        <v/>
      </c>
      <c r="F265" s="40">
        <f t="shared" si="2"/>
        <v>1</v>
      </c>
      <c r="G265" s="40" t="str">
        <f>IF($C265="","",IFERROR(VLOOKUP($C265,Orders!$A$4:$J$998,4,FALSE),""))</f>
        <v/>
      </c>
      <c r="H265" s="40" t="str">
        <f>IF($C265="","",IFERROR(VLOOKUP($C265,Orders!$A$4:$J$998,5,FALSE),""))</f>
        <v/>
      </c>
      <c r="I265" s="40" t="str">
        <f>IF($C265="","",IFERROR(VLOOKUP($C265,Orders!$A$4:$J$998,6,FALSE),""))</f>
        <v/>
      </c>
      <c r="J265" s="40" t="str">
        <f>IF($C265="","",IFERROR(VLOOKUP($C265,Orders!$A$4:$J$998,7,FALSE),""))</f>
        <v/>
      </c>
      <c r="K265" s="40" t="str">
        <f>IF(Bids!$C264="","",Bids!$C264)</f>
        <v/>
      </c>
      <c r="L265" s="40" t="str">
        <f>IF($K265="","",IFERROR(VLOOKUP($K265,Grinders!$A$4:$N$998,2,FALSE),""))</f>
        <v/>
      </c>
      <c r="M265" s="40" t="str">
        <f>IF($K265="","",IFERROR(VLOOKUP($K265,Grinders!$A$4:$N$998,3,FALSE),""))</f>
        <v/>
      </c>
      <c r="N265" s="40" t="str">
        <f>IF($K265="","",IFERROR(VLOOKUP($K265,Grinders!$A$4:$N$998,4,FALSE),""))</f>
        <v/>
      </c>
      <c r="O265" s="40" t="str">
        <f>IF($K265="","",IFERROR(VLOOKUP($K265,Grinders!$A$4:$N$998,5,FALSE),""))</f>
        <v/>
      </c>
      <c r="P265" s="40" t="str">
        <f>IF($K265="","",IF($C$4="",0,COUNTIFS(Assignments!$B$6:$B$1000,$K265,Assignments!$F$6:$F$1000,$C$4,Assignments!$E$6:$E$1000,"Active")))</f>
        <v/>
      </c>
      <c r="Q265" s="40" t="str">
        <f t="shared" si="3"/>
        <v/>
      </c>
      <c r="R265" s="40" t="str">
        <f t="shared" si="4"/>
        <v/>
      </c>
      <c r="S265" s="40" t="str">
        <f>IF($K265="","",IF($C$4="",0,COUNTIFS(Assignments!$B$6:$B$1000,$K265,Assignments!$F$6:$F$1000,$C$4,Assignments!$D$6:$D$1000,"&gt;="&amp;Config!$B$3-7,Assignments!$D$6:$D$1000,"&lt;="&amp;Config!$B$3)))</f>
        <v/>
      </c>
      <c r="T265" s="40" t="str">
        <f>IF($K265="","",IFERROR(VLOOKUP($K265,Grinders!$A$4:$N$998,8,FALSE),""))</f>
        <v/>
      </c>
      <c r="U265" s="40" t="str">
        <f>IFERROR(IF($K265="","",IF($M265="Elite",MAX(50,MIN(100,Config!$B$27*MAX(0,MIN(100,(1-IF($R265="",0,$R265))*100)) + Config!$B$28*MAX(0,MIN(100,(1-MIN(1,IF(Config!$B$30=0,1,$S265/Config!$B$30)))*100)) + Config!$B$29*MAX(0,MIN(100,MIN(1,IF($T265="",0,$T265)/Config!$B$23)*100)))),MIN(100,Config!$B$27*MAX(0,MIN(100,(1-IF($R265="",0,$R265))*100)) + Config!$B$28*MAX(0,MIN(100,(1-MIN(1,IF(Config!$B$30=0,1,$S265/Config!$B$30)))*100)) + Config!$B$29*MAX(0,MIN(100,MIN(1,IF($T265="",0,$T265)/Config!$B$23)*100))))),"")
</f>
        <v/>
      </c>
      <c r="V265" s="40" t="str">
        <f>IF(Bids!$AC265="","",Bids!$AC265)</f>
        <v/>
      </c>
      <c r="W265" s="40" t="str">
        <f>IF(Bids!$F264="","",Bids!$F264)</f>
        <v/>
      </c>
      <c r="X265" s="40" t="str">
        <f t="shared" si="5"/>
        <v/>
      </c>
      <c r="Y265" s="40" t="str">
        <f>IF($X265="","",IF(Config!$B$17=Config!$B$16,IF($X265&gt;=Config!$B$17,100,0),MAX(0,MIN(100,($X265-Config!$B$16)/(Config!$B$17-Config!$B$16)*100))))</f>
        <v/>
      </c>
      <c r="Z265" s="40">
        <f>IF($M265="Elite",Config!$B$21,0)</f>
        <v>0</v>
      </c>
      <c r="AA265" s="40" t="str">
        <f>IFERROR(IF(OR($W265="",$H265=""),"",IF($W265&gt;$H265,
  MAX(0, 60-(($W265-$H265)*24/Config!$B$19)*60),
  MIN(100, 60+(($H265-$W265)*24/Config!$B$20)*40)
)),"")
</f>
        <v/>
      </c>
      <c r="AB265" s="40" t="str">
        <f>IF($K265="","",IFERROR(VLOOKUP($K265,Grinders!$A$4:$N$998,10,FALSE)/5*100,""))</f>
        <v/>
      </c>
      <c r="AC265" s="40" t="str">
        <f>IF($K265="","",IFERROR(VLOOKUP($K265,Grinders!$A$4:$N$998,11,FALSE)*100,""))</f>
        <v/>
      </c>
      <c r="AD265" s="40" t="str">
        <f>IF($K265="","",IFERROR(VLOOKUP($K265,Grinders!$A$4:$N$998,12,FALSE)*100,""))</f>
        <v/>
      </c>
      <c r="AE265" s="40" t="str">
        <f>IF(OR(AO265=1,AP265=1),0,=IFERROR(IFS(
    OR($C265="", $K265=""), 0,
    $F265=0, 0,
    $D265&lt;&gt;"Open", 0,
    COUNTIFS(GrinderServices!$A$6:$A$1000, $K265, GrinderServices!$B$6:$B$1000, $E265, GrinderServices!$D$6:$D$1000, "Y")=0, 0,
    $X265&lt;Config!$B$16, 0,
    Config!$B$18=1, IF($O265&gt;=N265, 0, 1),
    TRUE, 1
), "")
)</f>
        <v>#ERROR!</v>
      </c>
      <c r="AF265" s="40" t="str">
        <f>IFERROR((IF(OR(AO265=1,AP265=1),"",=IFERROR((IFERROR(IF($AE265=0,"",((Config!$B$6*$Y265 + Config!$B$7*$U265 + Config!$B$8*$Z265 + Config!$B$9*$AA265 + Config!$B$10*$AB265 + Config!$B$11*$AC265 - Config!$B$12*$AD265)/Config!$B$13)+$AK265+$AL265),""))*(1-IFERROR(VLOOKUP(K265,Grinders!$A:$AB, 28, FALSE),0)),"")))*(1+AR265),"")</f>
        <v>#ERROR!</v>
      </c>
      <c r="AG265" s="40" t="str">
        <f t="shared" si="6"/>
        <v>#ERROR!</v>
      </c>
      <c r="AH265" s="40" t="str">
        <f t="shared" si="7"/>
        <v/>
      </c>
      <c r="AI265" s="40" t="str">
        <f t="shared" si="8"/>
        <v/>
      </c>
      <c r="AJ265" s="40" t="str">
        <f>IF($K265="","",COUNTIF(Assignments!$B$6:$B$1000,$K265))</f>
        <v/>
      </c>
      <c r="AK265" s="40" t="str">
        <f>IF($K265="","",IF(AND($AJ265=0,$O265&lt;$N265),Config!$B$43,0))</f>
        <v/>
      </c>
      <c r="AL265" s="40" t="str">
        <f>IF($K265="","",IF(AND($M265="Elite",$G265&gt;=Config!$B$41,$O265&lt;$N265),Config!$B$42,0))</f>
        <v/>
      </c>
      <c r="AM265" s="22"/>
      <c r="AN265" s="39">
        <f>IFERROR(VLOOKUP(K265,Grinders!$A:$Q,28,FALSE),0)</f>
        <v>0</v>
      </c>
      <c r="AO265" s="39">
        <f>IF(Config!$B$1003&lt;&gt;"Y",0,IF(IFERROR(VLOOKUP(K265,Grinders!$A:$P,27,FALSE),0)&gt;=3,IF(OR(G265&gt;=Config!$B$1001,ISNUMBER(SEARCH(E265,Config!$B$1002))),1,0),0))</f>
        <v>0</v>
      </c>
      <c r="AP265" s="39">
        <f t="array" ref="AP265">IFERROR(IF(INDEX(Bids!$AE:$AE,MATCH(B265,Bids!$A:$A,0))="Pending",1,0),0)</f>
        <v>0</v>
      </c>
      <c r="AQ265" s="39" t="str">
        <f t="array" ref="AQ265">IF(C265="","",IFERROR(XLOOKUP(C265,Assignments!$C:$C,Assignments!$AU:$AU,0),0))</f>
        <v/>
      </c>
      <c r="AR265" s="39">
        <f>IF(AND(Config!$B$1006="Y",AQ265=1),Config!$B$1007,0)</f>
        <v>0</v>
      </c>
    </row>
    <row r="266" ht="15.75" customHeight="1">
      <c r="A266" s="46" t="str">
        <f t="shared" si="1"/>
        <v/>
      </c>
      <c r="B266" s="40" t="str">
        <f>IF(Bids!$A265="","",Bids!$A265)</f>
        <v/>
      </c>
      <c r="C266" s="40" t="str">
        <f>IF(Bids!$B265="","",Bids!$B265)</f>
        <v/>
      </c>
      <c r="D266" s="40" t="str">
        <f>IF($C266="","",IFERROR(VLOOKUP($C266,Orders!$A$4:$J$998,9,FALSE),""))</f>
        <v/>
      </c>
      <c r="E266" s="40" t="str">
        <f>IF($C266="","",IFERROR(VLOOKUP($C266,Orders!$A$4:$J$998,3,FALSE),""))</f>
        <v/>
      </c>
      <c r="F266" s="40">
        <f t="shared" si="2"/>
        <v>1</v>
      </c>
      <c r="G266" s="40" t="str">
        <f>IF($C266="","",IFERROR(VLOOKUP($C266,Orders!$A$4:$J$998,4,FALSE),""))</f>
        <v/>
      </c>
      <c r="H266" s="40" t="str">
        <f>IF($C266="","",IFERROR(VLOOKUP($C266,Orders!$A$4:$J$998,5,FALSE),""))</f>
        <v/>
      </c>
      <c r="I266" s="40" t="str">
        <f>IF($C266="","",IFERROR(VLOOKUP($C266,Orders!$A$4:$J$998,6,FALSE),""))</f>
        <v/>
      </c>
      <c r="J266" s="40" t="str">
        <f>IF($C266="","",IFERROR(VLOOKUP($C266,Orders!$A$4:$J$998,7,FALSE),""))</f>
        <v/>
      </c>
      <c r="K266" s="40" t="str">
        <f>IF(Bids!$C265="","",Bids!$C265)</f>
        <v/>
      </c>
      <c r="L266" s="40" t="str">
        <f>IF($K266="","",IFERROR(VLOOKUP($K266,Grinders!$A$4:$N$998,2,FALSE),""))</f>
        <v/>
      </c>
      <c r="M266" s="40" t="str">
        <f>IF($K266="","",IFERROR(VLOOKUP($K266,Grinders!$A$4:$N$998,3,FALSE),""))</f>
        <v/>
      </c>
      <c r="N266" s="40" t="str">
        <f>IF($K266="","",IFERROR(VLOOKUP($K266,Grinders!$A$4:$N$998,4,FALSE),""))</f>
        <v/>
      </c>
      <c r="O266" s="40" t="str">
        <f>IF($K266="","",IFERROR(VLOOKUP($K266,Grinders!$A$4:$N$998,5,FALSE),""))</f>
        <v/>
      </c>
      <c r="P266" s="40" t="str">
        <f>IF($K266="","",IF($C$4="",0,COUNTIFS(Assignments!$B$6:$B$1000,$K266,Assignments!$F$6:$F$1000,$C$4,Assignments!$E$6:$E$1000,"Active")))</f>
        <v/>
      </c>
      <c r="Q266" s="40" t="str">
        <f t="shared" si="3"/>
        <v/>
      </c>
      <c r="R266" s="40" t="str">
        <f t="shared" si="4"/>
        <v/>
      </c>
      <c r="S266" s="40" t="str">
        <f>IF($K266="","",IF($C$4="",0,COUNTIFS(Assignments!$B$6:$B$1000,$K266,Assignments!$F$6:$F$1000,$C$4,Assignments!$D$6:$D$1000,"&gt;="&amp;Config!$B$3-7,Assignments!$D$6:$D$1000,"&lt;="&amp;Config!$B$3)))</f>
        <v/>
      </c>
      <c r="T266" s="40" t="str">
        <f>IF($K266="","",IFERROR(VLOOKUP($K266,Grinders!$A$4:$N$998,8,FALSE),""))</f>
        <v/>
      </c>
      <c r="U266" s="40" t="str">
        <f>IFERROR(IF($K266="","",IF($M266="Elite",MAX(50,MIN(100,Config!$B$27*MAX(0,MIN(100,(1-IF($R266="",0,$R266))*100)) + Config!$B$28*MAX(0,MIN(100,(1-MIN(1,IF(Config!$B$30=0,1,$S266/Config!$B$30)))*100)) + Config!$B$29*MAX(0,MIN(100,MIN(1,IF($T266="",0,$T266)/Config!$B$23)*100)))),MIN(100,Config!$B$27*MAX(0,MIN(100,(1-IF($R266="",0,$R266))*100)) + Config!$B$28*MAX(0,MIN(100,(1-MIN(1,IF(Config!$B$30=0,1,$S266/Config!$B$30)))*100)) + Config!$B$29*MAX(0,MIN(100,MIN(1,IF($T266="",0,$T266)/Config!$B$23)*100))))),"")
</f>
        <v/>
      </c>
      <c r="V266" s="40" t="str">
        <f>IF(Bids!$AC266="","",Bids!$AC266)</f>
        <v/>
      </c>
      <c r="W266" s="40" t="str">
        <f>IF(Bids!$F265="","",Bids!$F265)</f>
        <v/>
      </c>
      <c r="X266" s="40" t="str">
        <f t="shared" si="5"/>
        <v/>
      </c>
      <c r="Y266" s="40" t="str">
        <f>IF($X266="","",IF(Config!$B$17=Config!$B$16,IF($X266&gt;=Config!$B$17,100,0),MAX(0,MIN(100,($X266-Config!$B$16)/(Config!$B$17-Config!$B$16)*100))))</f>
        <v/>
      </c>
      <c r="Z266" s="40">
        <f>IF($M266="Elite",Config!$B$21,0)</f>
        <v>0</v>
      </c>
      <c r="AA266" s="40" t="str">
        <f>IFERROR(IF(OR($W266="",$H266=""),"",IF($W266&gt;$H266,
  MAX(0, 60-(($W266-$H266)*24/Config!$B$19)*60),
  MIN(100, 60+(($H266-$W266)*24/Config!$B$20)*40)
)),"")
</f>
        <v/>
      </c>
      <c r="AB266" s="40" t="str">
        <f>IF($K266="","",IFERROR(VLOOKUP($K266,Grinders!$A$4:$N$998,10,FALSE)/5*100,""))</f>
        <v/>
      </c>
      <c r="AC266" s="40" t="str">
        <f>IF($K266="","",IFERROR(VLOOKUP($K266,Grinders!$A$4:$N$998,11,FALSE)*100,""))</f>
        <v/>
      </c>
      <c r="AD266" s="40" t="str">
        <f>IF($K266="","",IFERROR(VLOOKUP($K266,Grinders!$A$4:$N$998,12,FALSE)*100,""))</f>
        <v/>
      </c>
      <c r="AE266" s="40" t="str">
        <f>IF(OR(AO266=1,AP266=1),0,=IFERROR(IFS(
    OR($C266="", $K266=""), 0,
    $F266=0, 0,
    $D266&lt;&gt;"Open", 0,
    COUNTIFS(GrinderServices!$A$6:$A$1000, $K266, GrinderServices!$B$6:$B$1000, $E266, GrinderServices!$D$6:$D$1000, "Y")=0, 0,
    $X266&lt;Config!$B$16, 0,
    Config!$B$18=1, IF($O266&gt;=N266, 0, 1),
    TRUE, 1
), "")
)</f>
        <v>#ERROR!</v>
      </c>
      <c r="AF266" s="40" t="str">
        <f>IFERROR((IF(OR(AO266=1,AP266=1),"",=IFERROR((IFERROR(IF($AE266=0,"",((Config!$B$6*$Y266 + Config!$B$7*$U266 + Config!$B$8*$Z266 + Config!$B$9*$AA266 + Config!$B$10*$AB266 + Config!$B$11*$AC266 - Config!$B$12*$AD266)/Config!$B$13)+$AK266+$AL266),""))*(1-IFERROR(VLOOKUP(K266,Grinders!$A:$AB, 28, FALSE),0)),"")))*(1+AR266),"")</f>
        <v>#ERROR!</v>
      </c>
      <c r="AG266" s="40" t="str">
        <f t="shared" si="6"/>
        <v>#ERROR!</v>
      </c>
      <c r="AH266" s="40" t="str">
        <f t="shared" si="7"/>
        <v/>
      </c>
      <c r="AI266" s="40" t="str">
        <f t="shared" si="8"/>
        <v/>
      </c>
      <c r="AJ266" s="40" t="str">
        <f>IF($K266="","",COUNTIF(Assignments!$B$6:$B$1000,$K266))</f>
        <v/>
      </c>
      <c r="AK266" s="40" t="str">
        <f>IF($K266="","",IF(AND($AJ266=0,$O266&lt;$N266),Config!$B$43,0))</f>
        <v/>
      </c>
      <c r="AL266" s="40" t="str">
        <f>IF($K266="","",IF(AND($M266="Elite",$G266&gt;=Config!$B$41,$O266&lt;$N266),Config!$B$42,0))</f>
        <v/>
      </c>
      <c r="AM266" s="22"/>
      <c r="AN266" s="39">
        <f>IFERROR(VLOOKUP(K266,Grinders!$A:$Q,28,FALSE),0)</f>
        <v>0</v>
      </c>
      <c r="AO266" s="39">
        <f>IF(Config!$B$1003&lt;&gt;"Y",0,IF(IFERROR(VLOOKUP(K266,Grinders!$A:$P,27,FALSE),0)&gt;=3,IF(OR(G266&gt;=Config!$B$1001,ISNUMBER(SEARCH(E266,Config!$B$1002))),1,0),0))</f>
        <v>0</v>
      </c>
      <c r="AP266" s="39">
        <f t="array" ref="AP266">IFERROR(IF(INDEX(Bids!$AE:$AE,MATCH(B266,Bids!$A:$A,0))="Pending",1,0),0)</f>
        <v>0</v>
      </c>
      <c r="AQ266" s="39" t="str">
        <f t="array" ref="AQ266">IF(C266="","",IFERROR(XLOOKUP(C266,Assignments!$C:$C,Assignments!$AU:$AU,0),0))</f>
        <v/>
      </c>
      <c r="AR266" s="39">
        <f>IF(AND(Config!$B$1006="Y",AQ266=1),Config!$B$1007,0)</f>
        <v>0</v>
      </c>
    </row>
    <row r="267" ht="15.75" customHeight="1">
      <c r="A267" s="46" t="str">
        <f t="shared" si="1"/>
        <v/>
      </c>
      <c r="B267" s="40" t="str">
        <f>IF(Bids!$A266="","",Bids!$A266)</f>
        <v/>
      </c>
      <c r="C267" s="40" t="str">
        <f>IF(Bids!$B266="","",Bids!$B266)</f>
        <v/>
      </c>
      <c r="D267" s="40" t="str">
        <f>IF($C267="","",IFERROR(VLOOKUP($C267,Orders!$A$4:$J$998,9,FALSE),""))</f>
        <v/>
      </c>
      <c r="E267" s="40" t="str">
        <f>IF($C267="","",IFERROR(VLOOKUP($C267,Orders!$A$4:$J$998,3,FALSE),""))</f>
        <v/>
      </c>
      <c r="F267" s="40">
        <f t="shared" si="2"/>
        <v>1</v>
      </c>
      <c r="G267" s="40" t="str">
        <f>IF($C267="","",IFERROR(VLOOKUP($C267,Orders!$A$4:$J$998,4,FALSE),""))</f>
        <v/>
      </c>
      <c r="H267" s="40" t="str">
        <f>IF($C267="","",IFERROR(VLOOKUP($C267,Orders!$A$4:$J$998,5,FALSE),""))</f>
        <v/>
      </c>
      <c r="I267" s="40" t="str">
        <f>IF($C267="","",IFERROR(VLOOKUP($C267,Orders!$A$4:$J$998,6,FALSE),""))</f>
        <v/>
      </c>
      <c r="J267" s="40" t="str">
        <f>IF($C267="","",IFERROR(VLOOKUP($C267,Orders!$A$4:$J$998,7,FALSE),""))</f>
        <v/>
      </c>
      <c r="K267" s="40" t="str">
        <f>IF(Bids!$C266="","",Bids!$C266)</f>
        <v/>
      </c>
      <c r="L267" s="40" t="str">
        <f>IF($K267="","",IFERROR(VLOOKUP($K267,Grinders!$A$4:$N$998,2,FALSE),""))</f>
        <v/>
      </c>
      <c r="M267" s="40" t="str">
        <f>IF($K267="","",IFERROR(VLOOKUP($K267,Grinders!$A$4:$N$998,3,FALSE),""))</f>
        <v/>
      </c>
      <c r="N267" s="40" t="str">
        <f>IF($K267="","",IFERROR(VLOOKUP($K267,Grinders!$A$4:$N$998,4,FALSE),""))</f>
        <v/>
      </c>
      <c r="O267" s="40" t="str">
        <f>IF($K267="","",IFERROR(VLOOKUP($K267,Grinders!$A$4:$N$998,5,FALSE),""))</f>
        <v/>
      </c>
      <c r="P267" s="40" t="str">
        <f>IF($K267="","",IF($C$4="",0,COUNTIFS(Assignments!$B$6:$B$1000,$K267,Assignments!$F$6:$F$1000,$C$4,Assignments!$E$6:$E$1000,"Active")))</f>
        <v/>
      </c>
      <c r="Q267" s="40" t="str">
        <f t="shared" si="3"/>
        <v/>
      </c>
      <c r="R267" s="40" t="str">
        <f t="shared" si="4"/>
        <v/>
      </c>
      <c r="S267" s="40" t="str">
        <f>IF($K267="","",IF($C$4="",0,COUNTIFS(Assignments!$B$6:$B$1000,$K267,Assignments!$F$6:$F$1000,$C$4,Assignments!$D$6:$D$1000,"&gt;="&amp;Config!$B$3-7,Assignments!$D$6:$D$1000,"&lt;="&amp;Config!$B$3)))</f>
        <v/>
      </c>
      <c r="T267" s="40" t="str">
        <f>IF($K267="","",IFERROR(VLOOKUP($K267,Grinders!$A$4:$N$998,8,FALSE),""))</f>
        <v/>
      </c>
      <c r="U267" s="40" t="str">
        <f>IFERROR(IF($K267="","",IF($M267="Elite",MAX(50,MIN(100,Config!$B$27*MAX(0,MIN(100,(1-IF($R267="",0,$R267))*100)) + Config!$B$28*MAX(0,MIN(100,(1-MIN(1,IF(Config!$B$30=0,1,$S267/Config!$B$30)))*100)) + Config!$B$29*MAX(0,MIN(100,MIN(1,IF($T267="",0,$T267)/Config!$B$23)*100)))),MIN(100,Config!$B$27*MAX(0,MIN(100,(1-IF($R267="",0,$R267))*100)) + Config!$B$28*MAX(0,MIN(100,(1-MIN(1,IF(Config!$B$30=0,1,$S267/Config!$B$30)))*100)) + Config!$B$29*MAX(0,MIN(100,MIN(1,IF($T267="",0,$T267)/Config!$B$23)*100))))),"")
</f>
        <v/>
      </c>
      <c r="V267" s="40" t="str">
        <f>IF(Bids!$AC267="","",Bids!$AC267)</f>
        <v/>
      </c>
      <c r="W267" s="40" t="str">
        <f>IF(Bids!$F266="","",Bids!$F266)</f>
        <v/>
      </c>
      <c r="X267" s="40" t="str">
        <f t="shared" si="5"/>
        <v/>
      </c>
      <c r="Y267" s="40" t="str">
        <f>IF($X267="","",IF(Config!$B$17=Config!$B$16,IF($X267&gt;=Config!$B$17,100,0),MAX(0,MIN(100,($X267-Config!$B$16)/(Config!$B$17-Config!$B$16)*100))))</f>
        <v/>
      </c>
      <c r="Z267" s="40">
        <f>IF($M267="Elite",Config!$B$21,0)</f>
        <v>0</v>
      </c>
      <c r="AA267" s="40" t="str">
        <f>IFERROR(IF(OR($W267="",$H267=""),"",IF($W267&gt;$H267,
  MAX(0, 60-(($W267-$H267)*24/Config!$B$19)*60),
  MIN(100, 60+(($H267-$W267)*24/Config!$B$20)*40)
)),"")
</f>
        <v/>
      </c>
      <c r="AB267" s="40" t="str">
        <f>IF($K267="","",IFERROR(VLOOKUP($K267,Grinders!$A$4:$N$998,10,FALSE)/5*100,""))</f>
        <v/>
      </c>
      <c r="AC267" s="40" t="str">
        <f>IF($K267="","",IFERROR(VLOOKUP($K267,Grinders!$A$4:$N$998,11,FALSE)*100,""))</f>
        <v/>
      </c>
      <c r="AD267" s="40" t="str">
        <f>IF($K267="","",IFERROR(VLOOKUP($K267,Grinders!$A$4:$N$998,12,FALSE)*100,""))</f>
        <v/>
      </c>
      <c r="AE267" s="40" t="str">
        <f>IF(OR(AO267=1,AP267=1),0,=IFERROR(IFS(
    OR($C267="", $K267=""), 0,
    $F267=0, 0,
    $D267&lt;&gt;"Open", 0,
    COUNTIFS(GrinderServices!$A$6:$A$1000, $K267, GrinderServices!$B$6:$B$1000, $E267, GrinderServices!$D$6:$D$1000, "Y")=0, 0,
    $X267&lt;Config!$B$16, 0,
    Config!$B$18=1, IF($O267&gt;=N267, 0, 1),
    TRUE, 1
), "")
)</f>
        <v>#ERROR!</v>
      </c>
      <c r="AF267" s="40" t="str">
        <f>IFERROR((IF(OR(AO267=1,AP267=1),"",=IFERROR((IFERROR(IF($AE267=0,"",((Config!$B$6*$Y267 + Config!$B$7*$U267 + Config!$B$8*$Z267 + Config!$B$9*$AA267 + Config!$B$10*$AB267 + Config!$B$11*$AC267 - Config!$B$12*$AD267)/Config!$B$13)+$AK267+$AL267),""))*(1-IFERROR(VLOOKUP(K267,Grinders!$A:$AB, 28, FALSE),0)),"")))*(1+AR267),"")</f>
        <v>#ERROR!</v>
      </c>
      <c r="AG267" s="40" t="str">
        <f t="shared" si="6"/>
        <v>#ERROR!</v>
      </c>
      <c r="AH267" s="40" t="str">
        <f t="shared" si="7"/>
        <v/>
      </c>
      <c r="AI267" s="40" t="str">
        <f t="shared" si="8"/>
        <v/>
      </c>
      <c r="AJ267" s="40" t="str">
        <f>IF($K267="","",COUNTIF(Assignments!$B$6:$B$1000,$K267))</f>
        <v/>
      </c>
      <c r="AK267" s="40" t="str">
        <f>IF($K267="","",IF(AND($AJ267=0,$O267&lt;$N267),Config!$B$43,0))</f>
        <v/>
      </c>
      <c r="AL267" s="40" t="str">
        <f>IF($K267="","",IF(AND($M267="Elite",$G267&gt;=Config!$B$41,$O267&lt;$N267),Config!$B$42,0))</f>
        <v/>
      </c>
      <c r="AM267" s="22"/>
      <c r="AN267" s="39">
        <f>IFERROR(VLOOKUP(K267,Grinders!$A:$Q,28,FALSE),0)</f>
        <v>0</v>
      </c>
      <c r="AO267" s="39">
        <f>IF(Config!$B$1003&lt;&gt;"Y",0,IF(IFERROR(VLOOKUP(K267,Grinders!$A:$P,27,FALSE),0)&gt;=3,IF(OR(G267&gt;=Config!$B$1001,ISNUMBER(SEARCH(E267,Config!$B$1002))),1,0),0))</f>
        <v>0</v>
      </c>
      <c r="AP267" s="39">
        <f t="array" ref="AP267">IFERROR(IF(INDEX(Bids!$AE:$AE,MATCH(B267,Bids!$A:$A,0))="Pending",1,0),0)</f>
        <v>0</v>
      </c>
      <c r="AQ267" s="39" t="str">
        <f t="array" ref="AQ267">IF(C267="","",IFERROR(XLOOKUP(C267,Assignments!$C:$C,Assignments!$AU:$AU,0),0))</f>
        <v/>
      </c>
      <c r="AR267" s="39">
        <f>IF(AND(Config!$B$1006="Y",AQ267=1),Config!$B$1007,0)</f>
        <v>0</v>
      </c>
    </row>
    <row r="268" ht="15.75" customHeight="1">
      <c r="A268" s="46" t="str">
        <f t="shared" si="1"/>
        <v/>
      </c>
      <c r="B268" s="40" t="str">
        <f>IF(Bids!$A267="","",Bids!$A267)</f>
        <v/>
      </c>
      <c r="C268" s="40" t="str">
        <f>IF(Bids!$B267="","",Bids!$B267)</f>
        <v/>
      </c>
      <c r="D268" s="40" t="str">
        <f>IF($C268="","",IFERROR(VLOOKUP($C268,Orders!$A$4:$J$998,9,FALSE),""))</f>
        <v/>
      </c>
      <c r="E268" s="40" t="str">
        <f>IF($C268="","",IFERROR(VLOOKUP($C268,Orders!$A$4:$J$998,3,FALSE),""))</f>
        <v/>
      </c>
      <c r="F268" s="40">
        <f t="shared" si="2"/>
        <v>1</v>
      </c>
      <c r="G268" s="40" t="str">
        <f>IF($C268="","",IFERROR(VLOOKUP($C268,Orders!$A$4:$J$998,4,FALSE),""))</f>
        <v/>
      </c>
      <c r="H268" s="40" t="str">
        <f>IF($C268="","",IFERROR(VLOOKUP($C268,Orders!$A$4:$J$998,5,FALSE),""))</f>
        <v/>
      </c>
      <c r="I268" s="40" t="str">
        <f>IF($C268="","",IFERROR(VLOOKUP($C268,Orders!$A$4:$J$998,6,FALSE),""))</f>
        <v/>
      </c>
      <c r="J268" s="40" t="str">
        <f>IF($C268="","",IFERROR(VLOOKUP($C268,Orders!$A$4:$J$998,7,FALSE),""))</f>
        <v/>
      </c>
      <c r="K268" s="40" t="str">
        <f>IF(Bids!$C267="","",Bids!$C267)</f>
        <v/>
      </c>
      <c r="L268" s="40" t="str">
        <f>IF($K268="","",IFERROR(VLOOKUP($K268,Grinders!$A$4:$N$998,2,FALSE),""))</f>
        <v/>
      </c>
      <c r="M268" s="40" t="str">
        <f>IF($K268="","",IFERROR(VLOOKUP($K268,Grinders!$A$4:$N$998,3,FALSE),""))</f>
        <v/>
      </c>
      <c r="N268" s="40" t="str">
        <f>IF($K268="","",IFERROR(VLOOKUP($K268,Grinders!$A$4:$N$998,4,FALSE),""))</f>
        <v/>
      </c>
      <c r="O268" s="40" t="str">
        <f>IF($K268="","",IFERROR(VLOOKUP($K268,Grinders!$A$4:$N$998,5,FALSE),""))</f>
        <v/>
      </c>
      <c r="P268" s="40" t="str">
        <f>IF($K268="","",IF($C$4="",0,COUNTIFS(Assignments!$B$6:$B$1000,$K268,Assignments!$F$6:$F$1000,$C$4,Assignments!$E$6:$E$1000,"Active")))</f>
        <v/>
      </c>
      <c r="Q268" s="40" t="str">
        <f t="shared" si="3"/>
        <v/>
      </c>
      <c r="R268" s="40" t="str">
        <f t="shared" si="4"/>
        <v/>
      </c>
      <c r="S268" s="40" t="str">
        <f>IF($K268="","",IF($C$4="",0,COUNTIFS(Assignments!$B$6:$B$1000,$K268,Assignments!$F$6:$F$1000,$C$4,Assignments!$D$6:$D$1000,"&gt;="&amp;Config!$B$3-7,Assignments!$D$6:$D$1000,"&lt;="&amp;Config!$B$3)))</f>
        <v/>
      </c>
      <c r="T268" s="40" t="str">
        <f>IF($K268="","",IFERROR(VLOOKUP($K268,Grinders!$A$4:$N$998,8,FALSE),""))</f>
        <v/>
      </c>
      <c r="U268" s="40" t="str">
        <f>IFERROR(IF($K268="","",IF($M268="Elite",MAX(50,MIN(100,Config!$B$27*MAX(0,MIN(100,(1-IF($R268="",0,$R268))*100)) + Config!$B$28*MAX(0,MIN(100,(1-MIN(1,IF(Config!$B$30=0,1,$S268/Config!$B$30)))*100)) + Config!$B$29*MAX(0,MIN(100,MIN(1,IF($T268="",0,$T268)/Config!$B$23)*100)))),MIN(100,Config!$B$27*MAX(0,MIN(100,(1-IF($R268="",0,$R268))*100)) + Config!$B$28*MAX(0,MIN(100,(1-MIN(1,IF(Config!$B$30=0,1,$S268/Config!$B$30)))*100)) + Config!$B$29*MAX(0,MIN(100,MIN(1,IF($T268="",0,$T268)/Config!$B$23)*100))))),"")
</f>
        <v/>
      </c>
      <c r="V268" s="40" t="str">
        <f>IF(Bids!$AC268="","",Bids!$AC268)</f>
        <v/>
      </c>
      <c r="W268" s="40" t="str">
        <f>IF(Bids!$F267="","",Bids!$F267)</f>
        <v/>
      </c>
      <c r="X268" s="40" t="str">
        <f t="shared" si="5"/>
        <v/>
      </c>
      <c r="Y268" s="40" t="str">
        <f>IF($X268="","",IF(Config!$B$17=Config!$B$16,IF($X268&gt;=Config!$B$17,100,0),MAX(0,MIN(100,($X268-Config!$B$16)/(Config!$B$17-Config!$B$16)*100))))</f>
        <v/>
      </c>
      <c r="Z268" s="40">
        <f>IF($M268="Elite",Config!$B$21,0)</f>
        <v>0</v>
      </c>
      <c r="AA268" s="40" t="str">
        <f>IFERROR(IF(OR($W268="",$H268=""),"",IF($W268&gt;$H268,
  MAX(0, 60-(($W268-$H268)*24/Config!$B$19)*60),
  MIN(100, 60+(($H268-$W268)*24/Config!$B$20)*40)
)),"")
</f>
        <v/>
      </c>
      <c r="AB268" s="40" t="str">
        <f>IF($K268="","",IFERROR(VLOOKUP($K268,Grinders!$A$4:$N$998,10,FALSE)/5*100,""))</f>
        <v/>
      </c>
      <c r="AC268" s="40" t="str">
        <f>IF($K268="","",IFERROR(VLOOKUP($K268,Grinders!$A$4:$N$998,11,FALSE)*100,""))</f>
        <v/>
      </c>
      <c r="AD268" s="40" t="str">
        <f>IF($K268="","",IFERROR(VLOOKUP($K268,Grinders!$A$4:$N$998,12,FALSE)*100,""))</f>
        <v/>
      </c>
      <c r="AE268" s="40" t="str">
        <f>IF(OR(AO268=1,AP268=1),0,=IFERROR(IFS(
    OR($C268="", $K268=""), 0,
    $F268=0, 0,
    $D268&lt;&gt;"Open", 0,
    COUNTIFS(GrinderServices!$A$6:$A$1000, $K268, GrinderServices!$B$6:$B$1000, $E268, GrinderServices!$D$6:$D$1000, "Y")=0, 0,
    $X268&lt;Config!$B$16, 0,
    Config!$B$18=1, IF($O268&gt;=N268, 0, 1),
    TRUE, 1
), "")
)</f>
        <v>#ERROR!</v>
      </c>
      <c r="AF268" s="40" t="str">
        <f>IFERROR((IF(OR(AO268=1,AP268=1),"",=IFERROR((IFERROR(IF($AE268=0,"",((Config!$B$6*$Y268 + Config!$B$7*$U268 + Config!$B$8*$Z268 + Config!$B$9*$AA268 + Config!$B$10*$AB268 + Config!$B$11*$AC268 - Config!$B$12*$AD268)/Config!$B$13)+$AK268+$AL268),""))*(1-IFERROR(VLOOKUP(K268,Grinders!$A:$AB, 28, FALSE),0)),"")))*(1+AR268),"")</f>
        <v>#ERROR!</v>
      </c>
      <c r="AG268" s="40" t="str">
        <f t="shared" si="6"/>
        <v>#ERROR!</v>
      </c>
      <c r="AH268" s="40" t="str">
        <f t="shared" si="7"/>
        <v/>
      </c>
      <c r="AI268" s="40" t="str">
        <f t="shared" si="8"/>
        <v/>
      </c>
      <c r="AJ268" s="40" t="str">
        <f>IF($K268="","",COUNTIF(Assignments!$B$6:$B$1000,$K268))</f>
        <v/>
      </c>
      <c r="AK268" s="40" t="str">
        <f>IF($K268="","",IF(AND($AJ268=0,$O268&lt;$N268),Config!$B$43,0))</f>
        <v/>
      </c>
      <c r="AL268" s="40" t="str">
        <f>IF($K268="","",IF(AND($M268="Elite",$G268&gt;=Config!$B$41,$O268&lt;$N268),Config!$B$42,0))</f>
        <v/>
      </c>
      <c r="AM268" s="22"/>
      <c r="AN268" s="39">
        <f>IFERROR(VLOOKUP(K268,Grinders!$A:$Q,28,FALSE),0)</f>
        <v>0</v>
      </c>
      <c r="AO268" s="39">
        <f>IF(Config!$B$1003&lt;&gt;"Y",0,IF(IFERROR(VLOOKUP(K268,Grinders!$A:$P,27,FALSE),0)&gt;=3,IF(OR(G268&gt;=Config!$B$1001,ISNUMBER(SEARCH(E268,Config!$B$1002))),1,0),0))</f>
        <v>0</v>
      </c>
      <c r="AP268" s="39">
        <f t="array" ref="AP268">IFERROR(IF(INDEX(Bids!$AE:$AE,MATCH(B268,Bids!$A:$A,0))="Pending",1,0),0)</f>
        <v>0</v>
      </c>
      <c r="AQ268" s="39" t="str">
        <f t="array" ref="AQ268">IF(C268="","",IFERROR(XLOOKUP(C268,Assignments!$C:$C,Assignments!$AU:$AU,0),0))</f>
        <v/>
      </c>
      <c r="AR268" s="39">
        <f>IF(AND(Config!$B$1006="Y",AQ268=1),Config!$B$1007,0)</f>
        <v>0</v>
      </c>
    </row>
    <row r="269" ht="15.75" customHeight="1">
      <c r="A269" s="46" t="str">
        <f t="shared" si="1"/>
        <v/>
      </c>
      <c r="B269" s="40" t="str">
        <f>IF(Bids!$A268="","",Bids!$A268)</f>
        <v/>
      </c>
      <c r="C269" s="40" t="str">
        <f>IF(Bids!$B268="","",Bids!$B268)</f>
        <v/>
      </c>
      <c r="D269" s="40" t="str">
        <f>IF($C269="","",IFERROR(VLOOKUP($C269,Orders!$A$4:$J$998,9,FALSE),""))</f>
        <v/>
      </c>
      <c r="E269" s="40" t="str">
        <f>IF($C269="","",IFERROR(VLOOKUP($C269,Orders!$A$4:$J$998,3,FALSE),""))</f>
        <v/>
      </c>
      <c r="F269" s="40">
        <f t="shared" si="2"/>
        <v>1</v>
      </c>
      <c r="G269" s="40" t="str">
        <f>IF($C269="","",IFERROR(VLOOKUP($C269,Orders!$A$4:$J$998,4,FALSE),""))</f>
        <v/>
      </c>
      <c r="H269" s="40" t="str">
        <f>IF($C269="","",IFERROR(VLOOKUP($C269,Orders!$A$4:$J$998,5,FALSE),""))</f>
        <v/>
      </c>
      <c r="I269" s="40" t="str">
        <f>IF($C269="","",IFERROR(VLOOKUP($C269,Orders!$A$4:$J$998,6,FALSE),""))</f>
        <v/>
      </c>
      <c r="J269" s="40" t="str">
        <f>IF($C269="","",IFERROR(VLOOKUP($C269,Orders!$A$4:$J$998,7,FALSE),""))</f>
        <v/>
      </c>
      <c r="K269" s="40" t="str">
        <f>IF(Bids!$C268="","",Bids!$C268)</f>
        <v/>
      </c>
      <c r="L269" s="40" t="str">
        <f>IF($K269="","",IFERROR(VLOOKUP($K269,Grinders!$A$4:$N$998,2,FALSE),""))</f>
        <v/>
      </c>
      <c r="M269" s="40" t="str">
        <f>IF($K269="","",IFERROR(VLOOKUP($K269,Grinders!$A$4:$N$998,3,FALSE),""))</f>
        <v/>
      </c>
      <c r="N269" s="40" t="str">
        <f>IF($K269="","",IFERROR(VLOOKUP($K269,Grinders!$A$4:$N$998,4,FALSE),""))</f>
        <v/>
      </c>
      <c r="O269" s="40" t="str">
        <f>IF($K269="","",IFERROR(VLOOKUP($K269,Grinders!$A$4:$N$998,5,FALSE),""))</f>
        <v/>
      </c>
      <c r="P269" s="40" t="str">
        <f>IF($K269="","",IF($C$4="",0,COUNTIFS(Assignments!$B$6:$B$1000,$K269,Assignments!$F$6:$F$1000,$C$4,Assignments!$E$6:$E$1000,"Active")))</f>
        <v/>
      </c>
      <c r="Q269" s="40" t="str">
        <f t="shared" si="3"/>
        <v/>
      </c>
      <c r="R269" s="40" t="str">
        <f t="shared" si="4"/>
        <v/>
      </c>
      <c r="S269" s="40" t="str">
        <f>IF($K269="","",IF($C$4="",0,COUNTIFS(Assignments!$B$6:$B$1000,$K269,Assignments!$F$6:$F$1000,$C$4,Assignments!$D$6:$D$1000,"&gt;="&amp;Config!$B$3-7,Assignments!$D$6:$D$1000,"&lt;="&amp;Config!$B$3)))</f>
        <v/>
      </c>
      <c r="T269" s="40" t="str">
        <f>IF($K269="","",IFERROR(VLOOKUP($K269,Grinders!$A$4:$N$998,8,FALSE),""))</f>
        <v/>
      </c>
      <c r="U269" s="40" t="str">
        <f>IFERROR(IF($K269="","",IF($M269="Elite",MAX(50,MIN(100,Config!$B$27*MAX(0,MIN(100,(1-IF($R269="",0,$R269))*100)) + Config!$B$28*MAX(0,MIN(100,(1-MIN(1,IF(Config!$B$30=0,1,$S269/Config!$B$30)))*100)) + Config!$B$29*MAX(0,MIN(100,MIN(1,IF($T269="",0,$T269)/Config!$B$23)*100)))),MIN(100,Config!$B$27*MAX(0,MIN(100,(1-IF($R269="",0,$R269))*100)) + Config!$B$28*MAX(0,MIN(100,(1-MIN(1,IF(Config!$B$30=0,1,$S269/Config!$B$30)))*100)) + Config!$B$29*MAX(0,MIN(100,MIN(1,IF($T269="",0,$T269)/Config!$B$23)*100))))),"")
</f>
        <v/>
      </c>
      <c r="V269" s="40" t="str">
        <f>IF(Bids!$AC269="","",Bids!$AC269)</f>
        <v/>
      </c>
      <c r="W269" s="40" t="str">
        <f>IF(Bids!$F268="","",Bids!$F268)</f>
        <v/>
      </c>
      <c r="X269" s="40" t="str">
        <f t="shared" si="5"/>
        <v/>
      </c>
      <c r="Y269" s="40" t="str">
        <f>IF($X269="","",IF(Config!$B$17=Config!$B$16,IF($X269&gt;=Config!$B$17,100,0),MAX(0,MIN(100,($X269-Config!$B$16)/(Config!$B$17-Config!$B$16)*100))))</f>
        <v/>
      </c>
      <c r="Z269" s="40">
        <f>IF($M269="Elite",Config!$B$21,0)</f>
        <v>0</v>
      </c>
      <c r="AA269" s="40" t="str">
        <f>IFERROR(IF(OR($W269="",$H269=""),"",IF($W269&gt;$H269,
  MAX(0, 60-(($W269-$H269)*24/Config!$B$19)*60),
  MIN(100, 60+(($H269-$W269)*24/Config!$B$20)*40)
)),"")
</f>
        <v/>
      </c>
      <c r="AB269" s="40" t="str">
        <f>IF($K269="","",IFERROR(VLOOKUP($K269,Grinders!$A$4:$N$998,10,FALSE)/5*100,""))</f>
        <v/>
      </c>
      <c r="AC269" s="40" t="str">
        <f>IF($K269="","",IFERROR(VLOOKUP($K269,Grinders!$A$4:$N$998,11,FALSE)*100,""))</f>
        <v/>
      </c>
      <c r="AD269" s="40" t="str">
        <f>IF($K269="","",IFERROR(VLOOKUP($K269,Grinders!$A$4:$N$998,12,FALSE)*100,""))</f>
        <v/>
      </c>
      <c r="AE269" s="40" t="str">
        <f>IF(OR(AO269=1,AP269=1),0,=IFERROR(IFS(
    OR($C269="", $K269=""), 0,
    $F269=0, 0,
    $D269&lt;&gt;"Open", 0,
    COUNTIFS(GrinderServices!$A$6:$A$1000, $K269, GrinderServices!$B$6:$B$1000, $E269, GrinderServices!$D$6:$D$1000, "Y")=0, 0,
    $X269&lt;Config!$B$16, 0,
    Config!$B$18=1, IF($O269&gt;=N269, 0, 1),
    TRUE, 1
), "")
)</f>
        <v>#ERROR!</v>
      </c>
      <c r="AF269" s="40" t="str">
        <f>IFERROR((IF(OR(AO269=1,AP269=1),"",=IFERROR((IFERROR(IF($AE269=0,"",((Config!$B$6*$Y269 + Config!$B$7*$U269 + Config!$B$8*$Z269 + Config!$B$9*$AA269 + Config!$B$10*$AB269 + Config!$B$11*$AC269 - Config!$B$12*$AD269)/Config!$B$13)+$AK269+$AL269),""))*(1-IFERROR(VLOOKUP(K269,Grinders!$A:$AB, 28, FALSE),0)),"")))*(1+AR269),"")</f>
        <v>#ERROR!</v>
      </c>
      <c r="AG269" s="40" t="str">
        <f t="shared" si="6"/>
        <v>#ERROR!</v>
      </c>
      <c r="AH269" s="40" t="str">
        <f t="shared" si="7"/>
        <v/>
      </c>
      <c r="AI269" s="40" t="str">
        <f t="shared" si="8"/>
        <v/>
      </c>
      <c r="AJ269" s="40" t="str">
        <f>IF($K269="","",COUNTIF(Assignments!$B$6:$B$1000,$K269))</f>
        <v/>
      </c>
      <c r="AK269" s="40" t="str">
        <f>IF($K269="","",IF(AND($AJ269=0,$O269&lt;$N269),Config!$B$43,0))</f>
        <v/>
      </c>
      <c r="AL269" s="40" t="str">
        <f>IF($K269="","",IF(AND($M269="Elite",$G269&gt;=Config!$B$41,$O269&lt;$N269),Config!$B$42,0))</f>
        <v/>
      </c>
      <c r="AM269" s="22"/>
      <c r="AN269" s="39">
        <f>IFERROR(VLOOKUP(K269,Grinders!$A:$Q,28,FALSE),0)</f>
        <v>0</v>
      </c>
      <c r="AO269" s="39">
        <f>IF(Config!$B$1003&lt;&gt;"Y",0,IF(IFERROR(VLOOKUP(K269,Grinders!$A:$P,27,FALSE),0)&gt;=3,IF(OR(G269&gt;=Config!$B$1001,ISNUMBER(SEARCH(E269,Config!$B$1002))),1,0),0))</f>
        <v>0</v>
      </c>
      <c r="AP269" s="39">
        <f t="array" ref="AP269">IFERROR(IF(INDEX(Bids!$AE:$AE,MATCH(B269,Bids!$A:$A,0))="Pending",1,0),0)</f>
        <v>0</v>
      </c>
      <c r="AQ269" s="39" t="str">
        <f t="array" ref="AQ269">IF(C269="","",IFERROR(XLOOKUP(C269,Assignments!$C:$C,Assignments!$AU:$AU,0),0))</f>
        <v/>
      </c>
      <c r="AR269" s="39">
        <f>IF(AND(Config!$B$1006="Y",AQ269=1),Config!$B$1007,0)</f>
        <v>0</v>
      </c>
    </row>
    <row r="270" ht="15.75" customHeight="1">
      <c r="A270" s="46" t="str">
        <f t="shared" si="1"/>
        <v/>
      </c>
      <c r="B270" s="40" t="str">
        <f>IF(Bids!$A269="","",Bids!$A269)</f>
        <v/>
      </c>
      <c r="C270" s="40" t="str">
        <f>IF(Bids!$B269="","",Bids!$B269)</f>
        <v/>
      </c>
      <c r="D270" s="40" t="str">
        <f>IF($C270="","",IFERROR(VLOOKUP($C270,Orders!$A$4:$J$998,9,FALSE),""))</f>
        <v/>
      </c>
      <c r="E270" s="40" t="str">
        <f>IF($C270="","",IFERROR(VLOOKUP($C270,Orders!$A$4:$J$998,3,FALSE),""))</f>
        <v/>
      </c>
      <c r="F270" s="40">
        <f t="shared" si="2"/>
        <v>1</v>
      </c>
      <c r="G270" s="40" t="str">
        <f>IF($C270="","",IFERROR(VLOOKUP($C270,Orders!$A$4:$J$998,4,FALSE),""))</f>
        <v/>
      </c>
      <c r="H270" s="40" t="str">
        <f>IF($C270="","",IFERROR(VLOOKUP($C270,Orders!$A$4:$J$998,5,FALSE),""))</f>
        <v/>
      </c>
      <c r="I270" s="40" t="str">
        <f>IF($C270="","",IFERROR(VLOOKUP($C270,Orders!$A$4:$J$998,6,FALSE),""))</f>
        <v/>
      </c>
      <c r="J270" s="40" t="str">
        <f>IF($C270="","",IFERROR(VLOOKUP($C270,Orders!$A$4:$J$998,7,FALSE),""))</f>
        <v/>
      </c>
      <c r="K270" s="40" t="str">
        <f>IF(Bids!$C269="","",Bids!$C269)</f>
        <v/>
      </c>
      <c r="L270" s="40" t="str">
        <f>IF($K270="","",IFERROR(VLOOKUP($K270,Grinders!$A$4:$N$998,2,FALSE),""))</f>
        <v/>
      </c>
      <c r="M270" s="40" t="str">
        <f>IF($K270="","",IFERROR(VLOOKUP($K270,Grinders!$A$4:$N$998,3,FALSE),""))</f>
        <v/>
      </c>
      <c r="N270" s="40" t="str">
        <f>IF($K270="","",IFERROR(VLOOKUP($K270,Grinders!$A$4:$N$998,4,FALSE),""))</f>
        <v/>
      </c>
      <c r="O270" s="40" t="str">
        <f>IF($K270="","",IFERROR(VLOOKUP($K270,Grinders!$A$4:$N$998,5,FALSE),""))</f>
        <v/>
      </c>
      <c r="P270" s="40" t="str">
        <f>IF($K270="","",IF($C$4="",0,COUNTIFS(Assignments!$B$6:$B$1000,$K270,Assignments!$F$6:$F$1000,$C$4,Assignments!$E$6:$E$1000,"Active")))</f>
        <v/>
      </c>
      <c r="Q270" s="40" t="str">
        <f t="shared" si="3"/>
        <v/>
      </c>
      <c r="R270" s="40" t="str">
        <f t="shared" si="4"/>
        <v/>
      </c>
      <c r="S270" s="40" t="str">
        <f>IF($K270="","",IF($C$4="",0,COUNTIFS(Assignments!$B$6:$B$1000,$K270,Assignments!$F$6:$F$1000,$C$4,Assignments!$D$6:$D$1000,"&gt;="&amp;Config!$B$3-7,Assignments!$D$6:$D$1000,"&lt;="&amp;Config!$B$3)))</f>
        <v/>
      </c>
      <c r="T270" s="40" t="str">
        <f>IF($K270="","",IFERROR(VLOOKUP($K270,Grinders!$A$4:$N$998,8,FALSE),""))</f>
        <v/>
      </c>
      <c r="U270" s="40" t="str">
        <f>IFERROR(IF($K270="","",IF($M270="Elite",MAX(50,MIN(100,Config!$B$27*MAX(0,MIN(100,(1-IF($R270="",0,$R270))*100)) + Config!$B$28*MAX(0,MIN(100,(1-MIN(1,IF(Config!$B$30=0,1,$S270/Config!$B$30)))*100)) + Config!$B$29*MAX(0,MIN(100,MIN(1,IF($T270="",0,$T270)/Config!$B$23)*100)))),MIN(100,Config!$B$27*MAX(0,MIN(100,(1-IF($R270="",0,$R270))*100)) + Config!$B$28*MAX(0,MIN(100,(1-MIN(1,IF(Config!$B$30=0,1,$S270/Config!$B$30)))*100)) + Config!$B$29*MAX(0,MIN(100,MIN(1,IF($T270="",0,$T270)/Config!$B$23)*100))))),"")
</f>
        <v/>
      </c>
      <c r="V270" s="40" t="str">
        <f>IF(Bids!$AC270="","",Bids!$AC270)</f>
        <v/>
      </c>
      <c r="W270" s="40" t="str">
        <f>IF(Bids!$F269="","",Bids!$F269)</f>
        <v/>
      </c>
      <c r="X270" s="40" t="str">
        <f t="shared" si="5"/>
        <v/>
      </c>
      <c r="Y270" s="40" t="str">
        <f>IF($X270="","",IF(Config!$B$17=Config!$B$16,IF($X270&gt;=Config!$B$17,100,0),MAX(0,MIN(100,($X270-Config!$B$16)/(Config!$B$17-Config!$B$16)*100))))</f>
        <v/>
      </c>
      <c r="Z270" s="40">
        <f>IF($M270="Elite",Config!$B$21,0)</f>
        <v>0</v>
      </c>
      <c r="AA270" s="40" t="str">
        <f>IFERROR(IF(OR($W270="",$H270=""),"",IF($W270&gt;$H270,
  MAX(0, 60-(($W270-$H270)*24/Config!$B$19)*60),
  MIN(100, 60+(($H270-$W270)*24/Config!$B$20)*40)
)),"")
</f>
        <v/>
      </c>
      <c r="AB270" s="40" t="str">
        <f>IF($K270="","",IFERROR(VLOOKUP($K270,Grinders!$A$4:$N$998,10,FALSE)/5*100,""))</f>
        <v/>
      </c>
      <c r="AC270" s="40" t="str">
        <f>IF($K270="","",IFERROR(VLOOKUP($K270,Grinders!$A$4:$N$998,11,FALSE)*100,""))</f>
        <v/>
      </c>
      <c r="AD270" s="40" t="str">
        <f>IF($K270="","",IFERROR(VLOOKUP($K270,Grinders!$A$4:$N$998,12,FALSE)*100,""))</f>
        <v/>
      </c>
      <c r="AE270" s="40" t="str">
        <f>IF(OR(AO270=1,AP270=1),0,=IFERROR(IFS(
    OR($C270="", $K270=""), 0,
    $F270=0, 0,
    $D270&lt;&gt;"Open", 0,
    COUNTIFS(GrinderServices!$A$6:$A$1000, $K270, GrinderServices!$B$6:$B$1000, $E270, GrinderServices!$D$6:$D$1000, "Y")=0, 0,
    $X270&lt;Config!$B$16, 0,
    Config!$B$18=1, IF($O270&gt;=N270, 0, 1),
    TRUE, 1
), "")
)</f>
        <v>#ERROR!</v>
      </c>
      <c r="AF270" s="40" t="str">
        <f>IFERROR((IF(OR(AO270=1,AP270=1),"",=IFERROR((IFERROR(IF($AE270=0,"",((Config!$B$6*$Y270 + Config!$B$7*$U270 + Config!$B$8*$Z270 + Config!$B$9*$AA270 + Config!$B$10*$AB270 + Config!$B$11*$AC270 - Config!$B$12*$AD270)/Config!$B$13)+$AK270+$AL270),""))*(1-IFERROR(VLOOKUP(K270,Grinders!$A:$AB, 28, FALSE),0)),"")))*(1+AR270),"")</f>
        <v>#ERROR!</v>
      </c>
      <c r="AG270" s="40" t="str">
        <f t="shared" si="6"/>
        <v>#ERROR!</v>
      </c>
      <c r="AH270" s="40" t="str">
        <f t="shared" si="7"/>
        <v/>
      </c>
      <c r="AI270" s="40" t="str">
        <f t="shared" si="8"/>
        <v/>
      </c>
      <c r="AJ270" s="40" t="str">
        <f>IF($K270="","",COUNTIF(Assignments!$B$6:$B$1000,$K270))</f>
        <v/>
      </c>
      <c r="AK270" s="40" t="str">
        <f>IF($K270="","",IF(AND($AJ270=0,$O270&lt;$N270),Config!$B$43,0))</f>
        <v/>
      </c>
      <c r="AL270" s="40" t="str">
        <f>IF($K270="","",IF(AND($M270="Elite",$G270&gt;=Config!$B$41,$O270&lt;$N270),Config!$B$42,0))</f>
        <v/>
      </c>
      <c r="AM270" s="22"/>
      <c r="AN270" s="39">
        <f>IFERROR(VLOOKUP(K270,Grinders!$A:$Q,28,FALSE),0)</f>
        <v>0</v>
      </c>
      <c r="AO270" s="39">
        <f>IF(Config!$B$1003&lt;&gt;"Y",0,IF(IFERROR(VLOOKUP(K270,Grinders!$A:$P,27,FALSE),0)&gt;=3,IF(OR(G270&gt;=Config!$B$1001,ISNUMBER(SEARCH(E270,Config!$B$1002))),1,0),0))</f>
        <v>0</v>
      </c>
      <c r="AP270" s="39">
        <f t="array" ref="AP270">IFERROR(IF(INDEX(Bids!$AE:$AE,MATCH(B270,Bids!$A:$A,0))="Pending",1,0),0)</f>
        <v>0</v>
      </c>
      <c r="AQ270" s="39" t="str">
        <f t="array" ref="AQ270">IF(C270="","",IFERROR(XLOOKUP(C270,Assignments!$C:$C,Assignments!$AU:$AU,0),0))</f>
        <v/>
      </c>
      <c r="AR270" s="39">
        <f>IF(AND(Config!$B$1006="Y",AQ270=1),Config!$B$1007,0)</f>
        <v>0</v>
      </c>
    </row>
    <row r="271" ht="15.75" customHeight="1">
      <c r="A271" s="46" t="str">
        <f t="shared" si="1"/>
        <v/>
      </c>
      <c r="B271" s="40" t="str">
        <f>IF(Bids!$A270="","",Bids!$A270)</f>
        <v/>
      </c>
      <c r="C271" s="40" t="str">
        <f>IF(Bids!$B270="","",Bids!$B270)</f>
        <v/>
      </c>
      <c r="D271" s="40" t="str">
        <f>IF($C271="","",IFERROR(VLOOKUP($C271,Orders!$A$4:$J$998,9,FALSE),""))</f>
        <v/>
      </c>
      <c r="E271" s="40" t="str">
        <f>IF($C271="","",IFERROR(VLOOKUP($C271,Orders!$A$4:$J$998,3,FALSE),""))</f>
        <v/>
      </c>
      <c r="F271" s="40">
        <f t="shared" si="2"/>
        <v>1</v>
      </c>
      <c r="G271" s="40" t="str">
        <f>IF($C271="","",IFERROR(VLOOKUP($C271,Orders!$A$4:$J$998,4,FALSE),""))</f>
        <v/>
      </c>
      <c r="H271" s="40" t="str">
        <f>IF($C271="","",IFERROR(VLOOKUP($C271,Orders!$A$4:$J$998,5,FALSE),""))</f>
        <v/>
      </c>
      <c r="I271" s="40" t="str">
        <f>IF($C271="","",IFERROR(VLOOKUP($C271,Orders!$A$4:$J$998,6,FALSE),""))</f>
        <v/>
      </c>
      <c r="J271" s="40" t="str">
        <f>IF($C271="","",IFERROR(VLOOKUP($C271,Orders!$A$4:$J$998,7,FALSE),""))</f>
        <v/>
      </c>
      <c r="K271" s="40" t="str">
        <f>IF(Bids!$C270="","",Bids!$C270)</f>
        <v/>
      </c>
      <c r="L271" s="40" t="str">
        <f>IF($K271="","",IFERROR(VLOOKUP($K271,Grinders!$A$4:$N$998,2,FALSE),""))</f>
        <v/>
      </c>
      <c r="M271" s="40" t="str">
        <f>IF($K271="","",IFERROR(VLOOKUP($K271,Grinders!$A$4:$N$998,3,FALSE),""))</f>
        <v/>
      </c>
      <c r="N271" s="40" t="str">
        <f>IF($K271="","",IFERROR(VLOOKUP($K271,Grinders!$A$4:$N$998,4,FALSE),""))</f>
        <v/>
      </c>
      <c r="O271" s="40" t="str">
        <f>IF($K271="","",IFERROR(VLOOKUP($K271,Grinders!$A$4:$N$998,5,FALSE),""))</f>
        <v/>
      </c>
      <c r="P271" s="40" t="str">
        <f>IF($K271="","",IF($C$4="",0,COUNTIFS(Assignments!$B$6:$B$1000,$K271,Assignments!$F$6:$F$1000,$C$4,Assignments!$E$6:$E$1000,"Active")))</f>
        <v/>
      </c>
      <c r="Q271" s="40" t="str">
        <f t="shared" si="3"/>
        <v/>
      </c>
      <c r="R271" s="40" t="str">
        <f t="shared" si="4"/>
        <v/>
      </c>
      <c r="S271" s="40" t="str">
        <f>IF($K271="","",IF($C$4="",0,COUNTIFS(Assignments!$B$6:$B$1000,$K271,Assignments!$F$6:$F$1000,$C$4,Assignments!$D$6:$D$1000,"&gt;="&amp;Config!$B$3-7,Assignments!$D$6:$D$1000,"&lt;="&amp;Config!$B$3)))</f>
        <v/>
      </c>
      <c r="T271" s="40" t="str">
        <f>IF($K271="","",IFERROR(VLOOKUP($K271,Grinders!$A$4:$N$998,8,FALSE),""))</f>
        <v/>
      </c>
      <c r="U271" s="40" t="str">
        <f>IFERROR(IF($K271="","",IF($M271="Elite",MAX(50,MIN(100,Config!$B$27*MAX(0,MIN(100,(1-IF($R271="",0,$R271))*100)) + Config!$B$28*MAX(0,MIN(100,(1-MIN(1,IF(Config!$B$30=0,1,$S271/Config!$B$30)))*100)) + Config!$B$29*MAX(0,MIN(100,MIN(1,IF($T271="",0,$T271)/Config!$B$23)*100)))),MIN(100,Config!$B$27*MAX(0,MIN(100,(1-IF($R271="",0,$R271))*100)) + Config!$B$28*MAX(0,MIN(100,(1-MIN(1,IF(Config!$B$30=0,1,$S271/Config!$B$30)))*100)) + Config!$B$29*MAX(0,MIN(100,MIN(1,IF($T271="",0,$T271)/Config!$B$23)*100))))),"")
</f>
        <v/>
      </c>
      <c r="V271" s="40" t="str">
        <f>IF(Bids!$AC271="","",Bids!$AC271)</f>
        <v/>
      </c>
      <c r="W271" s="40" t="str">
        <f>IF(Bids!$F270="","",Bids!$F270)</f>
        <v/>
      </c>
      <c r="X271" s="40" t="str">
        <f t="shared" si="5"/>
        <v/>
      </c>
      <c r="Y271" s="40" t="str">
        <f>IF($X271="","",IF(Config!$B$17=Config!$B$16,IF($X271&gt;=Config!$B$17,100,0),MAX(0,MIN(100,($X271-Config!$B$16)/(Config!$B$17-Config!$B$16)*100))))</f>
        <v/>
      </c>
      <c r="Z271" s="40">
        <f>IF($M271="Elite",Config!$B$21,0)</f>
        <v>0</v>
      </c>
      <c r="AA271" s="40" t="str">
        <f>IFERROR(IF(OR($W271="",$H271=""),"",IF($W271&gt;$H271,
  MAX(0, 60-(($W271-$H271)*24/Config!$B$19)*60),
  MIN(100, 60+(($H271-$W271)*24/Config!$B$20)*40)
)),"")
</f>
        <v/>
      </c>
      <c r="AB271" s="40" t="str">
        <f>IF($K271="","",IFERROR(VLOOKUP($K271,Grinders!$A$4:$N$998,10,FALSE)/5*100,""))</f>
        <v/>
      </c>
      <c r="AC271" s="40" t="str">
        <f>IF($K271="","",IFERROR(VLOOKUP($K271,Grinders!$A$4:$N$998,11,FALSE)*100,""))</f>
        <v/>
      </c>
      <c r="AD271" s="40" t="str">
        <f>IF($K271="","",IFERROR(VLOOKUP($K271,Grinders!$A$4:$N$998,12,FALSE)*100,""))</f>
        <v/>
      </c>
      <c r="AE271" s="40" t="str">
        <f>IF(OR(AO271=1,AP271=1),0,=IFERROR(IFS(
    OR($C271="", $K271=""), 0,
    $F271=0, 0,
    $D271&lt;&gt;"Open", 0,
    COUNTIFS(GrinderServices!$A$6:$A$1000, $K271, GrinderServices!$B$6:$B$1000, $E271, GrinderServices!$D$6:$D$1000, "Y")=0, 0,
    $X271&lt;Config!$B$16, 0,
    Config!$B$18=1, IF($O271&gt;=N271, 0, 1),
    TRUE, 1
), "")
)</f>
        <v>#ERROR!</v>
      </c>
      <c r="AF271" s="40" t="str">
        <f>IFERROR((IF(OR(AO271=1,AP271=1),"",=IFERROR((IFERROR(IF($AE271=0,"",((Config!$B$6*$Y271 + Config!$B$7*$U271 + Config!$B$8*$Z271 + Config!$B$9*$AA271 + Config!$B$10*$AB271 + Config!$B$11*$AC271 - Config!$B$12*$AD271)/Config!$B$13)+$AK271+$AL271),""))*(1-IFERROR(VLOOKUP(K271,Grinders!$A:$AB, 28, FALSE),0)),"")))*(1+AR271),"")</f>
        <v>#ERROR!</v>
      </c>
      <c r="AG271" s="40" t="str">
        <f t="shared" si="6"/>
        <v>#ERROR!</v>
      </c>
      <c r="AH271" s="40" t="str">
        <f t="shared" si="7"/>
        <v/>
      </c>
      <c r="AI271" s="40" t="str">
        <f t="shared" si="8"/>
        <v/>
      </c>
      <c r="AJ271" s="40" t="str">
        <f>IF($K271="","",COUNTIF(Assignments!$B$6:$B$1000,$K271))</f>
        <v/>
      </c>
      <c r="AK271" s="40" t="str">
        <f>IF($K271="","",IF(AND($AJ271=0,$O271&lt;$N271),Config!$B$43,0))</f>
        <v/>
      </c>
      <c r="AL271" s="40" t="str">
        <f>IF($K271="","",IF(AND($M271="Elite",$G271&gt;=Config!$B$41,$O271&lt;$N271),Config!$B$42,0))</f>
        <v/>
      </c>
      <c r="AM271" s="22"/>
      <c r="AN271" s="39">
        <f>IFERROR(VLOOKUP(K271,Grinders!$A:$Q,28,FALSE),0)</f>
        <v>0</v>
      </c>
      <c r="AO271" s="39">
        <f>IF(Config!$B$1003&lt;&gt;"Y",0,IF(IFERROR(VLOOKUP(K271,Grinders!$A:$P,27,FALSE),0)&gt;=3,IF(OR(G271&gt;=Config!$B$1001,ISNUMBER(SEARCH(E271,Config!$B$1002))),1,0),0))</f>
        <v>0</v>
      </c>
      <c r="AP271" s="39">
        <f t="array" ref="AP271">IFERROR(IF(INDEX(Bids!$AE:$AE,MATCH(B271,Bids!$A:$A,0))="Pending",1,0),0)</f>
        <v>0</v>
      </c>
      <c r="AQ271" s="39" t="str">
        <f t="array" ref="AQ271">IF(C271="","",IFERROR(XLOOKUP(C271,Assignments!$C:$C,Assignments!$AU:$AU,0),0))</f>
        <v/>
      </c>
      <c r="AR271" s="39">
        <f>IF(AND(Config!$B$1006="Y",AQ271=1),Config!$B$1007,0)</f>
        <v>0</v>
      </c>
    </row>
    <row r="272" ht="15.75" customHeight="1">
      <c r="A272" s="46" t="str">
        <f t="shared" si="1"/>
        <v/>
      </c>
      <c r="B272" s="40" t="str">
        <f>IF(Bids!$A271="","",Bids!$A271)</f>
        <v/>
      </c>
      <c r="C272" s="40" t="str">
        <f>IF(Bids!$B271="","",Bids!$B271)</f>
        <v/>
      </c>
      <c r="D272" s="40" t="str">
        <f>IF($C272="","",IFERROR(VLOOKUP($C272,Orders!$A$4:$J$998,9,FALSE),""))</f>
        <v/>
      </c>
      <c r="E272" s="40" t="str">
        <f>IF($C272="","",IFERROR(VLOOKUP($C272,Orders!$A$4:$J$998,3,FALSE),""))</f>
        <v/>
      </c>
      <c r="F272" s="40">
        <f t="shared" si="2"/>
        <v>1</v>
      </c>
      <c r="G272" s="40" t="str">
        <f>IF($C272="","",IFERROR(VLOOKUP($C272,Orders!$A$4:$J$998,4,FALSE),""))</f>
        <v/>
      </c>
      <c r="H272" s="40" t="str">
        <f>IF($C272="","",IFERROR(VLOOKUP($C272,Orders!$A$4:$J$998,5,FALSE),""))</f>
        <v/>
      </c>
      <c r="I272" s="40" t="str">
        <f>IF($C272="","",IFERROR(VLOOKUP($C272,Orders!$A$4:$J$998,6,FALSE),""))</f>
        <v/>
      </c>
      <c r="J272" s="40" t="str">
        <f>IF($C272="","",IFERROR(VLOOKUP($C272,Orders!$A$4:$J$998,7,FALSE),""))</f>
        <v/>
      </c>
      <c r="K272" s="40" t="str">
        <f>IF(Bids!$C271="","",Bids!$C271)</f>
        <v/>
      </c>
      <c r="L272" s="40" t="str">
        <f>IF($K272="","",IFERROR(VLOOKUP($K272,Grinders!$A$4:$N$998,2,FALSE),""))</f>
        <v/>
      </c>
      <c r="M272" s="40" t="str">
        <f>IF($K272="","",IFERROR(VLOOKUP($K272,Grinders!$A$4:$N$998,3,FALSE),""))</f>
        <v/>
      </c>
      <c r="N272" s="40" t="str">
        <f>IF($K272="","",IFERROR(VLOOKUP($K272,Grinders!$A$4:$N$998,4,FALSE),""))</f>
        <v/>
      </c>
      <c r="O272" s="40" t="str">
        <f>IF($K272="","",IFERROR(VLOOKUP($K272,Grinders!$A$4:$N$998,5,FALSE),""))</f>
        <v/>
      </c>
      <c r="P272" s="40" t="str">
        <f>IF($K272="","",IF($C$4="",0,COUNTIFS(Assignments!$B$6:$B$1000,$K272,Assignments!$F$6:$F$1000,$C$4,Assignments!$E$6:$E$1000,"Active")))</f>
        <v/>
      </c>
      <c r="Q272" s="40" t="str">
        <f t="shared" si="3"/>
        <v/>
      </c>
      <c r="R272" s="40" t="str">
        <f t="shared" si="4"/>
        <v/>
      </c>
      <c r="S272" s="40" t="str">
        <f>IF($K272="","",IF($C$4="",0,COUNTIFS(Assignments!$B$6:$B$1000,$K272,Assignments!$F$6:$F$1000,$C$4,Assignments!$D$6:$D$1000,"&gt;="&amp;Config!$B$3-7,Assignments!$D$6:$D$1000,"&lt;="&amp;Config!$B$3)))</f>
        <v/>
      </c>
      <c r="T272" s="40" t="str">
        <f>IF($K272="","",IFERROR(VLOOKUP($K272,Grinders!$A$4:$N$998,8,FALSE),""))</f>
        <v/>
      </c>
      <c r="U272" s="40" t="str">
        <f>IFERROR(IF($K272="","",IF($M272="Elite",MAX(50,MIN(100,Config!$B$27*MAX(0,MIN(100,(1-IF($R272="",0,$R272))*100)) + Config!$B$28*MAX(0,MIN(100,(1-MIN(1,IF(Config!$B$30=0,1,$S272/Config!$B$30)))*100)) + Config!$B$29*MAX(0,MIN(100,MIN(1,IF($T272="",0,$T272)/Config!$B$23)*100)))),MIN(100,Config!$B$27*MAX(0,MIN(100,(1-IF($R272="",0,$R272))*100)) + Config!$B$28*MAX(0,MIN(100,(1-MIN(1,IF(Config!$B$30=0,1,$S272/Config!$B$30)))*100)) + Config!$B$29*MAX(0,MIN(100,MIN(1,IF($T272="",0,$T272)/Config!$B$23)*100))))),"")
</f>
        <v/>
      </c>
      <c r="V272" s="40" t="str">
        <f>IF(Bids!$AC272="","",Bids!$AC272)</f>
        <v/>
      </c>
      <c r="W272" s="40" t="str">
        <f>IF(Bids!$F271="","",Bids!$F271)</f>
        <v/>
      </c>
      <c r="X272" s="40" t="str">
        <f t="shared" si="5"/>
        <v/>
      </c>
      <c r="Y272" s="40" t="str">
        <f>IF($X272="","",IF(Config!$B$17=Config!$B$16,IF($X272&gt;=Config!$B$17,100,0),MAX(0,MIN(100,($X272-Config!$B$16)/(Config!$B$17-Config!$B$16)*100))))</f>
        <v/>
      </c>
      <c r="Z272" s="40">
        <f>IF($M272="Elite",Config!$B$21,0)</f>
        <v>0</v>
      </c>
      <c r="AA272" s="40" t="str">
        <f>IFERROR(IF(OR($W272="",$H272=""),"",IF($W272&gt;$H272,
  MAX(0, 60-(($W272-$H272)*24/Config!$B$19)*60),
  MIN(100, 60+(($H272-$W272)*24/Config!$B$20)*40)
)),"")
</f>
        <v/>
      </c>
      <c r="AB272" s="40" t="str">
        <f>IF($K272="","",IFERROR(VLOOKUP($K272,Grinders!$A$4:$N$998,10,FALSE)/5*100,""))</f>
        <v/>
      </c>
      <c r="AC272" s="40" t="str">
        <f>IF($K272="","",IFERROR(VLOOKUP($K272,Grinders!$A$4:$N$998,11,FALSE)*100,""))</f>
        <v/>
      </c>
      <c r="AD272" s="40" t="str">
        <f>IF($K272="","",IFERROR(VLOOKUP($K272,Grinders!$A$4:$N$998,12,FALSE)*100,""))</f>
        <v/>
      </c>
      <c r="AE272" s="40" t="str">
        <f>IF(OR(AO272=1,AP272=1),0,=IFERROR(IFS(
    OR($C272="", $K272=""), 0,
    $F272=0, 0,
    $D272&lt;&gt;"Open", 0,
    COUNTIFS(GrinderServices!$A$6:$A$1000, $K272, GrinderServices!$B$6:$B$1000, $E272, GrinderServices!$D$6:$D$1000, "Y")=0, 0,
    $X272&lt;Config!$B$16, 0,
    Config!$B$18=1, IF($O272&gt;=N272, 0, 1),
    TRUE, 1
), "")
)</f>
        <v>#ERROR!</v>
      </c>
      <c r="AF272" s="40" t="str">
        <f>IFERROR((IF(OR(AO272=1,AP272=1),"",=IFERROR((IFERROR(IF($AE272=0,"",((Config!$B$6*$Y272 + Config!$B$7*$U272 + Config!$B$8*$Z272 + Config!$B$9*$AA272 + Config!$B$10*$AB272 + Config!$B$11*$AC272 - Config!$B$12*$AD272)/Config!$B$13)+$AK272+$AL272),""))*(1-IFERROR(VLOOKUP(K272,Grinders!$A:$AB, 28, FALSE),0)),"")))*(1+AR272),"")</f>
        <v>#ERROR!</v>
      </c>
      <c r="AG272" s="40" t="str">
        <f t="shared" si="6"/>
        <v>#ERROR!</v>
      </c>
      <c r="AH272" s="40" t="str">
        <f t="shared" si="7"/>
        <v/>
      </c>
      <c r="AI272" s="40" t="str">
        <f t="shared" si="8"/>
        <v/>
      </c>
      <c r="AJ272" s="40" t="str">
        <f>IF($K272="","",COUNTIF(Assignments!$B$6:$B$1000,$K272))</f>
        <v/>
      </c>
      <c r="AK272" s="40" t="str">
        <f>IF($K272="","",IF(AND($AJ272=0,$O272&lt;$N272),Config!$B$43,0))</f>
        <v/>
      </c>
      <c r="AL272" s="40" t="str">
        <f>IF($K272="","",IF(AND($M272="Elite",$G272&gt;=Config!$B$41,$O272&lt;$N272),Config!$B$42,0))</f>
        <v/>
      </c>
      <c r="AM272" s="22"/>
      <c r="AN272" s="39">
        <f>IFERROR(VLOOKUP(K272,Grinders!$A:$Q,28,FALSE),0)</f>
        <v>0</v>
      </c>
      <c r="AO272" s="39">
        <f>IF(Config!$B$1003&lt;&gt;"Y",0,IF(IFERROR(VLOOKUP(K272,Grinders!$A:$P,27,FALSE),0)&gt;=3,IF(OR(G272&gt;=Config!$B$1001,ISNUMBER(SEARCH(E272,Config!$B$1002))),1,0),0))</f>
        <v>0</v>
      </c>
      <c r="AP272" s="39">
        <f t="array" ref="AP272">IFERROR(IF(INDEX(Bids!$AE:$AE,MATCH(B272,Bids!$A:$A,0))="Pending",1,0),0)</f>
        <v>0</v>
      </c>
      <c r="AQ272" s="39" t="str">
        <f t="array" ref="AQ272">IF(C272="","",IFERROR(XLOOKUP(C272,Assignments!$C:$C,Assignments!$AU:$AU,0),0))</f>
        <v/>
      </c>
      <c r="AR272" s="39">
        <f>IF(AND(Config!$B$1006="Y",AQ272=1),Config!$B$1007,0)</f>
        <v>0</v>
      </c>
    </row>
    <row r="273" ht="15.75" customHeight="1">
      <c r="A273" s="46" t="str">
        <f t="shared" si="1"/>
        <v/>
      </c>
      <c r="B273" s="40" t="str">
        <f>IF(Bids!$A272="","",Bids!$A272)</f>
        <v/>
      </c>
      <c r="C273" s="40" t="str">
        <f>IF(Bids!$B272="","",Bids!$B272)</f>
        <v/>
      </c>
      <c r="D273" s="40" t="str">
        <f>IF($C273="","",IFERROR(VLOOKUP($C273,Orders!$A$4:$J$998,9,FALSE),""))</f>
        <v/>
      </c>
      <c r="E273" s="40" t="str">
        <f>IF($C273="","",IFERROR(VLOOKUP($C273,Orders!$A$4:$J$998,3,FALSE),""))</f>
        <v/>
      </c>
      <c r="F273" s="40">
        <f t="shared" si="2"/>
        <v>1</v>
      </c>
      <c r="G273" s="40" t="str">
        <f>IF($C273="","",IFERROR(VLOOKUP($C273,Orders!$A$4:$J$998,4,FALSE),""))</f>
        <v/>
      </c>
      <c r="H273" s="40" t="str">
        <f>IF($C273="","",IFERROR(VLOOKUP($C273,Orders!$A$4:$J$998,5,FALSE),""))</f>
        <v/>
      </c>
      <c r="I273" s="40" t="str">
        <f>IF($C273="","",IFERROR(VLOOKUP($C273,Orders!$A$4:$J$998,6,FALSE),""))</f>
        <v/>
      </c>
      <c r="J273" s="40" t="str">
        <f>IF($C273="","",IFERROR(VLOOKUP($C273,Orders!$A$4:$J$998,7,FALSE),""))</f>
        <v/>
      </c>
      <c r="K273" s="40" t="str">
        <f>IF(Bids!$C272="","",Bids!$C272)</f>
        <v/>
      </c>
      <c r="L273" s="40" t="str">
        <f>IF($K273="","",IFERROR(VLOOKUP($K273,Grinders!$A$4:$N$998,2,FALSE),""))</f>
        <v/>
      </c>
      <c r="M273" s="40" t="str">
        <f>IF($K273="","",IFERROR(VLOOKUP($K273,Grinders!$A$4:$N$998,3,FALSE),""))</f>
        <v/>
      </c>
      <c r="N273" s="40" t="str">
        <f>IF($K273="","",IFERROR(VLOOKUP($K273,Grinders!$A$4:$N$998,4,FALSE),""))</f>
        <v/>
      </c>
      <c r="O273" s="40" t="str">
        <f>IF($K273="","",IFERROR(VLOOKUP($K273,Grinders!$A$4:$N$998,5,FALSE),""))</f>
        <v/>
      </c>
      <c r="P273" s="40" t="str">
        <f>IF($K273="","",IF($C$4="",0,COUNTIFS(Assignments!$B$6:$B$1000,$K273,Assignments!$F$6:$F$1000,$C$4,Assignments!$E$6:$E$1000,"Active")))</f>
        <v/>
      </c>
      <c r="Q273" s="40" t="str">
        <f t="shared" si="3"/>
        <v/>
      </c>
      <c r="R273" s="40" t="str">
        <f t="shared" si="4"/>
        <v/>
      </c>
      <c r="S273" s="40" t="str">
        <f>IF($K273="","",IF($C$4="",0,COUNTIFS(Assignments!$B$6:$B$1000,$K273,Assignments!$F$6:$F$1000,$C$4,Assignments!$D$6:$D$1000,"&gt;="&amp;Config!$B$3-7,Assignments!$D$6:$D$1000,"&lt;="&amp;Config!$B$3)))</f>
        <v/>
      </c>
      <c r="T273" s="40" t="str">
        <f>IF($K273="","",IFERROR(VLOOKUP($K273,Grinders!$A$4:$N$998,8,FALSE),""))</f>
        <v/>
      </c>
      <c r="U273" s="40" t="str">
        <f>IFERROR(IF($K273="","",IF($M273="Elite",MAX(50,MIN(100,Config!$B$27*MAX(0,MIN(100,(1-IF($R273="",0,$R273))*100)) + Config!$B$28*MAX(0,MIN(100,(1-MIN(1,IF(Config!$B$30=0,1,$S273/Config!$B$30)))*100)) + Config!$B$29*MAX(0,MIN(100,MIN(1,IF($T273="",0,$T273)/Config!$B$23)*100)))),MIN(100,Config!$B$27*MAX(0,MIN(100,(1-IF($R273="",0,$R273))*100)) + Config!$B$28*MAX(0,MIN(100,(1-MIN(1,IF(Config!$B$30=0,1,$S273/Config!$B$30)))*100)) + Config!$B$29*MAX(0,MIN(100,MIN(1,IF($T273="",0,$T273)/Config!$B$23)*100))))),"")
</f>
        <v/>
      </c>
      <c r="V273" s="40" t="str">
        <f>IF(Bids!$AC273="","",Bids!$AC273)</f>
        <v/>
      </c>
      <c r="W273" s="40" t="str">
        <f>IF(Bids!$F272="","",Bids!$F272)</f>
        <v/>
      </c>
      <c r="X273" s="40" t="str">
        <f t="shared" si="5"/>
        <v/>
      </c>
      <c r="Y273" s="40" t="str">
        <f>IF($X273="","",IF(Config!$B$17=Config!$B$16,IF($X273&gt;=Config!$B$17,100,0),MAX(0,MIN(100,($X273-Config!$B$16)/(Config!$B$17-Config!$B$16)*100))))</f>
        <v/>
      </c>
      <c r="Z273" s="40">
        <f>IF($M273="Elite",Config!$B$21,0)</f>
        <v>0</v>
      </c>
      <c r="AA273" s="40" t="str">
        <f>IFERROR(IF(OR($W273="",$H273=""),"",IF($W273&gt;$H273,
  MAX(0, 60-(($W273-$H273)*24/Config!$B$19)*60),
  MIN(100, 60+(($H273-$W273)*24/Config!$B$20)*40)
)),"")
</f>
        <v/>
      </c>
      <c r="AB273" s="40" t="str">
        <f>IF($K273="","",IFERROR(VLOOKUP($K273,Grinders!$A$4:$N$998,10,FALSE)/5*100,""))</f>
        <v/>
      </c>
      <c r="AC273" s="40" t="str">
        <f>IF($K273="","",IFERROR(VLOOKUP($K273,Grinders!$A$4:$N$998,11,FALSE)*100,""))</f>
        <v/>
      </c>
      <c r="AD273" s="40" t="str">
        <f>IF($K273="","",IFERROR(VLOOKUP($K273,Grinders!$A$4:$N$998,12,FALSE)*100,""))</f>
        <v/>
      </c>
      <c r="AE273" s="40" t="str">
        <f>IF(OR(AO273=1,AP273=1),0,=IFERROR(IFS(
    OR($C273="", $K273=""), 0,
    $F273=0, 0,
    $D273&lt;&gt;"Open", 0,
    COUNTIFS(GrinderServices!$A$6:$A$1000, $K273, GrinderServices!$B$6:$B$1000, $E273, GrinderServices!$D$6:$D$1000, "Y")=0, 0,
    $X273&lt;Config!$B$16, 0,
    Config!$B$18=1, IF($O273&gt;=N273, 0, 1),
    TRUE, 1
), "")
)</f>
        <v>#ERROR!</v>
      </c>
      <c r="AF273" s="40" t="str">
        <f>IFERROR((IF(OR(AO273=1,AP273=1),"",=IFERROR((IFERROR(IF($AE273=0,"",((Config!$B$6*$Y273 + Config!$B$7*$U273 + Config!$B$8*$Z273 + Config!$B$9*$AA273 + Config!$B$10*$AB273 + Config!$B$11*$AC273 - Config!$B$12*$AD273)/Config!$B$13)+$AK273+$AL273),""))*(1-IFERROR(VLOOKUP(K273,Grinders!$A:$AB, 28, FALSE),0)),"")))*(1+AR273),"")</f>
        <v>#ERROR!</v>
      </c>
      <c r="AG273" s="40" t="str">
        <f t="shared" si="6"/>
        <v>#ERROR!</v>
      </c>
      <c r="AH273" s="40" t="str">
        <f t="shared" si="7"/>
        <v/>
      </c>
      <c r="AI273" s="40" t="str">
        <f t="shared" si="8"/>
        <v/>
      </c>
      <c r="AJ273" s="40" t="str">
        <f>IF($K273="","",COUNTIF(Assignments!$B$6:$B$1000,$K273))</f>
        <v/>
      </c>
      <c r="AK273" s="40" t="str">
        <f>IF($K273="","",IF(AND($AJ273=0,$O273&lt;$N273),Config!$B$43,0))</f>
        <v/>
      </c>
      <c r="AL273" s="40" t="str">
        <f>IF($K273="","",IF(AND($M273="Elite",$G273&gt;=Config!$B$41,$O273&lt;$N273),Config!$B$42,0))</f>
        <v/>
      </c>
      <c r="AM273" s="22"/>
      <c r="AN273" s="39">
        <f>IFERROR(VLOOKUP(K273,Grinders!$A:$Q,28,FALSE),0)</f>
        <v>0</v>
      </c>
      <c r="AO273" s="39">
        <f>IF(Config!$B$1003&lt;&gt;"Y",0,IF(IFERROR(VLOOKUP(K273,Grinders!$A:$P,27,FALSE),0)&gt;=3,IF(OR(G273&gt;=Config!$B$1001,ISNUMBER(SEARCH(E273,Config!$B$1002))),1,0),0))</f>
        <v>0</v>
      </c>
      <c r="AP273" s="39">
        <f t="array" ref="AP273">IFERROR(IF(INDEX(Bids!$AE:$AE,MATCH(B273,Bids!$A:$A,0))="Pending",1,0),0)</f>
        <v>0</v>
      </c>
      <c r="AQ273" s="39" t="str">
        <f t="array" ref="AQ273">IF(C273="","",IFERROR(XLOOKUP(C273,Assignments!$C:$C,Assignments!$AU:$AU,0),0))</f>
        <v/>
      </c>
      <c r="AR273" s="39">
        <f>IF(AND(Config!$B$1006="Y",AQ273=1),Config!$B$1007,0)</f>
        <v>0</v>
      </c>
    </row>
    <row r="274" ht="15.75" customHeight="1">
      <c r="A274" s="46" t="str">
        <f t="shared" si="1"/>
        <v/>
      </c>
      <c r="B274" s="40" t="str">
        <f>IF(Bids!$A273="","",Bids!$A273)</f>
        <v/>
      </c>
      <c r="C274" s="40" t="str">
        <f>IF(Bids!$B273="","",Bids!$B273)</f>
        <v/>
      </c>
      <c r="D274" s="40" t="str">
        <f>IF($C274="","",IFERROR(VLOOKUP($C274,Orders!$A$4:$J$998,9,FALSE),""))</f>
        <v/>
      </c>
      <c r="E274" s="40" t="str">
        <f>IF($C274="","",IFERROR(VLOOKUP($C274,Orders!$A$4:$J$998,3,FALSE),""))</f>
        <v/>
      </c>
      <c r="F274" s="40">
        <f t="shared" si="2"/>
        <v>1</v>
      </c>
      <c r="G274" s="40" t="str">
        <f>IF($C274="","",IFERROR(VLOOKUP($C274,Orders!$A$4:$J$998,4,FALSE),""))</f>
        <v/>
      </c>
      <c r="H274" s="40" t="str">
        <f>IF($C274="","",IFERROR(VLOOKUP($C274,Orders!$A$4:$J$998,5,FALSE),""))</f>
        <v/>
      </c>
      <c r="I274" s="40" t="str">
        <f>IF($C274="","",IFERROR(VLOOKUP($C274,Orders!$A$4:$J$998,6,FALSE),""))</f>
        <v/>
      </c>
      <c r="J274" s="40" t="str">
        <f>IF($C274="","",IFERROR(VLOOKUP($C274,Orders!$A$4:$J$998,7,FALSE),""))</f>
        <v/>
      </c>
      <c r="K274" s="40" t="str">
        <f>IF(Bids!$C273="","",Bids!$C273)</f>
        <v/>
      </c>
      <c r="L274" s="40" t="str">
        <f>IF($K274="","",IFERROR(VLOOKUP($K274,Grinders!$A$4:$N$998,2,FALSE),""))</f>
        <v/>
      </c>
      <c r="M274" s="40" t="str">
        <f>IF($K274="","",IFERROR(VLOOKUP($K274,Grinders!$A$4:$N$998,3,FALSE),""))</f>
        <v/>
      </c>
      <c r="N274" s="40" t="str">
        <f>IF($K274="","",IFERROR(VLOOKUP($K274,Grinders!$A$4:$N$998,4,FALSE),""))</f>
        <v/>
      </c>
      <c r="O274" s="40" t="str">
        <f>IF($K274="","",IFERROR(VLOOKUP($K274,Grinders!$A$4:$N$998,5,FALSE),""))</f>
        <v/>
      </c>
      <c r="P274" s="40" t="str">
        <f>IF($K274="","",IF($C$4="",0,COUNTIFS(Assignments!$B$6:$B$1000,$K274,Assignments!$F$6:$F$1000,$C$4,Assignments!$E$6:$E$1000,"Active")))</f>
        <v/>
      </c>
      <c r="Q274" s="40" t="str">
        <f t="shared" si="3"/>
        <v/>
      </c>
      <c r="R274" s="40" t="str">
        <f t="shared" si="4"/>
        <v/>
      </c>
      <c r="S274" s="40" t="str">
        <f>IF($K274="","",IF($C$4="",0,COUNTIFS(Assignments!$B$6:$B$1000,$K274,Assignments!$F$6:$F$1000,$C$4,Assignments!$D$6:$D$1000,"&gt;="&amp;Config!$B$3-7,Assignments!$D$6:$D$1000,"&lt;="&amp;Config!$B$3)))</f>
        <v/>
      </c>
      <c r="T274" s="40" t="str">
        <f>IF($K274="","",IFERROR(VLOOKUP($K274,Grinders!$A$4:$N$998,8,FALSE),""))</f>
        <v/>
      </c>
      <c r="U274" s="40" t="str">
        <f>IFERROR(IF($K274="","",IF($M274="Elite",MAX(50,MIN(100,Config!$B$27*MAX(0,MIN(100,(1-IF($R274="",0,$R274))*100)) + Config!$B$28*MAX(0,MIN(100,(1-MIN(1,IF(Config!$B$30=0,1,$S274/Config!$B$30)))*100)) + Config!$B$29*MAX(0,MIN(100,MIN(1,IF($T274="",0,$T274)/Config!$B$23)*100)))),MIN(100,Config!$B$27*MAX(0,MIN(100,(1-IF($R274="",0,$R274))*100)) + Config!$B$28*MAX(0,MIN(100,(1-MIN(1,IF(Config!$B$30=0,1,$S274/Config!$B$30)))*100)) + Config!$B$29*MAX(0,MIN(100,MIN(1,IF($T274="",0,$T274)/Config!$B$23)*100))))),"")
</f>
        <v/>
      </c>
      <c r="V274" s="40" t="str">
        <f>IF(Bids!$AC274="","",Bids!$AC274)</f>
        <v/>
      </c>
      <c r="W274" s="40" t="str">
        <f>IF(Bids!$F273="","",Bids!$F273)</f>
        <v/>
      </c>
      <c r="X274" s="40" t="str">
        <f t="shared" si="5"/>
        <v/>
      </c>
      <c r="Y274" s="40" t="str">
        <f>IF($X274="","",IF(Config!$B$17=Config!$B$16,IF($X274&gt;=Config!$B$17,100,0),MAX(0,MIN(100,($X274-Config!$B$16)/(Config!$B$17-Config!$B$16)*100))))</f>
        <v/>
      </c>
      <c r="Z274" s="40">
        <f>IF($M274="Elite",Config!$B$21,0)</f>
        <v>0</v>
      </c>
      <c r="AA274" s="40" t="str">
        <f>IFERROR(IF(OR($W274="",$H274=""),"",IF($W274&gt;$H274,
  MAX(0, 60-(($W274-$H274)*24/Config!$B$19)*60),
  MIN(100, 60+(($H274-$W274)*24/Config!$B$20)*40)
)),"")
</f>
        <v/>
      </c>
      <c r="AB274" s="40" t="str">
        <f>IF($K274="","",IFERROR(VLOOKUP($K274,Grinders!$A$4:$N$998,10,FALSE)/5*100,""))</f>
        <v/>
      </c>
      <c r="AC274" s="40" t="str">
        <f>IF($K274="","",IFERROR(VLOOKUP($K274,Grinders!$A$4:$N$998,11,FALSE)*100,""))</f>
        <v/>
      </c>
      <c r="AD274" s="40" t="str">
        <f>IF($K274="","",IFERROR(VLOOKUP($K274,Grinders!$A$4:$N$998,12,FALSE)*100,""))</f>
        <v/>
      </c>
      <c r="AE274" s="40" t="str">
        <f>IF(OR(AO274=1,AP274=1),0,=IFERROR(IFS(
    OR($C274="", $K274=""), 0,
    $F274=0, 0,
    $D274&lt;&gt;"Open", 0,
    COUNTIFS(GrinderServices!$A$6:$A$1000, $K274, GrinderServices!$B$6:$B$1000, $E274, GrinderServices!$D$6:$D$1000, "Y")=0, 0,
    $X274&lt;Config!$B$16, 0,
    Config!$B$18=1, IF($O274&gt;=N274, 0, 1),
    TRUE, 1
), "")
)</f>
        <v>#ERROR!</v>
      </c>
      <c r="AF274" s="40" t="str">
        <f>IFERROR((IF(OR(AO274=1,AP274=1),"",=IFERROR((IFERROR(IF($AE274=0,"",((Config!$B$6*$Y274 + Config!$B$7*$U274 + Config!$B$8*$Z274 + Config!$B$9*$AA274 + Config!$B$10*$AB274 + Config!$B$11*$AC274 - Config!$B$12*$AD274)/Config!$B$13)+$AK274+$AL274),""))*(1-IFERROR(VLOOKUP(K274,Grinders!$A:$AB, 28, FALSE),0)),"")))*(1+AR274),"")</f>
        <v>#ERROR!</v>
      </c>
      <c r="AG274" s="40" t="str">
        <f t="shared" si="6"/>
        <v>#ERROR!</v>
      </c>
      <c r="AH274" s="40" t="str">
        <f t="shared" si="7"/>
        <v/>
      </c>
      <c r="AI274" s="40" t="str">
        <f t="shared" si="8"/>
        <v/>
      </c>
      <c r="AJ274" s="40" t="str">
        <f>IF($K274="","",COUNTIF(Assignments!$B$6:$B$1000,$K274))</f>
        <v/>
      </c>
      <c r="AK274" s="40" t="str">
        <f>IF($K274="","",IF(AND($AJ274=0,$O274&lt;$N274),Config!$B$43,0))</f>
        <v/>
      </c>
      <c r="AL274" s="40" t="str">
        <f>IF($K274="","",IF(AND($M274="Elite",$G274&gt;=Config!$B$41,$O274&lt;$N274),Config!$B$42,0))</f>
        <v/>
      </c>
      <c r="AM274" s="22"/>
      <c r="AN274" s="39">
        <f>IFERROR(VLOOKUP(K274,Grinders!$A:$Q,28,FALSE),0)</f>
        <v>0</v>
      </c>
      <c r="AO274" s="39">
        <f>IF(Config!$B$1003&lt;&gt;"Y",0,IF(IFERROR(VLOOKUP(K274,Grinders!$A:$P,27,FALSE),0)&gt;=3,IF(OR(G274&gt;=Config!$B$1001,ISNUMBER(SEARCH(E274,Config!$B$1002))),1,0),0))</f>
        <v>0</v>
      </c>
      <c r="AP274" s="39">
        <f t="array" ref="AP274">IFERROR(IF(INDEX(Bids!$AE:$AE,MATCH(B274,Bids!$A:$A,0))="Pending",1,0),0)</f>
        <v>0</v>
      </c>
      <c r="AQ274" s="39" t="str">
        <f t="array" ref="AQ274">IF(C274="","",IFERROR(XLOOKUP(C274,Assignments!$C:$C,Assignments!$AU:$AU,0),0))</f>
        <v/>
      </c>
      <c r="AR274" s="39">
        <f>IF(AND(Config!$B$1006="Y",AQ274=1),Config!$B$1007,0)</f>
        <v>0</v>
      </c>
    </row>
    <row r="275" ht="15.75" customHeight="1">
      <c r="A275" s="46" t="str">
        <f t="shared" si="1"/>
        <v/>
      </c>
      <c r="B275" s="40" t="str">
        <f>IF(Bids!$A274="","",Bids!$A274)</f>
        <v/>
      </c>
      <c r="C275" s="40" t="str">
        <f>IF(Bids!$B274="","",Bids!$B274)</f>
        <v/>
      </c>
      <c r="D275" s="40" t="str">
        <f>IF($C275="","",IFERROR(VLOOKUP($C275,Orders!$A$4:$J$998,9,FALSE),""))</f>
        <v/>
      </c>
      <c r="E275" s="40" t="str">
        <f>IF($C275="","",IFERROR(VLOOKUP($C275,Orders!$A$4:$J$998,3,FALSE),""))</f>
        <v/>
      </c>
      <c r="F275" s="40">
        <f t="shared" si="2"/>
        <v>1</v>
      </c>
      <c r="G275" s="40" t="str">
        <f>IF($C275="","",IFERROR(VLOOKUP($C275,Orders!$A$4:$J$998,4,FALSE),""))</f>
        <v/>
      </c>
      <c r="H275" s="40" t="str">
        <f>IF($C275="","",IFERROR(VLOOKUP($C275,Orders!$A$4:$J$998,5,FALSE),""))</f>
        <v/>
      </c>
      <c r="I275" s="40" t="str">
        <f>IF($C275="","",IFERROR(VLOOKUP($C275,Orders!$A$4:$J$998,6,FALSE),""))</f>
        <v/>
      </c>
      <c r="J275" s="40" t="str">
        <f>IF($C275="","",IFERROR(VLOOKUP($C275,Orders!$A$4:$J$998,7,FALSE),""))</f>
        <v/>
      </c>
      <c r="K275" s="40" t="str">
        <f>IF(Bids!$C274="","",Bids!$C274)</f>
        <v/>
      </c>
      <c r="L275" s="40" t="str">
        <f>IF($K275="","",IFERROR(VLOOKUP($K275,Grinders!$A$4:$N$998,2,FALSE),""))</f>
        <v/>
      </c>
      <c r="M275" s="40" t="str">
        <f>IF($K275="","",IFERROR(VLOOKUP($K275,Grinders!$A$4:$N$998,3,FALSE),""))</f>
        <v/>
      </c>
      <c r="N275" s="40" t="str">
        <f>IF($K275="","",IFERROR(VLOOKUP($K275,Grinders!$A$4:$N$998,4,FALSE),""))</f>
        <v/>
      </c>
      <c r="O275" s="40" t="str">
        <f>IF($K275="","",IFERROR(VLOOKUP($K275,Grinders!$A$4:$N$998,5,FALSE),""))</f>
        <v/>
      </c>
      <c r="P275" s="40" t="str">
        <f>IF($K275="","",IF($C$4="",0,COUNTIFS(Assignments!$B$6:$B$1000,$K275,Assignments!$F$6:$F$1000,$C$4,Assignments!$E$6:$E$1000,"Active")))</f>
        <v/>
      </c>
      <c r="Q275" s="40" t="str">
        <f t="shared" si="3"/>
        <v/>
      </c>
      <c r="R275" s="40" t="str">
        <f t="shared" si="4"/>
        <v/>
      </c>
      <c r="S275" s="40" t="str">
        <f>IF($K275="","",IF($C$4="",0,COUNTIFS(Assignments!$B$6:$B$1000,$K275,Assignments!$F$6:$F$1000,$C$4,Assignments!$D$6:$D$1000,"&gt;="&amp;Config!$B$3-7,Assignments!$D$6:$D$1000,"&lt;="&amp;Config!$B$3)))</f>
        <v/>
      </c>
      <c r="T275" s="40" t="str">
        <f>IF($K275="","",IFERROR(VLOOKUP($K275,Grinders!$A$4:$N$998,8,FALSE),""))</f>
        <v/>
      </c>
      <c r="U275" s="40" t="str">
        <f>IFERROR(IF($K275="","",IF($M275="Elite",MAX(50,MIN(100,Config!$B$27*MAX(0,MIN(100,(1-IF($R275="",0,$R275))*100)) + Config!$B$28*MAX(0,MIN(100,(1-MIN(1,IF(Config!$B$30=0,1,$S275/Config!$B$30)))*100)) + Config!$B$29*MAX(0,MIN(100,MIN(1,IF($T275="",0,$T275)/Config!$B$23)*100)))),MIN(100,Config!$B$27*MAX(0,MIN(100,(1-IF($R275="",0,$R275))*100)) + Config!$B$28*MAX(0,MIN(100,(1-MIN(1,IF(Config!$B$30=0,1,$S275/Config!$B$30)))*100)) + Config!$B$29*MAX(0,MIN(100,MIN(1,IF($T275="",0,$T275)/Config!$B$23)*100))))),"")
</f>
        <v/>
      </c>
      <c r="V275" s="40" t="str">
        <f>IF(Bids!$AC275="","",Bids!$AC275)</f>
        <v/>
      </c>
      <c r="W275" s="40" t="str">
        <f>IF(Bids!$F274="","",Bids!$F274)</f>
        <v/>
      </c>
      <c r="X275" s="40" t="str">
        <f t="shared" si="5"/>
        <v/>
      </c>
      <c r="Y275" s="40" t="str">
        <f>IF($X275="","",IF(Config!$B$17=Config!$B$16,IF($X275&gt;=Config!$B$17,100,0),MAX(0,MIN(100,($X275-Config!$B$16)/(Config!$B$17-Config!$B$16)*100))))</f>
        <v/>
      </c>
      <c r="Z275" s="40">
        <f>IF($M275="Elite",Config!$B$21,0)</f>
        <v>0</v>
      </c>
      <c r="AA275" s="40" t="str">
        <f>IFERROR(IF(OR($W275="",$H275=""),"",IF($W275&gt;$H275,
  MAX(0, 60-(($W275-$H275)*24/Config!$B$19)*60),
  MIN(100, 60+(($H275-$W275)*24/Config!$B$20)*40)
)),"")
</f>
        <v/>
      </c>
      <c r="AB275" s="40" t="str">
        <f>IF($K275="","",IFERROR(VLOOKUP($K275,Grinders!$A$4:$N$998,10,FALSE)/5*100,""))</f>
        <v/>
      </c>
      <c r="AC275" s="40" t="str">
        <f>IF($K275="","",IFERROR(VLOOKUP($K275,Grinders!$A$4:$N$998,11,FALSE)*100,""))</f>
        <v/>
      </c>
      <c r="AD275" s="40" t="str">
        <f>IF($K275="","",IFERROR(VLOOKUP($K275,Grinders!$A$4:$N$998,12,FALSE)*100,""))</f>
        <v/>
      </c>
      <c r="AE275" s="40" t="str">
        <f>IF(OR(AO275=1,AP275=1),0,=IFERROR(IFS(
    OR($C275="", $K275=""), 0,
    $F275=0, 0,
    $D275&lt;&gt;"Open", 0,
    COUNTIFS(GrinderServices!$A$6:$A$1000, $K275, GrinderServices!$B$6:$B$1000, $E275, GrinderServices!$D$6:$D$1000, "Y")=0, 0,
    $X275&lt;Config!$B$16, 0,
    Config!$B$18=1, IF($O275&gt;=N275, 0, 1),
    TRUE, 1
), "")
)</f>
        <v>#ERROR!</v>
      </c>
      <c r="AF275" s="40" t="str">
        <f>IFERROR((IF(OR(AO275=1,AP275=1),"",=IFERROR((IFERROR(IF($AE275=0,"",((Config!$B$6*$Y275 + Config!$B$7*$U275 + Config!$B$8*$Z275 + Config!$B$9*$AA275 + Config!$B$10*$AB275 + Config!$B$11*$AC275 - Config!$B$12*$AD275)/Config!$B$13)+$AK275+$AL275),""))*(1-IFERROR(VLOOKUP(K275,Grinders!$A:$AB, 28, FALSE),0)),"")))*(1+AR275),"")</f>
        <v>#ERROR!</v>
      </c>
      <c r="AG275" s="40" t="str">
        <f t="shared" si="6"/>
        <v>#ERROR!</v>
      </c>
      <c r="AH275" s="40" t="str">
        <f t="shared" si="7"/>
        <v/>
      </c>
      <c r="AI275" s="40" t="str">
        <f t="shared" si="8"/>
        <v/>
      </c>
      <c r="AJ275" s="40" t="str">
        <f>IF($K275="","",COUNTIF(Assignments!$B$6:$B$1000,$K275))</f>
        <v/>
      </c>
      <c r="AK275" s="40" t="str">
        <f>IF($K275="","",IF(AND($AJ275=0,$O275&lt;$N275),Config!$B$43,0))</f>
        <v/>
      </c>
      <c r="AL275" s="40" t="str">
        <f>IF($K275="","",IF(AND($M275="Elite",$G275&gt;=Config!$B$41,$O275&lt;$N275),Config!$B$42,0))</f>
        <v/>
      </c>
      <c r="AM275" s="22"/>
      <c r="AN275" s="39">
        <f>IFERROR(VLOOKUP(K275,Grinders!$A:$Q,28,FALSE),0)</f>
        <v>0</v>
      </c>
      <c r="AO275" s="39">
        <f>IF(Config!$B$1003&lt;&gt;"Y",0,IF(IFERROR(VLOOKUP(K275,Grinders!$A:$P,27,FALSE),0)&gt;=3,IF(OR(G275&gt;=Config!$B$1001,ISNUMBER(SEARCH(E275,Config!$B$1002))),1,0),0))</f>
        <v>0</v>
      </c>
      <c r="AP275" s="39">
        <f t="array" ref="AP275">IFERROR(IF(INDEX(Bids!$AE:$AE,MATCH(B275,Bids!$A:$A,0))="Pending",1,0),0)</f>
        <v>0</v>
      </c>
      <c r="AQ275" s="39" t="str">
        <f t="array" ref="AQ275">IF(C275="","",IFERROR(XLOOKUP(C275,Assignments!$C:$C,Assignments!$AU:$AU,0),0))</f>
        <v/>
      </c>
      <c r="AR275" s="39">
        <f>IF(AND(Config!$B$1006="Y",AQ275=1),Config!$B$1007,0)</f>
        <v>0</v>
      </c>
    </row>
    <row r="276" ht="15.75" customHeight="1">
      <c r="A276" s="46" t="str">
        <f t="shared" si="1"/>
        <v/>
      </c>
      <c r="B276" s="40" t="str">
        <f>IF(Bids!$A275="","",Bids!$A275)</f>
        <v/>
      </c>
      <c r="C276" s="40" t="str">
        <f>IF(Bids!$B275="","",Bids!$B275)</f>
        <v/>
      </c>
      <c r="D276" s="40" t="str">
        <f>IF($C276="","",IFERROR(VLOOKUP($C276,Orders!$A$4:$J$998,9,FALSE),""))</f>
        <v/>
      </c>
      <c r="E276" s="40" t="str">
        <f>IF($C276="","",IFERROR(VLOOKUP($C276,Orders!$A$4:$J$998,3,FALSE),""))</f>
        <v/>
      </c>
      <c r="F276" s="40">
        <f t="shared" si="2"/>
        <v>1</v>
      </c>
      <c r="G276" s="40" t="str">
        <f>IF($C276="","",IFERROR(VLOOKUP($C276,Orders!$A$4:$J$998,4,FALSE),""))</f>
        <v/>
      </c>
      <c r="H276" s="40" t="str">
        <f>IF($C276="","",IFERROR(VLOOKUP($C276,Orders!$A$4:$J$998,5,FALSE),""))</f>
        <v/>
      </c>
      <c r="I276" s="40" t="str">
        <f>IF($C276="","",IFERROR(VLOOKUP($C276,Orders!$A$4:$J$998,6,FALSE),""))</f>
        <v/>
      </c>
      <c r="J276" s="40" t="str">
        <f>IF($C276="","",IFERROR(VLOOKUP($C276,Orders!$A$4:$J$998,7,FALSE),""))</f>
        <v/>
      </c>
      <c r="K276" s="40" t="str">
        <f>IF(Bids!$C275="","",Bids!$C275)</f>
        <v/>
      </c>
      <c r="L276" s="40" t="str">
        <f>IF($K276="","",IFERROR(VLOOKUP($K276,Grinders!$A$4:$N$998,2,FALSE),""))</f>
        <v/>
      </c>
      <c r="M276" s="40" t="str">
        <f>IF($K276="","",IFERROR(VLOOKUP($K276,Grinders!$A$4:$N$998,3,FALSE),""))</f>
        <v/>
      </c>
      <c r="N276" s="40" t="str">
        <f>IF($K276="","",IFERROR(VLOOKUP($K276,Grinders!$A$4:$N$998,4,FALSE),""))</f>
        <v/>
      </c>
      <c r="O276" s="40" t="str">
        <f>IF($K276="","",IFERROR(VLOOKUP($K276,Grinders!$A$4:$N$998,5,FALSE),""))</f>
        <v/>
      </c>
      <c r="P276" s="40" t="str">
        <f>IF($K276="","",IF($C$4="",0,COUNTIFS(Assignments!$B$6:$B$1000,$K276,Assignments!$F$6:$F$1000,$C$4,Assignments!$E$6:$E$1000,"Active")))</f>
        <v/>
      </c>
      <c r="Q276" s="40" t="str">
        <f t="shared" si="3"/>
        <v/>
      </c>
      <c r="R276" s="40" t="str">
        <f t="shared" si="4"/>
        <v/>
      </c>
      <c r="S276" s="40" t="str">
        <f>IF($K276="","",IF($C$4="",0,COUNTIFS(Assignments!$B$6:$B$1000,$K276,Assignments!$F$6:$F$1000,$C$4,Assignments!$D$6:$D$1000,"&gt;="&amp;Config!$B$3-7,Assignments!$D$6:$D$1000,"&lt;="&amp;Config!$B$3)))</f>
        <v/>
      </c>
      <c r="T276" s="40" t="str">
        <f>IF($K276="","",IFERROR(VLOOKUP($K276,Grinders!$A$4:$N$998,8,FALSE),""))</f>
        <v/>
      </c>
      <c r="U276" s="40" t="str">
        <f>IFERROR(IF($K276="","",IF($M276="Elite",MAX(50,MIN(100,Config!$B$27*MAX(0,MIN(100,(1-IF($R276="",0,$R276))*100)) + Config!$B$28*MAX(0,MIN(100,(1-MIN(1,IF(Config!$B$30=0,1,$S276/Config!$B$30)))*100)) + Config!$B$29*MAX(0,MIN(100,MIN(1,IF($T276="",0,$T276)/Config!$B$23)*100)))),MIN(100,Config!$B$27*MAX(0,MIN(100,(1-IF($R276="",0,$R276))*100)) + Config!$B$28*MAX(0,MIN(100,(1-MIN(1,IF(Config!$B$30=0,1,$S276/Config!$B$30)))*100)) + Config!$B$29*MAX(0,MIN(100,MIN(1,IF($T276="",0,$T276)/Config!$B$23)*100))))),"")
</f>
        <v/>
      </c>
      <c r="V276" s="40" t="str">
        <f>IF(Bids!$AC276="","",Bids!$AC276)</f>
        <v/>
      </c>
      <c r="W276" s="40" t="str">
        <f>IF(Bids!$F275="","",Bids!$F275)</f>
        <v/>
      </c>
      <c r="X276" s="40" t="str">
        <f t="shared" si="5"/>
        <v/>
      </c>
      <c r="Y276" s="40" t="str">
        <f>IF($X276="","",IF(Config!$B$17=Config!$B$16,IF($X276&gt;=Config!$B$17,100,0),MAX(0,MIN(100,($X276-Config!$B$16)/(Config!$B$17-Config!$B$16)*100))))</f>
        <v/>
      </c>
      <c r="Z276" s="40">
        <f>IF($M276="Elite",Config!$B$21,0)</f>
        <v>0</v>
      </c>
      <c r="AA276" s="40" t="str">
        <f>IFERROR(IF(OR($W276="",$H276=""),"",IF($W276&gt;$H276,
  MAX(0, 60-(($W276-$H276)*24/Config!$B$19)*60),
  MIN(100, 60+(($H276-$W276)*24/Config!$B$20)*40)
)),"")
</f>
        <v/>
      </c>
      <c r="AB276" s="40" t="str">
        <f>IF($K276="","",IFERROR(VLOOKUP($K276,Grinders!$A$4:$N$998,10,FALSE)/5*100,""))</f>
        <v/>
      </c>
      <c r="AC276" s="40" t="str">
        <f>IF($K276="","",IFERROR(VLOOKUP($K276,Grinders!$A$4:$N$998,11,FALSE)*100,""))</f>
        <v/>
      </c>
      <c r="AD276" s="40" t="str">
        <f>IF($K276="","",IFERROR(VLOOKUP($K276,Grinders!$A$4:$N$998,12,FALSE)*100,""))</f>
        <v/>
      </c>
      <c r="AE276" s="40" t="str">
        <f>IF(OR(AO276=1,AP276=1),0,=IFERROR(IFS(
    OR($C276="", $K276=""), 0,
    $F276=0, 0,
    $D276&lt;&gt;"Open", 0,
    COUNTIFS(GrinderServices!$A$6:$A$1000, $K276, GrinderServices!$B$6:$B$1000, $E276, GrinderServices!$D$6:$D$1000, "Y")=0, 0,
    $X276&lt;Config!$B$16, 0,
    Config!$B$18=1, IF($O276&gt;=N276, 0, 1),
    TRUE, 1
), "")
)</f>
        <v>#ERROR!</v>
      </c>
      <c r="AF276" s="40" t="str">
        <f>IFERROR((IF(OR(AO276=1,AP276=1),"",=IFERROR((IFERROR(IF($AE276=0,"",((Config!$B$6*$Y276 + Config!$B$7*$U276 + Config!$B$8*$Z276 + Config!$B$9*$AA276 + Config!$B$10*$AB276 + Config!$B$11*$AC276 - Config!$B$12*$AD276)/Config!$B$13)+$AK276+$AL276),""))*(1-IFERROR(VLOOKUP(K276,Grinders!$A:$AB, 28, FALSE),0)),"")))*(1+AR276),"")</f>
        <v>#ERROR!</v>
      </c>
      <c r="AG276" s="40" t="str">
        <f t="shared" si="6"/>
        <v>#ERROR!</v>
      </c>
      <c r="AH276" s="40" t="str">
        <f t="shared" si="7"/>
        <v/>
      </c>
      <c r="AI276" s="40" t="str">
        <f t="shared" si="8"/>
        <v/>
      </c>
      <c r="AJ276" s="40" t="str">
        <f>IF($K276="","",COUNTIF(Assignments!$B$6:$B$1000,$K276))</f>
        <v/>
      </c>
      <c r="AK276" s="40" t="str">
        <f>IF($K276="","",IF(AND($AJ276=0,$O276&lt;$N276),Config!$B$43,0))</f>
        <v/>
      </c>
      <c r="AL276" s="40" t="str">
        <f>IF($K276="","",IF(AND($M276="Elite",$G276&gt;=Config!$B$41,$O276&lt;$N276),Config!$B$42,0))</f>
        <v/>
      </c>
      <c r="AM276" s="22"/>
      <c r="AN276" s="39">
        <f>IFERROR(VLOOKUP(K276,Grinders!$A:$Q,28,FALSE),0)</f>
        <v>0</v>
      </c>
      <c r="AO276" s="39">
        <f>IF(Config!$B$1003&lt;&gt;"Y",0,IF(IFERROR(VLOOKUP(K276,Grinders!$A:$P,27,FALSE),0)&gt;=3,IF(OR(G276&gt;=Config!$B$1001,ISNUMBER(SEARCH(E276,Config!$B$1002))),1,0),0))</f>
        <v>0</v>
      </c>
      <c r="AP276" s="39">
        <f t="array" ref="AP276">IFERROR(IF(INDEX(Bids!$AE:$AE,MATCH(B276,Bids!$A:$A,0))="Pending",1,0),0)</f>
        <v>0</v>
      </c>
      <c r="AQ276" s="39" t="str">
        <f t="array" ref="AQ276">IF(C276="","",IFERROR(XLOOKUP(C276,Assignments!$C:$C,Assignments!$AU:$AU,0),0))</f>
        <v/>
      </c>
      <c r="AR276" s="39">
        <f>IF(AND(Config!$B$1006="Y",AQ276=1),Config!$B$1007,0)</f>
        <v>0</v>
      </c>
    </row>
    <row r="277" ht="15.75" customHeight="1">
      <c r="A277" s="46" t="str">
        <f t="shared" si="1"/>
        <v/>
      </c>
      <c r="B277" s="40" t="str">
        <f>IF(Bids!$A276="","",Bids!$A276)</f>
        <v/>
      </c>
      <c r="C277" s="40" t="str">
        <f>IF(Bids!$B276="","",Bids!$B276)</f>
        <v/>
      </c>
      <c r="D277" s="40" t="str">
        <f>IF($C277="","",IFERROR(VLOOKUP($C277,Orders!$A$4:$J$998,9,FALSE),""))</f>
        <v/>
      </c>
      <c r="E277" s="40" t="str">
        <f>IF($C277="","",IFERROR(VLOOKUP($C277,Orders!$A$4:$J$998,3,FALSE),""))</f>
        <v/>
      </c>
      <c r="F277" s="40">
        <f t="shared" si="2"/>
        <v>1</v>
      </c>
      <c r="G277" s="40" t="str">
        <f>IF($C277="","",IFERROR(VLOOKUP($C277,Orders!$A$4:$J$998,4,FALSE),""))</f>
        <v/>
      </c>
      <c r="H277" s="40" t="str">
        <f>IF($C277="","",IFERROR(VLOOKUP($C277,Orders!$A$4:$J$998,5,FALSE),""))</f>
        <v/>
      </c>
      <c r="I277" s="40" t="str">
        <f>IF($C277="","",IFERROR(VLOOKUP($C277,Orders!$A$4:$J$998,6,FALSE),""))</f>
        <v/>
      </c>
      <c r="J277" s="40" t="str">
        <f>IF($C277="","",IFERROR(VLOOKUP($C277,Orders!$A$4:$J$998,7,FALSE),""))</f>
        <v/>
      </c>
      <c r="K277" s="40" t="str">
        <f>IF(Bids!$C276="","",Bids!$C276)</f>
        <v/>
      </c>
      <c r="L277" s="40" t="str">
        <f>IF($K277="","",IFERROR(VLOOKUP($K277,Grinders!$A$4:$N$998,2,FALSE),""))</f>
        <v/>
      </c>
      <c r="M277" s="40" t="str">
        <f>IF($K277="","",IFERROR(VLOOKUP($K277,Grinders!$A$4:$N$998,3,FALSE),""))</f>
        <v/>
      </c>
      <c r="N277" s="40" t="str">
        <f>IF($K277="","",IFERROR(VLOOKUP($K277,Grinders!$A$4:$N$998,4,FALSE),""))</f>
        <v/>
      </c>
      <c r="O277" s="40" t="str">
        <f>IF($K277="","",IFERROR(VLOOKUP($K277,Grinders!$A$4:$N$998,5,FALSE),""))</f>
        <v/>
      </c>
      <c r="P277" s="40" t="str">
        <f>IF($K277="","",IF($C$4="",0,COUNTIFS(Assignments!$B$6:$B$1000,$K277,Assignments!$F$6:$F$1000,$C$4,Assignments!$E$6:$E$1000,"Active")))</f>
        <v/>
      </c>
      <c r="Q277" s="40" t="str">
        <f t="shared" si="3"/>
        <v/>
      </c>
      <c r="R277" s="40" t="str">
        <f t="shared" si="4"/>
        <v/>
      </c>
      <c r="S277" s="40" t="str">
        <f>IF($K277="","",IF($C$4="",0,COUNTIFS(Assignments!$B$6:$B$1000,$K277,Assignments!$F$6:$F$1000,$C$4,Assignments!$D$6:$D$1000,"&gt;="&amp;Config!$B$3-7,Assignments!$D$6:$D$1000,"&lt;="&amp;Config!$B$3)))</f>
        <v/>
      </c>
      <c r="T277" s="40" t="str">
        <f>IF($K277="","",IFERROR(VLOOKUP($K277,Grinders!$A$4:$N$998,8,FALSE),""))</f>
        <v/>
      </c>
      <c r="U277" s="40" t="str">
        <f>IFERROR(IF($K277="","",IF($M277="Elite",MAX(50,MIN(100,Config!$B$27*MAX(0,MIN(100,(1-IF($R277="",0,$R277))*100)) + Config!$B$28*MAX(0,MIN(100,(1-MIN(1,IF(Config!$B$30=0,1,$S277/Config!$B$30)))*100)) + Config!$B$29*MAX(0,MIN(100,MIN(1,IF($T277="",0,$T277)/Config!$B$23)*100)))),MIN(100,Config!$B$27*MAX(0,MIN(100,(1-IF($R277="",0,$R277))*100)) + Config!$B$28*MAX(0,MIN(100,(1-MIN(1,IF(Config!$B$30=0,1,$S277/Config!$B$30)))*100)) + Config!$B$29*MAX(0,MIN(100,MIN(1,IF($T277="",0,$T277)/Config!$B$23)*100))))),"")
</f>
        <v/>
      </c>
      <c r="V277" s="40" t="str">
        <f>IF(Bids!$AC277="","",Bids!$AC277)</f>
        <v/>
      </c>
      <c r="W277" s="40" t="str">
        <f>IF(Bids!$F276="","",Bids!$F276)</f>
        <v/>
      </c>
      <c r="X277" s="40" t="str">
        <f t="shared" si="5"/>
        <v/>
      </c>
      <c r="Y277" s="40" t="str">
        <f>IF($X277="","",IF(Config!$B$17=Config!$B$16,IF($X277&gt;=Config!$B$17,100,0),MAX(0,MIN(100,($X277-Config!$B$16)/(Config!$B$17-Config!$B$16)*100))))</f>
        <v/>
      </c>
      <c r="Z277" s="40">
        <f>IF($M277="Elite",Config!$B$21,0)</f>
        <v>0</v>
      </c>
      <c r="AA277" s="40" t="str">
        <f>IFERROR(IF(OR($W277="",$H277=""),"",IF($W277&gt;$H277,
  MAX(0, 60-(($W277-$H277)*24/Config!$B$19)*60),
  MIN(100, 60+(($H277-$W277)*24/Config!$B$20)*40)
)),"")
</f>
        <v/>
      </c>
      <c r="AB277" s="40" t="str">
        <f>IF($K277="","",IFERROR(VLOOKUP($K277,Grinders!$A$4:$N$998,10,FALSE)/5*100,""))</f>
        <v/>
      </c>
      <c r="AC277" s="40" t="str">
        <f>IF($K277="","",IFERROR(VLOOKUP($K277,Grinders!$A$4:$N$998,11,FALSE)*100,""))</f>
        <v/>
      </c>
      <c r="AD277" s="40" t="str">
        <f>IF($K277="","",IFERROR(VLOOKUP($K277,Grinders!$A$4:$N$998,12,FALSE)*100,""))</f>
        <v/>
      </c>
      <c r="AE277" s="40" t="str">
        <f>IF(OR(AO277=1,AP277=1),0,=IFERROR(IFS(
    OR($C277="", $K277=""), 0,
    $F277=0, 0,
    $D277&lt;&gt;"Open", 0,
    COUNTIFS(GrinderServices!$A$6:$A$1000, $K277, GrinderServices!$B$6:$B$1000, $E277, GrinderServices!$D$6:$D$1000, "Y")=0, 0,
    $X277&lt;Config!$B$16, 0,
    Config!$B$18=1, IF($O277&gt;=N277, 0, 1),
    TRUE, 1
), "")
)</f>
        <v>#ERROR!</v>
      </c>
      <c r="AF277" s="40" t="str">
        <f>IFERROR((IF(OR(AO277=1,AP277=1),"",=IFERROR((IFERROR(IF($AE277=0,"",((Config!$B$6*$Y277 + Config!$B$7*$U277 + Config!$B$8*$Z277 + Config!$B$9*$AA277 + Config!$B$10*$AB277 + Config!$B$11*$AC277 - Config!$B$12*$AD277)/Config!$B$13)+$AK277+$AL277),""))*(1-IFERROR(VLOOKUP(K277,Grinders!$A:$AB, 28, FALSE),0)),"")))*(1+AR277),"")</f>
        <v>#ERROR!</v>
      </c>
      <c r="AG277" s="40" t="str">
        <f t="shared" si="6"/>
        <v>#ERROR!</v>
      </c>
      <c r="AH277" s="40" t="str">
        <f t="shared" si="7"/>
        <v/>
      </c>
      <c r="AI277" s="40" t="str">
        <f t="shared" si="8"/>
        <v/>
      </c>
      <c r="AJ277" s="40" t="str">
        <f>IF($K277="","",COUNTIF(Assignments!$B$6:$B$1000,$K277))</f>
        <v/>
      </c>
      <c r="AK277" s="40" t="str">
        <f>IF($K277="","",IF(AND($AJ277=0,$O277&lt;$N277),Config!$B$43,0))</f>
        <v/>
      </c>
      <c r="AL277" s="40" t="str">
        <f>IF($K277="","",IF(AND($M277="Elite",$G277&gt;=Config!$B$41,$O277&lt;$N277),Config!$B$42,0))</f>
        <v/>
      </c>
      <c r="AM277" s="22"/>
      <c r="AN277" s="39">
        <f>IFERROR(VLOOKUP(K277,Grinders!$A:$Q,28,FALSE),0)</f>
        <v>0</v>
      </c>
      <c r="AO277" s="39">
        <f>IF(Config!$B$1003&lt;&gt;"Y",0,IF(IFERROR(VLOOKUP(K277,Grinders!$A:$P,27,FALSE),0)&gt;=3,IF(OR(G277&gt;=Config!$B$1001,ISNUMBER(SEARCH(E277,Config!$B$1002))),1,0),0))</f>
        <v>0</v>
      </c>
      <c r="AP277" s="39">
        <f t="array" ref="AP277">IFERROR(IF(INDEX(Bids!$AE:$AE,MATCH(B277,Bids!$A:$A,0))="Pending",1,0),0)</f>
        <v>0</v>
      </c>
      <c r="AQ277" s="39" t="str">
        <f t="array" ref="AQ277">IF(C277="","",IFERROR(XLOOKUP(C277,Assignments!$C:$C,Assignments!$AU:$AU,0),0))</f>
        <v/>
      </c>
      <c r="AR277" s="39">
        <f>IF(AND(Config!$B$1006="Y",AQ277=1),Config!$B$1007,0)</f>
        <v>0</v>
      </c>
    </row>
    <row r="278" ht="15.75" customHeight="1">
      <c r="A278" s="46" t="str">
        <f t="shared" si="1"/>
        <v/>
      </c>
      <c r="B278" s="40" t="str">
        <f>IF(Bids!$A277="","",Bids!$A277)</f>
        <v/>
      </c>
      <c r="C278" s="40" t="str">
        <f>IF(Bids!$B277="","",Bids!$B277)</f>
        <v/>
      </c>
      <c r="D278" s="40" t="str">
        <f>IF($C278="","",IFERROR(VLOOKUP($C278,Orders!$A$4:$J$998,9,FALSE),""))</f>
        <v/>
      </c>
      <c r="E278" s="40" t="str">
        <f>IF($C278="","",IFERROR(VLOOKUP($C278,Orders!$A$4:$J$998,3,FALSE),""))</f>
        <v/>
      </c>
      <c r="F278" s="40">
        <f t="shared" si="2"/>
        <v>1</v>
      </c>
      <c r="G278" s="40" t="str">
        <f>IF($C278="","",IFERROR(VLOOKUP($C278,Orders!$A$4:$J$998,4,FALSE),""))</f>
        <v/>
      </c>
      <c r="H278" s="40" t="str">
        <f>IF($C278="","",IFERROR(VLOOKUP($C278,Orders!$A$4:$J$998,5,FALSE),""))</f>
        <v/>
      </c>
      <c r="I278" s="40" t="str">
        <f>IF($C278="","",IFERROR(VLOOKUP($C278,Orders!$A$4:$J$998,6,FALSE),""))</f>
        <v/>
      </c>
      <c r="J278" s="40" t="str">
        <f>IF($C278="","",IFERROR(VLOOKUP($C278,Orders!$A$4:$J$998,7,FALSE),""))</f>
        <v/>
      </c>
      <c r="K278" s="40" t="str">
        <f>IF(Bids!$C277="","",Bids!$C277)</f>
        <v/>
      </c>
      <c r="L278" s="40" t="str">
        <f>IF($K278="","",IFERROR(VLOOKUP($K278,Grinders!$A$4:$N$998,2,FALSE),""))</f>
        <v/>
      </c>
      <c r="M278" s="40" t="str">
        <f>IF($K278="","",IFERROR(VLOOKUP($K278,Grinders!$A$4:$N$998,3,FALSE),""))</f>
        <v/>
      </c>
      <c r="N278" s="40" t="str">
        <f>IF($K278="","",IFERROR(VLOOKUP($K278,Grinders!$A$4:$N$998,4,FALSE),""))</f>
        <v/>
      </c>
      <c r="O278" s="40" t="str">
        <f>IF($K278="","",IFERROR(VLOOKUP($K278,Grinders!$A$4:$N$998,5,FALSE),""))</f>
        <v/>
      </c>
      <c r="P278" s="40" t="str">
        <f>IF($K278="","",IF($C$4="",0,COUNTIFS(Assignments!$B$6:$B$1000,$K278,Assignments!$F$6:$F$1000,$C$4,Assignments!$E$6:$E$1000,"Active")))</f>
        <v/>
      </c>
      <c r="Q278" s="40" t="str">
        <f t="shared" si="3"/>
        <v/>
      </c>
      <c r="R278" s="40" t="str">
        <f t="shared" si="4"/>
        <v/>
      </c>
      <c r="S278" s="40" t="str">
        <f>IF($K278="","",IF($C$4="",0,COUNTIFS(Assignments!$B$6:$B$1000,$K278,Assignments!$F$6:$F$1000,$C$4,Assignments!$D$6:$D$1000,"&gt;="&amp;Config!$B$3-7,Assignments!$D$6:$D$1000,"&lt;="&amp;Config!$B$3)))</f>
        <v/>
      </c>
      <c r="T278" s="40" t="str">
        <f>IF($K278="","",IFERROR(VLOOKUP($K278,Grinders!$A$4:$N$998,8,FALSE),""))</f>
        <v/>
      </c>
      <c r="U278" s="40" t="str">
        <f>IFERROR(IF($K278="","",IF($M278="Elite",MAX(50,MIN(100,Config!$B$27*MAX(0,MIN(100,(1-IF($R278="",0,$R278))*100)) + Config!$B$28*MAX(0,MIN(100,(1-MIN(1,IF(Config!$B$30=0,1,$S278/Config!$B$30)))*100)) + Config!$B$29*MAX(0,MIN(100,MIN(1,IF($T278="",0,$T278)/Config!$B$23)*100)))),MIN(100,Config!$B$27*MAX(0,MIN(100,(1-IF($R278="",0,$R278))*100)) + Config!$B$28*MAX(0,MIN(100,(1-MIN(1,IF(Config!$B$30=0,1,$S278/Config!$B$30)))*100)) + Config!$B$29*MAX(0,MIN(100,MIN(1,IF($T278="",0,$T278)/Config!$B$23)*100))))),"")
</f>
        <v/>
      </c>
      <c r="V278" s="40" t="str">
        <f>IF(Bids!$AC278="","",Bids!$AC278)</f>
        <v/>
      </c>
      <c r="W278" s="40" t="str">
        <f>IF(Bids!$F277="","",Bids!$F277)</f>
        <v/>
      </c>
      <c r="X278" s="40" t="str">
        <f t="shared" si="5"/>
        <v/>
      </c>
      <c r="Y278" s="40" t="str">
        <f>IF($X278="","",IF(Config!$B$17=Config!$B$16,IF($X278&gt;=Config!$B$17,100,0),MAX(0,MIN(100,($X278-Config!$B$16)/(Config!$B$17-Config!$B$16)*100))))</f>
        <v/>
      </c>
      <c r="Z278" s="40">
        <f>IF($M278="Elite",Config!$B$21,0)</f>
        <v>0</v>
      </c>
      <c r="AA278" s="40" t="str">
        <f>IFERROR(IF(OR($W278="",$H278=""),"",IF($W278&gt;$H278,
  MAX(0, 60-(($W278-$H278)*24/Config!$B$19)*60),
  MIN(100, 60+(($H278-$W278)*24/Config!$B$20)*40)
)),"")
</f>
        <v/>
      </c>
      <c r="AB278" s="40" t="str">
        <f>IF($K278="","",IFERROR(VLOOKUP($K278,Grinders!$A$4:$N$998,10,FALSE)/5*100,""))</f>
        <v/>
      </c>
      <c r="AC278" s="40" t="str">
        <f>IF($K278="","",IFERROR(VLOOKUP($K278,Grinders!$A$4:$N$998,11,FALSE)*100,""))</f>
        <v/>
      </c>
      <c r="AD278" s="40" t="str">
        <f>IF($K278="","",IFERROR(VLOOKUP($K278,Grinders!$A$4:$N$998,12,FALSE)*100,""))</f>
        <v/>
      </c>
      <c r="AE278" s="40" t="str">
        <f>IF(OR(AO278=1,AP278=1),0,=IFERROR(IFS(
    OR($C278="", $K278=""), 0,
    $F278=0, 0,
    $D278&lt;&gt;"Open", 0,
    COUNTIFS(GrinderServices!$A$6:$A$1000, $K278, GrinderServices!$B$6:$B$1000, $E278, GrinderServices!$D$6:$D$1000, "Y")=0, 0,
    $X278&lt;Config!$B$16, 0,
    Config!$B$18=1, IF($O278&gt;=N278, 0, 1),
    TRUE, 1
), "")
)</f>
        <v>#ERROR!</v>
      </c>
      <c r="AF278" s="40" t="str">
        <f>IFERROR((IF(OR(AO278=1,AP278=1),"",=IFERROR((IFERROR(IF($AE278=0,"",((Config!$B$6*$Y278 + Config!$B$7*$U278 + Config!$B$8*$Z278 + Config!$B$9*$AA278 + Config!$B$10*$AB278 + Config!$B$11*$AC278 - Config!$B$12*$AD278)/Config!$B$13)+$AK278+$AL278),""))*(1-IFERROR(VLOOKUP(K278,Grinders!$A:$AB, 28, FALSE),0)),"")))*(1+AR278),"")</f>
        <v>#ERROR!</v>
      </c>
      <c r="AG278" s="40" t="str">
        <f t="shared" si="6"/>
        <v>#ERROR!</v>
      </c>
      <c r="AH278" s="40" t="str">
        <f t="shared" si="7"/>
        <v/>
      </c>
      <c r="AI278" s="40" t="str">
        <f t="shared" si="8"/>
        <v/>
      </c>
      <c r="AJ278" s="40" t="str">
        <f>IF($K278="","",COUNTIF(Assignments!$B$6:$B$1000,$K278))</f>
        <v/>
      </c>
      <c r="AK278" s="40" t="str">
        <f>IF($K278="","",IF(AND($AJ278=0,$O278&lt;$N278),Config!$B$43,0))</f>
        <v/>
      </c>
      <c r="AL278" s="40" t="str">
        <f>IF($K278="","",IF(AND($M278="Elite",$G278&gt;=Config!$B$41,$O278&lt;$N278),Config!$B$42,0))</f>
        <v/>
      </c>
      <c r="AM278" s="22"/>
      <c r="AN278" s="39">
        <f>IFERROR(VLOOKUP(K278,Grinders!$A:$Q,28,FALSE),0)</f>
        <v>0</v>
      </c>
      <c r="AO278" s="39">
        <f>IF(Config!$B$1003&lt;&gt;"Y",0,IF(IFERROR(VLOOKUP(K278,Grinders!$A:$P,27,FALSE),0)&gt;=3,IF(OR(G278&gt;=Config!$B$1001,ISNUMBER(SEARCH(E278,Config!$B$1002))),1,0),0))</f>
        <v>0</v>
      </c>
      <c r="AP278" s="39">
        <f t="array" ref="AP278">IFERROR(IF(INDEX(Bids!$AE:$AE,MATCH(B278,Bids!$A:$A,0))="Pending",1,0),0)</f>
        <v>0</v>
      </c>
      <c r="AQ278" s="39" t="str">
        <f t="array" ref="AQ278">IF(C278="","",IFERROR(XLOOKUP(C278,Assignments!$C:$C,Assignments!$AU:$AU,0),0))</f>
        <v/>
      </c>
      <c r="AR278" s="39">
        <f>IF(AND(Config!$B$1006="Y",AQ278=1),Config!$B$1007,0)</f>
        <v>0</v>
      </c>
    </row>
    <row r="279" ht="15.75" customHeight="1">
      <c r="A279" s="46" t="str">
        <f t="shared" si="1"/>
        <v/>
      </c>
      <c r="B279" s="40" t="str">
        <f>IF(Bids!$A278="","",Bids!$A278)</f>
        <v/>
      </c>
      <c r="C279" s="40" t="str">
        <f>IF(Bids!$B278="","",Bids!$B278)</f>
        <v/>
      </c>
      <c r="D279" s="40" t="str">
        <f>IF($C279="","",IFERROR(VLOOKUP($C279,Orders!$A$4:$J$998,9,FALSE),""))</f>
        <v/>
      </c>
      <c r="E279" s="40" t="str">
        <f>IF($C279="","",IFERROR(VLOOKUP($C279,Orders!$A$4:$J$998,3,FALSE),""))</f>
        <v/>
      </c>
      <c r="F279" s="40">
        <f t="shared" si="2"/>
        <v>1</v>
      </c>
      <c r="G279" s="40" t="str">
        <f>IF($C279="","",IFERROR(VLOOKUP($C279,Orders!$A$4:$J$998,4,FALSE),""))</f>
        <v/>
      </c>
      <c r="H279" s="40" t="str">
        <f>IF($C279="","",IFERROR(VLOOKUP($C279,Orders!$A$4:$J$998,5,FALSE),""))</f>
        <v/>
      </c>
      <c r="I279" s="40" t="str">
        <f>IF($C279="","",IFERROR(VLOOKUP($C279,Orders!$A$4:$J$998,6,FALSE),""))</f>
        <v/>
      </c>
      <c r="J279" s="40" t="str">
        <f>IF($C279="","",IFERROR(VLOOKUP($C279,Orders!$A$4:$J$998,7,FALSE),""))</f>
        <v/>
      </c>
      <c r="K279" s="40" t="str">
        <f>IF(Bids!$C278="","",Bids!$C278)</f>
        <v/>
      </c>
      <c r="L279" s="40" t="str">
        <f>IF($K279="","",IFERROR(VLOOKUP($K279,Grinders!$A$4:$N$998,2,FALSE),""))</f>
        <v/>
      </c>
      <c r="M279" s="40" t="str">
        <f>IF($K279="","",IFERROR(VLOOKUP($K279,Grinders!$A$4:$N$998,3,FALSE),""))</f>
        <v/>
      </c>
      <c r="N279" s="40" t="str">
        <f>IF($K279="","",IFERROR(VLOOKUP($K279,Grinders!$A$4:$N$998,4,FALSE),""))</f>
        <v/>
      </c>
      <c r="O279" s="40" t="str">
        <f>IF($K279="","",IFERROR(VLOOKUP($K279,Grinders!$A$4:$N$998,5,FALSE),""))</f>
        <v/>
      </c>
      <c r="P279" s="40" t="str">
        <f>IF($K279="","",IF($C$4="",0,COUNTIFS(Assignments!$B$6:$B$1000,$K279,Assignments!$F$6:$F$1000,$C$4,Assignments!$E$6:$E$1000,"Active")))</f>
        <v/>
      </c>
      <c r="Q279" s="40" t="str">
        <f t="shared" si="3"/>
        <v/>
      </c>
      <c r="R279" s="40" t="str">
        <f t="shared" si="4"/>
        <v/>
      </c>
      <c r="S279" s="40" t="str">
        <f>IF($K279="","",IF($C$4="",0,COUNTIFS(Assignments!$B$6:$B$1000,$K279,Assignments!$F$6:$F$1000,$C$4,Assignments!$D$6:$D$1000,"&gt;="&amp;Config!$B$3-7,Assignments!$D$6:$D$1000,"&lt;="&amp;Config!$B$3)))</f>
        <v/>
      </c>
      <c r="T279" s="40" t="str">
        <f>IF($K279="","",IFERROR(VLOOKUP($K279,Grinders!$A$4:$N$998,8,FALSE),""))</f>
        <v/>
      </c>
      <c r="U279" s="40" t="str">
        <f>IFERROR(IF($K279="","",IF($M279="Elite",MAX(50,MIN(100,Config!$B$27*MAX(0,MIN(100,(1-IF($R279="",0,$R279))*100)) + Config!$B$28*MAX(0,MIN(100,(1-MIN(1,IF(Config!$B$30=0,1,$S279/Config!$B$30)))*100)) + Config!$B$29*MAX(0,MIN(100,MIN(1,IF($T279="",0,$T279)/Config!$B$23)*100)))),MIN(100,Config!$B$27*MAX(0,MIN(100,(1-IF($R279="",0,$R279))*100)) + Config!$B$28*MAX(0,MIN(100,(1-MIN(1,IF(Config!$B$30=0,1,$S279/Config!$B$30)))*100)) + Config!$B$29*MAX(0,MIN(100,MIN(1,IF($T279="",0,$T279)/Config!$B$23)*100))))),"")
</f>
        <v/>
      </c>
      <c r="V279" s="40" t="str">
        <f>IF(Bids!$AC279="","",Bids!$AC279)</f>
        <v/>
      </c>
      <c r="W279" s="40" t="str">
        <f>IF(Bids!$F278="","",Bids!$F278)</f>
        <v/>
      </c>
      <c r="X279" s="40" t="str">
        <f t="shared" si="5"/>
        <v/>
      </c>
      <c r="Y279" s="40" t="str">
        <f>IF($X279="","",IF(Config!$B$17=Config!$B$16,IF($X279&gt;=Config!$B$17,100,0),MAX(0,MIN(100,($X279-Config!$B$16)/(Config!$B$17-Config!$B$16)*100))))</f>
        <v/>
      </c>
      <c r="Z279" s="40">
        <f>IF($M279="Elite",Config!$B$21,0)</f>
        <v>0</v>
      </c>
      <c r="AA279" s="40" t="str">
        <f>IFERROR(IF(OR($W279="",$H279=""),"",IF($W279&gt;$H279,
  MAX(0, 60-(($W279-$H279)*24/Config!$B$19)*60),
  MIN(100, 60+(($H279-$W279)*24/Config!$B$20)*40)
)),"")
</f>
        <v/>
      </c>
      <c r="AB279" s="40" t="str">
        <f>IF($K279="","",IFERROR(VLOOKUP($K279,Grinders!$A$4:$N$998,10,FALSE)/5*100,""))</f>
        <v/>
      </c>
      <c r="AC279" s="40" t="str">
        <f>IF($K279="","",IFERROR(VLOOKUP($K279,Grinders!$A$4:$N$998,11,FALSE)*100,""))</f>
        <v/>
      </c>
      <c r="AD279" s="40" t="str">
        <f>IF($K279="","",IFERROR(VLOOKUP($K279,Grinders!$A$4:$N$998,12,FALSE)*100,""))</f>
        <v/>
      </c>
      <c r="AE279" s="40" t="str">
        <f>IF(OR(AO279=1,AP279=1),0,=IFERROR(IFS(
    OR($C279="", $K279=""), 0,
    $F279=0, 0,
    $D279&lt;&gt;"Open", 0,
    COUNTIFS(GrinderServices!$A$6:$A$1000, $K279, GrinderServices!$B$6:$B$1000, $E279, GrinderServices!$D$6:$D$1000, "Y")=0, 0,
    $X279&lt;Config!$B$16, 0,
    Config!$B$18=1, IF($O279&gt;=N279, 0, 1),
    TRUE, 1
), "")
)</f>
        <v>#ERROR!</v>
      </c>
      <c r="AF279" s="40" t="str">
        <f>IFERROR((IF(OR(AO279=1,AP279=1),"",=IFERROR((IFERROR(IF($AE279=0,"",((Config!$B$6*$Y279 + Config!$B$7*$U279 + Config!$B$8*$Z279 + Config!$B$9*$AA279 + Config!$B$10*$AB279 + Config!$B$11*$AC279 - Config!$B$12*$AD279)/Config!$B$13)+$AK279+$AL279),""))*(1-IFERROR(VLOOKUP(K279,Grinders!$A:$AB, 28, FALSE),0)),"")))*(1+AR279),"")</f>
        <v>#ERROR!</v>
      </c>
      <c r="AG279" s="40" t="str">
        <f t="shared" si="6"/>
        <v>#ERROR!</v>
      </c>
      <c r="AH279" s="40" t="str">
        <f t="shared" si="7"/>
        <v/>
      </c>
      <c r="AI279" s="40" t="str">
        <f t="shared" si="8"/>
        <v/>
      </c>
      <c r="AJ279" s="40" t="str">
        <f>IF($K279="","",COUNTIF(Assignments!$B$6:$B$1000,$K279))</f>
        <v/>
      </c>
      <c r="AK279" s="40" t="str">
        <f>IF($K279="","",IF(AND($AJ279=0,$O279&lt;$N279),Config!$B$43,0))</f>
        <v/>
      </c>
      <c r="AL279" s="40" t="str">
        <f>IF($K279="","",IF(AND($M279="Elite",$G279&gt;=Config!$B$41,$O279&lt;$N279),Config!$B$42,0))</f>
        <v/>
      </c>
      <c r="AM279" s="22"/>
      <c r="AN279" s="39">
        <f>IFERROR(VLOOKUP(K279,Grinders!$A:$Q,28,FALSE),0)</f>
        <v>0</v>
      </c>
      <c r="AO279" s="39">
        <f>IF(Config!$B$1003&lt;&gt;"Y",0,IF(IFERROR(VLOOKUP(K279,Grinders!$A:$P,27,FALSE),0)&gt;=3,IF(OR(G279&gt;=Config!$B$1001,ISNUMBER(SEARCH(E279,Config!$B$1002))),1,0),0))</f>
        <v>0</v>
      </c>
      <c r="AP279" s="39">
        <f t="array" ref="AP279">IFERROR(IF(INDEX(Bids!$AE:$AE,MATCH(B279,Bids!$A:$A,0))="Pending",1,0),0)</f>
        <v>0</v>
      </c>
      <c r="AQ279" s="39" t="str">
        <f t="array" ref="AQ279">IF(C279="","",IFERROR(XLOOKUP(C279,Assignments!$C:$C,Assignments!$AU:$AU,0),0))</f>
        <v/>
      </c>
      <c r="AR279" s="39">
        <f>IF(AND(Config!$B$1006="Y",AQ279=1),Config!$B$1007,0)</f>
        <v>0</v>
      </c>
    </row>
    <row r="280" ht="15.75" customHeight="1">
      <c r="A280" s="46" t="str">
        <f t="shared" si="1"/>
        <v/>
      </c>
      <c r="B280" s="40" t="str">
        <f>IF(Bids!$A279="","",Bids!$A279)</f>
        <v/>
      </c>
      <c r="C280" s="40" t="str">
        <f>IF(Bids!$B279="","",Bids!$B279)</f>
        <v/>
      </c>
      <c r="D280" s="40" t="str">
        <f>IF($C280="","",IFERROR(VLOOKUP($C280,Orders!$A$4:$J$998,9,FALSE),""))</f>
        <v/>
      </c>
      <c r="E280" s="40" t="str">
        <f>IF($C280="","",IFERROR(VLOOKUP($C280,Orders!$A$4:$J$998,3,FALSE),""))</f>
        <v/>
      </c>
      <c r="F280" s="40">
        <f t="shared" si="2"/>
        <v>1</v>
      </c>
      <c r="G280" s="40" t="str">
        <f>IF($C280="","",IFERROR(VLOOKUP($C280,Orders!$A$4:$J$998,4,FALSE),""))</f>
        <v/>
      </c>
      <c r="H280" s="40" t="str">
        <f>IF($C280="","",IFERROR(VLOOKUP($C280,Orders!$A$4:$J$998,5,FALSE),""))</f>
        <v/>
      </c>
      <c r="I280" s="40" t="str">
        <f>IF($C280="","",IFERROR(VLOOKUP($C280,Orders!$A$4:$J$998,6,FALSE),""))</f>
        <v/>
      </c>
      <c r="J280" s="40" t="str">
        <f>IF($C280="","",IFERROR(VLOOKUP($C280,Orders!$A$4:$J$998,7,FALSE),""))</f>
        <v/>
      </c>
      <c r="K280" s="40" t="str">
        <f>IF(Bids!$C279="","",Bids!$C279)</f>
        <v/>
      </c>
      <c r="L280" s="40" t="str">
        <f>IF($K280="","",IFERROR(VLOOKUP($K280,Grinders!$A$4:$N$998,2,FALSE),""))</f>
        <v/>
      </c>
      <c r="M280" s="40" t="str">
        <f>IF($K280="","",IFERROR(VLOOKUP($K280,Grinders!$A$4:$N$998,3,FALSE),""))</f>
        <v/>
      </c>
      <c r="N280" s="40" t="str">
        <f>IF($K280="","",IFERROR(VLOOKUP($K280,Grinders!$A$4:$N$998,4,FALSE),""))</f>
        <v/>
      </c>
      <c r="O280" s="40" t="str">
        <f>IF($K280="","",IFERROR(VLOOKUP($K280,Grinders!$A$4:$N$998,5,FALSE),""))</f>
        <v/>
      </c>
      <c r="P280" s="40" t="str">
        <f>IF($K280="","",IF($C$4="",0,COUNTIFS(Assignments!$B$6:$B$1000,$K280,Assignments!$F$6:$F$1000,$C$4,Assignments!$E$6:$E$1000,"Active")))</f>
        <v/>
      </c>
      <c r="Q280" s="40" t="str">
        <f t="shared" si="3"/>
        <v/>
      </c>
      <c r="R280" s="40" t="str">
        <f t="shared" si="4"/>
        <v/>
      </c>
      <c r="S280" s="40" t="str">
        <f>IF($K280="","",IF($C$4="",0,COUNTIFS(Assignments!$B$6:$B$1000,$K280,Assignments!$F$6:$F$1000,$C$4,Assignments!$D$6:$D$1000,"&gt;="&amp;Config!$B$3-7,Assignments!$D$6:$D$1000,"&lt;="&amp;Config!$B$3)))</f>
        <v/>
      </c>
      <c r="T280" s="40" t="str">
        <f>IF($K280="","",IFERROR(VLOOKUP($K280,Grinders!$A$4:$N$998,8,FALSE),""))</f>
        <v/>
      </c>
      <c r="U280" s="40" t="str">
        <f>IFERROR(IF($K280="","",IF($M280="Elite",MAX(50,MIN(100,Config!$B$27*MAX(0,MIN(100,(1-IF($R280="",0,$R280))*100)) + Config!$B$28*MAX(0,MIN(100,(1-MIN(1,IF(Config!$B$30=0,1,$S280/Config!$B$30)))*100)) + Config!$B$29*MAX(0,MIN(100,MIN(1,IF($T280="",0,$T280)/Config!$B$23)*100)))),MIN(100,Config!$B$27*MAX(0,MIN(100,(1-IF($R280="",0,$R280))*100)) + Config!$B$28*MAX(0,MIN(100,(1-MIN(1,IF(Config!$B$30=0,1,$S280/Config!$B$30)))*100)) + Config!$B$29*MAX(0,MIN(100,MIN(1,IF($T280="",0,$T280)/Config!$B$23)*100))))),"")
</f>
        <v/>
      </c>
      <c r="V280" s="40" t="str">
        <f>IF(Bids!$AC280="","",Bids!$AC280)</f>
        <v/>
      </c>
      <c r="W280" s="40" t="str">
        <f>IF(Bids!$F279="","",Bids!$F279)</f>
        <v/>
      </c>
      <c r="X280" s="40" t="str">
        <f t="shared" si="5"/>
        <v/>
      </c>
      <c r="Y280" s="40" t="str">
        <f>IF($X280="","",IF(Config!$B$17=Config!$B$16,IF($X280&gt;=Config!$B$17,100,0),MAX(0,MIN(100,($X280-Config!$B$16)/(Config!$B$17-Config!$B$16)*100))))</f>
        <v/>
      </c>
      <c r="Z280" s="40">
        <f>IF($M280="Elite",Config!$B$21,0)</f>
        <v>0</v>
      </c>
      <c r="AA280" s="40" t="str">
        <f>IFERROR(IF(OR($W280="",$H280=""),"",IF($W280&gt;$H280,
  MAX(0, 60-(($W280-$H280)*24/Config!$B$19)*60),
  MIN(100, 60+(($H280-$W280)*24/Config!$B$20)*40)
)),"")
</f>
        <v/>
      </c>
      <c r="AB280" s="40" t="str">
        <f>IF($K280="","",IFERROR(VLOOKUP($K280,Grinders!$A$4:$N$998,10,FALSE)/5*100,""))</f>
        <v/>
      </c>
      <c r="AC280" s="40" t="str">
        <f>IF($K280="","",IFERROR(VLOOKUP($K280,Grinders!$A$4:$N$998,11,FALSE)*100,""))</f>
        <v/>
      </c>
      <c r="AD280" s="40" t="str">
        <f>IF($K280="","",IFERROR(VLOOKUP($K280,Grinders!$A$4:$N$998,12,FALSE)*100,""))</f>
        <v/>
      </c>
      <c r="AE280" s="40" t="str">
        <f>IF(OR(AO280=1,AP280=1),0,=IFERROR(IFS(
    OR($C280="", $K280=""), 0,
    $F280=0, 0,
    $D280&lt;&gt;"Open", 0,
    COUNTIFS(GrinderServices!$A$6:$A$1000, $K280, GrinderServices!$B$6:$B$1000, $E280, GrinderServices!$D$6:$D$1000, "Y")=0, 0,
    $X280&lt;Config!$B$16, 0,
    Config!$B$18=1, IF($O280&gt;=N280, 0, 1),
    TRUE, 1
), "")
)</f>
        <v>#ERROR!</v>
      </c>
      <c r="AF280" s="40" t="str">
        <f>IFERROR((IF(OR(AO280=1,AP280=1),"",=IFERROR((IFERROR(IF($AE280=0,"",((Config!$B$6*$Y280 + Config!$B$7*$U280 + Config!$B$8*$Z280 + Config!$B$9*$AA280 + Config!$B$10*$AB280 + Config!$B$11*$AC280 - Config!$B$12*$AD280)/Config!$B$13)+$AK280+$AL280),""))*(1-IFERROR(VLOOKUP(K280,Grinders!$A:$AB, 28, FALSE),0)),"")))*(1+AR280),"")</f>
        <v>#ERROR!</v>
      </c>
      <c r="AG280" s="40" t="str">
        <f t="shared" si="6"/>
        <v>#ERROR!</v>
      </c>
      <c r="AH280" s="40" t="str">
        <f t="shared" si="7"/>
        <v/>
      </c>
      <c r="AI280" s="40" t="str">
        <f t="shared" si="8"/>
        <v/>
      </c>
      <c r="AJ280" s="40" t="str">
        <f>IF($K280="","",COUNTIF(Assignments!$B$6:$B$1000,$K280))</f>
        <v/>
      </c>
      <c r="AK280" s="40" t="str">
        <f>IF($K280="","",IF(AND($AJ280=0,$O280&lt;$N280),Config!$B$43,0))</f>
        <v/>
      </c>
      <c r="AL280" s="40" t="str">
        <f>IF($K280="","",IF(AND($M280="Elite",$G280&gt;=Config!$B$41,$O280&lt;$N280),Config!$B$42,0))</f>
        <v/>
      </c>
      <c r="AM280" s="22"/>
      <c r="AN280" s="39">
        <f>IFERROR(VLOOKUP(K280,Grinders!$A:$Q,28,FALSE),0)</f>
        <v>0</v>
      </c>
      <c r="AO280" s="39">
        <f>IF(Config!$B$1003&lt;&gt;"Y",0,IF(IFERROR(VLOOKUP(K280,Grinders!$A:$P,27,FALSE),0)&gt;=3,IF(OR(G280&gt;=Config!$B$1001,ISNUMBER(SEARCH(E280,Config!$B$1002))),1,0),0))</f>
        <v>0</v>
      </c>
      <c r="AP280" s="39">
        <f t="array" ref="AP280">IFERROR(IF(INDEX(Bids!$AE:$AE,MATCH(B280,Bids!$A:$A,0))="Pending",1,0),0)</f>
        <v>0</v>
      </c>
      <c r="AQ280" s="39" t="str">
        <f t="array" ref="AQ280">IF(C280="","",IFERROR(XLOOKUP(C280,Assignments!$C:$C,Assignments!$AU:$AU,0),0))</f>
        <v/>
      </c>
      <c r="AR280" s="39">
        <f>IF(AND(Config!$B$1006="Y",AQ280=1),Config!$B$1007,0)</f>
        <v>0</v>
      </c>
    </row>
    <row r="281" ht="15.75" customHeight="1">
      <c r="A281" s="46" t="str">
        <f t="shared" si="1"/>
        <v/>
      </c>
      <c r="B281" s="40" t="str">
        <f>IF(Bids!$A280="","",Bids!$A280)</f>
        <v/>
      </c>
      <c r="C281" s="40" t="str">
        <f>IF(Bids!$B280="","",Bids!$B280)</f>
        <v/>
      </c>
      <c r="D281" s="40" t="str">
        <f>IF($C281="","",IFERROR(VLOOKUP($C281,Orders!$A$4:$J$998,9,FALSE),""))</f>
        <v/>
      </c>
      <c r="E281" s="40" t="str">
        <f>IF($C281="","",IFERROR(VLOOKUP($C281,Orders!$A$4:$J$998,3,FALSE),""))</f>
        <v/>
      </c>
      <c r="F281" s="40">
        <f t="shared" si="2"/>
        <v>1</v>
      </c>
      <c r="G281" s="40" t="str">
        <f>IF($C281="","",IFERROR(VLOOKUP($C281,Orders!$A$4:$J$998,4,FALSE),""))</f>
        <v/>
      </c>
      <c r="H281" s="40" t="str">
        <f>IF($C281="","",IFERROR(VLOOKUP($C281,Orders!$A$4:$J$998,5,FALSE),""))</f>
        <v/>
      </c>
      <c r="I281" s="40" t="str">
        <f>IF($C281="","",IFERROR(VLOOKUP($C281,Orders!$A$4:$J$998,6,FALSE),""))</f>
        <v/>
      </c>
      <c r="J281" s="40" t="str">
        <f>IF($C281="","",IFERROR(VLOOKUP($C281,Orders!$A$4:$J$998,7,FALSE),""))</f>
        <v/>
      </c>
      <c r="K281" s="40" t="str">
        <f>IF(Bids!$C280="","",Bids!$C280)</f>
        <v/>
      </c>
      <c r="L281" s="40" t="str">
        <f>IF($K281="","",IFERROR(VLOOKUP($K281,Grinders!$A$4:$N$998,2,FALSE),""))</f>
        <v/>
      </c>
      <c r="M281" s="40" t="str">
        <f>IF($K281="","",IFERROR(VLOOKUP($K281,Grinders!$A$4:$N$998,3,FALSE),""))</f>
        <v/>
      </c>
      <c r="N281" s="40" t="str">
        <f>IF($K281="","",IFERROR(VLOOKUP($K281,Grinders!$A$4:$N$998,4,FALSE),""))</f>
        <v/>
      </c>
      <c r="O281" s="40" t="str">
        <f>IF($K281="","",IFERROR(VLOOKUP($K281,Grinders!$A$4:$N$998,5,FALSE),""))</f>
        <v/>
      </c>
      <c r="P281" s="40" t="str">
        <f>IF($K281="","",IF($C$4="",0,COUNTIFS(Assignments!$B$6:$B$1000,$K281,Assignments!$F$6:$F$1000,$C$4,Assignments!$E$6:$E$1000,"Active")))</f>
        <v/>
      </c>
      <c r="Q281" s="40" t="str">
        <f t="shared" si="3"/>
        <v/>
      </c>
      <c r="R281" s="40" t="str">
        <f t="shared" si="4"/>
        <v/>
      </c>
      <c r="S281" s="40" t="str">
        <f>IF($K281="","",IF($C$4="",0,COUNTIFS(Assignments!$B$6:$B$1000,$K281,Assignments!$F$6:$F$1000,$C$4,Assignments!$D$6:$D$1000,"&gt;="&amp;Config!$B$3-7,Assignments!$D$6:$D$1000,"&lt;="&amp;Config!$B$3)))</f>
        <v/>
      </c>
      <c r="T281" s="40" t="str">
        <f>IF($K281="","",IFERROR(VLOOKUP($K281,Grinders!$A$4:$N$998,8,FALSE),""))</f>
        <v/>
      </c>
      <c r="U281" s="40" t="str">
        <f>IFERROR(IF($K281="","",IF($M281="Elite",MAX(50,MIN(100,Config!$B$27*MAX(0,MIN(100,(1-IF($R281="",0,$R281))*100)) + Config!$B$28*MAX(0,MIN(100,(1-MIN(1,IF(Config!$B$30=0,1,$S281/Config!$B$30)))*100)) + Config!$B$29*MAX(0,MIN(100,MIN(1,IF($T281="",0,$T281)/Config!$B$23)*100)))),MIN(100,Config!$B$27*MAX(0,MIN(100,(1-IF($R281="",0,$R281))*100)) + Config!$B$28*MAX(0,MIN(100,(1-MIN(1,IF(Config!$B$30=0,1,$S281/Config!$B$30)))*100)) + Config!$B$29*MAX(0,MIN(100,MIN(1,IF($T281="",0,$T281)/Config!$B$23)*100))))),"")
</f>
        <v/>
      </c>
      <c r="V281" s="40" t="str">
        <f>IF(Bids!$AC281="","",Bids!$AC281)</f>
        <v/>
      </c>
      <c r="W281" s="40" t="str">
        <f>IF(Bids!$F280="","",Bids!$F280)</f>
        <v/>
      </c>
      <c r="X281" s="40" t="str">
        <f t="shared" si="5"/>
        <v/>
      </c>
      <c r="Y281" s="40" t="str">
        <f>IF($X281="","",IF(Config!$B$17=Config!$B$16,IF($X281&gt;=Config!$B$17,100,0),MAX(0,MIN(100,($X281-Config!$B$16)/(Config!$B$17-Config!$B$16)*100))))</f>
        <v/>
      </c>
      <c r="Z281" s="40">
        <f>IF($M281="Elite",Config!$B$21,0)</f>
        <v>0</v>
      </c>
      <c r="AA281" s="40" t="str">
        <f>IFERROR(IF(OR($W281="",$H281=""),"",IF($W281&gt;$H281,
  MAX(0, 60-(($W281-$H281)*24/Config!$B$19)*60),
  MIN(100, 60+(($H281-$W281)*24/Config!$B$20)*40)
)),"")
</f>
        <v/>
      </c>
      <c r="AB281" s="40" t="str">
        <f>IF($K281="","",IFERROR(VLOOKUP($K281,Grinders!$A$4:$N$998,10,FALSE)/5*100,""))</f>
        <v/>
      </c>
      <c r="AC281" s="40" t="str">
        <f>IF($K281="","",IFERROR(VLOOKUP($K281,Grinders!$A$4:$N$998,11,FALSE)*100,""))</f>
        <v/>
      </c>
      <c r="AD281" s="40" t="str">
        <f>IF($K281="","",IFERROR(VLOOKUP($K281,Grinders!$A$4:$N$998,12,FALSE)*100,""))</f>
        <v/>
      </c>
      <c r="AE281" s="40" t="str">
        <f>IF(OR(AO281=1,AP281=1),0,=IFERROR(IFS(
    OR($C281="", $K281=""), 0,
    $F281=0, 0,
    $D281&lt;&gt;"Open", 0,
    COUNTIFS(GrinderServices!$A$6:$A$1000, $K281, GrinderServices!$B$6:$B$1000, $E281, GrinderServices!$D$6:$D$1000, "Y")=0, 0,
    $X281&lt;Config!$B$16, 0,
    Config!$B$18=1, IF($O281&gt;=N281, 0, 1),
    TRUE, 1
), "")
)</f>
        <v>#ERROR!</v>
      </c>
      <c r="AF281" s="40" t="str">
        <f>IFERROR((IF(OR(AO281=1,AP281=1),"",=IFERROR((IFERROR(IF($AE281=0,"",((Config!$B$6*$Y281 + Config!$B$7*$U281 + Config!$B$8*$Z281 + Config!$B$9*$AA281 + Config!$B$10*$AB281 + Config!$B$11*$AC281 - Config!$B$12*$AD281)/Config!$B$13)+$AK281+$AL281),""))*(1-IFERROR(VLOOKUP(K281,Grinders!$A:$AB, 28, FALSE),0)),"")))*(1+AR281),"")</f>
        <v>#ERROR!</v>
      </c>
      <c r="AG281" s="40" t="str">
        <f t="shared" si="6"/>
        <v>#ERROR!</v>
      </c>
      <c r="AH281" s="40" t="str">
        <f t="shared" si="7"/>
        <v/>
      </c>
      <c r="AI281" s="40" t="str">
        <f t="shared" si="8"/>
        <v/>
      </c>
      <c r="AJ281" s="40" t="str">
        <f>IF($K281="","",COUNTIF(Assignments!$B$6:$B$1000,$K281))</f>
        <v/>
      </c>
      <c r="AK281" s="40" t="str">
        <f>IF($K281="","",IF(AND($AJ281=0,$O281&lt;$N281),Config!$B$43,0))</f>
        <v/>
      </c>
      <c r="AL281" s="40" t="str">
        <f>IF($K281="","",IF(AND($M281="Elite",$G281&gt;=Config!$B$41,$O281&lt;$N281),Config!$B$42,0))</f>
        <v/>
      </c>
      <c r="AM281" s="22"/>
      <c r="AN281" s="39">
        <f>IFERROR(VLOOKUP(K281,Grinders!$A:$Q,28,FALSE),0)</f>
        <v>0</v>
      </c>
      <c r="AO281" s="39">
        <f>IF(Config!$B$1003&lt;&gt;"Y",0,IF(IFERROR(VLOOKUP(K281,Grinders!$A:$P,27,FALSE),0)&gt;=3,IF(OR(G281&gt;=Config!$B$1001,ISNUMBER(SEARCH(E281,Config!$B$1002))),1,0),0))</f>
        <v>0</v>
      </c>
      <c r="AP281" s="39">
        <f t="array" ref="AP281">IFERROR(IF(INDEX(Bids!$AE:$AE,MATCH(B281,Bids!$A:$A,0))="Pending",1,0),0)</f>
        <v>0</v>
      </c>
      <c r="AQ281" s="39" t="str">
        <f t="array" ref="AQ281">IF(C281="","",IFERROR(XLOOKUP(C281,Assignments!$C:$C,Assignments!$AU:$AU,0),0))</f>
        <v/>
      </c>
      <c r="AR281" s="39">
        <f>IF(AND(Config!$B$1006="Y",AQ281=1),Config!$B$1007,0)</f>
        <v>0</v>
      </c>
    </row>
    <row r="282" ht="15.75" customHeight="1">
      <c r="A282" s="46" t="str">
        <f t="shared" si="1"/>
        <v/>
      </c>
      <c r="B282" s="40" t="str">
        <f>IF(Bids!$A281="","",Bids!$A281)</f>
        <v/>
      </c>
      <c r="C282" s="40" t="str">
        <f>IF(Bids!$B281="","",Bids!$B281)</f>
        <v/>
      </c>
      <c r="D282" s="40" t="str">
        <f>IF($C282="","",IFERROR(VLOOKUP($C282,Orders!$A$4:$J$998,9,FALSE),""))</f>
        <v/>
      </c>
      <c r="E282" s="40" t="str">
        <f>IF($C282="","",IFERROR(VLOOKUP($C282,Orders!$A$4:$J$998,3,FALSE),""))</f>
        <v/>
      </c>
      <c r="F282" s="40">
        <f t="shared" si="2"/>
        <v>1</v>
      </c>
      <c r="G282" s="40" t="str">
        <f>IF($C282="","",IFERROR(VLOOKUP($C282,Orders!$A$4:$J$998,4,FALSE),""))</f>
        <v/>
      </c>
      <c r="H282" s="40" t="str">
        <f>IF($C282="","",IFERROR(VLOOKUP($C282,Orders!$A$4:$J$998,5,FALSE),""))</f>
        <v/>
      </c>
      <c r="I282" s="40" t="str">
        <f>IF($C282="","",IFERROR(VLOOKUP($C282,Orders!$A$4:$J$998,6,FALSE),""))</f>
        <v/>
      </c>
      <c r="J282" s="40" t="str">
        <f>IF($C282="","",IFERROR(VLOOKUP($C282,Orders!$A$4:$J$998,7,FALSE),""))</f>
        <v/>
      </c>
      <c r="K282" s="40" t="str">
        <f>IF(Bids!$C281="","",Bids!$C281)</f>
        <v/>
      </c>
      <c r="L282" s="40" t="str">
        <f>IF($K282="","",IFERROR(VLOOKUP($K282,Grinders!$A$4:$N$998,2,FALSE),""))</f>
        <v/>
      </c>
      <c r="M282" s="40" t="str">
        <f>IF($K282="","",IFERROR(VLOOKUP($K282,Grinders!$A$4:$N$998,3,FALSE),""))</f>
        <v/>
      </c>
      <c r="N282" s="40" t="str">
        <f>IF($K282="","",IFERROR(VLOOKUP($K282,Grinders!$A$4:$N$998,4,FALSE),""))</f>
        <v/>
      </c>
      <c r="O282" s="40" t="str">
        <f>IF($K282="","",IFERROR(VLOOKUP($K282,Grinders!$A$4:$N$998,5,FALSE),""))</f>
        <v/>
      </c>
      <c r="P282" s="40" t="str">
        <f>IF($K282="","",IF($C$4="",0,COUNTIFS(Assignments!$B$6:$B$1000,$K282,Assignments!$F$6:$F$1000,$C$4,Assignments!$E$6:$E$1000,"Active")))</f>
        <v/>
      </c>
      <c r="Q282" s="40" t="str">
        <f t="shared" si="3"/>
        <v/>
      </c>
      <c r="R282" s="40" t="str">
        <f t="shared" si="4"/>
        <v/>
      </c>
      <c r="S282" s="40" t="str">
        <f>IF($K282="","",IF($C$4="",0,COUNTIFS(Assignments!$B$6:$B$1000,$K282,Assignments!$F$6:$F$1000,$C$4,Assignments!$D$6:$D$1000,"&gt;="&amp;Config!$B$3-7,Assignments!$D$6:$D$1000,"&lt;="&amp;Config!$B$3)))</f>
        <v/>
      </c>
      <c r="T282" s="40" t="str">
        <f>IF($K282="","",IFERROR(VLOOKUP($K282,Grinders!$A$4:$N$998,8,FALSE),""))</f>
        <v/>
      </c>
      <c r="U282" s="40" t="str">
        <f>IFERROR(IF($K282="","",IF($M282="Elite",MAX(50,MIN(100,Config!$B$27*MAX(0,MIN(100,(1-IF($R282="",0,$R282))*100)) + Config!$B$28*MAX(0,MIN(100,(1-MIN(1,IF(Config!$B$30=0,1,$S282/Config!$B$30)))*100)) + Config!$B$29*MAX(0,MIN(100,MIN(1,IF($T282="",0,$T282)/Config!$B$23)*100)))),MIN(100,Config!$B$27*MAX(0,MIN(100,(1-IF($R282="",0,$R282))*100)) + Config!$B$28*MAX(0,MIN(100,(1-MIN(1,IF(Config!$B$30=0,1,$S282/Config!$B$30)))*100)) + Config!$B$29*MAX(0,MIN(100,MIN(1,IF($T282="",0,$T282)/Config!$B$23)*100))))),"")
</f>
        <v/>
      </c>
      <c r="V282" s="40" t="str">
        <f>IF(Bids!$AC282="","",Bids!$AC282)</f>
        <v/>
      </c>
      <c r="W282" s="40" t="str">
        <f>IF(Bids!$F281="","",Bids!$F281)</f>
        <v/>
      </c>
      <c r="X282" s="40" t="str">
        <f t="shared" si="5"/>
        <v/>
      </c>
      <c r="Y282" s="40" t="str">
        <f>IF($X282="","",IF(Config!$B$17=Config!$B$16,IF($X282&gt;=Config!$B$17,100,0),MAX(0,MIN(100,($X282-Config!$B$16)/(Config!$B$17-Config!$B$16)*100))))</f>
        <v/>
      </c>
      <c r="Z282" s="40">
        <f>IF($M282="Elite",Config!$B$21,0)</f>
        <v>0</v>
      </c>
      <c r="AA282" s="40" t="str">
        <f>IFERROR(IF(OR($W282="",$H282=""),"",IF($W282&gt;$H282,
  MAX(0, 60-(($W282-$H282)*24/Config!$B$19)*60),
  MIN(100, 60+(($H282-$W282)*24/Config!$B$20)*40)
)),"")
</f>
        <v/>
      </c>
      <c r="AB282" s="40" t="str">
        <f>IF($K282="","",IFERROR(VLOOKUP($K282,Grinders!$A$4:$N$998,10,FALSE)/5*100,""))</f>
        <v/>
      </c>
      <c r="AC282" s="40" t="str">
        <f>IF($K282="","",IFERROR(VLOOKUP($K282,Grinders!$A$4:$N$998,11,FALSE)*100,""))</f>
        <v/>
      </c>
      <c r="AD282" s="40" t="str">
        <f>IF($K282="","",IFERROR(VLOOKUP($K282,Grinders!$A$4:$N$998,12,FALSE)*100,""))</f>
        <v/>
      </c>
      <c r="AE282" s="40" t="str">
        <f>IF(OR(AO282=1,AP282=1),0,=IFERROR(IFS(
    OR($C282="", $K282=""), 0,
    $F282=0, 0,
    $D282&lt;&gt;"Open", 0,
    COUNTIFS(GrinderServices!$A$6:$A$1000, $K282, GrinderServices!$B$6:$B$1000, $E282, GrinderServices!$D$6:$D$1000, "Y")=0, 0,
    $X282&lt;Config!$B$16, 0,
    Config!$B$18=1, IF($O282&gt;=N282, 0, 1),
    TRUE, 1
), "")
)</f>
        <v>#ERROR!</v>
      </c>
      <c r="AF282" s="40" t="str">
        <f>IFERROR((IF(OR(AO282=1,AP282=1),"",=IFERROR((IFERROR(IF($AE282=0,"",((Config!$B$6*$Y282 + Config!$B$7*$U282 + Config!$B$8*$Z282 + Config!$B$9*$AA282 + Config!$B$10*$AB282 + Config!$B$11*$AC282 - Config!$B$12*$AD282)/Config!$B$13)+$AK282+$AL282),""))*(1-IFERROR(VLOOKUP(K282,Grinders!$A:$AB, 28, FALSE),0)),"")))*(1+AR282),"")</f>
        <v>#ERROR!</v>
      </c>
      <c r="AG282" s="40" t="str">
        <f t="shared" si="6"/>
        <v>#ERROR!</v>
      </c>
      <c r="AH282" s="40" t="str">
        <f t="shared" si="7"/>
        <v/>
      </c>
      <c r="AI282" s="40" t="str">
        <f t="shared" si="8"/>
        <v/>
      </c>
      <c r="AJ282" s="40" t="str">
        <f>IF($K282="","",COUNTIF(Assignments!$B$6:$B$1000,$K282))</f>
        <v/>
      </c>
      <c r="AK282" s="40" t="str">
        <f>IF($K282="","",IF(AND($AJ282=0,$O282&lt;$N282),Config!$B$43,0))</f>
        <v/>
      </c>
      <c r="AL282" s="40" t="str">
        <f>IF($K282="","",IF(AND($M282="Elite",$G282&gt;=Config!$B$41,$O282&lt;$N282),Config!$B$42,0))</f>
        <v/>
      </c>
      <c r="AM282" s="22"/>
      <c r="AN282" s="39">
        <f>IFERROR(VLOOKUP(K282,Grinders!$A:$Q,28,FALSE),0)</f>
        <v>0</v>
      </c>
      <c r="AO282" s="39">
        <f>IF(Config!$B$1003&lt;&gt;"Y",0,IF(IFERROR(VLOOKUP(K282,Grinders!$A:$P,27,FALSE),0)&gt;=3,IF(OR(G282&gt;=Config!$B$1001,ISNUMBER(SEARCH(E282,Config!$B$1002))),1,0),0))</f>
        <v>0</v>
      </c>
      <c r="AP282" s="39">
        <f t="array" ref="AP282">IFERROR(IF(INDEX(Bids!$AE:$AE,MATCH(B282,Bids!$A:$A,0))="Pending",1,0),0)</f>
        <v>0</v>
      </c>
      <c r="AQ282" s="39" t="str">
        <f t="array" ref="AQ282">IF(C282="","",IFERROR(XLOOKUP(C282,Assignments!$C:$C,Assignments!$AU:$AU,0),0))</f>
        <v/>
      </c>
      <c r="AR282" s="39">
        <f>IF(AND(Config!$B$1006="Y",AQ282=1),Config!$B$1007,0)</f>
        <v>0</v>
      </c>
    </row>
    <row r="283" ht="15.75" customHeight="1">
      <c r="A283" s="46" t="str">
        <f t="shared" si="1"/>
        <v/>
      </c>
      <c r="B283" s="40" t="str">
        <f>IF(Bids!$A282="","",Bids!$A282)</f>
        <v/>
      </c>
      <c r="C283" s="40" t="str">
        <f>IF(Bids!$B282="","",Bids!$B282)</f>
        <v/>
      </c>
      <c r="D283" s="40" t="str">
        <f>IF($C283="","",IFERROR(VLOOKUP($C283,Orders!$A$4:$J$998,9,FALSE),""))</f>
        <v/>
      </c>
      <c r="E283" s="40" t="str">
        <f>IF($C283="","",IFERROR(VLOOKUP($C283,Orders!$A$4:$J$998,3,FALSE),""))</f>
        <v/>
      </c>
      <c r="F283" s="40">
        <f t="shared" si="2"/>
        <v>1</v>
      </c>
      <c r="G283" s="40" t="str">
        <f>IF($C283="","",IFERROR(VLOOKUP($C283,Orders!$A$4:$J$998,4,FALSE),""))</f>
        <v/>
      </c>
      <c r="H283" s="40" t="str">
        <f>IF($C283="","",IFERROR(VLOOKUP($C283,Orders!$A$4:$J$998,5,FALSE),""))</f>
        <v/>
      </c>
      <c r="I283" s="40" t="str">
        <f>IF($C283="","",IFERROR(VLOOKUP($C283,Orders!$A$4:$J$998,6,FALSE),""))</f>
        <v/>
      </c>
      <c r="J283" s="40" t="str">
        <f>IF($C283="","",IFERROR(VLOOKUP($C283,Orders!$A$4:$J$998,7,FALSE),""))</f>
        <v/>
      </c>
      <c r="K283" s="40" t="str">
        <f>IF(Bids!$C282="","",Bids!$C282)</f>
        <v/>
      </c>
      <c r="L283" s="40" t="str">
        <f>IF($K283="","",IFERROR(VLOOKUP($K283,Grinders!$A$4:$N$998,2,FALSE),""))</f>
        <v/>
      </c>
      <c r="M283" s="40" t="str">
        <f>IF($K283="","",IFERROR(VLOOKUP($K283,Grinders!$A$4:$N$998,3,FALSE),""))</f>
        <v/>
      </c>
      <c r="N283" s="40" t="str">
        <f>IF($K283="","",IFERROR(VLOOKUP($K283,Grinders!$A$4:$N$998,4,FALSE),""))</f>
        <v/>
      </c>
      <c r="O283" s="40" t="str">
        <f>IF($K283="","",IFERROR(VLOOKUP($K283,Grinders!$A$4:$N$998,5,FALSE),""))</f>
        <v/>
      </c>
      <c r="P283" s="40" t="str">
        <f>IF($K283="","",IF($C$4="",0,COUNTIFS(Assignments!$B$6:$B$1000,$K283,Assignments!$F$6:$F$1000,$C$4,Assignments!$E$6:$E$1000,"Active")))</f>
        <v/>
      </c>
      <c r="Q283" s="40" t="str">
        <f t="shared" si="3"/>
        <v/>
      </c>
      <c r="R283" s="40" t="str">
        <f t="shared" si="4"/>
        <v/>
      </c>
      <c r="S283" s="40" t="str">
        <f>IF($K283="","",IF($C$4="",0,COUNTIFS(Assignments!$B$6:$B$1000,$K283,Assignments!$F$6:$F$1000,$C$4,Assignments!$D$6:$D$1000,"&gt;="&amp;Config!$B$3-7,Assignments!$D$6:$D$1000,"&lt;="&amp;Config!$B$3)))</f>
        <v/>
      </c>
      <c r="T283" s="40" t="str">
        <f>IF($K283="","",IFERROR(VLOOKUP($K283,Grinders!$A$4:$N$998,8,FALSE),""))</f>
        <v/>
      </c>
      <c r="U283" s="40" t="str">
        <f>IFERROR(IF($K283="","",IF($M283="Elite",MAX(50,MIN(100,Config!$B$27*MAX(0,MIN(100,(1-IF($R283="",0,$R283))*100)) + Config!$B$28*MAX(0,MIN(100,(1-MIN(1,IF(Config!$B$30=0,1,$S283/Config!$B$30)))*100)) + Config!$B$29*MAX(0,MIN(100,MIN(1,IF($T283="",0,$T283)/Config!$B$23)*100)))),MIN(100,Config!$B$27*MAX(0,MIN(100,(1-IF($R283="",0,$R283))*100)) + Config!$B$28*MAX(0,MIN(100,(1-MIN(1,IF(Config!$B$30=0,1,$S283/Config!$B$30)))*100)) + Config!$B$29*MAX(0,MIN(100,MIN(1,IF($T283="",0,$T283)/Config!$B$23)*100))))),"")
</f>
        <v/>
      </c>
      <c r="V283" s="40" t="str">
        <f>IF(Bids!$AC283="","",Bids!$AC283)</f>
        <v/>
      </c>
      <c r="W283" s="40" t="str">
        <f>IF(Bids!$F282="","",Bids!$F282)</f>
        <v/>
      </c>
      <c r="X283" s="40" t="str">
        <f t="shared" si="5"/>
        <v/>
      </c>
      <c r="Y283" s="40" t="str">
        <f>IF($X283="","",IF(Config!$B$17=Config!$B$16,IF($X283&gt;=Config!$B$17,100,0),MAX(0,MIN(100,($X283-Config!$B$16)/(Config!$B$17-Config!$B$16)*100))))</f>
        <v/>
      </c>
      <c r="Z283" s="40">
        <f>IF($M283="Elite",Config!$B$21,0)</f>
        <v>0</v>
      </c>
      <c r="AA283" s="40" t="str">
        <f>IFERROR(IF(OR($W283="",$H283=""),"",IF($W283&gt;$H283,
  MAX(0, 60-(($W283-$H283)*24/Config!$B$19)*60),
  MIN(100, 60+(($H283-$W283)*24/Config!$B$20)*40)
)),"")
</f>
        <v/>
      </c>
      <c r="AB283" s="40" t="str">
        <f>IF($K283="","",IFERROR(VLOOKUP($K283,Grinders!$A$4:$N$998,10,FALSE)/5*100,""))</f>
        <v/>
      </c>
      <c r="AC283" s="40" t="str">
        <f>IF($K283="","",IFERROR(VLOOKUP($K283,Grinders!$A$4:$N$998,11,FALSE)*100,""))</f>
        <v/>
      </c>
      <c r="AD283" s="40" t="str">
        <f>IF($K283="","",IFERROR(VLOOKUP($K283,Grinders!$A$4:$N$998,12,FALSE)*100,""))</f>
        <v/>
      </c>
      <c r="AE283" s="40" t="str">
        <f>IF(OR(AO283=1,AP283=1),0,=IFERROR(IFS(
    OR($C283="", $K283=""), 0,
    $F283=0, 0,
    $D283&lt;&gt;"Open", 0,
    COUNTIFS(GrinderServices!$A$6:$A$1000, $K283, GrinderServices!$B$6:$B$1000, $E283, GrinderServices!$D$6:$D$1000, "Y")=0, 0,
    $X283&lt;Config!$B$16, 0,
    Config!$B$18=1, IF($O283&gt;=N283, 0, 1),
    TRUE, 1
), "")
)</f>
        <v>#ERROR!</v>
      </c>
      <c r="AF283" s="40" t="str">
        <f>IFERROR((IF(OR(AO283=1,AP283=1),"",=IFERROR((IFERROR(IF($AE283=0,"",((Config!$B$6*$Y283 + Config!$B$7*$U283 + Config!$B$8*$Z283 + Config!$B$9*$AA283 + Config!$B$10*$AB283 + Config!$B$11*$AC283 - Config!$B$12*$AD283)/Config!$B$13)+$AK283+$AL283),""))*(1-IFERROR(VLOOKUP(K283,Grinders!$A:$AB, 28, FALSE),0)),"")))*(1+AR283),"")</f>
        <v>#ERROR!</v>
      </c>
      <c r="AG283" s="40" t="str">
        <f t="shared" si="6"/>
        <v>#ERROR!</v>
      </c>
      <c r="AH283" s="40" t="str">
        <f t="shared" si="7"/>
        <v/>
      </c>
      <c r="AI283" s="40" t="str">
        <f t="shared" si="8"/>
        <v/>
      </c>
      <c r="AJ283" s="40" t="str">
        <f>IF($K283="","",COUNTIF(Assignments!$B$6:$B$1000,$K283))</f>
        <v/>
      </c>
      <c r="AK283" s="40" t="str">
        <f>IF($K283="","",IF(AND($AJ283=0,$O283&lt;$N283),Config!$B$43,0))</f>
        <v/>
      </c>
      <c r="AL283" s="40" t="str">
        <f>IF($K283="","",IF(AND($M283="Elite",$G283&gt;=Config!$B$41,$O283&lt;$N283),Config!$B$42,0))</f>
        <v/>
      </c>
      <c r="AM283" s="22"/>
      <c r="AN283" s="39">
        <f>IFERROR(VLOOKUP(K283,Grinders!$A:$Q,28,FALSE),0)</f>
        <v>0</v>
      </c>
      <c r="AO283" s="39">
        <f>IF(Config!$B$1003&lt;&gt;"Y",0,IF(IFERROR(VLOOKUP(K283,Grinders!$A:$P,27,FALSE),0)&gt;=3,IF(OR(G283&gt;=Config!$B$1001,ISNUMBER(SEARCH(E283,Config!$B$1002))),1,0),0))</f>
        <v>0</v>
      </c>
      <c r="AP283" s="39">
        <f t="array" ref="AP283">IFERROR(IF(INDEX(Bids!$AE:$AE,MATCH(B283,Bids!$A:$A,0))="Pending",1,0),0)</f>
        <v>0</v>
      </c>
      <c r="AQ283" s="39" t="str">
        <f t="array" ref="AQ283">IF(C283="","",IFERROR(XLOOKUP(C283,Assignments!$C:$C,Assignments!$AU:$AU,0),0))</f>
        <v/>
      </c>
      <c r="AR283" s="39">
        <f>IF(AND(Config!$B$1006="Y",AQ283=1),Config!$B$1007,0)</f>
        <v>0</v>
      </c>
    </row>
    <row r="284" ht="15.75" customHeight="1">
      <c r="A284" s="46" t="str">
        <f t="shared" si="1"/>
        <v/>
      </c>
      <c r="B284" s="40" t="str">
        <f>IF(Bids!$A283="","",Bids!$A283)</f>
        <v/>
      </c>
      <c r="C284" s="40" t="str">
        <f>IF(Bids!$B283="","",Bids!$B283)</f>
        <v/>
      </c>
      <c r="D284" s="40" t="str">
        <f>IF($C284="","",IFERROR(VLOOKUP($C284,Orders!$A$4:$J$998,9,FALSE),""))</f>
        <v/>
      </c>
      <c r="E284" s="40" t="str">
        <f>IF($C284="","",IFERROR(VLOOKUP($C284,Orders!$A$4:$J$998,3,FALSE),""))</f>
        <v/>
      </c>
      <c r="F284" s="40">
        <f t="shared" si="2"/>
        <v>1</v>
      </c>
      <c r="G284" s="40" t="str">
        <f>IF($C284="","",IFERROR(VLOOKUP($C284,Orders!$A$4:$J$998,4,FALSE),""))</f>
        <v/>
      </c>
      <c r="H284" s="40" t="str">
        <f>IF($C284="","",IFERROR(VLOOKUP($C284,Orders!$A$4:$J$998,5,FALSE),""))</f>
        <v/>
      </c>
      <c r="I284" s="40" t="str">
        <f>IF($C284="","",IFERROR(VLOOKUP($C284,Orders!$A$4:$J$998,6,FALSE),""))</f>
        <v/>
      </c>
      <c r="J284" s="40" t="str">
        <f>IF($C284="","",IFERROR(VLOOKUP($C284,Orders!$A$4:$J$998,7,FALSE),""))</f>
        <v/>
      </c>
      <c r="K284" s="40" t="str">
        <f>IF(Bids!$C283="","",Bids!$C283)</f>
        <v/>
      </c>
      <c r="L284" s="40" t="str">
        <f>IF($K284="","",IFERROR(VLOOKUP($K284,Grinders!$A$4:$N$998,2,FALSE),""))</f>
        <v/>
      </c>
      <c r="M284" s="40" t="str">
        <f>IF($K284="","",IFERROR(VLOOKUP($K284,Grinders!$A$4:$N$998,3,FALSE),""))</f>
        <v/>
      </c>
      <c r="N284" s="40" t="str">
        <f>IF($K284="","",IFERROR(VLOOKUP($K284,Grinders!$A$4:$N$998,4,FALSE),""))</f>
        <v/>
      </c>
      <c r="O284" s="40" t="str">
        <f>IF($K284="","",IFERROR(VLOOKUP($K284,Grinders!$A$4:$N$998,5,FALSE),""))</f>
        <v/>
      </c>
      <c r="P284" s="40" t="str">
        <f>IF($K284="","",IF($C$4="",0,COUNTIFS(Assignments!$B$6:$B$1000,$K284,Assignments!$F$6:$F$1000,$C$4,Assignments!$E$6:$E$1000,"Active")))</f>
        <v/>
      </c>
      <c r="Q284" s="40" t="str">
        <f t="shared" si="3"/>
        <v/>
      </c>
      <c r="R284" s="40" t="str">
        <f t="shared" si="4"/>
        <v/>
      </c>
      <c r="S284" s="40" t="str">
        <f>IF($K284="","",IF($C$4="",0,COUNTIFS(Assignments!$B$6:$B$1000,$K284,Assignments!$F$6:$F$1000,$C$4,Assignments!$D$6:$D$1000,"&gt;="&amp;Config!$B$3-7,Assignments!$D$6:$D$1000,"&lt;="&amp;Config!$B$3)))</f>
        <v/>
      </c>
      <c r="T284" s="40" t="str">
        <f>IF($K284="","",IFERROR(VLOOKUP($K284,Grinders!$A$4:$N$998,8,FALSE),""))</f>
        <v/>
      </c>
      <c r="U284" s="40" t="str">
        <f>IFERROR(IF($K284="","",IF($M284="Elite",MAX(50,MIN(100,Config!$B$27*MAX(0,MIN(100,(1-IF($R284="",0,$R284))*100)) + Config!$B$28*MAX(0,MIN(100,(1-MIN(1,IF(Config!$B$30=0,1,$S284/Config!$B$30)))*100)) + Config!$B$29*MAX(0,MIN(100,MIN(1,IF($T284="",0,$T284)/Config!$B$23)*100)))),MIN(100,Config!$B$27*MAX(0,MIN(100,(1-IF($R284="",0,$R284))*100)) + Config!$B$28*MAX(0,MIN(100,(1-MIN(1,IF(Config!$B$30=0,1,$S284/Config!$B$30)))*100)) + Config!$B$29*MAX(0,MIN(100,MIN(1,IF($T284="",0,$T284)/Config!$B$23)*100))))),"")
</f>
        <v/>
      </c>
      <c r="V284" s="40" t="str">
        <f>IF(Bids!$AC284="","",Bids!$AC284)</f>
        <v/>
      </c>
      <c r="W284" s="40" t="str">
        <f>IF(Bids!$F283="","",Bids!$F283)</f>
        <v/>
      </c>
      <c r="X284" s="40" t="str">
        <f t="shared" si="5"/>
        <v/>
      </c>
      <c r="Y284" s="40" t="str">
        <f>IF($X284="","",IF(Config!$B$17=Config!$B$16,IF($X284&gt;=Config!$B$17,100,0),MAX(0,MIN(100,($X284-Config!$B$16)/(Config!$B$17-Config!$B$16)*100))))</f>
        <v/>
      </c>
      <c r="Z284" s="40">
        <f>IF($M284="Elite",Config!$B$21,0)</f>
        <v>0</v>
      </c>
      <c r="AA284" s="40" t="str">
        <f>IFERROR(IF(OR($W284="",$H284=""),"",IF($W284&gt;$H284,
  MAX(0, 60-(($W284-$H284)*24/Config!$B$19)*60),
  MIN(100, 60+(($H284-$W284)*24/Config!$B$20)*40)
)),"")
</f>
        <v/>
      </c>
      <c r="AB284" s="40" t="str">
        <f>IF($K284="","",IFERROR(VLOOKUP($K284,Grinders!$A$4:$N$998,10,FALSE)/5*100,""))</f>
        <v/>
      </c>
      <c r="AC284" s="40" t="str">
        <f>IF($K284="","",IFERROR(VLOOKUP($K284,Grinders!$A$4:$N$998,11,FALSE)*100,""))</f>
        <v/>
      </c>
      <c r="AD284" s="40" t="str">
        <f>IF($K284="","",IFERROR(VLOOKUP($K284,Grinders!$A$4:$N$998,12,FALSE)*100,""))</f>
        <v/>
      </c>
      <c r="AE284" s="40" t="str">
        <f>IF(OR(AO284=1,AP284=1),0,=IFERROR(IFS(
    OR($C284="", $K284=""), 0,
    $F284=0, 0,
    $D284&lt;&gt;"Open", 0,
    COUNTIFS(GrinderServices!$A$6:$A$1000, $K284, GrinderServices!$B$6:$B$1000, $E284, GrinderServices!$D$6:$D$1000, "Y")=0, 0,
    $X284&lt;Config!$B$16, 0,
    Config!$B$18=1, IF($O284&gt;=N284, 0, 1),
    TRUE, 1
), "")
)</f>
        <v>#ERROR!</v>
      </c>
      <c r="AF284" s="40" t="str">
        <f>IFERROR((IF(OR(AO284=1,AP284=1),"",=IFERROR((IFERROR(IF($AE284=0,"",((Config!$B$6*$Y284 + Config!$B$7*$U284 + Config!$B$8*$Z284 + Config!$B$9*$AA284 + Config!$B$10*$AB284 + Config!$B$11*$AC284 - Config!$B$12*$AD284)/Config!$B$13)+$AK284+$AL284),""))*(1-IFERROR(VLOOKUP(K284,Grinders!$A:$AB, 28, FALSE),0)),"")))*(1+AR284),"")</f>
        <v>#ERROR!</v>
      </c>
      <c r="AG284" s="40" t="str">
        <f t="shared" si="6"/>
        <v>#ERROR!</v>
      </c>
      <c r="AH284" s="40" t="str">
        <f t="shared" si="7"/>
        <v/>
      </c>
      <c r="AI284" s="40" t="str">
        <f t="shared" si="8"/>
        <v/>
      </c>
      <c r="AJ284" s="40" t="str">
        <f>IF($K284="","",COUNTIF(Assignments!$B$6:$B$1000,$K284))</f>
        <v/>
      </c>
      <c r="AK284" s="40" t="str">
        <f>IF($K284="","",IF(AND($AJ284=0,$O284&lt;$N284),Config!$B$43,0))</f>
        <v/>
      </c>
      <c r="AL284" s="40" t="str">
        <f>IF($K284="","",IF(AND($M284="Elite",$G284&gt;=Config!$B$41,$O284&lt;$N284),Config!$B$42,0))</f>
        <v/>
      </c>
      <c r="AM284" s="22"/>
      <c r="AN284" s="39">
        <f>IFERROR(VLOOKUP(K284,Grinders!$A:$Q,28,FALSE),0)</f>
        <v>0</v>
      </c>
      <c r="AO284" s="39">
        <f>IF(Config!$B$1003&lt;&gt;"Y",0,IF(IFERROR(VLOOKUP(K284,Grinders!$A:$P,27,FALSE),0)&gt;=3,IF(OR(G284&gt;=Config!$B$1001,ISNUMBER(SEARCH(E284,Config!$B$1002))),1,0),0))</f>
        <v>0</v>
      </c>
      <c r="AP284" s="39">
        <f t="array" ref="AP284">IFERROR(IF(INDEX(Bids!$AE:$AE,MATCH(B284,Bids!$A:$A,0))="Pending",1,0),0)</f>
        <v>0</v>
      </c>
      <c r="AQ284" s="39" t="str">
        <f t="array" ref="AQ284">IF(C284="","",IFERROR(XLOOKUP(C284,Assignments!$C:$C,Assignments!$AU:$AU,0),0))</f>
        <v/>
      </c>
      <c r="AR284" s="39">
        <f>IF(AND(Config!$B$1006="Y",AQ284=1),Config!$B$1007,0)</f>
        <v>0</v>
      </c>
    </row>
    <row r="285" ht="15.75" customHeight="1">
      <c r="A285" s="46" t="str">
        <f t="shared" si="1"/>
        <v/>
      </c>
      <c r="B285" s="40" t="str">
        <f>IF(Bids!$A284="","",Bids!$A284)</f>
        <v/>
      </c>
      <c r="C285" s="40" t="str">
        <f>IF(Bids!$B284="","",Bids!$B284)</f>
        <v/>
      </c>
      <c r="D285" s="40" t="str">
        <f>IF($C285="","",IFERROR(VLOOKUP($C285,Orders!$A$4:$J$998,9,FALSE),""))</f>
        <v/>
      </c>
      <c r="E285" s="40" t="str">
        <f>IF($C285="","",IFERROR(VLOOKUP($C285,Orders!$A$4:$J$998,3,FALSE),""))</f>
        <v/>
      </c>
      <c r="F285" s="40">
        <f t="shared" si="2"/>
        <v>1</v>
      </c>
      <c r="G285" s="40" t="str">
        <f>IF($C285="","",IFERROR(VLOOKUP($C285,Orders!$A$4:$J$998,4,FALSE),""))</f>
        <v/>
      </c>
      <c r="H285" s="40" t="str">
        <f>IF($C285="","",IFERROR(VLOOKUP($C285,Orders!$A$4:$J$998,5,FALSE),""))</f>
        <v/>
      </c>
      <c r="I285" s="40" t="str">
        <f>IF($C285="","",IFERROR(VLOOKUP($C285,Orders!$A$4:$J$998,6,FALSE),""))</f>
        <v/>
      </c>
      <c r="J285" s="40" t="str">
        <f>IF($C285="","",IFERROR(VLOOKUP($C285,Orders!$A$4:$J$998,7,FALSE),""))</f>
        <v/>
      </c>
      <c r="K285" s="40" t="str">
        <f>IF(Bids!$C284="","",Bids!$C284)</f>
        <v/>
      </c>
      <c r="L285" s="40" t="str">
        <f>IF($K285="","",IFERROR(VLOOKUP($K285,Grinders!$A$4:$N$998,2,FALSE),""))</f>
        <v/>
      </c>
      <c r="M285" s="40" t="str">
        <f>IF($K285="","",IFERROR(VLOOKUP($K285,Grinders!$A$4:$N$998,3,FALSE),""))</f>
        <v/>
      </c>
      <c r="N285" s="40" t="str">
        <f>IF($K285="","",IFERROR(VLOOKUP($K285,Grinders!$A$4:$N$998,4,FALSE),""))</f>
        <v/>
      </c>
      <c r="O285" s="40" t="str">
        <f>IF($K285="","",IFERROR(VLOOKUP($K285,Grinders!$A$4:$N$998,5,FALSE),""))</f>
        <v/>
      </c>
      <c r="P285" s="40" t="str">
        <f>IF($K285="","",IF($C$4="",0,COUNTIFS(Assignments!$B$6:$B$1000,$K285,Assignments!$F$6:$F$1000,$C$4,Assignments!$E$6:$E$1000,"Active")))</f>
        <v/>
      </c>
      <c r="Q285" s="40" t="str">
        <f t="shared" si="3"/>
        <v/>
      </c>
      <c r="R285" s="40" t="str">
        <f t="shared" si="4"/>
        <v/>
      </c>
      <c r="S285" s="40" t="str">
        <f>IF($K285="","",IF($C$4="",0,COUNTIFS(Assignments!$B$6:$B$1000,$K285,Assignments!$F$6:$F$1000,$C$4,Assignments!$D$6:$D$1000,"&gt;="&amp;Config!$B$3-7,Assignments!$D$6:$D$1000,"&lt;="&amp;Config!$B$3)))</f>
        <v/>
      </c>
      <c r="T285" s="40" t="str">
        <f>IF($K285="","",IFERROR(VLOOKUP($K285,Grinders!$A$4:$N$998,8,FALSE),""))</f>
        <v/>
      </c>
      <c r="U285" s="40" t="str">
        <f>IFERROR(IF($K285="","",IF($M285="Elite",MAX(50,MIN(100,Config!$B$27*MAX(0,MIN(100,(1-IF($R285="",0,$R285))*100)) + Config!$B$28*MAX(0,MIN(100,(1-MIN(1,IF(Config!$B$30=0,1,$S285/Config!$B$30)))*100)) + Config!$B$29*MAX(0,MIN(100,MIN(1,IF($T285="",0,$T285)/Config!$B$23)*100)))),MIN(100,Config!$B$27*MAX(0,MIN(100,(1-IF($R285="",0,$R285))*100)) + Config!$B$28*MAX(0,MIN(100,(1-MIN(1,IF(Config!$B$30=0,1,$S285/Config!$B$30)))*100)) + Config!$B$29*MAX(0,MIN(100,MIN(1,IF($T285="",0,$T285)/Config!$B$23)*100))))),"")
</f>
        <v/>
      </c>
      <c r="V285" s="40" t="str">
        <f>IF(Bids!$AC285="","",Bids!$AC285)</f>
        <v/>
      </c>
      <c r="W285" s="40" t="str">
        <f>IF(Bids!$F284="","",Bids!$F284)</f>
        <v/>
      </c>
      <c r="X285" s="40" t="str">
        <f t="shared" si="5"/>
        <v/>
      </c>
      <c r="Y285" s="40" t="str">
        <f>IF($X285="","",IF(Config!$B$17=Config!$B$16,IF($X285&gt;=Config!$B$17,100,0),MAX(0,MIN(100,($X285-Config!$B$16)/(Config!$B$17-Config!$B$16)*100))))</f>
        <v/>
      </c>
      <c r="Z285" s="40">
        <f>IF($M285="Elite",Config!$B$21,0)</f>
        <v>0</v>
      </c>
      <c r="AA285" s="40" t="str">
        <f>IFERROR(IF(OR($W285="",$H285=""),"",IF($W285&gt;$H285,
  MAX(0, 60-(($W285-$H285)*24/Config!$B$19)*60),
  MIN(100, 60+(($H285-$W285)*24/Config!$B$20)*40)
)),"")
</f>
        <v/>
      </c>
      <c r="AB285" s="40" t="str">
        <f>IF($K285="","",IFERROR(VLOOKUP($K285,Grinders!$A$4:$N$998,10,FALSE)/5*100,""))</f>
        <v/>
      </c>
      <c r="AC285" s="40" t="str">
        <f>IF($K285="","",IFERROR(VLOOKUP($K285,Grinders!$A$4:$N$998,11,FALSE)*100,""))</f>
        <v/>
      </c>
      <c r="AD285" s="40" t="str">
        <f>IF($K285="","",IFERROR(VLOOKUP($K285,Grinders!$A$4:$N$998,12,FALSE)*100,""))</f>
        <v/>
      </c>
      <c r="AE285" s="40" t="str">
        <f>IF(OR(AO285=1,AP285=1),0,=IFERROR(IFS(
    OR($C285="", $K285=""), 0,
    $F285=0, 0,
    $D285&lt;&gt;"Open", 0,
    COUNTIFS(GrinderServices!$A$6:$A$1000, $K285, GrinderServices!$B$6:$B$1000, $E285, GrinderServices!$D$6:$D$1000, "Y")=0, 0,
    $X285&lt;Config!$B$16, 0,
    Config!$B$18=1, IF($O285&gt;=N285, 0, 1),
    TRUE, 1
), "")
)</f>
        <v>#ERROR!</v>
      </c>
      <c r="AF285" s="40" t="str">
        <f>IFERROR((IF(OR(AO285=1,AP285=1),"",=IFERROR((IFERROR(IF($AE285=0,"",((Config!$B$6*$Y285 + Config!$B$7*$U285 + Config!$B$8*$Z285 + Config!$B$9*$AA285 + Config!$B$10*$AB285 + Config!$B$11*$AC285 - Config!$B$12*$AD285)/Config!$B$13)+$AK285+$AL285),""))*(1-IFERROR(VLOOKUP(K285,Grinders!$A:$AB, 28, FALSE),0)),"")))*(1+AR285),"")</f>
        <v>#ERROR!</v>
      </c>
      <c r="AG285" s="40" t="str">
        <f t="shared" si="6"/>
        <v>#ERROR!</v>
      </c>
      <c r="AH285" s="40" t="str">
        <f t="shared" si="7"/>
        <v/>
      </c>
      <c r="AI285" s="40" t="str">
        <f t="shared" si="8"/>
        <v/>
      </c>
      <c r="AJ285" s="40" t="str">
        <f>IF($K285="","",COUNTIF(Assignments!$B$6:$B$1000,$K285))</f>
        <v/>
      </c>
      <c r="AK285" s="40" t="str">
        <f>IF($K285="","",IF(AND($AJ285=0,$O285&lt;$N285),Config!$B$43,0))</f>
        <v/>
      </c>
      <c r="AL285" s="40" t="str">
        <f>IF($K285="","",IF(AND($M285="Elite",$G285&gt;=Config!$B$41,$O285&lt;$N285),Config!$B$42,0))</f>
        <v/>
      </c>
      <c r="AM285" s="22"/>
      <c r="AN285" s="39">
        <f>IFERROR(VLOOKUP(K285,Grinders!$A:$Q,28,FALSE),0)</f>
        <v>0</v>
      </c>
      <c r="AO285" s="39">
        <f>IF(Config!$B$1003&lt;&gt;"Y",0,IF(IFERROR(VLOOKUP(K285,Grinders!$A:$P,27,FALSE),0)&gt;=3,IF(OR(G285&gt;=Config!$B$1001,ISNUMBER(SEARCH(E285,Config!$B$1002))),1,0),0))</f>
        <v>0</v>
      </c>
      <c r="AP285" s="39">
        <f t="array" ref="AP285">IFERROR(IF(INDEX(Bids!$AE:$AE,MATCH(B285,Bids!$A:$A,0))="Pending",1,0),0)</f>
        <v>0</v>
      </c>
      <c r="AQ285" s="39" t="str">
        <f t="array" ref="AQ285">IF(C285="","",IFERROR(XLOOKUP(C285,Assignments!$C:$C,Assignments!$AU:$AU,0),0))</f>
        <v/>
      </c>
      <c r="AR285" s="39">
        <f>IF(AND(Config!$B$1006="Y",AQ285=1),Config!$B$1007,0)</f>
        <v>0</v>
      </c>
    </row>
    <row r="286" ht="15.75" customHeight="1">
      <c r="A286" s="46" t="str">
        <f t="shared" si="1"/>
        <v/>
      </c>
      <c r="B286" s="40" t="str">
        <f>IF(Bids!$A285="","",Bids!$A285)</f>
        <v/>
      </c>
      <c r="C286" s="40" t="str">
        <f>IF(Bids!$B285="","",Bids!$B285)</f>
        <v/>
      </c>
      <c r="D286" s="40" t="str">
        <f>IF($C286="","",IFERROR(VLOOKUP($C286,Orders!$A$4:$J$998,9,FALSE),""))</f>
        <v/>
      </c>
      <c r="E286" s="40" t="str">
        <f>IF($C286="","",IFERROR(VLOOKUP($C286,Orders!$A$4:$J$998,3,FALSE),""))</f>
        <v/>
      </c>
      <c r="F286" s="40">
        <f t="shared" si="2"/>
        <v>1</v>
      </c>
      <c r="G286" s="40" t="str">
        <f>IF($C286="","",IFERROR(VLOOKUP($C286,Orders!$A$4:$J$998,4,FALSE),""))</f>
        <v/>
      </c>
      <c r="H286" s="40" t="str">
        <f>IF($C286="","",IFERROR(VLOOKUP($C286,Orders!$A$4:$J$998,5,FALSE),""))</f>
        <v/>
      </c>
      <c r="I286" s="40" t="str">
        <f>IF($C286="","",IFERROR(VLOOKUP($C286,Orders!$A$4:$J$998,6,FALSE),""))</f>
        <v/>
      </c>
      <c r="J286" s="40" t="str">
        <f>IF($C286="","",IFERROR(VLOOKUP($C286,Orders!$A$4:$J$998,7,FALSE),""))</f>
        <v/>
      </c>
      <c r="K286" s="40" t="str">
        <f>IF(Bids!$C285="","",Bids!$C285)</f>
        <v/>
      </c>
      <c r="L286" s="40" t="str">
        <f>IF($K286="","",IFERROR(VLOOKUP($K286,Grinders!$A$4:$N$998,2,FALSE),""))</f>
        <v/>
      </c>
      <c r="M286" s="40" t="str">
        <f>IF($K286="","",IFERROR(VLOOKUP($K286,Grinders!$A$4:$N$998,3,FALSE),""))</f>
        <v/>
      </c>
      <c r="N286" s="40" t="str">
        <f>IF($K286="","",IFERROR(VLOOKUP($K286,Grinders!$A$4:$N$998,4,FALSE),""))</f>
        <v/>
      </c>
      <c r="O286" s="40" t="str">
        <f>IF($K286="","",IFERROR(VLOOKUP($K286,Grinders!$A$4:$N$998,5,FALSE),""))</f>
        <v/>
      </c>
      <c r="P286" s="40" t="str">
        <f>IF($K286="","",IF($C$4="",0,COUNTIFS(Assignments!$B$6:$B$1000,$K286,Assignments!$F$6:$F$1000,$C$4,Assignments!$E$6:$E$1000,"Active")))</f>
        <v/>
      </c>
      <c r="Q286" s="40" t="str">
        <f t="shared" si="3"/>
        <v/>
      </c>
      <c r="R286" s="40" t="str">
        <f t="shared" si="4"/>
        <v/>
      </c>
      <c r="S286" s="40" t="str">
        <f>IF($K286="","",IF($C$4="",0,COUNTIFS(Assignments!$B$6:$B$1000,$K286,Assignments!$F$6:$F$1000,$C$4,Assignments!$D$6:$D$1000,"&gt;="&amp;Config!$B$3-7,Assignments!$D$6:$D$1000,"&lt;="&amp;Config!$B$3)))</f>
        <v/>
      </c>
      <c r="T286" s="40" t="str">
        <f>IF($K286="","",IFERROR(VLOOKUP($K286,Grinders!$A$4:$N$998,8,FALSE),""))</f>
        <v/>
      </c>
      <c r="U286" s="40" t="str">
        <f>IFERROR(IF($K286="","",IF($M286="Elite",MAX(50,MIN(100,Config!$B$27*MAX(0,MIN(100,(1-IF($R286="",0,$R286))*100)) + Config!$B$28*MAX(0,MIN(100,(1-MIN(1,IF(Config!$B$30=0,1,$S286/Config!$B$30)))*100)) + Config!$B$29*MAX(0,MIN(100,MIN(1,IF($T286="",0,$T286)/Config!$B$23)*100)))),MIN(100,Config!$B$27*MAX(0,MIN(100,(1-IF($R286="",0,$R286))*100)) + Config!$B$28*MAX(0,MIN(100,(1-MIN(1,IF(Config!$B$30=0,1,$S286/Config!$B$30)))*100)) + Config!$B$29*MAX(0,MIN(100,MIN(1,IF($T286="",0,$T286)/Config!$B$23)*100))))),"")
</f>
        <v/>
      </c>
      <c r="V286" s="40" t="str">
        <f>IF(Bids!$AC286="","",Bids!$AC286)</f>
        <v/>
      </c>
      <c r="W286" s="40" t="str">
        <f>IF(Bids!$F285="","",Bids!$F285)</f>
        <v/>
      </c>
      <c r="X286" s="40" t="str">
        <f t="shared" si="5"/>
        <v/>
      </c>
      <c r="Y286" s="40" t="str">
        <f>IF($X286="","",IF(Config!$B$17=Config!$B$16,IF($X286&gt;=Config!$B$17,100,0),MAX(0,MIN(100,($X286-Config!$B$16)/(Config!$B$17-Config!$B$16)*100))))</f>
        <v/>
      </c>
      <c r="Z286" s="40">
        <f>IF($M286="Elite",Config!$B$21,0)</f>
        <v>0</v>
      </c>
      <c r="AA286" s="40" t="str">
        <f>IFERROR(IF(OR($W286="",$H286=""),"",IF($W286&gt;$H286,
  MAX(0, 60-(($W286-$H286)*24/Config!$B$19)*60),
  MIN(100, 60+(($H286-$W286)*24/Config!$B$20)*40)
)),"")
</f>
        <v/>
      </c>
      <c r="AB286" s="40" t="str">
        <f>IF($K286="","",IFERROR(VLOOKUP($K286,Grinders!$A$4:$N$998,10,FALSE)/5*100,""))</f>
        <v/>
      </c>
      <c r="AC286" s="40" t="str">
        <f>IF($K286="","",IFERROR(VLOOKUP($K286,Grinders!$A$4:$N$998,11,FALSE)*100,""))</f>
        <v/>
      </c>
      <c r="AD286" s="40" t="str">
        <f>IF($K286="","",IFERROR(VLOOKUP($K286,Grinders!$A$4:$N$998,12,FALSE)*100,""))</f>
        <v/>
      </c>
      <c r="AE286" s="40" t="str">
        <f>IF(OR(AO286=1,AP286=1),0,=IFERROR(IFS(
    OR($C286="", $K286=""), 0,
    $F286=0, 0,
    $D286&lt;&gt;"Open", 0,
    COUNTIFS(GrinderServices!$A$6:$A$1000, $K286, GrinderServices!$B$6:$B$1000, $E286, GrinderServices!$D$6:$D$1000, "Y")=0, 0,
    $X286&lt;Config!$B$16, 0,
    Config!$B$18=1, IF($O286&gt;=N286, 0, 1),
    TRUE, 1
), "")
)</f>
        <v>#ERROR!</v>
      </c>
      <c r="AF286" s="40" t="str">
        <f>IFERROR((IF(OR(AO286=1,AP286=1),"",=IFERROR((IFERROR(IF($AE286=0,"",((Config!$B$6*$Y286 + Config!$B$7*$U286 + Config!$B$8*$Z286 + Config!$B$9*$AA286 + Config!$B$10*$AB286 + Config!$B$11*$AC286 - Config!$B$12*$AD286)/Config!$B$13)+$AK286+$AL286),""))*(1-IFERROR(VLOOKUP(K286,Grinders!$A:$AB, 28, FALSE),0)),"")))*(1+AR286),"")</f>
        <v>#ERROR!</v>
      </c>
      <c r="AG286" s="40" t="str">
        <f t="shared" si="6"/>
        <v>#ERROR!</v>
      </c>
      <c r="AH286" s="40" t="str">
        <f t="shared" si="7"/>
        <v/>
      </c>
      <c r="AI286" s="40" t="str">
        <f t="shared" si="8"/>
        <v/>
      </c>
      <c r="AJ286" s="40" t="str">
        <f>IF($K286="","",COUNTIF(Assignments!$B$6:$B$1000,$K286))</f>
        <v/>
      </c>
      <c r="AK286" s="40" t="str">
        <f>IF($K286="","",IF(AND($AJ286=0,$O286&lt;$N286),Config!$B$43,0))</f>
        <v/>
      </c>
      <c r="AL286" s="40" t="str">
        <f>IF($K286="","",IF(AND($M286="Elite",$G286&gt;=Config!$B$41,$O286&lt;$N286),Config!$B$42,0))</f>
        <v/>
      </c>
      <c r="AM286" s="22"/>
      <c r="AN286" s="39">
        <f>IFERROR(VLOOKUP(K286,Grinders!$A:$Q,28,FALSE),0)</f>
        <v>0</v>
      </c>
      <c r="AO286" s="39">
        <f>IF(Config!$B$1003&lt;&gt;"Y",0,IF(IFERROR(VLOOKUP(K286,Grinders!$A:$P,27,FALSE),0)&gt;=3,IF(OR(G286&gt;=Config!$B$1001,ISNUMBER(SEARCH(E286,Config!$B$1002))),1,0),0))</f>
        <v>0</v>
      </c>
      <c r="AP286" s="39">
        <f t="array" ref="AP286">IFERROR(IF(INDEX(Bids!$AE:$AE,MATCH(B286,Bids!$A:$A,0))="Pending",1,0),0)</f>
        <v>0</v>
      </c>
      <c r="AQ286" s="39" t="str">
        <f t="array" ref="AQ286">IF(C286="","",IFERROR(XLOOKUP(C286,Assignments!$C:$C,Assignments!$AU:$AU,0),0))</f>
        <v/>
      </c>
      <c r="AR286" s="39">
        <f>IF(AND(Config!$B$1006="Y",AQ286=1),Config!$B$1007,0)</f>
        <v>0</v>
      </c>
    </row>
    <row r="287" ht="15.75" customHeight="1">
      <c r="A287" s="46" t="str">
        <f t="shared" si="1"/>
        <v/>
      </c>
      <c r="B287" s="40" t="str">
        <f>IF(Bids!$A286="","",Bids!$A286)</f>
        <v/>
      </c>
      <c r="C287" s="40" t="str">
        <f>IF(Bids!$B286="","",Bids!$B286)</f>
        <v/>
      </c>
      <c r="D287" s="40" t="str">
        <f>IF($C287="","",IFERROR(VLOOKUP($C287,Orders!$A$4:$J$998,9,FALSE),""))</f>
        <v/>
      </c>
      <c r="E287" s="40" t="str">
        <f>IF($C287="","",IFERROR(VLOOKUP($C287,Orders!$A$4:$J$998,3,FALSE),""))</f>
        <v/>
      </c>
      <c r="F287" s="40">
        <f t="shared" si="2"/>
        <v>1</v>
      </c>
      <c r="G287" s="40" t="str">
        <f>IF($C287="","",IFERROR(VLOOKUP($C287,Orders!$A$4:$J$998,4,FALSE),""))</f>
        <v/>
      </c>
      <c r="H287" s="40" t="str">
        <f>IF($C287="","",IFERROR(VLOOKUP($C287,Orders!$A$4:$J$998,5,FALSE),""))</f>
        <v/>
      </c>
      <c r="I287" s="40" t="str">
        <f>IF($C287="","",IFERROR(VLOOKUP($C287,Orders!$A$4:$J$998,6,FALSE),""))</f>
        <v/>
      </c>
      <c r="J287" s="40" t="str">
        <f>IF($C287="","",IFERROR(VLOOKUP($C287,Orders!$A$4:$J$998,7,FALSE),""))</f>
        <v/>
      </c>
      <c r="K287" s="40" t="str">
        <f>IF(Bids!$C286="","",Bids!$C286)</f>
        <v/>
      </c>
      <c r="L287" s="40" t="str">
        <f>IF($K287="","",IFERROR(VLOOKUP($K287,Grinders!$A$4:$N$998,2,FALSE),""))</f>
        <v/>
      </c>
      <c r="M287" s="40" t="str">
        <f>IF($K287="","",IFERROR(VLOOKUP($K287,Grinders!$A$4:$N$998,3,FALSE),""))</f>
        <v/>
      </c>
      <c r="N287" s="40" t="str">
        <f>IF($K287="","",IFERROR(VLOOKUP($K287,Grinders!$A$4:$N$998,4,FALSE),""))</f>
        <v/>
      </c>
      <c r="O287" s="40" t="str">
        <f>IF($K287="","",IFERROR(VLOOKUP($K287,Grinders!$A$4:$N$998,5,FALSE),""))</f>
        <v/>
      </c>
      <c r="P287" s="40" t="str">
        <f>IF($K287="","",IF($C$4="",0,COUNTIFS(Assignments!$B$6:$B$1000,$K287,Assignments!$F$6:$F$1000,$C$4,Assignments!$E$6:$E$1000,"Active")))</f>
        <v/>
      </c>
      <c r="Q287" s="40" t="str">
        <f t="shared" si="3"/>
        <v/>
      </c>
      <c r="R287" s="40" t="str">
        <f t="shared" si="4"/>
        <v/>
      </c>
      <c r="S287" s="40" t="str">
        <f>IF($K287="","",IF($C$4="",0,COUNTIFS(Assignments!$B$6:$B$1000,$K287,Assignments!$F$6:$F$1000,$C$4,Assignments!$D$6:$D$1000,"&gt;="&amp;Config!$B$3-7,Assignments!$D$6:$D$1000,"&lt;="&amp;Config!$B$3)))</f>
        <v/>
      </c>
      <c r="T287" s="40" t="str">
        <f>IF($K287="","",IFERROR(VLOOKUP($K287,Grinders!$A$4:$N$998,8,FALSE),""))</f>
        <v/>
      </c>
      <c r="U287" s="40" t="str">
        <f>IFERROR(IF($K287="","",IF($M287="Elite",MAX(50,MIN(100,Config!$B$27*MAX(0,MIN(100,(1-IF($R287="",0,$R287))*100)) + Config!$B$28*MAX(0,MIN(100,(1-MIN(1,IF(Config!$B$30=0,1,$S287/Config!$B$30)))*100)) + Config!$B$29*MAX(0,MIN(100,MIN(1,IF($T287="",0,$T287)/Config!$B$23)*100)))),MIN(100,Config!$B$27*MAX(0,MIN(100,(1-IF($R287="",0,$R287))*100)) + Config!$B$28*MAX(0,MIN(100,(1-MIN(1,IF(Config!$B$30=0,1,$S287/Config!$B$30)))*100)) + Config!$B$29*MAX(0,MIN(100,MIN(1,IF($T287="",0,$T287)/Config!$B$23)*100))))),"")
</f>
        <v/>
      </c>
      <c r="V287" s="40" t="str">
        <f>IF(Bids!$AC287="","",Bids!$AC287)</f>
        <v/>
      </c>
      <c r="W287" s="40" t="str">
        <f>IF(Bids!$F286="","",Bids!$F286)</f>
        <v/>
      </c>
      <c r="X287" s="40" t="str">
        <f t="shared" si="5"/>
        <v/>
      </c>
      <c r="Y287" s="40" t="str">
        <f>IF($X287="","",IF(Config!$B$17=Config!$B$16,IF($X287&gt;=Config!$B$17,100,0),MAX(0,MIN(100,($X287-Config!$B$16)/(Config!$B$17-Config!$B$16)*100))))</f>
        <v/>
      </c>
      <c r="Z287" s="40">
        <f>IF($M287="Elite",Config!$B$21,0)</f>
        <v>0</v>
      </c>
      <c r="AA287" s="40" t="str">
        <f>IFERROR(IF(OR($W287="",$H287=""),"",IF($W287&gt;$H287,
  MAX(0, 60-(($W287-$H287)*24/Config!$B$19)*60),
  MIN(100, 60+(($H287-$W287)*24/Config!$B$20)*40)
)),"")
</f>
        <v/>
      </c>
      <c r="AB287" s="40" t="str">
        <f>IF($K287="","",IFERROR(VLOOKUP($K287,Grinders!$A$4:$N$998,10,FALSE)/5*100,""))</f>
        <v/>
      </c>
      <c r="AC287" s="40" t="str">
        <f>IF($K287="","",IFERROR(VLOOKUP($K287,Grinders!$A$4:$N$998,11,FALSE)*100,""))</f>
        <v/>
      </c>
      <c r="AD287" s="40" t="str">
        <f>IF($K287="","",IFERROR(VLOOKUP($K287,Grinders!$A$4:$N$998,12,FALSE)*100,""))</f>
        <v/>
      </c>
      <c r="AE287" s="40" t="str">
        <f>IF(OR(AO287=1,AP287=1),0,=IFERROR(IFS(
    OR($C287="", $K287=""), 0,
    $F287=0, 0,
    $D287&lt;&gt;"Open", 0,
    COUNTIFS(GrinderServices!$A$6:$A$1000, $K287, GrinderServices!$B$6:$B$1000, $E287, GrinderServices!$D$6:$D$1000, "Y")=0, 0,
    $X287&lt;Config!$B$16, 0,
    Config!$B$18=1, IF($O287&gt;=N287, 0, 1),
    TRUE, 1
), "")
)</f>
        <v>#ERROR!</v>
      </c>
      <c r="AF287" s="40" t="str">
        <f>IFERROR((IF(OR(AO287=1,AP287=1),"",=IFERROR((IFERROR(IF($AE287=0,"",((Config!$B$6*$Y287 + Config!$B$7*$U287 + Config!$B$8*$Z287 + Config!$B$9*$AA287 + Config!$B$10*$AB287 + Config!$B$11*$AC287 - Config!$B$12*$AD287)/Config!$B$13)+$AK287+$AL287),""))*(1-IFERROR(VLOOKUP(K287,Grinders!$A:$AB, 28, FALSE),0)),"")))*(1+AR287),"")</f>
        <v>#ERROR!</v>
      </c>
      <c r="AG287" s="40" t="str">
        <f t="shared" si="6"/>
        <v>#ERROR!</v>
      </c>
      <c r="AH287" s="40" t="str">
        <f t="shared" si="7"/>
        <v/>
      </c>
      <c r="AI287" s="40" t="str">
        <f t="shared" si="8"/>
        <v/>
      </c>
      <c r="AJ287" s="40" t="str">
        <f>IF($K287="","",COUNTIF(Assignments!$B$6:$B$1000,$K287))</f>
        <v/>
      </c>
      <c r="AK287" s="40" t="str">
        <f>IF($K287="","",IF(AND($AJ287=0,$O287&lt;$N287),Config!$B$43,0))</f>
        <v/>
      </c>
      <c r="AL287" s="40" t="str">
        <f>IF($K287="","",IF(AND($M287="Elite",$G287&gt;=Config!$B$41,$O287&lt;$N287),Config!$B$42,0))</f>
        <v/>
      </c>
      <c r="AM287" s="22"/>
      <c r="AN287" s="39">
        <f>IFERROR(VLOOKUP(K287,Grinders!$A:$Q,28,FALSE),0)</f>
        <v>0</v>
      </c>
      <c r="AO287" s="39">
        <f>IF(Config!$B$1003&lt;&gt;"Y",0,IF(IFERROR(VLOOKUP(K287,Grinders!$A:$P,27,FALSE),0)&gt;=3,IF(OR(G287&gt;=Config!$B$1001,ISNUMBER(SEARCH(E287,Config!$B$1002))),1,0),0))</f>
        <v>0</v>
      </c>
      <c r="AP287" s="39">
        <f t="array" ref="AP287">IFERROR(IF(INDEX(Bids!$AE:$AE,MATCH(B287,Bids!$A:$A,0))="Pending",1,0),0)</f>
        <v>0</v>
      </c>
      <c r="AQ287" s="39" t="str">
        <f t="array" ref="AQ287">IF(C287="","",IFERROR(XLOOKUP(C287,Assignments!$C:$C,Assignments!$AU:$AU,0),0))</f>
        <v/>
      </c>
      <c r="AR287" s="39">
        <f>IF(AND(Config!$B$1006="Y",AQ287=1),Config!$B$1007,0)</f>
        <v>0</v>
      </c>
    </row>
    <row r="288" ht="15.75" customHeight="1">
      <c r="A288" s="46" t="str">
        <f t="shared" si="1"/>
        <v/>
      </c>
      <c r="B288" s="40" t="str">
        <f>IF(Bids!$A287="","",Bids!$A287)</f>
        <v/>
      </c>
      <c r="C288" s="40" t="str">
        <f>IF(Bids!$B287="","",Bids!$B287)</f>
        <v/>
      </c>
      <c r="D288" s="40" t="str">
        <f>IF($C288="","",IFERROR(VLOOKUP($C288,Orders!$A$4:$J$998,9,FALSE),""))</f>
        <v/>
      </c>
      <c r="E288" s="40" t="str">
        <f>IF($C288="","",IFERROR(VLOOKUP($C288,Orders!$A$4:$J$998,3,FALSE),""))</f>
        <v/>
      </c>
      <c r="F288" s="40">
        <f t="shared" si="2"/>
        <v>1</v>
      </c>
      <c r="G288" s="40" t="str">
        <f>IF($C288="","",IFERROR(VLOOKUP($C288,Orders!$A$4:$J$998,4,FALSE),""))</f>
        <v/>
      </c>
      <c r="H288" s="40" t="str">
        <f>IF($C288="","",IFERROR(VLOOKUP($C288,Orders!$A$4:$J$998,5,FALSE),""))</f>
        <v/>
      </c>
      <c r="I288" s="40" t="str">
        <f>IF($C288="","",IFERROR(VLOOKUP($C288,Orders!$A$4:$J$998,6,FALSE),""))</f>
        <v/>
      </c>
      <c r="J288" s="40" t="str">
        <f>IF($C288="","",IFERROR(VLOOKUP($C288,Orders!$A$4:$J$998,7,FALSE),""))</f>
        <v/>
      </c>
      <c r="K288" s="40" t="str">
        <f>IF(Bids!$C287="","",Bids!$C287)</f>
        <v/>
      </c>
      <c r="L288" s="40" t="str">
        <f>IF($K288="","",IFERROR(VLOOKUP($K288,Grinders!$A$4:$N$998,2,FALSE),""))</f>
        <v/>
      </c>
      <c r="M288" s="40" t="str">
        <f>IF($K288="","",IFERROR(VLOOKUP($K288,Grinders!$A$4:$N$998,3,FALSE),""))</f>
        <v/>
      </c>
      <c r="N288" s="40" t="str">
        <f>IF($K288="","",IFERROR(VLOOKUP($K288,Grinders!$A$4:$N$998,4,FALSE),""))</f>
        <v/>
      </c>
      <c r="O288" s="40" t="str">
        <f>IF($K288="","",IFERROR(VLOOKUP($K288,Grinders!$A$4:$N$998,5,FALSE),""))</f>
        <v/>
      </c>
      <c r="P288" s="40" t="str">
        <f>IF($K288="","",IF($C$4="",0,COUNTIFS(Assignments!$B$6:$B$1000,$K288,Assignments!$F$6:$F$1000,$C$4,Assignments!$E$6:$E$1000,"Active")))</f>
        <v/>
      </c>
      <c r="Q288" s="40" t="str">
        <f t="shared" si="3"/>
        <v/>
      </c>
      <c r="R288" s="40" t="str">
        <f t="shared" si="4"/>
        <v/>
      </c>
      <c r="S288" s="40" t="str">
        <f>IF($K288="","",IF($C$4="",0,COUNTIFS(Assignments!$B$6:$B$1000,$K288,Assignments!$F$6:$F$1000,$C$4,Assignments!$D$6:$D$1000,"&gt;="&amp;Config!$B$3-7,Assignments!$D$6:$D$1000,"&lt;="&amp;Config!$B$3)))</f>
        <v/>
      </c>
      <c r="T288" s="40" t="str">
        <f>IF($K288="","",IFERROR(VLOOKUP($K288,Grinders!$A$4:$N$998,8,FALSE),""))</f>
        <v/>
      </c>
      <c r="U288" s="40" t="str">
        <f>IFERROR(IF($K288="","",IF($M288="Elite",MAX(50,MIN(100,Config!$B$27*MAX(0,MIN(100,(1-IF($R288="",0,$R288))*100)) + Config!$B$28*MAX(0,MIN(100,(1-MIN(1,IF(Config!$B$30=0,1,$S288/Config!$B$30)))*100)) + Config!$B$29*MAX(0,MIN(100,MIN(1,IF($T288="",0,$T288)/Config!$B$23)*100)))),MIN(100,Config!$B$27*MAX(0,MIN(100,(1-IF($R288="",0,$R288))*100)) + Config!$B$28*MAX(0,MIN(100,(1-MIN(1,IF(Config!$B$30=0,1,$S288/Config!$B$30)))*100)) + Config!$B$29*MAX(0,MIN(100,MIN(1,IF($T288="",0,$T288)/Config!$B$23)*100))))),"")
</f>
        <v/>
      </c>
      <c r="V288" s="40" t="str">
        <f>IF(Bids!$AC288="","",Bids!$AC288)</f>
        <v/>
      </c>
      <c r="W288" s="40" t="str">
        <f>IF(Bids!$F287="","",Bids!$F287)</f>
        <v/>
      </c>
      <c r="X288" s="40" t="str">
        <f t="shared" si="5"/>
        <v/>
      </c>
      <c r="Y288" s="40" t="str">
        <f>IF($X288="","",IF(Config!$B$17=Config!$B$16,IF($X288&gt;=Config!$B$17,100,0),MAX(0,MIN(100,($X288-Config!$B$16)/(Config!$B$17-Config!$B$16)*100))))</f>
        <v/>
      </c>
      <c r="Z288" s="40">
        <f>IF($M288="Elite",Config!$B$21,0)</f>
        <v>0</v>
      </c>
      <c r="AA288" s="40" t="str">
        <f>IFERROR(IF(OR($W288="",$H288=""),"",IF($W288&gt;$H288,
  MAX(0, 60-(($W288-$H288)*24/Config!$B$19)*60),
  MIN(100, 60+(($H288-$W288)*24/Config!$B$20)*40)
)),"")
</f>
        <v/>
      </c>
      <c r="AB288" s="40" t="str">
        <f>IF($K288="","",IFERROR(VLOOKUP($K288,Grinders!$A$4:$N$998,10,FALSE)/5*100,""))</f>
        <v/>
      </c>
      <c r="AC288" s="40" t="str">
        <f>IF($K288="","",IFERROR(VLOOKUP($K288,Grinders!$A$4:$N$998,11,FALSE)*100,""))</f>
        <v/>
      </c>
      <c r="AD288" s="40" t="str">
        <f>IF($K288="","",IFERROR(VLOOKUP($K288,Grinders!$A$4:$N$998,12,FALSE)*100,""))</f>
        <v/>
      </c>
      <c r="AE288" s="40" t="str">
        <f>IF(OR(AO288=1,AP288=1),0,=IFERROR(IFS(
    OR($C288="", $K288=""), 0,
    $F288=0, 0,
    $D288&lt;&gt;"Open", 0,
    COUNTIFS(GrinderServices!$A$6:$A$1000, $K288, GrinderServices!$B$6:$B$1000, $E288, GrinderServices!$D$6:$D$1000, "Y")=0, 0,
    $X288&lt;Config!$B$16, 0,
    Config!$B$18=1, IF($O288&gt;=N288, 0, 1),
    TRUE, 1
), "")
)</f>
        <v>#ERROR!</v>
      </c>
      <c r="AF288" s="40" t="str">
        <f>IFERROR((IF(OR(AO288=1,AP288=1),"",=IFERROR((IFERROR(IF($AE288=0,"",((Config!$B$6*$Y288 + Config!$B$7*$U288 + Config!$B$8*$Z288 + Config!$B$9*$AA288 + Config!$B$10*$AB288 + Config!$B$11*$AC288 - Config!$B$12*$AD288)/Config!$B$13)+$AK288+$AL288),""))*(1-IFERROR(VLOOKUP(K288,Grinders!$A:$AB, 28, FALSE),0)),"")))*(1+AR288),"")</f>
        <v>#ERROR!</v>
      </c>
      <c r="AG288" s="40" t="str">
        <f t="shared" si="6"/>
        <v>#ERROR!</v>
      </c>
      <c r="AH288" s="40" t="str">
        <f t="shared" si="7"/>
        <v/>
      </c>
      <c r="AI288" s="40" t="str">
        <f t="shared" si="8"/>
        <v/>
      </c>
      <c r="AJ288" s="40" t="str">
        <f>IF($K288="","",COUNTIF(Assignments!$B$6:$B$1000,$K288))</f>
        <v/>
      </c>
      <c r="AK288" s="40" t="str">
        <f>IF($K288="","",IF(AND($AJ288=0,$O288&lt;$N288),Config!$B$43,0))</f>
        <v/>
      </c>
      <c r="AL288" s="40" t="str">
        <f>IF($K288="","",IF(AND($M288="Elite",$G288&gt;=Config!$B$41,$O288&lt;$N288),Config!$B$42,0))</f>
        <v/>
      </c>
      <c r="AM288" s="22"/>
      <c r="AN288" s="39">
        <f>IFERROR(VLOOKUP(K288,Grinders!$A:$Q,28,FALSE),0)</f>
        <v>0</v>
      </c>
      <c r="AO288" s="39">
        <f>IF(Config!$B$1003&lt;&gt;"Y",0,IF(IFERROR(VLOOKUP(K288,Grinders!$A:$P,27,FALSE),0)&gt;=3,IF(OR(G288&gt;=Config!$B$1001,ISNUMBER(SEARCH(E288,Config!$B$1002))),1,0),0))</f>
        <v>0</v>
      </c>
      <c r="AP288" s="39">
        <f t="array" ref="AP288">IFERROR(IF(INDEX(Bids!$AE:$AE,MATCH(B288,Bids!$A:$A,0))="Pending",1,0),0)</f>
        <v>0</v>
      </c>
      <c r="AQ288" s="39" t="str">
        <f t="array" ref="AQ288">IF(C288="","",IFERROR(XLOOKUP(C288,Assignments!$C:$C,Assignments!$AU:$AU,0),0))</f>
        <v/>
      </c>
      <c r="AR288" s="39">
        <f>IF(AND(Config!$B$1006="Y",AQ288=1),Config!$B$1007,0)</f>
        <v>0</v>
      </c>
    </row>
    <row r="289" ht="15.75" customHeight="1">
      <c r="A289" s="46" t="str">
        <f t="shared" si="1"/>
        <v/>
      </c>
      <c r="B289" s="40" t="str">
        <f>IF(Bids!$A288="","",Bids!$A288)</f>
        <v/>
      </c>
      <c r="C289" s="40" t="str">
        <f>IF(Bids!$B288="","",Bids!$B288)</f>
        <v/>
      </c>
      <c r="D289" s="40" t="str">
        <f>IF($C289="","",IFERROR(VLOOKUP($C289,Orders!$A$4:$J$998,9,FALSE),""))</f>
        <v/>
      </c>
      <c r="E289" s="40" t="str">
        <f>IF($C289="","",IFERROR(VLOOKUP($C289,Orders!$A$4:$J$998,3,FALSE),""))</f>
        <v/>
      </c>
      <c r="F289" s="40">
        <f t="shared" si="2"/>
        <v>1</v>
      </c>
      <c r="G289" s="40" t="str">
        <f>IF($C289="","",IFERROR(VLOOKUP($C289,Orders!$A$4:$J$998,4,FALSE),""))</f>
        <v/>
      </c>
      <c r="H289" s="40" t="str">
        <f>IF($C289="","",IFERROR(VLOOKUP($C289,Orders!$A$4:$J$998,5,FALSE),""))</f>
        <v/>
      </c>
      <c r="I289" s="40" t="str">
        <f>IF($C289="","",IFERROR(VLOOKUP($C289,Orders!$A$4:$J$998,6,FALSE),""))</f>
        <v/>
      </c>
      <c r="J289" s="40" t="str">
        <f>IF($C289="","",IFERROR(VLOOKUP($C289,Orders!$A$4:$J$998,7,FALSE),""))</f>
        <v/>
      </c>
      <c r="K289" s="40" t="str">
        <f>IF(Bids!$C288="","",Bids!$C288)</f>
        <v/>
      </c>
      <c r="L289" s="40" t="str">
        <f>IF($K289="","",IFERROR(VLOOKUP($K289,Grinders!$A$4:$N$998,2,FALSE),""))</f>
        <v/>
      </c>
      <c r="M289" s="40" t="str">
        <f>IF($K289="","",IFERROR(VLOOKUP($K289,Grinders!$A$4:$N$998,3,FALSE),""))</f>
        <v/>
      </c>
      <c r="N289" s="40" t="str">
        <f>IF($K289="","",IFERROR(VLOOKUP($K289,Grinders!$A$4:$N$998,4,FALSE),""))</f>
        <v/>
      </c>
      <c r="O289" s="40" t="str">
        <f>IF($K289="","",IFERROR(VLOOKUP($K289,Grinders!$A$4:$N$998,5,FALSE),""))</f>
        <v/>
      </c>
      <c r="P289" s="40" t="str">
        <f>IF($K289="","",IF($C$4="",0,COUNTIFS(Assignments!$B$6:$B$1000,$K289,Assignments!$F$6:$F$1000,$C$4,Assignments!$E$6:$E$1000,"Active")))</f>
        <v/>
      </c>
      <c r="Q289" s="40" t="str">
        <f t="shared" si="3"/>
        <v/>
      </c>
      <c r="R289" s="40" t="str">
        <f t="shared" si="4"/>
        <v/>
      </c>
      <c r="S289" s="40" t="str">
        <f>IF($K289="","",IF($C$4="",0,COUNTIFS(Assignments!$B$6:$B$1000,$K289,Assignments!$F$6:$F$1000,$C$4,Assignments!$D$6:$D$1000,"&gt;="&amp;Config!$B$3-7,Assignments!$D$6:$D$1000,"&lt;="&amp;Config!$B$3)))</f>
        <v/>
      </c>
      <c r="T289" s="40" t="str">
        <f>IF($K289="","",IFERROR(VLOOKUP($K289,Grinders!$A$4:$N$998,8,FALSE),""))</f>
        <v/>
      </c>
      <c r="U289" s="40" t="str">
        <f>IFERROR(IF($K289="","",IF($M289="Elite",MAX(50,MIN(100,Config!$B$27*MAX(0,MIN(100,(1-IF($R289="",0,$R289))*100)) + Config!$B$28*MAX(0,MIN(100,(1-MIN(1,IF(Config!$B$30=0,1,$S289/Config!$B$30)))*100)) + Config!$B$29*MAX(0,MIN(100,MIN(1,IF($T289="",0,$T289)/Config!$B$23)*100)))),MIN(100,Config!$B$27*MAX(0,MIN(100,(1-IF($R289="",0,$R289))*100)) + Config!$B$28*MAX(0,MIN(100,(1-MIN(1,IF(Config!$B$30=0,1,$S289/Config!$B$30)))*100)) + Config!$B$29*MAX(0,MIN(100,MIN(1,IF($T289="",0,$T289)/Config!$B$23)*100))))),"")
</f>
        <v/>
      </c>
      <c r="V289" s="40" t="str">
        <f>IF(Bids!$AC289="","",Bids!$AC289)</f>
        <v/>
      </c>
      <c r="W289" s="40" t="str">
        <f>IF(Bids!$F288="","",Bids!$F288)</f>
        <v/>
      </c>
      <c r="X289" s="40" t="str">
        <f t="shared" si="5"/>
        <v/>
      </c>
      <c r="Y289" s="40" t="str">
        <f>IF($X289="","",IF(Config!$B$17=Config!$B$16,IF($X289&gt;=Config!$B$17,100,0),MAX(0,MIN(100,($X289-Config!$B$16)/(Config!$B$17-Config!$B$16)*100))))</f>
        <v/>
      </c>
      <c r="Z289" s="40">
        <f>IF($M289="Elite",Config!$B$21,0)</f>
        <v>0</v>
      </c>
      <c r="AA289" s="40" t="str">
        <f>IFERROR(IF(OR($W289="",$H289=""),"",IF($W289&gt;$H289,
  MAX(0, 60-(($W289-$H289)*24/Config!$B$19)*60),
  MIN(100, 60+(($H289-$W289)*24/Config!$B$20)*40)
)),"")
</f>
        <v/>
      </c>
      <c r="AB289" s="40" t="str">
        <f>IF($K289="","",IFERROR(VLOOKUP($K289,Grinders!$A$4:$N$998,10,FALSE)/5*100,""))</f>
        <v/>
      </c>
      <c r="AC289" s="40" t="str">
        <f>IF($K289="","",IFERROR(VLOOKUP($K289,Grinders!$A$4:$N$998,11,FALSE)*100,""))</f>
        <v/>
      </c>
      <c r="AD289" s="40" t="str">
        <f>IF($K289="","",IFERROR(VLOOKUP($K289,Grinders!$A$4:$N$998,12,FALSE)*100,""))</f>
        <v/>
      </c>
      <c r="AE289" s="40" t="str">
        <f>IF(OR(AO289=1,AP289=1),0,=IFERROR(IFS(
    OR($C289="", $K289=""), 0,
    $F289=0, 0,
    $D289&lt;&gt;"Open", 0,
    COUNTIFS(GrinderServices!$A$6:$A$1000, $K289, GrinderServices!$B$6:$B$1000, $E289, GrinderServices!$D$6:$D$1000, "Y")=0, 0,
    $X289&lt;Config!$B$16, 0,
    Config!$B$18=1, IF($O289&gt;=N289, 0, 1),
    TRUE, 1
), "")
)</f>
        <v>#ERROR!</v>
      </c>
      <c r="AF289" s="40" t="str">
        <f>IFERROR((IF(OR(AO289=1,AP289=1),"",=IFERROR((IFERROR(IF($AE289=0,"",((Config!$B$6*$Y289 + Config!$B$7*$U289 + Config!$B$8*$Z289 + Config!$B$9*$AA289 + Config!$B$10*$AB289 + Config!$B$11*$AC289 - Config!$B$12*$AD289)/Config!$B$13)+$AK289+$AL289),""))*(1-IFERROR(VLOOKUP(K289,Grinders!$A:$AB, 28, FALSE),0)),"")))*(1+AR289),"")</f>
        <v>#ERROR!</v>
      </c>
      <c r="AG289" s="40" t="str">
        <f t="shared" si="6"/>
        <v>#ERROR!</v>
      </c>
      <c r="AH289" s="40" t="str">
        <f t="shared" si="7"/>
        <v/>
      </c>
      <c r="AI289" s="40" t="str">
        <f t="shared" si="8"/>
        <v/>
      </c>
      <c r="AJ289" s="40" t="str">
        <f>IF($K289="","",COUNTIF(Assignments!$B$6:$B$1000,$K289))</f>
        <v/>
      </c>
      <c r="AK289" s="40" t="str">
        <f>IF($K289="","",IF(AND($AJ289=0,$O289&lt;$N289),Config!$B$43,0))</f>
        <v/>
      </c>
      <c r="AL289" s="40" t="str">
        <f>IF($K289="","",IF(AND($M289="Elite",$G289&gt;=Config!$B$41,$O289&lt;$N289),Config!$B$42,0))</f>
        <v/>
      </c>
      <c r="AM289" s="22"/>
      <c r="AN289" s="39">
        <f>IFERROR(VLOOKUP(K289,Grinders!$A:$Q,28,FALSE),0)</f>
        <v>0</v>
      </c>
      <c r="AO289" s="39">
        <f>IF(Config!$B$1003&lt;&gt;"Y",0,IF(IFERROR(VLOOKUP(K289,Grinders!$A:$P,27,FALSE),0)&gt;=3,IF(OR(G289&gt;=Config!$B$1001,ISNUMBER(SEARCH(E289,Config!$B$1002))),1,0),0))</f>
        <v>0</v>
      </c>
      <c r="AP289" s="39">
        <f t="array" ref="AP289">IFERROR(IF(INDEX(Bids!$AE:$AE,MATCH(B289,Bids!$A:$A,0))="Pending",1,0),0)</f>
        <v>0</v>
      </c>
      <c r="AQ289" s="39" t="str">
        <f t="array" ref="AQ289">IF(C289="","",IFERROR(XLOOKUP(C289,Assignments!$C:$C,Assignments!$AU:$AU,0),0))</f>
        <v/>
      </c>
      <c r="AR289" s="39">
        <f>IF(AND(Config!$B$1006="Y",AQ289=1),Config!$B$1007,0)</f>
        <v>0</v>
      </c>
    </row>
    <row r="290" ht="15.75" customHeight="1">
      <c r="A290" s="46" t="str">
        <f t="shared" si="1"/>
        <v/>
      </c>
      <c r="B290" s="40" t="str">
        <f>IF(Bids!$A289="","",Bids!$A289)</f>
        <v/>
      </c>
      <c r="C290" s="40" t="str">
        <f>IF(Bids!$B289="","",Bids!$B289)</f>
        <v/>
      </c>
      <c r="D290" s="40" t="str">
        <f>IF($C290="","",IFERROR(VLOOKUP($C290,Orders!$A$4:$J$998,9,FALSE),""))</f>
        <v/>
      </c>
      <c r="E290" s="40" t="str">
        <f>IF($C290="","",IFERROR(VLOOKUP($C290,Orders!$A$4:$J$998,3,FALSE),""))</f>
        <v/>
      </c>
      <c r="F290" s="40">
        <f t="shared" si="2"/>
        <v>1</v>
      </c>
      <c r="G290" s="40" t="str">
        <f>IF($C290="","",IFERROR(VLOOKUP($C290,Orders!$A$4:$J$998,4,FALSE),""))</f>
        <v/>
      </c>
      <c r="H290" s="40" t="str">
        <f>IF($C290="","",IFERROR(VLOOKUP($C290,Orders!$A$4:$J$998,5,FALSE),""))</f>
        <v/>
      </c>
      <c r="I290" s="40" t="str">
        <f>IF($C290="","",IFERROR(VLOOKUP($C290,Orders!$A$4:$J$998,6,FALSE),""))</f>
        <v/>
      </c>
      <c r="J290" s="40" t="str">
        <f>IF($C290="","",IFERROR(VLOOKUP($C290,Orders!$A$4:$J$998,7,FALSE),""))</f>
        <v/>
      </c>
      <c r="K290" s="40" t="str">
        <f>IF(Bids!$C289="","",Bids!$C289)</f>
        <v/>
      </c>
      <c r="L290" s="40" t="str">
        <f>IF($K290="","",IFERROR(VLOOKUP($K290,Grinders!$A$4:$N$998,2,FALSE),""))</f>
        <v/>
      </c>
      <c r="M290" s="40" t="str">
        <f>IF($K290="","",IFERROR(VLOOKUP($K290,Grinders!$A$4:$N$998,3,FALSE),""))</f>
        <v/>
      </c>
      <c r="N290" s="40" t="str">
        <f>IF($K290="","",IFERROR(VLOOKUP($K290,Grinders!$A$4:$N$998,4,FALSE),""))</f>
        <v/>
      </c>
      <c r="O290" s="40" t="str">
        <f>IF($K290="","",IFERROR(VLOOKUP($K290,Grinders!$A$4:$N$998,5,FALSE),""))</f>
        <v/>
      </c>
      <c r="P290" s="40" t="str">
        <f>IF($K290="","",IF($C$4="",0,COUNTIFS(Assignments!$B$6:$B$1000,$K290,Assignments!$F$6:$F$1000,$C$4,Assignments!$E$6:$E$1000,"Active")))</f>
        <v/>
      </c>
      <c r="Q290" s="40" t="str">
        <f t="shared" si="3"/>
        <v/>
      </c>
      <c r="R290" s="40" t="str">
        <f t="shared" si="4"/>
        <v/>
      </c>
      <c r="S290" s="40" t="str">
        <f>IF($K290="","",IF($C$4="",0,COUNTIFS(Assignments!$B$6:$B$1000,$K290,Assignments!$F$6:$F$1000,$C$4,Assignments!$D$6:$D$1000,"&gt;="&amp;Config!$B$3-7,Assignments!$D$6:$D$1000,"&lt;="&amp;Config!$B$3)))</f>
        <v/>
      </c>
      <c r="T290" s="40" t="str">
        <f>IF($K290="","",IFERROR(VLOOKUP($K290,Grinders!$A$4:$N$998,8,FALSE),""))</f>
        <v/>
      </c>
      <c r="U290" s="40" t="str">
        <f>IFERROR(IF($K290="","",IF($M290="Elite",MAX(50,MIN(100,Config!$B$27*MAX(0,MIN(100,(1-IF($R290="",0,$R290))*100)) + Config!$B$28*MAX(0,MIN(100,(1-MIN(1,IF(Config!$B$30=0,1,$S290/Config!$B$30)))*100)) + Config!$B$29*MAX(0,MIN(100,MIN(1,IF($T290="",0,$T290)/Config!$B$23)*100)))),MIN(100,Config!$B$27*MAX(0,MIN(100,(1-IF($R290="",0,$R290))*100)) + Config!$B$28*MAX(0,MIN(100,(1-MIN(1,IF(Config!$B$30=0,1,$S290/Config!$B$30)))*100)) + Config!$B$29*MAX(0,MIN(100,MIN(1,IF($T290="",0,$T290)/Config!$B$23)*100))))),"")
</f>
        <v/>
      </c>
      <c r="V290" s="40" t="str">
        <f>IF(Bids!$AC290="","",Bids!$AC290)</f>
        <v/>
      </c>
      <c r="W290" s="40" t="str">
        <f>IF(Bids!$F289="","",Bids!$F289)</f>
        <v/>
      </c>
      <c r="X290" s="40" t="str">
        <f t="shared" si="5"/>
        <v/>
      </c>
      <c r="Y290" s="40" t="str">
        <f>IF($X290="","",IF(Config!$B$17=Config!$B$16,IF($X290&gt;=Config!$B$17,100,0),MAX(0,MIN(100,($X290-Config!$B$16)/(Config!$B$17-Config!$B$16)*100))))</f>
        <v/>
      </c>
      <c r="Z290" s="40">
        <f>IF($M290="Elite",Config!$B$21,0)</f>
        <v>0</v>
      </c>
      <c r="AA290" s="40" t="str">
        <f>IFERROR(IF(OR($W290="",$H290=""),"",IF($W290&gt;$H290,
  MAX(0, 60-(($W290-$H290)*24/Config!$B$19)*60),
  MIN(100, 60+(($H290-$W290)*24/Config!$B$20)*40)
)),"")
</f>
        <v/>
      </c>
      <c r="AB290" s="40" t="str">
        <f>IF($K290="","",IFERROR(VLOOKUP($K290,Grinders!$A$4:$N$998,10,FALSE)/5*100,""))</f>
        <v/>
      </c>
      <c r="AC290" s="40" t="str">
        <f>IF($K290="","",IFERROR(VLOOKUP($K290,Grinders!$A$4:$N$998,11,FALSE)*100,""))</f>
        <v/>
      </c>
      <c r="AD290" s="40" t="str">
        <f>IF($K290="","",IFERROR(VLOOKUP($K290,Grinders!$A$4:$N$998,12,FALSE)*100,""))</f>
        <v/>
      </c>
      <c r="AE290" s="40" t="str">
        <f>IF(OR(AO290=1,AP290=1),0,=IFERROR(IFS(
    OR($C290="", $K290=""), 0,
    $F290=0, 0,
    $D290&lt;&gt;"Open", 0,
    COUNTIFS(GrinderServices!$A$6:$A$1000, $K290, GrinderServices!$B$6:$B$1000, $E290, GrinderServices!$D$6:$D$1000, "Y")=0, 0,
    $X290&lt;Config!$B$16, 0,
    Config!$B$18=1, IF($O290&gt;=N290, 0, 1),
    TRUE, 1
), "")
)</f>
        <v>#ERROR!</v>
      </c>
      <c r="AF290" s="40" t="str">
        <f>IFERROR((IF(OR(AO290=1,AP290=1),"",=IFERROR((IFERROR(IF($AE290=0,"",((Config!$B$6*$Y290 + Config!$B$7*$U290 + Config!$B$8*$Z290 + Config!$B$9*$AA290 + Config!$B$10*$AB290 + Config!$B$11*$AC290 - Config!$B$12*$AD290)/Config!$B$13)+$AK290+$AL290),""))*(1-IFERROR(VLOOKUP(K290,Grinders!$A:$AB, 28, FALSE),0)),"")))*(1+AR290),"")</f>
        <v>#ERROR!</v>
      </c>
      <c r="AG290" s="40" t="str">
        <f t="shared" si="6"/>
        <v>#ERROR!</v>
      </c>
      <c r="AH290" s="40" t="str">
        <f t="shared" si="7"/>
        <v/>
      </c>
      <c r="AI290" s="40" t="str">
        <f t="shared" si="8"/>
        <v/>
      </c>
      <c r="AJ290" s="40" t="str">
        <f>IF($K290="","",COUNTIF(Assignments!$B$6:$B$1000,$K290))</f>
        <v/>
      </c>
      <c r="AK290" s="40" t="str">
        <f>IF($K290="","",IF(AND($AJ290=0,$O290&lt;$N290),Config!$B$43,0))</f>
        <v/>
      </c>
      <c r="AL290" s="40" t="str">
        <f>IF($K290="","",IF(AND($M290="Elite",$G290&gt;=Config!$B$41,$O290&lt;$N290),Config!$B$42,0))</f>
        <v/>
      </c>
      <c r="AM290" s="22"/>
      <c r="AN290" s="39">
        <f>IFERROR(VLOOKUP(K290,Grinders!$A:$Q,28,FALSE),0)</f>
        <v>0</v>
      </c>
      <c r="AO290" s="39">
        <f>IF(Config!$B$1003&lt;&gt;"Y",0,IF(IFERROR(VLOOKUP(K290,Grinders!$A:$P,27,FALSE),0)&gt;=3,IF(OR(G290&gt;=Config!$B$1001,ISNUMBER(SEARCH(E290,Config!$B$1002))),1,0),0))</f>
        <v>0</v>
      </c>
      <c r="AP290" s="39">
        <f t="array" ref="AP290">IFERROR(IF(INDEX(Bids!$AE:$AE,MATCH(B290,Bids!$A:$A,0))="Pending",1,0),0)</f>
        <v>0</v>
      </c>
      <c r="AQ290" s="39" t="str">
        <f t="array" ref="AQ290">IF(C290="","",IFERROR(XLOOKUP(C290,Assignments!$C:$C,Assignments!$AU:$AU,0),0))</f>
        <v/>
      </c>
      <c r="AR290" s="39">
        <f>IF(AND(Config!$B$1006="Y",AQ290=1),Config!$B$1007,0)</f>
        <v>0</v>
      </c>
    </row>
    <row r="291" ht="15.75" customHeight="1">
      <c r="A291" s="46" t="str">
        <f t="shared" si="1"/>
        <v/>
      </c>
      <c r="B291" s="40" t="str">
        <f>IF(Bids!$A290="","",Bids!$A290)</f>
        <v/>
      </c>
      <c r="C291" s="40" t="str">
        <f>IF(Bids!$B290="","",Bids!$B290)</f>
        <v/>
      </c>
      <c r="D291" s="40" t="str">
        <f>IF($C291="","",IFERROR(VLOOKUP($C291,Orders!$A$4:$J$998,9,FALSE),""))</f>
        <v/>
      </c>
      <c r="E291" s="40" t="str">
        <f>IF($C291="","",IFERROR(VLOOKUP($C291,Orders!$A$4:$J$998,3,FALSE),""))</f>
        <v/>
      </c>
      <c r="F291" s="40">
        <f t="shared" si="2"/>
        <v>1</v>
      </c>
      <c r="G291" s="40" t="str">
        <f>IF($C291="","",IFERROR(VLOOKUP($C291,Orders!$A$4:$J$998,4,FALSE),""))</f>
        <v/>
      </c>
      <c r="H291" s="40" t="str">
        <f>IF($C291="","",IFERROR(VLOOKUP($C291,Orders!$A$4:$J$998,5,FALSE),""))</f>
        <v/>
      </c>
      <c r="I291" s="40" t="str">
        <f>IF($C291="","",IFERROR(VLOOKUP($C291,Orders!$A$4:$J$998,6,FALSE),""))</f>
        <v/>
      </c>
      <c r="J291" s="40" t="str">
        <f>IF($C291="","",IFERROR(VLOOKUP($C291,Orders!$A$4:$J$998,7,FALSE),""))</f>
        <v/>
      </c>
      <c r="K291" s="40" t="str">
        <f>IF(Bids!$C290="","",Bids!$C290)</f>
        <v/>
      </c>
      <c r="L291" s="40" t="str">
        <f>IF($K291="","",IFERROR(VLOOKUP($K291,Grinders!$A$4:$N$998,2,FALSE),""))</f>
        <v/>
      </c>
      <c r="M291" s="40" t="str">
        <f>IF($K291="","",IFERROR(VLOOKUP($K291,Grinders!$A$4:$N$998,3,FALSE),""))</f>
        <v/>
      </c>
      <c r="N291" s="40" t="str">
        <f>IF($K291="","",IFERROR(VLOOKUP($K291,Grinders!$A$4:$N$998,4,FALSE),""))</f>
        <v/>
      </c>
      <c r="O291" s="40" t="str">
        <f>IF($K291="","",IFERROR(VLOOKUP($K291,Grinders!$A$4:$N$998,5,FALSE),""))</f>
        <v/>
      </c>
      <c r="P291" s="40" t="str">
        <f>IF($K291="","",IF($C$4="",0,COUNTIFS(Assignments!$B$6:$B$1000,$K291,Assignments!$F$6:$F$1000,$C$4,Assignments!$E$6:$E$1000,"Active")))</f>
        <v/>
      </c>
      <c r="Q291" s="40" t="str">
        <f t="shared" si="3"/>
        <v/>
      </c>
      <c r="R291" s="40" t="str">
        <f t="shared" si="4"/>
        <v/>
      </c>
      <c r="S291" s="40" t="str">
        <f>IF($K291="","",IF($C$4="",0,COUNTIFS(Assignments!$B$6:$B$1000,$K291,Assignments!$F$6:$F$1000,$C$4,Assignments!$D$6:$D$1000,"&gt;="&amp;Config!$B$3-7,Assignments!$D$6:$D$1000,"&lt;="&amp;Config!$B$3)))</f>
        <v/>
      </c>
      <c r="T291" s="40" t="str">
        <f>IF($K291="","",IFERROR(VLOOKUP($K291,Grinders!$A$4:$N$998,8,FALSE),""))</f>
        <v/>
      </c>
      <c r="U291" s="40" t="str">
        <f>IFERROR(IF($K291="","",IF($M291="Elite",MAX(50,MIN(100,Config!$B$27*MAX(0,MIN(100,(1-IF($R291="",0,$R291))*100)) + Config!$B$28*MAX(0,MIN(100,(1-MIN(1,IF(Config!$B$30=0,1,$S291/Config!$B$30)))*100)) + Config!$B$29*MAX(0,MIN(100,MIN(1,IF($T291="",0,$T291)/Config!$B$23)*100)))),MIN(100,Config!$B$27*MAX(0,MIN(100,(1-IF($R291="",0,$R291))*100)) + Config!$B$28*MAX(0,MIN(100,(1-MIN(1,IF(Config!$B$30=0,1,$S291/Config!$B$30)))*100)) + Config!$B$29*MAX(0,MIN(100,MIN(1,IF($T291="",0,$T291)/Config!$B$23)*100))))),"")
</f>
        <v/>
      </c>
      <c r="V291" s="40" t="str">
        <f>IF(Bids!$AC291="","",Bids!$AC291)</f>
        <v/>
      </c>
      <c r="W291" s="40" t="str">
        <f>IF(Bids!$F290="","",Bids!$F290)</f>
        <v/>
      </c>
      <c r="X291" s="40" t="str">
        <f t="shared" si="5"/>
        <v/>
      </c>
      <c r="Y291" s="40" t="str">
        <f>IF($X291="","",IF(Config!$B$17=Config!$B$16,IF($X291&gt;=Config!$B$17,100,0),MAX(0,MIN(100,($X291-Config!$B$16)/(Config!$B$17-Config!$B$16)*100))))</f>
        <v/>
      </c>
      <c r="Z291" s="40">
        <f>IF($M291="Elite",Config!$B$21,0)</f>
        <v>0</v>
      </c>
      <c r="AA291" s="40" t="str">
        <f>IFERROR(IF(OR($W291="",$H291=""),"",IF($W291&gt;$H291,
  MAX(0, 60-(($W291-$H291)*24/Config!$B$19)*60),
  MIN(100, 60+(($H291-$W291)*24/Config!$B$20)*40)
)),"")
</f>
        <v/>
      </c>
      <c r="AB291" s="40" t="str">
        <f>IF($K291="","",IFERROR(VLOOKUP($K291,Grinders!$A$4:$N$998,10,FALSE)/5*100,""))</f>
        <v/>
      </c>
      <c r="AC291" s="40" t="str">
        <f>IF($K291="","",IFERROR(VLOOKUP($K291,Grinders!$A$4:$N$998,11,FALSE)*100,""))</f>
        <v/>
      </c>
      <c r="AD291" s="40" t="str">
        <f>IF($K291="","",IFERROR(VLOOKUP($K291,Grinders!$A$4:$N$998,12,FALSE)*100,""))</f>
        <v/>
      </c>
      <c r="AE291" s="40" t="str">
        <f>IF(OR(AO291=1,AP291=1),0,=IFERROR(IFS(
    OR($C291="", $K291=""), 0,
    $F291=0, 0,
    $D291&lt;&gt;"Open", 0,
    COUNTIFS(GrinderServices!$A$6:$A$1000, $K291, GrinderServices!$B$6:$B$1000, $E291, GrinderServices!$D$6:$D$1000, "Y")=0, 0,
    $X291&lt;Config!$B$16, 0,
    Config!$B$18=1, IF($O291&gt;=N291, 0, 1),
    TRUE, 1
), "")
)</f>
        <v>#ERROR!</v>
      </c>
      <c r="AF291" s="40" t="str">
        <f>IFERROR((IF(OR(AO291=1,AP291=1),"",=IFERROR((IFERROR(IF($AE291=0,"",((Config!$B$6*$Y291 + Config!$B$7*$U291 + Config!$B$8*$Z291 + Config!$B$9*$AA291 + Config!$B$10*$AB291 + Config!$B$11*$AC291 - Config!$B$12*$AD291)/Config!$B$13)+$AK291+$AL291),""))*(1-IFERROR(VLOOKUP(K291,Grinders!$A:$AB, 28, FALSE),0)),"")))*(1+AR291),"")</f>
        <v>#ERROR!</v>
      </c>
      <c r="AG291" s="40" t="str">
        <f t="shared" si="6"/>
        <v>#ERROR!</v>
      </c>
      <c r="AH291" s="40" t="str">
        <f t="shared" si="7"/>
        <v/>
      </c>
      <c r="AI291" s="40" t="str">
        <f t="shared" si="8"/>
        <v/>
      </c>
      <c r="AJ291" s="40" t="str">
        <f>IF($K291="","",COUNTIF(Assignments!$B$6:$B$1000,$K291))</f>
        <v/>
      </c>
      <c r="AK291" s="40" t="str">
        <f>IF($K291="","",IF(AND($AJ291=0,$O291&lt;$N291),Config!$B$43,0))</f>
        <v/>
      </c>
      <c r="AL291" s="40" t="str">
        <f>IF($K291="","",IF(AND($M291="Elite",$G291&gt;=Config!$B$41,$O291&lt;$N291),Config!$B$42,0))</f>
        <v/>
      </c>
      <c r="AM291" s="22"/>
      <c r="AN291" s="39">
        <f>IFERROR(VLOOKUP(K291,Grinders!$A:$Q,28,FALSE),0)</f>
        <v>0</v>
      </c>
      <c r="AO291" s="39">
        <f>IF(Config!$B$1003&lt;&gt;"Y",0,IF(IFERROR(VLOOKUP(K291,Grinders!$A:$P,27,FALSE),0)&gt;=3,IF(OR(G291&gt;=Config!$B$1001,ISNUMBER(SEARCH(E291,Config!$B$1002))),1,0),0))</f>
        <v>0</v>
      </c>
      <c r="AP291" s="39">
        <f t="array" ref="AP291">IFERROR(IF(INDEX(Bids!$AE:$AE,MATCH(B291,Bids!$A:$A,0))="Pending",1,0),0)</f>
        <v>0</v>
      </c>
      <c r="AQ291" s="39" t="str">
        <f t="array" ref="AQ291">IF(C291="","",IFERROR(XLOOKUP(C291,Assignments!$C:$C,Assignments!$AU:$AU,0),0))</f>
        <v/>
      </c>
      <c r="AR291" s="39">
        <f>IF(AND(Config!$B$1006="Y",AQ291=1),Config!$B$1007,0)</f>
        <v>0</v>
      </c>
    </row>
    <row r="292" ht="15.75" customHeight="1">
      <c r="A292" s="46" t="str">
        <f t="shared" si="1"/>
        <v/>
      </c>
      <c r="B292" s="40" t="str">
        <f>IF(Bids!$A291="","",Bids!$A291)</f>
        <v/>
      </c>
      <c r="C292" s="40" t="str">
        <f>IF(Bids!$B291="","",Bids!$B291)</f>
        <v/>
      </c>
      <c r="D292" s="40" t="str">
        <f>IF($C292="","",IFERROR(VLOOKUP($C292,Orders!$A$4:$J$998,9,FALSE),""))</f>
        <v/>
      </c>
      <c r="E292" s="40" t="str">
        <f>IF($C292="","",IFERROR(VLOOKUP($C292,Orders!$A$4:$J$998,3,FALSE),""))</f>
        <v/>
      </c>
      <c r="F292" s="40">
        <f t="shared" si="2"/>
        <v>1</v>
      </c>
      <c r="G292" s="40" t="str">
        <f>IF($C292="","",IFERROR(VLOOKUP($C292,Orders!$A$4:$J$998,4,FALSE),""))</f>
        <v/>
      </c>
      <c r="H292" s="40" t="str">
        <f>IF($C292="","",IFERROR(VLOOKUP($C292,Orders!$A$4:$J$998,5,FALSE),""))</f>
        <v/>
      </c>
      <c r="I292" s="40" t="str">
        <f>IF($C292="","",IFERROR(VLOOKUP($C292,Orders!$A$4:$J$998,6,FALSE),""))</f>
        <v/>
      </c>
      <c r="J292" s="40" t="str">
        <f>IF($C292="","",IFERROR(VLOOKUP($C292,Orders!$A$4:$J$998,7,FALSE),""))</f>
        <v/>
      </c>
      <c r="K292" s="40" t="str">
        <f>IF(Bids!$C291="","",Bids!$C291)</f>
        <v/>
      </c>
      <c r="L292" s="40" t="str">
        <f>IF($K292="","",IFERROR(VLOOKUP($K292,Grinders!$A$4:$N$998,2,FALSE),""))</f>
        <v/>
      </c>
      <c r="M292" s="40" t="str">
        <f>IF($K292="","",IFERROR(VLOOKUP($K292,Grinders!$A$4:$N$998,3,FALSE),""))</f>
        <v/>
      </c>
      <c r="N292" s="40" t="str">
        <f>IF($K292="","",IFERROR(VLOOKUP($K292,Grinders!$A$4:$N$998,4,FALSE),""))</f>
        <v/>
      </c>
      <c r="O292" s="40" t="str">
        <f>IF($K292="","",IFERROR(VLOOKUP($K292,Grinders!$A$4:$N$998,5,FALSE),""))</f>
        <v/>
      </c>
      <c r="P292" s="40" t="str">
        <f>IF($K292="","",IF($C$4="",0,COUNTIFS(Assignments!$B$6:$B$1000,$K292,Assignments!$F$6:$F$1000,$C$4,Assignments!$E$6:$E$1000,"Active")))</f>
        <v/>
      </c>
      <c r="Q292" s="40" t="str">
        <f t="shared" si="3"/>
        <v/>
      </c>
      <c r="R292" s="40" t="str">
        <f t="shared" si="4"/>
        <v/>
      </c>
      <c r="S292" s="40" t="str">
        <f>IF($K292="","",IF($C$4="",0,COUNTIFS(Assignments!$B$6:$B$1000,$K292,Assignments!$F$6:$F$1000,$C$4,Assignments!$D$6:$D$1000,"&gt;="&amp;Config!$B$3-7,Assignments!$D$6:$D$1000,"&lt;="&amp;Config!$B$3)))</f>
        <v/>
      </c>
      <c r="T292" s="40" t="str">
        <f>IF($K292="","",IFERROR(VLOOKUP($K292,Grinders!$A$4:$N$998,8,FALSE),""))</f>
        <v/>
      </c>
      <c r="U292" s="40" t="str">
        <f>IFERROR(IF($K292="","",IF($M292="Elite",MAX(50,MIN(100,Config!$B$27*MAX(0,MIN(100,(1-IF($R292="",0,$R292))*100)) + Config!$B$28*MAX(0,MIN(100,(1-MIN(1,IF(Config!$B$30=0,1,$S292/Config!$B$30)))*100)) + Config!$B$29*MAX(0,MIN(100,MIN(1,IF($T292="",0,$T292)/Config!$B$23)*100)))),MIN(100,Config!$B$27*MAX(0,MIN(100,(1-IF($R292="",0,$R292))*100)) + Config!$B$28*MAX(0,MIN(100,(1-MIN(1,IF(Config!$B$30=0,1,$S292/Config!$B$30)))*100)) + Config!$B$29*MAX(0,MIN(100,MIN(1,IF($T292="",0,$T292)/Config!$B$23)*100))))),"")
</f>
        <v/>
      </c>
      <c r="V292" s="40" t="str">
        <f>IF(Bids!$AC292="","",Bids!$AC292)</f>
        <v/>
      </c>
      <c r="W292" s="40" t="str">
        <f>IF(Bids!$F291="","",Bids!$F291)</f>
        <v/>
      </c>
      <c r="X292" s="40" t="str">
        <f t="shared" si="5"/>
        <v/>
      </c>
      <c r="Y292" s="40" t="str">
        <f>IF($X292="","",IF(Config!$B$17=Config!$B$16,IF($X292&gt;=Config!$B$17,100,0),MAX(0,MIN(100,($X292-Config!$B$16)/(Config!$B$17-Config!$B$16)*100))))</f>
        <v/>
      </c>
      <c r="Z292" s="40">
        <f>IF($M292="Elite",Config!$B$21,0)</f>
        <v>0</v>
      </c>
      <c r="AA292" s="40" t="str">
        <f>IFERROR(IF(OR($W292="",$H292=""),"",IF($W292&gt;$H292,
  MAX(0, 60-(($W292-$H292)*24/Config!$B$19)*60),
  MIN(100, 60+(($H292-$W292)*24/Config!$B$20)*40)
)),"")
</f>
        <v/>
      </c>
      <c r="AB292" s="40" t="str">
        <f>IF($K292="","",IFERROR(VLOOKUP($K292,Grinders!$A$4:$N$998,10,FALSE)/5*100,""))</f>
        <v/>
      </c>
      <c r="AC292" s="40" t="str">
        <f>IF($K292="","",IFERROR(VLOOKUP($K292,Grinders!$A$4:$N$998,11,FALSE)*100,""))</f>
        <v/>
      </c>
      <c r="AD292" s="40" t="str">
        <f>IF($K292="","",IFERROR(VLOOKUP($K292,Grinders!$A$4:$N$998,12,FALSE)*100,""))</f>
        <v/>
      </c>
      <c r="AE292" s="40" t="str">
        <f>IF(OR(AO292=1,AP292=1),0,=IFERROR(IFS(
    OR($C292="", $K292=""), 0,
    $F292=0, 0,
    $D292&lt;&gt;"Open", 0,
    COUNTIFS(GrinderServices!$A$6:$A$1000, $K292, GrinderServices!$B$6:$B$1000, $E292, GrinderServices!$D$6:$D$1000, "Y")=0, 0,
    $X292&lt;Config!$B$16, 0,
    Config!$B$18=1, IF($O292&gt;=N292, 0, 1),
    TRUE, 1
), "")
)</f>
        <v>#ERROR!</v>
      </c>
      <c r="AF292" s="40" t="str">
        <f>IFERROR((IF(OR(AO292=1,AP292=1),"",=IFERROR((IFERROR(IF($AE292=0,"",((Config!$B$6*$Y292 + Config!$B$7*$U292 + Config!$B$8*$Z292 + Config!$B$9*$AA292 + Config!$B$10*$AB292 + Config!$B$11*$AC292 - Config!$B$12*$AD292)/Config!$B$13)+$AK292+$AL292),""))*(1-IFERROR(VLOOKUP(K292,Grinders!$A:$AB, 28, FALSE),0)),"")))*(1+AR292),"")</f>
        <v>#ERROR!</v>
      </c>
      <c r="AG292" s="40" t="str">
        <f t="shared" si="6"/>
        <v>#ERROR!</v>
      </c>
      <c r="AH292" s="40" t="str">
        <f t="shared" si="7"/>
        <v/>
      </c>
      <c r="AI292" s="40" t="str">
        <f t="shared" si="8"/>
        <v/>
      </c>
      <c r="AJ292" s="40" t="str">
        <f>IF($K292="","",COUNTIF(Assignments!$B$6:$B$1000,$K292))</f>
        <v/>
      </c>
      <c r="AK292" s="40" t="str">
        <f>IF($K292="","",IF(AND($AJ292=0,$O292&lt;$N292),Config!$B$43,0))</f>
        <v/>
      </c>
      <c r="AL292" s="40" t="str">
        <f>IF($K292="","",IF(AND($M292="Elite",$G292&gt;=Config!$B$41,$O292&lt;$N292),Config!$B$42,0))</f>
        <v/>
      </c>
      <c r="AM292" s="22"/>
      <c r="AN292" s="39">
        <f>IFERROR(VLOOKUP(K292,Grinders!$A:$Q,28,FALSE),0)</f>
        <v>0</v>
      </c>
      <c r="AO292" s="39">
        <f>IF(Config!$B$1003&lt;&gt;"Y",0,IF(IFERROR(VLOOKUP(K292,Grinders!$A:$P,27,FALSE),0)&gt;=3,IF(OR(G292&gt;=Config!$B$1001,ISNUMBER(SEARCH(E292,Config!$B$1002))),1,0),0))</f>
        <v>0</v>
      </c>
      <c r="AP292" s="39">
        <f t="array" ref="AP292">IFERROR(IF(INDEX(Bids!$AE:$AE,MATCH(B292,Bids!$A:$A,0))="Pending",1,0),0)</f>
        <v>0</v>
      </c>
      <c r="AQ292" s="39" t="str">
        <f t="array" ref="AQ292">IF(C292="","",IFERROR(XLOOKUP(C292,Assignments!$C:$C,Assignments!$AU:$AU,0),0))</f>
        <v/>
      </c>
      <c r="AR292" s="39">
        <f>IF(AND(Config!$B$1006="Y",AQ292=1),Config!$B$1007,0)</f>
        <v>0</v>
      </c>
    </row>
    <row r="293" ht="15.75" customHeight="1">
      <c r="A293" s="46" t="str">
        <f t="shared" si="1"/>
        <v/>
      </c>
      <c r="B293" s="40" t="str">
        <f>IF(Bids!$A292="","",Bids!$A292)</f>
        <v/>
      </c>
      <c r="C293" s="40" t="str">
        <f>IF(Bids!$B292="","",Bids!$B292)</f>
        <v/>
      </c>
      <c r="D293" s="40" t="str">
        <f>IF($C293="","",IFERROR(VLOOKUP($C293,Orders!$A$4:$J$998,9,FALSE),""))</f>
        <v/>
      </c>
      <c r="E293" s="40" t="str">
        <f>IF($C293="","",IFERROR(VLOOKUP($C293,Orders!$A$4:$J$998,3,FALSE),""))</f>
        <v/>
      </c>
      <c r="F293" s="40">
        <f t="shared" si="2"/>
        <v>1</v>
      </c>
      <c r="G293" s="40" t="str">
        <f>IF($C293="","",IFERROR(VLOOKUP($C293,Orders!$A$4:$J$998,4,FALSE),""))</f>
        <v/>
      </c>
      <c r="H293" s="40" t="str">
        <f>IF($C293="","",IFERROR(VLOOKUP($C293,Orders!$A$4:$J$998,5,FALSE),""))</f>
        <v/>
      </c>
      <c r="I293" s="40" t="str">
        <f>IF($C293="","",IFERROR(VLOOKUP($C293,Orders!$A$4:$J$998,6,FALSE),""))</f>
        <v/>
      </c>
      <c r="J293" s="40" t="str">
        <f>IF($C293="","",IFERROR(VLOOKUP($C293,Orders!$A$4:$J$998,7,FALSE),""))</f>
        <v/>
      </c>
      <c r="K293" s="40" t="str">
        <f>IF(Bids!$C292="","",Bids!$C292)</f>
        <v/>
      </c>
      <c r="L293" s="40" t="str">
        <f>IF($K293="","",IFERROR(VLOOKUP($K293,Grinders!$A$4:$N$998,2,FALSE),""))</f>
        <v/>
      </c>
      <c r="M293" s="40" t="str">
        <f>IF($K293="","",IFERROR(VLOOKUP($K293,Grinders!$A$4:$N$998,3,FALSE),""))</f>
        <v/>
      </c>
      <c r="N293" s="40" t="str">
        <f>IF($K293="","",IFERROR(VLOOKUP($K293,Grinders!$A$4:$N$998,4,FALSE),""))</f>
        <v/>
      </c>
      <c r="O293" s="40" t="str">
        <f>IF($K293="","",IFERROR(VLOOKUP($K293,Grinders!$A$4:$N$998,5,FALSE),""))</f>
        <v/>
      </c>
      <c r="P293" s="40" t="str">
        <f>IF($K293="","",IF($C$4="",0,COUNTIFS(Assignments!$B$6:$B$1000,$K293,Assignments!$F$6:$F$1000,$C$4,Assignments!$E$6:$E$1000,"Active")))</f>
        <v/>
      </c>
      <c r="Q293" s="40" t="str">
        <f t="shared" si="3"/>
        <v/>
      </c>
      <c r="R293" s="40" t="str">
        <f t="shared" si="4"/>
        <v/>
      </c>
      <c r="S293" s="40" t="str">
        <f>IF($K293="","",IF($C$4="",0,COUNTIFS(Assignments!$B$6:$B$1000,$K293,Assignments!$F$6:$F$1000,$C$4,Assignments!$D$6:$D$1000,"&gt;="&amp;Config!$B$3-7,Assignments!$D$6:$D$1000,"&lt;="&amp;Config!$B$3)))</f>
        <v/>
      </c>
      <c r="T293" s="40" t="str">
        <f>IF($K293="","",IFERROR(VLOOKUP($K293,Grinders!$A$4:$N$998,8,FALSE),""))</f>
        <v/>
      </c>
      <c r="U293" s="40" t="str">
        <f>IFERROR(IF($K293="","",IF($M293="Elite",MAX(50,MIN(100,Config!$B$27*MAX(0,MIN(100,(1-IF($R293="",0,$R293))*100)) + Config!$B$28*MAX(0,MIN(100,(1-MIN(1,IF(Config!$B$30=0,1,$S293/Config!$B$30)))*100)) + Config!$B$29*MAX(0,MIN(100,MIN(1,IF($T293="",0,$T293)/Config!$B$23)*100)))),MIN(100,Config!$B$27*MAX(0,MIN(100,(1-IF($R293="",0,$R293))*100)) + Config!$B$28*MAX(0,MIN(100,(1-MIN(1,IF(Config!$B$30=0,1,$S293/Config!$B$30)))*100)) + Config!$B$29*MAX(0,MIN(100,MIN(1,IF($T293="",0,$T293)/Config!$B$23)*100))))),"")
</f>
        <v/>
      </c>
      <c r="V293" s="40" t="str">
        <f>IF(Bids!$AC293="","",Bids!$AC293)</f>
        <v/>
      </c>
      <c r="W293" s="40" t="str">
        <f>IF(Bids!$F292="","",Bids!$F292)</f>
        <v/>
      </c>
      <c r="X293" s="40" t="str">
        <f t="shared" si="5"/>
        <v/>
      </c>
      <c r="Y293" s="40" t="str">
        <f>IF($X293="","",IF(Config!$B$17=Config!$B$16,IF($X293&gt;=Config!$B$17,100,0),MAX(0,MIN(100,($X293-Config!$B$16)/(Config!$B$17-Config!$B$16)*100))))</f>
        <v/>
      </c>
      <c r="Z293" s="40">
        <f>IF($M293="Elite",Config!$B$21,0)</f>
        <v>0</v>
      </c>
      <c r="AA293" s="40" t="str">
        <f>IFERROR(IF(OR($W293="",$H293=""),"",IF($W293&gt;$H293,
  MAX(0, 60-(($W293-$H293)*24/Config!$B$19)*60),
  MIN(100, 60+(($H293-$W293)*24/Config!$B$20)*40)
)),"")
</f>
        <v/>
      </c>
      <c r="AB293" s="40" t="str">
        <f>IF($K293="","",IFERROR(VLOOKUP($K293,Grinders!$A$4:$N$998,10,FALSE)/5*100,""))</f>
        <v/>
      </c>
      <c r="AC293" s="40" t="str">
        <f>IF($K293="","",IFERROR(VLOOKUP($K293,Grinders!$A$4:$N$998,11,FALSE)*100,""))</f>
        <v/>
      </c>
      <c r="AD293" s="40" t="str">
        <f>IF($K293="","",IFERROR(VLOOKUP($K293,Grinders!$A$4:$N$998,12,FALSE)*100,""))</f>
        <v/>
      </c>
      <c r="AE293" s="40" t="str">
        <f>IF(OR(AO293=1,AP293=1),0,=IFERROR(IFS(
    OR($C293="", $K293=""), 0,
    $F293=0, 0,
    $D293&lt;&gt;"Open", 0,
    COUNTIFS(GrinderServices!$A$6:$A$1000, $K293, GrinderServices!$B$6:$B$1000, $E293, GrinderServices!$D$6:$D$1000, "Y")=0, 0,
    $X293&lt;Config!$B$16, 0,
    Config!$B$18=1, IF($O293&gt;=N293, 0, 1),
    TRUE, 1
), "")
)</f>
        <v>#ERROR!</v>
      </c>
      <c r="AF293" s="40" t="str">
        <f>IFERROR((IF(OR(AO293=1,AP293=1),"",=IFERROR((IFERROR(IF($AE293=0,"",((Config!$B$6*$Y293 + Config!$B$7*$U293 + Config!$B$8*$Z293 + Config!$B$9*$AA293 + Config!$B$10*$AB293 + Config!$B$11*$AC293 - Config!$B$12*$AD293)/Config!$B$13)+$AK293+$AL293),""))*(1-IFERROR(VLOOKUP(K293,Grinders!$A:$AB, 28, FALSE),0)),"")))*(1+AR293),"")</f>
        <v>#ERROR!</v>
      </c>
      <c r="AG293" s="40" t="str">
        <f t="shared" si="6"/>
        <v>#ERROR!</v>
      </c>
      <c r="AH293" s="40" t="str">
        <f t="shared" si="7"/>
        <v/>
      </c>
      <c r="AI293" s="40" t="str">
        <f t="shared" si="8"/>
        <v/>
      </c>
      <c r="AJ293" s="40" t="str">
        <f>IF($K293="","",COUNTIF(Assignments!$B$6:$B$1000,$K293))</f>
        <v/>
      </c>
      <c r="AK293" s="40" t="str">
        <f>IF($K293="","",IF(AND($AJ293=0,$O293&lt;$N293),Config!$B$43,0))</f>
        <v/>
      </c>
      <c r="AL293" s="40" t="str">
        <f>IF($K293="","",IF(AND($M293="Elite",$G293&gt;=Config!$B$41,$O293&lt;$N293),Config!$B$42,0))</f>
        <v/>
      </c>
      <c r="AM293" s="22"/>
      <c r="AN293" s="39">
        <f>IFERROR(VLOOKUP(K293,Grinders!$A:$Q,28,FALSE),0)</f>
        <v>0</v>
      </c>
      <c r="AO293" s="39">
        <f>IF(Config!$B$1003&lt;&gt;"Y",0,IF(IFERROR(VLOOKUP(K293,Grinders!$A:$P,27,FALSE),0)&gt;=3,IF(OR(G293&gt;=Config!$B$1001,ISNUMBER(SEARCH(E293,Config!$B$1002))),1,0),0))</f>
        <v>0</v>
      </c>
      <c r="AP293" s="39">
        <f t="array" ref="AP293">IFERROR(IF(INDEX(Bids!$AE:$AE,MATCH(B293,Bids!$A:$A,0))="Pending",1,0),0)</f>
        <v>0</v>
      </c>
      <c r="AQ293" s="39" t="str">
        <f t="array" ref="AQ293">IF(C293="","",IFERROR(XLOOKUP(C293,Assignments!$C:$C,Assignments!$AU:$AU,0),0))</f>
        <v/>
      </c>
      <c r="AR293" s="39">
        <f>IF(AND(Config!$B$1006="Y",AQ293=1),Config!$B$1007,0)</f>
        <v>0</v>
      </c>
    </row>
    <row r="294" ht="15.75" customHeight="1">
      <c r="A294" s="46" t="str">
        <f t="shared" si="1"/>
        <v/>
      </c>
      <c r="B294" s="40" t="str">
        <f>IF(Bids!$A293="","",Bids!$A293)</f>
        <v/>
      </c>
      <c r="C294" s="40" t="str">
        <f>IF(Bids!$B293="","",Bids!$B293)</f>
        <v/>
      </c>
      <c r="D294" s="40" t="str">
        <f>IF($C294="","",IFERROR(VLOOKUP($C294,Orders!$A$4:$J$998,9,FALSE),""))</f>
        <v/>
      </c>
      <c r="E294" s="40" t="str">
        <f>IF($C294="","",IFERROR(VLOOKUP($C294,Orders!$A$4:$J$998,3,FALSE),""))</f>
        <v/>
      </c>
      <c r="F294" s="40">
        <f t="shared" si="2"/>
        <v>1</v>
      </c>
      <c r="G294" s="40" t="str">
        <f>IF($C294="","",IFERROR(VLOOKUP($C294,Orders!$A$4:$J$998,4,FALSE),""))</f>
        <v/>
      </c>
      <c r="H294" s="40" t="str">
        <f>IF($C294="","",IFERROR(VLOOKUP($C294,Orders!$A$4:$J$998,5,FALSE),""))</f>
        <v/>
      </c>
      <c r="I294" s="40" t="str">
        <f>IF($C294="","",IFERROR(VLOOKUP($C294,Orders!$A$4:$J$998,6,FALSE),""))</f>
        <v/>
      </c>
      <c r="J294" s="40" t="str">
        <f>IF($C294="","",IFERROR(VLOOKUP($C294,Orders!$A$4:$J$998,7,FALSE),""))</f>
        <v/>
      </c>
      <c r="K294" s="40" t="str">
        <f>IF(Bids!$C293="","",Bids!$C293)</f>
        <v/>
      </c>
      <c r="L294" s="40" t="str">
        <f>IF($K294="","",IFERROR(VLOOKUP($K294,Grinders!$A$4:$N$998,2,FALSE),""))</f>
        <v/>
      </c>
      <c r="M294" s="40" t="str">
        <f>IF($K294="","",IFERROR(VLOOKUP($K294,Grinders!$A$4:$N$998,3,FALSE),""))</f>
        <v/>
      </c>
      <c r="N294" s="40" t="str">
        <f>IF($K294="","",IFERROR(VLOOKUP($K294,Grinders!$A$4:$N$998,4,FALSE),""))</f>
        <v/>
      </c>
      <c r="O294" s="40" t="str">
        <f>IF($K294="","",IFERROR(VLOOKUP($K294,Grinders!$A$4:$N$998,5,FALSE),""))</f>
        <v/>
      </c>
      <c r="P294" s="40" t="str">
        <f>IF($K294="","",IF($C$4="",0,COUNTIFS(Assignments!$B$6:$B$1000,$K294,Assignments!$F$6:$F$1000,$C$4,Assignments!$E$6:$E$1000,"Active")))</f>
        <v/>
      </c>
      <c r="Q294" s="40" t="str">
        <f t="shared" si="3"/>
        <v/>
      </c>
      <c r="R294" s="40" t="str">
        <f t="shared" si="4"/>
        <v/>
      </c>
      <c r="S294" s="40" t="str">
        <f>IF($K294="","",IF($C$4="",0,COUNTIFS(Assignments!$B$6:$B$1000,$K294,Assignments!$F$6:$F$1000,$C$4,Assignments!$D$6:$D$1000,"&gt;="&amp;Config!$B$3-7,Assignments!$D$6:$D$1000,"&lt;="&amp;Config!$B$3)))</f>
        <v/>
      </c>
      <c r="T294" s="40" t="str">
        <f>IF($K294="","",IFERROR(VLOOKUP($K294,Grinders!$A$4:$N$998,8,FALSE),""))</f>
        <v/>
      </c>
      <c r="U294" s="40" t="str">
        <f>IFERROR(IF($K294="","",IF($M294="Elite",MAX(50,MIN(100,Config!$B$27*MAX(0,MIN(100,(1-IF($R294="",0,$R294))*100)) + Config!$B$28*MAX(0,MIN(100,(1-MIN(1,IF(Config!$B$30=0,1,$S294/Config!$B$30)))*100)) + Config!$B$29*MAX(0,MIN(100,MIN(1,IF($T294="",0,$T294)/Config!$B$23)*100)))),MIN(100,Config!$B$27*MAX(0,MIN(100,(1-IF($R294="",0,$R294))*100)) + Config!$B$28*MAX(0,MIN(100,(1-MIN(1,IF(Config!$B$30=0,1,$S294/Config!$B$30)))*100)) + Config!$B$29*MAX(0,MIN(100,MIN(1,IF($T294="",0,$T294)/Config!$B$23)*100))))),"")
</f>
        <v/>
      </c>
      <c r="V294" s="40" t="str">
        <f>IF(Bids!$AC294="","",Bids!$AC294)</f>
        <v/>
      </c>
      <c r="W294" s="40" t="str">
        <f>IF(Bids!$F293="","",Bids!$F293)</f>
        <v/>
      </c>
      <c r="X294" s="40" t="str">
        <f t="shared" si="5"/>
        <v/>
      </c>
      <c r="Y294" s="40" t="str">
        <f>IF($X294="","",IF(Config!$B$17=Config!$B$16,IF($X294&gt;=Config!$B$17,100,0),MAX(0,MIN(100,($X294-Config!$B$16)/(Config!$B$17-Config!$B$16)*100))))</f>
        <v/>
      </c>
      <c r="Z294" s="40">
        <f>IF($M294="Elite",Config!$B$21,0)</f>
        <v>0</v>
      </c>
      <c r="AA294" s="40" t="str">
        <f>IFERROR(IF(OR($W294="",$H294=""),"",IF($W294&gt;$H294,
  MAX(0, 60-(($W294-$H294)*24/Config!$B$19)*60),
  MIN(100, 60+(($H294-$W294)*24/Config!$B$20)*40)
)),"")
</f>
        <v/>
      </c>
      <c r="AB294" s="40" t="str">
        <f>IF($K294="","",IFERROR(VLOOKUP($K294,Grinders!$A$4:$N$998,10,FALSE)/5*100,""))</f>
        <v/>
      </c>
      <c r="AC294" s="40" t="str">
        <f>IF($K294="","",IFERROR(VLOOKUP($K294,Grinders!$A$4:$N$998,11,FALSE)*100,""))</f>
        <v/>
      </c>
      <c r="AD294" s="40" t="str">
        <f>IF($K294="","",IFERROR(VLOOKUP($K294,Grinders!$A$4:$N$998,12,FALSE)*100,""))</f>
        <v/>
      </c>
      <c r="AE294" s="40" t="str">
        <f>IF(OR(AO294=1,AP294=1),0,=IFERROR(IFS(
    OR($C294="", $K294=""), 0,
    $F294=0, 0,
    $D294&lt;&gt;"Open", 0,
    COUNTIFS(GrinderServices!$A$6:$A$1000, $K294, GrinderServices!$B$6:$B$1000, $E294, GrinderServices!$D$6:$D$1000, "Y")=0, 0,
    $X294&lt;Config!$B$16, 0,
    Config!$B$18=1, IF($O294&gt;=N294, 0, 1),
    TRUE, 1
), "")
)</f>
        <v>#ERROR!</v>
      </c>
      <c r="AF294" s="40" t="str">
        <f>IFERROR((IF(OR(AO294=1,AP294=1),"",=IFERROR((IFERROR(IF($AE294=0,"",((Config!$B$6*$Y294 + Config!$B$7*$U294 + Config!$B$8*$Z294 + Config!$B$9*$AA294 + Config!$B$10*$AB294 + Config!$B$11*$AC294 - Config!$B$12*$AD294)/Config!$B$13)+$AK294+$AL294),""))*(1-IFERROR(VLOOKUP(K294,Grinders!$A:$AB, 28, FALSE),0)),"")))*(1+AR294),"")</f>
        <v>#ERROR!</v>
      </c>
      <c r="AG294" s="40" t="str">
        <f t="shared" si="6"/>
        <v>#ERROR!</v>
      </c>
      <c r="AH294" s="40" t="str">
        <f t="shared" si="7"/>
        <v/>
      </c>
      <c r="AI294" s="40" t="str">
        <f t="shared" si="8"/>
        <v/>
      </c>
      <c r="AJ294" s="40" t="str">
        <f>IF($K294="","",COUNTIF(Assignments!$B$6:$B$1000,$K294))</f>
        <v/>
      </c>
      <c r="AK294" s="40" t="str">
        <f>IF($K294="","",IF(AND($AJ294=0,$O294&lt;$N294),Config!$B$43,0))</f>
        <v/>
      </c>
      <c r="AL294" s="40" t="str">
        <f>IF($K294="","",IF(AND($M294="Elite",$G294&gt;=Config!$B$41,$O294&lt;$N294),Config!$B$42,0))</f>
        <v/>
      </c>
      <c r="AM294" s="22"/>
      <c r="AN294" s="39">
        <f>IFERROR(VLOOKUP(K294,Grinders!$A:$Q,28,FALSE),0)</f>
        <v>0</v>
      </c>
      <c r="AO294" s="39">
        <f>IF(Config!$B$1003&lt;&gt;"Y",0,IF(IFERROR(VLOOKUP(K294,Grinders!$A:$P,27,FALSE),0)&gt;=3,IF(OR(G294&gt;=Config!$B$1001,ISNUMBER(SEARCH(E294,Config!$B$1002))),1,0),0))</f>
        <v>0</v>
      </c>
      <c r="AP294" s="39">
        <f t="array" ref="AP294">IFERROR(IF(INDEX(Bids!$AE:$AE,MATCH(B294,Bids!$A:$A,0))="Pending",1,0),0)</f>
        <v>0</v>
      </c>
      <c r="AQ294" s="39" t="str">
        <f t="array" ref="AQ294">IF(C294="","",IFERROR(XLOOKUP(C294,Assignments!$C:$C,Assignments!$AU:$AU,0),0))</f>
        <v/>
      </c>
      <c r="AR294" s="39">
        <f>IF(AND(Config!$B$1006="Y",AQ294=1),Config!$B$1007,0)</f>
        <v>0</v>
      </c>
    </row>
    <row r="295" ht="15.75" customHeight="1">
      <c r="A295" s="46" t="str">
        <f t="shared" si="1"/>
        <v/>
      </c>
      <c r="B295" s="40" t="str">
        <f>IF(Bids!$A294="","",Bids!$A294)</f>
        <v/>
      </c>
      <c r="C295" s="40" t="str">
        <f>IF(Bids!$B294="","",Bids!$B294)</f>
        <v/>
      </c>
      <c r="D295" s="40" t="str">
        <f>IF($C295="","",IFERROR(VLOOKUP($C295,Orders!$A$4:$J$998,9,FALSE),""))</f>
        <v/>
      </c>
      <c r="E295" s="40" t="str">
        <f>IF($C295="","",IFERROR(VLOOKUP($C295,Orders!$A$4:$J$998,3,FALSE),""))</f>
        <v/>
      </c>
      <c r="F295" s="40">
        <f t="shared" si="2"/>
        <v>1</v>
      </c>
      <c r="G295" s="40" t="str">
        <f>IF($C295="","",IFERROR(VLOOKUP($C295,Orders!$A$4:$J$998,4,FALSE),""))</f>
        <v/>
      </c>
      <c r="H295" s="40" t="str">
        <f>IF($C295="","",IFERROR(VLOOKUP($C295,Orders!$A$4:$J$998,5,FALSE),""))</f>
        <v/>
      </c>
      <c r="I295" s="40" t="str">
        <f>IF($C295="","",IFERROR(VLOOKUP($C295,Orders!$A$4:$J$998,6,FALSE),""))</f>
        <v/>
      </c>
      <c r="J295" s="40" t="str">
        <f>IF($C295="","",IFERROR(VLOOKUP($C295,Orders!$A$4:$J$998,7,FALSE),""))</f>
        <v/>
      </c>
      <c r="K295" s="40" t="str">
        <f>IF(Bids!$C294="","",Bids!$C294)</f>
        <v/>
      </c>
      <c r="L295" s="40" t="str">
        <f>IF($K295="","",IFERROR(VLOOKUP($K295,Grinders!$A$4:$N$998,2,FALSE),""))</f>
        <v/>
      </c>
      <c r="M295" s="40" t="str">
        <f>IF($K295="","",IFERROR(VLOOKUP($K295,Grinders!$A$4:$N$998,3,FALSE),""))</f>
        <v/>
      </c>
      <c r="N295" s="40" t="str">
        <f>IF($K295="","",IFERROR(VLOOKUP($K295,Grinders!$A$4:$N$998,4,FALSE),""))</f>
        <v/>
      </c>
      <c r="O295" s="40" t="str">
        <f>IF($K295="","",IFERROR(VLOOKUP($K295,Grinders!$A$4:$N$998,5,FALSE),""))</f>
        <v/>
      </c>
      <c r="P295" s="40" t="str">
        <f>IF($K295="","",IF($C$4="",0,COUNTIFS(Assignments!$B$6:$B$1000,$K295,Assignments!$F$6:$F$1000,$C$4,Assignments!$E$6:$E$1000,"Active")))</f>
        <v/>
      </c>
      <c r="Q295" s="40" t="str">
        <f t="shared" si="3"/>
        <v/>
      </c>
      <c r="R295" s="40" t="str">
        <f t="shared" si="4"/>
        <v/>
      </c>
      <c r="S295" s="40" t="str">
        <f>IF($K295="","",IF($C$4="",0,COUNTIFS(Assignments!$B$6:$B$1000,$K295,Assignments!$F$6:$F$1000,$C$4,Assignments!$D$6:$D$1000,"&gt;="&amp;Config!$B$3-7,Assignments!$D$6:$D$1000,"&lt;="&amp;Config!$B$3)))</f>
        <v/>
      </c>
      <c r="T295" s="40" t="str">
        <f>IF($K295="","",IFERROR(VLOOKUP($K295,Grinders!$A$4:$N$998,8,FALSE),""))</f>
        <v/>
      </c>
      <c r="U295" s="40" t="str">
        <f>IFERROR(IF($K295="","",IF($M295="Elite",MAX(50,MIN(100,Config!$B$27*MAX(0,MIN(100,(1-IF($R295="",0,$R295))*100)) + Config!$B$28*MAX(0,MIN(100,(1-MIN(1,IF(Config!$B$30=0,1,$S295/Config!$B$30)))*100)) + Config!$B$29*MAX(0,MIN(100,MIN(1,IF($T295="",0,$T295)/Config!$B$23)*100)))),MIN(100,Config!$B$27*MAX(0,MIN(100,(1-IF($R295="",0,$R295))*100)) + Config!$B$28*MAX(0,MIN(100,(1-MIN(1,IF(Config!$B$30=0,1,$S295/Config!$B$30)))*100)) + Config!$B$29*MAX(0,MIN(100,MIN(1,IF($T295="",0,$T295)/Config!$B$23)*100))))),"")
</f>
        <v/>
      </c>
      <c r="V295" s="40" t="str">
        <f>IF(Bids!$AC295="","",Bids!$AC295)</f>
        <v/>
      </c>
      <c r="W295" s="40" t="str">
        <f>IF(Bids!$F294="","",Bids!$F294)</f>
        <v/>
      </c>
      <c r="X295" s="40" t="str">
        <f t="shared" si="5"/>
        <v/>
      </c>
      <c r="Y295" s="40" t="str">
        <f>IF($X295="","",IF(Config!$B$17=Config!$B$16,IF($X295&gt;=Config!$B$17,100,0),MAX(0,MIN(100,($X295-Config!$B$16)/(Config!$B$17-Config!$B$16)*100))))</f>
        <v/>
      </c>
      <c r="Z295" s="40">
        <f>IF($M295="Elite",Config!$B$21,0)</f>
        <v>0</v>
      </c>
      <c r="AA295" s="40" t="str">
        <f>IFERROR(IF(OR($W295="",$H295=""),"",IF($W295&gt;$H295,
  MAX(0, 60-(($W295-$H295)*24/Config!$B$19)*60),
  MIN(100, 60+(($H295-$W295)*24/Config!$B$20)*40)
)),"")
</f>
        <v/>
      </c>
      <c r="AB295" s="40" t="str">
        <f>IF($K295="","",IFERROR(VLOOKUP($K295,Grinders!$A$4:$N$998,10,FALSE)/5*100,""))</f>
        <v/>
      </c>
      <c r="AC295" s="40" t="str">
        <f>IF($K295="","",IFERROR(VLOOKUP($K295,Grinders!$A$4:$N$998,11,FALSE)*100,""))</f>
        <v/>
      </c>
      <c r="AD295" s="40" t="str">
        <f>IF($K295="","",IFERROR(VLOOKUP($K295,Grinders!$A$4:$N$998,12,FALSE)*100,""))</f>
        <v/>
      </c>
      <c r="AE295" s="40" t="str">
        <f>IF(OR(AO295=1,AP295=1),0,=IFERROR(IFS(
    OR($C295="", $K295=""), 0,
    $F295=0, 0,
    $D295&lt;&gt;"Open", 0,
    COUNTIFS(GrinderServices!$A$6:$A$1000, $K295, GrinderServices!$B$6:$B$1000, $E295, GrinderServices!$D$6:$D$1000, "Y")=0, 0,
    $X295&lt;Config!$B$16, 0,
    Config!$B$18=1, IF($O295&gt;=N295, 0, 1),
    TRUE, 1
), "")
)</f>
        <v>#ERROR!</v>
      </c>
      <c r="AF295" s="40" t="str">
        <f>IFERROR((IF(OR(AO295=1,AP295=1),"",=IFERROR((IFERROR(IF($AE295=0,"",((Config!$B$6*$Y295 + Config!$B$7*$U295 + Config!$B$8*$Z295 + Config!$B$9*$AA295 + Config!$B$10*$AB295 + Config!$B$11*$AC295 - Config!$B$12*$AD295)/Config!$B$13)+$AK295+$AL295),""))*(1-IFERROR(VLOOKUP(K295,Grinders!$A:$AB, 28, FALSE),0)),"")))*(1+AR295),"")</f>
        <v>#ERROR!</v>
      </c>
      <c r="AG295" s="40" t="str">
        <f t="shared" si="6"/>
        <v>#ERROR!</v>
      </c>
      <c r="AH295" s="40" t="str">
        <f t="shared" si="7"/>
        <v/>
      </c>
      <c r="AI295" s="40" t="str">
        <f t="shared" si="8"/>
        <v/>
      </c>
      <c r="AJ295" s="40" t="str">
        <f>IF($K295="","",COUNTIF(Assignments!$B$6:$B$1000,$K295))</f>
        <v/>
      </c>
      <c r="AK295" s="40" t="str">
        <f>IF($K295="","",IF(AND($AJ295=0,$O295&lt;$N295),Config!$B$43,0))</f>
        <v/>
      </c>
      <c r="AL295" s="40" t="str">
        <f>IF($K295="","",IF(AND($M295="Elite",$G295&gt;=Config!$B$41,$O295&lt;$N295),Config!$B$42,0))</f>
        <v/>
      </c>
      <c r="AM295" s="22"/>
      <c r="AN295" s="39">
        <f>IFERROR(VLOOKUP(K295,Grinders!$A:$Q,28,FALSE),0)</f>
        <v>0</v>
      </c>
      <c r="AO295" s="39">
        <f>IF(Config!$B$1003&lt;&gt;"Y",0,IF(IFERROR(VLOOKUP(K295,Grinders!$A:$P,27,FALSE),0)&gt;=3,IF(OR(G295&gt;=Config!$B$1001,ISNUMBER(SEARCH(E295,Config!$B$1002))),1,0),0))</f>
        <v>0</v>
      </c>
      <c r="AP295" s="39">
        <f t="array" ref="AP295">IFERROR(IF(INDEX(Bids!$AE:$AE,MATCH(B295,Bids!$A:$A,0))="Pending",1,0),0)</f>
        <v>0</v>
      </c>
      <c r="AQ295" s="39" t="str">
        <f t="array" ref="AQ295">IF(C295="","",IFERROR(XLOOKUP(C295,Assignments!$C:$C,Assignments!$AU:$AU,0),0))</f>
        <v/>
      </c>
      <c r="AR295" s="39">
        <f>IF(AND(Config!$B$1006="Y",AQ295=1),Config!$B$1007,0)</f>
        <v>0</v>
      </c>
    </row>
    <row r="296" ht="15.75" customHeight="1">
      <c r="A296" s="46" t="str">
        <f t="shared" si="1"/>
        <v/>
      </c>
      <c r="B296" s="40" t="str">
        <f>IF(Bids!$A295="","",Bids!$A295)</f>
        <v/>
      </c>
      <c r="C296" s="40" t="str">
        <f>IF(Bids!$B295="","",Bids!$B295)</f>
        <v/>
      </c>
      <c r="D296" s="40" t="str">
        <f>IF($C296="","",IFERROR(VLOOKUP($C296,Orders!$A$4:$J$998,9,FALSE),""))</f>
        <v/>
      </c>
      <c r="E296" s="40" t="str">
        <f>IF($C296="","",IFERROR(VLOOKUP($C296,Orders!$A$4:$J$998,3,FALSE),""))</f>
        <v/>
      </c>
      <c r="F296" s="40">
        <f t="shared" si="2"/>
        <v>1</v>
      </c>
      <c r="G296" s="40" t="str">
        <f>IF($C296="","",IFERROR(VLOOKUP($C296,Orders!$A$4:$J$998,4,FALSE),""))</f>
        <v/>
      </c>
      <c r="H296" s="40" t="str">
        <f>IF($C296="","",IFERROR(VLOOKUP($C296,Orders!$A$4:$J$998,5,FALSE),""))</f>
        <v/>
      </c>
      <c r="I296" s="40" t="str">
        <f>IF($C296="","",IFERROR(VLOOKUP($C296,Orders!$A$4:$J$998,6,FALSE),""))</f>
        <v/>
      </c>
      <c r="J296" s="40" t="str">
        <f>IF($C296="","",IFERROR(VLOOKUP($C296,Orders!$A$4:$J$998,7,FALSE),""))</f>
        <v/>
      </c>
      <c r="K296" s="40" t="str">
        <f>IF(Bids!$C295="","",Bids!$C295)</f>
        <v/>
      </c>
      <c r="L296" s="40" t="str">
        <f>IF($K296="","",IFERROR(VLOOKUP($K296,Grinders!$A$4:$N$998,2,FALSE),""))</f>
        <v/>
      </c>
      <c r="M296" s="40" t="str">
        <f>IF($K296="","",IFERROR(VLOOKUP($K296,Grinders!$A$4:$N$998,3,FALSE),""))</f>
        <v/>
      </c>
      <c r="N296" s="40" t="str">
        <f>IF($K296="","",IFERROR(VLOOKUP($K296,Grinders!$A$4:$N$998,4,FALSE),""))</f>
        <v/>
      </c>
      <c r="O296" s="40" t="str">
        <f>IF($K296="","",IFERROR(VLOOKUP($K296,Grinders!$A$4:$N$998,5,FALSE),""))</f>
        <v/>
      </c>
      <c r="P296" s="40" t="str">
        <f>IF($K296="","",IF($C$4="",0,COUNTIFS(Assignments!$B$6:$B$1000,$K296,Assignments!$F$6:$F$1000,$C$4,Assignments!$E$6:$E$1000,"Active")))</f>
        <v/>
      </c>
      <c r="Q296" s="40" t="str">
        <f t="shared" si="3"/>
        <v/>
      </c>
      <c r="R296" s="40" t="str">
        <f t="shared" si="4"/>
        <v/>
      </c>
      <c r="S296" s="40" t="str">
        <f>IF($K296="","",IF($C$4="",0,COUNTIFS(Assignments!$B$6:$B$1000,$K296,Assignments!$F$6:$F$1000,$C$4,Assignments!$D$6:$D$1000,"&gt;="&amp;Config!$B$3-7,Assignments!$D$6:$D$1000,"&lt;="&amp;Config!$B$3)))</f>
        <v/>
      </c>
      <c r="T296" s="40" t="str">
        <f>IF($K296="","",IFERROR(VLOOKUP($K296,Grinders!$A$4:$N$998,8,FALSE),""))</f>
        <v/>
      </c>
      <c r="U296" s="40" t="str">
        <f>IFERROR(IF($K296="","",IF($M296="Elite",MAX(50,MIN(100,Config!$B$27*MAX(0,MIN(100,(1-IF($R296="",0,$R296))*100)) + Config!$B$28*MAX(0,MIN(100,(1-MIN(1,IF(Config!$B$30=0,1,$S296/Config!$B$30)))*100)) + Config!$B$29*MAX(0,MIN(100,MIN(1,IF($T296="",0,$T296)/Config!$B$23)*100)))),MIN(100,Config!$B$27*MAX(0,MIN(100,(1-IF($R296="",0,$R296))*100)) + Config!$B$28*MAX(0,MIN(100,(1-MIN(1,IF(Config!$B$30=0,1,$S296/Config!$B$30)))*100)) + Config!$B$29*MAX(0,MIN(100,MIN(1,IF($T296="",0,$T296)/Config!$B$23)*100))))),"")
</f>
        <v/>
      </c>
      <c r="V296" s="40" t="str">
        <f>IF(Bids!$AC296="","",Bids!$AC296)</f>
        <v/>
      </c>
      <c r="W296" s="40" t="str">
        <f>IF(Bids!$F295="","",Bids!$F295)</f>
        <v/>
      </c>
      <c r="X296" s="40" t="str">
        <f t="shared" si="5"/>
        <v/>
      </c>
      <c r="Y296" s="40" t="str">
        <f>IF($X296="","",IF(Config!$B$17=Config!$B$16,IF($X296&gt;=Config!$B$17,100,0),MAX(0,MIN(100,($X296-Config!$B$16)/(Config!$B$17-Config!$B$16)*100))))</f>
        <v/>
      </c>
      <c r="Z296" s="40">
        <f>IF($M296="Elite",Config!$B$21,0)</f>
        <v>0</v>
      </c>
      <c r="AA296" s="40" t="str">
        <f>IFERROR(IF(OR($W296="",$H296=""),"",IF($W296&gt;$H296,
  MAX(0, 60-(($W296-$H296)*24/Config!$B$19)*60),
  MIN(100, 60+(($H296-$W296)*24/Config!$B$20)*40)
)),"")
</f>
        <v/>
      </c>
      <c r="AB296" s="40" t="str">
        <f>IF($K296="","",IFERROR(VLOOKUP($K296,Grinders!$A$4:$N$998,10,FALSE)/5*100,""))</f>
        <v/>
      </c>
      <c r="AC296" s="40" t="str">
        <f>IF($K296="","",IFERROR(VLOOKUP($K296,Grinders!$A$4:$N$998,11,FALSE)*100,""))</f>
        <v/>
      </c>
      <c r="AD296" s="40" t="str">
        <f>IF($K296="","",IFERROR(VLOOKUP($K296,Grinders!$A$4:$N$998,12,FALSE)*100,""))</f>
        <v/>
      </c>
      <c r="AE296" s="40" t="str">
        <f>IF(OR(AO296=1,AP296=1),0,=IFERROR(IFS(
    OR($C296="", $K296=""), 0,
    $F296=0, 0,
    $D296&lt;&gt;"Open", 0,
    COUNTIFS(GrinderServices!$A$6:$A$1000, $K296, GrinderServices!$B$6:$B$1000, $E296, GrinderServices!$D$6:$D$1000, "Y")=0, 0,
    $X296&lt;Config!$B$16, 0,
    Config!$B$18=1, IF($O296&gt;=N296, 0, 1),
    TRUE, 1
), "")
)</f>
        <v>#ERROR!</v>
      </c>
      <c r="AF296" s="40" t="str">
        <f>IFERROR((IF(OR(AO296=1,AP296=1),"",=IFERROR((IFERROR(IF($AE296=0,"",((Config!$B$6*$Y296 + Config!$B$7*$U296 + Config!$B$8*$Z296 + Config!$B$9*$AA296 + Config!$B$10*$AB296 + Config!$B$11*$AC296 - Config!$B$12*$AD296)/Config!$B$13)+$AK296+$AL296),""))*(1-IFERROR(VLOOKUP(K296,Grinders!$A:$AB, 28, FALSE),0)),"")))*(1+AR296),"")</f>
        <v>#ERROR!</v>
      </c>
      <c r="AG296" s="40" t="str">
        <f t="shared" si="6"/>
        <v>#ERROR!</v>
      </c>
      <c r="AH296" s="40" t="str">
        <f t="shared" si="7"/>
        <v/>
      </c>
      <c r="AI296" s="40" t="str">
        <f t="shared" si="8"/>
        <v/>
      </c>
      <c r="AJ296" s="40" t="str">
        <f>IF($K296="","",COUNTIF(Assignments!$B$6:$B$1000,$K296))</f>
        <v/>
      </c>
      <c r="AK296" s="40" t="str">
        <f>IF($K296="","",IF(AND($AJ296=0,$O296&lt;$N296),Config!$B$43,0))</f>
        <v/>
      </c>
      <c r="AL296" s="40" t="str">
        <f>IF($K296="","",IF(AND($M296="Elite",$G296&gt;=Config!$B$41,$O296&lt;$N296),Config!$B$42,0))</f>
        <v/>
      </c>
      <c r="AM296" s="22"/>
      <c r="AN296" s="39">
        <f>IFERROR(VLOOKUP(K296,Grinders!$A:$Q,28,FALSE),0)</f>
        <v>0</v>
      </c>
      <c r="AO296" s="39">
        <f>IF(Config!$B$1003&lt;&gt;"Y",0,IF(IFERROR(VLOOKUP(K296,Grinders!$A:$P,27,FALSE),0)&gt;=3,IF(OR(G296&gt;=Config!$B$1001,ISNUMBER(SEARCH(E296,Config!$B$1002))),1,0),0))</f>
        <v>0</v>
      </c>
      <c r="AP296" s="39">
        <f t="array" ref="AP296">IFERROR(IF(INDEX(Bids!$AE:$AE,MATCH(B296,Bids!$A:$A,0))="Pending",1,0),0)</f>
        <v>0</v>
      </c>
      <c r="AQ296" s="39" t="str">
        <f t="array" ref="AQ296">IF(C296="","",IFERROR(XLOOKUP(C296,Assignments!$C:$C,Assignments!$AU:$AU,0),0))</f>
        <v/>
      </c>
      <c r="AR296" s="39">
        <f>IF(AND(Config!$B$1006="Y",AQ296=1),Config!$B$1007,0)</f>
        <v>0</v>
      </c>
    </row>
    <row r="297" ht="15.75" customHeight="1">
      <c r="A297" s="46" t="str">
        <f t="shared" si="1"/>
        <v/>
      </c>
      <c r="B297" s="40" t="str">
        <f>IF(Bids!$A296="","",Bids!$A296)</f>
        <v/>
      </c>
      <c r="C297" s="40" t="str">
        <f>IF(Bids!$B296="","",Bids!$B296)</f>
        <v/>
      </c>
      <c r="D297" s="40" t="str">
        <f>IF($C297="","",IFERROR(VLOOKUP($C297,Orders!$A$4:$J$998,9,FALSE),""))</f>
        <v/>
      </c>
      <c r="E297" s="40" t="str">
        <f>IF($C297="","",IFERROR(VLOOKUP($C297,Orders!$A$4:$J$998,3,FALSE),""))</f>
        <v/>
      </c>
      <c r="F297" s="40">
        <f t="shared" si="2"/>
        <v>1</v>
      </c>
      <c r="G297" s="40" t="str">
        <f>IF($C297="","",IFERROR(VLOOKUP($C297,Orders!$A$4:$J$998,4,FALSE),""))</f>
        <v/>
      </c>
      <c r="H297" s="40" t="str">
        <f>IF($C297="","",IFERROR(VLOOKUP($C297,Orders!$A$4:$J$998,5,FALSE),""))</f>
        <v/>
      </c>
      <c r="I297" s="40" t="str">
        <f>IF($C297="","",IFERROR(VLOOKUP($C297,Orders!$A$4:$J$998,6,FALSE),""))</f>
        <v/>
      </c>
      <c r="J297" s="40" t="str">
        <f>IF($C297="","",IFERROR(VLOOKUP($C297,Orders!$A$4:$J$998,7,FALSE),""))</f>
        <v/>
      </c>
      <c r="K297" s="40" t="str">
        <f>IF(Bids!$C296="","",Bids!$C296)</f>
        <v/>
      </c>
      <c r="L297" s="40" t="str">
        <f>IF($K297="","",IFERROR(VLOOKUP($K297,Grinders!$A$4:$N$998,2,FALSE),""))</f>
        <v/>
      </c>
      <c r="M297" s="40" t="str">
        <f>IF($K297="","",IFERROR(VLOOKUP($K297,Grinders!$A$4:$N$998,3,FALSE),""))</f>
        <v/>
      </c>
      <c r="N297" s="40" t="str">
        <f>IF($K297="","",IFERROR(VLOOKUP($K297,Grinders!$A$4:$N$998,4,FALSE),""))</f>
        <v/>
      </c>
      <c r="O297" s="40" t="str">
        <f>IF($K297="","",IFERROR(VLOOKUP($K297,Grinders!$A$4:$N$998,5,FALSE),""))</f>
        <v/>
      </c>
      <c r="P297" s="40" t="str">
        <f>IF($K297="","",IF($C$4="",0,COUNTIFS(Assignments!$B$6:$B$1000,$K297,Assignments!$F$6:$F$1000,$C$4,Assignments!$E$6:$E$1000,"Active")))</f>
        <v/>
      </c>
      <c r="Q297" s="40" t="str">
        <f t="shared" si="3"/>
        <v/>
      </c>
      <c r="R297" s="40" t="str">
        <f t="shared" si="4"/>
        <v/>
      </c>
      <c r="S297" s="40" t="str">
        <f>IF($K297="","",IF($C$4="",0,COUNTIFS(Assignments!$B$6:$B$1000,$K297,Assignments!$F$6:$F$1000,$C$4,Assignments!$D$6:$D$1000,"&gt;="&amp;Config!$B$3-7,Assignments!$D$6:$D$1000,"&lt;="&amp;Config!$B$3)))</f>
        <v/>
      </c>
      <c r="T297" s="40" t="str">
        <f>IF($K297="","",IFERROR(VLOOKUP($K297,Grinders!$A$4:$N$998,8,FALSE),""))</f>
        <v/>
      </c>
      <c r="U297" s="40" t="str">
        <f>IFERROR(IF($K297="","",IF($M297="Elite",MAX(50,MIN(100,Config!$B$27*MAX(0,MIN(100,(1-IF($R297="",0,$R297))*100)) + Config!$B$28*MAX(0,MIN(100,(1-MIN(1,IF(Config!$B$30=0,1,$S297/Config!$B$30)))*100)) + Config!$B$29*MAX(0,MIN(100,MIN(1,IF($T297="",0,$T297)/Config!$B$23)*100)))),MIN(100,Config!$B$27*MAX(0,MIN(100,(1-IF($R297="",0,$R297))*100)) + Config!$B$28*MAX(0,MIN(100,(1-MIN(1,IF(Config!$B$30=0,1,$S297/Config!$B$30)))*100)) + Config!$B$29*MAX(0,MIN(100,MIN(1,IF($T297="",0,$T297)/Config!$B$23)*100))))),"")
</f>
        <v/>
      </c>
      <c r="V297" s="40" t="str">
        <f>IF(Bids!$AC297="","",Bids!$AC297)</f>
        <v/>
      </c>
      <c r="W297" s="40" t="str">
        <f>IF(Bids!$F296="","",Bids!$F296)</f>
        <v/>
      </c>
      <c r="X297" s="40" t="str">
        <f t="shared" si="5"/>
        <v/>
      </c>
      <c r="Y297" s="40" t="str">
        <f>IF($X297="","",IF(Config!$B$17=Config!$B$16,IF($X297&gt;=Config!$B$17,100,0),MAX(0,MIN(100,($X297-Config!$B$16)/(Config!$B$17-Config!$B$16)*100))))</f>
        <v/>
      </c>
      <c r="Z297" s="40">
        <f>IF($M297="Elite",Config!$B$21,0)</f>
        <v>0</v>
      </c>
      <c r="AA297" s="40" t="str">
        <f>IFERROR(IF(OR($W297="",$H297=""),"",IF($W297&gt;$H297,
  MAX(0, 60-(($W297-$H297)*24/Config!$B$19)*60),
  MIN(100, 60+(($H297-$W297)*24/Config!$B$20)*40)
)),"")
</f>
        <v/>
      </c>
      <c r="AB297" s="40" t="str">
        <f>IF($K297="","",IFERROR(VLOOKUP($K297,Grinders!$A$4:$N$998,10,FALSE)/5*100,""))</f>
        <v/>
      </c>
      <c r="AC297" s="40" t="str">
        <f>IF($K297="","",IFERROR(VLOOKUP($K297,Grinders!$A$4:$N$998,11,FALSE)*100,""))</f>
        <v/>
      </c>
      <c r="AD297" s="40" t="str">
        <f>IF($K297="","",IFERROR(VLOOKUP($K297,Grinders!$A$4:$N$998,12,FALSE)*100,""))</f>
        <v/>
      </c>
      <c r="AE297" s="40" t="str">
        <f>IF(OR(AO297=1,AP297=1),0,=IFERROR(IFS(
    OR($C297="", $K297=""), 0,
    $F297=0, 0,
    $D297&lt;&gt;"Open", 0,
    COUNTIFS(GrinderServices!$A$6:$A$1000, $K297, GrinderServices!$B$6:$B$1000, $E297, GrinderServices!$D$6:$D$1000, "Y")=0, 0,
    $X297&lt;Config!$B$16, 0,
    Config!$B$18=1, IF($O297&gt;=N297, 0, 1),
    TRUE, 1
), "")
)</f>
        <v>#ERROR!</v>
      </c>
      <c r="AF297" s="40" t="str">
        <f>IFERROR((IF(OR(AO297=1,AP297=1),"",=IFERROR((IFERROR(IF($AE297=0,"",((Config!$B$6*$Y297 + Config!$B$7*$U297 + Config!$B$8*$Z297 + Config!$B$9*$AA297 + Config!$B$10*$AB297 + Config!$B$11*$AC297 - Config!$B$12*$AD297)/Config!$B$13)+$AK297+$AL297),""))*(1-IFERROR(VLOOKUP(K297,Grinders!$A:$AB, 28, FALSE),0)),"")))*(1+AR297),"")</f>
        <v>#ERROR!</v>
      </c>
      <c r="AG297" s="40" t="str">
        <f t="shared" si="6"/>
        <v>#ERROR!</v>
      </c>
      <c r="AH297" s="40" t="str">
        <f t="shared" si="7"/>
        <v/>
      </c>
      <c r="AI297" s="40" t="str">
        <f t="shared" si="8"/>
        <v/>
      </c>
      <c r="AJ297" s="40" t="str">
        <f>IF($K297="","",COUNTIF(Assignments!$B$6:$B$1000,$K297))</f>
        <v/>
      </c>
      <c r="AK297" s="40" t="str">
        <f>IF($K297="","",IF(AND($AJ297=0,$O297&lt;$N297),Config!$B$43,0))</f>
        <v/>
      </c>
      <c r="AL297" s="40" t="str">
        <f>IF($K297="","",IF(AND($M297="Elite",$G297&gt;=Config!$B$41,$O297&lt;$N297),Config!$B$42,0))</f>
        <v/>
      </c>
      <c r="AM297" s="22"/>
      <c r="AN297" s="39">
        <f>IFERROR(VLOOKUP(K297,Grinders!$A:$Q,28,FALSE),0)</f>
        <v>0</v>
      </c>
      <c r="AO297" s="39">
        <f>IF(Config!$B$1003&lt;&gt;"Y",0,IF(IFERROR(VLOOKUP(K297,Grinders!$A:$P,27,FALSE),0)&gt;=3,IF(OR(G297&gt;=Config!$B$1001,ISNUMBER(SEARCH(E297,Config!$B$1002))),1,0),0))</f>
        <v>0</v>
      </c>
      <c r="AP297" s="39">
        <f t="array" ref="AP297">IFERROR(IF(INDEX(Bids!$AE:$AE,MATCH(B297,Bids!$A:$A,0))="Pending",1,0),0)</f>
        <v>0</v>
      </c>
      <c r="AQ297" s="39" t="str">
        <f t="array" ref="AQ297">IF(C297="","",IFERROR(XLOOKUP(C297,Assignments!$C:$C,Assignments!$AU:$AU,0),0))</f>
        <v/>
      </c>
      <c r="AR297" s="39">
        <f>IF(AND(Config!$B$1006="Y",AQ297=1),Config!$B$1007,0)</f>
        <v>0</v>
      </c>
    </row>
    <row r="298" ht="15.75" customHeight="1">
      <c r="A298" s="46" t="str">
        <f t="shared" si="1"/>
        <v/>
      </c>
      <c r="B298" s="40" t="str">
        <f>IF(Bids!$A297="","",Bids!$A297)</f>
        <v/>
      </c>
      <c r="C298" s="40" t="str">
        <f>IF(Bids!$B297="","",Bids!$B297)</f>
        <v/>
      </c>
      <c r="D298" s="40" t="str">
        <f>IF($C298="","",IFERROR(VLOOKUP($C298,Orders!$A$4:$J$998,9,FALSE),""))</f>
        <v/>
      </c>
      <c r="E298" s="40" t="str">
        <f>IF($C298="","",IFERROR(VLOOKUP($C298,Orders!$A$4:$J$998,3,FALSE),""))</f>
        <v/>
      </c>
      <c r="F298" s="40">
        <f t="shared" si="2"/>
        <v>1</v>
      </c>
      <c r="G298" s="40" t="str">
        <f>IF($C298="","",IFERROR(VLOOKUP($C298,Orders!$A$4:$J$998,4,FALSE),""))</f>
        <v/>
      </c>
      <c r="H298" s="40" t="str">
        <f>IF($C298="","",IFERROR(VLOOKUP($C298,Orders!$A$4:$J$998,5,FALSE),""))</f>
        <v/>
      </c>
      <c r="I298" s="40" t="str">
        <f>IF($C298="","",IFERROR(VLOOKUP($C298,Orders!$A$4:$J$998,6,FALSE),""))</f>
        <v/>
      </c>
      <c r="J298" s="40" t="str">
        <f>IF($C298="","",IFERROR(VLOOKUP($C298,Orders!$A$4:$J$998,7,FALSE),""))</f>
        <v/>
      </c>
      <c r="K298" s="40" t="str">
        <f>IF(Bids!$C297="","",Bids!$C297)</f>
        <v/>
      </c>
      <c r="L298" s="40" t="str">
        <f>IF($K298="","",IFERROR(VLOOKUP($K298,Grinders!$A$4:$N$998,2,FALSE),""))</f>
        <v/>
      </c>
      <c r="M298" s="40" t="str">
        <f>IF($K298="","",IFERROR(VLOOKUP($K298,Grinders!$A$4:$N$998,3,FALSE),""))</f>
        <v/>
      </c>
      <c r="N298" s="40" t="str">
        <f>IF($K298="","",IFERROR(VLOOKUP($K298,Grinders!$A$4:$N$998,4,FALSE),""))</f>
        <v/>
      </c>
      <c r="O298" s="40" t="str">
        <f>IF($K298="","",IFERROR(VLOOKUP($K298,Grinders!$A$4:$N$998,5,FALSE),""))</f>
        <v/>
      </c>
      <c r="P298" s="40" t="str">
        <f>IF($K298="","",IF($C$4="",0,COUNTIFS(Assignments!$B$6:$B$1000,$K298,Assignments!$F$6:$F$1000,$C$4,Assignments!$E$6:$E$1000,"Active")))</f>
        <v/>
      </c>
      <c r="Q298" s="40" t="str">
        <f t="shared" si="3"/>
        <v/>
      </c>
      <c r="R298" s="40" t="str">
        <f t="shared" si="4"/>
        <v/>
      </c>
      <c r="S298" s="40" t="str">
        <f>IF($K298="","",IF($C$4="",0,COUNTIFS(Assignments!$B$6:$B$1000,$K298,Assignments!$F$6:$F$1000,$C$4,Assignments!$D$6:$D$1000,"&gt;="&amp;Config!$B$3-7,Assignments!$D$6:$D$1000,"&lt;="&amp;Config!$B$3)))</f>
        <v/>
      </c>
      <c r="T298" s="40" t="str">
        <f>IF($K298="","",IFERROR(VLOOKUP($K298,Grinders!$A$4:$N$998,8,FALSE),""))</f>
        <v/>
      </c>
      <c r="U298" s="40" t="str">
        <f>IFERROR(IF($K298="","",IF($M298="Elite",MAX(50,MIN(100,Config!$B$27*MAX(0,MIN(100,(1-IF($R298="",0,$R298))*100)) + Config!$B$28*MAX(0,MIN(100,(1-MIN(1,IF(Config!$B$30=0,1,$S298/Config!$B$30)))*100)) + Config!$B$29*MAX(0,MIN(100,MIN(1,IF($T298="",0,$T298)/Config!$B$23)*100)))),MIN(100,Config!$B$27*MAX(0,MIN(100,(1-IF($R298="",0,$R298))*100)) + Config!$B$28*MAX(0,MIN(100,(1-MIN(1,IF(Config!$B$30=0,1,$S298/Config!$B$30)))*100)) + Config!$B$29*MAX(0,MIN(100,MIN(1,IF($T298="",0,$T298)/Config!$B$23)*100))))),"")
</f>
        <v/>
      </c>
      <c r="V298" s="40" t="str">
        <f>IF(Bids!$AC298="","",Bids!$AC298)</f>
        <v/>
      </c>
      <c r="W298" s="40" t="str">
        <f>IF(Bids!$F297="","",Bids!$F297)</f>
        <v/>
      </c>
      <c r="X298" s="40" t="str">
        <f t="shared" si="5"/>
        <v/>
      </c>
      <c r="Y298" s="40" t="str">
        <f>IF($X298="","",IF(Config!$B$17=Config!$B$16,IF($X298&gt;=Config!$B$17,100,0),MAX(0,MIN(100,($X298-Config!$B$16)/(Config!$B$17-Config!$B$16)*100))))</f>
        <v/>
      </c>
      <c r="Z298" s="40">
        <f>IF($M298="Elite",Config!$B$21,0)</f>
        <v>0</v>
      </c>
      <c r="AA298" s="40" t="str">
        <f>IFERROR(IF(OR($W298="",$H298=""),"",IF($W298&gt;$H298,
  MAX(0, 60-(($W298-$H298)*24/Config!$B$19)*60),
  MIN(100, 60+(($H298-$W298)*24/Config!$B$20)*40)
)),"")
</f>
        <v/>
      </c>
      <c r="AB298" s="40" t="str">
        <f>IF($K298="","",IFERROR(VLOOKUP($K298,Grinders!$A$4:$N$998,10,FALSE)/5*100,""))</f>
        <v/>
      </c>
      <c r="AC298" s="40" t="str">
        <f>IF($K298="","",IFERROR(VLOOKUP($K298,Grinders!$A$4:$N$998,11,FALSE)*100,""))</f>
        <v/>
      </c>
      <c r="AD298" s="40" t="str">
        <f>IF($K298="","",IFERROR(VLOOKUP($K298,Grinders!$A$4:$N$998,12,FALSE)*100,""))</f>
        <v/>
      </c>
      <c r="AE298" s="40" t="str">
        <f>IF(OR(AO298=1,AP298=1),0,=IFERROR(IFS(
    OR($C298="", $K298=""), 0,
    $F298=0, 0,
    $D298&lt;&gt;"Open", 0,
    COUNTIFS(GrinderServices!$A$6:$A$1000, $K298, GrinderServices!$B$6:$B$1000, $E298, GrinderServices!$D$6:$D$1000, "Y")=0, 0,
    $X298&lt;Config!$B$16, 0,
    Config!$B$18=1, IF($O298&gt;=N298, 0, 1),
    TRUE, 1
), "")
)</f>
        <v>#ERROR!</v>
      </c>
      <c r="AF298" s="40" t="str">
        <f>IFERROR((IF(OR(AO298=1,AP298=1),"",=IFERROR((IFERROR(IF($AE298=0,"",((Config!$B$6*$Y298 + Config!$B$7*$U298 + Config!$B$8*$Z298 + Config!$B$9*$AA298 + Config!$B$10*$AB298 + Config!$B$11*$AC298 - Config!$B$12*$AD298)/Config!$B$13)+$AK298+$AL298),""))*(1-IFERROR(VLOOKUP(K298,Grinders!$A:$AB, 28, FALSE),0)),"")))*(1+AR298),"")</f>
        <v>#ERROR!</v>
      </c>
      <c r="AG298" s="40" t="str">
        <f t="shared" si="6"/>
        <v>#ERROR!</v>
      </c>
      <c r="AH298" s="40" t="str">
        <f t="shared" si="7"/>
        <v/>
      </c>
      <c r="AI298" s="40" t="str">
        <f t="shared" si="8"/>
        <v/>
      </c>
      <c r="AJ298" s="40" t="str">
        <f>IF($K298="","",COUNTIF(Assignments!$B$6:$B$1000,$K298))</f>
        <v/>
      </c>
      <c r="AK298" s="40" t="str">
        <f>IF($K298="","",IF(AND($AJ298=0,$O298&lt;$N298),Config!$B$43,0))</f>
        <v/>
      </c>
      <c r="AL298" s="40" t="str">
        <f>IF($K298="","",IF(AND($M298="Elite",$G298&gt;=Config!$B$41,$O298&lt;$N298),Config!$B$42,0))</f>
        <v/>
      </c>
      <c r="AM298" s="22"/>
      <c r="AN298" s="39">
        <f>IFERROR(VLOOKUP(K298,Grinders!$A:$Q,28,FALSE),0)</f>
        <v>0</v>
      </c>
      <c r="AO298" s="39">
        <f>IF(Config!$B$1003&lt;&gt;"Y",0,IF(IFERROR(VLOOKUP(K298,Grinders!$A:$P,27,FALSE),0)&gt;=3,IF(OR(G298&gt;=Config!$B$1001,ISNUMBER(SEARCH(E298,Config!$B$1002))),1,0),0))</f>
        <v>0</v>
      </c>
      <c r="AP298" s="39">
        <f t="array" ref="AP298">IFERROR(IF(INDEX(Bids!$AE:$AE,MATCH(B298,Bids!$A:$A,0))="Pending",1,0),0)</f>
        <v>0</v>
      </c>
      <c r="AQ298" s="39" t="str">
        <f t="array" ref="AQ298">IF(C298="","",IFERROR(XLOOKUP(C298,Assignments!$C:$C,Assignments!$AU:$AU,0),0))</f>
        <v/>
      </c>
      <c r="AR298" s="39">
        <f>IF(AND(Config!$B$1006="Y",AQ298=1),Config!$B$1007,0)</f>
        <v>0</v>
      </c>
    </row>
    <row r="299" ht="15.75" customHeight="1">
      <c r="A299" s="46" t="str">
        <f t="shared" si="1"/>
        <v/>
      </c>
      <c r="B299" s="40" t="str">
        <f>IF(Bids!$A298="","",Bids!$A298)</f>
        <v/>
      </c>
      <c r="C299" s="40" t="str">
        <f>IF(Bids!$B298="","",Bids!$B298)</f>
        <v/>
      </c>
      <c r="D299" s="40" t="str">
        <f>IF($C299="","",IFERROR(VLOOKUP($C299,Orders!$A$4:$J$998,9,FALSE),""))</f>
        <v/>
      </c>
      <c r="E299" s="40" t="str">
        <f>IF($C299="","",IFERROR(VLOOKUP($C299,Orders!$A$4:$J$998,3,FALSE),""))</f>
        <v/>
      </c>
      <c r="F299" s="40">
        <f t="shared" si="2"/>
        <v>1</v>
      </c>
      <c r="G299" s="40" t="str">
        <f>IF($C299="","",IFERROR(VLOOKUP($C299,Orders!$A$4:$J$998,4,FALSE),""))</f>
        <v/>
      </c>
      <c r="H299" s="40" t="str">
        <f>IF($C299="","",IFERROR(VLOOKUP($C299,Orders!$A$4:$J$998,5,FALSE),""))</f>
        <v/>
      </c>
      <c r="I299" s="40" t="str">
        <f>IF($C299="","",IFERROR(VLOOKUP($C299,Orders!$A$4:$J$998,6,FALSE),""))</f>
        <v/>
      </c>
      <c r="J299" s="40" t="str">
        <f>IF($C299="","",IFERROR(VLOOKUP($C299,Orders!$A$4:$J$998,7,FALSE),""))</f>
        <v/>
      </c>
      <c r="K299" s="40" t="str">
        <f>IF(Bids!$C298="","",Bids!$C298)</f>
        <v/>
      </c>
      <c r="L299" s="40" t="str">
        <f>IF($K299="","",IFERROR(VLOOKUP($K299,Grinders!$A$4:$N$998,2,FALSE),""))</f>
        <v/>
      </c>
      <c r="M299" s="40" t="str">
        <f>IF($K299="","",IFERROR(VLOOKUP($K299,Grinders!$A$4:$N$998,3,FALSE),""))</f>
        <v/>
      </c>
      <c r="N299" s="40" t="str">
        <f>IF($K299="","",IFERROR(VLOOKUP($K299,Grinders!$A$4:$N$998,4,FALSE),""))</f>
        <v/>
      </c>
      <c r="O299" s="40" t="str">
        <f>IF($K299="","",IFERROR(VLOOKUP($K299,Grinders!$A$4:$N$998,5,FALSE),""))</f>
        <v/>
      </c>
      <c r="P299" s="40" t="str">
        <f>IF($K299="","",IF($C$4="",0,COUNTIFS(Assignments!$B$6:$B$1000,$K299,Assignments!$F$6:$F$1000,$C$4,Assignments!$E$6:$E$1000,"Active")))</f>
        <v/>
      </c>
      <c r="Q299" s="40" t="str">
        <f t="shared" si="3"/>
        <v/>
      </c>
      <c r="R299" s="40" t="str">
        <f t="shared" si="4"/>
        <v/>
      </c>
      <c r="S299" s="40" t="str">
        <f>IF($K299="","",IF($C$4="",0,COUNTIFS(Assignments!$B$6:$B$1000,$K299,Assignments!$F$6:$F$1000,$C$4,Assignments!$D$6:$D$1000,"&gt;="&amp;Config!$B$3-7,Assignments!$D$6:$D$1000,"&lt;="&amp;Config!$B$3)))</f>
        <v/>
      </c>
      <c r="T299" s="40" t="str">
        <f>IF($K299="","",IFERROR(VLOOKUP($K299,Grinders!$A$4:$N$998,8,FALSE),""))</f>
        <v/>
      </c>
      <c r="U299" s="40" t="str">
        <f>IFERROR(IF($K299="","",IF($M299="Elite",MAX(50,MIN(100,Config!$B$27*MAX(0,MIN(100,(1-IF($R299="",0,$R299))*100)) + Config!$B$28*MAX(0,MIN(100,(1-MIN(1,IF(Config!$B$30=0,1,$S299/Config!$B$30)))*100)) + Config!$B$29*MAX(0,MIN(100,MIN(1,IF($T299="",0,$T299)/Config!$B$23)*100)))),MIN(100,Config!$B$27*MAX(0,MIN(100,(1-IF($R299="",0,$R299))*100)) + Config!$B$28*MAX(0,MIN(100,(1-MIN(1,IF(Config!$B$30=0,1,$S299/Config!$B$30)))*100)) + Config!$B$29*MAX(0,MIN(100,MIN(1,IF($T299="",0,$T299)/Config!$B$23)*100))))),"")
</f>
        <v/>
      </c>
      <c r="V299" s="40" t="str">
        <f>IF(Bids!$AC299="","",Bids!$AC299)</f>
        <v/>
      </c>
      <c r="W299" s="40" t="str">
        <f>IF(Bids!$F298="","",Bids!$F298)</f>
        <v/>
      </c>
      <c r="X299" s="40" t="str">
        <f t="shared" si="5"/>
        <v/>
      </c>
      <c r="Y299" s="40" t="str">
        <f>IF($X299="","",IF(Config!$B$17=Config!$B$16,IF($X299&gt;=Config!$B$17,100,0),MAX(0,MIN(100,($X299-Config!$B$16)/(Config!$B$17-Config!$B$16)*100))))</f>
        <v/>
      </c>
      <c r="Z299" s="40">
        <f>IF($M299="Elite",Config!$B$21,0)</f>
        <v>0</v>
      </c>
      <c r="AA299" s="40" t="str">
        <f>IFERROR(IF(OR($W299="",$H299=""),"",IF($W299&gt;$H299,
  MAX(0, 60-(($W299-$H299)*24/Config!$B$19)*60),
  MIN(100, 60+(($H299-$W299)*24/Config!$B$20)*40)
)),"")
</f>
        <v/>
      </c>
      <c r="AB299" s="40" t="str">
        <f>IF($K299="","",IFERROR(VLOOKUP($K299,Grinders!$A$4:$N$998,10,FALSE)/5*100,""))</f>
        <v/>
      </c>
      <c r="AC299" s="40" t="str">
        <f>IF($K299="","",IFERROR(VLOOKUP($K299,Grinders!$A$4:$N$998,11,FALSE)*100,""))</f>
        <v/>
      </c>
      <c r="AD299" s="40" t="str">
        <f>IF($K299="","",IFERROR(VLOOKUP($K299,Grinders!$A$4:$N$998,12,FALSE)*100,""))</f>
        <v/>
      </c>
      <c r="AE299" s="40" t="str">
        <f>IF(OR(AO299=1,AP299=1),0,=IFERROR(IFS(
    OR($C299="", $K299=""), 0,
    $F299=0, 0,
    $D299&lt;&gt;"Open", 0,
    COUNTIFS(GrinderServices!$A$6:$A$1000, $K299, GrinderServices!$B$6:$B$1000, $E299, GrinderServices!$D$6:$D$1000, "Y")=0, 0,
    $X299&lt;Config!$B$16, 0,
    Config!$B$18=1, IF($O299&gt;=N299, 0, 1),
    TRUE, 1
), "")
)</f>
        <v>#ERROR!</v>
      </c>
      <c r="AF299" s="40" t="str">
        <f>IFERROR((IF(OR(AO299=1,AP299=1),"",=IFERROR((IFERROR(IF($AE299=0,"",((Config!$B$6*$Y299 + Config!$B$7*$U299 + Config!$B$8*$Z299 + Config!$B$9*$AA299 + Config!$B$10*$AB299 + Config!$B$11*$AC299 - Config!$B$12*$AD299)/Config!$B$13)+$AK299+$AL299),""))*(1-IFERROR(VLOOKUP(K299,Grinders!$A:$AB, 28, FALSE),0)),"")))*(1+AR299),"")</f>
        <v>#ERROR!</v>
      </c>
      <c r="AG299" s="40" t="str">
        <f t="shared" si="6"/>
        <v>#ERROR!</v>
      </c>
      <c r="AH299" s="40" t="str">
        <f t="shared" si="7"/>
        <v/>
      </c>
      <c r="AI299" s="40" t="str">
        <f t="shared" si="8"/>
        <v/>
      </c>
      <c r="AJ299" s="40" t="str">
        <f>IF($K299="","",COUNTIF(Assignments!$B$6:$B$1000,$K299))</f>
        <v/>
      </c>
      <c r="AK299" s="40" t="str">
        <f>IF($K299="","",IF(AND($AJ299=0,$O299&lt;$N299),Config!$B$43,0))</f>
        <v/>
      </c>
      <c r="AL299" s="40" t="str">
        <f>IF($K299="","",IF(AND($M299="Elite",$G299&gt;=Config!$B$41,$O299&lt;$N299),Config!$B$42,0))</f>
        <v/>
      </c>
      <c r="AM299" s="22"/>
      <c r="AN299" s="39">
        <f>IFERROR(VLOOKUP(K299,Grinders!$A:$Q,28,FALSE),0)</f>
        <v>0</v>
      </c>
      <c r="AO299" s="39">
        <f>IF(Config!$B$1003&lt;&gt;"Y",0,IF(IFERROR(VLOOKUP(K299,Grinders!$A:$P,27,FALSE),0)&gt;=3,IF(OR(G299&gt;=Config!$B$1001,ISNUMBER(SEARCH(E299,Config!$B$1002))),1,0),0))</f>
        <v>0</v>
      </c>
      <c r="AP299" s="39">
        <f t="array" ref="AP299">IFERROR(IF(INDEX(Bids!$AE:$AE,MATCH(B299,Bids!$A:$A,0))="Pending",1,0),0)</f>
        <v>0</v>
      </c>
      <c r="AQ299" s="39" t="str">
        <f t="array" ref="AQ299">IF(C299="","",IFERROR(XLOOKUP(C299,Assignments!$C:$C,Assignments!$AU:$AU,0),0))</f>
        <v/>
      </c>
      <c r="AR299" s="39">
        <f>IF(AND(Config!$B$1006="Y",AQ299=1),Config!$B$1007,0)</f>
        <v>0</v>
      </c>
    </row>
    <row r="300" ht="15.75" customHeight="1">
      <c r="A300" s="46" t="str">
        <f t="shared" si="1"/>
        <v/>
      </c>
      <c r="B300" s="40" t="str">
        <f>IF(Bids!$A299="","",Bids!$A299)</f>
        <v/>
      </c>
      <c r="C300" s="40" t="str">
        <f>IF(Bids!$B299="","",Bids!$B299)</f>
        <v/>
      </c>
      <c r="D300" s="40" t="str">
        <f>IF($C300="","",IFERROR(VLOOKUP($C300,Orders!$A$4:$J$998,9,FALSE),""))</f>
        <v/>
      </c>
      <c r="E300" s="40" t="str">
        <f>IF($C300="","",IFERROR(VLOOKUP($C300,Orders!$A$4:$J$998,3,FALSE),""))</f>
        <v/>
      </c>
      <c r="F300" s="40">
        <f t="shared" si="2"/>
        <v>1</v>
      </c>
      <c r="G300" s="40" t="str">
        <f>IF($C300="","",IFERROR(VLOOKUP($C300,Orders!$A$4:$J$998,4,FALSE),""))</f>
        <v/>
      </c>
      <c r="H300" s="40" t="str">
        <f>IF($C300="","",IFERROR(VLOOKUP($C300,Orders!$A$4:$J$998,5,FALSE),""))</f>
        <v/>
      </c>
      <c r="I300" s="40" t="str">
        <f>IF($C300="","",IFERROR(VLOOKUP($C300,Orders!$A$4:$J$998,6,FALSE),""))</f>
        <v/>
      </c>
      <c r="J300" s="40" t="str">
        <f>IF($C300="","",IFERROR(VLOOKUP($C300,Orders!$A$4:$J$998,7,FALSE),""))</f>
        <v/>
      </c>
      <c r="K300" s="40" t="str">
        <f>IF(Bids!$C299="","",Bids!$C299)</f>
        <v/>
      </c>
      <c r="L300" s="40" t="str">
        <f>IF($K300="","",IFERROR(VLOOKUP($K300,Grinders!$A$4:$N$998,2,FALSE),""))</f>
        <v/>
      </c>
      <c r="M300" s="40" t="str">
        <f>IF($K300="","",IFERROR(VLOOKUP($K300,Grinders!$A$4:$N$998,3,FALSE),""))</f>
        <v/>
      </c>
      <c r="N300" s="40" t="str">
        <f>IF($K300="","",IFERROR(VLOOKUP($K300,Grinders!$A$4:$N$998,4,FALSE),""))</f>
        <v/>
      </c>
      <c r="O300" s="40" t="str">
        <f>IF($K300="","",IFERROR(VLOOKUP($K300,Grinders!$A$4:$N$998,5,FALSE),""))</f>
        <v/>
      </c>
      <c r="P300" s="40" t="str">
        <f>IF($K300="","",IF($C$4="",0,COUNTIFS(Assignments!$B$6:$B$1000,$K300,Assignments!$F$6:$F$1000,$C$4,Assignments!$E$6:$E$1000,"Active")))</f>
        <v/>
      </c>
      <c r="Q300" s="40" t="str">
        <f t="shared" si="3"/>
        <v/>
      </c>
      <c r="R300" s="40" t="str">
        <f t="shared" si="4"/>
        <v/>
      </c>
      <c r="S300" s="40" t="str">
        <f>IF($K300="","",IF($C$4="",0,COUNTIFS(Assignments!$B$6:$B$1000,$K300,Assignments!$F$6:$F$1000,$C$4,Assignments!$D$6:$D$1000,"&gt;="&amp;Config!$B$3-7,Assignments!$D$6:$D$1000,"&lt;="&amp;Config!$B$3)))</f>
        <v/>
      </c>
      <c r="T300" s="40" t="str">
        <f>IF($K300="","",IFERROR(VLOOKUP($K300,Grinders!$A$4:$N$998,8,FALSE),""))</f>
        <v/>
      </c>
      <c r="U300" s="40" t="str">
        <f>IFERROR(IF($K300="","",IF($M300="Elite",MAX(50,MIN(100,Config!$B$27*MAX(0,MIN(100,(1-IF($R300="",0,$R300))*100)) + Config!$B$28*MAX(0,MIN(100,(1-MIN(1,IF(Config!$B$30=0,1,$S300/Config!$B$30)))*100)) + Config!$B$29*MAX(0,MIN(100,MIN(1,IF($T300="",0,$T300)/Config!$B$23)*100)))),MIN(100,Config!$B$27*MAX(0,MIN(100,(1-IF($R300="",0,$R300))*100)) + Config!$B$28*MAX(0,MIN(100,(1-MIN(1,IF(Config!$B$30=0,1,$S300/Config!$B$30)))*100)) + Config!$B$29*MAX(0,MIN(100,MIN(1,IF($T300="",0,$T300)/Config!$B$23)*100))))),"")
</f>
        <v/>
      </c>
      <c r="V300" s="40" t="str">
        <f>IF(Bids!$AC300="","",Bids!$AC300)</f>
        <v/>
      </c>
      <c r="W300" s="40" t="str">
        <f>IF(Bids!$F299="","",Bids!$F299)</f>
        <v/>
      </c>
      <c r="X300" s="40" t="str">
        <f t="shared" si="5"/>
        <v/>
      </c>
      <c r="Y300" s="40" t="str">
        <f>IF($X300="","",IF(Config!$B$17=Config!$B$16,IF($X300&gt;=Config!$B$17,100,0),MAX(0,MIN(100,($X300-Config!$B$16)/(Config!$B$17-Config!$B$16)*100))))</f>
        <v/>
      </c>
      <c r="Z300" s="40">
        <f>IF($M300="Elite",Config!$B$21,0)</f>
        <v>0</v>
      </c>
      <c r="AA300" s="40" t="str">
        <f>IFERROR(IF(OR($W300="",$H300=""),"",IF($W300&gt;$H300,
  MAX(0, 60-(($W300-$H300)*24/Config!$B$19)*60),
  MIN(100, 60+(($H300-$W300)*24/Config!$B$20)*40)
)),"")
</f>
        <v/>
      </c>
      <c r="AB300" s="40" t="str">
        <f>IF($K300="","",IFERROR(VLOOKUP($K300,Grinders!$A$4:$N$998,10,FALSE)/5*100,""))</f>
        <v/>
      </c>
      <c r="AC300" s="40" t="str">
        <f>IF($K300="","",IFERROR(VLOOKUP($K300,Grinders!$A$4:$N$998,11,FALSE)*100,""))</f>
        <v/>
      </c>
      <c r="AD300" s="40" t="str">
        <f>IF($K300="","",IFERROR(VLOOKUP($K300,Grinders!$A$4:$N$998,12,FALSE)*100,""))</f>
        <v/>
      </c>
      <c r="AE300" s="40" t="str">
        <f>IF(OR(AO300=1,AP300=1),0,=IFERROR(IFS(
    OR($C300="", $K300=""), 0,
    $F300=0, 0,
    $D300&lt;&gt;"Open", 0,
    COUNTIFS(GrinderServices!$A$6:$A$1000, $K300, GrinderServices!$B$6:$B$1000, $E300, GrinderServices!$D$6:$D$1000, "Y")=0, 0,
    $X300&lt;Config!$B$16, 0,
    Config!$B$18=1, IF($O300&gt;=N300, 0, 1),
    TRUE, 1
), "")
)</f>
        <v>#ERROR!</v>
      </c>
      <c r="AF300" s="40" t="str">
        <f>IFERROR((IF(OR(AO300=1,AP300=1),"",=IFERROR((IFERROR(IF($AE300=0,"",((Config!$B$6*$Y300 + Config!$B$7*$U300 + Config!$B$8*$Z300 + Config!$B$9*$AA300 + Config!$B$10*$AB300 + Config!$B$11*$AC300 - Config!$B$12*$AD300)/Config!$B$13)+$AK300+$AL300),""))*(1-IFERROR(VLOOKUP(K300,Grinders!$A:$AB, 28, FALSE),0)),"")))*(1+AR300),"")</f>
        <v>#ERROR!</v>
      </c>
      <c r="AG300" s="40" t="str">
        <f t="shared" si="6"/>
        <v>#ERROR!</v>
      </c>
      <c r="AH300" s="40" t="str">
        <f t="shared" si="7"/>
        <v/>
      </c>
      <c r="AI300" s="40" t="str">
        <f t="shared" si="8"/>
        <v/>
      </c>
      <c r="AJ300" s="40" t="str">
        <f>IF($K300="","",COUNTIF(Assignments!$B$6:$B$1000,$K300))</f>
        <v/>
      </c>
      <c r="AK300" s="40" t="str">
        <f>IF($K300="","",IF(AND($AJ300=0,$O300&lt;$N300),Config!$B$43,0))</f>
        <v/>
      </c>
      <c r="AL300" s="40" t="str">
        <f>IF($K300="","",IF(AND($M300="Elite",$G300&gt;=Config!$B$41,$O300&lt;$N300),Config!$B$42,0))</f>
        <v/>
      </c>
      <c r="AM300" s="22"/>
      <c r="AN300" s="39">
        <f>IFERROR(VLOOKUP(K300,Grinders!$A:$Q,28,FALSE),0)</f>
        <v>0</v>
      </c>
      <c r="AO300" s="39">
        <f>IF(Config!$B$1003&lt;&gt;"Y",0,IF(IFERROR(VLOOKUP(K300,Grinders!$A:$P,27,FALSE),0)&gt;=3,IF(OR(G300&gt;=Config!$B$1001,ISNUMBER(SEARCH(E300,Config!$B$1002))),1,0),0))</f>
        <v>0</v>
      </c>
      <c r="AP300" s="39">
        <f t="array" ref="AP300">IFERROR(IF(INDEX(Bids!$AE:$AE,MATCH(B300,Bids!$A:$A,0))="Pending",1,0),0)</f>
        <v>0</v>
      </c>
      <c r="AQ300" s="39" t="str">
        <f t="array" ref="AQ300">IF(C300="","",IFERROR(XLOOKUP(C300,Assignments!$C:$C,Assignments!$AU:$AU,0),0))</f>
        <v/>
      </c>
      <c r="AR300" s="39">
        <f>IF(AND(Config!$B$1006="Y",AQ300=1),Config!$B$1007,0)</f>
        <v>0</v>
      </c>
    </row>
    <row r="301" ht="15.75" customHeight="1">
      <c r="A301" s="46" t="str">
        <f t="shared" si="1"/>
        <v/>
      </c>
      <c r="B301" s="40" t="str">
        <f>IF(Bids!$A300="","",Bids!$A300)</f>
        <v/>
      </c>
      <c r="C301" s="40" t="str">
        <f>IF(Bids!$B300="","",Bids!$B300)</f>
        <v/>
      </c>
      <c r="D301" s="40" t="str">
        <f>IF($C301="","",IFERROR(VLOOKUP($C301,Orders!$A$4:$J$998,9,FALSE),""))</f>
        <v/>
      </c>
      <c r="E301" s="40" t="str">
        <f>IF($C301="","",IFERROR(VLOOKUP($C301,Orders!$A$4:$J$998,3,FALSE),""))</f>
        <v/>
      </c>
      <c r="F301" s="40">
        <f t="shared" si="2"/>
        <v>1</v>
      </c>
      <c r="G301" s="40" t="str">
        <f>IF($C301="","",IFERROR(VLOOKUP($C301,Orders!$A$4:$J$998,4,FALSE),""))</f>
        <v/>
      </c>
      <c r="H301" s="40" t="str">
        <f>IF($C301="","",IFERROR(VLOOKUP($C301,Orders!$A$4:$J$998,5,FALSE),""))</f>
        <v/>
      </c>
      <c r="I301" s="40" t="str">
        <f>IF($C301="","",IFERROR(VLOOKUP($C301,Orders!$A$4:$J$998,6,FALSE),""))</f>
        <v/>
      </c>
      <c r="J301" s="40" t="str">
        <f>IF($C301="","",IFERROR(VLOOKUP($C301,Orders!$A$4:$J$998,7,FALSE),""))</f>
        <v/>
      </c>
      <c r="K301" s="40" t="str">
        <f>IF(Bids!$C300="","",Bids!$C300)</f>
        <v/>
      </c>
      <c r="L301" s="40" t="str">
        <f>IF($K301="","",IFERROR(VLOOKUP($K301,Grinders!$A$4:$N$998,2,FALSE),""))</f>
        <v/>
      </c>
      <c r="M301" s="40" t="str">
        <f>IF($K301="","",IFERROR(VLOOKUP($K301,Grinders!$A$4:$N$998,3,FALSE),""))</f>
        <v/>
      </c>
      <c r="N301" s="40" t="str">
        <f>IF($K301="","",IFERROR(VLOOKUP($K301,Grinders!$A$4:$N$998,4,FALSE),""))</f>
        <v/>
      </c>
      <c r="O301" s="40" t="str">
        <f>IF($K301="","",IFERROR(VLOOKUP($K301,Grinders!$A$4:$N$998,5,FALSE),""))</f>
        <v/>
      </c>
      <c r="P301" s="40" t="str">
        <f>IF($K301="","",IF($C$4="",0,COUNTIFS(Assignments!$B$6:$B$1000,$K301,Assignments!$F$6:$F$1000,$C$4,Assignments!$E$6:$E$1000,"Active")))</f>
        <v/>
      </c>
      <c r="Q301" s="40" t="str">
        <f t="shared" si="3"/>
        <v/>
      </c>
      <c r="R301" s="40" t="str">
        <f t="shared" si="4"/>
        <v/>
      </c>
      <c r="S301" s="40" t="str">
        <f>IF($K301="","",IF($C$4="",0,COUNTIFS(Assignments!$B$6:$B$1000,$K301,Assignments!$F$6:$F$1000,$C$4,Assignments!$D$6:$D$1000,"&gt;="&amp;Config!$B$3-7,Assignments!$D$6:$D$1000,"&lt;="&amp;Config!$B$3)))</f>
        <v/>
      </c>
      <c r="T301" s="40" t="str">
        <f>IF($K301="","",IFERROR(VLOOKUP($K301,Grinders!$A$4:$N$998,8,FALSE),""))</f>
        <v/>
      </c>
      <c r="U301" s="40" t="str">
        <f>IFERROR(IF($K301="","",IF($M301="Elite",MAX(50,MIN(100,Config!$B$27*MAX(0,MIN(100,(1-IF($R301="",0,$R301))*100)) + Config!$B$28*MAX(0,MIN(100,(1-MIN(1,IF(Config!$B$30=0,1,$S301/Config!$B$30)))*100)) + Config!$B$29*MAX(0,MIN(100,MIN(1,IF($T301="",0,$T301)/Config!$B$23)*100)))),MIN(100,Config!$B$27*MAX(0,MIN(100,(1-IF($R301="",0,$R301))*100)) + Config!$B$28*MAX(0,MIN(100,(1-MIN(1,IF(Config!$B$30=0,1,$S301/Config!$B$30)))*100)) + Config!$B$29*MAX(0,MIN(100,MIN(1,IF($T301="",0,$T301)/Config!$B$23)*100))))),"")
</f>
        <v/>
      </c>
      <c r="V301" s="40" t="str">
        <f>IF(Bids!$AC301="","",Bids!$AC301)</f>
        <v/>
      </c>
      <c r="W301" s="40" t="str">
        <f>IF(Bids!$F300="","",Bids!$F300)</f>
        <v/>
      </c>
      <c r="X301" s="40" t="str">
        <f t="shared" si="5"/>
        <v/>
      </c>
      <c r="Y301" s="40" t="str">
        <f>IF($X301="","",IF(Config!$B$17=Config!$B$16,IF($X301&gt;=Config!$B$17,100,0),MAX(0,MIN(100,($X301-Config!$B$16)/(Config!$B$17-Config!$B$16)*100))))</f>
        <v/>
      </c>
      <c r="Z301" s="40">
        <f>IF($M301="Elite",Config!$B$21,0)</f>
        <v>0</v>
      </c>
      <c r="AA301" s="40" t="str">
        <f>IFERROR(IF(OR($W301="",$H301=""),"",IF($W301&gt;$H301,
  MAX(0, 60-(($W301-$H301)*24/Config!$B$19)*60),
  MIN(100, 60+(($H301-$W301)*24/Config!$B$20)*40)
)),"")
</f>
        <v/>
      </c>
      <c r="AB301" s="40" t="str">
        <f>IF($K301="","",IFERROR(VLOOKUP($K301,Grinders!$A$4:$N$998,10,FALSE)/5*100,""))</f>
        <v/>
      </c>
      <c r="AC301" s="40" t="str">
        <f>IF($K301="","",IFERROR(VLOOKUP($K301,Grinders!$A$4:$N$998,11,FALSE)*100,""))</f>
        <v/>
      </c>
      <c r="AD301" s="40" t="str">
        <f>IF($K301="","",IFERROR(VLOOKUP($K301,Grinders!$A$4:$N$998,12,FALSE)*100,""))</f>
        <v/>
      </c>
      <c r="AE301" s="40" t="str">
        <f>IF(OR(AO301=1,AP301=1),0,=IFERROR(IFS(
    OR($C301="", $K301=""), 0,
    $F301=0, 0,
    $D301&lt;&gt;"Open", 0,
    COUNTIFS(GrinderServices!$A$6:$A$1000, $K301, GrinderServices!$B$6:$B$1000, $E301, GrinderServices!$D$6:$D$1000, "Y")=0, 0,
    $X301&lt;Config!$B$16, 0,
    Config!$B$18=1, IF($O301&gt;=N301, 0, 1),
    TRUE, 1
), "")
)</f>
        <v>#ERROR!</v>
      </c>
      <c r="AF301" s="40" t="str">
        <f>IFERROR((IF(OR(AO301=1,AP301=1),"",=IFERROR((IFERROR(IF($AE301=0,"",((Config!$B$6*$Y301 + Config!$B$7*$U301 + Config!$B$8*$Z301 + Config!$B$9*$AA301 + Config!$B$10*$AB301 + Config!$B$11*$AC301 - Config!$B$12*$AD301)/Config!$B$13)+$AK301+$AL301),""))*(1-IFERROR(VLOOKUP(K301,Grinders!$A:$AB, 28, FALSE),0)),"")))*(1+AR301),"")</f>
        <v>#ERROR!</v>
      </c>
      <c r="AG301" s="40" t="str">
        <f t="shared" si="6"/>
        <v>#ERROR!</v>
      </c>
      <c r="AH301" s="40" t="str">
        <f t="shared" si="7"/>
        <v/>
      </c>
      <c r="AI301" s="40" t="str">
        <f t="shared" si="8"/>
        <v/>
      </c>
      <c r="AJ301" s="40" t="str">
        <f>IF($K301="","",COUNTIF(Assignments!$B$6:$B$1000,$K301))</f>
        <v/>
      </c>
      <c r="AK301" s="40" t="str">
        <f>IF($K301="","",IF(AND($AJ301=0,$O301&lt;$N301),Config!$B$43,0))</f>
        <v/>
      </c>
      <c r="AL301" s="40" t="str">
        <f>IF($K301="","",IF(AND($M301="Elite",$G301&gt;=Config!$B$41,$O301&lt;$N301),Config!$B$42,0))</f>
        <v/>
      </c>
      <c r="AM301" s="22"/>
      <c r="AN301" s="39">
        <f>IFERROR(VLOOKUP(K301,Grinders!$A:$Q,28,FALSE),0)</f>
        <v>0</v>
      </c>
      <c r="AO301" s="39">
        <f>IF(Config!$B$1003&lt;&gt;"Y",0,IF(IFERROR(VLOOKUP(K301,Grinders!$A:$P,27,FALSE),0)&gt;=3,IF(OR(G301&gt;=Config!$B$1001,ISNUMBER(SEARCH(E301,Config!$B$1002))),1,0),0))</f>
        <v>0</v>
      </c>
      <c r="AP301" s="39">
        <f t="array" ref="AP301">IFERROR(IF(INDEX(Bids!$AE:$AE,MATCH(B301,Bids!$A:$A,0))="Pending",1,0),0)</f>
        <v>0</v>
      </c>
      <c r="AQ301" s="39" t="str">
        <f t="array" ref="AQ301">IF(C301="","",IFERROR(XLOOKUP(C301,Assignments!$C:$C,Assignments!$AU:$AU,0),0))</f>
        <v/>
      </c>
      <c r="AR301" s="39">
        <f>IF(AND(Config!$B$1006="Y",AQ301=1),Config!$B$1007,0)</f>
        <v>0</v>
      </c>
    </row>
    <row r="302" ht="15.75" customHeight="1">
      <c r="A302" s="46" t="str">
        <f t="shared" si="1"/>
        <v/>
      </c>
      <c r="B302" s="40" t="str">
        <f>IF(Bids!$A301="","",Bids!$A301)</f>
        <v/>
      </c>
      <c r="C302" s="40" t="str">
        <f>IF(Bids!$B301="","",Bids!$B301)</f>
        <v/>
      </c>
      <c r="D302" s="40" t="str">
        <f>IF($C302="","",IFERROR(VLOOKUP($C302,Orders!$A$4:$J$998,9,FALSE),""))</f>
        <v/>
      </c>
      <c r="E302" s="40" t="str">
        <f>IF($C302="","",IFERROR(VLOOKUP($C302,Orders!$A$4:$J$998,3,FALSE),""))</f>
        <v/>
      </c>
      <c r="F302" s="40">
        <f t="shared" si="2"/>
        <v>1</v>
      </c>
      <c r="G302" s="40" t="str">
        <f>IF($C302="","",IFERROR(VLOOKUP($C302,Orders!$A$4:$J$998,4,FALSE),""))</f>
        <v/>
      </c>
      <c r="H302" s="40" t="str">
        <f>IF($C302="","",IFERROR(VLOOKUP($C302,Orders!$A$4:$J$998,5,FALSE),""))</f>
        <v/>
      </c>
      <c r="I302" s="40" t="str">
        <f>IF($C302="","",IFERROR(VLOOKUP($C302,Orders!$A$4:$J$998,6,FALSE),""))</f>
        <v/>
      </c>
      <c r="J302" s="40" t="str">
        <f>IF($C302="","",IFERROR(VLOOKUP($C302,Orders!$A$4:$J$998,7,FALSE),""))</f>
        <v/>
      </c>
      <c r="K302" s="40" t="str">
        <f>IF(Bids!$C301="","",Bids!$C301)</f>
        <v/>
      </c>
      <c r="L302" s="40" t="str">
        <f>IF($K302="","",IFERROR(VLOOKUP($K302,Grinders!$A$4:$N$998,2,FALSE),""))</f>
        <v/>
      </c>
      <c r="M302" s="40" t="str">
        <f>IF($K302="","",IFERROR(VLOOKUP($K302,Grinders!$A$4:$N$998,3,FALSE),""))</f>
        <v/>
      </c>
      <c r="N302" s="40" t="str">
        <f>IF($K302="","",IFERROR(VLOOKUP($K302,Grinders!$A$4:$N$998,4,FALSE),""))</f>
        <v/>
      </c>
      <c r="O302" s="40" t="str">
        <f>IF($K302="","",IFERROR(VLOOKUP($K302,Grinders!$A$4:$N$998,5,FALSE),""))</f>
        <v/>
      </c>
      <c r="P302" s="40" t="str">
        <f>IF($K302="","",IF($C$4="",0,COUNTIFS(Assignments!$B$6:$B$1000,$K302,Assignments!$F$6:$F$1000,$C$4,Assignments!$E$6:$E$1000,"Active")))</f>
        <v/>
      </c>
      <c r="Q302" s="40" t="str">
        <f t="shared" si="3"/>
        <v/>
      </c>
      <c r="R302" s="40" t="str">
        <f t="shared" si="4"/>
        <v/>
      </c>
      <c r="S302" s="40" t="str">
        <f>IF($K302="","",IF($C$4="",0,COUNTIFS(Assignments!$B$6:$B$1000,$K302,Assignments!$F$6:$F$1000,$C$4,Assignments!$D$6:$D$1000,"&gt;="&amp;Config!$B$3-7,Assignments!$D$6:$D$1000,"&lt;="&amp;Config!$B$3)))</f>
        <v/>
      </c>
      <c r="T302" s="40" t="str">
        <f>IF($K302="","",IFERROR(VLOOKUP($K302,Grinders!$A$4:$N$998,8,FALSE),""))</f>
        <v/>
      </c>
      <c r="U302" s="40" t="str">
        <f>IFERROR(IF($K302="","",IF($M302="Elite",MAX(50,MIN(100,Config!$B$27*MAX(0,MIN(100,(1-IF($R302="",0,$R302))*100)) + Config!$B$28*MAX(0,MIN(100,(1-MIN(1,IF(Config!$B$30=0,1,$S302/Config!$B$30)))*100)) + Config!$B$29*MAX(0,MIN(100,MIN(1,IF($T302="",0,$T302)/Config!$B$23)*100)))),MIN(100,Config!$B$27*MAX(0,MIN(100,(1-IF($R302="",0,$R302))*100)) + Config!$B$28*MAX(0,MIN(100,(1-MIN(1,IF(Config!$B$30=0,1,$S302/Config!$B$30)))*100)) + Config!$B$29*MAX(0,MIN(100,MIN(1,IF($T302="",0,$T302)/Config!$B$23)*100))))),"")
</f>
        <v/>
      </c>
      <c r="V302" s="40" t="str">
        <f>IF(Bids!$AC302="","",Bids!$AC302)</f>
        <v/>
      </c>
      <c r="W302" s="40" t="str">
        <f>IF(Bids!$F301="","",Bids!$F301)</f>
        <v/>
      </c>
      <c r="X302" s="40" t="str">
        <f t="shared" si="5"/>
        <v/>
      </c>
      <c r="Y302" s="40" t="str">
        <f>IF($X302="","",IF(Config!$B$17=Config!$B$16,IF($X302&gt;=Config!$B$17,100,0),MAX(0,MIN(100,($X302-Config!$B$16)/(Config!$B$17-Config!$B$16)*100))))</f>
        <v/>
      </c>
      <c r="Z302" s="40">
        <f>IF($M302="Elite",Config!$B$21,0)</f>
        <v>0</v>
      </c>
      <c r="AA302" s="40" t="str">
        <f>IFERROR(IF(OR($W302="",$H302=""),"",IF($W302&gt;$H302,
  MAX(0, 60-(($W302-$H302)*24/Config!$B$19)*60),
  MIN(100, 60+(($H302-$W302)*24/Config!$B$20)*40)
)),"")
</f>
        <v/>
      </c>
      <c r="AB302" s="40" t="str">
        <f>IF($K302="","",IFERROR(VLOOKUP($K302,Grinders!$A$4:$N$998,10,FALSE)/5*100,""))</f>
        <v/>
      </c>
      <c r="AC302" s="40" t="str">
        <f>IF($K302="","",IFERROR(VLOOKUP($K302,Grinders!$A$4:$N$998,11,FALSE)*100,""))</f>
        <v/>
      </c>
      <c r="AD302" s="40" t="str">
        <f>IF($K302="","",IFERROR(VLOOKUP($K302,Grinders!$A$4:$N$998,12,FALSE)*100,""))</f>
        <v/>
      </c>
      <c r="AE302" s="40" t="str">
        <f>IF(OR(AO302=1,AP302=1),0,=IFERROR(IFS(
    OR($C302="", $K302=""), 0,
    $F302=0, 0,
    $D302&lt;&gt;"Open", 0,
    COUNTIFS(GrinderServices!$A$6:$A$1000, $K302, GrinderServices!$B$6:$B$1000, $E302, GrinderServices!$D$6:$D$1000, "Y")=0, 0,
    $X302&lt;Config!$B$16, 0,
    Config!$B$18=1, IF($O302&gt;=N302, 0, 1),
    TRUE, 1
), "")
)</f>
        <v>#ERROR!</v>
      </c>
      <c r="AF302" s="40" t="str">
        <f>IFERROR((IF(OR(AO302=1,AP302=1),"",=IFERROR((IFERROR(IF($AE302=0,"",((Config!$B$6*$Y302 + Config!$B$7*$U302 + Config!$B$8*$Z302 + Config!$B$9*$AA302 + Config!$B$10*$AB302 + Config!$B$11*$AC302 - Config!$B$12*$AD302)/Config!$B$13)+$AK302+$AL302),""))*(1-IFERROR(VLOOKUP(K302,Grinders!$A:$AB, 28, FALSE),0)),"")))*(1+AR302),"")</f>
        <v>#ERROR!</v>
      </c>
      <c r="AG302" s="40" t="str">
        <f t="shared" si="6"/>
        <v>#ERROR!</v>
      </c>
      <c r="AH302" s="40" t="str">
        <f t="shared" si="7"/>
        <v/>
      </c>
      <c r="AI302" s="40" t="str">
        <f t="shared" si="8"/>
        <v/>
      </c>
      <c r="AJ302" s="40" t="str">
        <f>IF($K302="","",COUNTIF(Assignments!$B$6:$B$1000,$K302))</f>
        <v/>
      </c>
      <c r="AK302" s="40" t="str">
        <f>IF($K302="","",IF(AND($AJ302=0,$O302&lt;$N302),Config!$B$43,0))</f>
        <v/>
      </c>
      <c r="AL302" s="40" t="str">
        <f>IF($K302="","",IF(AND($M302="Elite",$G302&gt;=Config!$B$41,$O302&lt;$N302),Config!$B$42,0))</f>
        <v/>
      </c>
      <c r="AM302" s="22"/>
      <c r="AN302" s="39">
        <f>IFERROR(VLOOKUP(K302,Grinders!$A:$Q,28,FALSE),0)</f>
        <v>0</v>
      </c>
      <c r="AO302" s="39">
        <f>IF(Config!$B$1003&lt;&gt;"Y",0,IF(IFERROR(VLOOKUP(K302,Grinders!$A:$P,27,FALSE),0)&gt;=3,IF(OR(G302&gt;=Config!$B$1001,ISNUMBER(SEARCH(E302,Config!$B$1002))),1,0),0))</f>
        <v>0</v>
      </c>
      <c r="AP302" s="39">
        <f t="array" ref="AP302">IFERROR(IF(INDEX(Bids!$AE:$AE,MATCH(B302,Bids!$A:$A,0))="Pending",1,0),0)</f>
        <v>0</v>
      </c>
      <c r="AQ302" s="39" t="str">
        <f t="array" ref="AQ302">IF(C302="","",IFERROR(XLOOKUP(C302,Assignments!$C:$C,Assignments!$AU:$AU,0),0))</f>
        <v/>
      </c>
      <c r="AR302" s="39">
        <f>IF(AND(Config!$B$1006="Y",AQ302=1),Config!$B$1007,0)</f>
        <v>0</v>
      </c>
    </row>
    <row r="303" ht="15.75" customHeight="1">
      <c r="A303" s="46" t="str">
        <f t="shared" si="1"/>
        <v/>
      </c>
      <c r="B303" s="40" t="str">
        <f>IF(Bids!$A302="","",Bids!$A302)</f>
        <v/>
      </c>
      <c r="C303" s="40" t="str">
        <f>IF(Bids!$B302="","",Bids!$B302)</f>
        <v/>
      </c>
      <c r="D303" s="40" t="str">
        <f>IF($C303="","",IFERROR(VLOOKUP($C303,Orders!$A$4:$J$998,9,FALSE),""))</f>
        <v/>
      </c>
      <c r="E303" s="40" t="str">
        <f>IF($C303="","",IFERROR(VLOOKUP($C303,Orders!$A$4:$J$998,3,FALSE),""))</f>
        <v/>
      </c>
      <c r="F303" s="40">
        <f t="shared" si="2"/>
        <v>1</v>
      </c>
      <c r="G303" s="40" t="str">
        <f>IF($C303="","",IFERROR(VLOOKUP($C303,Orders!$A$4:$J$998,4,FALSE),""))</f>
        <v/>
      </c>
      <c r="H303" s="40" t="str">
        <f>IF($C303="","",IFERROR(VLOOKUP($C303,Orders!$A$4:$J$998,5,FALSE),""))</f>
        <v/>
      </c>
      <c r="I303" s="40" t="str">
        <f>IF($C303="","",IFERROR(VLOOKUP($C303,Orders!$A$4:$J$998,6,FALSE),""))</f>
        <v/>
      </c>
      <c r="J303" s="40" t="str">
        <f>IF($C303="","",IFERROR(VLOOKUP($C303,Orders!$A$4:$J$998,7,FALSE),""))</f>
        <v/>
      </c>
      <c r="K303" s="40" t="str">
        <f>IF(Bids!$C302="","",Bids!$C302)</f>
        <v/>
      </c>
      <c r="L303" s="40" t="str">
        <f>IF($K303="","",IFERROR(VLOOKUP($K303,Grinders!$A$4:$N$998,2,FALSE),""))</f>
        <v/>
      </c>
      <c r="M303" s="40" t="str">
        <f>IF($K303="","",IFERROR(VLOOKUP($K303,Grinders!$A$4:$N$998,3,FALSE),""))</f>
        <v/>
      </c>
      <c r="N303" s="40" t="str">
        <f>IF($K303="","",IFERROR(VLOOKUP($K303,Grinders!$A$4:$N$998,4,FALSE),""))</f>
        <v/>
      </c>
      <c r="O303" s="40" t="str">
        <f>IF($K303="","",IFERROR(VLOOKUP($K303,Grinders!$A$4:$N$998,5,FALSE),""))</f>
        <v/>
      </c>
      <c r="P303" s="40" t="str">
        <f>IF($K303="","",IF($C$4="",0,COUNTIFS(Assignments!$B$6:$B$1000,$K303,Assignments!$F$6:$F$1000,$C$4,Assignments!$E$6:$E$1000,"Active")))</f>
        <v/>
      </c>
      <c r="Q303" s="40" t="str">
        <f t="shared" si="3"/>
        <v/>
      </c>
      <c r="R303" s="40" t="str">
        <f t="shared" si="4"/>
        <v/>
      </c>
      <c r="S303" s="40" t="str">
        <f>IF($K303="","",IF($C$4="",0,COUNTIFS(Assignments!$B$6:$B$1000,$K303,Assignments!$F$6:$F$1000,$C$4,Assignments!$D$6:$D$1000,"&gt;="&amp;Config!$B$3-7,Assignments!$D$6:$D$1000,"&lt;="&amp;Config!$B$3)))</f>
        <v/>
      </c>
      <c r="T303" s="40" t="str">
        <f>IF($K303="","",IFERROR(VLOOKUP($K303,Grinders!$A$4:$N$998,8,FALSE),""))</f>
        <v/>
      </c>
      <c r="U303" s="40" t="str">
        <f>IFERROR(IF($K303="","",IF($M303="Elite",MAX(50,MIN(100,Config!$B$27*MAX(0,MIN(100,(1-IF($R303="",0,$R303))*100)) + Config!$B$28*MAX(0,MIN(100,(1-MIN(1,IF(Config!$B$30=0,1,$S303/Config!$B$30)))*100)) + Config!$B$29*MAX(0,MIN(100,MIN(1,IF($T303="",0,$T303)/Config!$B$23)*100)))),MIN(100,Config!$B$27*MAX(0,MIN(100,(1-IF($R303="",0,$R303))*100)) + Config!$B$28*MAX(0,MIN(100,(1-MIN(1,IF(Config!$B$30=0,1,$S303/Config!$B$30)))*100)) + Config!$B$29*MAX(0,MIN(100,MIN(1,IF($T303="",0,$T303)/Config!$B$23)*100))))),"")
</f>
        <v/>
      </c>
      <c r="V303" s="40" t="str">
        <f>IF(Bids!$AC303="","",Bids!$AC303)</f>
        <v/>
      </c>
      <c r="W303" s="40" t="str">
        <f>IF(Bids!$F302="","",Bids!$F302)</f>
        <v/>
      </c>
      <c r="X303" s="40" t="str">
        <f t="shared" si="5"/>
        <v/>
      </c>
      <c r="Y303" s="40" t="str">
        <f>IF($X303="","",IF(Config!$B$17=Config!$B$16,IF($X303&gt;=Config!$B$17,100,0),MAX(0,MIN(100,($X303-Config!$B$16)/(Config!$B$17-Config!$B$16)*100))))</f>
        <v/>
      </c>
      <c r="Z303" s="40">
        <f>IF($M303="Elite",Config!$B$21,0)</f>
        <v>0</v>
      </c>
      <c r="AA303" s="40" t="str">
        <f>IFERROR(IF(OR($W303="",$H303=""),"",IF($W303&gt;$H303,
  MAX(0, 60-(($W303-$H303)*24/Config!$B$19)*60),
  MIN(100, 60+(($H303-$W303)*24/Config!$B$20)*40)
)),"")
</f>
        <v/>
      </c>
      <c r="AB303" s="40" t="str">
        <f>IF($K303="","",IFERROR(VLOOKUP($K303,Grinders!$A$4:$N$998,10,FALSE)/5*100,""))</f>
        <v/>
      </c>
      <c r="AC303" s="40" t="str">
        <f>IF($K303="","",IFERROR(VLOOKUP($K303,Grinders!$A$4:$N$998,11,FALSE)*100,""))</f>
        <v/>
      </c>
      <c r="AD303" s="40" t="str">
        <f>IF($K303="","",IFERROR(VLOOKUP($K303,Grinders!$A$4:$N$998,12,FALSE)*100,""))</f>
        <v/>
      </c>
      <c r="AE303" s="40" t="str">
        <f>IF(OR(AO303=1,AP303=1),0,=IFERROR(IFS(
    OR($C303="", $K303=""), 0,
    $F303=0, 0,
    $D303&lt;&gt;"Open", 0,
    COUNTIFS(GrinderServices!$A$6:$A$1000, $K303, GrinderServices!$B$6:$B$1000, $E303, GrinderServices!$D$6:$D$1000, "Y")=0, 0,
    $X303&lt;Config!$B$16, 0,
    Config!$B$18=1, IF($O303&gt;=N303, 0, 1),
    TRUE, 1
), "")
)</f>
        <v>#ERROR!</v>
      </c>
      <c r="AF303" s="40" t="str">
        <f>IFERROR((IF(OR(AO303=1,AP303=1),"",=IFERROR((IFERROR(IF($AE303=0,"",((Config!$B$6*$Y303 + Config!$B$7*$U303 + Config!$B$8*$Z303 + Config!$B$9*$AA303 + Config!$B$10*$AB303 + Config!$B$11*$AC303 - Config!$B$12*$AD303)/Config!$B$13)+$AK303+$AL303),""))*(1-IFERROR(VLOOKUP(K303,Grinders!$A:$AB, 28, FALSE),0)),"")))*(1+AR303),"")</f>
        <v>#ERROR!</v>
      </c>
      <c r="AG303" s="40" t="str">
        <f t="shared" si="6"/>
        <v>#ERROR!</v>
      </c>
      <c r="AH303" s="40" t="str">
        <f t="shared" si="7"/>
        <v/>
      </c>
      <c r="AI303" s="40" t="str">
        <f t="shared" si="8"/>
        <v/>
      </c>
      <c r="AJ303" s="40" t="str">
        <f>IF($K303="","",COUNTIF(Assignments!$B$6:$B$1000,$K303))</f>
        <v/>
      </c>
      <c r="AK303" s="40" t="str">
        <f>IF($K303="","",IF(AND($AJ303=0,$O303&lt;$N303),Config!$B$43,0))</f>
        <v/>
      </c>
      <c r="AL303" s="40" t="str">
        <f>IF($K303="","",IF(AND($M303="Elite",$G303&gt;=Config!$B$41,$O303&lt;$N303),Config!$B$42,0))</f>
        <v/>
      </c>
      <c r="AM303" s="22"/>
      <c r="AN303" s="39">
        <f>IFERROR(VLOOKUP(K303,Grinders!$A:$Q,28,FALSE),0)</f>
        <v>0</v>
      </c>
      <c r="AO303" s="39">
        <f>IF(Config!$B$1003&lt;&gt;"Y",0,IF(IFERROR(VLOOKUP(K303,Grinders!$A:$P,27,FALSE),0)&gt;=3,IF(OR(G303&gt;=Config!$B$1001,ISNUMBER(SEARCH(E303,Config!$B$1002))),1,0),0))</f>
        <v>0</v>
      </c>
      <c r="AP303" s="39">
        <f t="array" ref="AP303">IFERROR(IF(INDEX(Bids!$AE:$AE,MATCH(B303,Bids!$A:$A,0))="Pending",1,0),0)</f>
        <v>0</v>
      </c>
      <c r="AQ303" s="39" t="str">
        <f t="array" ref="AQ303">IF(C303="","",IFERROR(XLOOKUP(C303,Assignments!$C:$C,Assignments!$AU:$AU,0),0))</f>
        <v/>
      </c>
      <c r="AR303" s="39">
        <f>IF(AND(Config!$B$1006="Y",AQ303=1),Config!$B$1007,0)</f>
        <v>0</v>
      </c>
    </row>
    <row r="304" ht="15.75" customHeight="1">
      <c r="A304" s="46" t="str">
        <f t="shared" si="1"/>
        <v/>
      </c>
      <c r="B304" s="40" t="str">
        <f>IF(Bids!$A303="","",Bids!$A303)</f>
        <v/>
      </c>
      <c r="C304" s="40" t="str">
        <f>IF(Bids!$B303="","",Bids!$B303)</f>
        <v/>
      </c>
      <c r="D304" s="40" t="str">
        <f>IF($C304="","",IFERROR(VLOOKUP($C304,Orders!$A$4:$J$998,9,FALSE),""))</f>
        <v/>
      </c>
      <c r="E304" s="40" t="str">
        <f>IF($C304="","",IFERROR(VLOOKUP($C304,Orders!$A$4:$J$998,3,FALSE),""))</f>
        <v/>
      </c>
      <c r="F304" s="40">
        <f t="shared" si="2"/>
        <v>1</v>
      </c>
      <c r="G304" s="40" t="str">
        <f>IF($C304="","",IFERROR(VLOOKUP($C304,Orders!$A$4:$J$998,4,FALSE),""))</f>
        <v/>
      </c>
      <c r="H304" s="40" t="str">
        <f>IF($C304="","",IFERROR(VLOOKUP($C304,Orders!$A$4:$J$998,5,FALSE),""))</f>
        <v/>
      </c>
      <c r="I304" s="40" t="str">
        <f>IF($C304="","",IFERROR(VLOOKUP($C304,Orders!$A$4:$J$998,6,FALSE),""))</f>
        <v/>
      </c>
      <c r="J304" s="40" t="str">
        <f>IF($C304="","",IFERROR(VLOOKUP($C304,Orders!$A$4:$J$998,7,FALSE),""))</f>
        <v/>
      </c>
      <c r="K304" s="40" t="str">
        <f>IF(Bids!$C303="","",Bids!$C303)</f>
        <v/>
      </c>
      <c r="L304" s="40" t="str">
        <f>IF($K304="","",IFERROR(VLOOKUP($K304,Grinders!$A$4:$N$998,2,FALSE),""))</f>
        <v/>
      </c>
      <c r="M304" s="40" t="str">
        <f>IF($K304="","",IFERROR(VLOOKUP($K304,Grinders!$A$4:$N$998,3,FALSE),""))</f>
        <v/>
      </c>
      <c r="N304" s="40" t="str">
        <f>IF($K304="","",IFERROR(VLOOKUP($K304,Grinders!$A$4:$N$998,4,FALSE),""))</f>
        <v/>
      </c>
      <c r="O304" s="40" t="str">
        <f>IF($K304="","",IFERROR(VLOOKUP($K304,Grinders!$A$4:$N$998,5,FALSE),""))</f>
        <v/>
      </c>
      <c r="P304" s="40" t="str">
        <f>IF($K304="","",IF($C$4="",0,COUNTIFS(Assignments!$B$6:$B$1000,$K304,Assignments!$F$6:$F$1000,$C$4,Assignments!$E$6:$E$1000,"Active")))</f>
        <v/>
      </c>
      <c r="Q304" s="40" t="str">
        <f t="shared" si="3"/>
        <v/>
      </c>
      <c r="R304" s="40" t="str">
        <f t="shared" si="4"/>
        <v/>
      </c>
      <c r="S304" s="40" t="str">
        <f>IF($K304="","",IF($C$4="",0,COUNTIFS(Assignments!$B$6:$B$1000,$K304,Assignments!$F$6:$F$1000,$C$4,Assignments!$D$6:$D$1000,"&gt;="&amp;Config!$B$3-7,Assignments!$D$6:$D$1000,"&lt;="&amp;Config!$B$3)))</f>
        <v/>
      </c>
      <c r="T304" s="40" t="str">
        <f>IF($K304="","",IFERROR(VLOOKUP($K304,Grinders!$A$4:$N$998,8,FALSE),""))</f>
        <v/>
      </c>
      <c r="U304" s="40" t="str">
        <f>IFERROR(IF($K304="","",IF($M304="Elite",MAX(50,MIN(100,Config!$B$27*MAX(0,MIN(100,(1-IF($R304="",0,$R304))*100)) + Config!$B$28*MAX(0,MIN(100,(1-MIN(1,IF(Config!$B$30=0,1,$S304/Config!$B$30)))*100)) + Config!$B$29*MAX(0,MIN(100,MIN(1,IF($T304="",0,$T304)/Config!$B$23)*100)))),MIN(100,Config!$B$27*MAX(0,MIN(100,(1-IF($R304="",0,$R304))*100)) + Config!$B$28*MAX(0,MIN(100,(1-MIN(1,IF(Config!$B$30=0,1,$S304/Config!$B$30)))*100)) + Config!$B$29*MAX(0,MIN(100,MIN(1,IF($T304="",0,$T304)/Config!$B$23)*100))))),"")
</f>
        <v/>
      </c>
      <c r="V304" s="40" t="str">
        <f>IF(Bids!$AC304="","",Bids!$AC304)</f>
        <v/>
      </c>
      <c r="W304" s="40" t="str">
        <f>IF(Bids!$F303="","",Bids!$F303)</f>
        <v/>
      </c>
      <c r="X304" s="40" t="str">
        <f t="shared" si="5"/>
        <v/>
      </c>
      <c r="Y304" s="40" t="str">
        <f>IF($X304="","",IF(Config!$B$17=Config!$B$16,IF($X304&gt;=Config!$B$17,100,0),MAX(0,MIN(100,($X304-Config!$B$16)/(Config!$B$17-Config!$B$16)*100))))</f>
        <v/>
      </c>
      <c r="Z304" s="40">
        <f>IF($M304="Elite",Config!$B$21,0)</f>
        <v>0</v>
      </c>
      <c r="AA304" s="40" t="str">
        <f>IFERROR(IF(OR($W304="",$H304=""),"",IF($W304&gt;$H304,
  MAX(0, 60-(($W304-$H304)*24/Config!$B$19)*60),
  MIN(100, 60+(($H304-$W304)*24/Config!$B$20)*40)
)),"")
</f>
        <v/>
      </c>
      <c r="AB304" s="40" t="str">
        <f>IF($K304="","",IFERROR(VLOOKUP($K304,Grinders!$A$4:$N$998,10,FALSE)/5*100,""))</f>
        <v/>
      </c>
      <c r="AC304" s="40" t="str">
        <f>IF($K304="","",IFERROR(VLOOKUP($K304,Grinders!$A$4:$N$998,11,FALSE)*100,""))</f>
        <v/>
      </c>
      <c r="AD304" s="40" t="str">
        <f>IF($K304="","",IFERROR(VLOOKUP($K304,Grinders!$A$4:$N$998,12,FALSE)*100,""))</f>
        <v/>
      </c>
      <c r="AE304" s="40" t="str">
        <f>IF(OR(AO304=1,AP304=1),0,=IFERROR(IFS(
    OR($C304="", $K304=""), 0,
    $F304=0, 0,
    $D304&lt;&gt;"Open", 0,
    COUNTIFS(GrinderServices!$A$6:$A$1000, $K304, GrinderServices!$B$6:$B$1000, $E304, GrinderServices!$D$6:$D$1000, "Y")=0, 0,
    $X304&lt;Config!$B$16, 0,
    Config!$B$18=1, IF($O304&gt;=N304, 0, 1),
    TRUE, 1
), "")
)</f>
        <v>#ERROR!</v>
      </c>
      <c r="AF304" s="40" t="str">
        <f>IFERROR((IF(OR(AO304=1,AP304=1),"",=IFERROR((IFERROR(IF($AE304=0,"",((Config!$B$6*$Y304 + Config!$B$7*$U304 + Config!$B$8*$Z304 + Config!$B$9*$AA304 + Config!$B$10*$AB304 + Config!$B$11*$AC304 - Config!$B$12*$AD304)/Config!$B$13)+$AK304+$AL304),""))*(1-IFERROR(VLOOKUP(K304,Grinders!$A:$AB, 28, FALSE),0)),"")))*(1+AR304),"")</f>
        <v>#ERROR!</v>
      </c>
      <c r="AG304" s="40" t="str">
        <f t="shared" si="6"/>
        <v>#ERROR!</v>
      </c>
      <c r="AH304" s="40" t="str">
        <f t="shared" si="7"/>
        <v/>
      </c>
      <c r="AI304" s="40" t="str">
        <f t="shared" si="8"/>
        <v/>
      </c>
      <c r="AJ304" s="40" t="str">
        <f>IF($K304="","",COUNTIF(Assignments!$B$6:$B$1000,$K304))</f>
        <v/>
      </c>
      <c r="AK304" s="40" t="str">
        <f>IF($K304="","",IF(AND($AJ304=0,$O304&lt;$N304),Config!$B$43,0))</f>
        <v/>
      </c>
      <c r="AL304" s="40" t="str">
        <f>IF($K304="","",IF(AND($M304="Elite",$G304&gt;=Config!$B$41,$O304&lt;$N304),Config!$B$42,0))</f>
        <v/>
      </c>
      <c r="AM304" s="22"/>
      <c r="AN304" s="39">
        <f>IFERROR(VLOOKUP(K304,Grinders!$A:$Q,28,FALSE),0)</f>
        <v>0</v>
      </c>
      <c r="AO304" s="39">
        <f>IF(Config!$B$1003&lt;&gt;"Y",0,IF(IFERROR(VLOOKUP(K304,Grinders!$A:$P,27,FALSE),0)&gt;=3,IF(OR(G304&gt;=Config!$B$1001,ISNUMBER(SEARCH(E304,Config!$B$1002))),1,0),0))</f>
        <v>0</v>
      </c>
      <c r="AP304" s="39">
        <f t="array" ref="AP304">IFERROR(IF(INDEX(Bids!$AE:$AE,MATCH(B304,Bids!$A:$A,0))="Pending",1,0),0)</f>
        <v>0</v>
      </c>
      <c r="AQ304" s="39" t="str">
        <f t="array" ref="AQ304">IF(C304="","",IFERROR(XLOOKUP(C304,Assignments!$C:$C,Assignments!$AU:$AU,0),0))</f>
        <v/>
      </c>
      <c r="AR304" s="39">
        <f>IF(AND(Config!$B$1006="Y",AQ304=1),Config!$B$1007,0)</f>
        <v>0</v>
      </c>
    </row>
    <row r="305" ht="15.75" customHeight="1">
      <c r="A305" s="46" t="str">
        <f t="shared" si="1"/>
        <v/>
      </c>
      <c r="B305" s="40" t="str">
        <f>IF(Bids!$A304="","",Bids!$A304)</f>
        <v/>
      </c>
      <c r="C305" s="40" t="str">
        <f>IF(Bids!$B304="","",Bids!$B304)</f>
        <v/>
      </c>
      <c r="D305" s="40" t="str">
        <f>IF($C305="","",IFERROR(VLOOKUP($C305,Orders!$A$4:$J$998,9,FALSE),""))</f>
        <v/>
      </c>
      <c r="E305" s="40" t="str">
        <f>IF($C305="","",IFERROR(VLOOKUP($C305,Orders!$A$4:$J$998,3,FALSE),""))</f>
        <v/>
      </c>
      <c r="F305" s="40">
        <f t="shared" si="2"/>
        <v>1</v>
      </c>
      <c r="G305" s="40" t="str">
        <f>IF($C305="","",IFERROR(VLOOKUP($C305,Orders!$A$4:$J$998,4,FALSE),""))</f>
        <v/>
      </c>
      <c r="H305" s="40" t="str">
        <f>IF($C305="","",IFERROR(VLOOKUP($C305,Orders!$A$4:$J$998,5,FALSE),""))</f>
        <v/>
      </c>
      <c r="I305" s="40" t="str">
        <f>IF($C305="","",IFERROR(VLOOKUP($C305,Orders!$A$4:$J$998,6,FALSE),""))</f>
        <v/>
      </c>
      <c r="J305" s="40" t="str">
        <f>IF($C305="","",IFERROR(VLOOKUP($C305,Orders!$A$4:$J$998,7,FALSE),""))</f>
        <v/>
      </c>
      <c r="K305" s="40" t="str">
        <f>IF(Bids!$C304="","",Bids!$C304)</f>
        <v/>
      </c>
      <c r="L305" s="40" t="str">
        <f>IF($K305="","",IFERROR(VLOOKUP($K305,Grinders!$A$4:$N$998,2,FALSE),""))</f>
        <v/>
      </c>
      <c r="M305" s="40" t="str">
        <f>IF($K305="","",IFERROR(VLOOKUP($K305,Grinders!$A$4:$N$998,3,FALSE),""))</f>
        <v/>
      </c>
      <c r="N305" s="40" t="str">
        <f>IF($K305="","",IFERROR(VLOOKUP($K305,Grinders!$A$4:$N$998,4,FALSE),""))</f>
        <v/>
      </c>
      <c r="O305" s="40" t="str">
        <f>IF($K305="","",IFERROR(VLOOKUP($K305,Grinders!$A$4:$N$998,5,FALSE),""))</f>
        <v/>
      </c>
      <c r="P305" s="40" t="str">
        <f>IF($K305="","",IF($C$4="",0,COUNTIFS(Assignments!$B$6:$B$1000,$K305,Assignments!$F$6:$F$1000,$C$4,Assignments!$E$6:$E$1000,"Active")))</f>
        <v/>
      </c>
      <c r="Q305" s="40" t="str">
        <f t="shared" si="3"/>
        <v/>
      </c>
      <c r="R305" s="40" t="str">
        <f t="shared" si="4"/>
        <v/>
      </c>
      <c r="S305" s="40" t="str">
        <f>IF($K305="","",IF($C$4="",0,COUNTIFS(Assignments!$B$6:$B$1000,$K305,Assignments!$F$6:$F$1000,$C$4,Assignments!$D$6:$D$1000,"&gt;="&amp;Config!$B$3-7,Assignments!$D$6:$D$1000,"&lt;="&amp;Config!$B$3)))</f>
        <v/>
      </c>
      <c r="T305" s="40" t="str">
        <f>IF($K305="","",IFERROR(VLOOKUP($K305,Grinders!$A$4:$N$998,8,FALSE),""))</f>
        <v/>
      </c>
      <c r="U305" s="40" t="str">
        <f>IFERROR(IF($K305="","",IF($M305="Elite",MAX(50,MIN(100,Config!$B$27*MAX(0,MIN(100,(1-IF($R305="",0,$R305))*100)) + Config!$B$28*MAX(0,MIN(100,(1-MIN(1,IF(Config!$B$30=0,1,$S305/Config!$B$30)))*100)) + Config!$B$29*MAX(0,MIN(100,MIN(1,IF($T305="",0,$T305)/Config!$B$23)*100)))),MIN(100,Config!$B$27*MAX(0,MIN(100,(1-IF($R305="",0,$R305))*100)) + Config!$B$28*MAX(0,MIN(100,(1-MIN(1,IF(Config!$B$30=0,1,$S305/Config!$B$30)))*100)) + Config!$B$29*MAX(0,MIN(100,MIN(1,IF($T305="",0,$T305)/Config!$B$23)*100))))),"")
</f>
        <v/>
      </c>
      <c r="V305" s="40" t="str">
        <f>IF(Bids!$AC305="","",Bids!$AC305)</f>
        <v/>
      </c>
      <c r="W305" s="40" t="str">
        <f>IF(Bids!$F304="","",Bids!$F304)</f>
        <v/>
      </c>
      <c r="X305" s="40" t="str">
        <f t="shared" si="5"/>
        <v/>
      </c>
      <c r="Y305" s="40" t="str">
        <f>IF($X305="","",IF(Config!$B$17=Config!$B$16,IF($X305&gt;=Config!$B$17,100,0),MAX(0,MIN(100,($X305-Config!$B$16)/(Config!$B$17-Config!$B$16)*100))))</f>
        <v/>
      </c>
      <c r="Z305" s="40">
        <f>IF($M305="Elite",Config!$B$21,0)</f>
        <v>0</v>
      </c>
      <c r="AA305" s="40" t="str">
        <f>IFERROR(IF(OR($W305="",$H305=""),"",IF($W305&gt;$H305,
  MAX(0, 60-(($W305-$H305)*24/Config!$B$19)*60),
  MIN(100, 60+(($H305-$W305)*24/Config!$B$20)*40)
)),"")
</f>
        <v/>
      </c>
      <c r="AB305" s="40" t="str">
        <f>IF($K305="","",IFERROR(VLOOKUP($K305,Grinders!$A$4:$N$998,10,FALSE)/5*100,""))</f>
        <v/>
      </c>
      <c r="AC305" s="40" t="str">
        <f>IF($K305="","",IFERROR(VLOOKUP($K305,Grinders!$A$4:$N$998,11,FALSE)*100,""))</f>
        <v/>
      </c>
      <c r="AD305" s="40" t="str">
        <f>IF($K305="","",IFERROR(VLOOKUP($K305,Grinders!$A$4:$N$998,12,FALSE)*100,""))</f>
        <v/>
      </c>
      <c r="AE305" s="40" t="str">
        <f>IF(OR(AO305=1,AP305=1),0,=IFERROR(IFS(
    OR($C305="", $K305=""), 0,
    $F305=0, 0,
    $D305&lt;&gt;"Open", 0,
    COUNTIFS(GrinderServices!$A$6:$A$1000, $K305, GrinderServices!$B$6:$B$1000, $E305, GrinderServices!$D$6:$D$1000, "Y")=0, 0,
    $X305&lt;Config!$B$16, 0,
    Config!$B$18=1, IF($O305&gt;=N305, 0, 1),
    TRUE, 1
), "")
)</f>
        <v>#ERROR!</v>
      </c>
      <c r="AF305" s="40" t="str">
        <f>IFERROR((IF(OR(AO305=1,AP305=1),"",=IFERROR((IFERROR(IF($AE305=0,"",((Config!$B$6*$Y305 + Config!$B$7*$U305 + Config!$B$8*$Z305 + Config!$B$9*$AA305 + Config!$B$10*$AB305 + Config!$B$11*$AC305 - Config!$B$12*$AD305)/Config!$B$13)+$AK305+$AL305),""))*(1-IFERROR(VLOOKUP(K305,Grinders!$A:$AB, 28, FALSE),0)),"")))*(1+AR305),"")</f>
        <v>#ERROR!</v>
      </c>
      <c r="AG305" s="40" t="str">
        <f t="shared" si="6"/>
        <v>#ERROR!</v>
      </c>
      <c r="AH305" s="40" t="str">
        <f t="shared" si="7"/>
        <v/>
      </c>
      <c r="AI305" s="40" t="str">
        <f t="shared" si="8"/>
        <v/>
      </c>
      <c r="AJ305" s="40" t="str">
        <f>IF($K305="","",COUNTIF(Assignments!$B$6:$B$1000,$K305))</f>
        <v/>
      </c>
      <c r="AK305" s="40" t="str">
        <f>IF($K305="","",IF(AND($AJ305=0,$O305&lt;$N305),Config!$B$43,0))</f>
        <v/>
      </c>
      <c r="AL305" s="40" t="str">
        <f>IF($K305="","",IF(AND($M305="Elite",$G305&gt;=Config!$B$41,$O305&lt;$N305),Config!$B$42,0))</f>
        <v/>
      </c>
      <c r="AM305" s="22"/>
      <c r="AN305" s="39">
        <f>IFERROR(VLOOKUP(K305,Grinders!$A:$Q,28,FALSE),0)</f>
        <v>0</v>
      </c>
      <c r="AO305" s="39">
        <f>IF(Config!$B$1003&lt;&gt;"Y",0,IF(IFERROR(VLOOKUP(K305,Grinders!$A:$P,27,FALSE),0)&gt;=3,IF(OR(G305&gt;=Config!$B$1001,ISNUMBER(SEARCH(E305,Config!$B$1002))),1,0),0))</f>
        <v>0</v>
      </c>
      <c r="AP305" s="39">
        <f t="array" ref="AP305">IFERROR(IF(INDEX(Bids!$AE:$AE,MATCH(B305,Bids!$A:$A,0))="Pending",1,0),0)</f>
        <v>0</v>
      </c>
      <c r="AQ305" s="39" t="str">
        <f t="array" ref="AQ305">IF(C305="","",IFERROR(XLOOKUP(C305,Assignments!$C:$C,Assignments!$AU:$AU,0),0))</f>
        <v/>
      </c>
      <c r="AR305" s="39">
        <f>IF(AND(Config!$B$1006="Y",AQ305=1),Config!$B$1007,0)</f>
        <v>0</v>
      </c>
    </row>
    <row r="306" ht="15.75" customHeight="1">
      <c r="A306" s="46" t="str">
        <f t="shared" si="1"/>
        <v/>
      </c>
      <c r="B306" s="40" t="str">
        <f>IF(Bids!$A305="","",Bids!$A305)</f>
        <v/>
      </c>
      <c r="C306" s="40" t="str">
        <f>IF(Bids!$B305="","",Bids!$B305)</f>
        <v/>
      </c>
      <c r="D306" s="40" t="str">
        <f>IF($C306="","",IFERROR(VLOOKUP($C306,Orders!$A$4:$J$998,9,FALSE),""))</f>
        <v/>
      </c>
      <c r="E306" s="40" t="str">
        <f>IF($C306="","",IFERROR(VLOOKUP($C306,Orders!$A$4:$J$998,3,FALSE),""))</f>
        <v/>
      </c>
      <c r="F306" s="40">
        <f t="shared" si="2"/>
        <v>1</v>
      </c>
      <c r="G306" s="40" t="str">
        <f>IF($C306="","",IFERROR(VLOOKUP($C306,Orders!$A$4:$J$998,4,FALSE),""))</f>
        <v/>
      </c>
      <c r="H306" s="40" t="str">
        <f>IF($C306="","",IFERROR(VLOOKUP($C306,Orders!$A$4:$J$998,5,FALSE),""))</f>
        <v/>
      </c>
      <c r="I306" s="40" t="str">
        <f>IF($C306="","",IFERROR(VLOOKUP($C306,Orders!$A$4:$J$998,6,FALSE),""))</f>
        <v/>
      </c>
      <c r="J306" s="40" t="str">
        <f>IF($C306="","",IFERROR(VLOOKUP($C306,Orders!$A$4:$J$998,7,FALSE),""))</f>
        <v/>
      </c>
      <c r="K306" s="40" t="str">
        <f>IF(Bids!$C305="","",Bids!$C305)</f>
        <v/>
      </c>
      <c r="L306" s="40" t="str">
        <f>IF($K306="","",IFERROR(VLOOKUP($K306,Grinders!$A$4:$N$998,2,FALSE),""))</f>
        <v/>
      </c>
      <c r="M306" s="40" t="str">
        <f>IF($K306="","",IFERROR(VLOOKUP($K306,Grinders!$A$4:$N$998,3,FALSE),""))</f>
        <v/>
      </c>
      <c r="N306" s="40" t="str">
        <f>IF($K306="","",IFERROR(VLOOKUP($K306,Grinders!$A$4:$N$998,4,FALSE),""))</f>
        <v/>
      </c>
      <c r="O306" s="40" t="str">
        <f>IF($K306="","",IFERROR(VLOOKUP($K306,Grinders!$A$4:$N$998,5,FALSE),""))</f>
        <v/>
      </c>
      <c r="P306" s="40" t="str">
        <f>IF($K306="","",IF($C$4="",0,COUNTIFS(Assignments!$B$6:$B$1000,$K306,Assignments!$F$6:$F$1000,$C$4,Assignments!$E$6:$E$1000,"Active")))</f>
        <v/>
      </c>
      <c r="Q306" s="40" t="str">
        <f t="shared" si="3"/>
        <v/>
      </c>
      <c r="R306" s="40" t="str">
        <f t="shared" si="4"/>
        <v/>
      </c>
      <c r="S306" s="40" t="str">
        <f>IF($K306="","",IF($C$4="",0,COUNTIFS(Assignments!$B$6:$B$1000,$K306,Assignments!$F$6:$F$1000,$C$4,Assignments!$D$6:$D$1000,"&gt;="&amp;Config!$B$3-7,Assignments!$D$6:$D$1000,"&lt;="&amp;Config!$B$3)))</f>
        <v/>
      </c>
      <c r="T306" s="40" t="str">
        <f>IF($K306="","",IFERROR(VLOOKUP($K306,Grinders!$A$4:$N$998,8,FALSE),""))</f>
        <v/>
      </c>
      <c r="U306" s="40" t="str">
        <f>IFERROR(IF($K306="","",IF($M306="Elite",MAX(50,MIN(100,Config!$B$27*MAX(0,MIN(100,(1-IF($R306="",0,$R306))*100)) + Config!$B$28*MAX(0,MIN(100,(1-MIN(1,IF(Config!$B$30=0,1,$S306/Config!$B$30)))*100)) + Config!$B$29*MAX(0,MIN(100,MIN(1,IF($T306="",0,$T306)/Config!$B$23)*100)))),MIN(100,Config!$B$27*MAX(0,MIN(100,(1-IF($R306="",0,$R306))*100)) + Config!$B$28*MAX(0,MIN(100,(1-MIN(1,IF(Config!$B$30=0,1,$S306/Config!$B$30)))*100)) + Config!$B$29*MAX(0,MIN(100,MIN(1,IF($T306="",0,$T306)/Config!$B$23)*100))))),"")
</f>
        <v/>
      </c>
      <c r="V306" s="40" t="str">
        <f>IF(Bids!$AC306="","",Bids!$AC306)</f>
        <v/>
      </c>
      <c r="W306" s="40" t="str">
        <f>IF(Bids!$F305="","",Bids!$F305)</f>
        <v/>
      </c>
      <c r="X306" s="40" t="str">
        <f t="shared" si="5"/>
        <v/>
      </c>
      <c r="Y306" s="40" t="str">
        <f>IF($X306="","",IF(Config!$B$17=Config!$B$16,IF($X306&gt;=Config!$B$17,100,0),MAX(0,MIN(100,($X306-Config!$B$16)/(Config!$B$17-Config!$B$16)*100))))</f>
        <v/>
      </c>
      <c r="Z306" s="40">
        <f>IF($M306="Elite",Config!$B$21,0)</f>
        <v>0</v>
      </c>
      <c r="AA306" s="40" t="str">
        <f>IFERROR(IF(OR($W306="",$H306=""),"",IF($W306&gt;$H306,
  MAX(0, 60-(($W306-$H306)*24/Config!$B$19)*60),
  MIN(100, 60+(($H306-$W306)*24/Config!$B$20)*40)
)),"")
</f>
        <v/>
      </c>
      <c r="AB306" s="40" t="str">
        <f>IF($K306="","",IFERROR(VLOOKUP($K306,Grinders!$A$4:$N$998,10,FALSE)/5*100,""))</f>
        <v/>
      </c>
      <c r="AC306" s="40" t="str">
        <f>IF($K306="","",IFERROR(VLOOKUP($K306,Grinders!$A$4:$N$998,11,FALSE)*100,""))</f>
        <v/>
      </c>
      <c r="AD306" s="40" t="str">
        <f>IF($K306="","",IFERROR(VLOOKUP($K306,Grinders!$A$4:$N$998,12,FALSE)*100,""))</f>
        <v/>
      </c>
      <c r="AE306" s="40" t="str">
        <f>IF(OR(AO306=1,AP306=1),0,=IFERROR(IFS(
    OR($C306="", $K306=""), 0,
    $F306=0, 0,
    $D306&lt;&gt;"Open", 0,
    COUNTIFS(GrinderServices!$A$6:$A$1000, $K306, GrinderServices!$B$6:$B$1000, $E306, GrinderServices!$D$6:$D$1000, "Y")=0, 0,
    $X306&lt;Config!$B$16, 0,
    Config!$B$18=1, IF($O306&gt;=N306, 0, 1),
    TRUE, 1
), "")
)</f>
        <v>#ERROR!</v>
      </c>
      <c r="AF306" s="40" t="str">
        <f>IFERROR((IF(OR(AO306=1,AP306=1),"",=IFERROR((IFERROR(IF($AE306=0,"",((Config!$B$6*$Y306 + Config!$B$7*$U306 + Config!$B$8*$Z306 + Config!$B$9*$AA306 + Config!$B$10*$AB306 + Config!$B$11*$AC306 - Config!$B$12*$AD306)/Config!$B$13)+$AK306+$AL306),""))*(1-IFERROR(VLOOKUP(K306,Grinders!$A:$AB, 28, FALSE),0)),"")))*(1+AR306),"")</f>
        <v>#ERROR!</v>
      </c>
      <c r="AG306" s="40" t="str">
        <f t="shared" si="6"/>
        <v>#ERROR!</v>
      </c>
      <c r="AH306" s="40" t="str">
        <f t="shared" si="7"/>
        <v/>
      </c>
      <c r="AI306" s="40" t="str">
        <f t="shared" si="8"/>
        <v/>
      </c>
      <c r="AJ306" s="40" t="str">
        <f>IF($K306="","",COUNTIF(Assignments!$B$6:$B$1000,$K306))</f>
        <v/>
      </c>
      <c r="AK306" s="40" t="str">
        <f>IF($K306="","",IF(AND($AJ306=0,$O306&lt;$N306),Config!$B$43,0))</f>
        <v/>
      </c>
      <c r="AL306" s="40" t="str">
        <f>IF($K306="","",IF(AND($M306="Elite",$G306&gt;=Config!$B$41,$O306&lt;$N306),Config!$B$42,0))</f>
        <v/>
      </c>
      <c r="AM306" s="22"/>
      <c r="AN306" s="39">
        <f>IFERROR(VLOOKUP(K306,Grinders!$A:$Q,28,FALSE),0)</f>
        <v>0</v>
      </c>
      <c r="AO306" s="39">
        <f>IF(Config!$B$1003&lt;&gt;"Y",0,IF(IFERROR(VLOOKUP(K306,Grinders!$A:$P,27,FALSE),0)&gt;=3,IF(OR(G306&gt;=Config!$B$1001,ISNUMBER(SEARCH(E306,Config!$B$1002))),1,0),0))</f>
        <v>0</v>
      </c>
      <c r="AP306" s="39">
        <f t="array" ref="AP306">IFERROR(IF(INDEX(Bids!$AE:$AE,MATCH(B306,Bids!$A:$A,0))="Pending",1,0),0)</f>
        <v>0</v>
      </c>
      <c r="AQ306" s="39" t="str">
        <f t="array" ref="AQ306">IF(C306="","",IFERROR(XLOOKUP(C306,Assignments!$C:$C,Assignments!$AU:$AU,0),0))</f>
        <v/>
      </c>
      <c r="AR306" s="39">
        <f>IF(AND(Config!$B$1006="Y",AQ306=1),Config!$B$1007,0)</f>
        <v>0</v>
      </c>
    </row>
    <row r="307" ht="15.75" customHeight="1">
      <c r="A307" s="46" t="str">
        <f t="shared" si="1"/>
        <v/>
      </c>
      <c r="B307" s="40" t="str">
        <f>IF(Bids!$A306="","",Bids!$A306)</f>
        <v/>
      </c>
      <c r="C307" s="40" t="str">
        <f>IF(Bids!$B306="","",Bids!$B306)</f>
        <v/>
      </c>
      <c r="D307" s="40" t="str">
        <f>IF($C307="","",IFERROR(VLOOKUP($C307,Orders!$A$4:$J$998,9,FALSE),""))</f>
        <v/>
      </c>
      <c r="E307" s="40" t="str">
        <f>IF($C307="","",IFERROR(VLOOKUP($C307,Orders!$A$4:$J$998,3,FALSE),""))</f>
        <v/>
      </c>
      <c r="F307" s="40">
        <f t="shared" si="2"/>
        <v>1</v>
      </c>
      <c r="G307" s="40" t="str">
        <f>IF($C307="","",IFERROR(VLOOKUP($C307,Orders!$A$4:$J$998,4,FALSE),""))</f>
        <v/>
      </c>
      <c r="H307" s="40" t="str">
        <f>IF($C307="","",IFERROR(VLOOKUP($C307,Orders!$A$4:$J$998,5,FALSE),""))</f>
        <v/>
      </c>
      <c r="I307" s="40" t="str">
        <f>IF($C307="","",IFERROR(VLOOKUP($C307,Orders!$A$4:$J$998,6,FALSE),""))</f>
        <v/>
      </c>
      <c r="J307" s="40" t="str">
        <f>IF($C307="","",IFERROR(VLOOKUP($C307,Orders!$A$4:$J$998,7,FALSE),""))</f>
        <v/>
      </c>
      <c r="K307" s="40" t="str">
        <f>IF(Bids!$C306="","",Bids!$C306)</f>
        <v/>
      </c>
      <c r="L307" s="40" t="str">
        <f>IF($K307="","",IFERROR(VLOOKUP($K307,Grinders!$A$4:$N$998,2,FALSE),""))</f>
        <v/>
      </c>
      <c r="M307" s="40" t="str">
        <f>IF($K307="","",IFERROR(VLOOKUP($K307,Grinders!$A$4:$N$998,3,FALSE),""))</f>
        <v/>
      </c>
      <c r="N307" s="40" t="str">
        <f>IF($K307="","",IFERROR(VLOOKUP($K307,Grinders!$A$4:$N$998,4,FALSE),""))</f>
        <v/>
      </c>
      <c r="O307" s="40" t="str">
        <f>IF($K307="","",IFERROR(VLOOKUP($K307,Grinders!$A$4:$N$998,5,FALSE),""))</f>
        <v/>
      </c>
      <c r="P307" s="40" t="str">
        <f>IF($K307="","",IF($C$4="",0,COUNTIFS(Assignments!$B$6:$B$1000,$K307,Assignments!$F$6:$F$1000,$C$4,Assignments!$E$6:$E$1000,"Active")))</f>
        <v/>
      </c>
      <c r="Q307" s="40" t="str">
        <f t="shared" si="3"/>
        <v/>
      </c>
      <c r="R307" s="40" t="str">
        <f t="shared" si="4"/>
        <v/>
      </c>
      <c r="S307" s="40" t="str">
        <f>IF($K307="","",IF($C$4="",0,COUNTIFS(Assignments!$B$6:$B$1000,$K307,Assignments!$F$6:$F$1000,$C$4,Assignments!$D$6:$D$1000,"&gt;="&amp;Config!$B$3-7,Assignments!$D$6:$D$1000,"&lt;="&amp;Config!$B$3)))</f>
        <v/>
      </c>
      <c r="T307" s="40" t="str">
        <f>IF($K307="","",IFERROR(VLOOKUP($K307,Grinders!$A$4:$N$998,8,FALSE),""))</f>
        <v/>
      </c>
      <c r="U307" s="40" t="str">
        <f>IFERROR(IF($K307="","",IF($M307="Elite",MAX(50,MIN(100,Config!$B$27*MAX(0,MIN(100,(1-IF($R307="",0,$R307))*100)) + Config!$B$28*MAX(0,MIN(100,(1-MIN(1,IF(Config!$B$30=0,1,$S307/Config!$B$30)))*100)) + Config!$B$29*MAX(0,MIN(100,MIN(1,IF($T307="",0,$T307)/Config!$B$23)*100)))),MIN(100,Config!$B$27*MAX(0,MIN(100,(1-IF($R307="",0,$R307))*100)) + Config!$B$28*MAX(0,MIN(100,(1-MIN(1,IF(Config!$B$30=0,1,$S307/Config!$B$30)))*100)) + Config!$B$29*MAX(0,MIN(100,MIN(1,IF($T307="",0,$T307)/Config!$B$23)*100))))),"")
</f>
        <v/>
      </c>
      <c r="V307" s="40" t="str">
        <f>IF(Bids!$AC307="","",Bids!$AC307)</f>
        <v/>
      </c>
      <c r="W307" s="40" t="str">
        <f>IF(Bids!$F306="","",Bids!$F306)</f>
        <v/>
      </c>
      <c r="X307" s="40" t="str">
        <f t="shared" si="5"/>
        <v/>
      </c>
      <c r="Y307" s="40" t="str">
        <f>IF($X307="","",IF(Config!$B$17=Config!$B$16,IF($X307&gt;=Config!$B$17,100,0),MAX(0,MIN(100,($X307-Config!$B$16)/(Config!$B$17-Config!$B$16)*100))))</f>
        <v/>
      </c>
      <c r="Z307" s="40">
        <f>IF($M307="Elite",Config!$B$21,0)</f>
        <v>0</v>
      </c>
      <c r="AA307" s="40" t="str">
        <f>IFERROR(IF(OR($W307="",$H307=""),"",IF($W307&gt;$H307,
  MAX(0, 60-(($W307-$H307)*24/Config!$B$19)*60),
  MIN(100, 60+(($H307-$W307)*24/Config!$B$20)*40)
)),"")
</f>
        <v/>
      </c>
      <c r="AB307" s="40" t="str">
        <f>IF($K307="","",IFERROR(VLOOKUP($K307,Grinders!$A$4:$N$998,10,FALSE)/5*100,""))</f>
        <v/>
      </c>
      <c r="AC307" s="40" t="str">
        <f>IF($K307="","",IFERROR(VLOOKUP($K307,Grinders!$A$4:$N$998,11,FALSE)*100,""))</f>
        <v/>
      </c>
      <c r="AD307" s="40" t="str">
        <f>IF($K307="","",IFERROR(VLOOKUP($K307,Grinders!$A$4:$N$998,12,FALSE)*100,""))</f>
        <v/>
      </c>
      <c r="AE307" s="40" t="str">
        <f>IF(OR(AO307=1,AP307=1),0,=IFERROR(IFS(
    OR($C307="", $K307=""), 0,
    $F307=0, 0,
    $D307&lt;&gt;"Open", 0,
    COUNTIFS(GrinderServices!$A$6:$A$1000, $K307, GrinderServices!$B$6:$B$1000, $E307, GrinderServices!$D$6:$D$1000, "Y")=0, 0,
    $X307&lt;Config!$B$16, 0,
    Config!$B$18=1, IF($O307&gt;=N307, 0, 1),
    TRUE, 1
), "")
)</f>
        <v>#ERROR!</v>
      </c>
      <c r="AF307" s="40" t="str">
        <f>IFERROR((IF(OR(AO307=1,AP307=1),"",=IFERROR((IFERROR(IF($AE307=0,"",((Config!$B$6*$Y307 + Config!$B$7*$U307 + Config!$B$8*$Z307 + Config!$B$9*$AA307 + Config!$B$10*$AB307 + Config!$B$11*$AC307 - Config!$B$12*$AD307)/Config!$B$13)+$AK307+$AL307),""))*(1-IFERROR(VLOOKUP(K307,Grinders!$A:$AB, 28, FALSE),0)),"")))*(1+AR307),"")</f>
        <v>#ERROR!</v>
      </c>
      <c r="AG307" s="40" t="str">
        <f t="shared" si="6"/>
        <v>#ERROR!</v>
      </c>
      <c r="AH307" s="40" t="str">
        <f t="shared" si="7"/>
        <v/>
      </c>
      <c r="AI307" s="40" t="str">
        <f t="shared" si="8"/>
        <v/>
      </c>
      <c r="AJ307" s="40" t="str">
        <f>IF($K307="","",COUNTIF(Assignments!$B$6:$B$1000,$K307))</f>
        <v/>
      </c>
      <c r="AK307" s="40" t="str">
        <f>IF($K307="","",IF(AND($AJ307=0,$O307&lt;$N307),Config!$B$43,0))</f>
        <v/>
      </c>
      <c r="AL307" s="40" t="str">
        <f>IF($K307="","",IF(AND($M307="Elite",$G307&gt;=Config!$B$41,$O307&lt;$N307),Config!$B$42,0))</f>
        <v/>
      </c>
      <c r="AM307" s="22"/>
      <c r="AN307" s="39">
        <f>IFERROR(VLOOKUP(K307,Grinders!$A:$Q,28,FALSE),0)</f>
        <v>0</v>
      </c>
      <c r="AO307" s="39">
        <f>IF(Config!$B$1003&lt;&gt;"Y",0,IF(IFERROR(VLOOKUP(K307,Grinders!$A:$P,27,FALSE),0)&gt;=3,IF(OR(G307&gt;=Config!$B$1001,ISNUMBER(SEARCH(E307,Config!$B$1002))),1,0),0))</f>
        <v>0</v>
      </c>
      <c r="AP307" s="39">
        <f t="array" ref="AP307">IFERROR(IF(INDEX(Bids!$AE:$AE,MATCH(B307,Bids!$A:$A,0))="Pending",1,0),0)</f>
        <v>0</v>
      </c>
      <c r="AQ307" s="39" t="str">
        <f t="array" ref="AQ307">IF(C307="","",IFERROR(XLOOKUP(C307,Assignments!$C:$C,Assignments!$AU:$AU,0),0))</f>
        <v/>
      </c>
      <c r="AR307" s="39">
        <f>IF(AND(Config!$B$1006="Y",AQ307=1),Config!$B$1007,0)</f>
        <v>0</v>
      </c>
    </row>
    <row r="308" ht="15.75" customHeight="1">
      <c r="A308" s="46" t="str">
        <f t="shared" si="1"/>
        <v/>
      </c>
      <c r="B308" s="40" t="str">
        <f>IF(Bids!$A307="","",Bids!$A307)</f>
        <v/>
      </c>
      <c r="C308" s="40" t="str">
        <f>IF(Bids!$B307="","",Bids!$B307)</f>
        <v/>
      </c>
      <c r="D308" s="40" t="str">
        <f>IF($C308="","",IFERROR(VLOOKUP($C308,Orders!$A$4:$J$998,9,FALSE),""))</f>
        <v/>
      </c>
      <c r="E308" s="40" t="str">
        <f>IF($C308="","",IFERROR(VLOOKUP($C308,Orders!$A$4:$J$998,3,FALSE),""))</f>
        <v/>
      </c>
      <c r="F308" s="40">
        <f t="shared" si="2"/>
        <v>1</v>
      </c>
      <c r="G308" s="40" t="str">
        <f>IF($C308="","",IFERROR(VLOOKUP($C308,Orders!$A$4:$J$998,4,FALSE),""))</f>
        <v/>
      </c>
      <c r="H308" s="40" t="str">
        <f>IF($C308="","",IFERROR(VLOOKUP($C308,Orders!$A$4:$J$998,5,FALSE),""))</f>
        <v/>
      </c>
      <c r="I308" s="40" t="str">
        <f>IF($C308="","",IFERROR(VLOOKUP($C308,Orders!$A$4:$J$998,6,FALSE),""))</f>
        <v/>
      </c>
      <c r="J308" s="40" t="str">
        <f>IF($C308="","",IFERROR(VLOOKUP($C308,Orders!$A$4:$J$998,7,FALSE),""))</f>
        <v/>
      </c>
      <c r="K308" s="40" t="str">
        <f>IF(Bids!$C307="","",Bids!$C307)</f>
        <v/>
      </c>
      <c r="L308" s="40" t="str">
        <f>IF($K308="","",IFERROR(VLOOKUP($K308,Grinders!$A$4:$N$998,2,FALSE),""))</f>
        <v/>
      </c>
      <c r="M308" s="40" t="str">
        <f>IF($K308="","",IFERROR(VLOOKUP($K308,Grinders!$A$4:$N$998,3,FALSE),""))</f>
        <v/>
      </c>
      <c r="N308" s="40" t="str">
        <f>IF($K308="","",IFERROR(VLOOKUP($K308,Grinders!$A$4:$N$998,4,FALSE),""))</f>
        <v/>
      </c>
      <c r="O308" s="40" t="str">
        <f>IF($K308="","",IFERROR(VLOOKUP($K308,Grinders!$A$4:$N$998,5,FALSE),""))</f>
        <v/>
      </c>
      <c r="P308" s="40" t="str">
        <f>IF($K308="","",IF($C$4="",0,COUNTIFS(Assignments!$B$6:$B$1000,$K308,Assignments!$F$6:$F$1000,$C$4,Assignments!$E$6:$E$1000,"Active")))</f>
        <v/>
      </c>
      <c r="Q308" s="40" t="str">
        <f t="shared" si="3"/>
        <v/>
      </c>
      <c r="R308" s="40" t="str">
        <f t="shared" si="4"/>
        <v/>
      </c>
      <c r="S308" s="40" t="str">
        <f>IF($K308="","",IF($C$4="",0,COUNTIFS(Assignments!$B$6:$B$1000,$K308,Assignments!$F$6:$F$1000,$C$4,Assignments!$D$6:$D$1000,"&gt;="&amp;Config!$B$3-7,Assignments!$D$6:$D$1000,"&lt;="&amp;Config!$B$3)))</f>
        <v/>
      </c>
      <c r="T308" s="40" t="str">
        <f>IF($K308="","",IFERROR(VLOOKUP($K308,Grinders!$A$4:$N$998,8,FALSE),""))</f>
        <v/>
      </c>
      <c r="U308" s="40" t="str">
        <f>IFERROR(IF($K308="","",IF($M308="Elite",MAX(50,MIN(100,Config!$B$27*MAX(0,MIN(100,(1-IF($R308="",0,$R308))*100)) + Config!$B$28*MAX(0,MIN(100,(1-MIN(1,IF(Config!$B$30=0,1,$S308/Config!$B$30)))*100)) + Config!$B$29*MAX(0,MIN(100,MIN(1,IF($T308="",0,$T308)/Config!$B$23)*100)))),MIN(100,Config!$B$27*MAX(0,MIN(100,(1-IF($R308="",0,$R308))*100)) + Config!$B$28*MAX(0,MIN(100,(1-MIN(1,IF(Config!$B$30=0,1,$S308/Config!$B$30)))*100)) + Config!$B$29*MAX(0,MIN(100,MIN(1,IF($T308="",0,$T308)/Config!$B$23)*100))))),"")
</f>
        <v/>
      </c>
      <c r="V308" s="40" t="str">
        <f>IF(Bids!$AC308="","",Bids!$AC308)</f>
        <v/>
      </c>
      <c r="W308" s="40" t="str">
        <f>IF(Bids!$F307="","",Bids!$F307)</f>
        <v/>
      </c>
      <c r="X308" s="40" t="str">
        <f t="shared" si="5"/>
        <v/>
      </c>
      <c r="Y308" s="40" t="str">
        <f>IF($X308="","",IF(Config!$B$17=Config!$B$16,IF($X308&gt;=Config!$B$17,100,0),MAX(0,MIN(100,($X308-Config!$B$16)/(Config!$B$17-Config!$B$16)*100))))</f>
        <v/>
      </c>
      <c r="Z308" s="40">
        <f>IF($M308="Elite",Config!$B$21,0)</f>
        <v>0</v>
      </c>
      <c r="AA308" s="40" t="str">
        <f>IFERROR(IF(OR($W308="",$H308=""),"",IF($W308&gt;$H308,
  MAX(0, 60-(($W308-$H308)*24/Config!$B$19)*60),
  MIN(100, 60+(($H308-$W308)*24/Config!$B$20)*40)
)),"")
</f>
        <v/>
      </c>
      <c r="AB308" s="40" t="str">
        <f>IF($K308="","",IFERROR(VLOOKUP($K308,Grinders!$A$4:$N$998,10,FALSE)/5*100,""))</f>
        <v/>
      </c>
      <c r="AC308" s="40" t="str">
        <f>IF($K308="","",IFERROR(VLOOKUP($K308,Grinders!$A$4:$N$998,11,FALSE)*100,""))</f>
        <v/>
      </c>
      <c r="AD308" s="40" t="str">
        <f>IF($K308="","",IFERROR(VLOOKUP($K308,Grinders!$A$4:$N$998,12,FALSE)*100,""))</f>
        <v/>
      </c>
      <c r="AE308" s="40" t="str">
        <f>IF(OR(AO308=1,AP308=1),0,=IFERROR(IFS(
    OR($C308="", $K308=""), 0,
    $F308=0, 0,
    $D308&lt;&gt;"Open", 0,
    COUNTIFS(GrinderServices!$A$6:$A$1000, $K308, GrinderServices!$B$6:$B$1000, $E308, GrinderServices!$D$6:$D$1000, "Y")=0, 0,
    $X308&lt;Config!$B$16, 0,
    Config!$B$18=1, IF($O308&gt;=N308, 0, 1),
    TRUE, 1
), "")
)</f>
        <v>#ERROR!</v>
      </c>
      <c r="AF308" s="40" t="str">
        <f>IFERROR((IF(OR(AO308=1,AP308=1),"",=IFERROR((IFERROR(IF($AE308=0,"",((Config!$B$6*$Y308 + Config!$B$7*$U308 + Config!$B$8*$Z308 + Config!$B$9*$AA308 + Config!$B$10*$AB308 + Config!$B$11*$AC308 - Config!$B$12*$AD308)/Config!$B$13)+$AK308+$AL308),""))*(1-IFERROR(VLOOKUP(K308,Grinders!$A:$AB, 28, FALSE),0)),"")))*(1+AR308),"")</f>
        <v>#ERROR!</v>
      </c>
      <c r="AG308" s="40" t="str">
        <f t="shared" si="6"/>
        <v>#ERROR!</v>
      </c>
      <c r="AH308" s="40" t="str">
        <f t="shared" si="7"/>
        <v/>
      </c>
      <c r="AI308" s="40" t="str">
        <f t="shared" si="8"/>
        <v/>
      </c>
      <c r="AJ308" s="40" t="str">
        <f>IF($K308="","",COUNTIF(Assignments!$B$6:$B$1000,$K308))</f>
        <v/>
      </c>
      <c r="AK308" s="40" t="str">
        <f>IF($K308="","",IF(AND($AJ308=0,$O308&lt;$N308),Config!$B$43,0))</f>
        <v/>
      </c>
      <c r="AL308" s="40" t="str">
        <f>IF($K308="","",IF(AND($M308="Elite",$G308&gt;=Config!$B$41,$O308&lt;$N308),Config!$B$42,0))</f>
        <v/>
      </c>
      <c r="AM308" s="22"/>
      <c r="AN308" s="39">
        <f>IFERROR(VLOOKUP(K308,Grinders!$A:$Q,28,FALSE),0)</f>
        <v>0</v>
      </c>
      <c r="AO308" s="39">
        <f>IF(Config!$B$1003&lt;&gt;"Y",0,IF(IFERROR(VLOOKUP(K308,Grinders!$A:$P,27,FALSE),0)&gt;=3,IF(OR(G308&gt;=Config!$B$1001,ISNUMBER(SEARCH(E308,Config!$B$1002))),1,0),0))</f>
        <v>0</v>
      </c>
      <c r="AP308" s="39">
        <f t="array" ref="AP308">IFERROR(IF(INDEX(Bids!$AE:$AE,MATCH(B308,Bids!$A:$A,0))="Pending",1,0),0)</f>
        <v>0</v>
      </c>
      <c r="AQ308" s="39" t="str">
        <f t="array" ref="AQ308">IF(C308="","",IFERROR(XLOOKUP(C308,Assignments!$C:$C,Assignments!$AU:$AU,0),0))</f>
        <v/>
      </c>
      <c r="AR308" s="39">
        <f>IF(AND(Config!$B$1006="Y",AQ308=1),Config!$B$1007,0)</f>
        <v>0</v>
      </c>
    </row>
    <row r="309" ht="15.75" customHeight="1">
      <c r="A309" s="46" t="str">
        <f t="shared" si="1"/>
        <v/>
      </c>
      <c r="B309" s="40" t="str">
        <f>IF(Bids!$A308="","",Bids!$A308)</f>
        <v/>
      </c>
      <c r="C309" s="40" t="str">
        <f>IF(Bids!$B308="","",Bids!$B308)</f>
        <v/>
      </c>
      <c r="D309" s="40" t="str">
        <f>IF($C309="","",IFERROR(VLOOKUP($C309,Orders!$A$4:$J$998,9,FALSE),""))</f>
        <v/>
      </c>
      <c r="E309" s="40" t="str">
        <f>IF($C309="","",IFERROR(VLOOKUP($C309,Orders!$A$4:$J$998,3,FALSE),""))</f>
        <v/>
      </c>
      <c r="F309" s="40">
        <f t="shared" si="2"/>
        <v>1</v>
      </c>
      <c r="G309" s="40" t="str">
        <f>IF($C309="","",IFERROR(VLOOKUP($C309,Orders!$A$4:$J$998,4,FALSE),""))</f>
        <v/>
      </c>
      <c r="H309" s="40" t="str">
        <f>IF($C309="","",IFERROR(VLOOKUP($C309,Orders!$A$4:$J$998,5,FALSE),""))</f>
        <v/>
      </c>
      <c r="I309" s="40" t="str">
        <f>IF($C309="","",IFERROR(VLOOKUP($C309,Orders!$A$4:$J$998,6,FALSE),""))</f>
        <v/>
      </c>
      <c r="J309" s="40" t="str">
        <f>IF($C309="","",IFERROR(VLOOKUP($C309,Orders!$A$4:$J$998,7,FALSE),""))</f>
        <v/>
      </c>
      <c r="K309" s="40" t="str">
        <f>IF(Bids!$C308="","",Bids!$C308)</f>
        <v/>
      </c>
      <c r="L309" s="40" t="str">
        <f>IF($K309="","",IFERROR(VLOOKUP($K309,Grinders!$A$4:$N$998,2,FALSE),""))</f>
        <v/>
      </c>
      <c r="M309" s="40" t="str">
        <f>IF($K309="","",IFERROR(VLOOKUP($K309,Grinders!$A$4:$N$998,3,FALSE),""))</f>
        <v/>
      </c>
      <c r="N309" s="40" t="str">
        <f>IF($K309="","",IFERROR(VLOOKUP($K309,Grinders!$A$4:$N$998,4,FALSE),""))</f>
        <v/>
      </c>
      <c r="O309" s="40" t="str">
        <f>IF($K309="","",IFERROR(VLOOKUP($K309,Grinders!$A$4:$N$998,5,FALSE),""))</f>
        <v/>
      </c>
      <c r="P309" s="40" t="str">
        <f>IF($K309="","",IF($C$4="",0,COUNTIFS(Assignments!$B$6:$B$1000,$K309,Assignments!$F$6:$F$1000,$C$4,Assignments!$E$6:$E$1000,"Active")))</f>
        <v/>
      </c>
      <c r="Q309" s="40" t="str">
        <f t="shared" si="3"/>
        <v/>
      </c>
      <c r="R309" s="40" t="str">
        <f t="shared" si="4"/>
        <v/>
      </c>
      <c r="S309" s="40" t="str">
        <f>IF($K309="","",IF($C$4="",0,COUNTIFS(Assignments!$B$6:$B$1000,$K309,Assignments!$F$6:$F$1000,$C$4,Assignments!$D$6:$D$1000,"&gt;="&amp;Config!$B$3-7,Assignments!$D$6:$D$1000,"&lt;="&amp;Config!$B$3)))</f>
        <v/>
      </c>
      <c r="T309" s="40" t="str">
        <f>IF($K309="","",IFERROR(VLOOKUP($K309,Grinders!$A$4:$N$998,8,FALSE),""))</f>
        <v/>
      </c>
      <c r="U309" s="40" t="str">
        <f>IFERROR(IF($K309="","",IF($M309="Elite",MAX(50,MIN(100,Config!$B$27*MAX(0,MIN(100,(1-IF($R309="",0,$R309))*100)) + Config!$B$28*MAX(0,MIN(100,(1-MIN(1,IF(Config!$B$30=0,1,$S309/Config!$B$30)))*100)) + Config!$B$29*MAX(0,MIN(100,MIN(1,IF($T309="",0,$T309)/Config!$B$23)*100)))),MIN(100,Config!$B$27*MAX(0,MIN(100,(1-IF($R309="",0,$R309))*100)) + Config!$B$28*MAX(0,MIN(100,(1-MIN(1,IF(Config!$B$30=0,1,$S309/Config!$B$30)))*100)) + Config!$B$29*MAX(0,MIN(100,MIN(1,IF($T309="",0,$T309)/Config!$B$23)*100))))),"")
</f>
        <v/>
      </c>
      <c r="V309" s="40" t="str">
        <f>IF(Bids!$AC309="","",Bids!$AC309)</f>
        <v/>
      </c>
      <c r="W309" s="40" t="str">
        <f>IF(Bids!$F308="","",Bids!$F308)</f>
        <v/>
      </c>
      <c r="X309" s="40" t="str">
        <f t="shared" si="5"/>
        <v/>
      </c>
      <c r="Y309" s="40" t="str">
        <f>IF($X309="","",IF(Config!$B$17=Config!$B$16,IF($X309&gt;=Config!$B$17,100,0),MAX(0,MIN(100,($X309-Config!$B$16)/(Config!$B$17-Config!$B$16)*100))))</f>
        <v/>
      </c>
      <c r="Z309" s="40">
        <f>IF($M309="Elite",Config!$B$21,0)</f>
        <v>0</v>
      </c>
      <c r="AA309" s="40" t="str">
        <f>IFERROR(IF(OR($W309="",$H309=""),"",IF($W309&gt;$H309,
  MAX(0, 60-(($W309-$H309)*24/Config!$B$19)*60),
  MIN(100, 60+(($H309-$W309)*24/Config!$B$20)*40)
)),"")
</f>
        <v/>
      </c>
      <c r="AB309" s="40" t="str">
        <f>IF($K309="","",IFERROR(VLOOKUP($K309,Grinders!$A$4:$N$998,10,FALSE)/5*100,""))</f>
        <v/>
      </c>
      <c r="AC309" s="40" t="str">
        <f>IF($K309="","",IFERROR(VLOOKUP($K309,Grinders!$A$4:$N$998,11,FALSE)*100,""))</f>
        <v/>
      </c>
      <c r="AD309" s="40" t="str">
        <f>IF($K309="","",IFERROR(VLOOKUP($K309,Grinders!$A$4:$N$998,12,FALSE)*100,""))</f>
        <v/>
      </c>
      <c r="AE309" s="40" t="str">
        <f>IF(OR(AO309=1,AP309=1),0,=IFERROR(IFS(
    OR($C309="", $K309=""), 0,
    $F309=0, 0,
    $D309&lt;&gt;"Open", 0,
    COUNTIFS(GrinderServices!$A$6:$A$1000, $K309, GrinderServices!$B$6:$B$1000, $E309, GrinderServices!$D$6:$D$1000, "Y")=0, 0,
    $X309&lt;Config!$B$16, 0,
    Config!$B$18=1, IF($O309&gt;=N309, 0, 1),
    TRUE, 1
), "")
)</f>
        <v>#ERROR!</v>
      </c>
      <c r="AF309" s="40" t="str">
        <f>IFERROR((IF(OR(AO309=1,AP309=1),"",=IFERROR((IFERROR(IF($AE309=0,"",((Config!$B$6*$Y309 + Config!$B$7*$U309 + Config!$B$8*$Z309 + Config!$B$9*$AA309 + Config!$B$10*$AB309 + Config!$B$11*$AC309 - Config!$B$12*$AD309)/Config!$B$13)+$AK309+$AL309),""))*(1-IFERROR(VLOOKUP(K309,Grinders!$A:$AB, 28, FALSE),0)),"")))*(1+AR309),"")</f>
        <v>#ERROR!</v>
      </c>
      <c r="AG309" s="40" t="str">
        <f t="shared" si="6"/>
        <v>#ERROR!</v>
      </c>
      <c r="AH309" s="40" t="str">
        <f t="shared" si="7"/>
        <v/>
      </c>
      <c r="AI309" s="40" t="str">
        <f t="shared" si="8"/>
        <v/>
      </c>
      <c r="AJ309" s="40" t="str">
        <f>IF($K309="","",COUNTIF(Assignments!$B$6:$B$1000,$K309))</f>
        <v/>
      </c>
      <c r="AK309" s="40" t="str">
        <f>IF($K309="","",IF(AND($AJ309=0,$O309&lt;$N309),Config!$B$43,0))</f>
        <v/>
      </c>
      <c r="AL309" s="40" t="str">
        <f>IF($K309="","",IF(AND($M309="Elite",$G309&gt;=Config!$B$41,$O309&lt;$N309),Config!$B$42,0))</f>
        <v/>
      </c>
      <c r="AM309" s="22"/>
      <c r="AN309" s="39">
        <f>IFERROR(VLOOKUP(K309,Grinders!$A:$Q,28,FALSE),0)</f>
        <v>0</v>
      </c>
      <c r="AO309" s="39">
        <f>IF(Config!$B$1003&lt;&gt;"Y",0,IF(IFERROR(VLOOKUP(K309,Grinders!$A:$P,27,FALSE),0)&gt;=3,IF(OR(G309&gt;=Config!$B$1001,ISNUMBER(SEARCH(E309,Config!$B$1002))),1,0),0))</f>
        <v>0</v>
      </c>
      <c r="AP309" s="39">
        <f t="array" ref="AP309">IFERROR(IF(INDEX(Bids!$AE:$AE,MATCH(B309,Bids!$A:$A,0))="Pending",1,0),0)</f>
        <v>0</v>
      </c>
      <c r="AQ309" s="39" t="str">
        <f t="array" ref="AQ309">IF(C309="","",IFERROR(XLOOKUP(C309,Assignments!$C:$C,Assignments!$AU:$AU,0),0))</f>
        <v/>
      </c>
      <c r="AR309" s="39">
        <f>IF(AND(Config!$B$1006="Y",AQ309=1),Config!$B$1007,0)</f>
        <v>0</v>
      </c>
    </row>
    <row r="310" ht="15.75" customHeight="1">
      <c r="A310" s="46" t="str">
        <f t="shared" si="1"/>
        <v/>
      </c>
      <c r="B310" s="40" t="str">
        <f>IF(Bids!$A309="","",Bids!$A309)</f>
        <v/>
      </c>
      <c r="C310" s="40" t="str">
        <f>IF(Bids!$B309="","",Bids!$B309)</f>
        <v/>
      </c>
      <c r="D310" s="40" t="str">
        <f>IF($C310="","",IFERROR(VLOOKUP($C310,Orders!$A$4:$J$998,9,FALSE),""))</f>
        <v/>
      </c>
      <c r="E310" s="40" t="str">
        <f>IF($C310="","",IFERROR(VLOOKUP($C310,Orders!$A$4:$J$998,3,FALSE),""))</f>
        <v/>
      </c>
      <c r="F310" s="40">
        <f t="shared" si="2"/>
        <v>1</v>
      </c>
      <c r="G310" s="40" t="str">
        <f>IF($C310="","",IFERROR(VLOOKUP($C310,Orders!$A$4:$J$998,4,FALSE),""))</f>
        <v/>
      </c>
      <c r="H310" s="40" t="str">
        <f>IF($C310="","",IFERROR(VLOOKUP($C310,Orders!$A$4:$J$998,5,FALSE),""))</f>
        <v/>
      </c>
      <c r="I310" s="40" t="str">
        <f>IF($C310="","",IFERROR(VLOOKUP($C310,Orders!$A$4:$J$998,6,FALSE),""))</f>
        <v/>
      </c>
      <c r="J310" s="40" t="str">
        <f>IF($C310="","",IFERROR(VLOOKUP($C310,Orders!$A$4:$J$998,7,FALSE),""))</f>
        <v/>
      </c>
      <c r="K310" s="40" t="str">
        <f>IF(Bids!$C309="","",Bids!$C309)</f>
        <v/>
      </c>
      <c r="L310" s="40" t="str">
        <f>IF($K310="","",IFERROR(VLOOKUP($K310,Grinders!$A$4:$N$998,2,FALSE),""))</f>
        <v/>
      </c>
      <c r="M310" s="40" t="str">
        <f>IF($K310="","",IFERROR(VLOOKUP($K310,Grinders!$A$4:$N$998,3,FALSE),""))</f>
        <v/>
      </c>
      <c r="N310" s="40" t="str">
        <f>IF($K310="","",IFERROR(VLOOKUP($K310,Grinders!$A$4:$N$998,4,FALSE),""))</f>
        <v/>
      </c>
      <c r="O310" s="40" t="str">
        <f>IF($K310="","",IFERROR(VLOOKUP($K310,Grinders!$A$4:$N$998,5,FALSE),""))</f>
        <v/>
      </c>
      <c r="P310" s="40" t="str">
        <f>IF($K310="","",IF($C$4="",0,COUNTIFS(Assignments!$B$6:$B$1000,$K310,Assignments!$F$6:$F$1000,$C$4,Assignments!$E$6:$E$1000,"Active")))</f>
        <v/>
      </c>
      <c r="Q310" s="40" t="str">
        <f t="shared" si="3"/>
        <v/>
      </c>
      <c r="R310" s="40" t="str">
        <f t="shared" si="4"/>
        <v/>
      </c>
      <c r="S310" s="40" t="str">
        <f>IF($K310="","",IF($C$4="",0,COUNTIFS(Assignments!$B$6:$B$1000,$K310,Assignments!$F$6:$F$1000,$C$4,Assignments!$D$6:$D$1000,"&gt;="&amp;Config!$B$3-7,Assignments!$D$6:$D$1000,"&lt;="&amp;Config!$B$3)))</f>
        <v/>
      </c>
      <c r="T310" s="40" t="str">
        <f>IF($K310="","",IFERROR(VLOOKUP($K310,Grinders!$A$4:$N$998,8,FALSE),""))</f>
        <v/>
      </c>
      <c r="U310" s="40" t="str">
        <f>IFERROR(IF($K310="","",IF($M310="Elite",MAX(50,MIN(100,Config!$B$27*MAX(0,MIN(100,(1-IF($R310="",0,$R310))*100)) + Config!$B$28*MAX(0,MIN(100,(1-MIN(1,IF(Config!$B$30=0,1,$S310/Config!$B$30)))*100)) + Config!$B$29*MAX(0,MIN(100,MIN(1,IF($T310="",0,$T310)/Config!$B$23)*100)))),MIN(100,Config!$B$27*MAX(0,MIN(100,(1-IF($R310="",0,$R310))*100)) + Config!$B$28*MAX(0,MIN(100,(1-MIN(1,IF(Config!$B$30=0,1,$S310/Config!$B$30)))*100)) + Config!$B$29*MAX(0,MIN(100,MIN(1,IF($T310="",0,$T310)/Config!$B$23)*100))))),"")
</f>
        <v/>
      </c>
      <c r="V310" s="40" t="str">
        <f>IF(Bids!$AC310="","",Bids!$AC310)</f>
        <v/>
      </c>
      <c r="W310" s="40" t="str">
        <f>IF(Bids!$F309="","",Bids!$F309)</f>
        <v/>
      </c>
      <c r="X310" s="40" t="str">
        <f t="shared" si="5"/>
        <v/>
      </c>
      <c r="Y310" s="40" t="str">
        <f>IF($X310="","",IF(Config!$B$17=Config!$B$16,IF($X310&gt;=Config!$B$17,100,0),MAX(0,MIN(100,($X310-Config!$B$16)/(Config!$B$17-Config!$B$16)*100))))</f>
        <v/>
      </c>
      <c r="Z310" s="40">
        <f>IF($M310="Elite",Config!$B$21,0)</f>
        <v>0</v>
      </c>
      <c r="AA310" s="40" t="str">
        <f>IFERROR(IF(OR($W310="",$H310=""),"",IF($W310&gt;$H310,
  MAX(0, 60-(($W310-$H310)*24/Config!$B$19)*60),
  MIN(100, 60+(($H310-$W310)*24/Config!$B$20)*40)
)),"")
</f>
        <v/>
      </c>
      <c r="AB310" s="40" t="str">
        <f>IF($K310="","",IFERROR(VLOOKUP($K310,Grinders!$A$4:$N$998,10,FALSE)/5*100,""))</f>
        <v/>
      </c>
      <c r="AC310" s="40" t="str">
        <f>IF($K310="","",IFERROR(VLOOKUP($K310,Grinders!$A$4:$N$998,11,FALSE)*100,""))</f>
        <v/>
      </c>
      <c r="AD310" s="40" t="str">
        <f>IF($K310="","",IFERROR(VLOOKUP($K310,Grinders!$A$4:$N$998,12,FALSE)*100,""))</f>
        <v/>
      </c>
      <c r="AE310" s="40" t="str">
        <f>IF(OR(AO310=1,AP310=1),0,=IFERROR(IFS(
    OR($C310="", $K310=""), 0,
    $F310=0, 0,
    $D310&lt;&gt;"Open", 0,
    COUNTIFS(GrinderServices!$A$6:$A$1000, $K310, GrinderServices!$B$6:$B$1000, $E310, GrinderServices!$D$6:$D$1000, "Y")=0, 0,
    $X310&lt;Config!$B$16, 0,
    Config!$B$18=1, IF($O310&gt;=N310, 0, 1),
    TRUE, 1
), "")
)</f>
        <v>#ERROR!</v>
      </c>
      <c r="AF310" s="40" t="str">
        <f>IFERROR((IF(OR(AO310=1,AP310=1),"",=IFERROR((IFERROR(IF($AE310=0,"",((Config!$B$6*$Y310 + Config!$B$7*$U310 + Config!$B$8*$Z310 + Config!$B$9*$AA310 + Config!$B$10*$AB310 + Config!$B$11*$AC310 - Config!$B$12*$AD310)/Config!$B$13)+$AK310+$AL310),""))*(1-IFERROR(VLOOKUP(K310,Grinders!$A:$AB, 28, FALSE),0)),"")))*(1+AR310),"")</f>
        <v>#ERROR!</v>
      </c>
      <c r="AG310" s="40" t="str">
        <f t="shared" si="6"/>
        <v>#ERROR!</v>
      </c>
      <c r="AH310" s="40" t="str">
        <f t="shared" si="7"/>
        <v/>
      </c>
      <c r="AI310" s="40" t="str">
        <f t="shared" si="8"/>
        <v/>
      </c>
      <c r="AJ310" s="40" t="str">
        <f>IF($K310="","",COUNTIF(Assignments!$B$6:$B$1000,$K310))</f>
        <v/>
      </c>
      <c r="AK310" s="40" t="str">
        <f>IF($K310="","",IF(AND($AJ310=0,$O310&lt;$N310),Config!$B$43,0))</f>
        <v/>
      </c>
      <c r="AL310" s="40" t="str">
        <f>IF($K310="","",IF(AND($M310="Elite",$G310&gt;=Config!$B$41,$O310&lt;$N310),Config!$B$42,0))</f>
        <v/>
      </c>
      <c r="AM310" s="22"/>
      <c r="AN310" s="39">
        <f>IFERROR(VLOOKUP(K310,Grinders!$A:$Q,28,FALSE),0)</f>
        <v>0</v>
      </c>
      <c r="AO310" s="39">
        <f>IF(Config!$B$1003&lt;&gt;"Y",0,IF(IFERROR(VLOOKUP(K310,Grinders!$A:$P,27,FALSE),0)&gt;=3,IF(OR(G310&gt;=Config!$B$1001,ISNUMBER(SEARCH(E310,Config!$B$1002))),1,0),0))</f>
        <v>0</v>
      </c>
      <c r="AP310" s="39">
        <f t="array" ref="AP310">IFERROR(IF(INDEX(Bids!$AE:$AE,MATCH(B310,Bids!$A:$A,0))="Pending",1,0),0)</f>
        <v>0</v>
      </c>
      <c r="AQ310" s="39" t="str">
        <f t="array" ref="AQ310">IF(C310="","",IFERROR(XLOOKUP(C310,Assignments!$C:$C,Assignments!$AU:$AU,0),0))</f>
        <v/>
      </c>
      <c r="AR310" s="39">
        <f>IF(AND(Config!$B$1006="Y",AQ310=1),Config!$B$1007,0)</f>
        <v>0</v>
      </c>
    </row>
    <row r="311" ht="15.75" customHeight="1">
      <c r="A311" s="46" t="str">
        <f t="shared" si="1"/>
        <v/>
      </c>
      <c r="B311" s="40" t="str">
        <f>IF(Bids!$A310="","",Bids!$A310)</f>
        <v/>
      </c>
      <c r="C311" s="40" t="str">
        <f>IF(Bids!$B310="","",Bids!$B310)</f>
        <v/>
      </c>
      <c r="D311" s="40" t="str">
        <f>IF($C311="","",IFERROR(VLOOKUP($C311,Orders!$A$4:$J$998,9,FALSE),""))</f>
        <v/>
      </c>
      <c r="E311" s="40" t="str">
        <f>IF($C311="","",IFERROR(VLOOKUP($C311,Orders!$A$4:$J$998,3,FALSE),""))</f>
        <v/>
      </c>
      <c r="F311" s="40">
        <f t="shared" si="2"/>
        <v>1</v>
      </c>
      <c r="G311" s="40" t="str">
        <f>IF($C311="","",IFERROR(VLOOKUP($C311,Orders!$A$4:$J$998,4,FALSE),""))</f>
        <v/>
      </c>
      <c r="H311" s="40" t="str">
        <f>IF($C311="","",IFERROR(VLOOKUP($C311,Orders!$A$4:$J$998,5,FALSE),""))</f>
        <v/>
      </c>
      <c r="I311" s="40" t="str">
        <f>IF($C311="","",IFERROR(VLOOKUP($C311,Orders!$A$4:$J$998,6,FALSE),""))</f>
        <v/>
      </c>
      <c r="J311" s="40" t="str">
        <f>IF($C311="","",IFERROR(VLOOKUP($C311,Orders!$A$4:$J$998,7,FALSE),""))</f>
        <v/>
      </c>
      <c r="K311" s="40" t="str">
        <f>IF(Bids!$C310="","",Bids!$C310)</f>
        <v/>
      </c>
      <c r="L311" s="40" t="str">
        <f>IF($K311="","",IFERROR(VLOOKUP($K311,Grinders!$A$4:$N$998,2,FALSE),""))</f>
        <v/>
      </c>
      <c r="M311" s="40" t="str">
        <f>IF($K311="","",IFERROR(VLOOKUP($K311,Grinders!$A$4:$N$998,3,FALSE),""))</f>
        <v/>
      </c>
      <c r="N311" s="40" t="str">
        <f>IF($K311="","",IFERROR(VLOOKUP($K311,Grinders!$A$4:$N$998,4,FALSE),""))</f>
        <v/>
      </c>
      <c r="O311" s="40" t="str">
        <f>IF($K311="","",IFERROR(VLOOKUP($K311,Grinders!$A$4:$N$998,5,FALSE),""))</f>
        <v/>
      </c>
      <c r="P311" s="40" t="str">
        <f>IF($K311="","",IF($C$4="",0,COUNTIFS(Assignments!$B$6:$B$1000,$K311,Assignments!$F$6:$F$1000,$C$4,Assignments!$E$6:$E$1000,"Active")))</f>
        <v/>
      </c>
      <c r="Q311" s="40" t="str">
        <f t="shared" si="3"/>
        <v/>
      </c>
      <c r="R311" s="40" t="str">
        <f t="shared" si="4"/>
        <v/>
      </c>
      <c r="S311" s="40" t="str">
        <f>IF($K311="","",IF($C$4="",0,COUNTIFS(Assignments!$B$6:$B$1000,$K311,Assignments!$F$6:$F$1000,$C$4,Assignments!$D$6:$D$1000,"&gt;="&amp;Config!$B$3-7,Assignments!$D$6:$D$1000,"&lt;="&amp;Config!$B$3)))</f>
        <v/>
      </c>
      <c r="T311" s="40" t="str">
        <f>IF($K311="","",IFERROR(VLOOKUP($K311,Grinders!$A$4:$N$998,8,FALSE),""))</f>
        <v/>
      </c>
      <c r="U311" s="40" t="str">
        <f>IFERROR(IF($K311="","",IF($M311="Elite",MAX(50,MIN(100,Config!$B$27*MAX(0,MIN(100,(1-IF($R311="",0,$R311))*100)) + Config!$B$28*MAX(0,MIN(100,(1-MIN(1,IF(Config!$B$30=0,1,$S311/Config!$B$30)))*100)) + Config!$B$29*MAX(0,MIN(100,MIN(1,IF($T311="",0,$T311)/Config!$B$23)*100)))),MIN(100,Config!$B$27*MAX(0,MIN(100,(1-IF($R311="",0,$R311))*100)) + Config!$B$28*MAX(0,MIN(100,(1-MIN(1,IF(Config!$B$30=0,1,$S311/Config!$B$30)))*100)) + Config!$B$29*MAX(0,MIN(100,MIN(1,IF($T311="",0,$T311)/Config!$B$23)*100))))),"")
</f>
        <v/>
      </c>
      <c r="V311" s="40" t="str">
        <f>IF(Bids!$AC311="","",Bids!$AC311)</f>
        <v/>
      </c>
      <c r="W311" s="40" t="str">
        <f>IF(Bids!$F310="","",Bids!$F310)</f>
        <v/>
      </c>
      <c r="X311" s="40" t="str">
        <f t="shared" si="5"/>
        <v/>
      </c>
      <c r="Y311" s="40" t="str">
        <f>IF($X311="","",IF(Config!$B$17=Config!$B$16,IF($X311&gt;=Config!$B$17,100,0),MAX(0,MIN(100,($X311-Config!$B$16)/(Config!$B$17-Config!$B$16)*100))))</f>
        <v/>
      </c>
      <c r="Z311" s="40">
        <f>IF($M311="Elite",Config!$B$21,0)</f>
        <v>0</v>
      </c>
      <c r="AA311" s="40" t="str">
        <f>IFERROR(IF(OR($W311="",$H311=""),"",IF($W311&gt;$H311,
  MAX(0, 60-(($W311-$H311)*24/Config!$B$19)*60),
  MIN(100, 60+(($H311-$W311)*24/Config!$B$20)*40)
)),"")
</f>
        <v/>
      </c>
      <c r="AB311" s="40" t="str">
        <f>IF($K311="","",IFERROR(VLOOKUP($K311,Grinders!$A$4:$N$998,10,FALSE)/5*100,""))</f>
        <v/>
      </c>
      <c r="AC311" s="40" t="str">
        <f>IF($K311="","",IFERROR(VLOOKUP($K311,Grinders!$A$4:$N$998,11,FALSE)*100,""))</f>
        <v/>
      </c>
      <c r="AD311" s="40" t="str">
        <f>IF($K311="","",IFERROR(VLOOKUP($K311,Grinders!$A$4:$N$998,12,FALSE)*100,""))</f>
        <v/>
      </c>
      <c r="AE311" s="40" t="str">
        <f>IF(OR(AO311=1,AP311=1),0,=IFERROR(IFS(
    OR($C311="", $K311=""), 0,
    $F311=0, 0,
    $D311&lt;&gt;"Open", 0,
    COUNTIFS(GrinderServices!$A$6:$A$1000, $K311, GrinderServices!$B$6:$B$1000, $E311, GrinderServices!$D$6:$D$1000, "Y")=0, 0,
    $X311&lt;Config!$B$16, 0,
    Config!$B$18=1, IF($O311&gt;=N311, 0, 1),
    TRUE, 1
), "")
)</f>
        <v>#ERROR!</v>
      </c>
      <c r="AF311" s="40" t="str">
        <f>IFERROR((IF(OR(AO311=1,AP311=1),"",=IFERROR((IFERROR(IF($AE311=0,"",((Config!$B$6*$Y311 + Config!$B$7*$U311 + Config!$B$8*$Z311 + Config!$B$9*$AA311 + Config!$B$10*$AB311 + Config!$B$11*$AC311 - Config!$B$12*$AD311)/Config!$B$13)+$AK311+$AL311),""))*(1-IFERROR(VLOOKUP(K311,Grinders!$A:$AB, 28, FALSE),0)),"")))*(1+AR311),"")</f>
        <v>#ERROR!</v>
      </c>
      <c r="AG311" s="40" t="str">
        <f t="shared" si="6"/>
        <v>#ERROR!</v>
      </c>
      <c r="AH311" s="40" t="str">
        <f t="shared" si="7"/>
        <v/>
      </c>
      <c r="AI311" s="40" t="str">
        <f t="shared" si="8"/>
        <v/>
      </c>
      <c r="AJ311" s="40" t="str">
        <f>IF($K311="","",COUNTIF(Assignments!$B$6:$B$1000,$K311))</f>
        <v/>
      </c>
      <c r="AK311" s="40" t="str">
        <f>IF($K311="","",IF(AND($AJ311=0,$O311&lt;$N311),Config!$B$43,0))</f>
        <v/>
      </c>
      <c r="AL311" s="40" t="str">
        <f>IF($K311="","",IF(AND($M311="Elite",$G311&gt;=Config!$B$41,$O311&lt;$N311),Config!$B$42,0))</f>
        <v/>
      </c>
      <c r="AM311" s="22"/>
      <c r="AN311" s="39">
        <f>IFERROR(VLOOKUP(K311,Grinders!$A:$Q,28,FALSE),0)</f>
        <v>0</v>
      </c>
      <c r="AO311" s="39">
        <f>IF(Config!$B$1003&lt;&gt;"Y",0,IF(IFERROR(VLOOKUP(K311,Grinders!$A:$P,27,FALSE),0)&gt;=3,IF(OR(G311&gt;=Config!$B$1001,ISNUMBER(SEARCH(E311,Config!$B$1002))),1,0),0))</f>
        <v>0</v>
      </c>
      <c r="AP311" s="39">
        <f t="array" ref="AP311">IFERROR(IF(INDEX(Bids!$AE:$AE,MATCH(B311,Bids!$A:$A,0))="Pending",1,0),0)</f>
        <v>0</v>
      </c>
      <c r="AQ311" s="39" t="str">
        <f t="array" ref="AQ311">IF(C311="","",IFERROR(XLOOKUP(C311,Assignments!$C:$C,Assignments!$AU:$AU,0),0))</f>
        <v/>
      </c>
      <c r="AR311" s="39">
        <f>IF(AND(Config!$B$1006="Y",AQ311=1),Config!$B$1007,0)</f>
        <v>0</v>
      </c>
    </row>
    <row r="312" ht="15.75" customHeight="1">
      <c r="A312" s="46" t="str">
        <f t="shared" si="1"/>
        <v/>
      </c>
      <c r="B312" s="40" t="str">
        <f>IF(Bids!$A311="","",Bids!$A311)</f>
        <v/>
      </c>
      <c r="C312" s="40" t="str">
        <f>IF(Bids!$B311="","",Bids!$B311)</f>
        <v/>
      </c>
      <c r="D312" s="40" t="str">
        <f>IF($C312="","",IFERROR(VLOOKUP($C312,Orders!$A$4:$J$998,9,FALSE),""))</f>
        <v/>
      </c>
      <c r="E312" s="40" t="str">
        <f>IF($C312="","",IFERROR(VLOOKUP($C312,Orders!$A$4:$J$998,3,FALSE),""))</f>
        <v/>
      </c>
      <c r="F312" s="40">
        <f t="shared" si="2"/>
        <v>1</v>
      </c>
      <c r="G312" s="40" t="str">
        <f>IF($C312="","",IFERROR(VLOOKUP($C312,Orders!$A$4:$J$998,4,FALSE),""))</f>
        <v/>
      </c>
      <c r="H312" s="40" t="str">
        <f>IF($C312="","",IFERROR(VLOOKUP($C312,Orders!$A$4:$J$998,5,FALSE),""))</f>
        <v/>
      </c>
      <c r="I312" s="40" t="str">
        <f>IF($C312="","",IFERROR(VLOOKUP($C312,Orders!$A$4:$J$998,6,FALSE),""))</f>
        <v/>
      </c>
      <c r="J312" s="40" t="str">
        <f>IF($C312="","",IFERROR(VLOOKUP($C312,Orders!$A$4:$J$998,7,FALSE),""))</f>
        <v/>
      </c>
      <c r="K312" s="40" t="str">
        <f>IF(Bids!$C311="","",Bids!$C311)</f>
        <v/>
      </c>
      <c r="L312" s="40" t="str">
        <f>IF($K312="","",IFERROR(VLOOKUP($K312,Grinders!$A$4:$N$998,2,FALSE),""))</f>
        <v/>
      </c>
      <c r="M312" s="40" t="str">
        <f>IF($K312="","",IFERROR(VLOOKUP($K312,Grinders!$A$4:$N$998,3,FALSE),""))</f>
        <v/>
      </c>
      <c r="N312" s="40" t="str">
        <f>IF($K312="","",IFERROR(VLOOKUP($K312,Grinders!$A$4:$N$998,4,FALSE),""))</f>
        <v/>
      </c>
      <c r="O312" s="40" t="str">
        <f>IF($K312="","",IFERROR(VLOOKUP($K312,Grinders!$A$4:$N$998,5,FALSE),""))</f>
        <v/>
      </c>
      <c r="P312" s="40" t="str">
        <f>IF($K312="","",IF($C$4="",0,COUNTIFS(Assignments!$B$6:$B$1000,$K312,Assignments!$F$6:$F$1000,$C$4,Assignments!$E$6:$E$1000,"Active")))</f>
        <v/>
      </c>
      <c r="Q312" s="40" t="str">
        <f t="shared" si="3"/>
        <v/>
      </c>
      <c r="R312" s="40" t="str">
        <f t="shared" si="4"/>
        <v/>
      </c>
      <c r="S312" s="40" t="str">
        <f>IF($K312="","",IF($C$4="",0,COUNTIFS(Assignments!$B$6:$B$1000,$K312,Assignments!$F$6:$F$1000,$C$4,Assignments!$D$6:$D$1000,"&gt;="&amp;Config!$B$3-7,Assignments!$D$6:$D$1000,"&lt;="&amp;Config!$B$3)))</f>
        <v/>
      </c>
      <c r="T312" s="40" t="str">
        <f>IF($K312="","",IFERROR(VLOOKUP($K312,Grinders!$A$4:$N$998,8,FALSE),""))</f>
        <v/>
      </c>
      <c r="U312" s="40" t="str">
        <f>IFERROR(IF($K312="","",IF($M312="Elite",MAX(50,MIN(100,Config!$B$27*MAX(0,MIN(100,(1-IF($R312="",0,$R312))*100)) + Config!$B$28*MAX(0,MIN(100,(1-MIN(1,IF(Config!$B$30=0,1,$S312/Config!$B$30)))*100)) + Config!$B$29*MAX(0,MIN(100,MIN(1,IF($T312="",0,$T312)/Config!$B$23)*100)))),MIN(100,Config!$B$27*MAX(0,MIN(100,(1-IF($R312="",0,$R312))*100)) + Config!$B$28*MAX(0,MIN(100,(1-MIN(1,IF(Config!$B$30=0,1,$S312/Config!$B$30)))*100)) + Config!$B$29*MAX(0,MIN(100,MIN(1,IF($T312="",0,$T312)/Config!$B$23)*100))))),"")
</f>
        <v/>
      </c>
      <c r="V312" s="40" t="str">
        <f>IF(Bids!$AC312="","",Bids!$AC312)</f>
        <v/>
      </c>
      <c r="W312" s="40" t="str">
        <f>IF(Bids!$F311="","",Bids!$F311)</f>
        <v/>
      </c>
      <c r="X312" s="40" t="str">
        <f t="shared" si="5"/>
        <v/>
      </c>
      <c r="Y312" s="40" t="str">
        <f>IF($X312="","",IF(Config!$B$17=Config!$B$16,IF($X312&gt;=Config!$B$17,100,0),MAX(0,MIN(100,($X312-Config!$B$16)/(Config!$B$17-Config!$B$16)*100))))</f>
        <v/>
      </c>
      <c r="Z312" s="40">
        <f>IF($M312="Elite",Config!$B$21,0)</f>
        <v>0</v>
      </c>
      <c r="AA312" s="40" t="str">
        <f>IFERROR(IF(OR($W312="",$H312=""),"",IF($W312&gt;$H312,
  MAX(0, 60-(($W312-$H312)*24/Config!$B$19)*60),
  MIN(100, 60+(($H312-$W312)*24/Config!$B$20)*40)
)),"")
</f>
        <v/>
      </c>
      <c r="AB312" s="40" t="str">
        <f>IF($K312="","",IFERROR(VLOOKUP($K312,Grinders!$A$4:$N$998,10,FALSE)/5*100,""))</f>
        <v/>
      </c>
      <c r="AC312" s="40" t="str">
        <f>IF($K312="","",IFERROR(VLOOKUP($K312,Grinders!$A$4:$N$998,11,FALSE)*100,""))</f>
        <v/>
      </c>
      <c r="AD312" s="40" t="str">
        <f>IF($K312="","",IFERROR(VLOOKUP($K312,Grinders!$A$4:$N$998,12,FALSE)*100,""))</f>
        <v/>
      </c>
      <c r="AE312" s="40" t="str">
        <f>IF(OR(AO312=1,AP312=1),0,=IFERROR(IFS(
    OR($C312="", $K312=""), 0,
    $F312=0, 0,
    $D312&lt;&gt;"Open", 0,
    COUNTIFS(GrinderServices!$A$6:$A$1000, $K312, GrinderServices!$B$6:$B$1000, $E312, GrinderServices!$D$6:$D$1000, "Y")=0, 0,
    $X312&lt;Config!$B$16, 0,
    Config!$B$18=1, IF($O312&gt;=N312, 0, 1),
    TRUE, 1
), "")
)</f>
        <v>#ERROR!</v>
      </c>
      <c r="AF312" s="40" t="str">
        <f>IFERROR((IF(OR(AO312=1,AP312=1),"",=IFERROR((IFERROR(IF($AE312=0,"",((Config!$B$6*$Y312 + Config!$B$7*$U312 + Config!$B$8*$Z312 + Config!$B$9*$AA312 + Config!$B$10*$AB312 + Config!$B$11*$AC312 - Config!$B$12*$AD312)/Config!$B$13)+$AK312+$AL312),""))*(1-IFERROR(VLOOKUP(K312,Grinders!$A:$AB, 28, FALSE),0)),"")))*(1+AR312),"")</f>
        <v>#ERROR!</v>
      </c>
      <c r="AG312" s="40" t="str">
        <f t="shared" si="6"/>
        <v>#ERROR!</v>
      </c>
      <c r="AH312" s="40" t="str">
        <f t="shared" si="7"/>
        <v/>
      </c>
      <c r="AI312" s="40" t="str">
        <f t="shared" si="8"/>
        <v/>
      </c>
      <c r="AJ312" s="40" t="str">
        <f>IF($K312="","",COUNTIF(Assignments!$B$6:$B$1000,$K312))</f>
        <v/>
      </c>
      <c r="AK312" s="40" t="str">
        <f>IF($K312="","",IF(AND($AJ312=0,$O312&lt;$N312),Config!$B$43,0))</f>
        <v/>
      </c>
      <c r="AL312" s="40" t="str">
        <f>IF($K312="","",IF(AND($M312="Elite",$G312&gt;=Config!$B$41,$O312&lt;$N312),Config!$B$42,0))</f>
        <v/>
      </c>
      <c r="AM312" s="22"/>
      <c r="AN312" s="39">
        <f>IFERROR(VLOOKUP(K312,Grinders!$A:$Q,28,FALSE),0)</f>
        <v>0</v>
      </c>
      <c r="AO312" s="39">
        <f>IF(Config!$B$1003&lt;&gt;"Y",0,IF(IFERROR(VLOOKUP(K312,Grinders!$A:$P,27,FALSE),0)&gt;=3,IF(OR(G312&gt;=Config!$B$1001,ISNUMBER(SEARCH(E312,Config!$B$1002))),1,0),0))</f>
        <v>0</v>
      </c>
      <c r="AP312" s="39">
        <f t="array" ref="AP312">IFERROR(IF(INDEX(Bids!$AE:$AE,MATCH(B312,Bids!$A:$A,0))="Pending",1,0),0)</f>
        <v>0</v>
      </c>
      <c r="AQ312" s="39" t="str">
        <f t="array" ref="AQ312">IF(C312="","",IFERROR(XLOOKUP(C312,Assignments!$C:$C,Assignments!$AU:$AU,0),0))</f>
        <v/>
      </c>
      <c r="AR312" s="39">
        <f>IF(AND(Config!$B$1006="Y",AQ312=1),Config!$B$1007,0)</f>
        <v>0</v>
      </c>
    </row>
    <row r="313" ht="15.75" customHeight="1">
      <c r="A313" s="46" t="str">
        <f t="shared" si="1"/>
        <v/>
      </c>
      <c r="B313" s="40" t="str">
        <f>IF(Bids!$A312="","",Bids!$A312)</f>
        <v/>
      </c>
      <c r="C313" s="40" t="str">
        <f>IF(Bids!$B312="","",Bids!$B312)</f>
        <v/>
      </c>
      <c r="D313" s="40" t="str">
        <f>IF($C313="","",IFERROR(VLOOKUP($C313,Orders!$A$4:$J$998,9,FALSE),""))</f>
        <v/>
      </c>
      <c r="E313" s="40" t="str">
        <f>IF($C313="","",IFERROR(VLOOKUP($C313,Orders!$A$4:$J$998,3,FALSE),""))</f>
        <v/>
      </c>
      <c r="F313" s="40">
        <f t="shared" si="2"/>
        <v>1</v>
      </c>
      <c r="G313" s="40" t="str">
        <f>IF($C313="","",IFERROR(VLOOKUP($C313,Orders!$A$4:$J$998,4,FALSE),""))</f>
        <v/>
      </c>
      <c r="H313" s="40" t="str">
        <f>IF($C313="","",IFERROR(VLOOKUP($C313,Orders!$A$4:$J$998,5,FALSE),""))</f>
        <v/>
      </c>
      <c r="I313" s="40" t="str">
        <f>IF($C313="","",IFERROR(VLOOKUP($C313,Orders!$A$4:$J$998,6,FALSE),""))</f>
        <v/>
      </c>
      <c r="J313" s="40" t="str">
        <f>IF($C313="","",IFERROR(VLOOKUP($C313,Orders!$A$4:$J$998,7,FALSE),""))</f>
        <v/>
      </c>
      <c r="K313" s="40" t="str">
        <f>IF(Bids!$C312="","",Bids!$C312)</f>
        <v/>
      </c>
      <c r="L313" s="40" t="str">
        <f>IF($K313="","",IFERROR(VLOOKUP($K313,Grinders!$A$4:$N$998,2,FALSE),""))</f>
        <v/>
      </c>
      <c r="M313" s="40" t="str">
        <f>IF($K313="","",IFERROR(VLOOKUP($K313,Grinders!$A$4:$N$998,3,FALSE),""))</f>
        <v/>
      </c>
      <c r="N313" s="40" t="str">
        <f>IF($K313="","",IFERROR(VLOOKUP($K313,Grinders!$A$4:$N$998,4,FALSE),""))</f>
        <v/>
      </c>
      <c r="O313" s="40" t="str">
        <f>IF($K313="","",IFERROR(VLOOKUP($K313,Grinders!$A$4:$N$998,5,FALSE),""))</f>
        <v/>
      </c>
      <c r="P313" s="40" t="str">
        <f>IF($K313="","",IF($C$4="",0,COUNTIFS(Assignments!$B$6:$B$1000,$K313,Assignments!$F$6:$F$1000,$C$4,Assignments!$E$6:$E$1000,"Active")))</f>
        <v/>
      </c>
      <c r="Q313" s="40" t="str">
        <f t="shared" si="3"/>
        <v/>
      </c>
      <c r="R313" s="40" t="str">
        <f t="shared" si="4"/>
        <v/>
      </c>
      <c r="S313" s="40" t="str">
        <f>IF($K313="","",IF($C$4="",0,COUNTIFS(Assignments!$B$6:$B$1000,$K313,Assignments!$F$6:$F$1000,$C$4,Assignments!$D$6:$D$1000,"&gt;="&amp;Config!$B$3-7,Assignments!$D$6:$D$1000,"&lt;="&amp;Config!$B$3)))</f>
        <v/>
      </c>
      <c r="T313" s="40" t="str">
        <f>IF($K313="","",IFERROR(VLOOKUP($K313,Grinders!$A$4:$N$998,8,FALSE),""))</f>
        <v/>
      </c>
      <c r="U313" s="40" t="str">
        <f>IFERROR(IF($K313="","",IF($M313="Elite",MAX(50,MIN(100,Config!$B$27*MAX(0,MIN(100,(1-IF($R313="",0,$R313))*100)) + Config!$B$28*MAX(0,MIN(100,(1-MIN(1,IF(Config!$B$30=0,1,$S313/Config!$B$30)))*100)) + Config!$B$29*MAX(0,MIN(100,MIN(1,IF($T313="",0,$T313)/Config!$B$23)*100)))),MIN(100,Config!$B$27*MAX(0,MIN(100,(1-IF($R313="",0,$R313))*100)) + Config!$B$28*MAX(0,MIN(100,(1-MIN(1,IF(Config!$B$30=0,1,$S313/Config!$B$30)))*100)) + Config!$B$29*MAX(0,MIN(100,MIN(1,IF($T313="",0,$T313)/Config!$B$23)*100))))),"")
</f>
        <v/>
      </c>
      <c r="V313" s="40" t="str">
        <f>IF(Bids!$AC313="","",Bids!$AC313)</f>
        <v/>
      </c>
      <c r="W313" s="40" t="str">
        <f>IF(Bids!$F312="","",Bids!$F312)</f>
        <v/>
      </c>
      <c r="X313" s="40" t="str">
        <f t="shared" si="5"/>
        <v/>
      </c>
      <c r="Y313" s="40" t="str">
        <f>IF($X313="","",IF(Config!$B$17=Config!$B$16,IF($X313&gt;=Config!$B$17,100,0),MAX(0,MIN(100,($X313-Config!$B$16)/(Config!$B$17-Config!$B$16)*100))))</f>
        <v/>
      </c>
      <c r="Z313" s="40">
        <f>IF($M313="Elite",Config!$B$21,0)</f>
        <v>0</v>
      </c>
      <c r="AA313" s="40" t="str">
        <f>IFERROR(IF(OR($W313="",$H313=""),"",IF($W313&gt;$H313,
  MAX(0, 60-(($W313-$H313)*24/Config!$B$19)*60),
  MIN(100, 60+(($H313-$W313)*24/Config!$B$20)*40)
)),"")
</f>
        <v/>
      </c>
      <c r="AB313" s="40" t="str">
        <f>IF($K313="","",IFERROR(VLOOKUP($K313,Grinders!$A$4:$N$998,10,FALSE)/5*100,""))</f>
        <v/>
      </c>
      <c r="AC313" s="40" t="str">
        <f>IF($K313="","",IFERROR(VLOOKUP($K313,Grinders!$A$4:$N$998,11,FALSE)*100,""))</f>
        <v/>
      </c>
      <c r="AD313" s="40" t="str">
        <f>IF($K313="","",IFERROR(VLOOKUP($K313,Grinders!$A$4:$N$998,12,FALSE)*100,""))</f>
        <v/>
      </c>
      <c r="AE313" s="40" t="str">
        <f>IF(OR(AO313=1,AP313=1),0,=IFERROR(IFS(
    OR($C313="", $K313=""), 0,
    $F313=0, 0,
    $D313&lt;&gt;"Open", 0,
    COUNTIFS(GrinderServices!$A$6:$A$1000, $K313, GrinderServices!$B$6:$B$1000, $E313, GrinderServices!$D$6:$D$1000, "Y")=0, 0,
    $X313&lt;Config!$B$16, 0,
    Config!$B$18=1, IF($O313&gt;=N313, 0, 1),
    TRUE, 1
), "")
)</f>
        <v>#ERROR!</v>
      </c>
      <c r="AF313" s="40" t="str">
        <f>IFERROR((IF(OR(AO313=1,AP313=1),"",=IFERROR((IFERROR(IF($AE313=0,"",((Config!$B$6*$Y313 + Config!$B$7*$U313 + Config!$B$8*$Z313 + Config!$B$9*$AA313 + Config!$B$10*$AB313 + Config!$B$11*$AC313 - Config!$B$12*$AD313)/Config!$B$13)+$AK313+$AL313),""))*(1-IFERROR(VLOOKUP(K313,Grinders!$A:$AB, 28, FALSE),0)),"")))*(1+AR313),"")</f>
        <v>#ERROR!</v>
      </c>
      <c r="AG313" s="40" t="str">
        <f t="shared" si="6"/>
        <v>#ERROR!</v>
      </c>
      <c r="AH313" s="40" t="str">
        <f t="shared" si="7"/>
        <v/>
      </c>
      <c r="AI313" s="40" t="str">
        <f t="shared" si="8"/>
        <v/>
      </c>
      <c r="AJ313" s="40" t="str">
        <f>IF($K313="","",COUNTIF(Assignments!$B$6:$B$1000,$K313))</f>
        <v/>
      </c>
      <c r="AK313" s="40" t="str">
        <f>IF($K313="","",IF(AND($AJ313=0,$O313&lt;$N313),Config!$B$43,0))</f>
        <v/>
      </c>
      <c r="AL313" s="40" t="str">
        <f>IF($K313="","",IF(AND($M313="Elite",$G313&gt;=Config!$B$41,$O313&lt;$N313),Config!$B$42,0))</f>
        <v/>
      </c>
      <c r="AM313" s="22"/>
      <c r="AN313" s="39">
        <f>IFERROR(VLOOKUP(K313,Grinders!$A:$Q,28,FALSE),0)</f>
        <v>0</v>
      </c>
      <c r="AO313" s="39">
        <f>IF(Config!$B$1003&lt;&gt;"Y",0,IF(IFERROR(VLOOKUP(K313,Grinders!$A:$P,27,FALSE),0)&gt;=3,IF(OR(G313&gt;=Config!$B$1001,ISNUMBER(SEARCH(E313,Config!$B$1002))),1,0),0))</f>
        <v>0</v>
      </c>
      <c r="AP313" s="39">
        <f t="array" ref="AP313">IFERROR(IF(INDEX(Bids!$AE:$AE,MATCH(B313,Bids!$A:$A,0))="Pending",1,0),0)</f>
        <v>0</v>
      </c>
      <c r="AQ313" s="39" t="str">
        <f t="array" ref="AQ313">IF(C313="","",IFERROR(XLOOKUP(C313,Assignments!$C:$C,Assignments!$AU:$AU,0),0))</f>
        <v/>
      </c>
      <c r="AR313" s="39">
        <f>IF(AND(Config!$B$1006="Y",AQ313=1),Config!$B$1007,0)</f>
        <v>0</v>
      </c>
    </row>
    <row r="314" ht="15.75" customHeight="1">
      <c r="A314" s="46" t="str">
        <f t="shared" si="1"/>
        <v/>
      </c>
      <c r="B314" s="40" t="str">
        <f>IF(Bids!$A313="","",Bids!$A313)</f>
        <v/>
      </c>
      <c r="C314" s="40" t="str">
        <f>IF(Bids!$B313="","",Bids!$B313)</f>
        <v/>
      </c>
      <c r="D314" s="40" t="str">
        <f>IF($C314="","",IFERROR(VLOOKUP($C314,Orders!$A$4:$J$998,9,FALSE),""))</f>
        <v/>
      </c>
      <c r="E314" s="40" t="str">
        <f>IF($C314="","",IFERROR(VLOOKUP($C314,Orders!$A$4:$J$998,3,FALSE),""))</f>
        <v/>
      </c>
      <c r="F314" s="40">
        <f t="shared" si="2"/>
        <v>1</v>
      </c>
      <c r="G314" s="40" t="str">
        <f>IF($C314="","",IFERROR(VLOOKUP($C314,Orders!$A$4:$J$998,4,FALSE),""))</f>
        <v/>
      </c>
      <c r="H314" s="40" t="str">
        <f>IF($C314="","",IFERROR(VLOOKUP($C314,Orders!$A$4:$J$998,5,FALSE),""))</f>
        <v/>
      </c>
      <c r="I314" s="40" t="str">
        <f>IF($C314="","",IFERROR(VLOOKUP($C314,Orders!$A$4:$J$998,6,FALSE),""))</f>
        <v/>
      </c>
      <c r="J314" s="40" t="str">
        <f>IF($C314="","",IFERROR(VLOOKUP($C314,Orders!$A$4:$J$998,7,FALSE),""))</f>
        <v/>
      </c>
      <c r="K314" s="40" t="str">
        <f>IF(Bids!$C313="","",Bids!$C313)</f>
        <v/>
      </c>
      <c r="L314" s="40" t="str">
        <f>IF($K314="","",IFERROR(VLOOKUP($K314,Grinders!$A$4:$N$998,2,FALSE),""))</f>
        <v/>
      </c>
      <c r="M314" s="40" t="str">
        <f>IF($K314="","",IFERROR(VLOOKUP($K314,Grinders!$A$4:$N$998,3,FALSE),""))</f>
        <v/>
      </c>
      <c r="N314" s="40" t="str">
        <f>IF($K314="","",IFERROR(VLOOKUP($K314,Grinders!$A$4:$N$998,4,FALSE),""))</f>
        <v/>
      </c>
      <c r="O314" s="40" t="str">
        <f>IF($K314="","",IFERROR(VLOOKUP($K314,Grinders!$A$4:$N$998,5,FALSE),""))</f>
        <v/>
      </c>
      <c r="P314" s="40" t="str">
        <f>IF($K314="","",IF($C$4="",0,COUNTIFS(Assignments!$B$6:$B$1000,$K314,Assignments!$F$6:$F$1000,$C$4,Assignments!$E$6:$E$1000,"Active")))</f>
        <v/>
      </c>
      <c r="Q314" s="40" t="str">
        <f t="shared" si="3"/>
        <v/>
      </c>
      <c r="R314" s="40" t="str">
        <f t="shared" si="4"/>
        <v/>
      </c>
      <c r="S314" s="40" t="str">
        <f>IF($K314="","",IF($C$4="",0,COUNTIFS(Assignments!$B$6:$B$1000,$K314,Assignments!$F$6:$F$1000,$C$4,Assignments!$D$6:$D$1000,"&gt;="&amp;Config!$B$3-7,Assignments!$D$6:$D$1000,"&lt;="&amp;Config!$B$3)))</f>
        <v/>
      </c>
      <c r="T314" s="40" t="str">
        <f>IF($K314="","",IFERROR(VLOOKUP($K314,Grinders!$A$4:$N$998,8,FALSE),""))</f>
        <v/>
      </c>
      <c r="U314" s="40" t="str">
        <f>IFERROR(IF($K314="","",IF($M314="Elite",MAX(50,MIN(100,Config!$B$27*MAX(0,MIN(100,(1-IF($R314="",0,$R314))*100)) + Config!$B$28*MAX(0,MIN(100,(1-MIN(1,IF(Config!$B$30=0,1,$S314/Config!$B$30)))*100)) + Config!$B$29*MAX(0,MIN(100,MIN(1,IF($T314="",0,$T314)/Config!$B$23)*100)))),MIN(100,Config!$B$27*MAX(0,MIN(100,(1-IF($R314="",0,$R314))*100)) + Config!$B$28*MAX(0,MIN(100,(1-MIN(1,IF(Config!$B$30=0,1,$S314/Config!$B$30)))*100)) + Config!$B$29*MAX(0,MIN(100,MIN(1,IF($T314="",0,$T314)/Config!$B$23)*100))))),"")
</f>
        <v/>
      </c>
      <c r="V314" s="40" t="str">
        <f>IF(Bids!$AC314="","",Bids!$AC314)</f>
        <v/>
      </c>
      <c r="W314" s="40" t="str">
        <f>IF(Bids!$F313="","",Bids!$F313)</f>
        <v/>
      </c>
      <c r="X314" s="40" t="str">
        <f t="shared" si="5"/>
        <v/>
      </c>
      <c r="Y314" s="40" t="str">
        <f>IF($X314="","",IF(Config!$B$17=Config!$B$16,IF($X314&gt;=Config!$B$17,100,0),MAX(0,MIN(100,($X314-Config!$B$16)/(Config!$B$17-Config!$B$16)*100))))</f>
        <v/>
      </c>
      <c r="Z314" s="40">
        <f>IF($M314="Elite",Config!$B$21,0)</f>
        <v>0</v>
      </c>
      <c r="AA314" s="40" t="str">
        <f>IFERROR(IF(OR($W314="",$H314=""),"",IF($W314&gt;$H314,
  MAX(0, 60-(($W314-$H314)*24/Config!$B$19)*60),
  MIN(100, 60+(($H314-$W314)*24/Config!$B$20)*40)
)),"")
</f>
        <v/>
      </c>
      <c r="AB314" s="40" t="str">
        <f>IF($K314="","",IFERROR(VLOOKUP($K314,Grinders!$A$4:$N$998,10,FALSE)/5*100,""))</f>
        <v/>
      </c>
      <c r="AC314" s="40" t="str">
        <f>IF($K314="","",IFERROR(VLOOKUP($K314,Grinders!$A$4:$N$998,11,FALSE)*100,""))</f>
        <v/>
      </c>
      <c r="AD314" s="40" t="str">
        <f>IF($K314="","",IFERROR(VLOOKUP($K314,Grinders!$A$4:$N$998,12,FALSE)*100,""))</f>
        <v/>
      </c>
      <c r="AE314" s="40" t="str">
        <f>IF(OR(AO314=1,AP314=1),0,=IFERROR(IFS(
    OR($C314="", $K314=""), 0,
    $F314=0, 0,
    $D314&lt;&gt;"Open", 0,
    COUNTIFS(GrinderServices!$A$6:$A$1000, $K314, GrinderServices!$B$6:$B$1000, $E314, GrinderServices!$D$6:$D$1000, "Y")=0, 0,
    $X314&lt;Config!$B$16, 0,
    Config!$B$18=1, IF($O314&gt;=N314, 0, 1),
    TRUE, 1
), "")
)</f>
        <v>#ERROR!</v>
      </c>
      <c r="AF314" s="40" t="str">
        <f>IFERROR((IF(OR(AO314=1,AP314=1),"",=IFERROR((IFERROR(IF($AE314=0,"",((Config!$B$6*$Y314 + Config!$B$7*$U314 + Config!$B$8*$Z314 + Config!$B$9*$AA314 + Config!$B$10*$AB314 + Config!$B$11*$AC314 - Config!$B$12*$AD314)/Config!$B$13)+$AK314+$AL314),""))*(1-IFERROR(VLOOKUP(K314,Grinders!$A:$AB, 28, FALSE),0)),"")))*(1+AR314),"")</f>
        <v>#ERROR!</v>
      </c>
      <c r="AG314" s="40" t="str">
        <f t="shared" si="6"/>
        <v>#ERROR!</v>
      </c>
      <c r="AH314" s="40" t="str">
        <f t="shared" si="7"/>
        <v/>
      </c>
      <c r="AI314" s="40" t="str">
        <f t="shared" si="8"/>
        <v/>
      </c>
      <c r="AJ314" s="40" t="str">
        <f>IF($K314="","",COUNTIF(Assignments!$B$6:$B$1000,$K314))</f>
        <v/>
      </c>
      <c r="AK314" s="40" t="str">
        <f>IF($K314="","",IF(AND($AJ314=0,$O314&lt;$N314),Config!$B$43,0))</f>
        <v/>
      </c>
      <c r="AL314" s="40" t="str">
        <f>IF($K314="","",IF(AND($M314="Elite",$G314&gt;=Config!$B$41,$O314&lt;$N314),Config!$B$42,0))</f>
        <v/>
      </c>
      <c r="AM314" s="22"/>
      <c r="AN314" s="39">
        <f>IFERROR(VLOOKUP(K314,Grinders!$A:$Q,28,FALSE),0)</f>
        <v>0</v>
      </c>
      <c r="AO314" s="39">
        <f>IF(Config!$B$1003&lt;&gt;"Y",0,IF(IFERROR(VLOOKUP(K314,Grinders!$A:$P,27,FALSE),0)&gt;=3,IF(OR(G314&gt;=Config!$B$1001,ISNUMBER(SEARCH(E314,Config!$B$1002))),1,0),0))</f>
        <v>0</v>
      </c>
      <c r="AP314" s="39">
        <f t="array" ref="AP314">IFERROR(IF(INDEX(Bids!$AE:$AE,MATCH(B314,Bids!$A:$A,0))="Pending",1,0),0)</f>
        <v>0</v>
      </c>
      <c r="AQ314" s="39" t="str">
        <f t="array" ref="AQ314">IF(C314="","",IFERROR(XLOOKUP(C314,Assignments!$C:$C,Assignments!$AU:$AU,0),0))</f>
        <v/>
      </c>
      <c r="AR314" s="39">
        <f>IF(AND(Config!$B$1006="Y",AQ314=1),Config!$B$1007,0)</f>
        <v>0</v>
      </c>
    </row>
    <row r="315" ht="15.75" customHeight="1">
      <c r="A315" s="46" t="str">
        <f t="shared" si="1"/>
        <v/>
      </c>
      <c r="B315" s="40" t="str">
        <f>IF(Bids!$A314="","",Bids!$A314)</f>
        <v/>
      </c>
      <c r="C315" s="40" t="str">
        <f>IF(Bids!$B314="","",Bids!$B314)</f>
        <v/>
      </c>
      <c r="D315" s="40" t="str">
        <f>IF($C315="","",IFERROR(VLOOKUP($C315,Orders!$A$4:$J$998,9,FALSE),""))</f>
        <v/>
      </c>
      <c r="E315" s="40" t="str">
        <f>IF($C315="","",IFERROR(VLOOKUP($C315,Orders!$A$4:$J$998,3,FALSE),""))</f>
        <v/>
      </c>
      <c r="F315" s="40">
        <f t="shared" si="2"/>
        <v>1</v>
      </c>
      <c r="G315" s="40" t="str">
        <f>IF($C315="","",IFERROR(VLOOKUP($C315,Orders!$A$4:$J$998,4,FALSE),""))</f>
        <v/>
      </c>
      <c r="H315" s="40" t="str">
        <f>IF($C315="","",IFERROR(VLOOKUP($C315,Orders!$A$4:$J$998,5,FALSE),""))</f>
        <v/>
      </c>
      <c r="I315" s="40" t="str">
        <f>IF($C315="","",IFERROR(VLOOKUP($C315,Orders!$A$4:$J$998,6,FALSE),""))</f>
        <v/>
      </c>
      <c r="J315" s="40" t="str">
        <f>IF($C315="","",IFERROR(VLOOKUP($C315,Orders!$A$4:$J$998,7,FALSE),""))</f>
        <v/>
      </c>
      <c r="K315" s="40" t="str">
        <f>IF(Bids!$C314="","",Bids!$C314)</f>
        <v/>
      </c>
      <c r="L315" s="40" t="str">
        <f>IF($K315="","",IFERROR(VLOOKUP($K315,Grinders!$A$4:$N$998,2,FALSE),""))</f>
        <v/>
      </c>
      <c r="M315" s="40" t="str">
        <f>IF($K315="","",IFERROR(VLOOKUP($K315,Grinders!$A$4:$N$998,3,FALSE),""))</f>
        <v/>
      </c>
      <c r="N315" s="40" t="str">
        <f>IF($K315="","",IFERROR(VLOOKUP($K315,Grinders!$A$4:$N$998,4,FALSE),""))</f>
        <v/>
      </c>
      <c r="O315" s="40" t="str">
        <f>IF($K315="","",IFERROR(VLOOKUP($K315,Grinders!$A$4:$N$998,5,FALSE),""))</f>
        <v/>
      </c>
      <c r="P315" s="40" t="str">
        <f>IF($K315="","",IF($C$4="",0,COUNTIFS(Assignments!$B$6:$B$1000,$K315,Assignments!$F$6:$F$1000,$C$4,Assignments!$E$6:$E$1000,"Active")))</f>
        <v/>
      </c>
      <c r="Q315" s="40" t="str">
        <f t="shared" si="3"/>
        <v/>
      </c>
      <c r="R315" s="40" t="str">
        <f t="shared" si="4"/>
        <v/>
      </c>
      <c r="S315" s="40" t="str">
        <f>IF($K315="","",IF($C$4="",0,COUNTIFS(Assignments!$B$6:$B$1000,$K315,Assignments!$F$6:$F$1000,$C$4,Assignments!$D$6:$D$1000,"&gt;="&amp;Config!$B$3-7,Assignments!$D$6:$D$1000,"&lt;="&amp;Config!$B$3)))</f>
        <v/>
      </c>
      <c r="T315" s="40" t="str">
        <f>IF($K315="","",IFERROR(VLOOKUP($K315,Grinders!$A$4:$N$998,8,FALSE),""))</f>
        <v/>
      </c>
      <c r="U315" s="40" t="str">
        <f>IFERROR(IF($K315="","",IF($M315="Elite",MAX(50,MIN(100,Config!$B$27*MAX(0,MIN(100,(1-IF($R315="",0,$R315))*100)) + Config!$B$28*MAX(0,MIN(100,(1-MIN(1,IF(Config!$B$30=0,1,$S315/Config!$B$30)))*100)) + Config!$B$29*MAX(0,MIN(100,MIN(1,IF($T315="",0,$T315)/Config!$B$23)*100)))),MIN(100,Config!$B$27*MAX(0,MIN(100,(1-IF($R315="",0,$R315))*100)) + Config!$B$28*MAX(0,MIN(100,(1-MIN(1,IF(Config!$B$30=0,1,$S315/Config!$B$30)))*100)) + Config!$B$29*MAX(0,MIN(100,MIN(1,IF($T315="",0,$T315)/Config!$B$23)*100))))),"")
</f>
        <v/>
      </c>
      <c r="V315" s="40" t="str">
        <f>IF(Bids!$AC315="","",Bids!$AC315)</f>
        <v/>
      </c>
      <c r="W315" s="40" t="str">
        <f>IF(Bids!$F314="","",Bids!$F314)</f>
        <v/>
      </c>
      <c r="X315" s="40" t="str">
        <f t="shared" si="5"/>
        <v/>
      </c>
      <c r="Y315" s="40" t="str">
        <f>IF($X315="","",IF(Config!$B$17=Config!$B$16,IF($X315&gt;=Config!$B$17,100,0),MAX(0,MIN(100,($X315-Config!$B$16)/(Config!$B$17-Config!$B$16)*100))))</f>
        <v/>
      </c>
      <c r="Z315" s="40">
        <f>IF($M315="Elite",Config!$B$21,0)</f>
        <v>0</v>
      </c>
      <c r="AA315" s="40" t="str">
        <f>IFERROR(IF(OR($W315="",$H315=""),"",IF($W315&gt;$H315,
  MAX(0, 60-(($W315-$H315)*24/Config!$B$19)*60),
  MIN(100, 60+(($H315-$W315)*24/Config!$B$20)*40)
)),"")
</f>
        <v/>
      </c>
      <c r="AB315" s="40" t="str">
        <f>IF($K315="","",IFERROR(VLOOKUP($K315,Grinders!$A$4:$N$998,10,FALSE)/5*100,""))</f>
        <v/>
      </c>
      <c r="AC315" s="40" t="str">
        <f>IF($K315="","",IFERROR(VLOOKUP($K315,Grinders!$A$4:$N$998,11,FALSE)*100,""))</f>
        <v/>
      </c>
      <c r="AD315" s="40" t="str">
        <f>IF($K315="","",IFERROR(VLOOKUP($K315,Grinders!$A$4:$N$998,12,FALSE)*100,""))</f>
        <v/>
      </c>
      <c r="AE315" s="40" t="str">
        <f>IF(OR(AO315=1,AP315=1),0,=IFERROR(IFS(
    OR($C315="", $K315=""), 0,
    $F315=0, 0,
    $D315&lt;&gt;"Open", 0,
    COUNTIFS(GrinderServices!$A$6:$A$1000, $K315, GrinderServices!$B$6:$B$1000, $E315, GrinderServices!$D$6:$D$1000, "Y")=0, 0,
    $X315&lt;Config!$B$16, 0,
    Config!$B$18=1, IF($O315&gt;=N315, 0, 1),
    TRUE, 1
), "")
)</f>
        <v>#ERROR!</v>
      </c>
      <c r="AF315" s="40" t="str">
        <f>IFERROR((IF(OR(AO315=1,AP315=1),"",=IFERROR((IFERROR(IF($AE315=0,"",((Config!$B$6*$Y315 + Config!$B$7*$U315 + Config!$B$8*$Z315 + Config!$B$9*$AA315 + Config!$B$10*$AB315 + Config!$B$11*$AC315 - Config!$B$12*$AD315)/Config!$B$13)+$AK315+$AL315),""))*(1-IFERROR(VLOOKUP(K315,Grinders!$A:$AB, 28, FALSE),0)),"")))*(1+AR315),"")</f>
        <v>#ERROR!</v>
      </c>
      <c r="AG315" s="40" t="str">
        <f t="shared" si="6"/>
        <v>#ERROR!</v>
      </c>
      <c r="AH315" s="40" t="str">
        <f t="shared" si="7"/>
        <v/>
      </c>
      <c r="AI315" s="40" t="str">
        <f t="shared" si="8"/>
        <v/>
      </c>
      <c r="AJ315" s="40" t="str">
        <f>IF($K315="","",COUNTIF(Assignments!$B$6:$B$1000,$K315))</f>
        <v/>
      </c>
      <c r="AK315" s="40" t="str">
        <f>IF($K315="","",IF(AND($AJ315=0,$O315&lt;$N315),Config!$B$43,0))</f>
        <v/>
      </c>
      <c r="AL315" s="40" t="str">
        <f>IF($K315="","",IF(AND($M315="Elite",$G315&gt;=Config!$B$41,$O315&lt;$N315),Config!$B$42,0))</f>
        <v/>
      </c>
      <c r="AM315" s="22"/>
      <c r="AN315" s="39">
        <f>IFERROR(VLOOKUP(K315,Grinders!$A:$Q,28,FALSE),0)</f>
        <v>0</v>
      </c>
      <c r="AO315" s="39">
        <f>IF(Config!$B$1003&lt;&gt;"Y",0,IF(IFERROR(VLOOKUP(K315,Grinders!$A:$P,27,FALSE),0)&gt;=3,IF(OR(G315&gt;=Config!$B$1001,ISNUMBER(SEARCH(E315,Config!$B$1002))),1,0),0))</f>
        <v>0</v>
      </c>
      <c r="AP315" s="39">
        <f t="array" ref="AP315">IFERROR(IF(INDEX(Bids!$AE:$AE,MATCH(B315,Bids!$A:$A,0))="Pending",1,0),0)</f>
        <v>0</v>
      </c>
      <c r="AQ315" s="39" t="str">
        <f t="array" ref="AQ315">IF(C315="","",IFERROR(XLOOKUP(C315,Assignments!$C:$C,Assignments!$AU:$AU,0),0))</f>
        <v/>
      </c>
      <c r="AR315" s="39">
        <f>IF(AND(Config!$B$1006="Y",AQ315=1),Config!$B$1007,0)</f>
        <v>0</v>
      </c>
    </row>
    <row r="316" ht="15.75" customHeight="1">
      <c r="A316" s="46" t="str">
        <f t="shared" si="1"/>
        <v/>
      </c>
      <c r="B316" s="40" t="str">
        <f>IF(Bids!$A315="","",Bids!$A315)</f>
        <v/>
      </c>
      <c r="C316" s="40" t="str">
        <f>IF(Bids!$B315="","",Bids!$B315)</f>
        <v/>
      </c>
      <c r="D316" s="40" t="str">
        <f>IF($C316="","",IFERROR(VLOOKUP($C316,Orders!$A$4:$J$998,9,FALSE),""))</f>
        <v/>
      </c>
      <c r="E316" s="40" t="str">
        <f>IF($C316="","",IFERROR(VLOOKUP($C316,Orders!$A$4:$J$998,3,FALSE),""))</f>
        <v/>
      </c>
      <c r="F316" s="40">
        <f t="shared" si="2"/>
        <v>1</v>
      </c>
      <c r="G316" s="40" t="str">
        <f>IF($C316="","",IFERROR(VLOOKUP($C316,Orders!$A$4:$J$998,4,FALSE),""))</f>
        <v/>
      </c>
      <c r="H316" s="40" t="str">
        <f>IF($C316="","",IFERROR(VLOOKUP($C316,Orders!$A$4:$J$998,5,FALSE),""))</f>
        <v/>
      </c>
      <c r="I316" s="40" t="str">
        <f>IF($C316="","",IFERROR(VLOOKUP($C316,Orders!$A$4:$J$998,6,FALSE),""))</f>
        <v/>
      </c>
      <c r="J316" s="40" t="str">
        <f>IF($C316="","",IFERROR(VLOOKUP($C316,Orders!$A$4:$J$998,7,FALSE),""))</f>
        <v/>
      </c>
      <c r="K316" s="40" t="str">
        <f>IF(Bids!$C315="","",Bids!$C315)</f>
        <v/>
      </c>
      <c r="L316" s="40" t="str">
        <f>IF($K316="","",IFERROR(VLOOKUP($K316,Grinders!$A$4:$N$998,2,FALSE),""))</f>
        <v/>
      </c>
      <c r="M316" s="40" t="str">
        <f>IF($K316="","",IFERROR(VLOOKUP($K316,Grinders!$A$4:$N$998,3,FALSE),""))</f>
        <v/>
      </c>
      <c r="N316" s="40" t="str">
        <f>IF($K316="","",IFERROR(VLOOKUP($K316,Grinders!$A$4:$N$998,4,FALSE),""))</f>
        <v/>
      </c>
      <c r="O316" s="40" t="str">
        <f>IF($K316="","",IFERROR(VLOOKUP($K316,Grinders!$A$4:$N$998,5,FALSE),""))</f>
        <v/>
      </c>
      <c r="P316" s="40" t="str">
        <f>IF($K316="","",IF($C$4="",0,COUNTIFS(Assignments!$B$6:$B$1000,$K316,Assignments!$F$6:$F$1000,$C$4,Assignments!$E$6:$E$1000,"Active")))</f>
        <v/>
      </c>
      <c r="Q316" s="40" t="str">
        <f t="shared" si="3"/>
        <v/>
      </c>
      <c r="R316" s="40" t="str">
        <f t="shared" si="4"/>
        <v/>
      </c>
      <c r="S316" s="40" t="str">
        <f>IF($K316="","",IF($C$4="",0,COUNTIFS(Assignments!$B$6:$B$1000,$K316,Assignments!$F$6:$F$1000,$C$4,Assignments!$D$6:$D$1000,"&gt;="&amp;Config!$B$3-7,Assignments!$D$6:$D$1000,"&lt;="&amp;Config!$B$3)))</f>
        <v/>
      </c>
      <c r="T316" s="40" t="str">
        <f>IF($K316="","",IFERROR(VLOOKUP($K316,Grinders!$A$4:$N$998,8,FALSE),""))</f>
        <v/>
      </c>
      <c r="U316" s="40" t="str">
        <f>IFERROR(IF($K316="","",IF($M316="Elite",MAX(50,MIN(100,Config!$B$27*MAX(0,MIN(100,(1-IF($R316="",0,$R316))*100)) + Config!$B$28*MAX(0,MIN(100,(1-MIN(1,IF(Config!$B$30=0,1,$S316/Config!$B$30)))*100)) + Config!$B$29*MAX(0,MIN(100,MIN(1,IF($T316="",0,$T316)/Config!$B$23)*100)))),MIN(100,Config!$B$27*MAX(0,MIN(100,(1-IF($R316="",0,$R316))*100)) + Config!$B$28*MAX(0,MIN(100,(1-MIN(1,IF(Config!$B$30=0,1,$S316/Config!$B$30)))*100)) + Config!$B$29*MAX(0,MIN(100,MIN(1,IF($T316="",0,$T316)/Config!$B$23)*100))))),"")
</f>
        <v/>
      </c>
      <c r="V316" s="40" t="str">
        <f>IF(Bids!$AC316="","",Bids!$AC316)</f>
        <v/>
      </c>
      <c r="W316" s="40" t="str">
        <f>IF(Bids!$F315="","",Bids!$F315)</f>
        <v/>
      </c>
      <c r="X316" s="40" t="str">
        <f t="shared" si="5"/>
        <v/>
      </c>
      <c r="Y316" s="40" t="str">
        <f>IF($X316="","",IF(Config!$B$17=Config!$B$16,IF($X316&gt;=Config!$B$17,100,0),MAX(0,MIN(100,($X316-Config!$B$16)/(Config!$B$17-Config!$B$16)*100))))</f>
        <v/>
      </c>
      <c r="Z316" s="40">
        <f>IF($M316="Elite",Config!$B$21,0)</f>
        <v>0</v>
      </c>
      <c r="AA316" s="40" t="str">
        <f>IFERROR(IF(OR($W316="",$H316=""),"",IF($W316&gt;$H316,
  MAX(0, 60-(($W316-$H316)*24/Config!$B$19)*60),
  MIN(100, 60+(($H316-$W316)*24/Config!$B$20)*40)
)),"")
</f>
        <v/>
      </c>
      <c r="AB316" s="40" t="str">
        <f>IF($K316="","",IFERROR(VLOOKUP($K316,Grinders!$A$4:$N$998,10,FALSE)/5*100,""))</f>
        <v/>
      </c>
      <c r="AC316" s="40" t="str">
        <f>IF($K316="","",IFERROR(VLOOKUP($K316,Grinders!$A$4:$N$998,11,FALSE)*100,""))</f>
        <v/>
      </c>
      <c r="AD316" s="40" t="str">
        <f>IF($K316="","",IFERROR(VLOOKUP($K316,Grinders!$A$4:$N$998,12,FALSE)*100,""))</f>
        <v/>
      </c>
      <c r="AE316" s="40" t="str">
        <f>IF(OR(AO316=1,AP316=1),0,=IFERROR(IFS(
    OR($C316="", $K316=""), 0,
    $F316=0, 0,
    $D316&lt;&gt;"Open", 0,
    COUNTIFS(GrinderServices!$A$6:$A$1000, $K316, GrinderServices!$B$6:$B$1000, $E316, GrinderServices!$D$6:$D$1000, "Y")=0, 0,
    $X316&lt;Config!$B$16, 0,
    Config!$B$18=1, IF($O316&gt;=N316, 0, 1),
    TRUE, 1
), "")
)</f>
        <v>#ERROR!</v>
      </c>
      <c r="AF316" s="40" t="str">
        <f>IFERROR((IF(OR(AO316=1,AP316=1),"",=IFERROR((IFERROR(IF($AE316=0,"",((Config!$B$6*$Y316 + Config!$B$7*$U316 + Config!$B$8*$Z316 + Config!$B$9*$AA316 + Config!$B$10*$AB316 + Config!$B$11*$AC316 - Config!$B$12*$AD316)/Config!$B$13)+$AK316+$AL316),""))*(1-IFERROR(VLOOKUP(K316,Grinders!$A:$AB, 28, FALSE),0)),"")))*(1+AR316),"")</f>
        <v>#ERROR!</v>
      </c>
      <c r="AG316" s="40" t="str">
        <f t="shared" si="6"/>
        <v>#ERROR!</v>
      </c>
      <c r="AH316" s="40" t="str">
        <f t="shared" si="7"/>
        <v/>
      </c>
      <c r="AI316" s="40" t="str">
        <f t="shared" si="8"/>
        <v/>
      </c>
      <c r="AJ316" s="40" t="str">
        <f>IF($K316="","",COUNTIF(Assignments!$B$6:$B$1000,$K316))</f>
        <v/>
      </c>
      <c r="AK316" s="40" t="str">
        <f>IF($K316="","",IF(AND($AJ316=0,$O316&lt;$N316),Config!$B$43,0))</f>
        <v/>
      </c>
      <c r="AL316" s="40" t="str">
        <f>IF($K316="","",IF(AND($M316="Elite",$G316&gt;=Config!$B$41,$O316&lt;$N316),Config!$B$42,0))</f>
        <v/>
      </c>
      <c r="AM316" s="22"/>
      <c r="AN316" s="39">
        <f>IFERROR(VLOOKUP(K316,Grinders!$A:$Q,28,FALSE),0)</f>
        <v>0</v>
      </c>
      <c r="AO316" s="39">
        <f>IF(Config!$B$1003&lt;&gt;"Y",0,IF(IFERROR(VLOOKUP(K316,Grinders!$A:$P,27,FALSE),0)&gt;=3,IF(OR(G316&gt;=Config!$B$1001,ISNUMBER(SEARCH(E316,Config!$B$1002))),1,0),0))</f>
        <v>0</v>
      </c>
      <c r="AP316" s="39">
        <f t="array" ref="AP316">IFERROR(IF(INDEX(Bids!$AE:$AE,MATCH(B316,Bids!$A:$A,0))="Pending",1,0),0)</f>
        <v>0</v>
      </c>
      <c r="AQ316" s="39" t="str">
        <f t="array" ref="AQ316">IF(C316="","",IFERROR(XLOOKUP(C316,Assignments!$C:$C,Assignments!$AU:$AU,0),0))</f>
        <v/>
      </c>
      <c r="AR316" s="39">
        <f>IF(AND(Config!$B$1006="Y",AQ316=1),Config!$B$1007,0)</f>
        <v>0</v>
      </c>
    </row>
    <row r="317" ht="15.75" customHeight="1">
      <c r="A317" s="46" t="str">
        <f t="shared" si="1"/>
        <v/>
      </c>
      <c r="B317" s="40" t="str">
        <f>IF(Bids!$A316="","",Bids!$A316)</f>
        <v/>
      </c>
      <c r="C317" s="40" t="str">
        <f>IF(Bids!$B316="","",Bids!$B316)</f>
        <v/>
      </c>
      <c r="D317" s="40" t="str">
        <f>IF($C317="","",IFERROR(VLOOKUP($C317,Orders!$A$4:$J$998,9,FALSE),""))</f>
        <v/>
      </c>
      <c r="E317" s="40" t="str">
        <f>IF($C317="","",IFERROR(VLOOKUP($C317,Orders!$A$4:$J$998,3,FALSE),""))</f>
        <v/>
      </c>
      <c r="F317" s="40">
        <f t="shared" si="2"/>
        <v>1</v>
      </c>
      <c r="G317" s="40" t="str">
        <f>IF($C317="","",IFERROR(VLOOKUP($C317,Orders!$A$4:$J$998,4,FALSE),""))</f>
        <v/>
      </c>
      <c r="H317" s="40" t="str">
        <f>IF($C317="","",IFERROR(VLOOKUP($C317,Orders!$A$4:$J$998,5,FALSE),""))</f>
        <v/>
      </c>
      <c r="I317" s="40" t="str">
        <f>IF($C317="","",IFERROR(VLOOKUP($C317,Orders!$A$4:$J$998,6,FALSE),""))</f>
        <v/>
      </c>
      <c r="J317" s="40" t="str">
        <f>IF($C317="","",IFERROR(VLOOKUP($C317,Orders!$A$4:$J$998,7,FALSE),""))</f>
        <v/>
      </c>
      <c r="K317" s="40" t="str">
        <f>IF(Bids!$C316="","",Bids!$C316)</f>
        <v/>
      </c>
      <c r="L317" s="40" t="str">
        <f>IF($K317="","",IFERROR(VLOOKUP($K317,Grinders!$A$4:$N$998,2,FALSE),""))</f>
        <v/>
      </c>
      <c r="M317" s="40" t="str">
        <f>IF($K317="","",IFERROR(VLOOKUP($K317,Grinders!$A$4:$N$998,3,FALSE),""))</f>
        <v/>
      </c>
      <c r="N317" s="40" t="str">
        <f>IF($K317="","",IFERROR(VLOOKUP($K317,Grinders!$A$4:$N$998,4,FALSE),""))</f>
        <v/>
      </c>
      <c r="O317" s="40" t="str">
        <f>IF($K317="","",IFERROR(VLOOKUP($K317,Grinders!$A$4:$N$998,5,FALSE),""))</f>
        <v/>
      </c>
      <c r="P317" s="40" t="str">
        <f>IF($K317="","",IF($C$4="",0,COUNTIFS(Assignments!$B$6:$B$1000,$K317,Assignments!$F$6:$F$1000,$C$4,Assignments!$E$6:$E$1000,"Active")))</f>
        <v/>
      </c>
      <c r="Q317" s="40" t="str">
        <f t="shared" si="3"/>
        <v/>
      </c>
      <c r="R317" s="40" t="str">
        <f t="shared" si="4"/>
        <v/>
      </c>
      <c r="S317" s="40" t="str">
        <f>IF($K317="","",IF($C$4="",0,COUNTIFS(Assignments!$B$6:$B$1000,$K317,Assignments!$F$6:$F$1000,$C$4,Assignments!$D$6:$D$1000,"&gt;="&amp;Config!$B$3-7,Assignments!$D$6:$D$1000,"&lt;="&amp;Config!$B$3)))</f>
        <v/>
      </c>
      <c r="T317" s="40" t="str">
        <f>IF($K317="","",IFERROR(VLOOKUP($K317,Grinders!$A$4:$N$998,8,FALSE),""))</f>
        <v/>
      </c>
      <c r="U317" s="40" t="str">
        <f>IFERROR(IF($K317="","",IF($M317="Elite",MAX(50,MIN(100,Config!$B$27*MAX(0,MIN(100,(1-IF($R317="",0,$R317))*100)) + Config!$B$28*MAX(0,MIN(100,(1-MIN(1,IF(Config!$B$30=0,1,$S317/Config!$B$30)))*100)) + Config!$B$29*MAX(0,MIN(100,MIN(1,IF($T317="",0,$T317)/Config!$B$23)*100)))),MIN(100,Config!$B$27*MAX(0,MIN(100,(1-IF($R317="",0,$R317))*100)) + Config!$B$28*MAX(0,MIN(100,(1-MIN(1,IF(Config!$B$30=0,1,$S317/Config!$B$30)))*100)) + Config!$B$29*MAX(0,MIN(100,MIN(1,IF($T317="",0,$T317)/Config!$B$23)*100))))),"")
</f>
        <v/>
      </c>
      <c r="V317" s="40" t="str">
        <f>IF(Bids!$AC317="","",Bids!$AC317)</f>
        <v/>
      </c>
      <c r="W317" s="40" t="str">
        <f>IF(Bids!$F316="","",Bids!$F316)</f>
        <v/>
      </c>
      <c r="X317" s="40" t="str">
        <f t="shared" si="5"/>
        <v/>
      </c>
      <c r="Y317" s="40" t="str">
        <f>IF($X317="","",IF(Config!$B$17=Config!$B$16,IF($X317&gt;=Config!$B$17,100,0),MAX(0,MIN(100,($X317-Config!$B$16)/(Config!$B$17-Config!$B$16)*100))))</f>
        <v/>
      </c>
      <c r="Z317" s="40">
        <f>IF($M317="Elite",Config!$B$21,0)</f>
        <v>0</v>
      </c>
      <c r="AA317" s="40" t="str">
        <f>IFERROR(IF(OR($W317="",$H317=""),"",IF($W317&gt;$H317,
  MAX(0, 60-(($W317-$H317)*24/Config!$B$19)*60),
  MIN(100, 60+(($H317-$W317)*24/Config!$B$20)*40)
)),"")
</f>
        <v/>
      </c>
      <c r="AB317" s="40" t="str">
        <f>IF($K317="","",IFERROR(VLOOKUP($K317,Grinders!$A$4:$N$998,10,FALSE)/5*100,""))</f>
        <v/>
      </c>
      <c r="AC317" s="40" t="str">
        <f>IF($K317="","",IFERROR(VLOOKUP($K317,Grinders!$A$4:$N$998,11,FALSE)*100,""))</f>
        <v/>
      </c>
      <c r="AD317" s="40" t="str">
        <f>IF($K317="","",IFERROR(VLOOKUP($K317,Grinders!$A$4:$N$998,12,FALSE)*100,""))</f>
        <v/>
      </c>
      <c r="AE317" s="40" t="str">
        <f>IF(OR(AO317=1,AP317=1),0,=IFERROR(IFS(
    OR($C317="", $K317=""), 0,
    $F317=0, 0,
    $D317&lt;&gt;"Open", 0,
    COUNTIFS(GrinderServices!$A$6:$A$1000, $K317, GrinderServices!$B$6:$B$1000, $E317, GrinderServices!$D$6:$D$1000, "Y")=0, 0,
    $X317&lt;Config!$B$16, 0,
    Config!$B$18=1, IF($O317&gt;=N317, 0, 1),
    TRUE, 1
), "")
)</f>
        <v>#ERROR!</v>
      </c>
      <c r="AF317" s="40" t="str">
        <f>IFERROR((IF(OR(AO317=1,AP317=1),"",=IFERROR((IFERROR(IF($AE317=0,"",((Config!$B$6*$Y317 + Config!$B$7*$U317 + Config!$B$8*$Z317 + Config!$B$9*$AA317 + Config!$B$10*$AB317 + Config!$B$11*$AC317 - Config!$B$12*$AD317)/Config!$B$13)+$AK317+$AL317),""))*(1-IFERROR(VLOOKUP(K317,Grinders!$A:$AB, 28, FALSE),0)),"")))*(1+AR317),"")</f>
        <v>#ERROR!</v>
      </c>
      <c r="AG317" s="40" t="str">
        <f t="shared" si="6"/>
        <v>#ERROR!</v>
      </c>
      <c r="AH317" s="40" t="str">
        <f t="shared" si="7"/>
        <v/>
      </c>
      <c r="AI317" s="40" t="str">
        <f t="shared" si="8"/>
        <v/>
      </c>
      <c r="AJ317" s="40" t="str">
        <f>IF($K317="","",COUNTIF(Assignments!$B$6:$B$1000,$K317))</f>
        <v/>
      </c>
      <c r="AK317" s="40" t="str">
        <f>IF($K317="","",IF(AND($AJ317=0,$O317&lt;$N317),Config!$B$43,0))</f>
        <v/>
      </c>
      <c r="AL317" s="40" t="str">
        <f>IF($K317="","",IF(AND($M317="Elite",$G317&gt;=Config!$B$41,$O317&lt;$N317),Config!$B$42,0))</f>
        <v/>
      </c>
      <c r="AM317" s="22"/>
      <c r="AN317" s="39">
        <f>IFERROR(VLOOKUP(K317,Grinders!$A:$Q,28,FALSE),0)</f>
        <v>0</v>
      </c>
      <c r="AO317" s="39">
        <f>IF(Config!$B$1003&lt;&gt;"Y",0,IF(IFERROR(VLOOKUP(K317,Grinders!$A:$P,27,FALSE),0)&gt;=3,IF(OR(G317&gt;=Config!$B$1001,ISNUMBER(SEARCH(E317,Config!$B$1002))),1,0),0))</f>
        <v>0</v>
      </c>
      <c r="AP317" s="39">
        <f t="array" ref="AP317">IFERROR(IF(INDEX(Bids!$AE:$AE,MATCH(B317,Bids!$A:$A,0))="Pending",1,0),0)</f>
        <v>0</v>
      </c>
      <c r="AQ317" s="39" t="str">
        <f t="array" ref="AQ317">IF(C317="","",IFERROR(XLOOKUP(C317,Assignments!$C:$C,Assignments!$AU:$AU,0),0))</f>
        <v/>
      </c>
      <c r="AR317" s="39">
        <f>IF(AND(Config!$B$1006="Y",AQ317=1),Config!$B$1007,0)</f>
        <v>0</v>
      </c>
    </row>
    <row r="318" ht="15.75" customHeight="1">
      <c r="A318" s="46" t="str">
        <f t="shared" si="1"/>
        <v/>
      </c>
      <c r="B318" s="40" t="str">
        <f>IF(Bids!$A317="","",Bids!$A317)</f>
        <v/>
      </c>
      <c r="C318" s="40" t="str">
        <f>IF(Bids!$B317="","",Bids!$B317)</f>
        <v/>
      </c>
      <c r="D318" s="40" t="str">
        <f>IF($C318="","",IFERROR(VLOOKUP($C318,Orders!$A$4:$J$998,9,FALSE),""))</f>
        <v/>
      </c>
      <c r="E318" s="40" t="str">
        <f>IF($C318="","",IFERROR(VLOOKUP($C318,Orders!$A$4:$J$998,3,FALSE),""))</f>
        <v/>
      </c>
      <c r="F318" s="40">
        <f t="shared" si="2"/>
        <v>1</v>
      </c>
      <c r="G318" s="40" t="str">
        <f>IF($C318="","",IFERROR(VLOOKUP($C318,Orders!$A$4:$J$998,4,FALSE),""))</f>
        <v/>
      </c>
      <c r="H318" s="40" t="str">
        <f>IF($C318="","",IFERROR(VLOOKUP($C318,Orders!$A$4:$J$998,5,FALSE),""))</f>
        <v/>
      </c>
      <c r="I318" s="40" t="str">
        <f>IF($C318="","",IFERROR(VLOOKUP($C318,Orders!$A$4:$J$998,6,FALSE),""))</f>
        <v/>
      </c>
      <c r="J318" s="40" t="str">
        <f>IF($C318="","",IFERROR(VLOOKUP($C318,Orders!$A$4:$J$998,7,FALSE),""))</f>
        <v/>
      </c>
      <c r="K318" s="40" t="str">
        <f>IF(Bids!$C317="","",Bids!$C317)</f>
        <v/>
      </c>
      <c r="L318" s="40" t="str">
        <f>IF($K318="","",IFERROR(VLOOKUP($K318,Grinders!$A$4:$N$998,2,FALSE),""))</f>
        <v/>
      </c>
      <c r="M318" s="40" t="str">
        <f>IF($K318="","",IFERROR(VLOOKUP($K318,Grinders!$A$4:$N$998,3,FALSE),""))</f>
        <v/>
      </c>
      <c r="N318" s="40" t="str">
        <f>IF($K318="","",IFERROR(VLOOKUP($K318,Grinders!$A$4:$N$998,4,FALSE),""))</f>
        <v/>
      </c>
      <c r="O318" s="40" t="str">
        <f>IF($K318="","",IFERROR(VLOOKUP($K318,Grinders!$A$4:$N$998,5,FALSE),""))</f>
        <v/>
      </c>
      <c r="P318" s="40" t="str">
        <f>IF($K318="","",IF($C$4="",0,COUNTIFS(Assignments!$B$6:$B$1000,$K318,Assignments!$F$6:$F$1000,$C$4,Assignments!$E$6:$E$1000,"Active")))</f>
        <v/>
      </c>
      <c r="Q318" s="40" t="str">
        <f t="shared" si="3"/>
        <v/>
      </c>
      <c r="R318" s="40" t="str">
        <f t="shared" si="4"/>
        <v/>
      </c>
      <c r="S318" s="40" t="str">
        <f>IF($K318="","",IF($C$4="",0,COUNTIFS(Assignments!$B$6:$B$1000,$K318,Assignments!$F$6:$F$1000,$C$4,Assignments!$D$6:$D$1000,"&gt;="&amp;Config!$B$3-7,Assignments!$D$6:$D$1000,"&lt;="&amp;Config!$B$3)))</f>
        <v/>
      </c>
      <c r="T318" s="40" t="str">
        <f>IF($K318="","",IFERROR(VLOOKUP($K318,Grinders!$A$4:$N$998,8,FALSE),""))</f>
        <v/>
      </c>
      <c r="U318" s="40" t="str">
        <f>IFERROR(IF($K318="","",IF($M318="Elite",MAX(50,MIN(100,Config!$B$27*MAX(0,MIN(100,(1-IF($R318="",0,$R318))*100)) + Config!$B$28*MAX(0,MIN(100,(1-MIN(1,IF(Config!$B$30=0,1,$S318/Config!$B$30)))*100)) + Config!$B$29*MAX(0,MIN(100,MIN(1,IF($T318="",0,$T318)/Config!$B$23)*100)))),MIN(100,Config!$B$27*MAX(0,MIN(100,(1-IF($R318="",0,$R318))*100)) + Config!$B$28*MAX(0,MIN(100,(1-MIN(1,IF(Config!$B$30=0,1,$S318/Config!$B$30)))*100)) + Config!$B$29*MAX(0,MIN(100,MIN(1,IF($T318="",0,$T318)/Config!$B$23)*100))))),"")
</f>
        <v/>
      </c>
      <c r="V318" s="40" t="str">
        <f>IF(Bids!$AC318="","",Bids!$AC318)</f>
        <v/>
      </c>
      <c r="W318" s="40" t="str">
        <f>IF(Bids!$F317="","",Bids!$F317)</f>
        <v/>
      </c>
      <c r="X318" s="40" t="str">
        <f t="shared" si="5"/>
        <v/>
      </c>
      <c r="Y318" s="40" t="str">
        <f>IF($X318="","",IF(Config!$B$17=Config!$B$16,IF($X318&gt;=Config!$B$17,100,0),MAX(0,MIN(100,($X318-Config!$B$16)/(Config!$B$17-Config!$B$16)*100))))</f>
        <v/>
      </c>
      <c r="Z318" s="40">
        <f>IF($M318="Elite",Config!$B$21,0)</f>
        <v>0</v>
      </c>
      <c r="AA318" s="40" t="str">
        <f>IFERROR(IF(OR($W318="",$H318=""),"",IF($W318&gt;$H318,
  MAX(0, 60-(($W318-$H318)*24/Config!$B$19)*60),
  MIN(100, 60+(($H318-$W318)*24/Config!$B$20)*40)
)),"")
</f>
        <v/>
      </c>
      <c r="AB318" s="40" t="str">
        <f>IF($K318="","",IFERROR(VLOOKUP($K318,Grinders!$A$4:$N$998,10,FALSE)/5*100,""))</f>
        <v/>
      </c>
      <c r="AC318" s="40" t="str">
        <f>IF($K318="","",IFERROR(VLOOKUP($K318,Grinders!$A$4:$N$998,11,FALSE)*100,""))</f>
        <v/>
      </c>
      <c r="AD318" s="40" t="str">
        <f>IF($K318="","",IFERROR(VLOOKUP($K318,Grinders!$A$4:$N$998,12,FALSE)*100,""))</f>
        <v/>
      </c>
      <c r="AE318" s="40" t="str">
        <f>IF(OR(AO318=1,AP318=1),0,=IFERROR(IFS(
    OR($C318="", $K318=""), 0,
    $F318=0, 0,
    $D318&lt;&gt;"Open", 0,
    COUNTIFS(GrinderServices!$A$6:$A$1000, $K318, GrinderServices!$B$6:$B$1000, $E318, GrinderServices!$D$6:$D$1000, "Y")=0, 0,
    $X318&lt;Config!$B$16, 0,
    Config!$B$18=1, IF($O318&gt;=N318, 0, 1),
    TRUE, 1
), "")
)</f>
        <v>#ERROR!</v>
      </c>
      <c r="AF318" s="40" t="str">
        <f>IFERROR((IF(OR(AO318=1,AP318=1),"",=IFERROR((IFERROR(IF($AE318=0,"",((Config!$B$6*$Y318 + Config!$B$7*$U318 + Config!$B$8*$Z318 + Config!$B$9*$AA318 + Config!$B$10*$AB318 + Config!$B$11*$AC318 - Config!$B$12*$AD318)/Config!$B$13)+$AK318+$AL318),""))*(1-IFERROR(VLOOKUP(K318,Grinders!$A:$AB, 28, FALSE),0)),"")))*(1+AR318),"")</f>
        <v>#ERROR!</v>
      </c>
      <c r="AG318" s="40" t="str">
        <f t="shared" si="6"/>
        <v>#ERROR!</v>
      </c>
      <c r="AH318" s="40" t="str">
        <f t="shared" si="7"/>
        <v/>
      </c>
      <c r="AI318" s="40" t="str">
        <f t="shared" si="8"/>
        <v/>
      </c>
      <c r="AJ318" s="40" t="str">
        <f>IF($K318="","",COUNTIF(Assignments!$B$6:$B$1000,$K318))</f>
        <v/>
      </c>
      <c r="AK318" s="40" t="str">
        <f>IF($K318="","",IF(AND($AJ318=0,$O318&lt;$N318),Config!$B$43,0))</f>
        <v/>
      </c>
      <c r="AL318" s="40" t="str">
        <f>IF($K318="","",IF(AND($M318="Elite",$G318&gt;=Config!$B$41,$O318&lt;$N318),Config!$B$42,0))</f>
        <v/>
      </c>
      <c r="AM318" s="22"/>
      <c r="AN318" s="39">
        <f>IFERROR(VLOOKUP(K318,Grinders!$A:$Q,28,FALSE),0)</f>
        <v>0</v>
      </c>
      <c r="AO318" s="39">
        <f>IF(Config!$B$1003&lt;&gt;"Y",0,IF(IFERROR(VLOOKUP(K318,Grinders!$A:$P,27,FALSE),0)&gt;=3,IF(OR(G318&gt;=Config!$B$1001,ISNUMBER(SEARCH(E318,Config!$B$1002))),1,0),0))</f>
        <v>0</v>
      </c>
      <c r="AP318" s="39">
        <f t="array" ref="AP318">IFERROR(IF(INDEX(Bids!$AE:$AE,MATCH(B318,Bids!$A:$A,0))="Pending",1,0),0)</f>
        <v>0</v>
      </c>
      <c r="AQ318" s="39" t="str">
        <f t="array" ref="AQ318">IF(C318="","",IFERROR(XLOOKUP(C318,Assignments!$C:$C,Assignments!$AU:$AU,0),0))</f>
        <v/>
      </c>
      <c r="AR318" s="39">
        <f>IF(AND(Config!$B$1006="Y",AQ318=1),Config!$B$1007,0)</f>
        <v>0</v>
      </c>
    </row>
    <row r="319" ht="15.75" customHeight="1">
      <c r="A319" s="46" t="str">
        <f t="shared" si="1"/>
        <v/>
      </c>
      <c r="B319" s="40" t="str">
        <f>IF(Bids!$A318="","",Bids!$A318)</f>
        <v/>
      </c>
      <c r="C319" s="40" t="str">
        <f>IF(Bids!$B318="","",Bids!$B318)</f>
        <v/>
      </c>
      <c r="D319" s="40" t="str">
        <f>IF($C319="","",IFERROR(VLOOKUP($C319,Orders!$A$4:$J$998,9,FALSE),""))</f>
        <v/>
      </c>
      <c r="E319" s="40" t="str">
        <f>IF($C319="","",IFERROR(VLOOKUP($C319,Orders!$A$4:$J$998,3,FALSE),""))</f>
        <v/>
      </c>
      <c r="F319" s="40">
        <f t="shared" si="2"/>
        <v>1</v>
      </c>
      <c r="G319" s="40" t="str">
        <f>IF($C319="","",IFERROR(VLOOKUP($C319,Orders!$A$4:$J$998,4,FALSE),""))</f>
        <v/>
      </c>
      <c r="H319" s="40" t="str">
        <f>IF($C319="","",IFERROR(VLOOKUP($C319,Orders!$A$4:$J$998,5,FALSE),""))</f>
        <v/>
      </c>
      <c r="I319" s="40" t="str">
        <f>IF($C319="","",IFERROR(VLOOKUP($C319,Orders!$A$4:$J$998,6,FALSE),""))</f>
        <v/>
      </c>
      <c r="J319" s="40" t="str">
        <f>IF($C319="","",IFERROR(VLOOKUP($C319,Orders!$A$4:$J$998,7,FALSE),""))</f>
        <v/>
      </c>
      <c r="K319" s="40" t="str">
        <f>IF(Bids!$C318="","",Bids!$C318)</f>
        <v/>
      </c>
      <c r="L319" s="40" t="str">
        <f>IF($K319="","",IFERROR(VLOOKUP($K319,Grinders!$A$4:$N$998,2,FALSE),""))</f>
        <v/>
      </c>
      <c r="M319" s="40" t="str">
        <f>IF($K319="","",IFERROR(VLOOKUP($K319,Grinders!$A$4:$N$998,3,FALSE),""))</f>
        <v/>
      </c>
      <c r="N319" s="40" t="str">
        <f>IF($K319="","",IFERROR(VLOOKUP($K319,Grinders!$A$4:$N$998,4,FALSE),""))</f>
        <v/>
      </c>
      <c r="O319" s="40" t="str">
        <f>IF($K319="","",IFERROR(VLOOKUP($K319,Grinders!$A$4:$N$998,5,FALSE),""))</f>
        <v/>
      </c>
      <c r="P319" s="40" t="str">
        <f>IF($K319="","",IF($C$4="",0,COUNTIFS(Assignments!$B$6:$B$1000,$K319,Assignments!$F$6:$F$1000,$C$4,Assignments!$E$6:$E$1000,"Active")))</f>
        <v/>
      </c>
      <c r="Q319" s="40" t="str">
        <f t="shared" si="3"/>
        <v/>
      </c>
      <c r="R319" s="40" t="str">
        <f t="shared" si="4"/>
        <v/>
      </c>
      <c r="S319" s="40" t="str">
        <f>IF($K319="","",IF($C$4="",0,COUNTIFS(Assignments!$B$6:$B$1000,$K319,Assignments!$F$6:$F$1000,$C$4,Assignments!$D$6:$D$1000,"&gt;="&amp;Config!$B$3-7,Assignments!$D$6:$D$1000,"&lt;="&amp;Config!$B$3)))</f>
        <v/>
      </c>
      <c r="T319" s="40" t="str">
        <f>IF($K319="","",IFERROR(VLOOKUP($K319,Grinders!$A$4:$N$998,8,FALSE),""))</f>
        <v/>
      </c>
      <c r="U319" s="40" t="str">
        <f>IFERROR(IF($K319="","",IF($M319="Elite",MAX(50,MIN(100,Config!$B$27*MAX(0,MIN(100,(1-IF($R319="",0,$R319))*100)) + Config!$B$28*MAX(0,MIN(100,(1-MIN(1,IF(Config!$B$30=0,1,$S319/Config!$B$30)))*100)) + Config!$B$29*MAX(0,MIN(100,MIN(1,IF($T319="",0,$T319)/Config!$B$23)*100)))),MIN(100,Config!$B$27*MAX(0,MIN(100,(1-IF($R319="",0,$R319))*100)) + Config!$B$28*MAX(0,MIN(100,(1-MIN(1,IF(Config!$B$30=0,1,$S319/Config!$B$30)))*100)) + Config!$B$29*MAX(0,MIN(100,MIN(1,IF($T319="",0,$T319)/Config!$B$23)*100))))),"")
</f>
        <v/>
      </c>
      <c r="V319" s="40" t="str">
        <f>IF(Bids!$AC319="","",Bids!$AC319)</f>
        <v/>
      </c>
      <c r="W319" s="40" t="str">
        <f>IF(Bids!$F318="","",Bids!$F318)</f>
        <v/>
      </c>
      <c r="X319" s="40" t="str">
        <f t="shared" si="5"/>
        <v/>
      </c>
      <c r="Y319" s="40" t="str">
        <f>IF($X319="","",IF(Config!$B$17=Config!$B$16,IF($X319&gt;=Config!$B$17,100,0),MAX(0,MIN(100,($X319-Config!$B$16)/(Config!$B$17-Config!$B$16)*100))))</f>
        <v/>
      </c>
      <c r="Z319" s="40">
        <f>IF($M319="Elite",Config!$B$21,0)</f>
        <v>0</v>
      </c>
      <c r="AA319" s="40" t="str">
        <f>IFERROR(IF(OR($W319="",$H319=""),"",IF($W319&gt;$H319,
  MAX(0, 60-(($W319-$H319)*24/Config!$B$19)*60),
  MIN(100, 60+(($H319-$W319)*24/Config!$B$20)*40)
)),"")
</f>
        <v/>
      </c>
      <c r="AB319" s="40" t="str">
        <f>IF($K319="","",IFERROR(VLOOKUP($K319,Grinders!$A$4:$N$998,10,FALSE)/5*100,""))</f>
        <v/>
      </c>
      <c r="AC319" s="40" t="str">
        <f>IF($K319="","",IFERROR(VLOOKUP($K319,Grinders!$A$4:$N$998,11,FALSE)*100,""))</f>
        <v/>
      </c>
      <c r="AD319" s="40" t="str">
        <f>IF($K319="","",IFERROR(VLOOKUP($K319,Grinders!$A$4:$N$998,12,FALSE)*100,""))</f>
        <v/>
      </c>
      <c r="AE319" s="40" t="str">
        <f>IF(OR(AO319=1,AP319=1),0,=IFERROR(IFS(
    OR($C319="", $K319=""), 0,
    $F319=0, 0,
    $D319&lt;&gt;"Open", 0,
    COUNTIFS(GrinderServices!$A$6:$A$1000, $K319, GrinderServices!$B$6:$B$1000, $E319, GrinderServices!$D$6:$D$1000, "Y")=0, 0,
    $X319&lt;Config!$B$16, 0,
    Config!$B$18=1, IF($O319&gt;=N319, 0, 1),
    TRUE, 1
), "")
)</f>
        <v>#ERROR!</v>
      </c>
      <c r="AF319" s="40" t="str">
        <f>IFERROR((IF(OR(AO319=1,AP319=1),"",=IFERROR((IFERROR(IF($AE319=0,"",((Config!$B$6*$Y319 + Config!$B$7*$U319 + Config!$B$8*$Z319 + Config!$B$9*$AA319 + Config!$B$10*$AB319 + Config!$B$11*$AC319 - Config!$B$12*$AD319)/Config!$B$13)+$AK319+$AL319),""))*(1-IFERROR(VLOOKUP(K319,Grinders!$A:$AB, 28, FALSE),0)),"")))*(1+AR319),"")</f>
        <v>#ERROR!</v>
      </c>
      <c r="AG319" s="40" t="str">
        <f t="shared" si="6"/>
        <v>#ERROR!</v>
      </c>
      <c r="AH319" s="40" t="str">
        <f t="shared" si="7"/>
        <v/>
      </c>
      <c r="AI319" s="40" t="str">
        <f t="shared" si="8"/>
        <v/>
      </c>
      <c r="AJ319" s="40" t="str">
        <f>IF($K319="","",COUNTIF(Assignments!$B$6:$B$1000,$K319))</f>
        <v/>
      </c>
      <c r="AK319" s="40" t="str">
        <f>IF($K319="","",IF(AND($AJ319=0,$O319&lt;$N319),Config!$B$43,0))</f>
        <v/>
      </c>
      <c r="AL319" s="40" t="str">
        <f>IF($K319="","",IF(AND($M319="Elite",$G319&gt;=Config!$B$41,$O319&lt;$N319),Config!$B$42,0))</f>
        <v/>
      </c>
      <c r="AM319" s="22"/>
      <c r="AN319" s="39">
        <f>IFERROR(VLOOKUP(K319,Grinders!$A:$Q,28,FALSE),0)</f>
        <v>0</v>
      </c>
      <c r="AO319" s="39">
        <f>IF(Config!$B$1003&lt;&gt;"Y",0,IF(IFERROR(VLOOKUP(K319,Grinders!$A:$P,27,FALSE),0)&gt;=3,IF(OR(G319&gt;=Config!$B$1001,ISNUMBER(SEARCH(E319,Config!$B$1002))),1,0),0))</f>
        <v>0</v>
      </c>
      <c r="AP319" s="39">
        <f t="array" ref="AP319">IFERROR(IF(INDEX(Bids!$AE:$AE,MATCH(B319,Bids!$A:$A,0))="Pending",1,0),0)</f>
        <v>0</v>
      </c>
      <c r="AQ319" s="39" t="str">
        <f t="array" ref="AQ319">IF(C319="","",IFERROR(XLOOKUP(C319,Assignments!$C:$C,Assignments!$AU:$AU,0),0))</f>
        <v/>
      </c>
      <c r="AR319" s="39">
        <f>IF(AND(Config!$B$1006="Y",AQ319=1),Config!$B$1007,0)</f>
        <v>0</v>
      </c>
    </row>
    <row r="320" ht="15.75" customHeight="1">
      <c r="A320" s="46" t="str">
        <f t="shared" si="1"/>
        <v/>
      </c>
      <c r="B320" s="40" t="str">
        <f>IF(Bids!$A319="","",Bids!$A319)</f>
        <v/>
      </c>
      <c r="C320" s="40" t="str">
        <f>IF(Bids!$B319="","",Bids!$B319)</f>
        <v/>
      </c>
      <c r="D320" s="40" t="str">
        <f>IF($C320="","",IFERROR(VLOOKUP($C320,Orders!$A$4:$J$998,9,FALSE),""))</f>
        <v/>
      </c>
      <c r="E320" s="40" t="str">
        <f>IF($C320="","",IFERROR(VLOOKUP($C320,Orders!$A$4:$J$998,3,FALSE),""))</f>
        <v/>
      </c>
      <c r="F320" s="40">
        <f t="shared" si="2"/>
        <v>1</v>
      </c>
      <c r="G320" s="40" t="str">
        <f>IF($C320="","",IFERROR(VLOOKUP($C320,Orders!$A$4:$J$998,4,FALSE),""))</f>
        <v/>
      </c>
      <c r="H320" s="40" t="str">
        <f>IF($C320="","",IFERROR(VLOOKUP($C320,Orders!$A$4:$J$998,5,FALSE),""))</f>
        <v/>
      </c>
      <c r="I320" s="40" t="str">
        <f>IF($C320="","",IFERROR(VLOOKUP($C320,Orders!$A$4:$J$998,6,FALSE),""))</f>
        <v/>
      </c>
      <c r="J320" s="40" t="str">
        <f>IF($C320="","",IFERROR(VLOOKUP($C320,Orders!$A$4:$J$998,7,FALSE),""))</f>
        <v/>
      </c>
      <c r="K320" s="40" t="str">
        <f>IF(Bids!$C319="","",Bids!$C319)</f>
        <v/>
      </c>
      <c r="L320" s="40" t="str">
        <f>IF($K320="","",IFERROR(VLOOKUP($K320,Grinders!$A$4:$N$998,2,FALSE),""))</f>
        <v/>
      </c>
      <c r="M320" s="40" t="str">
        <f>IF($K320="","",IFERROR(VLOOKUP($K320,Grinders!$A$4:$N$998,3,FALSE),""))</f>
        <v/>
      </c>
      <c r="N320" s="40" t="str">
        <f>IF($K320="","",IFERROR(VLOOKUP($K320,Grinders!$A$4:$N$998,4,FALSE),""))</f>
        <v/>
      </c>
      <c r="O320" s="40" t="str">
        <f>IF($K320="","",IFERROR(VLOOKUP($K320,Grinders!$A$4:$N$998,5,FALSE),""))</f>
        <v/>
      </c>
      <c r="P320" s="40" t="str">
        <f>IF($K320="","",IF($C$4="",0,COUNTIFS(Assignments!$B$6:$B$1000,$K320,Assignments!$F$6:$F$1000,$C$4,Assignments!$E$6:$E$1000,"Active")))</f>
        <v/>
      </c>
      <c r="Q320" s="40" t="str">
        <f t="shared" si="3"/>
        <v/>
      </c>
      <c r="R320" s="40" t="str">
        <f t="shared" si="4"/>
        <v/>
      </c>
      <c r="S320" s="40" t="str">
        <f>IF($K320="","",IF($C$4="",0,COUNTIFS(Assignments!$B$6:$B$1000,$K320,Assignments!$F$6:$F$1000,$C$4,Assignments!$D$6:$D$1000,"&gt;="&amp;Config!$B$3-7,Assignments!$D$6:$D$1000,"&lt;="&amp;Config!$B$3)))</f>
        <v/>
      </c>
      <c r="T320" s="40" t="str">
        <f>IF($K320="","",IFERROR(VLOOKUP($K320,Grinders!$A$4:$N$998,8,FALSE),""))</f>
        <v/>
      </c>
      <c r="U320" s="40" t="str">
        <f>IFERROR(IF($K320="","",IF($M320="Elite",MAX(50,MIN(100,Config!$B$27*MAX(0,MIN(100,(1-IF($R320="",0,$R320))*100)) + Config!$B$28*MAX(0,MIN(100,(1-MIN(1,IF(Config!$B$30=0,1,$S320/Config!$B$30)))*100)) + Config!$B$29*MAX(0,MIN(100,MIN(1,IF($T320="",0,$T320)/Config!$B$23)*100)))),MIN(100,Config!$B$27*MAX(0,MIN(100,(1-IF($R320="",0,$R320))*100)) + Config!$B$28*MAX(0,MIN(100,(1-MIN(1,IF(Config!$B$30=0,1,$S320/Config!$B$30)))*100)) + Config!$B$29*MAX(0,MIN(100,MIN(1,IF($T320="",0,$T320)/Config!$B$23)*100))))),"")
</f>
        <v/>
      </c>
      <c r="V320" s="40" t="str">
        <f>IF(Bids!$AC320="","",Bids!$AC320)</f>
        <v/>
      </c>
      <c r="W320" s="40" t="str">
        <f>IF(Bids!$F319="","",Bids!$F319)</f>
        <v/>
      </c>
      <c r="X320" s="40" t="str">
        <f t="shared" si="5"/>
        <v/>
      </c>
      <c r="Y320" s="40" t="str">
        <f>IF($X320="","",IF(Config!$B$17=Config!$B$16,IF($X320&gt;=Config!$B$17,100,0),MAX(0,MIN(100,($X320-Config!$B$16)/(Config!$B$17-Config!$B$16)*100))))</f>
        <v/>
      </c>
      <c r="Z320" s="40">
        <f>IF($M320="Elite",Config!$B$21,0)</f>
        <v>0</v>
      </c>
      <c r="AA320" s="40" t="str">
        <f>IFERROR(IF(OR($W320="",$H320=""),"",IF($W320&gt;$H320,
  MAX(0, 60-(($W320-$H320)*24/Config!$B$19)*60),
  MIN(100, 60+(($H320-$W320)*24/Config!$B$20)*40)
)),"")
</f>
        <v/>
      </c>
      <c r="AB320" s="40" t="str">
        <f>IF($K320="","",IFERROR(VLOOKUP($K320,Grinders!$A$4:$N$998,10,FALSE)/5*100,""))</f>
        <v/>
      </c>
      <c r="AC320" s="40" t="str">
        <f>IF($K320="","",IFERROR(VLOOKUP($K320,Grinders!$A$4:$N$998,11,FALSE)*100,""))</f>
        <v/>
      </c>
      <c r="AD320" s="40" t="str">
        <f>IF($K320="","",IFERROR(VLOOKUP($K320,Grinders!$A$4:$N$998,12,FALSE)*100,""))</f>
        <v/>
      </c>
      <c r="AE320" s="40" t="str">
        <f>IF(OR(AO320=1,AP320=1),0,=IFERROR(IFS(
    OR($C320="", $K320=""), 0,
    $F320=0, 0,
    $D320&lt;&gt;"Open", 0,
    COUNTIFS(GrinderServices!$A$6:$A$1000, $K320, GrinderServices!$B$6:$B$1000, $E320, GrinderServices!$D$6:$D$1000, "Y")=0, 0,
    $X320&lt;Config!$B$16, 0,
    Config!$B$18=1, IF($O320&gt;=N320, 0, 1),
    TRUE, 1
), "")
)</f>
        <v>#ERROR!</v>
      </c>
      <c r="AF320" s="40" t="str">
        <f>IFERROR((IF(OR(AO320=1,AP320=1),"",=IFERROR((IFERROR(IF($AE320=0,"",((Config!$B$6*$Y320 + Config!$B$7*$U320 + Config!$B$8*$Z320 + Config!$B$9*$AA320 + Config!$B$10*$AB320 + Config!$B$11*$AC320 - Config!$B$12*$AD320)/Config!$B$13)+$AK320+$AL320),""))*(1-IFERROR(VLOOKUP(K320,Grinders!$A:$AB, 28, FALSE),0)),"")))*(1+AR320),"")</f>
        <v>#ERROR!</v>
      </c>
      <c r="AG320" s="40" t="str">
        <f t="shared" si="6"/>
        <v>#ERROR!</v>
      </c>
      <c r="AH320" s="40" t="str">
        <f t="shared" si="7"/>
        <v/>
      </c>
      <c r="AI320" s="40" t="str">
        <f t="shared" si="8"/>
        <v/>
      </c>
      <c r="AJ320" s="40" t="str">
        <f>IF($K320="","",COUNTIF(Assignments!$B$6:$B$1000,$K320))</f>
        <v/>
      </c>
      <c r="AK320" s="40" t="str">
        <f>IF($K320="","",IF(AND($AJ320=0,$O320&lt;$N320),Config!$B$43,0))</f>
        <v/>
      </c>
      <c r="AL320" s="40" t="str">
        <f>IF($K320="","",IF(AND($M320="Elite",$G320&gt;=Config!$B$41,$O320&lt;$N320),Config!$B$42,0))</f>
        <v/>
      </c>
      <c r="AM320" s="22"/>
      <c r="AN320" s="39">
        <f>IFERROR(VLOOKUP(K320,Grinders!$A:$Q,28,FALSE),0)</f>
        <v>0</v>
      </c>
      <c r="AO320" s="39">
        <f>IF(Config!$B$1003&lt;&gt;"Y",0,IF(IFERROR(VLOOKUP(K320,Grinders!$A:$P,27,FALSE),0)&gt;=3,IF(OR(G320&gt;=Config!$B$1001,ISNUMBER(SEARCH(E320,Config!$B$1002))),1,0),0))</f>
        <v>0</v>
      </c>
      <c r="AP320" s="39">
        <f t="array" ref="AP320">IFERROR(IF(INDEX(Bids!$AE:$AE,MATCH(B320,Bids!$A:$A,0))="Pending",1,0),0)</f>
        <v>0</v>
      </c>
      <c r="AQ320" s="39" t="str">
        <f t="array" ref="AQ320">IF(C320="","",IFERROR(XLOOKUP(C320,Assignments!$C:$C,Assignments!$AU:$AU,0),0))</f>
        <v/>
      </c>
      <c r="AR320" s="39">
        <f>IF(AND(Config!$B$1006="Y",AQ320=1),Config!$B$1007,0)</f>
        <v>0</v>
      </c>
    </row>
    <row r="321" ht="15.75" customHeight="1">
      <c r="A321" s="46" t="str">
        <f t="shared" si="1"/>
        <v/>
      </c>
      <c r="B321" s="40" t="str">
        <f>IF(Bids!$A320="","",Bids!$A320)</f>
        <v/>
      </c>
      <c r="C321" s="40" t="str">
        <f>IF(Bids!$B320="","",Bids!$B320)</f>
        <v/>
      </c>
      <c r="D321" s="40" t="str">
        <f>IF($C321="","",IFERROR(VLOOKUP($C321,Orders!$A$4:$J$998,9,FALSE),""))</f>
        <v/>
      </c>
      <c r="E321" s="40" t="str">
        <f>IF($C321="","",IFERROR(VLOOKUP($C321,Orders!$A$4:$J$998,3,FALSE),""))</f>
        <v/>
      </c>
      <c r="F321" s="40">
        <f t="shared" si="2"/>
        <v>1</v>
      </c>
      <c r="G321" s="40" t="str">
        <f>IF($C321="","",IFERROR(VLOOKUP($C321,Orders!$A$4:$J$998,4,FALSE),""))</f>
        <v/>
      </c>
      <c r="H321" s="40" t="str">
        <f>IF($C321="","",IFERROR(VLOOKUP($C321,Orders!$A$4:$J$998,5,FALSE),""))</f>
        <v/>
      </c>
      <c r="I321" s="40" t="str">
        <f>IF($C321="","",IFERROR(VLOOKUP($C321,Orders!$A$4:$J$998,6,FALSE),""))</f>
        <v/>
      </c>
      <c r="J321" s="40" t="str">
        <f>IF($C321="","",IFERROR(VLOOKUP($C321,Orders!$A$4:$J$998,7,FALSE),""))</f>
        <v/>
      </c>
      <c r="K321" s="40" t="str">
        <f>IF(Bids!$C320="","",Bids!$C320)</f>
        <v/>
      </c>
      <c r="L321" s="40" t="str">
        <f>IF($K321="","",IFERROR(VLOOKUP($K321,Grinders!$A$4:$N$998,2,FALSE),""))</f>
        <v/>
      </c>
      <c r="M321" s="40" t="str">
        <f>IF($K321="","",IFERROR(VLOOKUP($K321,Grinders!$A$4:$N$998,3,FALSE),""))</f>
        <v/>
      </c>
      <c r="N321" s="40" t="str">
        <f>IF($K321="","",IFERROR(VLOOKUP($K321,Grinders!$A$4:$N$998,4,FALSE),""))</f>
        <v/>
      </c>
      <c r="O321" s="40" t="str">
        <f>IF($K321="","",IFERROR(VLOOKUP($K321,Grinders!$A$4:$N$998,5,FALSE),""))</f>
        <v/>
      </c>
      <c r="P321" s="40" t="str">
        <f>IF($K321="","",IF($C$4="",0,COUNTIFS(Assignments!$B$6:$B$1000,$K321,Assignments!$F$6:$F$1000,$C$4,Assignments!$E$6:$E$1000,"Active")))</f>
        <v/>
      </c>
      <c r="Q321" s="40" t="str">
        <f t="shared" si="3"/>
        <v/>
      </c>
      <c r="R321" s="40" t="str">
        <f t="shared" si="4"/>
        <v/>
      </c>
      <c r="S321" s="40" t="str">
        <f>IF($K321="","",IF($C$4="",0,COUNTIFS(Assignments!$B$6:$B$1000,$K321,Assignments!$F$6:$F$1000,$C$4,Assignments!$D$6:$D$1000,"&gt;="&amp;Config!$B$3-7,Assignments!$D$6:$D$1000,"&lt;="&amp;Config!$B$3)))</f>
        <v/>
      </c>
      <c r="T321" s="40" t="str">
        <f>IF($K321="","",IFERROR(VLOOKUP($K321,Grinders!$A$4:$N$998,8,FALSE),""))</f>
        <v/>
      </c>
      <c r="U321" s="40" t="str">
        <f>IFERROR(IF($K321="","",IF($M321="Elite",MAX(50,MIN(100,Config!$B$27*MAX(0,MIN(100,(1-IF($R321="",0,$R321))*100)) + Config!$B$28*MAX(0,MIN(100,(1-MIN(1,IF(Config!$B$30=0,1,$S321/Config!$B$30)))*100)) + Config!$B$29*MAX(0,MIN(100,MIN(1,IF($T321="",0,$T321)/Config!$B$23)*100)))),MIN(100,Config!$B$27*MAX(0,MIN(100,(1-IF($R321="",0,$R321))*100)) + Config!$B$28*MAX(0,MIN(100,(1-MIN(1,IF(Config!$B$30=0,1,$S321/Config!$B$30)))*100)) + Config!$B$29*MAX(0,MIN(100,MIN(1,IF($T321="",0,$T321)/Config!$B$23)*100))))),"")
</f>
        <v/>
      </c>
      <c r="V321" s="40" t="str">
        <f>IF(Bids!$AC321="","",Bids!$AC321)</f>
        <v/>
      </c>
      <c r="W321" s="40" t="str">
        <f>IF(Bids!$F320="","",Bids!$F320)</f>
        <v/>
      </c>
      <c r="X321" s="40" t="str">
        <f t="shared" si="5"/>
        <v/>
      </c>
      <c r="Y321" s="40" t="str">
        <f>IF($X321="","",IF(Config!$B$17=Config!$B$16,IF($X321&gt;=Config!$B$17,100,0),MAX(0,MIN(100,($X321-Config!$B$16)/(Config!$B$17-Config!$B$16)*100))))</f>
        <v/>
      </c>
      <c r="Z321" s="40">
        <f>IF($M321="Elite",Config!$B$21,0)</f>
        <v>0</v>
      </c>
      <c r="AA321" s="40" t="str">
        <f>IFERROR(IF(OR($W321="",$H321=""),"",IF($W321&gt;$H321,
  MAX(0, 60-(($W321-$H321)*24/Config!$B$19)*60),
  MIN(100, 60+(($H321-$W321)*24/Config!$B$20)*40)
)),"")
</f>
        <v/>
      </c>
      <c r="AB321" s="40" t="str">
        <f>IF($K321="","",IFERROR(VLOOKUP($K321,Grinders!$A$4:$N$998,10,FALSE)/5*100,""))</f>
        <v/>
      </c>
      <c r="AC321" s="40" t="str">
        <f>IF($K321="","",IFERROR(VLOOKUP($K321,Grinders!$A$4:$N$998,11,FALSE)*100,""))</f>
        <v/>
      </c>
      <c r="AD321" s="40" t="str">
        <f>IF($K321="","",IFERROR(VLOOKUP($K321,Grinders!$A$4:$N$998,12,FALSE)*100,""))</f>
        <v/>
      </c>
      <c r="AE321" s="40" t="str">
        <f>IF(OR(AO321=1,AP321=1),0,=IFERROR(IFS(
    OR($C321="", $K321=""), 0,
    $F321=0, 0,
    $D321&lt;&gt;"Open", 0,
    COUNTIFS(GrinderServices!$A$6:$A$1000, $K321, GrinderServices!$B$6:$B$1000, $E321, GrinderServices!$D$6:$D$1000, "Y")=0, 0,
    $X321&lt;Config!$B$16, 0,
    Config!$B$18=1, IF($O321&gt;=N321, 0, 1),
    TRUE, 1
), "")
)</f>
        <v>#ERROR!</v>
      </c>
      <c r="AF321" s="40" t="str">
        <f>IFERROR((IF(OR(AO321=1,AP321=1),"",=IFERROR((IFERROR(IF($AE321=0,"",((Config!$B$6*$Y321 + Config!$B$7*$U321 + Config!$B$8*$Z321 + Config!$B$9*$AA321 + Config!$B$10*$AB321 + Config!$B$11*$AC321 - Config!$B$12*$AD321)/Config!$B$13)+$AK321+$AL321),""))*(1-IFERROR(VLOOKUP(K321,Grinders!$A:$AB, 28, FALSE),0)),"")))*(1+AR321),"")</f>
        <v>#ERROR!</v>
      </c>
      <c r="AG321" s="40" t="str">
        <f t="shared" si="6"/>
        <v>#ERROR!</v>
      </c>
      <c r="AH321" s="40" t="str">
        <f t="shared" si="7"/>
        <v/>
      </c>
      <c r="AI321" s="40" t="str">
        <f t="shared" si="8"/>
        <v/>
      </c>
      <c r="AJ321" s="40" t="str">
        <f>IF($K321="","",COUNTIF(Assignments!$B$6:$B$1000,$K321))</f>
        <v/>
      </c>
      <c r="AK321" s="40" t="str">
        <f>IF($K321="","",IF(AND($AJ321=0,$O321&lt;$N321),Config!$B$43,0))</f>
        <v/>
      </c>
      <c r="AL321" s="40" t="str">
        <f>IF($K321="","",IF(AND($M321="Elite",$G321&gt;=Config!$B$41,$O321&lt;$N321),Config!$B$42,0))</f>
        <v/>
      </c>
      <c r="AM321" s="22"/>
      <c r="AN321" s="39">
        <f>IFERROR(VLOOKUP(K321,Grinders!$A:$Q,28,FALSE),0)</f>
        <v>0</v>
      </c>
      <c r="AO321" s="39">
        <f>IF(Config!$B$1003&lt;&gt;"Y",0,IF(IFERROR(VLOOKUP(K321,Grinders!$A:$P,27,FALSE),0)&gt;=3,IF(OR(G321&gt;=Config!$B$1001,ISNUMBER(SEARCH(E321,Config!$B$1002))),1,0),0))</f>
        <v>0</v>
      </c>
      <c r="AP321" s="39">
        <f t="array" ref="AP321">IFERROR(IF(INDEX(Bids!$AE:$AE,MATCH(B321,Bids!$A:$A,0))="Pending",1,0),0)</f>
        <v>0</v>
      </c>
      <c r="AQ321" s="39" t="str">
        <f t="array" ref="AQ321">IF(C321="","",IFERROR(XLOOKUP(C321,Assignments!$C:$C,Assignments!$AU:$AU,0),0))</f>
        <v/>
      </c>
      <c r="AR321" s="39">
        <f>IF(AND(Config!$B$1006="Y",AQ321=1),Config!$B$1007,0)</f>
        <v>0</v>
      </c>
    </row>
    <row r="322" ht="15.75" customHeight="1">
      <c r="A322" s="46" t="str">
        <f t="shared" si="1"/>
        <v/>
      </c>
      <c r="B322" s="40" t="str">
        <f>IF(Bids!$A321="","",Bids!$A321)</f>
        <v/>
      </c>
      <c r="C322" s="40" t="str">
        <f>IF(Bids!$B321="","",Bids!$B321)</f>
        <v/>
      </c>
      <c r="D322" s="40" t="str">
        <f>IF($C322="","",IFERROR(VLOOKUP($C322,Orders!$A$4:$J$998,9,FALSE),""))</f>
        <v/>
      </c>
      <c r="E322" s="40" t="str">
        <f>IF($C322="","",IFERROR(VLOOKUP($C322,Orders!$A$4:$J$998,3,FALSE),""))</f>
        <v/>
      </c>
      <c r="F322" s="40">
        <f t="shared" si="2"/>
        <v>1</v>
      </c>
      <c r="G322" s="40" t="str">
        <f>IF($C322="","",IFERROR(VLOOKUP($C322,Orders!$A$4:$J$998,4,FALSE),""))</f>
        <v/>
      </c>
      <c r="H322" s="40" t="str">
        <f>IF($C322="","",IFERROR(VLOOKUP($C322,Orders!$A$4:$J$998,5,FALSE),""))</f>
        <v/>
      </c>
      <c r="I322" s="40" t="str">
        <f>IF($C322="","",IFERROR(VLOOKUP($C322,Orders!$A$4:$J$998,6,FALSE),""))</f>
        <v/>
      </c>
      <c r="J322" s="40" t="str">
        <f>IF($C322="","",IFERROR(VLOOKUP($C322,Orders!$A$4:$J$998,7,FALSE),""))</f>
        <v/>
      </c>
      <c r="K322" s="40" t="str">
        <f>IF(Bids!$C321="","",Bids!$C321)</f>
        <v/>
      </c>
      <c r="L322" s="40" t="str">
        <f>IF($K322="","",IFERROR(VLOOKUP($K322,Grinders!$A$4:$N$998,2,FALSE),""))</f>
        <v/>
      </c>
      <c r="M322" s="40" t="str">
        <f>IF($K322="","",IFERROR(VLOOKUP($K322,Grinders!$A$4:$N$998,3,FALSE),""))</f>
        <v/>
      </c>
      <c r="N322" s="40" t="str">
        <f>IF($K322="","",IFERROR(VLOOKUP($K322,Grinders!$A$4:$N$998,4,FALSE),""))</f>
        <v/>
      </c>
      <c r="O322" s="40" t="str">
        <f>IF($K322="","",IFERROR(VLOOKUP($K322,Grinders!$A$4:$N$998,5,FALSE),""))</f>
        <v/>
      </c>
      <c r="P322" s="40" t="str">
        <f>IF($K322="","",IF($C$4="",0,COUNTIFS(Assignments!$B$6:$B$1000,$K322,Assignments!$F$6:$F$1000,$C$4,Assignments!$E$6:$E$1000,"Active")))</f>
        <v/>
      </c>
      <c r="Q322" s="40" t="str">
        <f t="shared" si="3"/>
        <v/>
      </c>
      <c r="R322" s="40" t="str">
        <f t="shared" si="4"/>
        <v/>
      </c>
      <c r="S322" s="40" t="str">
        <f>IF($K322="","",IF($C$4="",0,COUNTIFS(Assignments!$B$6:$B$1000,$K322,Assignments!$F$6:$F$1000,$C$4,Assignments!$D$6:$D$1000,"&gt;="&amp;Config!$B$3-7,Assignments!$D$6:$D$1000,"&lt;="&amp;Config!$B$3)))</f>
        <v/>
      </c>
      <c r="T322" s="40" t="str">
        <f>IF($K322="","",IFERROR(VLOOKUP($K322,Grinders!$A$4:$N$998,8,FALSE),""))</f>
        <v/>
      </c>
      <c r="U322" s="40" t="str">
        <f>IFERROR(IF($K322="","",IF($M322="Elite",MAX(50,MIN(100,Config!$B$27*MAX(0,MIN(100,(1-IF($R322="",0,$R322))*100)) + Config!$B$28*MAX(0,MIN(100,(1-MIN(1,IF(Config!$B$30=0,1,$S322/Config!$B$30)))*100)) + Config!$B$29*MAX(0,MIN(100,MIN(1,IF($T322="",0,$T322)/Config!$B$23)*100)))),MIN(100,Config!$B$27*MAX(0,MIN(100,(1-IF($R322="",0,$R322))*100)) + Config!$B$28*MAX(0,MIN(100,(1-MIN(1,IF(Config!$B$30=0,1,$S322/Config!$B$30)))*100)) + Config!$B$29*MAX(0,MIN(100,MIN(1,IF($T322="",0,$T322)/Config!$B$23)*100))))),"")
</f>
        <v/>
      </c>
      <c r="V322" s="40" t="str">
        <f>IF(Bids!$AC322="","",Bids!$AC322)</f>
        <v/>
      </c>
      <c r="W322" s="40" t="str">
        <f>IF(Bids!$F321="","",Bids!$F321)</f>
        <v/>
      </c>
      <c r="X322" s="40" t="str">
        <f t="shared" si="5"/>
        <v/>
      </c>
      <c r="Y322" s="40" t="str">
        <f>IF($X322="","",IF(Config!$B$17=Config!$B$16,IF($X322&gt;=Config!$B$17,100,0),MAX(0,MIN(100,($X322-Config!$B$16)/(Config!$B$17-Config!$B$16)*100))))</f>
        <v/>
      </c>
      <c r="Z322" s="40">
        <f>IF($M322="Elite",Config!$B$21,0)</f>
        <v>0</v>
      </c>
      <c r="AA322" s="40" t="str">
        <f>IFERROR(IF(OR($W322="",$H322=""),"",IF($W322&gt;$H322,
  MAX(0, 60-(($W322-$H322)*24/Config!$B$19)*60),
  MIN(100, 60+(($H322-$W322)*24/Config!$B$20)*40)
)),"")
</f>
        <v/>
      </c>
      <c r="AB322" s="40" t="str">
        <f>IF($K322="","",IFERROR(VLOOKUP($K322,Grinders!$A$4:$N$998,10,FALSE)/5*100,""))</f>
        <v/>
      </c>
      <c r="AC322" s="40" t="str">
        <f>IF($K322="","",IFERROR(VLOOKUP($K322,Grinders!$A$4:$N$998,11,FALSE)*100,""))</f>
        <v/>
      </c>
      <c r="AD322" s="40" t="str">
        <f>IF($K322="","",IFERROR(VLOOKUP($K322,Grinders!$A$4:$N$998,12,FALSE)*100,""))</f>
        <v/>
      </c>
      <c r="AE322" s="40" t="str">
        <f>IF(OR(AO322=1,AP322=1),0,=IFERROR(IFS(
    OR($C322="", $K322=""), 0,
    $F322=0, 0,
    $D322&lt;&gt;"Open", 0,
    COUNTIFS(GrinderServices!$A$6:$A$1000, $K322, GrinderServices!$B$6:$B$1000, $E322, GrinderServices!$D$6:$D$1000, "Y")=0, 0,
    $X322&lt;Config!$B$16, 0,
    Config!$B$18=1, IF($O322&gt;=N322, 0, 1),
    TRUE, 1
), "")
)</f>
        <v>#ERROR!</v>
      </c>
      <c r="AF322" s="40" t="str">
        <f>IFERROR((IF(OR(AO322=1,AP322=1),"",=IFERROR((IFERROR(IF($AE322=0,"",((Config!$B$6*$Y322 + Config!$B$7*$U322 + Config!$B$8*$Z322 + Config!$B$9*$AA322 + Config!$B$10*$AB322 + Config!$B$11*$AC322 - Config!$B$12*$AD322)/Config!$B$13)+$AK322+$AL322),""))*(1-IFERROR(VLOOKUP(K322,Grinders!$A:$AB, 28, FALSE),0)),"")))*(1+AR322),"")</f>
        <v>#ERROR!</v>
      </c>
      <c r="AG322" s="40" t="str">
        <f t="shared" si="6"/>
        <v>#ERROR!</v>
      </c>
      <c r="AH322" s="40" t="str">
        <f t="shared" si="7"/>
        <v/>
      </c>
      <c r="AI322" s="40" t="str">
        <f t="shared" si="8"/>
        <v/>
      </c>
      <c r="AJ322" s="40" t="str">
        <f>IF($K322="","",COUNTIF(Assignments!$B$6:$B$1000,$K322))</f>
        <v/>
      </c>
      <c r="AK322" s="40" t="str">
        <f>IF($K322="","",IF(AND($AJ322=0,$O322&lt;$N322),Config!$B$43,0))</f>
        <v/>
      </c>
      <c r="AL322" s="40" t="str">
        <f>IF($K322="","",IF(AND($M322="Elite",$G322&gt;=Config!$B$41,$O322&lt;$N322),Config!$B$42,0))</f>
        <v/>
      </c>
      <c r="AM322" s="22"/>
      <c r="AN322" s="39">
        <f>IFERROR(VLOOKUP(K322,Grinders!$A:$Q,28,FALSE),0)</f>
        <v>0</v>
      </c>
      <c r="AO322" s="39">
        <f>IF(Config!$B$1003&lt;&gt;"Y",0,IF(IFERROR(VLOOKUP(K322,Grinders!$A:$P,27,FALSE),0)&gt;=3,IF(OR(G322&gt;=Config!$B$1001,ISNUMBER(SEARCH(E322,Config!$B$1002))),1,0),0))</f>
        <v>0</v>
      </c>
      <c r="AP322" s="39">
        <f t="array" ref="AP322">IFERROR(IF(INDEX(Bids!$AE:$AE,MATCH(B322,Bids!$A:$A,0))="Pending",1,0),0)</f>
        <v>0</v>
      </c>
      <c r="AQ322" s="39" t="str">
        <f t="array" ref="AQ322">IF(C322="","",IFERROR(XLOOKUP(C322,Assignments!$C:$C,Assignments!$AU:$AU,0),0))</f>
        <v/>
      </c>
      <c r="AR322" s="39">
        <f>IF(AND(Config!$B$1006="Y",AQ322=1),Config!$B$1007,0)</f>
        <v>0</v>
      </c>
    </row>
    <row r="323" ht="15.75" customHeight="1">
      <c r="A323" s="46" t="str">
        <f t="shared" si="1"/>
        <v/>
      </c>
      <c r="B323" s="40" t="str">
        <f>IF(Bids!$A322="","",Bids!$A322)</f>
        <v/>
      </c>
      <c r="C323" s="40" t="str">
        <f>IF(Bids!$B322="","",Bids!$B322)</f>
        <v/>
      </c>
      <c r="D323" s="40" t="str">
        <f>IF($C323="","",IFERROR(VLOOKUP($C323,Orders!$A$4:$J$998,9,FALSE),""))</f>
        <v/>
      </c>
      <c r="E323" s="40" t="str">
        <f>IF($C323="","",IFERROR(VLOOKUP($C323,Orders!$A$4:$J$998,3,FALSE),""))</f>
        <v/>
      </c>
      <c r="F323" s="40">
        <f t="shared" si="2"/>
        <v>1</v>
      </c>
      <c r="G323" s="40" t="str">
        <f>IF($C323="","",IFERROR(VLOOKUP($C323,Orders!$A$4:$J$998,4,FALSE),""))</f>
        <v/>
      </c>
      <c r="H323" s="40" t="str">
        <f>IF($C323="","",IFERROR(VLOOKUP($C323,Orders!$A$4:$J$998,5,FALSE),""))</f>
        <v/>
      </c>
      <c r="I323" s="40" t="str">
        <f>IF($C323="","",IFERROR(VLOOKUP($C323,Orders!$A$4:$J$998,6,FALSE),""))</f>
        <v/>
      </c>
      <c r="J323" s="40" t="str">
        <f>IF($C323="","",IFERROR(VLOOKUP($C323,Orders!$A$4:$J$998,7,FALSE),""))</f>
        <v/>
      </c>
      <c r="K323" s="40" t="str">
        <f>IF(Bids!$C322="","",Bids!$C322)</f>
        <v/>
      </c>
      <c r="L323" s="40" t="str">
        <f>IF($K323="","",IFERROR(VLOOKUP($K323,Grinders!$A$4:$N$998,2,FALSE),""))</f>
        <v/>
      </c>
      <c r="M323" s="40" t="str">
        <f>IF($K323="","",IFERROR(VLOOKUP($K323,Grinders!$A$4:$N$998,3,FALSE),""))</f>
        <v/>
      </c>
      <c r="N323" s="40" t="str">
        <f>IF($K323="","",IFERROR(VLOOKUP($K323,Grinders!$A$4:$N$998,4,FALSE),""))</f>
        <v/>
      </c>
      <c r="O323" s="40" t="str">
        <f>IF($K323="","",IFERROR(VLOOKUP($K323,Grinders!$A$4:$N$998,5,FALSE),""))</f>
        <v/>
      </c>
      <c r="P323" s="40" t="str">
        <f>IF($K323="","",IF($C$4="",0,COUNTIFS(Assignments!$B$6:$B$1000,$K323,Assignments!$F$6:$F$1000,$C$4,Assignments!$E$6:$E$1000,"Active")))</f>
        <v/>
      </c>
      <c r="Q323" s="40" t="str">
        <f t="shared" si="3"/>
        <v/>
      </c>
      <c r="R323" s="40" t="str">
        <f t="shared" si="4"/>
        <v/>
      </c>
      <c r="S323" s="40" t="str">
        <f>IF($K323="","",IF($C$4="",0,COUNTIFS(Assignments!$B$6:$B$1000,$K323,Assignments!$F$6:$F$1000,$C$4,Assignments!$D$6:$D$1000,"&gt;="&amp;Config!$B$3-7,Assignments!$D$6:$D$1000,"&lt;="&amp;Config!$B$3)))</f>
        <v/>
      </c>
      <c r="T323" s="40" t="str">
        <f>IF($K323="","",IFERROR(VLOOKUP($K323,Grinders!$A$4:$N$998,8,FALSE),""))</f>
        <v/>
      </c>
      <c r="U323" s="40" t="str">
        <f>IFERROR(IF($K323="","",IF($M323="Elite",MAX(50,MIN(100,Config!$B$27*MAX(0,MIN(100,(1-IF($R323="",0,$R323))*100)) + Config!$B$28*MAX(0,MIN(100,(1-MIN(1,IF(Config!$B$30=0,1,$S323/Config!$B$30)))*100)) + Config!$B$29*MAX(0,MIN(100,MIN(1,IF($T323="",0,$T323)/Config!$B$23)*100)))),MIN(100,Config!$B$27*MAX(0,MIN(100,(1-IF($R323="",0,$R323))*100)) + Config!$B$28*MAX(0,MIN(100,(1-MIN(1,IF(Config!$B$30=0,1,$S323/Config!$B$30)))*100)) + Config!$B$29*MAX(0,MIN(100,MIN(1,IF($T323="",0,$T323)/Config!$B$23)*100))))),"")
</f>
        <v/>
      </c>
      <c r="V323" s="40" t="str">
        <f>IF(Bids!$AC323="","",Bids!$AC323)</f>
        <v/>
      </c>
      <c r="W323" s="40" t="str">
        <f>IF(Bids!$F322="","",Bids!$F322)</f>
        <v/>
      </c>
      <c r="X323" s="40" t="str">
        <f t="shared" si="5"/>
        <v/>
      </c>
      <c r="Y323" s="40" t="str">
        <f>IF($X323="","",IF(Config!$B$17=Config!$B$16,IF($X323&gt;=Config!$B$17,100,0),MAX(0,MIN(100,($X323-Config!$B$16)/(Config!$B$17-Config!$B$16)*100))))</f>
        <v/>
      </c>
      <c r="Z323" s="40">
        <f>IF($M323="Elite",Config!$B$21,0)</f>
        <v>0</v>
      </c>
      <c r="AA323" s="40" t="str">
        <f>IFERROR(IF(OR($W323="",$H323=""),"",IF($W323&gt;$H323,
  MAX(0, 60-(($W323-$H323)*24/Config!$B$19)*60),
  MIN(100, 60+(($H323-$W323)*24/Config!$B$20)*40)
)),"")
</f>
        <v/>
      </c>
      <c r="AB323" s="40" t="str">
        <f>IF($K323="","",IFERROR(VLOOKUP($K323,Grinders!$A$4:$N$998,10,FALSE)/5*100,""))</f>
        <v/>
      </c>
      <c r="AC323" s="40" t="str">
        <f>IF($K323="","",IFERROR(VLOOKUP($K323,Grinders!$A$4:$N$998,11,FALSE)*100,""))</f>
        <v/>
      </c>
      <c r="AD323" s="40" t="str">
        <f>IF($K323="","",IFERROR(VLOOKUP($K323,Grinders!$A$4:$N$998,12,FALSE)*100,""))</f>
        <v/>
      </c>
      <c r="AE323" s="40" t="str">
        <f>IF(OR(AO323=1,AP323=1),0,=IFERROR(IFS(
    OR($C323="", $K323=""), 0,
    $F323=0, 0,
    $D323&lt;&gt;"Open", 0,
    COUNTIFS(GrinderServices!$A$6:$A$1000, $K323, GrinderServices!$B$6:$B$1000, $E323, GrinderServices!$D$6:$D$1000, "Y")=0, 0,
    $X323&lt;Config!$B$16, 0,
    Config!$B$18=1, IF($O323&gt;=N323, 0, 1),
    TRUE, 1
), "")
)</f>
        <v>#ERROR!</v>
      </c>
      <c r="AF323" s="40" t="str">
        <f>IFERROR((IF(OR(AO323=1,AP323=1),"",=IFERROR((IFERROR(IF($AE323=0,"",((Config!$B$6*$Y323 + Config!$B$7*$U323 + Config!$B$8*$Z323 + Config!$B$9*$AA323 + Config!$B$10*$AB323 + Config!$B$11*$AC323 - Config!$B$12*$AD323)/Config!$B$13)+$AK323+$AL323),""))*(1-IFERROR(VLOOKUP(K323,Grinders!$A:$AB, 28, FALSE),0)),"")))*(1+AR323),"")</f>
        <v>#ERROR!</v>
      </c>
      <c r="AG323" s="40" t="str">
        <f t="shared" si="6"/>
        <v>#ERROR!</v>
      </c>
      <c r="AH323" s="40" t="str">
        <f t="shared" si="7"/>
        <v/>
      </c>
      <c r="AI323" s="40" t="str">
        <f t="shared" si="8"/>
        <v/>
      </c>
      <c r="AJ323" s="40" t="str">
        <f>IF($K323="","",COUNTIF(Assignments!$B$6:$B$1000,$K323))</f>
        <v/>
      </c>
      <c r="AK323" s="40" t="str">
        <f>IF($K323="","",IF(AND($AJ323=0,$O323&lt;$N323),Config!$B$43,0))</f>
        <v/>
      </c>
      <c r="AL323" s="40" t="str">
        <f>IF($K323="","",IF(AND($M323="Elite",$G323&gt;=Config!$B$41,$O323&lt;$N323),Config!$B$42,0))</f>
        <v/>
      </c>
      <c r="AM323" s="22"/>
      <c r="AN323" s="39">
        <f>IFERROR(VLOOKUP(K323,Grinders!$A:$Q,28,FALSE),0)</f>
        <v>0</v>
      </c>
      <c r="AO323" s="39">
        <f>IF(Config!$B$1003&lt;&gt;"Y",0,IF(IFERROR(VLOOKUP(K323,Grinders!$A:$P,27,FALSE),0)&gt;=3,IF(OR(G323&gt;=Config!$B$1001,ISNUMBER(SEARCH(E323,Config!$B$1002))),1,0),0))</f>
        <v>0</v>
      </c>
      <c r="AP323" s="39">
        <f t="array" ref="AP323">IFERROR(IF(INDEX(Bids!$AE:$AE,MATCH(B323,Bids!$A:$A,0))="Pending",1,0),0)</f>
        <v>0</v>
      </c>
      <c r="AQ323" s="39" t="str">
        <f t="array" ref="AQ323">IF(C323="","",IFERROR(XLOOKUP(C323,Assignments!$C:$C,Assignments!$AU:$AU,0),0))</f>
        <v/>
      </c>
      <c r="AR323" s="39">
        <f>IF(AND(Config!$B$1006="Y",AQ323=1),Config!$B$1007,0)</f>
        <v>0</v>
      </c>
    </row>
    <row r="324" ht="15.75" customHeight="1">
      <c r="A324" s="46" t="str">
        <f t="shared" si="1"/>
        <v/>
      </c>
      <c r="B324" s="40" t="str">
        <f>IF(Bids!$A323="","",Bids!$A323)</f>
        <v/>
      </c>
      <c r="C324" s="40" t="str">
        <f>IF(Bids!$B323="","",Bids!$B323)</f>
        <v/>
      </c>
      <c r="D324" s="40" t="str">
        <f>IF($C324="","",IFERROR(VLOOKUP($C324,Orders!$A$4:$J$998,9,FALSE),""))</f>
        <v/>
      </c>
      <c r="E324" s="40" t="str">
        <f>IF($C324="","",IFERROR(VLOOKUP($C324,Orders!$A$4:$J$998,3,FALSE),""))</f>
        <v/>
      </c>
      <c r="F324" s="40">
        <f t="shared" si="2"/>
        <v>1</v>
      </c>
      <c r="G324" s="40" t="str">
        <f>IF($C324="","",IFERROR(VLOOKUP($C324,Orders!$A$4:$J$998,4,FALSE),""))</f>
        <v/>
      </c>
      <c r="H324" s="40" t="str">
        <f>IF($C324="","",IFERROR(VLOOKUP($C324,Orders!$A$4:$J$998,5,FALSE),""))</f>
        <v/>
      </c>
      <c r="I324" s="40" t="str">
        <f>IF($C324="","",IFERROR(VLOOKUP($C324,Orders!$A$4:$J$998,6,FALSE),""))</f>
        <v/>
      </c>
      <c r="J324" s="40" t="str">
        <f>IF($C324="","",IFERROR(VLOOKUP($C324,Orders!$A$4:$J$998,7,FALSE),""))</f>
        <v/>
      </c>
      <c r="K324" s="40" t="str">
        <f>IF(Bids!$C323="","",Bids!$C323)</f>
        <v/>
      </c>
      <c r="L324" s="40" t="str">
        <f>IF($K324="","",IFERROR(VLOOKUP($K324,Grinders!$A$4:$N$998,2,FALSE),""))</f>
        <v/>
      </c>
      <c r="M324" s="40" t="str">
        <f>IF($K324="","",IFERROR(VLOOKUP($K324,Grinders!$A$4:$N$998,3,FALSE),""))</f>
        <v/>
      </c>
      <c r="N324" s="40" t="str">
        <f>IF($K324="","",IFERROR(VLOOKUP($K324,Grinders!$A$4:$N$998,4,FALSE),""))</f>
        <v/>
      </c>
      <c r="O324" s="40" t="str">
        <f>IF($K324="","",IFERROR(VLOOKUP($K324,Grinders!$A$4:$N$998,5,FALSE),""))</f>
        <v/>
      </c>
      <c r="P324" s="40" t="str">
        <f>IF($K324="","",IF($C$4="",0,COUNTIFS(Assignments!$B$6:$B$1000,$K324,Assignments!$F$6:$F$1000,$C$4,Assignments!$E$6:$E$1000,"Active")))</f>
        <v/>
      </c>
      <c r="Q324" s="40" t="str">
        <f t="shared" si="3"/>
        <v/>
      </c>
      <c r="R324" s="40" t="str">
        <f t="shared" si="4"/>
        <v/>
      </c>
      <c r="S324" s="40" t="str">
        <f>IF($K324="","",IF($C$4="",0,COUNTIFS(Assignments!$B$6:$B$1000,$K324,Assignments!$F$6:$F$1000,$C$4,Assignments!$D$6:$D$1000,"&gt;="&amp;Config!$B$3-7,Assignments!$D$6:$D$1000,"&lt;="&amp;Config!$B$3)))</f>
        <v/>
      </c>
      <c r="T324" s="40" t="str">
        <f>IF($K324="","",IFERROR(VLOOKUP($K324,Grinders!$A$4:$N$998,8,FALSE),""))</f>
        <v/>
      </c>
      <c r="U324" s="40" t="str">
        <f>IFERROR(IF($K324="","",IF($M324="Elite",MAX(50,MIN(100,Config!$B$27*MAX(0,MIN(100,(1-IF($R324="",0,$R324))*100)) + Config!$B$28*MAX(0,MIN(100,(1-MIN(1,IF(Config!$B$30=0,1,$S324/Config!$B$30)))*100)) + Config!$B$29*MAX(0,MIN(100,MIN(1,IF($T324="",0,$T324)/Config!$B$23)*100)))),MIN(100,Config!$B$27*MAX(0,MIN(100,(1-IF($R324="",0,$R324))*100)) + Config!$B$28*MAX(0,MIN(100,(1-MIN(1,IF(Config!$B$30=0,1,$S324/Config!$B$30)))*100)) + Config!$B$29*MAX(0,MIN(100,MIN(1,IF($T324="",0,$T324)/Config!$B$23)*100))))),"")
</f>
        <v/>
      </c>
      <c r="V324" s="40" t="str">
        <f>IF(Bids!$AC324="","",Bids!$AC324)</f>
        <v/>
      </c>
      <c r="W324" s="40" t="str">
        <f>IF(Bids!$F323="","",Bids!$F323)</f>
        <v/>
      </c>
      <c r="X324" s="40" t="str">
        <f t="shared" si="5"/>
        <v/>
      </c>
      <c r="Y324" s="40" t="str">
        <f>IF($X324="","",IF(Config!$B$17=Config!$B$16,IF($X324&gt;=Config!$B$17,100,0),MAX(0,MIN(100,($X324-Config!$B$16)/(Config!$B$17-Config!$B$16)*100))))</f>
        <v/>
      </c>
      <c r="Z324" s="40">
        <f>IF($M324="Elite",Config!$B$21,0)</f>
        <v>0</v>
      </c>
      <c r="AA324" s="40" t="str">
        <f>IFERROR(IF(OR($W324="",$H324=""),"",IF($W324&gt;$H324,
  MAX(0, 60-(($W324-$H324)*24/Config!$B$19)*60),
  MIN(100, 60+(($H324-$W324)*24/Config!$B$20)*40)
)),"")
</f>
        <v/>
      </c>
      <c r="AB324" s="40" t="str">
        <f>IF($K324="","",IFERROR(VLOOKUP($K324,Grinders!$A$4:$N$998,10,FALSE)/5*100,""))</f>
        <v/>
      </c>
      <c r="AC324" s="40" t="str">
        <f>IF($K324="","",IFERROR(VLOOKUP($K324,Grinders!$A$4:$N$998,11,FALSE)*100,""))</f>
        <v/>
      </c>
      <c r="AD324" s="40" t="str">
        <f>IF($K324="","",IFERROR(VLOOKUP($K324,Grinders!$A$4:$N$998,12,FALSE)*100,""))</f>
        <v/>
      </c>
      <c r="AE324" s="40" t="str">
        <f>IF(OR(AO324=1,AP324=1),0,=IFERROR(IFS(
    OR($C324="", $K324=""), 0,
    $F324=0, 0,
    $D324&lt;&gt;"Open", 0,
    COUNTIFS(GrinderServices!$A$6:$A$1000, $K324, GrinderServices!$B$6:$B$1000, $E324, GrinderServices!$D$6:$D$1000, "Y")=0, 0,
    $X324&lt;Config!$B$16, 0,
    Config!$B$18=1, IF($O324&gt;=N324, 0, 1),
    TRUE, 1
), "")
)</f>
        <v>#ERROR!</v>
      </c>
      <c r="AF324" s="40" t="str">
        <f>IFERROR((IF(OR(AO324=1,AP324=1),"",=IFERROR((IFERROR(IF($AE324=0,"",((Config!$B$6*$Y324 + Config!$B$7*$U324 + Config!$B$8*$Z324 + Config!$B$9*$AA324 + Config!$B$10*$AB324 + Config!$B$11*$AC324 - Config!$B$12*$AD324)/Config!$B$13)+$AK324+$AL324),""))*(1-IFERROR(VLOOKUP(K324,Grinders!$A:$AB, 28, FALSE),0)),"")))*(1+AR324),"")</f>
        <v>#ERROR!</v>
      </c>
      <c r="AG324" s="40" t="str">
        <f t="shared" si="6"/>
        <v>#ERROR!</v>
      </c>
      <c r="AH324" s="40" t="str">
        <f t="shared" si="7"/>
        <v/>
      </c>
      <c r="AI324" s="40" t="str">
        <f t="shared" si="8"/>
        <v/>
      </c>
      <c r="AJ324" s="40" t="str">
        <f>IF($K324="","",COUNTIF(Assignments!$B$6:$B$1000,$K324))</f>
        <v/>
      </c>
      <c r="AK324" s="40" t="str">
        <f>IF($K324="","",IF(AND($AJ324=0,$O324&lt;$N324),Config!$B$43,0))</f>
        <v/>
      </c>
      <c r="AL324" s="40" t="str">
        <f>IF($K324="","",IF(AND($M324="Elite",$G324&gt;=Config!$B$41,$O324&lt;$N324),Config!$B$42,0))</f>
        <v/>
      </c>
      <c r="AM324" s="22"/>
      <c r="AN324" s="39">
        <f>IFERROR(VLOOKUP(K324,Grinders!$A:$Q,28,FALSE),0)</f>
        <v>0</v>
      </c>
      <c r="AO324" s="39">
        <f>IF(Config!$B$1003&lt;&gt;"Y",0,IF(IFERROR(VLOOKUP(K324,Grinders!$A:$P,27,FALSE),0)&gt;=3,IF(OR(G324&gt;=Config!$B$1001,ISNUMBER(SEARCH(E324,Config!$B$1002))),1,0),0))</f>
        <v>0</v>
      </c>
      <c r="AP324" s="39">
        <f t="array" ref="AP324">IFERROR(IF(INDEX(Bids!$AE:$AE,MATCH(B324,Bids!$A:$A,0))="Pending",1,0),0)</f>
        <v>0</v>
      </c>
      <c r="AQ324" s="39" t="str">
        <f t="array" ref="AQ324">IF(C324="","",IFERROR(XLOOKUP(C324,Assignments!$C:$C,Assignments!$AU:$AU,0),0))</f>
        <v/>
      </c>
      <c r="AR324" s="39">
        <f>IF(AND(Config!$B$1006="Y",AQ324=1),Config!$B$1007,0)</f>
        <v>0</v>
      </c>
    </row>
    <row r="325" ht="15.75" customHeight="1">
      <c r="A325" s="46" t="str">
        <f t="shared" si="1"/>
        <v/>
      </c>
      <c r="B325" s="40" t="str">
        <f>IF(Bids!$A324="","",Bids!$A324)</f>
        <v/>
      </c>
      <c r="C325" s="40" t="str">
        <f>IF(Bids!$B324="","",Bids!$B324)</f>
        <v/>
      </c>
      <c r="D325" s="40" t="str">
        <f>IF($C325="","",IFERROR(VLOOKUP($C325,Orders!$A$4:$J$998,9,FALSE),""))</f>
        <v/>
      </c>
      <c r="E325" s="40" t="str">
        <f>IF($C325="","",IFERROR(VLOOKUP($C325,Orders!$A$4:$J$998,3,FALSE),""))</f>
        <v/>
      </c>
      <c r="F325" s="40">
        <f t="shared" si="2"/>
        <v>1</v>
      </c>
      <c r="G325" s="40" t="str">
        <f>IF($C325="","",IFERROR(VLOOKUP($C325,Orders!$A$4:$J$998,4,FALSE),""))</f>
        <v/>
      </c>
      <c r="H325" s="40" t="str">
        <f>IF($C325="","",IFERROR(VLOOKUP($C325,Orders!$A$4:$J$998,5,FALSE),""))</f>
        <v/>
      </c>
      <c r="I325" s="40" t="str">
        <f>IF($C325="","",IFERROR(VLOOKUP($C325,Orders!$A$4:$J$998,6,FALSE),""))</f>
        <v/>
      </c>
      <c r="J325" s="40" t="str">
        <f>IF($C325="","",IFERROR(VLOOKUP($C325,Orders!$A$4:$J$998,7,FALSE),""))</f>
        <v/>
      </c>
      <c r="K325" s="40" t="str">
        <f>IF(Bids!$C324="","",Bids!$C324)</f>
        <v/>
      </c>
      <c r="L325" s="40" t="str">
        <f>IF($K325="","",IFERROR(VLOOKUP($K325,Grinders!$A$4:$N$998,2,FALSE),""))</f>
        <v/>
      </c>
      <c r="M325" s="40" t="str">
        <f>IF($K325="","",IFERROR(VLOOKUP($K325,Grinders!$A$4:$N$998,3,FALSE),""))</f>
        <v/>
      </c>
      <c r="N325" s="40" t="str">
        <f>IF($K325="","",IFERROR(VLOOKUP($K325,Grinders!$A$4:$N$998,4,FALSE),""))</f>
        <v/>
      </c>
      <c r="O325" s="40" t="str">
        <f>IF($K325="","",IFERROR(VLOOKUP($K325,Grinders!$A$4:$N$998,5,FALSE),""))</f>
        <v/>
      </c>
      <c r="P325" s="40" t="str">
        <f>IF($K325="","",IF($C$4="",0,COUNTIFS(Assignments!$B$6:$B$1000,$K325,Assignments!$F$6:$F$1000,$C$4,Assignments!$E$6:$E$1000,"Active")))</f>
        <v/>
      </c>
      <c r="Q325" s="40" t="str">
        <f t="shared" si="3"/>
        <v/>
      </c>
      <c r="R325" s="40" t="str">
        <f t="shared" si="4"/>
        <v/>
      </c>
      <c r="S325" s="40" t="str">
        <f>IF($K325="","",IF($C$4="",0,COUNTIFS(Assignments!$B$6:$B$1000,$K325,Assignments!$F$6:$F$1000,$C$4,Assignments!$D$6:$D$1000,"&gt;="&amp;Config!$B$3-7,Assignments!$D$6:$D$1000,"&lt;="&amp;Config!$B$3)))</f>
        <v/>
      </c>
      <c r="T325" s="40" t="str">
        <f>IF($K325="","",IFERROR(VLOOKUP($K325,Grinders!$A$4:$N$998,8,FALSE),""))</f>
        <v/>
      </c>
      <c r="U325" s="40" t="str">
        <f>IFERROR(IF($K325="","",IF($M325="Elite",MAX(50,MIN(100,Config!$B$27*MAX(0,MIN(100,(1-IF($R325="",0,$R325))*100)) + Config!$B$28*MAX(0,MIN(100,(1-MIN(1,IF(Config!$B$30=0,1,$S325/Config!$B$30)))*100)) + Config!$B$29*MAX(0,MIN(100,MIN(1,IF($T325="",0,$T325)/Config!$B$23)*100)))),MIN(100,Config!$B$27*MAX(0,MIN(100,(1-IF($R325="",0,$R325))*100)) + Config!$B$28*MAX(0,MIN(100,(1-MIN(1,IF(Config!$B$30=0,1,$S325/Config!$B$30)))*100)) + Config!$B$29*MAX(0,MIN(100,MIN(1,IF($T325="",0,$T325)/Config!$B$23)*100))))),"")
</f>
        <v/>
      </c>
      <c r="V325" s="40" t="str">
        <f>IF(Bids!$AC325="","",Bids!$AC325)</f>
        <v/>
      </c>
      <c r="W325" s="40" t="str">
        <f>IF(Bids!$F324="","",Bids!$F324)</f>
        <v/>
      </c>
      <c r="X325" s="40" t="str">
        <f t="shared" si="5"/>
        <v/>
      </c>
      <c r="Y325" s="40" t="str">
        <f>IF($X325="","",IF(Config!$B$17=Config!$B$16,IF($X325&gt;=Config!$B$17,100,0),MAX(0,MIN(100,($X325-Config!$B$16)/(Config!$B$17-Config!$B$16)*100))))</f>
        <v/>
      </c>
      <c r="Z325" s="40">
        <f>IF($M325="Elite",Config!$B$21,0)</f>
        <v>0</v>
      </c>
      <c r="AA325" s="40" t="str">
        <f>IFERROR(IF(OR($W325="",$H325=""),"",IF($W325&gt;$H325,
  MAX(0, 60-(($W325-$H325)*24/Config!$B$19)*60),
  MIN(100, 60+(($H325-$W325)*24/Config!$B$20)*40)
)),"")
</f>
        <v/>
      </c>
      <c r="AB325" s="40" t="str">
        <f>IF($K325="","",IFERROR(VLOOKUP($K325,Grinders!$A$4:$N$998,10,FALSE)/5*100,""))</f>
        <v/>
      </c>
      <c r="AC325" s="40" t="str">
        <f>IF($K325="","",IFERROR(VLOOKUP($K325,Grinders!$A$4:$N$998,11,FALSE)*100,""))</f>
        <v/>
      </c>
      <c r="AD325" s="40" t="str">
        <f>IF($K325="","",IFERROR(VLOOKUP($K325,Grinders!$A$4:$N$998,12,FALSE)*100,""))</f>
        <v/>
      </c>
      <c r="AE325" s="40" t="str">
        <f>IF(OR(AO325=1,AP325=1),0,=IFERROR(IFS(
    OR($C325="", $K325=""), 0,
    $F325=0, 0,
    $D325&lt;&gt;"Open", 0,
    COUNTIFS(GrinderServices!$A$6:$A$1000, $K325, GrinderServices!$B$6:$B$1000, $E325, GrinderServices!$D$6:$D$1000, "Y")=0, 0,
    $X325&lt;Config!$B$16, 0,
    Config!$B$18=1, IF($O325&gt;=N325, 0, 1),
    TRUE, 1
), "")
)</f>
        <v>#ERROR!</v>
      </c>
      <c r="AF325" s="40" t="str">
        <f>IFERROR((IF(OR(AO325=1,AP325=1),"",=IFERROR((IFERROR(IF($AE325=0,"",((Config!$B$6*$Y325 + Config!$B$7*$U325 + Config!$B$8*$Z325 + Config!$B$9*$AA325 + Config!$B$10*$AB325 + Config!$B$11*$AC325 - Config!$B$12*$AD325)/Config!$B$13)+$AK325+$AL325),""))*(1-IFERROR(VLOOKUP(K325,Grinders!$A:$AB, 28, FALSE),0)),"")))*(1+AR325),"")</f>
        <v>#ERROR!</v>
      </c>
      <c r="AG325" s="40" t="str">
        <f t="shared" si="6"/>
        <v>#ERROR!</v>
      </c>
      <c r="AH325" s="40" t="str">
        <f t="shared" si="7"/>
        <v/>
      </c>
      <c r="AI325" s="40" t="str">
        <f t="shared" si="8"/>
        <v/>
      </c>
      <c r="AJ325" s="40" t="str">
        <f>IF($K325="","",COUNTIF(Assignments!$B$6:$B$1000,$K325))</f>
        <v/>
      </c>
      <c r="AK325" s="40" t="str">
        <f>IF($K325="","",IF(AND($AJ325=0,$O325&lt;$N325),Config!$B$43,0))</f>
        <v/>
      </c>
      <c r="AL325" s="40" t="str">
        <f>IF($K325="","",IF(AND($M325="Elite",$G325&gt;=Config!$B$41,$O325&lt;$N325),Config!$B$42,0))</f>
        <v/>
      </c>
      <c r="AM325" s="22"/>
      <c r="AN325" s="39">
        <f>IFERROR(VLOOKUP(K325,Grinders!$A:$Q,28,FALSE),0)</f>
        <v>0</v>
      </c>
      <c r="AO325" s="39">
        <f>IF(Config!$B$1003&lt;&gt;"Y",0,IF(IFERROR(VLOOKUP(K325,Grinders!$A:$P,27,FALSE),0)&gt;=3,IF(OR(G325&gt;=Config!$B$1001,ISNUMBER(SEARCH(E325,Config!$B$1002))),1,0),0))</f>
        <v>0</v>
      </c>
      <c r="AP325" s="39">
        <f t="array" ref="AP325">IFERROR(IF(INDEX(Bids!$AE:$AE,MATCH(B325,Bids!$A:$A,0))="Pending",1,0),0)</f>
        <v>0</v>
      </c>
      <c r="AQ325" s="39" t="str">
        <f t="array" ref="AQ325">IF(C325="","",IFERROR(XLOOKUP(C325,Assignments!$C:$C,Assignments!$AU:$AU,0),0))</f>
        <v/>
      </c>
      <c r="AR325" s="39">
        <f>IF(AND(Config!$B$1006="Y",AQ325=1),Config!$B$1007,0)</f>
        <v>0</v>
      </c>
    </row>
    <row r="326" ht="15.75" customHeight="1">
      <c r="A326" s="46" t="str">
        <f t="shared" si="1"/>
        <v/>
      </c>
      <c r="B326" s="40" t="str">
        <f>IF(Bids!$A325="","",Bids!$A325)</f>
        <v/>
      </c>
      <c r="C326" s="40" t="str">
        <f>IF(Bids!$B325="","",Bids!$B325)</f>
        <v/>
      </c>
      <c r="D326" s="40" t="str">
        <f>IF($C326="","",IFERROR(VLOOKUP($C326,Orders!$A$4:$J$998,9,FALSE),""))</f>
        <v/>
      </c>
      <c r="E326" s="40" t="str">
        <f>IF($C326="","",IFERROR(VLOOKUP($C326,Orders!$A$4:$J$998,3,FALSE),""))</f>
        <v/>
      </c>
      <c r="F326" s="40">
        <f t="shared" si="2"/>
        <v>1</v>
      </c>
      <c r="G326" s="40" t="str">
        <f>IF($C326="","",IFERROR(VLOOKUP($C326,Orders!$A$4:$J$998,4,FALSE),""))</f>
        <v/>
      </c>
      <c r="H326" s="40" t="str">
        <f>IF($C326="","",IFERROR(VLOOKUP($C326,Orders!$A$4:$J$998,5,FALSE),""))</f>
        <v/>
      </c>
      <c r="I326" s="40" t="str">
        <f>IF($C326="","",IFERROR(VLOOKUP($C326,Orders!$A$4:$J$998,6,FALSE),""))</f>
        <v/>
      </c>
      <c r="J326" s="40" t="str">
        <f>IF($C326="","",IFERROR(VLOOKUP($C326,Orders!$A$4:$J$998,7,FALSE),""))</f>
        <v/>
      </c>
      <c r="K326" s="40" t="str">
        <f>IF(Bids!$C325="","",Bids!$C325)</f>
        <v/>
      </c>
      <c r="L326" s="40" t="str">
        <f>IF($K326="","",IFERROR(VLOOKUP($K326,Grinders!$A$4:$N$998,2,FALSE),""))</f>
        <v/>
      </c>
      <c r="M326" s="40" t="str">
        <f>IF($K326="","",IFERROR(VLOOKUP($K326,Grinders!$A$4:$N$998,3,FALSE),""))</f>
        <v/>
      </c>
      <c r="N326" s="40" t="str">
        <f>IF($K326="","",IFERROR(VLOOKUP($K326,Grinders!$A$4:$N$998,4,FALSE),""))</f>
        <v/>
      </c>
      <c r="O326" s="40" t="str">
        <f>IF($K326="","",IFERROR(VLOOKUP($K326,Grinders!$A$4:$N$998,5,FALSE),""))</f>
        <v/>
      </c>
      <c r="P326" s="40" t="str">
        <f>IF($K326="","",IF($C$4="",0,COUNTIFS(Assignments!$B$6:$B$1000,$K326,Assignments!$F$6:$F$1000,$C$4,Assignments!$E$6:$E$1000,"Active")))</f>
        <v/>
      </c>
      <c r="Q326" s="40" t="str">
        <f t="shared" si="3"/>
        <v/>
      </c>
      <c r="R326" s="40" t="str">
        <f t="shared" si="4"/>
        <v/>
      </c>
      <c r="S326" s="40" t="str">
        <f>IF($K326="","",IF($C$4="",0,COUNTIFS(Assignments!$B$6:$B$1000,$K326,Assignments!$F$6:$F$1000,$C$4,Assignments!$D$6:$D$1000,"&gt;="&amp;Config!$B$3-7,Assignments!$D$6:$D$1000,"&lt;="&amp;Config!$B$3)))</f>
        <v/>
      </c>
      <c r="T326" s="40" t="str">
        <f>IF($K326="","",IFERROR(VLOOKUP($K326,Grinders!$A$4:$N$998,8,FALSE),""))</f>
        <v/>
      </c>
      <c r="U326" s="40" t="str">
        <f>IFERROR(IF($K326="","",IF($M326="Elite",MAX(50,MIN(100,Config!$B$27*MAX(0,MIN(100,(1-IF($R326="",0,$R326))*100)) + Config!$B$28*MAX(0,MIN(100,(1-MIN(1,IF(Config!$B$30=0,1,$S326/Config!$B$30)))*100)) + Config!$B$29*MAX(0,MIN(100,MIN(1,IF($T326="",0,$T326)/Config!$B$23)*100)))),MIN(100,Config!$B$27*MAX(0,MIN(100,(1-IF($R326="",0,$R326))*100)) + Config!$B$28*MAX(0,MIN(100,(1-MIN(1,IF(Config!$B$30=0,1,$S326/Config!$B$30)))*100)) + Config!$B$29*MAX(0,MIN(100,MIN(1,IF($T326="",0,$T326)/Config!$B$23)*100))))),"")
</f>
        <v/>
      </c>
      <c r="V326" s="40" t="str">
        <f>IF(Bids!$AC326="","",Bids!$AC326)</f>
        <v/>
      </c>
      <c r="W326" s="40" t="str">
        <f>IF(Bids!$F325="","",Bids!$F325)</f>
        <v/>
      </c>
      <c r="X326" s="40" t="str">
        <f t="shared" si="5"/>
        <v/>
      </c>
      <c r="Y326" s="40" t="str">
        <f>IF($X326="","",IF(Config!$B$17=Config!$B$16,IF($X326&gt;=Config!$B$17,100,0),MAX(0,MIN(100,($X326-Config!$B$16)/(Config!$B$17-Config!$B$16)*100))))</f>
        <v/>
      </c>
      <c r="Z326" s="40">
        <f>IF($M326="Elite",Config!$B$21,0)</f>
        <v>0</v>
      </c>
      <c r="AA326" s="40" t="str">
        <f>IFERROR(IF(OR($W326="",$H326=""),"",IF($W326&gt;$H326,
  MAX(0, 60-(($W326-$H326)*24/Config!$B$19)*60),
  MIN(100, 60+(($H326-$W326)*24/Config!$B$20)*40)
)),"")
</f>
        <v/>
      </c>
      <c r="AB326" s="40" t="str">
        <f>IF($K326="","",IFERROR(VLOOKUP($K326,Grinders!$A$4:$N$998,10,FALSE)/5*100,""))</f>
        <v/>
      </c>
      <c r="AC326" s="40" t="str">
        <f>IF($K326="","",IFERROR(VLOOKUP($K326,Grinders!$A$4:$N$998,11,FALSE)*100,""))</f>
        <v/>
      </c>
      <c r="AD326" s="40" t="str">
        <f>IF($K326="","",IFERROR(VLOOKUP($K326,Grinders!$A$4:$N$998,12,FALSE)*100,""))</f>
        <v/>
      </c>
      <c r="AE326" s="40" t="str">
        <f>IF(OR(AO326=1,AP326=1),0,=IFERROR(IFS(
    OR($C326="", $K326=""), 0,
    $F326=0, 0,
    $D326&lt;&gt;"Open", 0,
    COUNTIFS(GrinderServices!$A$6:$A$1000, $K326, GrinderServices!$B$6:$B$1000, $E326, GrinderServices!$D$6:$D$1000, "Y")=0, 0,
    $X326&lt;Config!$B$16, 0,
    Config!$B$18=1, IF($O326&gt;=N326, 0, 1),
    TRUE, 1
), "")
)</f>
        <v>#ERROR!</v>
      </c>
      <c r="AF326" s="40" t="str">
        <f>IFERROR((IF(OR(AO326=1,AP326=1),"",=IFERROR((IFERROR(IF($AE326=0,"",((Config!$B$6*$Y326 + Config!$B$7*$U326 + Config!$B$8*$Z326 + Config!$B$9*$AA326 + Config!$B$10*$AB326 + Config!$B$11*$AC326 - Config!$B$12*$AD326)/Config!$B$13)+$AK326+$AL326),""))*(1-IFERROR(VLOOKUP(K326,Grinders!$A:$AB, 28, FALSE),0)),"")))*(1+AR326),"")</f>
        <v>#ERROR!</v>
      </c>
      <c r="AG326" s="40" t="str">
        <f t="shared" si="6"/>
        <v>#ERROR!</v>
      </c>
      <c r="AH326" s="40" t="str">
        <f t="shared" si="7"/>
        <v/>
      </c>
      <c r="AI326" s="40" t="str">
        <f t="shared" si="8"/>
        <v/>
      </c>
      <c r="AJ326" s="40" t="str">
        <f>IF($K326="","",COUNTIF(Assignments!$B$6:$B$1000,$K326))</f>
        <v/>
      </c>
      <c r="AK326" s="40" t="str">
        <f>IF($K326="","",IF(AND($AJ326=0,$O326&lt;$N326),Config!$B$43,0))</f>
        <v/>
      </c>
      <c r="AL326" s="40" t="str">
        <f>IF($K326="","",IF(AND($M326="Elite",$G326&gt;=Config!$B$41,$O326&lt;$N326),Config!$B$42,0))</f>
        <v/>
      </c>
      <c r="AM326" s="22"/>
      <c r="AN326" s="39">
        <f>IFERROR(VLOOKUP(K326,Grinders!$A:$Q,28,FALSE),0)</f>
        <v>0</v>
      </c>
      <c r="AO326" s="39">
        <f>IF(Config!$B$1003&lt;&gt;"Y",0,IF(IFERROR(VLOOKUP(K326,Grinders!$A:$P,27,FALSE),0)&gt;=3,IF(OR(G326&gt;=Config!$B$1001,ISNUMBER(SEARCH(E326,Config!$B$1002))),1,0),0))</f>
        <v>0</v>
      </c>
      <c r="AP326" s="39">
        <f t="array" ref="AP326">IFERROR(IF(INDEX(Bids!$AE:$AE,MATCH(B326,Bids!$A:$A,0))="Pending",1,0),0)</f>
        <v>0</v>
      </c>
      <c r="AQ326" s="39" t="str">
        <f t="array" ref="AQ326">IF(C326="","",IFERROR(XLOOKUP(C326,Assignments!$C:$C,Assignments!$AU:$AU,0),0))</f>
        <v/>
      </c>
      <c r="AR326" s="39">
        <f>IF(AND(Config!$B$1006="Y",AQ326=1),Config!$B$1007,0)</f>
        <v>0</v>
      </c>
    </row>
    <row r="327" ht="15.75" customHeight="1">
      <c r="A327" s="46" t="str">
        <f t="shared" si="1"/>
        <v/>
      </c>
      <c r="B327" s="40" t="str">
        <f>IF(Bids!$A326="","",Bids!$A326)</f>
        <v/>
      </c>
      <c r="C327" s="40" t="str">
        <f>IF(Bids!$B326="","",Bids!$B326)</f>
        <v/>
      </c>
      <c r="D327" s="40" t="str">
        <f>IF($C327="","",IFERROR(VLOOKUP($C327,Orders!$A$4:$J$998,9,FALSE),""))</f>
        <v/>
      </c>
      <c r="E327" s="40" t="str">
        <f>IF($C327="","",IFERROR(VLOOKUP($C327,Orders!$A$4:$J$998,3,FALSE),""))</f>
        <v/>
      </c>
      <c r="F327" s="40">
        <f t="shared" si="2"/>
        <v>1</v>
      </c>
      <c r="G327" s="40" t="str">
        <f>IF($C327="","",IFERROR(VLOOKUP($C327,Orders!$A$4:$J$998,4,FALSE),""))</f>
        <v/>
      </c>
      <c r="H327" s="40" t="str">
        <f>IF($C327="","",IFERROR(VLOOKUP($C327,Orders!$A$4:$J$998,5,FALSE),""))</f>
        <v/>
      </c>
      <c r="I327" s="40" t="str">
        <f>IF($C327="","",IFERROR(VLOOKUP($C327,Orders!$A$4:$J$998,6,FALSE),""))</f>
        <v/>
      </c>
      <c r="J327" s="40" t="str">
        <f>IF($C327="","",IFERROR(VLOOKUP($C327,Orders!$A$4:$J$998,7,FALSE),""))</f>
        <v/>
      </c>
      <c r="K327" s="40" t="str">
        <f>IF(Bids!$C326="","",Bids!$C326)</f>
        <v/>
      </c>
      <c r="L327" s="40" t="str">
        <f>IF($K327="","",IFERROR(VLOOKUP($K327,Grinders!$A$4:$N$998,2,FALSE),""))</f>
        <v/>
      </c>
      <c r="M327" s="40" t="str">
        <f>IF($K327="","",IFERROR(VLOOKUP($K327,Grinders!$A$4:$N$998,3,FALSE),""))</f>
        <v/>
      </c>
      <c r="N327" s="40" t="str">
        <f>IF($K327="","",IFERROR(VLOOKUP($K327,Grinders!$A$4:$N$998,4,FALSE),""))</f>
        <v/>
      </c>
      <c r="O327" s="40" t="str">
        <f>IF($K327="","",IFERROR(VLOOKUP($K327,Grinders!$A$4:$N$998,5,FALSE),""))</f>
        <v/>
      </c>
      <c r="P327" s="40" t="str">
        <f>IF($K327="","",IF($C$4="",0,COUNTIFS(Assignments!$B$6:$B$1000,$K327,Assignments!$F$6:$F$1000,$C$4,Assignments!$E$6:$E$1000,"Active")))</f>
        <v/>
      </c>
      <c r="Q327" s="40" t="str">
        <f t="shared" si="3"/>
        <v/>
      </c>
      <c r="R327" s="40" t="str">
        <f t="shared" si="4"/>
        <v/>
      </c>
      <c r="S327" s="40" t="str">
        <f>IF($K327="","",IF($C$4="",0,COUNTIFS(Assignments!$B$6:$B$1000,$K327,Assignments!$F$6:$F$1000,$C$4,Assignments!$D$6:$D$1000,"&gt;="&amp;Config!$B$3-7,Assignments!$D$6:$D$1000,"&lt;="&amp;Config!$B$3)))</f>
        <v/>
      </c>
      <c r="T327" s="40" t="str">
        <f>IF($K327="","",IFERROR(VLOOKUP($K327,Grinders!$A$4:$N$998,8,FALSE),""))</f>
        <v/>
      </c>
      <c r="U327" s="40" t="str">
        <f>IFERROR(IF($K327="","",IF($M327="Elite",MAX(50,MIN(100,Config!$B$27*MAX(0,MIN(100,(1-IF($R327="",0,$R327))*100)) + Config!$B$28*MAX(0,MIN(100,(1-MIN(1,IF(Config!$B$30=0,1,$S327/Config!$B$30)))*100)) + Config!$B$29*MAX(0,MIN(100,MIN(1,IF($T327="",0,$T327)/Config!$B$23)*100)))),MIN(100,Config!$B$27*MAX(0,MIN(100,(1-IF($R327="",0,$R327))*100)) + Config!$B$28*MAX(0,MIN(100,(1-MIN(1,IF(Config!$B$30=0,1,$S327/Config!$B$30)))*100)) + Config!$B$29*MAX(0,MIN(100,MIN(1,IF($T327="",0,$T327)/Config!$B$23)*100))))),"")
</f>
        <v/>
      </c>
      <c r="V327" s="40" t="str">
        <f>IF(Bids!$AC327="","",Bids!$AC327)</f>
        <v/>
      </c>
      <c r="W327" s="40" t="str">
        <f>IF(Bids!$F326="","",Bids!$F326)</f>
        <v/>
      </c>
      <c r="X327" s="40" t="str">
        <f t="shared" si="5"/>
        <v/>
      </c>
      <c r="Y327" s="40" t="str">
        <f>IF($X327="","",IF(Config!$B$17=Config!$B$16,IF($X327&gt;=Config!$B$17,100,0),MAX(0,MIN(100,($X327-Config!$B$16)/(Config!$B$17-Config!$B$16)*100))))</f>
        <v/>
      </c>
      <c r="Z327" s="40">
        <f>IF($M327="Elite",Config!$B$21,0)</f>
        <v>0</v>
      </c>
      <c r="AA327" s="40" t="str">
        <f>IFERROR(IF(OR($W327="",$H327=""),"",IF($W327&gt;$H327,
  MAX(0, 60-(($W327-$H327)*24/Config!$B$19)*60),
  MIN(100, 60+(($H327-$W327)*24/Config!$B$20)*40)
)),"")
</f>
        <v/>
      </c>
      <c r="AB327" s="40" t="str">
        <f>IF($K327="","",IFERROR(VLOOKUP($K327,Grinders!$A$4:$N$998,10,FALSE)/5*100,""))</f>
        <v/>
      </c>
      <c r="AC327" s="40" t="str">
        <f>IF($K327="","",IFERROR(VLOOKUP($K327,Grinders!$A$4:$N$998,11,FALSE)*100,""))</f>
        <v/>
      </c>
      <c r="AD327" s="40" t="str">
        <f>IF($K327="","",IFERROR(VLOOKUP($K327,Grinders!$A$4:$N$998,12,FALSE)*100,""))</f>
        <v/>
      </c>
      <c r="AE327" s="40" t="str">
        <f>IF(OR(AO327=1,AP327=1),0,=IFERROR(IFS(
    OR($C327="", $K327=""), 0,
    $F327=0, 0,
    $D327&lt;&gt;"Open", 0,
    COUNTIFS(GrinderServices!$A$6:$A$1000, $K327, GrinderServices!$B$6:$B$1000, $E327, GrinderServices!$D$6:$D$1000, "Y")=0, 0,
    $X327&lt;Config!$B$16, 0,
    Config!$B$18=1, IF($O327&gt;=N327, 0, 1),
    TRUE, 1
), "")
)</f>
        <v>#ERROR!</v>
      </c>
      <c r="AF327" s="40" t="str">
        <f>IFERROR((IF(OR(AO327=1,AP327=1),"",=IFERROR((IFERROR(IF($AE327=0,"",((Config!$B$6*$Y327 + Config!$B$7*$U327 + Config!$B$8*$Z327 + Config!$B$9*$AA327 + Config!$B$10*$AB327 + Config!$B$11*$AC327 - Config!$B$12*$AD327)/Config!$B$13)+$AK327+$AL327),""))*(1-IFERROR(VLOOKUP(K327,Grinders!$A:$AB, 28, FALSE),0)),"")))*(1+AR327),"")</f>
        <v>#ERROR!</v>
      </c>
      <c r="AG327" s="40" t="str">
        <f t="shared" si="6"/>
        <v>#ERROR!</v>
      </c>
      <c r="AH327" s="40" t="str">
        <f t="shared" si="7"/>
        <v/>
      </c>
      <c r="AI327" s="40" t="str">
        <f t="shared" si="8"/>
        <v/>
      </c>
      <c r="AJ327" s="40" t="str">
        <f>IF($K327="","",COUNTIF(Assignments!$B$6:$B$1000,$K327))</f>
        <v/>
      </c>
      <c r="AK327" s="40" t="str">
        <f>IF($K327="","",IF(AND($AJ327=0,$O327&lt;$N327),Config!$B$43,0))</f>
        <v/>
      </c>
      <c r="AL327" s="40" t="str">
        <f>IF($K327="","",IF(AND($M327="Elite",$G327&gt;=Config!$B$41,$O327&lt;$N327),Config!$B$42,0))</f>
        <v/>
      </c>
      <c r="AM327" s="22"/>
      <c r="AN327" s="39">
        <f>IFERROR(VLOOKUP(K327,Grinders!$A:$Q,28,FALSE),0)</f>
        <v>0</v>
      </c>
      <c r="AO327" s="39">
        <f>IF(Config!$B$1003&lt;&gt;"Y",0,IF(IFERROR(VLOOKUP(K327,Grinders!$A:$P,27,FALSE),0)&gt;=3,IF(OR(G327&gt;=Config!$B$1001,ISNUMBER(SEARCH(E327,Config!$B$1002))),1,0),0))</f>
        <v>0</v>
      </c>
      <c r="AP327" s="39">
        <f t="array" ref="AP327">IFERROR(IF(INDEX(Bids!$AE:$AE,MATCH(B327,Bids!$A:$A,0))="Pending",1,0),0)</f>
        <v>0</v>
      </c>
      <c r="AQ327" s="39" t="str">
        <f t="array" ref="AQ327">IF(C327="","",IFERROR(XLOOKUP(C327,Assignments!$C:$C,Assignments!$AU:$AU,0),0))</f>
        <v/>
      </c>
      <c r="AR327" s="39">
        <f>IF(AND(Config!$B$1006="Y",AQ327=1),Config!$B$1007,0)</f>
        <v>0</v>
      </c>
    </row>
    <row r="328" ht="15.75" customHeight="1">
      <c r="A328" s="46" t="str">
        <f t="shared" si="1"/>
        <v/>
      </c>
      <c r="B328" s="40" t="str">
        <f>IF(Bids!$A327="","",Bids!$A327)</f>
        <v/>
      </c>
      <c r="C328" s="40" t="str">
        <f>IF(Bids!$B327="","",Bids!$B327)</f>
        <v/>
      </c>
      <c r="D328" s="40" t="str">
        <f>IF($C328="","",IFERROR(VLOOKUP($C328,Orders!$A$4:$J$998,9,FALSE),""))</f>
        <v/>
      </c>
      <c r="E328" s="40" t="str">
        <f>IF($C328="","",IFERROR(VLOOKUP($C328,Orders!$A$4:$J$998,3,FALSE),""))</f>
        <v/>
      </c>
      <c r="F328" s="40">
        <f t="shared" si="2"/>
        <v>1</v>
      </c>
      <c r="G328" s="40" t="str">
        <f>IF($C328="","",IFERROR(VLOOKUP($C328,Orders!$A$4:$J$998,4,FALSE),""))</f>
        <v/>
      </c>
      <c r="H328" s="40" t="str">
        <f>IF($C328="","",IFERROR(VLOOKUP($C328,Orders!$A$4:$J$998,5,FALSE),""))</f>
        <v/>
      </c>
      <c r="I328" s="40" t="str">
        <f>IF($C328="","",IFERROR(VLOOKUP($C328,Orders!$A$4:$J$998,6,FALSE),""))</f>
        <v/>
      </c>
      <c r="J328" s="40" t="str">
        <f>IF($C328="","",IFERROR(VLOOKUP($C328,Orders!$A$4:$J$998,7,FALSE),""))</f>
        <v/>
      </c>
      <c r="K328" s="40" t="str">
        <f>IF(Bids!$C327="","",Bids!$C327)</f>
        <v/>
      </c>
      <c r="L328" s="40" t="str">
        <f>IF($K328="","",IFERROR(VLOOKUP($K328,Grinders!$A$4:$N$998,2,FALSE),""))</f>
        <v/>
      </c>
      <c r="M328" s="40" t="str">
        <f>IF($K328="","",IFERROR(VLOOKUP($K328,Grinders!$A$4:$N$998,3,FALSE),""))</f>
        <v/>
      </c>
      <c r="N328" s="40" t="str">
        <f>IF($K328="","",IFERROR(VLOOKUP($K328,Grinders!$A$4:$N$998,4,FALSE),""))</f>
        <v/>
      </c>
      <c r="O328" s="40" t="str">
        <f>IF($K328="","",IFERROR(VLOOKUP($K328,Grinders!$A$4:$N$998,5,FALSE),""))</f>
        <v/>
      </c>
      <c r="P328" s="40" t="str">
        <f>IF($K328="","",IF($C$4="",0,COUNTIFS(Assignments!$B$6:$B$1000,$K328,Assignments!$F$6:$F$1000,$C$4,Assignments!$E$6:$E$1000,"Active")))</f>
        <v/>
      </c>
      <c r="Q328" s="40" t="str">
        <f t="shared" si="3"/>
        <v/>
      </c>
      <c r="R328" s="40" t="str">
        <f t="shared" si="4"/>
        <v/>
      </c>
      <c r="S328" s="40" t="str">
        <f>IF($K328="","",IF($C$4="",0,COUNTIFS(Assignments!$B$6:$B$1000,$K328,Assignments!$F$6:$F$1000,$C$4,Assignments!$D$6:$D$1000,"&gt;="&amp;Config!$B$3-7,Assignments!$D$6:$D$1000,"&lt;="&amp;Config!$B$3)))</f>
        <v/>
      </c>
      <c r="T328" s="40" t="str">
        <f>IF($K328="","",IFERROR(VLOOKUP($K328,Grinders!$A$4:$N$998,8,FALSE),""))</f>
        <v/>
      </c>
      <c r="U328" s="40" t="str">
        <f>IFERROR(IF($K328="","",IF($M328="Elite",MAX(50,MIN(100,Config!$B$27*MAX(0,MIN(100,(1-IF($R328="",0,$R328))*100)) + Config!$B$28*MAX(0,MIN(100,(1-MIN(1,IF(Config!$B$30=0,1,$S328/Config!$B$30)))*100)) + Config!$B$29*MAX(0,MIN(100,MIN(1,IF($T328="",0,$T328)/Config!$B$23)*100)))),MIN(100,Config!$B$27*MAX(0,MIN(100,(1-IF($R328="",0,$R328))*100)) + Config!$B$28*MAX(0,MIN(100,(1-MIN(1,IF(Config!$B$30=0,1,$S328/Config!$B$30)))*100)) + Config!$B$29*MAX(0,MIN(100,MIN(1,IF($T328="",0,$T328)/Config!$B$23)*100))))),"")
</f>
        <v/>
      </c>
      <c r="V328" s="40" t="str">
        <f>IF(Bids!$AC328="","",Bids!$AC328)</f>
        <v/>
      </c>
      <c r="W328" s="40" t="str">
        <f>IF(Bids!$F327="","",Bids!$F327)</f>
        <v/>
      </c>
      <c r="X328" s="40" t="str">
        <f t="shared" si="5"/>
        <v/>
      </c>
      <c r="Y328" s="40" t="str">
        <f>IF($X328="","",IF(Config!$B$17=Config!$B$16,IF($X328&gt;=Config!$B$17,100,0),MAX(0,MIN(100,($X328-Config!$B$16)/(Config!$B$17-Config!$B$16)*100))))</f>
        <v/>
      </c>
      <c r="Z328" s="40">
        <f>IF($M328="Elite",Config!$B$21,0)</f>
        <v>0</v>
      </c>
      <c r="AA328" s="40" t="str">
        <f>IFERROR(IF(OR($W328="",$H328=""),"",IF($W328&gt;$H328,
  MAX(0, 60-(($W328-$H328)*24/Config!$B$19)*60),
  MIN(100, 60+(($H328-$W328)*24/Config!$B$20)*40)
)),"")
</f>
        <v/>
      </c>
      <c r="AB328" s="40" t="str">
        <f>IF($K328="","",IFERROR(VLOOKUP($K328,Grinders!$A$4:$N$998,10,FALSE)/5*100,""))</f>
        <v/>
      </c>
      <c r="AC328" s="40" t="str">
        <f>IF($K328="","",IFERROR(VLOOKUP($K328,Grinders!$A$4:$N$998,11,FALSE)*100,""))</f>
        <v/>
      </c>
      <c r="AD328" s="40" t="str">
        <f>IF($K328="","",IFERROR(VLOOKUP($K328,Grinders!$A$4:$N$998,12,FALSE)*100,""))</f>
        <v/>
      </c>
      <c r="AE328" s="40" t="str">
        <f>IF(OR(AO328=1,AP328=1),0,=IFERROR(IFS(
    OR($C328="", $K328=""), 0,
    $F328=0, 0,
    $D328&lt;&gt;"Open", 0,
    COUNTIFS(GrinderServices!$A$6:$A$1000, $K328, GrinderServices!$B$6:$B$1000, $E328, GrinderServices!$D$6:$D$1000, "Y")=0, 0,
    $X328&lt;Config!$B$16, 0,
    Config!$B$18=1, IF($O328&gt;=N328, 0, 1),
    TRUE, 1
), "")
)</f>
        <v>#ERROR!</v>
      </c>
      <c r="AF328" s="40" t="str">
        <f>IFERROR((IF(OR(AO328=1,AP328=1),"",=IFERROR((IFERROR(IF($AE328=0,"",((Config!$B$6*$Y328 + Config!$B$7*$U328 + Config!$B$8*$Z328 + Config!$B$9*$AA328 + Config!$B$10*$AB328 + Config!$B$11*$AC328 - Config!$B$12*$AD328)/Config!$B$13)+$AK328+$AL328),""))*(1-IFERROR(VLOOKUP(K328,Grinders!$A:$AB, 28, FALSE),0)),"")))*(1+AR328),"")</f>
        <v>#ERROR!</v>
      </c>
      <c r="AG328" s="40" t="str">
        <f t="shared" si="6"/>
        <v>#ERROR!</v>
      </c>
      <c r="AH328" s="40" t="str">
        <f t="shared" si="7"/>
        <v/>
      </c>
      <c r="AI328" s="40" t="str">
        <f t="shared" si="8"/>
        <v/>
      </c>
      <c r="AJ328" s="40" t="str">
        <f>IF($K328="","",COUNTIF(Assignments!$B$6:$B$1000,$K328))</f>
        <v/>
      </c>
      <c r="AK328" s="40" t="str">
        <f>IF($K328="","",IF(AND($AJ328=0,$O328&lt;$N328),Config!$B$43,0))</f>
        <v/>
      </c>
      <c r="AL328" s="40" t="str">
        <f>IF($K328="","",IF(AND($M328="Elite",$G328&gt;=Config!$B$41,$O328&lt;$N328),Config!$B$42,0))</f>
        <v/>
      </c>
      <c r="AM328" s="22"/>
      <c r="AN328" s="39">
        <f>IFERROR(VLOOKUP(K328,Grinders!$A:$Q,28,FALSE),0)</f>
        <v>0</v>
      </c>
      <c r="AO328" s="39">
        <f>IF(Config!$B$1003&lt;&gt;"Y",0,IF(IFERROR(VLOOKUP(K328,Grinders!$A:$P,27,FALSE),0)&gt;=3,IF(OR(G328&gt;=Config!$B$1001,ISNUMBER(SEARCH(E328,Config!$B$1002))),1,0),0))</f>
        <v>0</v>
      </c>
      <c r="AP328" s="39">
        <f t="array" ref="AP328">IFERROR(IF(INDEX(Bids!$AE:$AE,MATCH(B328,Bids!$A:$A,0))="Pending",1,0),0)</f>
        <v>0</v>
      </c>
      <c r="AQ328" s="39" t="str">
        <f t="array" ref="AQ328">IF(C328="","",IFERROR(XLOOKUP(C328,Assignments!$C:$C,Assignments!$AU:$AU,0),0))</f>
        <v/>
      </c>
      <c r="AR328" s="39">
        <f>IF(AND(Config!$B$1006="Y",AQ328=1),Config!$B$1007,0)</f>
        <v>0</v>
      </c>
    </row>
    <row r="329" ht="15.75" customHeight="1">
      <c r="A329" s="46" t="str">
        <f t="shared" si="1"/>
        <v/>
      </c>
      <c r="B329" s="40" t="str">
        <f>IF(Bids!$A328="","",Bids!$A328)</f>
        <v/>
      </c>
      <c r="C329" s="40" t="str">
        <f>IF(Bids!$B328="","",Bids!$B328)</f>
        <v/>
      </c>
      <c r="D329" s="40" t="str">
        <f>IF($C329="","",IFERROR(VLOOKUP($C329,Orders!$A$4:$J$998,9,FALSE),""))</f>
        <v/>
      </c>
      <c r="E329" s="40" t="str">
        <f>IF($C329="","",IFERROR(VLOOKUP($C329,Orders!$A$4:$J$998,3,FALSE),""))</f>
        <v/>
      </c>
      <c r="F329" s="40">
        <f t="shared" si="2"/>
        <v>1</v>
      </c>
      <c r="G329" s="40" t="str">
        <f>IF($C329="","",IFERROR(VLOOKUP($C329,Orders!$A$4:$J$998,4,FALSE),""))</f>
        <v/>
      </c>
      <c r="H329" s="40" t="str">
        <f>IF($C329="","",IFERROR(VLOOKUP($C329,Orders!$A$4:$J$998,5,FALSE),""))</f>
        <v/>
      </c>
      <c r="I329" s="40" t="str">
        <f>IF($C329="","",IFERROR(VLOOKUP($C329,Orders!$A$4:$J$998,6,FALSE),""))</f>
        <v/>
      </c>
      <c r="J329" s="40" t="str">
        <f>IF($C329="","",IFERROR(VLOOKUP($C329,Orders!$A$4:$J$998,7,FALSE),""))</f>
        <v/>
      </c>
      <c r="K329" s="40" t="str">
        <f>IF(Bids!$C328="","",Bids!$C328)</f>
        <v/>
      </c>
      <c r="L329" s="40" t="str">
        <f>IF($K329="","",IFERROR(VLOOKUP($K329,Grinders!$A$4:$N$998,2,FALSE),""))</f>
        <v/>
      </c>
      <c r="M329" s="40" t="str">
        <f>IF($K329="","",IFERROR(VLOOKUP($K329,Grinders!$A$4:$N$998,3,FALSE),""))</f>
        <v/>
      </c>
      <c r="N329" s="40" t="str">
        <f>IF($K329="","",IFERROR(VLOOKUP($K329,Grinders!$A$4:$N$998,4,FALSE),""))</f>
        <v/>
      </c>
      <c r="O329" s="40" t="str">
        <f>IF($K329="","",IFERROR(VLOOKUP($K329,Grinders!$A$4:$N$998,5,FALSE),""))</f>
        <v/>
      </c>
      <c r="P329" s="40" t="str">
        <f>IF($K329="","",IF($C$4="",0,COUNTIFS(Assignments!$B$6:$B$1000,$K329,Assignments!$F$6:$F$1000,$C$4,Assignments!$E$6:$E$1000,"Active")))</f>
        <v/>
      </c>
      <c r="Q329" s="40" t="str">
        <f t="shared" si="3"/>
        <v/>
      </c>
      <c r="R329" s="40" t="str">
        <f t="shared" si="4"/>
        <v/>
      </c>
      <c r="S329" s="40" t="str">
        <f>IF($K329="","",IF($C$4="",0,COUNTIFS(Assignments!$B$6:$B$1000,$K329,Assignments!$F$6:$F$1000,$C$4,Assignments!$D$6:$D$1000,"&gt;="&amp;Config!$B$3-7,Assignments!$D$6:$D$1000,"&lt;="&amp;Config!$B$3)))</f>
        <v/>
      </c>
      <c r="T329" s="40" t="str">
        <f>IF($K329="","",IFERROR(VLOOKUP($K329,Grinders!$A$4:$N$998,8,FALSE),""))</f>
        <v/>
      </c>
      <c r="U329" s="40" t="str">
        <f>IFERROR(IF($K329="","",IF($M329="Elite",MAX(50,MIN(100,Config!$B$27*MAX(0,MIN(100,(1-IF($R329="",0,$R329))*100)) + Config!$B$28*MAX(0,MIN(100,(1-MIN(1,IF(Config!$B$30=0,1,$S329/Config!$B$30)))*100)) + Config!$B$29*MAX(0,MIN(100,MIN(1,IF($T329="",0,$T329)/Config!$B$23)*100)))),MIN(100,Config!$B$27*MAX(0,MIN(100,(1-IF($R329="",0,$R329))*100)) + Config!$B$28*MAX(0,MIN(100,(1-MIN(1,IF(Config!$B$30=0,1,$S329/Config!$B$30)))*100)) + Config!$B$29*MAX(0,MIN(100,MIN(1,IF($T329="",0,$T329)/Config!$B$23)*100))))),"")
</f>
        <v/>
      </c>
      <c r="V329" s="40" t="str">
        <f>IF(Bids!$AC329="","",Bids!$AC329)</f>
        <v/>
      </c>
      <c r="W329" s="40" t="str">
        <f>IF(Bids!$F328="","",Bids!$F328)</f>
        <v/>
      </c>
      <c r="X329" s="40" t="str">
        <f t="shared" si="5"/>
        <v/>
      </c>
      <c r="Y329" s="40" t="str">
        <f>IF($X329="","",IF(Config!$B$17=Config!$B$16,IF($X329&gt;=Config!$B$17,100,0),MAX(0,MIN(100,($X329-Config!$B$16)/(Config!$B$17-Config!$B$16)*100))))</f>
        <v/>
      </c>
      <c r="Z329" s="40">
        <f>IF($M329="Elite",Config!$B$21,0)</f>
        <v>0</v>
      </c>
      <c r="AA329" s="40" t="str">
        <f>IFERROR(IF(OR($W329="",$H329=""),"",IF($W329&gt;$H329,
  MAX(0, 60-(($W329-$H329)*24/Config!$B$19)*60),
  MIN(100, 60+(($H329-$W329)*24/Config!$B$20)*40)
)),"")
</f>
        <v/>
      </c>
      <c r="AB329" s="40" t="str">
        <f>IF($K329="","",IFERROR(VLOOKUP($K329,Grinders!$A$4:$N$998,10,FALSE)/5*100,""))</f>
        <v/>
      </c>
      <c r="AC329" s="40" t="str">
        <f>IF($K329="","",IFERROR(VLOOKUP($K329,Grinders!$A$4:$N$998,11,FALSE)*100,""))</f>
        <v/>
      </c>
      <c r="AD329" s="40" t="str">
        <f>IF($K329="","",IFERROR(VLOOKUP($K329,Grinders!$A$4:$N$998,12,FALSE)*100,""))</f>
        <v/>
      </c>
      <c r="AE329" s="40" t="str">
        <f>IF(OR(AO329=1,AP329=1),0,=IFERROR(IFS(
    OR($C329="", $K329=""), 0,
    $F329=0, 0,
    $D329&lt;&gt;"Open", 0,
    COUNTIFS(GrinderServices!$A$6:$A$1000, $K329, GrinderServices!$B$6:$B$1000, $E329, GrinderServices!$D$6:$D$1000, "Y")=0, 0,
    $X329&lt;Config!$B$16, 0,
    Config!$B$18=1, IF($O329&gt;=N329, 0, 1),
    TRUE, 1
), "")
)</f>
        <v>#ERROR!</v>
      </c>
      <c r="AF329" s="40" t="str">
        <f>IFERROR((IF(OR(AO329=1,AP329=1),"",=IFERROR((IFERROR(IF($AE329=0,"",((Config!$B$6*$Y329 + Config!$B$7*$U329 + Config!$B$8*$Z329 + Config!$B$9*$AA329 + Config!$B$10*$AB329 + Config!$B$11*$AC329 - Config!$B$12*$AD329)/Config!$B$13)+$AK329+$AL329),""))*(1-IFERROR(VLOOKUP(K329,Grinders!$A:$AB, 28, FALSE),0)),"")))*(1+AR329),"")</f>
        <v>#ERROR!</v>
      </c>
      <c r="AG329" s="40" t="str">
        <f t="shared" si="6"/>
        <v>#ERROR!</v>
      </c>
      <c r="AH329" s="40" t="str">
        <f t="shared" si="7"/>
        <v/>
      </c>
      <c r="AI329" s="40" t="str">
        <f t="shared" si="8"/>
        <v/>
      </c>
      <c r="AJ329" s="40" t="str">
        <f>IF($K329="","",COUNTIF(Assignments!$B$6:$B$1000,$K329))</f>
        <v/>
      </c>
      <c r="AK329" s="40" t="str">
        <f>IF($K329="","",IF(AND($AJ329=0,$O329&lt;$N329),Config!$B$43,0))</f>
        <v/>
      </c>
      <c r="AL329" s="40" t="str">
        <f>IF($K329="","",IF(AND($M329="Elite",$G329&gt;=Config!$B$41,$O329&lt;$N329),Config!$B$42,0))</f>
        <v/>
      </c>
      <c r="AM329" s="22"/>
      <c r="AN329" s="39">
        <f>IFERROR(VLOOKUP(K329,Grinders!$A:$Q,28,FALSE),0)</f>
        <v>0</v>
      </c>
      <c r="AO329" s="39">
        <f>IF(Config!$B$1003&lt;&gt;"Y",0,IF(IFERROR(VLOOKUP(K329,Grinders!$A:$P,27,FALSE),0)&gt;=3,IF(OR(G329&gt;=Config!$B$1001,ISNUMBER(SEARCH(E329,Config!$B$1002))),1,0),0))</f>
        <v>0</v>
      </c>
      <c r="AP329" s="39">
        <f t="array" ref="AP329">IFERROR(IF(INDEX(Bids!$AE:$AE,MATCH(B329,Bids!$A:$A,0))="Pending",1,0),0)</f>
        <v>0</v>
      </c>
      <c r="AQ329" s="39" t="str">
        <f t="array" ref="AQ329">IF(C329="","",IFERROR(XLOOKUP(C329,Assignments!$C:$C,Assignments!$AU:$AU,0),0))</f>
        <v/>
      </c>
      <c r="AR329" s="39">
        <f>IF(AND(Config!$B$1006="Y",AQ329=1),Config!$B$1007,0)</f>
        <v>0</v>
      </c>
    </row>
    <row r="330" ht="15.75" customHeight="1">
      <c r="A330" s="46" t="str">
        <f t="shared" si="1"/>
        <v/>
      </c>
      <c r="B330" s="40" t="str">
        <f>IF(Bids!$A329="","",Bids!$A329)</f>
        <v/>
      </c>
      <c r="C330" s="40" t="str">
        <f>IF(Bids!$B329="","",Bids!$B329)</f>
        <v/>
      </c>
      <c r="D330" s="40" t="str">
        <f>IF($C330="","",IFERROR(VLOOKUP($C330,Orders!$A$4:$J$998,9,FALSE),""))</f>
        <v/>
      </c>
      <c r="E330" s="40" t="str">
        <f>IF($C330="","",IFERROR(VLOOKUP($C330,Orders!$A$4:$J$998,3,FALSE),""))</f>
        <v/>
      </c>
      <c r="F330" s="40">
        <f t="shared" si="2"/>
        <v>1</v>
      </c>
      <c r="G330" s="40" t="str">
        <f>IF($C330="","",IFERROR(VLOOKUP($C330,Orders!$A$4:$J$998,4,FALSE),""))</f>
        <v/>
      </c>
      <c r="H330" s="40" t="str">
        <f>IF($C330="","",IFERROR(VLOOKUP($C330,Orders!$A$4:$J$998,5,FALSE),""))</f>
        <v/>
      </c>
      <c r="I330" s="40" t="str">
        <f>IF($C330="","",IFERROR(VLOOKUP($C330,Orders!$A$4:$J$998,6,FALSE),""))</f>
        <v/>
      </c>
      <c r="J330" s="40" t="str">
        <f>IF($C330="","",IFERROR(VLOOKUP($C330,Orders!$A$4:$J$998,7,FALSE),""))</f>
        <v/>
      </c>
      <c r="K330" s="40" t="str">
        <f>IF(Bids!$C329="","",Bids!$C329)</f>
        <v/>
      </c>
      <c r="L330" s="40" t="str">
        <f>IF($K330="","",IFERROR(VLOOKUP($K330,Grinders!$A$4:$N$998,2,FALSE),""))</f>
        <v/>
      </c>
      <c r="M330" s="40" t="str">
        <f>IF($K330="","",IFERROR(VLOOKUP($K330,Grinders!$A$4:$N$998,3,FALSE),""))</f>
        <v/>
      </c>
      <c r="N330" s="40" t="str">
        <f>IF($K330="","",IFERROR(VLOOKUP($K330,Grinders!$A$4:$N$998,4,FALSE),""))</f>
        <v/>
      </c>
      <c r="O330" s="40" t="str">
        <f>IF($K330="","",IFERROR(VLOOKUP($K330,Grinders!$A$4:$N$998,5,FALSE),""))</f>
        <v/>
      </c>
      <c r="P330" s="40" t="str">
        <f>IF($K330="","",IF($C$4="",0,COUNTIFS(Assignments!$B$6:$B$1000,$K330,Assignments!$F$6:$F$1000,$C$4,Assignments!$E$6:$E$1000,"Active")))</f>
        <v/>
      </c>
      <c r="Q330" s="40" t="str">
        <f t="shared" si="3"/>
        <v/>
      </c>
      <c r="R330" s="40" t="str">
        <f t="shared" si="4"/>
        <v/>
      </c>
      <c r="S330" s="40" t="str">
        <f>IF($K330="","",IF($C$4="",0,COUNTIFS(Assignments!$B$6:$B$1000,$K330,Assignments!$F$6:$F$1000,$C$4,Assignments!$D$6:$D$1000,"&gt;="&amp;Config!$B$3-7,Assignments!$D$6:$D$1000,"&lt;="&amp;Config!$B$3)))</f>
        <v/>
      </c>
      <c r="T330" s="40" t="str">
        <f>IF($K330="","",IFERROR(VLOOKUP($K330,Grinders!$A$4:$N$998,8,FALSE),""))</f>
        <v/>
      </c>
      <c r="U330" s="40" t="str">
        <f>IFERROR(IF($K330="","",IF($M330="Elite",MAX(50,MIN(100,Config!$B$27*MAX(0,MIN(100,(1-IF($R330="",0,$R330))*100)) + Config!$B$28*MAX(0,MIN(100,(1-MIN(1,IF(Config!$B$30=0,1,$S330/Config!$B$30)))*100)) + Config!$B$29*MAX(0,MIN(100,MIN(1,IF($T330="",0,$T330)/Config!$B$23)*100)))),MIN(100,Config!$B$27*MAX(0,MIN(100,(1-IF($R330="",0,$R330))*100)) + Config!$B$28*MAX(0,MIN(100,(1-MIN(1,IF(Config!$B$30=0,1,$S330/Config!$B$30)))*100)) + Config!$B$29*MAX(0,MIN(100,MIN(1,IF($T330="",0,$T330)/Config!$B$23)*100))))),"")
</f>
        <v/>
      </c>
      <c r="V330" s="40" t="str">
        <f>IF(Bids!$AC330="","",Bids!$AC330)</f>
        <v/>
      </c>
      <c r="W330" s="40" t="str">
        <f>IF(Bids!$F329="","",Bids!$F329)</f>
        <v/>
      </c>
      <c r="X330" s="40" t="str">
        <f t="shared" si="5"/>
        <v/>
      </c>
      <c r="Y330" s="40" t="str">
        <f>IF($X330="","",IF(Config!$B$17=Config!$B$16,IF($X330&gt;=Config!$B$17,100,0),MAX(0,MIN(100,($X330-Config!$B$16)/(Config!$B$17-Config!$B$16)*100))))</f>
        <v/>
      </c>
      <c r="Z330" s="40">
        <f>IF($M330="Elite",Config!$B$21,0)</f>
        <v>0</v>
      </c>
      <c r="AA330" s="40" t="str">
        <f>IFERROR(IF(OR($W330="",$H330=""),"",IF($W330&gt;$H330,
  MAX(0, 60-(($W330-$H330)*24/Config!$B$19)*60),
  MIN(100, 60+(($H330-$W330)*24/Config!$B$20)*40)
)),"")
</f>
        <v/>
      </c>
      <c r="AB330" s="40" t="str">
        <f>IF($K330="","",IFERROR(VLOOKUP($K330,Grinders!$A$4:$N$998,10,FALSE)/5*100,""))</f>
        <v/>
      </c>
      <c r="AC330" s="40" t="str">
        <f>IF($K330="","",IFERROR(VLOOKUP($K330,Grinders!$A$4:$N$998,11,FALSE)*100,""))</f>
        <v/>
      </c>
      <c r="AD330" s="40" t="str">
        <f>IF($K330="","",IFERROR(VLOOKUP($K330,Grinders!$A$4:$N$998,12,FALSE)*100,""))</f>
        <v/>
      </c>
      <c r="AE330" s="40" t="str">
        <f>IF(OR(AO330=1,AP330=1),0,=IFERROR(IFS(
    OR($C330="", $K330=""), 0,
    $F330=0, 0,
    $D330&lt;&gt;"Open", 0,
    COUNTIFS(GrinderServices!$A$6:$A$1000, $K330, GrinderServices!$B$6:$B$1000, $E330, GrinderServices!$D$6:$D$1000, "Y")=0, 0,
    $X330&lt;Config!$B$16, 0,
    Config!$B$18=1, IF($O330&gt;=N330, 0, 1),
    TRUE, 1
), "")
)</f>
        <v>#ERROR!</v>
      </c>
      <c r="AF330" s="40" t="str">
        <f>IFERROR((IF(OR(AO330=1,AP330=1),"",=IFERROR((IFERROR(IF($AE330=0,"",((Config!$B$6*$Y330 + Config!$B$7*$U330 + Config!$B$8*$Z330 + Config!$B$9*$AA330 + Config!$B$10*$AB330 + Config!$B$11*$AC330 - Config!$B$12*$AD330)/Config!$B$13)+$AK330+$AL330),""))*(1-IFERROR(VLOOKUP(K330,Grinders!$A:$AB, 28, FALSE),0)),"")))*(1+AR330),"")</f>
        <v>#ERROR!</v>
      </c>
      <c r="AG330" s="40" t="str">
        <f t="shared" si="6"/>
        <v>#ERROR!</v>
      </c>
      <c r="AH330" s="40" t="str">
        <f t="shared" si="7"/>
        <v/>
      </c>
      <c r="AI330" s="40" t="str">
        <f t="shared" si="8"/>
        <v/>
      </c>
      <c r="AJ330" s="40" t="str">
        <f>IF($K330="","",COUNTIF(Assignments!$B$6:$B$1000,$K330))</f>
        <v/>
      </c>
      <c r="AK330" s="40" t="str">
        <f>IF($K330="","",IF(AND($AJ330=0,$O330&lt;$N330),Config!$B$43,0))</f>
        <v/>
      </c>
      <c r="AL330" s="40" t="str">
        <f>IF($K330="","",IF(AND($M330="Elite",$G330&gt;=Config!$B$41,$O330&lt;$N330),Config!$B$42,0))</f>
        <v/>
      </c>
      <c r="AM330" s="22"/>
      <c r="AN330" s="39">
        <f>IFERROR(VLOOKUP(K330,Grinders!$A:$Q,28,FALSE),0)</f>
        <v>0</v>
      </c>
      <c r="AO330" s="39">
        <f>IF(Config!$B$1003&lt;&gt;"Y",0,IF(IFERROR(VLOOKUP(K330,Grinders!$A:$P,27,FALSE),0)&gt;=3,IF(OR(G330&gt;=Config!$B$1001,ISNUMBER(SEARCH(E330,Config!$B$1002))),1,0),0))</f>
        <v>0</v>
      </c>
      <c r="AP330" s="39">
        <f t="array" ref="AP330">IFERROR(IF(INDEX(Bids!$AE:$AE,MATCH(B330,Bids!$A:$A,0))="Pending",1,0),0)</f>
        <v>0</v>
      </c>
      <c r="AQ330" s="39" t="str">
        <f t="array" ref="AQ330">IF(C330="","",IFERROR(XLOOKUP(C330,Assignments!$C:$C,Assignments!$AU:$AU,0),0))</f>
        <v/>
      </c>
      <c r="AR330" s="39">
        <f>IF(AND(Config!$B$1006="Y",AQ330=1),Config!$B$1007,0)</f>
        <v>0</v>
      </c>
    </row>
    <row r="331" ht="15.75" customHeight="1">
      <c r="A331" s="46" t="str">
        <f t="shared" si="1"/>
        <v/>
      </c>
      <c r="B331" s="40" t="str">
        <f>IF(Bids!$A330="","",Bids!$A330)</f>
        <v/>
      </c>
      <c r="C331" s="40" t="str">
        <f>IF(Bids!$B330="","",Bids!$B330)</f>
        <v/>
      </c>
      <c r="D331" s="40" t="str">
        <f>IF($C331="","",IFERROR(VLOOKUP($C331,Orders!$A$4:$J$998,9,FALSE),""))</f>
        <v/>
      </c>
      <c r="E331" s="40" t="str">
        <f>IF($C331="","",IFERROR(VLOOKUP($C331,Orders!$A$4:$J$998,3,FALSE),""))</f>
        <v/>
      </c>
      <c r="F331" s="40">
        <f t="shared" si="2"/>
        <v>1</v>
      </c>
      <c r="G331" s="40" t="str">
        <f>IF($C331="","",IFERROR(VLOOKUP($C331,Orders!$A$4:$J$998,4,FALSE),""))</f>
        <v/>
      </c>
      <c r="H331" s="40" t="str">
        <f>IF($C331="","",IFERROR(VLOOKUP($C331,Orders!$A$4:$J$998,5,FALSE),""))</f>
        <v/>
      </c>
      <c r="I331" s="40" t="str">
        <f>IF($C331="","",IFERROR(VLOOKUP($C331,Orders!$A$4:$J$998,6,FALSE),""))</f>
        <v/>
      </c>
      <c r="J331" s="40" t="str">
        <f>IF($C331="","",IFERROR(VLOOKUP($C331,Orders!$A$4:$J$998,7,FALSE),""))</f>
        <v/>
      </c>
      <c r="K331" s="40" t="str">
        <f>IF(Bids!$C330="","",Bids!$C330)</f>
        <v/>
      </c>
      <c r="L331" s="40" t="str">
        <f>IF($K331="","",IFERROR(VLOOKUP($K331,Grinders!$A$4:$N$998,2,FALSE),""))</f>
        <v/>
      </c>
      <c r="M331" s="40" t="str">
        <f>IF($K331="","",IFERROR(VLOOKUP($K331,Grinders!$A$4:$N$998,3,FALSE),""))</f>
        <v/>
      </c>
      <c r="N331" s="40" t="str">
        <f>IF($K331="","",IFERROR(VLOOKUP($K331,Grinders!$A$4:$N$998,4,FALSE),""))</f>
        <v/>
      </c>
      <c r="O331" s="40" t="str">
        <f>IF($K331="","",IFERROR(VLOOKUP($K331,Grinders!$A$4:$N$998,5,FALSE),""))</f>
        <v/>
      </c>
      <c r="P331" s="40" t="str">
        <f>IF($K331="","",IF($C$4="",0,COUNTIFS(Assignments!$B$6:$B$1000,$K331,Assignments!$F$6:$F$1000,$C$4,Assignments!$E$6:$E$1000,"Active")))</f>
        <v/>
      </c>
      <c r="Q331" s="40" t="str">
        <f t="shared" si="3"/>
        <v/>
      </c>
      <c r="R331" s="40" t="str">
        <f t="shared" si="4"/>
        <v/>
      </c>
      <c r="S331" s="40" t="str">
        <f>IF($K331="","",IF($C$4="",0,COUNTIFS(Assignments!$B$6:$B$1000,$K331,Assignments!$F$6:$F$1000,$C$4,Assignments!$D$6:$D$1000,"&gt;="&amp;Config!$B$3-7,Assignments!$D$6:$D$1000,"&lt;="&amp;Config!$B$3)))</f>
        <v/>
      </c>
      <c r="T331" s="40" t="str">
        <f>IF($K331="","",IFERROR(VLOOKUP($K331,Grinders!$A$4:$N$998,8,FALSE),""))</f>
        <v/>
      </c>
      <c r="U331" s="40" t="str">
        <f>IFERROR(IF($K331="","",IF($M331="Elite",MAX(50,MIN(100,Config!$B$27*MAX(0,MIN(100,(1-IF($R331="",0,$R331))*100)) + Config!$B$28*MAX(0,MIN(100,(1-MIN(1,IF(Config!$B$30=0,1,$S331/Config!$B$30)))*100)) + Config!$B$29*MAX(0,MIN(100,MIN(1,IF($T331="",0,$T331)/Config!$B$23)*100)))),MIN(100,Config!$B$27*MAX(0,MIN(100,(1-IF($R331="",0,$R331))*100)) + Config!$B$28*MAX(0,MIN(100,(1-MIN(1,IF(Config!$B$30=0,1,$S331/Config!$B$30)))*100)) + Config!$B$29*MAX(0,MIN(100,MIN(1,IF($T331="",0,$T331)/Config!$B$23)*100))))),"")
</f>
        <v/>
      </c>
      <c r="V331" s="40" t="str">
        <f>IF(Bids!$AC331="","",Bids!$AC331)</f>
        <v/>
      </c>
      <c r="W331" s="40" t="str">
        <f>IF(Bids!$F330="","",Bids!$F330)</f>
        <v/>
      </c>
      <c r="X331" s="40" t="str">
        <f t="shared" si="5"/>
        <v/>
      </c>
      <c r="Y331" s="40" t="str">
        <f>IF($X331="","",IF(Config!$B$17=Config!$B$16,IF($X331&gt;=Config!$B$17,100,0),MAX(0,MIN(100,($X331-Config!$B$16)/(Config!$B$17-Config!$B$16)*100))))</f>
        <v/>
      </c>
      <c r="Z331" s="40">
        <f>IF($M331="Elite",Config!$B$21,0)</f>
        <v>0</v>
      </c>
      <c r="AA331" s="40" t="str">
        <f>IFERROR(IF(OR($W331="",$H331=""),"",IF($W331&gt;$H331,
  MAX(0, 60-(($W331-$H331)*24/Config!$B$19)*60),
  MIN(100, 60+(($H331-$W331)*24/Config!$B$20)*40)
)),"")
</f>
        <v/>
      </c>
      <c r="AB331" s="40" t="str">
        <f>IF($K331="","",IFERROR(VLOOKUP($K331,Grinders!$A$4:$N$998,10,FALSE)/5*100,""))</f>
        <v/>
      </c>
      <c r="AC331" s="40" t="str">
        <f>IF($K331="","",IFERROR(VLOOKUP($K331,Grinders!$A$4:$N$998,11,FALSE)*100,""))</f>
        <v/>
      </c>
      <c r="AD331" s="40" t="str">
        <f>IF($K331="","",IFERROR(VLOOKUP($K331,Grinders!$A$4:$N$998,12,FALSE)*100,""))</f>
        <v/>
      </c>
      <c r="AE331" s="40" t="str">
        <f>IF(OR(AO331=1,AP331=1),0,=IFERROR(IFS(
    OR($C331="", $K331=""), 0,
    $F331=0, 0,
    $D331&lt;&gt;"Open", 0,
    COUNTIFS(GrinderServices!$A$6:$A$1000, $K331, GrinderServices!$B$6:$B$1000, $E331, GrinderServices!$D$6:$D$1000, "Y")=0, 0,
    $X331&lt;Config!$B$16, 0,
    Config!$B$18=1, IF($O331&gt;=N331, 0, 1),
    TRUE, 1
), "")
)</f>
        <v>#ERROR!</v>
      </c>
      <c r="AF331" s="40" t="str">
        <f>IFERROR((IF(OR(AO331=1,AP331=1),"",=IFERROR((IFERROR(IF($AE331=0,"",((Config!$B$6*$Y331 + Config!$B$7*$U331 + Config!$B$8*$Z331 + Config!$B$9*$AA331 + Config!$B$10*$AB331 + Config!$B$11*$AC331 - Config!$B$12*$AD331)/Config!$B$13)+$AK331+$AL331),""))*(1-IFERROR(VLOOKUP(K331,Grinders!$A:$AB, 28, FALSE),0)),"")))*(1+AR331),"")</f>
        <v>#ERROR!</v>
      </c>
      <c r="AG331" s="40" t="str">
        <f t="shared" si="6"/>
        <v>#ERROR!</v>
      </c>
      <c r="AH331" s="40" t="str">
        <f t="shared" si="7"/>
        <v/>
      </c>
      <c r="AI331" s="40" t="str">
        <f t="shared" si="8"/>
        <v/>
      </c>
      <c r="AJ331" s="40" t="str">
        <f>IF($K331="","",COUNTIF(Assignments!$B$6:$B$1000,$K331))</f>
        <v/>
      </c>
      <c r="AK331" s="40" t="str">
        <f>IF($K331="","",IF(AND($AJ331=0,$O331&lt;$N331),Config!$B$43,0))</f>
        <v/>
      </c>
      <c r="AL331" s="40" t="str">
        <f>IF($K331="","",IF(AND($M331="Elite",$G331&gt;=Config!$B$41,$O331&lt;$N331),Config!$B$42,0))</f>
        <v/>
      </c>
      <c r="AM331" s="22"/>
      <c r="AN331" s="39">
        <f>IFERROR(VLOOKUP(K331,Grinders!$A:$Q,28,FALSE),0)</f>
        <v>0</v>
      </c>
      <c r="AO331" s="39">
        <f>IF(Config!$B$1003&lt;&gt;"Y",0,IF(IFERROR(VLOOKUP(K331,Grinders!$A:$P,27,FALSE),0)&gt;=3,IF(OR(G331&gt;=Config!$B$1001,ISNUMBER(SEARCH(E331,Config!$B$1002))),1,0),0))</f>
        <v>0</v>
      </c>
      <c r="AP331" s="39">
        <f t="array" ref="AP331">IFERROR(IF(INDEX(Bids!$AE:$AE,MATCH(B331,Bids!$A:$A,0))="Pending",1,0),0)</f>
        <v>0</v>
      </c>
      <c r="AQ331" s="39" t="str">
        <f t="array" ref="AQ331">IF(C331="","",IFERROR(XLOOKUP(C331,Assignments!$C:$C,Assignments!$AU:$AU,0),0))</f>
        <v/>
      </c>
      <c r="AR331" s="39">
        <f>IF(AND(Config!$B$1006="Y",AQ331=1),Config!$B$1007,0)</f>
        <v>0</v>
      </c>
    </row>
    <row r="332" ht="15.75" customHeight="1">
      <c r="A332" s="46" t="str">
        <f t="shared" si="1"/>
        <v/>
      </c>
      <c r="B332" s="40" t="str">
        <f>IF(Bids!$A331="","",Bids!$A331)</f>
        <v/>
      </c>
      <c r="C332" s="40" t="str">
        <f>IF(Bids!$B331="","",Bids!$B331)</f>
        <v/>
      </c>
      <c r="D332" s="40" t="str">
        <f>IF($C332="","",IFERROR(VLOOKUP($C332,Orders!$A$4:$J$998,9,FALSE),""))</f>
        <v/>
      </c>
      <c r="E332" s="40" t="str">
        <f>IF($C332="","",IFERROR(VLOOKUP($C332,Orders!$A$4:$J$998,3,FALSE),""))</f>
        <v/>
      </c>
      <c r="F332" s="40">
        <f t="shared" si="2"/>
        <v>1</v>
      </c>
      <c r="G332" s="40" t="str">
        <f>IF($C332="","",IFERROR(VLOOKUP($C332,Orders!$A$4:$J$998,4,FALSE),""))</f>
        <v/>
      </c>
      <c r="H332" s="40" t="str">
        <f>IF($C332="","",IFERROR(VLOOKUP($C332,Orders!$A$4:$J$998,5,FALSE),""))</f>
        <v/>
      </c>
      <c r="I332" s="40" t="str">
        <f>IF($C332="","",IFERROR(VLOOKUP($C332,Orders!$A$4:$J$998,6,FALSE),""))</f>
        <v/>
      </c>
      <c r="J332" s="40" t="str">
        <f>IF($C332="","",IFERROR(VLOOKUP($C332,Orders!$A$4:$J$998,7,FALSE),""))</f>
        <v/>
      </c>
      <c r="K332" s="40" t="str">
        <f>IF(Bids!$C331="","",Bids!$C331)</f>
        <v/>
      </c>
      <c r="L332" s="40" t="str">
        <f>IF($K332="","",IFERROR(VLOOKUP($K332,Grinders!$A$4:$N$998,2,FALSE),""))</f>
        <v/>
      </c>
      <c r="M332" s="40" t="str">
        <f>IF($K332="","",IFERROR(VLOOKUP($K332,Grinders!$A$4:$N$998,3,FALSE),""))</f>
        <v/>
      </c>
      <c r="N332" s="40" t="str">
        <f>IF($K332="","",IFERROR(VLOOKUP($K332,Grinders!$A$4:$N$998,4,FALSE),""))</f>
        <v/>
      </c>
      <c r="O332" s="40" t="str">
        <f>IF($K332="","",IFERROR(VLOOKUP($K332,Grinders!$A$4:$N$998,5,FALSE),""))</f>
        <v/>
      </c>
      <c r="P332" s="40" t="str">
        <f>IF($K332="","",IF($C$4="",0,COUNTIFS(Assignments!$B$6:$B$1000,$K332,Assignments!$F$6:$F$1000,$C$4,Assignments!$E$6:$E$1000,"Active")))</f>
        <v/>
      </c>
      <c r="Q332" s="40" t="str">
        <f t="shared" si="3"/>
        <v/>
      </c>
      <c r="R332" s="40" t="str">
        <f t="shared" si="4"/>
        <v/>
      </c>
      <c r="S332" s="40" t="str">
        <f>IF($K332="","",IF($C$4="",0,COUNTIFS(Assignments!$B$6:$B$1000,$K332,Assignments!$F$6:$F$1000,$C$4,Assignments!$D$6:$D$1000,"&gt;="&amp;Config!$B$3-7,Assignments!$D$6:$D$1000,"&lt;="&amp;Config!$B$3)))</f>
        <v/>
      </c>
      <c r="T332" s="40" t="str">
        <f>IF($K332="","",IFERROR(VLOOKUP($K332,Grinders!$A$4:$N$998,8,FALSE),""))</f>
        <v/>
      </c>
      <c r="U332" s="40" t="str">
        <f>IFERROR(IF($K332="","",IF($M332="Elite",MAX(50,MIN(100,Config!$B$27*MAX(0,MIN(100,(1-IF($R332="",0,$R332))*100)) + Config!$B$28*MAX(0,MIN(100,(1-MIN(1,IF(Config!$B$30=0,1,$S332/Config!$B$30)))*100)) + Config!$B$29*MAX(0,MIN(100,MIN(1,IF($T332="",0,$T332)/Config!$B$23)*100)))),MIN(100,Config!$B$27*MAX(0,MIN(100,(1-IF($R332="",0,$R332))*100)) + Config!$B$28*MAX(0,MIN(100,(1-MIN(1,IF(Config!$B$30=0,1,$S332/Config!$B$30)))*100)) + Config!$B$29*MAX(0,MIN(100,MIN(1,IF($T332="",0,$T332)/Config!$B$23)*100))))),"")
</f>
        <v/>
      </c>
      <c r="V332" s="40" t="str">
        <f>IF(Bids!$AC332="","",Bids!$AC332)</f>
        <v/>
      </c>
      <c r="W332" s="40" t="str">
        <f>IF(Bids!$F331="","",Bids!$F331)</f>
        <v/>
      </c>
      <c r="X332" s="40" t="str">
        <f t="shared" si="5"/>
        <v/>
      </c>
      <c r="Y332" s="40" t="str">
        <f>IF($X332="","",IF(Config!$B$17=Config!$B$16,IF($X332&gt;=Config!$B$17,100,0),MAX(0,MIN(100,($X332-Config!$B$16)/(Config!$B$17-Config!$B$16)*100))))</f>
        <v/>
      </c>
      <c r="Z332" s="40">
        <f>IF($M332="Elite",Config!$B$21,0)</f>
        <v>0</v>
      </c>
      <c r="AA332" s="40" t="str">
        <f>IFERROR(IF(OR($W332="",$H332=""),"",IF($W332&gt;$H332,
  MAX(0, 60-(($W332-$H332)*24/Config!$B$19)*60),
  MIN(100, 60+(($H332-$W332)*24/Config!$B$20)*40)
)),"")
</f>
        <v/>
      </c>
      <c r="AB332" s="40" t="str">
        <f>IF($K332="","",IFERROR(VLOOKUP($K332,Grinders!$A$4:$N$998,10,FALSE)/5*100,""))</f>
        <v/>
      </c>
      <c r="AC332" s="40" t="str">
        <f>IF($K332="","",IFERROR(VLOOKUP($K332,Grinders!$A$4:$N$998,11,FALSE)*100,""))</f>
        <v/>
      </c>
      <c r="AD332" s="40" t="str">
        <f>IF($K332="","",IFERROR(VLOOKUP($K332,Grinders!$A$4:$N$998,12,FALSE)*100,""))</f>
        <v/>
      </c>
      <c r="AE332" s="40" t="str">
        <f>IF(OR(AO332=1,AP332=1),0,=IFERROR(IFS(
    OR($C332="", $K332=""), 0,
    $F332=0, 0,
    $D332&lt;&gt;"Open", 0,
    COUNTIFS(GrinderServices!$A$6:$A$1000, $K332, GrinderServices!$B$6:$B$1000, $E332, GrinderServices!$D$6:$D$1000, "Y")=0, 0,
    $X332&lt;Config!$B$16, 0,
    Config!$B$18=1, IF($O332&gt;=N332, 0, 1),
    TRUE, 1
), "")
)</f>
        <v>#ERROR!</v>
      </c>
      <c r="AF332" s="40" t="str">
        <f>IFERROR((IF(OR(AO332=1,AP332=1),"",=IFERROR((IFERROR(IF($AE332=0,"",((Config!$B$6*$Y332 + Config!$B$7*$U332 + Config!$B$8*$Z332 + Config!$B$9*$AA332 + Config!$B$10*$AB332 + Config!$B$11*$AC332 - Config!$B$12*$AD332)/Config!$B$13)+$AK332+$AL332),""))*(1-IFERROR(VLOOKUP(K332,Grinders!$A:$AB, 28, FALSE),0)),"")))*(1+AR332),"")</f>
        <v>#ERROR!</v>
      </c>
      <c r="AG332" s="40" t="str">
        <f t="shared" si="6"/>
        <v>#ERROR!</v>
      </c>
      <c r="AH332" s="40" t="str">
        <f t="shared" si="7"/>
        <v/>
      </c>
      <c r="AI332" s="40" t="str">
        <f t="shared" si="8"/>
        <v/>
      </c>
      <c r="AJ332" s="40" t="str">
        <f>IF($K332="","",COUNTIF(Assignments!$B$6:$B$1000,$K332))</f>
        <v/>
      </c>
      <c r="AK332" s="40" t="str">
        <f>IF($K332="","",IF(AND($AJ332=0,$O332&lt;$N332),Config!$B$43,0))</f>
        <v/>
      </c>
      <c r="AL332" s="40" t="str">
        <f>IF($K332="","",IF(AND($M332="Elite",$G332&gt;=Config!$B$41,$O332&lt;$N332),Config!$B$42,0))</f>
        <v/>
      </c>
      <c r="AM332" s="22"/>
      <c r="AN332" s="39">
        <f>IFERROR(VLOOKUP(K332,Grinders!$A:$Q,28,FALSE),0)</f>
        <v>0</v>
      </c>
      <c r="AO332" s="39">
        <f>IF(Config!$B$1003&lt;&gt;"Y",0,IF(IFERROR(VLOOKUP(K332,Grinders!$A:$P,27,FALSE),0)&gt;=3,IF(OR(G332&gt;=Config!$B$1001,ISNUMBER(SEARCH(E332,Config!$B$1002))),1,0),0))</f>
        <v>0</v>
      </c>
      <c r="AP332" s="39">
        <f t="array" ref="AP332">IFERROR(IF(INDEX(Bids!$AE:$AE,MATCH(B332,Bids!$A:$A,0))="Pending",1,0),0)</f>
        <v>0</v>
      </c>
      <c r="AQ332" s="39" t="str">
        <f t="array" ref="AQ332">IF(C332="","",IFERROR(XLOOKUP(C332,Assignments!$C:$C,Assignments!$AU:$AU,0),0))</f>
        <v/>
      </c>
      <c r="AR332" s="39">
        <f>IF(AND(Config!$B$1006="Y",AQ332=1),Config!$B$1007,0)</f>
        <v>0</v>
      </c>
    </row>
    <row r="333" ht="15.75" customHeight="1">
      <c r="A333" s="46" t="str">
        <f t="shared" si="1"/>
        <v/>
      </c>
      <c r="B333" s="40" t="str">
        <f>IF(Bids!$A332="","",Bids!$A332)</f>
        <v/>
      </c>
      <c r="C333" s="40" t="str">
        <f>IF(Bids!$B332="","",Bids!$B332)</f>
        <v/>
      </c>
      <c r="D333" s="40" t="str">
        <f>IF($C333="","",IFERROR(VLOOKUP($C333,Orders!$A$4:$J$998,9,FALSE),""))</f>
        <v/>
      </c>
      <c r="E333" s="40" t="str">
        <f>IF($C333="","",IFERROR(VLOOKUP($C333,Orders!$A$4:$J$998,3,FALSE),""))</f>
        <v/>
      </c>
      <c r="F333" s="40">
        <f t="shared" si="2"/>
        <v>1</v>
      </c>
      <c r="G333" s="40" t="str">
        <f>IF($C333="","",IFERROR(VLOOKUP($C333,Orders!$A$4:$J$998,4,FALSE),""))</f>
        <v/>
      </c>
      <c r="H333" s="40" t="str">
        <f>IF($C333="","",IFERROR(VLOOKUP($C333,Orders!$A$4:$J$998,5,FALSE),""))</f>
        <v/>
      </c>
      <c r="I333" s="40" t="str">
        <f>IF($C333="","",IFERROR(VLOOKUP($C333,Orders!$A$4:$J$998,6,FALSE),""))</f>
        <v/>
      </c>
      <c r="J333" s="40" t="str">
        <f>IF($C333="","",IFERROR(VLOOKUP($C333,Orders!$A$4:$J$998,7,FALSE),""))</f>
        <v/>
      </c>
      <c r="K333" s="40" t="str">
        <f>IF(Bids!$C332="","",Bids!$C332)</f>
        <v/>
      </c>
      <c r="L333" s="40" t="str">
        <f>IF($K333="","",IFERROR(VLOOKUP($K333,Grinders!$A$4:$N$998,2,FALSE),""))</f>
        <v/>
      </c>
      <c r="M333" s="40" t="str">
        <f>IF($K333="","",IFERROR(VLOOKUP($K333,Grinders!$A$4:$N$998,3,FALSE),""))</f>
        <v/>
      </c>
      <c r="N333" s="40" t="str">
        <f>IF($K333="","",IFERROR(VLOOKUP($K333,Grinders!$A$4:$N$998,4,FALSE),""))</f>
        <v/>
      </c>
      <c r="O333" s="40" t="str">
        <f>IF($K333="","",IFERROR(VLOOKUP($K333,Grinders!$A$4:$N$998,5,FALSE),""))</f>
        <v/>
      </c>
      <c r="P333" s="40" t="str">
        <f>IF($K333="","",IF($C$4="",0,COUNTIFS(Assignments!$B$6:$B$1000,$K333,Assignments!$F$6:$F$1000,$C$4,Assignments!$E$6:$E$1000,"Active")))</f>
        <v/>
      </c>
      <c r="Q333" s="40" t="str">
        <f t="shared" si="3"/>
        <v/>
      </c>
      <c r="R333" s="40" t="str">
        <f t="shared" si="4"/>
        <v/>
      </c>
      <c r="S333" s="40" t="str">
        <f>IF($K333="","",IF($C$4="",0,COUNTIFS(Assignments!$B$6:$B$1000,$K333,Assignments!$F$6:$F$1000,$C$4,Assignments!$D$6:$D$1000,"&gt;="&amp;Config!$B$3-7,Assignments!$D$6:$D$1000,"&lt;="&amp;Config!$B$3)))</f>
        <v/>
      </c>
      <c r="T333" s="40" t="str">
        <f>IF($K333="","",IFERROR(VLOOKUP($K333,Grinders!$A$4:$N$998,8,FALSE),""))</f>
        <v/>
      </c>
      <c r="U333" s="40" t="str">
        <f>IFERROR(IF($K333="","",IF($M333="Elite",MAX(50,MIN(100,Config!$B$27*MAX(0,MIN(100,(1-IF($R333="",0,$R333))*100)) + Config!$B$28*MAX(0,MIN(100,(1-MIN(1,IF(Config!$B$30=0,1,$S333/Config!$B$30)))*100)) + Config!$B$29*MAX(0,MIN(100,MIN(1,IF($T333="",0,$T333)/Config!$B$23)*100)))),MIN(100,Config!$B$27*MAX(0,MIN(100,(1-IF($R333="",0,$R333))*100)) + Config!$B$28*MAX(0,MIN(100,(1-MIN(1,IF(Config!$B$30=0,1,$S333/Config!$B$30)))*100)) + Config!$B$29*MAX(0,MIN(100,MIN(1,IF($T333="",0,$T333)/Config!$B$23)*100))))),"")
</f>
        <v/>
      </c>
      <c r="V333" s="40" t="str">
        <f>IF(Bids!$AC333="","",Bids!$AC333)</f>
        <v/>
      </c>
      <c r="W333" s="40" t="str">
        <f>IF(Bids!$F332="","",Bids!$F332)</f>
        <v/>
      </c>
      <c r="X333" s="40" t="str">
        <f t="shared" si="5"/>
        <v/>
      </c>
      <c r="Y333" s="40" t="str">
        <f>IF($X333="","",IF(Config!$B$17=Config!$B$16,IF($X333&gt;=Config!$B$17,100,0),MAX(0,MIN(100,($X333-Config!$B$16)/(Config!$B$17-Config!$B$16)*100))))</f>
        <v/>
      </c>
      <c r="Z333" s="40">
        <f>IF($M333="Elite",Config!$B$21,0)</f>
        <v>0</v>
      </c>
      <c r="AA333" s="40" t="str">
        <f>IFERROR(IF(OR($W333="",$H333=""),"",IF($W333&gt;$H333,
  MAX(0, 60-(($W333-$H333)*24/Config!$B$19)*60),
  MIN(100, 60+(($H333-$W333)*24/Config!$B$20)*40)
)),"")
</f>
        <v/>
      </c>
      <c r="AB333" s="40" t="str">
        <f>IF($K333="","",IFERROR(VLOOKUP($K333,Grinders!$A$4:$N$998,10,FALSE)/5*100,""))</f>
        <v/>
      </c>
      <c r="AC333" s="40" t="str">
        <f>IF($K333="","",IFERROR(VLOOKUP($K333,Grinders!$A$4:$N$998,11,FALSE)*100,""))</f>
        <v/>
      </c>
      <c r="AD333" s="40" t="str">
        <f>IF($K333="","",IFERROR(VLOOKUP($K333,Grinders!$A$4:$N$998,12,FALSE)*100,""))</f>
        <v/>
      </c>
      <c r="AE333" s="40" t="str">
        <f>IF(OR(AO333=1,AP333=1),0,=IFERROR(IFS(
    OR($C333="", $K333=""), 0,
    $F333=0, 0,
    $D333&lt;&gt;"Open", 0,
    COUNTIFS(GrinderServices!$A$6:$A$1000, $K333, GrinderServices!$B$6:$B$1000, $E333, GrinderServices!$D$6:$D$1000, "Y")=0, 0,
    $X333&lt;Config!$B$16, 0,
    Config!$B$18=1, IF($O333&gt;=N333, 0, 1),
    TRUE, 1
), "")
)</f>
        <v>#ERROR!</v>
      </c>
      <c r="AF333" s="40" t="str">
        <f>IFERROR((IF(OR(AO333=1,AP333=1),"",=IFERROR((IFERROR(IF($AE333=0,"",((Config!$B$6*$Y333 + Config!$B$7*$U333 + Config!$B$8*$Z333 + Config!$B$9*$AA333 + Config!$B$10*$AB333 + Config!$B$11*$AC333 - Config!$B$12*$AD333)/Config!$B$13)+$AK333+$AL333),""))*(1-IFERROR(VLOOKUP(K333,Grinders!$A:$AB, 28, FALSE),0)),"")))*(1+AR333),"")</f>
        <v>#ERROR!</v>
      </c>
      <c r="AG333" s="40" t="str">
        <f t="shared" si="6"/>
        <v>#ERROR!</v>
      </c>
      <c r="AH333" s="40" t="str">
        <f t="shared" si="7"/>
        <v/>
      </c>
      <c r="AI333" s="40" t="str">
        <f t="shared" si="8"/>
        <v/>
      </c>
      <c r="AJ333" s="40" t="str">
        <f>IF($K333="","",COUNTIF(Assignments!$B$6:$B$1000,$K333))</f>
        <v/>
      </c>
      <c r="AK333" s="40" t="str">
        <f>IF($K333="","",IF(AND($AJ333=0,$O333&lt;$N333),Config!$B$43,0))</f>
        <v/>
      </c>
      <c r="AL333" s="40" t="str">
        <f>IF($K333="","",IF(AND($M333="Elite",$G333&gt;=Config!$B$41,$O333&lt;$N333),Config!$B$42,0))</f>
        <v/>
      </c>
      <c r="AM333" s="22"/>
      <c r="AN333" s="39">
        <f>IFERROR(VLOOKUP(K333,Grinders!$A:$Q,28,FALSE),0)</f>
        <v>0</v>
      </c>
      <c r="AO333" s="39">
        <f>IF(Config!$B$1003&lt;&gt;"Y",0,IF(IFERROR(VLOOKUP(K333,Grinders!$A:$P,27,FALSE),0)&gt;=3,IF(OR(G333&gt;=Config!$B$1001,ISNUMBER(SEARCH(E333,Config!$B$1002))),1,0),0))</f>
        <v>0</v>
      </c>
      <c r="AP333" s="39">
        <f t="array" ref="AP333">IFERROR(IF(INDEX(Bids!$AE:$AE,MATCH(B333,Bids!$A:$A,0))="Pending",1,0),0)</f>
        <v>0</v>
      </c>
      <c r="AQ333" s="39" t="str">
        <f t="array" ref="AQ333">IF(C333="","",IFERROR(XLOOKUP(C333,Assignments!$C:$C,Assignments!$AU:$AU,0),0))</f>
        <v/>
      </c>
      <c r="AR333" s="39">
        <f>IF(AND(Config!$B$1006="Y",AQ333=1),Config!$B$1007,0)</f>
        <v>0</v>
      </c>
    </row>
    <row r="334" ht="15.75" customHeight="1">
      <c r="A334" s="46" t="str">
        <f t="shared" si="1"/>
        <v/>
      </c>
      <c r="B334" s="40" t="str">
        <f>IF(Bids!$A333="","",Bids!$A333)</f>
        <v/>
      </c>
      <c r="C334" s="40" t="str">
        <f>IF(Bids!$B333="","",Bids!$B333)</f>
        <v/>
      </c>
      <c r="D334" s="40" t="str">
        <f>IF($C334="","",IFERROR(VLOOKUP($C334,Orders!$A$4:$J$998,9,FALSE),""))</f>
        <v/>
      </c>
      <c r="E334" s="40" t="str">
        <f>IF($C334="","",IFERROR(VLOOKUP($C334,Orders!$A$4:$J$998,3,FALSE),""))</f>
        <v/>
      </c>
      <c r="F334" s="40">
        <f t="shared" si="2"/>
        <v>1</v>
      </c>
      <c r="G334" s="40" t="str">
        <f>IF($C334="","",IFERROR(VLOOKUP($C334,Orders!$A$4:$J$998,4,FALSE),""))</f>
        <v/>
      </c>
      <c r="H334" s="40" t="str">
        <f>IF($C334="","",IFERROR(VLOOKUP($C334,Orders!$A$4:$J$998,5,FALSE),""))</f>
        <v/>
      </c>
      <c r="I334" s="40" t="str">
        <f>IF($C334="","",IFERROR(VLOOKUP($C334,Orders!$A$4:$J$998,6,FALSE),""))</f>
        <v/>
      </c>
      <c r="J334" s="40" t="str">
        <f>IF($C334="","",IFERROR(VLOOKUP($C334,Orders!$A$4:$J$998,7,FALSE),""))</f>
        <v/>
      </c>
      <c r="K334" s="40" t="str">
        <f>IF(Bids!$C333="","",Bids!$C333)</f>
        <v/>
      </c>
      <c r="L334" s="40" t="str">
        <f>IF($K334="","",IFERROR(VLOOKUP($K334,Grinders!$A$4:$N$998,2,FALSE),""))</f>
        <v/>
      </c>
      <c r="M334" s="40" t="str">
        <f>IF($K334="","",IFERROR(VLOOKUP($K334,Grinders!$A$4:$N$998,3,FALSE),""))</f>
        <v/>
      </c>
      <c r="N334" s="40" t="str">
        <f>IF($K334="","",IFERROR(VLOOKUP($K334,Grinders!$A$4:$N$998,4,FALSE),""))</f>
        <v/>
      </c>
      <c r="O334" s="40" t="str">
        <f>IF($K334="","",IFERROR(VLOOKUP($K334,Grinders!$A$4:$N$998,5,FALSE),""))</f>
        <v/>
      </c>
      <c r="P334" s="40" t="str">
        <f>IF($K334="","",IF($C$4="",0,COUNTIFS(Assignments!$B$6:$B$1000,$K334,Assignments!$F$6:$F$1000,$C$4,Assignments!$E$6:$E$1000,"Active")))</f>
        <v/>
      </c>
      <c r="Q334" s="40" t="str">
        <f t="shared" si="3"/>
        <v/>
      </c>
      <c r="R334" s="40" t="str">
        <f t="shared" si="4"/>
        <v/>
      </c>
      <c r="S334" s="40" t="str">
        <f>IF($K334="","",IF($C$4="",0,COUNTIFS(Assignments!$B$6:$B$1000,$K334,Assignments!$F$6:$F$1000,$C$4,Assignments!$D$6:$D$1000,"&gt;="&amp;Config!$B$3-7,Assignments!$D$6:$D$1000,"&lt;="&amp;Config!$B$3)))</f>
        <v/>
      </c>
      <c r="T334" s="40" t="str">
        <f>IF($K334="","",IFERROR(VLOOKUP($K334,Grinders!$A$4:$N$998,8,FALSE),""))</f>
        <v/>
      </c>
      <c r="U334" s="40" t="str">
        <f>IFERROR(IF($K334="","",IF($M334="Elite",MAX(50,MIN(100,Config!$B$27*MAX(0,MIN(100,(1-IF($R334="",0,$R334))*100)) + Config!$B$28*MAX(0,MIN(100,(1-MIN(1,IF(Config!$B$30=0,1,$S334/Config!$B$30)))*100)) + Config!$B$29*MAX(0,MIN(100,MIN(1,IF($T334="",0,$T334)/Config!$B$23)*100)))),MIN(100,Config!$B$27*MAX(0,MIN(100,(1-IF($R334="",0,$R334))*100)) + Config!$B$28*MAX(0,MIN(100,(1-MIN(1,IF(Config!$B$30=0,1,$S334/Config!$B$30)))*100)) + Config!$B$29*MAX(0,MIN(100,MIN(1,IF($T334="",0,$T334)/Config!$B$23)*100))))),"")
</f>
        <v/>
      </c>
      <c r="V334" s="40" t="str">
        <f>IF(Bids!$AC334="","",Bids!$AC334)</f>
        <v/>
      </c>
      <c r="W334" s="40" t="str">
        <f>IF(Bids!$F333="","",Bids!$F333)</f>
        <v/>
      </c>
      <c r="X334" s="40" t="str">
        <f t="shared" si="5"/>
        <v/>
      </c>
      <c r="Y334" s="40" t="str">
        <f>IF($X334="","",IF(Config!$B$17=Config!$B$16,IF($X334&gt;=Config!$B$17,100,0),MAX(0,MIN(100,($X334-Config!$B$16)/(Config!$B$17-Config!$B$16)*100))))</f>
        <v/>
      </c>
      <c r="Z334" s="40">
        <f>IF($M334="Elite",Config!$B$21,0)</f>
        <v>0</v>
      </c>
      <c r="AA334" s="40" t="str">
        <f>IFERROR(IF(OR($W334="",$H334=""),"",IF($W334&gt;$H334,
  MAX(0, 60-(($W334-$H334)*24/Config!$B$19)*60),
  MIN(100, 60+(($H334-$W334)*24/Config!$B$20)*40)
)),"")
</f>
        <v/>
      </c>
      <c r="AB334" s="40" t="str">
        <f>IF($K334="","",IFERROR(VLOOKUP($K334,Grinders!$A$4:$N$998,10,FALSE)/5*100,""))</f>
        <v/>
      </c>
      <c r="AC334" s="40" t="str">
        <f>IF($K334="","",IFERROR(VLOOKUP($K334,Grinders!$A$4:$N$998,11,FALSE)*100,""))</f>
        <v/>
      </c>
      <c r="AD334" s="40" t="str">
        <f>IF($K334="","",IFERROR(VLOOKUP($K334,Grinders!$A$4:$N$998,12,FALSE)*100,""))</f>
        <v/>
      </c>
      <c r="AE334" s="40" t="str">
        <f>IF(OR(AO334=1,AP334=1),0,=IFERROR(IFS(
    OR($C334="", $K334=""), 0,
    $F334=0, 0,
    $D334&lt;&gt;"Open", 0,
    COUNTIFS(GrinderServices!$A$6:$A$1000, $K334, GrinderServices!$B$6:$B$1000, $E334, GrinderServices!$D$6:$D$1000, "Y")=0, 0,
    $X334&lt;Config!$B$16, 0,
    Config!$B$18=1, IF($O334&gt;=N334, 0, 1),
    TRUE, 1
), "")
)</f>
        <v>#ERROR!</v>
      </c>
      <c r="AF334" s="40" t="str">
        <f>IFERROR((IF(OR(AO334=1,AP334=1),"",=IFERROR((IFERROR(IF($AE334=0,"",((Config!$B$6*$Y334 + Config!$B$7*$U334 + Config!$B$8*$Z334 + Config!$B$9*$AA334 + Config!$B$10*$AB334 + Config!$B$11*$AC334 - Config!$B$12*$AD334)/Config!$B$13)+$AK334+$AL334),""))*(1-IFERROR(VLOOKUP(K334,Grinders!$A:$AB, 28, FALSE),0)),"")))*(1+AR334),"")</f>
        <v>#ERROR!</v>
      </c>
      <c r="AG334" s="40" t="str">
        <f t="shared" si="6"/>
        <v>#ERROR!</v>
      </c>
      <c r="AH334" s="40" t="str">
        <f t="shared" si="7"/>
        <v/>
      </c>
      <c r="AI334" s="40" t="str">
        <f t="shared" si="8"/>
        <v/>
      </c>
      <c r="AJ334" s="40" t="str">
        <f>IF($K334="","",COUNTIF(Assignments!$B$6:$B$1000,$K334))</f>
        <v/>
      </c>
      <c r="AK334" s="40" t="str">
        <f>IF($K334="","",IF(AND($AJ334=0,$O334&lt;$N334),Config!$B$43,0))</f>
        <v/>
      </c>
      <c r="AL334" s="40" t="str">
        <f>IF($K334="","",IF(AND($M334="Elite",$G334&gt;=Config!$B$41,$O334&lt;$N334),Config!$B$42,0))</f>
        <v/>
      </c>
      <c r="AM334" s="22"/>
      <c r="AN334" s="39">
        <f>IFERROR(VLOOKUP(K334,Grinders!$A:$Q,28,FALSE),0)</f>
        <v>0</v>
      </c>
      <c r="AO334" s="39">
        <f>IF(Config!$B$1003&lt;&gt;"Y",0,IF(IFERROR(VLOOKUP(K334,Grinders!$A:$P,27,FALSE),0)&gt;=3,IF(OR(G334&gt;=Config!$B$1001,ISNUMBER(SEARCH(E334,Config!$B$1002))),1,0),0))</f>
        <v>0</v>
      </c>
      <c r="AP334" s="39">
        <f t="array" ref="AP334">IFERROR(IF(INDEX(Bids!$AE:$AE,MATCH(B334,Bids!$A:$A,0))="Pending",1,0),0)</f>
        <v>0</v>
      </c>
      <c r="AQ334" s="39" t="str">
        <f t="array" ref="AQ334">IF(C334="","",IFERROR(XLOOKUP(C334,Assignments!$C:$C,Assignments!$AU:$AU,0),0))</f>
        <v/>
      </c>
      <c r="AR334" s="39">
        <f>IF(AND(Config!$B$1006="Y",AQ334=1),Config!$B$1007,0)</f>
        <v>0</v>
      </c>
    </row>
    <row r="335" ht="15.75" customHeight="1">
      <c r="A335" s="46" t="str">
        <f t="shared" si="1"/>
        <v/>
      </c>
      <c r="B335" s="40" t="str">
        <f>IF(Bids!$A334="","",Bids!$A334)</f>
        <v/>
      </c>
      <c r="C335" s="40" t="str">
        <f>IF(Bids!$B334="","",Bids!$B334)</f>
        <v/>
      </c>
      <c r="D335" s="40" t="str">
        <f>IF($C335="","",IFERROR(VLOOKUP($C335,Orders!$A$4:$J$998,9,FALSE),""))</f>
        <v/>
      </c>
      <c r="E335" s="40" t="str">
        <f>IF($C335="","",IFERROR(VLOOKUP($C335,Orders!$A$4:$J$998,3,FALSE),""))</f>
        <v/>
      </c>
      <c r="F335" s="40">
        <f t="shared" si="2"/>
        <v>1</v>
      </c>
      <c r="G335" s="40" t="str">
        <f>IF($C335="","",IFERROR(VLOOKUP($C335,Orders!$A$4:$J$998,4,FALSE),""))</f>
        <v/>
      </c>
      <c r="H335" s="40" t="str">
        <f>IF($C335="","",IFERROR(VLOOKUP($C335,Orders!$A$4:$J$998,5,FALSE),""))</f>
        <v/>
      </c>
      <c r="I335" s="40" t="str">
        <f>IF($C335="","",IFERROR(VLOOKUP($C335,Orders!$A$4:$J$998,6,FALSE),""))</f>
        <v/>
      </c>
      <c r="J335" s="40" t="str">
        <f>IF($C335="","",IFERROR(VLOOKUP($C335,Orders!$A$4:$J$998,7,FALSE),""))</f>
        <v/>
      </c>
      <c r="K335" s="40" t="str">
        <f>IF(Bids!$C334="","",Bids!$C334)</f>
        <v/>
      </c>
      <c r="L335" s="40" t="str">
        <f>IF($K335="","",IFERROR(VLOOKUP($K335,Grinders!$A$4:$N$998,2,FALSE),""))</f>
        <v/>
      </c>
      <c r="M335" s="40" t="str">
        <f>IF($K335="","",IFERROR(VLOOKUP($K335,Grinders!$A$4:$N$998,3,FALSE),""))</f>
        <v/>
      </c>
      <c r="N335" s="40" t="str">
        <f>IF($K335="","",IFERROR(VLOOKUP($K335,Grinders!$A$4:$N$998,4,FALSE),""))</f>
        <v/>
      </c>
      <c r="O335" s="40" t="str">
        <f>IF($K335="","",IFERROR(VLOOKUP($K335,Grinders!$A$4:$N$998,5,FALSE),""))</f>
        <v/>
      </c>
      <c r="P335" s="40" t="str">
        <f>IF($K335="","",IF($C$4="",0,COUNTIFS(Assignments!$B$6:$B$1000,$K335,Assignments!$F$6:$F$1000,$C$4,Assignments!$E$6:$E$1000,"Active")))</f>
        <v/>
      </c>
      <c r="Q335" s="40" t="str">
        <f t="shared" si="3"/>
        <v/>
      </c>
      <c r="R335" s="40" t="str">
        <f t="shared" si="4"/>
        <v/>
      </c>
      <c r="S335" s="40" t="str">
        <f>IF($K335="","",IF($C$4="",0,COUNTIFS(Assignments!$B$6:$B$1000,$K335,Assignments!$F$6:$F$1000,$C$4,Assignments!$D$6:$D$1000,"&gt;="&amp;Config!$B$3-7,Assignments!$D$6:$D$1000,"&lt;="&amp;Config!$B$3)))</f>
        <v/>
      </c>
      <c r="T335" s="40" t="str">
        <f>IF($K335="","",IFERROR(VLOOKUP($K335,Grinders!$A$4:$N$998,8,FALSE),""))</f>
        <v/>
      </c>
      <c r="U335" s="40" t="str">
        <f>IFERROR(IF($K335="","",IF($M335="Elite",MAX(50,MIN(100,Config!$B$27*MAX(0,MIN(100,(1-IF($R335="",0,$R335))*100)) + Config!$B$28*MAX(0,MIN(100,(1-MIN(1,IF(Config!$B$30=0,1,$S335/Config!$B$30)))*100)) + Config!$B$29*MAX(0,MIN(100,MIN(1,IF($T335="",0,$T335)/Config!$B$23)*100)))),MIN(100,Config!$B$27*MAX(0,MIN(100,(1-IF($R335="",0,$R335))*100)) + Config!$B$28*MAX(0,MIN(100,(1-MIN(1,IF(Config!$B$30=0,1,$S335/Config!$B$30)))*100)) + Config!$B$29*MAX(0,MIN(100,MIN(1,IF($T335="",0,$T335)/Config!$B$23)*100))))),"")
</f>
        <v/>
      </c>
      <c r="V335" s="40" t="str">
        <f>IF(Bids!$AC335="","",Bids!$AC335)</f>
        <v/>
      </c>
      <c r="W335" s="40" t="str">
        <f>IF(Bids!$F334="","",Bids!$F334)</f>
        <v/>
      </c>
      <c r="X335" s="40" t="str">
        <f t="shared" si="5"/>
        <v/>
      </c>
      <c r="Y335" s="40" t="str">
        <f>IF($X335="","",IF(Config!$B$17=Config!$B$16,IF($X335&gt;=Config!$B$17,100,0),MAX(0,MIN(100,($X335-Config!$B$16)/(Config!$B$17-Config!$B$16)*100))))</f>
        <v/>
      </c>
      <c r="Z335" s="40">
        <f>IF($M335="Elite",Config!$B$21,0)</f>
        <v>0</v>
      </c>
      <c r="AA335" s="40" t="str">
        <f>IFERROR(IF(OR($W335="",$H335=""),"",IF($W335&gt;$H335,
  MAX(0, 60-(($W335-$H335)*24/Config!$B$19)*60),
  MIN(100, 60+(($H335-$W335)*24/Config!$B$20)*40)
)),"")
</f>
        <v/>
      </c>
      <c r="AB335" s="40" t="str">
        <f>IF($K335="","",IFERROR(VLOOKUP($K335,Grinders!$A$4:$N$998,10,FALSE)/5*100,""))</f>
        <v/>
      </c>
      <c r="AC335" s="40" t="str">
        <f>IF($K335="","",IFERROR(VLOOKUP($K335,Grinders!$A$4:$N$998,11,FALSE)*100,""))</f>
        <v/>
      </c>
      <c r="AD335" s="40" t="str">
        <f>IF($K335="","",IFERROR(VLOOKUP($K335,Grinders!$A$4:$N$998,12,FALSE)*100,""))</f>
        <v/>
      </c>
      <c r="AE335" s="40" t="str">
        <f>IF(OR(AO335=1,AP335=1),0,=IFERROR(IFS(
    OR($C335="", $K335=""), 0,
    $F335=0, 0,
    $D335&lt;&gt;"Open", 0,
    COUNTIFS(GrinderServices!$A$6:$A$1000, $K335, GrinderServices!$B$6:$B$1000, $E335, GrinderServices!$D$6:$D$1000, "Y")=0, 0,
    $X335&lt;Config!$B$16, 0,
    Config!$B$18=1, IF($O335&gt;=N335, 0, 1),
    TRUE, 1
), "")
)</f>
        <v>#ERROR!</v>
      </c>
      <c r="AF335" s="40" t="str">
        <f>IFERROR((IF(OR(AO335=1,AP335=1),"",=IFERROR((IFERROR(IF($AE335=0,"",((Config!$B$6*$Y335 + Config!$B$7*$U335 + Config!$B$8*$Z335 + Config!$B$9*$AA335 + Config!$B$10*$AB335 + Config!$B$11*$AC335 - Config!$B$12*$AD335)/Config!$B$13)+$AK335+$AL335),""))*(1-IFERROR(VLOOKUP(K335,Grinders!$A:$AB, 28, FALSE),0)),"")))*(1+AR335),"")</f>
        <v>#ERROR!</v>
      </c>
      <c r="AG335" s="40" t="str">
        <f t="shared" si="6"/>
        <v>#ERROR!</v>
      </c>
      <c r="AH335" s="40" t="str">
        <f t="shared" si="7"/>
        <v/>
      </c>
      <c r="AI335" s="40" t="str">
        <f t="shared" si="8"/>
        <v/>
      </c>
      <c r="AJ335" s="40" t="str">
        <f>IF($K335="","",COUNTIF(Assignments!$B$6:$B$1000,$K335))</f>
        <v/>
      </c>
      <c r="AK335" s="40" t="str">
        <f>IF($K335="","",IF(AND($AJ335=0,$O335&lt;$N335),Config!$B$43,0))</f>
        <v/>
      </c>
      <c r="AL335" s="40" t="str">
        <f>IF($K335="","",IF(AND($M335="Elite",$G335&gt;=Config!$B$41,$O335&lt;$N335),Config!$B$42,0))</f>
        <v/>
      </c>
      <c r="AM335" s="22"/>
      <c r="AN335" s="39">
        <f>IFERROR(VLOOKUP(K335,Grinders!$A:$Q,28,FALSE),0)</f>
        <v>0</v>
      </c>
      <c r="AO335" s="39">
        <f>IF(Config!$B$1003&lt;&gt;"Y",0,IF(IFERROR(VLOOKUP(K335,Grinders!$A:$P,27,FALSE),0)&gt;=3,IF(OR(G335&gt;=Config!$B$1001,ISNUMBER(SEARCH(E335,Config!$B$1002))),1,0),0))</f>
        <v>0</v>
      </c>
      <c r="AP335" s="39">
        <f t="array" ref="AP335">IFERROR(IF(INDEX(Bids!$AE:$AE,MATCH(B335,Bids!$A:$A,0))="Pending",1,0),0)</f>
        <v>0</v>
      </c>
      <c r="AQ335" s="39" t="str">
        <f t="array" ref="AQ335">IF(C335="","",IFERROR(XLOOKUP(C335,Assignments!$C:$C,Assignments!$AU:$AU,0),0))</f>
        <v/>
      </c>
      <c r="AR335" s="39">
        <f>IF(AND(Config!$B$1006="Y",AQ335=1),Config!$B$1007,0)</f>
        <v>0</v>
      </c>
    </row>
    <row r="336" ht="15.75" customHeight="1">
      <c r="A336" s="46" t="str">
        <f t="shared" si="1"/>
        <v/>
      </c>
      <c r="B336" s="40" t="str">
        <f>IF(Bids!$A335="","",Bids!$A335)</f>
        <v/>
      </c>
      <c r="C336" s="40" t="str">
        <f>IF(Bids!$B335="","",Bids!$B335)</f>
        <v/>
      </c>
      <c r="D336" s="40" t="str">
        <f>IF($C336="","",IFERROR(VLOOKUP($C336,Orders!$A$4:$J$998,9,FALSE),""))</f>
        <v/>
      </c>
      <c r="E336" s="40" t="str">
        <f>IF($C336="","",IFERROR(VLOOKUP($C336,Orders!$A$4:$J$998,3,FALSE),""))</f>
        <v/>
      </c>
      <c r="F336" s="40">
        <f t="shared" si="2"/>
        <v>1</v>
      </c>
      <c r="G336" s="40" t="str">
        <f>IF($C336="","",IFERROR(VLOOKUP($C336,Orders!$A$4:$J$998,4,FALSE),""))</f>
        <v/>
      </c>
      <c r="H336" s="40" t="str">
        <f>IF($C336="","",IFERROR(VLOOKUP($C336,Orders!$A$4:$J$998,5,FALSE),""))</f>
        <v/>
      </c>
      <c r="I336" s="40" t="str">
        <f>IF($C336="","",IFERROR(VLOOKUP($C336,Orders!$A$4:$J$998,6,FALSE),""))</f>
        <v/>
      </c>
      <c r="J336" s="40" t="str">
        <f>IF($C336="","",IFERROR(VLOOKUP($C336,Orders!$A$4:$J$998,7,FALSE),""))</f>
        <v/>
      </c>
      <c r="K336" s="40" t="str">
        <f>IF(Bids!$C335="","",Bids!$C335)</f>
        <v/>
      </c>
      <c r="L336" s="40" t="str">
        <f>IF($K336="","",IFERROR(VLOOKUP($K336,Grinders!$A$4:$N$998,2,FALSE),""))</f>
        <v/>
      </c>
      <c r="M336" s="40" t="str">
        <f>IF($K336="","",IFERROR(VLOOKUP($K336,Grinders!$A$4:$N$998,3,FALSE),""))</f>
        <v/>
      </c>
      <c r="N336" s="40" t="str">
        <f>IF($K336="","",IFERROR(VLOOKUP($K336,Grinders!$A$4:$N$998,4,FALSE),""))</f>
        <v/>
      </c>
      <c r="O336" s="40" t="str">
        <f>IF($K336="","",IFERROR(VLOOKUP($K336,Grinders!$A$4:$N$998,5,FALSE),""))</f>
        <v/>
      </c>
      <c r="P336" s="40" t="str">
        <f>IF($K336="","",IF($C$4="",0,COUNTIFS(Assignments!$B$6:$B$1000,$K336,Assignments!$F$6:$F$1000,$C$4,Assignments!$E$6:$E$1000,"Active")))</f>
        <v/>
      </c>
      <c r="Q336" s="40" t="str">
        <f t="shared" si="3"/>
        <v/>
      </c>
      <c r="R336" s="40" t="str">
        <f t="shared" si="4"/>
        <v/>
      </c>
      <c r="S336" s="40" t="str">
        <f>IF($K336="","",IF($C$4="",0,COUNTIFS(Assignments!$B$6:$B$1000,$K336,Assignments!$F$6:$F$1000,$C$4,Assignments!$D$6:$D$1000,"&gt;="&amp;Config!$B$3-7,Assignments!$D$6:$D$1000,"&lt;="&amp;Config!$B$3)))</f>
        <v/>
      </c>
      <c r="T336" s="40" t="str">
        <f>IF($K336="","",IFERROR(VLOOKUP($K336,Grinders!$A$4:$N$998,8,FALSE),""))</f>
        <v/>
      </c>
      <c r="U336" s="40" t="str">
        <f>IFERROR(IF($K336="","",IF($M336="Elite",MAX(50,MIN(100,Config!$B$27*MAX(0,MIN(100,(1-IF($R336="",0,$R336))*100)) + Config!$B$28*MAX(0,MIN(100,(1-MIN(1,IF(Config!$B$30=0,1,$S336/Config!$B$30)))*100)) + Config!$B$29*MAX(0,MIN(100,MIN(1,IF($T336="",0,$T336)/Config!$B$23)*100)))),MIN(100,Config!$B$27*MAX(0,MIN(100,(1-IF($R336="",0,$R336))*100)) + Config!$B$28*MAX(0,MIN(100,(1-MIN(1,IF(Config!$B$30=0,1,$S336/Config!$B$30)))*100)) + Config!$B$29*MAX(0,MIN(100,MIN(1,IF($T336="",0,$T336)/Config!$B$23)*100))))),"")
</f>
        <v/>
      </c>
      <c r="V336" s="40" t="str">
        <f>IF(Bids!$AC336="","",Bids!$AC336)</f>
        <v/>
      </c>
      <c r="W336" s="40" t="str">
        <f>IF(Bids!$F335="","",Bids!$F335)</f>
        <v/>
      </c>
      <c r="X336" s="40" t="str">
        <f t="shared" si="5"/>
        <v/>
      </c>
      <c r="Y336" s="40" t="str">
        <f>IF($X336="","",IF(Config!$B$17=Config!$B$16,IF($X336&gt;=Config!$B$17,100,0),MAX(0,MIN(100,($X336-Config!$B$16)/(Config!$B$17-Config!$B$16)*100))))</f>
        <v/>
      </c>
      <c r="Z336" s="40">
        <f>IF($M336="Elite",Config!$B$21,0)</f>
        <v>0</v>
      </c>
      <c r="AA336" s="40" t="str">
        <f>IFERROR(IF(OR($W336="",$H336=""),"",IF($W336&gt;$H336,
  MAX(0, 60-(($W336-$H336)*24/Config!$B$19)*60),
  MIN(100, 60+(($H336-$W336)*24/Config!$B$20)*40)
)),"")
</f>
        <v/>
      </c>
      <c r="AB336" s="40" t="str">
        <f>IF($K336="","",IFERROR(VLOOKUP($K336,Grinders!$A$4:$N$998,10,FALSE)/5*100,""))</f>
        <v/>
      </c>
      <c r="AC336" s="40" t="str">
        <f>IF($K336="","",IFERROR(VLOOKUP($K336,Grinders!$A$4:$N$998,11,FALSE)*100,""))</f>
        <v/>
      </c>
      <c r="AD336" s="40" t="str">
        <f>IF($K336="","",IFERROR(VLOOKUP($K336,Grinders!$A$4:$N$998,12,FALSE)*100,""))</f>
        <v/>
      </c>
      <c r="AE336" s="40" t="str">
        <f>IF(OR(AO336=1,AP336=1),0,=IFERROR(IFS(
    OR($C336="", $K336=""), 0,
    $F336=0, 0,
    $D336&lt;&gt;"Open", 0,
    COUNTIFS(GrinderServices!$A$6:$A$1000, $K336, GrinderServices!$B$6:$B$1000, $E336, GrinderServices!$D$6:$D$1000, "Y")=0, 0,
    $X336&lt;Config!$B$16, 0,
    Config!$B$18=1, IF($O336&gt;=N336, 0, 1),
    TRUE, 1
), "")
)</f>
        <v>#ERROR!</v>
      </c>
      <c r="AF336" s="40" t="str">
        <f>IFERROR((IF(OR(AO336=1,AP336=1),"",=IFERROR((IFERROR(IF($AE336=0,"",((Config!$B$6*$Y336 + Config!$B$7*$U336 + Config!$B$8*$Z336 + Config!$B$9*$AA336 + Config!$B$10*$AB336 + Config!$B$11*$AC336 - Config!$B$12*$AD336)/Config!$B$13)+$AK336+$AL336),""))*(1-IFERROR(VLOOKUP(K336,Grinders!$A:$AB, 28, FALSE),0)),"")))*(1+AR336),"")</f>
        <v>#ERROR!</v>
      </c>
      <c r="AG336" s="40" t="str">
        <f t="shared" si="6"/>
        <v>#ERROR!</v>
      </c>
      <c r="AH336" s="40" t="str">
        <f t="shared" si="7"/>
        <v/>
      </c>
      <c r="AI336" s="40" t="str">
        <f t="shared" si="8"/>
        <v/>
      </c>
      <c r="AJ336" s="40" t="str">
        <f>IF($K336="","",COUNTIF(Assignments!$B$6:$B$1000,$K336))</f>
        <v/>
      </c>
      <c r="AK336" s="40" t="str">
        <f>IF($K336="","",IF(AND($AJ336=0,$O336&lt;$N336),Config!$B$43,0))</f>
        <v/>
      </c>
      <c r="AL336" s="40" t="str">
        <f>IF($K336="","",IF(AND($M336="Elite",$G336&gt;=Config!$B$41,$O336&lt;$N336),Config!$B$42,0))</f>
        <v/>
      </c>
      <c r="AM336" s="22"/>
      <c r="AN336" s="39">
        <f>IFERROR(VLOOKUP(K336,Grinders!$A:$Q,28,FALSE),0)</f>
        <v>0</v>
      </c>
      <c r="AO336" s="39">
        <f>IF(Config!$B$1003&lt;&gt;"Y",0,IF(IFERROR(VLOOKUP(K336,Grinders!$A:$P,27,FALSE),0)&gt;=3,IF(OR(G336&gt;=Config!$B$1001,ISNUMBER(SEARCH(E336,Config!$B$1002))),1,0),0))</f>
        <v>0</v>
      </c>
      <c r="AP336" s="39">
        <f t="array" ref="AP336">IFERROR(IF(INDEX(Bids!$AE:$AE,MATCH(B336,Bids!$A:$A,0))="Pending",1,0),0)</f>
        <v>0</v>
      </c>
      <c r="AQ336" s="39" t="str">
        <f t="array" ref="AQ336">IF(C336="","",IFERROR(XLOOKUP(C336,Assignments!$C:$C,Assignments!$AU:$AU,0),0))</f>
        <v/>
      </c>
      <c r="AR336" s="39">
        <f>IF(AND(Config!$B$1006="Y",AQ336=1),Config!$B$1007,0)</f>
        <v>0</v>
      </c>
    </row>
    <row r="337" ht="15.75" customHeight="1">
      <c r="A337" s="46" t="str">
        <f t="shared" si="1"/>
        <v/>
      </c>
      <c r="B337" s="40" t="str">
        <f>IF(Bids!$A336="","",Bids!$A336)</f>
        <v/>
      </c>
      <c r="C337" s="40" t="str">
        <f>IF(Bids!$B336="","",Bids!$B336)</f>
        <v/>
      </c>
      <c r="D337" s="40" t="str">
        <f>IF($C337="","",IFERROR(VLOOKUP($C337,Orders!$A$4:$J$998,9,FALSE),""))</f>
        <v/>
      </c>
      <c r="E337" s="40" t="str">
        <f>IF($C337="","",IFERROR(VLOOKUP($C337,Orders!$A$4:$J$998,3,FALSE),""))</f>
        <v/>
      </c>
      <c r="F337" s="40">
        <f t="shared" si="2"/>
        <v>1</v>
      </c>
      <c r="G337" s="40" t="str">
        <f>IF($C337="","",IFERROR(VLOOKUP($C337,Orders!$A$4:$J$998,4,FALSE),""))</f>
        <v/>
      </c>
      <c r="H337" s="40" t="str">
        <f>IF($C337="","",IFERROR(VLOOKUP($C337,Orders!$A$4:$J$998,5,FALSE),""))</f>
        <v/>
      </c>
      <c r="I337" s="40" t="str">
        <f>IF($C337="","",IFERROR(VLOOKUP($C337,Orders!$A$4:$J$998,6,FALSE),""))</f>
        <v/>
      </c>
      <c r="J337" s="40" t="str">
        <f>IF($C337="","",IFERROR(VLOOKUP($C337,Orders!$A$4:$J$998,7,FALSE),""))</f>
        <v/>
      </c>
      <c r="K337" s="40" t="str">
        <f>IF(Bids!$C336="","",Bids!$C336)</f>
        <v/>
      </c>
      <c r="L337" s="40" t="str">
        <f>IF($K337="","",IFERROR(VLOOKUP($K337,Grinders!$A$4:$N$998,2,FALSE),""))</f>
        <v/>
      </c>
      <c r="M337" s="40" t="str">
        <f>IF($K337="","",IFERROR(VLOOKUP($K337,Grinders!$A$4:$N$998,3,FALSE),""))</f>
        <v/>
      </c>
      <c r="N337" s="40" t="str">
        <f>IF($K337="","",IFERROR(VLOOKUP($K337,Grinders!$A$4:$N$998,4,FALSE),""))</f>
        <v/>
      </c>
      <c r="O337" s="40" t="str">
        <f>IF($K337="","",IFERROR(VLOOKUP($K337,Grinders!$A$4:$N$998,5,FALSE),""))</f>
        <v/>
      </c>
      <c r="P337" s="40" t="str">
        <f>IF($K337="","",IF($C$4="",0,COUNTIFS(Assignments!$B$6:$B$1000,$K337,Assignments!$F$6:$F$1000,$C$4,Assignments!$E$6:$E$1000,"Active")))</f>
        <v/>
      </c>
      <c r="Q337" s="40" t="str">
        <f t="shared" si="3"/>
        <v/>
      </c>
      <c r="R337" s="40" t="str">
        <f t="shared" si="4"/>
        <v/>
      </c>
      <c r="S337" s="40" t="str">
        <f>IF($K337="","",IF($C$4="",0,COUNTIFS(Assignments!$B$6:$B$1000,$K337,Assignments!$F$6:$F$1000,$C$4,Assignments!$D$6:$D$1000,"&gt;="&amp;Config!$B$3-7,Assignments!$D$6:$D$1000,"&lt;="&amp;Config!$B$3)))</f>
        <v/>
      </c>
      <c r="T337" s="40" t="str">
        <f>IF($K337="","",IFERROR(VLOOKUP($K337,Grinders!$A$4:$N$998,8,FALSE),""))</f>
        <v/>
      </c>
      <c r="U337" s="40" t="str">
        <f>IFERROR(IF($K337="","",IF($M337="Elite",MAX(50,MIN(100,Config!$B$27*MAX(0,MIN(100,(1-IF($R337="",0,$R337))*100)) + Config!$B$28*MAX(0,MIN(100,(1-MIN(1,IF(Config!$B$30=0,1,$S337/Config!$B$30)))*100)) + Config!$B$29*MAX(0,MIN(100,MIN(1,IF($T337="",0,$T337)/Config!$B$23)*100)))),MIN(100,Config!$B$27*MAX(0,MIN(100,(1-IF($R337="",0,$R337))*100)) + Config!$B$28*MAX(0,MIN(100,(1-MIN(1,IF(Config!$B$30=0,1,$S337/Config!$B$30)))*100)) + Config!$B$29*MAX(0,MIN(100,MIN(1,IF($T337="",0,$T337)/Config!$B$23)*100))))),"")
</f>
        <v/>
      </c>
      <c r="V337" s="40" t="str">
        <f>IF(Bids!$AC337="","",Bids!$AC337)</f>
        <v/>
      </c>
      <c r="W337" s="40" t="str">
        <f>IF(Bids!$F336="","",Bids!$F336)</f>
        <v/>
      </c>
      <c r="X337" s="40" t="str">
        <f t="shared" si="5"/>
        <v/>
      </c>
      <c r="Y337" s="40" t="str">
        <f>IF($X337="","",IF(Config!$B$17=Config!$B$16,IF($X337&gt;=Config!$B$17,100,0),MAX(0,MIN(100,($X337-Config!$B$16)/(Config!$B$17-Config!$B$16)*100))))</f>
        <v/>
      </c>
      <c r="Z337" s="40">
        <f>IF($M337="Elite",Config!$B$21,0)</f>
        <v>0</v>
      </c>
      <c r="AA337" s="40" t="str">
        <f>IFERROR(IF(OR($W337="",$H337=""),"",IF($W337&gt;$H337,
  MAX(0, 60-(($W337-$H337)*24/Config!$B$19)*60),
  MIN(100, 60+(($H337-$W337)*24/Config!$B$20)*40)
)),"")
</f>
        <v/>
      </c>
      <c r="AB337" s="40" t="str">
        <f>IF($K337="","",IFERROR(VLOOKUP($K337,Grinders!$A$4:$N$998,10,FALSE)/5*100,""))</f>
        <v/>
      </c>
      <c r="AC337" s="40" t="str">
        <f>IF($K337="","",IFERROR(VLOOKUP($K337,Grinders!$A$4:$N$998,11,FALSE)*100,""))</f>
        <v/>
      </c>
      <c r="AD337" s="40" t="str">
        <f>IF($K337="","",IFERROR(VLOOKUP($K337,Grinders!$A$4:$N$998,12,FALSE)*100,""))</f>
        <v/>
      </c>
      <c r="AE337" s="40" t="str">
        <f>IF(OR(AO337=1,AP337=1),0,=IFERROR(IFS(
    OR($C337="", $K337=""), 0,
    $F337=0, 0,
    $D337&lt;&gt;"Open", 0,
    COUNTIFS(GrinderServices!$A$6:$A$1000, $K337, GrinderServices!$B$6:$B$1000, $E337, GrinderServices!$D$6:$D$1000, "Y")=0, 0,
    $X337&lt;Config!$B$16, 0,
    Config!$B$18=1, IF($O337&gt;=N337, 0, 1),
    TRUE, 1
), "")
)</f>
        <v>#ERROR!</v>
      </c>
      <c r="AF337" s="40" t="str">
        <f>IFERROR((IF(OR(AO337=1,AP337=1),"",=IFERROR((IFERROR(IF($AE337=0,"",((Config!$B$6*$Y337 + Config!$B$7*$U337 + Config!$B$8*$Z337 + Config!$B$9*$AA337 + Config!$B$10*$AB337 + Config!$B$11*$AC337 - Config!$B$12*$AD337)/Config!$B$13)+$AK337+$AL337),""))*(1-IFERROR(VLOOKUP(K337,Grinders!$A:$AB, 28, FALSE),0)),"")))*(1+AR337),"")</f>
        <v>#ERROR!</v>
      </c>
      <c r="AG337" s="40" t="str">
        <f t="shared" si="6"/>
        <v>#ERROR!</v>
      </c>
      <c r="AH337" s="40" t="str">
        <f t="shared" si="7"/>
        <v/>
      </c>
      <c r="AI337" s="40" t="str">
        <f t="shared" si="8"/>
        <v/>
      </c>
      <c r="AJ337" s="40" t="str">
        <f>IF($K337="","",COUNTIF(Assignments!$B$6:$B$1000,$K337))</f>
        <v/>
      </c>
      <c r="AK337" s="40" t="str">
        <f>IF($K337="","",IF(AND($AJ337=0,$O337&lt;$N337),Config!$B$43,0))</f>
        <v/>
      </c>
      <c r="AL337" s="40" t="str">
        <f>IF($K337="","",IF(AND($M337="Elite",$G337&gt;=Config!$B$41,$O337&lt;$N337),Config!$B$42,0))</f>
        <v/>
      </c>
      <c r="AM337" s="22"/>
      <c r="AN337" s="39">
        <f>IFERROR(VLOOKUP(K337,Grinders!$A:$Q,28,FALSE),0)</f>
        <v>0</v>
      </c>
      <c r="AO337" s="39">
        <f>IF(Config!$B$1003&lt;&gt;"Y",0,IF(IFERROR(VLOOKUP(K337,Grinders!$A:$P,27,FALSE),0)&gt;=3,IF(OR(G337&gt;=Config!$B$1001,ISNUMBER(SEARCH(E337,Config!$B$1002))),1,0),0))</f>
        <v>0</v>
      </c>
      <c r="AP337" s="39">
        <f t="array" ref="AP337">IFERROR(IF(INDEX(Bids!$AE:$AE,MATCH(B337,Bids!$A:$A,0))="Pending",1,0),0)</f>
        <v>0</v>
      </c>
      <c r="AQ337" s="39" t="str">
        <f t="array" ref="AQ337">IF(C337="","",IFERROR(XLOOKUP(C337,Assignments!$C:$C,Assignments!$AU:$AU,0),0))</f>
        <v/>
      </c>
      <c r="AR337" s="39">
        <f>IF(AND(Config!$B$1006="Y",AQ337=1),Config!$B$1007,0)</f>
        <v>0</v>
      </c>
    </row>
    <row r="338" ht="15.75" customHeight="1">
      <c r="A338" s="46" t="str">
        <f t="shared" si="1"/>
        <v/>
      </c>
      <c r="B338" s="40" t="str">
        <f>IF(Bids!$A337="","",Bids!$A337)</f>
        <v/>
      </c>
      <c r="C338" s="40" t="str">
        <f>IF(Bids!$B337="","",Bids!$B337)</f>
        <v/>
      </c>
      <c r="D338" s="40" t="str">
        <f>IF($C338="","",IFERROR(VLOOKUP($C338,Orders!$A$4:$J$998,9,FALSE),""))</f>
        <v/>
      </c>
      <c r="E338" s="40" t="str">
        <f>IF($C338="","",IFERROR(VLOOKUP($C338,Orders!$A$4:$J$998,3,FALSE),""))</f>
        <v/>
      </c>
      <c r="F338" s="40">
        <f t="shared" si="2"/>
        <v>1</v>
      </c>
      <c r="G338" s="40" t="str">
        <f>IF($C338="","",IFERROR(VLOOKUP($C338,Orders!$A$4:$J$998,4,FALSE),""))</f>
        <v/>
      </c>
      <c r="H338" s="40" t="str">
        <f>IF($C338="","",IFERROR(VLOOKUP($C338,Orders!$A$4:$J$998,5,FALSE),""))</f>
        <v/>
      </c>
      <c r="I338" s="40" t="str">
        <f>IF($C338="","",IFERROR(VLOOKUP($C338,Orders!$A$4:$J$998,6,FALSE),""))</f>
        <v/>
      </c>
      <c r="J338" s="40" t="str">
        <f>IF($C338="","",IFERROR(VLOOKUP($C338,Orders!$A$4:$J$998,7,FALSE),""))</f>
        <v/>
      </c>
      <c r="K338" s="40" t="str">
        <f>IF(Bids!$C337="","",Bids!$C337)</f>
        <v/>
      </c>
      <c r="L338" s="40" t="str">
        <f>IF($K338="","",IFERROR(VLOOKUP($K338,Grinders!$A$4:$N$998,2,FALSE),""))</f>
        <v/>
      </c>
      <c r="M338" s="40" t="str">
        <f>IF($K338="","",IFERROR(VLOOKUP($K338,Grinders!$A$4:$N$998,3,FALSE),""))</f>
        <v/>
      </c>
      <c r="N338" s="40" t="str">
        <f>IF($K338="","",IFERROR(VLOOKUP($K338,Grinders!$A$4:$N$998,4,FALSE),""))</f>
        <v/>
      </c>
      <c r="O338" s="40" t="str">
        <f>IF($K338="","",IFERROR(VLOOKUP($K338,Grinders!$A$4:$N$998,5,FALSE),""))</f>
        <v/>
      </c>
      <c r="P338" s="40" t="str">
        <f>IF($K338="","",IF($C$4="",0,COUNTIFS(Assignments!$B$6:$B$1000,$K338,Assignments!$F$6:$F$1000,$C$4,Assignments!$E$6:$E$1000,"Active")))</f>
        <v/>
      </c>
      <c r="Q338" s="40" t="str">
        <f t="shared" si="3"/>
        <v/>
      </c>
      <c r="R338" s="40" t="str">
        <f t="shared" si="4"/>
        <v/>
      </c>
      <c r="S338" s="40" t="str">
        <f>IF($K338="","",IF($C$4="",0,COUNTIFS(Assignments!$B$6:$B$1000,$K338,Assignments!$F$6:$F$1000,$C$4,Assignments!$D$6:$D$1000,"&gt;="&amp;Config!$B$3-7,Assignments!$D$6:$D$1000,"&lt;="&amp;Config!$B$3)))</f>
        <v/>
      </c>
      <c r="T338" s="40" t="str">
        <f>IF($K338="","",IFERROR(VLOOKUP($K338,Grinders!$A$4:$N$998,8,FALSE),""))</f>
        <v/>
      </c>
      <c r="U338" s="40" t="str">
        <f>IFERROR(IF($K338="","",IF($M338="Elite",MAX(50,MIN(100,Config!$B$27*MAX(0,MIN(100,(1-IF($R338="",0,$R338))*100)) + Config!$B$28*MAX(0,MIN(100,(1-MIN(1,IF(Config!$B$30=0,1,$S338/Config!$B$30)))*100)) + Config!$B$29*MAX(0,MIN(100,MIN(1,IF($T338="",0,$T338)/Config!$B$23)*100)))),MIN(100,Config!$B$27*MAX(0,MIN(100,(1-IF($R338="",0,$R338))*100)) + Config!$B$28*MAX(0,MIN(100,(1-MIN(1,IF(Config!$B$30=0,1,$S338/Config!$B$30)))*100)) + Config!$B$29*MAX(0,MIN(100,MIN(1,IF($T338="",0,$T338)/Config!$B$23)*100))))),"")
</f>
        <v/>
      </c>
      <c r="V338" s="40" t="str">
        <f>IF(Bids!$AC338="","",Bids!$AC338)</f>
        <v/>
      </c>
      <c r="W338" s="40" t="str">
        <f>IF(Bids!$F337="","",Bids!$F337)</f>
        <v/>
      </c>
      <c r="X338" s="40" t="str">
        <f t="shared" si="5"/>
        <v/>
      </c>
      <c r="Y338" s="40" t="str">
        <f>IF($X338="","",IF(Config!$B$17=Config!$B$16,IF($X338&gt;=Config!$B$17,100,0),MAX(0,MIN(100,($X338-Config!$B$16)/(Config!$B$17-Config!$B$16)*100))))</f>
        <v/>
      </c>
      <c r="Z338" s="40">
        <f>IF($M338="Elite",Config!$B$21,0)</f>
        <v>0</v>
      </c>
      <c r="AA338" s="40" t="str">
        <f>IFERROR(IF(OR($W338="",$H338=""),"",IF($W338&gt;$H338,
  MAX(0, 60-(($W338-$H338)*24/Config!$B$19)*60),
  MIN(100, 60+(($H338-$W338)*24/Config!$B$20)*40)
)),"")
</f>
        <v/>
      </c>
      <c r="AB338" s="40" t="str">
        <f>IF($K338="","",IFERROR(VLOOKUP($K338,Grinders!$A$4:$N$998,10,FALSE)/5*100,""))</f>
        <v/>
      </c>
      <c r="AC338" s="40" t="str">
        <f>IF($K338="","",IFERROR(VLOOKUP($K338,Grinders!$A$4:$N$998,11,FALSE)*100,""))</f>
        <v/>
      </c>
      <c r="AD338" s="40" t="str">
        <f>IF($K338="","",IFERROR(VLOOKUP($K338,Grinders!$A$4:$N$998,12,FALSE)*100,""))</f>
        <v/>
      </c>
      <c r="AE338" s="40" t="str">
        <f>IF(OR(AO338=1,AP338=1),0,=IFERROR(IFS(
    OR($C338="", $K338=""), 0,
    $F338=0, 0,
    $D338&lt;&gt;"Open", 0,
    COUNTIFS(GrinderServices!$A$6:$A$1000, $K338, GrinderServices!$B$6:$B$1000, $E338, GrinderServices!$D$6:$D$1000, "Y")=0, 0,
    $X338&lt;Config!$B$16, 0,
    Config!$B$18=1, IF($O338&gt;=N338, 0, 1),
    TRUE, 1
), "")
)</f>
        <v>#ERROR!</v>
      </c>
      <c r="AF338" s="40" t="str">
        <f>IFERROR((IF(OR(AO338=1,AP338=1),"",=IFERROR((IFERROR(IF($AE338=0,"",((Config!$B$6*$Y338 + Config!$B$7*$U338 + Config!$B$8*$Z338 + Config!$B$9*$AA338 + Config!$B$10*$AB338 + Config!$B$11*$AC338 - Config!$B$12*$AD338)/Config!$B$13)+$AK338+$AL338),""))*(1-IFERROR(VLOOKUP(K338,Grinders!$A:$AB, 28, FALSE),0)),"")))*(1+AR338),"")</f>
        <v>#ERROR!</v>
      </c>
      <c r="AG338" s="40" t="str">
        <f t="shared" si="6"/>
        <v>#ERROR!</v>
      </c>
      <c r="AH338" s="40" t="str">
        <f t="shared" si="7"/>
        <v/>
      </c>
      <c r="AI338" s="40" t="str">
        <f t="shared" si="8"/>
        <v/>
      </c>
      <c r="AJ338" s="40" t="str">
        <f>IF($K338="","",COUNTIF(Assignments!$B$6:$B$1000,$K338))</f>
        <v/>
      </c>
      <c r="AK338" s="40" t="str">
        <f>IF($K338="","",IF(AND($AJ338=0,$O338&lt;$N338),Config!$B$43,0))</f>
        <v/>
      </c>
      <c r="AL338" s="40" t="str">
        <f>IF($K338="","",IF(AND($M338="Elite",$G338&gt;=Config!$B$41,$O338&lt;$N338),Config!$B$42,0))</f>
        <v/>
      </c>
      <c r="AM338" s="22"/>
      <c r="AN338" s="39">
        <f>IFERROR(VLOOKUP(K338,Grinders!$A:$Q,28,FALSE),0)</f>
        <v>0</v>
      </c>
      <c r="AO338" s="39">
        <f>IF(Config!$B$1003&lt;&gt;"Y",0,IF(IFERROR(VLOOKUP(K338,Grinders!$A:$P,27,FALSE),0)&gt;=3,IF(OR(G338&gt;=Config!$B$1001,ISNUMBER(SEARCH(E338,Config!$B$1002))),1,0),0))</f>
        <v>0</v>
      </c>
      <c r="AP338" s="39">
        <f t="array" ref="AP338">IFERROR(IF(INDEX(Bids!$AE:$AE,MATCH(B338,Bids!$A:$A,0))="Pending",1,0),0)</f>
        <v>0</v>
      </c>
      <c r="AQ338" s="39" t="str">
        <f t="array" ref="AQ338">IF(C338="","",IFERROR(XLOOKUP(C338,Assignments!$C:$C,Assignments!$AU:$AU,0),0))</f>
        <v/>
      </c>
      <c r="AR338" s="39">
        <f>IF(AND(Config!$B$1006="Y",AQ338=1),Config!$B$1007,0)</f>
        <v>0</v>
      </c>
    </row>
    <row r="339" ht="15.75" customHeight="1">
      <c r="A339" s="46" t="str">
        <f t="shared" si="1"/>
        <v/>
      </c>
      <c r="B339" s="40" t="str">
        <f>IF(Bids!$A338="","",Bids!$A338)</f>
        <v/>
      </c>
      <c r="C339" s="40" t="str">
        <f>IF(Bids!$B338="","",Bids!$B338)</f>
        <v/>
      </c>
      <c r="D339" s="40" t="str">
        <f>IF($C339="","",IFERROR(VLOOKUP($C339,Orders!$A$4:$J$998,9,FALSE),""))</f>
        <v/>
      </c>
      <c r="E339" s="40" t="str">
        <f>IF($C339="","",IFERROR(VLOOKUP($C339,Orders!$A$4:$J$998,3,FALSE),""))</f>
        <v/>
      </c>
      <c r="F339" s="40">
        <f t="shared" si="2"/>
        <v>1</v>
      </c>
      <c r="G339" s="40" t="str">
        <f>IF($C339="","",IFERROR(VLOOKUP($C339,Orders!$A$4:$J$998,4,FALSE),""))</f>
        <v/>
      </c>
      <c r="H339" s="40" t="str">
        <f>IF($C339="","",IFERROR(VLOOKUP($C339,Orders!$A$4:$J$998,5,FALSE),""))</f>
        <v/>
      </c>
      <c r="I339" s="40" t="str">
        <f>IF($C339="","",IFERROR(VLOOKUP($C339,Orders!$A$4:$J$998,6,FALSE),""))</f>
        <v/>
      </c>
      <c r="J339" s="40" t="str">
        <f>IF($C339="","",IFERROR(VLOOKUP($C339,Orders!$A$4:$J$998,7,FALSE),""))</f>
        <v/>
      </c>
      <c r="K339" s="40" t="str">
        <f>IF(Bids!$C338="","",Bids!$C338)</f>
        <v/>
      </c>
      <c r="L339" s="40" t="str">
        <f>IF($K339="","",IFERROR(VLOOKUP($K339,Grinders!$A$4:$N$998,2,FALSE),""))</f>
        <v/>
      </c>
      <c r="M339" s="40" t="str">
        <f>IF($K339="","",IFERROR(VLOOKUP($K339,Grinders!$A$4:$N$998,3,FALSE),""))</f>
        <v/>
      </c>
      <c r="N339" s="40" t="str">
        <f>IF($K339="","",IFERROR(VLOOKUP($K339,Grinders!$A$4:$N$998,4,FALSE),""))</f>
        <v/>
      </c>
      <c r="O339" s="40" t="str">
        <f>IF($K339="","",IFERROR(VLOOKUP($K339,Grinders!$A$4:$N$998,5,FALSE),""))</f>
        <v/>
      </c>
      <c r="P339" s="40" t="str">
        <f>IF($K339="","",IF($C$4="",0,COUNTIFS(Assignments!$B$6:$B$1000,$K339,Assignments!$F$6:$F$1000,$C$4,Assignments!$E$6:$E$1000,"Active")))</f>
        <v/>
      </c>
      <c r="Q339" s="40" t="str">
        <f t="shared" si="3"/>
        <v/>
      </c>
      <c r="R339" s="40" t="str">
        <f t="shared" si="4"/>
        <v/>
      </c>
      <c r="S339" s="40" t="str">
        <f>IF($K339="","",IF($C$4="",0,COUNTIFS(Assignments!$B$6:$B$1000,$K339,Assignments!$F$6:$F$1000,$C$4,Assignments!$D$6:$D$1000,"&gt;="&amp;Config!$B$3-7,Assignments!$D$6:$D$1000,"&lt;="&amp;Config!$B$3)))</f>
        <v/>
      </c>
      <c r="T339" s="40" t="str">
        <f>IF($K339="","",IFERROR(VLOOKUP($K339,Grinders!$A$4:$N$998,8,FALSE),""))</f>
        <v/>
      </c>
      <c r="U339" s="40" t="str">
        <f>IFERROR(IF($K339="","",IF($M339="Elite",MAX(50,MIN(100,Config!$B$27*MAX(0,MIN(100,(1-IF($R339="",0,$R339))*100)) + Config!$B$28*MAX(0,MIN(100,(1-MIN(1,IF(Config!$B$30=0,1,$S339/Config!$B$30)))*100)) + Config!$B$29*MAX(0,MIN(100,MIN(1,IF($T339="",0,$T339)/Config!$B$23)*100)))),MIN(100,Config!$B$27*MAX(0,MIN(100,(1-IF($R339="",0,$R339))*100)) + Config!$B$28*MAX(0,MIN(100,(1-MIN(1,IF(Config!$B$30=0,1,$S339/Config!$B$30)))*100)) + Config!$B$29*MAX(0,MIN(100,MIN(1,IF($T339="",0,$T339)/Config!$B$23)*100))))),"")
</f>
        <v/>
      </c>
      <c r="V339" s="40" t="str">
        <f>IF(Bids!$AC339="","",Bids!$AC339)</f>
        <v/>
      </c>
      <c r="W339" s="40" t="str">
        <f>IF(Bids!$F338="","",Bids!$F338)</f>
        <v/>
      </c>
      <c r="X339" s="40" t="str">
        <f t="shared" si="5"/>
        <v/>
      </c>
      <c r="Y339" s="40" t="str">
        <f>IF($X339="","",IF(Config!$B$17=Config!$B$16,IF($X339&gt;=Config!$B$17,100,0),MAX(0,MIN(100,($X339-Config!$B$16)/(Config!$B$17-Config!$B$16)*100))))</f>
        <v/>
      </c>
      <c r="Z339" s="40">
        <f>IF($M339="Elite",Config!$B$21,0)</f>
        <v>0</v>
      </c>
      <c r="AA339" s="40" t="str">
        <f>IFERROR(IF(OR($W339="",$H339=""),"",IF($W339&gt;$H339,
  MAX(0, 60-(($W339-$H339)*24/Config!$B$19)*60),
  MIN(100, 60+(($H339-$W339)*24/Config!$B$20)*40)
)),"")
</f>
        <v/>
      </c>
      <c r="AB339" s="40" t="str">
        <f>IF($K339="","",IFERROR(VLOOKUP($K339,Grinders!$A$4:$N$998,10,FALSE)/5*100,""))</f>
        <v/>
      </c>
      <c r="AC339" s="40" t="str">
        <f>IF($K339="","",IFERROR(VLOOKUP($K339,Grinders!$A$4:$N$998,11,FALSE)*100,""))</f>
        <v/>
      </c>
      <c r="AD339" s="40" t="str">
        <f>IF($K339="","",IFERROR(VLOOKUP($K339,Grinders!$A$4:$N$998,12,FALSE)*100,""))</f>
        <v/>
      </c>
      <c r="AE339" s="40" t="str">
        <f>IF(OR(AO339=1,AP339=1),0,=IFERROR(IFS(
    OR($C339="", $K339=""), 0,
    $F339=0, 0,
    $D339&lt;&gt;"Open", 0,
    COUNTIFS(GrinderServices!$A$6:$A$1000, $K339, GrinderServices!$B$6:$B$1000, $E339, GrinderServices!$D$6:$D$1000, "Y")=0, 0,
    $X339&lt;Config!$B$16, 0,
    Config!$B$18=1, IF($O339&gt;=N339, 0, 1),
    TRUE, 1
), "")
)</f>
        <v>#ERROR!</v>
      </c>
      <c r="AF339" s="40" t="str">
        <f>IFERROR((IF(OR(AO339=1,AP339=1),"",=IFERROR((IFERROR(IF($AE339=0,"",((Config!$B$6*$Y339 + Config!$B$7*$U339 + Config!$B$8*$Z339 + Config!$B$9*$AA339 + Config!$B$10*$AB339 + Config!$B$11*$AC339 - Config!$B$12*$AD339)/Config!$B$13)+$AK339+$AL339),""))*(1-IFERROR(VLOOKUP(K339,Grinders!$A:$AB, 28, FALSE),0)),"")))*(1+AR339),"")</f>
        <v>#ERROR!</v>
      </c>
      <c r="AG339" s="40" t="str">
        <f t="shared" si="6"/>
        <v>#ERROR!</v>
      </c>
      <c r="AH339" s="40" t="str">
        <f t="shared" si="7"/>
        <v/>
      </c>
      <c r="AI339" s="40" t="str">
        <f t="shared" si="8"/>
        <v/>
      </c>
      <c r="AJ339" s="40" t="str">
        <f>IF($K339="","",COUNTIF(Assignments!$B$6:$B$1000,$K339))</f>
        <v/>
      </c>
      <c r="AK339" s="40" t="str">
        <f>IF($K339="","",IF(AND($AJ339=0,$O339&lt;$N339),Config!$B$43,0))</f>
        <v/>
      </c>
      <c r="AL339" s="40" t="str">
        <f>IF($K339="","",IF(AND($M339="Elite",$G339&gt;=Config!$B$41,$O339&lt;$N339),Config!$B$42,0))</f>
        <v/>
      </c>
      <c r="AM339" s="22"/>
      <c r="AN339" s="39">
        <f>IFERROR(VLOOKUP(K339,Grinders!$A:$Q,28,FALSE),0)</f>
        <v>0</v>
      </c>
      <c r="AO339" s="39">
        <f>IF(Config!$B$1003&lt;&gt;"Y",0,IF(IFERROR(VLOOKUP(K339,Grinders!$A:$P,27,FALSE),0)&gt;=3,IF(OR(G339&gt;=Config!$B$1001,ISNUMBER(SEARCH(E339,Config!$B$1002))),1,0),0))</f>
        <v>0</v>
      </c>
      <c r="AP339" s="39">
        <f t="array" ref="AP339">IFERROR(IF(INDEX(Bids!$AE:$AE,MATCH(B339,Bids!$A:$A,0))="Pending",1,0),0)</f>
        <v>0</v>
      </c>
      <c r="AQ339" s="39" t="str">
        <f t="array" ref="AQ339">IF(C339="","",IFERROR(XLOOKUP(C339,Assignments!$C:$C,Assignments!$AU:$AU,0),0))</f>
        <v/>
      </c>
      <c r="AR339" s="39">
        <f>IF(AND(Config!$B$1006="Y",AQ339=1),Config!$B$1007,0)</f>
        <v>0</v>
      </c>
    </row>
    <row r="340" ht="15.75" customHeight="1">
      <c r="A340" s="46" t="str">
        <f t="shared" si="1"/>
        <v/>
      </c>
      <c r="B340" s="40" t="str">
        <f>IF(Bids!$A339="","",Bids!$A339)</f>
        <v/>
      </c>
      <c r="C340" s="40" t="str">
        <f>IF(Bids!$B339="","",Bids!$B339)</f>
        <v/>
      </c>
      <c r="D340" s="40" t="str">
        <f>IF($C340="","",IFERROR(VLOOKUP($C340,Orders!$A$4:$J$998,9,FALSE),""))</f>
        <v/>
      </c>
      <c r="E340" s="40" t="str">
        <f>IF($C340="","",IFERROR(VLOOKUP($C340,Orders!$A$4:$J$998,3,FALSE),""))</f>
        <v/>
      </c>
      <c r="F340" s="40">
        <f t="shared" si="2"/>
        <v>1</v>
      </c>
      <c r="G340" s="40" t="str">
        <f>IF($C340="","",IFERROR(VLOOKUP($C340,Orders!$A$4:$J$998,4,FALSE),""))</f>
        <v/>
      </c>
      <c r="H340" s="40" t="str">
        <f>IF($C340="","",IFERROR(VLOOKUP($C340,Orders!$A$4:$J$998,5,FALSE),""))</f>
        <v/>
      </c>
      <c r="I340" s="40" t="str">
        <f>IF($C340="","",IFERROR(VLOOKUP($C340,Orders!$A$4:$J$998,6,FALSE),""))</f>
        <v/>
      </c>
      <c r="J340" s="40" t="str">
        <f>IF($C340="","",IFERROR(VLOOKUP($C340,Orders!$A$4:$J$998,7,FALSE),""))</f>
        <v/>
      </c>
      <c r="K340" s="40" t="str">
        <f>IF(Bids!$C339="","",Bids!$C339)</f>
        <v/>
      </c>
      <c r="L340" s="40" t="str">
        <f>IF($K340="","",IFERROR(VLOOKUP($K340,Grinders!$A$4:$N$998,2,FALSE),""))</f>
        <v/>
      </c>
      <c r="M340" s="40" t="str">
        <f>IF($K340="","",IFERROR(VLOOKUP($K340,Grinders!$A$4:$N$998,3,FALSE),""))</f>
        <v/>
      </c>
      <c r="N340" s="40" t="str">
        <f>IF($K340="","",IFERROR(VLOOKUP($K340,Grinders!$A$4:$N$998,4,FALSE),""))</f>
        <v/>
      </c>
      <c r="O340" s="40" t="str">
        <f>IF($K340="","",IFERROR(VLOOKUP($K340,Grinders!$A$4:$N$998,5,FALSE),""))</f>
        <v/>
      </c>
      <c r="P340" s="40" t="str">
        <f>IF($K340="","",IF($C$4="",0,COUNTIFS(Assignments!$B$6:$B$1000,$K340,Assignments!$F$6:$F$1000,$C$4,Assignments!$E$6:$E$1000,"Active")))</f>
        <v/>
      </c>
      <c r="Q340" s="40" t="str">
        <f t="shared" si="3"/>
        <v/>
      </c>
      <c r="R340" s="40" t="str">
        <f t="shared" si="4"/>
        <v/>
      </c>
      <c r="S340" s="40" t="str">
        <f>IF($K340="","",IF($C$4="",0,COUNTIFS(Assignments!$B$6:$B$1000,$K340,Assignments!$F$6:$F$1000,$C$4,Assignments!$D$6:$D$1000,"&gt;="&amp;Config!$B$3-7,Assignments!$D$6:$D$1000,"&lt;="&amp;Config!$B$3)))</f>
        <v/>
      </c>
      <c r="T340" s="40" t="str">
        <f>IF($K340="","",IFERROR(VLOOKUP($K340,Grinders!$A$4:$N$998,8,FALSE),""))</f>
        <v/>
      </c>
      <c r="U340" s="40" t="str">
        <f>IFERROR(IF($K340="","",IF($M340="Elite",MAX(50,MIN(100,Config!$B$27*MAX(0,MIN(100,(1-IF($R340="",0,$R340))*100)) + Config!$B$28*MAX(0,MIN(100,(1-MIN(1,IF(Config!$B$30=0,1,$S340/Config!$B$30)))*100)) + Config!$B$29*MAX(0,MIN(100,MIN(1,IF($T340="",0,$T340)/Config!$B$23)*100)))),MIN(100,Config!$B$27*MAX(0,MIN(100,(1-IF($R340="",0,$R340))*100)) + Config!$B$28*MAX(0,MIN(100,(1-MIN(1,IF(Config!$B$30=0,1,$S340/Config!$B$30)))*100)) + Config!$B$29*MAX(0,MIN(100,MIN(1,IF($T340="",0,$T340)/Config!$B$23)*100))))),"")
</f>
        <v/>
      </c>
      <c r="V340" s="40" t="str">
        <f>IF(Bids!$AC340="","",Bids!$AC340)</f>
        <v/>
      </c>
      <c r="W340" s="40" t="str">
        <f>IF(Bids!$F339="","",Bids!$F339)</f>
        <v/>
      </c>
      <c r="X340" s="40" t="str">
        <f t="shared" si="5"/>
        <v/>
      </c>
      <c r="Y340" s="40" t="str">
        <f>IF($X340="","",IF(Config!$B$17=Config!$B$16,IF($X340&gt;=Config!$B$17,100,0),MAX(0,MIN(100,($X340-Config!$B$16)/(Config!$B$17-Config!$B$16)*100))))</f>
        <v/>
      </c>
      <c r="Z340" s="40">
        <f>IF($M340="Elite",Config!$B$21,0)</f>
        <v>0</v>
      </c>
      <c r="AA340" s="40" t="str">
        <f>IFERROR(IF(OR($W340="",$H340=""),"",IF($W340&gt;$H340,
  MAX(0, 60-(($W340-$H340)*24/Config!$B$19)*60),
  MIN(100, 60+(($H340-$W340)*24/Config!$B$20)*40)
)),"")
</f>
        <v/>
      </c>
      <c r="AB340" s="40" t="str">
        <f>IF($K340="","",IFERROR(VLOOKUP($K340,Grinders!$A$4:$N$998,10,FALSE)/5*100,""))</f>
        <v/>
      </c>
      <c r="AC340" s="40" t="str">
        <f>IF($K340="","",IFERROR(VLOOKUP($K340,Grinders!$A$4:$N$998,11,FALSE)*100,""))</f>
        <v/>
      </c>
      <c r="AD340" s="40" t="str">
        <f>IF($K340="","",IFERROR(VLOOKUP($K340,Grinders!$A$4:$N$998,12,FALSE)*100,""))</f>
        <v/>
      </c>
      <c r="AE340" s="40" t="str">
        <f>IF(OR(AO340=1,AP340=1),0,=IFERROR(IFS(
    OR($C340="", $K340=""), 0,
    $F340=0, 0,
    $D340&lt;&gt;"Open", 0,
    COUNTIFS(GrinderServices!$A$6:$A$1000, $K340, GrinderServices!$B$6:$B$1000, $E340, GrinderServices!$D$6:$D$1000, "Y")=0, 0,
    $X340&lt;Config!$B$16, 0,
    Config!$B$18=1, IF($O340&gt;=N340, 0, 1),
    TRUE, 1
), "")
)</f>
        <v>#ERROR!</v>
      </c>
      <c r="AF340" s="40" t="str">
        <f>IFERROR((IF(OR(AO340=1,AP340=1),"",=IFERROR((IFERROR(IF($AE340=0,"",((Config!$B$6*$Y340 + Config!$B$7*$U340 + Config!$B$8*$Z340 + Config!$B$9*$AA340 + Config!$B$10*$AB340 + Config!$B$11*$AC340 - Config!$B$12*$AD340)/Config!$B$13)+$AK340+$AL340),""))*(1-IFERROR(VLOOKUP(K340,Grinders!$A:$AB, 28, FALSE),0)),"")))*(1+AR340),"")</f>
        <v>#ERROR!</v>
      </c>
      <c r="AG340" s="40" t="str">
        <f t="shared" si="6"/>
        <v>#ERROR!</v>
      </c>
      <c r="AH340" s="40" t="str">
        <f t="shared" si="7"/>
        <v/>
      </c>
      <c r="AI340" s="40" t="str">
        <f t="shared" si="8"/>
        <v/>
      </c>
      <c r="AJ340" s="40" t="str">
        <f>IF($K340="","",COUNTIF(Assignments!$B$6:$B$1000,$K340))</f>
        <v/>
      </c>
      <c r="AK340" s="40" t="str">
        <f>IF($K340="","",IF(AND($AJ340=0,$O340&lt;$N340),Config!$B$43,0))</f>
        <v/>
      </c>
      <c r="AL340" s="40" t="str">
        <f>IF($K340="","",IF(AND($M340="Elite",$G340&gt;=Config!$B$41,$O340&lt;$N340),Config!$B$42,0))</f>
        <v/>
      </c>
      <c r="AM340" s="22"/>
      <c r="AN340" s="39">
        <f>IFERROR(VLOOKUP(K340,Grinders!$A:$Q,28,FALSE),0)</f>
        <v>0</v>
      </c>
      <c r="AO340" s="39">
        <f>IF(Config!$B$1003&lt;&gt;"Y",0,IF(IFERROR(VLOOKUP(K340,Grinders!$A:$P,27,FALSE),0)&gt;=3,IF(OR(G340&gt;=Config!$B$1001,ISNUMBER(SEARCH(E340,Config!$B$1002))),1,0),0))</f>
        <v>0</v>
      </c>
      <c r="AP340" s="39">
        <f t="array" ref="AP340">IFERROR(IF(INDEX(Bids!$AE:$AE,MATCH(B340,Bids!$A:$A,0))="Pending",1,0),0)</f>
        <v>0</v>
      </c>
      <c r="AQ340" s="39" t="str">
        <f t="array" ref="AQ340">IF(C340="","",IFERROR(XLOOKUP(C340,Assignments!$C:$C,Assignments!$AU:$AU,0),0))</f>
        <v/>
      </c>
      <c r="AR340" s="39">
        <f>IF(AND(Config!$B$1006="Y",AQ340=1),Config!$B$1007,0)</f>
        <v>0</v>
      </c>
    </row>
    <row r="341" ht="15.75" customHeight="1">
      <c r="A341" s="46" t="str">
        <f t="shared" si="1"/>
        <v/>
      </c>
      <c r="B341" s="40" t="str">
        <f>IF(Bids!$A340="","",Bids!$A340)</f>
        <v/>
      </c>
      <c r="C341" s="40" t="str">
        <f>IF(Bids!$B340="","",Bids!$B340)</f>
        <v/>
      </c>
      <c r="D341" s="40" t="str">
        <f>IF($C341="","",IFERROR(VLOOKUP($C341,Orders!$A$4:$J$998,9,FALSE),""))</f>
        <v/>
      </c>
      <c r="E341" s="40" t="str">
        <f>IF($C341="","",IFERROR(VLOOKUP($C341,Orders!$A$4:$J$998,3,FALSE),""))</f>
        <v/>
      </c>
      <c r="F341" s="40">
        <f t="shared" si="2"/>
        <v>1</v>
      </c>
      <c r="G341" s="40" t="str">
        <f>IF($C341="","",IFERROR(VLOOKUP($C341,Orders!$A$4:$J$998,4,FALSE),""))</f>
        <v/>
      </c>
      <c r="H341" s="40" t="str">
        <f>IF($C341="","",IFERROR(VLOOKUP($C341,Orders!$A$4:$J$998,5,FALSE),""))</f>
        <v/>
      </c>
      <c r="I341" s="40" t="str">
        <f>IF($C341="","",IFERROR(VLOOKUP($C341,Orders!$A$4:$J$998,6,FALSE),""))</f>
        <v/>
      </c>
      <c r="J341" s="40" t="str">
        <f>IF($C341="","",IFERROR(VLOOKUP($C341,Orders!$A$4:$J$998,7,FALSE),""))</f>
        <v/>
      </c>
      <c r="K341" s="40" t="str">
        <f>IF(Bids!$C340="","",Bids!$C340)</f>
        <v/>
      </c>
      <c r="L341" s="40" t="str">
        <f>IF($K341="","",IFERROR(VLOOKUP($K341,Grinders!$A$4:$N$998,2,FALSE),""))</f>
        <v/>
      </c>
      <c r="M341" s="40" t="str">
        <f>IF($K341="","",IFERROR(VLOOKUP($K341,Grinders!$A$4:$N$998,3,FALSE),""))</f>
        <v/>
      </c>
      <c r="N341" s="40" t="str">
        <f>IF($K341="","",IFERROR(VLOOKUP($K341,Grinders!$A$4:$N$998,4,FALSE),""))</f>
        <v/>
      </c>
      <c r="O341" s="40" t="str">
        <f>IF($K341="","",IFERROR(VLOOKUP($K341,Grinders!$A$4:$N$998,5,FALSE),""))</f>
        <v/>
      </c>
      <c r="P341" s="40" t="str">
        <f>IF($K341="","",IF($C$4="",0,COUNTIFS(Assignments!$B$6:$B$1000,$K341,Assignments!$F$6:$F$1000,$C$4,Assignments!$E$6:$E$1000,"Active")))</f>
        <v/>
      </c>
      <c r="Q341" s="40" t="str">
        <f t="shared" si="3"/>
        <v/>
      </c>
      <c r="R341" s="40" t="str">
        <f t="shared" si="4"/>
        <v/>
      </c>
      <c r="S341" s="40" t="str">
        <f>IF($K341="","",IF($C$4="",0,COUNTIFS(Assignments!$B$6:$B$1000,$K341,Assignments!$F$6:$F$1000,$C$4,Assignments!$D$6:$D$1000,"&gt;="&amp;Config!$B$3-7,Assignments!$D$6:$D$1000,"&lt;="&amp;Config!$B$3)))</f>
        <v/>
      </c>
      <c r="T341" s="40" t="str">
        <f>IF($K341="","",IFERROR(VLOOKUP($K341,Grinders!$A$4:$N$998,8,FALSE),""))</f>
        <v/>
      </c>
      <c r="U341" s="40" t="str">
        <f>IFERROR(IF($K341="","",IF($M341="Elite",MAX(50,MIN(100,Config!$B$27*MAX(0,MIN(100,(1-IF($R341="",0,$R341))*100)) + Config!$B$28*MAX(0,MIN(100,(1-MIN(1,IF(Config!$B$30=0,1,$S341/Config!$B$30)))*100)) + Config!$B$29*MAX(0,MIN(100,MIN(1,IF($T341="",0,$T341)/Config!$B$23)*100)))),MIN(100,Config!$B$27*MAX(0,MIN(100,(1-IF($R341="",0,$R341))*100)) + Config!$B$28*MAX(0,MIN(100,(1-MIN(1,IF(Config!$B$30=0,1,$S341/Config!$B$30)))*100)) + Config!$B$29*MAX(0,MIN(100,MIN(1,IF($T341="",0,$T341)/Config!$B$23)*100))))),"")
</f>
        <v/>
      </c>
      <c r="V341" s="40" t="str">
        <f>IF(Bids!$AC341="","",Bids!$AC341)</f>
        <v/>
      </c>
      <c r="W341" s="40" t="str">
        <f>IF(Bids!$F340="","",Bids!$F340)</f>
        <v/>
      </c>
      <c r="X341" s="40" t="str">
        <f t="shared" si="5"/>
        <v/>
      </c>
      <c r="Y341" s="40" t="str">
        <f>IF($X341="","",IF(Config!$B$17=Config!$B$16,IF($X341&gt;=Config!$B$17,100,0),MAX(0,MIN(100,($X341-Config!$B$16)/(Config!$B$17-Config!$B$16)*100))))</f>
        <v/>
      </c>
      <c r="Z341" s="40">
        <f>IF($M341="Elite",Config!$B$21,0)</f>
        <v>0</v>
      </c>
      <c r="AA341" s="40" t="str">
        <f>IFERROR(IF(OR($W341="",$H341=""),"",IF($W341&gt;$H341,
  MAX(0, 60-(($W341-$H341)*24/Config!$B$19)*60),
  MIN(100, 60+(($H341-$W341)*24/Config!$B$20)*40)
)),"")
</f>
        <v/>
      </c>
      <c r="AB341" s="40" t="str">
        <f>IF($K341="","",IFERROR(VLOOKUP($K341,Grinders!$A$4:$N$998,10,FALSE)/5*100,""))</f>
        <v/>
      </c>
      <c r="AC341" s="40" t="str">
        <f>IF($K341="","",IFERROR(VLOOKUP($K341,Grinders!$A$4:$N$998,11,FALSE)*100,""))</f>
        <v/>
      </c>
      <c r="AD341" s="40" t="str">
        <f>IF($K341="","",IFERROR(VLOOKUP($K341,Grinders!$A$4:$N$998,12,FALSE)*100,""))</f>
        <v/>
      </c>
      <c r="AE341" s="40" t="str">
        <f>IF(OR(AO341=1,AP341=1),0,=IFERROR(IFS(
    OR($C341="", $K341=""), 0,
    $F341=0, 0,
    $D341&lt;&gt;"Open", 0,
    COUNTIFS(GrinderServices!$A$6:$A$1000, $K341, GrinderServices!$B$6:$B$1000, $E341, GrinderServices!$D$6:$D$1000, "Y")=0, 0,
    $X341&lt;Config!$B$16, 0,
    Config!$B$18=1, IF($O341&gt;=N341, 0, 1),
    TRUE, 1
), "")
)</f>
        <v>#ERROR!</v>
      </c>
      <c r="AF341" s="40" t="str">
        <f>IFERROR((IF(OR(AO341=1,AP341=1),"",=IFERROR((IFERROR(IF($AE341=0,"",((Config!$B$6*$Y341 + Config!$B$7*$U341 + Config!$B$8*$Z341 + Config!$B$9*$AA341 + Config!$B$10*$AB341 + Config!$B$11*$AC341 - Config!$B$12*$AD341)/Config!$B$13)+$AK341+$AL341),""))*(1-IFERROR(VLOOKUP(K341,Grinders!$A:$AB, 28, FALSE),0)),"")))*(1+AR341),"")</f>
        <v>#ERROR!</v>
      </c>
      <c r="AG341" s="40" t="str">
        <f t="shared" si="6"/>
        <v>#ERROR!</v>
      </c>
      <c r="AH341" s="40" t="str">
        <f t="shared" si="7"/>
        <v/>
      </c>
      <c r="AI341" s="40" t="str">
        <f t="shared" si="8"/>
        <v/>
      </c>
      <c r="AJ341" s="40" t="str">
        <f>IF($K341="","",COUNTIF(Assignments!$B$6:$B$1000,$K341))</f>
        <v/>
      </c>
      <c r="AK341" s="40" t="str">
        <f>IF($K341="","",IF(AND($AJ341=0,$O341&lt;$N341),Config!$B$43,0))</f>
        <v/>
      </c>
      <c r="AL341" s="40" t="str">
        <f>IF($K341="","",IF(AND($M341="Elite",$G341&gt;=Config!$B$41,$O341&lt;$N341),Config!$B$42,0))</f>
        <v/>
      </c>
      <c r="AM341" s="22"/>
      <c r="AN341" s="39">
        <f>IFERROR(VLOOKUP(K341,Grinders!$A:$Q,28,FALSE),0)</f>
        <v>0</v>
      </c>
      <c r="AO341" s="39">
        <f>IF(Config!$B$1003&lt;&gt;"Y",0,IF(IFERROR(VLOOKUP(K341,Grinders!$A:$P,27,FALSE),0)&gt;=3,IF(OR(G341&gt;=Config!$B$1001,ISNUMBER(SEARCH(E341,Config!$B$1002))),1,0),0))</f>
        <v>0</v>
      </c>
      <c r="AP341" s="39">
        <f t="array" ref="AP341">IFERROR(IF(INDEX(Bids!$AE:$AE,MATCH(B341,Bids!$A:$A,0))="Pending",1,0),0)</f>
        <v>0</v>
      </c>
      <c r="AQ341" s="39" t="str">
        <f t="array" ref="AQ341">IF(C341="","",IFERROR(XLOOKUP(C341,Assignments!$C:$C,Assignments!$AU:$AU,0),0))</f>
        <v/>
      </c>
      <c r="AR341" s="39">
        <f>IF(AND(Config!$B$1006="Y",AQ341=1),Config!$B$1007,0)</f>
        <v>0</v>
      </c>
    </row>
    <row r="342" ht="15.75" customHeight="1">
      <c r="A342" s="46" t="str">
        <f t="shared" si="1"/>
        <v/>
      </c>
      <c r="B342" s="40" t="str">
        <f>IF(Bids!$A341="","",Bids!$A341)</f>
        <v/>
      </c>
      <c r="C342" s="40" t="str">
        <f>IF(Bids!$B341="","",Bids!$B341)</f>
        <v/>
      </c>
      <c r="D342" s="40" t="str">
        <f>IF($C342="","",IFERROR(VLOOKUP($C342,Orders!$A$4:$J$998,9,FALSE),""))</f>
        <v/>
      </c>
      <c r="E342" s="40" t="str">
        <f>IF($C342="","",IFERROR(VLOOKUP($C342,Orders!$A$4:$J$998,3,FALSE),""))</f>
        <v/>
      </c>
      <c r="F342" s="40">
        <f t="shared" si="2"/>
        <v>1</v>
      </c>
      <c r="G342" s="40" t="str">
        <f>IF($C342="","",IFERROR(VLOOKUP($C342,Orders!$A$4:$J$998,4,FALSE),""))</f>
        <v/>
      </c>
      <c r="H342" s="40" t="str">
        <f>IF($C342="","",IFERROR(VLOOKUP($C342,Orders!$A$4:$J$998,5,FALSE),""))</f>
        <v/>
      </c>
      <c r="I342" s="40" t="str">
        <f>IF($C342="","",IFERROR(VLOOKUP($C342,Orders!$A$4:$J$998,6,FALSE),""))</f>
        <v/>
      </c>
      <c r="J342" s="40" t="str">
        <f>IF($C342="","",IFERROR(VLOOKUP($C342,Orders!$A$4:$J$998,7,FALSE),""))</f>
        <v/>
      </c>
      <c r="K342" s="40" t="str">
        <f>IF(Bids!$C341="","",Bids!$C341)</f>
        <v/>
      </c>
      <c r="L342" s="40" t="str">
        <f>IF($K342="","",IFERROR(VLOOKUP($K342,Grinders!$A$4:$N$998,2,FALSE),""))</f>
        <v/>
      </c>
      <c r="M342" s="40" t="str">
        <f>IF($K342="","",IFERROR(VLOOKUP($K342,Grinders!$A$4:$N$998,3,FALSE),""))</f>
        <v/>
      </c>
      <c r="N342" s="40" t="str">
        <f>IF($K342="","",IFERROR(VLOOKUP($K342,Grinders!$A$4:$N$998,4,FALSE),""))</f>
        <v/>
      </c>
      <c r="O342" s="40" t="str">
        <f>IF($K342="","",IFERROR(VLOOKUP($K342,Grinders!$A$4:$N$998,5,FALSE),""))</f>
        <v/>
      </c>
      <c r="P342" s="40" t="str">
        <f>IF($K342="","",IF($C$4="",0,COUNTIFS(Assignments!$B$6:$B$1000,$K342,Assignments!$F$6:$F$1000,$C$4,Assignments!$E$6:$E$1000,"Active")))</f>
        <v/>
      </c>
      <c r="Q342" s="40" t="str">
        <f t="shared" si="3"/>
        <v/>
      </c>
      <c r="R342" s="40" t="str">
        <f t="shared" si="4"/>
        <v/>
      </c>
      <c r="S342" s="40" t="str">
        <f>IF($K342="","",IF($C$4="",0,COUNTIFS(Assignments!$B$6:$B$1000,$K342,Assignments!$F$6:$F$1000,$C$4,Assignments!$D$6:$D$1000,"&gt;="&amp;Config!$B$3-7,Assignments!$D$6:$D$1000,"&lt;="&amp;Config!$B$3)))</f>
        <v/>
      </c>
      <c r="T342" s="40" t="str">
        <f>IF($K342="","",IFERROR(VLOOKUP($K342,Grinders!$A$4:$N$998,8,FALSE),""))</f>
        <v/>
      </c>
      <c r="U342" s="40" t="str">
        <f>IFERROR(IF($K342="","",IF($M342="Elite",MAX(50,MIN(100,Config!$B$27*MAX(0,MIN(100,(1-IF($R342="",0,$R342))*100)) + Config!$B$28*MAX(0,MIN(100,(1-MIN(1,IF(Config!$B$30=0,1,$S342/Config!$B$30)))*100)) + Config!$B$29*MAX(0,MIN(100,MIN(1,IF($T342="",0,$T342)/Config!$B$23)*100)))),MIN(100,Config!$B$27*MAX(0,MIN(100,(1-IF($R342="",0,$R342))*100)) + Config!$B$28*MAX(0,MIN(100,(1-MIN(1,IF(Config!$B$30=0,1,$S342/Config!$B$30)))*100)) + Config!$B$29*MAX(0,MIN(100,MIN(1,IF($T342="",0,$T342)/Config!$B$23)*100))))),"")
</f>
        <v/>
      </c>
      <c r="V342" s="40" t="str">
        <f>IF(Bids!$AC342="","",Bids!$AC342)</f>
        <v/>
      </c>
      <c r="W342" s="40" t="str">
        <f>IF(Bids!$F341="","",Bids!$F341)</f>
        <v/>
      </c>
      <c r="X342" s="40" t="str">
        <f t="shared" si="5"/>
        <v/>
      </c>
      <c r="Y342" s="40" t="str">
        <f>IF($X342="","",IF(Config!$B$17=Config!$B$16,IF($X342&gt;=Config!$B$17,100,0),MAX(0,MIN(100,($X342-Config!$B$16)/(Config!$B$17-Config!$B$16)*100))))</f>
        <v/>
      </c>
      <c r="Z342" s="40">
        <f>IF($M342="Elite",Config!$B$21,0)</f>
        <v>0</v>
      </c>
      <c r="AA342" s="40" t="str">
        <f>IFERROR(IF(OR($W342="",$H342=""),"",IF($W342&gt;$H342,
  MAX(0, 60-(($W342-$H342)*24/Config!$B$19)*60),
  MIN(100, 60+(($H342-$W342)*24/Config!$B$20)*40)
)),"")
</f>
        <v/>
      </c>
      <c r="AB342" s="40" t="str">
        <f>IF($K342="","",IFERROR(VLOOKUP($K342,Grinders!$A$4:$N$998,10,FALSE)/5*100,""))</f>
        <v/>
      </c>
      <c r="AC342" s="40" t="str">
        <f>IF($K342="","",IFERROR(VLOOKUP($K342,Grinders!$A$4:$N$998,11,FALSE)*100,""))</f>
        <v/>
      </c>
      <c r="AD342" s="40" t="str">
        <f>IF($K342="","",IFERROR(VLOOKUP($K342,Grinders!$A$4:$N$998,12,FALSE)*100,""))</f>
        <v/>
      </c>
      <c r="AE342" s="40" t="str">
        <f>IF(OR(AO342=1,AP342=1),0,=IFERROR(IFS(
    OR($C342="", $K342=""), 0,
    $F342=0, 0,
    $D342&lt;&gt;"Open", 0,
    COUNTIFS(GrinderServices!$A$6:$A$1000, $K342, GrinderServices!$B$6:$B$1000, $E342, GrinderServices!$D$6:$D$1000, "Y")=0, 0,
    $X342&lt;Config!$B$16, 0,
    Config!$B$18=1, IF($O342&gt;=N342, 0, 1),
    TRUE, 1
), "")
)</f>
        <v>#ERROR!</v>
      </c>
      <c r="AF342" s="40" t="str">
        <f>IFERROR((IF(OR(AO342=1,AP342=1),"",=IFERROR((IFERROR(IF($AE342=0,"",((Config!$B$6*$Y342 + Config!$B$7*$U342 + Config!$B$8*$Z342 + Config!$B$9*$AA342 + Config!$B$10*$AB342 + Config!$B$11*$AC342 - Config!$B$12*$AD342)/Config!$B$13)+$AK342+$AL342),""))*(1-IFERROR(VLOOKUP(K342,Grinders!$A:$AB, 28, FALSE),0)),"")))*(1+AR342),"")</f>
        <v>#ERROR!</v>
      </c>
      <c r="AG342" s="40" t="str">
        <f t="shared" si="6"/>
        <v>#ERROR!</v>
      </c>
      <c r="AH342" s="40" t="str">
        <f t="shared" si="7"/>
        <v/>
      </c>
      <c r="AI342" s="40" t="str">
        <f t="shared" si="8"/>
        <v/>
      </c>
      <c r="AJ342" s="40" t="str">
        <f>IF($K342="","",COUNTIF(Assignments!$B$6:$B$1000,$K342))</f>
        <v/>
      </c>
      <c r="AK342" s="40" t="str">
        <f>IF($K342="","",IF(AND($AJ342=0,$O342&lt;$N342),Config!$B$43,0))</f>
        <v/>
      </c>
      <c r="AL342" s="40" t="str">
        <f>IF($K342="","",IF(AND($M342="Elite",$G342&gt;=Config!$B$41,$O342&lt;$N342),Config!$B$42,0))</f>
        <v/>
      </c>
      <c r="AM342" s="22"/>
      <c r="AN342" s="39">
        <f>IFERROR(VLOOKUP(K342,Grinders!$A:$Q,28,FALSE),0)</f>
        <v>0</v>
      </c>
      <c r="AO342" s="39">
        <f>IF(Config!$B$1003&lt;&gt;"Y",0,IF(IFERROR(VLOOKUP(K342,Grinders!$A:$P,27,FALSE),0)&gt;=3,IF(OR(G342&gt;=Config!$B$1001,ISNUMBER(SEARCH(E342,Config!$B$1002))),1,0),0))</f>
        <v>0</v>
      </c>
      <c r="AP342" s="39">
        <f t="array" ref="AP342">IFERROR(IF(INDEX(Bids!$AE:$AE,MATCH(B342,Bids!$A:$A,0))="Pending",1,0),0)</f>
        <v>0</v>
      </c>
      <c r="AQ342" s="39" t="str">
        <f t="array" ref="AQ342">IF(C342="","",IFERROR(XLOOKUP(C342,Assignments!$C:$C,Assignments!$AU:$AU,0),0))</f>
        <v/>
      </c>
      <c r="AR342" s="39">
        <f>IF(AND(Config!$B$1006="Y",AQ342=1),Config!$B$1007,0)</f>
        <v>0</v>
      </c>
    </row>
    <row r="343" ht="15.75" customHeight="1">
      <c r="A343" s="46" t="str">
        <f t="shared" si="1"/>
        <v/>
      </c>
      <c r="B343" s="40" t="str">
        <f>IF(Bids!$A342="","",Bids!$A342)</f>
        <v/>
      </c>
      <c r="C343" s="40" t="str">
        <f>IF(Bids!$B342="","",Bids!$B342)</f>
        <v/>
      </c>
      <c r="D343" s="40" t="str">
        <f>IF($C343="","",IFERROR(VLOOKUP($C343,Orders!$A$4:$J$998,9,FALSE),""))</f>
        <v/>
      </c>
      <c r="E343" s="40" t="str">
        <f>IF($C343="","",IFERROR(VLOOKUP($C343,Orders!$A$4:$J$998,3,FALSE),""))</f>
        <v/>
      </c>
      <c r="F343" s="40">
        <f t="shared" si="2"/>
        <v>1</v>
      </c>
      <c r="G343" s="40" t="str">
        <f>IF($C343="","",IFERROR(VLOOKUP($C343,Orders!$A$4:$J$998,4,FALSE),""))</f>
        <v/>
      </c>
      <c r="H343" s="40" t="str">
        <f>IF($C343="","",IFERROR(VLOOKUP($C343,Orders!$A$4:$J$998,5,FALSE),""))</f>
        <v/>
      </c>
      <c r="I343" s="40" t="str">
        <f>IF($C343="","",IFERROR(VLOOKUP($C343,Orders!$A$4:$J$998,6,FALSE),""))</f>
        <v/>
      </c>
      <c r="J343" s="40" t="str">
        <f>IF($C343="","",IFERROR(VLOOKUP($C343,Orders!$A$4:$J$998,7,FALSE),""))</f>
        <v/>
      </c>
      <c r="K343" s="40" t="str">
        <f>IF(Bids!$C342="","",Bids!$C342)</f>
        <v/>
      </c>
      <c r="L343" s="40" t="str">
        <f>IF($K343="","",IFERROR(VLOOKUP($K343,Grinders!$A$4:$N$998,2,FALSE),""))</f>
        <v/>
      </c>
      <c r="M343" s="40" t="str">
        <f>IF($K343="","",IFERROR(VLOOKUP($K343,Grinders!$A$4:$N$998,3,FALSE),""))</f>
        <v/>
      </c>
      <c r="N343" s="40" t="str">
        <f>IF($K343="","",IFERROR(VLOOKUP($K343,Grinders!$A$4:$N$998,4,FALSE),""))</f>
        <v/>
      </c>
      <c r="O343" s="40" t="str">
        <f>IF($K343="","",IFERROR(VLOOKUP($K343,Grinders!$A$4:$N$998,5,FALSE),""))</f>
        <v/>
      </c>
      <c r="P343" s="40" t="str">
        <f>IF($K343="","",IF($C$4="",0,COUNTIFS(Assignments!$B$6:$B$1000,$K343,Assignments!$F$6:$F$1000,$C$4,Assignments!$E$6:$E$1000,"Active")))</f>
        <v/>
      </c>
      <c r="Q343" s="40" t="str">
        <f t="shared" si="3"/>
        <v/>
      </c>
      <c r="R343" s="40" t="str">
        <f t="shared" si="4"/>
        <v/>
      </c>
      <c r="S343" s="40" t="str">
        <f>IF($K343="","",IF($C$4="",0,COUNTIFS(Assignments!$B$6:$B$1000,$K343,Assignments!$F$6:$F$1000,$C$4,Assignments!$D$6:$D$1000,"&gt;="&amp;Config!$B$3-7,Assignments!$D$6:$D$1000,"&lt;="&amp;Config!$B$3)))</f>
        <v/>
      </c>
      <c r="T343" s="40" t="str">
        <f>IF($K343="","",IFERROR(VLOOKUP($K343,Grinders!$A$4:$N$998,8,FALSE),""))</f>
        <v/>
      </c>
      <c r="U343" s="40" t="str">
        <f>IFERROR(IF($K343="","",IF($M343="Elite",MAX(50,MIN(100,Config!$B$27*MAX(0,MIN(100,(1-IF($R343="",0,$R343))*100)) + Config!$B$28*MAX(0,MIN(100,(1-MIN(1,IF(Config!$B$30=0,1,$S343/Config!$B$30)))*100)) + Config!$B$29*MAX(0,MIN(100,MIN(1,IF($T343="",0,$T343)/Config!$B$23)*100)))),MIN(100,Config!$B$27*MAX(0,MIN(100,(1-IF($R343="",0,$R343))*100)) + Config!$B$28*MAX(0,MIN(100,(1-MIN(1,IF(Config!$B$30=0,1,$S343/Config!$B$30)))*100)) + Config!$B$29*MAX(0,MIN(100,MIN(1,IF($T343="",0,$T343)/Config!$B$23)*100))))),"")
</f>
        <v/>
      </c>
      <c r="V343" s="40" t="str">
        <f>IF(Bids!$AC343="","",Bids!$AC343)</f>
        <v/>
      </c>
      <c r="W343" s="40" t="str">
        <f>IF(Bids!$F342="","",Bids!$F342)</f>
        <v/>
      </c>
      <c r="X343" s="40" t="str">
        <f t="shared" si="5"/>
        <v/>
      </c>
      <c r="Y343" s="40" t="str">
        <f>IF($X343="","",IF(Config!$B$17=Config!$B$16,IF($X343&gt;=Config!$B$17,100,0),MAX(0,MIN(100,($X343-Config!$B$16)/(Config!$B$17-Config!$B$16)*100))))</f>
        <v/>
      </c>
      <c r="Z343" s="40">
        <f>IF($M343="Elite",Config!$B$21,0)</f>
        <v>0</v>
      </c>
      <c r="AA343" s="40" t="str">
        <f>IFERROR(IF(OR($W343="",$H343=""),"",IF($W343&gt;$H343,
  MAX(0, 60-(($W343-$H343)*24/Config!$B$19)*60),
  MIN(100, 60+(($H343-$W343)*24/Config!$B$20)*40)
)),"")
</f>
        <v/>
      </c>
      <c r="AB343" s="40" t="str">
        <f>IF($K343="","",IFERROR(VLOOKUP($K343,Grinders!$A$4:$N$998,10,FALSE)/5*100,""))</f>
        <v/>
      </c>
      <c r="AC343" s="40" t="str">
        <f>IF($K343="","",IFERROR(VLOOKUP($K343,Grinders!$A$4:$N$998,11,FALSE)*100,""))</f>
        <v/>
      </c>
      <c r="AD343" s="40" t="str">
        <f>IF($K343="","",IFERROR(VLOOKUP($K343,Grinders!$A$4:$N$998,12,FALSE)*100,""))</f>
        <v/>
      </c>
      <c r="AE343" s="40" t="str">
        <f>IF(OR(AO343=1,AP343=1),0,=IFERROR(IFS(
    OR($C343="", $K343=""), 0,
    $F343=0, 0,
    $D343&lt;&gt;"Open", 0,
    COUNTIFS(GrinderServices!$A$6:$A$1000, $K343, GrinderServices!$B$6:$B$1000, $E343, GrinderServices!$D$6:$D$1000, "Y")=0, 0,
    $X343&lt;Config!$B$16, 0,
    Config!$B$18=1, IF($O343&gt;=N343, 0, 1),
    TRUE, 1
), "")
)</f>
        <v>#ERROR!</v>
      </c>
      <c r="AF343" s="40" t="str">
        <f>IFERROR((IF(OR(AO343=1,AP343=1),"",=IFERROR((IFERROR(IF($AE343=0,"",((Config!$B$6*$Y343 + Config!$B$7*$U343 + Config!$B$8*$Z343 + Config!$B$9*$AA343 + Config!$B$10*$AB343 + Config!$B$11*$AC343 - Config!$B$12*$AD343)/Config!$B$13)+$AK343+$AL343),""))*(1-IFERROR(VLOOKUP(K343,Grinders!$A:$AB, 28, FALSE),0)),"")))*(1+AR343),"")</f>
        <v>#ERROR!</v>
      </c>
      <c r="AG343" s="40" t="str">
        <f t="shared" si="6"/>
        <v>#ERROR!</v>
      </c>
      <c r="AH343" s="40" t="str">
        <f t="shared" si="7"/>
        <v/>
      </c>
      <c r="AI343" s="40" t="str">
        <f t="shared" si="8"/>
        <v/>
      </c>
      <c r="AJ343" s="40" t="str">
        <f>IF($K343="","",COUNTIF(Assignments!$B$6:$B$1000,$K343))</f>
        <v/>
      </c>
      <c r="AK343" s="40" t="str">
        <f>IF($K343="","",IF(AND($AJ343=0,$O343&lt;$N343),Config!$B$43,0))</f>
        <v/>
      </c>
      <c r="AL343" s="40" t="str">
        <f>IF($K343="","",IF(AND($M343="Elite",$G343&gt;=Config!$B$41,$O343&lt;$N343),Config!$B$42,0))</f>
        <v/>
      </c>
      <c r="AM343" s="22"/>
      <c r="AN343" s="39">
        <f>IFERROR(VLOOKUP(K343,Grinders!$A:$Q,28,FALSE),0)</f>
        <v>0</v>
      </c>
      <c r="AO343" s="39">
        <f>IF(Config!$B$1003&lt;&gt;"Y",0,IF(IFERROR(VLOOKUP(K343,Grinders!$A:$P,27,FALSE),0)&gt;=3,IF(OR(G343&gt;=Config!$B$1001,ISNUMBER(SEARCH(E343,Config!$B$1002))),1,0),0))</f>
        <v>0</v>
      </c>
      <c r="AP343" s="39">
        <f t="array" ref="AP343">IFERROR(IF(INDEX(Bids!$AE:$AE,MATCH(B343,Bids!$A:$A,0))="Pending",1,0),0)</f>
        <v>0</v>
      </c>
      <c r="AQ343" s="39" t="str">
        <f t="array" ref="AQ343">IF(C343="","",IFERROR(XLOOKUP(C343,Assignments!$C:$C,Assignments!$AU:$AU,0),0))</f>
        <v/>
      </c>
      <c r="AR343" s="39">
        <f>IF(AND(Config!$B$1006="Y",AQ343=1),Config!$B$1007,0)</f>
        <v>0</v>
      </c>
    </row>
    <row r="344" ht="15.75" customHeight="1">
      <c r="A344" s="46" t="str">
        <f t="shared" si="1"/>
        <v/>
      </c>
      <c r="B344" s="40" t="str">
        <f>IF(Bids!$A343="","",Bids!$A343)</f>
        <v/>
      </c>
      <c r="C344" s="40" t="str">
        <f>IF(Bids!$B343="","",Bids!$B343)</f>
        <v/>
      </c>
      <c r="D344" s="40" t="str">
        <f>IF($C344="","",IFERROR(VLOOKUP($C344,Orders!$A$4:$J$998,9,FALSE),""))</f>
        <v/>
      </c>
      <c r="E344" s="40" t="str">
        <f>IF($C344="","",IFERROR(VLOOKUP($C344,Orders!$A$4:$J$998,3,FALSE),""))</f>
        <v/>
      </c>
      <c r="F344" s="40">
        <f t="shared" si="2"/>
        <v>1</v>
      </c>
      <c r="G344" s="40" t="str">
        <f>IF($C344="","",IFERROR(VLOOKUP($C344,Orders!$A$4:$J$998,4,FALSE),""))</f>
        <v/>
      </c>
      <c r="H344" s="40" t="str">
        <f>IF($C344="","",IFERROR(VLOOKUP($C344,Orders!$A$4:$J$998,5,FALSE),""))</f>
        <v/>
      </c>
      <c r="I344" s="40" t="str">
        <f>IF($C344="","",IFERROR(VLOOKUP($C344,Orders!$A$4:$J$998,6,FALSE),""))</f>
        <v/>
      </c>
      <c r="J344" s="40" t="str">
        <f>IF($C344="","",IFERROR(VLOOKUP($C344,Orders!$A$4:$J$998,7,FALSE),""))</f>
        <v/>
      </c>
      <c r="K344" s="40" t="str">
        <f>IF(Bids!$C343="","",Bids!$C343)</f>
        <v/>
      </c>
      <c r="L344" s="40" t="str">
        <f>IF($K344="","",IFERROR(VLOOKUP($K344,Grinders!$A$4:$N$998,2,FALSE),""))</f>
        <v/>
      </c>
      <c r="M344" s="40" t="str">
        <f>IF($K344="","",IFERROR(VLOOKUP($K344,Grinders!$A$4:$N$998,3,FALSE),""))</f>
        <v/>
      </c>
      <c r="N344" s="40" t="str">
        <f>IF($K344="","",IFERROR(VLOOKUP($K344,Grinders!$A$4:$N$998,4,FALSE),""))</f>
        <v/>
      </c>
      <c r="O344" s="40" t="str">
        <f>IF($K344="","",IFERROR(VLOOKUP($K344,Grinders!$A$4:$N$998,5,FALSE),""))</f>
        <v/>
      </c>
      <c r="P344" s="40" t="str">
        <f>IF($K344="","",IF($C$4="",0,COUNTIFS(Assignments!$B$6:$B$1000,$K344,Assignments!$F$6:$F$1000,$C$4,Assignments!$E$6:$E$1000,"Active")))</f>
        <v/>
      </c>
      <c r="Q344" s="40" t="str">
        <f t="shared" si="3"/>
        <v/>
      </c>
      <c r="R344" s="40" t="str">
        <f t="shared" si="4"/>
        <v/>
      </c>
      <c r="S344" s="40" t="str">
        <f>IF($K344="","",IF($C$4="",0,COUNTIFS(Assignments!$B$6:$B$1000,$K344,Assignments!$F$6:$F$1000,$C$4,Assignments!$D$6:$D$1000,"&gt;="&amp;Config!$B$3-7,Assignments!$D$6:$D$1000,"&lt;="&amp;Config!$B$3)))</f>
        <v/>
      </c>
      <c r="T344" s="40" t="str">
        <f>IF($K344="","",IFERROR(VLOOKUP($K344,Grinders!$A$4:$N$998,8,FALSE),""))</f>
        <v/>
      </c>
      <c r="U344" s="40" t="str">
        <f>IFERROR(IF($K344="","",IF($M344="Elite",MAX(50,MIN(100,Config!$B$27*MAX(0,MIN(100,(1-IF($R344="",0,$R344))*100)) + Config!$B$28*MAX(0,MIN(100,(1-MIN(1,IF(Config!$B$30=0,1,$S344/Config!$B$30)))*100)) + Config!$B$29*MAX(0,MIN(100,MIN(1,IF($T344="",0,$T344)/Config!$B$23)*100)))),MIN(100,Config!$B$27*MAX(0,MIN(100,(1-IF($R344="",0,$R344))*100)) + Config!$B$28*MAX(0,MIN(100,(1-MIN(1,IF(Config!$B$30=0,1,$S344/Config!$B$30)))*100)) + Config!$B$29*MAX(0,MIN(100,MIN(1,IF($T344="",0,$T344)/Config!$B$23)*100))))),"")
</f>
        <v/>
      </c>
      <c r="V344" s="40" t="str">
        <f>IF(Bids!$AC344="","",Bids!$AC344)</f>
        <v/>
      </c>
      <c r="W344" s="40" t="str">
        <f>IF(Bids!$F343="","",Bids!$F343)</f>
        <v/>
      </c>
      <c r="X344" s="40" t="str">
        <f t="shared" si="5"/>
        <v/>
      </c>
      <c r="Y344" s="40" t="str">
        <f>IF($X344="","",IF(Config!$B$17=Config!$B$16,IF($X344&gt;=Config!$B$17,100,0),MAX(0,MIN(100,($X344-Config!$B$16)/(Config!$B$17-Config!$B$16)*100))))</f>
        <v/>
      </c>
      <c r="Z344" s="40">
        <f>IF($M344="Elite",Config!$B$21,0)</f>
        <v>0</v>
      </c>
      <c r="AA344" s="40" t="str">
        <f>IFERROR(IF(OR($W344="",$H344=""),"",IF($W344&gt;$H344,
  MAX(0, 60-(($W344-$H344)*24/Config!$B$19)*60),
  MIN(100, 60+(($H344-$W344)*24/Config!$B$20)*40)
)),"")
</f>
        <v/>
      </c>
      <c r="AB344" s="40" t="str">
        <f>IF($K344="","",IFERROR(VLOOKUP($K344,Grinders!$A$4:$N$998,10,FALSE)/5*100,""))</f>
        <v/>
      </c>
      <c r="AC344" s="40" t="str">
        <f>IF($K344="","",IFERROR(VLOOKUP($K344,Grinders!$A$4:$N$998,11,FALSE)*100,""))</f>
        <v/>
      </c>
      <c r="AD344" s="40" t="str">
        <f>IF($K344="","",IFERROR(VLOOKUP($K344,Grinders!$A$4:$N$998,12,FALSE)*100,""))</f>
        <v/>
      </c>
      <c r="AE344" s="40" t="str">
        <f>IF(OR(AO344=1,AP344=1),0,=IFERROR(IFS(
    OR($C344="", $K344=""), 0,
    $F344=0, 0,
    $D344&lt;&gt;"Open", 0,
    COUNTIFS(GrinderServices!$A$6:$A$1000, $K344, GrinderServices!$B$6:$B$1000, $E344, GrinderServices!$D$6:$D$1000, "Y")=0, 0,
    $X344&lt;Config!$B$16, 0,
    Config!$B$18=1, IF($O344&gt;=N344, 0, 1),
    TRUE, 1
), "")
)</f>
        <v>#ERROR!</v>
      </c>
      <c r="AF344" s="40" t="str">
        <f>IFERROR((IF(OR(AO344=1,AP344=1),"",=IFERROR((IFERROR(IF($AE344=0,"",((Config!$B$6*$Y344 + Config!$B$7*$U344 + Config!$B$8*$Z344 + Config!$B$9*$AA344 + Config!$B$10*$AB344 + Config!$B$11*$AC344 - Config!$B$12*$AD344)/Config!$B$13)+$AK344+$AL344),""))*(1-IFERROR(VLOOKUP(K344,Grinders!$A:$AB, 28, FALSE),0)),"")))*(1+AR344),"")</f>
        <v>#ERROR!</v>
      </c>
      <c r="AG344" s="40" t="str">
        <f t="shared" si="6"/>
        <v>#ERROR!</v>
      </c>
      <c r="AH344" s="40" t="str">
        <f t="shared" si="7"/>
        <v/>
      </c>
      <c r="AI344" s="40" t="str">
        <f t="shared" si="8"/>
        <v/>
      </c>
      <c r="AJ344" s="40" t="str">
        <f>IF($K344="","",COUNTIF(Assignments!$B$6:$B$1000,$K344))</f>
        <v/>
      </c>
      <c r="AK344" s="40" t="str">
        <f>IF($K344="","",IF(AND($AJ344=0,$O344&lt;$N344),Config!$B$43,0))</f>
        <v/>
      </c>
      <c r="AL344" s="40" t="str">
        <f>IF($K344="","",IF(AND($M344="Elite",$G344&gt;=Config!$B$41,$O344&lt;$N344),Config!$B$42,0))</f>
        <v/>
      </c>
      <c r="AM344" s="22"/>
      <c r="AN344" s="39">
        <f>IFERROR(VLOOKUP(K344,Grinders!$A:$Q,28,FALSE),0)</f>
        <v>0</v>
      </c>
      <c r="AO344" s="39">
        <f>IF(Config!$B$1003&lt;&gt;"Y",0,IF(IFERROR(VLOOKUP(K344,Grinders!$A:$P,27,FALSE),0)&gt;=3,IF(OR(G344&gt;=Config!$B$1001,ISNUMBER(SEARCH(E344,Config!$B$1002))),1,0),0))</f>
        <v>0</v>
      </c>
      <c r="AP344" s="39">
        <f t="array" ref="AP344">IFERROR(IF(INDEX(Bids!$AE:$AE,MATCH(B344,Bids!$A:$A,0))="Pending",1,0),0)</f>
        <v>0</v>
      </c>
      <c r="AQ344" s="39" t="str">
        <f t="array" ref="AQ344">IF(C344="","",IFERROR(XLOOKUP(C344,Assignments!$C:$C,Assignments!$AU:$AU,0),0))</f>
        <v/>
      </c>
      <c r="AR344" s="39">
        <f>IF(AND(Config!$B$1006="Y",AQ344=1),Config!$B$1007,0)</f>
        <v>0</v>
      </c>
    </row>
    <row r="345" ht="15.75" customHeight="1">
      <c r="A345" s="46" t="str">
        <f t="shared" si="1"/>
        <v/>
      </c>
      <c r="B345" s="40" t="str">
        <f>IF(Bids!$A344="","",Bids!$A344)</f>
        <v/>
      </c>
      <c r="C345" s="40" t="str">
        <f>IF(Bids!$B344="","",Bids!$B344)</f>
        <v/>
      </c>
      <c r="D345" s="40" t="str">
        <f>IF($C345="","",IFERROR(VLOOKUP($C345,Orders!$A$4:$J$998,9,FALSE),""))</f>
        <v/>
      </c>
      <c r="E345" s="40" t="str">
        <f>IF($C345="","",IFERROR(VLOOKUP($C345,Orders!$A$4:$J$998,3,FALSE),""))</f>
        <v/>
      </c>
      <c r="F345" s="40">
        <f t="shared" si="2"/>
        <v>1</v>
      </c>
      <c r="G345" s="40" t="str">
        <f>IF($C345="","",IFERROR(VLOOKUP($C345,Orders!$A$4:$J$998,4,FALSE),""))</f>
        <v/>
      </c>
      <c r="H345" s="40" t="str">
        <f>IF($C345="","",IFERROR(VLOOKUP($C345,Orders!$A$4:$J$998,5,FALSE),""))</f>
        <v/>
      </c>
      <c r="I345" s="40" t="str">
        <f>IF($C345="","",IFERROR(VLOOKUP($C345,Orders!$A$4:$J$998,6,FALSE),""))</f>
        <v/>
      </c>
      <c r="J345" s="40" t="str">
        <f>IF($C345="","",IFERROR(VLOOKUP($C345,Orders!$A$4:$J$998,7,FALSE),""))</f>
        <v/>
      </c>
      <c r="K345" s="40" t="str">
        <f>IF(Bids!$C344="","",Bids!$C344)</f>
        <v/>
      </c>
      <c r="L345" s="40" t="str">
        <f>IF($K345="","",IFERROR(VLOOKUP($K345,Grinders!$A$4:$N$998,2,FALSE),""))</f>
        <v/>
      </c>
      <c r="M345" s="40" t="str">
        <f>IF($K345="","",IFERROR(VLOOKUP($K345,Grinders!$A$4:$N$998,3,FALSE),""))</f>
        <v/>
      </c>
      <c r="N345" s="40" t="str">
        <f>IF($K345="","",IFERROR(VLOOKUP($K345,Grinders!$A$4:$N$998,4,FALSE),""))</f>
        <v/>
      </c>
      <c r="O345" s="40" t="str">
        <f>IF($K345="","",IFERROR(VLOOKUP($K345,Grinders!$A$4:$N$998,5,FALSE),""))</f>
        <v/>
      </c>
      <c r="P345" s="40" t="str">
        <f>IF($K345="","",IF($C$4="",0,COUNTIFS(Assignments!$B$6:$B$1000,$K345,Assignments!$F$6:$F$1000,$C$4,Assignments!$E$6:$E$1000,"Active")))</f>
        <v/>
      </c>
      <c r="Q345" s="40" t="str">
        <f t="shared" si="3"/>
        <v/>
      </c>
      <c r="R345" s="40" t="str">
        <f t="shared" si="4"/>
        <v/>
      </c>
      <c r="S345" s="40" t="str">
        <f>IF($K345="","",IF($C$4="",0,COUNTIFS(Assignments!$B$6:$B$1000,$K345,Assignments!$F$6:$F$1000,$C$4,Assignments!$D$6:$D$1000,"&gt;="&amp;Config!$B$3-7,Assignments!$D$6:$D$1000,"&lt;="&amp;Config!$B$3)))</f>
        <v/>
      </c>
      <c r="T345" s="40" t="str">
        <f>IF($K345="","",IFERROR(VLOOKUP($K345,Grinders!$A$4:$N$998,8,FALSE),""))</f>
        <v/>
      </c>
      <c r="U345" s="40" t="str">
        <f>IFERROR(IF($K345="","",IF($M345="Elite",MAX(50,MIN(100,Config!$B$27*MAX(0,MIN(100,(1-IF($R345="",0,$R345))*100)) + Config!$B$28*MAX(0,MIN(100,(1-MIN(1,IF(Config!$B$30=0,1,$S345/Config!$B$30)))*100)) + Config!$B$29*MAX(0,MIN(100,MIN(1,IF($T345="",0,$T345)/Config!$B$23)*100)))),MIN(100,Config!$B$27*MAX(0,MIN(100,(1-IF($R345="",0,$R345))*100)) + Config!$B$28*MAX(0,MIN(100,(1-MIN(1,IF(Config!$B$30=0,1,$S345/Config!$B$30)))*100)) + Config!$B$29*MAX(0,MIN(100,MIN(1,IF($T345="",0,$T345)/Config!$B$23)*100))))),"")
</f>
        <v/>
      </c>
      <c r="V345" s="40" t="str">
        <f>IF(Bids!$AC345="","",Bids!$AC345)</f>
        <v/>
      </c>
      <c r="W345" s="40" t="str">
        <f>IF(Bids!$F344="","",Bids!$F344)</f>
        <v/>
      </c>
      <c r="X345" s="40" t="str">
        <f t="shared" si="5"/>
        <v/>
      </c>
      <c r="Y345" s="40" t="str">
        <f>IF($X345="","",IF(Config!$B$17=Config!$B$16,IF($X345&gt;=Config!$B$17,100,0),MAX(0,MIN(100,($X345-Config!$B$16)/(Config!$B$17-Config!$B$16)*100))))</f>
        <v/>
      </c>
      <c r="Z345" s="40">
        <f>IF($M345="Elite",Config!$B$21,0)</f>
        <v>0</v>
      </c>
      <c r="AA345" s="40" t="str">
        <f>IFERROR(IF(OR($W345="",$H345=""),"",IF($W345&gt;$H345,
  MAX(0, 60-(($W345-$H345)*24/Config!$B$19)*60),
  MIN(100, 60+(($H345-$W345)*24/Config!$B$20)*40)
)),"")
</f>
        <v/>
      </c>
      <c r="AB345" s="40" t="str">
        <f>IF($K345="","",IFERROR(VLOOKUP($K345,Grinders!$A$4:$N$998,10,FALSE)/5*100,""))</f>
        <v/>
      </c>
      <c r="AC345" s="40" t="str">
        <f>IF($K345="","",IFERROR(VLOOKUP($K345,Grinders!$A$4:$N$998,11,FALSE)*100,""))</f>
        <v/>
      </c>
      <c r="AD345" s="40" t="str">
        <f>IF($K345="","",IFERROR(VLOOKUP($K345,Grinders!$A$4:$N$998,12,FALSE)*100,""))</f>
        <v/>
      </c>
      <c r="AE345" s="40" t="str">
        <f>IF(OR(AO345=1,AP345=1),0,=IFERROR(IFS(
    OR($C345="", $K345=""), 0,
    $F345=0, 0,
    $D345&lt;&gt;"Open", 0,
    COUNTIFS(GrinderServices!$A$6:$A$1000, $K345, GrinderServices!$B$6:$B$1000, $E345, GrinderServices!$D$6:$D$1000, "Y")=0, 0,
    $X345&lt;Config!$B$16, 0,
    Config!$B$18=1, IF($O345&gt;=N345, 0, 1),
    TRUE, 1
), "")
)</f>
        <v>#ERROR!</v>
      </c>
      <c r="AF345" s="40" t="str">
        <f>IFERROR((IF(OR(AO345=1,AP345=1),"",=IFERROR((IFERROR(IF($AE345=0,"",((Config!$B$6*$Y345 + Config!$B$7*$U345 + Config!$B$8*$Z345 + Config!$B$9*$AA345 + Config!$B$10*$AB345 + Config!$B$11*$AC345 - Config!$B$12*$AD345)/Config!$B$13)+$AK345+$AL345),""))*(1-IFERROR(VLOOKUP(K345,Grinders!$A:$AB, 28, FALSE),0)),"")))*(1+AR345),"")</f>
        <v>#ERROR!</v>
      </c>
      <c r="AG345" s="40" t="str">
        <f t="shared" si="6"/>
        <v>#ERROR!</v>
      </c>
      <c r="AH345" s="40" t="str">
        <f t="shared" si="7"/>
        <v/>
      </c>
      <c r="AI345" s="40" t="str">
        <f t="shared" si="8"/>
        <v/>
      </c>
      <c r="AJ345" s="40" t="str">
        <f>IF($K345="","",COUNTIF(Assignments!$B$6:$B$1000,$K345))</f>
        <v/>
      </c>
      <c r="AK345" s="40" t="str">
        <f>IF($K345="","",IF(AND($AJ345=0,$O345&lt;$N345),Config!$B$43,0))</f>
        <v/>
      </c>
      <c r="AL345" s="40" t="str">
        <f>IF($K345="","",IF(AND($M345="Elite",$G345&gt;=Config!$B$41,$O345&lt;$N345),Config!$B$42,0))</f>
        <v/>
      </c>
      <c r="AM345" s="22"/>
      <c r="AN345" s="39">
        <f>IFERROR(VLOOKUP(K345,Grinders!$A:$Q,28,FALSE),0)</f>
        <v>0</v>
      </c>
      <c r="AO345" s="39">
        <f>IF(Config!$B$1003&lt;&gt;"Y",0,IF(IFERROR(VLOOKUP(K345,Grinders!$A:$P,27,FALSE),0)&gt;=3,IF(OR(G345&gt;=Config!$B$1001,ISNUMBER(SEARCH(E345,Config!$B$1002))),1,0),0))</f>
        <v>0</v>
      </c>
      <c r="AP345" s="39">
        <f t="array" ref="AP345">IFERROR(IF(INDEX(Bids!$AE:$AE,MATCH(B345,Bids!$A:$A,0))="Pending",1,0),0)</f>
        <v>0</v>
      </c>
      <c r="AQ345" s="39" t="str">
        <f t="array" ref="AQ345">IF(C345="","",IFERROR(XLOOKUP(C345,Assignments!$C:$C,Assignments!$AU:$AU,0),0))</f>
        <v/>
      </c>
      <c r="AR345" s="39">
        <f>IF(AND(Config!$B$1006="Y",AQ345=1),Config!$B$1007,0)</f>
        <v>0</v>
      </c>
    </row>
    <row r="346" ht="15.75" customHeight="1">
      <c r="A346" s="46" t="str">
        <f t="shared" si="1"/>
        <v/>
      </c>
      <c r="B346" s="40" t="str">
        <f>IF(Bids!$A345="","",Bids!$A345)</f>
        <v/>
      </c>
      <c r="C346" s="40" t="str">
        <f>IF(Bids!$B345="","",Bids!$B345)</f>
        <v/>
      </c>
      <c r="D346" s="40" t="str">
        <f>IF($C346="","",IFERROR(VLOOKUP($C346,Orders!$A$4:$J$998,9,FALSE),""))</f>
        <v/>
      </c>
      <c r="E346" s="40" t="str">
        <f>IF($C346="","",IFERROR(VLOOKUP($C346,Orders!$A$4:$J$998,3,FALSE),""))</f>
        <v/>
      </c>
      <c r="F346" s="40">
        <f t="shared" si="2"/>
        <v>1</v>
      </c>
      <c r="G346" s="40" t="str">
        <f>IF($C346="","",IFERROR(VLOOKUP($C346,Orders!$A$4:$J$998,4,FALSE),""))</f>
        <v/>
      </c>
      <c r="H346" s="40" t="str">
        <f>IF($C346="","",IFERROR(VLOOKUP($C346,Orders!$A$4:$J$998,5,FALSE),""))</f>
        <v/>
      </c>
      <c r="I346" s="40" t="str">
        <f>IF($C346="","",IFERROR(VLOOKUP($C346,Orders!$A$4:$J$998,6,FALSE),""))</f>
        <v/>
      </c>
      <c r="J346" s="40" t="str">
        <f>IF($C346="","",IFERROR(VLOOKUP($C346,Orders!$A$4:$J$998,7,FALSE),""))</f>
        <v/>
      </c>
      <c r="K346" s="40" t="str">
        <f>IF(Bids!$C345="","",Bids!$C345)</f>
        <v/>
      </c>
      <c r="L346" s="40" t="str">
        <f>IF($K346="","",IFERROR(VLOOKUP($K346,Grinders!$A$4:$N$998,2,FALSE),""))</f>
        <v/>
      </c>
      <c r="M346" s="40" t="str">
        <f>IF($K346="","",IFERROR(VLOOKUP($K346,Grinders!$A$4:$N$998,3,FALSE),""))</f>
        <v/>
      </c>
      <c r="N346" s="40" t="str">
        <f>IF($K346="","",IFERROR(VLOOKUP($K346,Grinders!$A$4:$N$998,4,FALSE),""))</f>
        <v/>
      </c>
      <c r="O346" s="40" t="str">
        <f>IF($K346="","",IFERROR(VLOOKUP($K346,Grinders!$A$4:$N$998,5,FALSE),""))</f>
        <v/>
      </c>
      <c r="P346" s="40" t="str">
        <f>IF($K346="","",IF($C$4="",0,COUNTIFS(Assignments!$B$6:$B$1000,$K346,Assignments!$F$6:$F$1000,$C$4,Assignments!$E$6:$E$1000,"Active")))</f>
        <v/>
      </c>
      <c r="Q346" s="40" t="str">
        <f t="shared" si="3"/>
        <v/>
      </c>
      <c r="R346" s="40" t="str">
        <f t="shared" si="4"/>
        <v/>
      </c>
      <c r="S346" s="40" t="str">
        <f>IF($K346="","",IF($C$4="",0,COUNTIFS(Assignments!$B$6:$B$1000,$K346,Assignments!$F$6:$F$1000,$C$4,Assignments!$D$6:$D$1000,"&gt;="&amp;Config!$B$3-7,Assignments!$D$6:$D$1000,"&lt;="&amp;Config!$B$3)))</f>
        <v/>
      </c>
      <c r="T346" s="40" t="str">
        <f>IF($K346="","",IFERROR(VLOOKUP($K346,Grinders!$A$4:$N$998,8,FALSE),""))</f>
        <v/>
      </c>
      <c r="U346" s="40" t="str">
        <f>IFERROR(IF($K346="","",IF($M346="Elite",MAX(50,MIN(100,Config!$B$27*MAX(0,MIN(100,(1-IF($R346="",0,$R346))*100)) + Config!$B$28*MAX(0,MIN(100,(1-MIN(1,IF(Config!$B$30=0,1,$S346/Config!$B$30)))*100)) + Config!$B$29*MAX(0,MIN(100,MIN(1,IF($T346="",0,$T346)/Config!$B$23)*100)))),MIN(100,Config!$B$27*MAX(0,MIN(100,(1-IF($R346="",0,$R346))*100)) + Config!$B$28*MAX(0,MIN(100,(1-MIN(1,IF(Config!$B$30=0,1,$S346/Config!$B$30)))*100)) + Config!$B$29*MAX(0,MIN(100,MIN(1,IF($T346="",0,$T346)/Config!$B$23)*100))))),"")
</f>
        <v/>
      </c>
      <c r="V346" s="40" t="str">
        <f>IF(Bids!$AC346="","",Bids!$AC346)</f>
        <v/>
      </c>
      <c r="W346" s="40" t="str">
        <f>IF(Bids!$F345="","",Bids!$F345)</f>
        <v/>
      </c>
      <c r="X346" s="40" t="str">
        <f t="shared" si="5"/>
        <v/>
      </c>
      <c r="Y346" s="40" t="str">
        <f>IF($X346="","",IF(Config!$B$17=Config!$B$16,IF($X346&gt;=Config!$B$17,100,0),MAX(0,MIN(100,($X346-Config!$B$16)/(Config!$B$17-Config!$B$16)*100))))</f>
        <v/>
      </c>
      <c r="Z346" s="40">
        <f>IF($M346="Elite",Config!$B$21,0)</f>
        <v>0</v>
      </c>
      <c r="AA346" s="40" t="str">
        <f>IFERROR(IF(OR($W346="",$H346=""),"",IF($W346&gt;$H346,
  MAX(0, 60-(($W346-$H346)*24/Config!$B$19)*60),
  MIN(100, 60+(($H346-$W346)*24/Config!$B$20)*40)
)),"")
</f>
        <v/>
      </c>
      <c r="AB346" s="40" t="str">
        <f>IF($K346="","",IFERROR(VLOOKUP($K346,Grinders!$A$4:$N$998,10,FALSE)/5*100,""))</f>
        <v/>
      </c>
      <c r="AC346" s="40" t="str">
        <f>IF($K346="","",IFERROR(VLOOKUP($K346,Grinders!$A$4:$N$998,11,FALSE)*100,""))</f>
        <v/>
      </c>
      <c r="AD346" s="40" t="str">
        <f>IF($K346="","",IFERROR(VLOOKUP($K346,Grinders!$A$4:$N$998,12,FALSE)*100,""))</f>
        <v/>
      </c>
      <c r="AE346" s="40" t="str">
        <f>IF(OR(AO346=1,AP346=1),0,=IFERROR(IFS(
    OR($C346="", $K346=""), 0,
    $F346=0, 0,
    $D346&lt;&gt;"Open", 0,
    COUNTIFS(GrinderServices!$A$6:$A$1000, $K346, GrinderServices!$B$6:$B$1000, $E346, GrinderServices!$D$6:$D$1000, "Y")=0, 0,
    $X346&lt;Config!$B$16, 0,
    Config!$B$18=1, IF($O346&gt;=N346, 0, 1),
    TRUE, 1
), "")
)</f>
        <v>#ERROR!</v>
      </c>
      <c r="AF346" s="40" t="str">
        <f>IFERROR((IF(OR(AO346=1,AP346=1),"",=IFERROR((IFERROR(IF($AE346=0,"",((Config!$B$6*$Y346 + Config!$B$7*$U346 + Config!$B$8*$Z346 + Config!$B$9*$AA346 + Config!$B$10*$AB346 + Config!$B$11*$AC346 - Config!$B$12*$AD346)/Config!$B$13)+$AK346+$AL346),""))*(1-IFERROR(VLOOKUP(K346,Grinders!$A:$AB, 28, FALSE),0)),"")))*(1+AR346),"")</f>
        <v>#ERROR!</v>
      </c>
      <c r="AG346" s="40" t="str">
        <f t="shared" si="6"/>
        <v>#ERROR!</v>
      </c>
      <c r="AH346" s="40" t="str">
        <f t="shared" si="7"/>
        <v/>
      </c>
      <c r="AI346" s="40" t="str">
        <f t="shared" si="8"/>
        <v/>
      </c>
      <c r="AJ346" s="40" t="str">
        <f>IF($K346="","",COUNTIF(Assignments!$B$6:$B$1000,$K346))</f>
        <v/>
      </c>
      <c r="AK346" s="40" t="str">
        <f>IF($K346="","",IF(AND($AJ346=0,$O346&lt;$N346),Config!$B$43,0))</f>
        <v/>
      </c>
      <c r="AL346" s="40" t="str">
        <f>IF($K346="","",IF(AND($M346="Elite",$G346&gt;=Config!$B$41,$O346&lt;$N346),Config!$B$42,0))</f>
        <v/>
      </c>
      <c r="AM346" s="22"/>
      <c r="AN346" s="39">
        <f>IFERROR(VLOOKUP(K346,Grinders!$A:$Q,28,FALSE),0)</f>
        <v>0</v>
      </c>
      <c r="AO346" s="39">
        <f>IF(Config!$B$1003&lt;&gt;"Y",0,IF(IFERROR(VLOOKUP(K346,Grinders!$A:$P,27,FALSE),0)&gt;=3,IF(OR(G346&gt;=Config!$B$1001,ISNUMBER(SEARCH(E346,Config!$B$1002))),1,0),0))</f>
        <v>0</v>
      </c>
      <c r="AP346" s="39">
        <f t="array" ref="AP346">IFERROR(IF(INDEX(Bids!$AE:$AE,MATCH(B346,Bids!$A:$A,0))="Pending",1,0),0)</f>
        <v>0</v>
      </c>
      <c r="AQ346" s="39" t="str">
        <f t="array" ref="AQ346">IF(C346="","",IFERROR(XLOOKUP(C346,Assignments!$C:$C,Assignments!$AU:$AU,0),0))</f>
        <v/>
      </c>
      <c r="AR346" s="39">
        <f>IF(AND(Config!$B$1006="Y",AQ346=1),Config!$B$1007,0)</f>
        <v>0</v>
      </c>
    </row>
    <row r="347" ht="15.75" customHeight="1">
      <c r="A347" s="46" t="str">
        <f t="shared" si="1"/>
        <v/>
      </c>
      <c r="B347" s="40" t="str">
        <f>IF(Bids!$A346="","",Bids!$A346)</f>
        <v/>
      </c>
      <c r="C347" s="40" t="str">
        <f>IF(Bids!$B346="","",Bids!$B346)</f>
        <v/>
      </c>
      <c r="D347" s="40" t="str">
        <f>IF($C347="","",IFERROR(VLOOKUP($C347,Orders!$A$4:$J$998,9,FALSE),""))</f>
        <v/>
      </c>
      <c r="E347" s="40" t="str">
        <f>IF($C347="","",IFERROR(VLOOKUP($C347,Orders!$A$4:$J$998,3,FALSE),""))</f>
        <v/>
      </c>
      <c r="F347" s="40">
        <f t="shared" si="2"/>
        <v>1</v>
      </c>
      <c r="G347" s="40" t="str">
        <f>IF($C347="","",IFERROR(VLOOKUP($C347,Orders!$A$4:$J$998,4,FALSE),""))</f>
        <v/>
      </c>
      <c r="H347" s="40" t="str">
        <f>IF($C347="","",IFERROR(VLOOKUP($C347,Orders!$A$4:$J$998,5,FALSE),""))</f>
        <v/>
      </c>
      <c r="I347" s="40" t="str">
        <f>IF($C347="","",IFERROR(VLOOKUP($C347,Orders!$A$4:$J$998,6,FALSE),""))</f>
        <v/>
      </c>
      <c r="J347" s="40" t="str">
        <f>IF($C347="","",IFERROR(VLOOKUP($C347,Orders!$A$4:$J$998,7,FALSE),""))</f>
        <v/>
      </c>
      <c r="K347" s="40" t="str">
        <f>IF(Bids!$C346="","",Bids!$C346)</f>
        <v/>
      </c>
      <c r="L347" s="40" t="str">
        <f>IF($K347="","",IFERROR(VLOOKUP($K347,Grinders!$A$4:$N$998,2,FALSE),""))</f>
        <v/>
      </c>
      <c r="M347" s="40" t="str">
        <f>IF($K347="","",IFERROR(VLOOKUP($K347,Grinders!$A$4:$N$998,3,FALSE),""))</f>
        <v/>
      </c>
      <c r="N347" s="40" t="str">
        <f>IF($K347="","",IFERROR(VLOOKUP($K347,Grinders!$A$4:$N$998,4,FALSE),""))</f>
        <v/>
      </c>
      <c r="O347" s="40" t="str">
        <f>IF($K347="","",IFERROR(VLOOKUP($K347,Grinders!$A$4:$N$998,5,FALSE),""))</f>
        <v/>
      </c>
      <c r="P347" s="40" t="str">
        <f>IF($K347="","",IF($C$4="",0,COUNTIFS(Assignments!$B$6:$B$1000,$K347,Assignments!$F$6:$F$1000,$C$4,Assignments!$E$6:$E$1000,"Active")))</f>
        <v/>
      </c>
      <c r="Q347" s="40" t="str">
        <f t="shared" si="3"/>
        <v/>
      </c>
      <c r="R347" s="40" t="str">
        <f t="shared" si="4"/>
        <v/>
      </c>
      <c r="S347" s="40" t="str">
        <f>IF($K347="","",IF($C$4="",0,COUNTIFS(Assignments!$B$6:$B$1000,$K347,Assignments!$F$6:$F$1000,$C$4,Assignments!$D$6:$D$1000,"&gt;="&amp;Config!$B$3-7,Assignments!$D$6:$D$1000,"&lt;="&amp;Config!$B$3)))</f>
        <v/>
      </c>
      <c r="T347" s="40" t="str">
        <f>IF($K347="","",IFERROR(VLOOKUP($K347,Grinders!$A$4:$N$998,8,FALSE),""))</f>
        <v/>
      </c>
      <c r="U347" s="40" t="str">
        <f>IFERROR(IF($K347="","",IF($M347="Elite",MAX(50,MIN(100,Config!$B$27*MAX(0,MIN(100,(1-IF($R347="",0,$R347))*100)) + Config!$B$28*MAX(0,MIN(100,(1-MIN(1,IF(Config!$B$30=0,1,$S347/Config!$B$30)))*100)) + Config!$B$29*MAX(0,MIN(100,MIN(1,IF($T347="",0,$T347)/Config!$B$23)*100)))),MIN(100,Config!$B$27*MAX(0,MIN(100,(1-IF($R347="",0,$R347))*100)) + Config!$B$28*MAX(0,MIN(100,(1-MIN(1,IF(Config!$B$30=0,1,$S347/Config!$B$30)))*100)) + Config!$B$29*MAX(0,MIN(100,MIN(1,IF($T347="",0,$T347)/Config!$B$23)*100))))),"")
</f>
        <v/>
      </c>
      <c r="V347" s="40" t="str">
        <f>IF(Bids!$AC347="","",Bids!$AC347)</f>
        <v/>
      </c>
      <c r="W347" s="40" t="str">
        <f>IF(Bids!$F346="","",Bids!$F346)</f>
        <v/>
      </c>
      <c r="X347" s="40" t="str">
        <f t="shared" si="5"/>
        <v/>
      </c>
      <c r="Y347" s="40" t="str">
        <f>IF($X347="","",IF(Config!$B$17=Config!$B$16,IF($X347&gt;=Config!$B$17,100,0),MAX(0,MIN(100,($X347-Config!$B$16)/(Config!$B$17-Config!$B$16)*100))))</f>
        <v/>
      </c>
      <c r="Z347" s="40">
        <f>IF($M347="Elite",Config!$B$21,0)</f>
        <v>0</v>
      </c>
      <c r="AA347" s="40" t="str">
        <f>IFERROR(IF(OR($W347="",$H347=""),"",IF($W347&gt;$H347,
  MAX(0, 60-(($W347-$H347)*24/Config!$B$19)*60),
  MIN(100, 60+(($H347-$W347)*24/Config!$B$20)*40)
)),"")
</f>
        <v/>
      </c>
      <c r="AB347" s="40" t="str">
        <f>IF($K347="","",IFERROR(VLOOKUP($K347,Grinders!$A$4:$N$998,10,FALSE)/5*100,""))</f>
        <v/>
      </c>
      <c r="AC347" s="40" t="str">
        <f>IF($K347="","",IFERROR(VLOOKUP($K347,Grinders!$A$4:$N$998,11,FALSE)*100,""))</f>
        <v/>
      </c>
      <c r="AD347" s="40" t="str">
        <f>IF($K347="","",IFERROR(VLOOKUP($K347,Grinders!$A$4:$N$998,12,FALSE)*100,""))</f>
        <v/>
      </c>
      <c r="AE347" s="40" t="str">
        <f>IF(OR(AO347=1,AP347=1),0,=IFERROR(IFS(
    OR($C347="", $K347=""), 0,
    $F347=0, 0,
    $D347&lt;&gt;"Open", 0,
    COUNTIFS(GrinderServices!$A$6:$A$1000, $K347, GrinderServices!$B$6:$B$1000, $E347, GrinderServices!$D$6:$D$1000, "Y")=0, 0,
    $X347&lt;Config!$B$16, 0,
    Config!$B$18=1, IF($O347&gt;=N347, 0, 1),
    TRUE, 1
), "")
)</f>
        <v>#ERROR!</v>
      </c>
      <c r="AF347" s="40" t="str">
        <f>IFERROR((IF(OR(AO347=1,AP347=1),"",=IFERROR((IFERROR(IF($AE347=0,"",((Config!$B$6*$Y347 + Config!$B$7*$U347 + Config!$B$8*$Z347 + Config!$B$9*$AA347 + Config!$B$10*$AB347 + Config!$B$11*$AC347 - Config!$B$12*$AD347)/Config!$B$13)+$AK347+$AL347),""))*(1-IFERROR(VLOOKUP(K347,Grinders!$A:$AB, 28, FALSE),0)),"")))*(1+AR347),"")</f>
        <v>#ERROR!</v>
      </c>
      <c r="AG347" s="40" t="str">
        <f t="shared" si="6"/>
        <v>#ERROR!</v>
      </c>
      <c r="AH347" s="40" t="str">
        <f t="shared" si="7"/>
        <v/>
      </c>
      <c r="AI347" s="40" t="str">
        <f t="shared" si="8"/>
        <v/>
      </c>
      <c r="AJ347" s="40" t="str">
        <f>IF($K347="","",COUNTIF(Assignments!$B$6:$B$1000,$K347))</f>
        <v/>
      </c>
      <c r="AK347" s="40" t="str">
        <f>IF($K347="","",IF(AND($AJ347=0,$O347&lt;$N347),Config!$B$43,0))</f>
        <v/>
      </c>
      <c r="AL347" s="40" t="str">
        <f>IF($K347="","",IF(AND($M347="Elite",$G347&gt;=Config!$B$41,$O347&lt;$N347),Config!$B$42,0))</f>
        <v/>
      </c>
      <c r="AM347" s="22"/>
      <c r="AN347" s="39">
        <f>IFERROR(VLOOKUP(K347,Grinders!$A:$Q,28,FALSE),0)</f>
        <v>0</v>
      </c>
      <c r="AO347" s="39">
        <f>IF(Config!$B$1003&lt;&gt;"Y",0,IF(IFERROR(VLOOKUP(K347,Grinders!$A:$P,27,FALSE),0)&gt;=3,IF(OR(G347&gt;=Config!$B$1001,ISNUMBER(SEARCH(E347,Config!$B$1002))),1,0),0))</f>
        <v>0</v>
      </c>
      <c r="AP347" s="39">
        <f t="array" ref="AP347">IFERROR(IF(INDEX(Bids!$AE:$AE,MATCH(B347,Bids!$A:$A,0))="Pending",1,0),0)</f>
        <v>0</v>
      </c>
      <c r="AQ347" s="39" t="str">
        <f t="array" ref="AQ347">IF(C347="","",IFERROR(XLOOKUP(C347,Assignments!$C:$C,Assignments!$AU:$AU,0),0))</f>
        <v/>
      </c>
      <c r="AR347" s="39">
        <f>IF(AND(Config!$B$1006="Y",AQ347=1),Config!$B$1007,0)</f>
        <v>0</v>
      </c>
    </row>
    <row r="348" ht="15.75" customHeight="1">
      <c r="A348" s="46" t="str">
        <f t="shared" si="1"/>
        <v/>
      </c>
      <c r="B348" s="40" t="str">
        <f>IF(Bids!$A347="","",Bids!$A347)</f>
        <v/>
      </c>
      <c r="C348" s="40" t="str">
        <f>IF(Bids!$B347="","",Bids!$B347)</f>
        <v/>
      </c>
      <c r="D348" s="40" t="str">
        <f>IF($C348="","",IFERROR(VLOOKUP($C348,Orders!$A$4:$J$998,9,FALSE),""))</f>
        <v/>
      </c>
      <c r="E348" s="40" t="str">
        <f>IF($C348="","",IFERROR(VLOOKUP($C348,Orders!$A$4:$J$998,3,FALSE),""))</f>
        <v/>
      </c>
      <c r="F348" s="40">
        <f t="shared" si="2"/>
        <v>1</v>
      </c>
      <c r="G348" s="40" t="str">
        <f>IF($C348="","",IFERROR(VLOOKUP($C348,Orders!$A$4:$J$998,4,FALSE),""))</f>
        <v/>
      </c>
      <c r="H348" s="40" t="str">
        <f>IF($C348="","",IFERROR(VLOOKUP($C348,Orders!$A$4:$J$998,5,FALSE),""))</f>
        <v/>
      </c>
      <c r="I348" s="40" t="str">
        <f>IF($C348="","",IFERROR(VLOOKUP($C348,Orders!$A$4:$J$998,6,FALSE),""))</f>
        <v/>
      </c>
      <c r="J348" s="40" t="str">
        <f>IF($C348="","",IFERROR(VLOOKUP($C348,Orders!$A$4:$J$998,7,FALSE),""))</f>
        <v/>
      </c>
      <c r="K348" s="40" t="str">
        <f>IF(Bids!$C347="","",Bids!$C347)</f>
        <v/>
      </c>
      <c r="L348" s="40" t="str">
        <f>IF($K348="","",IFERROR(VLOOKUP($K348,Grinders!$A$4:$N$998,2,FALSE),""))</f>
        <v/>
      </c>
      <c r="M348" s="40" t="str">
        <f>IF($K348="","",IFERROR(VLOOKUP($K348,Grinders!$A$4:$N$998,3,FALSE),""))</f>
        <v/>
      </c>
      <c r="N348" s="40" t="str">
        <f>IF($K348="","",IFERROR(VLOOKUP($K348,Grinders!$A$4:$N$998,4,FALSE),""))</f>
        <v/>
      </c>
      <c r="O348" s="40" t="str">
        <f>IF($K348="","",IFERROR(VLOOKUP($K348,Grinders!$A$4:$N$998,5,FALSE),""))</f>
        <v/>
      </c>
      <c r="P348" s="40" t="str">
        <f>IF($K348="","",IF($C$4="",0,COUNTIFS(Assignments!$B$6:$B$1000,$K348,Assignments!$F$6:$F$1000,$C$4,Assignments!$E$6:$E$1000,"Active")))</f>
        <v/>
      </c>
      <c r="Q348" s="40" t="str">
        <f t="shared" si="3"/>
        <v/>
      </c>
      <c r="R348" s="40" t="str">
        <f t="shared" si="4"/>
        <v/>
      </c>
      <c r="S348" s="40" t="str">
        <f>IF($K348="","",IF($C$4="",0,COUNTIFS(Assignments!$B$6:$B$1000,$K348,Assignments!$F$6:$F$1000,$C$4,Assignments!$D$6:$D$1000,"&gt;="&amp;Config!$B$3-7,Assignments!$D$6:$D$1000,"&lt;="&amp;Config!$B$3)))</f>
        <v/>
      </c>
      <c r="T348" s="40" t="str">
        <f>IF($K348="","",IFERROR(VLOOKUP($K348,Grinders!$A$4:$N$998,8,FALSE),""))</f>
        <v/>
      </c>
      <c r="U348" s="40" t="str">
        <f>IFERROR(IF($K348="","",IF($M348="Elite",MAX(50,MIN(100,Config!$B$27*MAX(0,MIN(100,(1-IF($R348="",0,$R348))*100)) + Config!$B$28*MAX(0,MIN(100,(1-MIN(1,IF(Config!$B$30=0,1,$S348/Config!$B$30)))*100)) + Config!$B$29*MAX(0,MIN(100,MIN(1,IF($T348="",0,$T348)/Config!$B$23)*100)))),MIN(100,Config!$B$27*MAX(0,MIN(100,(1-IF($R348="",0,$R348))*100)) + Config!$B$28*MAX(0,MIN(100,(1-MIN(1,IF(Config!$B$30=0,1,$S348/Config!$B$30)))*100)) + Config!$B$29*MAX(0,MIN(100,MIN(1,IF($T348="",0,$T348)/Config!$B$23)*100))))),"")
</f>
        <v/>
      </c>
      <c r="V348" s="40" t="str">
        <f>IF(Bids!$AC348="","",Bids!$AC348)</f>
        <v/>
      </c>
      <c r="W348" s="40" t="str">
        <f>IF(Bids!$F347="","",Bids!$F347)</f>
        <v/>
      </c>
      <c r="X348" s="40" t="str">
        <f t="shared" si="5"/>
        <v/>
      </c>
      <c r="Y348" s="40" t="str">
        <f>IF($X348="","",IF(Config!$B$17=Config!$B$16,IF($X348&gt;=Config!$B$17,100,0),MAX(0,MIN(100,($X348-Config!$B$16)/(Config!$B$17-Config!$B$16)*100))))</f>
        <v/>
      </c>
      <c r="Z348" s="40">
        <f>IF($M348="Elite",Config!$B$21,0)</f>
        <v>0</v>
      </c>
      <c r="AA348" s="40" t="str">
        <f>IFERROR(IF(OR($W348="",$H348=""),"",IF($W348&gt;$H348,
  MAX(0, 60-(($W348-$H348)*24/Config!$B$19)*60),
  MIN(100, 60+(($H348-$W348)*24/Config!$B$20)*40)
)),"")
</f>
        <v/>
      </c>
      <c r="AB348" s="40" t="str">
        <f>IF($K348="","",IFERROR(VLOOKUP($K348,Grinders!$A$4:$N$998,10,FALSE)/5*100,""))</f>
        <v/>
      </c>
      <c r="AC348" s="40" t="str">
        <f>IF($K348="","",IFERROR(VLOOKUP($K348,Grinders!$A$4:$N$998,11,FALSE)*100,""))</f>
        <v/>
      </c>
      <c r="AD348" s="40" t="str">
        <f>IF($K348="","",IFERROR(VLOOKUP($K348,Grinders!$A$4:$N$998,12,FALSE)*100,""))</f>
        <v/>
      </c>
      <c r="AE348" s="40" t="str">
        <f>IF(OR(AO348=1,AP348=1),0,=IFERROR(IFS(
    OR($C348="", $K348=""), 0,
    $F348=0, 0,
    $D348&lt;&gt;"Open", 0,
    COUNTIFS(GrinderServices!$A$6:$A$1000, $K348, GrinderServices!$B$6:$B$1000, $E348, GrinderServices!$D$6:$D$1000, "Y")=0, 0,
    $X348&lt;Config!$B$16, 0,
    Config!$B$18=1, IF($O348&gt;=N348, 0, 1),
    TRUE, 1
), "")
)</f>
        <v>#ERROR!</v>
      </c>
      <c r="AF348" s="40" t="str">
        <f>IFERROR((IF(OR(AO348=1,AP348=1),"",=IFERROR((IFERROR(IF($AE348=0,"",((Config!$B$6*$Y348 + Config!$B$7*$U348 + Config!$B$8*$Z348 + Config!$B$9*$AA348 + Config!$B$10*$AB348 + Config!$B$11*$AC348 - Config!$B$12*$AD348)/Config!$B$13)+$AK348+$AL348),""))*(1-IFERROR(VLOOKUP(K348,Grinders!$A:$AB, 28, FALSE),0)),"")))*(1+AR348),"")</f>
        <v>#ERROR!</v>
      </c>
      <c r="AG348" s="40" t="str">
        <f t="shared" si="6"/>
        <v>#ERROR!</v>
      </c>
      <c r="AH348" s="40" t="str">
        <f t="shared" si="7"/>
        <v/>
      </c>
      <c r="AI348" s="40" t="str">
        <f t="shared" si="8"/>
        <v/>
      </c>
      <c r="AJ348" s="40" t="str">
        <f>IF($K348="","",COUNTIF(Assignments!$B$6:$B$1000,$K348))</f>
        <v/>
      </c>
      <c r="AK348" s="40" t="str">
        <f>IF($K348="","",IF(AND($AJ348=0,$O348&lt;$N348),Config!$B$43,0))</f>
        <v/>
      </c>
      <c r="AL348" s="40" t="str">
        <f>IF($K348="","",IF(AND($M348="Elite",$G348&gt;=Config!$B$41,$O348&lt;$N348),Config!$B$42,0))</f>
        <v/>
      </c>
      <c r="AM348" s="22"/>
      <c r="AN348" s="39">
        <f>IFERROR(VLOOKUP(K348,Grinders!$A:$Q,28,FALSE),0)</f>
        <v>0</v>
      </c>
      <c r="AO348" s="39">
        <f>IF(Config!$B$1003&lt;&gt;"Y",0,IF(IFERROR(VLOOKUP(K348,Grinders!$A:$P,27,FALSE),0)&gt;=3,IF(OR(G348&gt;=Config!$B$1001,ISNUMBER(SEARCH(E348,Config!$B$1002))),1,0),0))</f>
        <v>0</v>
      </c>
      <c r="AP348" s="39">
        <f t="array" ref="AP348">IFERROR(IF(INDEX(Bids!$AE:$AE,MATCH(B348,Bids!$A:$A,0))="Pending",1,0),0)</f>
        <v>0</v>
      </c>
      <c r="AQ348" s="39" t="str">
        <f t="array" ref="AQ348">IF(C348="","",IFERROR(XLOOKUP(C348,Assignments!$C:$C,Assignments!$AU:$AU,0),0))</f>
        <v/>
      </c>
      <c r="AR348" s="39">
        <f>IF(AND(Config!$B$1006="Y",AQ348=1),Config!$B$1007,0)</f>
        <v>0</v>
      </c>
    </row>
    <row r="349" ht="15.75" customHeight="1">
      <c r="A349" s="46" t="str">
        <f t="shared" si="1"/>
        <v/>
      </c>
      <c r="B349" s="40" t="str">
        <f>IF(Bids!$A348="","",Bids!$A348)</f>
        <v/>
      </c>
      <c r="C349" s="40" t="str">
        <f>IF(Bids!$B348="","",Bids!$B348)</f>
        <v/>
      </c>
      <c r="D349" s="40" t="str">
        <f>IF($C349="","",IFERROR(VLOOKUP($C349,Orders!$A$4:$J$998,9,FALSE),""))</f>
        <v/>
      </c>
      <c r="E349" s="40" t="str">
        <f>IF($C349="","",IFERROR(VLOOKUP($C349,Orders!$A$4:$J$998,3,FALSE),""))</f>
        <v/>
      </c>
      <c r="F349" s="40">
        <f t="shared" si="2"/>
        <v>1</v>
      </c>
      <c r="G349" s="40" t="str">
        <f>IF($C349="","",IFERROR(VLOOKUP($C349,Orders!$A$4:$J$998,4,FALSE),""))</f>
        <v/>
      </c>
      <c r="H349" s="40" t="str">
        <f>IF($C349="","",IFERROR(VLOOKUP($C349,Orders!$A$4:$J$998,5,FALSE),""))</f>
        <v/>
      </c>
      <c r="I349" s="40" t="str">
        <f>IF($C349="","",IFERROR(VLOOKUP($C349,Orders!$A$4:$J$998,6,FALSE),""))</f>
        <v/>
      </c>
      <c r="J349" s="40" t="str">
        <f>IF($C349="","",IFERROR(VLOOKUP($C349,Orders!$A$4:$J$998,7,FALSE),""))</f>
        <v/>
      </c>
      <c r="K349" s="40" t="str">
        <f>IF(Bids!$C348="","",Bids!$C348)</f>
        <v/>
      </c>
      <c r="L349" s="40" t="str">
        <f>IF($K349="","",IFERROR(VLOOKUP($K349,Grinders!$A$4:$N$998,2,FALSE),""))</f>
        <v/>
      </c>
      <c r="M349" s="40" t="str">
        <f>IF($K349="","",IFERROR(VLOOKUP($K349,Grinders!$A$4:$N$998,3,FALSE),""))</f>
        <v/>
      </c>
      <c r="N349" s="40" t="str">
        <f>IF($K349="","",IFERROR(VLOOKUP($K349,Grinders!$A$4:$N$998,4,FALSE),""))</f>
        <v/>
      </c>
      <c r="O349" s="40" t="str">
        <f>IF($K349="","",IFERROR(VLOOKUP($K349,Grinders!$A$4:$N$998,5,FALSE),""))</f>
        <v/>
      </c>
      <c r="P349" s="40" t="str">
        <f>IF($K349="","",IF($C$4="",0,COUNTIFS(Assignments!$B$6:$B$1000,$K349,Assignments!$F$6:$F$1000,$C$4,Assignments!$E$6:$E$1000,"Active")))</f>
        <v/>
      </c>
      <c r="Q349" s="40" t="str">
        <f t="shared" si="3"/>
        <v/>
      </c>
      <c r="R349" s="40" t="str">
        <f t="shared" si="4"/>
        <v/>
      </c>
      <c r="S349" s="40" t="str">
        <f>IF($K349="","",IF($C$4="",0,COUNTIFS(Assignments!$B$6:$B$1000,$K349,Assignments!$F$6:$F$1000,$C$4,Assignments!$D$6:$D$1000,"&gt;="&amp;Config!$B$3-7,Assignments!$D$6:$D$1000,"&lt;="&amp;Config!$B$3)))</f>
        <v/>
      </c>
      <c r="T349" s="40" t="str">
        <f>IF($K349="","",IFERROR(VLOOKUP($K349,Grinders!$A$4:$N$998,8,FALSE),""))</f>
        <v/>
      </c>
      <c r="U349" s="40" t="str">
        <f>IFERROR(IF($K349="","",IF($M349="Elite",MAX(50,MIN(100,Config!$B$27*MAX(0,MIN(100,(1-IF($R349="",0,$R349))*100)) + Config!$B$28*MAX(0,MIN(100,(1-MIN(1,IF(Config!$B$30=0,1,$S349/Config!$B$30)))*100)) + Config!$B$29*MAX(0,MIN(100,MIN(1,IF($T349="",0,$T349)/Config!$B$23)*100)))),MIN(100,Config!$B$27*MAX(0,MIN(100,(1-IF($R349="",0,$R349))*100)) + Config!$B$28*MAX(0,MIN(100,(1-MIN(1,IF(Config!$B$30=0,1,$S349/Config!$B$30)))*100)) + Config!$B$29*MAX(0,MIN(100,MIN(1,IF($T349="",0,$T349)/Config!$B$23)*100))))),"")
</f>
        <v/>
      </c>
      <c r="V349" s="40" t="str">
        <f>IF(Bids!$AC349="","",Bids!$AC349)</f>
        <v/>
      </c>
      <c r="W349" s="40" t="str">
        <f>IF(Bids!$F348="","",Bids!$F348)</f>
        <v/>
      </c>
      <c r="X349" s="40" t="str">
        <f t="shared" si="5"/>
        <v/>
      </c>
      <c r="Y349" s="40" t="str">
        <f>IF($X349="","",IF(Config!$B$17=Config!$B$16,IF($X349&gt;=Config!$B$17,100,0),MAX(0,MIN(100,($X349-Config!$B$16)/(Config!$B$17-Config!$B$16)*100))))</f>
        <v/>
      </c>
      <c r="Z349" s="40">
        <f>IF($M349="Elite",Config!$B$21,0)</f>
        <v>0</v>
      </c>
      <c r="AA349" s="40" t="str">
        <f>IFERROR(IF(OR($W349="",$H349=""),"",IF($W349&gt;$H349,
  MAX(0, 60-(($W349-$H349)*24/Config!$B$19)*60),
  MIN(100, 60+(($H349-$W349)*24/Config!$B$20)*40)
)),"")
</f>
        <v/>
      </c>
      <c r="AB349" s="40" t="str">
        <f>IF($K349="","",IFERROR(VLOOKUP($K349,Grinders!$A$4:$N$998,10,FALSE)/5*100,""))</f>
        <v/>
      </c>
      <c r="AC349" s="40" t="str">
        <f>IF($K349="","",IFERROR(VLOOKUP($K349,Grinders!$A$4:$N$998,11,FALSE)*100,""))</f>
        <v/>
      </c>
      <c r="AD349" s="40" t="str">
        <f>IF($K349="","",IFERROR(VLOOKUP($K349,Grinders!$A$4:$N$998,12,FALSE)*100,""))</f>
        <v/>
      </c>
      <c r="AE349" s="40" t="str">
        <f>IF(OR(AO349=1,AP349=1),0,=IFERROR(IFS(
    OR($C349="", $K349=""), 0,
    $F349=0, 0,
    $D349&lt;&gt;"Open", 0,
    COUNTIFS(GrinderServices!$A$6:$A$1000, $K349, GrinderServices!$B$6:$B$1000, $E349, GrinderServices!$D$6:$D$1000, "Y")=0, 0,
    $X349&lt;Config!$B$16, 0,
    Config!$B$18=1, IF($O349&gt;=N349, 0, 1),
    TRUE, 1
), "")
)</f>
        <v>#ERROR!</v>
      </c>
      <c r="AF349" s="40" t="str">
        <f>IFERROR((IF(OR(AO349=1,AP349=1),"",=IFERROR((IFERROR(IF($AE349=0,"",((Config!$B$6*$Y349 + Config!$B$7*$U349 + Config!$B$8*$Z349 + Config!$B$9*$AA349 + Config!$B$10*$AB349 + Config!$B$11*$AC349 - Config!$B$12*$AD349)/Config!$B$13)+$AK349+$AL349),""))*(1-IFERROR(VLOOKUP(K349,Grinders!$A:$AB, 28, FALSE),0)),"")))*(1+AR349),"")</f>
        <v>#ERROR!</v>
      </c>
      <c r="AG349" s="40" t="str">
        <f t="shared" si="6"/>
        <v>#ERROR!</v>
      </c>
      <c r="AH349" s="40" t="str">
        <f t="shared" si="7"/>
        <v/>
      </c>
      <c r="AI349" s="40" t="str">
        <f t="shared" si="8"/>
        <v/>
      </c>
      <c r="AJ349" s="40" t="str">
        <f>IF($K349="","",COUNTIF(Assignments!$B$6:$B$1000,$K349))</f>
        <v/>
      </c>
      <c r="AK349" s="40" t="str">
        <f>IF($K349="","",IF(AND($AJ349=0,$O349&lt;$N349),Config!$B$43,0))</f>
        <v/>
      </c>
      <c r="AL349" s="40" t="str">
        <f>IF($K349="","",IF(AND($M349="Elite",$G349&gt;=Config!$B$41,$O349&lt;$N349),Config!$B$42,0))</f>
        <v/>
      </c>
      <c r="AM349" s="22"/>
      <c r="AN349" s="39">
        <f>IFERROR(VLOOKUP(K349,Grinders!$A:$Q,28,FALSE),0)</f>
        <v>0</v>
      </c>
      <c r="AO349" s="39">
        <f>IF(Config!$B$1003&lt;&gt;"Y",0,IF(IFERROR(VLOOKUP(K349,Grinders!$A:$P,27,FALSE),0)&gt;=3,IF(OR(G349&gt;=Config!$B$1001,ISNUMBER(SEARCH(E349,Config!$B$1002))),1,0),0))</f>
        <v>0</v>
      </c>
      <c r="AP349" s="39">
        <f t="array" ref="AP349">IFERROR(IF(INDEX(Bids!$AE:$AE,MATCH(B349,Bids!$A:$A,0))="Pending",1,0),0)</f>
        <v>0</v>
      </c>
      <c r="AQ349" s="39" t="str">
        <f t="array" ref="AQ349">IF(C349="","",IFERROR(XLOOKUP(C349,Assignments!$C:$C,Assignments!$AU:$AU,0),0))</f>
        <v/>
      </c>
      <c r="AR349" s="39">
        <f>IF(AND(Config!$B$1006="Y",AQ349=1),Config!$B$1007,0)</f>
        <v>0</v>
      </c>
    </row>
    <row r="350" ht="15.75" customHeight="1">
      <c r="A350" s="46" t="str">
        <f t="shared" si="1"/>
        <v/>
      </c>
      <c r="B350" s="40" t="str">
        <f>IF(Bids!$A349="","",Bids!$A349)</f>
        <v/>
      </c>
      <c r="C350" s="40" t="str">
        <f>IF(Bids!$B349="","",Bids!$B349)</f>
        <v/>
      </c>
      <c r="D350" s="40" t="str">
        <f>IF($C350="","",IFERROR(VLOOKUP($C350,Orders!$A$4:$J$998,9,FALSE),""))</f>
        <v/>
      </c>
      <c r="E350" s="40" t="str">
        <f>IF($C350="","",IFERROR(VLOOKUP($C350,Orders!$A$4:$J$998,3,FALSE),""))</f>
        <v/>
      </c>
      <c r="F350" s="40">
        <f t="shared" si="2"/>
        <v>1</v>
      </c>
      <c r="G350" s="40" t="str">
        <f>IF($C350="","",IFERROR(VLOOKUP($C350,Orders!$A$4:$J$998,4,FALSE),""))</f>
        <v/>
      </c>
      <c r="H350" s="40" t="str">
        <f>IF($C350="","",IFERROR(VLOOKUP($C350,Orders!$A$4:$J$998,5,FALSE),""))</f>
        <v/>
      </c>
      <c r="I350" s="40" t="str">
        <f>IF($C350="","",IFERROR(VLOOKUP($C350,Orders!$A$4:$J$998,6,FALSE),""))</f>
        <v/>
      </c>
      <c r="J350" s="40" t="str">
        <f>IF($C350="","",IFERROR(VLOOKUP($C350,Orders!$A$4:$J$998,7,FALSE),""))</f>
        <v/>
      </c>
      <c r="K350" s="40" t="str">
        <f>IF(Bids!$C349="","",Bids!$C349)</f>
        <v/>
      </c>
      <c r="L350" s="40" t="str">
        <f>IF($K350="","",IFERROR(VLOOKUP($K350,Grinders!$A$4:$N$998,2,FALSE),""))</f>
        <v/>
      </c>
      <c r="M350" s="40" t="str">
        <f>IF($K350="","",IFERROR(VLOOKUP($K350,Grinders!$A$4:$N$998,3,FALSE),""))</f>
        <v/>
      </c>
      <c r="N350" s="40" t="str">
        <f>IF($K350="","",IFERROR(VLOOKUP($K350,Grinders!$A$4:$N$998,4,FALSE),""))</f>
        <v/>
      </c>
      <c r="O350" s="40" t="str">
        <f>IF($K350="","",IFERROR(VLOOKUP($K350,Grinders!$A$4:$N$998,5,FALSE),""))</f>
        <v/>
      </c>
      <c r="P350" s="40" t="str">
        <f>IF($K350="","",IF($C$4="",0,COUNTIFS(Assignments!$B$6:$B$1000,$K350,Assignments!$F$6:$F$1000,$C$4,Assignments!$E$6:$E$1000,"Active")))</f>
        <v/>
      </c>
      <c r="Q350" s="40" t="str">
        <f t="shared" si="3"/>
        <v/>
      </c>
      <c r="R350" s="40" t="str">
        <f t="shared" si="4"/>
        <v/>
      </c>
      <c r="S350" s="40" t="str">
        <f>IF($K350="","",IF($C$4="",0,COUNTIFS(Assignments!$B$6:$B$1000,$K350,Assignments!$F$6:$F$1000,$C$4,Assignments!$D$6:$D$1000,"&gt;="&amp;Config!$B$3-7,Assignments!$D$6:$D$1000,"&lt;="&amp;Config!$B$3)))</f>
        <v/>
      </c>
      <c r="T350" s="40" t="str">
        <f>IF($K350="","",IFERROR(VLOOKUP($K350,Grinders!$A$4:$N$998,8,FALSE),""))</f>
        <v/>
      </c>
      <c r="U350" s="40" t="str">
        <f>IFERROR(IF($K350="","",IF($M350="Elite",MAX(50,MIN(100,Config!$B$27*MAX(0,MIN(100,(1-IF($R350="",0,$R350))*100)) + Config!$B$28*MAX(0,MIN(100,(1-MIN(1,IF(Config!$B$30=0,1,$S350/Config!$B$30)))*100)) + Config!$B$29*MAX(0,MIN(100,MIN(1,IF($T350="",0,$T350)/Config!$B$23)*100)))),MIN(100,Config!$B$27*MAX(0,MIN(100,(1-IF($R350="",0,$R350))*100)) + Config!$B$28*MAX(0,MIN(100,(1-MIN(1,IF(Config!$B$30=0,1,$S350/Config!$B$30)))*100)) + Config!$B$29*MAX(0,MIN(100,MIN(1,IF($T350="",0,$T350)/Config!$B$23)*100))))),"")
</f>
        <v/>
      </c>
      <c r="V350" s="40" t="str">
        <f>IF(Bids!$AC350="","",Bids!$AC350)</f>
        <v/>
      </c>
      <c r="W350" s="40" t="str">
        <f>IF(Bids!$F349="","",Bids!$F349)</f>
        <v/>
      </c>
      <c r="X350" s="40" t="str">
        <f t="shared" si="5"/>
        <v/>
      </c>
      <c r="Y350" s="40" t="str">
        <f>IF($X350="","",IF(Config!$B$17=Config!$B$16,IF($X350&gt;=Config!$B$17,100,0),MAX(0,MIN(100,($X350-Config!$B$16)/(Config!$B$17-Config!$B$16)*100))))</f>
        <v/>
      </c>
      <c r="Z350" s="40">
        <f>IF($M350="Elite",Config!$B$21,0)</f>
        <v>0</v>
      </c>
      <c r="AA350" s="40" t="str">
        <f>IFERROR(IF(OR($W350="",$H350=""),"",IF($W350&gt;$H350,
  MAX(0, 60-(($W350-$H350)*24/Config!$B$19)*60),
  MIN(100, 60+(($H350-$W350)*24/Config!$B$20)*40)
)),"")
</f>
        <v/>
      </c>
      <c r="AB350" s="40" t="str">
        <f>IF($K350="","",IFERROR(VLOOKUP($K350,Grinders!$A$4:$N$998,10,FALSE)/5*100,""))</f>
        <v/>
      </c>
      <c r="AC350" s="40" t="str">
        <f>IF($K350="","",IFERROR(VLOOKUP($K350,Grinders!$A$4:$N$998,11,FALSE)*100,""))</f>
        <v/>
      </c>
      <c r="AD350" s="40" t="str">
        <f>IF($K350="","",IFERROR(VLOOKUP($K350,Grinders!$A$4:$N$998,12,FALSE)*100,""))</f>
        <v/>
      </c>
      <c r="AE350" s="40" t="str">
        <f>IF(OR(AO350=1,AP350=1),0,=IFERROR(IFS(
    OR($C350="", $K350=""), 0,
    $F350=0, 0,
    $D350&lt;&gt;"Open", 0,
    COUNTIFS(GrinderServices!$A$6:$A$1000, $K350, GrinderServices!$B$6:$B$1000, $E350, GrinderServices!$D$6:$D$1000, "Y")=0, 0,
    $X350&lt;Config!$B$16, 0,
    Config!$B$18=1, IF($O350&gt;=N350, 0, 1),
    TRUE, 1
), "")
)</f>
        <v>#ERROR!</v>
      </c>
      <c r="AF350" s="40" t="str">
        <f>IFERROR((IF(OR(AO350=1,AP350=1),"",=IFERROR((IFERROR(IF($AE350=0,"",((Config!$B$6*$Y350 + Config!$B$7*$U350 + Config!$B$8*$Z350 + Config!$B$9*$AA350 + Config!$B$10*$AB350 + Config!$B$11*$AC350 - Config!$B$12*$AD350)/Config!$B$13)+$AK350+$AL350),""))*(1-IFERROR(VLOOKUP(K350,Grinders!$A:$AB, 28, FALSE),0)),"")))*(1+AR350),"")</f>
        <v>#ERROR!</v>
      </c>
      <c r="AG350" s="40" t="str">
        <f t="shared" si="6"/>
        <v>#ERROR!</v>
      </c>
      <c r="AH350" s="40" t="str">
        <f t="shared" si="7"/>
        <v/>
      </c>
      <c r="AI350" s="40" t="str">
        <f t="shared" si="8"/>
        <v/>
      </c>
      <c r="AJ350" s="40" t="str">
        <f>IF($K350="","",COUNTIF(Assignments!$B$6:$B$1000,$K350))</f>
        <v/>
      </c>
      <c r="AK350" s="40" t="str">
        <f>IF($K350="","",IF(AND($AJ350=0,$O350&lt;$N350),Config!$B$43,0))</f>
        <v/>
      </c>
      <c r="AL350" s="40" t="str">
        <f>IF($K350="","",IF(AND($M350="Elite",$G350&gt;=Config!$B$41,$O350&lt;$N350),Config!$B$42,0))</f>
        <v/>
      </c>
      <c r="AM350" s="22"/>
      <c r="AN350" s="39">
        <f>IFERROR(VLOOKUP(K350,Grinders!$A:$Q,28,FALSE),0)</f>
        <v>0</v>
      </c>
      <c r="AO350" s="39">
        <f>IF(Config!$B$1003&lt;&gt;"Y",0,IF(IFERROR(VLOOKUP(K350,Grinders!$A:$P,27,FALSE),0)&gt;=3,IF(OR(G350&gt;=Config!$B$1001,ISNUMBER(SEARCH(E350,Config!$B$1002))),1,0),0))</f>
        <v>0</v>
      </c>
      <c r="AP350" s="39">
        <f t="array" ref="AP350">IFERROR(IF(INDEX(Bids!$AE:$AE,MATCH(B350,Bids!$A:$A,0))="Pending",1,0),0)</f>
        <v>0</v>
      </c>
      <c r="AQ350" s="39" t="str">
        <f t="array" ref="AQ350">IF(C350="","",IFERROR(XLOOKUP(C350,Assignments!$C:$C,Assignments!$AU:$AU,0),0))</f>
        <v/>
      </c>
      <c r="AR350" s="39">
        <f>IF(AND(Config!$B$1006="Y",AQ350=1),Config!$B$1007,0)</f>
        <v>0</v>
      </c>
    </row>
    <row r="351" ht="15.75" customHeight="1">
      <c r="A351" s="46" t="str">
        <f t="shared" si="1"/>
        <v/>
      </c>
      <c r="B351" s="40" t="str">
        <f>IF(Bids!$A350="","",Bids!$A350)</f>
        <v/>
      </c>
      <c r="C351" s="40" t="str">
        <f>IF(Bids!$B350="","",Bids!$B350)</f>
        <v/>
      </c>
      <c r="D351" s="40" t="str">
        <f>IF($C351="","",IFERROR(VLOOKUP($C351,Orders!$A$4:$J$998,9,FALSE),""))</f>
        <v/>
      </c>
      <c r="E351" s="40" t="str">
        <f>IF($C351="","",IFERROR(VLOOKUP($C351,Orders!$A$4:$J$998,3,FALSE),""))</f>
        <v/>
      </c>
      <c r="F351" s="40">
        <f t="shared" si="2"/>
        <v>1</v>
      </c>
      <c r="G351" s="40" t="str">
        <f>IF($C351="","",IFERROR(VLOOKUP($C351,Orders!$A$4:$J$998,4,FALSE),""))</f>
        <v/>
      </c>
      <c r="H351" s="40" t="str">
        <f>IF($C351="","",IFERROR(VLOOKUP($C351,Orders!$A$4:$J$998,5,FALSE),""))</f>
        <v/>
      </c>
      <c r="I351" s="40" t="str">
        <f>IF($C351="","",IFERROR(VLOOKUP($C351,Orders!$A$4:$J$998,6,FALSE),""))</f>
        <v/>
      </c>
      <c r="J351" s="40" t="str">
        <f>IF($C351="","",IFERROR(VLOOKUP($C351,Orders!$A$4:$J$998,7,FALSE),""))</f>
        <v/>
      </c>
      <c r="K351" s="40" t="str">
        <f>IF(Bids!$C350="","",Bids!$C350)</f>
        <v/>
      </c>
      <c r="L351" s="40" t="str">
        <f>IF($K351="","",IFERROR(VLOOKUP($K351,Grinders!$A$4:$N$998,2,FALSE),""))</f>
        <v/>
      </c>
      <c r="M351" s="40" t="str">
        <f>IF($K351="","",IFERROR(VLOOKUP($K351,Grinders!$A$4:$N$998,3,FALSE),""))</f>
        <v/>
      </c>
      <c r="N351" s="40" t="str">
        <f>IF($K351="","",IFERROR(VLOOKUP($K351,Grinders!$A$4:$N$998,4,FALSE),""))</f>
        <v/>
      </c>
      <c r="O351" s="40" t="str">
        <f>IF($K351="","",IFERROR(VLOOKUP($K351,Grinders!$A$4:$N$998,5,FALSE),""))</f>
        <v/>
      </c>
      <c r="P351" s="40" t="str">
        <f>IF($K351="","",IF($C$4="",0,COUNTIFS(Assignments!$B$6:$B$1000,$K351,Assignments!$F$6:$F$1000,$C$4,Assignments!$E$6:$E$1000,"Active")))</f>
        <v/>
      </c>
      <c r="Q351" s="40" t="str">
        <f t="shared" si="3"/>
        <v/>
      </c>
      <c r="R351" s="40" t="str">
        <f t="shared" si="4"/>
        <v/>
      </c>
      <c r="S351" s="40" t="str">
        <f>IF($K351="","",IF($C$4="",0,COUNTIFS(Assignments!$B$6:$B$1000,$K351,Assignments!$F$6:$F$1000,$C$4,Assignments!$D$6:$D$1000,"&gt;="&amp;Config!$B$3-7,Assignments!$D$6:$D$1000,"&lt;="&amp;Config!$B$3)))</f>
        <v/>
      </c>
      <c r="T351" s="40" t="str">
        <f>IF($K351="","",IFERROR(VLOOKUP($K351,Grinders!$A$4:$N$998,8,FALSE),""))</f>
        <v/>
      </c>
      <c r="U351" s="40" t="str">
        <f>IFERROR(IF($K351="","",IF($M351="Elite",MAX(50,MIN(100,Config!$B$27*MAX(0,MIN(100,(1-IF($R351="",0,$R351))*100)) + Config!$B$28*MAX(0,MIN(100,(1-MIN(1,IF(Config!$B$30=0,1,$S351/Config!$B$30)))*100)) + Config!$B$29*MAX(0,MIN(100,MIN(1,IF($T351="",0,$T351)/Config!$B$23)*100)))),MIN(100,Config!$B$27*MAX(0,MIN(100,(1-IF($R351="",0,$R351))*100)) + Config!$B$28*MAX(0,MIN(100,(1-MIN(1,IF(Config!$B$30=0,1,$S351/Config!$B$30)))*100)) + Config!$B$29*MAX(0,MIN(100,MIN(1,IF($T351="",0,$T351)/Config!$B$23)*100))))),"")
</f>
        <v/>
      </c>
      <c r="V351" s="40" t="str">
        <f>IF(Bids!$AC351="","",Bids!$AC351)</f>
        <v/>
      </c>
      <c r="W351" s="40" t="str">
        <f>IF(Bids!$F350="","",Bids!$F350)</f>
        <v/>
      </c>
      <c r="X351" s="40" t="str">
        <f t="shared" si="5"/>
        <v/>
      </c>
      <c r="Y351" s="40" t="str">
        <f>IF($X351="","",IF(Config!$B$17=Config!$B$16,IF($X351&gt;=Config!$B$17,100,0),MAX(0,MIN(100,($X351-Config!$B$16)/(Config!$B$17-Config!$B$16)*100))))</f>
        <v/>
      </c>
      <c r="Z351" s="40">
        <f>IF($M351="Elite",Config!$B$21,0)</f>
        <v>0</v>
      </c>
      <c r="AA351" s="40" t="str">
        <f>IFERROR(IF(OR($W351="",$H351=""),"",IF($W351&gt;$H351,
  MAX(0, 60-(($W351-$H351)*24/Config!$B$19)*60),
  MIN(100, 60+(($H351-$W351)*24/Config!$B$20)*40)
)),"")
</f>
        <v/>
      </c>
      <c r="AB351" s="40" t="str">
        <f>IF($K351="","",IFERROR(VLOOKUP($K351,Grinders!$A$4:$N$998,10,FALSE)/5*100,""))</f>
        <v/>
      </c>
      <c r="AC351" s="40" t="str">
        <f>IF($K351="","",IFERROR(VLOOKUP($K351,Grinders!$A$4:$N$998,11,FALSE)*100,""))</f>
        <v/>
      </c>
      <c r="AD351" s="40" t="str">
        <f>IF($K351="","",IFERROR(VLOOKUP($K351,Grinders!$A$4:$N$998,12,FALSE)*100,""))</f>
        <v/>
      </c>
      <c r="AE351" s="40" t="str">
        <f>IF(OR(AO351=1,AP351=1),0,=IFERROR(IFS(
    OR($C351="", $K351=""), 0,
    $F351=0, 0,
    $D351&lt;&gt;"Open", 0,
    COUNTIFS(GrinderServices!$A$6:$A$1000, $K351, GrinderServices!$B$6:$B$1000, $E351, GrinderServices!$D$6:$D$1000, "Y")=0, 0,
    $X351&lt;Config!$B$16, 0,
    Config!$B$18=1, IF($O351&gt;=N351, 0, 1),
    TRUE, 1
), "")
)</f>
        <v>#ERROR!</v>
      </c>
      <c r="AF351" s="40" t="str">
        <f>IFERROR((IF(OR(AO351=1,AP351=1),"",=IFERROR((IFERROR(IF($AE351=0,"",((Config!$B$6*$Y351 + Config!$B$7*$U351 + Config!$B$8*$Z351 + Config!$B$9*$AA351 + Config!$B$10*$AB351 + Config!$B$11*$AC351 - Config!$B$12*$AD351)/Config!$B$13)+$AK351+$AL351),""))*(1-IFERROR(VLOOKUP(K351,Grinders!$A:$AB, 28, FALSE),0)),"")))*(1+AR351),"")</f>
        <v>#ERROR!</v>
      </c>
      <c r="AG351" s="40" t="str">
        <f t="shared" si="6"/>
        <v>#ERROR!</v>
      </c>
      <c r="AH351" s="40" t="str">
        <f t="shared" si="7"/>
        <v/>
      </c>
      <c r="AI351" s="40" t="str">
        <f t="shared" si="8"/>
        <v/>
      </c>
      <c r="AJ351" s="40" t="str">
        <f>IF($K351="","",COUNTIF(Assignments!$B$6:$B$1000,$K351))</f>
        <v/>
      </c>
      <c r="AK351" s="40" t="str">
        <f>IF($K351="","",IF(AND($AJ351=0,$O351&lt;$N351),Config!$B$43,0))</f>
        <v/>
      </c>
      <c r="AL351" s="40" t="str">
        <f>IF($K351="","",IF(AND($M351="Elite",$G351&gt;=Config!$B$41,$O351&lt;$N351),Config!$B$42,0))</f>
        <v/>
      </c>
      <c r="AM351" s="22"/>
      <c r="AN351" s="39">
        <f>IFERROR(VLOOKUP(K351,Grinders!$A:$Q,28,FALSE),0)</f>
        <v>0</v>
      </c>
      <c r="AO351" s="39">
        <f>IF(Config!$B$1003&lt;&gt;"Y",0,IF(IFERROR(VLOOKUP(K351,Grinders!$A:$P,27,FALSE),0)&gt;=3,IF(OR(G351&gt;=Config!$B$1001,ISNUMBER(SEARCH(E351,Config!$B$1002))),1,0),0))</f>
        <v>0</v>
      </c>
      <c r="AP351" s="39">
        <f t="array" ref="AP351">IFERROR(IF(INDEX(Bids!$AE:$AE,MATCH(B351,Bids!$A:$A,0))="Pending",1,0),0)</f>
        <v>0</v>
      </c>
      <c r="AQ351" s="39" t="str">
        <f t="array" ref="AQ351">IF(C351="","",IFERROR(XLOOKUP(C351,Assignments!$C:$C,Assignments!$AU:$AU,0),0))</f>
        <v/>
      </c>
      <c r="AR351" s="39">
        <f>IF(AND(Config!$B$1006="Y",AQ351=1),Config!$B$1007,0)</f>
        <v>0</v>
      </c>
    </row>
    <row r="352" ht="15.75" customHeight="1">
      <c r="A352" s="46" t="str">
        <f t="shared" si="1"/>
        <v/>
      </c>
      <c r="B352" s="40" t="str">
        <f>IF(Bids!$A351="","",Bids!$A351)</f>
        <v/>
      </c>
      <c r="C352" s="40" t="str">
        <f>IF(Bids!$B351="","",Bids!$B351)</f>
        <v/>
      </c>
      <c r="D352" s="40" t="str">
        <f>IF($C352="","",IFERROR(VLOOKUP($C352,Orders!$A$4:$J$998,9,FALSE),""))</f>
        <v/>
      </c>
      <c r="E352" s="40" t="str">
        <f>IF($C352="","",IFERROR(VLOOKUP($C352,Orders!$A$4:$J$998,3,FALSE),""))</f>
        <v/>
      </c>
      <c r="F352" s="40">
        <f t="shared" si="2"/>
        <v>1</v>
      </c>
      <c r="G352" s="40" t="str">
        <f>IF($C352="","",IFERROR(VLOOKUP($C352,Orders!$A$4:$J$998,4,FALSE),""))</f>
        <v/>
      </c>
      <c r="H352" s="40" t="str">
        <f>IF($C352="","",IFERROR(VLOOKUP($C352,Orders!$A$4:$J$998,5,FALSE),""))</f>
        <v/>
      </c>
      <c r="I352" s="40" t="str">
        <f>IF($C352="","",IFERROR(VLOOKUP($C352,Orders!$A$4:$J$998,6,FALSE),""))</f>
        <v/>
      </c>
      <c r="J352" s="40" t="str">
        <f>IF($C352="","",IFERROR(VLOOKUP($C352,Orders!$A$4:$J$998,7,FALSE),""))</f>
        <v/>
      </c>
      <c r="K352" s="40" t="str">
        <f>IF(Bids!$C351="","",Bids!$C351)</f>
        <v/>
      </c>
      <c r="L352" s="40" t="str">
        <f>IF($K352="","",IFERROR(VLOOKUP($K352,Grinders!$A$4:$N$998,2,FALSE),""))</f>
        <v/>
      </c>
      <c r="M352" s="40" t="str">
        <f>IF($K352="","",IFERROR(VLOOKUP($K352,Grinders!$A$4:$N$998,3,FALSE),""))</f>
        <v/>
      </c>
      <c r="N352" s="40" t="str">
        <f>IF($K352="","",IFERROR(VLOOKUP($K352,Grinders!$A$4:$N$998,4,FALSE),""))</f>
        <v/>
      </c>
      <c r="O352" s="40" t="str">
        <f>IF($K352="","",IFERROR(VLOOKUP($K352,Grinders!$A$4:$N$998,5,FALSE),""))</f>
        <v/>
      </c>
      <c r="P352" s="40" t="str">
        <f>IF($K352="","",IF($C$4="",0,COUNTIFS(Assignments!$B$6:$B$1000,$K352,Assignments!$F$6:$F$1000,$C$4,Assignments!$E$6:$E$1000,"Active")))</f>
        <v/>
      </c>
      <c r="Q352" s="40" t="str">
        <f t="shared" si="3"/>
        <v/>
      </c>
      <c r="R352" s="40" t="str">
        <f t="shared" si="4"/>
        <v/>
      </c>
      <c r="S352" s="40" t="str">
        <f>IF($K352="","",IF($C$4="",0,COUNTIFS(Assignments!$B$6:$B$1000,$K352,Assignments!$F$6:$F$1000,$C$4,Assignments!$D$6:$D$1000,"&gt;="&amp;Config!$B$3-7,Assignments!$D$6:$D$1000,"&lt;="&amp;Config!$B$3)))</f>
        <v/>
      </c>
      <c r="T352" s="40" t="str">
        <f>IF($K352="","",IFERROR(VLOOKUP($K352,Grinders!$A$4:$N$998,8,FALSE),""))</f>
        <v/>
      </c>
      <c r="U352" s="40" t="str">
        <f>IFERROR(IF($K352="","",IF($M352="Elite",MAX(50,MIN(100,Config!$B$27*MAX(0,MIN(100,(1-IF($R352="",0,$R352))*100)) + Config!$B$28*MAX(0,MIN(100,(1-MIN(1,IF(Config!$B$30=0,1,$S352/Config!$B$30)))*100)) + Config!$B$29*MAX(0,MIN(100,MIN(1,IF($T352="",0,$T352)/Config!$B$23)*100)))),MIN(100,Config!$B$27*MAX(0,MIN(100,(1-IF($R352="",0,$R352))*100)) + Config!$B$28*MAX(0,MIN(100,(1-MIN(1,IF(Config!$B$30=0,1,$S352/Config!$B$30)))*100)) + Config!$B$29*MAX(0,MIN(100,MIN(1,IF($T352="",0,$T352)/Config!$B$23)*100))))),"")
</f>
        <v/>
      </c>
      <c r="V352" s="40" t="str">
        <f>IF(Bids!$AC352="","",Bids!$AC352)</f>
        <v/>
      </c>
      <c r="W352" s="40" t="str">
        <f>IF(Bids!$F351="","",Bids!$F351)</f>
        <v/>
      </c>
      <c r="X352" s="40" t="str">
        <f t="shared" si="5"/>
        <v/>
      </c>
      <c r="Y352" s="40" t="str">
        <f>IF($X352="","",IF(Config!$B$17=Config!$B$16,IF($X352&gt;=Config!$B$17,100,0),MAX(0,MIN(100,($X352-Config!$B$16)/(Config!$B$17-Config!$B$16)*100))))</f>
        <v/>
      </c>
      <c r="Z352" s="40">
        <f>IF($M352="Elite",Config!$B$21,0)</f>
        <v>0</v>
      </c>
      <c r="AA352" s="40" t="str">
        <f>IFERROR(IF(OR($W352="",$H352=""),"",IF($W352&gt;$H352,
  MAX(0, 60-(($W352-$H352)*24/Config!$B$19)*60),
  MIN(100, 60+(($H352-$W352)*24/Config!$B$20)*40)
)),"")
</f>
        <v/>
      </c>
      <c r="AB352" s="40" t="str">
        <f>IF($K352="","",IFERROR(VLOOKUP($K352,Grinders!$A$4:$N$998,10,FALSE)/5*100,""))</f>
        <v/>
      </c>
      <c r="AC352" s="40" t="str">
        <f>IF($K352="","",IFERROR(VLOOKUP($K352,Grinders!$A$4:$N$998,11,FALSE)*100,""))</f>
        <v/>
      </c>
      <c r="AD352" s="40" t="str">
        <f>IF($K352="","",IFERROR(VLOOKUP($K352,Grinders!$A$4:$N$998,12,FALSE)*100,""))</f>
        <v/>
      </c>
      <c r="AE352" s="40" t="str">
        <f>IF(OR(AO352=1,AP352=1),0,=IFERROR(IFS(
    OR($C352="", $K352=""), 0,
    $F352=0, 0,
    $D352&lt;&gt;"Open", 0,
    COUNTIFS(GrinderServices!$A$6:$A$1000, $K352, GrinderServices!$B$6:$B$1000, $E352, GrinderServices!$D$6:$D$1000, "Y")=0, 0,
    $X352&lt;Config!$B$16, 0,
    Config!$B$18=1, IF($O352&gt;=N352, 0, 1),
    TRUE, 1
), "")
)</f>
        <v>#ERROR!</v>
      </c>
      <c r="AF352" s="40" t="str">
        <f>IFERROR((IF(OR(AO352=1,AP352=1),"",=IFERROR((IFERROR(IF($AE352=0,"",((Config!$B$6*$Y352 + Config!$B$7*$U352 + Config!$B$8*$Z352 + Config!$B$9*$AA352 + Config!$B$10*$AB352 + Config!$B$11*$AC352 - Config!$B$12*$AD352)/Config!$B$13)+$AK352+$AL352),""))*(1-IFERROR(VLOOKUP(K352,Grinders!$A:$AB, 28, FALSE),0)),"")))*(1+AR352),"")</f>
        <v>#ERROR!</v>
      </c>
      <c r="AG352" s="40" t="str">
        <f t="shared" si="6"/>
        <v>#ERROR!</v>
      </c>
      <c r="AH352" s="40" t="str">
        <f t="shared" si="7"/>
        <v/>
      </c>
      <c r="AI352" s="40" t="str">
        <f t="shared" si="8"/>
        <v/>
      </c>
      <c r="AJ352" s="40" t="str">
        <f>IF($K352="","",COUNTIF(Assignments!$B$6:$B$1000,$K352))</f>
        <v/>
      </c>
      <c r="AK352" s="40" t="str">
        <f>IF($K352="","",IF(AND($AJ352=0,$O352&lt;$N352),Config!$B$43,0))</f>
        <v/>
      </c>
      <c r="AL352" s="40" t="str">
        <f>IF($K352="","",IF(AND($M352="Elite",$G352&gt;=Config!$B$41,$O352&lt;$N352),Config!$B$42,0))</f>
        <v/>
      </c>
      <c r="AM352" s="22"/>
      <c r="AN352" s="39">
        <f>IFERROR(VLOOKUP(K352,Grinders!$A:$Q,28,FALSE),0)</f>
        <v>0</v>
      </c>
      <c r="AO352" s="39">
        <f>IF(Config!$B$1003&lt;&gt;"Y",0,IF(IFERROR(VLOOKUP(K352,Grinders!$A:$P,27,FALSE),0)&gt;=3,IF(OR(G352&gt;=Config!$B$1001,ISNUMBER(SEARCH(E352,Config!$B$1002))),1,0),0))</f>
        <v>0</v>
      </c>
      <c r="AP352" s="39">
        <f t="array" ref="AP352">IFERROR(IF(INDEX(Bids!$AE:$AE,MATCH(B352,Bids!$A:$A,0))="Pending",1,0),0)</f>
        <v>0</v>
      </c>
      <c r="AQ352" s="39" t="str">
        <f t="array" ref="AQ352">IF(C352="","",IFERROR(XLOOKUP(C352,Assignments!$C:$C,Assignments!$AU:$AU,0),0))</f>
        <v/>
      </c>
      <c r="AR352" s="39">
        <f>IF(AND(Config!$B$1006="Y",AQ352=1),Config!$B$1007,0)</f>
        <v>0</v>
      </c>
    </row>
    <row r="353" ht="15.75" customHeight="1">
      <c r="A353" s="46" t="str">
        <f t="shared" si="1"/>
        <v/>
      </c>
      <c r="B353" s="40" t="str">
        <f>IF(Bids!$A352="","",Bids!$A352)</f>
        <v/>
      </c>
      <c r="C353" s="40" t="str">
        <f>IF(Bids!$B352="","",Bids!$B352)</f>
        <v/>
      </c>
      <c r="D353" s="40" t="str">
        <f>IF($C353="","",IFERROR(VLOOKUP($C353,Orders!$A$4:$J$998,9,FALSE),""))</f>
        <v/>
      </c>
      <c r="E353" s="40" t="str">
        <f>IF($C353="","",IFERROR(VLOOKUP($C353,Orders!$A$4:$J$998,3,FALSE),""))</f>
        <v/>
      </c>
      <c r="F353" s="40">
        <f t="shared" si="2"/>
        <v>1</v>
      </c>
      <c r="G353" s="40" t="str">
        <f>IF($C353="","",IFERROR(VLOOKUP($C353,Orders!$A$4:$J$998,4,FALSE),""))</f>
        <v/>
      </c>
      <c r="H353" s="40" t="str">
        <f>IF($C353="","",IFERROR(VLOOKUP($C353,Orders!$A$4:$J$998,5,FALSE),""))</f>
        <v/>
      </c>
      <c r="I353" s="40" t="str">
        <f>IF($C353="","",IFERROR(VLOOKUP($C353,Orders!$A$4:$J$998,6,FALSE),""))</f>
        <v/>
      </c>
      <c r="J353" s="40" t="str">
        <f>IF($C353="","",IFERROR(VLOOKUP($C353,Orders!$A$4:$J$998,7,FALSE),""))</f>
        <v/>
      </c>
      <c r="K353" s="40" t="str">
        <f>IF(Bids!$C352="","",Bids!$C352)</f>
        <v/>
      </c>
      <c r="L353" s="40" t="str">
        <f>IF($K353="","",IFERROR(VLOOKUP($K353,Grinders!$A$4:$N$998,2,FALSE),""))</f>
        <v/>
      </c>
      <c r="M353" s="40" t="str">
        <f>IF($K353="","",IFERROR(VLOOKUP($K353,Grinders!$A$4:$N$998,3,FALSE),""))</f>
        <v/>
      </c>
      <c r="N353" s="40" t="str">
        <f>IF($K353="","",IFERROR(VLOOKUP($K353,Grinders!$A$4:$N$998,4,FALSE),""))</f>
        <v/>
      </c>
      <c r="O353" s="40" t="str">
        <f>IF($K353="","",IFERROR(VLOOKUP($K353,Grinders!$A$4:$N$998,5,FALSE),""))</f>
        <v/>
      </c>
      <c r="P353" s="40" t="str">
        <f>IF($K353="","",IF($C$4="",0,COUNTIFS(Assignments!$B$6:$B$1000,$K353,Assignments!$F$6:$F$1000,$C$4,Assignments!$E$6:$E$1000,"Active")))</f>
        <v/>
      </c>
      <c r="Q353" s="40" t="str">
        <f t="shared" si="3"/>
        <v/>
      </c>
      <c r="R353" s="40" t="str">
        <f t="shared" si="4"/>
        <v/>
      </c>
      <c r="S353" s="40" t="str">
        <f>IF($K353="","",IF($C$4="",0,COUNTIFS(Assignments!$B$6:$B$1000,$K353,Assignments!$F$6:$F$1000,$C$4,Assignments!$D$6:$D$1000,"&gt;="&amp;Config!$B$3-7,Assignments!$D$6:$D$1000,"&lt;="&amp;Config!$B$3)))</f>
        <v/>
      </c>
      <c r="T353" s="40" t="str">
        <f>IF($K353="","",IFERROR(VLOOKUP($K353,Grinders!$A$4:$N$998,8,FALSE),""))</f>
        <v/>
      </c>
      <c r="U353" s="40" t="str">
        <f>IFERROR(IF($K353="","",IF($M353="Elite",MAX(50,MIN(100,Config!$B$27*MAX(0,MIN(100,(1-IF($R353="",0,$R353))*100)) + Config!$B$28*MAX(0,MIN(100,(1-MIN(1,IF(Config!$B$30=0,1,$S353/Config!$B$30)))*100)) + Config!$B$29*MAX(0,MIN(100,MIN(1,IF($T353="",0,$T353)/Config!$B$23)*100)))),MIN(100,Config!$B$27*MAX(0,MIN(100,(1-IF($R353="",0,$R353))*100)) + Config!$B$28*MAX(0,MIN(100,(1-MIN(1,IF(Config!$B$30=0,1,$S353/Config!$B$30)))*100)) + Config!$B$29*MAX(0,MIN(100,MIN(1,IF($T353="",0,$T353)/Config!$B$23)*100))))),"")
</f>
        <v/>
      </c>
      <c r="V353" s="40" t="str">
        <f>IF(Bids!$AC353="","",Bids!$AC353)</f>
        <v/>
      </c>
      <c r="W353" s="40" t="str">
        <f>IF(Bids!$F352="","",Bids!$F352)</f>
        <v/>
      </c>
      <c r="X353" s="40" t="str">
        <f t="shared" si="5"/>
        <v/>
      </c>
      <c r="Y353" s="40" t="str">
        <f>IF($X353="","",IF(Config!$B$17=Config!$B$16,IF($X353&gt;=Config!$B$17,100,0),MAX(0,MIN(100,($X353-Config!$B$16)/(Config!$B$17-Config!$B$16)*100))))</f>
        <v/>
      </c>
      <c r="Z353" s="40">
        <f>IF($M353="Elite",Config!$B$21,0)</f>
        <v>0</v>
      </c>
      <c r="AA353" s="40" t="str">
        <f>IFERROR(IF(OR($W353="",$H353=""),"",IF($W353&gt;$H353,
  MAX(0, 60-(($W353-$H353)*24/Config!$B$19)*60),
  MIN(100, 60+(($H353-$W353)*24/Config!$B$20)*40)
)),"")
</f>
        <v/>
      </c>
      <c r="AB353" s="40" t="str">
        <f>IF($K353="","",IFERROR(VLOOKUP($K353,Grinders!$A$4:$N$998,10,FALSE)/5*100,""))</f>
        <v/>
      </c>
      <c r="AC353" s="40" t="str">
        <f>IF($K353="","",IFERROR(VLOOKUP($K353,Grinders!$A$4:$N$998,11,FALSE)*100,""))</f>
        <v/>
      </c>
      <c r="AD353" s="40" t="str">
        <f>IF($K353="","",IFERROR(VLOOKUP($K353,Grinders!$A$4:$N$998,12,FALSE)*100,""))</f>
        <v/>
      </c>
      <c r="AE353" s="40" t="str">
        <f>IF(OR(AO353=1,AP353=1),0,=IFERROR(IFS(
    OR($C353="", $K353=""), 0,
    $F353=0, 0,
    $D353&lt;&gt;"Open", 0,
    COUNTIFS(GrinderServices!$A$6:$A$1000, $K353, GrinderServices!$B$6:$B$1000, $E353, GrinderServices!$D$6:$D$1000, "Y")=0, 0,
    $X353&lt;Config!$B$16, 0,
    Config!$B$18=1, IF($O353&gt;=N353, 0, 1),
    TRUE, 1
), "")
)</f>
        <v>#ERROR!</v>
      </c>
      <c r="AF353" s="40" t="str">
        <f>IFERROR((IF(OR(AO353=1,AP353=1),"",=IFERROR((IFERROR(IF($AE353=0,"",((Config!$B$6*$Y353 + Config!$B$7*$U353 + Config!$B$8*$Z353 + Config!$B$9*$AA353 + Config!$B$10*$AB353 + Config!$B$11*$AC353 - Config!$B$12*$AD353)/Config!$B$13)+$AK353+$AL353),""))*(1-IFERROR(VLOOKUP(K353,Grinders!$A:$AB, 28, FALSE),0)),"")))*(1+AR353),"")</f>
        <v>#ERROR!</v>
      </c>
      <c r="AG353" s="40" t="str">
        <f t="shared" si="6"/>
        <v>#ERROR!</v>
      </c>
      <c r="AH353" s="40" t="str">
        <f t="shared" si="7"/>
        <v/>
      </c>
      <c r="AI353" s="40" t="str">
        <f t="shared" si="8"/>
        <v/>
      </c>
      <c r="AJ353" s="40" t="str">
        <f>IF($K353="","",COUNTIF(Assignments!$B$6:$B$1000,$K353))</f>
        <v/>
      </c>
      <c r="AK353" s="40" t="str">
        <f>IF($K353="","",IF(AND($AJ353=0,$O353&lt;$N353),Config!$B$43,0))</f>
        <v/>
      </c>
      <c r="AL353" s="40" t="str">
        <f>IF($K353="","",IF(AND($M353="Elite",$G353&gt;=Config!$B$41,$O353&lt;$N353),Config!$B$42,0))</f>
        <v/>
      </c>
      <c r="AM353" s="22"/>
      <c r="AN353" s="39">
        <f>IFERROR(VLOOKUP(K353,Grinders!$A:$Q,28,FALSE),0)</f>
        <v>0</v>
      </c>
      <c r="AO353" s="39">
        <f>IF(Config!$B$1003&lt;&gt;"Y",0,IF(IFERROR(VLOOKUP(K353,Grinders!$A:$P,27,FALSE),0)&gt;=3,IF(OR(G353&gt;=Config!$B$1001,ISNUMBER(SEARCH(E353,Config!$B$1002))),1,0),0))</f>
        <v>0</v>
      </c>
      <c r="AP353" s="39">
        <f t="array" ref="AP353">IFERROR(IF(INDEX(Bids!$AE:$AE,MATCH(B353,Bids!$A:$A,0))="Pending",1,0),0)</f>
        <v>0</v>
      </c>
      <c r="AQ353" s="39" t="str">
        <f t="array" ref="AQ353">IF(C353="","",IFERROR(XLOOKUP(C353,Assignments!$C:$C,Assignments!$AU:$AU,0),0))</f>
        <v/>
      </c>
      <c r="AR353" s="39">
        <f>IF(AND(Config!$B$1006="Y",AQ353=1),Config!$B$1007,0)</f>
        <v>0</v>
      </c>
    </row>
    <row r="354" ht="15.75" customHeight="1">
      <c r="A354" s="46" t="str">
        <f t="shared" si="1"/>
        <v/>
      </c>
      <c r="B354" s="40" t="str">
        <f>IF(Bids!$A353="","",Bids!$A353)</f>
        <v/>
      </c>
      <c r="C354" s="40" t="str">
        <f>IF(Bids!$B353="","",Bids!$B353)</f>
        <v/>
      </c>
      <c r="D354" s="40" t="str">
        <f>IF($C354="","",IFERROR(VLOOKUP($C354,Orders!$A$4:$J$998,9,FALSE),""))</f>
        <v/>
      </c>
      <c r="E354" s="40" t="str">
        <f>IF($C354="","",IFERROR(VLOOKUP($C354,Orders!$A$4:$J$998,3,FALSE),""))</f>
        <v/>
      </c>
      <c r="F354" s="40">
        <f t="shared" si="2"/>
        <v>1</v>
      </c>
      <c r="G354" s="40" t="str">
        <f>IF($C354="","",IFERROR(VLOOKUP($C354,Orders!$A$4:$J$998,4,FALSE),""))</f>
        <v/>
      </c>
      <c r="H354" s="40" t="str">
        <f>IF($C354="","",IFERROR(VLOOKUP($C354,Orders!$A$4:$J$998,5,FALSE),""))</f>
        <v/>
      </c>
      <c r="I354" s="40" t="str">
        <f>IF($C354="","",IFERROR(VLOOKUP($C354,Orders!$A$4:$J$998,6,FALSE),""))</f>
        <v/>
      </c>
      <c r="J354" s="40" t="str">
        <f>IF($C354="","",IFERROR(VLOOKUP($C354,Orders!$A$4:$J$998,7,FALSE),""))</f>
        <v/>
      </c>
      <c r="K354" s="40" t="str">
        <f>IF(Bids!$C353="","",Bids!$C353)</f>
        <v/>
      </c>
      <c r="L354" s="40" t="str">
        <f>IF($K354="","",IFERROR(VLOOKUP($K354,Grinders!$A$4:$N$998,2,FALSE),""))</f>
        <v/>
      </c>
      <c r="M354" s="40" t="str">
        <f>IF($K354="","",IFERROR(VLOOKUP($K354,Grinders!$A$4:$N$998,3,FALSE),""))</f>
        <v/>
      </c>
      <c r="N354" s="40" t="str">
        <f>IF($K354="","",IFERROR(VLOOKUP($K354,Grinders!$A$4:$N$998,4,FALSE),""))</f>
        <v/>
      </c>
      <c r="O354" s="40" t="str">
        <f>IF($K354="","",IFERROR(VLOOKUP($K354,Grinders!$A$4:$N$998,5,FALSE),""))</f>
        <v/>
      </c>
      <c r="P354" s="40" t="str">
        <f>IF($K354="","",IF($C$4="",0,COUNTIFS(Assignments!$B$6:$B$1000,$K354,Assignments!$F$6:$F$1000,$C$4,Assignments!$E$6:$E$1000,"Active")))</f>
        <v/>
      </c>
      <c r="Q354" s="40" t="str">
        <f t="shared" si="3"/>
        <v/>
      </c>
      <c r="R354" s="40" t="str">
        <f t="shared" si="4"/>
        <v/>
      </c>
      <c r="S354" s="40" t="str">
        <f>IF($K354="","",IF($C$4="",0,COUNTIFS(Assignments!$B$6:$B$1000,$K354,Assignments!$F$6:$F$1000,$C$4,Assignments!$D$6:$D$1000,"&gt;="&amp;Config!$B$3-7,Assignments!$D$6:$D$1000,"&lt;="&amp;Config!$B$3)))</f>
        <v/>
      </c>
      <c r="T354" s="40" t="str">
        <f>IF($K354="","",IFERROR(VLOOKUP($K354,Grinders!$A$4:$N$998,8,FALSE),""))</f>
        <v/>
      </c>
      <c r="U354" s="40" t="str">
        <f>IFERROR(IF($K354="","",IF($M354="Elite",MAX(50,MIN(100,Config!$B$27*MAX(0,MIN(100,(1-IF($R354="",0,$R354))*100)) + Config!$B$28*MAX(0,MIN(100,(1-MIN(1,IF(Config!$B$30=0,1,$S354/Config!$B$30)))*100)) + Config!$B$29*MAX(0,MIN(100,MIN(1,IF($T354="",0,$T354)/Config!$B$23)*100)))),MIN(100,Config!$B$27*MAX(0,MIN(100,(1-IF($R354="",0,$R354))*100)) + Config!$B$28*MAX(0,MIN(100,(1-MIN(1,IF(Config!$B$30=0,1,$S354/Config!$B$30)))*100)) + Config!$B$29*MAX(0,MIN(100,MIN(1,IF($T354="",0,$T354)/Config!$B$23)*100))))),"")
</f>
        <v/>
      </c>
      <c r="V354" s="40" t="str">
        <f>IF(Bids!$AC354="","",Bids!$AC354)</f>
        <v/>
      </c>
      <c r="W354" s="40" t="str">
        <f>IF(Bids!$F353="","",Bids!$F353)</f>
        <v/>
      </c>
      <c r="X354" s="40" t="str">
        <f t="shared" si="5"/>
        <v/>
      </c>
      <c r="Y354" s="40" t="str">
        <f>IF($X354="","",IF(Config!$B$17=Config!$B$16,IF($X354&gt;=Config!$B$17,100,0),MAX(0,MIN(100,($X354-Config!$B$16)/(Config!$B$17-Config!$B$16)*100))))</f>
        <v/>
      </c>
      <c r="Z354" s="40">
        <f>IF($M354="Elite",Config!$B$21,0)</f>
        <v>0</v>
      </c>
      <c r="AA354" s="40" t="str">
        <f>IFERROR(IF(OR($W354="",$H354=""),"",IF($W354&gt;$H354,
  MAX(0, 60-(($W354-$H354)*24/Config!$B$19)*60),
  MIN(100, 60+(($H354-$W354)*24/Config!$B$20)*40)
)),"")
</f>
        <v/>
      </c>
      <c r="AB354" s="40" t="str">
        <f>IF($K354="","",IFERROR(VLOOKUP($K354,Grinders!$A$4:$N$998,10,FALSE)/5*100,""))</f>
        <v/>
      </c>
      <c r="AC354" s="40" t="str">
        <f>IF($K354="","",IFERROR(VLOOKUP($K354,Grinders!$A$4:$N$998,11,FALSE)*100,""))</f>
        <v/>
      </c>
      <c r="AD354" s="40" t="str">
        <f>IF($K354="","",IFERROR(VLOOKUP($K354,Grinders!$A$4:$N$998,12,FALSE)*100,""))</f>
        <v/>
      </c>
      <c r="AE354" s="40" t="str">
        <f>IF(OR(AO354=1,AP354=1),0,=IFERROR(IFS(
    OR($C354="", $K354=""), 0,
    $F354=0, 0,
    $D354&lt;&gt;"Open", 0,
    COUNTIFS(GrinderServices!$A$6:$A$1000, $K354, GrinderServices!$B$6:$B$1000, $E354, GrinderServices!$D$6:$D$1000, "Y")=0, 0,
    $X354&lt;Config!$B$16, 0,
    Config!$B$18=1, IF($O354&gt;=N354, 0, 1),
    TRUE, 1
), "")
)</f>
        <v>#ERROR!</v>
      </c>
      <c r="AF354" s="40" t="str">
        <f>IFERROR((IF(OR(AO354=1,AP354=1),"",=IFERROR((IFERROR(IF($AE354=0,"",((Config!$B$6*$Y354 + Config!$B$7*$U354 + Config!$B$8*$Z354 + Config!$B$9*$AA354 + Config!$B$10*$AB354 + Config!$B$11*$AC354 - Config!$B$12*$AD354)/Config!$B$13)+$AK354+$AL354),""))*(1-IFERROR(VLOOKUP(K354,Grinders!$A:$AB, 28, FALSE),0)),"")))*(1+AR354),"")</f>
        <v>#ERROR!</v>
      </c>
      <c r="AG354" s="40" t="str">
        <f t="shared" si="6"/>
        <v>#ERROR!</v>
      </c>
      <c r="AH354" s="40" t="str">
        <f t="shared" si="7"/>
        <v/>
      </c>
      <c r="AI354" s="40" t="str">
        <f t="shared" si="8"/>
        <v/>
      </c>
      <c r="AJ354" s="40" t="str">
        <f>IF($K354="","",COUNTIF(Assignments!$B$6:$B$1000,$K354))</f>
        <v/>
      </c>
      <c r="AK354" s="40" t="str">
        <f>IF($K354="","",IF(AND($AJ354=0,$O354&lt;$N354),Config!$B$43,0))</f>
        <v/>
      </c>
      <c r="AL354" s="40" t="str">
        <f>IF($K354="","",IF(AND($M354="Elite",$G354&gt;=Config!$B$41,$O354&lt;$N354),Config!$B$42,0))</f>
        <v/>
      </c>
      <c r="AM354" s="22"/>
      <c r="AN354" s="39">
        <f>IFERROR(VLOOKUP(K354,Grinders!$A:$Q,28,FALSE),0)</f>
        <v>0</v>
      </c>
      <c r="AO354" s="39">
        <f>IF(Config!$B$1003&lt;&gt;"Y",0,IF(IFERROR(VLOOKUP(K354,Grinders!$A:$P,27,FALSE),0)&gt;=3,IF(OR(G354&gt;=Config!$B$1001,ISNUMBER(SEARCH(E354,Config!$B$1002))),1,0),0))</f>
        <v>0</v>
      </c>
      <c r="AP354" s="39">
        <f t="array" ref="AP354">IFERROR(IF(INDEX(Bids!$AE:$AE,MATCH(B354,Bids!$A:$A,0))="Pending",1,0),0)</f>
        <v>0</v>
      </c>
      <c r="AQ354" s="39" t="str">
        <f t="array" ref="AQ354">IF(C354="","",IFERROR(XLOOKUP(C354,Assignments!$C:$C,Assignments!$AU:$AU,0),0))</f>
        <v/>
      </c>
      <c r="AR354" s="39">
        <f>IF(AND(Config!$B$1006="Y",AQ354=1),Config!$B$1007,0)</f>
        <v>0</v>
      </c>
    </row>
    <row r="355" ht="15.75" customHeight="1">
      <c r="A355" s="46" t="str">
        <f t="shared" si="1"/>
        <v/>
      </c>
      <c r="B355" s="40" t="str">
        <f>IF(Bids!$A354="","",Bids!$A354)</f>
        <v/>
      </c>
      <c r="C355" s="40" t="str">
        <f>IF(Bids!$B354="","",Bids!$B354)</f>
        <v/>
      </c>
      <c r="D355" s="40" t="str">
        <f>IF($C355="","",IFERROR(VLOOKUP($C355,Orders!$A$4:$J$998,9,FALSE),""))</f>
        <v/>
      </c>
      <c r="E355" s="40" t="str">
        <f>IF($C355="","",IFERROR(VLOOKUP($C355,Orders!$A$4:$J$998,3,FALSE),""))</f>
        <v/>
      </c>
      <c r="F355" s="40">
        <f t="shared" si="2"/>
        <v>1</v>
      </c>
      <c r="G355" s="40" t="str">
        <f>IF($C355="","",IFERROR(VLOOKUP($C355,Orders!$A$4:$J$998,4,FALSE),""))</f>
        <v/>
      </c>
      <c r="H355" s="40" t="str">
        <f>IF($C355="","",IFERROR(VLOOKUP($C355,Orders!$A$4:$J$998,5,FALSE),""))</f>
        <v/>
      </c>
      <c r="I355" s="40" t="str">
        <f>IF($C355="","",IFERROR(VLOOKUP($C355,Orders!$A$4:$J$998,6,FALSE),""))</f>
        <v/>
      </c>
      <c r="J355" s="40" t="str">
        <f>IF($C355="","",IFERROR(VLOOKUP($C355,Orders!$A$4:$J$998,7,FALSE),""))</f>
        <v/>
      </c>
      <c r="K355" s="40" t="str">
        <f>IF(Bids!$C354="","",Bids!$C354)</f>
        <v/>
      </c>
      <c r="L355" s="40" t="str">
        <f>IF($K355="","",IFERROR(VLOOKUP($K355,Grinders!$A$4:$N$998,2,FALSE),""))</f>
        <v/>
      </c>
      <c r="M355" s="40" t="str">
        <f>IF($K355="","",IFERROR(VLOOKUP($K355,Grinders!$A$4:$N$998,3,FALSE),""))</f>
        <v/>
      </c>
      <c r="N355" s="40" t="str">
        <f>IF($K355="","",IFERROR(VLOOKUP($K355,Grinders!$A$4:$N$998,4,FALSE),""))</f>
        <v/>
      </c>
      <c r="O355" s="40" t="str">
        <f>IF($K355="","",IFERROR(VLOOKUP($K355,Grinders!$A$4:$N$998,5,FALSE),""))</f>
        <v/>
      </c>
      <c r="P355" s="40" t="str">
        <f>IF($K355="","",IF($C$4="",0,COUNTIFS(Assignments!$B$6:$B$1000,$K355,Assignments!$F$6:$F$1000,$C$4,Assignments!$E$6:$E$1000,"Active")))</f>
        <v/>
      </c>
      <c r="Q355" s="40" t="str">
        <f t="shared" si="3"/>
        <v/>
      </c>
      <c r="R355" s="40" t="str">
        <f t="shared" si="4"/>
        <v/>
      </c>
      <c r="S355" s="40" t="str">
        <f>IF($K355="","",IF($C$4="",0,COUNTIFS(Assignments!$B$6:$B$1000,$K355,Assignments!$F$6:$F$1000,$C$4,Assignments!$D$6:$D$1000,"&gt;="&amp;Config!$B$3-7,Assignments!$D$6:$D$1000,"&lt;="&amp;Config!$B$3)))</f>
        <v/>
      </c>
      <c r="T355" s="40" t="str">
        <f>IF($K355="","",IFERROR(VLOOKUP($K355,Grinders!$A$4:$N$998,8,FALSE),""))</f>
        <v/>
      </c>
      <c r="U355" s="40" t="str">
        <f>IFERROR(IF($K355="","",IF($M355="Elite",MAX(50,MIN(100,Config!$B$27*MAX(0,MIN(100,(1-IF($R355="",0,$R355))*100)) + Config!$B$28*MAX(0,MIN(100,(1-MIN(1,IF(Config!$B$30=0,1,$S355/Config!$B$30)))*100)) + Config!$B$29*MAX(0,MIN(100,MIN(1,IF($T355="",0,$T355)/Config!$B$23)*100)))),MIN(100,Config!$B$27*MAX(0,MIN(100,(1-IF($R355="",0,$R355))*100)) + Config!$B$28*MAX(0,MIN(100,(1-MIN(1,IF(Config!$B$30=0,1,$S355/Config!$B$30)))*100)) + Config!$B$29*MAX(0,MIN(100,MIN(1,IF($T355="",0,$T355)/Config!$B$23)*100))))),"")
</f>
        <v/>
      </c>
      <c r="V355" s="40" t="str">
        <f>IF(Bids!$AC355="","",Bids!$AC355)</f>
        <v/>
      </c>
      <c r="W355" s="40" t="str">
        <f>IF(Bids!$F354="","",Bids!$F354)</f>
        <v/>
      </c>
      <c r="X355" s="40" t="str">
        <f t="shared" si="5"/>
        <v/>
      </c>
      <c r="Y355" s="40" t="str">
        <f>IF($X355="","",IF(Config!$B$17=Config!$B$16,IF($X355&gt;=Config!$B$17,100,0),MAX(0,MIN(100,($X355-Config!$B$16)/(Config!$B$17-Config!$B$16)*100))))</f>
        <v/>
      </c>
      <c r="Z355" s="40">
        <f>IF($M355="Elite",Config!$B$21,0)</f>
        <v>0</v>
      </c>
      <c r="AA355" s="40" t="str">
        <f>IFERROR(IF(OR($W355="",$H355=""),"",IF($W355&gt;$H355,
  MAX(0, 60-(($W355-$H355)*24/Config!$B$19)*60),
  MIN(100, 60+(($H355-$W355)*24/Config!$B$20)*40)
)),"")
</f>
        <v/>
      </c>
      <c r="AB355" s="40" t="str">
        <f>IF($K355="","",IFERROR(VLOOKUP($K355,Grinders!$A$4:$N$998,10,FALSE)/5*100,""))</f>
        <v/>
      </c>
      <c r="AC355" s="40" t="str">
        <f>IF($K355="","",IFERROR(VLOOKUP($K355,Grinders!$A$4:$N$998,11,FALSE)*100,""))</f>
        <v/>
      </c>
      <c r="AD355" s="40" t="str">
        <f>IF($K355="","",IFERROR(VLOOKUP($K355,Grinders!$A$4:$N$998,12,FALSE)*100,""))</f>
        <v/>
      </c>
      <c r="AE355" s="40" t="str">
        <f>IF(OR(AO355=1,AP355=1),0,=IFERROR(IFS(
    OR($C355="", $K355=""), 0,
    $F355=0, 0,
    $D355&lt;&gt;"Open", 0,
    COUNTIFS(GrinderServices!$A$6:$A$1000, $K355, GrinderServices!$B$6:$B$1000, $E355, GrinderServices!$D$6:$D$1000, "Y")=0, 0,
    $X355&lt;Config!$B$16, 0,
    Config!$B$18=1, IF($O355&gt;=N355, 0, 1),
    TRUE, 1
), "")
)</f>
        <v>#ERROR!</v>
      </c>
      <c r="AF355" s="40" t="str">
        <f>IFERROR((IF(OR(AO355=1,AP355=1),"",=IFERROR((IFERROR(IF($AE355=0,"",((Config!$B$6*$Y355 + Config!$B$7*$U355 + Config!$B$8*$Z355 + Config!$B$9*$AA355 + Config!$B$10*$AB355 + Config!$B$11*$AC355 - Config!$B$12*$AD355)/Config!$B$13)+$AK355+$AL355),""))*(1-IFERROR(VLOOKUP(K355,Grinders!$A:$AB, 28, FALSE),0)),"")))*(1+AR355),"")</f>
        <v>#ERROR!</v>
      </c>
      <c r="AG355" s="40" t="str">
        <f t="shared" si="6"/>
        <v>#ERROR!</v>
      </c>
      <c r="AH355" s="40" t="str">
        <f t="shared" si="7"/>
        <v/>
      </c>
      <c r="AI355" s="40" t="str">
        <f t="shared" si="8"/>
        <v/>
      </c>
      <c r="AJ355" s="40" t="str">
        <f>IF($K355="","",COUNTIF(Assignments!$B$6:$B$1000,$K355))</f>
        <v/>
      </c>
      <c r="AK355" s="40" t="str">
        <f>IF($K355="","",IF(AND($AJ355=0,$O355&lt;$N355),Config!$B$43,0))</f>
        <v/>
      </c>
      <c r="AL355" s="40" t="str">
        <f>IF($K355="","",IF(AND($M355="Elite",$G355&gt;=Config!$B$41,$O355&lt;$N355),Config!$B$42,0))</f>
        <v/>
      </c>
      <c r="AM355" s="22"/>
      <c r="AN355" s="39">
        <f>IFERROR(VLOOKUP(K355,Grinders!$A:$Q,28,FALSE),0)</f>
        <v>0</v>
      </c>
      <c r="AO355" s="39">
        <f>IF(Config!$B$1003&lt;&gt;"Y",0,IF(IFERROR(VLOOKUP(K355,Grinders!$A:$P,27,FALSE),0)&gt;=3,IF(OR(G355&gt;=Config!$B$1001,ISNUMBER(SEARCH(E355,Config!$B$1002))),1,0),0))</f>
        <v>0</v>
      </c>
      <c r="AP355" s="39">
        <f t="array" ref="AP355">IFERROR(IF(INDEX(Bids!$AE:$AE,MATCH(B355,Bids!$A:$A,0))="Pending",1,0),0)</f>
        <v>0</v>
      </c>
      <c r="AQ355" s="39" t="str">
        <f t="array" ref="AQ355">IF(C355="","",IFERROR(XLOOKUP(C355,Assignments!$C:$C,Assignments!$AU:$AU,0),0))</f>
        <v/>
      </c>
      <c r="AR355" s="39">
        <f>IF(AND(Config!$B$1006="Y",AQ355=1),Config!$B$1007,0)</f>
        <v>0</v>
      </c>
    </row>
    <row r="356" ht="15.75" customHeight="1">
      <c r="A356" s="46" t="str">
        <f t="shared" si="1"/>
        <v/>
      </c>
      <c r="B356" s="40" t="str">
        <f>IF(Bids!$A355="","",Bids!$A355)</f>
        <v/>
      </c>
      <c r="C356" s="40" t="str">
        <f>IF(Bids!$B355="","",Bids!$B355)</f>
        <v/>
      </c>
      <c r="D356" s="40" t="str">
        <f>IF($C356="","",IFERROR(VLOOKUP($C356,Orders!$A$4:$J$998,9,FALSE),""))</f>
        <v/>
      </c>
      <c r="E356" s="40" t="str">
        <f>IF($C356="","",IFERROR(VLOOKUP($C356,Orders!$A$4:$J$998,3,FALSE),""))</f>
        <v/>
      </c>
      <c r="F356" s="40">
        <f t="shared" si="2"/>
        <v>1</v>
      </c>
      <c r="G356" s="40" t="str">
        <f>IF($C356="","",IFERROR(VLOOKUP($C356,Orders!$A$4:$J$998,4,FALSE),""))</f>
        <v/>
      </c>
      <c r="H356" s="40" t="str">
        <f>IF($C356="","",IFERROR(VLOOKUP($C356,Orders!$A$4:$J$998,5,FALSE),""))</f>
        <v/>
      </c>
      <c r="I356" s="40" t="str">
        <f>IF($C356="","",IFERROR(VLOOKUP($C356,Orders!$A$4:$J$998,6,FALSE),""))</f>
        <v/>
      </c>
      <c r="J356" s="40" t="str">
        <f>IF($C356="","",IFERROR(VLOOKUP($C356,Orders!$A$4:$J$998,7,FALSE),""))</f>
        <v/>
      </c>
      <c r="K356" s="40" t="str">
        <f>IF(Bids!$C355="","",Bids!$C355)</f>
        <v/>
      </c>
      <c r="L356" s="40" t="str">
        <f>IF($K356="","",IFERROR(VLOOKUP($K356,Grinders!$A$4:$N$998,2,FALSE),""))</f>
        <v/>
      </c>
      <c r="M356" s="40" t="str">
        <f>IF($K356="","",IFERROR(VLOOKUP($K356,Grinders!$A$4:$N$998,3,FALSE),""))</f>
        <v/>
      </c>
      <c r="N356" s="40" t="str">
        <f>IF($K356="","",IFERROR(VLOOKUP($K356,Grinders!$A$4:$N$998,4,FALSE),""))</f>
        <v/>
      </c>
      <c r="O356" s="40" t="str">
        <f>IF($K356="","",IFERROR(VLOOKUP($K356,Grinders!$A$4:$N$998,5,FALSE),""))</f>
        <v/>
      </c>
      <c r="P356" s="40" t="str">
        <f>IF($K356="","",IF($C$4="",0,COUNTIFS(Assignments!$B$6:$B$1000,$K356,Assignments!$F$6:$F$1000,$C$4,Assignments!$E$6:$E$1000,"Active")))</f>
        <v/>
      </c>
      <c r="Q356" s="40" t="str">
        <f t="shared" si="3"/>
        <v/>
      </c>
      <c r="R356" s="40" t="str">
        <f t="shared" si="4"/>
        <v/>
      </c>
      <c r="S356" s="40" t="str">
        <f>IF($K356="","",IF($C$4="",0,COUNTIFS(Assignments!$B$6:$B$1000,$K356,Assignments!$F$6:$F$1000,$C$4,Assignments!$D$6:$D$1000,"&gt;="&amp;Config!$B$3-7,Assignments!$D$6:$D$1000,"&lt;="&amp;Config!$B$3)))</f>
        <v/>
      </c>
      <c r="T356" s="40" t="str">
        <f>IF($K356="","",IFERROR(VLOOKUP($K356,Grinders!$A$4:$N$998,8,FALSE),""))</f>
        <v/>
      </c>
      <c r="U356" s="40" t="str">
        <f>IFERROR(IF($K356="","",IF($M356="Elite",MAX(50,MIN(100,Config!$B$27*MAX(0,MIN(100,(1-IF($R356="",0,$R356))*100)) + Config!$B$28*MAX(0,MIN(100,(1-MIN(1,IF(Config!$B$30=0,1,$S356/Config!$B$30)))*100)) + Config!$B$29*MAX(0,MIN(100,MIN(1,IF($T356="",0,$T356)/Config!$B$23)*100)))),MIN(100,Config!$B$27*MAX(0,MIN(100,(1-IF($R356="",0,$R356))*100)) + Config!$B$28*MAX(0,MIN(100,(1-MIN(1,IF(Config!$B$30=0,1,$S356/Config!$B$30)))*100)) + Config!$B$29*MAX(0,MIN(100,MIN(1,IF($T356="",0,$T356)/Config!$B$23)*100))))),"")
</f>
        <v/>
      </c>
      <c r="V356" s="40" t="str">
        <f>IF(Bids!$AC356="","",Bids!$AC356)</f>
        <v/>
      </c>
      <c r="W356" s="40" t="str">
        <f>IF(Bids!$F355="","",Bids!$F355)</f>
        <v/>
      </c>
      <c r="X356" s="40" t="str">
        <f t="shared" si="5"/>
        <v/>
      </c>
      <c r="Y356" s="40" t="str">
        <f>IF($X356="","",IF(Config!$B$17=Config!$B$16,IF($X356&gt;=Config!$B$17,100,0),MAX(0,MIN(100,($X356-Config!$B$16)/(Config!$B$17-Config!$B$16)*100))))</f>
        <v/>
      </c>
      <c r="Z356" s="40">
        <f>IF($M356="Elite",Config!$B$21,0)</f>
        <v>0</v>
      </c>
      <c r="AA356" s="40" t="str">
        <f>IFERROR(IF(OR($W356="",$H356=""),"",IF($W356&gt;$H356,
  MAX(0, 60-(($W356-$H356)*24/Config!$B$19)*60),
  MIN(100, 60+(($H356-$W356)*24/Config!$B$20)*40)
)),"")
</f>
        <v/>
      </c>
      <c r="AB356" s="40" t="str">
        <f>IF($K356="","",IFERROR(VLOOKUP($K356,Grinders!$A$4:$N$998,10,FALSE)/5*100,""))</f>
        <v/>
      </c>
      <c r="AC356" s="40" t="str">
        <f>IF($K356="","",IFERROR(VLOOKUP($K356,Grinders!$A$4:$N$998,11,FALSE)*100,""))</f>
        <v/>
      </c>
      <c r="AD356" s="40" t="str">
        <f>IF($K356="","",IFERROR(VLOOKUP($K356,Grinders!$A$4:$N$998,12,FALSE)*100,""))</f>
        <v/>
      </c>
      <c r="AE356" s="40" t="str">
        <f>IF(OR(AO356=1,AP356=1),0,=IFERROR(IFS(
    OR($C356="", $K356=""), 0,
    $F356=0, 0,
    $D356&lt;&gt;"Open", 0,
    COUNTIFS(GrinderServices!$A$6:$A$1000, $K356, GrinderServices!$B$6:$B$1000, $E356, GrinderServices!$D$6:$D$1000, "Y")=0, 0,
    $X356&lt;Config!$B$16, 0,
    Config!$B$18=1, IF($O356&gt;=N356, 0, 1),
    TRUE, 1
), "")
)</f>
        <v>#ERROR!</v>
      </c>
      <c r="AF356" s="40" t="str">
        <f>IFERROR((IF(OR(AO356=1,AP356=1),"",=IFERROR((IFERROR(IF($AE356=0,"",((Config!$B$6*$Y356 + Config!$B$7*$U356 + Config!$B$8*$Z356 + Config!$B$9*$AA356 + Config!$B$10*$AB356 + Config!$B$11*$AC356 - Config!$B$12*$AD356)/Config!$B$13)+$AK356+$AL356),""))*(1-IFERROR(VLOOKUP(K356,Grinders!$A:$AB, 28, FALSE),0)),"")))*(1+AR356),"")</f>
        <v>#ERROR!</v>
      </c>
      <c r="AG356" s="40" t="str">
        <f t="shared" si="6"/>
        <v>#ERROR!</v>
      </c>
      <c r="AH356" s="40" t="str">
        <f t="shared" si="7"/>
        <v/>
      </c>
      <c r="AI356" s="40" t="str">
        <f t="shared" si="8"/>
        <v/>
      </c>
      <c r="AJ356" s="40" t="str">
        <f>IF($K356="","",COUNTIF(Assignments!$B$6:$B$1000,$K356))</f>
        <v/>
      </c>
      <c r="AK356" s="40" t="str">
        <f>IF($K356="","",IF(AND($AJ356=0,$O356&lt;$N356),Config!$B$43,0))</f>
        <v/>
      </c>
      <c r="AL356" s="40" t="str">
        <f>IF($K356="","",IF(AND($M356="Elite",$G356&gt;=Config!$B$41,$O356&lt;$N356),Config!$B$42,0))</f>
        <v/>
      </c>
      <c r="AM356" s="22"/>
      <c r="AN356" s="39">
        <f>IFERROR(VLOOKUP(K356,Grinders!$A:$Q,28,FALSE),0)</f>
        <v>0</v>
      </c>
      <c r="AO356" s="39">
        <f>IF(Config!$B$1003&lt;&gt;"Y",0,IF(IFERROR(VLOOKUP(K356,Grinders!$A:$P,27,FALSE),0)&gt;=3,IF(OR(G356&gt;=Config!$B$1001,ISNUMBER(SEARCH(E356,Config!$B$1002))),1,0),0))</f>
        <v>0</v>
      </c>
      <c r="AP356" s="39">
        <f t="array" ref="AP356">IFERROR(IF(INDEX(Bids!$AE:$AE,MATCH(B356,Bids!$A:$A,0))="Pending",1,0),0)</f>
        <v>0</v>
      </c>
      <c r="AQ356" s="39" t="str">
        <f t="array" ref="AQ356">IF(C356="","",IFERROR(XLOOKUP(C356,Assignments!$C:$C,Assignments!$AU:$AU,0),0))</f>
        <v/>
      </c>
      <c r="AR356" s="39">
        <f>IF(AND(Config!$B$1006="Y",AQ356=1),Config!$B$1007,0)</f>
        <v>0</v>
      </c>
    </row>
    <row r="357" ht="15.75" customHeight="1">
      <c r="A357" s="46" t="str">
        <f t="shared" si="1"/>
        <v/>
      </c>
      <c r="B357" s="40" t="str">
        <f>IF(Bids!$A356="","",Bids!$A356)</f>
        <v/>
      </c>
      <c r="C357" s="40" t="str">
        <f>IF(Bids!$B356="","",Bids!$B356)</f>
        <v/>
      </c>
      <c r="D357" s="40" t="str">
        <f>IF($C357="","",IFERROR(VLOOKUP($C357,Orders!$A$4:$J$998,9,FALSE),""))</f>
        <v/>
      </c>
      <c r="E357" s="40" t="str">
        <f>IF($C357="","",IFERROR(VLOOKUP($C357,Orders!$A$4:$J$998,3,FALSE),""))</f>
        <v/>
      </c>
      <c r="F357" s="40">
        <f t="shared" si="2"/>
        <v>1</v>
      </c>
      <c r="G357" s="40" t="str">
        <f>IF($C357="","",IFERROR(VLOOKUP($C357,Orders!$A$4:$J$998,4,FALSE),""))</f>
        <v/>
      </c>
      <c r="H357" s="40" t="str">
        <f>IF($C357="","",IFERROR(VLOOKUP($C357,Orders!$A$4:$J$998,5,FALSE),""))</f>
        <v/>
      </c>
      <c r="I357" s="40" t="str">
        <f>IF($C357="","",IFERROR(VLOOKUP($C357,Orders!$A$4:$J$998,6,FALSE),""))</f>
        <v/>
      </c>
      <c r="J357" s="40" t="str">
        <f>IF($C357="","",IFERROR(VLOOKUP($C357,Orders!$A$4:$J$998,7,FALSE),""))</f>
        <v/>
      </c>
      <c r="K357" s="40" t="str">
        <f>IF(Bids!$C356="","",Bids!$C356)</f>
        <v/>
      </c>
      <c r="L357" s="40" t="str">
        <f>IF($K357="","",IFERROR(VLOOKUP($K357,Grinders!$A$4:$N$998,2,FALSE),""))</f>
        <v/>
      </c>
      <c r="M357" s="40" t="str">
        <f>IF($K357="","",IFERROR(VLOOKUP($K357,Grinders!$A$4:$N$998,3,FALSE),""))</f>
        <v/>
      </c>
      <c r="N357" s="40" t="str">
        <f>IF($K357="","",IFERROR(VLOOKUP($K357,Grinders!$A$4:$N$998,4,FALSE),""))</f>
        <v/>
      </c>
      <c r="O357" s="40" t="str">
        <f>IF($K357="","",IFERROR(VLOOKUP($K357,Grinders!$A$4:$N$998,5,FALSE),""))</f>
        <v/>
      </c>
      <c r="P357" s="40" t="str">
        <f>IF($K357="","",IF($C$4="",0,COUNTIFS(Assignments!$B$6:$B$1000,$K357,Assignments!$F$6:$F$1000,$C$4,Assignments!$E$6:$E$1000,"Active")))</f>
        <v/>
      </c>
      <c r="Q357" s="40" t="str">
        <f t="shared" si="3"/>
        <v/>
      </c>
      <c r="R357" s="40" t="str">
        <f t="shared" si="4"/>
        <v/>
      </c>
      <c r="S357" s="40" t="str">
        <f>IF($K357="","",IF($C$4="",0,COUNTIFS(Assignments!$B$6:$B$1000,$K357,Assignments!$F$6:$F$1000,$C$4,Assignments!$D$6:$D$1000,"&gt;="&amp;Config!$B$3-7,Assignments!$D$6:$D$1000,"&lt;="&amp;Config!$B$3)))</f>
        <v/>
      </c>
      <c r="T357" s="40" t="str">
        <f>IF($K357="","",IFERROR(VLOOKUP($K357,Grinders!$A$4:$N$998,8,FALSE),""))</f>
        <v/>
      </c>
      <c r="U357" s="40" t="str">
        <f>IFERROR(IF($K357="","",IF($M357="Elite",MAX(50,MIN(100,Config!$B$27*MAX(0,MIN(100,(1-IF($R357="",0,$R357))*100)) + Config!$B$28*MAX(0,MIN(100,(1-MIN(1,IF(Config!$B$30=0,1,$S357/Config!$B$30)))*100)) + Config!$B$29*MAX(0,MIN(100,MIN(1,IF($T357="",0,$T357)/Config!$B$23)*100)))),MIN(100,Config!$B$27*MAX(0,MIN(100,(1-IF($R357="",0,$R357))*100)) + Config!$B$28*MAX(0,MIN(100,(1-MIN(1,IF(Config!$B$30=0,1,$S357/Config!$B$30)))*100)) + Config!$B$29*MAX(0,MIN(100,MIN(1,IF($T357="",0,$T357)/Config!$B$23)*100))))),"")
</f>
        <v/>
      </c>
      <c r="V357" s="40" t="str">
        <f>IF(Bids!$AC357="","",Bids!$AC357)</f>
        <v/>
      </c>
      <c r="W357" s="40" t="str">
        <f>IF(Bids!$F356="","",Bids!$F356)</f>
        <v/>
      </c>
      <c r="X357" s="40" t="str">
        <f t="shared" si="5"/>
        <v/>
      </c>
      <c r="Y357" s="40" t="str">
        <f>IF($X357="","",IF(Config!$B$17=Config!$B$16,IF($X357&gt;=Config!$B$17,100,0),MAX(0,MIN(100,($X357-Config!$B$16)/(Config!$B$17-Config!$B$16)*100))))</f>
        <v/>
      </c>
      <c r="Z357" s="40">
        <f>IF($M357="Elite",Config!$B$21,0)</f>
        <v>0</v>
      </c>
      <c r="AA357" s="40" t="str">
        <f>IFERROR(IF(OR($W357="",$H357=""),"",IF($W357&gt;$H357,
  MAX(0, 60-(($W357-$H357)*24/Config!$B$19)*60),
  MIN(100, 60+(($H357-$W357)*24/Config!$B$20)*40)
)),"")
</f>
        <v/>
      </c>
      <c r="AB357" s="40" t="str">
        <f>IF($K357="","",IFERROR(VLOOKUP($K357,Grinders!$A$4:$N$998,10,FALSE)/5*100,""))</f>
        <v/>
      </c>
      <c r="AC357" s="40" t="str">
        <f>IF($K357="","",IFERROR(VLOOKUP($K357,Grinders!$A$4:$N$998,11,FALSE)*100,""))</f>
        <v/>
      </c>
      <c r="AD357" s="40" t="str">
        <f>IF($K357="","",IFERROR(VLOOKUP($K357,Grinders!$A$4:$N$998,12,FALSE)*100,""))</f>
        <v/>
      </c>
      <c r="AE357" s="40" t="str">
        <f>IF(OR(AO357=1,AP357=1),0,=IFERROR(IFS(
    OR($C357="", $K357=""), 0,
    $F357=0, 0,
    $D357&lt;&gt;"Open", 0,
    COUNTIFS(GrinderServices!$A$6:$A$1000, $K357, GrinderServices!$B$6:$B$1000, $E357, GrinderServices!$D$6:$D$1000, "Y")=0, 0,
    $X357&lt;Config!$B$16, 0,
    Config!$B$18=1, IF($O357&gt;=N357, 0, 1),
    TRUE, 1
), "")
)</f>
        <v>#ERROR!</v>
      </c>
      <c r="AF357" s="40" t="str">
        <f>IFERROR((IF(OR(AO357=1,AP357=1),"",=IFERROR((IFERROR(IF($AE357=0,"",((Config!$B$6*$Y357 + Config!$B$7*$U357 + Config!$B$8*$Z357 + Config!$B$9*$AA357 + Config!$B$10*$AB357 + Config!$B$11*$AC357 - Config!$B$12*$AD357)/Config!$B$13)+$AK357+$AL357),""))*(1-IFERROR(VLOOKUP(K357,Grinders!$A:$AB, 28, FALSE),0)),"")))*(1+AR357),"")</f>
        <v>#ERROR!</v>
      </c>
      <c r="AG357" s="40" t="str">
        <f t="shared" si="6"/>
        <v>#ERROR!</v>
      </c>
      <c r="AH357" s="40" t="str">
        <f t="shared" si="7"/>
        <v/>
      </c>
      <c r="AI357" s="40" t="str">
        <f t="shared" si="8"/>
        <v/>
      </c>
      <c r="AJ357" s="40" t="str">
        <f>IF($K357="","",COUNTIF(Assignments!$B$6:$B$1000,$K357))</f>
        <v/>
      </c>
      <c r="AK357" s="40" t="str">
        <f>IF($K357="","",IF(AND($AJ357=0,$O357&lt;$N357),Config!$B$43,0))</f>
        <v/>
      </c>
      <c r="AL357" s="40" t="str">
        <f>IF($K357="","",IF(AND($M357="Elite",$G357&gt;=Config!$B$41,$O357&lt;$N357),Config!$B$42,0))</f>
        <v/>
      </c>
      <c r="AM357" s="22"/>
      <c r="AN357" s="39">
        <f>IFERROR(VLOOKUP(K357,Grinders!$A:$Q,28,FALSE),0)</f>
        <v>0</v>
      </c>
      <c r="AO357" s="39">
        <f>IF(Config!$B$1003&lt;&gt;"Y",0,IF(IFERROR(VLOOKUP(K357,Grinders!$A:$P,27,FALSE),0)&gt;=3,IF(OR(G357&gt;=Config!$B$1001,ISNUMBER(SEARCH(E357,Config!$B$1002))),1,0),0))</f>
        <v>0</v>
      </c>
      <c r="AP357" s="39">
        <f t="array" ref="AP357">IFERROR(IF(INDEX(Bids!$AE:$AE,MATCH(B357,Bids!$A:$A,0))="Pending",1,0),0)</f>
        <v>0</v>
      </c>
      <c r="AQ357" s="39" t="str">
        <f t="array" ref="AQ357">IF(C357="","",IFERROR(XLOOKUP(C357,Assignments!$C:$C,Assignments!$AU:$AU,0),0))</f>
        <v/>
      </c>
      <c r="AR357" s="39">
        <f>IF(AND(Config!$B$1006="Y",AQ357=1),Config!$B$1007,0)</f>
        <v>0</v>
      </c>
    </row>
    <row r="358" ht="15.75" customHeight="1">
      <c r="A358" s="46" t="str">
        <f t="shared" si="1"/>
        <v/>
      </c>
      <c r="B358" s="40" t="str">
        <f>IF(Bids!$A357="","",Bids!$A357)</f>
        <v/>
      </c>
      <c r="C358" s="40" t="str">
        <f>IF(Bids!$B357="","",Bids!$B357)</f>
        <v/>
      </c>
      <c r="D358" s="40" t="str">
        <f>IF($C358="","",IFERROR(VLOOKUP($C358,Orders!$A$4:$J$998,9,FALSE),""))</f>
        <v/>
      </c>
      <c r="E358" s="40" t="str">
        <f>IF($C358="","",IFERROR(VLOOKUP($C358,Orders!$A$4:$J$998,3,FALSE),""))</f>
        <v/>
      </c>
      <c r="F358" s="40">
        <f t="shared" si="2"/>
        <v>1</v>
      </c>
      <c r="G358" s="40" t="str">
        <f>IF($C358="","",IFERROR(VLOOKUP($C358,Orders!$A$4:$J$998,4,FALSE),""))</f>
        <v/>
      </c>
      <c r="H358" s="40" t="str">
        <f>IF($C358="","",IFERROR(VLOOKUP($C358,Orders!$A$4:$J$998,5,FALSE),""))</f>
        <v/>
      </c>
      <c r="I358" s="40" t="str">
        <f>IF($C358="","",IFERROR(VLOOKUP($C358,Orders!$A$4:$J$998,6,FALSE),""))</f>
        <v/>
      </c>
      <c r="J358" s="40" t="str">
        <f>IF($C358="","",IFERROR(VLOOKUP($C358,Orders!$A$4:$J$998,7,FALSE),""))</f>
        <v/>
      </c>
      <c r="K358" s="40" t="str">
        <f>IF(Bids!$C357="","",Bids!$C357)</f>
        <v/>
      </c>
      <c r="L358" s="40" t="str">
        <f>IF($K358="","",IFERROR(VLOOKUP($K358,Grinders!$A$4:$N$998,2,FALSE),""))</f>
        <v/>
      </c>
      <c r="M358" s="40" t="str">
        <f>IF($K358="","",IFERROR(VLOOKUP($K358,Grinders!$A$4:$N$998,3,FALSE),""))</f>
        <v/>
      </c>
      <c r="N358" s="40" t="str">
        <f>IF($K358="","",IFERROR(VLOOKUP($K358,Grinders!$A$4:$N$998,4,FALSE),""))</f>
        <v/>
      </c>
      <c r="O358" s="40" t="str">
        <f>IF($K358="","",IFERROR(VLOOKUP($K358,Grinders!$A$4:$N$998,5,FALSE),""))</f>
        <v/>
      </c>
      <c r="P358" s="40" t="str">
        <f>IF($K358="","",IF($C$4="",0,COUNTIFS(Assignments!$B$6:$B$1000,$K358,Assignments!$F$6:$F$1000,$C$4,Assignments!$E$6:$E$1000,"Active")))</f>
        <v/>
      </c>
      <c r="Q358" s="40" t="str">
        <f t="shared" si="3"/>
        <v/>
      </c>
      <c r="R358" s="40" t="str">
        <f t="shared" si="4"/>
        <v/>
      </c>
      <c r="S358" s="40" t="str">
        <f>IF($K358="","",IF($C$4="",0,COUNTIFS(Assignments!$B$6:$B$1000,$K358,Assignments!$F$6:$F$1000,$C$4,Assignments!$D$6:$D$1000,"&gt;="&amp;Config!$B$3-7,Assignments!$D$6:$D$1000,"&lt;="&amp;Config!$B$3)))</f>
        <v/>
      </c>
      <c r="T358" s="40" t="str">
        <f>IF($K358="","",IFERROR(VLOOKUP($K358,Grinders!$A$4:$N$998,8,FALSE),""))</f>
        <v/>
      </c>
      <c r="U358" s="40" t="str">
        <f>IFERROR(IF($K358="","",IF($M358="Elite",MAX(50,MIN(100,Config!$B$27*MAX(0,MIN(100,(1-IF($R358="",0,$R358))*100)) + Config!$B$28*MAX(0,MIN(100,(1-MIN(1,IF(Config!$B$30=0,1,$S358/Config!$B$30)))*100)) + Config!$B$29*MAX(0,MIN(100,MIN(1,IF($T358="",0,$T358)/Config!$B$23)*100)))),MIN(100,Config!$B$27*MAX(0,MIN(100,(1-IF($R358="",0,$R358))*100)) + Config!$B$28*MAX(0,MIN(100,(1-MIN(1,IF(Config!$B$30=0,1,$S358/Config!$B$30)))*100)) + Config!$B$29*MAX(0,MIN(100,MIN(1,IF($T358="",0,$T358)/Config!$B$23)*100))))),"")
</f>
        <v/>
      </c>
      <c r="V358" s="40" t="str">
        <f>IF(Bids!$AC358="","",Bids!$AC358)</f>
        <v/>
      </c>
      <c r="W358" s="40" t="str">
        <f>IF(Bids!$F357="","",Bids!$F357)</f>
        <v/>
      </c>
      <c r="X358" s="40" t="str">
        <f t="shared" si="5"/>
        <v/>
      </c>
      <c r="Y358" s="40" t="str">
        <f>IF($X358="","",IF(Config!$B$17=Config!$B$16,IF($X358&gt;=Config!$B$17,100,0),MAX(0,MIN(100,($X358-Config!$B$16)/(Config!$B$17-Config!$B$16)*100))))</f>
        <v/>
      </c>
      <c r="Z358" s="40">
        <f>IF($M358="Elite",Config!$B$21,0)</f>
        <v>0</v>
      </c>
      <c r="AA358" s="40" t="str">
        <f>IFERROR(IF(OR($W358="",$H358=""),"",IF($W358&gt;$H358,
  MAX(0, 60-(($W358-$H358)*24/Config!$B$19)*60),
  MIN(100, 60+(($H358-$W358)*24/Config!$B$20)*40)
)),"")
</f>
        <v/>
      </c>
      <c r="AB358" s="40" t="str">
        <f>IF($K358="","",IFERROR(VLOOKUP($K358,Grinders!$A$4:$N$998,10,FALSE)/5*100,""))</f>
        <v/>
      </c>
      <c r="AC358" s="40" t="str">
        <f>IF($K358="","",IFERROR(VLOOKUP($K358,Grinders!$A$4:$N$998,11,FALSE)*100,""))</f>
        <v/>
      </c>
      <c r="AD358" s="40" t="str">
        <f>IF($K358="","",IFERROR(VLOOKUP($K358,Grinders!$A$4:$N$998,12,FALSE)*100,""))</f>
        <v/>
      </c>
      <c r="AE358" s="40" t="str">
        <f>IF(OR(AO358=1,AP358=1),0,=IFERROR(IFS(
    OR($C358="", $K358=""), 0,
    $F358=0, 0,
    $D358&lt;&gt;"Open", 0,
    COUNTIFS(GrinderServices!$A$6:$A$1000, $K358, GrinderServices!$B$6:$B$1000, $E358, GrinderServices!$D$6:$D$1000, "Y")=0, 0,
    $X358&lt;Config!$B$16, 0,
    Config!$B$18=1, IF($O358&gt;=N358, 0, 1),
    TRUE, 1
), "")
)</f>
        <v>#ERROR!</v>
      </c>
      <c r="AF358" s="40" t="str">
        <f>IFERROR((IF(OR(AO358=1,AP358=1),"",=IFERROR((IFERROR(IF($AE358=0,"",((Config!$B$6*$Y358 + Config!$B$7*$U358 + Config!$B$8*$Z358 + Config!$B$9*$AA358 + Config!$B$10*$AB358 + Config!$B$11*$AC358 - Config!$B$12*$AD358)/Config!$B$13)+$AK358+$AL358),""))*(1-IFERROR(VLOOKUP(K358,Grinders!$A:$AB, 28, FALSE),0)),"")))*(1+AR358),"")</f>
        <v>#ERROR!</v>
      </c>
      <c r="AG358" s="40" t="str">
        <f t="shared" si="6"/>
        <v>#ERROR!</v>
      </c>
      <c r="AH358" s="40" t="str">
        <f t="shared" si="7"/>
        <v/>
      </c>
      <c r="AI358" s="40" t="str">
        <f t="shared" si="8"/>
        <v/>
      </c>
      <c r="AJ358" s="40" t="str">
        <f>IF($K358="","",COUNTIF(Assignments!$B$6:$B$1000,$K358))</f>
        <v/>
      </c>
      <c r="AK358" s="40" t="str">
        <f>IF($K358="","",IF(AND($AJ358=0,$O358&lt;$N358),Config!$B$43,0))</f>
        <v/>
      </c>
      <c r="AL358" s="40" t="str">
        <f>IF($K358="","",IF(AND($M358="Elite",$G358&gt;=Config!$B$41,$O358&lt;$N358),Config!$B$42,0))</f>
        <v/>
      </c>
      <c r="AM358" s="22"/>
      <c r="AN358" s="39">
        <f>IFERROR(VLOOKUP(K358,Grinders!$A:$Q,28,FALSE),0)</f>
        <v>0</v>
      </c>
      <c r="AO358" s="39">
        <f>IF(Config!$B$1003&lt;&gt;"Y",0,IF(IFERROR(VLOOKUP(K358,Grinders!$A:$P,27,FALSE),0)&gt;=3,IF(OR(G358&gt;=Config!$B$1001,ISNUMBER(SEARCH(E358,Config!$B$1002))),1,0),0))</f>
        <v>0</v>
      </c>
      <c r="AP358" s="39">
        <f t="array" ref="AP358">IFERROR(IF(INDEX(Bids!$AE:$AE,MATCH(B358,Bids!$A:$A,0))="Pending",1,0),0)</f>
        <v>0</v>
      </c>
      <c r="AQ358" s="39" t="str">
        <f t="array" ref="AQ358">IF(C358="","",IFERROR(XLOOKUP(C358,Assignments!$C:$C,Assignments!$AU:$AU,0),0))</f>
        <v/>
      </c>
      <c r="AR358" s="39">
        <f>IF(AND(Config!$B$1006="Y",AQ358=1),Config!$B$1007,0)</f>
        <v>0</v>
      </c>
    </row>
    <row r="359" ht="15.75" customHeight="1">
      <c r="A359" s="46" t="str">
        <f t="shared" si="1"/>
        <v/>
      </c>
      <c r="B359" s="40" t="str">
        <f>IF(Bids!$A358="","",Bids!$A358)</f>
        <v/>
      </c>
      <c r="C359" s="40" t="str">
        <f>IF(Bids!$B358="","",Bids!$B358)</f>
        <v/>
      </c>
      <c r="D359" s="40" t="str">
        <f>IF($C359="","",IFERROR(VLOOKUP($C359,Orders!$A$4:$J$998,9,FALSE),""))</f>
        <v/>
      </c>
      <c r="E359" s="40" t="str">
        <f>IF($C359="","",IFERROR(VLOOKUP($C359,Orders!$A$4:$J$998,3,FALSE),""))</f>
        <v/>
      </c>
      <c r="F359" s="40">
        <f t="shared" si="2"/>
        <v>1</v>
      </c>
      <c r="G359" s="40" t="str">
        <f>IF($C359="","",IFERROR(VLOOKUP($C359,Orders!$A$4:$J$998,4,FALSE),""))</f>
        <v/>
      </c>
      <c r="H359" s="40" t="str">
        <f>IF($C359="","",IFERROR(VLOOKUP($C359,Orders!$A$4:$J$998,5,FALSE),""))</f>
        <v/>
      </c>
      <c r="I359" s="40" t="str">
        <f>IF($C359="","",IFERROR(VLOOKUP($C359,Orders!$A$4:$J$998,6,FALSE),""))</f>
        <v/>
      </c>
      <c r="J359" s="40" t="str">
        <f>IF($C359="","",IFERROR(VLOOKUP($C359,Orders!$A$4:$J$998,7,FALSE),""))</f>
        <v/>
      </c>
      <c r="K359" s="40" t="str">
        <f>IF(Bids!$C358="","",Bids!$C358)</f>
        <v/>
      </c>
      <c r="L359" s="40" t="str">
        <f>IF($K359="","",IFERROR(VLOOKUP($K359,Grinders!$A$4:$N$998,2,FALSE),""))</f>
        <v/>
      </c>
      <c r="M359" s="40" t="str">
        <f>IF($K359="","",IFERROR(VLOOKUP($K359,Grinders!$A$4:$N$998,3,FALSE),""))</f>
        <v/>
      </c>
      <c r="N359" s="40" t="str">
        <f>IF($K359="","",IFERROR(VLOOKUP($K359,Grinders!$A$4:$N$998,4,FALSE),""))</f>
        <v/>
      </c>
      <c r="O359" s="40" t="str">
        <f>IF($K359="","",IFERROR(VLOOKUP($K359,Grinders!$A$4:$N$998,5,FALSE),""))</f>
        <v/>
      </c>
      <c r="P359" s="40" t="str">
        <f>IF($K359="","",IF($C$4="",0,COUNTIFS(Assignments!$B$6:$B$1000,$K359,Assignments!$F$6:$F$1000,$C$4,Assignments!$E$6:$E$1000,"Active")))</f>
        <v/>
      </c>
      <c r="Q359" s="40" t="str">
        <f t="shared" si="3"/>
        <v/>
      </c>
      <c r="R359" s="40" t="str">
        <f t="shared" si="4"/>
        <v/>
      </c>
      <c r="S359" s="40" t="str">
        <f>IF($K359="","",IF($C$4="",0,COUNTIFS(Assignments!$B$6:$B$1000,$K359,Assignments!$F$6:$F$1000,$C$4,Assignments!$D$6:$D$1000,"&gt;="&amp;Config!$B$3-7,Assignments!$D$6:$D$1000,"&lt;="&amp;Config!$B$3)))</f>
        <v/>
      </c>
      <c r="T359" s="40" t="str">
        <f>IF($K359="","",IFERROR(VLOOKUP($K359,Grinders!$A$4:$N$998,8,FALSE),""))</f>
        <v/>
      </c>
      <c r="U359" s="40" t="str">
        <f>IFERROR(IF($K359="","",IF($M359="Elite",MAX(50,MIN(100,Config!$B$27*MAX(0,MIN(100,(1-IF($R359="",0,$R359))*100)) + Config!$B$28*MAX(0,MIN(100,(1-MIN(1,IF(Config!$B$30=0,1,$S359/Config!$B$30)))*100)) + Config!$B$29*MAX(0,MIN(100,MIN(1,IF($T359="",0,$T359)/Config!$B$23)*100)))),MIN(100,Config!$B$27*MAX(0,MIN(100,(1-IF($R359="",0,$R359))*100)) + Config!$B$28*MAX(0,MIN(100,(1-MIN(1,IF(Config!$B$30=0,1,$S359/Config!$B$30)))*100)) + Config!$B$29*MAX(0,MIN(100,MIN(1,IF($T359="",0,$T359)/Config!$B$23)*100))))),"")
</f>
        <v/>
      </c>
      <c r="V359" s="40" t="str">
        <f>IF(Bids!$AC359="","",Bids!$AC359)</f>
        <v/>
      </c>
      <c r="W359" s="40" t="str">
        <f>IF(Bids!$F358="","",Bids!$F358)</f>
        <v/>
      </c>
      <c r="X359" s="40" t="str">
        <f t="shared" si="5"/>
        <v/>
      </c>
      <c r="Y359" s="40" t="str">
        <f>IF($X359="","",IF(Config!$B$17=Config!$B$16,IF($X359&gt;=Config!$B$17,100,0),MAX(0,MIN(100,($X359-Config!$B$16)/(Config!$B$17-Config!$B$16)*100))))</f>
        <v/>
      </c>
      <c r="Z359" s="40">
        <f>IF($M359="Elite",Config!$B$21,0)</f>
        <v>0</v>
      </c>
      <c r="AA359" s="40" t="str">
        <f>IFERROR(IF(OR($W359="",$H359=""),"",IF($W359&gt;$H359,
  MAX(0, 60-(($W359-$H359)*24/Config!$B$19)*60),
  MIN(100, 60+(($H359-$W359)*24/Config!$B$20)*40)
)),"")
</f>
        <v/>
      </c>
      <c r="AB359" s="40" t="str">
        <f>IF($K359="","",IFERROR(VLOOKUP($K359,Grinders!$A$4:$N$998,10,FALSE)/5*100,""))</f>
        <v/>
      </c>
      <c r="AC359" s="40" t="str">
        <f>IF($K359="","",IFERROR(VLOOKUP($K359,Grinders!$A$4:$N$998,11,FALSE)*100,""))</f>
        <v/>
      </c>
      <c r="AD359" s="40" t="str">
        <f>IF($K359="","",IFERROR(VLOOKUP($K359,Grinders!$A$4:$N$998,12,FALSE)*100,""))</f>
        <v/>
      </c>
      <c r="AE359" s="40" t="str">
        <f>IF(OR(AO359=1,AP359=1),0,=IFERROR(IFS(
    OR($C359="", $K359=""), 0,
    $F359=0, 0,
    $D359&lt;&gt;"Open", 0,
    COUNTIFS(GrinderServices!$A$6:$A$1000, $K359, GrinderServices!$B$6:$B$1000, $E359, GrinderServices!$D$6:$D$1000, "Y")=0, 0,
    $X359&lt;Config!$B$16, 0,
    Config!$B$18=1, IF($O359&gt;=N359, 0, 1),
    TRUE, 1
), "")
)</f>
        <v>#ERROR!</v>
      </c>
      <c r="AF359" s="40" t="str">
        <f>IFERROR((IF(OR(AO359=1,AP359=1),"",=IFERROR((IFERROR(IF($AE359=0,"",((Config!$B$6*$Y359 + Config!$B$7*$U359 + Config!$B$8*$Z359 + Config!$B$9*$AA359 + Config!$B$10*$AB359 + Config!$B$11*$AC359 - Config!$B$12*$AD359)/Config!$B$13)+$AK359+$AL359),""))*(1-IFERROR(VLOOKUP(K359,Grinders!$A:$AB, 28, FALSE),0)),"")))*(1+AR359),"")</f>
        <v>#ERROR!</v>
      </c>
      <c r="AG359" s="40" t="str">
        <f t="shared" si="6"/>
        <v>#ERROR!</v>
      </c>
      <c r="AH359" s="40" t="str">
        <f t="shared" si="7"/>
        <v/>
      </c>
      <c r="AI359" s="40" t="str">
        <f t="shared" si="8"/>
        <v/>
      </c>
      <c r="AJ359" s="40" t="str">
        <f>IF($K359="","",COUNTIF(Assignments!$B$6:$B$1000,$K359))</f>
        <v/>
      </c>
      <c r="AK359" s="40" t="str">
        <f>IF($K359="","",IF(AND($AJ359=0,$O359&lt;$N359),Config!$B$43,0))</f>
        <v/>
      </c>
      <c r="AL359" s="40" t="str">
        <f>IF($K359="","",IF(AND($M359="Elite",$G359&gt;=Config!$B$41,$O359&lt;$N359),Config!$B$42,0))</f>
        <v/>
      </c>
      <c r="AM359" s="22"/>
      <c r="AN359" s="39">
        <f>IFERROR(VLOOKUP(K359,Grinders!$A:$Q,28,FALSE),0)</f>
        <v>0</v>
      </c>
      <c r="AO359" s="39">
        <f>IF(Config!$B$1003&lt;&gt;"Y",0,IF(IFERROR(VLOOKUP(K359,Grinders!$A:$P,27,FALSE),0)&gt;=3,IF(OR(G359&gt;=Config!$B$1001,ISNUMBER(SEARCH(E359,Config!$B$1002))),1,0),0))</f>
        <v>0</v>
      </c>
      <c r="AP359" s="39">
        <f t="array" ref="AP359">IFERROR(IF(INDEX(Bids!$AE:$AE,MATCH(B359,Bids!$A:$A,0))="Pending",1,0),0)</f>
        <v>0</v>
      </c>
      <c r="AQ359" s="39" t="str">
        <f t="array" ref="AQ359">IF(C359="","",IFERROR(XLOOKUP(C359,Assignments!$C:$C,Assignments!$AU:$AU,0),0))</f>
        <v/>
      </c>
      <c r="AR359" s="39">
        <f>IF(AND(Config!$B$1006="Y",AQ359=1),Config!$B$1007,0)</f>
        <v>0</v>
      </c>
    </row>
    <row r="360" ht="15.75" customHeight="1">
      <c r="A360" s="46" t="str">
        <f t="shared" si="1"/>
        <v/>
      </c>
      <c r="B360" s="40" t="str">
        <f>IF(Bids!$A359="","",Bids!$A359)</f>
        <v/>
      </c>
      <c r="C360" s="40" t="str">
        <f>IF(Bids!$B359="","",Bids!$B359)</f>
        <v/>
      </c>
      <c r="D360" s="40" t="str">
        <f>IF($C360="","",IFERROR(VLOOKUP($C360,Orders!$A$4:$J$998,9,FALSE),""))</f>
        <v/>
      </c>
      <c r="E360" s="40" t="str">
        <f>IF($C360="","",IFERROR(VLOOKUP($C360,Orders!$A$4:$J$998,3,FALSE),""))</f>
        <v/>
      </c>
      <c r="F360" s="40">
        <f t="shared" si="2"/>
        <v>1</v>
      </c>
      <c r="G360" s="40" t="str">
        <f>IF($C360="","",IFERROR(VLOOKUP($C360,Orders!$A$4:$J$998,4,FALSE),""))</f>
        <v/>
      </c>
      <c r="H360" s="40" t="str">
        <f>IF($C360="","",IFERROR(VLOOKUP($C360,Orders!$A$4:$J$998,5,FALSE),""))</f>
        <v/>
      </c>
      <c r="I360" s="40" t="str">
        <f>IF($C360="","",IFERROR(VLOOKUP($C360,Orders!$A$4:$J$998,6,FALSE),""))</f>
        <v/>
      </c>
      <c r="J360" s="40" t="str">
        <f>IF($C360="","",IFERROR(VLOOKUP($C360,Orders!$A$4:$J$998,7,FALSE),""))</f>
        <v/>
      </c>
      <c r="K360" s="40" t="str">
        <f>IF(Bids!$C359="","",Bids!$C359)</f>
        <v/>
      </c>
      <c r="L360" s="40" t="str">
        <f>IF($K360="","",IFERROR(VLOOKUP($K360,Grinders!$A$4:$N$998,2,FALSE),""))</f>
        <v/>
      </c>
      <c r="M360" s="40" t="str">
        <f>IF($K360="","",IFERROR(VLOOKUP($K360,Grinders!$A$4:$N$998,3,FALSE),""))</f>
        <v/>
      </c>
      <c r="N360" s="40" t="str">
        <f>IF($K360="","",IFERROR(VLOOKUP($K360,Grinders!$A$4:$N$998,4,FALSE),""))</f>
        <v/>
      </c>
      <c r="O360" s="40" t="str">
        <f>IF($K360="","",IFERROR(VLOOKUP($K360,Grinders!$A$4:$N$998,5,FALSE),""))</f>
        <v/>
      </c>
      <c r="P360" s="40" t="str">
        <f>IF($K360="","",IF($C$4="",0,COUNTIFS(Assignments!$B$6:$B$1000,$K360,Assignments!$F$6:$F$1000,$C$4,Assignments!$E$6:$E$1000,"Active")))</f>
        <v/>
      </c>
      <c r="Q360" s="40" t="str">
        <f t="shared" si="3"/>
        <v/>
      </c>
      <c r="R360" s="40" t="str">
        <f t="shared" si="4"/>
        <v/>
      </c>
      <c r="S360" s="40" t="str">
        <f>IF($K360="","",IF($C$4="",0,COUNTIFS(Assignments!$B$6:$B$1000,$K360,Assignments!$F$6:$F$1000,$C$4,Assignments!$D$6:$D$1000,"&gt;="&amp;Config!$B$3-7,Assignments!$D$6:$D$1000,"&lt;="&amp;Config!$B$3)))</f>
        <v/>
      </c>
      <c r="T360" s="40" t="str">
        <f>IF($K360="","",IFERROR(VLOOKUP($K360,Grinders!$A$4:$N$998,8,FALSE),""))</f>
        <v/>
      </c>
      <c r="U360" s="40" t="str">
        <f>IFERROR(IF($K360="","",IF($M360="Elite",MAX(50,MIN(100,Config!$B$27*MAX(0,MIN(100,(1-IF($R360="",0,$R360))*100)) + Config!$B$28*MAX(0,MIN(100,(1-MIN(1,IF(Config!$B$30=0,1,$S360/Config!$B$30)))*100)) + Config!$B$29*MAX(0,MIN(100,MIN(1,IF($T360="",0,$T360)/Config!$B$23)*100)))),MIN(100,Config!$B$27*MAX(0,MIN(100,(1-IF($R360="",0,$R360))*100)) + Config!$B$28*MAX(0,MIN(100,(1-MIN(1,IF(Config!$B$30=0,1,$S360/Config!$B$30)))*100)) + Config!$B$29*MAX(0,MIN(100,MIN(1,IF($T360="",0,$T360)/Config!$B$23)*100))))),"")
</f>
        <v/>
      </c>
      <c r="V360" s="40" t="str">
        <f>IF(Bids!$AC360="","",Bids!$AC360)</f>
        <v/>
      </c>
      <c r="W360" s="40" t="str">
        <f>IF(Bids!$F359="","",Bids!$F359)</f>
        <v/>
      </c>
      <c r="X360" s="40" t="str">
        <f t="shared" si="5"/>
        <v/>
      </c>
      <c r="Y360" s="40" t="str">
        <f>IF($X360="","",IF(Config!$B$17=Config!$B$16,IF($X360&gt;=Config!$B$17,100,0),MAX(0,MIN(100,($X360-Config!$B$16)/(Config!$B$17-Config!$B$16)*100))))</f>
        <v/>
      </c>
      <c r="Z360" s="40">
        <f>IF($M360="Elite",Config!$B$21,0)</f>
        <v>0</v>
      </c>
      <c r="AA360" s="40" t="str">
        <f>IFERROR(IF(OR($W360="",$H360=""),"",IF($W360&gt;$H360,
  MAX(0, 60-(($W360-$H360)*24/Config!$B$19)*60),
  MIN(100, 60+(($H360-$W360)*24/Config!$B$20)*40)
)),"")
</f>
        <v/>
      </c>
      <c r="AB360" s="40" t="str">
        <f>IF($K360="","",IFERROR(VLOOKUP($K360,Grinders!$A$4:$N$998,10,FALSE)/5*100,""))</f>
        <v/>
      </c>
      <c r="AC360" s="40" t="str">
        <f>IF($K360="","",IFERROR(VLOOKUP($K360,Grinders!$A$4:$N$998,11,FALSE)*100,""))</f>
        <v/>
      </c>
      <c r="AD360" s="40" t="str">
        <f>IF($K360="","",IFERROR(VLOOKUP($K360,Grinders!$A$4:$N$998,12,FALSE)*100,""))</f>
        <v/>
      </c>
      <c r="AE360" s="40" t="str">
        <f>IF(OR(AO360=1,AP360=1),0,=IFERROR(IFS(
    OR($C360="", $K360=""), 0,
    $F360=0, 0,
    $D360&lt;&gt;"Open", 0,
    COUNTIFS(GrinderServices!$A$6:$A$1000, $K360, GrinderServices!$B$6:$B$1000, $E360, GrinderServices!$D$6:$D$1000, "Y")=0, 0,
    $X360&lt;Config!$B$16, 0,
    Config!$B$18=1, IF($O360&gt;=N360, 0, 1),
    TRUE, 1
), "")
)</f>
        <v>#ERROR!</v>
      </c>
      <c r="AF360" s="40" t="str">
        <f>IFERROR((IF(OR(AO360=1,AP360=1),"",=IFERROR((IFERROR(IF($AE360=0,"",((Config!$B$6*$Y360 + Config!$B$7*$U360 + Config!$B$8*$Z360 + Config!$B$9*$AA360 + Config!$B$10*$AB360 + Config!$B$11*$AC360 - Config!$B$12*$AD360)/Config!$B$13)+$AK360+$AL360),""))*(1-IFERROR(VLOOKUP(K360,Grinders!$A:$AB, 28, FALSE),0)),"")))*(1+AR360),"")</f>
        <v>#ERROR!</v>
      </c>
      <c r="AG360" s="40" t="str">
        <f t="shared" si="6"/>
        <v>#ERROR!</v>
      </c>
      <c r="AH360" s="40" t="str">
        <f t="shared" si="7"/>
        <v/>
      </c>
      <c r="AI360" s="40" t="str">
        <f t="shared" si="8"/>
        <v/>
      </c>
      <c r="AJ360" s="40" t="str">
        <f>IF($K360="","",COUNTIF(Assignments!$B$6:$B$1000,$K360))</f>
        <v/>
      </c>
      <c r="AK360" s="40" t="str">
        <f>IF($K360="","",IF(AND($AJ360=0,$O360&lt;$N360),Config!$B$43,0))</f>
        <v/>
      </c>
      <c r="AL360" s="40" t="str">
        <f>IF($K360="","",IF(AND($M360="Elite",$G360&gt;=Config!$B$41,$O360&lt;$N360),Config!$B$42,0))</f>
        <v/>
      </c>
      <c r="AM360" s="22"/>
      <c r="AN360" s="39">
        <f>IFERROR(VLOOKUP(K360,Grinders!$A:$Q,28,FALSE),0)</f>
        <v>0</v>
      </c>
      <c r="AO360" s="39">
        <f>IF(Config!$B$1003&lt;&gt;"Y",0,IF(IFERROR(VLOOKUP(K360,Grinders!$A:$P,27,FALSE),0)&gt;=3,IF(OR(G360&gt;=Config!$B$1001,ISNUMBER(SEARCH(E360,Config!$B$1002))),1,0),0))</f>
        <v>0</v>
      </c>
      <c r="AP360" s="39">
        <f t="array" ref="AP360">IFERROR(IF(INDEX(Bids!$AE:$AE,MATCH(B360,Bids!$A:$A,0))="Pending",1,0),0)</f>
        <v>0</v>
      </c>
      <c r="AQ360" s="39" t="str">
        <f t="array" ref="AQ360">IF(C360="","",IFERROR(XLOOKUP(C360,Assignments!$C:$C,Assignments!$AU:$AU,0),0))</f>
        <v/>
      </c>
      <c r="AR360" s="39">
        <f>IF(AND(Config!$B$1006="Y",AQ360=1),Config!$B$1007,0)</f>
        <v>0</v>
      </c>
    </row>
    <row r="361" ht="15.75" customHeight="1">
      <c r="A361" s="46" t="str">
        <f t="shared" si="1"/>
        <v/>
      </c>
      <c r="B361" s="40" t="str">
        <f>IF(Bids!$A360="","",Bids!$A360)</f>
        <v/>
      </c>
      <c r="C361" s="40" t="str">
        <f>IF(Bids!$B360="","",Bids!$B360)</f>
        <v/>
      </c>
      <c r="D361" s="40" t="str">
        <f>IF($C361="","",IFERROR(VLOOKUP($C361,Orders!$A$4:$J$998,9,FALSE),""))</f>
        <v/>
      </c>
      <c r="E361" s="40" t="str">
        <f>IF($C361="","",IFERROR(VLOOKUP($C361,Orders!$A$4:$J$998,3,FALSE),""))</f>
        <v/>
      </c>
      <c r="F361" s="40">
        <f t="shared" si="2"/>
        <v>1</v>
      </c>
      <c r="G361" s="40" t="str">
        <f>IF($C361="","",IFERROR(VLOOKUP($C361,Orders!$A$4:$J$998,4,FALSE),""))</f>
        <v/>
      </c>
      <c r="H361" s="40" t="str">
        <f>IF($C361="","",IFERROR(VLOOKUP($C361,Orders!$A$4:$J$998,5,FALSE),""))</f>
        <v/>
      </c>
      <c r="I361" s="40" t="str">
        <f>IF($C361="","",IFERROR(VLOOKUP($C361,Orders!$A$4:$J$998,6,FALSE),""))</f>
        <v/>
      </c>
      <c r="J361" s="40" t="str">
        <f>IF($C361="","",IFERROR(VLOOKUP($C361,Orders!$A$4:$J$998,7,FALSE),""))</f>
        <v/>
      </c>
      <c r="K361" s="40" t="str">
        <f>IF(Bids!$C360="","",Bids!$C360)</f>
        <v/>
      </c>
      <c r="L361" s="40" t="str">
        <f>IF($K361="","",IFERROR(VLOOKUP($K361,Grinders!$A$4:$N$998,2,FALSE),""))</f>
        <v/>
      </c>
      <c r="M361" s="40" t="str">
        <f>IF($K361="","",IFERROR(VLOOKUP($K361,Grinders!$A$4:$N$998,3,FALSE),""))</f>
        <v/>
      </c>
      <c r="N361" s="40" t="str">
        <f>IF($K361="","",IFERROR(VLOOKUP($K361,Grinders!$A$4:$N$998,4,FALSE),""))</f>
        <v/>
      </c>
      <c r="O361" s="40" t="str">
        <f>IF($K361="","",IFERROR(VLOOKUP($K361,Grinders!$A$4:$N$998,5,FALSE),""))</f>
        <v/>
      </c>
      <c r="P361" s="40" t="str">
        <f>IF($K361="","",IF($C$4="",0,COUNTIFS(Assignments!$B$6:$B$1000,$K361,Assignments!$F$6:$F$1000,$C$4,Assignments!$E$6:$E$1000,"Active")))</f>
        <v/>
      </c>
      <c r="Q361" s="40" t="str">
        <f t="shared" si="3"/>
        <v/>
      </c>
      <c r="R361" s="40" t="str">
        <f t="shared" si="4"/>
        <v/>
      </c>
      <c r="S361" s="40" t="str">
        <f>IF($K361="","",IF($C$4="",0,COUNTIFS(Assignments!$B$6:$B$1000,$K361,Assignments!$F$6:$F$1000,$C$4,Assignments!$D$6:$D$1000,"&gt;="&amp;Config!$B$3-7,Assignments!$D$6:$D$1000,"&lt;="&amp;Config!$B$3)))</f>
        <v/>
      </c>
      <c r="T361" s="40" t="str">
        <f>IF($K361="","",IFERROR(VLOOKUP($K361,Grinders!$A$4:$N$998,8,FALSE),""))</f>
        <v/>
      </c>
      <c r="U361" s="40" t="str">
        <f>IFERROR(IF($K361="","",IF($M361="Elite",MAX(50,MIN(100,Config!$B$27*MAX(0,MIN(100,(1-IF($R361="",0,$R361))*100)) + Config!$B$28*MAX(0,MIN(100,(1-MIN(1,IF(Config!$B$30=0,1,$S361/Config!$B$30)))*100)) + Config!$B$29*MAX(0,MIN(100,MIN(1,IF($T361="",0,$T361)/Config!$B$23)*100)))),MIN(100,Config!$B$27*MAX(0,MIN(100,(1-IF($R361="",0,$R361))*100)) + Config!$B$28*MAX(0,MIN(100,(1-MIN(1,IF(Config!$B$30=0,1,$S361/Config!$B$30)))*100)) + Config!$B$29*MAX(0,MIN(100,MIN(1,IF($T361="",0,$T361)/Config!$B$23)*100))))),"")
</f>
        <v/>
      </c>
      <c r="V361" s="40" t="str">
        <f>IF(Bids!$AC361="","",Bids!$AC361)</f>
        <v/>
      </c>
      <c r="W361" s="40" t="str">
        <f>IF(Bids!$F360="","",Bids!$F360)</f>
        <v/>
      </c>
      <c r="X361" s="40" t="str">
        <f t="shared" si="5"/>
        <v/>
      </c>
      <c r="Y361" s="40" t="str">
        <f>IF($X361="","",IF(Config!$B$17=Config!$B$16,IF($X361&gt;=Config!$B$17,100,0),MAX(0,MIN(100,($X361-Config!$B$16)/(Config!$B$17-Config!$B$16)*100))))</f>
        <v/>
      </c>
      <c r="Z361" s="40">
        <f>IF($M361="Elite",Config!$B$21,0)</f>
        <v>0</v>
      </c>
      <c r="AA361" s="40" t="str">
        <f>IFERROR(IF(OR($W361="",$H361=""),"",IF($W361&gt;$H361,
  MAX(0, 60-(($W361-$H361)*24/Config!$B$19)*60),
  MIN(100, 60+(($H361-$W361)*24/Config!$B$20)*40)
)),"")
</f>
        <v/>
      </c>
      <c r="AB361" s="40" t="str">
        <f>IF($K361="","",IFERROR(VLOOKUP($K361,Grinders!$A$4:$N$998,10,FALSE)/5*100,""))</f>
        <v/>
      </c>
      <c r="AC361" s="40" t="str">
        <f>IF($K361="","",IFERROR(VLOOKUP($K361,Grinders!$A$4:$N$998,11,FALSE)*100,""))</f>
        <v/>
      </c>
      <c r="AD361" s="40" t="str">
        <f>IF($K361="","",IFERROR(VLOOKUP($K361,Grinders!$A$4:$N$998,12,FALSE)*100,""))</f>
        <v/>
      </c>
      <c r="AE361" s="40" t="str">
        <f>IF(OR(AO361=1,AP361=1),0,=IFERROR(IFS(
    OR($C361="", $K361=""), 0,
    $F361=0, 0,
    $D361&lt;&gt;"Open", 0,
    COUNTIFS(GrinderServices!$A$6:$A$1000, $K361, GrinderServices!$B$6:$B$1000, $E361, GrinderServices!$D$6:$D$1000, "Y")=0, 0,
    $X361&lt;Config!$B$16, 0,
    Config!$B$18=1, IF($O361&gt;=N361, 0, 1),
    TRUE, 1
), "")
)</f>
        <v>#ERROR!</v>
      </c>
      <c r="AF361" s="40" t="str">
        <f>IFERROR((IF(OR(AO361=1,AP361=1),"",=IFERROR((IFERROR(IF($AE361=0,"",((Config!$B$6*$Y361 + Config!$B$7*$U361 + Config!$B$8*$Z361 + Config!$B$9*$AA361 + Config!$B$10*$AB361 + Config!$B$11*$AC361 - Config!$B$12*$AD361)/Config!$B$13)+$AK361+$AL361),""))*(1-IFERROR(VLOOKUP(K361,Grinders!$A:$AB, 28, FALSE),0)),"")))*(1+AR361),"")</f>
        <v>#ERROR!</v>
      </c>
      <c r="AG361" s="40" t="str">
        <f t="shared" si="6"/>
        <v>#ERROR!</v>
      </c>
      <c r="AH361" s="40" t="str">
        <f t="shared" si="7"/>
        <v/>
      </c>
      <c r="AI361" s="40" t="str">
        <f t="shared" si="8"/>
        <v/>
      </c>
      <c r="AJ361" s="40" t="str">
        <f>IF($K361="","",COUNTIF(Assignments!$B$6:$B$1000,$K361))</f>
        <v/>
      </c>
      <c r="AK361" s="40" t="str">
        <f>IF($K361="","",IF(AND($AJ361=0,$O361&lt;$N361),Config!$B$43,0))</f>
        <v/>
      </c>
      <c r="AL361" s="40" t="str">
        <f>IF($K361="","",IF(AND($M361="Elite",$G361&gt;=Config!$B$41,$O361&lt;$N361),Config!$B$42,0))</f>
        <v/>
      </c>
      <c r="AM361" s="22"/>
      <c r="AN361" s="39">
        <f>IFERROR(VLOOKUP(K361,Grinders!$A:$Q,28,FALSE),0)</f>
        <v>0</v>
      </c>
      <c r="AO361" s="39">
        <f>IF(Config!$B$1003&lt;&gt;"Y",0,IF(IFERROR(VLOOKUP(K361,Grinders!$A:$P,27,FALSE),0)&gt;=3,IF(OR(G361&gt;=Config!$B$1001,ISNUMBER(SEARCH(E361,Config!$B$1002))),1,0),0))</f>
        <v>0</v>
      </c>
      <c r="AP361" s="39">
        <f t="array" ref="AP361">IFERROR(IF(INDEX(Bids!$AE:$AE,MATCH(B361,Bids!$A:$A,0))="Pending",1,0),0)</f>
        <v>0</v>
      </c>
      <c r="AQ361" s="39" t="str">
        <f t="array" ref="AQ361">IF(C361="","",IFERROR(XLOOKUP(C361,Assignments!$C:$C,Assignments!$AU:$AU,0),0))</f>
        <v/>
      </c>
      <c r="AR361" s="39">
        <f>IF(AND(Config!$B$1006="Y",AQ361=1),Config!$B$1007,0)</f>
        <v>0</v>
      </c>
    </row>
    <row r="362" ht="15.75" customHeight="1">
      <c r="A362" s="46" t="str">
        <f t="shared" si="1"/>
        <v/>
      </c>
      <c r="B362" s="40" t="str">
        <f>IF(Bids!$A361="","",Bids!$A361)</f>
        <v/>
      </c>
      <c r="C362" s="40" t="str">
        <f>IF(Bids!$B361="","",Bids!$B361)</f>
        <v/>
      </c>
      <c r="D362" s="40" t="str">
        <f>IF($C362="","",IFERROR(VLOOKUP($C362,Orders!$A$4:$J$998,9,FALSE),""))</f>
        <v/>
      </c>
      <c r="E362" s="40" t="str">
        <f>IF($C362="","",IFERROR(VLOOKUP($C362,Orders!$A$4:$J$998,3,FALSE),""))</f>
        <v/>
      </c>
      <c r="F362" s="40">
        <f t="shared" si="2"/>
        <v>1</v>
      </c>
      <c r="G362" s="40" t="str">
        <f>IF($C362="","",IFERROR(VLOOKUP($C362,Orders!$A$4:$J$998,4,FALSE),""))</f>
        <v/>
      </c>
      <c r="H362" s="40" t="str">
        <f>IF($C362="","",IFERROR(VLOOKUP($C362,Orders!$A$4:$J$998,5,FALSE),""))</f>
        <v/>
      </c>
      <c r="I362" s="40" t="str">
        <f>IF($C362="","",IFERROR(VLOOKUP($C362,Orders!$A$4:$J$998,6,FALSE),""))</f>
        <v/>
      </c>
      <c r="J362" s="40" t="str">
        <f>IF($C362="","",IFERROR(VLOOKUP($C362,Orders!$A$4:$J$998,7,FALSE),""))</f>
        <v/>
      </c>
      <c r="K362" s="40" t="str">
        <f>IF(Bids!$C361="","",Bids!$C361)</f>
        <v/>
      </c>
      <c r="L362" s="40" t="str">
        <f>IF($K362="","",IFERROR(VLOOKUP($K362,Grinders!$A$4:$N$998,2,FALSE),""))</f>
        <v/>
      </c>
      <c r="M362" s="40" t="str">
        <f>IF($K362="","",IFERROR(VLOOKUP($K362,Grinders!$A$4:$N$998,3,FALSE),""))</f>
        <v/>
      </c>
      <c r="N362" s="40" t="str">
        <f>IF($K362="","",IFERROR(VLOOKUP($K362,Grinders!$A$4:$N$998,4,FALSE),""))</f>
        <v/>
      </c>
      <c r="O362" s="40" t="str">
        <f>IF($K362="","",IFERROR(VLOOKUP($K362,Grinders!$A$4:$N$998,5,FALSE),""))</f>
        <v/>
      </c>
      <c r="P362" s="40" t="str">
        <f>IF($K362="","",IF($C$4="",0,COUNTIFS(Assignments!$B$6:$B$1000,$K362,Assignments!$F$6:$F$1000,$C$4,Assignments!$E$6:$E$1000,"Active")))</f>
        <v/>
      </c>
      <c r="Q362" s="40" t="str">
        <f t="shared" si="3"/>
        <v/>
      </c>
      <c r="R362" s="40" t="str">
        <f t="shared" si="4"/>
        <v/>
      </c>
      <c r="S362" s="40" t="str">
        <f>IF($K362="","",IF($C$4="",0,COUNTIFS(Assignments!$B$6:$B$1000,$K362,Assignments!$F$6:$F$1000,$C$4,Assignments!$D$6:$D$1000,"&gt;="&amp;Config!$B$3-7,Assignments!$D$6:$D$1000,"&lt;="&amp;Config!$B$3)))</f>
        <v/>
      </c>
      <c r="T362" s="40" t="str">
        <f>IF($K362="","",IFERROR(VLOOKUP($K362,Grinders!$A$4:$N$998,8,FALSE),""))</f>
        <v/>
      </c>
      <c r="U362" s="40" t="str">
        <f>IFERROR(IF($K362="","",IF($M362="Elite",MAX(50,MIN(100,Config!$B$27*MAX(0,MIN(100,(1-IF($R362="",0,$R362))*100)) + Config!$B$28*MAX(0,MIN(100,(1-MIN(1,IF(Config!$B$30=0,1,$S362/Config!$B$30)))*100)) + Config!$B$29*MAX(0,MIN(100,MIN(1,IF($T362="",0,$T362)/Config!$B$23)*100)))),MIN(100,Config!$B$27*MAX(0,MIN(100,(1-IF($R362="",0,$R362))*100)) + Config!$B$28*MAX(0,MIN(100,(1-MIN(1,IF(Config!$B$30=0,1,$S362/Config!$B$30)))*100)) + Config!$B$29*MAX(0,MIN(100,MIN(1,IF($T362="",0,$T362)/Config!$B$23)*100))))),"")
</f>
        <v/>
      </c>
      <c r="V362" s="40" t="str">
        <f>IF(Bids!$AC362="","",Bids!$AC362)</f>
        <v/>
      </c>
      <c r="W362" s="40" t="str">
        <f>IF(Bids!$F361="","",Bids!$F361)</f>
        <v/>
      </c>
      <c r="X362" s="40" t="str">
        <f t="shared" si="5"/>
        <v/>
      </c>
      <c r="Y362" s="40" t="str">
        <f>IF($X362="","",IF(Config!$B$17=Config!$B$16,IF($X362&gt;=Config!$B$17,100,0),MAX(0,MIN(100,($X362-Config!$B$16)/(Config!$B$17-Config!$B$16)*100))))</f>
        <v/>
      </c>
      <c r="Z362" s="40">
        <f>IF($M362="Elite",Config!$B$21,0)</f>
        <v>0</v>
      </c>
      <c r="AA362" s="40" t="str">
        <f>IFERROR(IF(OR($W362="",$H362=""),"",IF($W362&gt;$H362,
  MAX(0, 60-(($W362-$H362)*24/Config!$B$19)*60),
  MIN(100, 60+(($H362-$W362)*24/Config!$B$20)*40)
)),"")
</f>
        <v/>
      </c>
      <c r="AB362" s="40" t="str">
        <f>IF($K362="","",IFERROR(VLOOKUP($K362,Grinders!$A$4:$N$998,10,FALSE)/5*100,""))</f>
        <v/>
      </c>
      <c r="AC362" s="40" t="str">
        <f>IF($K362="","",IFERROR(VLOOKUP($K362,Grinders!$A$4:$N$998,11,FALSE)*100,""))</f>
        <v/>
      </c>
      <c r="AD362" s="40" t="str">
        <f>IF($K362="","",IFERROR(VLOOKUP($K362,Grinders!$A$4:$N$998,12,FALSE)*100,""))</f>
        <v/>
      </c>
      <c r="AE362" s="40" t="str">
        <f>IF(OR(AO362=1,AP362=1),0,=IFERROR(IFS(
    OR($C362="", $K362=""), 0,
    $F362=0, 0,
    $D362&lt;&gt;"Open", 0,
    COUNTIFS(GrinderServices!$A$6:$A$1000, $K362, GrinderServices!$B$6:$B$1000, $E362, GrinderServices!$D$6:$D$1000, "Y")=0, 0,
    $X362&lt;Config!$B$16, 0,
    Config!$B$18=1, IF($O362&gt;=N362, 0, 1),
    TRUE, 1
), "")
)</f>
        <v>#ERROR!</v>
      </c>
      <c r="AF362" s="40" t="str">
        <f>IFERROR((IF(OR(AO362=1,AP362=1),"",=IFERROR((IFERROR(IF($AE362=0,"",((Config!$B$6*$Y362 + Config!$B$7*$U362 + Config!$B$8*$Z362 + Config!$B$9*$AA362 + Config!$B$10*$AB362 + Config!$B$11*$AC362 - Config!$B$12*$AD362)/Config!$B$13)+$AK362+$AL362),""))*(1-IFERROR(VLOOKUP(K362,Grinders!$A:$AB, 28, FALSE),0)),"")))*(1+AR362),"")</f>
        <v>#ERROR!</v>
      </c>
      <c r="AG362" s="40" t="str">
        <f t="shared" si="6"/>
        <v>#ERROR!</v>
      </c>
      <c r="AH362" s="40" t="str">
        <f t="shared" si="7"/>
        <v/>
      </c>
      <c r="AI362" s="40" t="str">
        <f t="shared" si="8"/>
        <v/>
      </c>
      <c r="AJ362" s="40" t="str">
        <f>IF($K362="","",COUNTIF(Assignments!$B$6:$B$1000,$K362))</f>
        <v/>
      </c>
      <c r="AK362" s="40" t="str">
        <f>IF($K362="","",IF(AND($AJ362=0,$O362&lt;$N362),Config!$B$43,0))</f>
        <v/>
      </c>
      <c r="AL362" s="40" t="str">
        <f>IF($K362="","",IF(AND($M362="Elite",$G362&gt;=Config!$B$41,$O362&lt;$N362),Config!$B$42,0))</f>
        <v/>
      </c>
      <c r="AM362" s="22"/>
      <c r="AN362" s="39">
        <f>IFERROR(VLOOKUP(K362,Grinders!$A:$Q,28,FALSE),0)</f>
        <v>0</v>
      </c>
      <c r="AO362" s="39">
        <f>IF(Config!$B$1003&lt;&gt;"Y",0,IF(IFERROR(VLOOKUP(K362,Grinders!$A:$P,27,FALSE),0)&gt;=3,IF(OR(G362&gt;=Config!$B$1001,ISNUMBER(SEARCH(E362,Config!$B$1002))),1,0),0))</f>
        <v>0</v>
      </c>
      <c r="AP362" s="39">
        <f t="array" ref="AP362">IFERROR(IF(INDEX(Bids!$AE:$AE,MATCH(B362,Bids!$A:$A,0))="Pending",1,0),0)</f>
        <v>0</v>
      </c>
      <c r="AQ362" s="39" t="str">
        <f t="array" ref="AQ362">IF(C362="","",IFERROR(XLOOKUP(C362,Assignments!$C:$C,Assignments!$AU:$AU,0),0))</f>
        <v/>
      </c>
      <c r="AR362" s="39">
        <f>IF(AND(Config!$B$1006="Y",AQ362=1),Config!$B$1007,0)</f>
        <v>0</v>
      </c>
    </row>
    <row r="363" ht="15.75" customHeight="1">
      <c r="A363" s="46" t="str">
        <f t="shared" si="1"/>
        <v/>
      </c>
      <c r="B363" s="40" t="str">
        <f>IF(Bids!$A362="","",Bids!$A362)</f>
        <v/>
      </c>
      <c r="C363" s="40" t="str">
        <f>IF(Bids!$B362="","",Bids!$B362)</f>
        <v/>
      </c>
      <c r="D363" s="40" t="str">
        <f>IF($C363="","",IFERROR(VLOOKUP($C363,Orders!$A$4:$J$998,9,FALSE),""))</f>
        <v/>
      </c>
      <c r="E363" s="40" t="str">
        <f>IF($C363="","",IFERROR(VLOOKUP($C363,Orders!$A$4:$J$998,3,FALSE),""))</f>
        <v/>
      </c>
      <c r="F363" s="40">
        <f t="shared" si="2"/>
        <v>1</v>
      </c>
      <c r="G363" s="40" t="str">
        <f>IF($C363="","",IFERROR(VLOOKUP($C363,Orders!$A$4:$J$998,4,FALSE),""))</f>
        <v/>
      </c>
      <c r="H363" s="40" t="str">
        <f>IF($C363="","",IFERROR(VLOOKUP($C363,Orders!$A$4:$J$998,5,FALSE),""))</f>
        <v/>
      </c>
      <c r="I363" s="40" t="str">
        <f>IF($C363="","",IFERROR(VLOOKUP($C363,Orders!$A$4:$J$998,6,FALSE),""))</f>
        <v/>
      </c>
      <c r="J363" s="40" t="str">
        <f>IF($C363="","",IFERROR(VLOOKUP($C363,Orders!$A$4:$J$998,7,FALSE),""))</f>
        <v/>
      </c>
      <c r="K363" s="40" t="str">
        <f>IF(Bids!$C362="","",Bids!$C362)</f>
        <v/>
      </c>
      <c r="L363" s="40" t="str">
        <f>IF($K363="","",IFERROR(VLOOKUP($K363,Grinders!$A$4:$N$998,2,FALSE),""))</f>
        <v/>
      </c>
      <c r="M363" s="40" t="str">
        <f>IF($K363="","",IFERROR(VLOOKUP($K363,Grinders!$A$4:$N$998,3,FALSE),""))</f>
        <v/>
      </c>
      <c r="N363" s="40" t="str">
        <f>IF($K363="","",IFERROR(VLOOKUP($K363,Grinders!$A$4:$N$998,4,FALSE),""))</f>
        <v/>
      </c>
      <c r="O363" s="40" t="str">
        <f>IF($K363="","",IFERROR(VLOOKUP($K363,Grinders!$A$4:$N$998,5,FALSE),""))</f>
        <v/>
      </c>
      <c r="P363" s="40" t="str">
        <f>IF($K363="","",IF($C$4="",0,COUNTIFS(Assignments!$B$6:$B$1000,$K363,Assignments!$F$6:$F$1000,$C$4,Assignments!$E$6:$E$1000,"Active")))</f>
        <v/>
      </c>
      <c r="Q363" s="40" t="str">
        <f t="shared" si="3"/>
        <v/>
      </c>
      <c r="R363" s="40" t="str">
        <f t="shared" si="4"/>
        <v/>
      </c>
      <c r="S363" s="40" t="str">
        <f>IF($K363="","",IF($C$4="",0,COUNTIFS(Assignments!$B$6:$B$1000,$K363,Assignments!$F$6:$F$1000,$C$4,Assignments!$D$6:$D$1000,"&gt;="&amp;Config!$B$3-7,Assignments!$D$6:$D$1000,"&lt;="&amp;Config!$B$3)))</f>
        <v/>
      </c>
      <c r="T363" s="40" t="str">
        <f>IF($K363="","",IFERROR(VLOOKUP($K363,Grinders!$A$4:$N$998,8,FALSE),""))</f>
        <v/>
      </c>
      <c r="U363" s="40" t="str">
        <f>IFERROR(IF($K363="","",IF($M363="Elite",MAX(50,MIN(100,Config!$B$27*MAX(0,MIN(100,(1-IF($R363="",0,$R363))*100)) + Config!$B$28*MAX(0,MIN(100,(1-MIN(1,IF(Config!$B$30=0,1,$S363/Config!$B$30)))*100)) + Config!$B$29*MAX(0,MIN(100,MIN(1,IF($T363="",0,$T363)/Config!$B$23)*100)))),MIN(100,Config!$B$27*MAX(0,MIN(100,(1-IF($R363="",0,$R363))*100)) + Config!$B$28*MAX(0,MIN(100,(1-MIN(1,IF(Config!$B$30=0,1,$S363/Config!$B$30)))*100)) + Config!$B$29*MAX(0,MIN(100,MIN(1,IF($T363="",0,$T363)/Config!$B$23)*100))))),"")
</f>
        <v/>
      </c>
      <c r="V363" s="40" t="str">
        <f>IF(Bids!$AC363="","",Bids!$AC363)</f>
        <v/>
      </c>
      <c r="W363" s="40" t="str">
        <f>IF(Bids!$F362="","",Bids!$F362)</f>
        <v/>
      </c>
      <c r="X363" s="40" t="str">
        <f t="shared" si="5"/>
        <v/>
      </c>
      <c r="Y363" s="40" t="str">
        <f>IF($X363="","",IF(Config!$B$17=Config!$B$16,IF($X363&gt;=Config!$B$17,100,0),MAX(0,MIN(100,($X363-Config!$B$16)/(Config!$B$17-Config!$B$16)*100))))</f>
        <v/>
      </c>
      <c r="Z363" s="40">
        <f>IF($M363="Elite",Config!$B$21,0)</f>
        <v>0</v>
      </c>
      <c r="AA363" s="40" t="str">
        <f>IFERROR(IF(OR($W363="",$H363=""),"",IF($W363&gt;$H363,
  MAX(0, 60-(($W363-$H363)*24/Config!$B$19)*60),
  MIN(100, 60+(($H363-$W363)*24/Config!$B$20)*40)
)),"")
</f>
        <v/>
      </c>
      <c r="AB363" s="40" t="str">
        <f>IF($K363="","",IFERROR(VLOOKUP($K363,Grinders!$A$4:$N$998,10,FALSE)/5*100,""))</f>
        <v/>
      </c>
      <c r="AC363" s="40" t="str">
        <f>IF($K363="","",IFERROR(VLOOKUP($K363,Grinders!$A$4:$N$998,11,FALSE)*100,""))</f>
        <v/>
      </c>
      <c r="AD363" s="40" t="str">
        <f>IF($K363="","",IFERROR(VLOOKUP($K363,Grinders!$A$4:$N$998,12,FALSE)*100,""))</f>
        <v/>
      </c>
      <c r="AE363" s="40" t="str">
        <f>IF(OR(AO363=1,AP363=1),0,=IFERROR(IFS(
    OR($C363="", $K363=""), 0,
    $F363=0, 0,
    $D363&lt;&gt;"Open", 0,
    COUNTIFS(GrinderServices!$A$6:$A$1000, $K363, GrinderServices!$B$6:$B$1000, $E363, GrinderServices!$D$6:$D$1000, "Y")=0, 0,
    $X363&lt;Config!$B$16, 0,
    Config!$B$18=1, IF($O363&gt;=N363, 0, 1),
    TRUE, 1
), "")
)</f>
        <v>#ERROR!</v>
      </c>
      <c r="AF363" s="40" t="str">
        <f>IFERROR((IF(OR(AO363=1,AP363=1),"",=IFERROR((IFERROR(IF($AE363=0,"",((Config!$B$6*$Y363 + Config!$B$7*$U363 + Config!$B$8*$Z363 + Config!$B$9*$AA363 + Config!$B$10*$AB363 + Config!$B$11*$AC363 - Config!$B$12*$AD363)/Config!$B$13)+$AK363+$AL363),""))*(1-IFERROR(VLOOKUP(K363,Grinders!$A:$AB, 28, FALSE),0)),"")))*(1+AR363),"")</f>
        <v>#ERROR!</v>
      </c>
      <c r="AG363" s="40" t="str">
        <f t="shared" si="6"/>
        <v>#ERROR!</v>
      </c>
      <c r="AH363" s="40" t="str">
        <f t="shared" si="7"/>
        <v/>
      </c>
      <c r="AI363" s="40" t="str">
        <f t="shared" si="8"/>
        <v/>
      </c>
      <c r="AJ363" s="40" t="str">
        <f>IF($K363="","",COUNTIF(Assignments!$B$6:$B$1000,$K363))</f>
        <v/>
      </c>
      <c r="AK363" s="40" t="str">
        <f>IF($K363="","",IF(AND($AJ363=0,$O363&lt;$N363),Config!$B$43,0))</f>
        <v/>
      </c>
      <c r="AL363" s="40" t="str">
        <f>IF($K363="","",IF(AND($M363="Elite",$G363&gt;=Config!$B$41,$O363&lt;$N363),Config!$B$42,0))</f>
        <v/>
      </c>
      <c r="AM363" s="22"/>
      <c r="AN363" s="39">
        <f>IFERROR(VLOOKUP(K363,Grinders!$A:$Q,28,FALSE),0)</f>
        <v>0</v>
      </c>
      <c r="AO363" s="39">
        <f>IF(Config!$B$1003&lt;&gt;"Y",0,IF(IFERROR(VLOOKUP(K363,Grinders!$A:$P,27,FALSE),0)&gt;=3,IF(OR(G363&gt;=Config!$B$1001,ISNUMBER(SEARCH(E363,Config!$B$1002))),1,0),0))</f>
        <v>0</v>
      </c>
      <c r="AP363" s="39">
        <f t="array" ref="AP363">IFERROR(IF(INDEX(Bids!$AE:$AE,MATCH(B363,Bids!$A:$A,0))="Pending",1,0),0)</f>
        <v>0</v>
      </c>
      <c r="AQ363" s="39" t="str">
        <f t="array" ref="AQ363">IF(C363="","",IFERROR(XLOOKUP(C363,Assignments!$C:$C,Assignments!$AU:$AU,0),0))</f>
        <v/>
      </c>
      <c r="AR363" s="39">
        <f>IF(AND(Config!$B$1006="Y",AQ363=1),Config!$B$1007,0)</f>
        <v>0</v>
      </c>
    </row>
    <row r="364" ht="15.75" customHeight="1">
      <c r="A364" s="46" t="str">
        <f t="shared" si="1"/>
        <v/>
      </c>
      <c r="B364" s="40" t="str">
        <f>IF(Bids!$A363="","",Bids!$A363)</f>
        <v/>
      </c>
      <c r="C364" s="40" t="str">
        <f>IF(Bids!$B363="","",Bids!$B363)</f>
        <v/>
      </c>
      <c r="D364" s="40" t="str">
        <f>IF($C364="","",IFERROR(VLOOKUP($C364,Orders!$A$4:$J$998,9,FALSE),""))</f>
        <v/>
      </c>
      <c r="E364" s="40" t="str">
        <f>IF($C364="","",IFERROR(VLOOKUP($C364,Orders!$A$4:$J$998,3,FALSE),""))</f>
        <v/>
      </c>
      <c r="F364" s="40">
        <f t="shared" si="2"/>
        <v>1</v>
      </c>
      <c r="G364" s="40" t="str">
        <f>IF($C364="","",IFERROR(VLOOKUP($C364,Orders!$A$4:$J$998,4,FALSE),""))</f>
        <v/>
      </c>
      <c r="H364" s="40" t="str">
        <f>IF($C364="","",IFERROR(VLOOKUP($C364,Orders!$A$4:$J$998,5,FALSE),""))</f>
        <v/>
      </c>
      <c r="I364" s="40" t="str">
        <f>IF($C364="","",IFERROR(VLOOKUP($C364,Orders!$A$4:$J$998,6,FALSE),""))</f>
        <v/>
      </c>
      <c r="J364" s="40" t="str">
        <f>IF($C364="","",IFERROR(VLOOKUP($C364,Orders!$A$4:$J$998,7,FALSE),""))</f>
        <v/>
      </c>
      <c r="K364" s="40" t="str">
        <f>IF(Bids!$C363="","",Bids!$C363)</f>
        <v/>
      </c>
      <c r="L364" s="40" t="str">
        <f>IF($K364="","",IFERROR(VLOOKUP($K364,Grinders!$A$4:$N$998,2,FALSE),""))</f>
        <v/>
      </c>
      <c r="M364" s="40" t="str">
        <f>IF($K364="","",IFERROR(VLOOKUP($K364,Grinders!$A$4:$N$998,3,FALSE),""))</f>
        <v/>
      </c>
      <c r="N364" s="40" t="str">
        <f>IF($K364="","",IFERROR(VLOOKUP($K364,Grinders!$A$4:$N$998,4,FALSE),""))</f>
        <v/>
      </c>
      <c r="O364" s="40" t="str">
        <f>IF($K364="","",IFERROR(VLOOKUP($K364,Grinders!$A$4:$N$998,5,FALSE),""))</f>
        <v/>
      </c>
      <c r="P364" s="40" t="str">
        <f>IF($K364="","",IF($C$4="",0,COUNTIFS(Assignments!$B$6:$B$1000,$K364,Assignments!$F$6:$F$1000,$C$4,Assignments!$E$6:$E$1000,"Active")))</f>
        <v/>
      </c>
      <c r="Q364" s="40" t="str">
        <f t="shared" si="3"/>
        <v/>
      </c>
      <c r="R364" s="40" t="str">
        <f t="shared" si="4"/>
        <v/>
      </c>
      <c r="S364" s="40" t="str">
        <f>IF($K364="","",IF($C$4="",0,COUNTIFS(Assignments!$B$6:$B$1000,$K364,Assignments!$F$6:$F$1000,$C$4,Assignments!$D$6:$D$1000,"&gt;="&amp;Config!$B$3-7,Assignments!$D$6:$D$1000,"&lt;="&amp;Config!$B$3)))</f>
        <v/>
      </c>
      <c r="T364" s="40" t="str">
        <f>IF($K364="","",IFERROR(VLOOKUP($K364,Grinders!$A$4:$N$998,8,FALSE),""))</f>
        <v/>
      </c>
      <c r="U364" s="40" t="str">
        <f>IFERROR(IF($K364="","",IF($M364="Elite",MAX(50,MIN(100,Config!$B$27*MAX(0,MIN(100,(1-IF($R364="",0,$R364))*100)) + Config!$B$28*MAX(0,MIN(100,(1-MIN(1,IF(Config!$B$30=0,1,$S364/Config!$B$30)))*100)) + Config!$B$29*MAX(0,MIN(100,MIN(1,IF($T364="",0,$T364)/Config!$B$23)*100)))),MIN(100,Config!$B$27*MAX(0,MIN(100,(1-IF($R364="",0,$R364))*100)) + Config!$B$28*MAX(0,MIN(100,(1-MIN(1,IF(Config!$B$30=0,1,$S364/Config!$B$30)))*100)) + Config!$B$29*MAX(0,MIN(100,MIN(1,IF($T364="",0,$T364)/Config!$B$23)*100))))),"")
</f>
        <v/>
      </c>
      <c r="V364" s="40" t="str">
        <f>IF(Bids!$AC364="","",Bids!$AC364)</f>
        <v/>
      </c>
      <c r="W364" s="40" t="str">
        <f>IF(Bids!$F363="","",Bids!$F363)</f>
        <v/>
      </c>
      <c r="X364" s="40" t="str">
        <f t="shared" si="5"/>
        <v/>
      </c>
      <c r="Y364" s="40" t="str">
        <f>IF($X364="","",IF(Config!$B$17=Config!$B$16,IF($X364&gt;=Config!$B$17,100,0),MAX(0,MIN(100,($X364-Config!$B$16)/(Config!$B$17-Config!$B$16)*100))))</f>
        <v/>
      </c>
      <c r="Z364" s="40">
        <f>IF($M364="Elite",Config!$B$21,0)</f>
        <v>0</v>
      </c>
      <c r="AA364" s="40" t="str">
        <f>IFERROR(IF(OR($W364="",$H364=""),"",IF($W364&gt;$H364,
  MAX(0, 60-(($W364-$H364)*24/Config!$B$19)*60),
  MIN(100, 60+(($H364-$W364)*24/Config!$B$20)*40)
)),"")
</f>
        <v/>
      </c>
      <c r="AB364" s="40" t="str">
        <f>IF($K364="","",IFERROR(VLOOKUP($K364,Grinders!$A$4:$N$998,10,FALSE)/5*100,""))</f>
        <v/>
      </c>
      <c r="AC364" s="40" t="str">
        <f>IF($K364="","",IFERROR(VLOOKUP($K364,Grinders!$A$4:$N$998,11,FALSE)*100,""))</f>
        <v/>
      </c>
      <c r="AD364" s="40" t="str">
        <f>IF($K364="","",IFERROR(VLOOKUP($K364,Grinders!$A$4:$N$998,12,FALSE)*100,""))</f>
        <v/>
      </c>
      <c r="AE364" s="40" t="str">
        <f>IF(OR(AO364=1,AP364=1),0,=IFERROR(IFS(
    OR($C364="", $K364=""), 0,
    $F364=0, 0,
    $D364&lt;&gt;"Open", 0,
    COUNTIFS(GrinderServices!$A$6:$A$1000, $K364, GrinderServices!$B$6:$B$1000, $E364, GrinderServices!$D$6:$D$1000, "Y")=0, 0,
    $X364&lt;Config!$B$16, 0,
    Config!$B$18=1, IF($O364&gt;=N364, 0, 1),
    TRUE, 1
), "")
)</f>
        <v>#ERROR!</v>
      </c>
      <c r="AF364" s="40" t="str">
        <f>IFERROR((IF(OR(AO364=1,AP364=1),"",=IFERROR((IFERROR(IF($AE364=0,"",((Config!$B$6*$Y364 + Config!$B$7*$U364 + Config!$B$8*$Z364 + Config!$B$9*$AA364 + Config!$B$10*$AB364 + Config!$B$11*$AC364 - Config!$B$12*$AD364)/Config!$B$13)+$AK364+$AL364),""))*(1-IFERROR(VLOOKUP(K364,Grinders!$A:$AB, 28, FALSE),0)),"")))*(1+AR364),"")</f>
        <v>#ERROR!</v>
      </c>
      <c r="AG364" s="40" t="str">
        <f t="shared" si="6"/>
        <v>#ERROR!</v>
      </c>
      <c r="AH364" s="40" t="str">
        <f t="shared" si="7"/>
        <v/>
      </c>
      <c r="AI364" s="40" t="str">
        <f t="shared" si="8"/>
        <v/>
      </c>
      <c r="AJ364" s="40" t="str">
        <f>IF($K364="","",COUNTIF(Assignments!$B$6:$B$1000,$K364))</f>
        <v/>
      </c>
      <c r="AK364" s="40" t="str">
        <f>IF($K364="","",IF(AND($AJ364=0,$O364&lt;$N364),Config!$B$43,0))</f>
        <v/>
      </c>
      <c r="AL364" s="40" t="str">
        <f>IF($K364="","",IF(AND($M364="Elite",$G364&gt;=Config!$B$41,$O364&lt;$N364),Config!$B$42,0))</f>
        <v/>
      </c>
      <c r="AM364" s="22"/>
      <c r="AN364" s="39">
        <f>IFERROR(VLOOKUP(K364,Grinders!$A:$Q,28,FALSE),0)</f>
        <v>0</v>
      </c>
      <c r="AO364" s="39">
        <f>IF(Config!$B$1003&lt;&gt;"Y",0,IF(IFERROR(VLOOKUP(K364,Grinders!$A:$P,27,FALSE),0)&gt;=3,IF(OR(G364&gt;=Config!$B$1001,ISNUMBER(SEARCH(E364,Config!$B$1002))),1,0),0))</f>
        <v>0</v>
      </c>
      <c r="AP364" s="39">
        <f t="array" ref="AP364">IFERROR(IF(INDEX(Bids!$AE:$AE,MATCH(B364,Bids!$A:$A,0))="Pending",1,0),0)</f>
        <v>0</v>
      </c>
      <c r="AQ364" s="39" t="str">
        <f t="array" ref="AQ364">IF(C364="","",IFERROR(XLOOKUP(C364,Assignments!$C:$C,Assignments!$AU:$AU,0),0))</f>
        <v/>
      </c>
      <c r="AR364" s="39">
        <f>IF(AND(Config!$B$1006="Y",AQ364=1),Config!$B$1007,0)</f>
        <v>0</v>
      </c>
    </row>
    <row r="365" ht="15.75" customHeight="1">
      <c r="A365" s="46" t="str">
        <f t="shared" si="1"/>
        <v/>
      </c>
      <c r="B365" s="40" t="str">
        <f>IF(Bids!$A364="","",Bids!$A364)</f>
        <v/>
      </c>
      <c r="C365" s="40" t="str">
        <f>IF(Bids!$B364="","",Bids!$B364)</f>
        <v/>
      </c>
      <c r="D365" s="40" t="str">
        <f>IF($C365="","",IFERROR(VLOOKUP($C365,Orders!$A$4:$J$998,9,FALSE),""))</f>
        <v/>
      </c>
      <c r="E365" s="40" t="str">
        <f>IF($C365="","",IFERROR(VLOOKUP($C365,Orders!$A$4:$J$998,3,FALSE),""))</f>
        <v/>
      </c>
      <c r="F365" s="40">
        <f t="shared" si="2"/>
        <v>1</v>
      </c>
      <c r="G365" s="40" t="str">
        <f>IF($C365="","",IFERROR(VLOOKUP($C365,Orders!$A$4:$J$998,4,FALSE),""))</f>
        <v/>
      </c>
      <c r="H365" s="40" t="str">
        <f>IF($C365="","",IFERROR(VLOOKUP($C365,Orders!$A$4:$J$998,5,FALSE),""))</f>
        <v/>
      </c>
      <c r="I365" s="40" t="str">
        <f>IF($C365="","",IFERROR(VLOOKUP($C365,Orders!$A$4:$J$998,6,FALSE),""))</f>
        <v/>
      </c>
      <c r="J365" s="40" t="str">
        <f>IF($C365="","",IFERROR(VLOOKUP($C365,Orders!$A$4:$J$998,7,FALSE),""))</f>
        <v/>
      </c>
      <c r="K365" s="40" t="str">
        <f>IF(Bids!$C364="","",Bids!$C364)</f>
        <v/>
      </c>
      <c r="L365" s="40" t="str">
        <f>IF($K365="","",IFERROR(VLOOKUP($K365,Grinders!$A$4:$N$998,2,FALSE),""))</f>
        <v/>
      </c>
      <c r="M365" s="40" t="str">
        <f>IF($K365="","",IFERROR(VLOOKUP($K365,Grinders!$A$4:$N$998,3,FALSE),""))</f>
        <v/>
      </c>
      <c r="N365" s="40" t="str">
        <f>IF($K365="","",IFERROR(VLOOKUP($K365,Grinders!$A$4:$N$998,4,FALSE),""))</f>
        <v/>
      </c>
      <c r="O365" s="40" t="str">
        <f>IF($K365="","",IFERROR(VLOOKUP($K365,Grinders!$A$4:$N$998,5,FALSE),""))</f>
        <v/>
      </c>
      <c r="P365" s="40" t="str">
        <f>IF($K365="","",IF($C$4="",0,COUNTIFS(Assignments!$B$6:$B$1000,$K365,Assignments!$F$6:$F$1000,$C$4,Assignments!$E$6:$E$1000,"Active")))</f>
        <v/>
      </c>
      <c r="Q365" s="40" t="str">
        <f t="shared" si="3"/>
        <v/>
      </c>
      <c r="R365" s="40" t="str">
        <f t="shared" si="4"/>
        <v/>
      </c>
      <c r="S365" s="40" t="str">
        <f>IF($K365="","",IF($C$4="",0,COUNTIFS(Assignments!$B$6:$B$1000,$K365,Assignments!$F$6:$F$1000,$C$4,Assignments!$D$6:$D$1000,"&gt;="&amp;Config!$B$3-7,Assignments!$D$6:$D$1000,"&lt;="&amp;Config!$B$3)))</f>
        <v/>
      </c>
      <c r="T365" s="40" t="str">
        <f>IF($K365="","",IFERROR(VLOOKUP($K365,Grinders!$A$4:$N$998,8,FALSE),""))</f>
        <v/>
      </c>
      <c r="U365" s="40" t="str">
        <f>IFERROR(IF($K365="","",IF($M365="Elite",MAX(50,MIN(100,Config!$B$27*MAX(0,MIN(100,(1-IF($R365="",0,$R365))*100)) + Config!$B$28*MAX(0,MIN(100,(1-MIN(1,IF(Config!$B$30=0,1,$S365/Config!$B$30)))*100)) + Config!$B$29*MAX(0,MIN(100,MIN(1,IF($T365="",0,$T365)/Config!$B$23)*100)))),MIN(100,Config!$B$27*MAX(0,MIN(100,(1-IF($R365="",0,$R365))*100)) + Config!$B$28*MAX(0,MIN(100,(1-MIN(1,IF(Config!$B$30=0,1,$S365/Config!$B$30)))*100)) + Config!$B$29*MAX(0,MIN(100,MIN(1,IF($T365="",0,$T365)/Config!$B$23)*100))))),"")
</f>
        <v/>
      </c>
      <c r="V365" s="40" t="str">
        <f>IF(Bids!$AC365="","",Bids!$AC365)</f>
        <v/>
      </c>
      <c r="W365" s="40" t="str">
        <f>IF(Bids!$F364="","",Bids!$F364)</f>
        <v/>
      </c>
      <c r="X365" s="40" t="str">
        <f t="shared" si="5"/>
        <v/>
      </c>
      <c r="Y365" s="40" t="str">
        <f>IF($X365="","",IF(Config!$B$17=Config!$B$16,IF($X365&gt;=Config!$B$17,100,0),MAX(0,MIN(100,($X365-Config!$B$16)/(Config!$B$17-Config!$B$16)*100))))</f>
        <v/>
      </c>
      <c r="Z365" s="40">
        <f>IF($M365="Elite",Config!$B$21,0)</f>
        <v>0</v>
      </c>
      <c r="AA365" s="40" t="str">
        <f>IFERROR(IF(OR($W365="",$H365=""),"",IF($W365&gt;$H365,
  MAX(0, 60-(($W365-$H365)*24/Config!$B$19)*60),
  MIN(100, 60+(($H365-$W365)*24/Config!$B$20)*40)
)),"")
</f>
        <v/>
      </c>
      <c r="AB365" s="40" t="str">
        <f>IF($K365="","",IFERROR(VLOOKUP($K365,Grinders!$A$4:$N$998,10,FALSE)/5*100,""))</f>
        <v/>
      </c>
      <c r="AC365" s="40" t="str">
        <f>IF($K365="","",IFERROR(VLOOKUP($K365,Grinders!$A$4:$N$998,11,FALSE)*100,""))</f>
        <v/>
      </c>
      <c r="AD365" s="40" t="str">
        <f>IF($K365="","",IFERROR(VLOOKUP($K365,Grinders!$A$4:$N$998,12,FALSE)*100,""))</f>
        <v/>
      </c>
      <c r="AE365" s="40" t="str">
        <f>IF(OR(AO365=1,AP365=1),0,=IFERROR(IFS(
    OR($C365="", $K365=""), 0,
    $F365=0, 0,
    $D365&lt;&gt;"Open", 0,
    COUNTIFS(GrinderServices!$A$6:$A$1000, $K365, GrinderServices!$B$6:$B$1000, $E365, GrinderServices!$D$6:$D$1000, "Y")=0, 0,
    $X365&lt;Config!$B$16, 0,
    Config!$B$18=1, IF($O365&gt;=N365, 0, 1),
    TRUE, 1
), "")
)</f>
        <v>#ERROR!</v>
      </c>
      <c r="AF365" s="40" t="str">
        <f>IFERROR((IF(OR(AO365=1,AP365=1),"",=IFERROR((IFERROR(IF($AE365=0,"",((Config!$B$6*$Y365 + Config!$B$7*$U365 + Config!$B$8*$Z365 + Config!$B$9*$AA365 + Config!$B$10*$AB365 + Config!$B$11*$AC365 - Config!$B$12*$AD365)/Config!$B$13)+$AK365+$AL365),""))*(1-IFERROR(VLOOKUP(K365,Grinders!$A:$AB, 28, FALSE),0)),"")))*(1+AR365),"")</f>
        <v>#ERROR!</v>
      </c>
      <c r="AG365" s="40" t="str">
        <f t="shared" si="6"/>
        <v>#ERROR!</v>
      </c>
      <c r="AH365" s="40" t="str">
        <f t="shared" si="7"/>
        <v/>
      </c>
      <c r="AI365" s="40" t="str">
        <f t="shared" si="8"/>
        <v/>
      </c>
      <c r="AJ365" s="40" t="str">
        <f>IF($K365="","",COUNTIF(Assignments!$B$6:$B$1000,$K365))</f>
        <v/>
      </c>
      <c r="AK365" s="40" t="str">
        <f>IF($K365="","",IF(AND($AJ365=0,$O365&lt;$N365),Config!$B$43,0))</f>
        <v/>
      </c>
      <c r="AL365" s="40" t="str">
        <f>IF($K365="","",IF(AND($M365="Elite",$G365&gt;=Config!$B$41,$O365&lt;$N365),Config!$B$42,0))</f>
        <v/>
      </c>
      <c r="AM365" s="22"/>
      <c r="AN365" s="39">
        <f>IFERROR(VLOOKUP(K365,Grinders!$A:$Q,28,FALSE),0)</f>
        <v>0</v>
      </c>
      <c r="AO365" s="39">
        <f>IF(Config!$B$1003&lt;&gt;"Y",0,IF(IFERROR(VLOOKUP(K365,Grinders!$A:$P,27,FALSE),0)&gt;=3,IF(OR(G365&gt;=Config!$B$1001,ISNUMBER(SEARCH(E365,Config!$B$1002))),1,0),0))</f>
        <v>0</v>
      </c>
      <c r="AP365" s="39">
        <f t="array" ref="AP365">IFERROR(IF(INDEX(Bids!$AE:$AE,MATCH(B365,Bids!$A:$A,0))="Pending",1,0),0)</f>
        <v>0</v>
      </c>
      <c r="AQ365" s="39" t="str">
        <f t="array" ref="AQ365">IF(C365="","",IFERROR(XLOOKUP(C365,Assignments!$C:$C,Assignments!$AU:$AU,0),0))</f>
        <v/>
      </c>
      <c r="AR365" s="39">
        <f>IF(AND(Config!$B$1006="Y",AQ365=1),Config!$B$1007,0)</f>
        <v>0</v>
      </c>
    </row>
    <row r="366" ht="15.75" customHeight="1">
      <c r="A366" s="46" t="str">
        <f t="shared" si="1"/>
        <v/>
      </c>
      <c r="B366" s="40" t="str">
        <f>IF(Bids!$A365="","",Bids!$A365)</f>
        <v/>
      </c>
      <c r="C366" s="40" t="str">
        <f>IF(Bids!$B365="","",Bids!$B365)</f>
        <v/>
      </c>
      <c r="D366" s="40" t="str">
        <f>IF($C366="","",IFERROR(VLOOKUP($C366,Orders!$A$4:$J$998,9,FALSE),""))</f>
        <v/>
      </c>
      <c r="E366" s="40" t="str">
        <f>IF($C366="","",IFERROR(VLOOKUP($C366,Orders!$A$4:$J$998,3,FALSE),""))</f>
        <v/>
      </c>
      <c r="F366" s="40">
        <f t="shared" si="2"/>
        <v>1</v>
      </c>
      <c r="G366" s="40" t="str">
        <f>IF($C366="","",IFERROR(VLOOKUP($C366,Orders!$A$4:$J$998,4,FALSE),""))</f>
        <v/>
      </c>
      <c r="H366" s="40" t="str">
        <f>IF($C366="","",IFERROR(VLOOKUP($C366,Orders!$A$4:$J$998,5,FALSE),""))</f>
        <v/>
      </c>
      <c r="I366" s="40" t="str">
        <f>IF($C366="","",IFERROR(VLOOKUP($C366,Orders!$A$4:$J$998,6,FALSE),""))</f>
        <v/>
      </c>
      <c r="J366" s="40" t="str">
        <f>IF($C366="","",IFERROR(VLOOKUP($C366,Orders!$A$4:$J$998,7,FALSE),""))</f>
        <v/>
      </c>
      <c r="K366" s="40" t="str">
        <f>IF(Bids!$C365="","",Bids!$C365)</f>
        <v/>
      </c>
      <c r="L366" s="40" t="str">
        <f>IF($K366="","",IFERROR(VLOOKUP($K366,Grinders!$A$4:$N$998,2,FALSE),""))</f>
        <v/>
      </c>
      <c r="M366" s="40" t="str">
        <f>IF($K366="","",IFERROR(VLOOKUP($K366,Grinders!$A$4:$N$998,3,FALSE),""))</f>
        <v/>
      </c>
      <c r="N366" s="40" t="str">
        <f>IF($K366="","",IFERROR(VLOOKUP($K366,Grinders!$A$4:$N$998,4,FALSE),""))</f>
        <v/>
      </c>
      <c r="O366" s="40" t="str">
        <f>IF($K366="","",IFERROR(VLOOKUP($K366,Grinders!$A$4:$N$998,5,FALSE),""))</f>
        <v/>
      </c>
      <c r="P366" s="40" t="str">
        <f>IF($K366="","",IF($C$4="",0,COUNTIFS(Assignments!$B$6:$B$1000,$K366,Assignments!$F$6:$F$1000,$C$4,Assignments!$E$6:$E$1000,"Active")))</f>
        <v/>
      </c>
      <c r="Q366" s="40" t="str">
        <f t="shared" si="3"/>
        <v/>
      </c>
      <c r="R366" s="40" t="str">
        <f t="shared" si="4"/>
        <v/>
      </c>
      <c r="S366" s="40" t="str">
        <f>IF($K366="","",IF($C$4="",0,COUNTIFS(Assignments!$B$6:$B$1000,$K366,Assignments!$F$6:$F$1000,$C$4,Assignments!$D$6:$D$1000,"&gt;="&amp;Config!$B$3-7,Assignments!$D$6:$D$1000,"&lt;="&amp;Config!$B$3)))</f>
        <v/>
      </c>
      <c r="T366" s="40" t="str">
        <f>IF($K366="","",IFERROR(VLOOKUP($K366,Grinders!$A$4:$N$998,8,FALSE),""))</f>
        <v/>
      </c>
      <c r="U366" s="40" t="str">
        <f>IFERROR(IF($K366="","",IF($M366="Elite",MAX(50,MIN(100,Config!$B$27*MAX(0,MIN(100,(1-IF($R366="",0,$R366))*100)) + Config!$B$28*MAX(0,MIN(100,(1-MIN(1,IF(Config!$B$30=0,1,$S366/Config!$B$30)))*100)) + Config!$B$29*MAX(0,MIN(100,MIN(1,IF($T366="",0,$T366)/Config!$B$23)*100)))),MIN(100,Config!$B$27*MAX(0,MIN(100,(1-IF($R366="",0,$R366))*100)) + Config!$B$28*MAX(0,MIN(100,(1-MIN(1,IF(Config!$B$30=0,1,$S366/Config!$B$30)))*100)) + Config!$B$29*MAX(0,MIN(100,MIN(1,IF($T366="",0,$T366)/Config!$B$23)*100))))),"")
</f>
        <v/>
      </c>
      <c r="V366" s="40" t="str">
        <f>IF(Bids!$AC366="","",Bids!$AC366)</f>
        <v/>
      </c>
      <c r="W366" s="40" t="str">
        <f>IF(Bids!$F365="","",Bids!$F365)</f>
        <v/>
      </c>
      <c r="X366" s="40" t="str">
        <f t="shared" si="5"/>
        <v/>
      </c>
      <c r="Y366" s="40" t="str">
        <f>IF($X366="","",IF(Config!$B$17=Config!$B$16,IF($X366&gt;=Config!$B$17,100,0),MAX(0,MIN(100,($X366-Config!$B$16)/(Config!$B$17-Config!$B$16)*100))))</f>
        <v/>
      </c>
      <c r="Z366" s="40">
        <f>IF($M366="Elite",Config!$B$21,0)</f>
        <v>0</v>
      </c>
      <c r="AA366" s="40" t="str">
        <f>IFERROR(IF(OR($W366="",$H366=""),"",IF($W366&gt;$H366,
  MAX(0, 60-(($W366-$H366)*24/Config!$B$19)*60),
  MIN(100, 60+(($H366-$W366)*24/Config!$B$20)*40)
)),"")
</f>
        <v/>
      </c>
      <c r="AB366" s="40" t="str">
        <f>IF($K366="","",IFERROR(VLOOKUP($K366,Grinders!$A$4:$N$998,10,FALSE)/5*100,""))</f>
        <v/>
      </c>
      <c r="AC366" s="40" t="str">
        <f>IF($K366="","",IFERROR(VLOOKUP($K366,Grinders!$A$4:$N$998,11,FALSE)*100,""))</f>
        <v/>
      </c>
      <c r="AD366" s="40" t="str">
        <f>IF($K366="","",IFERROR(VLOOKUP($K366,Grinders!$A$4:$N$998,12,FALSE)*100,""))</f>
        <v/>
      </c>
      <c r="AE366" s="40" t="str">
        <f>IF(OR(AO366=1,AP366=1),0,=IFERROR(IFS(
    OR($C366="", $K366=""), 0,
    $F366=0, 0,
    $D366&lt;&gt;"Open", 0,
    COUNTIFS(GrinderServices!$A$6:$A$1000, $K366, GrinderServices!$B$6:$B$1000, $E366, GrinderServices!$D$6:$D$1000, "Y")=0, 0,
    $X366&lt;Config!$B$16, 0,
    Config!$B$18=1, IF($O366&gt;=N366, 0, 1),
    TRUE, 1
), "")
)</f>
        <v>#ERROR!</v>
      </c>
      <c r="AF366" s="40" t="str">
        <f>IFERROR((IF(OR(AO366=1,AP366=1),"",=IFERROR((IFERROR(IF($AE366=0,"",((Config!$B$6*$Y366 + Config!$B$7*$U366 + Config!$B$8*$Z366 + Config!$B$9*$AA366 + Config!$B$10*$AB366 + Config!$B$11*$AC366 - Config!$B$12*$AD366)/Config!$B$13)+$AK366+$AL366),""))*(1-IFERROR(VLOOKUP(K366,Grinders!$A:$AB, 28, FALSE),0)),"")))*(1+AR366),"")</f>
        <v>#ERROR!</v>
      </c>
      <c r="AG366" s="40" t="str">
        <f t="shared" si="6"/>
        <v>#ERROR!</v>
      </c>
      <c r="AH366" s="40" t="str">
        <f t="shared" si="7"/>
        <v/>
      </c>
      <c r="AI366" s="40" t="str">
        <f t="shared" si="8"/>
        <v/>
      </c>
      <c r="AJ366" s="40" t="str">
        <f>IF($K366="","",COUNTIF(Assignments!$B$6:$B$1000,$K366))</f>
        <v/>
      </c>
      <c r="AK366" s="40" t="str">
        <f>IF($K366="","",IF(AND($AJ366=0,$O366&lt;$N366),Config!$B$43,0))</f>
        <v/>
      </c>
      <c r="AL366" s="40" t="str">
        <f>IF($K366="","",IF(AND($M366="Elite",$G366&gt;=Config!$B$41,$O366&lt;$N366),Config!$B$42,0))</f>
        <v/>
      </c>
      <c r="AM366" s="22"/>
      <c r="AN366" s="39">
        <f>IFERROR(VLOOKUP(K366,Grinders!$A:$Q,28,FALSE),0)</f>
        <v>0</v>
      </c>
      <c r="AO366" s="39">
        <f>IF(Config!$B$1003&lt;&gt;"Y",0,IF(IFERROR(VLOOKUP(K366,Grinders!$A:$P,27,FALSE),0)&gt;=3,IF(OR(G366&gt;=Config!$B$1001,ISNUMBER(SEARCH(E366,Config!$B$1002))),1,0),0))</f>
        <v>0</v>
      </c>
      <c r="AP366" s="39">
        <f t="array" ref="AP366">IFERROR(IF(INDEX(Bids!$AE:$AE,MATCH(B366,Bids!$A:$A,0))="Pending",1,0),0)</f>
        <v>0</v>
      </c>
      <c r="AQ366" s="39" t="str">
        <f t="array" ref="AQ366">IF(C366="","",IFERROR(XLOOKUP(C366,Assignments!$C:$C,Assignments!$AU:$AU,0),0))</f>
        <v/>
      </c>
      <c r="AR366" s="39">
        <f>IF(AND(Config!$B$1006="Y",AQ366=1),Config!$B$1007,0)</f>
        <v>0</v>
      </c>
    </row>
    <row r="367" ht="15.75" customHeight="1">
      <c r="A367" s="46" t="str">
        <f t="shared" si="1"/>
        <v/>
      </c>
      <c r="B367" s="40" t="str">
        <f>IF(Bids!$A366="","",Bids!$A366)</f>
        <v/>
      </c>
      <c r="C367" s="40" t="str">
        <f>IF(Bids!$B366="","",Bids!$B366)</f>
        <v/>
      </c>
      <c r="D367" s="40" t="str">
        <f>IF($C367="","",IFERROR(VLOOKUP($C367,Orders!$A$4:$J$998,9,FALSE),""))</f>
        <v/>
      </c>
      <c r="E367" s="40" t="str">
        <f>IF($C367="","",IFERROR(VLOOKUP($C367,Orders!$A$4:$J$998,3,FALSE),""))</f>
        <v/>
      </c>
      <c r="F367" s="40">
        <f t="shared" si="2"/>
        <v>1</v>
      </c>
      <c r="G367" s="40" t="str">
        <f>IF($C367="","",IFERROR(VLOOKUP($C367,Orders!$A$4:$J$998,4,FALSE),""))</f>
        <v/>
      </c>
      <c r="H367" s="40" t="str">
        <f>IF($C367="","",IFERROR(VLOOKUP($C367,Orders!$A$4:$J$998,5,FALSE),""))</f>
        <v/>
      </c>
      <c r="I367" s="40" t="str">
        <f>IF($C367="","",IFERROR(VLOOKUP($C367,Orders!$A$4:$J$998,6,FALSE),""))</f>
        <v/>
      </c>
      <c r="J367" s="40" t="str">
        <f>IF($C367="","",IFERROR(VLOOKUP($C367,Orders!$A$4:$J$998,7,FALSE),""))</f>
        <v/>
      </c>
      <c r="K367" s="40" t="str">
        <f>IF(Bids!$C366="","",Bids!$C366)</f>
        <v/>
      </c>
      <c r="L367" s="40" t="str">
        <f>IF($K367="","",IFERROR(VLOOKUP($K367,Grinders!$A$4:$N$998,2,FALSE),""))</f>
        <v/>
      </c>
      <c r="M367" s="40" t="str">
        <f>IF($K367="","",IFERROR(VLOOKUP($K367,Grinders!$A$4:$N$998,3,FALSE),""))</f>
        <v/>
      </c>
      <c r="N367" s="40" t="str">
        <f>IF($K367="","",IFERROR(VLOOKUP($K367,Grinders!$A$4:$N$998,4,FALSE),""))</f>
        <v/>
      </c>
      <c r="O367" s="40" t="str">
        <f>IF($K367="","",IFERROR(VLOOKUP($K367,Grinders!$A$4:$N$998,5,FALSE),""))</f>
        <v/>
      </c>
      <c r="P367" s="40" t="str">
        <f>IF($K367="","",IF($C$4="",0,COUNTIFS(Assignments!$B$6:$B$1000,$K367,Assignments!$F$6:$F$1000,$C$4,Assignments!$E$6:$E$1000,"Active")))</f>
        <v/>
      </c>
      <c r="Q367" s="40" t="str">
        <f t="shared" si="3"/>
        <v/>
      </c>
      <c r="R367" s="40" t="str">
        <f t="shared" si="4"/>
        <v/>
      </c>
      <c r="S367" s="40" t="str">
        <f>IF($K367="","",IF($C$4="",0,COUNTIFS(Assignments!$B$6:$B$1000,$K367,Assignments!$F$6:$F$1000,$C$4,Assignments!$D$6:$D$1000,"&gt;="&amp;Config!$B$3-7,Assignments!$D$6:$D$1000,"&lt;="&amp;Config!$B$3)))</f>
        <v/>
      </c>
      <c r="T367" s="40" t="str">
        <f>IF($K367="","",IFERROR(VLOOKUP($K367,Grinders!$A$4:$N$998,8,FALSE),""))</f>
        <v/>
      </c>
      <c r="U367" s="40" t="str">
        <f>IFERROR(IF($K367="","",IF($M367="Elite",MAX(50,MIN(100,Config!$B$27*MAX(0,MIN(100,(1-IF($R367="",0,$R367))*100)) + Config!$B$28*MAX(0,MIN(100,(1-MIN(1,IF(Config!$B$30=0,1,$S367/Config!$B$30)))*100)) + Config!$B$29*MAX(0,MIN(100,MIN(1,IF($T367="",0,$T367)/Config!$B$23)*100)))),MIN(100,Config!$B$27*MAX(0,MIN(100,(1-IF($R367="",0,$R367))*100)) + Config!$B$28*MAX(0,MIN(100,(1-MIN(1,IF(Config!$B$30=0,1,$S367/Config!$B$30)))*100)) + Config!$B$29*MAX(0,MIN(100,MIN(1,IF($T367="",0,$T367)/Config!$B$23)*100))))),"")
</f>
        <v/>
      </c>
      <c r="V367" s="40" t="str">
        <f>IF(Bids!$AC367="","",Bids!$AC367)</f>
        <v/>
      </c>
      <c r="W367" s="40" t="str">
        <f>IF(Bids!$F366="","",Bids!$F366)</f>
        <v/>
      </c>
      <c r="X367" s="40" t="str">
        <f t="shared" si="5"/>
        <v/>
      </c>
      <c r="Y367" s="40" t="str">
        <f>IF($X367="","",IF(Config!$B$17=Config!$B$16,IF($X367&gt;=Config!$B$17,100,0),MAX(0,MIN(100,($X367-Config!$B$16)/(Config!$B$17-Config!$B$16)*100))))</f>
        <v/>
      </c>
      <c r="Z367" s="40">
        <f>IF($M367="Elite",Config!$B$21,0)</f>
        <v>0</v>
      </c>
      <c r="AA367" s="40" t="str">
        <f>IFERROR(IF(OR($W367="",$H367=""),"",IF($W367&gt;$H367,
  MAX(0, 60-(($W367-$H367)*24/Config!$B$19)*60),
  MIN(100, 60+(($H367-$W367)*24/Config!$B$20)*40)
)),"")
</f>
        <v/>
      </c>
      <c r="AB367" s="40" t="str">
        <f>IF($K367="","",IFERROR(VLOOKUP($K367,Grinders!$A$4:$N$998,10,FALSE)/5*100,""))</f>
        <v/>
      </c>
      <c r="AC367" s="40" t="str">
        <f>IF($K367="","",IFERROR(VLOOKUP($K367,Grinders!$A$4:$N$998,11,FALSE)*100,""))</f>
        <v/>
      </c>
      <c r="AD367" s="40" t="str">
        <f>IF($K367="","",IFERROR(VLOOKUP($K367,Grinders!$A$4:$N$998,12,FALSE)*100,""))</f>
        <v/>
      </c>
      <c r="AE367" s="40" t="str">
        <f>IF(OR(AO367=1,AP367=1),0,=IFERROR(IFS(
    OR($C367="", $K367=""), 0,
    $F367=0, 0,
    $D367&lt;&gt;"Open", 0,
    COUNTIFS(GrinderServices!$A$6:$A$1000, $K367, GrinderServices!$B$6:$B$1000, $E367, GrinderServices!$D$6:$D$1000, "Y")=0, 0,
    $X367&lt;Config!$B$16, 0,
    Config!$B$18=1, IF($O367&gt;=N367, 0, 1),
    TRUE, 1
), "")
)</f>
        <v>#ERROR!</v>
      </c>
      <c r="AF367" s="40" t="str">
        <f>IFERROR((IF(OR(AO367=1,AP367=1),"",=IFERROR((IFERROR(IF($AE367=0,"",((Config!$B$6*$Y367 + Config!$B$7*$U367 + Config!$B$8*$Z367 + Config!$B$9*$AA367 + Config!$B$10*$AB367 + Config!$B$11*$AC367 - Config!$B$12*$AD367)/Config!$B$13)+$AK367+$AL367),""))*(1-IFERROR(VLOOKUP(K367,Grinders!$A:$AB, 28, FALSE),0)),"")))*(1+AR367),"")</f>
        <v>#ERROR!</v>
      </c>
      <c r="AG367" s="40" t="str">
        <f t="shared" si="6"/>
        <v>#ERROR!</v>
      </c>
      <c r="AH367" s="40" t="str">
        <f t="shared" si="7"/>
        <v/>
      </c>
      <c r="AI367" s="40" t="str">
        <f t="shared" si="8"/>
        <v/>
      </c>
      <c r="AJ367" s="40" t="str">
        <f>IF($K367="","",COUNTIF(Assignments!$B$6:$B$1000,$K367))</f>
        <v/>
      </c>
      <c r="AK367" s="40" t="str">
        <f>IF($K367="","",IF(AND($AJ367=0,$O367&lt;$N367),Config!$B$43,0))</f>
        <v/>
      </c>
      <c r="AL367" s="40" t="str">
        <f>IF($K367="","",IF(AND($M367="Elite",$G367&gt;=Config!$B$41,$O367&lt;$N367),Config!$B$42,0))</f>
        <v/>
      </c>
      <c r="AM367" s="22"/>
      <c r="AN367" s="39">
        <f>IFERROR(VLOOKUP(K367,Grinders!$A:$Q,28,FALSE),0)</f>
        <v>0</v>
      </c>
      <c r="AO367" s="39">
        <f>IF(Config!$B$1003&lt;&gt;"Y",0,IF(IFERROR(VLOOKUP(K367,Grinders!$A:$P,27,FALSE),0)&gt;=3,IF(OR(G367&gt;=Config!$B$1001,ISNUMBER(SEARCH(E367,Config!$B$1002))),1,0),0))</f>
        <v>0</v>
      </c>
      <c r="AP367" s="39">
        <f t="array" ref="AP367">IFERROR(IF(INDEX(Bids!$AE:$AE,MATCH(B367,Bids!$A:$A,0))="Pending",1,0),0)</f>
        <v>0</v>
      </c>
      <c r="AQ367" s="39" t="str">
        <f t="array" ref="AQ367">IF(C367="","",IFERROR(XLOOKUP(C367,Assignments!$C:$C,Assignments!$AU:$AU,0),0))</f>
        <v/>
      </c>
      <c r="AR367" s="39">
        <f>IF(AND(Config!$B$1006="Y",AQ367=1),Config!$B$1007,0)</f>
        <v>0</v>
      </c>
    </row>
    <row r="368" ht="15.75" customHeight="1">
      <c r="A368" s="46" t="str">
        <f t="shared" si="1"/>
        <v/>
      </c>
      <c r="B368" s="40" t="str">
        <f>IF(Bids!$A367="","",Bids!$A367)</f>
        <v/>
      </c>
      <c r="C368" s="40" t="str">
        <f>IF(Bids!$B367="","",Bids!$B367)</f>
        <v/>
      </c>
      <c r="D368" s="40" t="str">
        <f>IF($C368="","",IFERROR(VLOOKUP($C368,Orders!$A$4:$J$998,9,FALSE),""))</f>
        <v/>
      </c>
      <c r="E368" s="40" t="str">
        <f>IF($C368="","",IFERROR(VLOOKUP($C368,Orders!$A$4:$J$998,3,FALSE),""))</f>
        <v/>
      </c>
      <c r="F368" s="40">
        <f t="shared" si="2"/>
        <v>1</v>
      </c>
      <c r="G368" s="40" t="str">
        <f>IF($C368="","",IFERROR(VLOOKUP($C368,Orders!$A$4:$J$998,4,FALSE),""))</f>
        <v/>
      </c>
      <c r="H368" s="40" t="str">
        <f>IF($C368="","",IFERROR(VLOOKUP($C368,Orders!$A$4:$J$998,5,FALSE),""))</f>
        <v/>
      </c>
      <c r="I368" s="40" t="str">
        <f>IF($C368="","",IFERROR(VLOOKUP($C368,Orders!$A$4:$J$998,6,FALSE),""))</f>
        <v/>
      </c>
      <c r="J368" s="40" t="str">
        <f>IF($C368="","",IFERROR(VLOOKUP($C368,Orders!$A$4:$J$998,7,FALSE),""))</f>
        <v/>
      </c>
      <c r="K368" s="40" t="str">
        <f>IF(Bids!$C367="","",Bids!$C367)</f>
        <v/>
      </c>
      <c r="L368" s="40" t="str">
        <f>IF($K368="","",IFERROR(VLOOKUP($K368,Grinders!$A$4:$N$998,2,FALSE),""))</f>
        <v/>
      </c>
      <c r="M368" s="40" t="str">
        <f>IF($K368="","",IFERROR(VLOOKUP($K368,Grinders!$A$4:$N$998,3,FALSE),""))</f>
        <v/>
      </c>
      <c r="N368" s="40" t="str">
        <f>IF($K368="","",IFERROR(VLOOKUP($K368,Grinders!$A$4:$N$998,4,FALSE),""))</f>
        <v/>
      </c>
      <c r="O368" s="40" t="str">
        <f>IF($K368="","",IFERROR(VLOOKUP($K368,Grinders!$A$4:$N$998,5,FALSE),""))</f>
        <v/>
      </c>
      <c r="P368" s="40" t="str">
        <f>IF($K368="","",IF($C$4="",0,COUNTIFS(Assignments!$B$6:$B$1000,$K368,Assignments!$F$6:$F$1000,$C$4,Assignments!$E$6:$E$1000,"Active")))</f>
        <v/>
      </c>
      <c r="Q368" s="40" t="str">
        <f t="shared" si="3"/>
        <v/>
      </c>
      <c r="R368" s="40" t="str">
        <f t="shared" si="4"/>
        <v/>
      </c>
      <c r="S368" s="40" t="str">
        <f>IF($K368="","",IF($C$4="",0,COUNTIFS(Assignments!$B$6:$B$1000,$K368,Assignments!$F$6:$F$1000,$C$4,Assignments!$D$6:$D$1000,"&gt;="&amp;Config!$B$3-7,Assignments!$D$6:$D$1000,"&lt;="&amp;Config!$B$3)))</f>
        <v/>
      </c>
      <c r="T368" s="40" t="str">
        <f>IF($K368="","",IFERROR(VLOOKUP($K368,Grinders!$A$4:$N$998,8,FALSE),""))</f>
        <v/>
      </c>
      <c r="U368" s="40" t="str">
        <f>IFERROR(IF($K368="","",IF($M368="Elite",MAX(50,MIN(100,Config!$B$27*MAX(0,MIN(100,(1-IF($R368="",0,$R368))*100)) + Config!$B$28*MAX(0,MIN(100,(1-MIN(1,IF(Config!$B$30=0,1,$S368/Config!$B$30)))*100)) + Config!$B$29*MAX(0,MIN(100,MIN(1,IF($T368="",0,$T368)/Config!$B$23)*100)))),MIN(100,Config!$B$27*MAX(0,MIN(100,(1-IF($R368="",0,$R368))*100)) + Config!$B$28*MAX(0,MIN(100,(1-MIN(1,IF(Config!$B$30=0,1,$S368/Config!$B$30)))*100)) + Config!$B$29*MAX(0,MIN(100,MIN(1,IF($T368="",0,$T368)/Config!$B$23)*100))))),"")
</f>
        <v/>
      </c>
      <c r="V368" s="40" t="str">
        <f>IF(Bids!$AC368="","",Bids!$AC368)</f>
        <v/>
      </c>
      <c r="W368" s="40" t="str">
        <f>IF(Bids!$F367="","",Bids!$F367)</f>
        <v/>
      </c>
      <c r="X368" s="40" t="str">
        <f t="shared" si="5"/>
        <v/>
      </c>
      <c r="Y368" s="40" t="str">
        <f>IF($X368="","",IF(Config!$B$17=Config!$B$16,IF($X368&gt;=Config!$B$17,100,0),MAX(0,MIN(100,($X368-Config!$B$16)/(Config!$B$17-Config!$B$16)*100))))</f>
        <v/>
      </c>
      <c r="Z368" s="40">
        <f>IF($M368="Elite",Config!$B$21,0)</f>
        <v>0</v>
      </c>
      <c r="AA368" s="40" t="str">
        <f>IFERROR(IF(OR($W368="",$H368=""),"",IF($W368&gt;$H368,
  MAX(0, 60-(($W368-$H368)*24/Config!$B$19)*60),
  MIN(100, 60+(($H368-$W368)*24/Config!$B$20)*40)
)),"")
</f>
        <v/>
      </c>
      <c r="AB368" s="40" t="str">
        <f>IF($K368="","",IFERROR(VLOOKUP($K368,Grinders!$A$4:$N$998,10,FALSE)/5*100,""))</f>
        <v/>
      </c>
      <c r="AC368" s="40" t="str">
        <f>IF($K368="","",IFERROR(VLOOKUP($K368,Grinders!$A$4:$N$998,11,FALSE)*100,""))</f>
        <v/>
      </c>
      <c r="AD368" s="40" t="str">
        <f>IF($K368="","",IFERROR(VLOOKUP($K368,Grinders!$A$4:$N$998,12,FALSE)*100,""))</f>
        <v/>
      </c>
      <c r="AE368" s="40" t="str">
        <f>IF(OR(AO368=1,AP368=1),0,=IFERROR(IFS(
    OR($C368="", $K368=""), 0,
    $F368=0, 0,
    $D368&lt;&gt;"Open", 0,
    COUNTIFS(GrinderServices!$A$6:$A$1000, $K368, GrinderServices!$B$6:$B$1000, $E368, GrinderServices!$D$6:$D$1000, "Y")=0, 0,
    $X368&lt;Config!$B$16, 0,
    Config!$B$18=1, IF($O368&gt;=N368, 0, 1),
    TRUE, 1
), "")
)</f>
        <v>#ERROR!</v>
      </c>
      <c r="AF368" s="40" t="str">
        <f>IFERROR((IF(OR(AO368=1,AP368=1),"",=IFERROR((IFERROR(IF($AE368=0,"",((Config!$B$6*$Y368 + Config!$B$7*$U368 + Config!$B$8*$Z368 + Config!$B$9*$AA368 + Config!$B$10*$AB368 + Config!$B$11*$AC368 - Config!$B$12*$AD368)/Config!$B$13)+$AK368+$AL368),""))*(1-IFERROR(VLOOKUP(K368,Grinders!$A:$AB, 28, FALSE),0)),"")))*(1+AR368),"")</f>
        <v>#ERROR!</v>
      </c>
      <c r="AG368" s="40" t="str">
        <f t="shared" si="6"/>
        <v>#ERROR!</v>
      </c>
      <c r="AH368" s="40" t="str">
        <f t="shared" si="7"/>
        <v/>
      </c>
      <c r="AI368" s="40" t="str">
        <f t="shared" si="8"/>
        <v/>
      </c>
      <c r="AJ368" s="40" t="str">
        <f>IF($K368="","",COUNTIF(Assignments!$B$6:$B$1000,$K368))</f>
        <v/>
      </c>
      <c r="AK368" s="40" t="str">
        <f>IF($K368="","",IF(AND($AJ368=0,$O368&lt;$N368),Config!$B$43,0))</f>
        <v/>
      </c>
      <c r="AL368" s="40" t="str">
        <f>IF($K368="","",IF(AND($M368="Elite",$G368&gt;=Config!$B$41,$O368&lt;$N368),Config!$B$42,0))</f>
        <v/>
      </c>
      <c r="AM368" s="22"/>
      <c r="AN368" s="39">
        <f>IFERROR(VLOOKUP(K368,Grinders!$A:$Q,28,FALSE),0)</f>
        <v>0</v>
      </c>
      <c r="AO368" s="39">
        <f>IF(Config!$B$1003&lt;&gt;"Y",0,IF(IFERROR(VLOOKUP(K368,Grinders!$A:$P,27,FALSE),0)&gt;=3,IF(OR(G368&gt;=Config!$B$1001,ISNUMBER(SEARCH(E368,Config!$B$1002))),1,0),0))</f>
        <v>0</v>
      </c>
      <c r="AP368" s="39">
        <f t="array" ref="AP368">IFERROR(IF(INDEX(Bids!$AE:$AE,MATCH(B368,Bids!$A:$A,0))="Pending",1,0),0)</f>
        <v>0</v>
      </c>
      <c r="AQ368" s="39" t="str">
        <f t="array" ref="AQ368">IF(C368="","",IFERROR(XLOOKUP(C368,Assignments!$C:$C,Assignments!$AU:$AU,0),0))</f>
        <v/>
      </c>
      <c r="AR368" s="39">
        <f>IF(AND(Config!$B$1006="Y",AQ368=1),Config!$B$1007,0)</f>
        <v>0</v>
      </c>
    </row>
    <row r="369" ht="15.75" customHeight="1">
      <c r="A369" s="46" t="str">
        <f t="shared" si="1"/>
        <v/>
      </c>
      <c r="B369" s="40" t="str">
        <f>IF(Bids!$A368="","",Bids!$A368)</f>
        <v/>
      </c>
      <c r="C369" s="40" t="str">
        <f>IF(Bids!$B368="","",Bids!$B368)</f>
        <v/>
      </c>
      <c r="D369" s="40" t="str">
        <f>IF($C369="","",IFERROR(VLOOKUP($C369,Orders!$A$4:$J$998,9,FALSE),""))</f>
        <v/>
      </c>
      <c r="E369" s="40" t="str">
        <f>IF($C369="","",IFERROR(VLOOKUP($C369,Orders!$A$4:$J$998,3,FALSE),""))</f>
        <v/>
      </c>
      <c r="F369" s="40">
        <f t="shared" si="2"/>
        <v>1</v>
      </c>
      <c r="G369" s="40" t="str">
        <f>IF($C369="","",IFERROR(VLOOKUP($C369,Orders!$A$4:$J$998,4,FALSE),""))</f>
        <v/>
      </c>
      <c r="H369" s="40" t="str">
        <f>IF($C369="","",IFERROR(VLOOKUP($C369,Orders!$A$4:$J$998,5,FALSE),""))</f>
        <v/>
      </c>
      <c r="I369" s="40" t="str">
        <f>IF($C369="","",IFERROR(VLOOKUP($C369,Orders!$A$4:$J$998,6,FALSE),""))</f>
        <v/>
      </c>
      <c r="J369" s="40" t="str">
        <f>IF($C369="","",IFERROR(VLOOKUP($C369,Orders!$A$4:$J$998,7,FALSE),""))</f>
        <v/>
      </c>
      <c r="K369" s="40" t="str">
        <f>IF(Bids!$C368="","",Bids!$C368)</f>
        <v/>
      </c>
      <c r="L369" s="40" t="str">
        <f>IF($K369="","",IFERROR(VLOOKUP($K369,Grinders!$A$4:$N$998,2,FALSE),""))</f>
        <v/>
      </c>
      <c r="M369" s="40" t="str">
        <f>IF($K369="","",IFERROR(VLOOKUP($K369,Grinders!$A$4:$N$998,3,FALSE),""))</f>
        <v/>
      </c>
      <c r="N369" s="40" t="str">
        <f>IF($K369="","",IFERROR(VLOOKUP($K369,Grinders!$A$4:$N$998,4,FALSE),""))</f>
        <v/>
      </c>
      <c r="O369" s="40" t="str">
        <f>IF($K369="","",IFERROR(VLOOKUP($K369,Grinders!$A$4:$N$998,5,FALSE),""))</f>
        <v/>
      </c>
      <c r="P369" s="40" t="str">
        <f>IF($K369="","",IF($C$4="",0,COUNTIFS(Assignments!$B$6:$B$1000,$K369,Assignments!$F$6:$F$1000,$C$4,Assignments!$E$6:$E$1000,"Active")))</f>
        <v/>
      </c>
      <c r="Q369" s="40" t="str">
        <f t="shared" si="3"/>
        <v/>
      </c>
      <c r="R369" s="40" t="str">
        <f t="shared" si="4"/>
        <v/>
      </c>
      <c r="S369" s="40" t="str">
        <f>IF($K369="","",IF($C$4="",0,COUNTIFS(Assignments!$B$6:$B$1000,$K369,Assignments!$F$6:$F$1000,$C$4,Assignments!$D$6:$D$1000,"&gt;="&amp;Config!$B$3-7,Assignments!$D$6:$D$1000,"&lt;="&amp;Config!$B$3)))</f>
        <v/>
      </c>
      <c r="T369" s="40" t="str">
        <f>IF($K369="","",IFERROR(VLOOKUP($K369,Grinders!$A$4:$N$998,8,FALSE),""))</f>
        <v/>
      </c>
      <c r="U369" s="40" t="str">
        <f>IFERROR(IF($K369="","",IF($M369="Elite",MAX(50,MIN(100,Config!$B$27*MAX(0,MIN(100,(1-IF($R369="",0,$R369))*100)) + Config!$B$28*MAX(0,MIN(100,(1-MIN(1,IF(Config!$B$30=0,1,$S369/Config!$B$30)))*100)) + Config!$B$29*MAX(0,MIN(100,MIN(1,IF($T369="",0,$T369)/Config!$B$23)*100)))),MIN(100,Config!$B$27*MAX(0,MIN(100,(1-IF($R369="",0,$R369))*100)) + Config!$B$28*MAX(0,MIN(100,(1-MIN(1,IF(Config!$B$30=0,1,$S369/Config!$B$30)))*100)) + Config!$B$29*MAX(0,MIN(100,MIN(1,IF($T369="",0,$T369)/Config!$B$23)*100))))),"")
</f>
        <v/>
      </c>
      <c r="V369" s="40" t="str">
        <f>IF(Bids!$AC369="","",Bids!$AC369)</f>
        <v/>
      </c>
      <c r="W369" s="40" t="str">
        <f>IF(Bids!$F368="","",Bids!$F368)</f>
        <v/>
      </c>
      <c r="X369" s="40" t="str">
        <f t="shared" si="5"/>
        <v/>
      </c>
      <c r="Y369" s="40" t="str">
        <f>IF($X369="","",IF(Config!$B$17=Config!$B$16,IF($X369&gt;=Config!$B$17,100,0),MAX(0,MIN(100,($X369-Config!$B$16)/(Config!$B$17-Config!$B$16)*100))))</f>
        <v/>
      </c>
      <c r="Z369" s="40">
        <f>IF($M369="Elite",Config!$B$21,0)</f>
        <v>0</v>
      </c>
      <c r="AA369" s="40" t="str">
        <f>IFERROR(IF(OR($W369="",$H369=""),"",IF($W369&gt;$H369,
  MAX(0, 60-(($W369-$H369)*24/Config!$B$19)*60),
  MIN(100, 60+(($H369-$W369)*24/Config!$B$20)*40)
)),"")
</f>
        <v/>
      </c>
      <c r="AB369" s="40" t="str">
        <f>IF($K369="","",IFERROR(VLOOKUP($K369,Grinders!$A$4:$N$998,10,FALSE)/5*100,""))</f>
        <v/>
      </c>
      <c r="AC369" s="40" t="str">
        <f>IF($K369="","",IFERROR(VLOOKUP($K369,Grinders!$A$4:$N$998,11,FALSE)*100,""))</f>
        <v/>
      </c>
      <c r="AD369" s="40" t="str">
        <f>IF($K369="","",IFERROR(VLOOKUP($K369,Grinders!$A$4:$N$998,12,FALSE)*100,""))</f>
        <v/>
      </c>
      <c r="AE369" s="40" t="str">
        <f>IF(OR(AO369=1,AP369=1),0,=IFERROR(IFS(
    OR($C369="", $K369=""), 0,
    $F369=0, 0,
    $D369&lt;&gt;"Open", 0,
    COUNTIFS(GrinderServices!$A$6:$A$1000, $K369, GrinderServices!$B$6:$B$1000, $E369, GrinderServices!$D$6:$D$1000, "Y")=0, 0,
    $X369&lt;Config!$B$16, 0,
    Config!$B$18=1, IF($O369&gt;=N369, 0, 1),
    TRUE, 1
), "")
)</f>
        <v>#ERROR!</v>
      </c>
      <c r="AF369" s="40" t="str">
        <f>IFERROR((IF(OR(AO369=1,AP369=1),"",=IFERROR((IFERROR(IF($AE369=0,"",((Config!$B$6*$Y369 + Config!$B$7*$U369 + Config!$B$8*$Z369 + Config!$B$9*$AA369 + Config!$B$10*$AB369 + Config!$B$11*$AC369 - Config!$B$12*$AD369)/Config!$B$13)+$AK369+$AL369),""))*(1-IFERROR(VLOOKUP(K369,Grinders!$A:$AB, 28, FALSE),0)),"")))*(1+AR369),"")</f>
        <v>#ERROR!</v>
      </c>
      <c r="AG369" s="40" t="str">
        <f t="shared" si="6"/>
        <v>#ERROR!</v>
      </c>
      <c r="AH369" s="40" t="str">
        <f t="shared" si="7"/>
        <v/>
      </c>
      <c r="AI369" s="40" t="str">
        <f t="shared" si="8"/>
        <v/>
      </c>
      <c r="AJ369" s="40" t="str">
        <f>IF($K369="","",COUNTIF(Assignments!$B$6:$B$1000,$K369))</f>
        <v/>
      </c>
      <c r="AK369" s="40" t="str">
        <f>IF($K369="","",IF(AND($AJ369=0,$O369&lt;$N369),Config!$B$43,0))</f>
        <v/>
      </c>
      <c r="AL369" s="40" t="str">
        <f>IF($K369="","",IF(AND($M369="Elite",$G369&gt;=Config!$B$41,$O369&lt;$N369),Config!$B$42,0))</f>
        <v/>
      </c>
      <c r="AM369" s="22"/>
      <c r="AN369" s="39">
        <f>IFERROR(VLOOKUP(K369,Grinders!$A:$Q,28,FALSE),0)</f>
        <v>0</v>
      </c>
      <c r="AO369" s="39">
        <f>IF(Config!$B$1003&lt;&gt;"Y",0,IF(IFERROR(VLOOKUP(K369,Grinders!$A:$P,27,FALSE),0)&gt;=3,IF(OR(G369&gt;=Config!$B$1001,ISNUMBER(SEARCH(E369,Config!$B$1002))),1,0),0))</f>
        <v>0</v>
      </c>
      <c r="AP369" s="39">
        <f t="array" ref="AP369">IFERROR(IF(INDEX(Bids!$AE:$AE,MATCH(B369,Bids!$A:$A,0))="Pending",1,0),0)</f>
        <v>0</v>
      </c>
      <c r="AQ369" s="39" t="str">
        <f t="array" ref="AQ369">IF(C369="","",IFERROR(XLOOKUP(C369,Assignments!$C:$C,Assignments!$AU:$AU,0),0))</f>
        <v/>
      </c>
      <c r="AR369" s="39">
        <f>IF(AND(Config!$B$1006="Y",AQ369=1),Config!$B$1007,0)</f>
        <v>0</v>
      </c>
    </row>
    <row r="370" ht="15.75" customHeight="1">
      <c r="A370" s="46" t="str">
        <f t="shared" si="1"/>
        <v/>
      </c>
      <c r="B370" s="40" t="str">
        <f>IF(Bids!$A369="","",Bids!$A369)</f>
        <v/>
      </c>
      <c r="C370" s="40" t="str">
        <f>IF(Bids!$B369="","",Bids!$B369)</f>
        <v/>
      </c>
      <c r="D370" s="40" t="str">
        <f>IF($C370="","",IFERROR(VLOOKUP($C370,Orders!$A$4:$J$998,9,FALSE),""))</f>
        <v/>
      </c>
      <c r="E370" s="40" t="str">
        <f>IF($C370="","",IFERROR(VLOOKUP($C370,Orders!$A$4:$J$998,3,FALSE),""))</f>
        <v/>
      </c>
      <c r="F370" s="40">
        <f t="shared" si="2"/>
        <v>1</v>
      </c>
      <c r="G370" s="40" t="str">
        <f>IF($C370="","",IFERROR(VLOOKUP($C370,Orders!$A$4:$J$998,4,FALSE),""))</f>
        <v/>
      </c>
      <c r="H370" s="40" t="str">
        <f>IF($C370="","",IFERROR(VLOOKUP($C370,Orders!$A$4:$J$998,5,FALSE),""))</f>
        <v/>
      </c>
      <c r="I370" s="40" t="str">
        <f>IF($C370="","",IFERROR(VLOOKUP($C370,Orders!$A$4:$J$998,6,FALSE),""))</f>
        <v/>
      </c>
      <c r="J370" s="40" t="str">
        <f>IF($C370="","",IFERROR(VLOOKUP($C370,Orders!$A$4:$J$998,7,FALSE),""))</f>
        <v/>
      </c>
      <c r="K370" s="40" t="str">
        <f>IF(Bids!$C369="","",Bids!$C369)</f>
        <v/>
      </c>
      <c r="L370" s="40" t="str">
        <f>IF($K370="","",IFERROR(VLOOKUP($K370,Grinders!$A$4:$N$998,2,FALSE),""))</f>
        <v/>
      </c>
      <c r="M370" s="40" t="str">
        <f>IF($K370="","",IFERROR(VLOOKUP($K370,Grinders!$A$4:$N$998,3,FALSE),""))</f>
        <v/>
      </c>
      <c r="N370" s="40" t="str">
        <f>IF($K370="","",IFERROR(VLOOKUP($K370,Grinders!$A$4:$N$998,4,FALSE),""))</f>
        <v/>
      </c>
      <c r="O370" s="40" t="str">
        <f>IF($K370="","",IFERROR(VLOOKUP($K370,Grinders!$A$4:$N$998,5,FALSE),""))</f>
        <v/>
      </c>
      <c r="P370" s="40" t="str">
        <f>IF($K370="","",IF($C$4="",0,COUNTIFS(Assignments!$B$6:$B$1000,$K370,Assignments!$F$6:$F$1000,$C$4,Assignments!$E$6:$E$1000,"Active")))</f>
        <v/>
      </c>
      <c r="Q370" s="40" t="str">
        <f t="shared" si="3"/>
        <v/>
      </c>
      <c r="R370" s="40" t="str">
        <f t="shared" si="4"/>
        <v/>
      </c>
      <c r="S370" s="40" t="str">
        <f>IF($K370="","",IF($C$4="",0,COUNTIFS(Assignments!$B$6:$B$1000,$K370,Assignments!$F$6:$F$1000,$C$4,Assignments!$D$6:$D$1000,"&gt;="&amp;Config!$B$3-7,Assignments!$D$6:$D$1000,"&lt;="&amp;Config!$B$3)))</f>
        <v/>
      </c>
      <c r="T370" s="40" t="str">
        <f>IF($K370="","",IFERROR(VLOOKUP($K370,Grinders!$A$4:$N$998,8,FALSE),""))</f>
        <v/>
      </c>
      <c r="U370" s="40" t="str">
        <f>IFERROR(IF($K370="","",IF($M370="Elite",MAX(50,MIN(100,Config!$B$27*MAX(0,MIN(100,(1-IF($R370="",0,$R370))*100)) + Config!$B$28*MAX(0,MIN(100,(1-MIN(1,IF(Config!$B$30=0,1,$S370/Config!$B$30)))*100)) + Config!$B$29*MAX(0,MIN(100,MIN(1,IF($T370="",0,$T370)/Config!$B$23)*100)))),MIN(100,Config!$B$27*MAX(0,MIN(100,(1-IF($R370="",0,$R370))*100)) + Config!$B$28*MAX(0,MIN(100,(1-MIN(1,IF(Config!$B$30=0,1,$S370/Config!$B$30)))*100)) + Config!$B$29*MAX(0,MIN(100,MIN(1,IF($T370="",0,$T370)/Config!$B$23)*100))))),"")
</f>
        <v/>
      </c>
      <c r="V370" s="40" t="str">
        <f>IF(Bids!$AC370="","",Bids!$AC370)</f>
        <v/>
      </c>
      <c r="W370" s="40" t="str">
        <f>IF(Bids!$F369="","",Bids!$F369)</f>
        <v/>
      </c>
      <c r="X370" s="40" t="str">
        <f t="shared" si="5"/>
        <v/>
      </c>
      <c r="Y370" s="40" t="str">
        <f>IF($X370="","",IF(Config!$B$17=Config!$B$16,IF($X370&gt;=Config!$B$17,100,0),MAX(0,MIN(100,($X370-Config!$B$16)/(Config!$B$17-Config!$B$16)*100))))</f>
        <v/>
      </c>
      <c r="Z370" s="40">
        <f>IF($M370="Elite",Config!$B$21,0)</f>
        <v>0</v>
      </c>
      <c r="AA370" s="40" t="str">
        <f>IFERROR(IF(OR($W370="",$H370=""),"",IF($W370&gt;$H370,
  MAX(0, 60-(($W370-$H370)*24/Config!$B$19)*60),
  MIN(100, 60+(($H370-$W370)*24/Config!$B$20)*40)
)),"")
</f>
        <v/>
      </c>
      <c r="AB370" s="40" t="str">
        <f>IF($K370="","",IFERROR(VLOOKUP($K370,Grinders!$A$4:$N$998,10,FALSE)/5*100,""))</f>
        <v/>
      </c>
      <c r="AC370" s="40" t="str">
        <f>IF($K370="","",IFERROR(VLOOKUP($K370,Grinders!$A$4:$N$998,11,FALSE)*100,""))</f>
        <v/>
      </c>
      <c r="AD370" s="40" t="str">
        <f>IF($K370="","",IFERROR(VLOOKUP($K370,Grinders!$A$4:$N$998,12,FALSE)*100,""))</f>
        <v/>
      </c>
      <c r="AE370" s="40" t="str">
        <f>IF(OR(AO370=1,AP370=1),0,=IFERROR(IFS(
    OR($C370="", $K370=""), 0,
    $F370=0, 0,
    $D370&lt;&gt;"Open", 0,
    COUNTIFS(GrinderServices!$A$6:$A$1000, $K370, GrinderServices!$B$6:$B$1000, $E370, GrinderServices!$D$6:$D$1000, "Y")=0, 0,
    $X370&lt;Config!$B$16, 0,
    Config!$B$18=1, IF($O370&gt;=N370, 0, 1),
    TRUE, 1
), "")
)</f>
        <v>#ERROR!</v>
      </c>
      <c r="AF370" s="40" t="str">
        <f>IFERROR((IF(OR(AO370=1,AP370=1),"",=IFERROR((IFERROR(IF($AE370=0,"",((Config!$B$6*$Y370 + Config!$B$7*$U370 + Config!$B$8*$Z370 + Config!$B$9*$AA370 + Config!$B$10*$AB370 + Config!$B$11*$AC370 - Config!$B$12*$AD370)/Config!$B$13)+$AK370+$AL370),""))*(1-IFERROR(VLOOKUP(K370,Grinders!$A:$AB, 28, FALSE),0)),"")))*(1+AR370),"")</f>
        <v>#ERROR!</v>
      </c>
      <c r="AG370" s="40" t="str">
        <f t="shared" si="6"/>
        <v>#ERROR!</v>
      </c>
      <c r="AH370" s="40" t="str">
        <f t="shared" si="7"/>
        <v/>
      </c>
      <c r="AI370" s="40" t="str">
        <f t="shared" si="8"/>
        <v/>
      </c>
      <c r="AJ370" s="40" t="str">
        <f>IF($K370="","",COUNTIF(Assignments!$B$6:$B$1000,$K370))</f>
        <v/>
      </c>
      <c r="AK370" s="40" t="str">
        <f>IF($K370="","",IF(AND($AJ370=0,$O370&lt;$N370),Config!$B$43,0))</f>
        <v/>
      </c>
      <c r="AL370" s="40" t="str">
        <f>IF($K370="","",IF(AND($M370="Elite",$G370&gt;=Config!$B$41,$O370&lt;$N370),Config!$B$42,0))</f>
        <v/>
      </c>
      <c r="AM370" s="22"/>
      <c r="AN370" s="39">
        <f>IFERROR(VLOOKUP(K370,Grinders!$A:$Q,28,FALSE),0)</f>
        <v>0</v>
      </c>
      <c r="AO370" s="39">
        <f>IF(Config!$B$1003&lt;&gt;"Y",0,IF(IFERROR(VLOOKUP(K370,Grinders!$A:$P,27,FALSE),0)&gt;=3,IF(OR(G370&gt;=Config!$B$1001,ISNUMBER(SEARCH(E370,Config!$B$1002))),1,0),0))</f>
        <v>0</v>
      </c>
      <c r="AP370" s="39">
        <f t="array" ref="AP370">IFERROR(IF(INDEX(Bids!$AE:$AE,MATCH(B370,Bids!$A:$A,0))="Pending",1,0),0)</f>
        <v>0</v>
      </c>
      <c r="AQ370" s="39" t="str">
        <f t="array" ref="AQ370">IF(C370="","",IFERROR(XLOOKUP(C370,Assignments!$C:$C,Assignments!$AU:$AU,0),0))</f>
        <v/>
      </c>
      <c r="AR370" s="39">
        <f>IF(AND(Config!$B$1006="Y",AQ370=1),Config!$B$1007,0)</f>
        <v>0</v>
      </c>
    </row>
    <row r="371" ht="15.75" customHeight="1">
      <c r="A371" s="46" t="str">
        <f t="shared" si="1"/>
        <v/>
      </c>
      <c r="B371" s="40" t="str">
        <f>IF(Bids!$A370="","",Bids!$A370)</f>
        <v/>
      </c>
      <c r="C371" s="40" t="str">
        <f>IF(Bids!$B370="","",Bids!$B370)</f>
        <v/>
      </c>
      <c r="D371" s="40" t="str">
        <f>IF($C371="","",IFERROR(VLOOKUP($C371,Orders!$A$4:$J$998,9,FALSE),""))</f>
        <v/>
      </c>
      <c r="E371" s="40" t="str">
        <f>IF($C371="","",IFERROR(VLOOKUP($C371,Orders!$A$4:$J$998,3,FALSE),""))</f>
        <v/>
      </c>
      <c r="F371" s="40">
        <f t="shared" si="2"/>
        <v>1</v>
      </c>
      <c r="G371" s="40" t="str">
        <f>IF($C371="","",IFERROR(VLOOKUP($C371,Orders!$A$4:$J$998,4,FALSE),""))</f>
        <v/>
      </c>
      <c r="H371" s="40" t="str">
        <f>IF($C371="","",IFERROR(VLOOKUP($C371,Orders!$A$4:$J$998,5,FALSE),""))</f>
        <v/>
      </c>
      <c r="I371" s="40" t="str">
        <f>IF($C371="","",IFERROR(VLOOKUP($C371,Orders!$A$4:$J$998,6,FALSE),""))</f>
        <v/>
      </c>
      <c r="J371" s="40" t="str">
        <f>IF($C371="","",IFERROR(VLOOKUP($C371,Orders!$A$4:$J$998,7,FALSE),""))</f>
        <v/>
      </c>
      <c r="K371" s="40" t="str">
        <f>IF(Bids!$C370="","",Bids!$C370)</f>
        <v/>
      </c>
      <c r="L371" s="40" t="str">
        <f>IF($K371="","",IFERROR(VLOOKUP($K371,Grinders!$A$4:$N$998,2,FALSE),""))</f>
        <v/>
      </c>
      <c r="M371" s="40" t="str">
        <f>IF($K371="","",IFERROR(VLOOKUP($K371,Grinders!$A$4:$N$998,3,FALSE),""))</f>
        <v/>
      </c>
      <c r="N371" s="40" t="str">
        <f>IF($K371="","",IFERROR(VLOOKUP($K371,Grinders!$A$4:$N$998,4,FALSE),""))</f>
        <v/>
      </c>
      <c r="O371" s="40" t="str">
        <f>IF($K371="","",IFERROR(VLOOKUP($K371,Grinders!$A$4:$N$998,5,FALSE),""))</f>
        <v/>
      </c>
      <c r="P371" s="40" t="str">
        <f>IF($K371="","",IF($C$4="",0,COUNTIFS(Assignments!$B$6:$B$1000,$K371,Assignments!$F$6:$F$1000,$C$4,Assignments!$E$6:$E$1000,"Active")))</f>
        <v/>
      </c>
      <c r="Q371" s="40" t="str">
        <f t="shared" si="3"/>
        <v/>
      </c>
      <c r="R371" s="40" t="str">
        <f t="shared" si="4"/>
        <v/>
      </c>
      <c r="S371" s="40" t="str">
        <f>IF($K371="","",IF($C$4="",0,COUNTIFS(Assignments!$B$6:$B$1000,$K371,Assignments!$F$6:$F$1000,$C$4,Assignments!$D$6:$D$1000,"&gt;="&amp;Config!$B$3-7,Assignments!$D$6:$D$1000,"&lt;="&amp;Config!$B$3)))</f>
        <v/>
      </c>
      <c r="T371" s="40" t="str">
        <f>IF($K371="","",IFERROR(VLOOKUP($K371,Grinders!$A$4:$N$998,8,FALSE),""))</f>
        <v/>
      </c>
      <c r="U371" s="40" t="str">
        <f>IFERROR(IF($K371="","",IF($M371="Elite",MAX(50,MIN(100,Config!$B$27*MAX(0,MIN(100,(1-IF($R371="",0,$R371))*100)) + Config!$B$28*MAX(0,MIN(100,(1-MIN(1,IF(Config!$B$30=0,1,$S371/Config!$B$30)))*100)) + Config!$B$29*MAX(0,MIN(100,MIN(1,IF($T371="",0,$T371)/Config!$B$23)*100)))),MIN(100,Config!$B$27*MAX(0,MIN(100,(1-IF($R371="",0,$R371))*100)) + Config!$B$28*MAX(0,MIN(100,(1-MIN(1,IF(Config!$B$30=0,1,$S371/Config!$B$30)))*100)) + Config!$B$29*MAX(0,MIN(100,MIN(1,IF($T371="",0,$T371)/Config!$B$23)*100))))),"")
</f>
        <v/>
      </c>
      <c r="V371" s="40" t="str">
        <f>IF(Bids!$AC371="","",Bids!$AC371)</f>
        <v/>
      </c>
      <c r="W371" s="40" t="str">
        <f>IF(Bids!$F370="","",Bids!$F370)</f>
        <v/>
      </c>
      <c r="X371" s="40" t="str">
        <f t="shared" si="5"/>
        <v/>
      </c>
      <c r="Y371" s="40" t="str">
        <f>IF($X371="","",IF(Config!$B$17=Config!$B$16,IF($X371&gt;=Config!$B$17,100,0),MAX(0,MIN(100,($X371-Config!$B$16)/(Config!$B$17-Config!$B$16)*100))))</f>
        <v/>
      </c>
      <c r="Z371" s="40">
        <f>IF($M371="Elite",Config!$B$21,0)</f>
        <v>0</v>
      </c>
      <c r="AA371" s="40" t="str">
        <f>IFERROR(IF(OR($W371="",$H371=""),"",IF($W371&gt;$H371,
  MAX(0, 60-(($W371-$H371)*24/Config!$B$19)*60),
  MIN(100, 60+(($H371-$W371)*24/Config!$B$20)*40)
)),"")
</f>
        <v/>
      </c>
      <c r="AB371" s="40" t="str">
        <f>IF($K371="","",IFERROR(VLOOKUP($K371,Grinders!$A$4:$N$998,10,FALSE)/5*100,""))</f>
        <v/>
      </c>
      <c r="AC371" s="40" t="str">
        <f>IF($K371="","",IFERROR(VLOOKUP($K371,Grinders!$A$4:$N$998,11,FALSE)*100,""))</f>
        <v/>
      </c>
      <c r="AD371" s="40" t="str">
        <f>IF($K371="","",IFERROR(VLOOKUP($K371,Grinders!$A$4:$N$998,12,FALSE)*100,""))</f>
        <v/>
      </c>
      <c r="AE371" s="40" t="str">
        <f>IF(OR(AO371=1,AP371=1),0,=IFERROR(IFS(
    OR($C371="", $K371=""), 0,
    $F371=0, 0,
    $D371&lt;&gt;"Open", 0,
    COUNTIFS(GrinderServices!$A$6:$A$1000, $K371, GrinderServices!$B$6:$B$1000, $E371, GrinderServices!$D$6:$D$1000, "Y")=0, 0,
    $X371&lt;Config!$B$16, 0,
    Config!$B$18=1, IF($O371&gt;=N371, 0, 1),
    TRUE, 1
), "")
)</f>
        <v>#ERROR!</v>
      </c>
      <c r="AF371" s="40" t="str">
        <f>IFERROR((IF(OR(AO371=1,AP371=1),"",=IFERROR((IFERROR(IF($AE371=0,"",((Config!$B$6*$Y371 + Config!$B$7*$U371 + Config!$B$8*$Z371 + Config!$B$9*$AA371 + Config!$B$10*$AB371 + Config!$B$11*$AC371 - Config!$B$12*$AD371)/Config!$B$13)+$AK371+$AL371),""))*(1-IFERROR(VLOOKUP(K371,Grinders!$A:$AB, 28, FALSE),0)),"")))*(1+AR371),"")</f>
        <v>#ERROR!</v>
      </c>
      <c r="AG371" s="40" t="str">
        <f t="shared" si="6"/>
        <v>#ERROR!</v>
      </c>
      <c r="AH371" s="40" t="str">
        <f t="shared" si="7"/>
        <v/>
      </c>
      <c r="AI371" s="40" t="str">
        <f t="shared" si="8"/>
        <v/>
      </c>
      <c r="AJ371" s="40" t="str">
        <f>IF($K371="","",COUNTIF(Assignments!$B$6:$B$1000,$K371))</f>
        <v/>
      </c>
      <c r="AK371" s="40" t="str">
        <f>IF($K371="","",IF(AND($AJ371=0,$O371&lt;$N371),Config!$B$43,0))</f>
        <v/>
      </c>
      <c r="AL371" s="40" t="str">
        <f>IF($K371="","",IF(AND($M371="Elite",$G371&gt;=Config!$B$41,$O371&lt;$N371),Config!$B$42,0))</f>
        <v/>
      </c>
      <c r="AM371" s="22"/>
      <c r="AN371" s="39">
        <f>IFERROR(VLOOKUP(K371,Grinders!$A:$Q,28,FALSE),0)</f>
        <v>0</v>
      </c>
      <c r="AO371" s="39">
        <f>IF(Config!$B$1003&lt;&gt;"Y",0,IF(IFERROR(VLOOKUP(K371,Grinders!$A:$P,27,FALSE),0)&gt;=3,IF(OR(G371&gt;=Config!$B$1001,ISNUMBER(SEARCH(E371,Config!$B$1002))),1,0),0))</f>
        <v>0</v>
      </c>
      <c r="AP371" s="39">
        <f t="array" ref="AP371">IFERROR(IF(INDEX(Bids!$AE:$AE,MATCH(B371,Bids!$A:$A,0))="Pending",1,0),0)</f>
        <v>0</v>
      </c>
      <c r="AQ371" s="39" t="str">
        <f t="array" ref="AQ371">IF(C371="","",IFERROR(XLOOKUP(C371,Assignments!$C:$C,Assignments!$AU:$AU,0),0))</f>
        <v/>
      </c>
      <c r="AR371" s="39">
        <f>IF(AND(Config!$B$1006="Y",AQ371=1),Config!$B$1007,0)</f>
        <v>0</v>
      </c>
    </row>
    <row r="372" ht="15.75" customHeight="1">
      <c r="A372" s="46" t="str">
        <f t="shared" si="1"/>
        <v/>
      </c>
      <c r="B372" s="40" t="str">
        <f>IF(Bids!$A371="","",Bids!$A371)</f>
        <v/>
      </c>
      <c r="C372" s="40" t="str">
        <f>IF(Bids!$B371="","",Bids!$B371)</f>
        <v/>
      </c>
      <c r="D372" s="40" t="str">
        <f>IF($C372="","",IFERROR(VLOOKUP($C372,Orders!$A$4:$J$998,9,FALSE),""))</f>
        <v/>
      </c>
      <c r="E372" s="40" t="str">
        <f>IF($C372="","",IFERROR(VLOOKUP($C372,Orders!$A$4:$J$998,3,FALSE),""))</f>
        <v/>
      </c>
      <c r="F372" s="40">
        <f t="shared" si="2"/>
        <v>1</v>
      </c>
      <c r="G372" s="40" t="str">
        <f>IF($C372="","",IFERROR(VLOOKUP($C372,Orders!$A$4:$J$998,4,FALSE),""))</f>
        <v/>
      </c>
      <c r="H372" s="40" t="str">
        <f>IF($C372="","",IFERROR(VLOOKUP($C372,Orders!$A$4:$J$998,5,FALSE),""))</f>
        <v/>
      </c>
      <c r="I372" s="40" t="str">
        <f>IF($C372="","",IFERROR(VLOOKUP($C372,Orders!$A$4:$J$998,6,FALSE),""))</f>
        <v/>
      </c>
      <c r="J372" s="40" t="str">
        <f>IF($C372="","",IFERROR(VLOOKUP($C372,Orders!$A$4:$J$998,7,FALSE),""))</f>
        <v/>
      </c>
      <c r="K372" s="40" t="str">
        <f>IF(Bids!$C371="","",Bids!$C371)</f>
        <v/>
      </c>
      <c r="L372" s="40" t="str">
        <f>IF($K372="","",IFERROR(VLOOKUP($K372,Grinders!$A$4:$N$998,2,FALSE),""))</f>
        <v/>
      </c>
      <c r="M372" s="40" t="str">
        <f>IF($K372="","",IFERROR(VLOOKUP($K372,Grinders!$A$4:$N$998,3,FALSE),""))</f>
        <v/>
      </c>
      <c r="N372" s="40" t="str">
        <f>IF($K372="","",IFERROR(VLOOKUP($K372,Grinders!$A$4:$N$998,4,FALSE),""))</f>
        <v/>
      </c>
      <c r="O372" s="40" t="str">
        <f>IF($K372="","",IFERROR(VLOOKUP($K372,Grinders!$A$4:$N$998,5,FALSE),""))</f>
        <v/>
      </c>
      <c r="P372" s="40" t="str">
        <f>IF($K372="","",IF($C$4="",0,COUNTIFS(Assignments!$B$6:$B$1000,$K372,Assignments!$F$6:$F$1000,$C$4,Assignments!$E$6:$E$1000,"Active")))</f>
        <v/>
      </c>
      <c r="Q372" s="40" t="str">
        <f t="shared" si="3"/>
        <v/>
      </c>
      <c r="R372" s="40" t="str">
        <f t="shared" si="4"/>
        <v/>
      </c>
      <c r="S372" s="40" t="str">
        <f>IF($K372="","",IF($C$4="",0,COUNTIFS(Assignments!$B$6:$B$1000,$K372,Assignments!$F$6:$F$1000,$C$4,Assignments!$D$6:$D$1000,"&gt;="&amp;Config!$B$3-7,Assignments!$D$6:$D$1000,"&lt;="&amp;Config!$B$3)))</f>
        <v/>
      </c>
      <c r="T372" s="40" t="str">
        <f>IF($K372="","",IFERROR(VLOOKUP($K372,Grinders!$A$4:$N$998,8,FALSE),""))</f>
        <v/>
      </c>
      <c r="U372" s="40" t="str">
        <f>IFERROR(IF($K372="","",IF($M372="Elite",MAX(50,MIN(100,Config!$B$27*MAX(0,MIN(100,(1-IF($R372="",0,$R372))*100)) + Config!$B$28*MAX(0,MIN(100,(1-MIN(1,IF(Config!$B$30=0,1,$S372/Config!$B$30)))*100)) + Config!$B$29*MAX(0,MIN(100,MIN(1,IF($T372="",0,$T372)/Config!$B$23)*100)))),MIN(100,Config!$B$27*MAX(0,MIN(100,(1-IF($R372="",0,$R372))*100)) + Config!$B$28*MAX(0,MIN(100,(1-MIN(1,IF(Config!$B$30=0,1,$S372/Config!$B$30)))*100)) + Config!$B$29*MAX(0,MIN(100,MIN(1,IF($T372="",0,$T372)/Config!$B$23)*100))))),"")
</f>
        <v/>
      </c>
      <c r="V372" s="40" t="str">
        <f>IF(Bids!$AC372="","",Bids!$AC372)</f>
        <v/>
      </c>
      <c r="W372" s="40" t="str">
        <f>IF(Bids!$F371="","",Bids!$F371)</f>
        <v/>
      </c>
      <c r="X372" s="40" t="str">
        <f t="shared" si="5"/>
        <v/>
      </c>
      <c r="Y372" s="40" t="str">
        <f>IF($X372="","",IF(Config!$B$17=Config!$B$16,IF($X372&gt;=Config!$B$17,100,0),MAX(0,MIN(100,($X372-Config!$B$16)/(Config!$B$17-Config!$B$16)*100))))</f>
        <v/>
      </c>
      <c r="Z372" s="40">
        <f>IF($M372="Elite",Config!$B$21,0)</f>
        <v>0</v>
      </c>
      <c r="AA372" s="40" t="str">
        <f>IFERROR(IF(OR($W372="",$H372=""),"",IF($W372&gt;$H372,
  MAX(0, 60-(($W372-$H372)*24/Config!$B$19)*60),
  MIN(100, 60+(($H372-$W372)*24/Config!$B$20)*40)
)),"")
</f>
        <v/>
      </c>
      <c r="AB372" s="40" t="str">
        <f>IF($K372="","",IFERROR(VLOOKUP($K372,Grinders!$A$4:$N$998,10,FALSE)/5*100,""))</f>
        <v/>
      </c>
      <c r="AC372" s="40" t="str">
        <f>IF($K372="","",IFERROR(VLOOKUP($K372,Grinders!$A$4:$N$998,11,FALSE)*100,""))</f>
        <v/>
      </c>
      <c r="AD372" s="40" t="str">
        <f>IF($K372="","",IFERROR(VLOOKUP($K372,Grinders!$A$4:$N$998,12,FALSE)*100,""))</f>
        <v/>
      </c>
      <c r="AE372" s="40" t="str">
        <f>IF(OR(AO372=1,AP372=1),0,=IFERROR(IFS(
    OR($C372="", $K372=""), 0,
    $F372=0, 0,
    $D372&lt;&gt;"Open", 0,
    COUNTIFS(GrinderServices!$A$6:$A$1000, $K372, GrinderServices!$B$6:$B$1000, $E372, GrinderServices!$D$6:$D$1000, "Y")=0, 0,
    $X372&lt;Config!$B$16, 0,
    Config!$B$18=1, IF($O372&gt;=N372, 0, 1),
    TRUE, 1
), "")
)</f>
        <v>#ERROR!</v>
      </c>
      <c r="AF372" s="40" t="str">
        <f>IFERROR((IF(OR(AO372=1,AP372=1),"",=IFERROR((IFERROR(IF($AE372=0,"",((Config!$B$6*$Y372 + Config!$B$7*$U372 + Config!$B$8*$Z372 + Config!$B$9*$AA372 + Config!$B$10*$AB372 + Config!$B$11*$AC372 - Config!$B$12*$AD372)/Config!$B$13)+$AK372+$AL372),""))*(1-IFERROR(VLOOKUP(K372,Grinders!$A:$AB, 28, FALSE),0)),"")))*(1+AR372),"")</f>
        <v>#ERROR!</v>
      </c>
      <c r="AG372" s="40" t="str">
        <f t="shared" si="6"/>
        <v>#ERROR!</v>
      </c>
      <c r="AH372" s="40" t="str">
        <f t="shared" si="7"/>
        <v/>
      </c>
      <c r="AI372" s="40" t="str">
        <f t="shared" si="8"/>
        <v/>
      </c>
      <c r="AJ372" s="40" t="str">
        <f>IF($K372="","",COUNTIF(Assignments!$B$6:$B$1000,$K372))</f>
        <v/>
      </c>
      <c r="AK372" s="40" t="str">
        <f>IF($K372="","",IF(AND($AJ372=0,$O372&lt;$N372),Config!$B$43,0))</f>
        <v/>
      </c>
      <c r="AL372" s="40" t="str">
        <f>IF($K372="","",IF(AND($M372="Elite",$G372&gt;=Config!$B$41,$O372&lt;$N372),Config!$B$42,0))</f>
        <v/>
      </c>
      <c r="AM372" s="22"/>
      <c r="AN372" s="39">
        <f>IFERROR(VLOOKUP(K372,Grinders!$A:$Q,28,FALSE),0)</f>
        <v>0</v>
      </c>
      <c r="AO372" s="39">
        <f>IF(Config!$B$1003&lt;&gt;"Y",0,IF(IFERROR(VLOOKUP(K372,Grinders!$A:$P,27,FALSE),0)&gt;=3,IF(OR(G372&gt;=Config!$B$1001,ISNUMBER(SEARCH(E372,Config!$B$1002))),1,0),0))</f>
        <v>0</v>
      </c>
      <c r="AP372" s="39">
        <f t="array" ref="AP372">IFERROR(IF(INDEX(Bids!$AE:$AE,MATCH(B372,Bids!$A:$A,0))="Pending",1,0),0)</f>
        <v>0</v>
      </c>
      <c r="AQ372" s="39" t="str">
        <f t="array" ref="AQ372">IF(C372="","",IFERROR(XLOOKUP(C372,Assignments!$C:$C,Assignments!$AU:$AU,0),0))</f>
        <v/>
      </c>
      <c r="AR372" s="39">
        <f>IF(AND(Config!$B$1006="Y",AQ372=1),Config!$B$1007,0)</f>
        <v>0</v>
      </c>
    </row>
    <row r="373" ht="15.75" customHeight="1">
      <c r="A373" s="46" t="str">
        <f t="shared" si="1"/>
        <v/>
      </c>
      <c r="B373" s="40" t="str">
        <f>IF(Bids!$A372="","",Bids!$A372)</f>
        <v/>
      </c>
      <c r="C373" s="40" t="str">
        <f>IF(Bids!$B372="","",Bids!$B372)</f>
        <v/>
      </c>
      <c r="D373" s="40" t="str">
        <f>IF($C373="","",IFERROR(VLOOKUP($C373,Orders!$A$4:$J$998,9,FALSE),""))</f>
        <v/>
      </c>
      <c r="E373" s="40" t="str">
        <f>IF($C373="","",IFERROR(VLOOKUP($C373,Orders!$A$4:$J$998,3,FALSE),""))</f>
        <v/>
      </c>
      <c r="F373" s="40">
        <f t="shared" si="2"/>
        <v>1</v>
      </c>
      <c r="G373" s="40" t="str">
        <f>IF($C373="","",IFERROR(VLOOKUP($C373,Orders!$A$4:$J$998,4,FALSE),""))</f>
        <v/>
      </c>
      <c r="H373" s="40" t="str">
        <f>IF($C373="","",IFERROR(VLOOKUP($C373,Orders!$A$4:$J$998,5,FALSE),""))</f>
        <v/>
      </c>
      <c r="I373" s="40" t="str">
        <f>IF($C373="","",IFERROR(VLOOKUP($C373,Orders!$A$4:$J$998,6,FALSE),""))</f>
        <v/>
      </c>
      <c r="J373" s="40" t="str">
        <f>IF($C373="","",IFERROR(VLOOKUP($C373,Orders!$A$4:$J$998,7,FALSE),""))</f>
        <v/>
      </c>
      <c r="K373" s="40" t="str">
        <f>IF(Bids!$C372="","",Bids!$C372)</f>
        <v/>
      </c>
      <c r="L373" s="40" t="str">
        <f>IF($K373="","",IFERROR(VLOOKUP($K373,Grinders!$A$4:$N$998,2,FALSE),""))</f>
        <v/>
      </c>
      <c r="M373" s="40" t="str">
        <f>IF($K373="","",IFERROR(VLOOKUP($K373,Grinders!$A$4:$N$998,3,FALSE),""))</f>
        <v/>
      </c>
      <c r="N373" s="40" t="str">
        <f>IF($K373="","",IFERROR(VLOOKUP($K373,Grinders!$A$4:$N$998,4,FALSE),""))</f>
        <v/>
      </c>
      <c r="O373" s="40" t="str">
        <f>IF($K373="","",IFERROR(VLOOKUP($K373,Grinders!$A$4:$N$998,5,FALSE),""))</f>
        <v/>
      </c>
      <c r="P373" s="40" t="str">
        <f>IF($K373="","",IF($C$4="",0,COUNTIFS(Assignments!$B$6:$B$1000,$K373,Assignments!$F$6:$F$1000,$C$4,Assignments!$E$6:$E$1000,"Active")))</f>
        <v/>
      </c>
      <c r="Q373" s="40" t="str">
        <f t="shared" si="3"/>
        <v/>
      </c>
      <c r="R373" s="40" t="str">
        <f t="shared" si="4"/>
        <v/>
      </c>
      <c r="S373" s="40" t="str">
        <f>IF($K373="","",IF($C$4="",0,COUNTIFS(Assignments!$B$6:$B$1000,$K373,Assignments!$F$6:$F$1000,$C$4,Assignments!$D$6:$D$1000,"&gt;="&amp;Config!$B$3-7,Assignments!$D$6:$D$1000,"&lt;="&amp;Config!$B$3)))</f>
        <v/>
      </c>
      <c r="T373" s="40" t="str">
        <f>IF($K373="","",IFERROR(VLOOKUP($K373,Grinders!$A$4:$N$998,8,FALSE),""))</f>
        <v/>
      </c>
      <c r="U373" s="40" t="str">
        <f>IFERROR(IF($K373="","",IF($M373="Elite",MAX(50,MIN(100,Config!$B$27*MAX(0,MIN(100,(1-IF($R373="",0,$R373))*100)) + Config!$B$28*MAX(0,MIN(100,(1-MIN(1,IF(Config!$B$30=0,1,$S373/Config!$B$30)))*100)) + Config!$B$29*MAX(0,MIN(100,MIN(1,IF($T373="",0,$T373)/Config!$B$23)*100)))),MIN(100,Config!$B$27*MAX(0,MIN(100,(1-IF($R373="",0,$R373))*100)) + Config!$B$28*MAX(0,MIN(100,(1-MIN(1,IF(Config!$B$30=0,1,$S373/Config!$B$30)))*100)) + Config!$B$29*MAX(0,MIN(100,MIN(1,IF($T373="",0,$T373)/Config!$B$23)*100))))),"")
</f>
        <v/>
      </c>
      <c r="V373" s="40" t="str">
        <f>IF(Bids!$AC373="","",Bids!$AC373)</f>
        <v/>
      </c>
      <c r="W373" s="40" t="str">
        <f>IF(Bids!$F372="","",Bids!$F372)</f>
        <v/>
      </c>
      <c r="X373" s="40" t="str">
        <f t="shared" si="5"/>
        <v/>
      </c>
      <c r="Y373" s="40" t="str">
        <f>IF($X373="","",IF(Config!$B$17=Config!$B$16,IF($X373&gt;=Config!$B$17,100,0),MAX(0,MIN(100,($X373-Config!$B$16)/(Config!$B$17-Config!$B$16)*100))))</f>
        <v/>
      </c>
      <c r="Z373" s="40">
        <f>IF($M373="Elite",Config!$B$21,0)</f>
        <v>0</v>
      </c>
      <c r="AA373" s="40" t="str">
        <f>IFERROR(IF(OR($W373="",$H373=""),"",IF($W373&gt;$H373,
  MAX(0, 60-(($W373-$H373)*24/Config!$B$19)*60),
  MIN(100, 60+(($H373-$W373)*24/Config!$B$20)*40)
)),"")
</f>
        <v/>
      </c>
      <c r="AB373" s="40" t="str">
        <f>IF($K373="","",IFERROR(VLOOKUP($K373,Grinders!$A$4:$N$998,10,FALSE)/5*100,""))</f>
        <v/>
      </c>
      <c r="AC373" s="40" t="str">
        <f>IF($K373="","",IFERROR(VLOOKUP($K373,Grinders!$A$4:$N$998,11,FALSE)*100,""))</f>
        <v/>
      </c>
      <c r="AD373" s="40" t="str">
        <f>IF($K373="","",IFERROR(VLOOKUP($K373,Grinders!$A$4:$N$998,12,FALSE)*100,""))</f>
        <v/>
      </c>
      <c r="AE373" s="40" t="str">
        <f>IF(OR(AO373=1,AP373=1),0,=IFERROR(IFS(
    OR($C373="", $K373=""), 0,
    $F373=0, 0,
    $D373&lt;&gt;"Open", 0,
    COUNTIFS(GrinderServices!$A$6:$A$1000, $K373, GrinderServices!$B$6:$B$1000, $E373, GrinderServices!$D$6:$D$1000, "Y")=0, 0,
    $X373&lt;Config!$B$16, 0,
    Config!$B$18=1, IF($O373&gt;=N373, 0, 1),
    TRUE, 1
), "")
)</f>
        <v>#ERROR!</v>
      </c>
      <c r="AF373" s="40" t="str">
        <f>IFERROR((IF(OR(AO373=1,AP373=1),"",=IFERROR((IFERROR(IF($AE373=0,"",((Config!$B$6*$Y373 + Config!$B$7*$U373 + Config!$B$8*$Z373 + Config!$B$9*$AA373 + Config!$B$10*$AB373 + Config!$B$11*$AC373 - Config!$B$12*$AD373)/Config!$B$13)+$AK373+$AL373),""))*(1-IFERROR(VLOOKUP(K373,Grinders!$A:$AB, 28, FALSE),0)),"")))*(1+AR373),"")</f>
        <v>#ERROR!</v>
      </c>
      <c r="AG373" s="40" t="str">
        <f t="shared" si="6"/>
        <v>#ERROR!</v>
      </c>
      <c r="AH373" s="40" t="str">
        <f t="shared" si="7"/>
        <v/>
      </c>
      <c r="AI373" s="40" t="str">
        <f t="shared" si="8"/>
        <v/>
      </c>
      <c r="AJ373" s="40" t="str">
        <f>IF($K373="","",COUNTIF(Assignments!$B$6:$B$1000,$K373))</f>
        <v/>
      </c>
      <c r="AK373" s="40" t="str">
        <f>IF($K373="","",IF(AND($AJ373=0,$O373&lt;$N373),Config!$B$43,0))</f>
        <v/>
      </c>
      <c r="AL373" s="40" t="str">
        <f>IF($K373="","",IF(AND($M373="Elite",$G373&gt;=Config!$B$41,$O373&lt;$N373),Config!$B$42,0))</f>
        <v/>
      </c>
      <c r="AM373" s="22"/>
      <c r="AN373" s="39">
        <f>IFERROR(VLOOKUP(K373,Grinders!$A:$Q,28,FALSE),0)</f>
        <v>0</v>
      </c>
      <c r="AO373" s="39">
        <f>IF(Config!$B$1003&lt;&gt;"Y",0,IF(IFERROR(VLOOKUP(K373,Grinders!$A:$P,27,FALSE),0)&gt;=3,IF(OR(G373&gt;=Config!$B$1001,ISNUMBER(SEARCH(E373,Config!$B$1002))),1,0),0))</f>
        <v>0</v>
      </c>
      <c r="AP373" s="39">
        <f t="array" ref="AP373">IFERROR(IF(INDEX(Bids!$AE:$AE,MATCH(B373,Bids!$A:$A,0))="Pending",1,0),0)</f>
        <v>0</v>
      </c>
      <c r="AQ373" s="39" t="str">
        <f t="array" ref="AQ373">IF(C373="","",IFERROR(XLOOKUP(C373,Assignments!$C:$C,Assignments!$AU:$AU,0),0))</f>
        <v/>
      </c>
      <c r="AR373" s="39">
        <f>IF(AND(Config!$B$1006="Y",AQ373=1),Config!$B$1007,0)</f>
        <v>0</v>
      </c>
    </row>
    <row r="374" ht="15.75" customHeight="1">
      <c r="A374" s="46" t="str">
        <f t="shared" si="1"/>
        <v/>
      </c>
      <c r="B374" s="40" t="str">
        <f>IF(Bids!$A373="","",Bids!$A373)</f>
        <v/>
      </c>
      <c r="C374" s="40" t="str">
        <f>IF(Bids!$B373="","",Bids!$B373)</f>
        <v/>
      </c>
      <c r="D374" s="40" t="str">
        <f>IF($C374="","",IFERROR(VLOOKUP($C374,Orders!$A$4:$J$998,9,FALSE),""))</f>
        <v/>
      </c>
      <c r="E374" s="40" t="str">
        <f>IF($C374="","",IFERROR(VLOOKUP($C374,Orders!$A$4:$J$998,3,FALSE),""))</f>
        <v/>
      </c>
      <c r="F374" s="40">
        <f t="shared" si="2"/>
        <v>1</v>
      </c>
      <c r="G374" s="40" t="str">
        <f>IF($C374="","",IFERROR(VLOOKUP($C374,Orders!$A$4:$J$998,4,FALSE),""))</f>
        <v/>
      </c>
      <c r="H374" s="40" t="str">
        <f>IF($C374="","",IFERROR(VLOOKUP($C374,Orders!$A$4:$J$998,5,FALSE),""))</f>
        <v/>
      </c>
      <c r="I374" s="40" t="str">
        <f>IF($C374="","",IFERROR(VLOOKUP($C374,Orders!$A$4:$J$998,6,FALSE),""))</f>
        <v/>
      </c>
      <c r="J374" s="40" t="str">
        <f>IF($C374="","",IFERROR(VLOOKUP($C374,Orders!$A$4:$J$998,7,FALSE),""))</f>
        <v/>
      </c>
      <c r="K374" s="40" t="str">
        <f>IF(Bids!$C373="","",Bids!$C373)</f>
        <v/>
      </c>
      <c r="L374" s="40" t="str">
        <f>IF($K374="","",IFERROR(VLOOKUP($K374,Grinders!$A$4:$N$998,2,FALSE),""))</f>
        <v/>
      </c>
      <c r="M374" s="40" t="str">
        <f>IF($K374="","",IFERROR(VLOOKUP($K374,Grinders!$A$4:$N$998,3,FALSE),""))</f>
        <v/>
      </c>
      <c r="N374" s="40" t="str">
        <f>IF($K374="","",IFERROR(VLOOKUP($K374,Grinders!$A$4:$N$998,4,FALSE),""))</f>
        <v/>
      </c>
      <c r="O374" s="40" t="str">
        <f>IF($K374="","",IFERROR(VLOOKUP($K374,Grinders!$A$4:$N$998,5,FALSE),""))</f>
        <v/>
      </c>
      <c r="P374" s="40" t="str">
        <f>IF($K374="","",IF($C$4="",0,COUNTIFS(Assignments!$B$6:$B$1000,$K374,Assignments!$F$6:$F$1000,$C$4,Assignments!$E$6:$E$1000,"Active")))</f>
        <v/>
      </c>
      <c r="Q374" s="40" t="str">
        <f t="shared" si="3"/>
        <v/>
      </c>
      <c r="R374" s="40" t="str">
        <f t="shared" si="4"/>
        <v/>
      </c>
      <c r="S374" s="40" t="str">
        <f>IF($K374="","",IF($C$4="",0,COUNTIFS(Assignments!$B$6:$B$1000,$K374,Assignments!$F$6:$F$1000,$C$4,Assignments!$D$6:$D$1000,"&gt;="&amp;Config!$B$3-7,Assignments!$D$6:$D$1000,"&lt;="&amp;Config!$B$3)))</f>
        <v/>
      </c>
      <c r="T374" s="40" t="str">
        <f>IF($K374="","",IFERROR(VLOOKUP($K374,Grinders!$A$4:$N$998,8,FALSE),""))</f>
        <v/>
      </c>
      <c r="U374" s="40" t="str">
        <f>IFERROR(IF($K374="","",IF($M374="Elite",MAX(50,MIN(100,Config!$B$27*MAX(0,MIN(100,(1-IF($R374="",0,$R374))*100)) + Config!$B$28*MAX(0,MIN(100,(1-MIN(1,IF(Config!$B$30=0,1,$S374/Config!$B$30)))*100)) + Config!$B$29*MAX(0,MIN(100,MIN(1,IF($T374="",0,$T374)/Config!$B$23)*100)))),MIN(100,Config!$B$27*MAX(0,MIN(100,(1-IF($R374="",0,$R374))*100)) + Config!$B$28*MAX(0,MIN(100,(1-MIN(1,IF(Config!$B$30=0,1,$S374/Config!$B$30)))*100)) + Config!$B$29*MAX(0,MIN(100,MIN(1,IF($T374="",0,$T374)/Config!$B$23)*100))))),"")
</f>
        <v/>
      </c>
      <c r="V374" s="40" t="str">
        <f>IF(Bids!$AC374="","",Bids!$AC374)</f>
        <v/>
      </c>
      <c r="W374" s="40" t="str">
        <f>IF(Bids!$F373="","",Bids!$F373)</f>
        <v/>
      </c>
      <c r="X374" s="40" t="str">
        <f t="shared" si="5"/>
        <v/>
      </c>
      <c r="Y374" s="40" t="str">
        <f>IF($X374="","",IF(Config!$B$17=Config!$B$16,IF($X374&gt;=Config!$B$17,100,0),MAX(0,MIN(100,($X374-Config!$B$16)/(Config!$B$17-Config!$B$16)*100))))</f>
        <v/>
      </c>
      <c r="Z374" s="40">
        <f>IF($M374="Elite",Config!$B$21,0)</f>
        <v>0</v>
      </c>
      <c r="AA374" s="40" t="str">
        <f>IFERROR(IF(OR($W374="",$H374=""),"",IF($W374&gt;$H374,
  MAX(0, 60-(($W374-$H374)*24/Config!$B$19)*60),
  MIN(100, 60+(($H374-$W374)*24/Config!$B$20)*40)
)),"")
</f>
        <v/>
      </c>
      <c r="AB374" s="40" t="str">
        <f>IF($K374="","",IFERROR(VLOOKUP($K374,Grinders!$A$4:$N$998,10,FALSE)/5*100,""))</f>
        <v/>
      </c>
      <c r="AC374" s="40" t="str">
        <f>IF($K374="","",IFERROR(VLOOKUP($K374,Grinders!$A$4:$N$998,11,FALSE)*100,""))</f>
        <v/>
      </c>
      <c r="AD374" s="40" t="str">
        <f>IF($K374="","",IFERROR(VLOOKUP($K374,Grinders!$A$4:$N$998,12,FALSE)*100,""))</f>
        <v/>
      </c>
      <c r="AE374" s="40" t="str">
        <f>IF(OR(AO374=1,AP374=1),0,=IFERROR(IFS(
    OR($C374="", $K374=""), 0,
    $F374=0, 0,
    $D374&lt;&gt;"Open", 0,
    COUNTIFS(GrinderServices!$A$6:$A$1000, $K374, GrinderServices!$B$6:$B$1000, $E374, GrinderServices!$D$6:$D$1000, "Y")=0, 0,
    $X374&lt;Config!$B$16, 0,
    Config!$B$18=1, IF($O374&gt;=N374, 0, 1),
    TRUE, 1
), "")
)</f>
        <v>#ERROR!</v>
      </c>
      <c r="AF374" s="40" t="str">
        <f>IFERROR((IF(OR(AO374=1,AP374=1),"",=IFERROR((IFERROR(IF($AE374=0,"",((Config!$B$6*$Y374 + Config!$B$7*$U374 + Config!$B$8*$Z374 + Config!$B$9*$AA374 + Config!$B$10*$AB374 + Config!$B$11*$AC374 - Config!$B$12*$AD374)/Config!$B$13)+$AK374+$AL374),""))*(1-IFERROR(VLOOKUP(K374,Grinders!$A:$AB, 28, FALSE),0)),"")))*(1+AR374),"")</f>
        <v>#ERROR!</v>
      </c>
      <c r="AG374" s="40" t="str">
        <f t="shared" si="6"/>
        <v>#ERROR!</v>
      </c>
      <c r="AH374" s="40" t="str">
        <f t="shared" si="7"/>
        <v/>
      </c>
      <c r="AI374" s="40" t="str">
        <f t="shared" si="8"/>
        <v/>
      </c>
      <c r="AJ374" s="40" t="str">
        <f>IF($K374="","",COUNTIF(Assignments!$B$6:$B$1000,$K374))</f>
        <v/>
      </c>
      <c r="AK374" s="40" t="str">
        <f>IF($K374="","",IF(AND($AJ374=0,$O374&lt;$N374),Config!$B$43,0))</f>
        <v/>
      </c>
      <c r="AL374" s="40" t="str">
        <f>IF($K374="","",IF(AND($M374="Elite",$G374&gt;=Config!$B$41,$O374&lt;$N374),Config!$B$42,0))</f>
        <v/>
      </c>
      <c r="AM374" s="22"/>
      <c r="AN374" s="39">
        <f>IFERROR(VLOOKUP(K374,Grinders!$A:$Q,28,FALSE),0)</f>
        <v>0</v>
      </c>
      <c r="AO374" s="39">
        <f>IF(Config!$B$1003&lt;&gt;"Y",0,IF(IFERROR(VLOOKUP(K374,Grinders!$A:$P,27,FALSE),0)&gt;=3,IF(OR(G374&gt;=Config!$B$1001,ISNUMBER(SEARCH(E374,Config!$B$1002))),1,0),0))</f>
        <v>0</v>
      </c>
      <c r="AP374" s="39">
        <f t="array" ref="AP374">IFERROR(IF(INDEX(Bids!$AE:$AE,MATCH(B374,Bids!$A:$A,0))="Pending",1,0),0)</f>
        <v>0</v>
      </c>
      <c r="AQ374" s="39" t="str">
        <f t="array" ref="AQ374">IF(C374="","",IFERROR(XLOOKUP(C374,Assignments!$C:$C,Assignments!$AU:$AU,0),0))</f>
        <v/>
      </c>
      <c r="AR374" s="39">
        <f>IF(AND(Config!$B$1006="Y",AQ374=1),Config!$B$1007,0)</f>
        <v>0</v>
      </c>
    </row>
    <row r="375" ht="15.75" customHeight="1">
      <c r="A375" s="46" t="str">
        <f t="shared" si="1"/>
        <v/>
      </c>
      <c r="B375" s="40" t="str">
        <f>IF(Bids!$A374="","",Bids!$A374)</f>
        <v/>
      </c>
      <c r="C375" s="40" t="str">
        <f>IF(Bids!$B374="","",Bids!$B374)</f>
        <v/>
      </c>
      <c r="D375" s="40" t="str">
        <f>IF($C375="","",IFERROR(VLOOKUP($C375,Orders!$A$4:$J$998,9,FALSE),""))</f>
        <v/>
      </c>
      <c r="E375" s="40" t="str">
        <f>IF($C375="","",IFERROR(VLOOKUP($C375,Orders!$A$4:$J$998,3,FALSE),""))</f>
        <v/>
      </c>
      <c r="F375" s="40">
        <f t="shared" si="2"/>
        <v>1</v>
      </c>
      <c r="G375" s="40" t="str">
        <f>IF($C375="","",IFERROR(VLOOKUP($C375,Orders!$A$4:$J$998,4,FALSE),""))</f>
        <v/>
      </c>
      <c r="H375" s="40" t="str">
        <f>IF($C375="","",IFERROR(VLOOKUP($C375,Orders!$A$4:$J$998,5,FALSE),""))</f>
        <v/>
      </c>
      <c r="I375" s="40" t="str">
        <f>IF($C375="","",IFERROR(VLOOKUP($C375,Orders!$A$4:$J$998,6,FALSE),""))</f>
        <v/>
      </c>
      <c r="J375" s="40" t="str">
        <f>IF($C375="","",IFERROR(VLOOKUP($C375,Orders!$A$4:$J$998,7,FALSE),""))</f>
        <v/>
      </c>
      <c r="K375" s="40" t="str">
        <f>IF(Bids!$C374="","",Bids!$C374)</f>
        <v/>
      </c>
      <c r="L375" s="40" t="str">
        <f>IF($K375="","",IFERROR(VLOOKUP($K375,Grinders!$A$4:$N$998,2,FALSE),""))</f>
        <v/>
      </c>
      <c r="M375" s="40" t="str">
        <f>IF($K375="","",IFERROR(VLOOKUP($K375,Grinders!$A$4:$N$998,3,FALSE),""))</f>
        <v/>
      </c>
      <c r="N375" s="40" t="str">
        <f>IF($K375="","",IFERROR(VLOOKUP($K375,Grinders!$A$4:$N$998,4,FALSE),""))</f>
        <v/>
      </c>
      <c r="O375" s="40" t="str">
        <f>IF($K375="","",IFERROR(VLOOKUP($K375,Grinders!$A$4:$N$998,5,FALSE),""))</f>
        <v/>
      </c>
      <c r="P375" s="40" t="str">
        <f>IF($K375="","",IF($C$4="",0,COUNTIFS(Assignments!$B$6:$B$1000,$K375,Assignments!$F$6:$F$1000,$C$4,Assignments!$E$6:$E$1000,"Active")))</f>
        <v/>
      </c>
      <c r="Q375" s="40" t="str">
        <f t="shared" si="3"/>
        <v/>
      </c>
      <c r="R375" s="40" t="str">
        <f t="shared" si="4"/>
        <v/>
      </c>
      <c r="S375" s="40" t="str">
        <f>IF($K375="","",IF($C$4="",0,COUNTIFS(Assignments!$B$6:$B$1000,$K375,Assignments!$F$6:$F$1000,$C$4,Assignments!$D$6:$D$1000,"&gt;="&amp;Config!$B$3-7,Assignments!$D$6:$D$1000,"&lt;="&amp;Config!$B$3)))</f>
        <v/>
      </c>
      <c r="T375" s="40" t="str">
        <f>IF($K375="","",IFERROR(VLOOKUP($K375,Grinders!$A$4:$N$998,8,FALSE),""))</f>
        <v/>
      </c>
      <c r="U375" s="40" t="str">
        <f>IFERROR(IF($K375="","",IF($M375="Elite",MAX(50,MIN(100,Config!$B$27*MAX(0,MIN(100,(1-IF($R375="",0,$R375))*100)) + Config!$B$28*MAX(0,MIN(100,(1-MIN(1,IF(Config!$B$30=0,1,$S375/Config!$B$30)))*100)) + Config!$B$29*MAX(0,MIN(100,MIN(1,IF($T375="",0,$T375)/Config!$B$23)*100)))),MIN(100,Config!$B$27*MAX(0,MIN(100,(1-IF($R375="",0,$R375))*100)) + Config!$B$28*MAX(0,MIN(100,(1-MIN(1,IF(Config!$B$30=0,1,$S375/Config!$B$30)))*100)) + Config!$B$29*MAX(0,MIN(100,MIN(1,IF($T375="",0,$T375)/Config!$B$23)*100))))),"")
</f>
        <v/>
      </c>
      <c r="V375" s="40" t="str">
        <f>IF(Bids!$AC375="","",Bids!$AC375)</f>
        <v/>
      </c>
      <c r="W375" s="40" t="str">
        <f>IF(Bids!$F374="","",Bids!$F374)</f>
        <v/>
      </c>
      <c r="X375" s="40" t="str">
        <f t="shared" si="5"/>
        <v/>
      </c>
      <c r="Y375" s="40" t="str">
        <f>IF($X375="","",IF(Config!$B$17=Config!$B$16,IF($X375&gt;=Config!$B$17,100,0),MAX(0,MIN(100,($X375-Config!$B$16)/(Config!$B$17-Config!$B$16)*100))))</f>
        <v/>
      </c>
      <c r="Z375" s="40">
        <f>IF($M375="Elite",Config!$B$21,0)</f>
        <v>0</v>
      </c>
      <c r="AA375" s="40" t="str">
        <f>IFERROR(IF(OR($W375="",$H375=""),"",IF($W375&gt;$H375,
  MAX(0, 60-(($W375-$H375)*24/Config!$B$19)*60),
  MIN(100, 60+(($H375-$W375)*24/Config!$B$20)*40)
)),"")
</f>
        <v/>
      </c>
      <c r="AB375" s="40" t="str">
        <f>IF($K375="","",IFERROR(VLOOKUP($K375,Grinders!$A$4:$N$998,10,FALSE)/5*100,""))</f>
        <v/>
      </c>
      <c r="AC375" s="40" t="str">
        <f>IF($K375="","",IFERROR(VLOOKUP($K375,Grinders!$A$4:$N$998,11,FALSE)*100,""))</f>
        <v/>
      </c>
      <c r="AD375" s="40" t="str">
        <f>IF($K375="","",IFERROR(VLOOKUP($K375,Grinders!$A$4:$N$998,12,FALSE)*100,""))</f>
        <v/>
      </c>
      <c r="AE375" s="40" t="str">
        <f>IF(OR(AO375=1,AP375=1),0,=IFERROR(IFS(
    OR($C375="", $K375=""), 0,
    $F375=0, 0,
    $D375&lt;&gt;"Open", 0,
    COUNTIFS(GrinderServices!$A$6:$A$1000, $K375, GrinderServices!$B$6:$B$1000, $E375, GrinderServices!$D$6:$D$1000, "Y")=0, 0,
    $X375&lt;Config!$B$16, 0,
    Config!$B$18=1, IF($O375&gt;=N375, 0, 1),
    TRUE, 1
), "")
)</f>
        <v>#ERROR!</v>
      </c>
      <c r="AF375" s="40" t="str">
        <f>IFERROR((IF(OR(AO375=1,AP375=1),"",=IFERROR((IFERROR(IF($AE375=0,"",((Config!$B$6*$Y375 + Config!$B$7*$U375 + Config!$B$8*$Z375 + Config!$B$9*$AA375 + Config!$B$10*$AB375 + Config!$B$11*$AC375 - Config!$B$12*$AD375)/Config!$B$13)+$AK375+$AL375),""))*(1-IFERROR(VLOOKUP(K375,Grinders!$A:$AB, 28, FALSE),0)),"")))*(1+AR375),"")</f>
        <v>#ERROR!</v>
      </c>
      <c r="AG375" s="40" t="str">
        <f t="shared" si="6"/>
        <v>#ERROR!</v>
      </c>
      <c r="AH375" s="40" t="str">
        <f t="shared" si="7"/>
        <v/>
      </c>
      <c r="AI375" s="40" t="str">
        <f t="shared" si="8"/>
        <v/>
      </c>
      <c r="AJ375" s="40" t="str">
        <f>IF($K375="","",COUNTIF(Assignments!$B$6:$B$1000,$K375))</f>
        <v/>
      </c>
      <c r="AK375" s="40" t="str">
        <f>IF($K375="","",IF(AND($AJ375=0,$O375&lt;$N375),Config!$B$43,0))</f>
        <v/>
      </c>
      <c r="AL375" s="40" t="str">
        <f>IF($K375="","",IF(AND($M375="Elite",$G375&gt;=Config!$B$41,$O375&lt;$N375),Config!$B$42,0))</f>
        <v/>
      </c>
      <c r="AM375" s="22"/>
      <c r="AN375" s="39">
        <f>IFERROR(VLOOKUP(K375,Grinders!$A:$Q,28,FALSE),0)</f>
        <v>0</v>
      </c>
      <c r="AO375" s="39">
        <f>IF(Config!$B$1003&lt;&gt;"Y",0,IF(IFERROR(VLOOKUP(K375,Grinders!$A:$P,27,FALSE),0)&gt;=3,IF(OR(G375&gt;=Config!$B$1001,ISNUMBER(SEARCH(E375,Config!$B$1002))),1,0),0))</f>
        <v>0</v>
      </c>
      <c r="AP375" s="39">
        <f t="array" ref="AP375">IFERROR(IF(INDEX(Bids!$AE:$AE,MATCH(B375,Bids!$A:$A,0))="Pending",1,0),0)</f>
        <v>0</v>
      </c>
      <c r="AQ375" s="39" t="str">
        <f t="array" ref="AQ375">IF(C375="","",IFERROR(XLOOKUP(C375,Assignments!$C:$C,Assignments!$AU:$AU,0),0))</f>
        <v/>
      </c>
      <c r="AR375" s="39">
        <f>IF(AND(Config!$B$1006="Y",AQ375=1),Config!$B$1007,0)</f>
        <v>0</v>
      </c>
    </row>
    <row r="376" ht="15.75" customHeight="1">
      <c r="A376" s="46" t="str">
        <f t="shared" si="1"/>
        <v/>
      </c>
      <c r="B376" s="40" t="str">
        <f>IF(Bids!$A375="","",Bids!$A375)</f>
        <v/>
      </c>
      <c r="C376" s="40" t="str">
        <f>IF(Bids!$B375="","",Bids!$B375)</f>
        <v/>
      </c>
      <c r="D376" s="40" t="str">
        <f>IF($C376="","",IFERROR(VLOOKUP($C376,Orders!$A$4:$J$998,9,FALSE),""))</f>
        <v/>
      </c>
      <c r="E376" s="40" t="str">
        <f>IF($C376="","",IFERROR(VLOOKUP($C376,Orders!$A$4:$J$998,3,FALSE),""))</f>
        <v/>
      </c>
      <c r="F376" s="40">
        <f t="shared" si="2"/>
        <v>1</v>
      </c>
      <c r="G376" s="40" t="str">
        <f>IF($C376="","",IFERROR(VLOOKUP($C376,Orders!$A$4:$J$998,4,FALSE),""))</f>
        <v/>
      </c>
      <c r="H376" s="40" t="str">
        <f>IF($C376="","",IFERROR(VLOOKUP($C376,Orders!$A$4:$J$998,5,FALSE),""))</f>
        <v/>
      </c>
      <c r="I376" s="40" t="str">
        <f>IF($C376="","",IFERROR(VLOOKUP($C376,Orders!$A$4:$J$998,6,FALSE),""))</f>
        <v/>
      </c>
      <c r="J376" s="40" t="str">
        <f>IF($C376="","",IFERROR(VLOOKUP($C376,Orders!$A$4:$J$998,7,FALSE),""))</f>
        <v/>
      </c>
      <c r="K376" s="40" t="str">
        <f>IF(Bids!$C375="","",Bids!$C375)</f>
        <v/>
      </c>
      <c r="L376" s="40" t="str">
        <f>IF($K376="","",IFERROR(VLOOKUP($K376,Grinders!$A$4:$N$998,2,FALSE),""))</f>
        <v/>
      </c>
      <c r="M376" s="40" t="str">
        <f>IF($K376="","",IFERROR(VLOOKUP($K376,Grinders!$A$4:$N$998,3,FALSE),""))</f>
        <v/>
      </c>
      <c r="N376" s="40" t="str">
        <f>IF($K376="","",IFERROR(VLOOKUP($K376,Grinders!$A$4:$N$998,4,FALSE),""))</f>
        <v/>
      </c>
      <c r="O376" s="40" t="str">
        <f>IF($K376="","",IFERROR(VLOOKUP($K376,Grinders!$A$4:$N$998,5,FALSE),""))</f>
        <v/>
      </c>
      <c r="P376" s="40" t="str">
        <f>IF($K376="","",IF($C$4="",0,COUNTIFS(Assignments!$B$6:$B$1000,$K376,Assignments!$F$6:$F$1000,$C$4,Assignments!$E$6:$E$1000,"Active")))</f>
        <v/>
      </c>
      <c r="Q376" s="40" t="str">
        <f t="shared" si="3"/>
        <v/>
      </c>
      <c r="R376" s="40" t="str">
        <f t="shared" si="4"/>
        <v/>
      </c>
      <c r="S376" s="40" t="str">
        <f>IF($K376="","",IF($C$4="",0,COUNTIFS(Assignments!$B$6:$B$1000,$K376,Assignments!$F$6:$F$1000,$C$4,Assignments!$D$6:$D$1000,"&gt;="&amp;Config!$B$3-7,Assignments!$D$6:$D$1000,"&lt;="&amp;Config!$B$3)))</f>
        <v/>
      </c>
      <c r="T376" s="40" t="str">
        <f>IF($K376="","",IFERROR(VLOOKUP($K376,Grinders!$A$4:$N$998,8,FALSE),""))</f>
        <v/>
      </c>
      <c r="U376" s="40" t="str">
        <f>IFERROR(IF($K376="","",IF($M376="Elite",MAX(50,MIN(100,Config!$B$27*MAX(0,MIN(100,(1-IF($R376="",0,$R376))*100)) + Config!$B$28*MAX(0,MIN(100,(1-MIN(1,IF(Config!$B$30=0,1,$S376/Config!$B$30)))*100)) + Config!$B$29*MAX(0,MIN(100,MIN(1,IF($T376="",0,$T376)/Config!$B$23)*100)))),MIN(100,Config!$B$27*MAX(0,MIN(100,(1-IF($R376="",0,$R376))*100)) + Config!$B$28*MAX(0,MIN(100,(1-MIN(1,IF(Config!$B$30=0,1,$S376/Config!$B$30)))*100)) + Config!$B$29*MAX(0,MIN(100,MIN(1,IF($T376="",0,$T376)/Config!$B$23)*100))))),"")
</f>
        <v/>
      </c>
      <c r="V376" s="40" t="str">
        <f>IF(Bids!$AC376="","",Bids!$AC376)</f>
        <v/>
      </c>
      <c r="W376" s="40" t="str">
        <f>IF(Bids!$F375="","",Bids!$F375)</f>
        <v/>
      </c>
      <c r="X376" s="40" t="str">
        <f t="shared" si="5"/>
        <v/>
      </c>
      <c r="Y376" s="40" t="str">
        <f>IF($X376="","",IF(Config!$B$17=Config!$B$16,IF($X376&gt;=Config!$B$17,100,0),MAX(0,MIN(100,($X376-Config!$B$16)/(Config!$B$17-Config!$B$16)*100))))</f>
        <v/>
      </c>
      <c r="Z376" s="40">
        <f>IF($M376="Elite",Config!$B$21,0)</f>
        <v>0</v>
      </c>
      <c r="AA376" s="40" t="str">
        <f>IFERROR(IF(OR($W376="",$H376=""),"",IF($W376&gt;$H376,
  MAX(0, 60-(($W376-$H376)*24/Config!$B$19)*60),
  MIN(100, 60+(($H376-$W376)*24/Config!$B$20)*40)
)),"")
</f>
        <v/>
      </c>
      <c r="AB376" s="40" t="str">
        <f>IF($K376="","",IFERROR(VLOOKUP($K376,Grinders!$A$4:$N$998,10,FALSE)/5*100,""))</f>
        <v/>
      </c>
      <c r="AC376" s="40" t="str">
        <f>IF($K376="","",IFERROR(VLOOKUP($K376,Grinders!$A$4:$N$998,11,FALSE)*100,""))</f>
        <v/>
      </c>
      <c r="AD376" s="40" t="str">
        <f>IF($K376="","",IFERROR(VLOOKUP($K376,Grinders!$A$4:$N$998,12,FALSE)*100,""))</f>
        <v/>
      </c>
      <c r="AE376" s="40" t="str">
        <f>IF(OR(AO376=1,AP376=1),0,=IFERROR(IFS(
    OR($C376="", $K376=""), 0,
    $F376=0, 0,
    $D376&lt;&gt;"Open", 0,
    COUNTIFS(GrinderServices!$A$6:$A$1000, $K376, GrinderServices!$B$6:$B$1000, $E376, GrinderServices!$D$6:$D$1000, "Y")=0, 0,
    $X376&lt;Config!$B$16, 0,
    Config!$B$18=1, IF($O376&gt;=N376, 0, 1),
    TRUE, 1
), "")
)</f>
        <v>#ERROR!</v>
      </c>
      <c r="AF376" s="40" t="str">
        <f>IFERROR((IF(OR(AO376=1,AP376=1),"",=IFERROR((IFERROR(IF($AE376=0,"",((Config!$B$6*$Y376 + Config!$B$7*$U376 + Config!$B$8*$Z376 + Config!$B$9*$AA376 + Config!$B$10*$AB376 + Config!$B$11*$AC376 - Config!$B$12*$AD376)/Config!$B$13)+$AK376+$AL376),""))*(1-IFERROR(VLOOKUP(K376,Grinders!$A:$AB, 28, FALSE),0)),"")))*(1+AR376),"")</f>
        <v>#ERROR!</v>
      </c>
      <c r="AG376" s="40" t="str">
        <f t="shared" si="6"/>
        <v>#ERROR!</v>
      </c>
      <c r="AH376" s="40" t="str">
        <f t="shared" si="7"/>
        <v/>
      </c>
      <c r="AI376" s="40" t="str">
        <f t="shared" si="8"/>
        <v/>
      </c>
      <c r="AJ376" s="40" t="str">
        <f>IF($K376="","",COUNTIF(Assignments!$B$6:$B$1000,$K376))</f>
        <v/>
      </c>
      <c r="AK376" s="40" t="str">
        <f>IF($K376="","",IF(AND($AJ376=0,$O376&lt;$N376),Config!$B$43,0))</f>
        <v/>
      </c>
      <c r="AL376" s="40" t="str">
        <f>IF($K376="","",IF(AND($M376="Elite",$G376&gt;=Config!$B$41,$O376&lt;$N376),Config!$B$42,0))</f>
        <v/>
      </c>
      <c r="AM376" s="22"/>
      <c r="AN376" s="39">
        <f>IFERROR(VLOOKUP(K376,Grinders!$A:$Q,28,FALSE),0)</f>
        <v>0</v>
      </c>
      <c r="AO376" s="39">
        <f>IF(Config!$B$1003&lt;&gt;"Y",0,IF(IFERROR(VLOOKUP(K376,Grinders!$A:$P,27,FALSE),0)&gt;=3,IF(OR(G376&gt;=Config!$B$1001,ISNUMBER(SEARCH(E376,Config!$B$1002))),1,0),0))</f>
        <v>0</v>
      </c>
      <c r="AP376" s="39">
        <f t="array" ref="AP376">IFERROR(IF(INDEX(Bids!$AE:$AE,MATCH(B376,Bids!$A:$A,0))="Pending",1,0),0)</f>
        <v>0</v>
      </c>
      <c r="AQ376" s="39" t="str">
        <f t="array" ref="AQ376">IF(C376="","",IFERROR(XLOOKUP(C376,Assignments!$C:$C,Assignments!$AU:$AU,0),0))</f>
        <v/>
      </c>
      <c r="AR376" s="39">
        <f>IF(AND(Config!$B$1006="Y",AQ376=1),Config!$B$1007,0)</f>
        <v>0</v>
      </c>
    </row>
    <row r="377" ht="15.75" customHeight="1">
      <c r="A377" s="46" t="str">
        <f t="shared" si="1"/>
        <v/>
      </c>
      <c r="B377" s="40" t="str">
        <f>IF(Bids!$A376="","",Bids!$A376)</f>
        <v/>
      </c>
      <c r="C377" s="40" t="str">
        <f>IF(Bids!$B376="","",Bids!$B376)</f>
        <v/>
      </c>
      <c r="D377" s="40" t="str">
        <f>IF($C377="","",IFERROR(VLOOKUP($C377,Orders!$A$4:$J$998,9,FALSE),""))</f>
        <v/>
      </c>
      <c r="E377" s="40" t="str">
        <f>IF($C377="","",IFERROR(VLOOKUP($C377,Orders!$A$4:$J$998,3,FALSE),""))</f>
        <v/>
      </c>
      <c r="F377" s="40">
        <f t="shared" si="2"/>
        <v>1</v>
      </c>
      <c r="G377" s="40" t="str">
        <f>IF($C377="","",IFERROR(VLOOKUP($C377,Orders!$A$4:$J$998,4,FALSE),""))</f>
        <v/>
      </c>
      <c r="H377" s="40" t="str">
        <f>IF($C377="","",IFERROR(VLOOKUP($C377,Orders!$A$4:$J$998,5,FALSE),""))</f>
        <v/>
      </c>
      <c r="I377" s="40" t="str">
        <f>IF($C377="","",IFERROR(VLOOKUP($C377,Orders!$A$4:$J$998,6,FALSE),""))</f>
        <v/>
      </c>
      <c r="J377" s="40" t="str">
        <f>IF($C377="","",IFERROR(VLOOKUP($C377,Orders!$A$4:$J$998,7,FALSE),""))</f>
        <v/>
      </c>
      <c r="K377" s="40" t="str">
        <f>IF(Bids!$C376="","",Bids!$C376)</f>
        <v/>
      </c>
      <c r="L377" s="40" t="str">
        <f>IF($K377="","",IFERROR(VLOOKUP($K377,Grinders!$A$4:$N$998,2,FALSE),""))</f>
        <v/>
      </c>
      <c r="M377" s="40" t="str">
        <f>IF($K377="","",IFERROR(VLOOKUP($K377,Grinders!$A$4:$N$998,3,FALSE),""))</f>
        <v/>
      </c>
      <c r="N377" s="40" t="str">
        <f>IF($K377="","",IFERROR(VLOOKUP($K377,Grinders!$A$4:$N$998,4,FALSE),""))</f>
        <v/>
      </c>
      <c r="O377" s="40" t="str">
        <f>IF($K377="","",IFERROR(VLOOKUP($K377,Grinders!$A$4:$N$998,5,FALSE),""))</f>
        <v/>
      </c>
      <c r="P377" s="40" t="str">
        <f>IF($K377="","",IF($C$4="",0,COUNTIFS(Assignments!$B$6:$B$1000,$K377,Assignments!$F$6:$F$1000,$C$4,Assignments!$E$6:$E$1000,"Active")))</f>
        <v/>
      </c>
      <c r="Q377" s="40" t="str">
        <f t="shared" si="3"/>
        <v/>
      </c>
      <c r="R377" s="40" t="str">
        <f t="shared" si="4"/>
        <v/>
      </c>
      <c r="S377" s="40" t="str">
        <f>IF($K377="","",IF($C$4="",0,COUNTIFS(Assignments!$B$6:$B$1000,$K377,Assignments!$F$6:$F$1000,$C$4,Assignments!$D$6:$D$1000,"&gt;="&amp;Config!$B$3-7,Assignments!$D$6:$D$1000,"&lt;="&amp;Config!$B$3)))</f>
        <v/>
      </c>
      <c r="T377" s="40" t="str">
        <f>IF($K377="","",IFERROR(VLOOKUP($K377,Grinders!$A$4:$N$998,8,FALSE),""))</f>
        <v/>
      </c>
      <c r="U377" s="40" t="str">
        <f>IFERROR(IF($K377="","",IF($M377="Elite",MAX(50,MIN(100,Config!$B$27*MAX(0,MIN(100,(1-IF($R377="",0,$R377))*100)) + Config!$B$28*MAX(0,MIN(100,(1-MIN(1,IF(Config!$B$30=0,1,$S377/Config!$B$30)))*100)) + Config!$B$29*MAX(0,MIN(100,MIN(1,IF($T377="",0,$T377)/Config!$B$23)*100)))),MIN(100,Config!$B$27*MAX(0,MIN(100,(1-IF($R377="",0,$R377))*100)) + Config!$B$28*MAX(0,MIN(100,(1-MIN(1,IF(Config!$B$30=0,1,$S377/Config!$B$30)))*100)) + Config!$B$29*MAX(0,MIN(100,MIN(1,IF($T377="",0,$T377)/Config!$B$23)*100))))),"")
</f>
        <v/>
      </c>
      <c r="V377" s="40" t="str">
        <f>IF(Bids!$AC377="","",Bids!$AC377)</f>
        <v/>
      </c>
      <c r="W377" s="40" t="str">
        <f>IF(Bids!$F376="","",Bids!$F376)</f>
        <v/>
      </c>
      <c r="X377" s="40" t="str">
        <f t="shared" si="5"/>
        <v/>
      </c>
      <c r="Y377" s="40" t="str">
        <f>IF($X377="","",IF(Config!$B$17=Config!$B$16,IF($X377&gt;=Config!$B$17,100,0),MAX(0,MIN(100,($X377-Config!$B$16)/(Config!$B$17-Config!$B$16)*100))))</f>
        <v/>
      </c>
      <c r="Z377" s="40">
        <f>IF($M377="Elite",Config!$B$21,0)</f>
        <v>0</v>
      </c>
      <c r="AA377" s="40" t="str">
        <f>IFERROR(IF(OR($W377="",$H377=""),"",IF($W377&gt;$H377,
  MAX(0, 60-(($W377-$H377)*24/Config!$B$19)*60),
  MIN(100, 60+(($H377-$W377)*24/Config!$B$20)*40)
)),"")
</f>
        <v/>
      </c>
      <c r="AB377" s="40" t="str">
        <f>IF($K377="","",IFERROR(VLOOKUP($K377,Grinders!$A$4:$N$998,10,FALSE)/5*100,""))</f>
        <v/>
      </c>
      <c r="AC377" s="40" t="str">
        <f>IF($K377="","",IFERROR(VLOOKUP($K377,Grinders!$A$4:$N$998,11,FALSE)*100,""))</f>
        <v/>
      </c>
      <c r="AD377" s="40" t="str">
        <f>IF($K377="","",IFERROR(VLOOKUP($K377,Grinders!$A$4:$N$998,12,FALSE)*100,""))</f>
        <v/>
      </c>
      <c r="AE377" s="40" t="str">
        <f>IF(OR(AO377=1,AP377=1),0,=IFERROR(IFS(
    OR($C377="", $K377=""), 0,
    $F377=0, 0,
    $D377&lt;&gt;"Open", 0,
    COUNTIFS(GrinderServices!$A$6:$A$1000, $K377, GrinderServices!$B$6:$B$1000, $E377, GrinderServices!$D$6:$D$1000, "Y")=0, 0,
    $X377&lt;Config!$B$16, 0,
    Config!$B$18=1, IF($O377&gt;=N377, 0, 1),
    TRUE, 1
), "")
)</f>
        <v>#ERROR!</v>
      </c>
      <c r="AF377" s="40" t="str">
        <f>IFERROR((IF(OR(AO377=1,AP377=1),"",=IFERROR((IFERROR(IF($AE377=0,"",((Config!$B$6*$Y377 + Config!$B$7*$U377 + Config!$B$8*$Z377 + Config!$B$9*$AA377 + Config!$B$10*$AB377 + Config!$B$11*$AC377 - Config!$B$12*$AD377)/Config!$B$13)+$AK377+$AL377),""))*(1-IFERROR(VLOOKUP(K377,Grinders!$A:$AB, 28, FALSE),0)),"")))*(1+AR377),"")</f>
        <v>#ERROR!</v>
      </c>
      <c r="AG377" s="40" t="str">
        <f t="shared" si="6"/>
        <v>#ERROR!</v>
      </c>
      <c r="AH377" s="40" t="str">
        <f t="shared" si="7"/>
        <v/>
      </c>
      <c r="AI377" s="40" t="str">
        <f t="shared" si="8"/>
        <v/>
      </c>
      <c r="AJ377" s="40" t="str">
        <f>IF($K377="","",COUNTIF(Assignments!$B$6:$B$1000,$K377))</f>
        <v/>
      </c>
      <c r="AK377" s="40" t="str">
        <f>IF($K377="","",IF(AND($AJ377=0,$O377&lt;$N377),Config!$B$43,0))</f>
        <v/>
      </c>
      <c r="AL377" s="40" t="str">
        <f>IF($K377="","",IF(AND($M377="Elite",$G377&gt;=Config!$B$41,$O377&lt;$N377),Config!$B$42,0))</f>
        <v/>
      </c>
      <c r="AM377" s="22"/>
      <c r="AN377" s="39">
        <f>IFERROR(VLOOKUP(K377,Grinders!$A:$Q,28,FALSE),0)</f>
        <v>0</v>
      </c>
      <c r="AO377" s="39">
        <f>IF(Config!$B$1003&lt;&gt;"Y",0,IF(IFERROR(VLOOKUP(K377,Grinders!$A:$P,27,FALSE),0)&gt;=3,IF(OR(G377&gt;=Config!$B$1001,ISNUMBER(SEARCH(E377,Config!$B$1002))),1,0),0))</f>
        <v>0</v>
      </c>
      <c r="AP377" s="39">
        <f t="array" ref="AP377">IFERROR(IF(INDEX(Bids!$AE:$AE,MATCH(B377,Bids!$A:$A,0))="Pending",1,0),0)</f>
        <v>0</v>
      </c>
      <c r="AQ377" s="39" t="str">
        <f t="array" ref="AQ377">IF(C377="","",IFERROR(XLOOKUP(C377,Assignments!$C:$C,Assignments!$AU:$AU,0),0))</f>
        <v/>
      </c>
      <c r="AR377" s="39">
        <f>IF(AND(Config!$B$1006="Y",AQ377=1),Config!$B$1007,0)</f>
        <v>0</v>
      </c>
    </row>
    <row r="378" ht="15.75" customHeight="1">
      <c r="A378" s="46" t="str">
        <f t="shared" si="1"/>
        <v/>
      </c>
      <c r="B378" s="40" t="str">
        <f>IF(Bids!$A377="","",Bids!$A377)</f>
        <v/>
      </c>
      <c r="C378" s="40" t="str">
        <f>IF(Bids!$B377="","",Bids!$B377)</f>
        <v/>
      </c>
      <c r="D378" s="40" t="str">
        <f>IF($C378="","",IFERROR(VLOOKUP($C378,Orders!$A$4:$J$998,9,FALSE),""))</f>
        <v/>
      </c>
      <c r="E378" s="40" t="str">
        <f>IF($C378="","",IFERROR(VLOOKUP($C378,Orders!$A$4:$J$998,3,FALSE),""))</f>
        <v/>
      </c>
      <c r="F378" s="40">
        <f t="shared" si="2"/>
        <v>1</v>
      </c>
      <c r="G378" s="40" t="str">
        <f>IF($C378="","",IFERROR(VLOOKUP($C378,Orders!$A$4:$J$998,4,FALSE),""))</f>
        <v/>
      </c>
      <c r="H378" s="40" t="str">
        <f>IF($C378="","",IFERROR(VLOOKUP($C378,Orders!$A$4:$J$998,5,FALSE),""))</f>
        <v/>
      </c>
      <c r="I378" s="40" t="str">
        <f>IF($C378="","",IFERROR(VLOOKUP($C378,Orders!$A$4:$J$998,6,FALSE),""))</f>
        <v/>
      </c>
      <c r="J378" s="40" t="str">
        <f>IF($C378="","",IFERROR(VLOOKUP($C378,Orders!$A$4:$J$998,7,FALSE),""))</f>
        <v/>
      </c>
      <c r="K378" s="40" t="str">
        <f>IF(Bids!$C377="","",Bids!$C377)</f>
        <v/>
      </c>
      <c r="L378" s="40" t="str">
        <f>IF($K378="","",IFERROR(VLOOKUP($K378,Grinders!$A$4:$N$998,2,FALSE),""))</f>
        <v/>
      </c>
      <c r="M378" s="40" t="str">
        <f>IF($K378="","",IFERROR(VLOOKUP($K378,Grinders!$A$4:$N$998,3,FALSE),""))</f>
        <v/>
      </c>
      <c r="N378" s="40" t="str">
        <f>IF($K378="","",IFERROR(VLOOKUP($K378,Grinders!$A$4:$N$998,4,FALSE),""))</f>
        <v/>
      </c>
      <c r="O378" s="40" t="str">
        <f>IF($K378="","",IFERROR(VLOOKUP($K378,Grinders!$A$4:$N$998,5,FALSE),""))</f>
        <v/>
      </c>
      <c r="P378" s="40" t="str">
        <f>IF($K378="","",IF($C$4="",0,COUNTIFS(Assignments!$B$6:$B$1000,$K378,Assignments!$F$6:$F$1000,$C$4,Assignments!$E$6:$E$1000,"Active")))</f>
        <v/>
      </c>
      <c r="Q378" s="40" t="str">
        <f t="shared" si="3"/>
        <v/>
      </c>
      <c r="R378" s="40" t="str">
        <f t="shared" si="4"/>
        <v/>
      </c>
      <c r="S378" s="40" t="str">
        <f>IF($K378="","",IF($C$4="",0,COUNTIFS(Assignments!$B$6:$B$1000,$K378,Assignments!$F$6:$F$1000,$C$4,Assignments!$D$6:$D$1000,"&gt;="&amp;Config!$B$3-7,Assignments!$D$6:$D$1000,"&lt;="&amp;Config!$B$3)))</f>
        <v/>
      </c>
      <c r="T378" s="40" t="str">
        <f>IF($K378="","",IFERROR(VLOOKUP($K378,Grinders!$A$4:$N$998,8,FALSE),""))</f>
        <v/>
      </c>
      <c r="U378" s="40" t="str">
        <f>IFERROR(IF($K378="","",IF($M378="Elite",MAX(50,MIN(100,Config!$B$27*MAX(0,MIN(100,(1-IF($R378="",0,$R378))*100)) + Config!$B$28*MAX(0,MIN(100,(1-MIN(1,IF(Config!$B$30=0,1,$S378/Config!$B$30)))*100)) + Config!$B$29*MAX(0,MIN(100,MIN(1,IF($T378="",0,$T378)/Config!$B$23)*100)))),MIN(100,Config!$B$27*MAX(0,MIN(100,(1-IF($R378="",0,$R378))*100)) + Config!$B$28*MAX(0,MIN(100,(1-MIN(1,IF(Config!$B$30=0,1,$S378/Config!$B$30)))*100)) + Config!$B$29*MAX(0,MIN(100,MIN(1,IF($T378="",0,$T378)/Config!$B$23)*100))))),"")
</f>
        <v/>
      </c>
      <c r="V378" s="40" t="str">
        <f>IF(Bids!$AC378="","",Bids!$AC378)</f>
        <v/>
      </c>
      <c r="W378" s="40" t="str">
        <f>IF(Bids!$F377="","",Bids!$F377)</f>
        <v/>
      </c>
      <c r="X378" s="40" t="str">
        <f t="shared" si="5"/>
        <v/>
      </c>
      <c r="Y378" s="40" t="str">
        <f>IF($X378="","",IF(Config!$B$17=Config!$B$16,IF($X378&gt;=Config!$B$17,100,0),MAX(0,MIN(100,($X378-Config!$B$16)/(Config!$B$17-Config!$B$16)*100))))</f>
        <v/>
      </c>
      <c r="Z378" s="40">
        <f>IF($M378="Elite",Config!$B$21,0)</f>
        <v>0</v>
      </c>
      <c r="AA378" s="40" t="str">
        <f>IFERROR(IF(OR($W378="",$H378=""),"",IF($W378&gt;$H378,
  MAX(0, 60-(($W378-$H378)*24/Config!$B$19)*60),
  MIN(100, 60+(($H378-$W378)*24/Config!$B$20)*40)
)),"")
</f>
        <v/>
      </c>
      <c r="AB378" s="40" t="str">
        <f>IF($K378="","",IFERROR(VLOOKUP($K378,Grinders!$A$4:$N$998,10,FALSE)/5*100,""))</f>
        <v/>
      </c>
      <c r="AC378" s="40" t="str">
        <f>IF($K378="","",IFERROR(VLOOKUP($K378,Grinders!$A$4:$N$998,11,FALSE)*100,""))</f>
        <v/>
      </c>
      <c r="AD378" s="40" t="str">
        <f>IF($K378="","",IFERROR(VLOOKUP($K378,Grinders!$A$4:$N$998,12,FALSE)*100,""))</f>
        <v/>
      </c>
      <c r="AE378" s="40" t="str">
        <f>IF(OR(AO378=1,AP378=1),0,=IFERROR(IFS(
    OR($C378="", $K378=""), 0,
    $F378=0, 0,
    $D378&lt;&gt;"Open", 0,
    COUNTIFS(GrinderServices!$A$6:$A$1000, $K378, GrinderServices!$B$6:$B$1000, $E378, GrinderServices!$D$6:$D$1000, "Y")=0, 0,
    $X378&lt;Config!$B$16, 0,
    Config!$B$18=1, IF($O378&gt;=N378, 0, 1),
    TRUE, 1
), "")
)</f>
        <v>#ERROR!</v>
      </c>
      <c r="AF378" s="40" t="str">
        <f>IFERROR((IF(OR(AO378=1,AP378=1),"",=IFERROR((IFERROR(IF($AE378=0,"",((Config!$B$6*$Y378 + Config!$B$7*$U378 + Config!$B$8*$Z378 + Config!$B$9*$AA378 + Config!$B$10*$AB378 + Config!$B$11*$AC378 - Config!$B$12*$AD378)/Config!$B$13)+$AK378+$AL378),""))*(1-IFERROR(VLOOKUP(K378,Grinders!$A:$AB, 28, FALSE),0)),"")))*(1+AR378),"")</f>
        <v>#ERROR!</v>
      </c>
      <c r="AG378" s="40" t="str">
        <f t="shared" si="6"/>
        <v>#ERROR!</v>
      </c>
      <c r="AH378" s="40" t="str">
        <f t="shared" si="7"/>
        <v/>
      </c>
      <c r="AI378" s="40" t="str">
        <f t="shared" si="8"/>
        <v/>
      </c>
      <c r="AJ378" s="40" t="str">
        <f>IF($K378="","",COUNTIF(Assignments!$B$6:$B$1000,$K378))</f>
        <v/>
      </c>
      <c r="AK378" s="40" t="str">
        <f>IF($K378="","",IF(AND($AJ378=0,$O378&lt;$N378),Config!$B$43,0))</f>
        <v/>
      </c>
      <c r="AL378" s="40" t="str">
        <f>IF($K378="","",IF(AND($M378="Elite",$G378&gt;=Config!$B$41,$O378&lt;$N378),Config!$B$42,0))</f>
        <v/>
      </c>
      <c r="AM378" s="22"/>
      <c r="AN378" s="39">
        <f>IFERROR(VLOOKUP(K378,Grinders!$A:$Q,28,FALSE),0)</f>
        <v>0</v>
      </c>
      <c r="AO378" s="39">
        <f>IF(Config!$B$1003&lt;&gt;"Y",0,IF(IFERROR(VLOOKUP(K378,Grinders!$A:$P,27,FALSE),0)&gt;=3,IF(OR(G378&gt;=Config!$B$1001,ISNUMBER(SEARCH(E378,Config!$B$1002))),1,0),0))</f>
        <v>0</v>
      </c>
      <c r="AP378" s="39">
        <f t="array" ref="AP378">IFERROR(IF(INDEX(Bids!$AE:$AE,MATCH(B378,Bids!$A:$A,0))="Pending",1,0),0)</f>
        <v>0</v>
      </c>
      <c r="AQ378" s="39" t="str">
        <f t="array" ref="AQ378">IF(C378="","",IFERROR(XLOOKUP(C378,Assignments!$C:$C,Assignments!$AU:$AU,0),0))</f>
        <v/>
      </c>
      <c r="AR378" s="39">
        <f>IF(AND(Config!$B$1006="Y",AQ378=1),Config!$B$1007,0)</f>
        <v>0</v>
      </c>
    </row>
    <row r="379" ht="15.75" customHeight="1">
      <c r="A379" s="46" t="str">
        <f t="shared" si="1"/>
        <v/>
      </c>
      <c r="B379" s="40" t="str">
        <f>IF(Bids!$A378="","",Bids!$A378)</f>
        <v/>
      </c>
      <c r="C379" s="40" t="str">
        <f>IF(Bids!$B378="","",Bids!$B378)</f>
        <v/>
      </c>
      <c r="D379" s="40" t="str">
        <f>IF($C379="","",IFERROR(VLOOKUP($C379,Orders!$A$4:$J$998,9,FALSE),""))</f>
        <v/>
      </c>
      <c r="E379" s="40" t="str">
        <f>IF($C379="","",IFERROR(VLOOKUP($C379,Orders!$A$4:$J$998,3,FALSE),""))</f>
        <v/>
      </c>
      <c r="F379" s="40">
        <f t="shared" si="2"/>
        <v>1</v>
      </c>
      <c r="G379" s="40" t="str">
        <f>IF($C379="","",IFERROR(VLOOKUP($C379,Orders!$A$4:$J$998,4,FALSE),""))</f>
        <v/>
      </c>
      <c r="H379" s="40" t="str">
        <f>IF($C379="","",IFERROR(VLOOKUP($C379,Orders!$A$4:$J$998,5,FALSE),""))</f>
        <v/>
      </c>
      <c r="I379" s="40" t="str">
        <f>IF($C379="","",IFERROR(VLOOKUP($C379,Orders!$A$4:$J$998,6,FALSE),""))</f>
        <v/>
      </c>
      <c r="J379" s="40" t="str">
        <f>IF($C379="","",IFERROR(VLOOKUP($C379,Orders!$A$4:$J$998,7,FALSE),""))</f>
        <v/>
      </c>
      <c r="K379" s="40" t="str">
        <f>IF(Bids!$C378="","",Bids!$C378)</f>
        <v/>
      </c>
      <c r="L379" s="40" t="str">
        <f>IF($K379="","",IFERROR(VLOOKUP($K379,Grinders!$A$4:$N$998,2,FALSE),""))</f>
        <v/>
      </c>
      <c r="M379" s="40" t="str">
        <f>IF($K379="","",IFERROR(VLOOKUP($K379,Grinders!$A$4:$N$998,3,FALSE),""))</f>
        <v/>
      </c>
      <c r="N379" s="40" t="str">
        <f>IF($K379="","",IFERROR(VLOOKUP($K379,Grinders!$A$4:$N$998,4,FALSE),""))</f>
        <v/>
      </c>
      <c r="O379" s="40" t="str">
        <f>IF($K379="","",IFERROR(VLOOKUP($K379,Grinders!$A$4:$N$998,5,FALSE),""))</f>
        <v/>
      </c>
      <c r="P379" s="40" t="str">
        <f>IF($K379="","",IF($C$4="",0,COUNTIFS(Assignments!$B$6:$B$1000,$K379,Assignments!$F$6:$F$1000,$C$4,Assignments!$E$6:$E$1000,"Active")))</f>
        <v/>
      </c>
      <c r="Q379" s="40" t="str">
        <f t="shared" si="3"/>
        <v/>
      </c>
      <c r="R379" s="40" t="str">
        <f t="shared" si="4"/>
        <v/>
      </c>
      <c r="S379" s="40" t="str">
        <f>IF($K379="","",IF($C$4="",0,COUNTIFS(Assignments!$B$6:$B$1000,$K379,Assignments!$F$6:$F$1000,$C$4,Assignments!$D$6:$D$1000,"&gt;="&amp;Config!$B$3-7,Assignments!$D$6:$D$1000,"&lt;="&amp;Config!$B$3)))</f>
        <v/>
      </c>
      <c r="T379" s="40" t="str">
        <f>IF($K379="","",IFERROR(VLOOKUP($K379,Grinders!$A$4:$N$998,8,FALSE),""))</f>
        <v/>
      </c>
      <c r="U379" s="40" t="str">
        <f>IFERROR(IF($K379="","",IF($M379="Elite",MAX(50,MIN(100,Config!$B$27*MAX(0,MIN(100,(1-IF($R379="",0,$R379))*100)) + Config!$B$28*MAX(0,MIN(100,(1-MIN(1,IF(Config!$B$30=0,1,$S379/Config!$B$30)))*100)) + Config!$B$29*MAX(0,MIN(100,MIN(1,IF($T379="",0,$T379)/Config!$B$23)*100)))),MIN(100,Config!$B$27*MAX(0,MIN(100,(1-IF($R379="",0,$R379))*100)) + Config!$B$28*MAX(0,MIN(100,(1-MIN(1,IF(Config!$B$30=0,1,$S379/Config!$B$30)))*100)) + Config!$B$29*MAX(0,MIN(100,MIN(1,IF($T379="",0,$T379)/Config!$B$23)*100))))),"")
</f>
        <v/>
      </c>
      <c r="V379" s="40" t="str">
        <f>IF(Bids!$AC379="","",Bids!$AC379)</f>
        <v/>
      </c>
      <c r="W379" s="40" t="str">
        <f>IF(Bids!$F378="","",Bids!$F378)</f>
        <v/>
      </c>
      <c r="X379" s="40" t="str">
        <f t="shared" si="5"/>
        <v/>
      </c>
      <c r="Y379" s="40" t="str">
        <f>IF($X379="","",IF(Config!$B$17=Config!$B$16,IF($X379&gt;=Config!$B$17,100,0),MAX(0,MIN(100,($X379-Config!$B$16)/(Config!$B$17-Config!$B$16)*100))))</f>
        <v/>
      </c>
      <c r="Z379" s="40">
        <f>IF($M379="Elite",Config!$B$21,0)</f>
        <v>0</v>
      </c>
      <c r="AA379" s="40" t="str">
        <f>IFERROR(IF(OR($W379="",$H379=""),"",IF($W379&gt;$H379,
  MAX(0, 60-(($W379-$H379)*24/Config!$B$19)*60),
  MIN(100, 60+(($H379-$W379)*24/Config!$B$20)*40)
)),"")
</f>
        <v/>
      </c>
      <c r="AB379" s="40" t="str">
        <f>IF($K379="","",IFERROR(VLOOKUP($K379,Grinders!$A$4:$N$998,10,FALSE)/5*100,""))</f>
        <v/>
      </c>
      <c r="AC379" s="40" t="str">
        <f>IF($K379="","",IFERROR(VLOOKUP($K379,Grinders!$A$4:$N$998,11,FALSE)*100,""))</f>
        <v/>
      </c>
      <c r="AD379" s="40" t="str">
        <f>IF($K379="","",IFERROR(VLOOKUP($K379,Grinders!$A$4:$N$998,12,FALSE)*100,""))</f>
        <v/>
      </c>
      <c r="AE379" s="40" t="str">
        <f>IF(OR(AO379=1,AP379=1),0,=IFERROR(IFS(
    OR($C379="", $K379=""), 0,
    $F379=0, 0,
    $D379&lt;&gt;"Open", 0,
    COUNTIFS(GrinderServices!$A$6:$A$1000, $K379, GrinderServices!$B$6:$B$1000, $E379, GrinderServices!$D$6:$D$1000, "Y")=0, 0,
    $X379&lt;Config!$B$16, 0,
    Config!$B$18=1, IF($O379&gt;=N379, 0, 1),
    TRUE, 1
), "")
)</f>
        <v>#ERROR!</v>
      </c>
      <c r="AF379" s="40" t="str">
        <f>IFERROR((IF(OR(AO379=1,AP379=1),"",=IFERROR((IFERROR(IF($AE379=0,"",((Config!$B$6*$Y379 + Config!$B$7*$U379 + Config!$B$8*$Z379 + Config!$B$9*$AA379 + Config!$B$10*$AB379 + Config!$B$11*$AC379 - Config!$B$12*$AD379)/Config!$B$13)+$AK379+$AL379),""))*(1-IFERROR(VLOOKUP(K379,Grinders!$A:$AB, 28, FALSE),0)),"")))*(1+AR379),"")</f>
        <v>#ERROR!</v>
      </c>
      <c r="AG379" s="40" t="str">
        <f t="shared" si="6"/>
        <v>#ERROR!</v>
      </c>
      <c r="AH379" s="40" t="str">
        <f t="shared" si="7"/>
        <v/>
      </c>
      <c r="AI379" s="40" t="str">
        <f t="shared" si="8"/>
        <v/>
      </c>
      <c r="AJ379" s="40" t="str">
        <f>IF($K379="","",COUNTIF(Assignments!$B$6:$B$1000,$K379))</f>
        <v/>
      </c>
      <c r="AK379" s="40" t="str">
        <f>IF($K379="","",IF(AND($AJ379=0,$O379&lt;$N379),Config!$B$43,0))</f>
        <v/>
      </c>
      <c r="AL379" s="40" t="str">
        <f>IF($K379="","",IF(AND($M379="Elite",$G379&gt;=Config!$B$41,$O379&lt;$N379),Config!$B$42,0))</f>
        <v/>
      </c>
      <c r="AM379" s="22"/>
      <c r="AN379" s="39">
        <f>IFERROR(VLOOKUP(K379,Grinders!$A:$Q,28,FALSE),0)</f>
        <v>0</v>
      </c>
      <c r="AO379" s="39">
        <f>IF(Config!$B$1003&lt;&gt;"Y",0,IF(IFERROR(VLOOKUP(K379,Grinders!$A:$P,27,FALSE),0)&gt;=3,IF(OR(G379&gt;=Config!$B$1001,ISNUMBER(SEARCH(E379,Config!$B$1002))),1,0),0))</f>
        <v>0</v>
      </c>
      <c r="AP379" s="39">
        <f t="array" ref="AP379">IFERROR(IF(INDEX(Bids!$AE:$AE,MATCH(B379,Bids!$A:$A,0))="Pending",1,0),0)</f>
        <v>0</v>
      </c>
      <c r="AQ379" s="39" t="str">
        <f t="array" ref="AQ379">IF(C379="","",IFERROR(XLOOKUP(C379,Assignments!$C:$C,Assignments!$AU:$AU,0),0))</f>
        <v/>
      </c>
      <c r="AR379" s="39">
        <f>IF(AND(Config!$B$1006="Y",AQ379=1),Config!$B$1007,0)</f>
        <v>0</v>
      </c>
    </row>
    <row r="380" ht="15.75" customHeight="1">
      <c r="A380" s="46" t="str">
        <f t="shared" si="1"/>
        <v/>
      </c>
      <c r="B380" s="40" t="str">
        <f>IF(Bids!$A379="","",Bids!$A379)</f>
        <v/>
      </c>
      <c r="C380" s="40" t="str">
        <f>IF(Bids!$B379="","",Bids!$B379)</f>
        <v/>
      </c>
      <c r="D380" s="40" t="str">
        <f>IF($C380="","",IFERROR(VLOOKUP($C380,Orders!$A$4:$J$998,9,FALSE),""))</f>
        <v/>
      </c>
      <c r="E380" s="40" t="str">
        <f>IF($C380="","",IFERROR(VLOOKUP($C380,Orders!$A$4:$J$998,3,FALSE),""))</f>
        <v/>
      </c>
      <c r="F380" s="40">
        <f t="shared" si="2"/>
        <v>1</v>
      </c>
      <c r="G380" s="40" t="str">
        <f>IF($C380="","",IFERROR(VLOOKUP($C380,Orders!$A$4:$J$998,4,FALSE),""))</f>
        <v/>
      </c>
      <c r="H380" s="40" t="str">
        <f>IF($C380="","",IFERROR(VLOOKUP($C380,Orders!$A$4:$J$998,5,FALSE),""))</f>
        <v/>
      </c>
      <c r="I380" s="40" t="str">
        <f>IF($C380="","",IFERROR(VLOOKUP($C380,Orders!$A$4:$J$998,6,FALSE),""))</f>
        <v/>
      </c>
      <c r="J380" s="40" t="str">
        <f>IF($C380="","",IFERROR(VLOOKUP($C380,Orders!$A$4:$J$998,7,FALSE),""))</f>
        <v/>
      </c>
      <c r="K380" s="40" t="str">
        <f>IF(Bids!$C379="","",Bids!$C379)</f>
        <v/>
      </c>
      <c r="L380" s="40" t="str">
        <f>IF($K380="","",IFERROR(VLOOKUP($K380,Grinders!$A$4:$N$998,2,FALSE),""))</f>
        <v/>
      </c>
      <c r="M380" s="40" t="str">
        <f>IF($K380="","",IFERROR(VLOOKUP($K380,Grinders!$A$4:$N$998,3,FALSE),""))</f>
        <v/>
      </c>
      <c r="N380" s="40" t="str">
        <f>IF($K380="","",IFERROR(VLOOKUP($K380,Grinders!$A$4:$N$998,4,FALSE),""))</f>
        <v/>
      </c>
      <c r="O380" s="40" t="str">
        <f>IF($K380="","",IFERROR(VLOOKUP($K380,Grinders!$A$4:$N$998,5,FALSE),""))</f>
        <v/>
      </c>
      <c r="P380" s="40" t="str">
        <f>IF($K380="","",IF($C$4="",0,COUNTIFS(Assignments!$B$6:$B$1000,$K380,Assignments!$F$6:$F$1000,$C$4,Assignments!$E$6:$E$1000,"Active")))</f>
        <v/>
      </c>
      <c r="Q380" s="40" t="str">
        <f t="shared" si="3"/>
        <v/>
      </c>
      <c r="R380" s="40" t="str">
        <f t="shared" si="4"/>
        <v/>
      </c>
      <c r="S380" s="40" t="str">
        <f>IF($K380="","",IF($C$4="",0,COUNTIFS(Assignments!$B$6:$B$1000,$K380,Assignments!$F$6:$F$1000,$C$4,Assignments!$D$6:$D$1000,"&gt;="&amp;Config!$B$3-7,Assignments!$D$6:$D$1000,"&lt;="&amp;Config!$B$3)))</f>
        <v/>
      </c>
      <c r="T380" s="40" t="str">
        <f>IF($K380="","",IFERROR(VLOOKUP($K380,Grinders!$A$4:$N$998,8,FALSE),""))</f>
        <v/>
      </c>
      <c r="U380" s="40" t="str">
        <f>IFERROR(IF($K380="","",IF($M380="Elite",MAX(50,MIN(100,Config!$B$27*MAX(0,MIN(100,(1-IF($R380="",0,$R380))*100)) + Config!$B$28*MAX(0,MIN(100,(1-MIN(1,IF(Config!$B$30=0,1,$S380/Config!$B$30)))*100)) + Config!$B$29*MAX(0,MIN(100,MIN(1,IF($T380="",0,$T380)/Config!$B$23)*100)))),MIN(100,Config!$B$27*MAX(0,MIN(100,(1-IF($R380="",0,$R380))*100)) + Config!$B$28*MAX(0,MIN(100,(1-MIN(1,IF(Config!$B$30=0,1,$S380/Config!$B$30)))*100)) + Config!$B$29*MAX(0,MIN(100,MIN(1,IF($T380="",0,$T380)/Config!$B$23)*100))))),"")
</f>
        <v/>
      </c>
      <c r="V380" s="40" t="str">
        <f>IF(Bids!$AC380="","",Bids!$AC380)</f>
        <v/>
      </c>
      <c r="W380" s="40" t="str">
        <f>IF(Bids!$F379="","",Bids!$F379)</f>
        <v/>
      </c>
      <c r="X380" s="40" t="str">
        <f t="shared" si="5"/>
        <v/>
      </c>
      <c r="Y380" s="40" t="str">
        <f>IF($X380="","",IF(Config!$B$17=Config!$B$16,IF($X380&gt;=Config!$B$17,100,0),MAX(0,MIN(100,($X380-Config!$B$16)/(Config!$B$17-Config!$B$16)*100))))</f>
        <v/>
      </c>
      <c r="Z380" s="40">
        <f>IF($M380="Elite",Config!$B$21,0)</f>
        <v>0</v>
      </c>
      <c r="AA380" s="40" t="str">
        <f>IFERROR(IF(OR($W380="",$H380=""),"",IF($W380&gt;$H380,
  MAX(0, 60-(($W380-$H380)*24/Config!$B$19)*60),
  MIN(100, 60+(($H380-$W380)*24/Config!$B$20)*40)
)),"")
</f>
        <v/>
      </c>
      <c r="AB380" s="40" t="str">
        <f>IF($K380="","",IFERROR(VLOOKUP($K380,Grinders!$A$4:$N$998,10,FALSE)/5*100,""))</f>
        <v/>
      </c>
      <c r="AC380" s="40" t="str">
        <f>IF($K380="","",IFERROR(VLOOKUP($K380,Grinders!$A$4:$N$998,11,FALSE)*100,""))</f>
        <v/>
      </c>
      <c r="AD380" s="40" t="str">
        <f>IF($K380="","",IFERROR(VLOOKUP($K380,Grinders!$A$4:$N$998,12,FALSE)*100,""))</f>
        <v/>
      </c>
      <c r="AE380" s="40" t="str">
        <f>IF(OR(AO380=1,AP380=1),0,=IFERROR(IFS(
    OR($C380="", $K380=""), 0,
    $F380=0, 0,
    $D380&lt;&gt;"Open", 0,
    COUNTIFS(GrinderServices!$A$6:$A$1000, $K380, GrinderServices!$B$6:$B$1000, $E380, GrinderServices!$D$6:$D$1000, "Y")=0, 0,
    $X380&lt;Config!$B$16, 0,
    Config!$B$18=1, IF($O380&gt;=N380, 0, 1),
    TRUE, 1
), "")
)</f>
        <v>#ERROR!</v>
      </c>
      <c r="AF380" s="40" t="str">
        <f>IFERROR((IF(OR(AO380=1,AP380=1),"",=IFERROR((IFERROR(IF($AE380=0,"",((Config!$B$6*$Y380 + Config!$B$7*$U380 + Config!$B$8*$Z380 + Config!$B$9*$AA380 + Config!$B$10*$AB380 + Config!$B$11*$AC380 - Config!$B$12*$AD380)/Config!$B$13)+$AK380+$AL380),""))*(1-IFERROR(VLOOKUP(K380,Grinders!$A:$AB, 28, FALSE),0)),"")))*(1+AR380),"")</f>
        <v>#ERROR!</v>
      </c>
      <c r="AG380" s="40" t="str">
        <f t="shared" si="6"/>
        <v>#ERROR!</v>
      </c>
      <c r="AH380" s="40" t="str">
        <f t="shared" si="7"/>
        <v/>
      </c>
      <c r="AI380" s="40" t="str">
        <f t="shared" si="8"/>
        <v/>
      </c>
      <c r="AJ380" s="40" t="str">
        <f>IF($K380="","",COUNTIF(Assignments!$B$6:$B$1000,$K380))</f>
        <v/>
      </c>
      <c r="AK380" s="40" t="str">
        <f>IF($K380="","",IF(AND($AJ380=0,$O380&lt;$N380),Config!$B$43,0))</f>
        <v/>
      </c>
      <c r="AL380" s="40" t="str">
        <f>IF($K380="","",IF(AND($M380="Elite",$G380&gt;=Config!$B$41,$O380&lt;$N380),Config!$B$42,0))</f>
        <v/>
      </c>
      <c r="AM380" s="22"/>
      <c r="AN380" s="39">
        <f>IFERROR(VLOOKUP(K380,Grinders!$A:$Q,28,FALSE),0)</f>
        <v>0</v>
      </c>
      <c r="AO380" s="39">
        <f>IF(Config!$B$1003&lt;&gt;"Y",0,IF(IFERROR(VLOOKUP(K380,Grinders!$A:$P,27,FALSE),0)&gt;=3,IF(OR(G380&gt;=Config!$B$1001,ISNUMBER(SEARCH(E380,Config!$B$1002))),1,0),0))</f>
        <v>0</v>
      </c>
      <c r="AP380" s="39">
        <f t="array" ref="AP380">IFERROR(IF(INDEX(Bids!$AE:$AE,MATCH(B380,Bids!$A:$A,0))="Pending",1,0),0)</f>
        <v>0</v>
      </c>
      <c r="AQ380" s="39" t="str">
        <f t="array" ref="AQ380">IF(C380="","",IFERROR(XLOOKUP(C380,Assignments!$C:$C,Assignments!$AU:$AU,0),0))</f>
        <v/>
      </c>
      <c r="AR380" s="39">
        <f>IF(AND(Config!$B$1006="Y",AQ380=1),Config!$B$1007,0)</f>
        <v>0</v>
      </c>
    </row>
    <row r="381" ht="15.75" customHeight="1">
      <c r="A381" s="46" t="str">
        <f t="shared" si="1"/>
        <v/>
      </c>
      <c r="B381" s="40" t="str">
        <f>IF(Bids!$A380="","",Bids!$A380)</f>
        <v/>
      </c>
      <c r="C381" s="40" t="str">
        <f>IF(Bids!$B380="","",Bids!$B380)</f>
        <v/>
      </c>
      <c r="D381" s="40" t="str">
        <f>IF($C381="","",IFERROR(VLOOKUP($C381,Orders!$A$4:$J$998,9,FALSE),""))</f>
        <v/>
      </c>
      <c r="E381" s="40" t="str">
        <f>IF($C381="","",IFERROR(VLOOKUP($C381,Orders!$A$4:$J$998,3,FALSE),""))</f>
        <v/>
      </c>
      <c r="F381" s="40">
        <f t="shared" si="2"/>
        <v>1</v>
      </c>
      <c r="G381" s="40" t="str">
        <f>IF($C381="","",IFERROR(VLOOKUP($C381,Orders!$A$4:$J$998,4,FALSE),""))</f>
        <v/>
      </c>
      <c r="H381" s="40" t="str">
        <f>IF($C381="","",IFERROR(VLOOKUP($C381,Orders!$A$4:$J$998,5,FALSE),""))</f>
        <v/>
      </c>
      <c r="I381" s="40" t="str">
        <f>IF($C381="","",IFERROR(VLOOKUP($C381,Orders!$A$4:$J$998,6,FALSE),""))</f>
        <v/>
      </c>
      <c r="J381" s="40" t="str">
        <f>IF($C381="","",IFERROR(VLOOKUP($C381,Orders!$A$4:$J$998,7,FALSE),""))</f>
        <v/>
      </c>
      <c r="K381" s="40" t="str">
        <f>IF(Bids!$C380="","",Bids!$C380)</f>
        <v/>
      </c>
      <c r="L381" s="40" t="str">
        <f>IF($K381="","",IFERROR(VLOOKUP($K381,Grinders!$A$4:$N$998,2,FALSE),""))</f>
        <v/>
      </c>
      <c r="M381" s="40" t="str">
        <f>IF($K381="","",IFERROR(VLOOKUP($K381,Grinders!$A$4:$N$998,3,FALSE),""))</f>
        <v/>
      </c>
      <c r="N381" s="40" t="str">
        <f>IF($K381="","",IFERROR(VLOOKUP($K381,Grinders!$A$4:$N$998,4,FALSE),""))</f>
        <v/>
      </c>
      <c r="O381" s="40" t="str">
        <f>IF($K381="","",IFERROR(VLOOKUP($K381,Grinders!$A$4:$N$998,5,FALSE),""))</f>
        <v/>
      </c>
      <c r="P381" s="40" t="str">
        <f>IF($K381="","",IF($C$4="",0,COUNTIFS(Assignments!$B$6:$B$1000,$K381,Assignments!$F$6:$F$1000,$C$4,Assignments!$E$6:$E$1000,"Active")))</f>
        <v/>
      </c>
      <c r="Q381" s="40" t="str">
        <f t="shared" si="3"/>
        <v/>
      </c>
      <c r="R381" s="40" t="str">
        <f t="shared" si="4"/>
        <v/>
      </c>
      <c r="S381" s="40" t="str">
        <f>IF($K381="","",IF($C$4="",0,COUNTIFS(Assignments!$B$6:$B$1000,$K381,Assignments!$F$6:$F$1000,$C$4,Assignments!$D$6:$D$1000,"&gt;="&amp;Config!$B$3-7,Assignments!$D$6:$D$1000,"&lt;="&amp;Config!$B$3)))</f>
        <v/>
      </c>
      <c r="T381" s="40" t="str">
        <f>IF($K381="","",IFERROR(VLOOKUP($K381,Grinders!$A$4:$N$998,8,FALSE),""))</f>
        <v/>
      </c>
      <c r="U381" s="40" t="str">
        <f>IFERROR(IF($K381="","",IF($M381="Elite",MAX(50,MIN(100,Config!$B$27*MAX(0,MIN(100,(1-IF($R381="",0,$R381))*100)) + Config!$B$28*MAX(0,MIN(100,(1-MIN(1,IF(Config!$B$30=0,1,$S381/Config!$B$30)))*100)) + Config!$B$29*MAX(0,MIN(100,MIN(1,IF($T381="",0,$T381)/Config!$B$23)*100)))),MIN(100,Config!$B$27*MAX(0,MIN(100,(1-IF($R381="",0,$R381))*100)) + Config!$B$28*MAX(0,MIN(100,(1-MIN(1,IF(Config!$B$30=0,1,$S381/Config!$B$30)))*100)) + Config!$B$29*MAX(0,MIN(100,MIN(1,IF($T381="",0,$T381)/Config!$B$23)*100))))),"")
</f>
        <v/>
      </c>
      <c r="V381" s="40" t="str">
        <f>IF(Bids!$AC381="","",Bids!$AC381)</f>
        <v/>
      </c>
      <c r="W381" s="40" t="str">
        <f>IF(Bids!$F380="","",Bids!$F380)</f>
        <v/>
      </c>
      <c r="X381" s="40" t="str">
        <f t="shared" si="5"/>
        <v/>
      </c>
      <c r="Y381" s="40" t="str">
        <f>IF($X381="","",IF(Config!$B$17=Config!$B$16,IF($X381&gt;=Config!$B$17,100,0),MAX(0,MIN(100,($X381-Config!$B$16)/(Config!$B$17-Config!$B$16)*100))))</f>
        <v/>
      </c>
      <c r="Z381" s="40">
        <f>IF($M381="Elite",Config!$B$21,0)</f>
        <v>0</v>
      </c>
      <c r="AA381" s="40" t="str">
        <f>IFERROR(IF(OR($W381="",$H381=""),"",IF($W381&gt;$H381,
  MAX(0, 60-(($W381-$H381)*24/Config!$B$19)*60),
  MIN(100, 60+(($H381-$W381)*24/Config!$B$20)*40)
)),"")
</f>
        <v/>
      </c>
      <c r="AB381" s="40" t="str">
        <f>IF($K381="","",IFERROR(VLOOKUP($K381,Grinders!$A$4:$N$998,10,FALSE)/5*100,""))</f>
        <v/>
      </c>
      <c r="AC381" s="40" t="str">
        <f>IF($K381="","",IFERROR(VLOOKUP($K381,Grinders!$A$4:$N$998,11,FALSE)*100,""))</f>
        <v/>
      </c>
      <c r="AD381" s="40" t="str">
        <f>IF($K381="","",IFERROR(VLOOKUP($K381,Grinders!$A$4:$N$998,12,FALSE)*100,""))</f>
        <v/>
      </c>
      <c r="AE381" s="40" t="str">
        <f>IF(OR(AO381=1,AP381=1),0,=IFERROR(IFS(
    OR($C381="", $K381=""), 0,
    $F381=0, 0,
    $D381&lt;&gt;"Open", 0,
    COUNTIFS(GrinderServices!$A$6:$A$1000, $K381, GrinderServices!$B$6:$B$1000, $E381, GrinderServices!$D$6:$D$1000, "Y")=0, 0,
    $X381&lt;Config!$B$16, 0,
    Config!$B$18=1, IF($O381&gt;=N381, 0, 1),
    TRUE, 1
), "")
)</f>
        <v>#ERROR!</v>
      </c>
      <c r="AF381" s="40" t="str">
        <f>IFERROR((IF(OR(AO381=1,AP381=1),"",=IFERROR((IFERROR(IF($AE381=0,"",((Config!$B$6*$Y381 + Config!$B$7*$U381 + Config!$B$8*$Z381 + Config!$B$9*$AA381 + Config!$B$10*$AB381 + Config!$B$11*$AC381 - Config!$B$12*$AD381)/Config!$B$13)+$AK381+$AL381),""))*(1-IFERROR(VLOOKUP(K381,Grinders!$A:$AB, 28, FALSE),0)),"")))*(1+AR381),"")</f>
        <v>#ERROR!</v>
      </c>
      <c r="AG381" s="40" t="str">
        <f t="shared" si="6"/>
        <v>#ERROR!</v>
      </c>
      <c r="AH381" s="40" t="str">
        <f t="shared" si="7"/>
        <v/>
      </c>
      <c r="AI381" s="40" t="str">
        <f t="shared" si="8"/>
        <v/>
      </c>
      <c r="AJ381" s="40" t="str">
        <f>IF($K381="","",COUNTIF(Assignments!$B$6:$B$1000,$K381))</f>
        <v/>
      </c>
      <c r="AK381" s="40" t="str">
        <f>IF($K381="","",IF(AND($AJ381=0,$O381&lt;$N381),Config!$B$43,0))</f>
        <v/>
      </c>
      <c r="AL381" s="40" t="str">
        <f>IF($K381="","",IF(AND($M381="Elite",$G381&gt;=Config!$B$41,$O381&lt;$N381),Config!$B$42,0))</f>
        <v/>
      </c>
      <c r="AM381" s="22"/>
      <c r="AN381" s="39">
        <f>IFERROR(VLOOKUP(K381,Grinders!$A:$Q,28,FALSE),0)</f>
        <v>0</v>
      </c>
      <c r="AO381" s="39">
        <f>IF(Config!$B$1003&lt;&gt;"Y",0,IF(IFERROR(VLOOKUP(K381,Grinders!$A:$P,27,FALSE),0)&gt;=3,IF(OR(G381&gt;=Config!$B$1001,ISNUMBER(SEARCH(E381,Config!$B$1002))),1,0),0))</f>
        <v>0</v>
      </c>
      <c r="AP381" s="39">
        <f t="array" ref="AP381">IFERROR(IF(INDEX(Bids!$AE:$AE,MATCH(B381,Bids!$A:$A,0))="Pending",1,0),0)</f>
        <v>0</v>
      </c>
      <c r="AQ381" s="39" t="str">
        <f t="array" ref="AQ381">IF(C381="","",IFERROR(XLOOKUP(C381,Assignments!$C:$C,Assignments!$AU:$AU,0),0))</f>
        <v/>
      </c>
      <c r="AR381" s="39">
        <f>IF(AND(Config!$B$1006="Y",AQ381=1),Config!$B$1007,0)</f>
        <v>0</v>
      </c>
    </row>
    <row r="382" ht="15.75" customHeight="1">
      <c r="A382" s="46" t="str">
        <f t="shared" si="1"/>
        <v/>
      </c>
      <c r="B382" s="40" t="str">
        <f>IF(Bids!$A381="","",Bids!$A381)</f>
        <v/>
      </c>
      <c r="C382" s="40" t="str">
        <f>IF(Bids!$B381="","",Bids!$B381)</f>
        <v/>
      </c>
      <c r="D382" s="40" t="str">
        <f>IF($C382="","",IFERROR(VLOOKUP($C382,Orders!$A$4:$J$998,9,FALSE),""))</f>
        <v/>
      </c>
      <c r="E382" s="40" t="str">
        <f>IF($C382="","",IFERROR(VLOOKUP($C382,Orders!$A$4:$J$998,3,FALSE),""))</f>
        <v/>
      </c>
      <c r="F382" s="40">
        <f t="shared" si="2"/>
        <v>1</v>
      </c>
      <c r="G382" s="40" t="str">
        <f>IF($C382="","",IFERROR(VLOOKUP($C382,Orders!$A$4:$J$998,4,FALSE),""))</f>
        <v/>
      </c>
      <c r="H382" s="40" t="str">
        <f>IF($C382="","",IFERROR(VLOOKUP($C382,Orders!$A$4:$J$998,5,FALSE),""))</f>
        <v/>
      </c>
      <c r="I382" s="40" t="str">
        <f>IF($C382="","",IFERROR(VLOOKUP($C382,Orders!$A$4:$J$998,6,FALSE),""))</f>
        <v/>
      </c>
      <c r="J382" s="40" t="str">
        <f>IF($C382="","",IFERROR(VLOOKUP($C382,Orders!$A$4:$J$998,7,FALSE),""))</f>
        <v/>
      </c>
      <c r="K382" s="40" t="str">
        <f>IF(Bids!$C381="","",Bids!$C381)</f>
        <v/>
      </c>
      <c r="L382" s="40" t="str">
        <f>IF($K382="","",IFERROR(VLOOKUP($K382,Grinders!$A$4:$N$998,2,FALSE),""))</f>
        <v/>
      </c>
      <c r="M382" s="40" t="str">
        <f>IF($K382="","",IFERROR(VLOOKUP($K382,Grinders!$A$4:$N$998,3,FALSE),""))</f>
        <v/>
      </c>
      <c r="N382" s="40" t="str">
        <f>IF($K382="","",IFERROR(VLOOKUP($K382,Grinders!$A$4:$N$998,4,FALSE),""))</f>
        <v/>
      </c>
      <c r="O382" s="40" t="str">
        <f>IF($K382="","",IFERROR(VLOOKUP($K382,Grinders!$A$4:$N$998,5,FALSE),""))</f>
        <v/>
      </c>
      <c r="P382" s="40" t="str">
        <f>IF($K382="","",IF($C$4="",0,COUNTIFS(Assignments!$B$6:$B$1000,$K382,Assignments!$F$6:$F$1000,$C$4,Assignments!$E$6:$E$1000,"Active")))</f>
        <v/>
      </c>
      <c r="Q382" s="40" t="str">
        <f t="shared" si="3"/>
        <v/>
      </c>
      <c r="R382" s="40" t="str">
        <f t="shared" si="4"/>
        <v/>
      </c>
      <c r="S382" s="40" t="str">
        <f>IF($K382="","",IF($C$4="",0,COUNTIFS(Assignments!$B$6:$B$1000,$K382,Assignments!$F$6:$F$1000,$C$4,Assignments!$D$6:$D$1000,"&gt;="&amp;Config!$B$3-7,Assignments!$D$6:$D$1000,"&lt;="&amp;Config!$B$3)))</f>
        <v/>
      </c>
      <c r="T382" s="40" t="str">
        <f>IF($K382="","",IFERROR(VLOOKUP($K382,Grinders!$A$4:$N$998,8,FALSE),""))</f>
        <v/>
      </c>
      <c r="U382" s="40" t="str">
        <f>IFERROR(IF($K382="","",IF($M382="Elite",MAX(50,MIN(100,Config!$B$27*MAX(0,MIN(100,(1-IF($R382="",0,$R382))*100)) + Config!$B$28*MAX(0,MIN(100,(1-MIN(1,IF(Config!$B$30=0,1,$S382/Config!$B$30)))*100)) + Config!$B$29*MAX(0,MIN(100,MIN(1,IF($T382="",0,$T382)/Config!$B$23)*100)))),MIN(100,Config!$B$27*MAX(0,MIN(100,(1-IF($R382="",0,$R382))*100)) + Config!$B$28*MAX(0,MIN(100,(1-MIN(1,IF(Config!$B$30=0,1,$S382/Config!$B$30)))*100)) + Config!$B$29*MAX(0,MIN(100,MIN(1,IF($T382="",0,$T382)/Config!$B$23)*100))))),"")
</f>
        <v/>
      </c>
      <c r="V382" s="40" t="str">
        <f>IF(Bids!$AC382="","",Bids!$AC382)</f>
        <v/>
      </c>
      <c r="W382" s="40" t="str">
        <f>IF(Bids!$F381="","",Bids!$F381)</f>
        <v/>
      </c>
      <c r="X382" s="40" t="str">
        <f t="shared" si="5"/>
        <v/>
      </c>
      <c r="Y382" s="40" t="str">
        <f>IF($X382="","",IF(Config!$B$17=Config!$B$16,IF($X382&gt;=Config!$B$17,100,0),MAX(0,MIN(100,($X382-Config!$B$16)/(Config!$B$17-Config!$B$16)*100))))</f>
        <v/>
      </c>
      <c r="Z382" s="40">
        <f>IF($M382="Elite",Config!$B$21,0)</f>
        <v>0</v>
      </c>
      <c r="AA382" s="40" t="str">
        <f>IFERROR(IF(OR($W382="",$H382=""),"",IF($W382&gt;$H382,
  MAX(0, 60-(($W382-$H382)*24/Config!$B$19)*60),
  MIN(100, 60+(($H382-$W382)*24/Config!$B$20)*40)
)),"")
</f>
        <v/>
      </c>
      <c r="AB382" s="40" t="str">
        <f>IF($K382="","",IFERROR(VLOOKUP($K382,Grinders!$A$4:$N$998,10,FALSE)/5*100,""))</f>
        <v/>
      </c>
      <c r="AC382" s="40" t="str">
        <f>IF($K382="","",IFERROR(VLOOKUP($K382,Grinders!$A$4:$N$998,11,FALSE)*100,""))</f>
        <v/>
      </c>
      <c r="AD382" s="40" t="str">
        <f>IF($K382="","",IFERROR(VLOOKUP($K382,Grinders!$A$4:$N$998,12,FALSE)*100,""))</f>
        <v/>
      </c>
      <c r="AE382" s="40" t="str">
        <f>IF(OR(AO382=1,AP382=1),0,=IFERROR(IFS(
    OR($C382="", $K382=""), 0,
    $F382=0, 0,
    $D382&lt;&gt;"Open", 0,
    COUNTIFS(GrinderServices!$A$6:$A$1000, $K382, GrinderServices!$B$6:$B$1000, $E382, GrinderServices!$D$6:$D$1000, "Y")=0, 0,
    $X382&lt;Config!$B$16, 0,
    Config!$B$18=1, IF($O382&gt;=N382, 0, 1),
    TRUE, 1
), "")
)</f>
        <v>#ERROR!</v>
      </c>
      <c r="AF382" s="40" t="str">
        <f>IFERROR((IF(OR(AO382=1,AP382=1),"",=IFERROR((IFERROR(IF($AE382=0,"",((Config!$B$6*$Y382 + Config!$B$7*$U382 + Config!$B$8*$Z382 + Config!$B$9*$AA382 + Config!$B$10*$AB382 + Config!$B$11*$AC382 - Config!$B$12*$AD382)/Config!$B$13)+$AK382+$AL382),""))*(1-IFERROR(VLOOKUP(K382,Grinders!$A:$AB, 28, FALSE),0)),"")))*(1+AR382),"")</f>
        <v>#ERROR!</v>
      </c>
      <c r="AG382" s="40" t="str">
        <f t="shared" si="6"/>
        <v>#ERROR!</v>
      </c>
      <c r="AH382" s="40" t="str">
        <f t="shared" si="7"/>
        <v/>
      </c>
      <c r="AI382" s="40" t="str">
        <f t="shared" si="8"/>
        <v/>
      </c>
      <c r="AJ382" s="40" t="str">
        <f>IF($K382="","",COUNTIF(Assignments!$B$6:$B$1000,$K382))</f>
        <v/>
      </c>
      <c r="AK382" s="40" t="str">
        <f>IF($K382="","",IF(AND($AJ382=0,$O382&lt;$N382),Config!$B$43,0))</f>
        <v/>
      </c>
      <c r="AL382" s="40" t="str">
        <f>IF($K382="","",IF(AND($M382="Elite",$G382&gt;=Config!$B$41,$O382&lt;$N382),Config!$B$42,0))</f>
        <v/>
      </c>
      <c r="AM382" s="22"/>
      <c r="AN382" s="39">
        <f>IFERROR(VLOOKUP(K382,Grinders!$A:$Q,28,FALSE),0)</f>
        <v>0</v>
      </c>
      <c r="AO382" s="39">
        <f>IF(Config!$B$1003&lt;&gt;"Y",0,IF(IFERROR(VLOOKUP(K382,Grinders!$A:$P,27,FALSE),0)&gt;=3,IF(OR(G382&gt;=Config!$B$1001,ISNUMBER(SEARCH(E382,Config!$B$1002))),1,0),0))</f>
        <v>0</v>
      </c>
      <c r="AP382" s="39">
        <f t="array" ref="AP382">IFERROR(IF(INDEX(Bids!$AE:$AE,MATCH(B382,Bids!$A:$A,0))="Pending",1,0),0)</f>
        <v>0</v>
      </c>
      <c r="AQ382" s="39" t="str">
        <f t="array" ref="AQ382">IF(C382="","",IFERROR(XLOOKUP(C382,Assignments!$C:$C,Assignments!$AU:$AU,0),0))</f>
        <v/>
      </c>
      <c r="AR382" s="39">
        <f>IF(AND(Config!$B$1006="Y",AQ382=1),Config!$B$1007,0)</f>
        <v>0</v>
      </c>
    </row>
    <row r="383" ht="15.75" customHeight="1">
      <c r="A383" s="46" t="str">
        <f t="shared" si="1"/>
        <v/>
      </c>
      <c r="B383" s="40" t="str">
        <f>IF(Bids!$A382="","",Bids!$A382)</f>
        <v/>
      </c>
      <c r="C383" s="40" t="str">
        <f>IF(Bids!$B382="","",Bids!$B382)</f>
        <v/>
      </c>
      <c r="D383" s="40" t="str">
        <f>IF($C383="","",IFERROR(VLOOKUP($C383,Orders!$A$4:$J$998,9,FALSE),""))</f>
        <v/>
      </c>
      <c r="E383" s="40" t="str">
        <f>IF($C383="","",IFERROR(VLOOKUP($C383,Orders!$A$4:$J$998,3,FALSE),""))</f>
        <v/>
      </c>
      <c r="F383" s="40">
        <f t="shared" si="2"/>
        <v>1</v>
      </c>
      <c r="G383" s="40" t="str">
        <f>IF($C383="","",IFERROR(VLOOKUP($C383,Orders!$A$4:$J$998,4,FALSE),""))</f>
        <v/>
      </c>
      <c r="H383" s="40" t="str">
        <f>IF($C383="","",IFERROR(VLOOKUP($C383,Orders!$A$4:$J$998,5,FALSE),""))</f>
        <v/>
      </c>
      <c r="I383" s="40" t="str">
        <f>IF($C383="","",IFERROR(VLOOKUP($C383,Orders!$A$4:$J$998,6,FALSE),""))</f>
        <v/>
      </c>
      <c r="J383" s="40" t="str">
        <f>IF($C383="","",IFERROR(VLOOKUP($C383,Orders!$A$4:$J$998,7,FALSE),""))</f>
        <v/>
      </c>
      <c r="K383" s="40" t="str">
        <f>IF(Bids!$C382="","",Bids!$C382)</f>
        <v/>
      </c>
      <c r="L383" s="40" t="str">
        <f>IF($K383="","",IFERROR(VLOOKUP($K383,Grinders!$A$4:$N$998,2,FALSE),""))</f>
        <v/>
      </c>
      <c r="M383" s="40" t="str">
        <f>IF($K383="","",IFERROR(VLOOKUP($K383,Grinders!$A$4:$N$998,3,FALSE),""))</f>
        <v/>
      </c>
      <c r="N383" s="40" t="str">
        <f>IF($K383="","",IFERROR(VLOOKUP($K383,Grinders!$A$4:$N$998,4,FALSE),""))</f>
        <v/>
      </c>
      <c r="O383" s="40" t="str">
        <f>IF($K383="","",IFERROR(VLOOKUP($K383,Grinders!$A$4:$N$998,5,FALSE),""))</f>
        <v/>
      </c>
      <c r="P383" s="40" t="str">
        <f>IF($K383="","",IF($C$4="",0,COUNTIFS(Assignments!$B$6:$B$1000,$K383,Assignments!$F$6:$F$1000,$C$4,Assignments!$E$6:$E$1000,"Active")))</f>
        <v/>
      </c>
      <c r="Q383" s="40" t="str">
        <f t="shared" si="3"/>
        <v/>
      </c>
      <c r="R383" s="40" t="str">
        <f t="shared" si="4"/>
        <v/>
      </c>
      <c r="S383" s="40" t="str">
        <f>IF($K383="","",IF($C$4="",0,COUNTIFS(Assignments!$B$6:$B$1000,$K383,Assignments!$F$6:$F$1000,$C$4,Assignments!$D$6:$D$1000,"&gt;="&amp;Config!$B$3-7,Assignments!$D$6:$D$1000,"&lt;="&amp;Config!$B$3)))</f>
        <v/>
      </c>
      <c r="T383" s="40" t="str">
        <f>IF($K383="","",IFERROR(VLOOKUP($K383,Grinders!$A$4:$N$998,8,FALSE),""))</f>
        <v/>
      </c>
      <c r="U383" s="40" t="str">
        <f>IFERROR(IF($K383="","",IF($M383="Elite",MAX(50,MIN(100,Config!$B$27*MAX(0,MIN(100,(1-IF($R383="",0,$R383))*100)) + Config!$B$28*MAX(0,MIN(100,(1-MIN(1,IF(Config!$B$30=0,1,$S383/Config!$B$30)))*100)) + Config!$B$29*MAX(0,MIN(100,MIN(1,IF($T383="",0,$T383)/Config!$B$23)*100)))),MIN(100,Config!$B$27*MAX(0,MIN(100,(1-IF($R383="",0,$R383))*100)) + Config!$B$28*MAX(0,MIN(100,(1-MIN(1,IF(Config!$B$30=0,1,$S383/Config!$B$30)))*100)) + Config!$B$29*MAX(0,MIN(100,MIN(1,IF($T383="",0,$T383)/Config!$B$23)*100))))),"")
</f>
        <v/>
      </c>
      <c r="V383" s="40" t="str">
        <f>IF(Bids!$AC383="","",Bids!$AC383)</f>
        <v/>
      </c>
      <c r="W383" s="40" t="str">
        <f>IF(Bids!$F382="","",Bids!$F382)</f>
        <v/>
      </c>
      <c r="X383" s="40" t="str">
        <f t="shared" si="5"/>
        <v/>
      </c>
      <c r="Y383" s="40" t="str">
        <f>IF($X383="","",IF(Config!$B$17=Config!$B$16,IF($X383&gt;=Config!$B$17,100,0),MAX(0,MIN(100,($X383-Config!$B$16)/(Config!$B$17-Config!$B$16)*100))))</f>
        <v/>
      </c>
      <c r="Z383" s="40">
        <f>IF($M383="Elite",Config!$B$21,0)</f>
        <v>0</v>
      </c>
      <c r="AA383" s="40" t="str">
        <f>IFERROR(IF(OR($W383="",$H383=""),"",IF($W383&gt;$H383,
  MAX(0, 60-(($W383-$H383)*24/Config!$B$19)*60),
  MIN(100, 60+(($H383-$W383)*24/Config!$B$20)*40)
)),"")
</f>
        <v/>
      </c>
      <c r="AB383" s="40" t="str">
        <f>IF($K383="","",IFERROR(VLOOKUP($K383,Grinders!$A$4:$N$998,10,FALSE)/5*100,""))</f>
        <v/>
      </c>
      <c r="AC383" s="40" t="str">
        <f>IF($K383="","",IFERROR(VLOOKUP($K383,Grinders!$A$4:$N$998,11,FALSE)*100,""))</f>
        <v/>
      </c>
      <c r="AD383" s="40" t="str">
        <f>IF($K383="","",IFERROR(VLOOKUP($K383,Grinders!$A$4:$N$998,12,FALSE)*100,""))</f>
        <v/>
      </c>
      <c r="AE383" s="40" t="str">
        <f>IF(OR(AO383=1,AP383=1),0,=IFERROR(IFS(
    OR($C383="", $K383=""), 0,
    $F383=0, 0,
    $D383&lt;&gt;"Open", 0,
    COUNTIFS(GrinderServices!$A$6:$A$1000, $K383, GrinderServices!$B$6:$B$1000, $E383, GrinderServices!$D$6:$D$1000, "Y")=0, 0,
    $X383&lt;Config!$B$16, 0,
    Config!$B$18=1, IF($O383&gt;=N383, 0, 1),
    TRUE, 1
), "")
)</f>
        <v>#ERROR!</v>
      </c>
      <c r="AF383" s="40" t="str">
        <f>IFERROR((IF(OR(AO383=1,AP383=1),"",=IFERROR((IFERROR(IF($AE383=0,"",((Config!$B$6*$Y383 + Config!$B$7*$U383 + Config!$B$8*$Z383 + Config!$B$9*$AA383 + Config!$B$10*$AB383 + Config!$B$11*$AC383 - Config!$B$12*$AD383)/Config!$B$13)+$AK383+$AL383),""))*(1-IFERROR(VLOOKUP(K383,Grinders!$A:$AB, 28, FALSE),0)),"")))*(1+AR383),"")</f>
        <v>#ERROR!</v>
      </c>
      <c r="AG383" s="40" t="str">
        <f t="shared" si="6"/>
        <v>#ERROR!</v>
      </c>
      <c r="AH383" s="40" t="str">
        <f t="shared" si="7"/>
        <v/>
      </c>
      <c r="AI383" s="40" t="str">
        <f t="shared" si="8"/>
        <v/>
      </c>
      <c r="AJ383" s="40" t="str">
        <f>IF($K383="","",COUNTIF(Assignments!$B$6:$B$1000,$K383))</f>
        <v/>
      </c>
      <c r="AK383" s="40" t="str">
        <f>IF($K383="","",IF(AND($AJ383=0,$O383&lt;$N383),Config!$B$43,0))</f>
        <v/>
      </c>
      <c r="AL383" s="40" t="str">
        <f>IF($K383="","",IF(AND($M383="Elite",$G383&gt;=Config!$B$41,$O383&lt;$N383),Config!$B$42,0))</f>
        <v/>
      </c>
      <c r="AM383" s="22"/>
      <c r="AN383" s="39">
        <f>IFERROR(VLOOKUP(K383,Grinders!$A:$Q,28,FALSE),0)</f>
        <v>0</v>
      </c>
      <c r="AO383" s="39">
        <f>IF(Config!$B$1003&lt;&gt;"Y",0,IF(IFERROR(VLOOKUP(K383,Grinders!$A:$P,27,FALSE),0)&gt;=3,IF(OR(G383&gt;=Config!$B$1001,ISNUMBER(SEARCH(E383,Config!$B$1002))),1,0),0))</f>
        <v>0</v>
      </c>
      <c r="AP383" s="39">
        <f t="array" ref="AP383">IFERROR(IF(INDEX(Bids!$AE:$AE,MATCH(B383,Bids!$A:$A,0))="Pending",1,0),0)</f>
        <v>0</v>
      </c>
      <c r="AQ383" s="39" t="str">
        <f t="array" ref="AQ383">IF(C383="","",IFERROR(XLOOKUP(C383,Assignments!$C:$C,Assignments!$AU:$AU,0),0))</f>
        <v/>
      </c>
      <c r="AR383" s="39">
        <f>IF(AND(Config!$B$1006="Y",AQ383=1),Config!$B$1007,0)</f>
        <v>0</v>
      </c>
    </row>
    <row r="384" ht="15.75" customHeight="1">
      <c r="A384" s="46" t="str">
        <f t="shared" si="1"/>
        <v/>
      </c>
      <c r="B384" s="40" t="str">
        <f>IF(Bids!$A383="","",Bids!$A383)</f>
        <v/>
      </c>
      <c r="C384" s="40" t="str">
        <f>IF(Bids!$B383="","",Bids!$B383)</f>
        <v/>
      </c>
      <c r="D384" s="40" t="str">
        <f>IF($C384="","",IFERROR(VLOOKUP($C384,Orders!$A$4:$J$998,9,FALSE),""))</f>
        <v/>
      </c>
      <c r="E384" s="40" t="str">
        <f>IF($C384="","",IFERROR(VLOOKUP($C384,Orders!$A$4:$J$998,3,FALSE),""))</f>
        <v/>
      </c>
      <c r="F384" s="40">
        <f t="shared" si="2"/>
        <v>1</v>
      </c>
      <c r="G384" s="40" t="str">
        <f>IF($C384="","",IFERROR(VLOOKUP($C384,Orders!$A$4:$J$998,4,FALSE),""))</f>
        <v/>
      </c>
      <c r="H384" s="40" t="str">
        <f>IF($C384="","",IFERROR(VLOOKUP($C384,Orders!$A$4:$J$998,5,FALSE),""))</f>
        <v/>
      </c>
      <c r="I384" s="40" t="str">
        <f>IF($C384="","",IFERROR(VLOOKUP($C384,Orders!$A$4:$J$998,6,FALSE),""))</f>
        <v/>
      </c>
      <c r="J384" s="40" t="str">
        <f>IF($C384="","",IFERROR(VLOOKUP($C384,Orders!$A$4:$J$998,7,FALSE),""))</f>
        <v/>
      </c>
      <c r="K384" s="40" t="str">
        <f>IF(Bids!$C383="","",Bids!$C383)</f>
        <v/>
      </c>
      <c r="L384" s="40" t="str">
        <f>IF($K384="","",IFERROR(VLOOKUP($K384,Grinders!$A$4:$N$998,2,FALSE),""))</f>
        <v/>
      </c>
      <c r="M384" s="40" t="str">
        <f>IF($K384="","",IFERROR(VLOOKUP($K384,Grinders!$A$4:$N$998,3,FALSE),""))</f>
        <v/>
      </c>
      <c r="N384" s="40" t="str">
        <f>IF($K384="","",IFERROR(VLOOKUP($K384,Grinders!$A$4:$N$998,4,FALSE),""))</f>
        <v/>
      </c>
      <c r="O384" s="40" t="str">
        <f>IF($K384="","",IFERROR(VLOOKUP($K384,Grinders!$A$4:$N$998,5,FALSE),""))</f>
        <v/>
      </c>
      <c r="P384" s="40" t="str">
        <f>IF($K384="","",IF($C$4="",0,COUNTIFS(Assignments!$B$6:$B$1000,$K384,Assignments!$F$6:$F$1000,$C$4,Assignments!$E$6:$E$1000,"Active")))</f>
        <v/>
      </c>
      <c r="Q384" s="40" t="str">
        <f t="shared" si="3"/>
        <v/>
      </c>
      <c r="R384" s="40" t="str">
        <f t="shared" si="4"/>
        <v/>
      </c>
      <c r="S384" s="40" t="str">
        <f>IF($K384="","",IF($C$4="",0,COUNTIFS(Assignments!$B$6:$B$1000,$K384,Assignments!$F$6:$F$1000,$C$4,Assignments!$D$6:$D$1000,"&gt;="&amp;Config!$B$3-7,Assignments!$D$6:$D$1000,"&lt;="&amp;Config!$B$3)))</f>
        <v/>
      </c>
      <c r="T384" s="40" t="str">
        <f>IF($K384="","",IFERROR(VLOOKUP($K384,Grinders!$A$4:$N$998,8,FALSE),""))</f>
        <v/>
      </c>
      <c r="U384" s="40" t="str">
        <f>IFERROR(IF($K384="","",IF($M384="Elite",MAX(50,MIN(100,Config!$B$27*MAX(0,MIN(100,(1-IF($R384="",0,$R384))*100)) + Config!$B$28*MAX(0,MIN(100,(1-MIN(1,IF(Config!$B$30=0,1,$S384/Config!$B$30)))*100)) + Config!$B$29*MAX(0,MIN(100,MIN(1,IF($T384="",0,$T384)/Config!$B$23)*100)))),MIN(100,Config!$B$27*MAX(0,MIN(100,(1-IF($R384="",0,$R384))*100)) + Config!$B$28*MAX(0,MIN(100,(1-MIN(1,IF(Config!$B$30=0,1,$S384/Config!$B$30)))*100)) + Config!$B$29*MAX(0,MIN(100,MIN(1,IF($T384="",0,$T384)/Config!$B$23)*100))))),"")
</f>
        <v/>
      </c>
      <c r="V384" s="40" t="str">
        <f>IF(Bids!$AC384="","",Bids!$AC384)</f>
        <v/>
      </c>
      <c r="W384" s="40" t="str">
        <f>IF(Bids!$F383="","",Bids!$F383)</f>
        <v/>
      </c>
      <c r="X384" s="40" t="str">
        <f t="shared" si="5"/>
        <v/>
      </c>
      <c r="Y384" s="40" t="str">
        <f>IF($X384="","",IF(Config!$B$17=Config!$B$16,IF($X384&gt;=Config!$B$17,100,0),MAX(0,MIN(100,($X384-Config!$B$16)/(Config!$B$17-Config!$B$16)*100))))</f>
        <v/>
      </c>
      <c r="Z384" s="40">
        <f>IF($M384="Elite",Config!$B$21,0)</f>
        <v>0</v>
      </c>
      <c r="AA384" s="40" t="str">
        <f>IFERROR(IF(OR($W384="",$H384=""),"",IF($W384&gt;$H384,
  MAX(0, 60-(($W384-$H384)*24/Config!$B$19)*60),
  MIN(100, 60+(($H384-$W384)*24/Config!$B$20)*40)
)),"")
</f>
        <v/>
      </c>
      <c r="AB384" s="40" t="str">
        <f>IF($K384="","",IFERROR(VLOOKUP($K384,Grinders!$A$4:$N$998,10,FALSE)/5*100,""))</f>
        <v/>
      </c>
      <c r="AC384" s="40" t="str">
        <f>IF($K384="","",IFERROR(VLOOKUP($K384,Grinders!$A$4:$N$998,11,FALSE)*100,""))</f>
        <v/>
      </c>
      <c r="AD384" s="40" t="str">
        <f>IF($K384="","",IFERROR(VLOOKUP($K384,Grinders!$A$4:$N$998,12,FALSE)*100,""))</f>
        <v/>
      </c>
      <c r="AE384" s="40" t="str">
        <f>IF(OR(AO384=1,AP384=1),0,=IFERROR(IFS(
    OR($C384="", $K384=""), 0,
    $F384=0, 0,
    $D384&lt;&gt;"Open", 0,
    COUNTIFS(GrinderServices!$A$6:$A$1000, $K384, GrinderServices!$B$6:$B$1000, $E384, GrinderServices!$D$6:$D$1000, "Y")=0, 0,
    $X384&lt;Config!$B$16, 0,
    Config!$B$18=1, IF($O384&gt;=N384, 0, 1),
    TRUE, 1
), "")
)</f>
        <v>#ERROR!</v>
      </c>
      <c r="AF384" s="40" t="str">
        <f>IFERROR((IF(OR(AO384=1,AP384=1),"",=IFERROR((IFERROR(IF($AE384=0,"",((Config!$B$6*$Y384 + Config!$B$7*$U384 + Config!$B$8*$Z384 + Config!$B$9*$AA384 + Config!$B$10*$AB384 + Config!$B$11*$AC384 - Config!$B$12*$AD384)/Config!$B$13)+$AK384+$AL384),""))*(1-IFERROR(VLOOKUP(K384,Grinders!$A:$AB, 28, FALSE),0)),"")))*(1+AR384),"")</f>
        <v>#ERROR!</v>
      </c>
      <c r="AG384" s="40" t="str">
        <f t="shared" si="6"/>
        <v>#ERROR!</v>
      </c>
      <c r="AH384" s="40" t="str">
        <f t="shared" si="7"/>
        <v/>
      </c>
      <c r="AI384" s="40" t="str">
        <f t="shared" si="8"/>
        <v/>
      </c>
      <c r="AJ384" s="40" t="str">
        <f>IF($K384="","",COUNTIF(Assignments!$B$6:$B$1000,$K384))</f>
        <v/>
      </c>
      <c r="AK384" s="40" t="str">
        <f>IF($K384="","",IF(AND($AJ384=0,$O384&lt;$N384),Config!$B$43,0))</f>
        <v/>
      </c>
      <c r="AL384" s="40" t="str">
        <f>IF($K384="","",IF(AND($M384="Elite",$G384&gt;=Config!$B$41,$O384&lt;$N384),Config!$B$42,0))</f>
        <v/>
      </c>
      <c r="AM384" s="22"/>
      <c r="AN384" s="39">
        <f>IFERROR(VLOOKUP(K384,Grinders!$A:$Q,28,FALSE),0)</f>
        <v>0</v>
      </c>
      <c r="AO384" s="39">
        <f>IF(Config!$B$1003&lt;&gt;"Y",0,IF(IFERROR(VLOOKUP(K384,Grinders!$A:$P,27,FALSE),0)&gt;=3,IF(OR(G384&gt;=Config!$B$1001,ISNUMBER(SEARCH(E384,Config!$B$1002))),1,0),0))</f>
        <v>0</v>
      </c>
      <c r="AP384" s="39">
        <f t="array" ref="AP384">IFERROR(IF(INDEX(Bids!$AE:$AE,MATCH(B384,Bids!$A:$A,0))="Pending",1,0),0)</f>
        <v>0</v>
      </c>
      <c r="AQ384" s="39" t="str">
        <f t="array" ref="AQ384">IF(C384="","",IFERROR(XLOOKUP(C384,Assignments!$C:$C,Assignments!$AU:$AU,0),0))</f>
        <v/>
      </c>
      <c r="AR384" s="39">
        <f>IF(AND(Config!$B$1006="Y",AQ384=1),Config!$B$1007,0)</f>
        <v>0</v>
      </c>
    </row>
    <row r="385" ht="15.75" customHeight="1">
      <c r="A385" s="46" t="str">
        <f t="shared" si="1"/>
        <v/>
      </c>
      <c r="B385" s="40" t="str">
        <f>IF(Bids!$A384="","",Bids!$A384)</f>
        <v/>
      </c>
      <c r="C385" s="40" t="str">
        <f>IF(Bids!$B384="","",Bids!$B384)</f>
        <v/>
      </c>
      <c r="D385" s="40" t="str">
        <f>IF($C385="","",IFERROR(VLOOKUP($C385,Orders!$A$4:$J$998,9,FALSE),""))</f>
        <v/>
      </c>
      <c r="E385" s="40" t="str">
        <f>IF($C385="","",IFERROR(VLOOKUP($C385,Orders!$A$4:$J$998,3,FALSE),""))</f>
        <v/>
      </c>
      <c r="F385" s="40">
        <f t="shared" si="2"/>
        <v>1</v>
      </c>
      <c r="G385" s="40" t="str">
        <f>IF($C385="","",IFERROR(VLOOKUP($C385,Orders!$A$4:$J$998,4,FALSE),""))</f>
        <v/>
      </c>
      <c r="H385" s="40" t="str">
        <f>IF($C385="","",IFERROR(VLOOKUP($C385,Orders!$A$4:$J$998,5,FALSE),""))</f>
        <v/>
      </c>
      <c r="I385" s="40" t="str">
        <f>IF($C385="","",IFERROR(VLOOKUP($C385,Orders!$A$4:$J$998,6,FALSE),""))</f>
        <v/>
      </c>
      <c r="J385" s="40" t="str">
        <f>IF($C385="","",IFERROR(VLOOKUP($C385,Orders!$A$4:$J$998,7,FALSE),""))</f>
        <v/>
      </c>
      <c r="K385" s="40" t="str">
        <f>IF(Bids!$C384="","",Bids!$C384)</f>
        <v/>
      </c>
      <c r="L385" s="40" t="str">
        <f>IF($K385="","",IFERROR(VLOOKUP($K385,Grinders!$A$4:$N$998,2,FALSE),""))</f>
        <v/>
      </c>
      <c r="M385" s="40" t="str">
        <f>IF($K385="","",IFERROR(VLOOKUP($K385,Grinders!$A$4:$N$998,3,FALSE),""))</f>
        <v/>
      </c>
      <c r="N385" s="40" t="str">
        <f>IF($K385="","",IFERROR(VLOOKUP($K385,Grinders!$A$4:$N$998,4,FALSE),""))</f>
        <v/>
      </c>
      <c r="O385" s="40" t="str">
        <f>IF($K385="","",IFERROR(VLOOKUP($K385,Grinders!$A$4:$N$998,5,FALSE),""))</f>
        <v/>
      </c>
      <c r="P385" s="40" t="str">
        <f>IF($K385="","",IF($C$4="",0,COUNTIFS(Assignments!$B$6:$B$1000,$K385,Assignments!$F$6:$F$1000,$C$4,Assignments!$E$6:$E$1000,"Active")))</f>
        <v/>
      </c>
      <c r="Q385" s="40" t="str">
        <f t="shared" si="3"/>
        <v/>
      </c>
      <c r="R385" s="40" t="str">
        <f t="shared" si="4"/>
        <v/>
      </c>
      <c r="S385" s="40" t="str">
        <f>IF($K385="","",IF($C$4="",0,COUNTIFS(Assignments!$B$6:$B$1000,$K385,Assignments!$F$6:$F$1000,$C$4,Assignments!$D$6:$D$1000,"&gt;="&amp;Config!$B$3-7,Assignments!$D$6:$D$1000,"&lt;="&amp;Config!$B$3)))</f>
        <v/>
      </c>
      <c r="T385" s="40" t="str">
        <f>IF($K385="","",IFERROR(VLOOKUP($K385,Grinders!$A$4:$N$998,8,FALSE),""))</f>
        <v/>
      </c>
      <c r="U385" s="40" t="str">
        <f>IFERROR(IF($K385="","",IF($M385="Elite",MAX(50,MIN(100,Config!$B$27*MAX(0,MIN(100,(1-IF($R385="",0,$R385))*100)) + Config!$B$28*MAX(0,MIN(100,(1-MIN(1,IF(Config!$B$30=0,1,$S385/Config!$B$30)))*100)) + Config!$B$29*MAX(0,MIN(100,MIN(1,IF($T385="",0,$T385)/Config!$B$23)*100)))),MIN(100,Config!$B$27*MAX(0,MIN(100,(1-IF($R385="",0,$R385))*100)) + Config!$B$28*MAX(0,MIN(100,(1-MIN(1,IF(Config!$B$30=0,1,$S385/Config!$B$30)))*100)) + Config!$B$29*MAX(0,MIN(100,MIN(1,IF($T385="",0,$T385)/Config!$B$23)*100))))),"")
</f>
        <v/>
      </c>
      <c r="V385" s="40" t="str">
        <f>IF(Bids!$AC385="","",Bids!$AC385)</f>
        <v/>
      </c>
      <c r="W385" s="40" t="str">
        <f>IF(Bids!$F384="","",Bids!$F384)</f>
        <v/>
      </c>
      <c r="X385" s="40" t="str">
        <f t="shared" si="5"/>
        <v/>
      </c>
      <c r="Y385" s="40" t="str">
        <f>IF($X385="","",IF(Config!$B$17=Config!$B$16,IF($X385&gt;=Config!$B$17,100,0),MAX(0,MIN(100,($X385-Config!$B$16)/(Config!$B$17-Config!$B$16)*100))))</f>
        <v/>
      </c>
      <c r="Z385" s="40">
        <f>IF($M385="Elite",Config!$B$21,0)</f>
        <v>0</v>
      </c>
      <c r="AA385" s="40" t="str">
        <f>IFERROR(IF(OR($W385="",$H385=""),"",IF($W385&gt;$H385,
  MAX(0, 60-(($W385-$H385)*24/Config!$B$19)*60),
  MIN(100, 60+(($H385-$W385)*24/Config!$B$20)*40)
)),"")
</f>
        <v/>
      </c>
      <c r="AB385" s="40" t="str">
        <f>IF($K385="","",IFERROR(VLOOKUP($K385,Grinders!$A$4:$N$998,10,FALSE)/5*100,""))</f>
        <v/>
      </c>
      <c r="AC385" s="40" t="str">
        <f>IF($K385="","",IFERROR(VLOOKUP($K385,Grinders!$A$4:$N$998,11,FALSE)*100,""))</f>
        <v/>
      </c>
      <c r="AD385" s="40" t="str">
        <f>IF($K385="","",IFERROR(VLOOKUP($K385,Grinders!$A$4:$N$998,12,FALSE)*100,""))</f>
        <v/>
      </c>
      <c r="AE385" s="40" t="str">
        <f>IF(OR(AO385=1,AP385=1),0,=IFERROR(IFS(
    OR($C385="", $K385=""), 0,
    $F385=0, 0,
    $D385&lt;&gt;"Open", 0,
    COUNTIFS(GrinderServices!$A$6:$A$1000, $K385, GrinderServices!$B$6:$B$1000, $E385, GrinderServices!$D$6:$D$1000, "Y")=0, 0,
    $X385&lt;Config!$B$16, 0,
    Config!$B$18=1, IF($O385&gt;=N385, 0, 1),
    TRUE, 1
), "")
)</f>
        <v>#ERROR!</v>
      </c>
      <c r="AF385" s="40" t="str">
        <f>IFERROR((IF(OR(AO385=1,AP385=1),"",=IFERROR((IFERROR(IF($AE385=0,"",((Config!$B$6*$Y385 + Config!$B$7*$U385 + Config!$B$8*$Z385 + Config!$B$9*$AA385 + Config!$B$10*$AB385 + Config!$B$11*$AC385 - Config!$B$12*$AD385)/Config!$B$13)+$AK385+$AL385),""))*(1-IFERROR(VLOOKUP(K385,Grinders!$A:$AB, 28, FALSE),0)),"")))*(1+AR385),"")</f>
        <v>#ERROR!</v>
      </c>
      <c r="AG385" s="40" t="str">
        <f t="shared" si="6"/>
        <v>#ERROR!</v>
      </c>
      <c r="AH385" s="40" t="str">
        <f t="shared" si="7"/>
        <v/>
      </c>
      <c r="AI385" s="40" t="str">
        <f t="shared" si="8"/>
        <v/>
      </c>
      <c r="AJ385" s="40" t="str">
        <f>IF($K385="","",COUNTIF(Assignments!$B$6:$B$1000,$K385))</f>
        <v/>
      </c>
      <c r="AK385" s="40" t="str">
        <f>IF($K385="","",IF(AND($AJ385=0,$O385&lt;$N385),Config!$B$43,0))</f>
        <v/>
      </c>
      <c r="AL385" s="40" t="str">
        <f>IF($K385="","",IF(AND($M385="Elite",$G385&gt;=Config!$B$41,$O385&lt;$N385),Config!$B$42,0))</f>
        <v/>
      </c>
      <c r="AM385" s="22"/>
      <c r="AN385" s="39">
        <f>IFERROR(VLOOKUP(K385,Grinders!$A:$Q,28,FALSE),0)</f>
        <v>0</v>
      </c>
      <c r="AO385" s="39">
        <f>IF(Config!$B$1003&lt;&gt;"Y",0,IF(IFERROR(VLOOKUP(K385,Grinders!$A:$P,27,FALSE),0)&gt;=3,IF(OR(G385&gt;=Config!$B$1001,ISNUMBER(SEARCH(E385,Config!$B$1002))),1,0),0))</f>
        <v>0</v>
      </c>
      <c r="AP385" s="39">
        <f t="array" ref="AP385">IFERROR(IF(INDEX(Bids!$AE:$AE,MATCH(B385,Bids!$A:$A,0))="Pending",1,0),0)</f>
        <v>0</v>
      </c>
      <c r="AQ385" s="39" t="str">
        <f t="array" ref="AQ385">IF(C385="","",IFERROR(XLOOKUP(C385,Assignments!$C:$C,Assignments!$AU:$AU,0),0))</f>
        <v/>
      </c>
      <c r="AR385" s="39">
        <f>IF(AND(Config!$B$1006="Y",AQ385=1),Config!$B$1007,0)</f>
        <v>0</v>
      </c>
    </row>
    <row r="386" ht="15.75" customHeight="1">
      <c r="A386" s="46" t="str">
        <f t="shared" si="1"/>
        <v/>
      </c>
      <c r="B386" s="40" t="str">
        <f>IF(Bids!$A385="","",Bids!$A385)</f>
        <v/>
      </c>
      <c r="C386" s="40" t="str">
        <f>IF(Bids!$B385="","",Bids!$B385)</f>
        <v/>
      </c>
      <c r="D386" s="40" t="str">
        <f>IF($C386="","",IFERROR(VLOOKUP($C386,Orders!$A$4:$J$998,9,FALSE),""))</f>
        <v/>
      </c>
      <c r="E386" s="40" t="str">
        <f>IF($C386="","",IFERROR(VLOOKUP($C386,Orders!$A$4:$J$998,3,FALSE),""))</f>
        <v/>
      </c>
      <c r="F386" s="40">
        <f t="shared" si="2"/>
        <v>1</v>
      </c>
      <c r="G386" s="40" t="str">
        <f>IF($C386="","",IFERROR(VLOOKUP($C386,Orders!$A$4:$J$998,4,FALSE),""))</f>
        <v/>
      </c>
      <c r="H386" s="40" t="str">
        <f>IF($C386="","",IFERROR(VLOOKUP($C386,Orders!$A$4:$J$998,5,FALSE),""))</f>
        <v/>
      </c>
      <c r="I386" s="40" t="str">
        <f>IF($C386="","",IFERROR(VLOOKUP($C386,Orders!$A$4:$J$998,6,FALSE),""))</f>
        <v/>
      </c>
      <c r="J386" s="40" t="str">
        <f>IF($C386="","",IFERROR(VLOOKUP($C386,Orders!$A$4:$J$998,7,FALSE),""))</f>
        <v/>
      </c>
      <c r="K386" s="40" t="str">
        <f>IF(Bids!$C385="","",Bids!$C385)</f>
        <v/>
      </c>
      <c r="L386" s="40" t="str">
        <f>IF($K386="","",IFERROR(VLOOKUP($K386,Grinders!$A$4:$N$998,2,FALSE),""))</f>
        <v/>
      </c>
      <c r="M386" s="40" t="str">
        <f>IF($K386="","",IFERROR(VLOOKUP($K386,Grinders!$A$4:$N$998,3,FALSE),""))</f>
        <v/>
      </c>
      <c r="N386" s="40" t="str">
        <f>IF($K386="","",IFERROR(VLOOKUP($K386,Grinders!$A$4:$N$998,4,FALSE),""))</f>
        <v/>
      </c>
      <c r="O386" s="40" t="str">
        <f>IF($K386="","",IFERROR(VLOOKUP($K386,Grinders!$A$4:$N$998,5,FALSE),""))</f>
        <v/>
      </c>
      <c r="P386" s="40" t="str">
        <f>IF($K386="","",IF($C$4="",0,COUNTIFS(Assignments!$B$6:$B$1000,$K386,Assignments!$F$6:$F$1000,$C$4,Assignments!$E$6:$E$1000,"Active")))</f>
        <v/>
      </c>
      <c r="Q386" s="40" t="str">
        <f t="shared" si="3"/>
        <v/>
      </c>
      <c r="R386" s="40" t="str">
        <f t="shared" si="4"/>
        <v/>
      </c>
      <c r="S386" s="40" t="str">
        <f>IF($K386="","",IF($C$4="",0,COUNTIFS(Assignments!$B$6:$B$1000,$K386,Assignments!$F$6:$F$1000,$C$4,Assignments!$D$6:$D$1000,"&gt;="&amp;Config!$B$3-7,Assignments!$D$6:$D$1000,"&lt;="&amp;Config!$B$3)))</f>
        <v/>
      </c>
      <c r="T386" s="40" t="str">
        <f>IF($K386="","",IFERROR(VLOOKUP($K386,Grinders!$A$4:$N$998,8,FALSE),""))</f>
        <v/>
      </c>
      <c r="U386" s="40" t="str">
        <f>IFERROR(IF($K386="","",IF($M386="Elite",MAX(50,MIN(100,Config!$B$27*MAX(0,MIN(100,(1-IF($R386="",0,$R386))*100)) + Config!$B$28*MAX(0,MIN(100,(1-MIN(1,IF(Config!$B$30=0,1,$S386/Config!$B$30)))*100)) + Config!$B$29*MAX(0,MIN(100,MIN(1,IF($T386="",0,$T386)/Config!$B$23)*100)))),MIN(100,Config!$B$27*MAX(0,MIN(100,(1-IF($R386="",0,$R386))*100)) + Config!$B$28*MAX(0,MIN(100,(1-MIN(1,IF(Config!$B$30=0,1,$S386/Config!$B$30)))*100)) + Config!$B$29*MAX(0,MIN(100,MIN(1,IF($T386="",0,$T386)/Config!$B$23)*100))))),"")
</f>
        <v/>
      </c>
      <c r="V386" s="40" t="str">
        <f>IF(Bids!$AC386="","",Bids!$AC386)</f>
        <v/>
      </c>
      <c r="W386" s="40" t="str">
        <f>IF(Bids!$F385="","",Bids!$F385)</f>
        <v/>
      </c>
      <c r="X386" s="40" t="str">
        <f t="shared" si="5"/>
        <v/>
      </c>
      <c r="Y386" s="40" t="str">
        <f>IF($X386="","",IF(Config!$B$17=Config!$B$16,IF($X386&gt;=Config!$B$17,100,0),MAX(0,MIN(100,($X386-Config!$B$16)/(Config!$B$17-Config!$B$16)*100))))</f>
        <v/>
      </c>
      <c r="Z386" s="40">
        <f>IF($M386="Elite",Config!$B$21,0)</f>
        <v>0</v>
      </c>
      <c r="AA386" s="40" t="str">
        <f>IFERROR(IF(OR($W386="",$H386=""),"",IF($W386&gt;$H386,
  MAX(0, 60-(($W386-$H386)*24/Config!$B$19)*60),
  MIN(100, 60+(($H386-$W386)*24/Config!$B$20)*40)
)),"")
</f>
        <v/>
      </c>
      <c r="AB386" s="40" t="str">
        <f>IF($K386="","",IFERROR(VLOOKUP($K386,Grinders!$A$4:$N$998,10,FALSE)/5*100,""))</f>
        <v/>
      </c>
      <c r="AC386" s="40" t="str">
        <f>IF($K386="","",IFERROR(VLOOKUP($K386,Grinders!$A$4:$N$998,11,FALSE)*100,""))</f>
        <v/>
      </c>
      <c r="AD386" s="40" t="str">
        <f>IF($K386="","",IFERROR(VLOOKUP($K386,Grinders!$A$4:$N$998,12,FALSE)*100,""))</f>
        <v/>
      </c>
      <c r="AE386" s="40" t="str">
        <f>IF(OR(AO386=1,AP386=1),0,=IFERROR(IFS(
    OR($C386="", $K386=""), 0,
    $F386=0, 0,
    $D386&lt;&gt;"Open", 0,
    COUNTIFS(GrinderServices!$A$6:$A$1000, $K386, GrinderServices!$B$6:$B$1000, $E386, GrinderServices!$D$6:$D$1000, "Y")=0, 0,
    $X386&lt;Config!$B$16, 0,
    Config!$B$18=1, IF($O386&gt;=N386, 0, 1),
    TRUE, 1
), "")
)</f>
        <v>#ERROR!</v>
      </c>
      <c r="AF386" s="40" t="str">
        <f>IFERROR((IF(OR(AO386=1,AP386=1),"",=IFERROR((IFERROR(IF($AE386=0,"",((Config!$B$6*$Y386 + Config!$B$7*$U386 + Config!$B$8*$Z386 + Config!$B$9*$AA386 + Config!$B$10*$AB386 + Config!$B$11*$AC386 - Config!$B$12*$AD386)/Config!$B$13)+$AK386+$AL386),""))*(1-IFERROR(VLOOKUP(K386,Grinders!$A:$AB, 28, FALSE),0)),"")))*(1+AR386),"")</f>
        <v>#ERROR!</v>
      </c>
      <c r="AG386" s="40" t="str">
        <f t="shared" si="6"/>
        <v>#ERROR!</v>
      </c>
      <c r="AH386" s="40" t="str">
        <f t="shared" si="7"/>
        <v/>
      </c>
      <c r="AI386" s="40" t="str">
        <f t="shared" si="8"/>
        <v/>
      </c>
      <c r="AJ386" s="40" t="str">
        <f>IF($K386="","",COUNTIF(Assignments!$B$6:$B$1000,$K386))</f>
        <v/>
      </c>
      <c r="AK386" s="40" t="str">
        <f>IF($K386="","",IF(AND($AJ386=0,$O386&lt;$N386),Config!$B$43,0))</f>
        <v/>
      </c>
      <c r="AL386" s="40" t="str">
        <f>IF($K386="","",IF(AND($M386="Elite",$G386&gt;=Config!$B$41,$O386&lt;$N386),Config!$B$42,0))</f>
        <v/>
      </c>
      <c r="AM386" s="22"/>
      <c r="AN386" s="39">
        <f>IFERROR(VLOOKUP(K386,Grinders!$A:$Q,28,FALSE),0)</f>
        <v>0</v>
      </c>
      <c r="AO386" s="39">
        <f>IF(Config!$B$1003&lt;&gt;"Y",0,IF(IFERROR(VLOOKUP(K386,Grinders!$A:$P,27,FALSE),0)&gt;=3,IF(OR(G386&gt;=Config!$B$1001,ISNUMBER(SEARCH(E386,Config!$B$1002))),1,0),0))</f>
        <v>0</v>
      </c>
      <c r="AP386" s="39">
        <f t="array" ref="AP386">IFERROR(IF(INDEX(Bids!$AE:$AE,MATCH(B386,Bids!$A:$A,0))="Pending",1,0),0)</f>
        <v>0</v>
      </c>
      <c r="AQ386" s="39" t="str">
        <f t="array" ref="AQ386">IF(C386="","",IFERROR(XLOOKUP(C386,Assignments!$C:$C,Assignments!$AU:$AU,0),0))</f>
        <v/>
      </c>
      <c r="AR386" s="39">
        <f>IF(AND(Config!$B$1006="Y",AQ386=1),Config!$B$1007,0)</f>
        <v>0</v>
      </c>
    </row>
    <row r="387" ht="15.75" customHeight="1">
      <c r="A387" s="46" t="str">
        <f t="shared" si="1"/>
        <v/>
      </c>
      <c r="B387" s="40" t="str">
        <f>IF(Bids!$A386="","",Bids!$A386)</f>
        <v/>
      </c>
      <c r="C387" s="40" t="str">
        <f>IF(Bids!$B386="","",Bids!$B386)</f>
        <v/>
      </c>
      <c r="D387" s="40" t="str">
        <f>IF($C387="","",IFERROR(VLOOKUP($C387,Orders!$A$4:$J$998,9,FALSE),""))</f>
        <v/>
      </c>
      <c r="E387" s="40" t="str">
        <f>IF($C387="","",IFERROR(VLOOKUP($C387,Orders!$A$4:$J$998,3,FALSE),""))</f>
        <v/>
      </c>
      <c r="F387" s="40">
        <f t="shared" si="2"/>
        <v>1</v>
      </c>
      <c r="G387" s="40" t="str">
        <f>IF($C387="","",IFERROR(VLOOKUP($C387,Orders!$A$4:$J$998,4,FALSE),""))</f>
        <v/>
      </c>
      <c r="H387" s="40" t="str">
        <f>IF($C387="","",IFERROR(VLOOKUP($C387,Orders!$A$4:$J$998,5,FALSE),""))</f>
        <v/>
      </c>
      <c r="I387" s="40" t="str">
        <f>IF($C387="","",IFERROR(VLOOKUP($C387,Orders!$A$4:$J$998,6,FALSE),""))</f>
        <v/>
      </c>
      <c r="J387" s="40" t="str">
        <f>IF($C387="","",IFERROR(VLOOKUP($C387,Orders!$A$4:$J$998,7,FALSE),""))</f>
        <v/>
      </c>
      <c r="K387" s="40" t="str">
        <f>IF(Bids!$C386="","",Bids!$C386)</f>
        <v/>
      </c>
      <c r="L387" s="40" t="str">
        <f>IF($K387="","",IFERROR(VLOOKUP($K387,Grinders!$A$4:$N$998,2,FALSE),""))</f>
        <v/>
      </c>
      <c r="M387" s="40" t="str">
        <f>IF($K387="","",IFERROR(VLOOKUP($K387,Grinders!$A$4:$N$998,3,FALSE),""))</f>
        <v/>
      </c>
      <c r="N387" s="40" t="str">
        <f>IF($K387="","",IFERROR(VLOOKUP($K387,Grinders!$A$4:$N$998,4,FALSE),""))</f>
        <v/>
      </c>
      <c r="O387" s="40" t="str">
        <f>IF($K387="","",IFERROR(VLOOKUP($K387,Grinders!$A$4:$N$998,5,FALSE),""))</f>
        <v/>
      </c>
      <c r="P387" s="40" t="str">
        <f>IF($K387="","",IF($C$4="",0,COUNTIFS(Assignments!$B$6:$B$1000,$K387,Assignments!$F$6:$F$1000,$C$4,Assignments!$E$6:$E$1000,"Active")))</f>
        <v/>
      </c>
      <c r="Q387" s="40" t="str">
        <f t="shared" si="3"/>
        <v/>
      </c>
      <c r="R387" s="40" t="str">
        <f t="shared" si="4"/>
        <v/>
      </c>
      <c r="S387" s="40" t="str">
        <f>IF($K387="","",IF($C$4="",0,COUNTIFS(Assignments!$B$6:$B$1000,$K387,Assignments!$F$6:$F$1000,$C$4,Assignments!$D$6:$D$1000,"&gt;="&amp;Config!$B$3-7,Assignments!$D$6:$D$1000,"&lt;="&amp;Config!$B$3)))</f>
        <v/>
      </c>
      <c r="T387" s="40" t="str">
        <f>IF($K387="","",IFERROR(VLOOKUP($K387,Grinders!$A$4:$N$998,8,FALSE),""))</f>
        <v/>
      </c>
      <c r="U387" s="40" t="str">
        <f>IFERROR(IF($K387="","",IF($M387="Elite",MAX(50,MIN(100,Config!$B$27*MAX(0,MIN(100,(1-IF($R387="",0,$R387))*100)) + Config!$B$28*MAX(0,MIN(100,(1-MIN(1,IF(Config!$B$30=0,1,$S387/Config!$B$30)))*100)) + Config!$B$29*MAX(0,MIN(100,MIN(1,IF($T387="",0,$T387)/Config!$B$23)*100)))),MIN(100,Config!$B$27*MAX(0,MIN(100,(1-IF($R387="",0,$R387))*100)) + Config!$B$28*MAX(0,MIN(100,(1-MIN(1,IF(Config!$B$30=0,1,$S387/Config!$B$30)))*100)) + Config!$B$29*MAX(0,MIN(100,MIN(1,IF($T387="",0,$T387)/Config!$B$23)*100))))),"")
</f>
        <v/>
      </c>
      <c r="V387" s="40" t="str">
        <f>IF(Bids!$AC387="","",Bids!$AC387)</f>
        <v/>
      </c>
      <c r="W387" s="40" t="str">
        <f>IF(Bids!$F386="","",Bids!$F386)</f>
        <v/>
      </c>
      <c r="X387" s="40" t="str">
        <f t="shared" si="5"/>
        <v/>
      </c>
      <c r="Y387" s="40" t="str">
        <f>IF($X387="","",IF(Config!$B$17=Config!$B$16,IF($X387&gt;=Config!$B$17,100,0),MAX(0,MIN(100,($X387-Config!$B$16)/(Config!$B$17-Config!$B$16)*100))))</f>
        <v/>
      </c>
      <c r="Z387" s="40">
        <f>IF($M387="Elite",Config!$B$21,0)</f>
        <v>0</v>
      </c>
      <c r="AA387" s="40" t="str">
        <f>IFERROR(IF(OR($W387="",$H387=""),"",IF($W387&gt;$H387,
  MAX(0, 60-(($W387-$H387)*24/Config!$B$19)*60),
  MIN(100, 60+(($H387-$W387)*24/Config!$B$20)*40)
)),"")
</f>
        <v/>
      </c>
      <c r="AB387" s="40" t="str">
        <f>IF($K387="","",IFERROR(VLOOKUP($K387,Grinders!$A$4:$N$998,10,FALSE)/5*100,""))</f>
        <v/>
      </c>
      <c r="AC387" s="40" t="str">
        <f>IF($K387="","",IFERROR(VLOOKUP($K387,Grinders!$A$4:$N$998,11,FALSE)*100,""))</f>
        <v/>
      </c>
      <c r="AD387" s="40" t="str">
        <f>IF($K387="","",IFERROR(VLOOKUP($K387,Grinders!$A$4:$N$998,12,FALSE)*100,""))</f>
        <v/>
      </c>
      <c r="AE387" s="40" t="str">
        <f>IF(OR(AO387=1,AP387=1),0,=IFERROR(IFS(
    OR($C387="", $K387=""), 0,
    $F387=0, 0,
    $D387&lt;&gt;"Open", 0,
    COUNTIFS(GrinderServices!$A$6:$A$1000, $K387, GrinderServices!$B$6:$B$1000, $E387, GrinderServices!$D$6:$D$1000, "Y")=0, 0,
    $X387&lt;Config!$B$16, 0,
    Config!$B$18=1, IF($O387&gt;=N387, 0, 1),
    TRUE, 1
), "")
)</f>
        <v>#ERROR!</v>
      </c>
      <c r="AF387" s="40" t="str">
        <f>IFERROR((IF(OR(AO387=1,AP387=1),"",=IFERROR((IFERROR(IF($AE387=0,"",((Config!$B$6*$Y387 + Config!$B$7*$U387 + Config!$B$8*$Z387 + Config!$B$9*$AA387 + Config!$B$10*$AB387 + Config!$B$11*$AC387 - Config!$B$12*$AD387)/Config!$B$13)+$AK387+$AL387),""))*(1-IFERROR(VLOOKUP(K387,Grinders!$A:$AB, 28, FALSE),0)),"")))*(1+AR387),"")</f>
        <v>#ERROR!</v>
      </c>
      <c r="AG387" s="40" t="str">
        <f t="shared" si="6"/>
        <v>#ERROR!</v>
      </c>
      <c r="AH387" s="40" t="str">
        <f t="shared" si="7"/>
        <v/>
      </c>
      <c r="AI387" s="40" t="str">
        <f t="shared" si="8"/>
        <v/>
      </c>
      <c r="AJ387" s="40" t="str">
        <f>IF($K387="","",COUNTIF(Assignments!$B$6:$B$1000,$K387))</f>
        <v/>
      </c>
      <c r="AK387" s="40" t="str">
        <f>IF($K387="","",IF(AND($AJ387=0,$O387&lt;$N387),Config!$B$43,0))</f>
        <v/>
      </c>
      <c r="AL387" s="40" t="str">
        <f>IF($K387="","",IF(AND($M387="Elite",$G387&gt;=Config!$B$41,$O387&lt;$N387),Config!$B$42,0))</f>
        <v/>
      </c>
      <c r="AM387" s="22"/>
      <c r="AN387" s="39">
        <f>IFERROR(VLOOKUP(K387,Grinders!$A:$Q,28,FALSE),0)</f>
        <v>0</v>
      </c>
      <c r="AO387" s="39">
        <f>IF(Config!$B$1003&lt;&gt;"Y",0,IF(IFERROR(VLOOKUP(K387,Grinders!$A:$P,27,FALSE),0)&gt;=3,IF(OR(G387&gt;=Config!$B$1001,ISNUMBER(SEARCH(E387,Config!$B$1002))),1,0),0))</f>
        <v>0</v>
      </c>
      <c r="AP387" s="39">
        <f t="array" ref="AP387">IFERROR(IF(INDEX(Bids!$AE:$AE,MATCH(B387,Bids!$A:$A,0))="Pending",1,0),0)</f>
        <v>0</v>
      </c>
      <c r="AQ387" s="39" t="str">
        <f t="array" ref="AQ387">IF(C387="","",IFERROR(XLOOKUP(C387,Assignments!$C:$C,Assignments!$AU:$AU,0),0))</f>
        <v/>
      </c>
      <c r="AR387" s="39">
        <f>IF(AND(Config!$B$1006="Y",AQ387=1),Config!$B$1007,0)</f>
        <v>0</v>
      </c>
    </row>
    <row r="388" ht="15.75" customHeight="1">
      <c r="A388" s="46" t="str">
        <f t="shared" si="1"/>
        <v/>
      </c>
      <c r="B388" s="40" t="str">
        <f>IF(Bids!$A387="","",Bids!$A387)</f>
        <v/>
      </c>
      <c r="C388" s="40" t="str">
        <f>IF(Bids!$B387="","",Bids!$B387)</f>
        <v/>
      </c>
      <c r="D388" s="40" t="str">
        <f>IF($C388="","",IFERROR(VLOOKUP($C388,Orders!$A$4:$J$998,9,FALSE),""))</f>
        <v/>
      </c>
      <c r="E388" s="40" t="str">
        <f>IF($C388="","",IFERROR(VLOOKUP($C388,Orders!$A$4:$J$998,3,FALSE),""))</f>
        <v/>
      </c>
      <c r="F388" s="40">
        <f t="shared" si="2"/>
        <v>1</v>
      </c>
      <c r="G388" s="40" t="str">
        <f>IF($C388="","",IFERROR(VLOOKUP($C388,Orders!$A$4:$J$998,4,FALSE),""))</f>
        <v/>
      </c>
      <c r="H388" s="40" t="str">
        <f>IF($C388="","",IFERROR(VLOOKUP($C388,Orders!$A$4:$J$998,5,FALSE),""))</f>
        <v/>
      </c>
      <c r="I388" s="40" t="str">
        <f>IF($C388="","",IFERROR(VLOOKUP($C388,Orders!$A$4:$J$998,6,FALSE),""))</f>
        <v/>
      </c>
      <c r="J388" s="40" t="str">
        <f>IF($C388="","",IFERROR(VLOOKUP($C388,Orders!$A$4:$J$998,7,FALSE),""))</f>
        <v/>
      </c>
      <c r="K388" s="40" t="str">
        <f>IF(Bids!$C387="","",Bids!$C387)</f>
        <v/>
      </c>
      <c r="L388" s="40" t="str">
        <f>IF($K388="","",IFERROR(VLOOKUP($K388,Grinders!$A$4:$N$998,2,FALSE),""))</f>
        <v/>
      </c>
      <c r="M388" s="40" t="str">
        <f>IF($K388="","",IFERROR(VLOOKUP($K388,Grinders!$A$4:$N$998,3,FALSE),""))</f>
        <v/>
      </c>
      <c r="N388" s="40" t="str">
        <f>IF($K388="","",IFERROR(VLOOKUP($K388,Grinders!$A$4:$N$998,4,FALSE),""))</f>
        <v/>
      </c>
      <c r="O388" s="40" t="str">
        <f>IF($K388="","",IFERROR(VLOOKUP($K388,Grinders!$A$4:$N$998,5,FALSE),""))</f>
        <v/>
      </c>
      <c r="P388" s="40" t="str">
        <f>IF($K388="","",IF($C$4="",0,COUNTIFS(Assignments!$B$6:$B$1000,$K388,Assignments!$F$6:$F$1000,$C$4,Assignments!$E$6:$E$1000,"Active")))</f>
        <v/>
      </c>
      <c r="Q388" s="40" t="str">
        <f t="shared" si="3"/>
        <v/>
      </c>
      <c r="R388" s="40" t="str">
        <f t="shared" si="4"/>
        <v/>
      </c>
      <c r="S388" s="40" t="str">
        <f>IF($K388="","",IF($C$4="",0,COUNTIFS(Assignments!$B$6:$B$1000,$K388,Assignments!$F$6:$F$1000,$C$4,Assignments!$D$6:$D$1000,"&gt;="&amp;Config!$B$3-7,Assignments!$D$6:$D$1000,"&lt;="&amp;Config!$B$3)))</f>
        <v/>
      </c>
      <c r="T388" s="40" t="str">
        <f>IF($K388="","",IFERROR(VLOOKUP($K388,Grinders!$A$4:$N$998,8,FALSE),""))</f>
        <v/>
      </c>
      <c r="U388" s="40" t="str">
        <f>IFERROR(IF($K388="","",IF($M388="Elite",MAX(50,MIN(100,Config!$B$27*MAX(0,MIN(100,(1-IF($R388="",0,$R388))*100)) + Config!$B$28*MAX(0,MIN(100,(1-MIN(1,IF(Config!$B$30=0,1,$S388/Config!$B$30)))*100)) + Config!$B$29*MAX(0,MIN(100,MIN(1,IF($T388="",0,$T388)/Config!$B$23)*100)))),MIN(100,Config!$B$27*MAX(0,MIN(100,(1-IF($R388="",0,$R388))*100)) + Config!$B$28*MAX(0,MIN(100,(1-MIN(1,IF(Config!$B$30=0,1,$S388/Config!$B$30)))*100)) + Config!$B$29*MAX(0,MIN(100,MIN(1,IF($T388="",0,$T388)/Config!$B$23)*100))))),"")
</f>
        <v/>
      </c>
      <c r="V388" s="40" t="str">
        <f>IF(Bids!$AC388="","",Bids!$AC388)</f>
        <v/>
      </c>
      <c r="W388" s="40" t="str">
        <f>IF(Bids!$F387="","",Bids!$F387)</f>
        <v/>
      </c>
      <c r="X388" s="40" t="str">
        <f t="shared" si="5"/>
        <v/>
      </c>
      <c r="Y388" s="40" t="str">
        <f>IF($X388="","",IF(Config!$B$17=Config!$B$16,IF($X388&gt;=Config!$B$17,100,0),MAX(0,MIN(100,($X388-Config!$B$16)/(Config!$B$17-Config!$B$16)*100))))</f>
        <v/>
      </c>
      <c r="Z388" s="40">
        <f>IF($M388="Elite",Config!$B$21,0)</f>
        <v>0</v>
      </c>
      <c r="AA388" s="40" t="str">
        <f>IFERROR(IF(OR($W388="",$H388=""),"",IF($W388&gt;$H388,
  MAX(0, 60-(($W388-$H388)*24/Config!$B$19)*60),
  MIN(100, 60+(($H388-$W388)*24/Config!$B$20)*40)
)),"")
</f>
        <v/>
      </c>
      <c r="AB388" s="40" t="str">
        <f>IF($K388="","",IFERROR(VLOOKUP($K388,Grinders!$A$4:$N$998,10,FALSE)/5*100,""))</f>
        <v/>
      </c>
      <c r="AC388" s="40" t="str">
        <f>IF($K388="","",IFERROR(VLOOKUP($K388,Grinders!$A$4:$N$998,11,FALSE)*100,""))</f>
        <v/>
      </c>
      <c r="AD388" s="40" t="str">
        <f>IF($K388="","",IFERROR(VLOOKUP($K388,Grinders!$A$4:$N$998,12,FALSE)*100,""))</f>
        <v/>
      </c>
      <c r="AE388" s="40" t="str">
        <f>IF(OR(AO388=1,AP388=1),0,=IFERROR(IFS(
    OR($C388="", $K388=""), 0,
    $F388=0, 0,
    $D388&lt;&gt;"Open", 0,
    COUNTIFS(GrinderServices!$A$6:$A$1000, $K388, GrinderServices!$B$6:$B$1000, $E388, GrinderServices!$D$6:$D$1000, "Y")=0, 0,
    $X388&lt;Config!$B$16, 0,
    Config!$B$18=1, IF($O388&gt;=N388, 0, 1),
    TRUE, 1
), "")
)</f>
        <v>#ERROR!</v>
      </c>
      <c r="AF388" s="40" t="str">
        <f>IFERROR((IF(OR(AO388=1,AP388=1),"",=IFERROR((IFERROR(IF($AE388=0,"",((Config!$B$6*$Y388 + Config!$B$7*$U388 + Config!$B$8*$Z388 + Config!$B$9*$AA388 + Config!$B$10*$AB388 + Config!$B$11*$AC388 - Config!$B$12*$AD388)/Config!$B$13)+$AK388+$AL388),""))*(1-IFERROR(VLOOKUP(K388,Grinders!$A:$AB, 28, FALSE),0)),"")))*(1+AR388),"")</f>
        <v>#ERROR!</v>
      </c>
      <c r="AG388" s="40" t="str">
        <f t="shared" si="6"/>
        <v>#ERROR!</v>
      </c>
      <c r="AH388" s="40" t="str">
        <f t="shared" si="7"/>
        <v/>
      </c>
      <c r="AI388" s="40" t="str">
        <f t="shared" si="8"/>
        <v/>
      </c>
      <c r="AJ388" s="40" t="str">
        <f>IF($K388="","",COUNTIF(Assignments!$B$6:$B$1000,$K388))</f>
        <v/>
      </c>
      <c r="AK388" s="40" t="str">
        <f>IF($K388="","",IF(AND($AJ388=0,$O388&lt;$N388),Config!$B$43,0))</f>
        <v/>
      </c>
      <c r="AL388" s="40" t="str">
        <f>IF($K388="","",IF(AND($M388="Elite",$G388&gt;=Config!$B$41,$O388&lt;$N388),Config!$B$42,0))</f>
        <v/>
      </c>
      <c r="AM388" s="22"/>
      <c r="AN388" s="39">
        <f>IFERROR(VLOOKUP(K388,Grinders!$A:$Q,28,FALSE),0)</f>
        <v>0</v>
      </c>
      <c r="AO388" s="39">
        <f>IF(Config!$B$1003&lt;&gt;"Y",0,IF(IFERROR(VLOOKUP(K388,Grinders!$A:$P,27,FALSE),0)&gt;=3,IF(OR(G388&gt;=Config!$B$1001,ISNUMBER(SEARCH(E388,Config!$B$1002))),1,0),0))</f>
        <v>0</v>
      </c>
      <c r="AP388" s="39">
        <f t="array" ref="AP388">IFERROR(IF(INDEX(Bids!$AE:$AE,MATCH(B388,Bids!$A:$A,0))="Pending",1,0),0)</f>
        <v>0</v>
      </c>
      <c r="AQ388" s="39" t="str">
        <f t="array" ref="AQ388">IF(C388="","",IFERROR(XLOOKUP(C388,Assignments!$C:$C,Assignments!$AU:$AU,0),0))</f>
        <v/>
      </c>
      <c r="AR388" s="39">
        <f>IF(AND(Config!$B$1006="Y",AQ388=1),Config!$B$1007,0)</f>
        <v>0</v>
      </c>
    </row>
    <row r="389" ht="15.75" customHeight="1">
      <c r="A389" s="46" t="str">
        <f t="shared" si="1"/>
        <v/>
      </c>
      <c r="B389" s="40" t="str">
        <f>IF(Bids!$A388="","",Bids!$A388)</f>
        <v/>
      </c>
      <c r="C389" s="40" t="str">
        <f>IF(Bids!$B388="","",Bids!$B388)</f>
        <v/>
      </c>
      <c r="D389" s="40" t="str">
        <f>IF($C389="","",IFERROR(VLOOKUP($C389,Orders!$A$4:$J$998,9,FALSE),""))</f>
        <v/>
      </c>
      <c r="E389" s="40" t="str">
        <f>IF($C389="","",IFERROR(VLOOKUP($C389,Orders!$A$4:$J$998,3,FALSE),""))</f>
        <v/>
      </c>
      <c r="F389" s="40">
        <f t="shared" si="2"/>
        <v>1</v>
      </c>
      <c r="G389" s="40" t="str">
        <f>IF($C389="","",IFERROR(VLOOKUP($C389,Orders!$A$4:$J$998,4,FALSE),""))</f>
        <v/>
      </c>
      <c r="H389" s="40" t="str">
        <f>IF($C389="","",IFERROR(VLOOKUP($C389,Orders!$A$4:$J$998,5,FALSE),""))</f>
        <v/>
      </c>
      <c r="I389" s="40" t="str">
        <f>IF($C389="","",IFERROR(VLOOKUP($C389,Orders!$A$4:$J$998,6,FALSE),""))</f>
        <v/>
      </c>
      <c r="J389" s="40" t="str">
        <f>IF($C389="","",IFERROR(VLOOKUP($C389,Orders!$A$4:$J$998,7,FALSE),""))</f>
        <v/>
      </c>
      <c r="K389" s="40" t="str">
        <f>IF(Bids!$C388="","",Bids!$C388)</f>
        <v/>
      </c>
      <c r="L389" s="40" t="str">
        <f>IF($K389="","",IFERROR(VLOOKUP($K389,Grinders!$A$4:$N$998,2,FALSE),""))</f>
        <v/>
      </c>
      <c r="M389" s="40" t="str">
        <f>IF($K389="","",IFERROR(VLOOKUP($K389,Grinders!$A$4:$N$998,3,FALSE),""))</f>
        <v/>
      </c>
      <c r="N389" s="40" t="str">
        <f>IF($K389="","",IFERROR(VLOOKUP($K389,Grinders!$A$4:$N$998,4,FALSE),""))</f>
        <v/>
      </c>
      <c r="O389" s="40" t="str">
        <f>IF($K389="","",IFERROR(VLOOKUP($K389,Grinders!$A$4:$N$998,5,FALSE),""))</f>
        <v/>
      </c>
      <c r="P389" s="40" t="str">
        <f>IF($K389="","",IF($C$4="",0,COUNTIFS(Assignments!$B$6:$B$1000,$K389,Assignments!$F$6:$F$1000,$C$4,Assignments!$E$6:$E$1000,"Active")))</f>
        <v/>
      </c>
      <c r="Q389" s="40" t="str">
        <f t="shared" si="3"/>
        <v/>
      </c>
      <c r="R389" s="40" t="str">
        <f t="shared" si="4"/>
        <v/>
      </c>
      <c r="S389" s="40" t="str">
        <f>IF($K389="","",IF($C$4="",0,COUNTIFS(Assignments!$B$6:$B$1000,$K389,Assignments!$F$6:$F$1000,$C$4,Assignments!$D$6:$D$1000,"&gt;="&amp;Config!$B$3-7,Assignments!$D$6:$D$1000,"&lt;="&amp;Config!$B$3)))</f>
        <v/>
      </c>
      <c r="T389" s="40" t="str">
        <f>IF($K389="","",IFERROR(VLOOKUP($K389,Grinders!$A$4:$N$998,8,FALSE),""))</f>
        <v/>
      </c>
      <c r="U389" s="40" t="str">
        <f>IFERROR(IF($K389="","",IF($M389="Elite",MAX(50,MIN(100,Config!$B$27*MAX(0,MIN(100,(1-IF($R389="",0,$R389))*100)) + Config!$B$28*MAX(0,MIN(100,(1-MIN(1,IF(Config!$B$30=0,1,$S389/Config!$B$30)))*100)) + Config!$B$29*MAX(0,MIN(100,MIN(1,IF($T389="",0,$T389)/Config!$B$23)*100)))),MIN(100,Config!$B$27*MAX(0,MIN(100,(1-IF($R389="",0,$R389))*100)) + Config!$B$28*MAX(0,MIN(100,(1-MIN(1,IF(Config!$B$30=0,1,$S389/Config!$B$30)))*100)) + Config!$B$29*MAX(0,MIN(100,MIN(1,IF($T389="",0,$T389)/Config!$B$23)*100))))),"")
</f>
        <v/>
      </c>
      <c r="V389" s="40" t="str">
        <f>IF(Bids!$AC389="","",Bids!$AC389)</f>
        <v/>
      </c>
      <c r="W389" s="40" t="str">
        <f>IF(Bids!$F388="","",Bids!$F388)</f>
        <v/>
      </c>
      <c r="X389" s="40" t="str">
        <f t="shared" si="5"/>
        <v/>
      </c>
      <c r="Y389" s="40" t="str">
        <f>IF($X389="","",IF(Config!$B$17=Config!$B$16,IF($X389&gt;=Config!$B$17,100,0),MAX(0,MIN(100,($X389-Config!$B$16)/(Config!$B$17-Config!$B$16)*100))))</f>
        <v/>
      </c>
      <c r="Z389" s="40">
        <f>IF($M389="Elite",Config!$B$21,0)</f>
        <v>0</v>
      </c>
      <c r="AA389" s="40" t="str">
        <f>IFERROR(IF(OR($W389="",$H389=""),"",IF($W389&gt;$H389,
  MAX(0, 60-(($W389-$H389)*24/Config!$B$19)*60),
  MIN(100, 60+(($H389-$W389)*24/Config!$B$20)*40)
)),"")
</f>
        <v/>
      </c>
      <c r="AB389" s="40" t="str">
        <f>IF($K389="","",IFERROR(VLOOKUP($K389,Grinders!$A$4:$N$998,10,FALSE)/5*100,""))</f>
        <v/>
      </c>
      <c r="AC389" s="40" t="str">
        <f>IF($K389="","",IFERROR(VLOOKUP($K389,Grinders!$A$4:$N$998,11,FALSE)*100,""))</f>
        <v/>
      </c>
      <c r="AD389" s="40" t="str">
        <f>IF($K389="","",IFERROR(VLOOKUP($K389,Grinders!$A$4:$N$998,12,FALSE)*100,""))</f>
        <v/>
      </c>
      <c r="AE389" s="40" t="str">
        <f>IF(OR(AO389=1,AP389=1),0,=IFERROR(IFS(
    OR($C389="", $K389=""), 0,
    $F389=0, 0,
    $D389&lt;&gt;"Open", 0,
    COUNTIFS(GrinderServices!$A$6:$A$1000, $K389, GrinderServices!$B$6:$B$1000, $E389, GrinderServices!$D$6:$D$1000, "Y")=0, 0,
    $X389&lt;Config!$B$16, 0,
    Config!$B$18=1, IF($O389&gt;=N389, 0, 1),
    TRUE, 1
), "")
)</f>
        <v>#ERROR!</v>
      </c>
      <c r="AF389" s="40" t="str">
        <f>IFERROR((IF(OR(AO389=1,AP389=1),"",=IFERROR((IFERROR(IF($AE389=0,"",((Config!$B$6*$Y389 + Config!$B$7*$U389 + Config!$B$8*$Z389 + Config!$B$9*$AA389 + Config!$B$10*$AB389 + Config!$B$11*$AC389 - Config!$B$12*$AD389)/Config!$B$13)+$AK389+$AL389),""))*(1-IFERROR(VLOOKUP(K389,Grinders!$A:$AB, 28, FALSE),0)),"")))*(1+AR389),"")</f>
        <v>#ERROR!</v>
      </c>
      <c r="AG389" s="40" t="str">
        <f t="shared" si="6"/>
        <v>#ERROR!</v>
      </c>
      <c r="AH389" s="40" t="str">
        <f t="shared" si="7"/>
        <v/>
      </c>
      <c r="AI389" s="40" t="str">
        <f t="shared" si="8"/>
        <v/>
      </c>
      <c r="AJ389" s="40" t="str">
        <f>IF($K389="","",COUNTIF(Assignments!$B$6:$B$1000,$K389))</f>
        <v/>
      </c>
      <c r="AK389" s="40" t="str">
        <f>IF($K389="","",IF(AND($AJ389=0,$O389&lt;$N389),Config!$B$43,0))</f>
        <v/>
      </c>
      <c r="AL389" s="40" t="str">
        <f>IF($K389="","",IF(AND($M389="Elite",$G389&gt;=Config!$B$41,$O389&lt;$N389),Config!$B$42,0))</f>
        <v/>
      </c>
      <c r="AM389" s="22"/>
      <c r="AN389" s="39">
        <f>IFERROR(VLOOKUP(K389,Grinders!$A:$Q,28,FALSE),0)</f>
        <v>0</v>
      </c>
      <c r="AO389" s="39">
        <f>IF(Config!$B$1003&lt;&gt;"Y",0,IF(IFERROR(VLOOKUP(K389,Grinders!$A:$P,27,FALSE),0)&gt;=3,IF(OR(G389&gt;=Config!$B$1001,ISNUMBER(SEARCH(E389,Config!$B$1002))),1,0),0))</f>
        <v>0</v>
      </c>
      <c r="AP389" s="39">
        <f t="array" ref="AP389">IFERROR(IF(INDEX(Bids!$AE:$AE,MATCH(B389,Bids!$A:$A,0))="Pending",1,0),0)</f>
        <v>0</v>
      </c>
      <c r="AQ389" s="39" t="str">
        <f t="array" ref="AQ389">IF(C389="","",IFERROR(XLOOKUP(C389,Assignments!$C:$C,Assignments!$AU:$AU,0),0))</f>
        <v/>
      </c>
      <c r="AR389" s="39">
        <f>IF(AND(Config!$B$1006="Y",AQ389=1),Config!$B$1007,0)</f>
        <v>0</v>
      </c>
    </row>
    <row r="390" ht="15.75" customHeight="1">
      <c r="A390" s="46" t="str">
        <f t="shared" si="1"/>
        <v/>
      </c>
      <c r="B390" s="40" t="str">
        <f>IF(Bids!$A389="","",Bids!$A389)</f>
        <v/>
      </c>
      <c r="C390" s="40" t="str">
        <f>IF(Bids!$B389="","",Bids!$B389)</f>
        <v/>
      </c>
      <c r="D390" s="40" t="str">
        <f>IF($C390="","",IFERROR(VLOOKUP($C390,Orders!$A$4:$J$998,9,FALSE),""))</f>
        <v/>
      </c>
      <c r="E390" s="40" t="str">
        <f>IF($C390="","",IFERROR(VLOOKUP($C390,Orders!$A$4:$J$998,3,FALSE),""))</f>
        <v/>
      </c>
      <c r="F390" s="40">
        <f t="shared" si="2"/>
        <v>1</v>
      </c>
      <c r="G390" s="40" t="str">
        <f>IF($C390="","",IFERROR(VLOOKUP($C390,Orders!$A$4:$J$998,4,FALSE),""))</f>
        <v/>
      </c>
      <c r="H390" s="40" t="str">
        <f>IF($C390="","",IFERROR(VLOOKUP($C390,Orders!$A$4:$J$998,5,FALSE),""))</f>
        <v/>
      </c>
      <c r="I390" s="40" t="str">
        <f>IF($C390="","",IFERROR(VLOOKUP($C390,Orders!$A$4:$J$998,6,FALSE),""))</f>
        <v/>
      </c>
      <c r="J390" s="40" t="str">
        <f>IF($C390="","",IFERROR(VLOOKUP($C390,Orders!$A$4:$J$998,7,FALSE),""))</f>
        <v/>
      </c>
      <c r="K390" s="40" t="str">
        <f>IF(Bids!$C389="","",Bids!$C389)</f>
        <v/>
      </c>
      <c r="L390" s="40" t="str">
        <f>IF($K390="","",IFERROR(VLOOKUP($K390,Grinders!$A$4:$N$998,2,FALSE),""))</f>
        <v/>
      </c>
      <c r="M390" s="40" t="str">
        <f>IF($K390="","",IFERROR(VLOOKUP($K390,Grinders!$A$4:$N$998,3,FALSE),""))</f>
        <v/>
      </c>
      <c r="N390" s="40" t="str">
        <f>IF($K390="","",IFERROR(VLOOKUP($K390,Grinders!$A$4:$N$998,4,FALSE),""))</f>
        <v/>
      </c>
      <c r="O390" s="40" t="str">
        <f>IF($K390="","",IFERROR(VLOOKUP($K390,Grinders!$A$4:$N$998,5,FALSE),""))</f>
        <v/>
      </c>
      <c r="P390" s="40" t="str">
        <f>IF($K390="","",IF($C$4="",0,COUNTIFS(Assignments!$B$6:$B$1000,$K390,Assignments!$F$6:$F$1000,$C$4,Assignments!$E$6:$E$1000,"Active")))</f>
        <v/>
      </c>
      <c r="Q390" s="40" t="str">
        <f t="shared" si="3"/>
        <v/>
      </c>
      <c r="R390" s="40" t="str">
        <f t="shared" si="4"/>
        <v/>
      </c>
      <c r="S390" s="40" t="str">
        <f>IF($K390="","",IF($C$4="",0,COUNTIFS(Assignments!$B$6:$B$1000,$K390,Assignments!$F$6:$F$1000,$C$4,Assignments!$D$6:$D$1000,"&gt;="&amp;Config!$B$3-7,Assignments!$D$6:$D$1000,"&lt;="&amp;Config!$B$3)))</f>
        <v/>
      </c>
      <c r="T390" s="40" t="str">
        <f>IF($K390="","",IFERROR(VLOOKUP($K390,Grinders!$A$4:$N$998,8,FALSE),""))</f>
        <v/>
      </c>
      <c r="U390" s="40" t="str">
        <f>IFERROR(IF($K390="","",IF($M390="Elite",MAX(50,MIN(100,Config!$B$27*MAX(0,MIN(100,(1-IF($R390="",0,$R390))*100)) + Config!$B$28*MAX(0,MIN(100,(1-MIN(1,IF(Config!$B$30=0,1,$S390/Config!$B$30)))*100)) + Config!$B$29*MAX(0,MIN(100,MIN(1,IF($T390="",0,$T390)/Config!$B$23)*100)))),MIN(100,Config!$B$27*MAX(0,MIN(100,(1-IF($R390="",0,$R390))*100)) + Config!$B$28*MAX(0,MIN(100,(1-MIN(1,IF(Config!$B$30=0,1,$S390/Config!$B$30)))*100)) + Config!$B$29*MAX(0,MIN(100,MIN(1,IF($T390="",0,$T390)/Config!$B$23)*100))))),"")
</f>
        <v/>
      </c>
      <c r="V390" s="40" t="str">
        <f>IF(Bids!$AC390="","",Bids!$AC390)</f>
        <v/>
      </c>
      <c r="W390" s="40" t="str">
        <f>IF(Bids!$F389="","",Bids!$F389)</f>
        <v/>
      </c>
      <c r="X390" s="40" t="str">
        <f t="shared" si="5"/>
        <v/>
      </c>
      <c r="Y390" s="40" t="str">
        <f>IF($X390="","",IF(Config!$B$17=Config!$B$16,IF($X390&gt;=Config!$B$17,100,0),MAX(0,MIN(100,($X390-Config!$B$16)/(Config!$B$17-Config!$B$16)*100))))</f>
        <v/>
      </c>
      <c r="Z390" s="40">
        <f>IF($M390="Elite",Config!$B$21,0)</f>
        <v>0</v>
      </c>
      <c r="AA390" s="40" t="str">
        <f>IFERROR(IF(OR($W390="",$H390=""),"",IF($W390&gt;$H390,
  MAX(0, 60-(($W390-$H390)*24/Config!$B$19)*60),
  MIN(100, 60+(($H390-$W390)*24/Config!$B$20)*40)
)),"")
</f>
        <v/>
      </c>
      <c r="AB390" s="40" t="str">
        <f>IF($K390="","",IFERROR(VLOOKUP($K390,Grinders!$A$4:$N$998,10,FALSE)/5*100,""))</f>
        <v/>
      </c>
      <c r="AC390" s="40" t="str">
        <f>IF($K390="","",IFERROR(VLOOKUP($K390,Grinders!$A$4:$N$998,11,FALSE)*100,""))</f>
        <v/>
      </c>
      <c r="AD390" s="40" t="str">
        <f>IF($K390="","",IFERROR(VLOOKUP($K390,Grinders!$A$4:$N$998,12,FALSE)*100,""))</f>
        <v/>
      </c>
      <c r="AE390" s="40" t="str">
        <f>IF(OR(AO390=1,AP390=1),0,=IFERROR(IFS(
    OR($C390="", $K390=""), 0,
    $F390=0, 0,
    $D390&lt;&gt;"Open", 0,
    COUNTIFS(GrinderServices!$A$6:$A$1000, $K390, GrinderServices!$B$6:$B$1000, $E390, GrinderServices!$D$6:$D$1000, "Y")=0, 0,
    $X390&lt;Config!$B$16, 0,
    Config!$B$18=1, IF($O390&gt;=N390, 0, 1),
    TRUE, 1
), "")
)</f>
        <v>#ERROR!</v>
      </c>
      <c r="AF390" s="40" t="str">
        <f>IFERROR((IF(OR(AO390=1,AP390=1),"",=IFERROR((IFERROR(IF($AE390=0,"",((Config!$B$6*$Y390 + Config!$B$7*$U390 + Config!$B$8*$Z390 + Config!$B$9*$AA390 + Config!$B$10*$AB390 + Config!$B$11*$AC390 - Config!$B$12*$AD390)/Config!$B$13)+$AK390+$AL390),""))*(1-IFERROR(VLOOKUP(K390,Grinders!$A:$AB, 28, FALSE),0)),"")))*(1+AR390),"")</f>
        <v>#ERROR!</v>
      </c>
      <c r="AG390" s="40" t="str">
        <f t="shared" si="6"/>
        <v>#ERROR!</v>
      </c>
      <c r="AH390" s="40" t="str">
        <f t="shared" si="7"/>
        <v/>
      </c>
      <c r="AI390" s="40" t="str">
        <f t="shared" si="8"/>
        <v/>
      </c>
      <c r="AJ390" s="40" t="str">
        <f>IF($K390="","",COUNTIF(Assignments!$B$6:$B$1000,$K390))</f>
        <v/>
      </c>
      <c r="AK390" s="40" t="str">
        <f>IF($K390="","",IF(AND($AJ390=0,$O390&lt;$N390),Config!$B$43,0))</f>
        <v/>
      </c>
      <c r="AL390" s="40" t="str">
        <f>IF($K390="","",IF(AND($M390="Elite",$G390&gt;=Config!$B$41,$O390&lt;$N390),Config!$B$42,0))</f>
        <v/>
      </c>
      <c r="AM390" s="22"/>
      <c r="AN390" s="39">
        <f>IFERROR(VLOOKUP(K390,Grinders!$A:$Q,28,FALSE),0)</f>
        <v>0</v>
      </c>
      <c r="AO390" s="39">
        <f>IF(Config!$B$1003&lt;&gt;"Y",0,IF(IFERROR(VLOOKUP(K390,Grinders!$A:$P,27,FALSE),0)&gt;=3,IF(OR(G390&gt;=Config!$B$1001,ISNUMBER(SEARCH(E390,Config!$B$1002))),1,0),0))</f>
        <v>0</v>
      </c>
      <c r="AP390" s="39">
        <f t="array" ref="AP390">IFERROR(IF(INDEX(Bids!$AE:$AE,MATCH(B390,Bids!$A:$A,0))="Pending",1,0),0)</f>
        <v>0</v>
      </c>
      <c r="AQ390" s="39" t="str">
        <f t="array" ref="AQ390">IF(C390="","",IFERROR(XLOOKUP(C390,Assignments!$C:$C,Assignments!$AU:$AU,0),0))</f>
        <v/>
      </c>
      <c r="AR390" s="39">
        <f>IF(AND(Config!$B$1006="Y",AQ390=1),Config!$B$1007,0)</f>
        <v>0</v>
      </c>
    </row>
    <row r="391" ht="15.75" customHeight="1">
      <c r="A391" s="46" t="str">
        <f t="shared" si="1"/>
        <v/>
      </c>
      <c r="B391" s="40" t="str">
        <f>IF(Bids!$A390="","",Bids!$A390)</f>
        <v/>
      </c>
      <c r="C391" s="40" t="str">
        <f>IF(Bids!$B390="","",Bids!$B390)</f>
        <v/>
      </c>
      <c r="D391" s="40" t="str">
        <f>IF($C391="","",IFERROR(VLOOKUP($C391,Orders!$A$4:$J$998,9,FALSE),""))</f>
        <v/>
      </c>
      <c r="E391" s="40" t="str">
        <f>IF($C391="","",IFERROR(VLOOKUP($C391,Orders!$A$4:$J$998,3,FALSE),""))</f>
        <v/>
      </c>
      <c r="F391" s="40">
        <f t="shared" si="2"/>
        <v>1</v>
      </c>
      <c r="G391" s="40" t="str">
        <f>IF($C391="","",IFERROR(VLOOKUP($C391,Orders!$A$4:$J$998,4,FALSE),""))</f>
        <v/>
      </c>
      <c r="H391" s="40" t="str">
        <f>IF($C391="","",IFERROR(VLOOKUP($C391,Orders!$A$4:$J$998,5,FALSE),""))</f>
        <v/>
      </c>
      <c r="I391" s="40" t="str">
        <f>IF($C391="","",IFERROR(VLOOKUP($C391,Orders!$A$4:$J$998,6,FALSE),""))</f>
        <v/>
      </c>
      <c r="J391" s="40" t="str">
        <f>IF($C391="","",IFERROR(VLOOKUP($C391,Orders!$A$4:$J$998,7,FALSE),""))</f>
        <v/>
      </c>
      <c r="K391" s="40" t="str">
        <f>IF(Bids!$C390="","",Bids!$C390)</f>
        <v/>
      </c>
      <c r="L391" s="40" t="str">
        <f>IF($K391="","",IFERROR(VLOOKUP($K391,Grinders!$A$4:$N$998,2,FALSE),""))</f>
        <v/>
      </c>
      <c r="M391" s="40" t="str">
        <f>IF($K391="","",IFERROR(VLOOKUP($K391,Grinders!$A$4:$N$998,3,FALSE),""))</f>
        <v/>
      </c>
      <c r="N391" s="40" t="str">
        <f>IF($K391="","",IFERROR(VLOOKUP($K391,Grinders!$A$4:$N$998,4,FALSE),""))</f>
        <v/>
      </c>
      <c r="O391" s="40" t="str">
        <f>IF($K391="","",IFERROR(VLOOKUP($K391,Grinders!$A$4:$N$998,5,FALSE),""))</f>
        <v/>
      </c>
      <c r="P391" s="40" t="str">
        <f>IF($K391="","",IF($C$4="",0,COUNTIFS(Assignments!$B$6:$B$1000,$K391,Assignments!$F$6:$F$1000,$C$4,Assignments!$E$6:$E$1000,"Active")))</f>
        <v/>
      </c>
      <c r="Q391" s="40" t="str">
        <f t="shared" si="3"/>
        <v/>
      </c>
      <c r="R391" s="40" t="str">
        <f t="shared" si="4"/>
        <v/>
      </c>
      <c r="S391" s="40" t="str">
        <f>IF($K391="","",IF($C$4="",0,COUNTIFS(Assignments!$B$6:$B$1000,$K391,Assignments!$F$6:$F$1000,$C$4,Assignments!$D$6:$D$1000,"&gt;="&amp;Config!$B$3-7,Assignments!$D$6:$D$1000,"&lt;="&amp;Config!$B$3)))</f>
        <v/>
      </c>
      <c r="T391" s="40" t="str">
        <f>IF($K391="","",IFERROR(VLOOKUP($K391,Grinders!$A$4:$N$998,8,FALSE),""))</f>
        <v/>
      </c>
      <c r="U391" s="40" t="str">
        <f>IFERROR(IF($K391="","",IF($M391="Elite",MAX(50,MIN(100,Config!$B$27*MAX(0,MIN(100,(1-IF($R391="",0,$R391))*100)) + Config!$B$28*MAX(0,MIN(100,(1-MIN(1,IF(Config!$B$30=0,1,$S391/Config!$B$30)))*100)) + Config!$B$29*MAX(0,MIN(100,MIN(1,IF($T391="",0,$T391)/Config!$B$23)*100)))),MIN(100,Config!$B$27*MAX(0,MIN(100,(1-IF($R391="",0,$R391))*100)) + Config!$B$28*MAX(0,MIN(100,(1-MIN(1,IF(Config!$B$30=0,1,$S391/Config!$B$30)))*100)) + Config!$B$29*MAX(0,MIN(100,MIN(1,IF($T391="",0,$T391)/Config!$B$23)*100))))),"")
</f>
        <v/>
      </c>
      <c r="V391" s="40" t="str">
        <f>IF(Bids!$AC391="","",Bids!$AC391)</f>
        <v/>
      </c>
      <c r="W391" s="40" t="str">
        <f>IF(Bids!$F390="","",Bids!$F390)</f>
        <v/>
      </c>
      <c r="X391" s="40" t="str">
        <f t="shared" si="5"/>
        <v/>
      </c>
      <c r="Y391" s="40" t="str">
        <f>IF($X391="","",IF(Config!$B$17=Config!$B$16,IF($X391&gt;=Config!$B$17,100,0),MAX(0,MIN(100,($X391-Config!$B$16)/(Config!$B$17-Config!$B$16)*100))))</f>
        <v/>
      </c>
      <c r="Z391" s="40">
        <f>IF($M391="Elite",Config!$B$21,0)</f>
        <v>0</v>
      </c>
      <c r="AA391" s="40" t="str">
        <f>IFERROR(IF(OR($W391="",$H391=""),"",IF($W391&gt;$H391,
  MAX(0, 60-(($W391-$H391)*24/Config!$B$19)*60),
  MIN(100, 60+(($H391-$W391)*24/Config!$B$20)*40)
)),"")
</f>
        <v/>
      </c>
      <c r="AB391" s="40" t="str">
        <f>IF($K391="","",IFERROR(VLOOKUP($K391,Grinders!$A$4:$N$998,10,FALSE)/5*100,""))</f>
        <v/>
      </c>
      <c r="AC391" s="40" t="str">
        <f>IF($K391="","",IFERROR(VLOOKUP($K391,Grinders!$A$4:$N$998,11,FALSE)*100,""))</f>
        <v/>
      </c>
      <c r="AD391" s="40" t="str">
        <f>IF($K391="","",IFERROR(VLOOKUP($K391,Grinders!$A$4:$N$998,12,FALSE)*100,""))</f>
        <v/>
      </c>
      <c r="AE391" s="40" t="str">
        <f>IF(OR(AO391=1,AP391=1),0,=IFERROR(IFS(
    OR($C391="", $K391=""), 0,
    $F391=0, 0,
    $D391&lt;&gt;"Open", 0,
    COUNTIFS(GrinderServices!$A$6:$A$1000, $K391, GrinderServices!$B$6:$B$1000, $E391, GrinderServices!$D$6:$D$1000, "Y")=0, 0,
    $X391&lt;Config!$B$16, 0,
    Config!$B$18=1, IF($O391&gt;=N391, 0, 1),
    TRUE, 1
), "")
)</f>
        <v>#ERROR!</v>
      </c>
      <c r="AF391" s="40" t="str">
        <f>IFERROR((IF(OR(AO391=1,AP391=1),"",=IFERROR((IFERROR(IF($AE391=0,"",((Config!$B$6*$Y391 + Config!$B$7*$U391 + Config!$B$8*$Z391 + Config!$B$9*$AA391 + Config!$B$10*$AB391 + Config!$B$11*$AC391 - Config!$B$12*$AD391)/Config!$B$13)+$AK391+$AL391),""))*(1-IFERROR(VLOOKUP(K391,Grinders!$A:$AB, 28, FALSE),0)),"")))*(1+AR391),"")</f>
        <v>#ERROR!</v>
      </c>
      <c r="AG391" s="40" t="str">
        <f t="shared" si="6"/>
        <v>#ERROR!</v>
      </c>
      <c r="AH391" s="40" t="str">
        <f t="shared" si="7"/>
        <v/>
      </c>
      <c r="AI391" s="40" t="str">
        <f t="shared" si="8"/>
        <v/>
      </c>
      <c r="AJ391" s="40" t="str">
        <f>IF($K391="","",COUNTIF(Assignments!$B$6:$B$1000,$K391))</f>
        <v/>
      </c>
      <c r="AK391" s="40" t="str">
        <f>IF($K391="","",IF(AND($AJ391=0,$O391&lt;$N391),Config!$B$43,0))</f>
        <v/>
      </c>
      <c r="AL391" s="40" t="str">
        <f>IF($K391="","",IF(AND($M391="Elite",$G391&gt;=Config!$B$41,$O391&lt;$N391),Config!$B$42,0))</f>
        <v/>
      </c>
      <c r="AM391" s="22"/>
      <c r="AN391" s="39">
        <f>IFERROR(VLOOKUP(K391,Grinders!$A:$Q,28,FALSE),0)</f>
        <v>0</v>
      </c>
      <c r="AO391" s="39">
        <f>IF(Config!$B$1003&lt;&gt;"Y",0,IF(IFERROR(VLOOKUP(K391,Grinders!$A:$P,27,FALSE),0)&gt;=3,IF(OR(G391&gt;=Config!$B$1001,ISNUMBER(SEARCH(E391,Config!$B$1002))),1,0),0))</f>
        <v>0</v>
      </c>
      <c r="AP391" s="39">
        <f t="array" ref="AP391">IFERROR(IF(INDEX(Bids!$AE:$AE,MATCH(B391,Bids!$A:$A,0))="Pending",1,0),0)</f>
        <v>0</v>
      </c>
      <c r="AQ391" s="39" t="str">
        <f t="array" ref="AQ391">IF(C391="","",IFERROR(XLOOKUP(C391,Assignments!$C:$C,Assignments!$AU:$AU,0),0))</f>
        <v/>
      </c>
      <c r="AR391" s="39">
        <f>IF(AND(Config!$B$1006="Y",AQ391=1),Config!$B$1007,0)</f>
        <v>0</v>
      </c>
    </row>
    <row r="392" ht="15.75" customHeight="1">
      <c r="A392" s="46" t="str">
        <f t="shared" si="1"/>
        <v/>
      </c>
      <c r="B392" s="40" t="str">
        <f>IF(Bids!$A391="","",Bids!$A391)</f>
        <v/>
      </c>
      <c r="C392" s="40" t="str">
        <f>IF(Bids!$B391="","",Bids!$B391)</f>
        <v/>
      </c>
      <c r="D392" s="40" t="str">
        <f>IF($C392="","",IFERROR(VLOOKUP($C392,Orders!$A$4:$J$998,9,FALSE),""))</f>
        <v/>
      </c>
      <c r="E392" s="40" t="str">
        <f>IF($C392="","",IFERROR(VLOOKUP($C392,Orders!$A$4:$J$998,3,FALSE),""))</f>
        <v/>
      </c>
      <c r="F392" s="40">
        <f t="shared" si="2"/>
        <v>1</v>
      </c>
      <c r="G392" s="40" t="str">
        <f>IF($C392="","",IFERROR(VLOOKUP($C392,Orders!$A$4:$J$998,4,FALSE),""))</f>
        <v/>
      </c>
      <c r="H392" s="40" t="str">
        <f>IF($C392="","",IFERROR(VLOOKUP($C392,Orders!$A$4:$J$998,5,FALSE),""))</f>
        <v/>
      </c>
      <c r="I392" s="40" t="str">
        <f>IF($C392="","",IFERROR(VLOOKUP($C392,Orders!$A$4:$J$998,6,FALSE),""))</f>
        <v/>
      </c>
      <c r="J392" s="40" t="str">
        <f>IF($C392="","",IFERROR(VLOOKUP($C392,Orders!$A$4:$J$998,7,FALSE),""))</f>
        <v/>
      </c>
      <c r="K392" s="40" t="str">
        <f>IF(Bids!$C391="","",Bids!$C391)</f>
        <v/>
      </c>
      <c r="L392" s="40" t="str">
        <f>IF($K392="","",IFERROR(VLOOKUP($K392,Grinders!$A$4:$N$998,2,FALSE),""))</f>
        <v/>
      </c>
      <c r="M392" s="40" t="str">
        <f>IF($K392="","",IFERROR(VLOOKUP($K392,Grinders!$A$4:$N$998,3,FALSE),""))</f>
        <v/>
      </c>
      <c r="N392" s="40" t="str">
        <f>IF($K392="","",IFERROR(VLOOKUP($K392,Grinders!$A$4:$N$998,4,FALSE),""))</f>
        <v/>
      </c>
      <c r="O392" s="40" t="str">
        <f>IF($K392="","",IFERROR(VLOOKUP($K392,Grinders!$A$4:$N$998,5,FALSE),""))</f>
        <v/>
      </c>
      <c r="P392" s="40" t="str">
        <f>IF($K392="","",IF($C$4="",0,COUNTIFS(Assignments!$B$6:$B$1000,$K392,Assignments!$F$6:$F$1000,$C$4,Assignments!$E$6:$E$1000,"Active")))</f>
        <v/>
      </c>
      <c r="Q392" s="40" t="str">
        <f t="shared" si="3"/>
        <v/>
      </c>
      <c r="R392" s="40" t="str">
        <f t="shared" si="4"/>
        <v/>
      </c>
      <c r="S392" s="40" t="str">
        <f>IF($K392="","",IF($C$4="",0,COUNTIFS(Assignments!$B$6:$B$1000,$K392,Assignments!$F$6:$F$1000,$C$4,Assignments!$D$6:$D$1000,"&gt;="&amp;Config!$B$3-7,Assignments!$D$6:$D$1000,"&lt;="&amp;Config!$B$3)))</f>
        <v/>
      </c>
      <c r="T392" s="40" t="str">
        <f>IF($K392="","",IFERROR(VLOOKUP($K392,Grinders!$A$4:$N$998,8,FALSE),""))</f>
        <v/>
      </c>
      <c r="U392" s="40" t="str">
        <f>IFERROR(IF($K392="","",IF($M392="Elite",MAX(50,MIN(100,Config!$B$27*MAX(0,MIN(100,(1-IF($R392="",0,$R392))*100)) + Config!$B$28*MAX(0,MIN(100,(1-MIN(1,IF(Config!$B$30=0,1,$S392/Config!$B$30)))*100)) + Config!$B$29*MAX(0,MIN(100,MIN(1,IF($T392="",0,$T392)/Config!$B$23)*100)))),MIN(100,Config!$B$27*MAX(0,MIN(100,(1-IF($R392="",0,$R392))*100)) + Config!$B$28*MAX(0,MIN(100,(1-MIN(1,IF(Config!$B$30=0,1,$S392/Config!$B$30)))*100)) + Config!$B$29*MAX(0,MIN(100,MIN(1,IF($T392="",0,$T392)/Config!$B$23)*100))))),"")
</f>
        <v/>
      </c>
      <c r="V392" s="40" t="str">
        <f>IF(Bids!$AC392="","",Bids!$AC392)</f>
        <v/>
      </c>
      <c r="W392" s="40" t="str">
        <f>IF(Bids!$F391="","",Bids!$F391)</f>
        <v/>
      </c>
      <c r="X392" s="40" t="str">
        <f t="shared" si="5"/>
        <v/>
      </c>
      <c r="Y392" s="40" t="str">
        <f>IF($X392="","",IF(Config!$B$17=Config!$B$16,IF($X392&gt;=Config!$B$17,100,0),MAX(0,MIN(100,($X392-Config!$B$16)/(Config!$B$17-Config!$B$16)*100))))</f>
        <v/>
      </c>
      <c r="Z392" s="40">
        <f>IF($M392="Elite",Config!$B$21,0)</f>
        <v>0</v>
      </c>
      <c r="AA392" s="40" t="str">
        <f>IFERROR(IF(OR($W392="",$H392=""),"",IF($W392&gt;$H392,
  MAX(0, 60-(($W392-$H392)*24/Config!$B$19)*60),
  MIN(100, 60+(($H392-$W392)*24/Config!$B$20)*40)
)),"")
</f>
        <v/>
      </c>
      <c r="AB392" s="40" t="str">
        <f>IF($K392="","",IFERROR(VLOOKUP($K392,Grinders!$A$4:$N$998,10,FALSE)/5*100,""))</f>
        <v/>
      </c>
      <c r="AC392" s="40" t="str">
        <f>IF($K392="","",IFERROR(VLOOKUP($K392,Grinders!$A$4:$N$998,11,FALSE)*100,""))</f>
        <v/>
      </c>
      <c r="AD392" s="40" t="str">
        <f>IF($K392="","",IFERROR(VLOOKUP($K392,Grinders!$A$4:$N$998,12,FALSE)*100,""))</f>
        <v/>
      </c>
      <c r="AE392" s="40" t="str">
        <f>IF(OR(AO392=1,AP392=1),0,=IFERROR(IFS(
    OR($C392="", $K392=""), 0,
    $F392=0, 0,
    $D392&lt;&gt;"Open", 0,
    COUNTIFS(GrinderServices!$A$6:$A$1000, $K392, GrinderServices!$B$6:$B$1000, $E392, GrinderServices!$D$6:$D$1000, "Y")=0, 0,
    $X392&lt;Config!$B$16, 0,
    Config!$B$18=1, IF($O392&gt;=N392, 0, 1),
    TRUE, 1
), "")
)</f>
        <v>#ERROR!</v>
      </c>
      <c r="AF392" s="40" t="str">
        <f>IFERROR((IF(OR(AO392=1,AP392=1),"",=IFERROR((IFERROR(IF($AE392=0,"",((Config!$B$6*$Y392 + Config!$B$7*$U392 + Config!$B$8*$Z392 + Config!$B$9*$AA392 + Config!$B$10*$AB392 + Config!$B$11*$AC392 - Config!$B$12*$AD392)/Config!$B$13)+$AK392+$AL392),""))*(1-IFERROR(VLOOKUP(K392,Grinders!$A:$AB, 28, FALSE),0)),"")))*(1+AR392),"")</f>
        <v>#ERROR!</v>
      </c>
      <c r="AG392" s="40" t="str">
        <f t="shared" si="6"/>
        <v>#ERROR!</v>
      </c>
      <c r="AH392" s="40" t="str">
        <f t="shared" si="7"/>
        <v/>
      </c>
      <c r="AI392" s="40" t="str">
        <f t="shared" si="8"/>
        <v/>
      </c>
      <c r="AJ392" s="40" t="str">
        <f>IF($K392="","",COUNTIF(Assignments!$B$6:$B$1000,$K392))</f>
        <v/>
      </c>
      <c r="AK392" s="40" t="str">
        <f>IF($K392="","",IF(AND($AJ392=0,$O392&lt;$N392),Config!$B$43,0))</f>
        <v/>
      </c>
      <c r="AL392" s="40" t="str">
        <f>IF($K392="","",IF(AND($M392="Elite",$G392&gt;=Config!$B$41,$O392&lt;$N392),Config!$B$42,0))</f>
        <v/>
      </c>
      <c r="AM392" s="22"/>
      <c r="AN392" s="39">
        <f>IFERROR(VLOOKUP(K392,Grinders!$A:$Q,28,FALSE),0)</f>
        <v>0</v>
      </c>
      <c r="AO392" s="39">
        <f>IF(Config!$B$1003&lt;&gt;"Y",0,IF(IFERROR(VLOOKUP(K392,Grinders!$A:$P,27,FALSE),0)&gt;=3,IF(OR(G392&gt;=Config!$B$1001,ISNUMBER(SEARCH(E392,Config!$B$1002))),1,0),0))</f>
        <v>0</v>
      </c>
      <c r="AP392" s="39">
        <f t="array" ref="AP392">IFERROR(IF(INDEX(Bids!$AE:$AE,MATCH(B392,Bids!$A:$A,0))="Pending",1,0),0)</f>
        <v>0</v>
      </c>
      <c r="AQ392" s="39" t="str">
        <f t="array" ref="AQ392">IF(C392="","",IFERROR(XLOOKUP(C392,Assignments!$C:$C,Assignments!$AU:$AU,0),0))</f>
        <v/>
      </c>
      <c r="AR392" s="39">
        <f>IF(AND(Config!$B$1006="Y",AQ392=1),Config!$B$1007,0)</f>
        <v>0</v>
      </c>
    </row>
    <row r="393" ht="15.75" customHeight="1">
      <c r="A393" s="46" t="str">
        <f t="shared" si="1"/>
        <v/>
      </c>
      <c r="B393" s="40" t="str">
        <f>IF(Bids!$A392="","",Bids!$A392)</f>
        <v/>
      </c>
      <c r="C393" s="40" t="str">
        <f>IF(Bids!$B392="","",Bids!$B392)</f>
        <v/>
      </c>
      <c r="D393" s="40" t="str">
        <f>IF($C393="","",IFERROR(VLOOKUP($C393,Orders!$A$4:$J$998,9,FALSE),""))</f>
        <v/>
      </c>
      <c r="E393" s="40" t="str">
        <f>IF($C393="","",IFERROR(VLOOKUP($C393,Orders!$A$4:$J$998,3,FALSE),""))</f>
        <v/>
      </c>
      <c r="F393" s="40">
        <f t="shared" si="2"/>
        <v>1</v>
      </c>
      <c r="G393" s="40" t="str">
        <f>IF($C393="","",IFERROR(VLOOKUP($C393,Orders!$A$4:$J$998,4,FALSE),""))</f>
        <v/>
      </c>
      <c r="H393" s="40" t="str">
        <f>IF($C393="","",IFERROR(VLOOKUP($C393,Orders!$A$4:$J$998,5,FALSE),""))</f>
        <v/>
      </c>
      <c r="I393" s="40" t="str">
        <f>IF($C393="","",IFERROR(VLOOKUP($C393,Orders!$A$4:$J$998,6,FALSE),""))</f>
        <v/>
      </c>
      <c r="J393" s="40" t="str">
        <f>IF($C393="","",IFERROR(VLOOKUP($C393,Orders!$A$4:$J$998,7,FALSE),""))</f>
        <v/>
      </c>
      <c r="K393" s="40" t="str">
        <f>IF(Bids!$C392="","",Bids!$C392)</f>
        <v/>
      </c>
      <c r="L393" s="40" t="str">
        <f>IF($K393="","",IFERROR(VLOOKUP($K393,Grinders!$A$4:$N$998,2,FALSE),""))</f>
        <v/>
      </c>
      <c r="M393" s="40" t="str">
        <f>IF($K393="","",IFERROR(VLOOKUP($K393,Grinders!$A$4:$N$998,3,FALSE),""))</f>
        <v/>
      </c>
      <c r="N393" s="40" t="str">
        <f>IF($K393="","",IFERROR(VLOOKUP($K393,Grinders!$A$4:$N$998,4,FALSE),""))</f>
        <v/>
      </c>
      <c r="O393" s="40" t="str">
        <f>IF($K393="","",IFERROR(VLOOKUP($K393,Grinders!$A$4:$N$998,5,FALSE),""))</f>
        <v/>
      </c>
      <c r="P393" s="40" t="str">
        <f>IF($K393="","",IF($C$4="",0,COUNTIFS(Assignments!$B$6:$B$1000,$K393,Assignments!$F$6:$F$1000,$C$4,Assignments!$E$6:$E$1000,"Active")))</f>
        <v/>
      </c>
      <c r="Q393" s="40" t="str">
        <f t="shared" si="3"/>
        <v/>
      </c>
      <c r="R393" s="40" t="str">
        <f t="shared" si="4"/>
        <v/>
      </c>
      <c r="S393" s="40" t="str">
        <f>IF($K393="","",IF($C$4="",0,COUNTIFS(Assignments!$B$6:$B$1000,$K393,Assignments!$F$6:$F$1000,$C$4,Assignments!$D$6:$D$1000,"&gt;="&amp;Config!$B$3-7,Assignments!$D$6:$D$1000,"&lt;="&amp;Config!$B$3)))</f>
        <v/>
      </c>
      <c r="T393" s="40" t="str">
        <f>IF($K393="","",IFERROR(VLOOKUP($K393,Grinders!$A$4:$N$998,8,FALSE),""))</f>
        <v/>
      </c>
      <c r="U393" s="40" t="str">
        <f>IFERROR(IF($K393="","",IF($M393="Elite",MAX(50,MIN(100,Config!$B$27*MAX(0,MIN(100,(1-IF($R393="",0,$R393))*100)) + Config!$B$28*MAX(0,MIN(100,(1-MIN(1,IF(Config!$B$30=0,1,$S393/Config!$B$30)))*100)) + Config!$B$29*MAX(0,MIN(100,MIN(1,IF($T393="",0,$T393)/Config!$B$23)*100)))),MIN(100,Config!$B$27*MAX(0,MIN(100,(1-IF($R393="",0,$R393))*100)) + Config!$B$28*MAX(0,MIN(100,(1-MIN(1,IF(Config!$B$30=0,1,$S393/Config!$B$30)))*100)) + Config!$B$29*MAX(0,MIN(100,MIN(1,IF($T393="",0,$T393)/Config!$B$23)*100))))),"")
</f>
        <v/>
      </c>
      <c r="V393" s="40" t="str">
        <f>IF(Bids!$AC393="","",Bids!$AC393)</f>
        <v/>
      </c>
      <c r="W393" s="40" t="str">
        <f>IF(Bids!$F392="","",Bids!$F392)</f>
        <v/>
      </c>
      <c r="X393" s="40" t="str">
        <f t="shared" si="5"/>
        <v/>
      </c>
      <c r="Y393" s="40" t="str">
        <f>IF($X393="","",IF(Config!$B$17=Config!$B$16,IF($X393&gt;=Config!$B$17,100,0),MAX(0,MIN(100,($X393-Config!$B$16)/(Config!$B$17-Config!$B$16)*100))))</f>
        <v/>
      </c>
      <c r="Z393" s="40">
        <f>IF($M393="Elite",Config!$B$21,0)</f>
        <v>0</v>
      </c>
      <c r="AA393" s="40" t="str">
        <f>IFERROR(IF(OR($W393="",$H393=""),"",IF($W393&gt;$H393,
  MAX(0, 60-(($W393-$H393)*24/Config!$B$19)*60),
  MIN(100, 60+(($H393-$W393)*24/Config!$B$20)*40)
)),"")
</f>
        <v/>
      </c>
      <c r="AB393" s="40" t="str">
        <f>IF($K393="","",IFERROR(VLOOKUP($K393,Grinders!$A$4:$N$998,10,FALSE)/5*100,""))</f>
        <v/>
      </c>
      <c r="AC393" s="40" t="str">
        <f>IF($K393="","",IFERROR(VLOOKUP($K393,Grinders!$A$4:$N$998,11,FALSE)*100,""))</f>
        <v/>
      </c>
      <c r="AD393" s="40" t="str">
        <f>IF($K393="","",IFERROR(VLOOKUP($K393,Grinders!$A$4:$N$998,12,FALSE)*100,""))</f>
        <v/>
      </c>
      <c r="AE393" s="40" t="str">
        <f>IF(OR(AO393=1,AP393=1),0,=IFERROR(IFS(
    OR($C393="", $K393=""), 0,
    $F393=0, 0,
    $D393&lt;&gt;"Open", 0,
    COUNTIFS(GrinderServices!$A$6:$A$1000, $K393, GrinderServices!$B$6:$B$1000, $E393, GrinderServices!$D$6:$D$1000, "Y")=0, 0,
    $X393&lt;Config!$B$16, 0,
    Config!$B$18=1, IF($O393&gt;=N393, 0, 1),
    TRUE, 1
), "")
)</f>
        <v>#ERROR!</v>
      </c>
      <c r="AF393" s="40" t="str">
        <f>IFERROR((IF(OR(AO393=1,AP393=1),"",=IFERROR((IFERROR(IF($AE393=0,"",((Config!$B$6*$Y393 + Config!$B$7*$U393 + Config!$B$8*$Z393 + Config!$B$9*$AA393 + Config!$B$10*$AB393 + Config!$B$11*$AC393 - Config!$B$12*$AD393)/Config!$B$13)+$AK393+$AL393),""))*(1-IFERROR(VLOOKUP(K393,Grinders!$A:$AB, 28, FALSE),0)),"")))*(1+AR393),"")</f>
        <v>#ERROR!</v>
      </c>
      <c r="AG393" s="40" t="str">
        <f t="shared" si="6"/>
        <v>#ERROR!</v>
      </c>
      <c r="AH393" s="40" t="str">
        <f t="shared" si="7"/>
        <v/>
      </c>
      <c r="AI393" s="40" t="str">
        <f t="shared" si="8"/>
        <v/>
      </c>
      <c r="AJ393" s="40" t="str">
        <f>IF($K393="","",COUNTIF(Assignments!$B$6:$B$1000,$K393))</f>
        <v/>
      </c>
      <c r="AK393" s="40" t="str">
        <f>IF($K393="","",IF(AND($AJ393=0,$O393&lt;$N393),Config!$B$43,0))</f>
        <v/>
      </c>
      <c r="AL393" s="40" t="str">
        <f>IF($K393="","",IF(AND($M393="Elite",$G393&gt;=Config!$B$41,$O393&lt;$N393),Config!$B$42,0))</f>
        <v/>
      </c>
      <c r="AM393" s="22"/>
      <c r="AN393" s="39">
        <f>IFERROR(VLOOKUP(K393,Grinders!$A:$Q,28,FALSE),0)</f>
        <v>0</v>
      </c>
      <c r="AO393" s="39">
        <f>IF(Config!$B$1003&lt;&gt;"Y",0,IF(IFERROR(VLOOKUP(K393,Grinders!$A:$P,27,FALSE),0)&gt;=3,IF(OR(G393&gt;=Config!$B$1001,ISNUMBER(SEARCH(E393,Config!$B$1002))),1,0),0))</f>
        <v>0</v>
      </c>
      <c r="AP393" s="39">
        <f t="array" ref="AP393">IFERROR(IF(INDEX(Bids!$AE:$AE,MATCH(B393,Bids!$A:$A,0))="Pending",1,0),0)</f>
        <v>0</v>
      </c>
      <c r="AQ393" s="39" t="str">
        <f t="array" ref="AQ393">IF(C393="","",IFERROR(XLOOKUP(C393,Assignments!$C:$C,Assignments!$AU:$AU,0),0))</f>
        <v/>
      </c>
      <c r="AR393" s="39">
        <f>IF(AND(Config!$B$1006="Y",AQ393=1),Config!$B$1007,0)</f>
        <v>0</v>
      </c>
    </row>
    <row r="394" ht="15.75" customHeight="1">
      <c r="A394" s="46" t="str">
        <f t="shared" si="1"/>
        <v/>
      </c>
      <c r="B394" s="40" t="str">
        <f>IF(Bids!$A393="","",Bids!$A393)</f>
        <v/>
      </c>
      <c r="C394" s="40" t="str">
        <f>IF(Bids!$B393="","",Bids!$B393)</f>
        <v/>
      </c>
      <c r="D394" s="40" t="str">
        <f>IF($C394="","",IFERROR(VLOOKUP($C394,Orders!$A$4:$J$998,9,FALSE),""))</f>
        <v/>
      </c>
      <c r="E394" s="40" t="str">
        <f>IF($C394="","",IFERROR(VLOOKUP($C394,Orders!$A$4:$J$998,3,FALSE),""))</f>
        <v/>
      </c>
      <c r="F394" s="40">
        <f t="shared" si="2"/>
        <v>1</v>
      </c>
      <c r="G394" s="40" t="str">
        <f>IF($C394="","",IFERROR(VLOOKUP($C394,Orders!$A$4:$J$998,4,FALSE),""))</f>
        <v/>
      </c>
      <c r="H394" s="40" t="str">
        <f>IF($C394="","",IFERROR(VLOOKUP($C394,Orders!$A$4:$J$998,5,FALSE),""))</f>
        <v/>
      </c>
      <c r="I394" s="40" t="str">
        <f>IF($C394="","",IFERROR(VLOOKUP($C394,Orders!$A$4:$J$998,6,FALSE),""))</f>
        <v/>
      </c>
      <c r="J394" s="40" t="str">
        <f>IF($C394="","",IFERROR(VLOOKUP($C394,Orders!$A$4:$J$998,7,FALSE),""))</f>
        <v/>
      </c>
      <c r="K394" s="40" t="str">
        <f>IF(Bids!$C393="","",Bids!$C393)</f>
        <v/>
      </c>
      <c r="L394" s="40" t="str">
        <f>IF($K394="","",IFERROR(VLOOKUP($K394,Grinders!$A$4:$N$998,2,FALSE),""))</f>
        <v/>
      </c>
      <c r="M394" s="40" t="str">
        <f>IF($K394="","",IFERROR(VLOOKUP($K394,Grinders!$A$4:$N$998,3,FALSE),""))</f>
        <v/>
      </c>
      <c r="N394" s="40" t="str">
        <f>IF($K394="","",IFERROR(VLOOKUP($K394,Grinders!$A$4:$N$998,4,FALSE),""))</f>
        <v/>
      </c>
      <c r="O394" s="40" t="str">
        <f>IF($K394="","",IFERROR(VLOOKUP($K394,Grinders!$A$4:$N$998,5,FALSE),""))</f>
        <v/>
      </c>
      <c r="P394" s="40" t="str">
        <f>IF($K394="","",IF($C$4="",0,COUNTIFS(Assignments!$B$6:$B$1000,$K394,Assignments!$F$6:$F$1000,$C$4,Assignments!$E$6:$E$1000,"Active")))</f>
        <v/>
      </c>
      <c r="Q394" s="40" t="str">
        <f t="shared" si="3"/>
        <v/>
      </c>
      <c r="R394" s="40" t="str">
        <f t="shared" si="4"/>
        <v/>
      </c>
      <c r="S394" s="40" t="str">
        <f>IF($K394="","",IF($C$4="",0,COUNTIFS(Assignments!$B$6:$B$1000,$K394,Assignments!$F$6:$F$1000,$C$4,Assignments!$D$6:$D$1000,"&gt;="&amp;Config!$B$3-7,Assignments!$D$6:$D$1000,"&lt;="&amp;Config!$B$3)))</f>
        <v/>
      </c>
      <c r="T394" s="40" t="str">
        <f>IF($K394="","",IFERROR(VLOOKUP($K394,Grinders!$A$4:$N$998,8,FALSE),""))</f>
        <v/>
      </c>
      <c r="U394" s="40" t="str">
        <f>IFERROR(IF($K394="","",IF($M394="Elite",MAX(50,MIN(100,Config!$B$27*MAX(0,MIN(100,(1-IF($R394="",0,$R394))*100)) + Config!$B$28*MAX(0,MIN(100,(1-MIN(1,IF(Config!$B$30=0,1,$S394/Config!$B$30)))*100)) + Config!$B$29*MAX(0,MIN(100,MIN(1,IF($T394="",0,$T394)/Config!$B$23)*100)))),MIN(100,Config!$B$27*MAX(0,MIN(100,(1-IF($R394="",0,$R394))*100)) + Config!$B$28*MAX(0,MIN(100,(1-MIN(1,IF(Config!$B$30=0,1,$S394/Config!$B$30)))*100)) + Config!$B$29*MAX(0,MIN(100,MIN(1,IF($T394="",0,$T394)/Config!$B$23)*100))))),"")
</f>
        <v/>
      </c>
      <c r="V394" s="40" t="str">
        <f>IF(Bids!$AC394="","",Bids!$AC394)</f>
        <v/>
      </c>
      <c r="W394" s="40" t="str">
        <f>IF(Bids!$F393="","",Bids!$F393)</f>
        <v/>
      </c>
      <c r="X394" s="40" t="str">
        <f t="shared" si="5"/>
        <v/>
      </c>
      <c r="Y394" s="40" t="str">
        <f>IF($X394="","",IF(Config!$B$17=Config!$B$16,IF($X394&gt;=Config!$B$17,100,0),MAX(0,MIN(100,($X394-Config!$B$16)/(Config!$B$17-Config!$B$16)*100))))</f>
        <v/>
      </c>
      <c r="Z394" s="40">
        <f>IF($M394="Elite",Config!$B$21,0)</f>
        <v>0</v>
      </c>
      <c r="AA394" s="40" t="str">
        <f>IFERROR(IF(OR($W394="",$H394=""),"",IF($W394&gt;$H394,
  MAX(0, 60-(($W394-$H394)*24/Config!$B$19)*60),
  MIN(100, 60+(($H394-$W394)*24/Config!$B$20)*40)
)),"")
</f>
        <v/>
      </c>
      <c r="AB394" s="40" t="str">
        <f>IF($K394="","",IFERROR(VLOOKUP($K394,Grinders!$A$4:$N$998,10,FALSE)/5*100,""))</f>
        <v/>
      </c>
      <c r="AC394" s="40" t="str">
        <f>IF($K394="","",IFERROR(VLOOKUP($K394,Grinders!$A$4:$N$998,11,FALSE)*100,""))</f>
        <v/>
      </c>
      <c r="AD394" s="40" t="str">
        <f>IF($K394="","",IFERROR(VLOOKUP($K394,Grinders!$A$4:$N$998,12,FALSE)*100,""))</f>
        <v/>
      </c>
      <c r="AE394" s="40" t="str">
        <f>IF(OR(AO394=1,AP394=1),0,=IFERROR(IFS(
    OR($C394="", $K394=""), 0,
    $F394=0, 0,
    $D394&lt;&gt;"Open", 0,
    COUNTIFS(GrinderServices!$A$6:$A$1000, $K394, GrinderServices!$B$6:$B$1000, $E394, GrinderServices!$D$6:$D$1000, "Y")=0, 0,
    $X394&lt;Config!$B$16, 0,
    Config!$B$18=1, IF($O394&gt;=N394, 0, 1),
    TRUE, 1
), "")
)</f>
        <v>#ERROR!</v>
      </c>
      <c r="AF394" s="40" t="str">
        <f>IFERROR((IF(OR(AO394=1,AP394=1),"",=IFERROR((IFERROR(IF($AE394=0,"",((Config!$B$6*$Y394 + Config!$B$7*$U394 + Config!$B$8*$Z394 + Config!$B$9*$AA394 + Config!$B$10*$AB394 + Config!$B$11*$AC394 - Config!$B$12*$AD394)/Config!$B$13)+$AK394+$AL394),""))*(1-IFERROR(VLOOKUP(K394,Grinders!$A:$AB, 28, FALSE),0)),"")))*(1+AR394),"")</f>
        <v>#ERROR!</v>
      </c>
      <c r="AG394" s="40" t="str">
        <f t="shared" si="6"/>
        <v>#ERROR!</v>
      </c>
      <c r="AH394" s="40" t="str">
        <f t="shared" si="7"/>
        <v/>
      </c>
      <c r="AI394" s="40" t="str">
        <f t="shared" si="8"/>
        <v/>
      </c>
      <c r="AJ394" s="40" t="str">
        <f>IF($K394="","",COUNTIF(Assignments!$B$6:$B$1000,$K394))</f>
        <v/>
      </c>
      <c r="AK394" s="40" t="str">
        <f>IF($K394="","",IF(AND($AJ394=0,$O394&lt;$N394),Config!$B$43,0))</f>
        <v/>
      </c>
      <c r="AL394" s="40" t="str">
        <f>IF($K394="","",IF(AND($M394="Elite",$G394&gt;=Config!$B$41,$O394&lt;$N394),Config!$B$42,0))</f>
        <v/>
      </c>
      <c r="AM394" s="22"/>
      <c r="AN394" s="39">
        <f>IFERROR(VLOOKUP(K394,Grinders!$A:$Q,28,FALSE),0)</f>
        <v>0</v>
      </c>
      <c r="AO394" s="39">
        <f>IF(Config!$B$1003&lt;&gt;"Y",0,IF(IFERROR(VLOOKUP(K394,Grinders!$A:$P,27,FALSE),0)&gt;=3,IF(OR(G394&gt;=Config!$B$1001,ISNUMBER(SEARCH(E394,Config!$B$1002))),1,0),0))</f>
        <v>0</v>
      </c>
      <c r="AP394" s="39">
        <f t="array" ref="AP394">IFERROR(IF(INDEX(Bids!$AE:$AE,MATCH(B394,Bids!$A:$A,0))="Pending",1,0),0)</f>
        <v>0</v>
      </c>
      <c r="AQ394" s="39" t="str">
        <f t="array" ref="AQ394">IF(C394="","",IFERROR(XLOOKUP(C394,Assignments!$C:$C,Assignments!$AU:$AU,0),0))</f>
        <v/>
      </c>
      <c r="AR394" s="39">
        <f>IF(AND(Config!$B$1006="Y",AQ394=1),Config!$B$1007,0)</f>
        <v>0</v>
      </c>
    </row>
    <row r="395" ht="15.75" customHeight="1">
      <c r="A395" s="46" t="str">
        <f t="shared" si="1"/>
        <v/>
      </c>
      <c r="B395" s="40" t="str">
        <f>IF(Bids!$A394="","",Bids!$A394)</f>
        <v/>
      </c>
      <c r="C395" s="40" t="str">
        <f>IF(Bids!$B394="","",Bids!$B394)</f>
        <v/>
      </c>
      <c r="D395" s="40" t="str">
        <f>IF($C395="","",IFERROR(VLOOKUP($C395,Orders!$A$4:$J$998,9,FALSE),""))</f>
        <v/>
      </c>
      <c r="E395" s="40" t="str">
        <f>IF($C395="","",IFERROR(VLOOKUP($C395,Orders!$A$4:$J$998,3,FALSE),""))</f>
        <v/>
      </c>
      <c r="F395" s="40">
        <f t="shared" si="2"/>
        <v>1</v>
      </c>
      <c r="G395" s="40" t="str">
        <f>IF($C395="","",IFERROR(VLOOKUP($C395,Orders!$A$4:$J$998,4,FALSE),""))</f>
        <v/>
      </c>
      <c r="H395" s="40" t="str">
        <f>IF($C395="","",IFERROR(VLOOKUP($C395,Orders!$A$4:$J$998,5,FALSE),""))</f>
        <v/>
      </c>
      <c r="I395" s="40" t="str">
        <f>IF($C395="","",IFERROR(VLOOKUP($C395,Orders!$A$4:$J$998,6,FALSE),""))</f>
        <v/>
      </c>
      <c r="J395" s="40" t="str">
        <f>IF($C395="","",IFERROR(VLOOKUP($C395,Orders!$A$4:$J$998,7,FALSE),""))</f>
        <v/>
      </c>
      <c r="K395" s="40" t="str">
        <f>IF(Bids!$C394="","",Bids!$C394)</f>
        <v/>
      </c>
      <c r="L395" s="40" t="str">
        <f>IF($K395="","",IFERROR(VLOOKUP($K395,Grinders!$A$4:$N$998,2,FALSE),""))</f>
        <v/>
      </c>
      <c r="M395" s="40" t="str">
        <f>IF($K395="","",IFERROR(VLOOKUP($K395,Grinders!$A$4:$N$998,3,FALSE),""))</f>
        <v/>
      </c>
      <c r="N395" s="40" t="str">
        <f>IF($K395="","",IFERROR(VLOOKUP($K395,Grinders!$A$4:$N$998,4,FALSE),""))</f>
        <v/>
      </c>
      <c r="O395" s="40" t="str">
        <f>IF($K395="","",IFERROR(VLOOKUP($K395,Grinders!$A$4:$N$998,5,FALSE),""))</f>
        <v/>
      </c>
      <c r="P395" s="40" t="str">
        <f>IF($K395="","",IF($C$4="",0,COUNTIFS(Assignments!$B$6:$B$1000,$K395,Assignments!$F$6:$F$1000,$C$4,Assignments!$E$6:$E$1000,"Active")))</f>
        <v/>
      </c>
      <c r="Q395" s="40" t="str">
        <f t="shared" si="3"/>
        <v/>
      </c>
      <c r="R395" s="40" t="str">
        <f t="shared" si="4"/>
        <v/>
      </c>
      <c r="S395" s="40" t="str">
        <f>IF($K395="","",IF($C$4="",0,COUNTIFS(Assignments!$B$6:$B$1000,$K395,Assignments!$F$6:$F$1000,$C$4,Assignments!$D$6:$D$1000,"&gt;="&amp;Config!$B$3-7,Assignments!$D$6:$D$1000,"&lt;="&amp;Config!$B$3)))</f>
        <v/>
      </c>
      <c r="T395" s="40" t="str">
        <f>IF($K395="","",IFERROR(VLOOKUP($K395,Grinders!$A$4:$N$998,8,FALSE),""))</f>
        <v/>
      </c>
      <c r="U395" s="40" t="str">
        <f>IFERROR(IF($K395="","",IF($M395="Elite",MAX(50,MIN(100,Config!$B$27*MAX(0,MIN(100,(1-IF($R395="",0,$R395))*100)) + Config!$B$28*MAX(0,MIN(100,(1-MIN(1,IF(Config!$B$30=0,1,$S395/Config!$B$30)))*100)) + Config!$B$29*MAX(0,MIN(100,MIN(1,IF($T395="",0,$T395)/Config!$B$23)*100)))),MIN(100,Config!$B$27*MAX(0,MIN(100,(1-IF($R395="",0,$R395))*100)) + Config!$B$28*MAX(0,MIN(100,(1-MIN(1,IF(Config!$B$30=0,1,$S395/Config!$B$30)))*100)) + Config!$B$29*MAX(0,MIN(100,MIN(1,IF($T395="",0,$T395)/Config!$B$23)*100))))),"")
</f>
        <v/>
      </c>
      <c r="V395" s="40" t="str">
        <f>IF(Bids!$AC395="","",Bids!$AC395)</f>
        <v/>
      </c>
      <c r="W395" s="40" t="str">
        <f>IF(Bids!$F394="","",Bids!$F394)</f>
        <v/>
      </c>
      <c r="X395" s="40" t="str">
        <f t="shared" si="5"/>
        <v/>
      </c>
      <c r="Y395" s="40" t="str">
        <f>IF($X395="","",IF(Config!$B$17=Config!$B$16,IF($X395&gt;=Config!$B$17,100,0),MAX(0,MIN(100,($X395-Config!$B$16)/(Config!$B$17-Config!$B$16)*100))))</f>
        <v/>
      </c>
      <c r="Z395" s="40">
        <f>IF($M395="Elite",Config!$B$21,0)</f>
        <v>0</v>
      </c>
      <c r="AA395" s="40" t="str">
        <f>IFERROR(IF(OR($W395="",$H395=""),"",IF($W395&gt;$H395,
  MAX(0, 60-(($W395-$H395)*24/Config!$B$19)*60),
  MIN(100, 60+(($H395-$W395)*24/Config!$B$20)*40)
)),"")
</f>
        <v/>
      </c>
      <c r="AB395" s="40" t="str">
        <f>IF($K395="","",IFERROR(VLOOKUP($K395,Grinders!$A$4:$N$998,10,FALSE)/5*100,""))</f>
        <v/>
      </c>
      <c r="AC395" s="40" t="str">
        <f>IF($K395="","",IFERROR(VLOOKUP($K395,Grinders!$A$4:$N$998,11,FALSE)*100,""))</f>
        <v/>
      </c>
      <c r="AD395" s="40" t="str">
        <f>IF($K395="","",IFERROR(VLOOKUP($K395,Grinders!$A$4:$N$998,12,FALSE)*100,""))</f>
        <v/>
      </c>
      <c r="AE395" s="40" t="str">
        <f>IF(OR(AO395=1,AP395=1),0,=IFERROR(IFS(
    OR($C395="", $K395=""), 0,
    $F395=0, 0,
    $D395&lt;&gt;"Open", 0,
    COUNTIFS(GrinderServices!$A$6:$A$1000, $K395, GrinderServices!$B$6:$B$1000, $E395, GrinderServices!$D$6:$D$1000, "Y")=0, 0,
    $X395&lt;Config!$B$16, 0,
    Config!$B$18=1, IF($O395&gt;=N395, 0, 1),
    TRUE, 1
), "")
)</f>
        <v>#ERROR!</v>
      </c>
      <c r="AF395" s="40" t="str">
        <f>IFERROR((IF(OR(AO395=1,AP395=1),"",=IFERROR((IFERROR(IF($AE395=0,"",((Config!$B$6*$Y395 + Config!$B$7*$U395 + Config!$B$8*$Z395 + Config!$B$9*$AA395 + Config!$B$10*$AB395 + Config!$B$11*$AC395 - Config!$B$12*$AD395)/Config!$B$13)+$AK395+$AL395),""))*(1-IFERROR(VLOOKUP(K395,Grinders!$A:$AB, 28, FALSE),0)),"")))*(1+AR395),"")</f>
        <v>#ERROR!</v>
      </c>
      <c r="AG395" s="40" t="str">
        <f t="shared" si="6"/>
        <v>#ERROR!</v>
      </c>
      <c r="AH395" s="40" t="str">
        <f t="shared" si="7"/>
        <v/>
      </c>
      <c r="AI395" s="40" t="str">
        <f t="shared" si="8"/>
        <v/>
      </c>
      <c r="AJ395" s="40" t="str">
        <f>IF($K395="","",COUNTIF(Assignments!$B$6:$B$1000,$K395))</f>
        <v/>
      </c>
      <c r="AK395" s="40" t="str">
        <f>IF($K395="","",IF(AND($AJ395=0,$O395&lt;$N395),Config!$B$43,0))</f>
        <v/>
      </c>
      <c r="AL395" s="40" t="str">
        <f>IF($K395="","",IF(AND($M395="Elite",$G395&gt;=Config!$B$41,$O395&lt;$N395),Config!$B$42,0))</f>
        <v/>
      </c>
      <c r="AM395" s="22"/>
      <c r="AN395" s="39">
        <f>IFERROR(VLOOKUP(K395,Grinders!$A:$Q,28,FALSE),0)</f>
        <v>0</v>
      </c>
      <c r="AO395" s="39">
        <f>IF(Config!$B$1003&lt;&gt;"Y",0,IF(IFERROR(VLOOKUP(K395,Grinders!$A:$P,27,FALSE),0)&gt;=3,IF(OR(G395&gt;=Config!$B$1001,ISNUMBER(SEARCH(E395,Config!$B$1002))),1,0),0))</f>
        <v>0</v>
      </c>
      <c r="AP395" s="39">
        <f t="array" ref="AP395">IFERROR(IF(INDEX(Bids!$AE:$AE,MATCH(B395,Bids!$A:$A,0))="Pending",1,0),0)</f>
        <v>0</v>
      </c>
      <c r="AQ395" s="39" t="str">
        <f t="array" ref="AQ395">IF(C395="","",IFERROR(XLOOKUP(C395,Assignments!$C:$C,Assignments!$AU:$AU,0),0))</f>
        <v/>
      </c>
      <c r="AR395" s="39">
        <f>IF(AND(Config!$B$1006="Y",AQ395=1),Config!$B$1007,0)</f>
        <v>0</v>
      </c>
    </row>
    <row r="396" ht="15.75" customHeight="1">
      <c r="A396" s="46" t="str">
        <f t="shared" si="1"/>
        <v/>
      </c>
      <c r="B396" s="40" t="str">
        <f>IF(Bids!$A395="","",Bids!$A395)</f>
        <v/>
      </c>
      <c r="C396" s="40" t="str">
        <f>IF(Bids!$B395="","",Bids!$B395)</f>
        <v/>
      </c>
      <c r="D396" s="40" t="str">
        <f>IF($C396="","",IFERROR(VLOOKUP($C396,Orders!$A$4:$J$998,9,FALSE),""))</f>
        <v/>
      </c>
      <c r="E396" s="40" t="str">
        <f>IF($C396="","",IFERROR(VLOOKUP($C396,Orders!$A$4:$J$998,3,FALSE),""))</f>
        <v/>
      </c>
      <c r="F396" s="40">
        <f t="shared" si="2"/>
        <v>1</v>
      </c>
      <c r="G396" s="40" t="str">
        <f>IF($C396="","",IFERROR(VLOOKUP($C396,Orders!$A$4:$J$998,4,FALSE),""))</f>
        <v/>
      </c>
      <c r="H396" s="40" t="str">
        <f>IF($C396="","",IFERROR(VLOOKUP($C396,Orders!$A$4:$J$998,5,FALSE),""))</f>
        <v/>
      </c>
      <c r="I396" s="40" t="str">
        <f>IF($C396="","",IFERROR(VLOOKUP($C396,Orders!$A$4:$J$998,6,FALSE),""))</f>
        <v/>
      </c>
      <c r="J396" s="40" t="str">
        <f>IF($C396="","",IFERROR(VLOOKUP($C396,Orders!$A$4:$J$998,7,FALSE),""))</f>
        <v/>
      </c>
      <c r="K396" s="40" t="str">
        <f>IF(Bids!$C395="","",Bids!$C395)</f>
        <v/>
      </c>
      <c r="L396" s="40" t="str">
        <f>IF($K396="","",IFERROR(VLOOKUP($K396,Grinders!$A$4:$N$998,2,FALSE),""))</f>
        <v/>
      </c>
      <c r="M396" s="40" t="str">
        <f>IF($K396="","",IFERROR(VLOOKUP($K396,Grinders!$A$4:$N$998,3,FALSE),""))</f>
        <v/>
      </c>
      <c r="N396" s="40" t="str">
        <f>IF($K396="","",IFERROR(VLOOKUP($K396,Grinders!$A$4:$N$998,4,FALSE),""))</f>
        <v/>
      </c>
      <c r="O396" s="40" t="str">
        <f>IF($K396="","",IFERROR(VLOOKUP($K396,Grinders!$A$4:$N$998,5,FALSE),""))</f>
        <v/>
      </c>
      <c r="P396" s="40" t="str">
        <f>IF($K396="","",IF($C$4="",0,COUNTIFS(Assignments!$B$6:$B$1000,$K396,Assignments!$F$6:$F$1000,$C$4,Assignments!$E$6:$E$1000,"Active")))</f>
        <v/>
      </c>
      <c r="Q396" s="40" t="str">
        <f t="shared" si="3"/>
        <v/>
      </c>
      <c r="R396" s="40" t="str">
        <f t="shared" si="4"/>
        <v/>
      </c>
      <c r="S396" s="40" t="str">
        <f>IF($K396="","",IF($C$4="",0,COUNTIFS(Assignments!$B$6:$B$1000,$K396,Assignments!$F$6:$F$1000,$C$4,Assignments!$D$6:$D$1000,"&gt;="&amp;Config!$B$3-7,Assignments!$D$6:$D$1000,"&lt;="&amp;Config!$B$3)))</f>
        <v/>
      </c>
      <c r="T396" s="40" t="str">
        <f>IF($K396="","",IFERROR(VLOOKUP($K396,Grinders!$A$4:$N$998,8,FALSE),""))</f>
        <v/>
      </c>
      <c r="U396" s="40" t="str">
        <f>IFERROR(IF($K396="","",IF($M396="Elite",MAX(50,MIN(100,Config!$B$27*MAX(0,MIN(100,(1-IF($R396="",0,$R396))*100)) + Config!$B$28*MAX(0,MIN(100,(1-MIN(1,IF(Config!$B$30=0,1,$S396/Config!$B$30)))*100)) + Config!$B$29*MAX(0,MIN(100,MIN(1,IF($T396="",0,$T396)/Config!$B$23)*100)))),MIN(100,Config!$B$27*MAX(0,MIN(100,(1-IF($R396="",0,$R396))*100)) + Config!$B$28*MAX(0,MIN(100,(1-MIN(1,IF(Config!$B$30=0,1,$S396/Config!$B$30)))*100)) + Config!$B$29*MAX(0,MIN(100,MIN(1,IF($T396="",0,$T396)/Config!$B$23)*100))))),"")
</f>
        <v/>
      </c>
      <c r="V396" s="40" t="str">
        <f>IF(Bids!$AC396="","",Bids!$AC396)</f>
        <v/>
      </c>
      <c r="W396" s="40" t="str">
        <f>IF(Bids!$F395="","",Bids!$F395)</f>
        <v/>
      </c>
      <c r="X396" s="40" t="str">
        <f t="shared" si="5"/>
        <v/>
      </c>
      <c r="Y396" s="40" t="str">
        <f>IF($X396="","",IF(Config!$B$17=Config!$B$16,IF($X396&gt;=Config!$B$17,100,0),MAX(0,MIN(100,($X396-Config!$B$16)/(Config!$B$17-Config!$B$16)*100))))</f>
        <v/>
      </c>
      <c r="Z396" s="40">
        <f>IF($M396="Elite",Config!$B$21,0)</f>
        <v>0</v>
      </c>
      <c r="AA396" s="40" t="str">
        <f>IFERROR(IF(OR($W396="",$H396=""),"",IF($W396&gt;$H396,
  MAX(0, 60-(($W396-$H396)*24/Config!$B$19)*60),
  MIN(100, 60+(($H396-$W396)*24/Config!$B$20)*40)
)),"")
</f>
        <v/>
      </c>
      <c r="AB396" s="40" t="str">
        <f>IF($K396="","",IFERROR(VLOOKUP($K396,Grinders!$A$4:$N$998,10,FALSE)/5*100,""))</f>
        <v/>
      </c>
      <c r="AC396" s="40" t="str">
        <f>IF($K396="","",IFERROR(VLOOKUP($K396,Grinders!$A$4:$N$998,11,FALSE)*100,""))</f>
        <v/>
      </c>
      <c r="AD396" s="40" t="str">
        <f>IF($K396="","",IFERROR(VLOOKUP($K396,Grinders!$A$4:$N$998,12,FALSE)*100,""))</f>
        <v/>
      </c>
      <c r="AE396" s="40" t="str">
        <f>IF(OR(AO396=1,AP396=1),0,=IFERROR(IFS(
    OR($C396="", $K396=""), 0,
    $F396=0, 0,
    $D396&lt;&gt;"Open", 0,
    COUNTIFS(GrinderServices!$A$6:$A$1000, $K396, GrinderServices!$B$6:$B$1000, $E396, GrinderServices!$D$6:$D$1000, "Y")=0, 0,
    $X396&lt;Config!$B$16, 0,
    Config!$B$18=1, IF($O396&gt;=N396, 0, 1),
    TRUE, 1
), "")
)</f>
        <v>#ERROR!</v>
      </c>
      <c r="AF396" s="40" t="str">
        <f>IFERROR((IF(OR(AO396=1,AP396=1),"",=IFERROR((IFERROR(IF($AE396=0,"",((Config!$B$6*$Y396 + Config!$B$7*$U396 + Config!$B$8*$Z396 + Config!$B$9*$AA396 + Config!$B$10*$AB396 + Config!$B$11*$AC396 - Config!$B$12*$AD396)/Config!$B$13)+$AK396+$AL396),""))*(1-IFERROR(VLOOKUP(K396,Grinders!$A:$AB, 28, FALSE),0)),"")))*(1+AR396),"")</f>
        <v>#ERROR!</v>
      </c>
      <c r="AG396" s="40" t="str">
        <f t="shared" si="6"/>
        <v>#ERROR!</v>
      </c>
      <c r="AH396" s="40" t="str">
        <f t="shared" si="7"/>
        <v/>
      </c>
      <c r="AI396" s="40" t="str">
        <f t="shared" si="8"/>
        <v/>
      </c>
      <c r="AJ396" s="40" t="str">
        <f>IF($K396="","",COUNTIF(Assignments!$B$6:$B$1000,$K396))</f>
        <v/>
      </c>
      <c r="AK396" s="40" t="str">
        <f>IF($K396="","",IF(AND($AJ396=0,$O396&lt;$N396),Config!$B$43,0))</f>
        <v/>
      </c>
      <c r="AL396" s="40" t="str">
        <f>IF($K396="","",IF(AND($M396="Elite",$G396&gt;=Config!$B$41,$O396&lt;$N396),Config!$B$42,0))</f>
        <v/>
      </c>
      <c r="AM396" s="22"/>
      <c r="AN396" s="39">
        <f>IFERROR(VLOOKUP(K396,Grinders!$A:$Q,28,FALSE),0)</f>
        <v>0</v>
      </c>
      <c r="AO396" s="39">
        <f>IF(Config!$B$1003&lt;&gt;"Y",0,IF(IFERROR(VLOOKUP(K396,Grinders!$A:$P,27,FALSE),0)&gt;=3,IF(OR(G396&gt;=Config!$B$1001,ISNUMBER(SEARCH(E396,Config!$B$1002))),1,0),0))</f>
        <v>0</v>
      </c>
      <c r="AP396" s="39">
        <f t="array" ref="AP396">IFERROR(IF(INDEX(Bids!$AE:$AE,MATCH(B396,Bids!$A:$A,0))="Pending",1,0),0)</f>
        <v>0</v>
      </c>
      <c r="AQ396" s="39" t="str">
        <f t="array" ref="AQ396">IF(C396="","",IFERROR(XLOOKUP(C396,Assignments!$C:$C,Assignments!$AU:$AU,0),0))</f>
        <v/>
      </c>
      <c r="AR396" s="39">
        <f>IF(AND(Config!$B$1006="Y",AQ396=1),Config!$B$1007,0)</f>
        <v>0</v>
      </c>
    </row>
    <row r="397" ht="15.75" customHeight="1">
      <c r="A397" s="46" t="str">
        <f t="shared" si="1"/>
        <v/>
      </c>
      <c r="B397" s="40" t="str">
        <f>IF(Bids!$A396="","",Bids!$A396)</f>
        <v/>
      </c>
      <c r="C397" s="40" t="str">
        <f>IF(Bids!$B396="","",Bids!$B396)</f>
        <v/>
      </c>
      <c r="D397" s="40" t="str">
        <f>IF($C397="","",IFERROR(VLOOKUP($C397,Orders!$A$4:$J$998,9,FALSE),""))</f>
        <v/>
      </c>
      <c r="E397" s="40" t="str">
        <f>IF($C397="","",IFERROR(VLOOKUP($C397,Orders!$A$4:$J$998,3,FALSE),""))</f>
        <v/>
      </c>
      <c r="F397" s="40">
        <f t="shared" si="2"/>
        <v>1</v>
      </c>
      <c r="G397" s="40" t="str">
        <f>IF($C397="","",IFERROR(VLOOKUP($C397,Orders!$A$4:$J$998,4,FALSE),""))</f>
        <v/>
      </c>
      <c r="H397" s="40" t="str">
        <f>IF($C397="","",IFERROR(VLOOKUP($C397,Orders!$A$4:$J$998,5,FALSE),""))</f>
        <v/>
      </c>
      <c r="I397" s="40" t="str">
        <f>IF($C397="","",IFERROR(VLOOKUP($C397,Orders!$A$4:$J$998,6,FALSE),""))</f>
        <v/>
      </c>
      <c r="J397" s="40" t="str">
        <f>IF($C397="","",IFERROR(VLOOKUP($C397,Orders!$A$4:$J$998,7,FALSE),""))</f>
        <v/>
      </c>
      <c r="K397" s="40" t="str">
        <f>IF(Bids!$C396="","",Bids!$C396)</f>
        <v/>
      </c>
      <c r="L397" s="40" t="str">
        <f>IF($K397="","",IFERROR(VLOOKUP($K397,Grinders!$A$4:$N$998,2,FALSE),""))</f>
        <v/>
      </c>
      <c r="M397" s="40" t="str">
        <f>IF($K397="","",IFERROR(VLOOKUP($K397,Grinders!$A$4:$N$998,3,FALSE),""))</f>
        <v/>
      </c>
      <c r="N397" s="40" t="str">
        <f>IF($K397="","",IFERROR(VLOOKUP($K397,Grinders!$A$4:$N$998,4,FALSE),""))</f>
        <v/>
      </c>
      <c r="O397" s="40" t="str">
        <f>IF($K397="","",IFERROR(VLOOKUP($K397,Grinders!$A$4:$N$998,5,FALSE),""))</f>
        <v/>
      </c>
      <c r="P397" s="40" t="str">
        <f>IF($K397="","",IF($C$4="",0,COUNTIFS(Assignments!$B$6:$B$1000,$K397,Assignments!$F$6:$F$1000,$C$4,Assignments!$E$6:$E$1000,"Active")))</f>
        <v/>
      </c>
      <c r="Q397" s="40" t="str">
        <f t="shared" si="3"/>
        <v/>
      </c>
      <c r="R397" s="40" t="str">
        <f t="shared" si="4"/>
        <v/>
      </c>
      <c r="S397" s="40" t="str">
        <f>IF($K397="","",IF($C$4="",0,COUNTIFS(Assignments!$B$6:$B$1000,$K397,Assignments!$F$6:$F$1000,$C$4,Assignments!$D$6:$D$1000,"&gt;="&amp;Config!$B$3-7,Assignments!$D$6:$D$1000,"&lt;="&amp;Config!$B$3)))</f>
        <v/>
      </c>
      <c r="T397" s="40" t="str">
        <f>IF($K397="","",IFERROR(VLOOKUP($K397,Grinders!$A$4:$N$998,8,FALSE),""))</f>
        <v/>
      </c>
      <c r="U397" s="40" t="str">
        <f>IFERROR(IF($K397="","",IF($M397="Elite",MAX(50,MIN(100,Config!$B$27*MAX(0,MIN(100,(1-IF($R397="",0,$R397))*100)) + Config!$B$28*MAX(0,MIN(100,(1-MIN(1,IF(Config!$B$30=0,1,$S397/Config!$B$30)))*100)) + Config!$B$29*MAX(0,MIN(100,MIN(1,IF($T397="",0,$T397)/Config!$B$23)*100)))),MIN(100,Config!$B$27*MAX(0,MIN(100,(1-IF($R397="",0,$R397))*100)) + Config!$B$28*MAX(0,MIN(100,(1-MIN(1,IF(Config!$B$30=0,1,$S397/Config!$B$30)))*100)) + Config!$B$29*MAX(0,MIN(100,MIN(1,IF($T397="",0,$T397)/Config!$B$23)*100))))),"")
</f>
        <v/>
      </c>
      <c r="V397" s="40" t="str">
        <f>IF(Bids!$AC397="","",Bids!$AC397)</f>
        <v/>
      </c>
      <c r="W397" s="40" t="str">
        <f>IF(Bids!$F396="","",Bids!$F396)</f>
        <v/>
      </c>
      <c r="X397" s="40" t="str">
        <f t="shared" si="5"/>
        <v/>
      </c>
      <c r="Y397" s="40" t="str">
        <f>IF($X397="","",IF(Config!$B$17=Config!$B$16,IF($X397&gt;=Config!$B$17,100,0),MAX(0,MIN(100,($X397-Config!$B$16)/(Config!$B$17-Config!$B$16)*100))))</f>
        <v/>
      </c>
      <c r="Z397" s="40">
        <f>IF($M397="Elite",Config!$B$21,0)</f>
        <v>0</v>
      </c>
      <c r="AA397" s="40" t="str">
        <f>IFERROR(IF(OR($W397="",$H397=""),"",IF($W397&gt;$H397,
  MAX(0, 60-(($W397-$H397)*24/Config!$B$19)*60),
  MIN(100, 60+(($H397-$W397)*24/Config!$B$20)*40)
)),"")
</f>
        <v/>
      </c>
      <c r="AB397" s="40" t="str">
        <f>IF($K397="","",IFERROR(VLOOKUP($K397,Grinders!$A$4:$N$998,10,FALSE)/5*100,""))</f>
        <v/>
      </c>
      <c r="AC397" s="40" t="str">
        <f>IF($K397="","",IFERROR(VLOOKUP($K397,Grinders!$A$4:$N$998,11,FALSE)*100,""))</f>
        <v/>
      </c>
      <c r="AD397" s="40" t="str">
        <f>IF($K397="","",IFERROR(VLOOKUP($K397,Grinders!$A$4:$N$998,12,FALSE)*100,""))</f>
        <v/>
      </c>
      <c r="AE397" s="40" t="str">
        <f>IF(OR(AO397=1,AP397=1),0,=IFERROR(IFS(
    OR($C397="", $K397=""), 0,
    $F397=0, 0,
    $D397&lt;&gt;"Open", 0,
    COUNTIFS(GrinderServices!$A$6:$A$1000, $K397, GrinderServices!$B$6:$B$1000, $E397, GrinderServices!$D$6:$D$1000, "Y")=0, 0,
    $X397&lt;Config!$B$16, 0,
    Config!$B$18=1, IF($O397&gt;=N397, 0, 1),
    TRUE, 1
), "")
)</f>
        <v>#ERROR!</v>
      </c>
      <c r="AF397" s="40" t="str">
        <f>IFERROR((IF(OR(AO397=1,AP397=1),"",=IFERROR((IFERROR(IF($AE397=0,"",((Config!$B$6*$Y397 + Config!$B$7*$U397 + Config!$B$8*$Z397 + Config!$B$9*$AA397 + Config!$B$10*$AB397 + Config!$B$11*$AC397 - Config!$B$12*$AD397)/Config!$B$13)+$AK397+$AL397),""))*(1-IFERROR(VLOOKUP(K397,Grinders!$A:$AB, 28, FALSE),0)),"")))*(1+AR397),"")</f>
        <v>#ERROR!</v>
      </c>
      <c r="AG397" s="40" t="str">
        <f t="shared" si="6"/>
        <v>#ERROR!</v>
      </c>
      <c r="AH397" s="40" t="str">
        <f t="shared" si="7"/>
        <v/>
      </c>
      <c r="AI397" s="40" t="str">
        <f t="shared" si="8"/>
        <v/>
      </c>
      <c r="AJ397" s="40" t="str">
        <f>IF($K397="","",COUNTIF(Assignments!$B$6:$B$1000,$K397))</f>
        <v/>
      </c>
      <c r="AK397" s="40" t="str">
        <f>IF($K397="","",IF(AND($AJ397=0,$O397&lt;$N397),Config!$B$43,0))</f>
        <v/>
      </c>
      <c r="AL397" s="40" t="str">
        <f>IF($K397="","",IF(AND($M397="Elite",$G397&gt;=Config!$B$41,$O397&lt;$N397),Config!$B$42,0))</f>
        <v/>
      </c>
      <c r="AM397" s="22"/>
      <c r="AN397" s="39">
        <f>IFERROR(VLOOKUP(K397,Grinders!$A:$Q,28,FALSE),0)</f>
        <v>0</v>
      </c>
      <c r="AO397" s="39">
        <f>IF(Config!$B$1003&lt;&gt;"Y",0,IF(IFERROR(VLOOKUP(K397,Grinders!$A:$P,27,FALSE),0)&gt;=3,IF(OR(G397&gt;=Config!$B$1001,ISNUMBER(SEARCH(E397,Config!$B$1002))),1,0),0))</f>
        <v>0</v>
      </c>
      <c r="AP397" s="39">
        <f t="array" ref="AP397">IFERROR(IF(INDEX(Bids!$AE:$AE,MATCH(B397,Bids!$A:$A,0))="Pending",1,0),0)</f>
        <v>0</v>
      </c>
      <c r="AQ397" s="39" t="str">
        <f t="array" ref="AQ397">IF(C397="","",IFERROR(XLOOKUP(C397,Assignments!$C:$C,Assignments!$AU:$AU,0),0))</f>
        <v/>
      </c>
      <c r="AR397" s="39">
        <f>IF(AND(Config!$B$1006="Y",AQ397=1),Config!$B$1007,0)</f>
        <v>0</v>
      </c>
    </row>
    <row r="398" ht="15.75" customHeight="1">
      <c r="A398" s="46" t="str">
        <f t="shared" si="1"/>
        <v/>
      </c>
      <c r="B398" s="40" t="str">
        <f>IF(Bids!$A397="","",Bids!$A397)</f>
        <v/>
      </c>
      <c r="C398" s="40" t="str">
        <f>IF(Bids!$B397="","",Bids!$B397)</f>
        <v/>
      </c>
      <c r="D398" s="40" t="str">
        <f>IF($C398="","",IFERROR(VLOOKUP($C398,Orders!$A$4:$J$998,9,FALSE),""))</f>
        <v/>
      </c>
      <c r="E398" s="40" t="str">
        <f>IF($C398="","",IFERROR(VLOOKUP($C398,Orders!$A$4:$J$998,3,FALSE),""))</f>
        <v/>
      </c>
      <c r="F398" s="40">
        <f t="shared" si="2"/>
        <v>1</v>
      </c>
      <c r="G398" s="40" t="str">
        <f>IF($C398="","",IFERROR(VLOOKUP($C398,Orders!$A$4:$J$998,4,FALSE),""))</f>
        <v/>
      </c>
      <c r="H398" s="40" t="str">
        <f>IF($C398="","",IFERROR(VLOOKUP($C398,Orders!$A$4:$J$998,5,FALSE),""))</f>
        <v/>
      </c>
      <c r="I398" s="40" t="str">
        <f>IF($C398="","",IFERROR(VLOOKUP($C398,Orders!$A$4:$J$998,6,FALSE),""))</f>
        <v/>
      </c>
      <c r="J398" s="40" t="str">
        <f>IF($C398="","",IFERROR(VLOOKUP($C398,Orders!$A$4:$J$998,7,FALSE),""))</f>
        <v/>
      </c>
      <c r="K398" s="40" t="str">
        <f>IF(Bids!$C397="","",Bids!$C397)</f>
        <v/>
      </c>
      <c r="L398" s="40" t="str">
        <f>IF($K398="","",IFERROR(VLOOKUP($K398,Grinders!$A$4:$N$998,2,FALSE),""))</f>
        <v/>
      </c>
      <c r="M398" s="40" t="str">
        <f>IF($K398="","",IFERROR(VLOOKUP($K398,Grinders!$A$4:$N$998,3,FALSE),""))</f>
        <v/>
      </c>
      <c r="N398" s="40" t="str">
        <f>IF($K398="","",IFERROR(VLOOKUP($K398,Grinders!$A$4:$N$998,4,FALSE),""))</f>
        <v/>
      </c>
      <c r="O398" s="40" t="str">
        <f>IF($K398="","",IFERROR(VLOOKUP($K398,Grinders!$A$4:$N$998,5,FALSE),""))</f>
        <v/>
      </c>
      <c r="P398" s="40" t="str">
        <f>IF($K398="","",IF($C$4="",0,COUNTIFS(Assignments!$B$6:$B$1000,$K398,Assignments!$F$6:$F$1000,$C$4,Assignments!$E$6:$E$1000,"Active")))</f>
        <v/>
      </c>
      <c r="Q398" s="40" t="str">
        <f t="shared" si="3"/>
        <v/>
      </c>
      <c r="R398" s="40" t="str">
        <f t="shared" si="4"/>
        <v/>
      </c>
      <c r="S398" s="40" t="str">
        <f>IF($K398="","",IF($C$4="",0,COUNTIFS(Assignments!$B$6:$B$1000,$K398,Assignments!$F$6:$F$1000,$C$4,Assignments!$D$6:$D$1000,"&gt;="&amp;Config!$B$3-7,Assignments!$D$6:$D$1000,"&lt;="&amp;Config!$B$3)))</f>
        <v/>
      </c>
      <c r="T398" s="40" t="str">
        <f>IF($K398="","",IFERROR(VLOOKUP($K398,Grinders!$A$4:$N$998,8,FALSE),""))</f>
        <v/>
      </c>
      <c r="U398" s="40" t="str">
        <f>IFERROR(IF($K398="","",IF($M398="Elite",MAX(50,MIN(100,Config!$B$27*MAX(0,MIN(100,(1-IF($R398="",0,$R398))*100)) + Config!$B$28*MAX(0,MIN(100,(1-MIN(1,IF(Config!$B$30=0,1,$S398/Config!$B$30)))*100)) + Config!$B$29*MAX(0,MIN(100,MIN(1,IF($T398="",0,$T398)/Config!$B$23)*100)))),MIN(100,Config!$B$27*MAX(0,MIN(100,(1-IF($R398="",0,$R398))*100)) + Config!$B$28*MAX(0,MIN(100,(1-MIN(1,IF(Config!$B$30=0,1,$S398/Config!$B$30)))*100)) + Config!$B$29*MAX(0,MIN(100,MIN(1,IF($T398="",0,$T398)/Config!$B$23)*100))))),"")
</f>
        <v/>
      </c>
      <c r="V398" s="40" t="str">
        <f>IF(Bids!$AC398="","",Bids!$AC398)</f>
        <v/>
      </c>
      <c r="W398" s="40" t="str">
        <f>IF(Bids!$F397="","",Bids!$F397)</f>
        <v/>
      </c>
      <c r="X398" s="40" t="str">
        <f t="shared" si="5"/>
        <v/>
      </c>
      <c r="Y398" s="40" t="str">
        <f>IF($X398="","",IF(Config!$B$17=Config!$B$16,IF($X398&gt;=Config!$B$17,100,0),MAX(0,MIN(100,($X398-Config!$B$16)/(Config!$B$17-Config!$B$16)*100))))</f>
        <v/>
      </c>
      <c r="Z398" s="40">
        <f>IF($M398="Elite",Config!$B$21,0)</f>
        <v>0</v>
      </c>
      <c r="AA398" s="40" t="str">
        <f>IFERROR(IF(OR($W398="",$H398=""),"",IF($W398&gt;$H398,
  MAX(0, 60-(($W398-$H398)*24/Config!$B$19)*60),
  MIN(100, 60+(($H398-$W398)*24/Config!$B$20)*40)
)),"")
</f>
        <v/>
      </c>
      <c r="AB398" s="40" t="str">
        <f>IF($K398="","",IFERROR(VLOOKUP($K398,Grinders!$A$4:$N$998,10,FALSE)/5*100,""))</f>
        <v/>
      </c>
      <c r="AC398" s="40" t="str">
        <f>IF($K398="","",IFERROR(VLOOKUP($K398,Grinders!$A$4:$N$998,11,FALSE)*100,""))</f>
        <v/>
      </c>
      <c r="AD398" s="40" t="str">
        <f>IF($K398="","",IFERROR(VLOOKUP($K398,Grinders!$A$4:$N$998,12,FALSE)*100,""))</f>
        <v/>
      </c>
      <c r="AE398" s="40" t="str">
        <f>IF(OR(AO398=1,AP398=1),0,=IFERROR(IFS(
    OR($C398="", $K398=""), 0,
    $F398=0, 0,
    $D398&lt;&gt;"Open", 0,
    COUNTIFS(GrinderServices!$A$6:$A$1000, $K398, GrinderServices!$B$6:$B$1000, $E398, GrinderServices!$D$6:$D$1000, "Y")=0, 0,
    $X398&lt;Config!$B$16, 0,
    Config!$B$18=1, IF($O398&gt;=N398, 0, 1),
    TRUE, 1
), "")
)</f>
        <v>#ERROR!</v>
      </c>
      <c r="AF398" s="40" t="str">
        <f>IFERROR((IF(OR(AO398=1,AP398=1),"",=IFERROR((IFERROR(IF($AE398=0,"",((Config!$B$6*$Y398 + Config!$B$7*$U398 + Config!$B$8*$Z398 + Config!$B$9*$AA398 + Config!$B$10*$AB398 + Config!$B$11*$AC398 - Config!$B$12*$AD398)/Config!$B$13)+$AK398+$AL398),""))*(1-IFERROR(VLOOKUP(K398,Grinders!$A:$AB, 28, FALSE),0)),"")))*(1+AR398),"")</f>
        <v>#ERROR!</v>
      </c>
      <c r="AG398" s="40" t="str">
        <f t="shared" si="6"/>
        <v>#ERROR!</v>
      </c>
      <c r="AH398" s="40" t="str">
        <f t="shared" si="7"/>
        <v/>
      </c>
      <c r="AI398" s="40" t="str">
        <f t="shared" si="8"/>
        <v/>
      </c>
      <c r="AJ398" s="40" t="str">
        <f>IF($K398="","",COUNTIF(Assignments!$B$6:$B$1000,$K398))</f>
        <v/>
      </c>
      <c r="AK398" s="40" t="str">
        <f>IF($K398="","",IF(AND($AJ398=0,$O398&lt;$N398),Config!$B$43,0))</f>
        <v/>
      </c>
      <c r="AL398" s="40" t="str">
        <f>IF($K398="","",IF(AND($M398="Elite",$G398&gt;=Config!$B$41,$O398&lt;$N398),Config!$B$42,0))</f>
        <v/>
      </c>
      <c r="AM398" s="22"/>
      <c r="AN398" s="39">
        <f>IFERROR(VLOOKUP(K398,Grinders!$A:$Q,28,FALSE),0)</f>
        <v>0</v>
      </c>
      <c r="AO398" s="39">
        <f>IF(Config!$B$1003&lt;&gt;"Y",0,IF(IFERROR(VLOOKUP(K398,Grinders!$A:$P,27,FALSE),0)&gt;=3,IF(OR(G398&gt;=Config!$B$1001,ISNUMBER(SEARCH(E398,Config!$B$1002))),1,0),0))</f>
        <v>0</v>
      </c>
      <c r="AP398" s="39">
        <f t="array" ref="AP398">IFERROR(IF(INDEX(Bids!$AE:$AE,MATCH(B398,Bids!$A:$A,0))="Pending",1,0),0)</f>
        <v>0</v>
      </c>
      <c r="AQ398" s="39" t="str">
        <f t="array" ref="AQ398">IF(C398="","",IFERROR(XLOOKUP(C398,Assignments!$C:$C,Assignments!$AU:$AU,0),0))</f>
        <v/>
      </c>
      <c r="AR398" s="39">
        <f>IF(AND(Config!$B$1006="Y",AQ398=1),Config!$B$1007,0)</f>
        <v>0</v>
      </c>
    </row>
    <row r="399" ht="15.75" customHeight="1">
      <c r="A399" s="46" t="str">
        <f t="shared" si="1"/>
        <v/>
      </c>
      <c r="B399" s="40" t="str">
        <f>IF(Bids!$A398="","",Bids!$A398)</f>
        <v/>
      </c>
      <c r="C399" s="40" t="str">
        <f>IF(Bids!$B398="","",Bids!$B398)</f>
        <v/>
      </c>
      <c r="D399" s="40" t="str">
        <f>IF($C399="","",IFERROR(VLOOKUP($C399,Orders!$A$4:$J$998,9,FALSE),""))</f>
        <v/>
      </c>
      <c r="E399" s="40" t="str">
        <f>IF($C399="","",IFERROR(VLOOKUP($C399,Orders!$A$4:$J$998,3,FALSE),""))</f>
        <v/>
      </c>
      <c r="F399" s="40">
        <f t="shared" si="2"/>
        <v>1</v>
      </c>
      <c r="G399" s="40" t="str">
        <f>IF($C399="","",IFERROR(VLOOKUP($C399,Orders!$A$4:$J$998,4,FALSE),""))</f>
        <v/>
      </c>
      <c r="H399" s="40" t="str">
        <f>IF($C399="","",IFERROR(VLOOKUP($C399,Orders!$A$4:$J$998,5,FALSE),""))</f>
        <v/>
      </c>
      <c r="I399" s="40" t="str">
        <f>IF($C399="","",IFERROR(VLOOKUP($C399,Orders!$A$4:$J$998,6,FALSE),""))</f>
        <v/>
      </c>
      <c r="J399" s="40" t="str">
        <f>IF($C399="","",IFERROR(VLOOKUP($C399,Orders!$A$4:$J$998,7,FALSE),""))</f>
        <v/>
      </c>
      <c r="K399" s="40" t="str">
        <f>IF(Bids!$C398="","",Bids!$C398)</f>
        <v/>
      </c>
      <c r="L399" s="40" t="str">
        <f>IF($K399="","",IFERROR(VLOOKUP($K399,Grinders!$A$4:$N$998,2,FALSE),""))</f>
        <v/>
      </c>
      <c r="M399" s="40" t="str">
        <f>IF($K399="","",IFERROR(VLOOKUP($K399,Grinders!$A$4:$N$998,3,FALSE),""))</f>
        <v/>
      </c>
      <c r="N399" s="40" t="str">
        <f>IF($K399="","",IFERROR(VLOOKUP($K399,Grinders!$A$4:$N$998,4,FALSE),""))</f>
        <v/>
      </c>
      <c r="O399" s="40" t="str">
        <f>IF($K399="","",IFERROR(VLOOKUP($K399,Grinders!$A$4:$N$998,5,FALSE),""))</f>
        <v/>
      </c>
      <c r="P399" s="40" t="str">
        <f>IF($K399="","",IF($C$4="",0,COUNTIFS(Assignments!$B$6:$B$1000,$K399,Assignments!$F$6:$F$1000,$C$4,Assignments!$E$6:$E$1000,"Active")))</f>
        <v/>
      </c>
      <c r="Q399" s="40" t="str">
        <f t="shared" si="3"/>
        <v/>
      </c>
      <c r="R399" s="40" t="str">
        <f t="shared" si="4"/>
        <v/>
      </c>
      <c r="S399" s="40" t="str">
        <f>IF($K399="","",IF($C$4="",0,COUNTIFS(Assignments!$B$6:$B$1000,$K399,Assignments!$F$6:$F$1000,$C$4,Assignments!$D$6:$D$1000,"&gt;="&amp;Config!$B$3-7,Assignments!$D$6:$D$1000,"&lt;="&amp;Config!$B$3)))</f>
        <v/>
      </c>
      <c r="T399" s="40" t="str">
        <f>IF($K399="","",IFERROR(VLOOKUP($K399,Grinders!$A$4:$N$998,8,FALSE),""))</f>
        <v/>
      </c>
      <c r="U399" s="40" t="str">
        <f>IFERROR(IF($K399="","",IF($M399="Elite",MAX(50,MIN(100,Config!$B$27*MAX(0,MIN(100,(1-IF($R399="",0,$R399))*100)) + Config!$B$28*MAX(0,MIN(100,(1-MIN(1,IF(Config!$B$30=0,1,$S399/Config!$B$30)))*100)) + Config!$B$29*MAX(0,MIN(100,MIN(1,IF($T399="",0,$T399)/Config!$B$23)*100)))),MIN(100,Config!$B$27*MAX(0,MIN(100,(1-IF($R399="",0,$R399))*100)) + Config!$B$28*MAX(0,MIN(100,(1-MIN(1,IF(Config!$B$30=0,1,$S399/Config!$B$30)))*100)) + Config!$B$29*MAX(0,MIN(100,MIN(1,IF($T399="",0,$T399)/Config!$B$23)*100))))),"")
</f>
        <v/>
      </c>
      <c r="V399" s="40" t="str">
        <f>IF(Bids!$AC399="","",Bids!$AC399)</f>
        <v/>
      </c>
      <c r="W399" s="40" t="str">
        <f>IF(Bids!$F398="","",Bids!$F398)</f>
        <v/>
      </c>
      <c r="X399" s="40" t="str">
        <f t="shared" si="5"/>
        <v/>
      </c>
      <c r="Y399" s="40" t="str">
        <f>IF($X399="","",IF(Config!$B$17=Config!$B$16,IF($X399&gt;=Config!$B$17,100,0),MAX(0,MIN(100,($X399-Config!$B$16)/(Config!$B$17-Config!$B$16)*100))))</f>
        <v/>
      </c>
      <c r="Z399" s="40">
        <f>IF($M399="Elite",Config!$B$21,0)</f>
        <v>0</v>
      </c>
      <c r="AA399" s="40" t="str">
        <f>IFERROR(IF(OR($W399="",$H399=""),"",IF($W399&gt;$H399,
  MAX(0, 60-(($W399-$H399)*24/Config!$B$19)*60),
  MIN(100, 60+(($H399-$W399)*24/Config!$B$20)*40)
)),"")
</f>
        <v/>
      </c>
      <c r="AB399" s="40" t="str">
        <f>IF($K399="","",IFERROR(VLOOKUP($K399,Grinders!$A$4:$N$998,10,FALSE)/5*100,""))</f>
        <v/>
      </c>
      <c r="AC399" s="40" t="str">
        <f>IF($K399="","",IFERROR(VLOOKUP($K399,Grinders!$A$4:$N$998,11,FALSE)*100,""))</f>
        <v/>
      </c>
      <c r="AD399" s="40" t="str">
        <f>IF($K399="","",IFERROR(VLOOKUP($K399,Grinders!$A$4:$N$998,12,FALSE)*100,""))</f>
        <v/>
      </c>
      <c r="AE399" s="40" t="str">
        <f>IF(OR(AO399=1,AP399=1),0,=IFERROR(IFS(
    OR($C399="", $K399=""), 0,
    $F399=0, 0,
    $D399&lt;&gt;"Open", 0,
    COUNTIFS(GrinderServices!$A$6:$A$1000, $K399, GrinderServices!$B$6:$B$1000, $E399, GrinderServices!$D$6:$D$1000, "Y")=0, 0,
    $X399&lt;Config!$B$16, 0,
    Config!$B$18=1, IF($O399&gt;=N399, 0, 1),
    TRUE, 1
), "")
)</f>
        <v>#ERROR!</v>
      </c>
      <c r="AF399" s="40" t="str">
        <f>IFERROR((IF(OR(AO399=1,AP399=1),"",=IFERROR((IFERROR(IF($AE399=0,"",((Config!$B$6*$Y399 + Config!$B$7*$U399 + Config!$B$8*$Z399 + Config!$B$9*$AA399 + Config!$B$10*$AB399 + Config!$B$11*$AC399 - Config!$B$12*$AD399)/Config!$B$13)+$AK399+$AL399),""))*(1-IFERROR(VLOOKUP(K399,Grinders!$A:$AB, 28, FALSE),0)),"")))*(1+AR399),"")</f>
        <v>#ERROR!</v>
      </c>
      <c r="AG399" s="40" t="str">
        <f t="shared" si="6"/>
        <v>#ERROR!</v>
      </c>
      <c r="AH399" s="40" t="str">
        <f t="shared" si="7"/>
        <v/>
      </c>
      <c r="AI399" s="40" t="str">
        <f t="shared" si="8"/>
        <v/>
      </c>
      <c r="AJ399" s="40" t="str">
        <f>IF($K399="","",COUNTIF(Assignments!$B$6:$B$1000,$K399))</f>
        <v/>
      </c>
      <c r="AK399" s="40" t="str">
        <f>IF($K399="","",IF(AND($AJ399=0,$O399&lt;$N399),Config!$B$43,0))</f>
        <v/>
      </c>
      <c r="AL399" s="40" t="str">
        <f>IF($K399="","",IF(AND($M399="Elite",$G399&gt;=Config!$B$41,$O399&lt;$N399),Config!$B$42,0))</f>
        <v/>
      </c>
      <c r="AM399" s="22"/>
      <c r="AN399" s="39">
        <f>IFERROR(VLOOKUP(K399,Grinders!$A:$Q,28,FALSE),0)</f>
        <v>0</v>
      </c>
      <c r="AO399" s="39">
        <f>IF(Config!$B$1003&lt;&gt;"Y",0,IF(IFERROR(VLOOKUP(K399,Grinders!$A:$P,27,FALSE),0)&gt;=3,IF(OR(G399&gt;=Config!$B$1001,ISNUMBER(SEARCH(E399,Config!$B$1002))),1,0),0))</f>
        <v>0</v>
      </c>
      <c r="AP399" s="39">
        <f t="array" ref="AP399">IFERROR(IF(INDEX(Bids!$AE:$AE,MATCH(B399,Bids!$A:$A,0))="Pending",1,0),0)</f>
        <v>0</v>
      </c>
      <c r="AQ399" s="39" t="str">
        <f t="array" ref="AQ399">IF(C399="","",IFERROR(XLOOKUP(C399,Assignments!$C:$C,Assignments!$AU:$AU,0),0))</f>
        <v/>
      </c>
      <c r="AR399" s="39">
        <f>IF(AND(Config!$B$1006="Y",AQ399=1),Config!$B$1007,0)</f>
        <v>0</v>
      </c>
    </row>
    <row r="400" ht="15.75" customHeight="1">
      <c r="A400" s="46" t="str">
        <f t="shared" si="1"/>
        <v/>
      </c>
      <c r="B400" s="40" t="str">
        <f>IF(Bids!$A399="","",Bids!$A399)</f>
        <v/>
      </c>
      <c r="C400" s="40" t="str">
        <f>IF(Bids!$B399="","",Bids!$B399)</f>
        <v/>
      </c>
      <c r="D400" s="40" t="str">
        <f>IF($C400="","",IFERROR(VLOOKUP($C400,Orders!$A$4:$J$998,9,FALSE),""))</f>
        <v/>
      </c>
      <c r="E400" s="40" t="str">
        <f>IF($C400="","",IFERROR(VLOOKUP($C400,Orders!$A$4:$J$998,3,FALSE),""))</f>
        <v/>
      </c>
      <c r="F400" s="40">
        <f t="shared" si="2"/>
        <v>1</v>
      </c>
      <c r="G400" s="40" t="str">
        <f>IF($C400="","",IFERROR(VLOOKUP($C400,Orders!$A$4:$J$998,4,FALSE),""))</f>
        <v/>
      </c>
      <c r="H400" s="40" t="str">
        <f>IF($C400="","",IFERROR(VLOOKUP($C400,Orders!$A$4:$J$998,5,FALSE),""))</f>
        <v/>
      </c>
      <c r="I400" s="40" t="str">
        <f>IF($C400="","",IFERROR(VLOOKUP($C400,Orders!$A$4:$J$998,6,FALSE),""))</f>
        <v/>
      </c>
      <c r="J400" s="40" t="str">
        <f>IF($C400="","",IFERROR(VLOOKUP($C400,Orders!$A$4:$J$998,7,FALSE),""))</f>
        <v/>
      </c>
      <c r="K400" s="40" t="str">
        <f>IF(Bids!$C399="","",Bids!$C399)</f>
        <v/>
      </c>
      <c r="L400" s="40" t="str">
        <f>IF($K400="","",IFERROR(VLOOKUP($K400,Grinders!$A$4:$N$998,2,FALSE),""))</f>
        <v/>
      </c>
      <c r="M400" s="40" t="str">
        <f>IF($K400="","",IFERROR(VLOOKUP($K400,Grinders!$A$4:$N$998,3,FALSE),""))</f>
        <v/>
      </c>
      <c r="N400" s="40" t="str">
        <f>IF($K400="","",IFERROR(VLOOKUP($K400,Grinders!$A$4:$N$998,4,FALSE),""))</f>
        <v/>
      </c>
      <c r="O400" s="40" t="str">
        <f>IF($K400="","",IFERROR(VLOOKUP($K400,Grinders!$A$4:$N$998,5,FALSE),""))</f>
        <v/>
      </c>
      <c r="P400" s="40" t="str">
        <f>IF($K400="","",IF($C$4="",0,COUNTIFS(Assignments!$B$6:$B$1000,$K400,Assignments!$F$6:$F$1000,$C$4,Assignments!$E$6:$E$1000,"Active")))</f>
        <v/>
      </c>
      <c r="Q400" s="40" t="str">
        <f t="shared" si="3"/>
        <v/>
      </c>
      <c r="R400" s="40" t="str">
        <f t="shared" si="4"/>
        <v/>
      </c>
      <c r="S400" s="40" t="str">
        <f>IF($K400="","",IF($C$4="",0,COUNTIFS(Assignments!$B$6:$B$1000,$K400,Assignments!$F$6:$F$1000,$C$4,Assignments!$D$6:$D$1000,"&gt;="&amp;Config!$B$3-7,Assignments!$D$6:$D$1000,"&lt;="&amp;Config!$B$3)))</f>
        <v/>
      </c>
      <c r="T400" s="40" t="str">
        <f>IF($K400="","",IFERROR(VLOOKUP($K400,Grinders!$A$4:$N$998,8,FALSE),""))</f>
        <v/>
      </c>
      <c r="U400" s="40" t="str">
        <f>IFERROR(IF($K400="","",IF($M400="Elite",MAX(50,MIN(100,Config!$B$27*MAX(0,MIN(100,(1-IF($R400="",0,$R400))*100)) + Config!$B$28*MAX(0,MIN(100,(1-MIN(1,IF(Config!$B$30=0,1,$S400/Config!$B$30)))*100)) + Config!$B$29*MAX(0,MIN(100,MIN(1,IF($T400="",0,$T400)/Config!$B$23)*100)))),MIN(100,Config!$B$27*MAX(0,MIN(100,(1-IF($R400="",0,$R400))*100)) + Config!$B$28*MAX(0,MIN(100,(1-MIN(1,IF(Config!$B$30=0,1,$S400/Config!$B$30)))*100)) + Config!$B$29*MAX(0,MIN(100,MIN(1,IF($T400="",0,$T400)/Config!$B$23)*100))))),"")
</f>
        <v/>
      </c>
      <c r="V400" s="40" t="str">
        <f>IF(Bids!$AC400="","",Bids!$AC400)</f>
        <v/>
      </c>
      <c r="W400" s="40" t="str">
        <f>IF(Bids!$F399="","",Bids!$F399)</f>
        <v/>
      </c>
      <c r="X400" s="40" t="str">
        <f t="shared" si="5"/>
        <v/>
      </c>
      <c r="Y400" s="40" t="str">
        <f>IF($X400="","",IF(Config!$B$17=Config!$B$16,IF($X400&gt;=Config!$B$17,100,0),MAX(0,MIN(100,($X400-Config!$B$16)/(Config!$B$17-Config!$B$16)*100))))</f>
        <v/>
      </c>
      <c r="Z400" s="40">
        <f>IF($M400="Elite",Config!$B$21,0)</f>
        <v>0</v>
      </c>
      <c r="AA400" s="40" t="str">
        <f>IFERROR(IF(OR($W400="",$H400=""),"",IF($W400&gt;$H400,
  MAX(0, 60-(($W400-$H400)*24/Config!$B$19)*60),
  MIN(100, 60+(($H400-$W400)*24/Config!$B$20)*40)
)),"")
</f>
        <v/>
      </c>
      <c r="AB400" s="40" t="str">
        <f>IF($K400="","",IFERROR(VLOOKUP($K400,Grinders!$A$4:$N$998,10,FALSE)/5*100,""))</f>
        <v/>
      </c>
      <c r="AC400" s="40" t="str">
        <f>IF($K400="","",IFERROR(VLOOKUP($K400,Grinders!$A$4:$N$998,11,FALSE)*100,""))</f>
        <v/>
      </c>
      <c r="AD400" s="40" t="str">
        <f>IF($K400="","",IFERROR(VLOOKUP($K400,Grinders!$A$4:$N$998,12,FALSE)*100,""))</f>
        <v/>
      </c>
      <c r="AE400" s="40" t="str">
        <f>IF(OR(AO400=1,AP400=1),0,=IFERROR(IFS(
    OR($C400="", $K400=""), 0,
    $F400=0, 0,
    $D400&lt;&gt;"Open", 0,
    COUNTIFS(GrinderServices!$A$6:$A$1000, $K400, GrinderServices!$B$6:$B$1000, $E400, GrinderServices!$D$6:$D$1000, "Y")=0, 0,
    $X400&lt;Config!$B$16, 0,
    Config!$B$18=1, IF($O400&gt;=N400, 0, 1),
    TRUE, 1
), "")
)</f>
        <v>#ERROR!</v>
      </c>
      <c r="AF400" s="40" t="str">
        <f>IFERROR((IF(OR(AO400=1,AP400=1),"",=IFERROR((IFERROR(IF($AE400=0,"",((Config!$B$6*$Y400 + Config!$B$7*$U400 + Config!$B$8*$Z400 + Config!$B$9*$AA400 + Config!$B$10*$AB400 + Config!$B$11*$AC400 - Config!$B$12*$AD400)/Config!$B$13)+$AK400+$AL400),""))*(1-IFERROR(VLOOKUP(K400,Grinders!$A:$AB, 28, FALSE),0)),"")))*(1+AR400),"")</f>
        <v>#ERROR!</v>
      </c>
      <c r="AG400" s="40" t="str">
        <f t="shared" si="6"/>
        <v>#ERROR!</v>
      </c>
      <c r="AH400" s="40" t="str">
        <f t="shared" si="7"/>
        <v/>
      </c>
      <c r="AI400" s="40" t="str">
        <f t="shared" si="8"/>
        <v/>
      </c>
      <c r="AJ400" s="40" t="str">
        <f>IF($K400="","",COUNTIF(Assignments!$B$6:$B$1000,$K400))</f>
        <v/>
      </c>
      <c r="AK400" s="40" t="str">
        <f>IF($K400="","",IF(AND($AJ400=0,$O400&lt;$N400),Config!$B$43,0))</f>
        <v/>
      </c>
      <c r="AL400" s="40" t="str">
        <f>IF($K400="","",IF(AND($M400="Elite",$G400&gt;=Config!$B$41,$O400&lt;$N400),Config!$B$42,0))</f>
        <v/>
      </c>
      <c r="AM400" s="22"/>
      <c r="AN400" s="39">
        <f>IFERROR(VLOOKUP(K400,Grinders!$A:$Q,28,FALSE),0)</f>
        <v>0</v>
      </c>
      <c r="AO400" s="39">
        <f>IF(Config!$B$1003&lt;&gt;"Y",0,IF(IFERROR(VLOOKUP(K400,Grinders!$A:$P,27,FALSE),0)&gt;=3,IF(OR(G400&gt;=Config!$B$1001,ISNUMBER(SEARCH(E400,Config!$B$1002))),1,0),0))</f>
        <v>0</v>
      </c>
      <c r="AP400" s="39">
        <f t="array" ref="AP400">IFERROR(IF(INDEX(Bids!$AE:$AE,MATCH(B400,Bids!$A:$A,0))="Pending",1,0),0)</f>
        <v>0</v>
      </c>
      <c r="AQ400" s="39" t="str">
        <f t="array" ref="AQ400">IF(C400="","",IFERROR(XLOOKUP(C400,Assignments!$C:$C,Assignments!$AU:$AU,0),0))</f>
        <v/>
      </c>
      <c r="AR400" s="39">
        <f>IF(AND(Config!$B$1006="Y",AQ400=1),Config!$B$1007,0)</f>
        <v>0</v>
      </c>
    </row>
    <row r="401" ht="15.75" customHeight="1">
      <c r="A401" s="46" t="str">
        <f t="shared" si="1"/>
        <v/>
      </c>
      <c r="B401" s="40" t="str">
        <f>IF(Bids!$A400="","",Bids!$A400)</f>
        <v/>
      </c>
      <c r="C401" s="40" t="str">
        <f>IF(Bids!$B400="","",Bids!$B400)</f>
        <v/>
      </c>
      <c r="D401" s="40" t="str">
        <f>IF($C401="","",IFERROR(VLOOKUP($C401,Orders!$A$4:$J$998,9,FALSE),""))</f>
        <v/>
      </c>
      <c r="E401" s="40" t="str">
        <f>IF($C401="","",IFERROR(VLOOKUP($C401,Orders!$A$4:$J$998,3,FALSE),""))</f>
        <v/>
      </c>
      <c r="F401" s="40">
        <f t="shared" si="2"/>
        <v>1</v>
      </c>
      <c r="G401" s="40" t="str">
        <f>IF($C401="","",IFERROR(VLOOKUP($C401,Orders!$A$4:$J$998,4,FALSE),""))</f>
        <v/>
      </c>
      <c r="H401" s="40" t="str">
        <f>IF($C401="","",IFERROR(VLOOKUP($C401,Orders!$A$4:$J$998,5,FALSE),""))</f>
        <v/>
      </c>
      <c r="I401" s="40" t="str">
        <f>IF($C401="","",IFERROR(VLOOKUP($C401,Orders!$A$4:$J$998,6,FALSE),""))</f>
        <v/>
      </c>
      <c r="J401" s="40" t="str">
        <f>IF($C401="","",IFERROR(VLOOKUP($C401,Orders!$A$4:$J$998,7,FALSE),""))</f>
        <v/>
      </c>
      <c r="K401" s="40" t="str">
        <f>IF(Bids!$C400="","",Bids!$C400)</f>
        <v/>
      </c>
      <c r="L401" s="40" t="str">
        <f>IF($K401="","",IFERROR(VLOOKUP($K401,Grinders!$A$4:$N$998,2,FALSE),""))</f>
        <v/>
      </c>
      <c r="M401" s="40" t="str">
        <f>IF($K401="","",IFERROR(VLOOKUP($K401,Grinders!$A$4:$N$998,3,FALSE),""))</f>
        <v/>
      </c>
      <c r="N401" s="40" t="str">
        <f>IF($K401="","",IFERROR(VLOOKUP($K401,Grinders!$A$4:$N$998,4,FALSE),""))</f>
        <v/>
      </c>
      <c r="O401" s="40" t="str">
        <f>IF($K401="","",IFERROR(VLOOKUP($K401,Grinders!$A$4:$N$998,5,FALSE),""))</f>
        <v/>
      </c>
      <c r="P401" s="40" t="str">
        <f>IF($K401="","",IF($C$4="",0,COUNTIFS(Assignments!$B$6:$B$1000,$K401,Assignments!$F$6:$F$1000,$C$4,Assignments!$E$6:$E$1000,"Active")))</f>
        <v/>
      </c>
      <c r="Q401" s="40" t="str">
        <f t="shared" si="3"/>
        <v/>
      </c>
      <c r="R401" s="40" t="str">
        <f t="shared" si="4"/>
        <v/>
      </c>
      <c r="S401" s="40" t="str">
        <f>IF($K401="","",IF($C$4="",0,COUNTIFS(Assignments!$B$6:$B$1000,$K401,Assignments!$F$6:$F$1000,$C$4,Assignments!$D$6:$D$1000,"&gt;="&amp;Config!$B$3-7,Assignments!$D$6:$D$1000,"&lt;="&amp;Config!$B$3)))</f>
        <v/>
      </c>
      <c r="T401" s="40" t="str">
        <f>IF($K401="","",IFERROR(VLOOKUP($K401,Grinders!$A$4:$N$998,8,FALSE),""))</f>
        <v/>
      </c>
      <c r="U401" s="40" t="str">
        <f>IFERROR(IF($K401="","",IF($M401="Elite",MAX(50,MIN(100,Config!$B$27*MAX(0,MIN(100,(1-IF($R401="",0,$R401))*100)) + Config!$B$28*MAX(0,MIN(100,(1-MIN(1,IF(Config!$B$30=0,1,$S401/Config!$B$30)))*100)) + Config!$B$29*MAX(0,MIN(100,MIN(1,IF($T401="",0,$T401)/Config!$B$23)*100)))),MIN(100,Config!$B$27*MAX(0,MIN(100,(1-IF($R401="",0,$R401))*100)) + Config!$B$28*MAX(0,MIN(100,(1-MIN(1,IF(Config!$B$30=0,1,$S401/Config!$B$30)))*100)) + Config!$B$29*MAX(0,MIN(100,MIN(1,IF($T401="",0,$T401)/Config!$B$23)*100))))),"")
</f>
        <v/>
      </c>
      <c r="V401" s="40" t="str">
        <f>IF(Bids!$AC401="","",Bids!$AC401)</f>
        <v/>
      </c>
      <c r="W401" s="40" t="str">
        <f>IF(Bids!$F400="","",Bids!$F400)</f>
        <v/>
      </c>
      <c r="X401" s="40" t="str">
        <f t="shared" si="5"/>
        <v/>
      </c>
      <c r="Y401" s="40" t="str">
        <f>IF($X401="","",IF(Config!$B$17=Config!$B$16,IF($X401&gt;=Config!$B$17,100,0),MAX(0,MIN(100,($X401-Config!$B$16)/(Config!$B$17-Config!$B$16)*100))))</f>
        <v/>
      </c>
      <c r="Z401" s="40">
        <f>IF($M401="Elite",Config!$B$21,0)</f>
        <v>0</v>
      </c>
      <c r="AA401" s="40" t="str">
        <f>IFERROR(IF(OR($W401="",$H401=""),"",IF($W401&gt;$H401,
  MAX(0, 60-(($W401-$H401)*24/Config!$B$19)*60),
  MIN(100, 60+(($H401-$W401)*24/Config!$B$20)*40)
)),"")
</f>
        <v/>
      </c>
      <c r="AB401" s="40" t="str">
        <f>IF($K401="","",IFERROR(VLOOKUP($K401,Grinders!$A$4:$N$998,10,FALSE)/5*100,""))</f>
        <v/>
      </c>
      <c r="AC401" s="40" t="str">
        <f>IF($K401="","",IFERROR(VLOOKUP($K401,Grinders!$A$4:$N$998,11,FALSE)*100,""))</f>
        <v/>
      </c>
      <c r="AD401" s="40" t="str">
        <f>IF($K401="","",IFERROR(VLOOKUP($K401,Grinders!$A$4:$N$998,12,FALSE)*100,""))</f>
        <v/>
      </c>
      <c r="AE401" s="40" t="str">
        <f>IF(OR(AO401=1,AP401=1),0,=IFERROR(IFS(
    OR($C401="", $K401=""), 0,
    $F401=0, 0,
    $D401&lt;&gt;"Open", 0,
    COUNTIFS(GrinderServices!$A$6:$A$1000, $K401, GrinderServices!$B$6:$B$1000, $E401, GrinderServices!$D$6:$D$1000, "Y")=0, 0,
    $X401&lt;Config!$B$16, 0,
    Config!$B$18=1, IF($O401&gt;=N401, 0, 1),
    TRUE, 1
), "")
)</f>
        <v>#ERROR!</v>
      </c>
      <c r="AF401" s="40" t="str">
        <f>IFERROR((IF(OR(AO401=1,AP401=1),"",=IFERROR((IFERROR(IF($AE401=0,"",((Config!$B$6*$Y401 + Config!$B$7*$U401 + Config!$B$8*$Z401 + Config!$B$9*$AA401 + Config!$B$10*$AB401 + Config!$B$11*$AC401 - Config!$B$12*$AD401)/Config!$B$13)+$AK401+$AL401),""))*(1-IFERROR(VLOOKUP(K401,Grinders!$A:$AB, 28, FALSE),0)),"")))*(1+AR401),"")</f>
        <v>#ERROR!</v>
      </c>
      <c r="AG401" s="40" t="str">
        <f t="shared" si="6"/>
        <v>#ERROR!</v>
      </c>
      <c r="AH401" s="40" t="str">
        <f t="shared" si="7"/>
        <v/>
      </c>
      <c r="AI401" s="40" t="str">
        <f t="shared" si="8"/>
        <v/>
      </c>
      <c r="AJ401" s="40" t="str">
        <f>IF($K401="","",COUNTIF(Assignments!$B$6:$B$1000,$K401))</f>
        <v/>
      </c>
      <c r="AK401" s="40" t="str">
        <f>IF($K401="","",IF(AND($AJ401=0,$O401&lt;$N401),Config!$B$43,0))</f>
        <v/>
      </c>
      <c r="AL401" s="40" t="str">
        <f>IF($K401="","",IF(AND($M401="Elite",$G401&gt;=Config!$B$41,$O401&lt;$N401),Config!$B$42,0))</f>
        <v/>
      </c>
      <c r="AM401" s="22"/>
      <c r="AN401" s="39">
        <f>IFERROR(VLOOKUP(K401,Grinders!$A:$Q,28,FALSE),0)</f>
        <v>0</v>
      </c>
      <c r="AO401" s="39">
        <f>IF(Config!$B$1003&lt;&gt;"Y",0,IF(IFERROR(VLOOKUP(K401,Grinders!$A:$P,27,FALSE),0)&gt;=3,IF(OR(G401&gt;=Config!$B$1001,ISNUMBER(SEARCH(E401,Config!$B$1002))),1,0),0))</f>
        <v>0</v>
      </c>
      <c r="AP401" s="39">
        <f t="array" ref="AP401">IFERROR(IF(INDEX(Bids!$AE:$AE,MATCH(B401,Bids!$A:$A,0))="Pending",1,0),0)</f>
        <v>0</v>
      </c>
      <c r="AQ401" s="39" t="str">
        <f t="array" ref="AQ401">IF(C401="","",IFERROR(XLOOKUP(C401,Assignments!$C:$C,Assignments!$AU:$AU,0),0))</f>
        <v/>
      </c>
      <c r="AR401" s="39">
        <f>IF(AND(Config!$B$1006="Y",AQ401=1),Config!$B$1007,0)</f>
        <v>0</v>
      </c>
    </row>
    <row r="402" ht="15.75" customHeight="1">
      <c r="A402" s="46" t="str">
        <f t="shared" si="1"/>
        <v/>
      </c>
      <c r="B402" s="40" t="str">
        <f>IF(Bids!$A401="","",Bids!$A401)</f>
        <v/>
      </c>
      <c r="C402" s="40" t="str">
        <f>IF(Bids!$B401="","",Bids!$B401)</f>
        <v/>
      </c>
      <c r="D402" s="40" t="str">
        <f>IF($C402="","",IFERROR(VLOOKUP($C402,Orders!$A$4:$J$998,9,FALSE),""))</f>
        <v/>
      </c>
      <c r="E402" s="40" t="str">
        <f>IF($C402="","",IFERROR(VLOOKUP($C402,Orders!$A$4:$J$998,3,FALSE),""))</f>
        <v/>
      </c>
      <c r="F402" s="40">
        <f t="shared" si="2"/>
        <v>1</v>
      </c>
      <c r="G402" s="40" t="str">
        <f>IF($C402="","",IFERROR(VLOOKUP($C402,Orders!$A$4:$J$998,4,FALSE),""))</f>
        <v/>
      </c>
      <c r="H402" s="40" t="str">
        <f>IF($C402="","",IFERROR(VLOOKUP($C402,Orders!$A$4:$J$998,5,FALSE),""))</f>
        <v/>
      </c>
      <c r="I402" s="40" t="str">
        <f>IF($C402="","",IFERROR(VLOOKUP($C402,Orders!$A$4:$J$998,6,FALSE),""))</f>
        <v/>
      </c>
      <c r="J402" s="40" t="str">
        <f>IF($C402="","",IFERROR(VLOOKUP($C402,Orders!$A$4:$J$998,7,FALSE),""))</f>
        <v/>
      </c>
      <c r="K402" s="40" t="str">
        <f>IF(Bids!$C401="","",Bids!$C401)</f>
        <v/>
      </c>
      <c r="L402" s="40" t="str">
        <f>IF($K402="","",IFERROR(VLOOKUP($K402,Grinders!$A$4:$N$998,2,FALSE),""))</f>
        <v/>
      </c>
      <c r="M402" s="40" t="str">
        <f>IF($K402="","",IFERROR(VLOOKUP($K402,Grinders!$A$4:$N$998,3,FALSE),""))</f>
        <v/>
      </c>
      <c r="N402" s="40" t="str">
        <f>IF($K402="","",IFERROR(VLOOKUP($K402,Grinders!$A$4:$N$998,4,FALSE),""))</f>
        <v/>
      </c>
      <c r="O402" s="40" t="str">
        <f>IF($K402="","",IFERROR(VLOOKUP($K402,Grinders!$A$4:$N$998,5,FALSE),""))</f>
        <v/>
      </c>
      <c r="P402" s="40" t="str">
        <f>IF($K402="","",IF($C$4="",0,COUNTIFS(Assignments!$B$6:$B$1000,$K402,Assignments!$F$6:$F$1000,$C$4,Assignments!$E$6:$E$1000,"Active")))</f>
        <v/>
      </c>
      <c r="Q402" s="40" t="str">
        <f t="shared" si="3"/>
        <v/>
      </c>
      <c r="R402" s="40" t="str">
        <f t="shared" si="4"/>
        <v/>
      </c>
      <c r="S402" s="40" t="str">
        <f>IF($K402="","",IF($C$4="",0,COUNTIFS(Assignments!$B$6:$B$1000,$K402,Assignments!$F$6:$F$1000,$C$4,Assignments!$D$6:$D$1000,"&gt;="&amp;Config!$B$3-7,Assignments!$D$6:$D$1000,"&lt;="&amp;Config!$B$3)))</f>
        <v/>
      </c>
      <c r="T402" s="40" t="str">
        <f>IF($K402="","",IFERROR(VLOOKUP($K402,Grinders!$A$4:$N$998,8,FALSE),""))</f>
        <v/>
      </c>
      <c r="U402" s="40" t="str">
        <f>IFERROR(IF($K402="","",IF($M402="Elite",MAX(50,MIN(100,Config!$B$27*MAX(0,MIN(100,(1-IF($R402="",0,$R402))*100)) + Config!$B$28*MAX(0,MIN(100,(1-MIN(1,IF(Config!$B$30=0,1,$S402/Config!$B$30)))*100)) + Config!$B$29*MAX(0,MIN(100,MIN(1,IF($T402="",0,$T402)/Config!$B$23)*100)))),MIN(100,Config!$B$27*MAX(0,MIN(100,(1-IF($R402="",0,$R402))*100)) + Config!$B$28*MAX(0,MIN(100,(1-MIN(1,IF(Config!$B$30=0,1,$S402/Config!$B$30)))*100)) + Config!$B$29*MAX(0,MIN(100,MIN(1,IF($T402="",0,$T402)/Config!$B$23)*100))))),"")
</f>
        <v/>
      </c>
      <c r="V402" s="40" t="str">
        <f>IF(Bids!$AC402="","",Bids!$AC402)</f>
        <v/>
      </c>
      <c r="W402" s="40" t="str">
        <f>IF(Bids!$F401="","",Bids!$F401)</f>
        <v/>
      </c>
      <c r="X402" s="40" t="str">
        <f t="shared" si="5"/>
        <v/>
      </c>
      <c r="Y402" s="40" t="str">
        <f>IF($X402="","",IF(Config!$B$17=Config!$B$16,IF($X402&gt;=Config!$B$17,100,0),MAX(0,MIN(100,($X402-Config!$B$16)/(Config!$B$17-Config!$B$16)*100))))</f>
        <v/>
      </c>
      <c r="Z402" s="40">
        <f>IF($M402="Elite",Config!$B$21,0)</f>
        <v>0</v>
      </c>
      <c r="AA402" s="40" t="str">
        <f>IFERROR(IF(OR($W402="",$H402=""),"",IF($W402&gt;$H402,
  MAX(0, 60-(($W402-$H402)*24/Config!$B$19)*60),
  MIN(100, 60+(($H402-$W402)*24/Config!$B$20)*40)
)),"")
</f>
        <v/>
      </c>
      <c r="AB402" s="40" t="str">
        <f>IF($K402="","",IFERROR(VLOOKUP($K402,Grinders!$A$4:$N$998,10,FALSE)/5*100,""))</f>
        <v/>
      </c>
      <c r="AC402" s="40" t="str">
        <f>IF($K402="","",IFERROR(VLOOKUP($K402,Grinders!$A$4:$N$998,11,FALSE)*100,""))</f>
        <v/>
      </c>
      <c r="AD402" s="40" t="str">
        <f>IF($K402="","",IFERROR(VLOOKUP($K402,Grinders!$A$4:$N$998,12,FALSE)*100,""))</f>
        <v/>
      </c>
      <c r="AE402" s="40" t="str">
        <f>IF(OR(AO402=1,AP402=1),0,=IFERROR(IFS(
    OR($C402="", $K402=""), 0,
    $F402=0, 0,
    $D402&lt;&gt;"Open", 0,
    COUNTIFS(GrinderServices!$A$6:$A$1000, $K402, GrinderServices!$B$6:$B$1000, $E402, GrinderServices!$D$6:$D$1000, "Y")=0, 0,
    $X402&lt;Config!$B$16, 0,
    Config!$B$18=1, IF($O402&gt;=N402, 0, 1),
    TRUE, 1
), "")
)</f>
        <v>#ERROR!</v>
      </c>
      <c r="AF402" s="40" t="str">
        <f>IFERROR((IF(OR(AO402=1,AP402=1),"",=IFERROR((IFERROR(IF($AE402=0,"",((Config!$B$6*$Y402 + Config!$B$7*$U402 + Config!$B$8*$Z402 + Config!$B$9*$AA402 + Config!$B$10*$AB402 + Config!$B$11*$AC402 - Config!$B$12*$AD402)/Config!$B$13)+$AK402+$AL402),""))*(1-IFERROR(VLOOKUP(K402,Grinders!$A:$AB, 28, FALSE),0)),"")))*(1+AR402),"")</f>
        <v>#ERROR!</v>
      </c>
      <c r="AG402" s="40" t="str">
        <f t="shared" si="6"/>
        <v>#ERROR!</v>
      </c>
      <c r="AH402" s="40" t="str">
        <f t="shared" si="7"/>
        <v/>
      </c>
      <c r="AI402" s="40" t="str">
        <f t="shared" si="8"/>
        <v/>
      </c>
      <c r="AJ402" s="40" t="str">
        <f>IF($K402="","",COUNTIF(Assignments!$B$6:$B$1000,$K402))</f>
        <v/>
      </c>
      <c r="AK402" s="40" t="str">
        <f>IF($K402="","",IF(AND($AJ402=0,$O402&lt;$N402),Config!$B$43,0))</f>
        <v/>
      </c>
      <c r="AL402" s="40" t="str">
        <f>IF($K402="","",IF(AND($M402="Elite",$G402&gt;=Config!$B$41,$O402&lt;$N402),Config!$B$42,0))</f>
        <v/>
      </c>
      <c r="AM402" s="22"/>
      <c r="AN402" s="39">
        <f>IFERROR(VLOOKUP(K402,Grinders!$A:$Q,28,FALSE),0)</f>
        <v>0</v>
      </c>
      <c r="AO402" s="39">
        <f>IF(Config!$B$1003&lt;&gt;"Y",0,IF(IFERROR(VLOOKUP(K402,Grinders!$A:$P,27,FALSE),0)&gt;=3,IF(OR(G402&gt;=Config!$B$1001,ISNUMBER(SEARCH(E402,Config!$B$1002))),1,0),0))</f>
        <v>0</v>
      </c>
      <c r="AP402" s="39">
        <f t="array" ref="AP402">IFERROR(IF(INDEX(Bids!$AE:$AE,MATCH(B402,Bids!$A:$A,0))="Pending",1,0),0)</f>
        <v>0</v>
      </c>
      <c r="AQ402" s="39" t="str">
        <f t="array" ref="AQ402">IF(C402="","",IFERROR(XLOOKUP(C402,Assignments!$C:$C,Assignments!$AU:$AU,0),0))</f>
        <v/>
      </c>
      <c r="AR402" s="39">
        <f>IF(AND(Config!$B$1006="Y",AQ402=1),Config!$B$1007,0)</f>
        <v>0</v>
      </c>
    </row>
    <row r="403" ht="15.75" customHeight="1">
      <c r="A403" s="46" t="str">
        <f t="shared" si="1"/>
        <v/>
      </c>
      <c r="B403" s="40" t="str">
        <f>IF(Bids!$A402="","",Bids!$A402)</f>
        <v/>
      </c>
      <c r="C403" s="40" t="str">
        <f>IF(Bids!$B402="","",Bids!$B402)</f>
        <v/>
      </c>
      <c r="D403" s="40" t="str">
        <f>IF($C403="","",IFERROR(VLOOKUP($C403,Orders!$A$4:$J$998,9,FALSE),""))</f>
        <v/>
      </c>
      <c r="E403" s="40" t="str">
        <f>IF($C403="","",IFERROR(VLOOKUP($C403,Orders!$A$4:$J$998,3,FALSE),""))</f>
        <v/>
      </c>
      <c r="F403" s="40">
        <f t="shared" si="2"/>
        <v>1</v>
      </c>
      <c r="G403" s="40" t="str">
        <f>IF($C403="","",IFERROR(VLOOKUP($C403,Orders!$A$4:$J$998,4,FALSE),""))</f>
        <v/>
      </c>
      <c r="H403" s="40" t="str">
        <f>IF($C403="","",IFERROR(VLOOKUP($C403,Orders!$A$4:$J$998,5,FALSE),""))</f>
        <v/>
      </c>
      <c r="I403" s="40" t="str">
        <f>IF($C403="","",IFERROR(VLOOKUP($C403,Orders!$A$4:$J$998,6,FALSE),""))</f>
        <v/>
      </c>
      <c r="J403" s="40" t="str">
        <f>IF($C403="","",IFERROR(VLOOKUP($C403,Orders!$A$4:$J$998,7,FALSE),""))</f>
        <v/>
      </c>
      <c r="K403" s="40" t="str">
        <f>IF(Bids!$C402="","",Bids!$C402)</f>
        <v/>
      </c>
      <c r="L403" s="40" t="str">
        <f>IF($K403="","",IFERROR(VLOOKUP($K403,Grinders!$A$4:$N$998,2,FALSE),""))</f>
        <v/>
      </c>
      <c r="M403" s="40" t="str">
        <f>IF($K403="","",IFERROR(VLOOKUP($K403,Grinders!$A$4:$N$998,3,FALSE),""))</f>
        <v/>
      </c>
      <c r="N403" s="40" t="str">
        <f>IF($K403="","",IFERROR(VLOOKUP($K403,Grinders!$A$4:$N$998,4,FALSE),""))</f>
        <v/>
      </c>
      <c r="O403" s="40" t="str">
        <f>IF($K403="","",IFERROR(VLOOKUP($K403,Grinders!$A$4:$N$998,5,FALSE),""))</f>
        <v/>
      </c>
      <c r="P403" s="40" t="str">
        <f>IF($K403="","",IF($C$4="",0,COUNTIFS(Assignments!$B$6:$B$1000,$K403,Assignments!$F$6:$F$1000,$C$4,Assignments!$E$6:$E$1000,"Active")))</f>
        <v/>
      </c>
      <c r="Q403" s="40" t="str">
        <f t="shared" si="3"/>
        <v/>
      </c>
      <c r="R403" s="40" t="str">
        <f t="shared" si="4"/>
        <v/>
      </c>
      <c r="S403" s="40" t="str">
        <f>IF($K403="","",IF($C$4="",0,COUNTIFS(Assignments!$B$6:$B$1000,$K403,Assignments!$F$6:$F$1000,$C$4,Assignments!$D$6:$D$1000,"&gt;="&amp;Config!$B$3-7,Assignments!$D$6:$D$1000,"&lt;="&amp;Config!$B$3)))</f>
        <v/>
      </c>
      <c r="T403" s="40" t="str">
        <f>IF($K403="","",IFERROR(VLOOKUP($K403,Grinders!$A$4:$N$998,8,FALSE),""))</f>
        <v/>
      </c>
      <c r="U403" s="40" t="str">
        <f>IFERROR(IF($K403="","",IF($M403="Elite",MAX(50,MIN(100,Config!$B$27*MAX(0,MIN(100,(1-IF($R403="",0,$R403))*100)) + Config!$B$28*MAX(0,MIN(100,(1-MIN(1,IF(Config!$B$30=0,1,$S403/Config!$B$30)))*100)) + Config!$B$29*MAX(0,MIN(100,MIN(1,IF($T403="",0,$T403)/Config!$B$23)*100)))),MIN(100,Config!$B$27*MAX(0,MIN(100,(1-IF($R403="",0,$R403))*100)) + Config!$B$28*MAX(0,MIN(100,(1-MIN(1,IF(Config!$B$30=0,1,$S403/Config!$B$30)))*100)) + Config!$B$29*MAX(0,MIN(100,MIN(1,IF($T403="",0,$T403)/Config!$B$23)*100))))),"")
</f>
        <v/>
      </c>
      <c r="V403" s="40" t="str">
        <f>IF(Bids!$AC403="","",Bids!$AC403)</f>
        <v/>
      </c>
      <c r="W403" s="40" t="str">
        <f>IF(Bids!$F402="","",Bids!$F402)</f>
        <v/>
      </c>
      <c r="X403" s="40" t="str">
        <f t="shared" si="5"/>
        <v/>
      </c>
      <c r="Y403" s="40" t="str">
        <f>IF($X403="","",IF(Config!$B$17=Config!$B$16,IF($X403&gt;=Config!$B$17,100,0),MAX(0,MIN(100,($X403-Config!$B$16)/(Config!$B$17-Config!$B$16)*100))))</f>
        <v/>
      </c>
      <c r="Z403" s="40">
        <f>IF($M403="Elite",Config!$B$21,0)</f>
        <v>0</v>
      </c>
      <c r="AA403" s="40" t="str">
        <f>IFERROR(IF(OR($W403="",$H403=""),"",IF($W403&gt;$H403,
  MAX(0, 60-(($W403-$H403)*24/Config!$B$19)*60),
  MIN(100, 60+(($H403-$W403)*24/Config!$B$20)*40)
)),"")
</f>
        <v/>
      </c>
      <c r="AB403" s="40" t="str">
        <f>IF($K403="","",IFERROR(VLOOKUP($K403,Grinders!$A$4:$N$998,10,FALSE)/5*100,""))</f>
        <v/>
      </c>
      <c r="AC403" s="40" t="str">
        <f>IF($K403="","",IFERROR(VLOOKUP($K403,Grinders!$A$4:$N$998,11,FALSE)*100,""))</f>
        <v/>
      </c>
      <c r="AD403" s="40" t="str">
        <f>IF($K403="","",IFERROR(VLOOKUP($K403,Grinders!$A$4:$N$998,12,FALSE)*100,""))</f>
        <v/>
      </c>
      <c r="AE403" s="40" t="str">
        <f>IF(OR(AO403=1,AP403=1),0,=IFERROR(IFS(
    OR($C403="", $K403=""), 0,
    $F403=0, 0,
    $D403&lt;&gt;"Open", 0,
    COUNTIFS(GrinderServices!$A$6:$A$1000, $K403, GrinderServices!$B$6:$B$1000, $E403, GrinderServices!$D$6:$D$1000, "Y")=0, 0,
    $X403&lt;Config!$B$16, 0,
    Config!$B$18=1, IF($O403&gt;=N403, 0, 1),
    TRUE, 1
), "")
)</f>
        <v>#ERROR!</v>
      </c>
      <c r="AF403" s="40" t="str">
        <f>IFERROR((IF(OR(AO403=1,AP403=1),"",=IFERROR((IFERROR(IF($AE403=0,"",((Config!$B$6*$Y403 + Config!$B$7*$U403 + Config!$B$8*$Z403 + Config!$B$9*$AA403 + Config!$B$10*$AB403 + Config!$B$11*$AC403 - Config!$B$12*$AD403)/Config!$B$13)+$AK403+$AL403),""))*(1-IFERROR(VLOOKUP(K403,Grinders!$A:$AB, 28, FALSE),0)),"")))*(1+AR403),"")</f>
        <v>#ERROR!</v>
      </c>
      <c r="AG403" s="40" t="str">
        <f t="shared" si="6"/>
        <v>#ERROR!</v>
      </c>
      <c r="AH403" s="40" t="str">
        <f t="shared" si="7"/>
        <v/>
      </c>
      <c r="AI403" s="40" t="str">
        <f t="shared" si="8"/>
        <v/>
      </c>
      <c r="AJ403" s="40" t="str">
        <f>IF($K403="","",COUNTIF(Assignments!$B$6:$B$1000,$K403))</f>
        <v/>
      </c>
      <c r="AK403" s="40" t="str">
        <f>IF($K403="","",IF(AND($AJ403=0,$O403&lt;$N403),Config!$B$43,0))</f>
        <v/>
      </c>
      <c r="AL403" s="40" t="str">
        <f>IF($K403="","",IF(AND($M403="Elite",$G403&gt;=Config!$B$41,$O403&lt;$N403),Config!$B$42,0))</f>
        <v/>
      </c>
      <c r="AM403" s="22"/>
      <c r="AN403" s="39">
        <f>IFERROR(VLOOKUP(K403,Grinders!$A:$Q,28,FALSE),0)</f>
        <v>0</v>
      </c>
      <c r="AO403" s="39">
        <f>IF(Config!$B$1003&lt;&gt;"Y",0,IF(IFERROR(VLOOKUP(K403,Grinders!$A:$P,27,FALSE),0)&gt;=3,IF(OR(G403&gt;=Config!$B$1001,ISNUMBER(SEARCH(E403,Config!$B$1002))),1,0),0))</f>
        <v>0</v>
      </c>
      <c r="AP403" s="39">
        <f t="array" ref="AP403">IFERROR(IF(INDEX(Bids!$AE:$AE,MATCH(B403,Bids!$A:$A,0))="Pending",1,0),0)</f>
        <v>0</v>
      </c>
      <c r="AQ403" s="39" t="str">
        <f t="array" ref="AQ403">IF(C403="","",IFERROR(XLOOKUP(C403,Assignments!$C:$C,Assignments!$AU:$AU,0),0))</f>
        <v/>
      </c>
      <c r="AR403" s="39">
        <f>IF(AND(Config!$B$1006="Y",AQ403=1),Config!$B$1007,0)</f>
        <v>0</v>
      </c>
    </row>
    <row r="404" ht="15.75" customHeight="1">
      <c r="A404" s="46" t="str">
        <f t="shared" si="1"/>
        <v/>
      </c>
      <c r="B404" s="40" t="str">
        <f>IF(Bids!$A403="","",Bids!$A403)</f>
        <v/>
      </c>
      <c r="C404" s="40" t="str">
        <f>IF(Bids!$B403="","",Bids!$B403)</f>
        <v/>
      </c>
      <c r="D404" s="40" t="str">
        <f>IF($C404="","",IFERROR(VLOOKUP($C404,Orders!$A$4:$J$998,9,FALSE),""))</f>
        <v/>
      </c>
      <c r="E404" s="40" t="str">
        <f>IF($C404="","",IFERROR(VLOOKUP($C404,Orders!$A$4:$J$998,3,FALSE),""))</f>
        <v/>
      </c>
      <c r="F404" s="40">
        <f t="shared" si="2"/>
        <v>1</v>
      </c>
      <c r="G404" s="40" t="str">
        <f>IF($C404="","",IFERROR(VLOOKUP($C404,Orders!$A$4:$J$998,4,FALSE),""))</f>
        <v/>
      </c>
      <c r="H404" s="40" t="str">
        <f>IF($C404="","",IFERROR(VLOOKUP($C404,Orders!$A$4:$J$998,5,FALSE),""))</f>
        <v/>
      </c>
      <c r="I404" s="40" t="str">
        <f>IF($C404="","",IFERROR(VLOOKUP($C404,Orders!$A$4:$J$998,6,FALSE),""))</f>
        <v/>
      </c>
      <c r="J404" s="40" t="str">
        <f>IF($C404="","",IFERROR(VLOOKUP($C404,Orders!$A$4:$J$998,7,FALSE),""))</f>
        <v/>
      </c>
      <c r="K404" s="40" t="str">
        <f>IF(Bids!$C403="","",Bids!$C403)</f>
        <v/>
      </c>
      <c r="L404" s="40" t="str">
        <f>IF($K404="","",IFERROR(VLOOKUP($K404,Grinders!$A$4:$N$998,2,FALSE),""))</f>
        <v/>
      </c>
      <c r="M404" s="40" t="str">
        <f>IF($K404="","",IFERROR(VLOOKUP($K404,Grinders!$A$4:$N$998,3,FALSE),""))</f>
        <v/>
      </c>
      <c r="N404" s="40" t="str">
        <f>IF($K404="","",IFERROR(VLOOKUP($K404,Grinders!$A$4:$N$998,4,FALSE),""))</f>
        <v/>
      </c>
      <c r="O404" s="40" t="str">
        <f>IF($K404="","",IFERROR(VLOOKUP($K404,Grinders!$A$4:$N$998,5,FALSE),""))</f>
        <v/>
      </c>
      <c r="P404" s="40" t="str">
        <f>IF($K404="","",IF($C$4="",0,COUNTIFS(Assignments!$B$6:$B$1000,$K404,Assignments!$F$6:$F$1000,$C$4,Assignments!$E$6:$E$1000,"Active")))</f>
        <v/>
      </c>
      <c r="Q404" s="40" t="str">
        <f t="shared" si="3"/>
        <v/>
      </c>
      <c r="R404" s="40" t="str">
        <f t="shared" si="4"/>
        <v/>
      </c>
      <c r="S404" s="40" t="str">
        <f>IF($K404="","",IF($C$4="",0,COUNTIFS(Assignments!$B$6:$B$1000,$K404,Assignments!$F$6:$F$1000,$C$4,Assignments!$D$6:$D$1000,"&gt;="&amp;Config!$B$3-7,Assignments!$D$6:$D$1000,"&lt;="&amp;Config!$B$3)))</f>
        <v/>
      </c>
      <c r="T404" s="40" t="str">
        <f>IF($K404="","",IFERROR(VLOOKUP($K404,Grinders!$A$4:$N$998,8,FALSE),""))</f>
        <v/>
      </c>
      <c r="U404" s="40" t="str">
        <f>IFERROR(IF($K404="","",IF($M404="Elite",MAX(50,MIN(100,Config!$B$27*MAX(0,MIN(100,(1-IF($R404="",0,$R404))*100)) + Config!$B$28*MAX(0,MIN(100,(1-MIN(1,IF(Config!$B$30=0,1,$S404/Config!$B$30)))*100)) + Config!$B$29*MAX(0,MIN(100,MIN(1,IF($T404="",0,$T404)/Config!$B$23)*100)))),MIN(100,Config!$B$27*MAX(0,MIN(100,(1-IF($R404="",0,$R404))*100)) + Config!$B$28*MAX(0,MIN(100,(1-MIN(1,IF(Config!$B$30=0,1,$S404/Config!$B$30)))*100)) + Config!$B$29*MAX(0,MIN(100,MIN(1,IF($T404="",0,$T404)/Config!$B$23)*100))))),"")
</f>
        <v/>
      </c>
      <c r="V404" s="40" t="str">
        <f>IF(Bids!$AC404="","",Bids!$AC404)</f>
        <v/>
      </c>
      <c r="W404" s="40" t="str">
        <f>IF(Bids!$F403="","",Bids!$F403)</f>
        <v/>
      </c>
      <c r="X404" s="40" t="str">
        <f t="shared" si="5"/>
        <v/>
      </c>
      <c r="Y404" s="40" t="str">
        <f>IF($X404="","",IF(Config!$B$17=Config!$B$16,IF($X404&gt;=Config!$B$17,100,0),MAX(0,MIN(100,($X404-Config!$B$16)/(Config!$B$17-Config!$B$16)*100))))</f>
        <v/>
      </c>
      <c r="Z404" s="40">
        <f>IF($M404="Elite",Config!$B$21,0)</f>
        <v>0</v>
      </c>
      <c r="AA404" s="40" t="str">
        <f>IFERROR(IF(OR($W404="",$H404=""),"",IF($W404&gt;$H404,
  MAX(0, 60-(($W404-$H404)*24/Config!$B$19)*60),
  MIN(100, 60+(($H404-$W404)*24/Config!$B$20)*40)
)),"")
</f>
        <v/>
      </c>
      <c r="AB404" s="40" t="str">
        <f>IF($K404="","",IFERROR(VLOOKUP($K404,Grinders!$A$4:$N$998,10,FALSE)/5*100,""))</f>
        <v/>
      </c>
      <c r="AC404" s="40" t="str">
        <f>IF($K404="","",IFERROR(VLOOKUP($K404,Grinders!$A$4:$N$998,11,FALSE)*100,""))</f>
        <v/>
      </c>
      <c r="AD404" s="40" t="str">
        <f>IF($K404="","",IFERROR(VLOOKUP($K404,Grinders!$A$4:$N$998,12,FALSE)*100,""))</f>
        <v/>
      </c>
      <c r="AE404" s="40" t="str">
        <f>IF(OR(AO404=1,AP404=1),0,=IFERROR(IFS(
    OR($C404="", $K404=""), 0,
    $F404=0, 0,
    $D404&lt;&gt;"Open", 0,
    COUNTIFS(GrinderServices!$A$6:$A$1000, $K404, GrinderServices!$B$6:$B$1000, $E404, GrinderServices!$D$6:$D$1000, "Y")=0, 0,
    $X404&lt;Config!$B$16, 0,
    Config!$B$18=1, IF($O404&gt;=N404, 0, 1),
    TRUE, 1
), "")
)</f>
        <v>#ERROR!</v>
      </c>
      <c r="AF404" s="40" t="str">
        <f>IFERROR((IF(OR(AO404=1,AP404=1),"",=IFERROR((IFERROR(IF($AE404=0,"",((Config!$B$6*$Y404 + Config!$B$7*$U404 + Config!$B$8*$Z404 + Config!$B$9*$AA404 + Config!$B$10*$AB404 + Config!$B$11*$AC404 - Config!$B$12*$AD404)/Config!$B$13)+$AK404+$AL404),""))*(1-IFERROR(VLOOKUP(K404,Grinders!$A:$AB, 28, FALSE),0)),"")))*(1+AR404),"")</f>
        <v>#ERROR!</v>
      </c>
      <c r="AG404" s="40" t="str">
        <f t="shared" si="6"/>
        <v>#ERROR!</v>
      </c>
      <c r="AH404" s="40" t="str">
        <f t="shared" si="7"/>
        <v/>
      </c>
      <c r="AI404" s="40" t="str">
        <f t="shared" si="8"/>
        <v/>
      </c>
      <c r="AJ404" s="40" t="str">
        <f>IF($K404="","",COUNTIF(Assignments!$B$6:$B$1000,$K404))</f>
        <v/>
      </c>
      <c r="AK404" s="40" t="str">
        <f>IF($K404="","",IF(AND($AJ404=0,$O404&lt;$N404),Config!$B$43,0))</f>
        <v/>
      </c>
      <c r="AL404" s="40" t="str">
        <f>IF($K404="","",IF(AND($M404="Elite",$G404&gt;=Config!$B$41,$O404&lt;$N404),Config!$B$42,0))</f>
        <v/>
      </c>
      <c r="AM404" s="22"/>
      <c r="AN404" s="39">
        <f>IFERROR(VLOOKUP(K404,Grinders!$A:$Q,28,FALSE),0)</f>
        <v>0</v>
      </c>
      <c r="AO404" s="39">
        <f>IF(Config!$B$1003&lt;&gt;"Y",0,IF(IFERROR(VLOOKUP(K404,Grinders!$A:$P,27,FALSE),0)&gt;=3,IF(OR(G404&gt;=Config!$B$1001,ISNUMBER(SEARCH(E404,Config!$B$1002))),1,0),0))</f>
        <v>0</v>
      </c>
      <c r="AP404" s="39">
        <f t="array" ref="AP404">IFERROR(IF(INDEX(Bids!$AE:$AE,MATCH(B404,Bids!$A:$A,0))="Pending",1,0),0)</f>
        <v>0</v>
      </c>
      <c r="AQ404" s="39" t="str">
        <f t="array" ref="AQ404">IF(C404="","",IFERROR(XLOOKUP(C404,Assignments!$C:$C,Assignments!$AU:$AU,0),0))</f>
        <v/>
      </c>
      <c r="AR404" s="39">
        <f>IF(AND(Config!$B$1006="Y",AQ404=1),Config!$B$1007,0)</f>
        <v>0</v>
      </c>
    </row>
    <row r="405" ht="15.75" customHeight="1">
      <c r="A405" s="46" t="str">
        <f t="shared" si="1"/>
        <v/>
      </c>
      <c r="B405" s="40" t="str">
        <f>IF(Bids!$A404="","",Bids!$A404)</f>
        <v/>
      </c>
      <c r="C405" s="40" t="str">
        <f>IF(Bids!$B404="","",Bids!$B404)</f>
        <v/>
      </c>
      <c r="D405" s="40" t="str">
        <f>IF($C405="","",IFERROR(VLOOKUP($C405,Orders!$A$4:$J$998,9,FALSE),""))</f>
        <v/>
      </c>
      <c r="E405" s="40" t="str">
        <f>IF($C405="","",IFERROR(VLOOKUP($C405,Orders!$A$4:$J$998,3,FALSE),""))</f>
        <v/>
      </c>
      <c r="F405" s="40">
        <f t="shared" si="2"/>
        <v>1</v>
      </c>
      <c r="G405" s="40" t="str">
        <f>IF($C405="","",IFERROR(VLOOKUP($C405,Orders!$A$4:$J$998,4,FALSE),""))</f>
        <v/>
      </c>
      <c r="H405" s="40" t="str">
        <f>IF($C405="","",IFERROR(VLOOKUP($C405,Orders!$A$4:$J$998,5,FALSE),""))</f>
        <v/>
      </c>
      <c r="I405" s="40" t="str">
        <f>IF($C405="","",IFERROR(VLOOKUP($C405,Orders!$A$4:$J$998,6,FALSE),""))</f>
        <v/>
      </c>
      <c r="J405" s="40" t="str">
        <f>IF($C405="","",IFERROR(VLOOKUP($C405,Orders!$A$4:$J$998,7,FALSE),""))</f>
        <v/>
      </c>
      <c r="K405" s="40" t="str">
        <f>IF(Bids!$C404="","",Bids!$C404)</f>
        <v/>
      </c>
      <c r="L405" s="40" t="str">
        <f>IF($K405="","",IFERROR(VLOOKUP($K405,Grinders!$A$4:$N$998,2,FALSE),""))</f>
        <v/>
      </c>
      <c r="M405" s="40" t="str">
        <f>IF($K405="","",IFERROR(VLOOKUP($K405,Grinders!$A$4:$N$998,3,FALSE),""))</f>
        <v/>
      </c>
      <c r="N405" s="40" t="str">
        <f>IF($K405="","",IFERROR(VLOOKUP($K405,Grinders!$A$4:$N$998,4,FALSE),""))</f>
        <v/>
      </c>
      <c r="O405" s="40" t="str">
        <f>IF($K405="","",IFERROR(VLOOKUP($K405,Grinders!$A$4:$N$998,5,FALSE),""))</f>
        <v/>
      </c>
      <c r="P405" s="40" t="str">
        <f>IF($K405="","",IF($C$4="",0,COUNTIFS(Assignments!$B$6:$B$1000,$K405,Assignments!$F$6:$F$1000,$C$4,Assignments!$E$6:$E$1000,"Active")))</f>
        <v/>
      </c>
      <c r="Q405" s="40" t="str">
        <f t="shared" si="3"/>
        <v/>
      </c>
      <c r="R405" s="40" t="str">
        <f t="shared" si="4"/>
        <v/>
      </c>
      <c r="S405" s="40" t="str">
        <f>IF($K405="","",IF($C$4="",0,COUNTIFS(Assignments!$B$6:$B$1000,$K405,Assignments!$F$6:$F$1000,$C$4,Assignments!$D$6:$D$1000,"&gt;="&amp;Config!$B$3-7,Assignments!$D$6:$D$1000,"&lt;="&amp;Config!$B$3)))</f>
        <v/>
      </c>
      <c r="T405" s="40" t="str">
        <f>IF($K405="","",IFERROR(VLOOKUP($K405,Grinders!$A$4:$N$998,8,FALSE),""))</f>
        <v/>
      </c>
      <c r="U405" s="40" t="str">
        <f>IFERROR(IF($K405="","",IF($M405="Elite",MAX(50,MIN(100,Config!$B$27*MAX(0,MIN(100,(1-IF($R405="",0,$R405))*100)) + Config!$B$28*MAX(0,MIN(100,(1-MIN(1,IF(Config!$B$30=0,1,$S405/Config!$B$30)))*100)) + Config!$B$29*MAX(0,MIN(100,MIN(1,IF($T405="",0,$T405)/Config!$B$23)*100)))),MIN(100,Config!$B$27*MAX(0,MIN(100,(1-IF($R405="",0,$R405))*100)) + Config!$B$28*MAX(0,MIN(100,(1-MIN(1,IF(Config!$B$30=0,1,$S405/Config!$B$30)))*100)) + Config!$B$29*MAX(0,MIN(100,MIN(1,IF($T405="",0,$T405)/Config!$B$23)*100))))),"")
</f>
        <v/>
      </c>
      <c r="V405" s="40" t="str">
        <f>IF(Bids!$AC405="","",Bids!$AC405)</f>
        <v/>
      </c>
      <c r="W405" s="40" t="str">
        <f>IF(Bids!$F404="","",Bids!$F404)</f>
        <v/>
      </c>
      <c r="X405" s="40" t="str">
        <f t="shared" si="5"/>
        <v/>
      </c>
      <c r="Y405" s="40" t="str">
        <f>IF($X405="","",IF(Config!$B$17=Config!$B$16,IF($X405&gt;=Config!$B$17,100,0),MAX(0,MIN(100,($X405-Config!$B$16)/(Config!$B$17-Config!$B$16)*100))))</f>
        <v/>
      </c>
      <c r="Z405" s="40">
        <f>IF($M405="Elite",Config!$B$21,0)</f>
        <v>0</v>
      </c>
      <c r="AA405" s="40" t="str">
        <f>IFERROR(IF(OR($W405="",$H405=""),"",IF($W405&gt;$H405,
  MAX(0, 60-(($W405-$H405)*24/Config!$B$19)*60),
  MIN(100, 60+(($H405-$W405)*24/Config!$B$20)*40)
)),"")
</f>
        <v/>
      </c>
      <c r="AB405" s="40" t="str">
        <f>IF($K405="","",IFERROR(VLOOKUP($K405,Grinders!$A$4:$N$998,10,FALSE)/5*100,""))</f>
        <v/>
      </c>
      <c r="AC405" s="40" t="str">
        <f>IF($K405="","",IFERROR(VLOOKUP($K405,Grinders!$A$4:$N$998,11,FALSE)*100,""))</f>
        <v/>
      </c>
      <c r="AD405" s="40" t="str">
        <f>IF($K405="","",IFERROR(VLOOKUP($K405,Grinders!$A$4:$N$998,12,FALSE)*100,""))</f>
        <v/>
      </c>
      <c r="AE405" s="40" t="str">
        <f>IF(OR(AO405=1,AP405=1),0,=IFERROR(IFS(
    OR($C405="", $K405=""), 0,
    $F405=0, 0,
    $D405&lt;&gt;"Open", 0,
    COUNTIFS(GrinderServices!$A$6:$A$1000, $K405, GrinderServices!$B$6:$B$1000, $E405, GrinderServices!$D$6:$D$1000, "Y")=0, 0,
    $X405&lt;Config!$B$16, 0,
    Config!$B$18=1, IF($O405&gt;=N405, 0, 1),
    TRUE, 1
), "")
)</f>
        <v>#ERROR!</v>
      </c>
      <c r="AF405" s="40" t="str">
        <f>IFERROR((IF(OR(AO405=1,AP405=1),"",=IFERROR((IFERROR(IF($AE405=0,"",((Config!$B$6*$Y405 + Config!$B$7*$U405 + Config!$B$8*$Z405 + Config!$B$9*$AA405 + Config!$B$10*$AB405 + Config!$B$11*$AC405 - Config!$B$12*$AD405)/Config!$B$13)+$AK405+$AL405),""))*(1-IFERROR(VLOOKUP(K405,Grinders!$A:$AB, 28, FALSE),0)),"")))*(1+AR405),"")</f>
        <v>#ERROR!</v>
      </c>
      <c r="AG405" s="40" t="str">
        <f t="shared" si="6"/>
        <v>#ERROR!</v>
      </c>
      <c r="AH405" s="40" t="str">
        <f t="shared" si="7"/>
        <v/>
      </c>
      <c r="AI405" s="40" t="str">
        <f t="shared" si="8"/>
        <v/>
      </c>
      <c r="AJ405" s="40" t="str">
        <f>IF($K405="","",COUNTIF(Assignments!$B$6:$B$1000,$K405))</f>
        <v/>
      </c>
      <c r="AK405" s="40" t="str">
        <f>IF($K405="","",IF(AND($AJ405=0,$O405&lt;$N405),Config!$B$43,0))</f>
        <v/>
      </c>
      <c r="AL405" s="40" t="str">
        <f>IF($K405="","",IF(AND($M405="Elite",$G405&gt;=Config!$B$41,$O405&lt;$N405),Config!$B$42,0))</f>
        <v/>
      </c>
      <c r="AM405" s="22"/>
      <c r="AN405" s="39">
        <f>IFERROR(VLOOKUP(K405,Grinders!$A:$Q,28,FALSE),0)</f>
        <v>0</v>
      </c>
      <c r="AO405" s="39">
        <f>IF(Config!$B$1003&lt;&gt;"Y",0,IF(IFERROR(VLOOKUP(K405,Grinders!$A:$P,27,FALSE),0)&gt;=3,IF(OR(G405&gt;=Config!$B$1001,ISNUMBER(SEARCH(E405,Config!$B$1002))),1,0),0))</f>
        <v>0</v>
      </c>
      <c r="AP405" s="39">
        <f t="array" ref="AP405">IFERROR(IF(INDEX(Bids!$AE:$AE,MATCH(B405,Bids!$A:$A,0))="Pending",1,0),0)</f>
        <v>0</v>
      </c>
      <c r="AQ405" s="39" t="str">
        <f t="array" ref="AQ405">IF(C405="","",IFERROR(XLOOKUP(C405,Assignments!$C:$C,Assignments!$AU:$AU,0),0))</f>
        <v/>
      </c>
      <c r="AR405" s="39">
        <f>IF(AND(Config!$B$1006="Y",AQ405=1),Config!$B$1007,0)</f>
        <v>0</v>
      </c>
    </row>
    <row r="406" ht="15.75" customHeight="1">
      <c r="A406" s="46" t="str">
        <f t="shared" si="1"/>
        <v/>
      </c>
      <c r="B406" s="40" t="str">
        <f>IF(Bids!$A405="","",Bids!$A405)</f>
        <v/>
      </c>
      <c r="C406" s="40" t="str">
        <f>IF(Bids!$B405="","",Bids!$B405)</f>
        <v/>
      </c>
      <c r="D406" s="40" t="str">
        <f>IF($C406="","",IFERROR(VLOOKUP($C406,Orders!$A$4:$J$998,9,FALSE),""))</f>
        <v/>
      </c>
      <c r="E406" s="40" t="str">
        <f>IF($C406="","",IFERROR(VLOOKUP($C406,Orders!$A$4:$J$998,3,FALSE),""))</f>
        <v/>
      </c>
      <c r="F406" s="40">
        <f t="shared" si="2"/>
        <v>1</v>
      </c>
      <c r="G406" s="40" t="str">
        <f>IF($C406="","",IFERROR(VLOOKUP($C406,Orders!$A$4:$J$998,4,FALSE),""))</f>
        <v/>
      </c>
      <c r="H406" s="40" t="str">
        <f>IF($C406="","",IFERROR(VLOOKUP($C406,Orders!$A$4:$J$998,5,FALSE),""))</f>
        <v/>
      </c>
      <c r="I406" s="40" t="str">
        <f>IF($C406="","",IFERROR(VLOOKUP($C406,Orders!$A$4:$J$998,6,FALSE),""))</f>
        <v/>
      </c>
      <c r="J406" s="40" t="str">
        <f>IF($C406="","",IFERROR(VLOOKUP($C406,Orders!$A$4:$J$998,7,FALSE),""))</f>
        <v/>
      </c>
      <c r="K406" s="40" t="str">
        <f>IF(Bids!$C405="","",Bids!$C405)</f>
        <v/>
      </c>
      <c r="L406" s="40" t="str">
        <f>IF($K406="","",IFERROR(VLOOKUP($K406,Grinders!$A$4:$N$998,2,FALSE),""))</f>
        <v/>
      </c>
      <c r="M406" s="40" t="str">
        <f>IF($K406="","",IFERROR(VLOOKUP($K406,Grinders!$A$4:$N$998,3,FALSE),""))</f>
        <v/>
      </c>
      <c r="N406" s="40" t="str">
        <f>IF($K406="","",IFERROR(VLOOKUP($K406,Grinders!$A$4:$N$998,4,FALSE),""))</f>
        <v/>
      </c>
      <c r="O406" s="40" t="str">
        <f>IF($K406="","",IFERROR(VLOOKUP($K406,Grinders!$A$4:$N$998,5,FALSE),""))</f>
        <v/>
      </c>
      <c r="P406" s="40" t="str">
        <f>IF($K406="","",IF($C$4="",0,COUNTIFS(Assignments!$B$6:$B$1000,$K406,Assignments!$F$6:$F$1000,$C$4,Assignments!$E$6:$E$1000,"Active")))</f>
        <v/>
      </c>
      <c r="Q406" s="40" t="str">
        <f t="shared" si="3"/>
        <v/>
      </c>
      <c r="R406" s="40" t="str">
        <f t="shared" si="4"/>
        <v/>
      </c>
      <c r="S406" s="40" t="str">
        <f>IF($K406="","",IF($C$4="",0,COUNTIFS(Assignments!$B$6:$B$1000,$K406,Assignments!$F$6:$F$1000,$C$4,Assignments!$D$6:$D$1000,"&gt;="&amp;Config!$B$3-7,Assignments!$D$6:$D$1000,"&lt;="&amp;Config!$B$3)))</f>
        <v/>
      </c>
      <c r="T406" s="40" t="str">
        <f>IF($K406="","",IFERROR(VLOOKUP($K406,Grinders!$A$4:$N$998,8,FALSE),""))</f>
        <v/>
      </c>
      <c r="U406" s="40" t="str">
        <f>IFERROR(IF($K406="","",IF($M406="Elite",MAX(50,MIN(100,Config!$B$27*MAX(0,MIN(100,(1-IF($R406="",0,$R406))*100)) + Config!$B$28*MAX(0,MIN(100,(1-MIN(1,IF(Config!$B$30=0,1,$S406/Config!$B$30)))*100)) + Config!$B$29*MAX(0,MIN(100,MIN(1,IF($T406="",0,$T406)/Config!$B$23)*100)))),MIN(100,Config!$B$27*MAX(0,MIN(100,(1-IF($R406="",0,$R406))*100)) + Config!$B$28*MAX(0,MIN(100,(1-MIN(1,IF(Config!$B$30=0,1,$S406/Config!$B$30)))*100)) + Config!$B$29*MAX(0,MIN(100,MIN(1,IF($T406="",0,$T406)/Config!$B$23)*100))))),"")
</f>
        <v/>
      </c>
      <c r="V406" s="40" t="str">
        <f>IF(Bids!$AC406="","",Bids!$AC406)</f>
        <v/>
      </c>
      <c r="W406" s="40" t="str">
        <f>IF(Bids!$F405="","",Bids!$F405)</f>
        <v/>
      </c>
      <c r="X406" s="40" t="str">
        <f t="shared" si="5"/>
        <v/>
      </c>
      <c r="Y406" s="40" t="str">
        <f>IF($X406="","",IF(Config!$B$17=Config!$B$16,IF($X406&gt;=Config!$B$17,100,0),MAX(0,MIN(100,($X406-Config!$B$16)/(Config!$B$17-Config!$B$16)*100))))</f>
        <v/>
      </c>
      <c r="Z406" s="40">
        <f>IF($M406="Elite",Config!$B$21,0)</f>
        <v>0</v>
      </c>
      <c r="AA406" s="40" t="str">
        <f>IFERROR(IF(OR($W406="",$H406=""),"",IF($W406&gt;$H406,
  MAX(0, 60-(($W406-$H406)*24/Config!$B$19)*60),
  MIN(100, 60+(($H406-$W406)*24/Config!$B$20)*40)
)),"")
</f>
        <v/>
      </c>
      <c r="AB406" s="40" t="str">
        <f>IF($K406="","",IFERROR(VLOOKUP($K406,Grinders!$A$4:$N$998,10,FALSE)/5*100,""))</f>
        <v/>
      </c>
      <c r="AC406" s="40" t="str">
        <f>IF($K406="","",IFERROR(VLOOKUP($K406,Grinders!$A$4:$N$998,11,FALSE)*100,""))</f>
        <v/>
      </c>
      <c r="AD406" s="40" t="str">
        <f>IF($K406="","",IFERROR(VLOOKUP($K406,Grinders!$A$4:$N$998,12,FALSE)*100,""))</f>
        <v/>
      </c>
      <c r="AE406" s="40" t="str">
        <f>IF(OR(AO406=1,AP406=1),0,=IFERROR(IFS(
    OR($C406="", $K406=""), 0,
    $F406=0, 0,
    $D406&lt;&gt;"Open", 0,
    COUNTIFS(GrinderServices!$A$6:$A$1000, $K406, GrinderServices!$B$6:$B$1000, $E406, GrinderServices!$D$6:$D$1000, "Y")=0, 0,
    $X406&lt;Config!$B$16, 0,
    Config!$B$18=1, IF($O406&gt;=N406, 0, 1),
    TRUE, 1
), "")
)</f>
        <v>#ERROR!</v>
      </c>
      <c r="AF406" s="40" t="str">
        <f>IFERROR((IF(OR(AO406=1,AP406=1),"",=IFERROR((IFERROR(IF($AE406=0,"",((Config!$B$6*$Y406 + Config!$B$7*$U406 + Config!$B$8*$Z406 + Config!$B$9*$AA406 + Config!$B$10*$AB406 + Config!$B$11*$AC406 - Config!$B$12*$AD406)/Config!$B$13)+$AK406+$AL406),""))*(1-IFERROR(VLOOKUP(K406,Grinders!$A:$AB, 28, FALSE),0)),"")))*(1+AR406),"")</f>
        <v>#ERROR!</v>
      </c>
      <c r="AG406" s="40" t="str">
        <f t="shared" si="6"/>
        <v>#ERROR!</v>
      </c>
      <c r="AH406" s="40" t="str">
        <f t="shared" si="7"/>
        <v/>
      </c>
      <c r="AI406" s="40" t="str">
        <f t="shared" si="8"/>
        <v/>
      </c>
      <c r="AJ406" s="40" t="str">
        <f>IF($K406="","",COUNTIF(Assignments!$B$6:$B$1000,$K406))</f>
        <v/>
      </c>
      <c r="AK406" s="40" t="str">
        <f>IF($K406="","",IF(AND($AJ406=0,$O406&lt;$N406),Config!$B$43,0))</f>
        <v/>
      </c>
      <c r="AL406" s="40" t="str">
        <f>IF($K406="","",IF(AND($M406="Elite",$G406&gt;=Config!$B$41,$O406&lt;$N406),Config!$B$42,0))</f>
        <v/>
      </c>
      <c r="AM406" s="22"/>
      <c r="AN406" s="39">
        <f>IFERROR(VLOOKUP(K406,Grinders!$A:$Q,28,FALSE),0)</f>
        <v>0</v>
      </c>
      <c r="AO406" s="39">
        <f>IF(Config!$B$1003&lt;&gt;"Y",0,IF(IFERROR(VLOOKUP(K406,Grinders!$A:$P,27,FALSE),0)&gt;=3,IF(OR(G406&gt;=Config!$B$1001,ISNUMBER(SEARCH(E406,Config!$B$1002))),1,0),0))</f>
        <v>0</v>
      </c>
      <c r="AP406" s="39">
        <f t="array" ref="AP406">IFERROR(IF(INDEX(Bids!$AE:$AE,MATCH(B406,Bids!$A:$A,0))="Pending",1,0),0)</f>
        <v>0</v>
      </c>
      <c r="AQ406" s="39" t="str">
        <f t="array" ref="AQ406">IF(C406="","",IFERROR(XLOOKUP(C406,Assignments!$C:$C,Assignments!$AU:$AU,0),0))</f>
        <v/>
      </c>
      <c r="AR406" s="39">
        <f>IF(AND(Config!$B$1006="Y",AQ406=1),Config!$B$1007,0)</f>
        <v>0</v>
      </c>
    </row>
    <row r="407" ht="15.75" customHeight="1">
      <c r="A407" s="46" t="str">
        <f t="shared" si="1"/>
        <v/>
      </c>
      <c r="B407" s="40" t="str">
        <f>IF(Bids!$A406="","",Bids!$A406)</f>
        <v/>
      </c>
      <c r="C407" s="40" t="str">
        <f>IF(Bids!$B406="","",Bids!$B406)</f>
        <v/>
      </c>
      <c r="D407" s="40" t="str">
        <f>IF($C407="","",IFERROR(VLOOKUP($C407,Orders!$A$4:$J$998,9,FALSE),""))</f>
        <v/>
      </c>
      <c r="E407" s="40" t="str">
        <f>IF($C407="","",IFERROR(VLOOKUP($C407,Orders!$A$4:$J$998,3,FALSE),""))</f>
        <v/>
      </c>
      <c r="F407" s="40">
        <f t="shared" si="2"/>
        <v>1</v>
      </c>
      <c r="G407" s="40" t="str">
        <f>IF($C407="","",IFERROR(VLOOKUP($C407,Orders!$A$4:$J$998,4,FALSE),""))</f>
        <v/>
      </c>
      <c r="H407" s="40" t="str">
        <f>IF($C407="","",IFERROR(VLOOKUP($C407,Orders!$A$4:$J$998,5,FALSE),""))</f>
        <v/>
      </c>
      <c r="I407" s="40" t="str">
        <f>IF($C407="","",IFERROR(VLOOKUP($C407,Orders!$A$4:$J$998,6,FALSE),""))</f>
        <v/>
      </c>
      <c r="J407" s="40" t="str">
        <f>IF($C407="","",IFERROR(VLOOKUP($C407,Orders!$A$4:$J$998,7,FALSE),""))</f>
        <v/>
      </c>
      <c r="K407" s="40" t="str">
        <f>IF(Bids!$C406="","",Bids!$C406)</f>
        <v/>
      </c>
      <c r="L407" s="40" t="str">
        <f>IF($K407="","",IFERROR(VLOOKUP($K407,Grinders!$A$4:$N$998,2,FALSE),""))</f>
        <v/>
      </c>
      <c r="M407" s="40" t="str">
        <f>IF($K407="","",IFERROR(VLOOKUP($K407,Grinders!$A$4:$N$998,3,FALSE),""))</f>
        <v/>
      </c>
      <c r="N407" s="40" t="str">
        <f>IF($K407="","",IFERROR(VLOOKUP($K407,Grinders!$A$4:$N$998,4,FALSE),""))</f>
        <v/>
      </c>
      <c r="O407" s="40" t="str">
        <f>IF($K407="","",IFERROR(VLOOKUP($K407,Grinders!$A$4:$N$998,5,FALSE),""))</f>
        <v/>
      </c>
      <c r="P407" s="40" t="str">
        <f>IF($K407="","",IF($C$4="",0,COUNTIFS(Assignments!$B$6:$B$1000,$K407,Assignments!$F$6:$F$1000,$C$4,Assignments!$E$6:$E$1000,"Active")))</f>
        <v/>
      </c>
      <c r="Q407" s="40" t="str">
        <f t="shared" si="3"/>
        <v/>
      </c>
      <c r="R407" s="40" t="str">
        <f t="shared" si="4"/>
        <v/>
      </c>
      <c r="S407" s="40" t="str">
        <f>IF($K407="","",IF($C$4="",0,COUNTIFS(Assignments!$B$6:$B$1000,$K407,Assignments!$F$6:$F$1000,$C$4,Assignments!$D$6:$D$1000,"&gt;="&amp;Config!$B$3-7,Assignments!$D$6:$D$1000,"&lt;="&amp;Config!$B$3)))</f>
        <v/>
      </c>
      <c r="T407" s="40" t="str">
        <f>IF($K407="","",IFERROR(VLOOKUP($K407,Grinders!$A$4:$N$998,8,FALSE),""))</f>
        <v/>
      </c>
      <c r="U407" s="40" t="str">
        <f>IFERROR(IF($K407="","",IF($M407="Elite",MAX(50,MIN(100,Config!$B$27*MAX(0,MIN(100,(1-IF($R407="",0,$R407))*100)) + Config!$B$28*MAX(0,MIN(100,(1-MIN(1,IF(Config!$B$30=0,1,$S407/Config!$B$30)))*100)) + Config!$B$29*MAX(0,MIN(100,MIN(1,IF($T407="",0,$T407)/Config!$B$23)*100)))),MIN(100,Config!$B$27*MAX(0,MIN(100,(1-IF($R407="",0,$R407))*100)) + Config!$B$28*MAX(0,MIN(100,(1-MIN(1,IF(Config!$B$30=0,1,$S407/Config!$B$30)))*100)) + Config!$B$29*MAX(0,MIN(100,MIN(1,IF($T407="",0,$T407)/Config!$B$23)*100))))),"")
</f>
        <v/>
      </c>
      <c r="V407" s="40" t="str">
        <f>IF(Bids!$AC407="","",Bids!$AC407)</f>
        <v/>
      </c>
      <c r="W407" s="40" t="str">
        <f>IF(Bids!$F406="","",Bids!$F406)</f>
        <v/>
      </c>
      <c r="X407" s="40" t="str">
        <f t="shared" si="5"/>
        <v/>
      </c>
      <c r="Y407" s="40" t="str">
        <f>IF($X407="","",IF(Config!$B$17=Config!$B$16,IF($X407&gt;=Config!$B$17,100,0),MAX(0,MIN(100,($X407-Config!$B$16)/(Config!$B$17-Config!$B$16)*100))))</f>
        <v/>
      </c>
      <c r="Z407" s="40">
        <f>IF($M407="Elite",Config!$B$21,0)</f>
        <v>0</v>
      </c>
      <c r="AA407" s="40" t="str">
        <f>IFERROR(IF(OR($W407="",$H407=""),"",IF($W407&gt;$H407,
  MAX(0, 60-(($W407-$H407)*24/Config!$B$19)*60),
  MIN(100, 60+(($H407-$W407)*24/Config!$B$20)*40)
)),"")
</f>
        <v/>
      </c>
      <c r="AB407" s="40" t="str">
        <f>IF($K407="","",IFERROR(VLOOKUP($K407,Grinders!$A$4:$N$998,10,FALSE)/5*100,""))</f>
        <v/>
      </c>
      <c r="AC407" s="40" t="str">
        <f>IF($K407="","",IFERROR(VLOOKUP($K407,Grinders!$A$4:$N$998,11,FALSE)*100,""))</f>
        <v/>
      </c>
      <c r="AD407" s="40" t="str">
        <f>IF($K407="","",IFERROR(VLOOKUP($K407,Grinders!$A$4:$N$998,12,FALSE)*100,""))</f>
        <v/>
      </c>
      <c r="AE407" s="40" t="str">
        <f>IF(OR(AO407=1,AP407=1),0,=IFERROR(IFS(
    OR($C407="", $K407=""), 0,
    $F407=0, 0,
    $D407&lt;&gt;"Open", 0,
    COUNTIFS(GrinderServices!$A$6:$A$1000, $K407, GrinderServices!$B$6:$B$1000, $E407, GrinderServices!$D$6:$D$1000, "Y")=0, 0,
    $X407&lt;Config!$B$16, 0,
    Config!$B$18=1, IF($O407&gt;=N407, 0, 1),
    TRUE, 1
), "")
)</f>
        <v>#ERROR!</v>
      </c>
      <c r="AF407" s="40" t="str">
        <f>IFERROR((IF(OR(AO407=1,AP407=1),"",=IFERROR((IFERROR(IF($AE407=0,"",((Config!$B$6*$Y407 + Config!$B$7*$U407 + Config!$B$8*$Z407 + Config!$B$9*$AA407 + Config!$B$10*$AB407 + Config!$B$11*$AC407 - Config!$B$12*$AD407)/Config!$B$13)+$AK407+$AL407),""))*(1-IFERROR(VLOOKUP(K407,Grinders!$A:$AB, 28, FALSE),0)),"")))*(1+AR407),"")</f>
        <v>#ERROR!</v>
      </c>
      <c r="AG407" s="40" t="str">
        <f t="shared" si="6"/>
        <v>#ERROR!</v>
      </c>
      <c r="AH407" s="40" t="str">
        <f t="shared" si="7"/>
        <v/>
      </c>
      <c r="AI407" s="40" t="str">
        <f t="shared" si="8"/>
        <v/>
      </c>
      <c r="AJ407" s="40" t="str">
        <f>IF($K407="","",COUNTIF(Assignments!$B$6:$B$1000,$K407))</f>
        <v/>
      </c>
      <c r="AK407" s="40" t="str">
        <f>IF($K407="","",IF(AND($AJ407=0,$O407&lt;$N407),Config!$B$43,0))</f>
        <v/>
      </c>
      <c r="AL407" s="40" t="str">
        <f>IF($K407="","",IF(AND($M407="Elite",$G407&gt;=Config!$B$41,$O407&lt;$N407),Config!$B$42,0))</f>
        <v/>
      </c>
      <c r="AM407" s="22"/>
      <c r="AN407" s="39">
        <f>IFERROR(VLOOKUP(K407,Grinders!$A:$Q,28,FALSE),0)</f>
        <v>0</v>
      </c>
      <c r="AO407" s="39">
        <f>IF(Config!$B$1003&lt;&gt;"Y",0,IF(IFERROR(VLOOKUP(K407,Grinders!$A:$P,27,FALSE),0)&gt;=3,IF(OR(G407&gt;=Config!$B$1001,ISNUMBER(SEARCH(E407,Config!$B$1002))),1,0),0))</f>
        <v>0</v>
      </c>
      <c r="AP407" s="39">
        <f t="array" ref="AP407">IFERROR(IF(INDEX(Bids!$AE:$AE,MATCH(B407,Bids!$A:$A,0))="Pending",1,0),0)</f>
        <v>0</v>
      </c>
      <c r="AQ407" s="39" t="str">
        <f t="array" ref="AQ407">IF(C407="","",IFERROR(XLOOKUP(C407,Assignments!$C:$C,Assignments!$AU:$AU,0),0))</f>
        <v/>
      </c>
      <c r="AR407" s="39">
        <f>IF(AND(Config!$B$1006="Y",AQ407=1),Config!$B$1007,0)</f>
        <v>0</v>
      </c>
    </row>
    <row r="408" ht="15.75" customHeight="1">
      <c r="A408" s="46" t="str">
        <f t="shared" si="1"/>
        <v/>
      </c>
      <c r="B408" s="40" t="str">
        <f>IF(Bids!$A407="","",Bids!$A407)</f>
        <v/>
      </c>
      <c r="C408" s="40" t="str">
        <f>IF(Bids!$B407="","",Bids!$B407)</f>
        <v/>
      </c>
      <c r="D408" s="40" t="str">
        <f>IF($C408="","",IFERROR(VLOOKUP($C408,Orders!$A$4:$J$998,9,FALSE),""))</f>
        <v/>
      </c>
      <c r="E408" s="40" t="str">
        <f>IF($C408="","",IFERROR(VLOOKUP($C408,Orders!$A$4:$J$998,3,FALSE),""))</f>
        <v/>
      </c>
      <c r="F408" s="40">
        <f t="shared" si="2"/>
        <v>1</v>
      </c>
      <c r="G408" s="40" t="str">
        <f>IF($C408="","",IFERROR(VLOOKUP($C408,Orders!$A$4:$J$998,4,FALSE),""))</f>
        <v/>
      </c>
      <c r="H408" s="40" t="str">
        <f>IF($C408="","",IFERROR(VLOOKUP($C408,Orders!$A$4:$J$998,5,FALSE),""))</f>
        <v/>
      </c>
      <c r="I408" s="40" t="str">
        <f>IF($C408="","",IFERROR(VLOOKUP($C408,Orders!$A$4:$J$998,6,FALSE),""))</f>
        <v/>
      </c>
      <c r="J408" s="40" t="str">
        <f>IF($C408="","",IFERROR(VLOOKUP($C408,Orders!$A$4:$J$998,7,FALSE),""))</f>
        <v/>
      </c>
      <c r="K408" s="40" t="str">
        <f>IF(Bids!$C407="","",Bids!$C407)</f>
        <v/>
      </c>
      <c r="L408" s="40" t="str">
        <f>IF($K408="","",IFERROR(VLOOKUP($K408,Grinders!$A$4:$N$998,2,FALSE),""))</f>
        <v/>
      </c>
      <c r="M408" s="40" t="str">
        <f>IF($K408="","",IFERROR(VLOOKUP($K408,Grinders!$A$4:$N$998,3,FALSE),""))</f>
        <v/>
      </c>
      <c r="N408" s="40" t="str">
        <f>IF($K408="","",IFERROR(VLOOKUP($K408,Grinders!$A$4:$N$998,4,FALSE),""))</f>
        <v/>
      </c>
      <c r="O408" s="40" t="str">
        <f>IF($K408="","",IFERROR(VLOOKUP($K408,Grinders!$A$4:$N$998,5,FALSE),""))</f>
        <v/>
      </c>
      <c r="P408" s="40" t="str">
        <f>IF($K408="","",IF($C$4="",0,COUNTIFS(Assignments!$B$6:$B$1000,$K408,Assignments!$F$6:$F$1000,$C$4,Assignments!$E$6:$E$1000,"Active")))</f>
        <v/>
      </c>
      <c r="Q408" s="40" t="str">
        <f t="shared" si="3"/>
        <v/>
      </c>
      <c r="R408" s="40" t="str">
        <f t="shared" si="4"/>
        <v/>
      </c>
      <c r="S408" s="40" t="str">
        <f>IF($K408="","",IF($C$4="",0,COUNTIFS(Assignments!$B$6:$B$1000,$K408,Assignments!$F$6:$F$1000,$C$4,Assignments!$D$6:$D$1000,"&gt;="&amp;Config!$B$3-7,Assignments!$D$6:$D$1000,"&lt;="&amp;Config!$B$3)))</f>
        <v/>
      </c>
      <c r="T408" s="40" t="str">
        <f>IF($K408="","",IFERROR(VLOOKUP($K408,Grinders!$A$4:$N$998,8,FALSE),""))</f>
        <v/>
      </c>
      <c r="U408" s="40" t="str">
        <f>IFERROR(IF($K408="","",IF($M408="Elite",MAX(50,MIN(100,Config!$B$27*MAX(0,MIN(100,(1-IF($R408="",0,$R408))*100)) + Config!$B$28*MAX(0,MIN(100,(1-MIN(1,IF(Config!$B$30=0,1,$S408/Config!$B$30)))*100)) + Config!$B$29*MAX(0,MIN(100,MIN(1,IF($T408="",0,$T408)/Config!$B$23)*100)))),MIN(100,Config!$B$27*MAX(0,MIN(100,(1-IF($R408="",0,$R408))*100)) + Config!$B$28*MAX(0,MIN(100,(1-MIN(1,IF(Config!$B$30=0,1,$S408/Config!$B$30)))*100)) + Config!$B$29*MAX(0,MIN(100,MIN(1,IF($T408="",0,$T408)/Config!$B$23)*100))))),"")
</f>
        <v/>
      </c>
      <c r="V408" s="40" t="str">
        <f>IF(Bids!$AC408="","",Bids!$AC408)</f>
        <v/>
      </c>
      <c r="W408" s="40" t="str">
        <f>IF(Bids!$F407="","",Bids!$F407)</f>
        <v/>
      </c>
      <c r="X408" s="40" t="str">
        <f t="shared" si="5"/>
        <v/>
      </c>
      <c r="Y408" s="40" t="str">
        <f>IF($X408="","",IF(Config!$B$17=Config!$B$16,IF($X408&gt;=Config!$B$17,100,0),MAX(0,MIN(100,($X408-Config!$B$16)/(Config!$B$17-Config!$B$16)*100))))</f>
        <v/>
      </c>
      <c r="Z408" s="40">
        <f>IF($M408="Elite",Config!$B$21,0)</f>
        <v>0</v>
      </c>
      <c r="AA408" s="40" t="str">
        <f>IFERROR(IF(OR($W408="",$H408=""),"",IF($W408&gt;$H408,
  MAX(0, 60-(($W408-$H408)*24/Config!$B$19)*60),
  MIN(100, 60+(($H408-$W408)*24/Config!$B$20)*40)
)),"")
</f>
        <v/>
      </c>
      <c r="AB408" s="40" t="str">
        <f>IF($K408="","",IFERROR(VLOOKUP($K408,Grinders!$A$4:$N$998,10,FALSE)/5*100,""))</f>
        <v/>
      </c>
      <c r="AC408" s="40" t="str">
        <f>IF($K408="","",IFERROR(VLOOKUP($K408,Grinders!$A$4:$N$998,11,FALSE)*100,""))</f>
        <v/>
      </c>
      <c r="AD408" s="40" t="str">
        <f>IF($K408="","",IFERROR(VLOOKUP($K408,Grinders!$A$4:$N$998,12,FALSE)*100,""))</f>
        <v/>
      </c>
      <c r="AE408" s="40" t="str">
        <f>IF(OR(AO408=1,AP408=1),0,=IFERROR(IFS(
    OR($C408="", $K408=""), 0,
    $F408=0, 0,
    $D408&lt;&gt;"Open", 0,
    COUNTIFS(GrinderServices!$A$6:$A$1000, $K408, GrinderServices!$B$6:$B$1000, $E408, GrinderServices!$D$6:$D$1000, "Y")=0, 0,
    $X408&lt;Config!$B$16, 0,
    Config!$B$18=1, IF($O408&gt;=N408, 0, 1),
    TRUE, 1
), "")
)</f>
        <v>#ERROR!</v>
      </c>
      <c r="AF408" s="40" t="str">
        <f>IFERROR((IF(OR(AO408=1,AP408=1),"",=IFERROR((IFERROR(IF($AE408=0,"",((Config!$B$6*$Y408 + Config!$B$7*$U408 + Config!$B$8*$Z408 + Config!$B$9*$AA408 + Config!$B$10*$AB408 + Config!$B$11*$AC408 - Config!$B$12*$AD408)/Config!$B$13)+$AK408+$AL408),""))*(1-IFERROR(VLOOKUP(K408,Grinders!$A:$AB, 28, FALSE),0)),"")))*(1+AR408),"")</f>
        <v>#ERROR!</v>
      </c>
      <c r="AG408" s="40" t="str">
        <f t="shared" si="6"/>
        <v>#ERROR!</v>
      </c>
      <c r="AH408" s="40" t="str">
        <f t="shared" si="7"/>
        <v/>
      </c>
      <c r="AI408" s="40" t="str">
        <f t="shared" si="8"/>
        <v/>
      </c>
      <c r="AJ408" s="40" t="str">
        <f>IF($K408="","",COUNTIF(Assignments!$B$6:$B$1000,$K408))</f>
        <v/>
      </c>
      <c r="AK408" s="40" t="str">
        <f>IF($K408="","",IF(AND($AJ408=0,$O408&lt;$N408),Config!$B$43,0))</f>
        <v/>
      </c>
      <c r="AL408" s="40" t="str">
        <f>IF($K408="","",IF(AND($M408="Elite",$G408&gt;=Config!$B$41,$O408&lt;$N408),Config!$B$42,0))</f>
        <v/>
      </c>
      <c r="AM408" s="22"/>
      <c r="AN408" s="39">
        <f>IFERROR(VLOOKUP(K408,Grinders!$A:$Q,28,FALSE),0)</f>
        <v>0</v>
      </c>
      <c r="AO408" s="39">
        <f>IF(Config!$B$1003&lt;&gt;"Y",0,IF(IFERROR(VLOOKUP(K408,Grinders!$A:$P,27,FALSE),0)&gt;=3,IF(OR(G408&gt;=Config!$B$1001,ISNUMBER(SEARCH(E408,Config!$B$1002))),1,0),0))</f>
        <v>0</v>
      </c>
      <c r="AP408" s="39">
        <f t="array" ref="AP408">IFERROR(IF(INDEX(Bids!$AE:$AE,MATCH(B408,Bids!$A:$A,0))="Pending",1,0),0)</f>
        <v>0</v>
      </c>
      <c r="AQ408" s="39" t="str">
        <f t="array" ref="AQ408">IF(C408="","",IFERROR(XLOOKUP(C408,Assignments!$C:$C,Assignments!$AU:$AU,0),0))</f>
        <v/>
      </c>
      <c r="AR408" s="39">
        <f>IF(AND(Config!$B$1006="Y",AQ408=1),Config!$B$1007,0)</f>
        <v>0</v>
      </c>
    </row>
    <row r="409" ht="15.75" customHeight="1">
      <c r="A409" s="46" t="str">
        <f t="shared" si="1"/>
        <v/>
      </c>
      <c r="B409" s="40" t="str">
        <f>IF(Bids!$A408="","",Bids!$A408)</f>
        <v/>
      </c>
      <c r="C409" s="40" t="str">
        <f>IF(Bids!$B408="","",Bids!$B408)</f>
        <v/>
      </c>
      <c r="D409" s="40" t="str">
        <f>IF($C409="","",IFERROR(VLOOKUP($C409,Orders!$A$4:$J$998,9,FALSE),""))</f>
        <v/>
      </c>
      <c r="E409" s="40" t="str">
        <f>IF($C409="","",IFERROR(VLOOKUP($C409,Orders!$A$4:$J$998,3,FALSE),""))</f>
        <v/>
      </c>
      <c r="F409" s="40">
        <f t="shared" si="2"/>
        <v>1</v>
      </c>
      <c r="G409" s="40" t="str">
        <f>IF($C409="","",IFERROR(VLOOKUP($C409,Orders!$A$4:$J$998,4,FALSE),""))</f>
        <v/>
      </c>
      <c r="H409" s="40" t="str">
        <f>IF($C409="","",IFERROR(VLOOKUP($C409,Orders!$A$4:$J$998,5,FALSE),""))</f>
        <v/>
      </c>
      <c r="I409" s="40" t="str">
        <f>IF($C409="","",IFERROR(VLOOKUP($C409,Orders!$A$4:$J$998,6,FALSE),""))</f>
        <v/>
      </c>
      <c r="J409" s="40" t="str">
        <f>IF($C409="","",IFERROR(VLOOKUP($C409,Orders!$A$4:$J$998,7,FALSE),""))</f>
        <v/>
      </c>
      <c r="K409" s="40" t="str">
        <f>IF(Bids!$C408="","",Bids!$C408)</f>
        <v/>
      </c>
      <c r="L409" s="40" t="str">
        <f>IF($K409="","",IFERROR(VLOOKUP($K409,Grinders!$A$4:$N$998,2,FALSE),""))</f>
        <v/>
      </c>
      <c r="M409" s="40" t="str">
        <f>IF($K409="","",IFERROR(VLOOKUP($K409,Grinders!$A$4:$N$998,3,FALSE),""))</f>
        <v/>
      </c>
      <c r="N409" s="40" t="str">
        <f>IF($K409="","",IFERROR(VLOOKUP($K409,Grinders!$A$4:$N$998,4,FALSE),""))</f>
        <v/>
      </c>
      <c r="O409" s="40" t="str">
        <f>IF($K409="","",IFERROR(VLOOKUP($K409,Grinders!$A$4:$N$998,5,FALSE),""))</f>
        <v/>
      </c>
      <c r="P409" s="40" t="str">
        <f>IF($K409="","",IF($C$4="",0,COUNTIFS(Assignments!$B$6:$B$1000,$K409,Assignments!$F$6:$F$1000,$C$4,Assignments!$E$6:$E$1000,"Active")))</f>
        <v/>
      </c>
      <c r="Q409" s="40" t="str">
        <f t="shared" si="3"/>
        <v/>
      </c>
      <c r="R409" s="40" t="str">
        <f t="shared" si="4"/>
        <v/>
      </c>
      <c r="S409" s="40" t="str">
        <f>IF($K409="","",IF($C$4="",0,COUNTIFS(Assignments!$B$6:$B$1000,$K409,Assignments!$F$6:$F$1000,$C$4,Assignments!$D$6:$D$1000,"&gt;="&amp;Config!$B$3-7,Assignments!$D$6:$D$1000,"&lt;="&amp;Config!$B$3)))</f>
        <v/>
      </c>
      <c r="T409" s="40" t="str">
        <f>IF($K409="","",IFERROR(VLOOKUP($K409,Grinders!$A$4:$N$998,8,FALSE),""))</f>
        <v/>
      </c>
      <c r="U409" s="40" t="str">
        <f>IFERROR(IF($K409="","",IF($M409="Elite",MAX(50,MIN(100,Config!$B$27*MAX(0,MIN(100,(1-IF($R409="",0,$R409))*100)) + Config!$B$28*MAX(0,MIN(100,(1-MIN(1,IF(Config!$B$30=0,1,$S409/Config!$B$30)))*100)) + Config!$B$29*MAX(0,MIN(100,MIN(1,IF($T409="",0,$T409)/Config!$B$23)*100)))),MIN(100,Config!$B$27*MAX(0,MIN(100,(1-IF($R409="",0,$R409))*100)) + Config!$B$28*MAX(0,MIN(100,(1-MIN(1,IF(Config!$B$30=0,1,$S409/Config!$B$30)))*100)) + Config!$B$29*MAX(0,MIN(100,MIN(1,IF($T409="",0,$T409)/Config!$B$23)*100))))),"")
</f>
        <v/>
      </c>
      <c r="V409" s="40" t="str">
        <f>IF(Bids!$AC409="","",Bids!$AC409)</f>
        <v/>
      </c>
      <c r="W409" s="40" t="str">
        <f>IF(Bids!$F408="","",Bids!$F408)</f>
        <v/>
      </c>
      <c r="X409" s="40" t="str">
        <f t="shared" si="5"/>
        <v/>
      </c>
      <c r="Y409" s="40" t="str">
        <f>IF($X409="","",IF(Config!$B$17=Config!$B$16,IF($X409&gt;=Config!$B$17,100,0),MAX(0,MIN(100,($X409-Config!$B$16)/(Config!$B$17-Config!$B$16)*100))))</f>
        <v/>
      </c>
      <c r="Z409" s="40">
        <f>IF($M409="Elite",Config!$B$21,0)</f>
        <v>0</v>
      </c>
      <c r="AA409" s="40" t="str">
        <f>IFERROR(IF(OR($W409="",$H409=""),"",IF($W409&gt;$H409,
  MAX(0, 60-(($W409-$H409)*24/Config!$B$19)*60),
  MIN(100, 60+(($H409-$W409)*24/Config!$B$20)*40)
)),"")
</f>
        <v/>
      </c>
      <c r="AB409" s="40" t="str">
        <f>IF($K409="","",IFERROR(VLOOKUP($K409,Grinders!$A$4:$N$998,10,FALSE)/5*100,""))</f>
        <v/>
      </c>
      <c r="AC409" s="40" t="str">
        <f>IF($K409="","",IFERROR(VLOOKUP($K409,Grinders!$A$4:$N$998,11,FALSE)*100,""))</f>
        <v/>
      </c>
      <c r="AD409" s="40" t="str">
        <f>IF($K409="","",IFERROR(VLOOKUP($K409,Grinders!$A$4:$N$998,12,FALSE)*100,""))</f>
        <v/>
      </c>
      <c r="AE409" s="40" t="str">
        <f>IF(OR(AO409=1,AP409=1),0,=IFERROR(IFS(
    OR($C409="", $K409=""), 0,
    $F409=0, 0,
    $D409&lt;&gt;"Open", 0,
    COUNTIFS(GrinderServices!$A$6:$A$1000, $K409, GrinderServices!$B$6:$B$1000, $E409, GrinderServices!$D$6:$D$1000, "Y")=0, 0,
    $X409&lt;Config!$B$16, 0,
    Config!$B$18=1, IF($O409&gt;=N409, 0, 1),
    TRUE, 1
), "")
)</f>
        <v>#ERROR!</v>
      </c>
      <c r="AF409" s="40" t="str">
        <f>IFERROR((IF(OR(AO409=1,AP409=1),"",=IFERROR((IFERROR(IF($AE409=0,"",((Config!$B$6*$Y409 + Config!$B$7*$U409 + Config!$B$8*$Z409 + Config!$B$9*$AA409 + Config!$B$10*$AB409 + Config!$B$11*$AC409 - Config!$B$12*$AD409)/Config!$B$13)+$AK409+$AL409),""))*(1-IFERROR(VLOOKUP(K409,Grinders!$A:$AB, 28, FALSE),0)),"")))*(1+AR409),"")</f>
        <v>#ERROR!</v>
      </c>
      <c r="AG409" s="40" t="str">
        <f t="shared" si="6"/>
        <v>#ERROR!</v>
      </c>
      <c r="AH409" s="40" t="str">
        <f t="shared" si="7"/>
        <v/>
      </c>
      <c r="AI409" s="40" t="str">
        <f t="shared" si="8"/>
        <v/>
      </c>
      <c r="AJ409" s="40" t="str">
        <f>IF($K409="","",COUNTIF(Assignments!$B$6:$B$1000,$K409))</f>
        <v/>
      </c>
      <c r="AK409" s="40" t="str">
        <f>IF($K409="","",IF(AND($AJ409=0,$O409&lt;$N409),Config!$B$43,0))</f>
        <v/>
      </c>
      <c r="AL409" s="40" t="str">
        <f>IF($K409="","",IF(AND($M409="Elite",$G409&gt;=Config!$B$41,$O409&lt;$N409),Config!$B$42,0))</f>
        <v/>
      </c>
      <c r="AM409" s="22"/>
      <c r="AN409" s="39">
        <f>IFERROR(VLOOKUP(K409,Grinders!$A:$Q,28,FALSE),0)</f>
        <v>0</v>
      </c>
      <c r="AO409" s="39">
        <f>IF(Config!$B$1003&lt;&gt;"Y",0,IF(IFERROR(VLOOKUP(K409,Grinders!$A:$P,27,FALSE),0)&gt;=3,IF(OR(G409&gt;=Config!$B$1001,ISNUMBER(SEARCH(E409,Config!$B$1002))),1,0),0))</f>
        <v>0</v>
      </c>
      <c r="AP409" s="39">
        <f t="array" ref="AP409">IFERROR(IF(INDEX(Bids!$AE:$AE,MATCH(B409,Bids!$A:$A,0))="Pending",1,0),0)</f>
        <v>0</v>
      </c>
      <c r="AQ409" s="39" t="str">
        <f t="array" ref="AQ409">IF(C409="","",IFERROR(XLOOKUP(C409,Assignments!$C:$C,Assignments!$AU:$AU,0),0))</f>
        <v/>
      </c>
      <c r="AR409" s="39">
        <f>IF(AND(Config!$B$1006="Y",AQ409=1),Config!$B$1007,0)</f>
        <v>0</v>
      </c>
    </row>
    <row r="410" ht="15.75" customHeight="1">
      <c r="A410" s="46" t="str">
        <f t="shared" si="1"/>
        <v/>
      </c>
      <c r="B410" s="40" t="str">
        <f>IF(Bids!$A409="","",Bids!$A409)</f>
        <v/>
      </c>
      <c r="C410" s="40" t="str">
        <f>IF(Bids!$B409="","",Bids!$B409)</f>
        <v/>
      </c>
      <c r="D410" s="40" t="str">
        <f>IF($C410="","",IFERROR(VLOOKUP($C410,Orders!$A$4:$J$998,9,FALSE),""))</f>
        <v/>
      </c>
      <c r="E410" s="40" t="str">
        <f>IF($C410="","",IFERROR(VLOOKUP($C410,Orders!$A$4:$J$998,3,FALSE),""))</f>
        <v/>
      </c>
      <c r="F410" s="40">
        <f t="shared" si="2"/>
        <v>1</v>
      </c>
      <c r="G410" s="40" t="str">
        <f>IF($C410="","",IFERROR(VLOOKUP($C410,Orders!$A$4:$J$998,4,FALSE),""))</f>
        <v/>
      </c>
      <c r="H410" s="40" t="str">
        <f>IF($C410="","",IFERROR(VLOOKUP($C410,Orders!$A$4:$J$998,5,FALSE),""))</f>
        <v/>
      </c>
      <c r="I410" s="40" t="str">
        <f>IF($C410="","",IFERROR(VLOOKUP($C410,Orders!$A$4:$J$998,6,FALSE),""))</f>
        <v/>
      </c>
      <c r="J410" s="40" t="str">
        <f>IF($C410="","",IFERROR(VLOOKUP($C410,Orders!$A$4:$J$998,7,FALSE),""))</f>
        <v/>
      </c>
      <c r="K410" s="40" t="str">
        <f>IF(Bids!$C409="","",Bids!$C409)</f>
        <v/>
      </c>
      <c r="L410" s="40" t="str">
        <f>IF($K410="","",IFERROR(VLOOKUP($K410,Grinders!$A$4:$N$998,2,FALSE),""))</f>
        <v/>
      </c>
      <c r="M410" s="40" t="str">
        <f>IF($K410="","",IFERROR(VLOOKUP($K410,Grinders!$A$4:$N$998,3,FALSE),""))</f>
        <v/>
      </c>
      <c r="N410" s="40" t="str">
        <f>IF($K410="","",IFERROR(VLOOKUP($K410,Grinders!$A$4:$N$998,4,FALSE),""))</f>
        <v/>
      </c>
      <c r="O410" s="40" t="str">
        <f>IF($K410="","",IFERROR(VLOOKUP($K410,Grinders!$A$4:$N$998,5,FALSE),""))</f>
        <v/>
      </c>
      <c r="P410" s="40" t="str">
        <f>IF($K410="","",IF($C$4="",0,COUNTIFS(Assignments!$B$6:$B$1000,$K410,Assignments!$F$6:$F$1000,$C$4,Assignments!$E$6:$E$1000,"Active")))</f>
        <v/>
      </c>
      <c r="Q410" s="40" t="str">
        <f t="shared" si="3"/>
        <v/>
      </c>
      <c r="R410" s="40" t="str">
        <f t="shared" si="4"/>
        <v/>
      </c>
      <c r="S410" s="40" t="str">
        <f>IF($K410="","",IF($C$4="",0,COUNTIFS(Assignments!$B$6:$B$1000,$K410,Assignments!$F$6:$F$1000,$C$4,Assignments!$D$6:$D$1000,"&gt;="&amp;Config!$B$3-7,Assignments!$D$6:$D$1000,"&lt;="&amp;Config!$B$3)))</f>
        <v/>
      </c>
      <c r="T410" s="40" t="str">
        <f>IF($K410="","",IFERROR(VLOOKUP($K410,Grinders!$A$4:$N$998,8,FALSE),""))</f>
        <v/>
      </c>
      <c r="U410" s="40" t="str">
        <f>IFERROR(IF($K410="","",IF($M410="Elite",MAX(50,MIN(100,Config!$B$27*MAX(0,MIN(100,(1-IF($R410="",0,$R410))*100)) + Config!$B$28*MAX(0,MIN(100,(1-MIN(1,IF(Config!$B$30=0,1,$S410/Config!$B$30)))*100)) + Config!$B$29*MAX(0,MIN(100,MIN(1,IF($T410="",0,$T410)/Config!$B$23)*100)))),MIN(100,Config!$B$27*MAX(0,MIN(100,(1-IF($R410="",0,$R410))*100)) + Config!$B$28*MAX(0,MIN(100,(1-MIN(1,IF(Config!$B$30=0,1,$S410/Config!$B$30)))*100)) + Config!$B$29*MAX(0,MIN(100,MIN(1,IF($T410="",0,$T410)/Config!$B$23)*100))))),"")
</f>
        <v/>
      </c>
      <c r="V410" s="40" t="str">
        <f>IF(Bids!$AC410="","",Bids!$AC410)</f>
        <v/>
      </c>
      <c r="W410" s="40" t="str">
        <f>IF(Bids!$F409="","",Bids!$F409)</f>
        <v/>
      </c>
      <c r="X410" s="40" t="str">
        <f t="shared" si="5"/>
        <v/>
      </c>
      <c r="Y410" s="40" t="str">
        <f>IF($X410="","",IF(Config!$B$17=Config!$B$16,IF($X410&gt;=Config!$B$17,100,0),MAX(0,MIN(100,($X410-Config!$B$16)/(Config!$B$17-Config!$B$16)*100))))</f>
        <v/>
      </c>
      <c r="Z410" s="40">
        <f>IF($M410="Elite",Config!$B$21,0)</f>
        <v>0</v>
      </c>
      <c r="AA410" s="40" t="str">
        <f>IFERROR(IF(OR($W410="",$H410=""),"",IF($W410&gt;$H410,
  MAX(0, 60-(($W410-$H410)*24/Config!$B$19)*60),
  MIN(100, 60+(($H410-$W410)*24/Config!$B$20)*40)
)),"")
</f>
        <v/>
      </c>
      <c r="AB410" s="40" t="str">
        <f>IF($K410="","",IFERROR(VLOOKUP($K410,Grinders!$A$4:$N$998,10,FALSE)/5*100,""))</f>
        <v/>
      </c>
      <c r="AC410" s="40" t="str">
        <f>IF($K410="","",IFERROR(VLOOKUP($K410,Grinders!$A$4:$N$998,11,FALSE)*100,""))</f>
        <v/>
      </c>
      <c r="AD410" s="40" t="str">
        <f>IF($K410="","",IFERROR(VLOOKUP($K410,Grinders!$A$4:$N$998,12,FALSE)*100,""))</f>
        <v/>
      </c>
      <c r="AE410" s="40" t="str">
        <f>IF(OR(AO410=1,AP410=1),0,=IFERROR(IFS(
    OR($C410="", $K410=""), 0,
    $F410=0, 0,
    $D410&lt;&gt;"Open", 0,
    COUNTIFS(GrinderServices!$A$6:$A$1000, $K410, GrinderServices!$B$6:$B$1000, $E410, GrinderServices!$D$6:$D$1000, "Y")=0, 0,
    $X410&lt;Config!$B$16, 0,
    Config!$B$18=1, IF($O410&gt;=N410, 0, 1),
    TRUE, 1
), "")
)</f>
        <v>#ERROR!</v>
      </c>
      <c r="AF410" s="40" t="str">
        <f>IFERROR((IF(OR(AO410=1,AP410=1),"",=IFERROR((IFERROR(IF($AE410=0,"",((Config!$B$6*$Y410 + Config!$B$7*$U410 + Config!$B$8*$Z410 + Config!$B$9*$AA410 + Config!$B$10*$AB410 + Config!$B$11*$AC410 - Config!$B$12*$AD410)/Config!$B$13)+$AK410+$AL410),""))*(1-IFERROR(VLOOKUP(K410,Grinders!$A:$AB, 28, FALSE),0)),"")))*(1+AR410),"")</f>
        <v>#ERROR!</v>
      </c>
      <c r="AG410" s="40" t="str">
        <f t="shared" si="6"/>
        <v>#ERROR!</v>
      </c>
      <c r="AH410" s="40" t="str">
        <f t="shared" si="7"/>
        <v/>
      </c>
      <c r="AI410" s="40" t="str">
        <f t="shared" si="8"/>
        <v/>
      </c>
      <c r="AJ410" s="40" t="str">
        <f>IF($K410="","",COUNTIF(Assignments!$B$6:$B$1000,$K410))</f>
        <v/>
      </c>
      <c r="AK410" s="40" t="str">
        <f>IF($K410="","",IF(AND($AJ410=0,$O410&lt;$N410),Config!$B$43,0))</f>
        <v/>
      </c>
      <c r="AL410" s="40" t="str">
        <f>IF($K410="","",IF(AND($M410="Elite",$G410&gt;=Config!$B$41,$O410&lt;$N410),Config!$B$42,0))</f>
        <v/>
      </c>
      <c r="AM410" s="22"/>
      <c r="AN410" s="39">
        <f>IFERROR(VLOOKUP(K410,Grinders!$A:$Q,28,FALSE),0)</f>
        <v>0</v>
      </c>
      <c r="AO410" s="39">
        <f>IF(Config!$B$1003&lt;&gt;"Y",0,IF(IFERROR(VLOOKUP(K410,Grinders!$A:$P,27,FALSE),0)&gt;=3,IF(OR(G410&gt;=Config!$B$1001,ISNUMBER(SEARCH(E410,Config!$B$1002))),1,0),0))</f>
        <v>0</v>
      </c>
      <c r="AP410" s="39">
        <f t="array" ref="AP410">IFERROR(IF(INDEX(Bids!$AE:$AE,MATCH(B410,Bids!$A:$A,0))="Pending",1,0),0)</f>
        <v>0</v>
      </c>
      <c r="AQ410" s="39" t="str">
        <f t="array" ref="AQ410">IF(C410="","",IFERROR(XLOOKUP(C410,Assignments!$C:$C,Assignments!$AU:$AU,0),0))</f>
        <v/>
      </c>
      <c r="AR410" s="39">
        <f>IF(AND(Config!$B$1006="Y",AQ410=1),Config!$B$1007,0)</f>
        <v>0</v>
      </c>
    </row>
    <row r="411" ht="15.75" customHeight="1">
      <c r="A411" s="46" t="str">
        <f t="shared" si="1"/>
        <v/>
      </c>
      <c r="B411" s="40" t="str">
        <f>IF(Bids!$A410="","",Bids!$A410)</f>
        <v/>
      </c>
      <c r="C411" s="40" t="str">
        <f>IF(Bids!$B410="","",Bids!$B410)</f>
        <v/>
      </c>
      <c r="D411" s="40" t="str">
        <f>IF($C411="","",IFERROR(VLOOKUP($C411,Orders!$A$4:$J$998,9,FALSE),""))</f>
        <v/>
      </c>
      <c r="E411" s="40" t="str">
        <f>IF($C411="","",IFERROR(VLOOKUP($C411,Orders!$A$4:$J$998,3,FALSE),""))</f>
        <v/>
      </c>
      <c r="F411" s="40">
        <f t="shared" si="2"/>
        <v>1</v>
      </c>
      <c r="G411" s="40" t="str">
        <f>IF($C411="","",IFERROR(VLOOKUP($C411,Orders!$A$4:$J$998,4,FALSE),""))</f>
        <v/>
      </c>
      <c r="H411" s="40" t="str">
        <f>IF($C411="","",IFERROR(VLOOKUP($C411,Orders!$A$4:$J$998,5,FALSE),""))</f>
        <v/>
      </c>
      <c r="I411" s="40" t="str">
        <f>IF($C411="","",IFERROR(VLOOKUP($C411,Orders!$A$4:$J$998,6,FALSE),""))</f>
        <v/>
      </c>
      <c r="J411" s="40" t="str">
        <f>IF($C411="","",IFERROR(VLOOKUP($C411,Orders!$A$4:$J$998,7,FALSE),""))</f>
        <v/>
      </c>
      <c r="K411" s="40" t="str">
        <f>IF(Bids!$C410="","",Bids!$C410)</f>
        <v/>
      </c>
      <c r="L411" s="40" t="str">
        <f>IF($K411="","",IFERROR(VLOOKUP($K411,Grinders!$A$4:$N$998,2,FALSE),""))</f>
        <v/>
      </c>
      <c r="M411" s="40" t="str">
        <f>IF($K411="","",IFERROR(VLOOKUP($K411,Grinders!$A$4:$N$998,3,FALSE),""))</f>
        <v/>
      </c>
      <c r="N411" s="40" t="str">
        <f>IF($K411="","",IFERROR(VLOOKUP($K411,Grinders!$A$4:$N$998,4,FALSE),""))</f>
        <v/>
      </c>
      <c r="O411" s="40" t="str">
        <f>IF($K411="","",IFERROR(VLOOKUP($K411,Grinders!$A$4:$N$998,5,FALSE),""))</f>
        <v/>
      </c>
      <c r="P411" s="40" t="str">
        <f>IF($K411="","",IF($C$4="",0,COUNTIFS(Assignments!$B$6:$B$1000,$K411,Assignments!$F$6:$F$1000,$C$4,Assignments!$E$6:$E$1000,"Active")))</f>
        <v/>
      </c>
      <c r="Q411" s="40" t="str">
        <f t="shared" si="3"/>
        <v/>
      </c>
      <c r="R411" s="40" t="str">
        <f t="shared" si="4"/>
        <v/>
      </c>
      <c r="S411" s="40" t="str">
        <f>IF($K411="","",IF($C$4="",0,COUNTIFS(Assignments!$B$6:$B$1000,$K411,Assignments!$F$6:$F$1000,$C$4,Assignments!$D$6:$D$1000,"&gt;="&amp;Config!$B$3-7,Assignments!$D$6:$D$1000,"&lt;="&amp;Config!$B$3)))</f>
        <v/>
      </c>
      <c r="T411" s="40" t="str">
        <f>IF($K411="","",IFERROR(VLOOKUP($K411,Grinders!$A$4:$N$998,8,FALSE),""))</f>
        <v/>
      </c>
      <c r="U411" s="40" t="str">
        <f>IFERROR(IF($K411="","",IF($M411="Elite",MAX(50,MIN(100,Config!$B$27*MAX(0,MIN(100,(1-IF($R411="",0,$R411))*100)) + Config!$B$28*MAX(0,MIN(100,(1-MIN(1,IF(Config!$B$30=0,1,$S411/Config!$B$30)))*100)) + Config!$B$29*MAX(0,MIN(100,MIN(1,IF($T411="",0,$T411)/Config!$B$23)*100)))),MIN(100,Config!$B$27*MAX(0,MIN(100,(1-IF($R411="",0,$R411))*100)) + Config!$B$28*MAX(0,MIN(100,(1-MIN(1,IF(Config!$B$30=0,1,$S411/Config!$B$30)))*100)) + Config!$B$29*MAX(0,MIN(100,MIN(1,IF($T411="",0,$T411)/Config!$B$23)*100))))),"")
</f>
        <v/>
      </c>
      <c r="V411" s="40" t="str">
        <f>IF(Bids!$AC411="","",Bids!$AC411)</f>
        <v/>
      </c>
      <c r="W411" s="40" t="str">
        <f>IF(Bids!$F410="","",Bids!$F410)</f>
        <v/>
      </c>
      <c r="X411" s="40" t="str">
        <f t="shared" si="5"/>
        <v/>
      </c>
      <c r="Y411" s="40" t="str">
        <f>IF($X411="","",IF(Config!$B$17=Config!$B$16,IF($X411&gt;=Config!$B$17,100,0),MAX(0,MIN(100,($X411-Config!$B$16)/(Config!$B$17-Config!$B$16)*100))))</f>
        <v/>
      </c>
      <c r="Z411" s="40">
        <f>IF($M411="Elite",Config!$B$21,0)</f>
        <v>0</v>
      </c>
      <c r="AA411" s="40" t="str">
        <f>IFERROR(IF(OR($W411="",$H411=""),"",IF($W411&gt;$H411,
  MAX(0, 60-(($W411-$H411)*24/Config!$B$19)*60),
  MIN(100, 60+(($H411-$W411)*24/Config!$B$20)*40)
)),"")
</f>
        <v/>
      </c>
      <c r="AB411" s="40" t="str">
        <f>IF($K411="","",IFERROR(VLOOKUP($K411,Grinders!$A$4:$N$998,10,FALSE)/5*100,""))</f>
        <v/>
      </c>
      <c r="AC411" s="40" t="str">
        <f>IF($K411="","",IFERROR(VLOOKUP($K411,Grinders!$A$4:$N$998,11,FALSE)*100,""))</f>
        <v/>
      </c>
      <c r="AD411" s="40" t="str">
        <f>IF($K411="","",IFERROR(VLOOKUP($K411,Grinders!$A$4:$N$998,12,FALSE)*100,""))</f>
        <v/>
      </c>
      <c r="AE411" s="40" t="str">
        <f>IF(OR(AO411=1,AP411=1),0,=IFERROR(IFS(
    OR($C411="", $K411=""), 0,
    $F411=0, 0,
    $D411&lt;&gt;"Open", 0,
    COUNTIFS(GrinderServices!$A$6:$A$1000, $K411, GrinderServices!$B$6:$B$1000, $E411, GrinderServices!$D$6:$D$1000, "Y")=0, 0,
    $X411&lt;Config!$B$16, 0,
    Config!$B$18=1, IF($O411&gt;=N411, 0, 1),
    TRUE, 1
), "")
)</f>
        <v>#ERROR!</v>
      </c>
      <c r="AF411" s="40" t="str">
        <f>IFERROR((IF(OR(AO411=1,AP411=1),"",=IFERROR((IFERROR(IF($AE411=0,"",((Config!$B$6*$Y411 + Config!$B$7*$U411 + Config!$B$8*$Z411 + Config!$B$9*$AA411 + Config!$B$10*$AB411 + Config!$B$11*$AC411 - Config!$B$12*$AD411)/Config!$B$13)+$AK411+$AL411),""))*(1-IFERROR(VLOOKUP(K411,Grinders!$A:$AB, 28, FALSE),0)),"")))*(1+AR411),"")</f>
        <v>#ERROR!</v>
      </c>
      <c r="AG411" s="40" t="str">
        <f t="shared" si="6"/>
        <v>#ERROR!</v>
      </c>
      <c r="AH411" s="40" t="str">
        <f t="shared" si="7"/>
        <v/>
      </c>
      <c r="AI411" s="40" t="str">
        <f t="shared" si="8"/>
        <v/>
      </c>
      <c r="AJ411" s="40" t="str">
        <f>IF($K411="","",COUNTIF(Assignments!$B$6:$B$1000,$K411))</f>
        <v/>
      </c>
      <c r="AK411" s="40" t="str">
        <f>IF($K411="","",IF(AND($AJ411=0,$O411&lt;$N411),Config!$B$43,0))</f>
        <v/>
      </c>
      <c r="AL411" s="40" t="str">
        <f>IF($K411="","",IF(AND($M411="Elite",$G411&gt;=Config!$B$41,$O411&lt;$N411),Config!$B$42,0))</f>
        <v/>
      </c>
      <c r="AM411" s="22"/>
      <c r="AN411" s="39">
        <f>IFERROR(VLOOKUP(K411,Grinders!$A:$Q,28,FALSE),0)</f>
        <v>0</v>
      </c>
      <c r="AO411" s="39">
        <f>IF(Config!$B$1003&lt;&gt;"Y",0,IF(IFERROR(VLOOKUP(K411,Grinders!$A:$P,27,FALSE),0)&gt;=3,IF(OR(G411&gt;=Config!$B$1001,ISNUMBER(SEARCH(E411,Config!$B$1002))),1,0),0))</f>
        <v>0</v>
      </c>
      <c r="AP411" s="39">
        <f t="array" ref="AP411">IFERROR(IF(INDEX(Bids!$AE:$AE,MATCH(B411,Bids!$A:$A,0))="Pending",1,0),0)</f>
        <v>0</v>
      </c>
      <c r="AQ411" s="39" t="str">
        <f t="array" ref="AQ411">IF(C411="","",IFERROR(XLOOKUP(C411,Assignments!$C:$C,Assignments!$AU:$AU,0),0))</f>
        <v/>
      </c>
      <c r="AR411" s="39">
        <f>IF(AND(Config!$B$1006="Y",AQ411=1),Config!$B$1007,0)</f>
        <v>0</v>
      </c>
    </row>
    <row r="412" ht="15.75" customHeight="1">
      <c r="A412" s="46" t="str">
        <f t="shared" si="1"/>
        <v/>
      </c>
      <c r="B412" s="40" t="str">
        <f>IF(Bids!$A411="","",Bids!$A411)</f>
        <v/>
      </c>
      <c r="C412" s="40" t="str">
        <f>IF(Bids!$B411="","",Bids!$B411)</f>
        <v/>
      </c>
      <c r="D412" s="40" t="str">
        <f>IF($C412="","",IFERROR(VLOOKUP($C412,Orders!$A$4:$J$998,9,FALSE),""))</f>
        <v/>
      </c>
      <c r="E412" s="40" t="str">
        <f>IF($C412="","",IFERROR(VLOOKUP($C412,Orders!$A$4:$J$998,3,FALSE),""))</f>
        <v/>
      </c>
      <c r="F412" s="40">
        <f t="shared" si="2"/>
        <v>1</v>
      </c>
      <c r="G412" s="40" t="str">
        <f>IF($C412="","",IFERROR(VLOOKUP($C412,Orders!$A$4:$J$998,4,FALSE),""))</f>
        <v/>
      </c>
      <c r="H412" s="40" t="str">
        <f>IF($C412="","",IFERROR(VLOOKUP($C412,Orders!$A$4:$J$998,5,FALSE),""))</f>
        <v/>
      </c>
      <c r="I412" s="40" t="str">
        <f>IF($C412="","",IFERROR(VLOOKUP($C412,Orders!$A$4:$J$998,6,FALSE),""))</f>
        <v/>
      </c>
      <c r="J412" s="40" t="str">
        <f>IF($C412="","",IFERROR(VLOOKUP($C412,Orders!$A$4:$J$998,7,FALSE),""))</f>
        <v/>
      </c>
      <c r="K412" s="40" t="str">
        <f>IF(Bids!$C411="","",Bids!$C411)</f>
        <v/>
      </c>
      <c r="L412" s="40" t="str">
        <f>IF($K412="","",IFERROR(VLOOKUP($K412,Grinders!$A$4:$N$998,2,FALSE),""))</f>
        <v/>
      </c>
      <c r="M412" s="40" t="str">
        <f>IF($K412="","",IFERROR(VLOOKUP($K412,Grinders!$A$4:$N$998,3,FALSE),""))</f>
        <v/>
      </c>
      <c r="N412" s="40" t="str">
        <f>IF($K412="","",IFERROR(VLOOKUP($K412,Grinders!$A$4:$N$998,4,FALSE),""))</f>
        <v/>
      </c>
      <c r="O412" s="40" t="str">
        <f>IF($K412="","",IFERROR(VLOOKUP($K412,Grinders!$A$4:$N$998,5,FALSE),""))</f>
        <v/>
      </c>
      <c r="P412" s="40" t="str">
        <f>IF($K412="","",IF($C$4="",0,COUNTIFS(Assignments!$B$6:$B$1000,$K412,Assignments!$F$6:$F$1000,$C$4,Assignments!$E$6:$E$1000,"Active")))</f>
        <v/>
      </c>
      <c r="Q412" s="40" t="str">
        <f t="shared" si="3"/>
        <v/>
      </c>
      <c r="R412" s="40" t="str">
        <f t="shared" si="4"/>
        <v/>
      </c>
      <c r="S412" s="40" t="str">
        <f>IF($K412="","",IF($C$4="",0,COUNTIFS(Assignments!$B$6:$B$1000,$K412,Assignments!$F$6:$F$1000,$C$4,Assignments!$D$6:$D$1000,"&gt;="&amp;Config!$B$3-7,Assignments!$D$6:$D$1000,"&lt;="&amp;Config!$B$3)))</f>
        <v/>
      </c>
      <c r="T412" s="40" t="str">
        <f>IF($K412="","",IFERROR(VLOOKUP($K412,Grinders!$A$4:$N$998,8,FALSE),""))</f>
        <v/>
      </c>
      <c r="U412" s="40" t="str">
        <f>IFERROR(IF($K412="","",IF($M412="Elite",MAX(50,MIN(100,Config!$B$27*MAX(0,MIN(100,(1-IF($R412="",0,$R412))*100)) + Config!$B$28*MAX(0,MIN(100,(1-MIN(1,IF(Config!$B$30=0,1,$S412/Config!$B$30)))*100)) + Config!$B$29*MAX(0,MIN(100,MIN(1,IF($T412="",0,$T412)/Config!$B$23)*100)))),MIN(100,Config!$B$27*MAX(0,MIN(100,(1-IF($R412="",0,$R412))*100)) + Config!$B$28*MAX(0,MIN(100,(1-MIN(1,IF(Config!$B$30=0,1,$S412/Config!$B$30)))*100)) + Config!$B$29*MAX(0,MIN(100,MIN(1,IF($T412="",0,$T412)/Config!$B$23)*100))))),"")
</f>
        <v/>
      </c>
      <c r="V412" s="40" t="str">
        <f>IF(Bids!$AC412="","",Bids!$AC412)</f>
        <v/>
      </c>
      <c r="W412" s="40" t="str">
        <f>IF(Bids!$F411="","",Bids!$F411)</f>
        <v/>
      </c>
      <c r="X412" s="40" t="str">
        <f t="shared" si="5"/>
        <v/>
      </c>
      <c r="Y412" s="40" t="str">
        <f>IF($X412="","",IF(Config!$B$17=Config!$B$16,IF($X412&gt;=Config!$B$17,100,0),MAX(0,MIN(100,($X412-Config!$B$16)/(Config!$B$17-Config!$B$16)*100))))</f>
        <v/>
      </c>
      <c r="Z412" s="40">
        <f>IF($M412="Elite",Config!$B$21,0)</f>
        <v>0</v>
      </c>
      <c r="AA412" s="40" t="str">
        <f>IFERROR(IF(OR($W412="",$H412=""),"",IF($W412&gt;$H412,
  MAX(0, 60-(($W412-$H412)*24/Config!$B$19)*60),
  MIN(100, 60+(($H412-$W412)*24/Config!$B$20)*40)
)),"")
</f>
        <v/>
      </c>
      <c r="AB412" s="40" t="str">
        <f>IF($K412="","",IFERROR(VLOOKUP($K412,Grinders!$A$4:$N$998,10,FALSE)/5*100,""))</f>
        <v/>
      </c>
      <c r="AC412" s="40" t="str">
        <f>IF($K412="","",IFERROR(VLOOKUP($K412,Grinders!$A$4:$N$998,11,FALSE)*100,""))</f>
        <v/>
      </c>
      <c r="AD412" s="40" t="str">
        <f>IF($K412="","",IFERROR(VLOOKUP($K412,Grinders!$A$4:$N$998,12,FALSE)*100,""))</f>
        <v/>
      </c>
      <c r="AE412" s="40" t="str">
        <f>IF(OR(AO412=1,AP412=1),0,=IFERROR(IFS(
    OR($C412="", $K412=""), 0,
    $F412=0, 0,
    $D412&lt;&gt;"Open", 0,
    COUNTIFS(GrinderServices!$A$6:$A$1000, $K412, GrinderServices!$B$6:$B$1000, $E412, GrinderServices!$D$6:$D$1000, "Y")=0, 0,
    $X412&lt;Config!$B$16, 0,
    Config!$B$18=1, IF($O412&gt;=N412, 0, 1),
    TRUE, 1
), "")
)</f>
        <v>#ERROR!</v>
      </c>
      <c r="AF412" s="40" t="str">
        <f>IFERROR((IF(OR(AO412=1,AP412=1),"",=IFERROR((IFERROR(IF($AE412=0,"",((Config!$B$6*$Y412 + Config!$B$7*$U412 + Config!$B$8*$Z412 + Config!$B$9*$AA412 + Config!$B$10*$AB412 + Config!$B$11*$AC412 - Config!$B$12*$AD412)/Config!$B$13)+$AK412+$AL412),""))*(1-IFERROR(VLOOKUP(K412,Grinders!$A:$AB, 28, FALSE),0)),"")))*(1+AR412),"")</f>
        <v>#ERROR!</v>
      </c>
      <c r="AG412" s="40" t="str">
        <f t="shared" si="6"/>
        <v>#ERROR!</v>
      </c>
      <c r="AH412" s="40" t="str">
        <f t="shared" si="7"/>
        <v/>
      </c>
      <c r="AI412" s="40" t="str">
        <f t="shared" si="8"/>
        <v/>
      </c>
      <c r="AJ412" s="40" t="str">
        <f>IF($K412="","",COUNTIF(Assignments!$B$6:$B$1000,$K412))</f>
        <v/>
      </c>
      <c r="AK412" s="40" t="str">
        <f>IF($K412="","",IF(AND($AJ412=0,$O412&lt;$N412),Config!$B$43,0))</f>
        <v/>
      </c>
      <c r="AL412" s="40" t="str">
        <f>IF($K412="","",IF(AND($M412="Elite",$G412&gt;=Config!$B$41,$O412&lt;$N412),Config!$B$42,0))</f>
        <v/>
      </c>
      <c r="AM412" s="22"/>
      <c r="AN412" s="39">
        <f>IFERROR(VLOOKUP(K412,Grinders!$A:$Q,28,FALSE),0)</f>
        <v>0</v>
      </c>
      <c r="AO412" s="39">
        <f>IF(Config!$B$1003&lt;&gt;"Y",0,IF(IFERROR(VLOOKUP(K412,Grinders!$A:$P,27,FALSE),0)&gt;=3,IF(OR(G412&gt;=Config!$B$1001,ISNUMBER(SEARCH(E412,Config!$B$1002))),1,0),0))</f>
        <v>0</v>
      </c>
      <c r="AP412" s="39">
        <f t="array" ref="AP412">IFERROR(IF(INDEX(Bids!$AE:$AE,MATCH(B412,Bids!$A:$A,0))="Pending",1,0),0)</f>
        <v>0</v>
      </c>
      <c r="AQ412" s="39" t="str">
        <f t="array" ref="AQ412">IF(C412="","",IFERROR(XLOOKUP(C412,Assignments!$C:$C,Assignments!$AU:$AU,0),0))</f>
        <v/>
      </c>
      <c r="AR412" s="39">
        <f>IF(AND(Config!$B$1006="Y",AQ412=1),Config!$B$1007,0)</f>
        <v>0</v>
      </c>
    </row>
    <row r="413" ht="15.75" customHeight="1">
      <c r="A413" s="46" t="str">
        <f t="shared" si="1"/>
        <v/>
      </c>
      <c r="B413" s="40" t="str">
        <f>IF(Bids!$A412="","",Bids!$A412)</f>
        <v/>
      </c>
      <c r="C413" s="40" t="str">
        <f>IF(Bids!$B412="","",Bids!$B412)</f>
        <v/>
      </c>
      <c r="D413" s="40" t="str">
        <f>IF($C413="","",IFERROR(VLOOKUP($C413,Orders!$A$4:$J$998,9,FALSE),""))</f>
        <v/>
      </c>
      <c r="E413" s="40" t="str">
        <f>IF($C413="","",IFERROR(VLOOKUP($C413,Orders!$A$4:$J$998,3,FALSE),""))</f>
        <v/>
      </c>
      <c r="F413" s="40">
        <f t="shared" si="2"/>
        <v>1</v>
      </c>
      <c r="G413" s="40" t="str">
        <f>IF($C413="","",IFERROR(VLOOKUP($C413,Orders!$A$4:$J$998,4,FALSE),""))</f>
        <v/>
      </c>
      <c r="H413" s="40" t="str">
        <f>IF($C413="","",IFERROR(VLOOKUP($C413,Orders!$A$4:$J$998,5,FALSE),""))</f>
        <v/>
      </c>
      <c r="I413" s="40" t="str">
        <f>IF($C413="","",IFERROR(VLOOKUP($C413,Orders!$A$4:$J$998,6,FALSE),""))</f>
        <v/>
      </c>
      <c r="J413" s="40" t="str">
        <f>IF($C413="","",IFERROR(VLOOKUP($C413,Orders!$A$4:$J$998,7,FALSE),""))</f>
        <v/>
      </c>
      <c r="K413" s="40" t="str">
        <f>IF(Bids!$C412="","",Bids!$C412)</f>
        <v/>
      </c>
      <c r="L413" s="40" t="str">
        <f>IF($K413="","",IFERROR(VLOOKUP($K413,Grinders!$A$4:$N$998,2,FALSE),""))</f>
        <v/>
      </c>
      <c r="M413" s="40" t="str">
        <f>IF($K413="","",IFERROR(VLOOKUP($K413,Grinders!$A$4:$N$998,3,FALSE),""))</f>
        <v/>
      </c>
      <c r="N413" s="40" t="str">
        <f>IF($K413="","",IFERROR(VLOOKUP($K413,Grinders!$A$4:$N$998,4,FALSE),""))</f>
        <v/>
      </c>
      <c r="O413" s="40" t="str">
        <f>IF($K413="","",IFERROR(VLOOKUP($K413,Grinders!$A$4:$N$998,5,FALSE),""))</f>
        <v/>
      </c>
      <c r="P413" s="40" t="str">
        <f>IF($K413="","",IF($C$4="",0,COUNTIFS(Assignments!$B$6:$B$1000,$K413,Assignments!$F$6:$F$1000,$C$4,Assignments!$E$6:$E$1000,"Active")))</f>
        <v/>
      </c>
      <c r="Q413" s="40" t="str">
        <f t="shared" si="3"/>
        <v/>
      </c>
      <c r="R413" s="40" t="str">
        <f t="shared" si="4"/>
        <v/>
      </c>
      <c r="S413" s="40" t="str">
        <f>IF($K413="","",IF($C$4="",0,COUNTIFS(Assignments!$B$6:$B$1000,$K413,Assignments!$F$6:$F$1000,$C$4,Assignments!$D$6:$D$1000,"&gt;="&amp;Config!$B$3-7,Assignments!$D$6:$D$1000,"&lt;="&amp;Config!$B$3)))</f>
        <v/>
      </c>
      <c r="T413" s="40" t="str">
        <f>IF($K413="","",IFERROR(VLOOKUP($K413,Grinders!$A$4:$N$998,8,FALSE),""))</f>
        <v/>
      </c>
      <c r="U413" s="40" t="str">
        <f>IFERROR(IF($K413="","",IF($M413="Elite",MAX(50,MIN(100,Config!$B$27*MAX(0,MIN(100,(1-IF($R413="",0,$R413))*100)) + Config!$B$28*MAX(0,MIN(100,(1-MIN(1,IF(Config!$B$30=0,1,$S413/Config!$B$30)))*100)) + Config!$B$29*MAX(0,MIN(100,MIN(1,IF($T413="",0,$T413)/Config!$B$23)*100)))),MIN(100,Config!$B$27*MAX(0,MIN(100,(1-IF($R413="",0,$R413))*100)) + Config!$B$28*MAX(0,MIN(100,(1-MIN(1,IF(Config!$B$30=0,1,$S413/Config!$B$30)))*100)) + Config!$B$29*MAX(0,MIN(100,MIN(1,IF($T413="",0,$T413)/Config!$B$23)*100))))),"")
</f>
        <v/>
      </c>
      <c r="V413" s="40" t="str">
        <f>IF(Bids!$AC413="","",Bids!$AC413)</f>
        <v/>
      </c>
      <c r="W413" s="40" t="str">
        <f>IF(Bids!$F412="","",Bids!$F412)</f>
        <v/>
      </c>
      <c r="X413" s="40" t="str">
        <f t="shared" si="5"/>
        <v/>
      </c>
      <c r="Y413" s="40" t="str">
        <f>IF($X413="","",IF(Config!$B$17=Config!$B$16,IF($X413&gt;=Config!$B$17,100,0),MAX(0,MIN(100,($X413-Config!$B$16)/(Config!$B$17-Config!$B$16)*100))))</f>
        <v/>
      </c>
      <c r="Z413" s="40">
        <f>IF($M413="Elite",Config!$B$21,0)</f>
        <v>0</v>
      </c>
      <c r="AA413" s="40" t="str">
        <f>IFERROR(IF(OR($W413="",$H413=""),"",IF($W413&gt;$H413,
  MAX(0, 60-(($W413-$H413)*24/Config!$B$19)*60),
  MIN(100, 60+(($H413-$W413)*24/Config!$B$20)*40)
)),"")
</f>
        <v/>
      </c>
      <c r="AB413" s="40" t="str">
        <f>IF($K413="","",IFERROR(VLOOKUP($K413,Grinders!$A$4:$N$998,10,FALSE)/5*100,""))</f>
        <v/>
      </c>
      <c r="AC413" s="40" t="str">
        <f>IF($K413="","",IFERROR(VLOOKUP($K413,Grinders!$A$4:$N$998,11,FALSE)*100,""))</f>
        <v/>
      </c>
      <c r="AD413" s="40" t="str">
        <f>IF($K413="","",IFERROR(VLOOKUP($K413,Grinders!$A$4:$N$998,12,FALSE)*100,""))</f>
        <v/>
      </c>
      <c r="AE413" s="40" t="str">
        <f>IF(OR(AO413=1,AP413=1),0,=IFERROR(IFS(
    OR($C413="", $K413=""), 0,
    $F413=0, 0,
    $D413&lt;&gt;"Open", 0,
    COUNTIFS(GrinderServices!$A$6:$A$1000, $K413, GrinderServices!$B$6:$B$1000, $E413, GrinderServices!$D$6:$D$1000, "Y")=0, 0,
    $X413&lt;Config!$B$16, 0,
    Config!$B$18=1, IF($O413&gt;=N413, 0, 1),
    TRUE, 1
), "")
)</f>
        <v>#ERROR!</v>
      </c>
      <c r="AF413" s="40" t="str">
        <f>IFERROR((IF(OR(AO413=1,AP413=1),"",=IFERROR((IFERROR(IF($AE413=0,"",((Config!$B$6*$Y413 + Config!$B$7*$U413 + Config!$B$8*$Z413 + Config!$B$9*$AA413 + Config!$B$10*$AB413 + Config!$B$11*$AC413 - Config!$B$12*$AD413)/Config!$B$13)+$AK413+$AL413),""))*(1-IFERROR(VLOOKUP(K413,Grinders!$A:$AB, 28, FALSE),0)),"")))*(1+AR413),"")</f>
        <v>#ERROR!</v>
      </c>
      <c r="AG413" s="40" t="str">
        <f t="shared" si="6"/>
        <v>#ERROR!</v>
      </c>
      <c r="AH413" s="40" t="str">
        <f t="shared" si="7"/>
        <v/>
      </c>
      <c r="AI413" s="40" t="str">
        <f t="shared" si="8"/>
        <v/>
      </c>
      <c r="AJ413" s="40" t="str">
        <f>IF($K413="","",COUNTIF(Assignments!$B$6:$B$1000,$K413))</f>
        <v/>
      </c>
      <c r="AK413" s="40" t="str">
        <f>IF($K413="","",IF(AND($AJ413=0,$O413&lt;$N413),Config!$B$43,0))</f>
        <v/>
      </c>
      <c r="AL413" s="40" t="str">
        <f>IF($K413="","",IF(AND($M413="Elite",$G413&gt;=Config!$B$41,$O413&lt;$N413),Config!$B$42,0))</f>
        <v/>
      </c>
      <c r="AM413" s="22"/>
      <c r="AN413" s="39">
        <f>IFERROR(VLOOKUP(K413,Grinders!$A:$Q,28,FALSE),0)</f>
        <v>0</v>
      </c>
      <c r="AO413" s="39">
        <f>IF(Config!$B$1003&lt;&gt;"Y",0,IF(IFERROR(VLOOKUP(K413,Grinders!$A:$P,27,FALSE),0)&gt;=3,IF(OR(G413&gt;=Config!$B$1001,ISNUMBER(SEARCH(E413,Config!$B$1002))),1,0),0))</f>
        <v>0</v>
      </c>
      <c r="AP413" s="39">
        <f t="array" ref="AP413">IFERROR(IF(INDEX(Bids!$AE:$AE,MATCH(B413,Bids!$A:$A,0))="Pending",1,0),0)</f>
        <v>0</v>
      </c>
      <c r="AQ413" s="39" t="str">
        <f t="array" ref="AQ413">IF(C413="","",IFERROR(XLOOKUP(C413,Assignments!$C:$C,Assignments!$AU:$AU,0),0))</f>
        <v/>
      </c>
      <c r="AR413" s="39">
        <f>IF(AND(Config!$B$1006="Y",AQ413=1),Config!$B$1007,0)</f>
        <v>0</v>
      </c>
    </row>
    <row r="414" ht="15.75" customHeight="1">
      <c r="A414" s="46" t="str">
        <f t="shared" si="1"/>
        <v/>
      </c>
      <c r="B414" s="40" t="str">
        <f>IF(Bids!$A413="","",Bids!$A413)</f>
        <v/>
      </c>
      <c r="C414" s="40" t="str">
        <f>IF(Bids!$B413="","",Bids!$B413)</f>
        <v/>
      </c>
      <c r="D414" s="40" t="str">
        <f>IF($C414="","",IFERROR(VLOOKUP($C414,Orders!$A$4:$J$998,9,FALSE),""))</f>
        <v/>
      </c>
      <c r="E414" s="40" t="str">
        <f>IF($C414="","",IFERROR(VLOOKUP($C414,Orders!$A$4:$J$998,3,FALSE),""))</f>
        <v/>
      </c>
      <c r="F414" s="40">
        <f t="shared" si="2"/>
        <v>1</v>
      </c>
      <c r="G414" s="40" t="str">
        <f>IF($C414="","",IFERROR(VLOOKUP($C414,Orders!$A$4:$J$998,4,FALSE),""))</f>
        <v/>
      </c>
      <c r="H414" s="40" t="str">
        <f>IF($C414="","",IFERROR(VLOOKUP($C414,Orders!$A$4:$J$998,5,FALSE),""))</f>
        <v/>
      </c>
      <c r="I414" s="40" t="str">
        <f>IF($C414="","",IFERROR(VLOOKUP($C414,Orders!$A$4:$J$998,6,FALSE),""))</f>
        <v/>
      </c>
      <c r="J414" s="40" t="str">
        <f>IF($C414="","",IFERROR(VLOOKUP($C414,Orders!$A$4:$J$998,7,FALSE),""))</f>
        <v/>
      </c>
      <c r="K414" s="40" t="str">
        <f>IF(Bids!$C413="","",Bids!$C413)</f>
        <v/>
      </c>
      <c r="L414" s="40" t="str">
        <f>IF($K414="","",IFERROR(VLOOKUP($K414,Grinders!$A$4:$N$998,2,FALSE),""))</f>
        <v/>
      </c>
      <c r="M414" s="40" t="str">
        <f>IF($K414="","",IFERROR(VLOOKUP($K414,Grinders!$A$4:$N$998,3,FALSE),""))</f>
        <v/>
      </c>
      <c r="N414" s="40" t="str">
        <f>IF($K414="","",IFERROR(VLOOKUP($K414,Grinders!$A$4:$N$998,4,FALSE),""))</f>
        <v/>
      </c>
      <c r="O414" s="40" t="str">
        <f>IF($K414="","",IFERROR(VLOOKUP($K414,Grinders!$A$4:$N$998,5,FALSE),""))</f>
        <v/>
      </c>
      <c r="P414" s="40" t="str">
        <f>IF($K414="","",IF($C$4="",0,COUNTIFS(Assignments!$B$6:$B$1000,$K414,Assignments!$F$6:$F$1000,$C$4,Assignments!$E$6:$E$1000,"Active")))</f>
        <v/>
      </c>
      <c r="Q414" s="40" t="str">
        <f t="shared" si="3"/>
        <v/>
      </c>
      <c r="R414" s="40" t="str">
        <f t="shared" si="4"/>
        <v/>
      </c>
      <c r="S414" s="40" t="str">
        <f>IF($K414="","",IF($C$4="",0,COUNTIFS(Assignments!$B$6:$B$1000,$K414,Assignments!$F$6:$F$1000,$C$4,Assignments!$D$6:$D$1000,"&gt;="&amp;Config!$B$3-7,Assignments!$D$6:$D$1000,"&lt;="&amp;Config!$B$3)))</f>
        <v/>
      </c>
      <c r="T414" s="40" t="str">
        <f>IF($K414="","",IFERROR(VLOOKUP($K414,Grinders!$A$4:$N$998,8,FALSE),""))</f>
        <v/>
      </c>
      <c r="U414" s="40" t="str">
        <f>IFERROR(IF($K414="","",IF($M414="Elite",MAX(50,MIN(100,Config!$B$27*MAX(0,MIN(100,(1-IF($R414="",0,$R414))*100)) + Config!$B$28*MAX(0,MIN(100,(1-MIN(1,IF(Config!$B$30=0,1,$S414/Config!$B$30)))*100)) + Config!$B$29*MAX(0,MIN(100,MIN(1,IF($T414="",0,$T414)/Config!$B$23)*100)))),MIN(100,Config!$B$27*MAX(0,MIN(100,(1-IF($R414="",0,$R414))*100)) + Config!$B$28*MAX(0,MIN(100,(1-MIN(1,IF(Config!$B$30=0,1,$S414/Config!$B$30)))*100)) + Config!$B$29*MAX(0,MIN(100,MIN(1,IF($T414="",0,$T414)/Config!$B$23)*100))))),"")
</f>
        <v/>
      </c>
      <c r="V414" s="40" t="str">
        <f>IF(Bids!$AC414="","",Bids!$AC414)</f>
        <v/>
      </c>
      <c r="W414" s="40" t="str">
        <f>IF(Bids!$F413="","",Bids!$F413)</f>
        <v/>
      </c>
      <c r="X414" s="40" t="str">
        <f t="shared" si="5"/>
        <v/>
      </c>
      <c r="Y414" s="40" t="str">
        <f>IF($X414="","",IF(Config!$B$17=Config!$B$16,IF($X414&gt;=Config!$B$17,100,0),MAX(0,MIN(100,($X414-Config!$B$16)/(Config!$B$17-Config!$B$16)*100))))</f>
        <v/>
      </c>
      <c r="Z414" s="40">
        <f>IF($M414="Elite",Config!$B$21,0)</f>
        <v>0</v>
      </c>
      <c r="AA414" s="40" t="str">
        <f>IFERROR(IF(OR($W414="",$H414=""),"",IF($W414&gt;$H414,
  MAX(0, 60-(($W414-$H414)*24/Config!$B$19)*60),
  MIN(100, 60+(($H414-$W414)*24/Config!$B$20)*40)
)),"")
</f>
        <v/>
      </c>
      <c r="AB414" s="40" t="str">
        <f>IF($K414="","",IFERROR(VLOOKUP($K414,Grinders!$A$4:$N$998,10,FALSE)/5*100,""))</f>
        <v/>
      </c>
      <c r="AC414" s="40" t="str">
        <f>IF($K414="","",IFERROR(VLOOKUP($K414,Grinders!$A$4:$N$998,11,FALSE)*100,""))</f>
        <v/>
      </c>
      <c r="AD414" s="40" t="str">
        <f>IF($K414="","",IFERROR(VLOOKUP($K414,Grinders!$A$4:$N$998,12,FALSE)*100,""))</f>
        <v/>
      </c>
      <c r="AE414" s="40" t="str">
        <f>IF(OR(AO414=1,AP414=1),0,=IFERROR(IFS(
    OR($C414="", $K414=""), 0,
    $F414=0, 0,
    $D414&lt;&gt;"Open", 0,
    COUNTIFS(GrinderServices!$A$6:$A$1000, $K414, GrinderServices!$B$6:$B$1000, $E414, GrinderServices!$D$6:$D$1000, "Y")=0, 0,
    $X414&lt;Config!$B$16, 0,
    Config!$B$18=1, IF($O414&gt;=N414, 0, 1),
    TRUE, 1
), "")
)</f>
        <v>#ERROR!</v>
      </c>
      <c r="AF414" s="40" t="str">
        <f>IFERROR((IF(OR(AO414=1,AP414=1),"",=IFERROR((IFERROR(IF($AE414=0,"",((Config!$B$6*$Y414 + Config!$B$7*$U414 + Config!$B$8*$Z414 + Config!$B$9*$AA414 + Config!$B$10*$AB414 + Config!$B$11*$AC414 - Config!$B$12*$AD414)/Config!$B$13)+$AK414+$AL414),""))*(1-IFERROR(VLOOKUP(K414,Grinders!$A:$AB, 28, FALSE),0)),"")))*(1+AR414),"")</f>
        <v>#ERROR!</v>
      </c>
      <c r="AG414" s="40" t="str">
        <f t="shared" si="6"/>
        <v>#ERROR!</v>
      </c>
      <c r="AH414" s="40" t="str">
        <f t="shared" si="7"/>
        <v/>
      </c>
      <c r="AI414" s="40" t="str">
        <f t="shared" si="8"/>
        <v/>
      </c>
      <c r="AJ414" s="40" t="str">
        <f>IF($K414="","",COUNTIF(Assignments!$B$6:$B$1000,$K414))</f>
        <v/>
      </c>
      <c r="AK414" s="40" t="str">
        <f>IF($K414="","",IF(AND($AJ414=0,$O414&lt;$N414),Config!$B$43,0))</f>
        <v/>
      </c>
      <c r="AL414" s="40" t="str">
        <f>IF($K414="","",IF(AND($M414="Elite",$G414&gt;=Config!$B$41,$O414&lt;$N414),Config!$B$42,0))</f>
        <v/>
      </c>
      <c r="AM414" s="22"/>
      <c r="AN414" s="39">
        <f>IFERROR(VLOOKUP(K414,Grinders!$A:$Q,28,FALSE),0)</f>
        <v>0</v>
      </c>
      <c r="AO414" s="39">
        <f>IF(Config!$B$1003&lt;&gt;"Y",0,IF(IFERROR(VLOOKUP(K414,Grinders!$A:$P,27,FALSE),0)&gt;=3,IF(OR(G414&gt;=Config!$B$1001,ISNUMBER(SEARCH(E414,Config!$B$1002))),1,0),0))</f>
        <v>0</v>
      </c>
      <c r="AP414" s="39">
        <f t="array" ref="AP414">IFERROR(IF(INDEX(Bids!$AE:$AE,MATCH(B414,Bids!$A:$A,0))="Pending",1,0),0)</f>
        <v>0</v>
      </c>
      <c r="AQ414" s="39" t="str">
        <f t="array" ref="AQ414">IF(C414="","",IFERROR(XLOOKUP(C414,Assignments!$C:$C,Assignments!$AU:$AU,0),0))</f>
        <v/>
      </c>
      <c r="AR414" s="39">
        <f>IF(AND(Config!$B$1006="Y",AQ414=1),Config!$B$1007,0)</f>
        <v>0</v>
      </c>
    </row>
    <row r="415" ht="15.75" customHeight="1">
      <c r="A415" s="46" t="str">
        <f t="shared" si="1"/>
        <v/>
      </c>
      <c r="B415" s="40" t="str">
        <f>IF(Bids!$A414="","",Bids!$A414)</f>
        <v/>
      </c>
      <c r="C415" s="40" t="str">
        <f>IF(Bids!$B414="","",Bids!$B414)</f>
        <v/>
      </c>
      <c r="D415" s="40" t="str">
        <f>IF($C415="","",IFERROR(VLOOKUP($C415,Orders!$A$4:$J$998,9,FALSE),""))</f>
        <v/>
      </c>
      <c r="E415" s="40" t="str">
        <f>IF($C415="","",IFERROR(VLOOKUP($C415,Orders!$A$4:$J$998,3,FALSE),""))</f>
        <v/>
      </c>
      <c r="F415" s="40">
        <f t="shared" si="2"/>
        <v>1</v>
      </c>
      <c r="G415" s="40" t="str">
        <f>IF($C415="","",IFERROR(VLOOKUP($C415,Orders!$A$4:$J$998,4,FALSE),""))</f>
        <v/>
      </c>
      <c r="H415" s="40" t="str">
        <f>IF($C415="","",IFERROR(VLOOKUP($C415,Orders!$A$4:$J$998,5,FALSE),""))</f>
        <v/>
      </c>
      <c r="I415" s="40" t="str">
        <f>IF($C415="","",IFERROR(VLOOKUP($C415,Orders!$A$4:$J$998,6,FALSE),""))</f>
        <v/>
      </c>
      <c r="J415" s="40" t="str">
        <f>IF($C415="","",IFERROR(VLOOKUP($C415,Orders!$A$4:$J$998,7,FALSE),""))</f>
        <v/>
      </c>
      <c r="K415" s="40" t="str">
        <f>IF(Bids!$C414="","",Bids!$C414)</f>
        <v/>
      </c>
      <c r="L415" s="40" t="str">
        <f>IF($K415="","",IFERROR(VLOOKUP($K415,Grinders!$A$4:$N$998,2,FALSE),""))</f>
        <v/>
      </c>
      <c r="M415" s="40" t="str">
        <f>IF($K415="","",IFERROR(VLOOKUP($K415,Grinders!$A$4:$N$998,3,FALSE),""))</f>
        <v/>
      </c>
      <c r="N415" s="40" t="str">
        <f>IF($K415="","",IFERROR(VLOOKUP($K415,Grinders!$A$4:$N$998,4,FALSE),""))</f>
        <v/>
      </c>
      <c r="O415" s="40" t="str">
        <f>IF($K415="","",IFERROR(VLOOKUP($K415,Grinders!$A$4:$N$998,5,FALSE),""))</f>
        <v/>
      </c>
      <c r="P415" s="40" t="str">
        <f>IF($K415="","",IF($C$4="",0,COUNTIFS(Assignments!$B$6:$B$1000,$K415,Assignments!$F$6:$F$1000,$C$4,Assignments!$E$6:$E$1000,"Active")))</f>
        <v/>
      </c>
      <c r="Q415" s="40" t="str">
        <f t="shared" si="3"/>
        <v/>
      </c>
      <c r="R415" s="40" t="str">
        <f t="shared" si="4"/>
        <v/>
      </c>
      <c r="S415" s="40" t="str">
        <f>IF($K415="","",IF($C$4="",0,COUNTIFS(Assignments!$B$6:$B$1000,$K415,Assignments!$F$6:$F$1000,$C$4,Assignments!$D$6:$D$1000,"&gt;="&amp;Config!$B$3-7,Assignments!$D$6:$D$1000,"&lt;="&amp;Config!$B$3)))</f>
        <v/>
      </c>
      <c r="T415" s="40" t="str">
        <f>IF($K415="","",IFERROR(VLOOKUP($K415,Grinders!$A$4:$N$998,8,FALSE),""))</f>
        <v/>
      </c>
      <c r="U415" s="40" t="str">
        <f>IFERROR(IF($K415="","",IF($M415="Elite",MAX(50,MIN(100,Config!$B$27*MAX(0,MIN(100,(1-IF($R415="",0,$R415))*100)) + Config!$B$28*MAX(0,MIN(100,(1-MIN(1,IF(Config!$B$30=0,1,$S415/Config!$B$30)))*100)) + Config!$B$29*MAX(0,MIN(100,MIN(1,IF($T415="",0,$T415)/Config!$B$23)*100)))),MIN(100,Config!$B$27*MAX(0,MIN(100,(1-IF($R415="",0,$R415))*100)) + Config!$B$28*MAX(0,MIN(100,(1-MIN(1,IF(Config!$B$30=0,1,$S415/Config!$B$30)))*100)) + Config!$B$29*MAX(0,MIN(100,MIN(1,IF($T415="",0,$T415)/Config!$B$23)*100))))),"")
</f>
        <v/>
      </c>
      <c r="V415" s="40" t="str">
        <f>IF(Bids!$AC415="","",Bids!$AC415)</f>
        <v/>
      </c>
      <c r="W415" s="40" t="str">
        <f>IF(Bids!$F414="","",Bids!$F414)</f>
        <v/>
      </c>
      <c r="X415" s="40" t="str">
        <f t="shared" si="5"/>
        <v/>
      </c>
      <c r="Y415" s="40" t="str">
        <f>IF($X415="","",IF(Config!$B$17=Config!$B$16,IF($X415&gt;=Config!$B$17,100,0),MAX(0,MIN(100,($X415-Config!$B$16)/(Config!$B$17-Config!$B$16)*100))))</f>
        <v/>
      </c>
      <c r="Z415" s="40">
        <f>IF($M415="Elite",Config!$B$21,0)</f>
        <v>0</v>
      </c>
      <c r="AA415" s="40" t="str">
        <f>IFERROR(IF(OR($W415="",$H415=""),"",IF($W415&gt;$H415,
  MAX(0, 60-(($W415-$H415)*24/Config!$B$19)*60),
  MIN(100, 60+(($H415-$W415)*24/Config!$B$20)*40)
)),"")
</f>
        <v/>
      </c>
      <c r="AB415" s="40" t="str">
        <f>IF($K415="","",IFERROR(VLOOKUP($K415,Grinders!$A$4:$N$998,10,FALSE)/5*100,""))</f>
        <v/>
      </c>
      <c r="AC415" s="40" t="str">
        <f>IF($K415="","",IFERROR(VLOOKUP($K415,Grinders!$A$4:$N$998,11,FALSE)*100,""))</f>
        <v/>
      </c>
      <c r="AD415" s="40" t="str">
        <f>IF($K415="","",IFERROR(VLOOKUP($K415,Grinders!$A$4:$N$998,12,FALSE)*100,""))</f>
        <v/>
      </c>
      <c r="AE415" s="40" t="str">
        <f>IF(OR(AO415=1,AP415=1),0,=IFERROR(IFS(
    OR($C415="", $K415=""), 0,
    $F415=0, 0,
    $D415&lt;&gt;"Open", 0,
    COUNTIFS(GrinderServices!$A$6:$A$1000, $K415, GrinderServices!$B$6:$B$1000, $E415, GrinderServices!$D$6:$D$1000, "Y")=0, 0,
    $X415&lt;Config!$B$16, 0,
    Config!$B$18=1, IF($O415&gt;=N415, 0, 1),
    TRUE, 1
), "")
)</f>
        <v>#ERROR!</v>
      </c>
      <c r="AF415" s="40" t="str">
        <f>IFERROR((IF(OR(AO415=1,AP415=1),"",=IFERROR((IFERROR(IF($AE415=0,"",((Config!$B$6*$Y415 + Config!$B$7*$U415 + Config!$B$8*$Z415 + Config!$B$9*$AA415 + Config!$B$10*$AB415 + Config!$B$11*$AC415 - Config!$B$12*$AD415)/Config!$B$13)+$AK415+$AL415),""))*(1-IFERROR(VLOOKUP(K415,Grinders!$A:$AB, 28, FALSE),0)),"")))*(1+AR415),"")</f>
        <v>#ERROR!</v>
      </c>
      <c r="AG415" s="40" t="str">
        <f t="shared" si="6"/>
        <v>#ERROR!</v>
      </c>
      <c r="AH415" s="40" t="str">
        <f t="shared" si="7"/>
        <v/>
      </c>
      <c r="AI415" s="40" t="str">
        <f t="shared" si="8"/>
        <v/>
      </c>
      <c r="AJ415" s="40" t="str">
        <f>IF($K415="","",COUNTIF(Assignments!$B$6:$B$1000,$K415))</f>
        <v/>
      </c>
      <c r="AK415" s="40" t="str">
        <f>IF($K415="","",IF(AND($AJ415=0,$O415&lt;$N415),Config!$B$43,0))</f>
        <v/>
      </c>
      <c r="AL415" s="40" t="str">
        <f>IF($K415="","",IF(AND($M415="Elite",$G415&gt;=Config!$B$41,$O415&lt;$N415),Config!$B$42,0))</f>
        <v/>
      </c>
      <c r="AM415" s="22"/>
      <c r="AN415" s="39">
        <f>IFERROR(VLOOKUP(K415,Grinders!$A:$Q,28,FALSE),0)</f>
        <v>0</v>
      </c>
      <c r="AO415" s="39">
        <f>IF(Config!$B$1003&lt;&gt;"Y",0,IF(IFERROR(VLOOKUP(K415,Grinders!$A:$P,27,FALSE),0)&gt;=3,IF(OR(G415&gt;=Config!$B$1001,ISNUMBER(SEARCH(E415,Config!$B$1002))),1,0),0))</f>
        <v>0</v>
      </c>
      <c r="AP415" s="39">
        <f t="array" ref="AP415">IFERROR(IF(INDEX(Bids!$AE:$AE,MATCH(B415,Bids!$A:$A,0))="Pending",1,0),0)</f>
        <v>0</v>
      </c>
      <c r="AQ415" s="39" t="str">
        <f t="array" ref="AQ415">IF(C415="","",IFERROR(XLOOKUP(C415,Assignments!$C:$C,Assignments!$AU:$AU,0),0))</f>
        <v/>
      </c>
      <c r="AR415" s="39">
        <f>IF(AND(Config!$B$1006="Y",AQ415=1),Config!$B$1007,0)</f>
        <v>0</v>
      </c>
    </row>
    <row r="416" ht="15.75" customHeight="1">
      <c r="A416" s="46" t="str">
        <f t="shared" si="1"/>
        <v/>
      </c>
      <c r="B416" s="40" t="str">
        <f>IF(Bids!$A415="","",Bids!$A415)</f>
        <v/>
      </c>
      <c r="C416" s="40" t="str">
        <f>IF(Bids!$B415="","",Bids!$B415)</f>
        <v/>
      </c>
      <c r="D416" s="40" t="str">
        <f>IF($C416="","",IFERROR(VLOOKUP($C416,Orders!$A$4:$J$998,9,FALSE),""))</f>
        <v/>
      </c>
      <c r="E416" s="40" t="str">
        <f>IF($C416="","",IFERROR(VLOOKUP($C416,Orders!$A$4:$J$998,3,FALSE),""))</f>
        <v/>
      </c>
      <c r="F416" s="40">
        <f t="shared" si="2"/>
        <v>1</v>
      </c>
      <c r="G416" s="40" t="str">
        <f>IF($C416="","",IFERROR(VLOOKUP($C416,Orders!$A$4:$J$998,4,FALSE),""))</f>
        <v/>
      </c>
      <c r="H416" s="40" t="str">
        <f>IF($C416="","",IFERROR(VLOOKUP($C416,Orders!$A$4:$J$998,5,FALSE),""))</f>
        <v/>
      </c>
      <c r="I416" s="40" t="str">
        <f>IF($C416="","",IFERROR(VLOOKUP($C416,Orders!$A$4:$J$998,6,FALSE),""))</f>
        <v/>
      </c>
      <c r="J416" s="40" t="str">
        <f>IF($C416="","",IFERROR(VLOOKUP($C416,Orders!$A$4:$J$998,7,FALSE),""))</f>
        <v/>
      </c>
      <c r="K416" s="40" t="str">
        <f>IF(Bids!$C415="","",Bids!$C415)</f>
        <v/>
      </c>
      <c r="L416" s="40" t="str">
        <f>IF($K416="","",IFERROR(VLOOKUP($K416,Grinders!$A$4:$N$998,2,FALSE),""))</f>
        <v/>
      </c>
      <c r="M416" s="40" t="str">
        <f>IF($K416="","",IFERROR(VLOOKUP($K416,Grinders!$A$4:$N$998,3,FALSE),""))</f>
        <v/>
      </c>
      <c r="N416" s="40" t="str">
        <f>IF($K416="","",IFERROR(VLOOKUP($K416,Grinders!$A$4:$N$998,4,FALSE),""))</f>
        <v/>
      </c>
      <c r="O416" s="40" t="str">
        <f>IF($K416="","",IFERROR(VLOOKUP($K416,Grinders!$A$4:$N$998,5,FALSE),""))</f>
        <v/>
      </c>
      <c r="P416" s="40" t="str">
        <f>IF($K416="","",IF($C$4="",0,COUNTIFS(Assignments!$B$6:$B$1000,$K416,Assignments!$F$6:$F$1000,$C$4,Assignments!$E$6:$E$1000,"Active")))</f>
        <v/>
      </c>
      <c r="Q416" s="40" t="str">
        <f t="shared" si="3"/>
        <v/>
      </c>
      <c r="R416" s="40" t="str">
        <f t="shared" si="4"/>
        <v/>
      </c>
      <c r="S416" s="40" t="str">
        <f>IF($K416="","",IF($C$4="",0,COUNTIFS(Assignments!$B$6:$B$1000,$K416,Assignments!$F$6:$F$1000,$C$4,Assignments!$D$6:$D$1000,"&gt;="&amp;Config!$B$3-7,Assignments!$D$6:$D$1000,"&lt;="&amp;Config!$B$3)))</f>
        <v/>
      </c>
      <c r="T416" s="40" t="str">
        <f>IF($K416="","",IFERROR(VLOOKUP($K416,Grinders!$A$4:$N$998,8,FALSE),""))</f>
        <v/>
      </c>
      <c r="U416" s="40" t="str">
        <f>IFERROR(IF($K416="","",IF($M416="Elite",MAX(50,MIN(100,Config!$B$27*MAX(0,MIN(100,(1-IF($R416="",0,$R416))*100)) + Config!$B$28*MAX(0,MIN(100,(1-MIN(1,IF(Config!$B$30=0,1,$S416/Config!$B$30)))*100)) + Config!$B$29*MAX(0,MIN(100,MIN(1,IF($T416="",0,$T416)/Config!$B$23)*100)))),MIN(100,Config!$B$27*MAX(0,MIN(100,(1-IF($R416="",0,$R416))*100)) + Config!$B$28*MAX(0,MIN(100,(1-MIN(1,IF(Config!$B$30=0,1,$S416/Config!$B$30)))*100)) + Config!$B$29*MAX(0,MIN(100,MIN(1,IF($T416="",0,$T416)/Config!$B$23)*100))))),"")
</f>
        <v/>
      </c>
      <c r="V416" s="40" t="str">
        <f>IF(Bids!$AC416="","",Bids!$AC416)</f>
        <v/>
      </c>
      <c r="W416" s="40" t="str">
        <f>IF(Bids!$F415="","",Bids!$F415)</f>
        <v/>
      </c>
      <c r="X416" s="40" t="str">
        <f t="shared" si="5"/>
        <v/>
      </c>
      <c r="Y416" s="40" t="str">
        <f>IF($X416="","",IF(Config!$B$17=Config!$B$16,IF($X416&gt;=Config!$B$17,100,0),MAX(0,MIN(100,($X416-Config!$B$16)/(Config!$B$17-Config!$B$16)*100))))</f>
        <v/>
      </c>
      <c r="Z416" s="40">
        <f>IF($M416="Elite",Config!$B$21,0)</f>
        <v>0</v>
      </c>
      <c r="AA416" s="40" t="str">
        <f>IFERROR(IF(OR($W416="",$H416=""),"",IF($W416&gt;$H416,
  MAX(0, 60-(($W416-$H416)*24/Config!$B$19)*60),
  MIN(100, 60+(($H416-$W416)*24/Config!$B$20)*40)
)),"")
</f>
        <v/>
      </c>
      <c r="AB416" s="40" t="str">
        <f>IF($K416="","",IFERROR(VLOOKUP($K416,Grinders!$A$4:$N$998,10,FALSE)/5*100,""))</f>
        <v/>
      </c>
      <c r="AC416" s="40" t="str">
        <f>IF($K416="","",IFERROR(VLOOKUP($K416,Grinders!$A$4:$N$998,11,FALSE)*100,""))</f>
        <v/>
      </c>
      <c r="AD416" s="40" t="str">
        <f>IF($K416="","",IFERROR(VLOOKUP($K416,Grinders!$A$4:$N$998,12,FALSE)*100,""))</f>
        <v/>
      </c>
      <c r="AE416" s="40" t="str">
        <f>IF(OR(AO416=1,AP416=1),0,=IFERROR(IFS(
    OR($C416="", $K416=""), 0,
    $F416=0, 0,
    $D416&lt;&gt;"Open", 0,
    COUNTIFS(GrinderServices!$A$6:$A$1000, $K416, GrinderServices!$B$6:$B$1000, $E416, GrinderServices!$D$6:$D$1000, "Y")=0, 0,
    $X416&lt;Config!$B$16, 0,
    Config!$B$18=1, IF($O416&gt;=N416, 0, 1),
    TRUE, 1
), "")
)</f>
        <v>#ERROR!</v>
      </c>
      <c r="AF416" s="40" t="str">
        <f>IFERROR((IF(OR(AO416=1,AP416=1),"",=IFERROR((IFERROR(IF($AE416=0,"",((Config!$B$6*$Y416 + Config!$B$7*$U416 + Config!$B$8*$Z416 + Config!$B$9*$AA416 + Config!$B$10*$AB416 + Config!$B$11*$AC416 - Config!$B$12*$AD416)/Config!$B$13)+$AK416+$AL416),""))*(1-IFERROR(VLOOKUP(K416,Grinders!$A:$AB, 28, FALSE),0)),"")))*(1+AR416),"")</f>
        <v>#ERROR!</v>
      </c>
      <c r="AG416" s="40" t="str">
        <f t="shared" si="6"/>
        <v>#ERROR!</v>
      </c>
      <c r="AH416" s="40" t="str">
        <f t="shared" si="7"/>
        <v/>
      </c>
      <c r="AI416" s="40" t="str">
        <f t="shared" si="8"/>
        <v/>
      </c>
      <c r="AJ416" s="40" t="str">
        <f>IF($K416="","",COUNTIF(Assignments!$B$6:$B$1000,$K416))</f>
        <v/>
      </c>
      <c r="AK416" s="40" t="str">
        <f>IF($K416="","",IF(AND($AJ416=0,$O416&lt;$N416),Config!$B$43,0))</f>
        <v/>
      </c>
      <c r="AL416" s="40" t="str">
        <f>IF($K416="","",IF(AND($M416="Elite",$G416&gt;=Config!$B$41,$O416&lt;$N416),Config!$B$42,0))</f>
        <v/>
      </c>
      <c r="AM416" s="22"/>
      <c r="AN416" s="39">
        <f>IFERROR(VLOOKUP(K416,Grinders!$A:$Q,28,FALSE),0)</f>
        <v>0</v>
      </c>
      <c r="AO416" s="39">
        <f>IF(Config!$B$1003&lt;&gt;"Y",0,IF(IFERROR(VLOOKUP(K416,Grinders!$A:$P,27,FALSE),0)&gt;=3,IF(OR(G416&gt;=Config!$B$1001,ISNUMBER(SEARCH(E416,Config!$B$1002))),1,0),0))</f>
        <v>0</v>
      </c>
      <c r="AP416" s="39">
        <f t="array" ref="AP416">IFERROR(IF(INDEX(Bids!$AE:$AE,MATCH(B416,Bids!$A:$A,0))="Pending",1,0),0)</f>
        <v>0</v>
      </c>
      <c r="AQ416" s="39" t="str">
        <f t="array" ref="AQ416">IF(C416="","",IFERROR(XLOOKUP(C416,Assignments!$C:$C,Assignments!$AU:$AU,0),0))</f>
        <v/>
      </c>
      <c r="AR416" s="39">
        <f>IF(AND(Config!$B$1006="Y",AQ416=1),Config!$B$1007,0)</f>
        <v>0</v>
      </c>
    </row>
    <row r="417" ht="15.75" customHeight="1">
      <c r="A417" s="46" t="str">
        <f t="shared" si="1"/>
        <v/>
      </c>
      <c r="B417" s="40" t="str">
        <f>IF(Bids!$A416="","",Bids!$A416)</f>
        <v/>
      </c>
      <c r="C417" s="40" t="str">
        <f>IF(Bids!$B416="","",Bids!$B416)</f>
        <v/>
      </c>
      <c r="D417" s="40" t="str">
        <f>IF($C417="","",IFERROR(VLOOKUP($C417,Orders!$A$4:$J$998,9,FALSE),""))</f>
        <v/>
      </c>
      <c r="E417" s="40" t="str">
        <f>IF($C417="","",IFERROR(VLOOKUP($C417,Orders!$A$4:$J$998,3,FALSE),""))</f>
        <v/>
      </c>
      <c r="F417" s="40">
        <f t="shared" si="2"/>
        <v>1</v>
      </c>
      <c r="G417" s="40" t="str">
        <f>IF($C417="","",IFERROR(VLOOKUP($C417,Orders!$A$4:$J$998,4,FALSE),""))</f>
        <v/>
      </c>
      <c r="H417" s="40" t="str">
        <f>IF($C417="","",IFERROR(VLOOKUP($C417,Orders!$A$4:$J$998,5,FALSE),""))</f>
        <v/>
      </c>
      <c r="I417" s="40" t="str">
        <f>IF($C417="","",IFERROR(VLOOKUP($C417,Orders!$A$4:$J$998,6,FALSE),""))</f>
        <v/>
      </c>
      <c r="J417" s="40" t="str">
        <f>IF($C417="","",IFERROR(VLOOKUP($C417,Orders!$A$4:$J$998,7,FALSE),""))</f>
        <v/>
      </c>
      <c r="K417" s="40" t="str">
        <f>IF(Bids!$C416="","",Bids!$C416)</f>
        <v/>
      </c>
      <c r="L417" s="40" t="str">
        <f>IF($K417="","",IFERROR(VLOOKUP($K417,Grinders!$A$4:$N$998,2,FALSE),""))</f>
        <v/>
      </c>
      <c r="M417" s="40" t="str">
        <f>IF($K417="","",IFERROR(VLOOKUP($K417,Grinders!$A$4:$N$998,3,FALSE),""))</f>
        <v/>
      </c>
      <c r="N417" s="40" t="str">
        <f>IF($K417="","",IFERROR(VLOOKUP($K417,Grinders!$A$4:$N$998,4,FALSE),""))</f>
        <v/>
      </c>
      <c r="O417" s="40" t="str">
        <f>IF($K417="","",IFERROR(VLOOKUP($K417,Grinders!$A$4:$N$998,5,FALSE),""))</f>
        <v/>
      </c>
      <c r="P417" s="40" t="str">
        <f>IF($K417="","",IF($C$4="",0,COUNTIFS(Assignments!$B$6:$B$1000,$K417,Assignments!$F$6:$F$1000,$C$4,Assignments!$E$6:$E$1000,"Active")))</f>
        <v/>
      </c>
      <c r="Q417" s="40" t="str">
        <f t="shared" si="3"/>
        <v/>
      </c>
      <c r="R417" s="40" t="str">
        <f t="shared" si="4"/>
        <v/>
      </c>
      <c r="S417" s="40" t="str">
        <f>IF($K417="","",IF($C$4="",0,COUNTIFS(Assignments!$B$6:$B$1000,$K417,Assignments!$F$6:$F$1000,$C$4,Assignments!$D$6:$D$1000,"&gt;="&amp;Config!$B$3-7,Assignments!$D$6:$D$1000,"&lt;="&amp;Config!$B$3)))</f>
        <v/>
      </c>
      <c r="T417" s="40" t="str">
        <f>IF($K417="","",IFERROR(VLOOKUP($K417,Grinders!$A$4:$N$998,8,FALSE),""))</f>
        <v/>
      </c>
      <c r="U417" s="40" t="str">
        <f>IFERROR(IF($K417="","",IF($M417="Elite",MAX(50,MIN(100,Config!$B$27*MAX(0,MIN(100,(1-IF($R417="",0,$R417))*100)) + Config!$B$28*MAX(0,MIN(100,(1-MIN(1,IF(Config!$B$30=0,1,$S417/Config!$B$30)))*100)) + Config!$B$29*MAX(0,MIN(100,MIN(1,IF($T417="",0,$T417)/Config!$B$23)*100)))),MIN(100,Config!$B$27*MAX(0,MIN(100,(1-IF($R417="",0,$R417))*100)) + Config!$B$28*MAX(0,MIN(100,(1-MIN(1,IF(Config!$B$30=0,1,$S417/Config!$B$30)))*100)) + Config!$B$29*MAX(0,MIN(100,MIN(1,IF($T417="",0,$T417)/Config!$B$23)*100))))),"")
</f>
        <v/>
      </c>
      <c r="V417" s="40" t="str">
        <f>IF(Bids!$AC417="","",Bids!$AC417)</f>
        <v/>
      </c>
      <c r="W417" s="40" t="str">
        <f>IF(Bids!$F416="","",Bids!$F416)</f>
        <v/>
      </c>
      <c r="X417" s="40" t="str">
        <f t="shared" si="5"/>
        <v/>
      </c>
      <c r="Y417" s="40" t="str">
        <f>IF($X417="","",IF(Config!$B$17=Config!$B$16,IF($X417&gt;=Config!$B$17,100,0),MAX(0,MIN(100,($X417-Config!$B$16)/(Config!$B$17-Config!$B$16)*100))))</f>
        <v/>
      </c>
      <c r="Z417" s="40">
        <f>IF($M417="Elite",Config!$B$21,0)</f>
        <v>0</v>
      </c>
      <c r="AA417" s="40" t="str">
        <f>IFERROR(IF(OR($W417="",$H417=""),"",IF($W417&gt;$H417,
  MAX(0, 60-(($W417-$H417)*24/Config!$B$19)*60),
  MIN(100, 60+(($H417-$W417)*24/Config!$B$20)*40)
)),"")
</f>
        <v/>
      </c>
      <c r="AB417" s="40" t="str">
        <f>IF($K417="","",IFERROR(VLOOKUP($K417,Grinders!$A$4:$N$998,10,FALSE)/5*100,""))</f>
        <v/>
      </c>
      <c r="AC417" s="40" t="str">
        <f>IF($K417="","",IFERROR(VLOOKUP($K417,Grinders!$A$4:$N$998,11,FALSE)*100,""))</f>
        <v/>
      </c>
      <c r="AD417" s="40" t="str">
        <f>IF($K417="","",IFERROR(VLOOKUP($K417,Grinders!$A$4:$N$998,12,FALSE)*100,""))</f>
        <v/>
      </c>
      <c r="AE417" s="40" t="str">
        <f>IF(OR(AO417=1,AP417=1),0,=IFERROR(IFS(
    OR($C417="", $K417=""), 0,
    $F417=0, 0,
    $D417&lt;&gt;"Open", 0,
    COUNTIFS(GrinderServices!$A$6:$A$1000, $K417, GrinderServices!$B$6:$B$1000, $E417, GrinderServices!$D$6:$D$1000, "Y")=0, 0,
    $X417&lt;Config!$B$16, 0,
    Config!$B$18=1, IF($O417&gt;=N417, 0, 1),
    TRUE, 1
), "")
)</f>
        <v>#ERROR!</v>
      </c>
      <c r="AF417" s="40" t="str">
        <f>IFERROR((IF(OR(AO417=1,AP417=1),"",=IFERROR((IFERROR(IF($AE417=0,"",((Config!$B$6*$Y417 + Config!$B$7*$U417 + Config!$B$8*$Z417 + Config!$B$9*$AA417 + Config!$B$10*$AB417 + Config!$B$11*$AC417 - Config!$B$12*$AD417)/Config!$B$13)+$AK417+$AL417),""))*(1-IFERROR(VLOOKUP(K417,Grinders!$A:$AB, 28, FALSE),0)),"")))*(1+AR417),"")</f>
        <v>#ERROR!</v>
      </c>
      <c r="AG417" s="40" t="str">
        <f t="shared" si="6"/>
        <v>#ERROR!</v>
      </c>
      <c r="AH417" s="40" t="str">
        <f t="shared" si="7"/>
        <v/>
      </c>
      <c r="AI417" s="40" t="str">
        <f t="shared" si="8"/>
        <v/>
      </c>
      <c r="AJ417" s="40" t="str">
        <f>IF($K417="","",COUNTIF(Assignments!$B$6:$B$1000,$K417))</f>
        <v/>
      </c>
      <c r="AK417" s="40" t="str">
        <f>IF($K417="","",IF(AND($AJ417=0,$O417&lt;$N417),Config!$B$43,0))</f>
        <v/>
      </c>
      <c r="AL417" s="40" t="str">
        <f>IF($K417="","",IF(AND($M417="Elite",$G417&gt;=Config!$B$41,$O417&lt;$N417),Config!$B$42,0))</f>
        <v/>
      </c>
      <c r="AM417" s="22"/>
      <c r="AN417" s="39">
        <f>IFERROR(VLOOKUP(K417,Grinders!$A:$Q,28,FALSE),0)</f>
        <v>0</v>
      </c>
      <c r="AO417" s="39">
        <f>IF(Config!$B$1003&lt;&gt;"Y",0,IF(IFERROR(VLOOKUP(K417,Grinders!$A:$P,27,FALSE),0)&gt;=3,IF(OR(G417&gt;=Config!$B$1001,ISNUMBER(SEARCH(E417,Config!$B$1002))),1,0),0))</f>
        <v>0</v>
      </c>
      <c r="AP417" s="39">
        <f t="array" ref="AP417">IFERROR(IF(INDEX(Bids!$AE:$AE,MATCH(B417,Bids!$A:$A,0))="Pending",1,0),0)</f>
        <v>0</v>
      </c>
      <c r="AQ417" s="39" t="str">
        <f t="array" ref="AQ417">IF(C417="","",IFERROR(XLOOKUP(C417,Assignments!$C:$C,Assignments!$AU:$AU,0),0))</f>
        <v/>
      </c>
      <c r="AR417" s="39">
        <f>IF(AND(Config!$B$1006="Y",AQ417=1),Config!$B$1007,0)</f>
        <v>0</v>
      </c>
    </row>
    <row r="418" ht="15.75" customHeight="1">
      <c r="A418" s="46" t="str">
        <f t="shared" si="1"/>
        <v/>
      </c>
      <c r="B418" s="40" t="str">
        <f>IF(Bids!$A417="","",Bids!$A417)</f>
        <v/>
      </c>
      <c r="C418" s="40" t="str">
        <f>IF(Bids!$B417="","",Bids!$B417)</f>
        <v/>
      </c>
      <c r="D418" s="40" t="str">
        <f>IF($C418="","",IFERROR(VLOOKUP($C418,Orders!$A$4:$J$998,9,FALSE),""))</f>
        <v/>
      </c>
      <c r="E418" s="40" t="str">
        <f>IF($C418="","",IFERROR(VLOOKUP($C418,Orders!$A$4:$J$998,3,FALSE),""))</f>
        <v/>
      </c>
      <c r="F418" s="40">
        <f t="shared" si="2"/>
        <v>1</v>
      </c>
      <c r="G418" s="40" t="str">
        <f>IF($C418="","",IFERROR(VLOOKUP($C418,Orders!$A$4:$J$998,4,FALSE),""))</f>
        <v/>
      </c>
      <c r="H418" s="40" t="str">
        <f>IF($C418="","",IFERROR(VLOOKUP($C418,Orders!$A$4:$J$998,5,FALSE),""))</f>
        <v/>
      </c>
      <c r="I418" s="40" t="str">
        <f>IF($C418="","",IFERROR(VLOOKUP($C418,Orders!$A$4:$J$998,6,FALSE),""))</f>
        <v/>
      </c>
      <c r="J418" s="40" t="str">
        <f>IF($C418="","",IFERROR(VLOOKUP($C418,Orders!$A$4:$J$998,7,FALSE),""))</f>
        <v/>
      </c>
      <c r="K418" s="40" t="str">
        <f>IF(Bids!$C417="","",Bids!$C417)</f>
        <v/>
      </c>
      <c r="L418" s="40" t="str">
        <f>IF($K418="","",IFERROR(VLOOKUP($K418,Grinders!$A$4:$N$998,2,FALSE),""))</f>
        <v/>
      </c>
      <c r="M418" s="40" t="str">
        <f>IF($K418="","",IFERROR(VLOOKUP($K418,Grinders!$A$4:$N$998,3,FALSE),""))</f>
        <v/>
      </c>
      <c r="N418" s="40" t="str">
        <f>IF($K418="","",IFERROR(VLOOKUP($K418,Grinders!$A$4:$N$998,4,FALSE),""))</f>
        <v/>
      </c>
      <c r="O418" s="40" t="str">
        <f>IF($K418="","",IFERROR(VLOOKUP($K418,Grinders!$A$4:$N$998,5,FALSE),""))</f>
        <v/>
      </c>
      <c r="P418" s="40" t="str">
        <f>IF($K418="","",IF($C$4="",0,COUNTIFS(Assignments!$B$6:$B$1000,$K418,Assignments!$F$6:$F$1000,$C$4,Assignments!$E$6:$E$1000,"Active")))</f>
        <v/>
      </c>
      <c r="Q418" s="40" t="str">
        <f t="shared" si="3"/>
        <v/>
      </c>
      <c r="R418" s="40" t="str">
        <f t="shared" si="4"/>
        <v/>
      </c>
      <c r="S418" s="40" t="str">
        <f>IF($K418="","",IF($C$4="",0,COUNTIFS(Assignments!$B$6:$B$1000,$K418,Assignments!$F$6:$F$1000,$C$4,Assignments!$D$6:$D$1000,"&gt;="&amp;Config!$B$3-7,Assignments!$D$6:$D$1000,"&lt;="&amp;Config!$B$3)))</f>
        <v/>
      </c>
      <c r="T418" s="40" t="str">
        <f>IF($K418="","",IFERROR(VLOOKUP($K418,Grinders!$A$4:$N$998,8,FALSE),""))</f>
        <v/>
      </c>
      <c r="U418" s="40" t="str">
        <f>IFERROR(IF($K418="","",IF($M418="Elite",MAX(50,MIN(100,Config!$B$27*MAX(0,MIN(100,(1-IF($R418="",0,$R418))*100)) + Config!$B$28*MAX(0,MIN(100,(1-MIN(1,IF(Config!$B$30=0,1,$S418/Config!$B$30)))*100)) + Config!$B$29*MAX(0,MIN(100,MIN(1,IF($T418="",0,$T418)/Config!$B$23)*100)))),MIN(100,Config!$B$27*MAX(0,MIN(100,(1-IF($R418="",0,$R418))*100)) + Config!$B$28*MAX(0,MIN(100,(1-MIN(1,IF(Config!$B$30=0,1,$S418/Config!$B$30)))*100)) + Config!$B$29*MAX(0,MIN(100,MIN(1,IF($T418="",0,$T418)/Config!$B$23)*100))))),"")
</f>
        <v/>
      </c>
      <c r="V418" s="40" t="str">
        <f>IF(Bids!$AC418="","",Bids!$AC418)</f>
        <v/>
      </c>
      <c r="W418" s="40" t="str">
        <f>IF(Bids!$F417="","",Bids!$F417)</f>
        <v/>
      </c>
      <c r="X418" s="40" t="str">
        <f t="shared" si="5"/>
        <v/>
      </c>
      <c r="Y418" s="40" t="str">
        <f>IF($X418="","",IF(Config!$B$17=Config!$B$16,IF($X418&gt;=Config!$B$17,100,0),MAX(0,MIN(100,($X418-Config!$B$16)/(Config!$B$17-Config!$B$16)*100))))</f>
        <v/>
      </c>
      <c r="Z418" s="40">
        <f>IF($M418="Elite",Config!$B$21,0)</f>
        <v>0</v>
      </c>
      <c r="AA418" s="40" t="str">
        <f>IFERROR(IF(OR($W418="",$H418=""),"",IF($W418&gt;$H418,
  MAX(0, 60-(($W418-$H418)*24/Config!$B$19)*60),
  MIN(100, 60+(($H418-$W418)*24/Config!$B$20)*40)
)),"")
</f>
        <v/>
      </c>
      <c r="AB418" s="40" t="str">
        <f>IF($K418="","",IFERROR(VLOOKUP($K418,Grinders!$A$4:$N$998,10,FALSE)/5*100,""))</f>
        <v/>
      </c>
      <c r="AC418" s="40" t="str">
        <f>IF($K418="","",IFERROR(VLOOKUP($K418,Grinders!$A$4:$N$998,11,FALSE)*100,""))</f>
        <v/>
      </c>
      <c r="AD418" s="40" t="str">
        <f>IF($K418="","",IFERROR(VLOOKUP($K418,Grinders!$A$4:$N$998,12,FALSE)*100,""))</f>
        <v/>
      </c>
      <c r="AE418" s="40" t="str">
        <f>IF(OR(AO418=1,AP418=1),0,=IFERROR(IFS(
    OR($C418="", $K418=""), 0,
    $F418=0, 0,
    $D418&lt;&gt;"Open", 0,
    COUNTIFS(GrinderServices!$A$6:$A$1000, $K418, GrinderServices!$B$6:$B$1000, $E418, GrinderServices!$D$6:$D$1000, "Y")=0, 0,
    $X418&lt;Config!$B$16, 0,
    Config!$B$18=1, IF($O418&gt;=N418, 0, 1),
    TRUE, 1
), "")
)</f>
        <v>#ERROR!</v>
      </c>
      <c r="AF418" s="40" t="str">
        <f>IFERROR((IF(OR(AO418=1,AP418=1),"",=IFERROR((IFERROR(IF($AE418=0,"",((Config!$B$6*$Y418 + Config!$B$7*$U418 + Config!$B$8*$Z418 + Config!$B$9*$AA418 + Config!$B$10*$AB418 + Config!$B$11*$AC418 - Config!$B$12*$AD418)/Config!$B$13)+$AK418+$AL418),""))*(1-IFERROR(VLOOKUP(K418,Grinders!$A:$AB, 28, FALSE),0)),"")))*(1+AR418),"")</f>
        <v>#ERROR!</v>
      </c>
      <c r="AG418" s="40" t="str">
        <f t="shared" si="6"/>
        <v>#ERROR!</v>
      </c>
      <c r="AH418" s="40" t="str">
        <f t="shared" si="7"/>
        <v/>
      </c>
      <c r="AI418" s="40" t="str">
        <f t="shared" si="8"/>
        <v/>
      </c>
      <c r="AJ418" s="40" t="str">
        <f>IF($K418="","",COUNTIF(Assignments!$B$6:$B$1000,$K418))</f>
        <v/>
      </c>
      <c r="AK418" s="40" t="str">
        <f>IF($K418="","",IF(AND($AJ418=0,$O418&lt;$N418),Config!$B$43,0))</f>
        <v/>
      </c>
      <c r="AL418" s="40" t="str">
        <f>IF($K418="","",IF(AND($M418="Elite",$G418&gt;=Config!$B$41,$O418&lt;$N418),Config!$B$42,0))</f>
        <v/>
      </c>
      <c r="AM418" s="22"/>
      <c r="AN418" s="39">
        <f>IFERROR(VLOOKUP(K418,Grinders!$A:$Q,28,FALSE),0)</f>
        <v>0</v>
      </c>
      <c r="AO418" s="39">
        <f>IF(Config!$B$1003&lt;&gt;"Y",0,IF(IFERROR(VLOOKUP(K418,Grinders!$A:$P,27,FALSE),0)&gt;=3,IF(OR(G418&gt;=Config!$B$1001,ISNUMBER(SEARCH(E418,Config!$B$1002))),1,0),0))</f>
        <v>0</v>
      </c>
      <c r="AP418" s="39">
        <f t="array" ref="AP418">IFERROR(IF(INDEX(Bids!$AE:$AE,MATCH(B418,Bids!$A:$A,0))="Pending",1,0),0)</f>
        <v>0</v>
      </c>
      <c r="AQ418" s="39" t="str">
        <f t="array" ref="AQ418">IF(C418="","",IFERROR(XLOOKUP(C418,Assignments!$C:$C,Assignments!$AU:$AU,0),0))</f>
        <v/>
      </c>
      <c r="AR418" s="39">
        <f>IF(AND(Config!$B$1006="Y",AQ418=1),Config!$B$1007,0)</f>
        <v>0</v>
      </c>
    </row>
    <row r="419" ht="15.75" customHeight="1">
      <c r="A419" s="46" t="str">
        <f t="shared" si="1"/>
        <v/>
      </c>
      <c r="B419" s="40" t="str">
        <f>IF(Bids!$A418="","",Bids!$A418)</f>
        <v/>
      </c>
      <c r="C419" s="40" t="str">
        <f>IF(Bids!$B418="","",Bids!$B418)</f>
        <v/>
      </c>
      <c r="D419" s="40" t="str">
        <f>IF($C419="","",IFERROR(VLOOKUP($C419,Orders!$A$4:$J$998,9,FALSE),""))</f>
        <v/>
      </c>
      <c r="E419" s="40" t="str">
        <f>IF($C419="","",IFERROR(VLOOKUP($C419,Orders!$A$4:$J$998,3,FALSE),""))</f>
        <v/>
      </c>
      <c r="F419" s="40">
        <f t="shared" si="2"/>
        <v>1</v>
      </c>
      <c r="G419" s="40" t="str">
        <f>IF($C419="","",IFERROR(VLOOKUP($C419,Orders!$A$4:$J$998,4,FALSE),""))</f>
        <v/>
      </c>
      <c r="H419" s="40" t="str">
        <f>IF($C419="","",IFERROR(VLOOKUP($C419,Orders!$A$4:$J$998,5,FALSE),""))</f>
        <v/>
      </c>
      <c r="I419" s="40" t="str">
        <f>IF($C419="","",IFERROR(VLOOKUP($C419,Orders!$A$4:$J$998,6,FALSE),""))</f>
        <v/>
      </c>
      <c r="J419" s="40" t="str">
        <f>IF($C419="","",IFERROR(VLOOKUP($C419,Orders!$A$4:$J$998,7,FALSE),""))</f>
        <v/>
      </c>
      <c r="K419" s="40" t="str">
        <f>IF(Bids!$C418="","",Bids!$C418)</f>
        <v/>
      </c>
      <c r="L419" s="40" t="str">
        <f>IF($K419="","",IFERROR(VLOOKUP($K419,Grinders!$A$4:$N$998,2,FALSE),""))</f>
        <v/>
      </c>
      <c r="M419" s="40" t="str">
        <f>IF($K419="","",IFERROR(VLOOKUP($K419,Grinders!$A$4:$N$998,3,FALSE),""))</f>
        <v/>
      </c>
      <c r="N419" s="40" t="str">
        <f>IF($K419="","",IFERROR(VLOOKUP($K419,Grinders!$A$4:$N$998,4,FALSE),""))</f>
        <v/>
      </c>
      <c r="O419" s="40" t="str">
        <f>IF($K419="","",IFERROR(VLOOKUP($K419,Grinders!$A$4:$N$998,5,FALSE),""))</f>
        <v/>
      </c>
      <c r="P419" s="40" t="str">
        <f>IF($K419="","",IF($C$4="",0,COUNTIFS(Assignments!$B$6:$B$1000,$K419,Assignments!$F$6:$F$1000,$C$4,Assignments!$E$6:$E$1000,"Active")))</f>
        <v/>
      </c>
      <c r="Q419" s="40" t="str">
        <f t="shared" si="3"/>
        <v/>
      </c>
      <c r="R419" s="40" t="str">
        <f t="shared" si="4"/>
        <v/>
      </c>
      <c r="S419" s="40" t="str">
        <f>IF($K419="","",IF($C$4="",0,COUNTIFS(Assignments!$B$6:$B$1000,$K419,Assignments!$F$6:$F$1000,$C$4,Assignments!$D$6:$D$1000,"&gt;="&amp;Config!$B$3-7,Assignments!$D$6:$D$1000,"&lt;="&amp;Config!$B$3)))</f>
        <v/>
      </c>
      <c r="T419" s="40" t="str">
        <f>IF($K419="","",IFERROR(VLOOKUP($K419,Grinders!$A$4:$N$998,8,FALSE),""))</f>
        <v/>
      </c>
      <c r="U419" s="40" t="str">
        <f>IFERROR(IF($K419="","",IF($M419="Elite",MAX(50,MIN(100,Config!$B$27*MAX(0,MIN(100,(1-IF($R419="",0,$R419))*100)) + Config!$B$28*MAX(0,MIN(100,(1-MIN(1,IF(Config!$B$30=0,1,$S419/Config!$B$30)))*100)) + Config!$B$29*MAX(0,MIN(100,MIN(1,IF($T419="",0,$T419)/Config!$B$23)*100)))),MIN(100,Config!$B$27*MAX(0,MIN(100,(1-IF($R419="",0,$R419))*100)) + Config!$B$28*MAX(0,MIN(100,(1-MIN(1,IF(Config!$B$30=0,1,$S419/Config!$B$30)))*100)) + Config!$B$29*MAX(0,MIN(100,MIN(1,IF($T419="",0,$T419)/Config!$B$23)*100))))),"")
</f>
        <v/>
      </c>
      <c r="V419" s="40" t="str">
        <f>IF(Bids!$AC419="","",Bids!$AC419)</f>
        <v/>
      </c>
      <c r="W419" s="40" t="str">
        <f>IF(Bids!$F418="","",Bids!$F418)</f>
        <v/>
      </c>
      <c r="X419" s="40" t="str">
        <f t="shared" si="5"/>
        <v/>
      </c>
      <c r="Y419" s="40" t="str">
        <f>IF($X419="","",IF(Config!$B$17=Config!$B$16,IF($X419&gt;=Config!$B$17,100,0),MAX(0,MIN(100,($X419-Config!$B$16)/(Config!$B$17-Config!$B$16)*100))))</f>
        <v/>
      </c>
      <c r="Z419" s="40">
        <f>IF($M419="Elite",Config!$B$21,0)</f>
        <v>0</v>
      </c>
      <c r="AA419" s="40" t="str">
        <f>IFERROR(IF(OR($W419="",$H419=""),"",IF($W419&gt;$H419,
  MAX(0, 60-(($W419-$H419)*24/Config!$B$19)*60),
  MIN(100, 60+(($H419-$W419)*24/Config!$B$20)*40)
)),"")
</f>
        <v/>
      </c>
      <c r="AB419" s="40" t="str">
        <f>IF($K419="","",IFERROR(VLOOKUP($K419,Grinders!$A$4:$N$998,10,FALSE)/5*100,""))</f>
        <v/>
      </c>
      <c r="AC419" s="40" t="str">
        <f>IF($K419="","",IFERROR(VLOOKUP($K419,Grinders!$A$4:$N$998,11,FALSE)*100,""))</f>
        <v/>
      </c>
      <c r="AD419" s="40" t="str">
        <f>IF($K419="","",IFERROR(VLOOKUP($K419,Grinders!$A$4:$N$998,12,FALSE)*100,""))</f>
        <v/>
      </c>
      <c r="AE419" s="40" t="str">
        <f>IF(OR(AO419=1,AP419=1),0,=IFERROR(IFS(
    OR($C419="", $K419=""), 0,
    $F419=0, 0,
    $D419&lt;&gt;"Open", 0,
    COUNTIFS(GrinderServices!$A$6:$A$1000, $K419, GrinderServices!$B$6:$B$1000, $E419, GrinderServices!$D$6:$D$1000, "Y")=0, 0,
    $X419&lt;Config!$B$16, 0,
    Config!$B$18=1, IF($O419&gt;=N419, 0, 1),
    TRUE, 1
), "")
)</f>
        <v>#ERROR!</v>
      </c>
      <c r="AF419" s="40" t="str">
        <f>IFERROR((IF(OR(AO419=1,AP419=1),"",=IFERROR((IFERROR(IF($AE419=0,"",((Config!$B$6*$Y419 + Config!$B$7*$U419 + Config!$B$8*$Z419 + Config!$B$9*$AA419 + Config!$B$10*$AB419 + Config!$B$11*$AC419 - Config!$B$12*$AD419)/Config!$B$13)+$AK419+$AL419),""))*(1-IFERROR(VLOOKUP(K419,Grinders!$A:$AB, 28, FALSE),0)),"")))*(1+AR419),"")</f>
        <v>#ERROR!</v>
      </c>
      <c r="AG419" s="40" t="str">
        <f t="shared" si="6"/>
        <v>#ERROR!</v>
      </c>
      <c r="AH419" s="40" t="str">
        <f t="shared" si="7"/>
        <v/>
      </c>
      <c r="AI419" s="40" t="str">
        <f t="shared" si="8"/>
        <v/>
      </c>
      <c r="AJ419" s="40" t="str">
        <f>IF($K419="","",COUNTIF(Assignments!$B$6:$B$1000,$K419))</f>
        <v/>
      </c>
      <c r="AK419" s="40" t="str">
        <f>IF($K419="","",IF(AND($AJ419=0,$O419&lt;$N419),Config!$B$43,0))</f>
        <v/>
      </c>
      <c r="AL419" s="40" t="str">
        <f>IF($K419="","",IF(AND($M419="Elite",$G419&gt;=Config!$B$41,$O419&lt;$N419),Config!$B$42,0))</f>
        <v/>
      </c>
      <c r="AM419" s="22"/>
      <c r="AN419" s="39">
        <f>IFERROR(VLOOKUP(K419,Grinders!$A:$Q,28,FALSE),0)</f>
        <v>0</v>
      </c>
      <c r="AO419" s="39">
        <f>IF(Config!$B$1003&lt;&gt;"Y",0,IF(IFERROR(VLOOKUP(K419,Grinders!$A:$P,27,FALSE),0)&gt;=3,IF(OR(G419&gt;=Config!$B$1001,ISNUMBER(SEARCH(E419,Config!$B$1002))),1,0),0))</f>
        <v>0</v>
      </c>
      <c r="AP419" s="39">
        <f t="array" ref="AP419">IFERROR(IF(INDEX(Bids!$AE:$AE,MATCH(B419,Bids!$A:$A,0))="Pending",1,0),0)</f>
        <v>0</v>
      </c>
      <c r="AQ419" s="39" t="str">
        <f t="array" ref="AQ419">IF(C419="","",IFERROR(XLOOKUP(C419,Assignments!$C:$C,Assignments!$AU:$AU,0),0))</f>
        <v/>
      </c>
      <c r="AR419" s="39">
        <f>IF(AND(Config!$B$1006="Y",AQ419=1),Config!$B$1007,0)</f>
        <v>0</v>
      </c>
    </row>
    <row r="420" ht="15.75" customHeight="1">
      <c r="A420" s="46" t="str">
        <f t="shared" si="1"/>
        <v/>
      </c>
      <c r="B420" s="40" t="str">
        <f>IF(Bids!$A419="","",Bids!$A419)</f>
        <v/>
      </c>
      <c r="C420" s="40" t="str">
        <f>IF(Bids!$B419="","",Bids!$B419)</f>
        <v/>
      </c>
      <c r="D420" s="40" t="str">
        <f>IF($C420="","",IFERROR(VLOOKUP($C420,Orders!$A$4:$J$998,9,FALSE),""))</f>
        <v/>
      </c>
      <c r="E420" s="40" t="str">
        <f>IF($C420="","",IFERROR(VLOOKUP($C420,Orders!$A$4:$J$998,3,FALSE),""))</f>
        <v/>
      </c>
      <c r="F420" s="40">
        <f t="shared" si="2"/>
        <v>1</v>
      </c>
      <c r="G420" s="40" t="str">
        <f>IF($C420="","",IFERROR(VLOOKUP($C420,Orders!$A$4:$J$998,4,FALSE),""))</f>
        <v/>
      </c>
      <c r="H420" s="40" t="str">
        <f>IF($C420="","",IFERROR(VLOOKUP($C420,Orders!$A$4:$J$998,5,FALSE),""))</f>
        <v/>
      </c>
      <c r="I420" s="40" t="str">
        <f>IF($C420="","",IFERROR(VLOOKUP($C420,Orders!$A$4:$J$998,6,FALSE),""))</f>
        <v/>
      </c>
      <c r="J420" s="40" t="str">
        <f>IF($C420="","",IFERROR(VLOOKUP($C420,Orders!$A$4:$J$998,7,FALSE),""))</f>
        <v/>
      </c>
      <c r="K420" s="40" t="str">
        <f>IF(Bids!$C419="","",Bids!$C419)</f>
        <v/>
      </c>
      <c r="L420" s="40" t="str">
        <f>IF($K420="","",IFERROR(VLOOKUP($K420,Grinders!$A$4:$N$998,2,FALSE),""))</f>
        <v/>
      </c>
      <c r="M420" s="40" t="str">
        <f>IF($K420="","",IFERROR(VLOOKUP($K420,Grinders!$A$4:$N$998,3,FALSE),""))</f>
        <v/>
      </c>
      <c r="N420" s="40" t="str">
        <f>IF($K420="","",IFERROR(VLOOKUP($K420,Grinders!$A$4:$N$998,4,FALSE),""))</f>
        <v/>
      </c>
      <c r="O420" s="40" t="str">
        <f>IF($K420="","",IFERROR(VLOOKUP($K420,Grinders!$A$4:$N$998,5,FALSE),""))</f>
        <v/>
      </c>
      <c r="P420" s="40" t="str">
        <f>IF($K420="","",IF($C$4="",0,COUNTIFS(Assignments!$B$6:$B$1000,$K420,Assignments!$F$6:$F$1000,$C$4,Assignments!$E$6:$E$1000,"Active")))</f>
        <v/>
      </c>
      <c r="Q420" s="40" t="str">
        <f t="shared" si="3"/>
        <v/>
      </c>
      <c r="R420" s="40" t="str">
        <f t="shared" si="4"/>
        <v/>
      </c>
      <c r="S420" s="40" t="str">
        <f>IF($K420="","",IF($C$4="",0,COUNTIFS(Assignments!$B$6:$B$1000,$K420,Assignments!$F$6:$F$1000,$C$4,Assignments!$D$6:$D$1000,"&gt;="&amp;Config!$B$3-7,Assignments!$D$6:$D$1000,"&lt;="&amp;Config!$B$3)))</f>
        <v/>
      </c>
      <c r="T420" s="40" t="str">
        <f>IF($K420="","",IFERROR(VLOOKUP($K420,Grinders!$A$4:$N$998,8,FALSE),""))</f>
        <v/>
      </c>
      <c r="U420" s="40" t="str">
        <f>IFERROR(IF($K420="","",IF($M420="Elite",MAX(50,MIN(100,Config!$B$27*MAX(0,MIN(100,(1-IF($R420="",0,$R420))*100)) + Config!$B$28*MAX(0,MIN(100,(1-MIN(1,IF(Config!$B$30=0,1,$S420/Config!$B$30)))*100)) + Config!$B$29*MAX(0,MIN(100,MIN(1,IF($T420="",0,$T420)/Config!$B$23)*100)))),MIN(100,Config!$B$27*MAX(0,MIN(100,(1-IF($R420="",0,$R420))*100)) + Config!$B$28*MAX(0,MIN(100,(1-MIN(1,IF(Config!$B$30=0,1,$S420/Config!$B$30)))*100)) + Config!$B$29*MAX(0,MIN(100,MIN(1,IF($T420="",0,$T420)/Config!$B$23)*100))))),"")
</f>
        <v/>
      </c>
      <c r="V420" s="40" t="str">
        <f>IF(Bids!$AC420="","",Bids!$AC420)</f>
        <v/>
      </c>
      <c r="W420" s="40" t="str">
        <f>IF(Bids!$F419="","",Bids!$F419)</f>
        <v/>
      </c>
      <c r="X420" s="40" t="str">
        <f t="shared" si="5"/>
        <v/>
      </c>
      <c r="Y420" s="40" t="str">
        <f>IF($X420="","",IF(Config!$B$17=Config!$B$16,IF($X420&gt;=Config!$B$17,100,0),MAX(0,MIN(100,($X420-Config!$B$16)/(Config!$B$17-Config!$B$16)*100))))</f>
        <v/>
      </c>
      <c r="Z420" s="40">
        <f>IF($M420="Elite",Config!$B$21,0)</f>
        <v>0</v>
      </c>
      <c r="AA420" s="40" t="str">
        <f>IFERROR(IF(OR($W420="",$H420=""),"",IF($W420&gt;$H420,
  MAX(0, 60-(($W420-$H420)*24/Config!$B$19)*60),
  MIN(100, 60+(($H420-$W420)*24/Config!$B$20)*40)
)),"")
</f>
        <v/>
      </c>
      <c r="AB420" s="40" t="str">
        <f>IF($K420="","",IFERROR(VLOOKUP($K420,Grinders!$A$4:$N$998,10,FALSE)/5*100,""))</f>
        <v/>
      </c>
      <c r="AC420" s="40" t="str">
        <f>IF($K420="","",IFERROR(VLOOKUP($K420,Grinders!$A$4:$N$998,11,FALSE)*100,""))</f>
        <v/>
      </c>
      <c r="AD420" s="40" t="str">
        <f>IF($K420="","",IFERROR(VLOOKUP($K420,Grinders!$A$4:$N$998,12,FALSE)*100,""))</f>
        <v/>
      </c>
      <c r="AE420" s="40" t="str">
        <f>IF(OR(AO420=1,AP420=1),0,=IFERROR(IFS(
    OR($C420="", $K420=""), 0,
    $F420=0, 0,
    $D420&lt;&gt;"Open", 0,
    COUNTIFS(GrinderServices!$A$6:$A$1000, $K420, GrinderServices!$B$6:$B$1000, $E420, GrinderServices!$D$6:$D$1000, "Y")=0, 0,
    $X420&lt;Config!$B$16, 0,
    Config!$B$18=1, IF($O420&gt;=N420, 0, 1),
    TRUE, 1
), "")
)</f>
        <v>#ERROR!</v>
      </c>
      <c r="AF420" s="40" t="str">
        <f>IFERROR((IF(OR(AO420=1,AP420=1),"",=IFERROR((IFERROR(IF($AE420=0,"",((Config!$B$6*$Y420 + Config!$B$7*$U420 + Config!$B$8*$Z420 + Config!$B$9*$AA420 + Config!$B$10*$AB420 + Config!$B$11*$AC420 - Config!$B$12*$AD420)/Config!$B$13)+$AK420+$AL420),""))*(1-IFERROR(VLOOKUP(K420,Grinders!$A:$AB, 28, FALSE),0)),"")))*(1+AR420),"")</f>
        <v>#ERROR!</v>
      </c>
      <c r="AG420" s="40" t="str">
        <f t="shared" si="6"/>
        <v>#ERROR!</v>
      </c>
      <c r="AH420" s="40" t="str">
        <f t="shared" si="7"/>
        <v/>
      </c>
      <c r="AI420" s="40" t="str">
        <f t="shared" si="8"/>
        <v/>
      </c>
      <c r="AJ420" s="40" t="str">
        <f>IF($K420="","",COUNTIF(Assignments!$B$6:$B$1000,$K420))</f>
        <v/>
      </c>
      <c r="AK420" s="40" t="str">
        <f>IF($K420="","",IF(AND($AJ420=0,$O420&lt;$N420),Config!$B$43,0))</f>
        <v/>
      </c>
      <c r="AL420" s="40" t="str">
        <f>IF($K420="","",IF(AND($M420="Elite",$G420&gt;=Config!$B$41,$O420&lt;$N420),Config!$B$42,0))</f>
        <v/>
      </c>
      <c r="AM420" s="22"/>
      <c r="AN420" s="39">
        <f>IFERROR(VLOOKUP(K420,Grinders!$A:$Q,28,FALSE),0)</f>
        <v>0</v>
      </c>
      <c r="AO420" s="39">
        <f>IF(Config!$B$1003&lt;&gt;"Y",0,IF(IFERROR(VLOOKUP(K420,Grinders!$A:$P,27,FALSE),0)&gt;=3,IF(OR(G420&gt;=Config!$B$1001,ISNUMBER(SEARCH(E420,Config!$B$1002))),1,0),0))</f>
        <v>0</v>
      </c>
      <c r="AP420" s="39">
        <f t="array" ref="AP420">IFERROR(IF(INDEX(Bids!$AE:$AE,MATCH(B420,Bids!$A:$A,0))="Pending",1,0),0)</f>
        <v>0</v>
      </c>
      <c r="AQ420" s="39" t="str">
        <f t="array" ref="AQ420">IF(C420="","",IFERROR(XLOOKUP(C420,Assignments!$C:$C,Assignments!$AU:$AU,0),0))</f>
        <v/>
      </c>
      <c r="AR420" s="39">
        <f>IF(AND(Config!$B$1006="Y",AQ420=1),Config!$B$1007,0)</f>
        <v>0</v>
      </c>
    </row>
    <row r="421" ht="15.75" customHeight="1">
      <c r="A421" s="46" t="str">
        <f t="shared" si="1"/>
        <v/>
      </c>
      <c r="B421" s="40" t="str">
        <f>IF(Bids!$A420="","",Bids!$A420)</f>
        <v/>
      </c>
      <c r="C421" s="40" t="str">
        <f>IF(Bids!$B420="","",Bids!$B420)</f>
        <v/>
      </c>
      <c r="D421" s="40" t="str">
        <f>IF($C421="","",IFERROR(VLOOKUP($C421,Orders!$A$4:$J$998,9,FALSE),""))</f>
        <v/>
      </c>
      <c r="E421" s="40" t="str">
        <f>IF($C421="","",IFERROR(VLOOKUP($C421,Orders!$A$4:$J$998,3,FALSE),""))</f>
        <v/>
      </c>
      <c r="F421" s="40">
        <f t="shared" si="2"/>
        <v>1</v>
      </c>
      <c r="G421" s="40" t="str">
        <f>IF($C421="","",IFERROR(VLOOKUP($C421,Orders!$A$4:$J$998,4,FALSE),""))</f>
        <v/>
      </c>
      <c r="H421" s="40" t="str">
        <f>IF($C421="","",IFERROR(VLOOKUP($C421,Orders!$A$4:$J$998,5,FALSE),""))</f>
        <v/>
      </c>
      <c r="I421" s="40" t="str">
        <f>IF($C421="","",IFERROR(VLOOKUP($C421,Orders!$A$4:$J$998,6,FALSE),""))</f>
        <v/>
      </c>
      <c r="J421" s="40" t="str">
        <f>IF($C421="","",IFERROR(VLOOKUP($C421,Orders!$A$4:$J$998,7,FALSE),""))</f>
        <v/>
      </c>
      <c r="K421" s="40" t="str">
        <f>IF(Bids!$C420="","",Bids!$C420)</f>
        <v/>
      </c>
      <c r="L421" s="40" t="str">
        <f>IF($K421="","",IFERROR(VLOOKUP($K421,Grinders!$A$4:$N$998,2,FALSE),""))</f>
        <v/>
      </c>
      <c r="M421" s="40" t="str">
        <f>IF($K421="","",IFERROR(VLOOKUP($K421,Grinders!$A$4:$N$998,3,FALSE),""))</f>
        <v/>
      </c>
      <c r="N421" s="40" t="str">
        <f>IF($K421="","",IFERROR(VLOOKUP($K421,Grinders!$A$4:$N$998,4,FALSE),""))</f>
        <v/>
      </c>
      <c r="O421" s="40" t="str">
        <f>IF($K421="","",IFERROR(VLOOKUP($K421,Grinders!$A$4:$N$998,5,FALSE),""))</f>
        <v/>
      </c>
      <c r="P421" s="40" t="str">
        <f>IF($K421="","",IF($C$4="",0,COUNTIFS(Assignments!$B$6:$B$1000,$K421,Assignments!$F$6:$F$1000,$C$4,Assignments!$E$6:$E$1000,"Active")))</f>
        <v/>
      </c>
      <c r="Q421" s="40" t="str">
        <f t="shared" si="3"/>
        <v/>
      </c>
      <c r="R421" s="40" t="str">
        <f t="shared" si="4"/>
        <v/>
      </c>
      <c r="S421" s="40" t="str">
        <f>IF($K421="","",IF($C$4="",0,COUNTIFS(Assignments!$B$6:$B$1000,$K421,Assignments!$F$6:$F$1000,$C$4,Assignments!$D$6:$D$1000,"&gt;="&amp;Config!$B$3-7,Assignments!$D$6:$D$1000,"&lt;="&amp;Config!$B$3)))</f>
        <v/>
      </c>
      <c r="T421" s="40" t="str">
        <f>IF($K421="","",IFERROR(VLOOKUP($K421,Grinders!$A$4:$N$998,8,FALSE),""))</f>
        <v/>
      </c>
      <c r="U421" s="40" t="str">
        <f>IFERROR(IF($K421="","",IF($M421="Elite",MAX(50,MIN(100,Config!$B$27*MAX(0,MIN(100,(1-IF($R421="",0,$R421))*100)) + Config!$B$28*MAX(0,MIN(100,(1-MIN(1,IF(Config!$B$30=0,1,$S421/Config!$B$30)))*100)) + Config!$B$29*MAX(0,MIN(100,MIN(1,IF($T421="",0,$T421)/Config!$B$23)*100)))),MIN(100,Config!$B$27*MAX(0,MIN(100,(1-IF($R421="",0,$R421))*100)) + Config!$B$28*MAX(0,MIN(100,(1-MIN(1,IF(Config!$B$30=0,1,$S421/Config!$B$30)))*100)) + Config!$B$29*MAX(0,MIN(100,MIN(1,IF($T421="",0,$T421)/Config!$B$23)*100))))),"")
</f>
        <v/>
      </c>
      <c r="V421" s="40" t="str">
        <f>IF(Bids!$AC421="","",Bids!$AC421)</f>
        <v/>
      </c>
      <c r="W421" s="40" t="str">
        <f>IF(Bids!$F420="","",Bids!$F420)</f>
        <v/>
      </c>
      <c r="X421" s="40" t="str">
        <f t="shared" si="5"/>
        <v/>
      </c>
      <c r="Y421" s="40" t="str">
        <f>IF($X421="","",IF(Config!$B$17=Config!$B$16,IF($X421&gt;=Config!$B$17,100,0),MAX(0,MIN(100,($X421-Config!$B$16)/(Config!$B$17-Config!$B$16)*100))))</f>
        <v/>
      </c>
      <c r="Z421" s="40">
        <f>IF($M421="Elite",Config!$B$21,0)</f>
        <v>0</v>
      </c>
      <c r="AA421" s="40" t="str">
        <f>IFERROR(IF(OR($W421="",$H421=""),"",IF($W421&gt;$H421,
  MAX(0, 60-(($W421-$H421)*24/Config!$B$19)*60),
  MIN(100, 60+(($H421-$W421)*24/Config!$B$20)*40)
)),"")
</f>
        <v/>
      </c>
      <c r="AB421" s="40" t="str">
        <f>IF($K421="","",IFERROR(VLOOKUP($K421,Grinders!$A$4:$N$998,10,FALSE)/5*100,""))</f>
        <v/>
      </c>
      <c r="AC421" s="40" t="str">
        <f>IF($K421="","",IFERROR(VLOOKUP($K421,Grinders!$A$4:$N$998,11,FALSE)*100,""))</f>
        <v/>
      </c>
      <c r="AD421" s="40" t="str">
        <f>IF($K421="","",IFERROR(VLOOKUP($K421,Grinders!$A$4:$N$998,12,FALSE)*100,""))</f>
        <v/>
      </c>
      <c r="AE421" s="40" t="str">
        <f>IF(OR(AO421=1,AP421=1),0,=IFERROR(IFS(
    OR($C421="", $K421=""), 0,
    $F421=0, 0,
    $D421&lt;&gt;"Open", 0,
    COUNTIFS(GrinderServices!$A$6:$A$1000, $K421, GrinderServices!$B$6:$B$1000, $E421, GrinderServices!$D$6:$D$1000, "Y")=0, 0,
    $X421&lt;Config!$B$16, 0,
    Config!$B$18=1, IF($O421&gt;=N421, 0, 1),
    TRUE, 1
), "")
)</f>
        <v>#ERROR!</v>
      </c>
      <c r="AF421" s="40" t="str">
        <f>IFERROR((IF(OR(AO421=1,AP421=1),"",=IFERROR((IFERROR(IF($AE421=0,"",((Config!$B$6*$Y421 + Config!$B$7*$U421 + Config!$B$8*$Z421 + Config!$B$9*$AA421 + Config!$B$10*$AB421 + Config!$B$11*$AC421 - Config!$B$12*$AD421)/Config!$B$13)+$AK421+$AL421),""))*(1-IFERROR(VLOOKUP(K421,Grinders!$A:$AB, 28, FALSE),0)),"")))*(1+AR421),"")</f>
        <v>#ERROR!</v>
      </c>
      <c r="AG421" s="40" t="str">
        <f t="shared" si="6"/>
        <v>#ERROR!</v>
      </c>
      <c r="AH421" s="40" t="str">
        <f t="shared" si="7"/>
        <v/>
      </c>
      <c r="AI421" s="40" t="str">
        <f t="shared" si="8"/>
        <v/>
      </c>
      <c r="AJ421" s="40" t="str">
        <f>IF($K421="","",COUNTIF(Assignments!$B$6:$B$1000,$K421))</f>
        <v/>
      </c>
      <c r="AK421" s="40" t="str">
        <f>IF($K421="","",IF(AND($AJ421=0,$O421&lt;$N421),Config!$B$43,0))</f>
        <v/>
      </c>
      <c r="AL421" s="40" t="str">
        <f>IF($K421="","",IF(AND($M421="Elite",$G421&gt;=Config!$B$41,$O421&lt;$N421),Config!$B$42,0))</f>
        <v/>
      </c>
      <c r="AM421" s="22"/>
      <c r="AN421" s="39">
        <f>IFERROR(VLOOKUP(K421,Grinders!$A:$Q,28,FALSE),0)</f>
        <v>0</v>
      </c>
      <c r="AO421" s="39">
        <f>IF(Config!$B$1003&lt;&gt;"Y",0,IF(IFERROR(VLOOKUP(K421,Grinders!$A:$P,27,FALSE),0)&gt;=3,IF(OR(G421&gt;=Config!$B$1001,ISNUMBER(SEARCH(E421,Config!$B$1002))),1,0),0))</f>
        <v>0</v>
      </c>
      <c r="AP421" s="39">
        <f t="array" ref="AP421">IFERROR(IF(INDEX(Bids!$AE:$AE,MATCH(B421,Bids!$A:$A,0))="Pending",1,0),0)</f>
        <v>0</v>
      </c>
      <c r="AQ421" s="39" t="str">
        <f t="array" ref="AQ421">IF(C421="","",IFERROR(XLOOKUP(C421,Assignments!$C:$C,Assignments!$AU:$AU,0),0))</f>
        <v/>
      </c>
      <c r="AR421" s="39">
        <f>IF(AND(Config!$B$1006="Y",AQ421=1),Config!$B$1007,0)</f>
        <v>0</v>
      </c>
    </row>
    <row r="422" ht="15.75" customHeight="1">
      <c r="A422" s="46" t="str">
        <f t="shared" si="1"/>
        <v/>
      </c>
      <c r="B422" s="40" t="str">
        <f>IF(Bids!$A421="","",Bids!$A421)</f>
        <v/>
      </c>
      <c r="C422" s="40" t="str">
        <f>IF(Bids!$B421="","",Bids!$B421)</f>
        <v/>
      </c>
      <c r="D422" s="40" t="str">
        <f>IF($C422="","",IFERROR(VLOOKUP($C422,Orders!$A$4:$J$998,9,FALSE),""))</f>
        <v/>
      </c>
      <c r="E422" s="40" t="str">
        <f>IF($C422="","",IFERROR(VLOOKUP($C422,Orders!$A$4:$J$998,3,FALSE),""))</f>
        <v/>
      </c>
      <c r="F422" s="40">
        <f t="shared" si="2"/>
        <v>1</v>
      </c>
      <c r="G422" s="40" t="str">
        <f>IF($C422="","",IFERROR(VLOOKUP($C422,Orders!$A$4:$J$998,4,FALSE),""))</f>
        <v/>
      </c>
      <c r="H422" s="40" t="str">
        <f>IF($C422="","",IFERROR(VLOOKUP($C422,Orders!$A$4:$J$998,5,FALSE),""))</f>
        <v/>
      </c>
      <c r="I422" s="40" t="str">
        <f>IF($C422="","",IFERROR(VLOOKUP($C422,Orders!$A$4:$J$998,6,FALSE),""))</f>
        <v/>
      </c>
      <c r="J422" s="40" t="str">
        <f>IF($C422="","",IFERROR(VLOOKUP($C422,Orders!$A$4:$J$998,7,FALSE),""))</f>
        <v/>
      </c>
      <c r="K422" s="40" t="str">
        <f>IF(Bids!$C421="","",Bids!$C421)</f>
        <v/>
      </c>
      <c r="L422" s="40" t="str">
        <f>IF($K422="","",IFERROR(VLOOKUP($K422,Grinders!$A$4:$N$998,2,FALSE),""))</f>
        <v/>
      </c>
      <c r="M422" s="40" t="str">
        <f>IF($K422="","",IFERROR(VLOOKUP($K422,Grinders!$A$4:$N$998,3,FALSE),""))</f>
        <v/>
      </c>
      <c r="N422" s="40" t="str">
        <f>IF($K422="","",IFERROR(VLOOKUP($K422,Grinders!$A$4:$N$998,4,FALSE),""))</f>
        <v/>
      </c>
      <c r="O422" s="40" t="str">
        <f>IF($K422="","",IFERROR(VLOOKUP($K422,Grinders!$A$4:$N$998,5,FALSE),""))</f>
        <v/>
      </c>
      <c r="P422" s="40" t="str">
        <f>IF($K422="","",IF($C$4="",0,COUNTIFS(Assignments!$B$6:$B$1000,$K422,Assignments!$F$6:$F$1000,$C$4,Assignments!$E$6:$E$1000,"Active")))</f>
        <v/>
      </c>
      <c r="Q422" s="40" t="str">
        <f t="shared" si="3"/>
        <v/>
      </c>
      <c r="R422" s="40" t="str">
        <f t="shared" si="4"/>
        <v/>
      </c>
      <c r="S422" s="40" t="str">
        <f>IF($K422="","",IF($C$4="",0,COUNTIFS(Assignments!$B$6:$B$1000,$K422,Assignments!$F$6:$F$1000,$C$4,Assignments!$D$6:$D$1000,"&gt;="&amp;Config!$B$3-7,Assignments!$D$6:$D$1000,"&lt;="&amp;Config!$B$3)))</f>
        <v/>
      </c>
      <c r="T422" s="40" t="str">
        <f>IF($K422="","",IFERROR(VLOOKUP($K422,Grinders!$A$4:$N$998,8,FALSE),""))</f>
        <v/>
      </c>
      <c r="U422" s="40" t="str">
        <f>IFERROR(IF($K422="","",IF($M422="Elite",MAX(50,MIN(100,Config!$B$27*MAX(0,MIN(100,(1-IF($R422="",0,$R422))*100)) + Config!$B$28*MAX(0,MIN(100,(1-MIN(1,IF(Config!$B$30=0,1,$S422/Config!$B$30)))*100)) + Config!$B$29*MAX(0,MIN(100,MIN(1,IF($T422="",0,$T422)/Config!$B$23)*100)))),MIN(100,Config!$B$27*MAX(0,MIN(100,(1-IF($R422="",0,$R422))*100)) + Config!$B$28*MAX(0,MIN(100,(1-MIN(1,IF(Config!$B$30=0,1,$S422/Config!$B$30)))*100)) + Config!$B$29*MAX(0,MIN(100,MIN(1,IF($T422="",0,$T422)/Config!$B$23)*100))))),"")
</f>
        <v/>
      </c>
      <c r="V422" s="40" t="str">
        <f>IF(Bids!$AC422="","",Bids!$AC422)</f>
        <v/>
      </c>
      <c r="W422" s="40" t="str">
        <f>IF(Bids!$F421="","",Bids!$F421)</f>
        <v/>
      </c>
      <c r="X422" s="40" t="str">
        <f t="shared" si="5"/>
        <v/>
      </c>
      <c r="Y422" s="40" t="str">
        <f>IF($X422="","",IF(Config!$B$17=Config!$B$16,IF($X422&gt;=Config!$B$17,100,0),MAX(0,MIN(100,($X422-Config!$B$16)/(Config!$B$17-Config!$B$16)*100))))</f>
        <v/>
      </c>
      <c r="Z422" s="40">
        <f>IF($M422="Elite",Config!$B$21,0)</f>
        <v>0</v>
      </c>
      <c r="AA422" s="40" t="str">
        <f>IFERROR(IF(OR($W422="",$H422=""),"",IF($W422&gt;$H422,
  MAX(0, 60-(($W422-$H422)*24/Config!$B$19)*60),
  MIN(100, 60+(($H422-$W422)*24/Config!$B$20)*40)
)),"")
</f>
        <v/>
      </c>
      <c r="AB422" s="40" t="str">
        <f>IF($K422="","",IFERROR(VLOOKUP($K422,Grinders!$A$4:$N$998,10,FALSE)/5*100,""))</f>
        <v/>
      </c>
      <c r="AC422" s="40" t="str">
        <f>IF($K422="","",IFERROR(VLOOKUP($K422,Grinders!$A$4:$N$998,11,FALSE)*100,""))</f>
        <v/>
      </c>
      <c r="AD422" s="40" t="str">
        <f>IF($K422="","",IFERROR(VLOOKUP($K422,Grinders!$A$4:$N$998,12,FALSE)*100,""))</f>
        <v/>
      </c>
      <c r="AE422" s="40" t="str">
        <f>IF(OR(AO422=1,AP422=1),0,=IFERROR(IFS(
    OR($C422="", $K422=""), 0,
    $F422=0, 0,
    $D422&lt;&gt;"Open", 0,
    COUNTIFS(GrinderServices!$A$6:$A$1000, $K422, GrinderServices!$B$6:$B$1000, $E422, GrinderServices!$D$6:$D$1000, "Y")=0, 0,
    $X422&lt;Config!$B$16, 0,
    Config!$B$18=1, IF($O422&gt;=N422, 0, 1),
    TRUE, 1
), "")
)</f>
        <v>#ERROR!</v>
      </c>
      <c r="AF422" s="40" t="str">
        <f>IFERROR((IF(OR(AO422=1,AP422=1),"",=IFERROR((IFERROR(IF($AE422=0,"",((Config!$B$6*$Y422 + Config!$B$7*$U422 + Config!$B$8*$Z422 + Config!$B$9*$AA422 + Config!$B$10*$AB422 + Config!$B$11*$AC422 - Config!$B$12*$AD422)/Config!$B$13)+$AK422+$AL422),""))*(1-IFERROR(VLOOKUP(K422,Grinders!$A:$AB, 28, FALSE),0)),"")))*(1+AR422),"")</f>
        <v>#ERROR!</v>
      </c>
      <c r="AG422" s="40" t="str">
        <f t="shared" si="6"/>
        <v>#ERROR!</v>
      </c>
      <c r="AH422" s="40" t="str">
        <f t="shared" si="7"/>
        <v/>
      </c>
      <c r="AI422" s="40" t="str">
        <f t="shared" si="8"/>
        <v/>
      </c>
      <c r="AJ422" s="40" t="str">
        <f>IF($K422="","",COUNTIF(Assignments!$B$6:$B$1000,$K422))</f>
        <v/>
      </c>
      <c r="AK422" s="40" t="str">
        <f>IF($K422="","",IF(AND($AJ422=0,$O422&lt;$N422),Config!$B$43,0))</f>
        <v/>
      </c>
      <c r="AL422" s="40" t="str">
        <f>IF($K422="","",IF(AND($M422="Elite",$G422&gt;=Config!$B$41,$O422&lt;$N422),Config!$B$42,0))</f>
        <v/>
      </c>
      <c r="AM422" s="22"/>
      <c r="AN422" s="39">
        <f>IFERROR(VLOOKUP(K422,Grinders!$A:$Q,28,FALSE),0)</f>
        <v>0</v>
      </c>
      <c r="AO422" s="39">
        <f>IF(Config!$B$1003&lt;&gt;"Y",0,IF(IFERROR(VLOOKUP(K422,Grinders!$A:$P,27,FALSE),0)&gt;=3,IF(OR(G422&gt;=Config!$B$1001,ISNUMBER(SEARCH(E422,Config!$B$1002))),1,0),0))</f>
        <v>0</v>
      </c>
      <c r="AP422" s="39">
        <f t="array" ref="AP422">IFERROR(IF(INDEX(Bids!$AE:$AE,MATCH(B422,Bids!$A:$A,0))="Pending",1,0),0)</f>
        <v>0</v>
      </c>
      <c r="AQ422" s="39" t="str">
        <f t="array" ref="AQ422">IF(C422="","",IFERROR(XLOOKUP(C422,Assignments!$C:$C,Assignments!$AU:$AU,0),0))</f>
        <v/>
      </c>
      <c r="AR422" s="39">
        <f>IF(AND(Config!$B$1006="Y",AQ422=1),Config!$B$1007,0)</f>
        <v>0</v>
      </c>
    </row>
    <row r="423" ht="15.75" customHeight="1">
      <c r="A423" s="46" t="str">
        <f t="shared" si="1"/>
        <v/>
      </c>
      <c r="B423" s="40" t="str">
        <f>IF(Bids!$A422="","",Bids!$A422)</f>
        <v/>
      </c>
      <c r="C423" s="40" t="str">
        <f>IF(Bids!$B422="","",Bids!$B422)</f>
        <v/>
      </c>
      <c r="D423" s="40" t="str">
        <f>IF($C423="","",IFERROR(VLOOKUP($C423,Orders!$A$4:$J$998,9,FALSE),""))</f>
        <v/>
      </c>
      <c r="E423" s="40" t="str">
        <f>IF($C423="","",IFERROR(VLOOKUP($C423,Orders!$A$4:$J$998,3,FALSE),""))</f>
        <v/>
      </c>
      <c r="F423" s="40">
        <f t="shared" si="2"/>
        <v>1</v>
      </c>
      <c r="G423" s="40" t="str">
        <f>IF($C423="","",IFERROR(VLOOKUP($C423,Orders!$A$4:$J$998,4,FALSE),""))</f>
        <v/>
      </c>
      <c r="H423" s="40" t="str">
        <f>IF($C423="","",IFERROR(VLOOKUP($C423,Orders!$A$4:$J$998,5,FALSE),""))</f>
        <v/>
      </c>
      <c r="I423" s="40" t="str">
        <f>IF($C423="","",IFERROR(VLOOKUP($C423,Orders!$A$4:$J$998,6,FALSE),""))</f>
        <v/>
      </c>
      <c r="J423" s="40" t="str">
        <f>IF($C423="","",IFERROR(VLOOKUP($C423,Orders!$A$4:$J$998,7,FALSE),""))</f>
        <v/>
      </c>
      <c r="K423" s="40" t="str">
        <f>IF(Bids!$C422="","",Bids!$C422)</f>
        <v/>
      </c>
      <c r="L423" s="40" t="str">
        <f>IF($K423="","",IFERROR(VLOOKUP($K423,Grinders!$A$4:$N$998,2,FALSE),""))</f>
        <v/>
      </c>
      <c r="M423" s="40" t="str">
        <f>IF($K423="","",IFERROR(VLOOKUP($K423,Grinders!$A$4:$N$998,3,FALSE),""))</f>
        <v/>
      </c>
      <c r="N423" s="40" t="str">
        <f>IF($K423="","",IFERROR(VLOOKUP($K423,Grinders!$A$4:$N$998,4,FALSE),""))</f>
        <v/>
      </c>
      <c r="O423" s="40" t="str">
        <f>IF($K423="","",IFERROR(VLOOKUP($K423,Grinders!$A$4:$N$998,5,FALSE),""))</f>
        <v/>
      </c>
      <c r="P423" s="40" t="str">
        <f>IF($K423="","",IF($C$4="",0,COUNTIFS(Assignments!$B$6:$B$1000,$K423,Assignments!$F$6:$F$1000,$C$4,Assignments!$E$6:$E$1000,"Active")))</f>
        <v/>
      </c>
      <c r="Q423" s="40" t="str">
        <f t="shared" si="3"/>
        <v/>
      </c>
      <c r="R423" s="40" t="str">
        <f t="shared" si="4"/>
        <v/>
      </c>
      <c r="S423" s="40" t="str">
        <f>IF($K423="","",IF($C$4="",0,COUNTIFS(Assignments!$B$6:$B$1000,$K423,Assignments!$F$6:$F$1000,$C$4,Assignments!$D$6:$D$1000,"&gt;="&amp;Config!$B$3-7,Assignments!$D$6:$D$1000,"&lt;="&amp;Config!$B$3)))</f>
        <v/>
      </c>
      <c r="T423" s="40" t="str">
        <f>IF($K423="","",IFERROR(VLOOKUP($K423,Grinders!$A$4:$N$998,8,FALSE),""))</f>
        <v/>
      </c>
      <c r="U423" s="40" t="str">
        <f>IFERROR(IF($K423="","",IF($M423="Elite",MAX(50,MIN(100,Config!$B$27*MAX(0,MIN(100,(1-IF($R423="",0,$R423))*100)) + Config!$B$28*MAX(0,MIN(100,(1-MIN(1,IF(Config!$B$30=0,1,$S423/Config!$B$30)))*100)) + Config!$B$29*MAX(0,MIN(100,MIN(1,IF($T423="",0,$T423)/Config!$B$23)*100)))),MIN(100,Config!$B$27*MAX(0,MIN(100,(1-IF($R423="",0,$R423))*100)) + Config!$B$28*MAX(0,MIN(100,(1-MIN(1,IF(Config!$B$30=0,1,$S423/Config!$B$30)))*100)) + Config!$B$29*MAX(0,MIN(100,MIN(1,IF($T423="",0,$T423)/Config!$B$23)*100))))),"")
</f>
        <v/>
      </c>
      <c r="V423" s="40" t="str">
        <f>IF(Bids!$AC423="","",Bids!$AC423)</f>
        <v/>
      </c>
      <c r="W423" s="40" t="str">
        <f>IF(Bids!$F422="","",Bids!$F422)</f>
        <v/>
      </c>
      <c r="X423" s="40" t="str">
        <f t="shared" si="5"/>
        <v/>
      </c>
      <c r="Y423" s="40" t="str">
        <f>IF($X423="","",IF(Config!$B$17=Config!$B$16,IF($X423&gt;=Config!$B$17,100,0),MAX(0,MIN(100,($X423-Config!$B$16)/(Config!$B$17-Config!$B$16)*100))))</f>
        <v/>
      </c>
      <c r="Z423" s="40">
        <f>IF($M423="Elite",Config!$B$21,0)</f>
        <v>0</v>
      </c>
      <c r="AA423" s="40" t="str">
        <f>IFERROR(IF(OR($W423="",$H423=""),"",IF($W423&gt;$H423,
  MAX(0, 60-(($W423-$H423)*24/Config!$B$19)*60),
  MIN(100, 60+(($H423-$W423)*24/Config!$B$20)*40)
)),"")
</f>
        <v/>
      </c>
      <c r="AB423" s="40" t="str">
        <f>IF($K423="","",IFERROR(VLOOKUP($K423,Grinders!$A$4:$N$998,10,FALSE)/5*100,""))</f>
        <v/>
      </c>
      <c r="AC423" s="40" t="str">
        <f>IF($K423="","",IFERROR(VLOOKUP($K423,Grinders!$A$4:$N$998,11,FALSE)*100,""))</f>
        <v/>
      </c>
      <c r="AD423" s="40" t="str">
        <f>IF($K423="","",IFERROR(VLOOKUP($K423,Grinders!$A$4:$N$998,12,FALSE)*100,""))</f>
        <v/>
      </c>
      <c r="AE423" s="40" t="str">
        <f>IF(OR(AO423=1,AP423=1),0,=IFERROR(IFS(
    OR($C423="", $K423=""), 0,
    $F423=0, 0,
    $D423&lt;&gt;"Open", 0,
    COUNTIFS(GrinderServices!$A$6:$A$1000, $K423, GrinderServices!$B$6:$B$1000, $E423, GrinderServices!$D$6:$D$1000, "Y")=0, 0,
    $X423&lt;Config!$B$16, 0,
    Config!$B$18=1, IF($O423&gt;=N423, 0, 1),
    TRUE, 1
), "")
)</f>
        <v>#ERROR!</v>
      </c>
      <c r="AF423" s="40" t="str">
        <f>IFERROR((IF(OR(AO423=1,AP423=1),"",=IFERROR((IFERROR(IF($AE423=0,"",((Config!$B$6*$Y423 + Config!$B$7*$U423 + Config!$B$8*$Z423 + Config!$B$9*$AA423 + Config!$B$10*$AB423 + Config!$B$11*$AC423 - Config!$B$12*$AD423)/Config!$B$13)+$AK423+$AL423),""))*(1-IFERROR(VLOOKUP(K423,Grinders!$A:$AB, 28, FALSE),0)),"")))*(1+AR423),"")</f>
        <v>#ERROR!</v>
      </c>
      <c r="AG423" s="40" t="str">
        <f t="shared" si="6"/>
        <v>#ERROR!</v>
      </c>
      <c r="AH423" s="40" t="str">
        <f t="shared" si="7"/>
        <v/>
      </c>
      <c r="AI423" s="40" t="str">
        <f t="shared" si="8"/>
        <v/>
      </c>
      <c r="AJ423" s="40" t="str">
        <f>IF($K423="","",COUNTIF(Assignments!$B$6:$B$1000,$K423))</f>
        <v/>
      </c>
      <c r="AK423" s="40" t="str">
        <f>IF($K423="","",IF(AND($AJ423=0,$O423&lt;$N423),Config!$B$43,0))</f>
        <v/>
      </c>
      <c r="AL423" s="40" t="str">
        <f>IF($K423="","",IF(AND($M423="Elite",$G423&gt;=Config!$B$41,$O423&lt;$N423),Config!$B$42,0))</f>
        <v/>
      </c>
      <c r="AM423" s="22"/>
      <c r="AN423" s="39">
        <f>IFERROR(VLOOKUP(K423,Grinders!$A:$Q,28,FALSE),0)</f>
        <v>0</v>
      </c>
      <c r="AO423" s="39">
        <f>IF(Config!$B$1003&lt;&gt;"Y",0,IF(IFERROR(VLOOKUP(K423,Grinders!$A:$P,27,FALSE),0)&gt;=3,IF(OR(G423&gt;=Config!$B$1001,ISNUMBER(SEARCH(E423,Config!$B$1002))),1,0),0))</f>
        <v>0</v>
      </c>
      <c r="AP423" s="39">
        <f t="array" ref="AP423">IFERROR(IF(INDEX(Bids!$AE:$AE,MATCH(B423,Bids!$A:$A,0))="Pending",1,0),0)</f>
        <v>0</v>
      </c>
      <c r="AQ423" s="39" t="str">
        <f t="array" ref="AQ423">IF(C423="","",IFERROR(XLOOKUP(C423,Assignments!$C:$C,Assignments!$AU:$AU,0),0))</f>
        <v/>
      </c>
      <c r="AR423" s="39">
        <f>IF(AND(Config!$B$1006="Y",AQ423=1),Config!$B$1007,0)</f>
        <v>0</v>
      </c>
    </row>
    <row r="424" ht="15.75" customHeight="1">
      <c r="A424" s="46" t="str">
        <f t="shared" si="1"/>
        <v/>
      </c>
      <c r="B424" s="40" t="str">
        <f>IF(Bids!$A423="","",Bids!$A423)</f>
        <v/>
      </c>
      <c r="C424" s="40" t="str">
        <f>IF(Bids!$B423="","",Bids!$B423)</f>
        <v/>
      </c>
      <c r="D424" s="40" t="str">
        <f>IF($C424="","",IFERROR(VLOOKUP($C424,Orders!$A$4:$J$998,9,FALSE),""))</f>
        <v/>
      </c>
      <c r="E424" s="40" t="str">
        <f>IF($C424="","",IFERROR(VLOOKUP($C424,Orders!$A$4:$J$998,3,FALSE),""))</f>
        <v/>
      </c>
      <c r="F424" s="40">
        <f t="shared" si="2"/>
        <v>1</v>
      </c>
      <c r="G424" s="40" t="str">
        <f>IF($C424="","",IFERROR(VLOOKUP($C424,Orders!$A$4:$J$998,4,FALSE),""))</f>
        <v/>
      </c>
      <c r="H424" s="40" t="str">
        <f>IF($C424="","",IFERROR(VLOOKUP($C424,Orders!$A$4:$J$998,5,FALSE),""))</f>
        <v/>
      </c>
      <c r="I424" s="40" t="str">
        <f>IF($C424="","",IFERROR(VLOOKUP($C424,Orders!$A$4:$J$998,6,FALSE),""))</f>
        <v/>
      </c>
      <c r="J424" s="40" t="str">
        <f>IF($C424="","",IFERROR(VLOOKUP($C424,Orders!$A$4:$J$998,7,FALSE),""))</f>
        <v/>
      </c>
      <c r="K424" s="40" t="str">
        <f>IF(Bids!$C423="","",Bids!$C423)</f>
        <v/>
      </c>
      <c r="L424" s="40" t="str">
        <f>IF($K424="","",IFERROR(VLOOKUP($K424,Grinders!$A$4:$N$998,2,FALSE),""))</f>
        <v/>
      </c>
      <c r="M424" s="40" t="str">
        <f>IF($K424="","",IFERROR(VLOOKUP($K424,Grinders!$A$4:$N$998,3,FALSE),""))</f>
        <v/>
      </c>
      <c r="N424" s="40" t="str">
        <f>IF($K424="","",IFERROR(VLOOKUP($K424,Grinders!$A$4:$N$998,4,FALSE),""))</f>
        <v/>
      </c>
      <c r="O424" s="40" t="str">
        <f>IF($K424="","",IFERROR(VLOOKUP($K424,Grinders!$A$4:$N$998,5,FALSE),""))</f>
        <v/>
      </c>
      <c r="P424" s="40" t="str">
        <f>IF($K424="","",IF($C$4="",0,COUNTIFS(Assignments!$B$6:$B$1000,$K424,Assignments!$F$6:$F$1000,$C$4,Assignments!$E$6:$E$1000,"Active")))</f>
        <v/>
      </c>
      <c r="Q424" s="40" t="str">
        <f t="shared" si="3"/>
        <v/>
      </c>
      <c r="R424" s="40" t="str">
        <f t="shared" si="4"/>
        <v/>
      </c>
      <c r="S424" s="40" t="str">
        <f>IF($K424="","",IF($C$4="",0,COUNTIFS(Assignments!$B$6:$B$1000,$K424,Assignments!$F$6:$F$1000,$C$4,Assignments!$D$6:$D$1000,"&gt;="&amp;Config!$B$3-7,Assignments!$D$6:$D$1000,"&lt;="&amp;Config!$B$3)))</f>
        <v/>
      </c>
      <c r="T424" s="40" t="str">
        <f>IF($K424="","",IFERROR(VLOOKUP($K424,Grinders!$A$4:$N$998,8,FALSE),""))</f>
        <v/>
      </c>
      <c r="U424" s="40" t="str">
        <f>IFERROR(IF($K424="","",IF($M424="Elite",MAX(50,MIN(100,Config!$B$27*MAX(0,MIN(100,(1-IF($R424="",0,$R424))*100)) + Config!$B$28*MAX(0,MIN(100,(1-MIN(1,IF(Config!$B$30=0,1,$S424/Config!$B$30)))*100)) + Config!$B$29*MAX(0,MIN(100,MIN(1,IF($T424="",0,$T424)/Config!$B$23)*100)))),MIN(100,Config!$B$27*MAX(0,MIN(100,(1-IF($R424="",0,$R424))*100)) + Config!$B$28*MAX(0,MIN(100,(1-MIN(1,IF(Config!$B$30=0,1,$S424/Config!$B$30)))*100)) + Config!$B$29*MAX(0,MIN(100,MIN(1,IF($T424="",0,$T424)/Config!$B$23)*100))))),"")
</f>
        <v/>
      </c>
      <c r="V424" s="40" t="str">
        <f>IF(Bids!$AC424="","",Bids!$AC424)</f>
        <v/>
      </c>
      <c r="W424" s="40" t="str">
        <f>IF(Bids!$F423="","",Bids!$F423)</f>
        <v/>
      </c>
      <c r="X424" s="40" t="str">
        <f t="shared" si="5"/>
        <v/>
      </c>
      <c r="Y424" s="40" t="str">
        <f>IF($X424="","",IF(Config!$B$17=Config!$B$16,IF($X424&gt;=Config!$B$17,100,0),MAX(0,MIN(100,($X424-Config!$B$16)/(Config!$B$17-Config!$B$16)*100))))</f>
        <v/>
      </c>
      <c r="Z424" s="40">
        <f>IF($M424="Elite",Config!$B$21,0)</f>
        <v>0</v>
      </c>
      <c r="AA424" s="40" t="str">
        <f>IFERROR(IF(OR($W424="",$H424=""),"",IF($W424&gt;$H424,
  MAX(0, 60-(($W424-$H424)*24/Config!$B$19)*60),
  MIN(100, 60+(($H424-$W424)*24/Config!$B$20)*40)
)),"")
</f>
        <v/>
      </c>
      <c r="AB424" s="40" t="str">
        <f>IF($K424="","",IFERROR(VLOOKUP($K424,Grinders!$A$4:$N$998,10,FALSE)/5*100,""))</f>
        <v/>
      </c>
      <c r="AC424" s="40" t="str">
        <f>IF($K424="","",IFERROR(VLOOKUP($K424,Grinders!$A$4:$N$998,11,FALSE)*100,""))</f>
        <v/>
      </c>
      <c r="AD424" s="40" t="str">
        <f>IF($K424="","",IFERROR(VLOOKUP($K424,Grinders!$A$4:$N$998,12,FALSE)*100,""))</f>
        <v/>
      </c>
      <c r="AE424" s="40" t="str">
        <f>IF(OR(AO424=1,AP424=1),0,=IFERROR(IFS(
    OR($C424="", $K424=""), 0,
    $F424=0, 0,
    $D424&lt;&gt;"Open", 0,
    COUNTIFS(GrinderServices!$A$6:$A$1000, $K424, GrinderServices!$B$6:$B$1000, $E424, GrinderServices!$D$6:$D$1000, "Y")=0, 0,
    $X424&lt;Config!$B$16, 0,
    Config!$B$18=1, IF($O424&gt;=N424, 0, 1),
    TRUE, 1
), "")
)</f>
        <v>#ERROR!</v>
      </c>
      <c r="AF424" s="40" t="str">
        <f>IFERROR((IF(OR(AO424=1,AP424=1),"",=IFERROR((IFERROR(IF($AE424=0,"",((Config!$B$6*$Y424 + Config!$B$7*$U424 + Config!$B$8*$Z424 + Config!$B$9*$AA424 + Config!$B$10*$AB424 + Config!$B$11*$AC424 - Config!$B$12*$AD424)/Config!$B$13)+$AK424+$AL424),""))*(1-IFERROR(VLOOKUP(K424,Grinders!$A:$AB, 28, FALSE),0)),"")))*(1+AR424),"")</f>
        <v>#ERROR!</v>
      </c>
      <c r="AG424" s="40" t="str">
        <f t="shared" si="6"/>
        <v>#ERROR!</v>
      </c>
      <c r="AH424" s="40" t="str">
        <f t="shared" si="7"/>
        <v/>
      </c>
      <c r="AI424" s="40" t="str">
        <f t="shared" si="8"/>
        <v/>
      </c>
      <c r="AJ424" s="40" t="str">
        <f>IF($K424="","",COUNTIF(Assignments!$B$6:$B$1000,$K424))</f>
        <v/>
      </c>
      <c r="AK424" s="40" t="str">
        <f>IF($K424="","",IF(AND($AJ424=0,$O424&lt;$N424),Config!$B$43,0))</f>
        <v/>
      </c>
      <c r="AL424" s="40" t="str">
        <f>IF($K424="","",IF(AND($M424="Elite",$G424&gt;=Config!$B$41,$O424&lt;$N424),Config!$B$42,0))</f>
        <v/>
      </c>
      <c r="AM424" s="22"/>
      <c r="AN424" s="39">
        <f>IFERROR(VLOOKUP(K424,Grinders!$A:$Q,28,FALSE),0)</f>
        <v>0</v>
      </c>
      <c r="AO424" s="39">
        <f>IF(Config!$B$1003&lt;&gt;"Y",0,IF(IFERROR(VLOOKUP(K424,Grinders!$A:$P,27,FALSE),0)&gt;=3,IF(OR(G424&gt;=Config!$B$1001,ISNUMBER(SEARCH(E424,Config!$B$1002))),1,0),0))</f>
        <v>0</v>
      </c>
      <c r="AP424" s="39">
        <f t="array" ref="AP424">IFERROR(IF(INDEX(Bids!$AE:$AE,MATCH(B424,Bids!$A:$A,0))="Pending",1,0),0)</f>
        <v>0</v>
      </c>
      <c r="AQ424" s="39" t="str">
        <f t="array" ref="AQ424">IF(C424="","",IFERROR(XLOOKUP(C424,Assignments!$C:$C,Assignments!$AU:$AU,0),0))</f>
        <v/>
      </c>
      <c r="AR424" s="39">
        <f>IF(AND(Config!$B$1006="Y",AQ424=1),Config!$B$1007,0)</f>
        <v>0</v>
      </c>
    </row>
    <row r="425" ht="15.75" customHeight="1">
      <c r="A425" s="46" t="str">
        <f t="shared" si="1"/>
        <v/>
      </c>
      <c r="B425" s="40" t="str">
        <f>IF(Bids!$A424="","",Bids!$A424)</f>
        <v/>
      </c>
      <c r="C425" s="40" t="str">
        <f>IF(Bids!$B424="","",Bids!$B424)</f>
        <v/>
      </c>
      <c r="D425" s="40" t="str">
        <f>IF($C425="","",IFERROR(VLOOKUP($C425,Orders!$A$4:$J$998,9,FALSE),""))</f>
        <v/>
      </c>
      <c r="E425" s="40" t="str">
        <f>IF($C425="","",IFERROR(VLOOKUP($C425,Orders!$A$4:$J$998,3,FALSE),""))</f>
        <v/>
      </c>
      <c r="F425" s="40">
        <f t="shared" si="2"/>
        <v>1</v>
      </c>
      <c r="G425" s="40" t="str">
        <f>IF($C425="","",IFERROR(VLOOKUP($C425,Orders!$A$4:$J$998,4,FALSE),""))</f>
        <v/>
      </c>
      <c r="H425" s="40" t="str">
        <f>IF($C425="","",IFERROR(VLOOKUP($C425,Orders!$A$4:$J$998,5,FALSE),""))</f>
        <v/>
      </c>
      <c r="I425" s="40" t="str">
        <f>IF($C425="","",IFERROR(VLOOKUP($C425,Orders!$A$4:$J$998,6,FALSE),""))</f>
        <v/>
      </c>
      <c r="J425" s="40" t="str">
        <f>IF($C425="","",IFERROR(VLOOKUP($C425,Orders!$A$4:$J$998,7,FALSE),""))</f>
        <v/>
      </c>
      <c r="K425" s="40" t="str">
        <f>IF(Bids!$C424="","",Bids!$C424)</f>
        <v/>
      </c>
      <c r="L425" s="40" t="str">
        <f>IF($K425="","",IFERROR(VLOOKUP($K425,Grinders!$A$4:$N$998,2,FALSE),""))</f>
        <v/>
      </c>
      <c r="M425" s="40" t="str">
        <f>IF($K425="","",IFERROR(VLOOKUP($K425,Grinders!$A$4:$N$998,3,FALSE),""))</f>
        <v/>
      </c>
      <c r="N425" s="40" t="str">
        <f>IF($K425="","",IFERROR(VLOOKUP($K425,Grinders!$A$4:$N$998,4,FALSE),""))</f>
        <v/>
      </c>
      <c r="O425" s="40" t="str">
        <f>IF($K425="","",IFERROR(VLOOKUP($K425,Grinders!$A$4:$N$998,5,FALSE),""))</f>
        <v/>
      </c>
      <c r="P425" s="40" t="str">
        <f>IF($K425="","",IF($C$4="",0,COUNTIFS(Assignments!$B$6:$B$1000,$K425,Assignments!$F$6:$F$1000,$C$4,Assignments!$E$6:$E$1000,"Active")))</f>
        <v/>
      </c>
      <c r="Q425" s="40" t="str">
        <f t="shared" si="3"/>
        <v/>
      </c>
      <c r="R425" s="40" t="str">
        <f t="shared" si="4"/>
        <v/>
      </c>
      <c r="S425" s="40" t="str">
        <f>IF($K425="","",IF($C$4="",0,COUNTIFS(Assignments!$B$6:$B$1000,$K425,Assignments!$F$6:$F$1000,$C$4,Assignments!$D$6:$D$1000,"&gt;="&amp;Config!$B$3-7,Assignments!$D$6:$D$1000,"&lt;="&amp;Config!$B$3)))</f>
        <v/>
      </c>
      <c r="T425" s="40" t="str">
        <f>IF($K425="","",IFERROR(VLOOKUP($K425,Grinders!$A$4:$N$998,8,FALSE),""))</f>
        <v/>
      </c>
      <c r="U425" s="40" t="str">
        <f>IFERROR(IF($K425="","",IF($M425="Elite",MAX(50,MIN(100,Config!$B$27*MAX(0,MIN(100,(1-IF($R425="",0,$R425))*100)) + Config!$B$28*MAX(0,MIN(100,(1-MIN(1,IF(Config!$B$30=0,1,$S425/Config!$B$30)))*100)) + Config!$B$29*MAX(0,MIN(100,MIN(1,IF($T425="",0,$T425)/Config!$B$23)*100)))),MIN(100,Config!$B$27*MAX(0,MIN(100,(1-IF($R425="",0,$R425))*100)) + Config!$B$28*MAX(0,MIN(100,(1-MIN(1,IF(Config!$B$30=0,1,$S425/Config!$B$30)))*100)) + Config!$B$29*MAX(0,MIN(100,MIN(1,IF($T425="",0,$T425)/Config!$B$23)*100))))),"")
</f>
        <v/>
      </c>
      <c r="V425" s="40" t="str">
        <f>IF(Bids!$AC425="","",Bids!$AC425)</f>
        <v/>
      </c>
      <c r="W425" s="40" t="str">
        <f>IF(Bids!$F424="","",Bids!$F424)</f>
        <v/>
      </c>
      <c r="X425" s="40" t="str">
        <f t="shared" si="5"/>
        <v/>
      </c>
      <c r="Y425" s="40" t="str">
        <f>IF($X425="","",IF(Config!$B$17=Config!$B$16,IF($X425&gt;=Config!$B$17,100,0),MAX(0,MIN(100,($X425-Config!$B$16)/(Config!$B$17-Config!$B$16)*100))))</f>
        <v/>
      </c>
      <c r="Z425" s="40">
        <f>IF($M425="Elite",Config!$B$21,0)</f>
        <v>0</v>
      </c>
      <c r="AA425" s="40" t="str">
        <f>IFERROR(IF(OR($W425="",$H425=""),"",IF($W425&gt;$H425,
  MAX(0, 60-(($W425-$H425)*24/Config!$B$19)*60),
  MIN(100, 60+(($H425-$W425)*24/Config!$B$20)*40)
)),"")
</f>
        <v/>
      </c>
      <c r="AB425" s="40" t="str">
        <f>IF($K425="","",IFERROR(VLOOKUP($K425,Grinders!$A$4:$N$998,10,FALSE)/5*100,""))</f>
        <v/>
      </c>
      <c r="AC425" s="40" t="str">
        <f>IF($K425="","",IFERROR(VLOOKUP($K425,Grinders!$A$4:$N$998,11,FALSE)*100,""))</f>
        <v/>
      </c>
      <c r="AD425" s="40" t="str">
        <f>IF($K425="","",IFERROR(VLOOKUP($K425,Grinders!$A$4:$N$998,12,FALSE)*100,""))</f>
        <v/>
      </c>
      <c r="AE425" s="40" t="str">
        <f>IF(OR(AO425=1,AP425=1),0,=IFERROR(IFS(
    OR($C425="", $K425=""), 0,
    $F425=0, 0,
    $D425&lt;&gt;"Open", 0,
    COUNTIFS(GrinderServices!$A$6:$A$1000, $K425, GrinderServices!$B$6:$B$1000, $E425, GrinderServices!$D$6:$D$1000, "Y")=0, 0,
    $X425&lt;Config!$B$16, 0,
    Config!$B$18=1, IF($O425&gt;=N425, 0, 1),
    TRUE, 1
), "")
)</f>
        <v>#ERROR!</v>
      </c>
      <c r="AF425" s="40" t="str">
        <f>IFERROR((IF(OR(AO425=1,AP425=1),"",=IFERROR((IFERROR(IF($AE425=0,"",((Config!$B$6*$Y425 + Config!$B$7*$U425 + Config!$B$8*$Z425 + Config!$B$9*$AA425 + Config!$B$10*$AB425 + Config!$B$11*$AC425 - Config!$B$12*$AD425)/Config!$B$13)+$AK425+$AL425),""))*(1-IFERROR(VLOOKUP(K425,Grinders!$A:$AB, 28, FALSE),0)),"")))*(1+AR425),"")</f>
        <v>#ERROR!</v>
      </c>
      <c r="AG425" s="40" t="str">
        <f t="shared" si="6"/>
        <v>#ERROR!</v>
      </c>
      <c r="AH425" s="40" t="str">
        <f t="shared" si="7"/>
        <v/>
      </c>
      <c r="AI425" s="40" t="str">
        <f t="shared" si="8"/>
        <v/>
      </c>
      <c r="AJ425" s="40" t="str">
        <f>IF($K425="","",COUNTIF(Assignments!$B$6:$B$1000,$K425))</f>
        <v/>
      </c>
      <c r="AK425" s="40" t="str">
        <f>IF($K425="","",IF(AND($AJ425=0,$O425&lt;$N425),Config!$B$43,0))</f>
        <v/>
      </c>
      <c r="AL425" s="40" t="str">
        <f>IF($K425="","",IF(AND($M425="Elite",$G425&gt;=Config!$B$41,$O425&lt;$N425),Config!$B$42,0))</f>
        <v/>
      </c>
      <c r="AM425" s="22"/>
      <c r="AN425" s="39">
        <f>IFERROR(VLOOKUP(K425,Grinders!$A:$Q,28,FALSE),0)</f>
        <v>0</v>
      </c>
      <c r="AO425" s="39">
        <f>IF(Config!$B$1003&lt;&gt;"Y",0,IF(IFERROR(VLOOKUP(K425,Grinders!$A:$P,27,FALSE),0)&gt;=3,IF(OR(G425&gt;=Config!$B$1001,ISNUMBER(SEARCH(E425,Config!$B$1002))),1,0),0))</f>
        <v>0</v>
      </c>
      <c r="AP425" s="39">
        <f t="array" ref="AP425">IFERROR(IF(INDEX(Bids!$AE:$AE,MATCH(B425,Bids!$A:$A,0))="Pending",1,0),0)</f>
        <v>0</v>
      </c>
      <c r="AQ425" s="39" t="str">
        <f t="array" ref="AQ425">IF(C425="","",IFERROR(XLOOKUP(C425,Assignments!$C:$C,Assignments!$AU:$AU,0),0))</f>
        <v/>
      </c>
      <c r="AR425" s="39">
        <f>IF(AND(Config!$B$1006="Y",AQ425=1),Config!$B$1007,0)</f>
        <v>0</v>
      </c>
    </row>
    <row r="426" ht="15.75" customHeight="1">
      <c r="A426" s="46" t="str">
        <f t="shared" si="1"/>
        <v/>
      </c>
      <c r="B426" s="40" t="str">
        <f>IF(Bids!$A425="","",Bids!$A425)</f>
        <v/>
      </c>
      <c r="C426" s="40" t="str">
        <f>IF(Bids!$B425="","",Bids!$B425)</f>
        <v/>
      </c>
      <c r="D426" s="40" t="str">
        <f>IF($C426="","",IFERROR(VLOOKUP($C426,Orders!$A$4:$J$998,9,FALSE),""))</f>
        <v/>
      </c>
      <c r="E426" s="40" t="str">
        <f>IF($C426="","",IFERROR(VLOOKUP($C426,Orders!$A$4:$J$998,3,FALSE),""))</f>
        <v/>
      </c>
      <c r="F426" s="40">
        <f t="shared" si="2"/>
        <v>1</v>
      </c>
      <c r="G426" s="40" t="str">
        <f>IF($C426="","",IFERROR(VLOOKUP($C426,Orders!$A$4:$J$998,4,FALSE),""))</f>
        <v/>
      </c>
      <c r="H426" s="40" t="str">
        <f>IF($C426="","",IFERROR(VLOOKUP($C426,Orders!$A$4:$J$998,5,FALSE),""))</f>
        <v/>
      </c>
      <c r="I426" s="40" t="str">
        <f>IF($C426="","",IFERROR(VLOOKUP($C426,Orders!$A$4:$J$998,6,FALSE),""))</f>
        <v/>
      </c>
      <c r="J426" s="40" t="str">
        <f>IF($C426="","",IFERROR(VLOOKUP($C426,Orders!$A$4:$J$998,7,FALSE),""))</f>
        <v/>
      </c>
      <c r="K426" s="40" t="str">
        <f>IF(Bids!$C425="","",Bids!$C425)</f>
        <v/>
      </c>
      <c r="L426" s="40" t="str">
        <f>IF($K426="","",IFERROR(VLOOKUP($K426,Grinders!$A$4:$N$998,2,FALSE),""))</f>
        <v/>
      </c>
      <c r="M426" s="40" t="str">
        <f>IF($K426="","",IFERROR(VLOOKUP($K426,Grinders!$A$4:$N$998,3,FALSE),""))</f>
        <v/>
      </c>
      <c r="N426" s="40" t="str">
        <f>IF($K426="","",IFERROR(VLOOKUP($K426,Grinders!$A$4:$N$998,4,FALSE),""))</f>
        <v/>
      </c>
      <c r="O426" s="40" t="str">
        <f>IF($K426="","",IFERROR(VLOOKUP($K426,Grinders!$A$4:$N$998,5,FALSE),""))</f>
        <v/>
      </c>
      <c r="P426" s="40" t="str">
        <f>IF($K426="","",IF($C$4="",0,COUNTIFS(Assignments!$B$6:$B$1000,$K426,Assignments!$F$6:$F$1000,$C$4,Assignments!$E$6:$E$1000,"Active")))</f>
        <v/>
      </c>
      <c r="Q426" s="40" t="str">
        <f t="shared" si="3"/>
        <v/>
      </c>
      <c r="R426" s="40" t="str">
        <f t="shared" si="4"/>
        <v/>
      </c>
      <c r="S426" s="40" t="str">
        <f>IF($K426="","",IF($C$4="",0,COUNTIFS(Assignments!$B$6:$B$1000,$K426,Assignments!$F$6:$F$1000,$C$4,Assignments!$D$6:$D$1000,"&gt;="&amp;Config!$B$3-7,Assignments!$D$6:$D$1000,"&lt;="&amp;Config!$B$3)))</f>
        <v/>
      </c>
      <c r="T426" s="40" t="str">
        <f>IF($K426="","",IFERROR(VLOOKUP($K426,Grinders!$A$4:$N$998,8,FALSE),""))</f>
        <v/>
      </c>
      <c r="U426" s="40" t="str">
        <f>IFERROR(IF($K426="","",IF($M426="Elite",MAX(50,MIN(100,Config!$B$27*MAX(0,MIN(100,(1-IF($R426="",0,$R426))*100)) + Config!$B$28*MAX(0,MIN(100,(1-MIN(1,IF(Config!$B$30=0,1,$S426/Config!$B$30)))*100)) + Config!$B$29*MAX(0,MIN(100,MIN(1,IF($T426="",0,$T426)/Config!$B$23)*100)))),MIN(100,Config!$B$27*MAX(0,MIN(100,(1-IF($R426="",0,$R426))*100)) + Config!$B$28*MAX(0,MIN(100,(1-MIN(1,IF(Config!$B$30=0,1,$S426/Config!$B$30)))*100)) + Config!$B$29*MAX(0,MIN(100,MIN(1,IF($T426="",0,$T426)/Config!$B$23)*100))))),"")
</f>
        <v/>
      </c>
      <c r="V426" s="40" t="str">
        <f>IF(Bids!$AC426="","",Bids!$AC426)</f>
        <v/>
      </c>
      <c r="W426" s="40" t="str">
        <f>IF(Bids!$F425="","",Bids!$F425)</f>
        <v/>
      </c>
      <c r="X426" s="40" t="str">
        <f t="shared" si="5"/>
        <v/>
      </c>
      <c r="Y426" s="40" t="str">
        <f>IF($X426="","",IF(Config!$B$17=Config!$B$16,IF($X426&gt;=Config!$B$17,100,0),MAX(0,MIN(100,($X426-Config!$B$16)/(Config!$B$17-Config!$B$16)*100))))</f>
        <v/>
      </c>
      <c r="Z426" s="40">
        <f>IF($M426="Elite",Config!$B$21,0)</f>
        <v>0</v>
      </c>
      <c r="AA426" s="40" t="str">
        <f>IFERROR(IF(OR($W426="",$H426=""),"",IF($W426&gt;$H426,
  MAX(0, 60-(($W426-$H426)*24/Config!$B$19)*60),
  MIN(100, 60+(($H426-$W426)*24/Config!$B$20)*40)
)),"")
</f>
        <v/>
      </c>
      <c r="AB426" s="40" t="str">
        <f>IF($K426="","",IFERROR(VLOOKUP($K426,Grinders!$A$4:$N$998,10,FALSE)/5*100,""))</f>
        <v/>
      </c>
      <c r="AC426" s="40" t="str">
        <f>IF($K426="","",IFERROR(VLOOKUP($K426,Grinders!$A$4:$N$998,11,FALSE)*100,""))</f>
        <v/>
      </c>
      <c r="AD426" s="40" t="str">
        <f>IF($K426="","",IFERROR(VLOOKUP($K426,Grinders!$A$4:$N$998,12,FALSE)*100,""))</f>
        <v/>
      </c>
      <c r="AE426" s="40" t="str">
        <f>IF(OR(AO426=1,AP426=1),0,=IFERROR(IFS(
    OR($C426="", $K426=""), 0,
    $F426=0, 0,
    $D426&lt;&gt;"Open", 0,
    COUNTIFS(GrinderServices!$A$6:$A$1000, $K426, GrinderServices!$B$6:$B$1000, $E426, GrinderServices!$D$6:$D$1000, "Y")=0, 0,
    $X426&lt;Config!$B$16, 0,
    Config!$B$18=1, IF($O426&gt;=N426, 0, 1),
    TRUE, 1
), "")
)</f>
        <v>#ERROR!</v>
      </c>
      <c r="AF426" s="40" t="str">
        <f>IFERROR((IF(OR(AO426=1,AP426=1),"",=IFERROR((IFERROR(IF($AE426=0,"",((Config!$B$6*$Y426 + Config!$B$7*$U426 + Config!$B$8*$Z426 + Config!$B$9*$AA426 + Config!$B$10*$AB426 + Config!$B$11*$AC426 - Config!$B$12*$AD426)/Config!$B$13)+$AK426+$AL426),""))*(1-IFERROR(VLOOKUP(K426,Grinders!$A:$AB, 28, FALSE),0)),"")))*(1+AR426),"")</f>
        <v>#ERROR!</v>
      </c>
      <c r="AG426" s="40" t="str">
        <f t="shared" si="6"/>
        <v>#ERROR!</v>
      </c>
      <c r="AH426" s="40" t="str">
        <f t="shared" si="7"/>
        <v/>
      </c>
      <c r="AI426" s="40" t="str">
        <f t="shared" si="8"/>
        <v/>
      </c>
      <c r="AJ426" s="40" t="str">
        <f>IF($K426="","",COUNTIF(Assignments!$B$6:$B$1000,$K426))</f>
        <v/>
      </c>
      <c r="AK426" s="40" t="str">
        <f>IF($K426="","",IF(AND($AJ426=0,$O426&lt;$N426),Config!$B$43,0))</f>
        <v/>
      </c>
      <c r="AL426" s="40" t="str">
        <f>IF($K426="","",IF(AND($M426="Elite",$G426&gt;=Config!$B$41,$O426&lt;$N426),Config!$B$42,0))</f>
        <v/>
      </c>
      <c r="AM426" s="22"/>
      <c r="AN426" s="39">
        <f>IFERROR(VLOOKUP(K426,Grinders!$A:$Q,28,FALSE),0)</f>
        <v>0</v>
      </c>
      <c r="AO426" s="39">
        <f>IF(Config!$B$1003&lt;&gt;"Y",0,IF(IFERROR(VLOOKUP(K426,Grinders!$A:$P,27,FALSE),0)&gt;=3,IF(OR(G426&gt;=Config!$B$1001,ISNUMBER(SEARCH(E426,Config!$B$1002))),1,0),0))</f>
        <v>0</v>
      </c>
      <c r="AP426" s="39">
        <f t="array" ref="AP426">IFERROR(IF(INDEX(Bids!$AE:$AE,MATCH(B426,Bids!$A:$A,0))="Pending",1,0),0)</f>
        <v>0</v>
      </c>
      <c r="AQ426" s="39" t="str">
        <f t="array" ref="AQ426">IF(C426="","",IFERROR(XLOOKUP(C426,Assignments!$C:$C,Assignments!$AU:$AU,0),0))</f>
        <v/>
      </c>
      <c r="AR426" s="39">
        <f>IF(AND(Config!$B$1006="Y",AQ426=1),Config!$B$1007,0)</f>
        <v>0</v>
      </c>
    </row>
    <row r="427" ht="15.75" customHeight="1">
      <c r="A427" s="46" t="str">
        <f t="shared" si="1"/>
        <v/>
      </c>
      <c r="B427" s="40" t="str">
        <f>IF(Bids!$A426="","",Bids!$A426)</f>
        <v/>
      </c>
      <c r="C427" s="40" t="str">
        <f>IF(Bids!$B426="","",Bids!$B426)</f>
        <v/>
      </c>
      <c r="D427" s="40" t="str">
        <f>IF($C427="","",IFERROR(VLOOKUP($C427,Orders!$A$4:$J$998,9,FALSE),""))</f>
        <v/>
      </c>
      <c r="E427" s="40" t="str">
        <f>IF($C427="","",IFERROR(VLOOKUP($C427,Orders!$A$4:$J$998,3,FALSE),""))</f>
        <v/>
      </c>
      <c r="F427" s="40">
        <f t="shared" si="2"/>
        <v>1</v>
      </c>
      <c r="G427" s="40" t="str">
        <f>IF($C427="","",IFERROR(VLOOKUP($C427,Orders!$A$4:$J$998,4,FALSE),""))</f>
        <v/>
      </c>
      <c r="H427" s="40" t="str">
        <f>IF($C427="","",IFERROR(VLOOKUP($C427,Orders!$A$4:$J$998,5,FALSE),""))</f>
        <v/>
      </c>
      <c r="I427" s="40" t="str">
        <f>IF($C427="","",IFERROR(VLOOKUP($C427,Orders!$A$4:$J$998,6,FALSE),""))</f>
        <v/>
      </c>
      <c r="J427" s="40" t="str">
        <f>IF($C427="","",IFERROR(VLOOKUP($C427,Orders!$A$4:$J$998,7,FALSE),""))</f>
        <v/>
      </c>
      <c r="K427" s="40" t="str">
        <f>IF(Bids!$C426="","",Bids!$C426)</f>
        <v/>
      </c>
      <c r="L427" s="40" t="str">
        <f>IF($K427="","",IFERROR(VLOOKUP($K427,Grinders!$A$4:$N$998,2,FALSE),""))</f>
        <v/>
      </c>
      <c r="M427" s="40" t="str">
        <f>IF($K427="","",IFERROR(VLOOKUP($K427,Grinders!$A$4:$N$998,3,FALSE),""))</f>
        <v/>
      </c>
      <c r="N427" s="40" t="str">
        <f>IF($K427="","",IFERROR(VLOOKUP($K427,Grinders!$A$4:$N$998,4,FALSE),""))</f>
        <v/>
      </c>
      <c r="O427" s="40" t="str">
        <f>IF($K427="","",IFERROR(VLOOKUP($K427,Grinders!$A$4:$N$998,5,FALSE),""))</f>
        <v/>
      </c>
      <c r="P427" s="40" t="str">
        <f>IF($K427="","",IF($C$4="",0,COUNTIFS(Assignments!$B$6:$B$1000,$K427,Assignments!$F$6:$F$1000,$C$4,Assignments!$E$6:$E$1000,"Active")))</f>
        <v/>
      </c>
      <c r="Q427" s="40" t="str">
        <f t="shared" si="3"/>
        <v/>
      </c>
      <c r="R427" s="40" t="str">
        <f t="shared" si="4"/>
        <v/>
      </c>
      <c r="S427" s="40" t="str">
        <f>IF($K427="","",IF($C$4="",0,COUNTIFS(Assignments!$B$6:$B$1000,$K427,Assignments!$F$6:$F$1000,$C$4,Assignments!$D$6:$D$1000,"&gt;="&amp;Config!$B$3-7,Assignments!$D$6:$D$1000,"&lt;="&amp;Config!$B$3)))</f>
        <v/>
      </c>
      <c r="T427" s="40" t="str">
        <f>IF($K427="","",IFERROR(VLOOKUP($K427,Grinders!$A$4:$N$998,8,FALSE),""))</f>
        <v/>
      </c>
      <c r="U427" s="40" t="str">
        <f>IFERROR(IF($K427="","",IF($M427="Elite",MAX(50,MIN(100,Config!$B$27*MAX(0,MIN(100,(1-IF($R427="",0,$R427))*100)) + Config!$B$28*MAX(0,MIN(100,(1-MIN(1,IF(Config!$B$30=0,1,$S427/Config!$B$30)))*100)) + Config!$B$29*MAX(0,MIN(100,MIN(1,IF($T427="",0,$T427)/Config!$B$23)*100)))),MIN(100,Config!$B$27*MAX(0,MIN(100,(1-IF($R427="",0,$R427))*100)) + Config!$B$28*MAX(0,MIN(100,(1-MIN(1,IF(Config!$B$30=0,1,$S427/Config!$B$30)))*100)) + Config!$B$29*MAX(0,MIN(100,MIN(1,IF($T427="",0,$T427)/Config!$B$23)*100))))),"")
</f>
        <v/>
      </c>
      <c r="V427" s="40" t="str">
        <f>IF(Bids!$AC427="","",Bids!$AC427)</f>
        <v/>
      </c>
      <c r="W427" s="40" t="str">
        <f>IF(Bids!$F426="","",Bids!$F426)</f>
        <v/>
      </c>
      <c r="X427" s="40" t="str">
        <f t="shared" si="5"/>
        <v/>
      </c>
      <c r="Y427" s="40" t="str">
        <f>IF($X427="","",IF(Config!$B$17=Config!$B$16,IF($X427&gt;=Config!$B$17,100,0),MAX(0,MIN(100,($X427-Config!$B$16)/(Config!$B$17-Config!$B$16)*100))))</f>
        <v/>
      </c>
      <c r="Z427" s="40">
        <f>IF($M427="Elite",Config!$B$21,0)</f>
        <v>0</v>
      </c>
      <c r="AA427" s="40" t="str">
        <f>IFERROR(IF(OR($W427="",$H427=""),"",IF($W427&gt;$H427,
  MAX(0, 60-(($W427-$H427)*24/Config!$B$19)*60),
  MIN(100, 60+(($H427-$W427)*24/Config!$B$20)*40)
)),"")
</f>
        <v/>
      </c>
      <c r="AB427" s="40" t="str">
        <f>IF($K427="","",IFERROR(VLOOKUP($K427,Grinders!$A$4:$N$998,10,FALSE)/5*100,""))</f>
        <v/>
      </c>
      <c r="AC427" s="40" t="str">
        <f>IF($K427="","",IFERROR(VLOOKUP($K427,Grinders!$A$4:$N$998,11,FALSE)*100,""))</f>
        <v/>
      </c>
      <c r="AD427" s="40" t="str">
        <f>IF($K427="","",IFERROR(VLOOKUP($K427,Grinders!$A$4:$N$998,12,FALSE)*100,""))</f>
        <v/>
      </c>
      <c r="AE427" s="40" t="str">
        <f>IF(OR(AO427=1,AP427=1),0,=IFERROR(IFS(
    OR($C427="", $K427=""), 0,
    $F427=0, 0,
    $D427&lt;&gt;"Open", 0,
    COUNTIFS(GrinderServices!$A$6:$A$1000, $K427, GrinderServices!$B$6:$B$1000, $E427, GrinderServices!$D$6:$D$1000, "Y")=0, 0,
    $X427&lt;Config!$B$16, 0,
    Config!$B$18=1, IF($O427&gt;=N427, 0, 1),
    TRUE, 1
), "")
)</f>
        <v>#ERROR!</v>
      </c>
      <c r="AF427" s="40" t="str">
        <f>IFERROR((IF(OR(AO427=1,AP427=1),"",=IFERROR((IFERROR(IF($AE427=0,"",((Config!$B$6*$Y427 + Config!$B$7*$U427 + Config!$B$8*$Z427 + Config!$B$9*$AA427 + Config!$B$10*$AB427 + Config!$B$11*$AC427 - Config!$B$12*$AD427)/Config!$B$13)+$AK427+$AL427),""))*(1-IFERROR(VLOOKUP(K427,Grinders!$A:$AB, 28, FALSE),0)),"")))*(1+AR427),"")</f>
        <v>#ERROR!</v>
      </c>
      <c r="AG427" s="40" t="str">
        <f t="shared" si="6"/>
        <v>#ERROR!</v>
      </c>
      <c r="AH427" s="40" t="str">
        <f t="shared" si="7"/>
        <v/>
      </c>
      <c r="AI427" s="40" t="str">
        <f t="shared" si="8"/>
        <v/>
      </c>
      <c r="AJ427" s="40" t="str">
        <f>IF($K427="","",COUNTIF(Assignments!$B$6:$B$1000,$K427))</f>
        <v/>
      </c>
      <c r="AK427" s="40" t="str">
        <f>IF($K427="","",IF(AND($AJ427=0,$O427&lt;$N427),Config!$B$43,0))</f>
        <v/>
      </c>
      <c r="AL427" s="40" t="str">
        <f>IF($K427="","",IF(AND($M427="Elite",$G427&gt;=Config!$B$41,$O427&lt;$N427),Config!$B$42,0))</f>
        <v/>
      </c>
      <c r="AM427" s="22"/>
      <c r="AN427" s="39">
        <f>IFERROR(VLOOKUP(K427,Grinders!$A:$Q,28,FALSE),0)</f>
        <v>0</v>
      </c>
      <c r="AO427" s="39">
        <f>IF(Config!$B$1003&lt;&gt;"Y",0,IF(IFERROR(VLOOKUP(K427,Grinders!$A:$P,27,FALSE),0)&gt;=3,IF(OR(G427&gt;=Config!$B$1001,ISNUMBER(SEARCH(E427,Config!$B$1002))),1,0),0))</f>
        <v>0</v>
      </c>
      <c r="AP427" s="39">
        <f t="array" ref="AP427">IFERROR(IF(INDEX(Bids!$AE:$AE,MATCH(B427,Bids!$A:$A,0))="Pending",1,0),0)</f>
        <v>0</v>
      </c>
      <c r="AQ427" s="39" t="str">
        <f t="array" ref="AQ427">IF(C427="","",IFERROR(XLOOKUP(C427,Assignments!$C:$C,Assignments!$AU:$AU,0),0))</f>
        <v/>
      </c>
      <c r="AR427" s="39">
        <f>IF(AND(Config!$B$1006="Y",AQ427=1),Config!$B$1007,0)</f>
        <v>0</v>
      </c>
    </row>
    <row r="428" ht="15.75" customHeight="1">
      <c r="A428" s="46" t="str">
        <f t="shared" si="1"/>
        <v/>
      </c>
      <c r="B428" s="40" t="str">
        <f>IF(Bids!$A427="","",Bids!$A427)</f>
        <v/>
      </c>
      <c r="C428" s="40" t="str">
        <f>IF(Bids!$B427="","",Bids!$B427)</f>
        <v/>
      </c>
      <c r="D428" s="40" t="str">
        <f>IF($C428="","",IFERROR(VLOOKUP($C428,Orders!$A$4:$J$998,9,FALSE),""))</f>
        <v/>
      </c>
      <c r="E428" s="40" t="str">
        <f>IF($C428="","",IFERROR(VLOOKUP($C428,Orders!$A$4:$J$998,3,FALSE),""))</f>
        <v/>
      </c>
      <c r="F428" s="40">
        <f t="shared" si="2"/>
        <v>1</v>
      </c>
      <c r="G428" s="40" t="str">
        <f>IF($C428="","",IFERROR(VLOOKUP($C428,Orders!$A$4:$J$998,4,FALSE),""))</f>
        <v/>
      </c>
      <c r="H428" s="40" t="str">
        <f>IF($C428="","",IFERROR(VLOOKUP($C428,Orders!$A$4:$J$998,5,FALSE),""))</f>
        <v/>
      </c>
      <c r="I428" s="40" t="str">
        <f>IF($C428="","",IFERROR(VLOOKUP($C428,Orders!$A$4:$J$998,6,FALSE),""))</f>
        <v/>
      </c>
      <c r="J428" s="40" t="str">
        <f>IF($C428="","",IFERROR(VLOOKUP($C428,Orders!$A$4:$J$998,7,FALSE),""))</f>
        <v/>
      </c>
      <c r="K428" s="40" t="str">
        <f>IF(Bids!$C427="","",Bids!$C427)</f>
        <v/>
      </c>
      <c r="L428" s="40" t="str">
        <f>IF($K428="","",IFERROR(VLOOKUP($K428,Grinders!$A$4:$N$998,2,FALSE),""))</f>
        <v/>
      </c>
      <c r="M428" s="40" t="str">
        <f>IF($K428="","",IFERROR(VLOOKUP($K428,Grinders!$A$4:$N$998,3,FALSE),""))</f>
        <v/>
      </c>
      <c r="N428" s="40" t="str">
        <f>IF($K428="","",IFERROR(VLOOKUP($K428,Grinders!$A$4:$N$998,4,FALSE),""))</f>
        <v/>
      </c>
      <c r="O428" s="40" t="str">
        <f>IF($K428="","",IFERROR(VLOOKUP($K428,Grinders!$A$4:$N$998,5,FALSE),""))</f>
        <v/>
      </c>
      <c r="P428" s="40" t="str">
        <f>IF($K428="","",IF($C$4="",0,COUNTIFS(Assignments!$B$6:$B$1000,$K428,Assignments!$F$6:$F$1000,$C$4,Assignments!$E$6:$E$1000,"Active")))</f>
        <v/>
      </c>
      <c r="Q428" s="40" t="str">
        <f t="shared" si="3"/>
        <v/>
      </c>
      <c r="R428" s="40" t="str">
        <f t="shared" si="4"/>
        <v/>
      </c>
      <c r="S428" s="40" t="str">
        <f>IF($K428="","",IF($C$4="",0,COUNTIFS(Assignments!$B$6:$B$1000,$K428,Assignments!$F$6:$F$1000,$C$4,Assignments!$D$6:$D$1000,"&gt;="&amp;Config!$B$3-7,Assignments!$D$6:$D$1000,"&lt;="&amp;Config!$B$3)))</f>
        <v/>
      </c>
      <c r="T428" s="40" t="str">
        <f>IF($K428="","",IFERROR(VLOOKUP($K428,Grinders!$A$4:$N$998,8,FALSE),""))</f>
        <v/>
      </c>
      <c r="U428" s="40" t="str">
        <f>IFERROR(IF($K428="","",IF($M428="Elite",MAX(50,MIN(100,Config!$B$27*MAX(0,MIN(100,(1-IF($R428="",0,$R428))*100)) + Config!$B$28*MAX(0,MIN(100,(1-MIN(1,IF(Config!$B$30=0,1,$S428/Config!$B$30)))*100)) + Config!$B$29*MAX(0,MIN(100,MIN(1,IF($T428="",0,$T428)/Config!$B$23)*100)))),MIN(100,Config!$B$27*MAX(0,MIN(100,(1-IF($R428="",0,$R428))*100)) + Config!$B$28*MAX(0,MIN(100,(1-MIN(1,IF(Config!$B$30=0,1,$S428/Config!$B$30)))*100)) + Config!$B$29*MAX(0,MIN(100,MIN(1,IF($T428="",0,$T428)/Config!$B$23)*100))))),"")
</f>
        <v/>
      </c>
      <c r="V428" s="40" t="str">
        <f>IF(Bids!$AC428="","",Bids!$AC428)</f>
        <v/>
      </c>
      <c r="W428" s="40" t="str">
        <f>IF(Bids!$F427="","",Bids!$F427)</f>
        <v/>
      </c>
      <c r="X428" s="40" t="str">
        <f t="shared" si="5"/>
        <v/>
      </c>
      <c r="Y428" s="40" t="str">
        <f>IF($X428="","",IF(Config!$B$17=Config!$B$16,IF($X428&gt;=Config!$B$17,100,0),MAX(0,MIN(100,($X428-Config!$B$16)/(Config!$B$17-Config!$B$16)*100))))</f>
        <v/>
      </c>
      <c r="Z428" s="40">
        <f>IF($M428="Elite",Config!$B$21,0)</f>
        <v>0</v>
      </c>
      <c r="AA428" s="40" t="str">
        <f>IFERROR(IF(OR($W428="",$H428=""),"",IF($W428&gt;$H428,
  MAX(0, 60-(($W428-$H428)*24/Config!$B$19)*60),
  MIN(100, 60+(($H428-$W428)*24/Config!$B$20)*40)
)),"")
</f>
        <v/>
      </c>
      <c r="AB428" s="40" t="str">
        <f>IF($K428="","",IFERROR(VLOOKUP($K428,Grinders!$A$4:$N$998,10,FALSE)/5*100,""))</f>
        <v/>
      </c>
      <c r="AC428" s="40" t="str">
        <f>IF($K428="","",IFERROR(VLOOKUP($K428,Grinders!$A$4:$N$998,11,FALSE)*100,""))</f>
        <v/>
      </c>
      <c r="AD428" s="40" t="str">
        <f>IF($K428="","",IFERROR(VLOOKUP($K428,Grinders!$A$4:$N$998,12,FALSE)*100,""))</f>
        <v/>
      </c>
      <c r="AE428" s="40" t="str">
        <f>IF(OR(AO428=1,AP428=1),0,=IFERROR(IFS(
    OR($C428="", $K428=""), 0,
    $F428=0, 0,
    $D428&lt;&gt;"Open", 0,
    COUNTIFS(GrinderServices!$A$6:$A$1000, $K428, GrinderServices!$B$6:$B$1000, $E428, GrinderServices!$D$6:$D$1000, "Y")=0, 0,
    $X428&lt;Config!$B$16, 0,
    Config!$B$18=1, IF($O428&gt;=N428, 0, 1),
    TRUE, 1
), "")
)</f>
        <v>#ERROR!</v>
      </c>
      <c r="AF428" s="40" t="str">
        <f>IFERROR((IF(OR(AO428=1,AP428=1),"",=IFERROR((IFERROR(IF($AE428=0,"",((Config!$B$6*$Y428 + Config!$B$7*$U428 + Config!$B$8*$Z428 + Config!$B$9*$AA428 + Config!$B$10*$AB428 + Config!$B$11*$AC428 - Config!$B$12*$AD428)/Config!$B$13)+$AK428+$AL428),""))*(1-IFERROR(VLOOKUP(K428,Grinders!$A:$AB, 28, FALSE),0)),"")))*(1+AR428),"")</f>
        <v>#ERROR!</v>
      </c>
      <c r="AG428" s="40" t="str">
        <f t="shared" si="6"/>
        <v>#ERROR!</v>
      </c>
      <c r="AH428" s="40" t="str">
        <f t="shared" si="7"/>
        <v/>
      </c>
      <c r="AI428" s="40" t="str">
        <f t="shared" si="8"/>
        <v/>
      </c>
      <c r="AJ428" s="40" t="str">
        <f>IF($K428="","",COUNTIF(Assignments!$B$6:$B$1000,$K428))</f>
        <v/>
      </c>
      <c r="AK428" s="40" t="str">
        <f>IF($K428="","",IF(AND($AJ428=0,$O428&lt;$N428),Config!$B$43,0))</f>
        <v/>
      </c>
      <c r="AL428" s="40" t="str">
        <f>IF($K428="","",IF(AND($M428="Elite",$G428&gt;=Config!$B$41,$O428&lt;$N428),Config!$B$42,0))</f>
        <v/>
      </c>
      <c r="AM428" s="22"/>
      <c r="AN428" s="39">
        <f>IFERROR(VLOOKUP(K428,Grinders!$A:$Q,28,FALSE),0)</f>
        <v>0</v>
      </c>
      <c r="AO428" s="39">
        <f>IF(Config!$B$1003&lt;&gt;"Y",0,IF(IFERROR(VLOOKUP(K428,Grinders!$A:$P,27,FALSE),0)&gt;=3,IF(OR(G428&gt;=Config!$B$1001,ISNUMBER(SEARCH(E428,Config!$B$1002))),1,0),0))</f>
        <v>0</v>
      </c>
      <c r="AP428" s="39">
        <f t="array" ref="AP428">IFERROR(IF(INDEX(Bids!$AE:$AE,MATCH(B428,Bids!$A:$A,0))="Pending",1,0),0)</f>
        <v>0</v>
      </c>
      <c r="AQ428" s="39" t="str">
        <f t="array" ref="AQ428">IF(C428="","",IFERROR(XLOOKUP(C428,Assignments!$C:$C,Assignments!$AU:$AU,0),0))</f>
        <v/>
      </c>
      <c r="AR428" s="39">
        <f>IF(AND(Config!$B$1006="Y",AQ428=1),Config!$B$1007,0)</f>
        <v>0</v>
      </c>
    </row>
    <row r="429" ht="15.75" customHeight="1">
      <c r="A429" s="46" t="str">
        <f t="shared" si="1"/>
        <v/>
      </c>
      <c r="B429" s="40" t="str">
        <f>IF(Bids!$A428="","",Bids!$A428)</f>
        <v/>
      </c>
      <c r="C429" s="40" t="str">
        <f>IF(Bids!$B428="","",Bids!$B428)</f>
        <v/>
      </c>
      <c r="D429" s="40" t="str">
        <f>IF($C429="","",IFERROR(VLOOKUP($C429,Orders!$A$4:$J$998,9,FALSE),""))</f>
        <v/>
      </c>
      <c r="E429" s="40" t="str">
        <f>IF($C429="","",IFERROR(VLOOKUP($C429,Orders!$A$4:$J$998,3,FALSE),""))</f>
        <v/>
      </c>
      <c r="F429" s="40">
        <f t="shared" si="2"/>
        <v>1</v>
      </c>
      <c r="G429" s="40" t="str">
        <f>IF($C429="","",IFERROR(VLOOKUP($C429,Orders!$A$4:$J$998,4,FALSE),""))</f>
        <v/>
      </c>
      <c r="H429" s="40" t="str">
        <f>IF($C429="","",IFERROR(VLOOKUP($C429,Orders!$A$4:$J$998,5,FALSE),""))</f>
        <v/>
      </c>
      <c r="I429" s="40" t="str">
        <f>IF($C429="","",IFERROR(VLOOKUP($C429,Orders!$A$4:$J$998,6,FALSE),""))</f>
        <v/>
      </c>
      <c r="J429" s="40" t="str">
        <f>IF($C429="","",IFERROR(VLOOKUP($C429,Orders!$A$4:$J$998,7,FALSE),""))</f>
        <v/>
      </c>
      <c r="K429" s="40" t="str">
        <f>IF(Bids!$C428="","",Bids!$C428)</f>
        <v/>
      </c>
      <c r="L429" s="40" t="str">
        <f>IF($K429="","",IFERROR(VLOOKUP($K429,Grinders!$A$4:$N$998,2,FALSE),""))</f>
        <v/>
      </c>
      <c r="M429" s="40" t="str">
        <f>IF($K429="","",IFERROR(VLOOKUP($K429,Grinders!$A$4:$N$998,3,FALSE),""))</f>
        <v/>
      </c>
      <c r="N429" s="40" t="str">
        <f>IF($K429="","",IFERROR(VLOOKUP($K429,Grinders!$A$4:$N$998,4,FALSE),""))</f>
        <v/>
      </c>
      <c r="O429" s="40" t="str">
        <f>IF($K429="","",IFERROR(VLOOKUP($K429,Grinders!$A$4:$N$998,5,FALSE),""))</f>
        <v/>
      </c>
      <c r="P429" s="40" t="str">
        <f>IF($K429="","",IF($C$4="",0,COUNTIFS(Assignments!$B$6:$B$1000,$K429,Assignments!$F$6:$F$1000,$C$4,Assignments!$E$6:$E$1000,"Active")))</f>
        <v/>
      </c>
      <c r="Q429" s="40" t="str">
        <f t="shared" si="3"/>
        <v/>
      </c>
      <c r="R429" s="40" t="str">
        <f t="shared" si="4"/>
        <v/>
      </c>
      <c r="S429" s="40" t="str">
        <f>IF($K429="","",IF($C$4="",0,COUNTIFS(Assignments!$B$6:$B$1000,$K429,Assignments!$F$6:$F$1000,$C$4,Assignments!$D$6:$D$1000,"&gt;="&amp;Config!$B$3-7,Assignments!$D$6:$D$1000,"&lt;="&amp;Config!$B$3)))</f>
        <v/>
      </c>
      <c r="T429" s="40" t="str">
        <f>IF($K429="","",IFERROR(VLOOKUP($K429,Grinders!$A$4:$N$998,8,FALSE),""))</f>
        <v/>
      </c>
      <c r="U429" s="40" t="str">
        <f>IFERROR(IF($K429="","",IF($M429="Elite",MAX(50,MIN(100,Config!$B$27*MAX(0,MIN(100,(1-IF($R429="",0,$R429))*100)) + Config!$B$28*MAX(0,MIN(100,(1-MIN(1,IF(Config!$B$30=0,1,$S429/Config!$B$30)))*100)) + Config!$B$29*MAX(0,MIN(100,MIN(1,IF($T429="",0,$T429)/Config!$B$23)*100)))),MIN(100,Config!$B$27*MAX(0,MIN(100,(1-IF($R429="",0,$R429))*100)) + Config!$B$28*MAX(0,MIN(100,(1-MIN(1,IF(Config!$B$30=0,1,$S429/Config!$B$30)))*100)) + Config!$B$29*MAX(0,MIN(100,MIN(1,IF($T429="",0,$T429)/Config!$B$23)*100))))),"")
</f>
        <v/>
      </c>
      <c r="V429" s="40" t="str">
        <f>IF(Bids!$AC429="","",Bids!$AC429)</f>
        <v/>
      </c>
      <c r="W429" s="40" t="str">
        <f>IF(Bids!$F428="","",Bids!$F428)</f>
        <v/>
      </c>
      <c r="X429" s="40" t="str">
        <f t="shared" si="5"/>
        <v/>
      </c>
      <c r="Y429" s="40" t="str">
        <f>IF($X429="","",IF(Config!$B$17=Config!$B$16,IF($X429&gt;=Config!$B$17,100,0),MAX(0,MIN(100,($X429-Config!$B$16)/(Config!$B$17-Config!$B$16)*100))))</f>
        <v/>
      </c>
      <c r="Z429" s="40">
        <f>IF($M429="Elite",Config!$B$21,0)</f>
        <v>0</v>
      </c>
      <c r="AA429" s="40" t="str">
        <f>IFERROR(IF(OR($W429="",$H429=""),"",IF($W429&gt;$H429,
  MAX(0, 60-(($W429-$H429)*24/Config!$B$19)*60),
  MIN(100, 60+(($H429-$W429)*24/Config!$B$20)*40)
)),"")
</f>
        <v/>
      </c>
      <c r="AB429" s="40" t="str">
        <f>IF($K429="","",IFERROR(VLOOKUP($K429,Grinders!$A$4:$N$998,10,FALSE)/5*100,""))</f>
        <v/>
      </c>
      <c r="AC429" s="40" t="str">
        <f>IF($K429="","",IFERROR(VLOOKUP($K429,Grinders!$A$4:$N$998,11,FALSE)*100,""))</f>
        <v/>
      </c>
      <c r="AD429" s="40" t="str">
        <f>IF($K429="","",IFERROR(VLOOKUP($K429,Grinders!$A$4:$N$998,12,FALSE)*100,""))</f>
        <v/>
      </c>
      <c r="AE429" s="40" t="str">
        <f>IF(OR(AO429=1,AP429=1),0,=IFERROR(IFS(
    OR($C429="", $K429=""), 0,
    $F429=0, 0,
    $D429&lt;&gt;"Open", 0,
    COUNTIFS(GrinderServices!$A$6:$A$1000, $K429, GrinderServices!$B$6:$B$1000, $E429, GrinderServices!$D$6:$D$1000, "Y")=0, 0,
    $X429&lt;Config!$B$16, 0,
    Config!$B$18=1, IF($O429&gt;=N429, 0, 1),
    TRUE, 1
), "")
)</f>
        <v>#ERROR!</v>
      </c>
      <c r="AF429" s="40" t="str">
        <f>IFERROR((IF(OR(AO429=1,AP429=1),"",=IFERROR((IFERROR(IF($AE429=0,"",((Config!$B$6*$Y429 + Config!$B$7*$U429 + Config!$B$8*$Z429 + Config!$B$9*$AA429 + Config!$B$10*$AB429 + Config!$B$11*$AC429 - Config!$B$12*$AD429)/Config!$B$13)+$AK429+$AL429),""))*(1-IFERROR(VLOOKUP(K429,Grinders!$A:$AB, 28, FALSE),0)),"")))*(1+AR429),"")</f>
        <v>#ERROR!</v>
      </c>
      <c r="AG429" s="40" t="str">
        <f t="shared" si="6"/>
        <v>#ERROR!</v>
      </c>
      <c r="AH429" s="40" t="str">
        <f t="shared" si="7"/>
        <v/>
      </c>
      <c r="AI429" s="40" t="str">
        <f t="shared" si="8"/>
        <v/>
      </c>
      <c r="AJ429" s="40" t="str">
        <f>IF($K429="","",COUNTIF(Assignments!$B$6:$B$1000,$K429))</f>
        <v/>
      </c>
      <c r="AK429" s="40" t="str">
        <f>IF($K429="","",IF(AND($AJ429=0,$O429&lt;$N429),Config!$B$43,0))</f>
        <v/>
      </c>
      <c r="AL429" s="40" t="str">
        <f>IF($K429="","",IF(AND($M429="Elite",$G429&gt;=Config!$B$41,$O429&lt;$N429),Config!$B$42,0))</f>
        <v/>
      </c>
      <c r="AM429" s="22"/>
      <c r="AN429" s="39">
        <f>IFERROR(VLOOKUP(K429,Grinders!$A:$Q,28,FALSE),0)</f>
        <v>0</v>
      </c>
      <c r="AO429" s="39">
        <f>IF(Config!$B$1003&lt;&gt;"Y",0,IF(IFERROR(VLOOKUP(K429,Grinders!$A:$P,27,FALSE),0)&gt;=3,IF(OR(G429&gt;=Config!$B$1001,ISNUMBER(SEARCH(E429,Config!$B$1002))),1,0),0))</f>
        <v>0</v>
      </c>
      <c r="AP429" s="39">
        <f t="array" ref="AP429">IFERROR(IF(INDEX(Bids!$AE:$AE,MATCH(B429,Bids!$A:$A,0))="Pending",1,0),0)</f>
        <v>0</v>
      </c>
      <c r="AQ429" s="39" t="str">
        <f t="array" ref="AQ429">IF(C429="","",IFERROR(XLOOKUP(C429,Assignments!$C:$C,Assignments!$AU:$AU,0),0))</f>
        <v/>
      </c>
      <c r="AR429" s="39">
        <f>IF(AND(Config!$B$1006="Y",AQ429=1),Config!$B$1007,0)</f>
        <v>0</v>
      </c>
    </row>
    <row r="430" ht="15.75" customHeight="1">
      <c r="A430" s="46" t="str">
        <f t="shared" si="1"/>
        <v/>
      </c>
      <c r="B430" s="40" t="str">
        <f>IF(Bids!$A429="","",Bids!$A429)</f>
        <v/>
      </c>
      <c r="C430" s="40" t="str">
        <f>IF(Bids!$B429="","",Bids!$B429)</f>
        <v/>
      </c>
      <c r="D430" s="40" t="str">
        <f>IF($C430="","",IFERROR(VLOOKUP($C430,Orders!$A$4:$J$998,9,FALSE),""))</f>
        <v/>
      </c>
      <c r="E430" s="40" t="str">
        <f>IF($C430="","",IFERROR(VLOOKUP($C430,Orders!$A$4:$J$998,3,FALSE),""))</f>
        <v/>
      </c>
      <c r="F430" s="40">
        <f t="shared" si="2"/>
        <v>1</v>
      </c>
      <c r="G430" s="40" t="str">
        <f>IF($C430="","",IFERROR(VLOOKUP($C430,Orders!$A$4:$J$998,4,FALSE),""))</f>
        <v/>
      </c>
      <c r="H430" s="40" t="str">
        <f>IF($C430="","",IFERROR(VLOOKUP($C430,Orders!$A$4:$J$998,5,FALSE),""))</f>
        <v/>
      </c>
      <c r="I430" s="40" t="str">
        <f>IF($C430="","",IFERROR(VLOOKUP($C430,Orders!$A$4:$J$998,6,FALSE),""))</f>
        <v/>
      </c>
      <c r="J430" s="40" t="str">
        <f>IF($C430="","",IFERROR(VLOOKUP($C430,Orders!$A$4:$J$998,7,FALSE),""))</f>
        <v/>
      </c>
      <c r="K430" s="40" t="str">
        <f>IF(Bids!$C429="","",Bids!$C429)</f>
        <v/>
      </c>
      <c r="L430" s="40" t="str">
        <f>IF($K430="","",IFERROR(VLOOKUP($K430,Grinders!$A$4:$N$998,2,FALSE),""))</f>
        <v/>
      </c>
      <c r="M430" s="40" t="str">
        <f>IF($K430="","",IFERROR(VLOOKUP($K430,Grinders!$A$4:$N$998,3,FALSE),""))</f>
        <v/>
      </c>
      <c r="N430" s="40" t="str">
        <f>IF($K430="","",IFERROR(VLOOKUP($K430,Grinders!$A$4:$N$998,4,FALSE),""))</f>
        <v/>
      </c>
      <c r="O430" s="40" t="str">
        <f>IF($K430="","",IFERROR(VLOOKUP($K430,Grinders!$A$4:$N$998,5,FALSE),""))</f>
        <v/>
      </c>
      <c r="P430" s="40" t="str">
        <f>IF($K430="","",IF($C$4="",0,COUNTIFS(Assignments!$B$6:$B$1000,$K430,Assignments!$F$6:$F$1000,$C$4,Assignments!$E$6:$E$1000,"Active")))</f>
        <v/>
      </c>
      <c r="Q430" s="40" t="str">
        <f t="shared" si="3"/>
        <v/>
      </c>
      <c r="R430" s="40" t="str">
        <f t="shared" si="4"/>
        <v/>
      </c>
      <c r="S430" s="40" t="str">
        <f>IF($K430="","",IF($C$4="",0,COUNTIFS(Assignments!$B$6:$B$1000,$K430,Assignments!$F$6:$F$1000,$C$4,Assignments!$D$6:$D$1000,"&gt;="&amp;Config!$B$3-7,Assignments!$D$6:$D$1000,"&lt;="&amp;Config!$B$3)))</f>
        <v/>
      </c>
      <c r="T430" s="40" t="str">
        <f>IF($K430="","",IFERROR(VLOOKUP($K430,Grinders!$A$4:$N$998,8,FALSE),""))</f>
        <v/>
      </c>
      <c r="U430" s="40" t="str">
        <f>IFERROR(IF($K430="","",IF($M430="Elite",MAX(50,MIN(100,Config!$B$27*MAX(0,MIN(100,(1-IF($R430="",0,$R430))*100)) + Config!$B$28*MAX(0,MIN(100,(1-MIN(1,IF(Config!$B$30=0,1,$S430/Config!$B$30)))*100)) + Config!$B$29*MAX(0,MIN(100,MIN(1,IF($T430="",0,$T430)/Config!$B$23)*100)))),MIN(100,Config!$B$27*MAX(0,MIN(100,(1-IF($R430="",0,$R430))*100)) + Config!$B$28*MAX(0,MIN(100,(1-MIN(1,IF(Config!$B$30=0,1,$S430/Config!$B$30)))*100)) + Config!$B$29*MAX(0,MIN(100,MIN(1,IF($T430="",0,$T430)/Config!$B$23)*100))))),"")
</f>
        <v/>
      </c>
      <c r="V430" s="40" t="str">
        <f>IF(Bids!$AC430="","",Bids!$AC430)</f>
        <v/>
      </c>
      <c r="W430" s="40" t="str">
        <f>IF(Bids!$F429="","",Bids!$F429)</f>
        <v/>
      </c>
      <c r="X430" s="40" t="str">
        <f t="shared" si="5"/>
        <v/>
      </c>
      <c r="Y430" s="40" t="str">
        <f>IF($X430="","",IF(Config!$B$17=Config!$B$16,IF($X430&gt;=Config!$B$17,100,0),MAX(0,MIN(100,($X430-Config!$B$16)/(Config!$B$17-Config!$B$16)*100))))</f>
        <v/>
      </c>
      <c r="Z430" s="40">
        <f>IF($M430="Elite",Config!$B$21,0)</f>
        <v>0</v>
      </c>
      <c r="AA430" s="40" t="str">
        <f>IFERROR(IF(OR($W430="",$H430=""),"",IF($W430&gt;$H430,
  MAX(0, 60-(($W430-$H430)*24/Config!$B$19)*60),
  MIN(100, 60+(($H430-$W430)*24/Config!$B$20)*40)
)),"")
</f>
        <v/>
      </c>
      <c r="AB430" s="40" t="str">
        <f>IF($K430="","",IFERROR(VLOOKUP($K430,Grinders!$A$4:$N$998,10,FALSE)/5*100,""))</f>
        <v/>
      </c>
      <c r="AC430" s="40" t="str">
        <f>IF($K430="","",IFERROR(VLOOKUP($K430,Grinders!$A$4:$N$998,11,FALSE)*100,""))</f>
        <v/>
      </c>
      <c r="AD430" s="40" t="str">
        <f>IF($K430="","",IFERROR(VLOOKUP($K430,Grinders!$A$4:$N$998,12,FALSE)*100,""))</f>
        <v/>
      </c>
      <c r="AE430" s="40" t="str">
        <f>IF(OR(AO430=1,AP430=1),0,=IFERROR(IFS(
    OR($C430="", $K430=""), 0,
    $F430=0, 0,
    $D430&lt;&gt;"Open", 0,
    COUNTIFS(GrinderServices!$A$6:$A$1000, $K430, GrinderServices!$B$6:$B$1000, $E430, GrinderServices!$D$6:$D$1000, "Y")=0, 0,
    $X430&lt;Config!$B$16, 0,
    Config!$B$18=1, IF($O430&gt;=N430, 0, 1),
    TRUE, 1
), "")
)</f>
        <v>#ERROR!</v>
      </c>
      <c r="AF430" s="40" t="str">
        <f>IFERROR((IF(OR(AO430=1,AP430=1),"",=IFERROR((IFERROR(IF($AE430=0,"",((Config!$B$6*$Y430 + Config!$B$7*$U430 + Config!$B$8*$Z430 + Config!$B$9*$AA430 + Config!$B$10*$AB430 + Config!$B$11*$AC430 - Config!$B$12*$AD430)/Config!$B$13)+$AK430+$AL430),""))*(1-IFERROR(VLOOKUP(K430,Grinders!$A:$AB, 28, FALSE),0)),"")))*(1+AR430),"")</f>
        <v>#ERROR!</v>
      </c>
      <c r="AG430" s="40" t="str">
        <f t="shared" si="6"/>
        <v>#ERROR!</v>
      </c>
      <c r="AH430" s="40" t="str">
        <f t="shared" si="7"/>
        <v/>
      </c>
      <c r="AI430" s="40" t="str">
        <f t="shared" si="8"/>
        <v/>
      </c>
      <c r="AJ430" s="40" t="str">
        <f>IF($K430="","",COUNTIF(Assignments!$B$6:$B$1000,$K430))</f>
        <v/>
      </c>
      <c r="AK430" s="40" t="str">
        <f>IF($K430="","",IF(AND($AJ430=0,$O430&lt;$N430),Config!$B$43,0))</f>
        <v/>
      </c>
      <c r="AL430" s="40" t="str">
        <f>IF($K430="","",IF(AND($M430="Elite",$G430&gt;=Config!$B$41,$O430&lt;$N430),Config!$B$42,0))</f>
        <v/>
      </c>
      <c r="AM430" s="22"/>
      <c r="AN430" s="39">
        <f>IFERROR(VLOOKUP(K430,Grinders!$A:$Q,28,FALSE),0)</f>
        <v>0</v>
      </c>
      <c r="AO430" s="39">
        <f>IF(Config!$B$1003&lt;&gt;"Y",0,IF(IFERROR(VLOOKUP(K430,Grinders!$A:$P,27,FALSE),0)&gt;=3,IF(OR(G430&gt;=Config!$B$1001,ISNUMBER(SEARCH(E430,Config!$B$1002))),1,0),0))</f>
        <v>0</v>
      </c>
      <c r="AP430" s="39">
        <f t="array" ref="AP430">IFERROR(IF(INDEX(Bids!$AE:$AE,MATCH(B430,Bids!$A:$A,0))="Pending",1,0),0)</f>
        <v>0</v>
      </c>
      <c r="AQ430" s="39" t="str">
        <f t="array" ref="AQ430">IF(C430="","",IFERROR(XLOOKUP(C430,Assignments!$C:$C,Assignments!$AU:$AU,0),0))</f>
        <v/>
      </c>
      <c r="AR430" s="39">
        <f>IF(AND(Config!$B$1006="Y",AQ430=1),Config!$B$1007,0)</f>
        <v>0</v>
      </c>
    </row>
    <row r="431" ht="15.75" customHeight="1">
      <c r="A431" s="46" t="str">
        <f t="shared" si="1"/>
        <v/>
      </c>
      <c r="B431" s="40" t="str">
        <f>IF(Bids!$A430="","",Bids!$A430)</f>
        <v/>
      </c>
      <c r="C431" s="40" t="str">
        <f>IF(Bids!$B430="","",Bids!$B430)</f>
        <v/>
      </c>
      <c r="D431" s="40" t="str">
        <f>IF($C431="","",IFERROR(VLOOKUP($C431,Orders!$A$4:$J$998,9,FALSE),""))</f>
        <v/>
      </c>
      <c r="E431" s="40" t="str">
        <f>IF($C431="","",IFERROR(VLOOKUP($C431,Orders!$A$4:$J$998,3,FALSE),""))</f>
        <v/>
      </c>
      <c r="F431" s="40">
        <f t="shared" si="2"/>
        <v>1</v>
      </c>
      <c r="G431" s="40" t="str">
        <f>IF($C431="","",IFERROR(VLOOKUP($C431,Orders!$A$4:$J$998,4,FALSE),""))</f>
        <v/>
      </c>
      <c r="H431" s="40" t="str">
        <f>IF($C431="","",IFERROR(VLOOKUP($C431,Orders!$A$4:$J$998,5,FALSE),""))</f>
        <v/>
      </c>
      <c r="I431" s="40" t="str">
        <f>IF($C431="","",IFERROR(VLOOKUP($C431,Orders!$A$4:$J$998,6,FALSE),""))</f>
        <v/>
      </c>
      <c r="J431" s="40" t="str">
        <f>IF($C431="","",IFERROR(VLOOKUP($C431,Orders!$A$4:$J$998,7,FALSE),""))</f>
        <v/>
      </c>
      <c r="K431" s="40" t="str">
        <f>IF(Bids!$C430="","",Bids!$C430)</f>
        <v/>
      </c>
      <c r="L431" s="40" t="str">
        <f>IF($K431="","",IFERROR(VLOOKUP($K431,Grinders!$A$4:$N$998,2,FALSE),""))</f>
        <v/>
      </c>
      <c r="M431" s="40" t="str">
        <f>IF($K431="","",IFERROR(VLOOKUP($K431,Grinders!$A$4:$N$998,3,FALSE),""))</f>
        <v/>
      </c>
      <c r="N431" s="40" t="str">
        <f>IF($K431="","",IFERROR(VLOOKUP($K431,Grinders!$A$4:$N$998,4,FALSE),""))</f>
        <v/>
      </c>
      <c r="O431" s="40" t="str">
        <f>IF($K431="","",IFERROR(VLOOKUP($K431,Grinders!$A$4:$N$998,5,FALSE),""))</f>
        <v/>
      </c>
      <c r="P431" s="40" t="str">
        <f>IF($K431="","",IF($C$4="",0,COUNTIFS(Assignments!$B$6:$B$1000,$K431,Assignments!$F$6:$F$1000,$C$4,Assignments!$E$6:$E$1000,"Active")))</f>
        <v/>
      </c>
      <c r="Q431" s="40" t="str">
        <f t="shared" si="3"/>
        <v/>
      </c>
      <c r="R431" s="40" t="str">
        <f t="shared" si="4"/>
        <v/>
      </c>
      <c r="S431" s="40" t="str">
        <f>IF($K431="","",IF($C$4="",0,COUNTIFS(Assignments!$B$6:$B$1000,$K431,Assignments!$F$6:$F$1000,$C$4,Assignments!$D$6:$D$1000,"&gt;="&amp;Config!$B$3-7,Assignments!$D$6:$D$1000,"&lt;="&amp;Config!$B$3)))</f>
        <v/>
      </c>
      <c r="T431" s="40" t="str">
        <f>IF($K431="","",IFERROR(VLOOKUP($K431,Grinders!$A$4:$N$998,8,FALSE),""))</f>
        <v/>
      </c>
      <c r="U431" s="40" t="str">
        <f>IFERROR(IF($K431="","",IF($M431="Elite",MAX(50,MIN(100,Config!$B$27*MAX(0,MIN(100,(1-IF($R431="",0,$R431))*100)) + Config!$B$28*MAX(0,MIN(100,(1-MIN(1,IF(Config!$B$30=0,1,$S431/Config!$B$30)))*100)) + Config!$B$29*MAX(0,MIN(100,MIN(1,IF($T431="",0,$T431)/Config!$B$23)*100)))),MIN(100,Config!$B$27*MAX(0,MIN(100,(1-IF($R431="",0,$R431))*100)) + Config!$B$28*MAX(0,MIN(100,(1-MIN(1,IF(Config!$B$30=0,1,$S431/Config!$B$30)))*100)) + Config!$B$29*MAX(0,MIN(100,MIN(1,IF($T431="",0,$T431)/Config!$B$23)*100))))),"")
</f>
        <v/>
      </c>
      <c r="V431" s="40" t="str">
        <f>IF(Bids!$AC431="","",Bids!$AC431)</f>
        <v/>
      </c>
      <c r="W431" s="40" t="str">
        <f>IF(Bids!$F430="","",Bids!$F430)</f>
        <v/>
      </c>
      <c r="X431" s="40" t="str">
        <f t="shared" si="5"/>
        <v/>
      </c>
      <c r="Y431" s="40" t="str">
        <f>IF($X431="","",IF(Config!$B$17=Config!$B$16,IF($X431&gt;=Config!$B$17,100,0),MAX(0,MIN(100,($X431-Config!$B$16)/(Config!$B$17-Config!$B$16)*100))))</f>
        <v/>
      </c>
      <c r="Z431" s="40">
        <f>IF($M431="Elite",Config!$B$21,0)</f>
        <v>0</v>
      </c>
      <c r="AA431" s="40" t="str">
        <f>IFERROR(IF(OR($W431="",$H431=""),"",IF($W431&gt;$H431,
  MAX(0, 60-(($W431-$H431)*24/Config!$B$19)*60),
  MIN(100, 60+(($H431-$W431)*24/Config!$B$20)*40)
)),"")
</f>
        <v/>
      </c>
      <c r="AB431" s="40" t="str">
        <f>IF($K431="","",IFERROR(VLOOKUP($K431,Grinders!$A$4:$N$998,10,FALSE)/5*100,""))</f>
        <v/>
      </c>
      <c r="AC431" s="40" t="str">
        <f>IF($K431="","",IFERROR(VLOOKUP($K431,Grinders!$A$4:$N$998,11,FALSE)*100,""))</f>
        <v/>
      </c>
      <c r="AD431" s="40" t="str">
        <f>IF($K431="","",IFERROR(VLOOKUP($K431,Grinders!$A$4:$N$998,12,FALSE)*100,""))</f>
        <v/>
      </c>
      <c r="AE431" s="40" t="str">
        <f>IF(OR(AO431=1,AP431=1),0,=IFERROR(IFS(
    OR($C431="", $K431=""), 0,
    $F431=0, 0,
    $D431&lt;&gt;"Open", 0,
    COUNTIFS(GrinderServices!$A$6:$A$1000, $K431, GrinderServices!$B$6:$B$1000, $E431, GrinderServices!$D$6:$D$1000, "Y")=0, 0,
    $X431&lt;Config!$B$16, 0,
    Config!$B$18=1, IF($O431&gt;=N431, 0, 1),
    TRUE, 1
), "")
)</f>
        <v>#ERROR!</v>
      </c>
      <c r="AF431" s="40" t="str">
        <f>IFERROR((IF(OR(AO431=1,AP431=1),"",=IFERROR((IFERROR(IF($AE431=0,"",((Config!$B$6*$Y431 + Config!$B$7*$U431 + Config!$B$8*$Z431 + Config!$B$9*$AA431 + Config!$B$10*$AB431 + Config!$B$11*$AC431 - Config!$B$12*$AD431)/Config!$B$13)+$AK431+$AL431),""))*(1-IFERROR(VLOOKUP(K431,Grinders!$A:$AB, 28, FALSE),0)),"")))*(1+AR431),"")</f>
        <v>#ERROR!</v>
      </c>
      <c r="AG431" s="40" t="str">
        <f t="shared" si="6"/>
        <v>#ERROR!</v>
      </c>
      <c r="AH431" s="40" t="str">
        <f t="shared" si="7"/>
        <v/>
      </c>
      <c r="AI431" s="40" t="str">
        <f t="shared" si="8"/>
        <v/>
      </c>
      <c r="AJ431" s="40" t="str">
        <f>IF($K431="","",COUNTIF(Assignments!$B$6:$B$1000,$K431))</f>
        <v/>
      </c>
      <c r="AK431" s="40" t="str">
        <f>IF($K431="","",IF(AND($AJ431=0,$O431&lt;$N431),Config!$B$43,0))</f>
        <v/>
      </c>
      <c r="AL431" s="40" t="str">
        <f>IF($K431="","",IF(AND($M431="Elite",$G431&gt;=Config!$B$41,$O431&lt;$N431),Config!$B$42,0))</f>
        <v/>
      </c>
      <c r="AM431" s="22"/>
      <c r="AN431" s="39">
        <f>IFERROR(VLOOKUP(K431,Grinders!$A:$Q,28,FALSE),0)</f>
        <v>0</v>
      </c>
      <c r="AO431" s="39">
        <f>IF(Config!$B$1003&lt;&gt;"Y",0,IF(IFERROR(VLOOKUP(K431,Grinders!$A:$P,27,FALSE),0)&gt;=3,IF(OR(G431&gt;=Config!$B$1001,ISNUMBER(SEARCH(E431,Config!$B$1002))),1,0),0))</f>
        <v>0</v>
      </c>
      <c r="AP431" s="39">
        <f t="array" ref="AP431">IFERROR(IF(INDEX(Bids!$AE:$AE,MATCH(B431,Bids!$A:$A,0))="Pending",1,0),0)</f>
        <v>0</v>
      </c>
      <c r="AQ431" s="39" t="str">
        <f t="array" ref="AQ431">IF(C431="","",IFERROR(XLOOKUP(C431,Assignments!$C:$C,Assignments!$AU:$AU,0),0))</f>
        <v/>
      </c>
      <c r="AR431" s="39">
        <f>IF(AND(Config!$B$1006="Y",AQ431=1),Config!$B$1007,0)</f>
        <v>0</v>
      </c>
    </row>
    <row r="432" ht="15.75" customHeight="1">
      <c r="A432" s="46" t="str">
        <f t="shared" si="1"/>
        <v/>
      </c>
      <c r="B432" s="40" t="str">
        <f>IF(Bids!$A431="","",Bids!$A431)</f>
        <v/>
      </c>
      <c r="C432" s="40" t="str">
        <f>IF(Bids!$B431="","",Bids!$B431)</f>
        <v/>
      </c>
      <c r="D432" s="40" t="str">
        <f>IF($C432="","",IFERROR(VLOOKUP($C432,Orders!$A$4:$J$998,9,FALSE),""))</f>
        <v/>
      </c>
      <c r="E432" s="40" t="str">
        <f>IF($C432="","",IFERROR(VLOOKUP($C432,Orders!$A$4:$J$998,3,FALSE),""))</f>
        <v/>
      </c>
      <c r="F432" s="40">
        <f t="shared" si="2"/>
        <v>1</v>
      </c>
      <c r="G432" s="40" t="str">
        <f>IF($C432="","",IFERROR(VLOOKUP($C432,Orders!$A$4:$J$998,4,FALSE),""))</f>
        <v/>
      </c>
      <c r="H432" s="40" t="str">
        <f>IF($C432="","",IFERROR(VLOOKUP($C432,Orders!$A$4:$J$998,5,FALSE),""))</f>
        <v/>
      </c>
      <c r="I432" s="40" t="str">
        <f>IF($C432="","",IFERROR(VLOOKUP($C432,Orders!$A$4:$J$998,6,FALSE),""))</f>
        <v/>
      </c>
      <c r="J432" s="40" t="str">
        <f>IF($C432="","",IFERROR(VLOOKUP($C432,Orders!$A$4:$J$998,7,FALSE),""))</f>
        <v/>
      </c>
      <c r="K432" s="40" t="str">
        <f>IF(Bids!$C431="","",Bids!$C431)</f>
        <v/>
      </c>
      <c r="L432" s="40" t="str">
        <f>IF($K432="","",IFERROR(VLOOKUP($K432,Grinders!$A$4:$N$998,2,FALSE),""))</f>
        <v/>
      </c>
      <c r="M432" s="40" t="str">
        <f>IF($K432="","",IFERROR(VLOOKUP($K432,Grinders!$A$4:$N$998,3,FALSE),""))</f>
        <v/>
      </c>
      <c r="N432" s="40" t="str">
        <f>IF($K432="","",IFERROR(VLOOKUP($K432,Grinders!$A$4:$N$998,4,FALSE),""))</f>
        <v/>
      </c>
      <c r="O432" s="40" t="str">
        <f>IF($K432="","",IFERROR(VLOOKUP($K432,Grinders!$A$4:$N$998,5,FALSE),""))</f>
        <v/>
      </c>
      <c r="P432" s="40" t="str">
        <f>IF($K432="","",IF($C$4="",0,COUNTIFS(Assignments!$B$6:$B$1000,$K432,Assignments!$F$6:$F$1000,$C$4,Assignments!$E$6:$E$1000,"Active")))</f>
        <v/>
      </c>
      <c r="Q432" s="40" t="str">
        <f t="shared" si="3"/>
        <v/>
      </c>
      <c r="R432" s="40" t="str">
        <f t="shared" si="4"/>
        <v/>
      </c>
      <c r="S432" s="40" t="str">
        <f>IF($K432="","",IF($C$4="",0,COUNTIFS(Assignments!$B$6:$B$1000,$K432,Assignments!$F$6:$F$1000,$C$4,Assignments!$D$6:$D$1000,"&gt;="&amp;Config!$B$3-7,Assignments!$D$6:$D$1000,"&lt;="&amp;Config!$B$3)))</f>
        <v/>
      </c>
      <c r="T432" s="40" t="str">
        <f>IF($K432="","",IFERROR(VLOOKUP($K432,Grinders!$A$4:$N$998,8,FALSE),""))</f>
        <v/>
      </c>
      <c r="U432" s="40" t="str">
        <f>IFERROR(IF($K432="","",IF($M432="Elite",MAX(50,MIN(100,Config!$B$27*MAX(0,MIN(100,(1-IF($R432="",0,$R432))*100)) + Config!$B$28*MAX(0,MIN(100,(1-MIN(1,IF(Config!$B$30=0,1,$S432/Config!$B$30)))*100)) + Config!$B$29*MAX(0,MIN(100,MIN(1,IF($T432="",0,$T432)/Config!$B$23)*100)))),MIN(100,Config!$B$27*MAX(0,MIN(100,(1-IF($R432="",0,$R432))*100)) + Config!$B$28*MAX(0,MIN(100,(1-MIN(1,IF(Config!$B$30=0,1,$S432/Config!$B$30)))*100)) + Config!$B$29*MAX(0,MIN(100,MIN(1,IF($T432="",0,$T432)/Config!$B$23)*100))))),"")
</f>
        <v/>
      </c>
      <c r="V432" s="40" t="str">
        <f>IF(Bids!$AC432="","",Bids!$AC432)</f>
        <v/>
      </c>
      <c r="W432" s="40" t="str">
        <f>IF(Bids!$F431="","",Bids!$F431)</f>
        <v/>
      </c>
      <c r="X432" s="40" t="str">
        <f t="shared" si="5"/>
        <v/>
      </c>
      <c r="Y432" s="40" t="str">
        <f>IF($X432="","",IF(Config!$B$17=Config!$B$16,IF($X432&gt;=Config!$B$17,100,0),MAX(0,MIN(100,($X432-Config!$B$16)/(Config!$B$17-Config!$B$16)*100))))</f>
        <v/>
      </c>
      <c r="Z432" s="40">
        <f>IF($M432="Elite",Config!$B$21,0)</f>
        <v>0</v>
      </c>
      <c r="AA432" s="40" t="str">
        <f>IFERROR(IF(OR($W432="",$H432=""),"",IF($W432&gt;$H432,
  MAX(0, 60-(($W432-$H432)*24/Config!$B$19)*60),
  MIN(100, 60+(($H432-$W432)*24/Config!$B$20)*40)
)),"")
</f>
        <v/>
      </c>
      <c r="AB432" s="40" t="str">
        <f>IF($K432="","",IFERROR(VLOOKUP($K432,Grinders!$A$4:$N$998,10,FALSE)/5*100,""))</f>
        <v/>
      </c>
      <c r="AC432" s="40" t="str">
        <f>IF($K432="","",IFERROR(VLOOKUP($K432,Grinders!$A$4:$N$998,11,FALSE)*100,""))</f>
        <v/>
      </c>
      <c r="AD432" s="40" t="str">
        <f>IF($K432="","",IFERROR(VLOOKUP($K432,Grinders!$A$4:$N$998,12,FALSE)*100,""))</f>
        <v/>
      </c>
      <c r="AE432" s="40" t="str">
        <f>IF(OR(AO432=1,AP432=1),0,=IFERROR(IFS(
    OR($C432="", $K432=""), 0,
    $F432=0, 0,
    $D432&lt;&gt;"Open", 0,
    COUNTIFS(GrinderServices!$A$6:$A$1000, $K432, GrinderServices!$B$6:$B$1000, $E432, GrinderServices!$D$6:$D$1000, "Y")=0, 0,
    $X432&lt;Config!$B$16, 0,
    Config!$B$18=1, IF($O432&gt;=N432, 0, 1),
    TRUE, 1
), "")
)</f>
        <v>#ERROR!</v>
      </c>
      <c r="AF432" s="40" t="str">
        <f>IFERROR((IF(OR(AO432=1,AP432=1),"",=IFERROR((IFERROR(IF($AE432=0,"",((Config!$B$6*$Y432 + Config!$B$7*$U432 + Config!$B$8*$Z432 + Config!$B$9*$AA432 + Config!$B$10*$AB432 + Config!$B$11*$AC432 - Config!$B$12*$AD432)/Config!$B$13)+$AK432+$AL432),""))*(1-IFERROR(VLOOKUP(K432,Grinders!$A:$AB, 28, FALSE),0)),"")))*(1+AR432),"")</f>
        <v>#ERROR!</v>
      </c>
      <c r="AG432" s="40" t="str">
        <f t="shared" si="6"/>
        <v>#ERROR!</v>
      </c>
      <c r="AH432" s="40" t="str">
        <f t="shared" si="7"/>
        <v/>
      </c>
      <c r="AI432" s="40" t="str">
        <f t="shared" si="8"/>
        <v/>
      </c>
      <c r="AJ432" s="40" t="str">
        <f>IF($K432="","",COUNTIF(Assignments!$B$6:$B$1000,$K432))</f>
        <v/>
      </c>
      <c r="AK432" s="40" t="str">
        <f>IF($K432="","",IF(AND($AJ432=0,$O432&lt;$N432),Config!$B$43,0))</f>
        <v/>
      </c>
      <c r="AL432" s="40" t="str">
        <f>IF($K432="","",IF(AND($M432="Elite",$G432&gt;=Config!$B$41,$O432&lt;$N432),Config!$B$42,0))</f>
        <v/>
      </c>
      <c r="AM432" s="22"/>
      <c r="AN432" s="39">
        <f>IFERROR(VLOOKUP(K432,Grinders!$A:$Q,28,FALSE),0)</f>
        <v>0</v>
      </c>
      <c r="AO432" s="39">
        <f>IF(Config!$B$1003&lt;&gt;"Y",0,IF(IFERROR(VLOOKUP(K432,Grinders!$A:$P,27,FALSE),0)&gt;=3,IF(OR(G432&gt;=Config!$B$1001,ISNUMBER(SEARCH(E432,Config!$B$1002))),1,0),0))</f>
        <v>0</v>
      </c>
      <c r="AP432" s="39">
        <f t="array" ref="AP432">IFERROR(IF(INDEX(Bids!$AE:$AE,MATCH(B432,Bids!$A:$A,0))="Pending",1,0),0)</f>
        <v>0</v>
      </c>
      <c r="AQ432" s="39" t="str">
        <f t="array" ref="AQ432">IF(C432="","",IFERROR(XLOOKUP(C432,Assignments!$C:$C,Assignments!$AU:$AU,0),0))</f>
        <v/>
      </c>
      <c r="AR432" s="39">
        <f>IF(AND(Config!$B$1006="Y",AQ432=1),Config!$B$1007,0)</f>
        <v>0</v>
      </c>
    </row>
    <row r="433" ht="15.75" customHeight="1">
      <c r="A433" s="46" t="str">
        <f t="shared" si="1"/>
        <v/>
      </c>
      <c r="B433" s="40" t="str">
        <f>IF(Bids!$A432="","",Bids!$A432)</f>
        <v/>
      </c>
      <c r="C433" s="40" t="str">
        <f>IF(Bids!$B432="","",Bids!$B432)</f>
        <v/>
      </c>
      <c r="D433" s="40" t="str">
        <f>IF($C433="","",IFERROR(VLOOKUP($C433,Orders!$A$4:$J$998,9,FALSE),""))</f>
        <v/>
      </c>
      <c r="E433" s="40" t="str">
        <f>IF($C433="","",IFERROR(VLOOKUP($C433,Orders!$A$4:$J$998,3,FALSE),""))</f>
        <v/>
      </c>
      <c r="F433" s="40">
        <f t="shared" si="2"/>
        <v>1</v>
      </c>
      <c r="G433" s="40" t="str">
        <f>IF($C433="","",IFERROR(VLOOKUP($C433,Orders!$A$4:$J$998,4,FALSE),""))</f>
        <v/>
      </c>
      <c r="H433" s="40" t="str">
        <f>IF($C433="","",IFERROR(VLOOKUP($C433,Orders!$A$4:$J$998,5,FALSE),""))</f>
        <v/>
      </c>
      <c r="I433" s="40" t="str">
        <f>IF($C433="","",IFERROR(VLOOKUP($C433,Orders!$A$4:$J$998,6,FALSE),""))</f>
        <v/>
      </c>
      <c r="J433" s="40" t="str">
        <f>IF($C433="","",IFERROR(VLOOKUP($C433,Orders!$A$4:$J$998,7,FALSE),""))</f>
        <v/>
      </c>
      <c r="K433" s="40" t="str">
        <f>IF(Bids!$C432="","",Bids!$C432)</f>
        <v/>
      </c>
      <c r="L433" s="40" t="str">
        <f>IF($K433="","",IFERROR(VLOOKUP($K433,Grinders!$A$4:$N$998,2,FALSE),""))</f>
        <v/>
      </c>
      <c r="M433" s="40" t="str">
        <f>IF($K433="","",IFERROR(VLOOKUP($K433,Grinders!$A$4:$N$998,3,FALSE),""))</f>
        <v/>
      </c>
      <c r="N433" s="40" t="str">
        <f>IF($K433="","",IFERROR(VLOOKUP($K433,Grinders!$A$4:$N$998,4,FALSE),""))</f>
        <v/>
      </c>
      <c r="O433" s="40" t="str">
        <f>IF($K433="","",IFERROR(VLOOKUP($K433,Grinders!$A$4:$N$998,5,FALSE),""))</f>
        <v/>
      </c>
      <c r="P433" s="40" t="str">
        <f>IF($K433="","",IF($C$4="",0,COUNTIFS(Assignments!$B$6:$B$1000,$K433,Assignments!$F$6:$F$1000,$C$4,Assignments!$E$6:$E$1000,"Active")))</f>
        <v/>
      </c>
      <c r="Q433" s="40" t="str">
        <f t="shared" si="3"/>
        <v/>
      </c>
      <c r="R433" s="40" t="str">
        <f t="shared" si="4"/>
        <v/>
      </c>
      <c r="S433" s="40" t="str">
        <f>IF($K433="","",IF($C$4="",0,COUNTIFS(Assignments!$B$6:$B$1000,$K433,Assignments!$F$6:$F$1000,$C$4,Assignments!$D$6:$D$1000,"&gt;="&amp;Config!$B$3-7,Assignments!$D$6:$D$1000,"&lt;="&amp;Config!$B$3)))</f>
        <v/>
      </c>
      <c r="T433" s="40" t="str">
        <f>IF($K433="","",IFERROR(VLOOKUP($K433,Grinders!$A$4:$N$998,8,FALSE),""))</f>
        <v/>
      </c>
      <c r="U433" s="40" t="str">
        <f>IFERROR(IF($K433="","",IF($M433="Elite",MAX(50,MIN(100,Config!$B$27*MAX(0,MIN(100,(1-IF($R433="",0,$R433))*100)) + Config!$B$28*MAX(0,MIN(100,(1-MIN(1,IF(Config!$B$30=0,1,$S433/Config!$B$30)))*100)) + Config!$B$29*MAX(0,MIN(100,MIN(1,IF($T433="",0,$T433)/Config!$B$23)*100)))),MIN(100,Config!$B$27*MAX(0,MIN(100,(1-IF($R433="",0,$R433))*100)) + Config!$B$28*MAX(0,MIN(100,(1-MIN(1,IF(Config!$B$30=0,1,$S433/Config!$B$30)))*100)) + Config!$B$29*MAX(0,MIN(100,MIN(1,IF($T433="",0,$T433)/Config!$B$23)*100))))),"")
</f>
        <v/>
      </c>
      <c r="V433" s="40" t="str">
        <f>IF(Bids!$AC433="","",Bids!$AC433)</f>
        <v/>
      </c>
      <c r="W433" s="40" t="str">
        <f>IF(Bids!$F432="","",Bids!$F432)</f>
        <v/>
      </c>
      <c r="X433" s="40" t="str">
        <f t="shared" si="5"/>
        <v/>
      </c>
      <c r="Y433" s="40" t="str">
        <f>IF($X433="","",IF(Config!$B$17=Config!$B$16,IF($X433&gt;=Config!$B$17,100,0),MAX(0,MIN(100,($X433-Config!$B$16)/(Config!$B$17-Config!$B$16)*100))))</f>
        <v/>
      </c>
      <c r="Z433" s="40">
        <f>IF($M433="Elite",Config!$B$21,0)</f>
        <v>0</v>
      </c>
      <c r="AA433" s="40" t="str">
        <f>IFERROR(IF(OR($W433="",$H433=""),"",IF($W433&gt;$H433,
  MAX(0, 60-(($W433-$H433)*24/Config!$B$19)*60),
  MIN(100, 60+(($H433-$W433)*24/Config!$B$20)*40)
)),"")
</f>
        <v/>
      </c>
      <c r="AB433" s="40" t="str">
        <f>IF($K433="","",IFERROR(VLOOKUP($K433,Grinders!$A$4:$N$998,10,FALSE)/5*100,""))</f>
        <v/>
      </c>
      <c r="AC433" s="40" t="str">
        <f>IF($K433="","",IFERROR(VLOOKUP($K433,Grinders!$A$4:$N$998,11,FALSE)*100,""))</f>
        <v/>
      </c>
      <c r="AD433" s="40" t="str">
        <f>IF($K433="","",IFERROR(VLOOKUP($K433,Grinders!$A$4:$N$998,12,FALSE)*100,""))</f>
        <v/>
      </c>
      <c r="AE433" s="40" t="str">
        <f>IF(OR(AO433=1,AP433=1),0,=IFERROR(IFS(
    OR($C433="", $K433=""), 0,
    $F433=0, 0,
    $D433&lt;&gt;"Open", 0,
    COUNTIFS(GrinderServices!$A$6:$A$1000, $K433, GrinderServices!$B$6:$B$1000, $E433, GrinderServices!$D$6:$D$1000, "Y")=0, 0,
    $X433&lt;Config!$B$16, 0,
    Config!$B$18=1, IF($O433&gt;=N433, 0, 1),
    TRUE, 1
), "")
)</f>
        <v>#ERROR!</v>
      </c>
      <c r="AF433" s="40" t="str">
        <f>IFERROR((IF(OR(AO433=1,AP433=1),"",=IFERROR((IFERROR(IF($AE433=0,"",((Config!$B$6*$Y433 + Config!$B$7*$U433 + Config!$B$8*$Z433 + Config!$B$9*$AA433 + Config!$B$10*$AB433 + Config!$B$11*$AC433 - Config!$B$12*$AD433)/Config!$B$13)+$AK433+$AL433),""))*(1-IFERROR(VLOOKUP(K433,Grinders!$A:$AB, 28, FALSE),0)),"")))*(1+AR433),"")</f>
        <v>#ERROR!</v>
      </c>
      <c r="AG433" s="40" t="str">
        <f t="shared" si="6"/>
        <v>#ERROR!</v>
      </c>
      <c r="AH433" s="40" t="str">
        <f t="shared" si="7"/>
        <v/>
      </c>
      <c r="AI433" s="40" t="str">
        <f t="shared" si="8"/>
        <v/>
      </c>
      <c r="AJ433" s="40" t="str">
        <f>IF($K433="","",COUNTIF(Assignments!$B$6:$B$1000,$K433))</f>
        <v/>
      </c>
      <c r="AK433" s="40" t="str">
        <f>IF($K433="","",IF(AND($AJ433=0,$O433&lt;$N433),Config!$B$43,0))</f>
        <v/>
      </c>
      <c r="AL433" s="40" t="str">
        <f>IF($K433="","",IF(AND($M433="Elite",$G433&gt;=Config!$B$41,$O433&lt;$N433),Config!$B$42,0))</f>
        <v/>
      </c>
      <c r="AM433" s="22"/>
      <c r="AN433" s="39">
        <f>IFERROR(VLOOKUP(K433,Grinders!$A:$Q,28,FALSE),0)</f>
        <v>0</v>
      </c>
      <c r="AO433" s="39">
        <f>IF(Config!$B$1003&lt;&gt;"Y",0,IF(IFERROR(VLOOKUP(K433,Grinders!$A:$P,27,FALSE),0)&gt;=3,IF(OR(G433&gt;=Config!$B$1001,ISNUMBER(SEARCH(E433,Config!$B$1002))),1,0),0))</f>
        <v>0</v>
      </c>
      <c r="AP433" s="39">
        <f t="array" ref="AP433">IFERROR(IF(INDEX(Bids!$AE:$AE,MATCH(B433,Bids!$A:$A,0))="Pending",1,0),0)</f>
        <v>0</v>
      </c>
      <c r="AQ433" s="39" t="str">
        <f t="array" ref="AQ433">IF(C433="","",IFERROR(XLOOKUP(C433,Assignments!$C:$C,Assignments!$AU:$AU,0),0))</f>
        <v/>
      </c>
      <c r="AR433" s="39">
        <f>IF(AND(Config!$B$1006="Y",AQ433=1),Config!$B$1007,0)</f>
        <v>0</v>
      </c>
    </row>
    <row r="434" ht="15.75" customHeight="1">
      <c r="A434" s="46" t="str">
        <f t="shared" si="1"/>
        <v/>
      </c>
      <c r="B434" s="40" t="str">
        <f>IF(Bids!$A433="","",Bids!$A433)</f>
        <v/>
      </c>
      <c r="C434" s="40" t="str">
        <f>IF(Bids!$B433="","",Bids!$B433)</f>
        <v/>
      </c>
      <c r="D434" s="40" t="str">
        <f>IF($C434="","",IFERROR(VLOOKUP($C434,Orders!$A$4:$J$998,9,FALSE),""))</f>
        <v/>
      </c>
      <c r="E434" s="40" t="str">
        <f>IF($C434="","",IFERROR(VLOOKUP($C434,Orders!$A$4:$J$998,3,FALSE),""))</f>
        <v/>
      </c>
      <c r="F434" s="40">
        <f t="shared" si="2"/>
        <v>1</v>
      </c>
      <c r="G434" s="40" t="str">
        <f>IF($C434="","",IFERROR(VLOOKUP($C434,Orders!$A$4:$J$998,4,FALSE),""))</f>
        <v/>
      </c>
      <c r="H434" s="40" t="str">
        <f>IF($C434="","",IFERROR(VLOOKUP($C434,Orders!$A$4:$J$998,5,FALSE),""))</f>
        <v/>
      </c>
      <c r="I434" s="40" t="str">
        <f>IF($C434="","",IFERROR(VLOOKUP($C434,Orders!$A$4:$J$998,6,FALSE),""))</f>
        <v/>
      </c>
      <c r="J434" s="40" t="str">
        <f>IF($C434="","",IFERROR(VLOOKUP($C434,Orders!$A$4:$J$998,7,FALSE),""))</f>
        <v/>
      </c>
      <c r="K434" s="40" t="str">
        <f>IF(Bids!$C433="","",Bids!$C433)</f>
        <v/>
      </c>
      <c r="L434" s="40" t="str">
        <f>IF($K434="","",IFERROR(VLOOKUP($K434,Grinders!$A$4:$N$998,2,FALSE),""))</f>
        <v/>
      </c>
      <c r="M434" s="40" t="str">
        <f>IF($K434="","",IFERROR(VLOOKUP($K434,Grinders!$A$4:$N$998,3,FALSE),""))</f>
        <v/>
      </c>
      <c r="N434" s="40" t="str">
        <f>IF($K434="","",IFERROR(VLOOKUP($K434,Grinders!$A$4:$N$998,4,FALSE),""))</f>
        <v/>
      </c>
      <c r="O434" s="40" t="str">
        <f>IF($K434="","",IFERROR(VLOOKUP($K434,Grinders!$A$4:$N$998,5,FALSE),""))</f>
        <v/>
      </c>
      <c r="P434" s="40" t="str">
        <f>IF($K434="","",IF($C$4="",0,COUNTIFS(Assignments!$B$6:$B$1000,$K434,Assignments!$F$6:$F$1000,$C$4,Assignments!$E$6:$E$1000,"Active")))</f>
        <v/>
      </c>
      <c r="Q434" s="40" t="str">
        <f t="shared" si="3"/>
        <v/>
      </c>
      <c r="R434" s="40" t="str">
        <f t="shared" si="4"/>
        <v/>
      </c>
      <c r="S434" s="40" t="str">
        <f>IF($K434="","",IF($C$4="",0,COUNTIFS(Assignments!$B$6:$B$1000,$K434,Assignments!$F$6:$F$1000,$C$4,Assignments!$D$6:$D$1000,"&gt;="&amp;Config!$B$3-7,Assignments!$D$6:$D$1000,"&lt;="&amp;Config!$B$3)))</f>
        <v/>
      </c>
      <c r="T434" s="40" t="str">
        <f>IF($K434="","",IFERROR(VLOOKUP($K434,Grinders!$A$4:$N$998,8,FALSE),""))</f>
        <v/>
      </c>
      <c r="U434" s="40" t="str">
        <f>IFERROR(IF($K434="","",IF($M434="Elite",MAX(50,MIN(100,Config!$B$27*MAX(0,MIN(100,(1-IF($R434="",0,$R434))*100)) + Config!$B$28*MAX(0,MIN(100,(1-MIN(1,IF(Config!$B$30=0,1,$S434/Config!$B$30)))*100)) + Config!$B$29*MAX(0,MIN(100,MIN(1,IF($T434="",0,$T434)/Config!$B$23)*100)))),MIN(100,Config!$B$27*MAX(0,MIN(100,(1-IF($R434="",0,$R434))*100)) + Config!$B$28*MAX(0,MIN(100,(1-MIN(1,IF(Config!$B$30=0,1,$S434/Config!$B$30)))*100)) + Config!$B$29*MAX(0,MIN(100,MIN(1,IF($T434="",0,$T434)/Config!$B$23)*100))))),"")
</f>
        <v/>
      </c>
      <c r="V434" s="40" t="str">
        <f>IF(Bids!$AC434="","",Bids!$AC434)</f>
        <v/>
      </c>
      <c r="W434" s="40" t="str">
        <f>IF(Bids!$F433="","",Bids!$F433)</f>
        <v/>
      </c>
      <c r="X434" s="40" t="str">
        <f t="shared" si="5"/>
        <v/>
      </c>
      <c r="Y434" s="40" t="str">
        <f>IF($X434="","",IF(Config!$B$17=Config!$B$16,IF($X434&gt;=Config!$B$17,100,0),MAX(0,MIN(100,($X434-Config!$B$16)/(Config!$B$17-Config!$B$16)*100))))</f>
        <v/>
      </c>
      <c r="Z434" s="40">
        <f>IF($M434="Elite",Config!$B$21,0)</f>
        <v>0</v>
      </c>
      <c r="AA434" s="40" t="str">
        <f>IFERROR(IF(OR($W434="",$H434=""),"",IF($W434&gt;$H434,
  MAX(0, 60-(($W434-$H434)*24/Config!$B$19)*60),
  MIN(100, 60+(($H434-$W434)*24/Config!$B$20)*40)
)),"")
</f>
        <v/>
      </c>
      <c r="AB434" s="40" t="str">
        <f>IF($K434="","",IFERROR(VLOOKUP($K434,Grinders!$A$4:$N$998,10,FALSE)/5*100,""))</f>
        <v/>
      </c>
      <c r="AC434" s="40" t="str">
        <f>IF($K434="","",IFERROR(VLOOKUP($K434,Grinders!$A$4:$N$998,11,FALSE)*100,""))</f>
        <v/>
      </c>
      <c r="AD434" s="40" t="str">
        <f>IF($K434="","",IFERROR(VLOOKUP($K434,Grinders!$A$4:$N$998,12,FALSE)*100,""))</f>
        <v/>
      </c>
      <c r="AE434" s="40" t="str">
        <f>IF(OR(AO434=1,AP434=1),0,=IFERROR(IFS(
    OR($C434="", $K434=""), 0,
    $F434=0, 0,
    $D434&lt;&gt;"Open", 0,
    COUNTIFS(GrinderServices!$A$6:$A$1000, $K434, GrinderServices!$B$6:$B$1000, $E434, GrinderServices!$D$6:$D$1000, "Y")=0, 0,
    $X434&lt;Config!$B$16, 0,
    Config!$B$18=1, IF($O434&gt;=N434, 0, 1),
    TRUE, 1
), "")
)</f>
        <v>#ERROR!</v>
      </c>
      <c r="AF434" s="40" t="str">
        <f>IFERROR((IF(OR(AO434=1,AP434=1),"",=IFERROR((IFERROR(IF($AE434=0,"",((Config!$B$6*$Y434 + Config!$B$7*$U434 + Config!$B$8*$Z434 + Config!$B$9*$AA434 + Config!$B$10*$AB434 + Config!$B$11*$AC434 - Config!$B$12*$AD434)/Config!$B$13)+$AK434+$AL434),""))*(1-IFERROR(VLOOKUP(K434,Grinders!$A:$AB, 28, FALSE),0)),"")))*(1+AR434),"")</f>
        <v>#ERROR!</v>
      </c>
      <c r="AG434" s="40" t="str">
        <f t="shared" si="6"/>
        <v>#ERROR!</v>
      </c>
      <c r="AH434" s="40" t="str">
        <f t="shared" si="7"/>
        <v/>
      </c>
      <c r="AI434" s="40" t="str">
        <f t="shared" si="8"/>
        <v/>
      </c>
      <c r="AJ434" s="40" t="str">
        <f>IF($K434="","",COUNTIF(Assignments!$B$6:$B$1000,$K434))</f>
        <v/>
      </c>
      <c r="AK434" s="40" t="str">
        <f>IF($K434="","",IF(AND($AJ434=0,$O434&lt;$N434),Config!$B$43,0))</f>
        <v/>
      </c>
      <c r="AL434" s="40" t="str">
        <f>IF($K434="","",IF(AND($M434="Elite",$G434&gt;=Config!$B$41,$O434&lt;$N434),Config!$B$42,0))</f>
        <v/>
      </c>
      <c r="AM434" s="22"/>
      <c r="AN434" s="39">
        <f>IFERROR(VLOOKUP(K434,Grinders!$A:$Q,28,FALSE),0)</f>
        <v>0</v>
      </c>
      <c r="AO434" s="39">
        <f>IF(Config!$B$1003&lt;&gt;"Y",0,IF(IFERROR(VLOOKUP(K434,Grinders!$A:$P,27,FALSE),0)&gt;=3,IF(OR(G434&gt;=Config!$B$1001,ISNUMBER(SEARCH(E434,Config!$B$1002))),1,0),0))</f>
        <v>0</v>
      </c>
      <c r="AP434" s="39">
        <f t="array" ref="AP434">IFERROR(IF(INDEX(Bids!$AE:$AE,MATCH(B434,Bids!$A:$A,0))="Pending",1,0),0)</f>
        <v>0</v>
      </c>
      <c r="AQ434" s="39" t="str">
        <f t="array" ref="AQ434">IF(C434="","",IFERROR(XLOOKUP(C434,Assignments!$C:$C,Assignments!$AU:$AU,0),0))</f>
        <v/>
      </c>
      <c r="AR434" s="39">
        <f>IF(AND(Config!$B$1006="Y",AQ434=1),Config!$B$1007,0)</f>
        <v>0</v>
      </c>
    </row>
    <row r="435" ht="15.75" customHeight="1">
      <c r="A435" s="46" t="str">
        <f t="shared" si="1"/>
        <v/>
      </c>
      <c r="B435" s="40" t="str">
        <f>IF(Bids!$A434="","",Bids!$A434)</f>
        <v/>
      </c>
      <c r="C435" s="40" t="str">
        <f>IF(Bids!$B434="","",Bids!$B434)</f>
        <v/>
      </c>
      <c r="D435" s="40" t="str">
        <f>IF($C435="","",IFERROR(VLOOKUP($C435,Orders!$A$4:$J$998,9,FALSE),""))</f>
        <v/>
      </c>
      <c r="E435" s="40" t="str">
        <f>IF($C435="","",IFERROR(VLOOKUP($C435,Orders!$A$4:$J$998,3,FALSE),""))</f>
        <v/>
      </c>
      <c r="F435" s="40">
        <f t="shared" si="2"/>
        <v>1</v>
      </c>
      <c r="G435" s="40" t="str">
        <f>IF($C435="","",IFERROR(VLOOKUP($C435,Orders!$A$4:$J$998,4,FALSE),""))</f>
        <v/>
      </c>
      <c r="H435" s="40" t="str">
        <f>IF($C435="","",IFERROR(VLOOKUP($C435,Orders!$A$4:$J$998,5,FALSE),""))</f>
        <v/>
      </c>
      <c r="I435" s="40" t="str">
        <f>IF($C435="","",IFERROR(VLOOKUP($C435,Orders!$A$4:$J$998,6,FALSE),""))</f>
        <v/>
      </c>
      <c r="J435" s="40" t="str">
        <f>IF($C435="","",IFERROR(VLOOKUP($C435,Orders!$A$4:$J$998,7,FALSE),""))</f>
        <v/>
      </c>
      <c r="K435" s="40" t="str">
        <f>IF(Bids!$C434="","",Bids!$C434)</f>
        <v/>
      </c>
      <c r="L435" s="40" t="str">
        <f>IF($K435="","",IFERROR(VLOOKUP($K435,Grinders!$A$4:$N$998,2,FALSE),""))</f>
        <v/>
      </c>
      <c r="M435" s="40" t="str">
        <f>IF($K435="","",IFERROR(VLOOKUP($K435,Grinders!$A$4:$N$998,3,FALSE),""))</f>
        <v/>
      </c>
      <c r="N435" s="40" t="str">
        <f>IF($K435="","",IFERROR(VLOOKUP($K435,Grinders!$A$4:$N$998,4,FALSE),""))</f>
        <v/>
      </c>
      <c r="O435" s="40" t="str">
        <f>IF($K435="","",IFERROR(VLOOKUP($K435,Grinders!$A$4:$N$998,5,FALSE),""))</f>
        <v/>
      </c>
      <c r="P435" s="40" t="str">
        <f>IF($K435="","",IF($C$4="",0,COUNTIFS(Assignments!$B$6:$B$1000,$K435,Assignments!$F$6:$F$1000,$C$4,Assignments!$E$6:$E$1000,"Active")))</f>
        <v/>
      </c>
      <c r="Q435" s="40" t="str">
        <f t="shared" si="3"/>
        <v/>
      </c>
      <c r="R435" s="40" t="str">
        <f t="shared" si="4"/>
        <v/>
      </c>
      <c r="S435" s="40" t="str">
        <f>IF($K435="","",IF($C$4="",0,COUNTIFS(Assignments!$B$6:$B$1000,$K435,Assignments!$F$6:$F$1000,$C$4,Assignments!$D$6:$D$1000,"&gt;="&amp;Config!$B$3-7,Assignments!$D$6:$D$1000,"&lt;="&amp;Config!$B$3)))</f>
        <v/>
      </c>
      <c r="T435" s="40" t="str">
        <f>IF($K435="","",IFERROR(VLOOKUP($K435,Grinders!$A$4:$N$998,8,FALSE),""))</f>
        <v/>
      </c>
      <c r="U435" s="40" t="str">
        <f>IFERROR(IF($K435="","",IF($M435="Elite",MAX(50,MIN(100,Config!$B$27*MAX(0,MIN(100,(1-IF($R435="",0,$R435))*100)) + Config!$B$28*MAX(0,MIN(100,(1-MIN(1,IF(Config!$B$30=0,1,$S435/Config!$B$30)))*100)) + Config!$B$29*MAX(0,MIN(100,MIN(1,IF($T435="",0,$T435)/Config!$B$23)*100)))),MIN(100,Config!$B$27*MAX(0,MIN(100,(1-IF($R435="",0,$R435))*100)) + Config!$B$28*MAX(0,MIN(100,(1-MIN(1,IF(Config!$B$30=0,1,$S435/Config!$B$30)))*100)) + Config!$B$29*MAX(0,MIN(100,MIN(1,IF($T435="",0,$T435)/Config!$B$23)*100))))),"")
</f>
        <v/>
      </c>
      <c r="V435" s="40" t="str">
        <f>IF(Bids!$AC435="","",Bids!$AC435)</f>
        <v/>
      </c>
      <c r="W435" s="40" t="str">
        <f>IF(Bids!$F434="","",Bids!$F434)</f>
        <v/>
      </c>
      <c r="X435" s="40" t="str">
        <f t="shared" si="5"/>
        <v/>
      </c>
      <c r="Y435" s="40" t="str">
        <f>IF($X435="","",IF(Config!$B$17=Config!$B$16,IF($X435&gt;=Config!$B$17,100,0),MAX(0,MIN(100,($X435-Config!$B$16)/(Config!$B$17-Config!$B$16)*100))))</f>
        <v/>
      </c>
      <c r="Z435" s="40">
        <f>IF($M435="Elite",Config!$B$21,0)</f>
        <v>0</v>
      </c>
      <c r="AA435" s="40" t="str">
        <f>IFERROR(IF(OR($W435="",$H435=""),"",IF($W435&gt;$H435,
  MAX(0, 60-(($W435-$H435)*24/Config!$B$19)*60),
  MIN(100, 60+(($H435-$W435)*24/Config!$B$20)*40)
)),"")
</f>
        <v/>
      </c>
      <c r="AB435" s="40" t="str">
        <f>IF($K435="","",IFERROR(VLOOKUP($K435,Grinders!$A$4:$N$998,10,FALSE)/5*100,""))</f>
        <v/>
      </c>
      <c r="AC435" s="40" t="str">
        <f>IF($K435="","",IFERROR(VLOOKUP($K435,Grinders!$A$4:$N$998,11,FALSE)*100,""))</f>
        <v/>
      </c>
      <c r="AD435" s="40" t="str">
        <f>IF($K435="","",IFERROR(VLOOKUP($K435,Grinders!$A$4:$N$998,12,FALSE)*100,""))</f>
        <v/>
      </c>
      <c r="AE435" s="40" t="str">
        <f>IF(OR(AO435=1,AP435=1),0,=IFERROR(IFS(
    OR($C435="", $K435=""), 0,
    $F435=0, 0,
    $D435&lt;&gt;"Open", 0,
    COUNTIFS(GrinderServices!$A$6:$A$1000, $K435, GrinderServices!$B$6:$B$1000, $E435, GrinderServices!$D$6:$D$1000, "Y")=0, 0,
    $X435&lt;Config!$B$16, 0,
    Config!$B$18=1, IF($O435&gt;=N435, 0, 1),
    TRUE, 1
), "")
)</f>
        <v>#ERROR!</v>
      </c>
      <c r="AF435" s="40" t="str">
        <f>IFERROR((IF(OR(AO435=1,AP435=1),"",=IFERROR((IFERROR(IF($AE435=0,"",((Config!$B$6*$Y435 + Config!$B$7*$U435 + Config!$B$8*$Z435 + Config!$B$9*$AA435 + Config!$B$10*$AB435 + Config!$B$11*$AC435 - Config!$B$12*$AD435)/Config!$B$13)+$AK435+$AL435),""))*(1-IFERROR(VLOOKUP(K435,Grinders!$A:$AB, 28, FALSE),0)),"")))*(1+AR435),"")</f>
        <v>#ERROR!</v>
      </c>
      <c r="AG435" s="40" t="str">
        <f t="shared" si="6"/>
        <v>#ERROR!</v>
      </c>
      <c r="AH435" s="40" t="str">
        <f t="shared" si="7"/>
        <v/>
      </c>
      <c r="AI435" s="40" t="str">
        <f t="shared" si="8"/>
        <v/>
      </c>
      <c r="AJ435" s="40" t="str">
        <f>IF($K435="","",COUNTIF(Assignments!$B$6:$B$1000,$K435))</f>
        <v/>
      </c>
      <c r="AK435" s="40" t="str">
        <f>IF($K435="","",IF(AND($AJ435=0,$O435&lt;$N435),Config!$B$43,0))</f>
        <v/>
      </c>
      <c r="AL435" s="40" t="str">
        <f>IF($K435="","",IF(AND($M435="Elite",$G435&gt;=Config!$B$41,$O435&lt;$N435),Config!$B$42,0))</f>
        <v/>
      </c>
      <c r="AM435" s="22"/>
      <c r="AN435" s="39">
        <f>IFERROR(VLOOKUP(K435,Grinders!$A:$Q,28,FALSE),0)</f>
        <v>0</v>
      </c>
      <c r="AO435" s="39">
        <f>IF(Config!$B$1003&lt;&gt;"Y",0,IF(IFERROR(VLOOKUP(K435,Grinders!$A:$P,27,FALSE),0)&gt;=3,IF(OR(G435&gt;=Config!$B$1001,ISNUMBER(SEARCH(E435,Config!$B$1002))),1,0),0))</f>
        <v>0</v>
      </c>
      <c r="AP435" s="39">
        <f t="array" ref="AP435">IFERROR(IF(INDEX(Bids!$AE:$AE,MATCH(B435,Bids!$A:$A,0))="Pending",1,0),0)</f>
        <v>0</v>
      </c>
      <c r="AQ435" s="39" t="str">
        <f t="array" ref="AQ435">IF(C435="","",IFERROR(XLOOKUP(C435,Assignments!$C:$C,Assignments!$AU:$AU,0),0))</f>
        <v/>
      </c>
      <c r="AR435" s="39">
        <f>IF(AND(Config!$B$1006="Y",AQ435=1),Config!$B$1007,0)</f>
        <v>0</v>
      </c>
    </row>
    <row r="436" ht="15.75" customHeight="1">
      <c r="A436" s="46" t="str">
        <f t="shared" si="1"/>
        <v/>
      </c>
      <c r="B436" s="40" t="str">
        <f>IF(Bids!$A435="","",Bids!$A435)</f>
        <v/>
      </c>
      <c r="C436" s="40" t="str">
        <f>IF(Bids!$B435="","",Bids!$B435)</f>
        <v/>
      </c>
      <c r="D436" s="40" t="str">
        <f>IF($C436="","",IFERROR(VLOOKUP($C436,Orders!$A$4:$J$998,9,FALSE),""))</f>
        <v/>
      </c>
      <c r="E436" s="40" t="str">
        <f>IF($C436="","",IFERROR(VLOOKUP($C436,Orders!$A$4:$J$998,3,FALSE),""))</f>
        <v/>
      </c>
      <c r="F436" s="40">
        <f t="shared" si="2"/>
        <v>1</v>
      </c>
      <c r="G436" s="40" t="str">
        <f>IF($C436="","",IFERROR(VLOOKUP($C436,Orders!$A$4:$J$998,4,FALSE),""))</f>
        <v/>
      </c>
      <c r="H436" s="40" t="str">
        <f>IF($C436="","",IFERROR(VLOOKUP($C436,Orders!$A$4:$J$998,5,FALSE),""))</f>
        <v/>
      </c>
      <c r="I436" s="40" t="str">
        <f>IF($C436="","",IFERROR(VLOOKUP($C436,Orders!$A$4:$J$998,6,FALSE),""))</f>
        <v/>
      </c>
      <c r="J436" s="40" t="str">
        <f>IF($C436="","",IFERROR(VLOOKUP($C436,Orders!$A$4:$J$998,7,FALSE),""))</f>
        <v/>
      </c>
      <c r="K436" s="40" t="str">
        <f>IF(Bids!$C435="","",Bids!$C435)</f>
        <v/>
      </c>
      <c r="L436" s="40" t="str">
        <f>IF($K436="","",IFERROR(VLOOKUP($K436,Grinders!$A$4:$N$998,2,FALSE),""))</f>
        <v/>
      </c>
      <c r="M436" s="40" t="str">
        <f>IF($K436="","",IFERROR(VLOOKUP($K436,Grinders!$A$4:$N$998,3,FALSE),""))</f>
        <v/>
      </c>
      <c r="N436" s="40" t="str">
        <f>IF($K436="","",IFERROR(VLOOKUP($K436,Grinders!$A$4:$N$998,4,FALSE),""))</f>
        <v/>
      </c>
      <c r="O436" s="40" t="str">
        <f>IF($K436="","",IFERROR(VLOOKUP($K436,Grinders!$A$4:$N$998,5,FALSE),""))</f>
        <v/>
      </c>
      <c r="P436" s="40" t="str">
        <f>IF($K436="","",IF($C$4="",0,COUNTIFS(Assignments!$B$6:$B$1000,$K436,Assignments!$F$6:$F$1000,$C$4,Assignments!$E$6:$E$1000,"Active")))</f>
        <v/>
      </c>
      <c r="Q436" s="40" t="str">
        <f t="shared" si="3"/>
        <v/>
      </c>
      <c r="R436" s="40" t="str">
        <f t="shared" si="4"/>
        <v/>
      </c>
      <c r="S436" s="40" t="str">
        <f>IF($K436="","",IF($C$4="",0,COUNTIFS(Assignments!$B$6:$B$1000,$K436,Assignments!$F$6:$F$1000,$C$4,Assignments!$D$6:$D$1000,"&gt;="&amp;Config!$B$3-7,Assignments!$D$6:$D$1000,"&lt;="&amp;Config!$B$3)))</f>
        <v/>
      </c>
      <c r="T436" s="40" t="str">
        <f>IF($K436="","",IFERROR(VLOOKUP($K436,Grinders!$A$4:$N$998,8,FALSE),""))</f>
        <v/>
      </c>
      <c r="U436" s="40" t="str">
        <f>IFERROR(IF($K436="","",IF($M436="Elite",MAX(50,MIN(100,Config!$B$27*MAX(0,MIN(100,(1-IF($R436="",0,$R436))*100)) + Config!$B$28*MAX(0,MIN(100,(1-MIN(1,IF(Config!$B$30=0,1,$S436/Config!$B$30)))*100)) + Config!$B$29*MAX(0,MIN(100,MIN(1,IF($T436="",0,$T436)/Config!$B$23)*100)))),MIN(100,Config!$B$27*MAX(0,MIN(100,(1-IF($R436="",0,$R436))*100)) + Config!$B$28*MAX(0,MIN(100,(1-MIN(1,IF(Config!$B$30=0,1,$S436/Config!$B$30)))*100)) + Config!$B$29*MAX(0,MIN(100,MIN(1,IF($T436="",0,$T436)/Config!$B$23)*100))))),"")
</f>
        <v/>
      </c>
      <c r="V436" s="40" t="str">
        <f>IF(Bids!$AC436="","",Bids!$AC436)</f>
        <v/>
      </c>
      <c r="W436" s="40" t="str">
        <f>IF(Bids!$F435="","",Bids!$F435)</f>
        <v/>
      </c>
      <c r="X436" s="40" t="str">
        <f t="shared" si="5"/>
        <v/>
      </c>
      <c r="Y436" s="40" t="str">
        <f>IF($X436="","",IF(Config!$B$17=Config!$B$16,IF($X436&gt;=Config!$B$17,100,0),MAX(0,MIN(100,($X436-Config!$B$16)/(Config!$B$17-Config!$B$16)*100))))</f>
        <v/>
      </c>
      <c r="Z436" s="40">
        <f>IF($M436="Elite",Config!$B$21,0)</f>
        <v>0</v>
      </c>
      <c r="AA436" s="40" t="str">
        <f>IFERROR(IF(OR($W436="",$H436=""),"",IF($W436&gt;$H436,
  MAX(0, 60-(($W436-$H436)*24/Config!$B$19)*60),
  MIN(100, 60+(($H436-$W436)*24/Config!$B$20)*40)
)),"")
</f>
        <v/>
      </c>
      <c r="AB436" s="40" t="str">
        <f>IF($K436="","",IFERROR(VLOOKUP($K436,Grinders!$A$4:$N$998,10,FALSE)/5*100,""))</f>
        <v/>
      </c>
      <c r="AC436" s="40" t="str">
        <f>IF($K436="","",IFERROR(VLOOKUP($K436,Grinders!$A$4:$N$998,11,FALSE)*100,""))</f>
        <v/>
      </c>
      <c r="AD436" s="40" t="str">
        <f>IF($K436="","",IFERROR(VLOOKUP($K436,Grinders!$A$4:$N$998,12,FALSE)*100,""))</f>
        <v/>
      </c>
      <c r="AE436" s="40" t="str">
        <f>IF(OR(AO436=1,AP436=1),0,=IFERROR(IFS(
    OR($C436="", $K436=""), 0,
    $F436=0, 0,
    $D436&lt;&gt;"Open", 0,
    COUNTIFS(GrinderServices!$A$6:$A$1000, $K436, GrinderServices!$B$6:$B$1000, $E436, GrinderServices!$D$6:$D$1000, "Y")=0, 0,
    $X436&lt;Config!$B$16, 0,
    Config!$B$18=1, IF($O436&gt;=N436, 0, 1),
    TRUE, 1
), "")
)</f>
        <v>#ERROR!</v>
      </c>
      <c r="AF436" s="40" t="str">
        <f>IFERROR((IF(OR(AO436=1,AP436=1),"",=IFERROR((IFERROR(IF($AE436=0,"",((Config!$B$6*$Y436 + Config!$B$7*$U436 + Config!$B$8*$Z436 + Config!$B$9*$AA436 + Config!$B$10*$AB436 + Config!$B$11*$AC436 - Config!$B$12*$AD436)/Config!$B$13)+$AK436+$AL436),""))*(1-IFERROR(VLOOKUP(K436,Grinders!$A:$AB, 28, FALSE),0)),"")))*(1+AR436),"")</f>
        <v>#ERROR!</v>
      </c>
      <c r="AG436" s="40" t="str">
        <f t="shared" si="6"/>
        <v>#ERROR!</v>
      </c>
      <c r="AH436" s="40" t="str">
        <f t="shared" si="7"/>
        <v/>
      </c>
      <c r="AI436" s="40" t="str">
        <f t="shared" si="8"/>
        <v/>
      </c>
      <c r="AJ436" s="40" t="str">
        <f>IF($K436="","",COUNTIF(Assignments!$B$6:$B$1000,$K436))</f>
        <v/>
      </c>
      <c r="AK436" s="40" t="str">
        <f>IF($K436="","",IF(AND($AJ436=0,$O436&lt;$N436),Config!$B$43,0))</f>
        <v/>
      </c>
      <c r="AL436" s="40" t="str">
        <f>IF($K436="","",IF(AND($M436="Elite",$G436&gt;=Config!$B$41,$O436&lt;$N436),Config!$B$42,0))</f>
        <v/>
      </c>
      <c r="AM436" s="22"/>
      <c r="AN436" s="39">
        <f>IFERROR(VLOOKUP(K436,Grinders!$A:$Q,28,FALSE),0)</f>
        <v>0</v>
      </c>
      <c r="AO436" s="39">
        <f>IF(Config!$B$1003&lt;&gt;"Y",0,IF(IFERROR(VLOOKUP(K436,Grinders!$A:$P,27,FALSE),0)&gt;=3,IF(OR(G436&gt;=Config!$B$1001,ISNUMBER(SEARCH(E436,Config!$B$1002))),1,0),0))</f>
        <v>0</v>
      </c>
      <c r="AP436" s="39">
        <f t="array" ref="AP436">IFERROR(IF(INDEX(Bids!$AE:$AE,MATCH(B436,Bids!$A:$A,0))="Pending",1,0),0)</f>
        <v>0</v>
      </c>
      <c r="AQ436" s="39" t="str">
        <f t="array" ref="AQ436">IF(C436="","",IFERROR(XLOOKUP(C436,Assignments!$C:$C,Assignments!$AU:$AU,0),0))</f>
        <v/>
      </c>
      <c r="AR436" s="39">
        <f>IF(AND(Config!$B$1006="Y",AQ436=1),Config!$B$1007,0)</f>
        <v>0</v>
      </c>
    </row>
    <row r="437" ht="15.75" customHeight="1">
      <c r="A437" s="46" t="str">
        <f t="shared" si="1"/>
        <v/>
      </c>
      <c r="B437" s="40" t="str">
        <f>IF(Bids!$A436="","",Bids!$A436)</f>
        <v/>
      </c>
      <c r="C437" s="40" t="str">
        <f>IF(Bids!$B436="","",Bids!$B436)</f>
        <v/>
      </c>
      <c r="D437" s="40" t="str">
        <f>IF($C437="","",IFERROR(VLOOKUP($C437,Orders!$A$4:$J$998,9,FALSE),""))</f>
        <v/>
      </c>
      <c r="E437" s="40" t="str">
        <f>IF($C437="","",IFERROR(VLOOKUP($C437,Orders!$A$4:$J$998,3,FALSE),""))</f>
        <v/>
      </c>
      <c r="F437" s="40">
        <f t="shared" si="2"/>
        <v>1</v>
      </c>
      <c r="G437" s="40" t="str">
        <f>IF($C437="","",IFERROR(VLOOKUP($C437,Orders!$A$4:$J$998,4,FALSE),""))</f>
        <v/>
      </c>
      <c r="H437" s="40" t="str">
        <f>IF($C437="","",IFERROR(VLOOKUP($C437,Orders!$A$4:$J$998,5,FALSE),""))</f>
        <v/>
      </c>
      <c r="I437" s="40" t="str">
        <f>IF($C437="","",IFERROR(VLOOKUP($C437,Orders!$A$4:$J$998,6,FALSE),""))</f>
        <v/>
      </c>
      <c r="J437" s="40" t="str">
        <f>IF($C437="","",IFERROR(VLOOKUP($C437,Orders!$A$4:$J$998,7,FALSE),""))</f>
        <v/>
      </c>
      <c r="K437" s="40" t="str">
        <f>IF(Bids!$C436="","",Bids!$C436)</f>
        <v/>
      </c>
      <c r="L437" s="40" t="str">
        <f>IF($K437="","",IFERROR(VLOOKUP($K437,Grinders!$A$4:$N$998,2,FALSE),""))</f>
        <v/>
      </c>
      <c r="M437" s="40" t="str">
        <f>IF($K437="","",IFERROR(VLOOKUP($K437,Grinders!$A$4:$N$998,3,FALSE),""))</f>
        <v/>
      </c>
      <c r="N437" s="40" t="str">
        <f>IF($K437="","",IFERROR(VLOOKUP($K437,Grinders!$A$4:$N$998,4,FALSE),""))</f>
        <v/>
      </c>
      <c r="O437" s="40" t="str">
        <f>IF($K437="","",IFERROR(VLOOKUP($K437,Grinders!$A$4:$N$998,5,FALSE),""))</f>
        <v/>
      </c>
      <c r="P437" s="40" t="str">
        <f>IF($K437="","",IF($C$4="",0,COUNTIFS(Assignments!$B$6:$B$1000,$K437,Assignments!$F$6:$F$1000,$C$4,Assignments!$E$6:$E$1000,"Active")))</f>
        <v/>
      </c>
      <c r="Q437" s="40" t="str">
        <f t="shared" si="3"/>
        <v/>
      </c>
      <c r="R437" s="40" t="str">
        <f t="shared" si="4"/>
        <v/>
      </c>
      <c r="S437" s="40" t="str">
        <f>IF($K437="","",IF($C$4="",0,COUNTIFS(Assignments!$B$6:$B$1000,$K437,Assignments!$F$6:$F$1000,$C$4,Assignments!$D$6:$D$1000,"&gt;="&amp;Config!$B$3-7,Assignments!$D$6:$D$1000,"&lt;="&amp;Config!$B$3)))</f>
        <v/>
      </c>
      <c r="T437" s="40" t="str">
        <f>IF($K437="","",IFERROR(VLOOKUP($K437,Grinders!$A$4:$N$998,8,FALSE),""))</f>
        <v/>
      </c>
      <c r="U437" s="40" t="str">
        <f>IFERROR(IF($K437="","",IF($M437="Elite",MAX(50,MIN(100,Config!$B$27*MAX(0,MIN(100,(1-IF($R437="",0,$R437))*100)) + Config!$B$28*MAX(0,MIN(100,(1-MIN(1,IF(Config!$B$30=0,1,$S437/Config!$B$30)))*100)) + Config!$B$29*MAX(0,MIN(100,MIN(1,IF($T437="",0,$T437)/Config!$B$23)*100)))),MIN(100,Config!$B$27*MAX(0,MIN(100,(1-IF($R437="",0,$R437))*100)) + Config!$B$28*MAX(0,MIN(100,(1-MIN(1,IF(Config!$B$30=0,1,$S437/Config!$B$30)))*100)) + Config!$B$29*MAX(0,MIN(100,MIN(1,IF($T437="",0,$T437)/Config!$B$23)*100))))),"")
</f>
        <v/>
      </c>
      <c r="V437" s="40" t="str">
        <f>IF(Bids!$AC437="","",Bids!$AC437)</f>
        <v/>
      </c>
      <c r="W437" s="40" t="str">
        <f>IF(Bids!$F436="","",Bids!$F436)</f>
        <v/>
      </c>
      <c r="X437" s="40" t="str">
        <f t="shared" si="5"/>
        <v/>
      </c>
      <c r="Y437" s="40" t="str">
        <f>IF($X437="","",IF(Config!$B$17=Config!$B$16,IF($X437&gt;=Config!$B$17,100,0),MAX(0,MIN(100,($X437-Config!$B$16)/(Config!$B$17-Config!$B$16)*100))))</f>
        <v/>
      </c>
      <c r="Z437" s="40">
        <f>IF($M437="Elite",Config!$B$21,0)</f>
        <v>0</v>
      </c>
      <c r="AA437" s="40" t="str">
        <f>IFERROR(IF(OR($W437="",$H437=""),"",IF($W437&gt;$H437,
  MAX(0, 60-(($W437-$H437)*24/Config!$B$19)*60),
  MIN(100, 60+(($H437-$W437)*24/Config!$B$20)*40)
)),"")
</f>
        <v/>
      </c>
      <c r="AB437" s="40" t="str">
        <f>IF($K437="","",IFERROR(VLOOKUP($K437,Grinders!$A$4:$N$998,10,FALSE)/5*100,""))</f>
        <v/>
      </c>
      <c r="AC437" s="40" t="str">
        <f>IF($K437="","",IFERROR(VLOOKUP($K437,Grinders!$A$4:$N$998,11,FALSE)*100,""))</f>
        <v/>
      </c>
      <c r="AD437" s="40" t="str">
        <f>IF($K437="","",IFERROR(VLOOKUP($K437,Grinders!$A$4:$N$998,12,FALSE)*100,""))</f>
        <v/>
      </c>
      <c r="AE437" s="40" t="str">
        <f>IF(OR(AO437=1,AP437=1),0,=IFERROR(IFS(
    OR($C437="", $K437=""), 0,
    $F437=0, 0,
    $D437&lt;&gt;"Open", 0,
    COUNTIFS(GrinderServices!$A$6:$A$1000, $K437, GrinderServices!$B$6:$B$1000, $E437, GrinderServices!$D$6:$D$1000, "Y")=0, 0,
    $X437&lt;Config!$B$16, 0,
    Config!$B$18=1, IF($O437&gt;=N437, 0, 1),
    TRUE, 1
), "")
)</f>
        <v>#ERROR!</v>
      </c>
      <c r="AF437" s="40" t="str">
        <f>IFERROR((IF(OR(AO437=1,AP437=1),"",=IFERROR((IFERROR(IF($AE437=0,"",((Config!$B$6*$Y437 + Config!$B$7*$U437 + Config!$B$8*$Z437 + Config!$B$9*$AA437 + Config!$B$10*$AB437 + Config!$B$11*$AC437 - Config!$B$12*$AD437)/Config!$B$13)+$AK437+$AL437),""))*(1-IFERROR(VLOOKUP(K437,Grinders!$A:$AB, 28, FALSE),0)),"")))*(1+AR437),"")</f>
        <v>#ERROR!</v>
      </c>
      <c r="AG437" s="40" t="str">
        <f t="shared" si="6"/>
        <v>#ERROR!</v>
      </c>
      <c r="AH437" s="40" t="str">
        <f t="shared" si="7"/>
        <v/>
      </c>
      <c r="AI437" s="40" t="str">
        <f t="shared" si="8"/>
        <v/>
      </c>
      <c r="AJ437" s="40" t="str">
        <f>IF($K437="","",COUNTIF(Assignments!$B$6:$B$1000,$K437))</f>
        <v/>
      </c>
      <c r="AK437" s="40" t="str">
        <f>IF($K437="","",IF(AND($AJ437=0,$O437&lt;$N437),Config!$B$43,0))</f>
        <v/>
      </c>
      <c r="AL437" s="40" t="str">
        <f>IF($K437="","",IF(AND($M437="Elite",$G437&gt;=Config!$B$41,$O437&lt;$N437),Config!$B$42,0))</f>
        <v/>
      </c>
      <c r="AM437" s="22"/>
      <c r="AN437" s="39">
        <f>IFERROR(VLOOKUP(K437,Grinders!$A:$Q,28,FALSE),0)</f>
        <v>0</v>
      </c>
      <c r="AO437" s="39">
        <f>IF(Config!$B$1003&lt;&gt;"Y",0,IF(IFERROR(VLOOKUP(K437,Grinders!$A:$P,27,FALSE),0)&gt;=3,IF(OR(G437&gt;=Config!$B$1001,ISNUMBER(SEARCH(E437,Config!$B$1002))),1,0),0))</f>
        <v>0</v>
      </c>
      <c r="AP437" s="39">
        <f t="array" ref="AP437">IFERROR(IF(INDEX(Bids!$AE:$AE,MATCH(B437,Bids!$A:$A,0))="Pending",1,0),0)</f>
        <v>0</v>
      </c>
      <c r="AQ437" s="39" t="str">
        <f t="array" ref="AQ437">IF(C437="","",IFERROR(XLOOKUP(C437,Assignments!$C:$C,Assignments!$AU:$AU,0),0))</f>
        <v/>
      </c>
      <c r="AR437" s="39">
        <f>IF(AND(Config!$B$1006="Y",AQ437=1),Config!$B$1007,0)</f>
        <v>0</v>
      </c>
    </row>
    <row r="438" ht="15.75" customHeight="1">
      <c r="A438" s="46" t="str">
        <f t="shared" si="1"/>
        <v/>
      </c>
      <c r="B438" s="40" t="str">
        <f>IF(Bids!$A437="","",Bids!$A437)</f>
        <v/>
      </c>
      <c r="C438" s="40" t="str">
        <f>IF(Bids!$B437="","",Bids!$B437)</f>
        <v/>
      </c>
      <c r="D438" s="40" t="str">
        <f>IF($C438="","",IFERROR(VLOOKUP($C438,Orders!$A$4:$J$998,9,FALSE),""))</f>
        <v/>
      </c>
      <c r="E438" s="40" t="str">
        <f>IF($C438="","",IFERROR(VLOOKUP($C438,Orders!$A$4:$J$998,3,FALSE),""))</f>
        <v/>
      </c>
      <c r="F438" s="40">
        <f t="shared" si="2"/>
        <v>1</v>
      </c>
      <c r="G438" s="40" t="str">
        <f>IF($C438="","",IFERROR(VLOOKUP($C438,Orders!$A$4:$J$998,4,FALSE),""))</f>
        <v/>
      </c>
      <c r="H438" s="40" t="str">
        <f>IF($C438="","",IFERROR(VLOOKUP($C438,Orders!$A$4:$J$998,5,FALSE),""))</f>
        <v/>
      </c>
      <c r="I438" s="40" t="str">
        <f>IF($C438="","",IFERROR(VLOOKUP($C438,Orders!$A$4:$J$998,6,FALSE),""))</f>
        <v/>
      </c>
      <c r="J438" s="40" t="str">
        <f>IF($C438="","",IFERROR(VLOOKUP($C438,Orders!$A$4:$J$998,7,FALSE),""))</f>
        <v/>
      </c>
      <c r="K438" s="40" t="str">
        <f>IF(Bids!$C437="","",Bids!$C437)</f>
        <v/>
      </c>
      <c r="L438" s="40" t="str">
        <f>IF($K438="","",IFERROR(VLOOKUP($K438,Grinders!$A$4:$N$998,2,FALSE),""))</f>
        <v/>
      </c>
      <c r="M438" s="40" t="str">
        <f>IF($K438="","",IFERROR(VLOOKUP($K438,Grinders!$A$4:$N$998,3,FALSE),""))</f>
        <v/>
      </c>
      <c r="N438" s="40" t="str">
        <f>IF($K438="","",IFERROR(VLOOKUP($K438,Grinders!$A$4:$N$998,4,FALSE),""))</f>
        <v/>
      </c>
      <c r="O438" s="40" t="str">
        <f>IF($K438="","",IFERROR(VLOOKUP($K438,Grinders!$A$4:$N$998,5,FALSE),""))</f>
        <v/>
      </c>
      <c r="P438" s="40" t="str">
        <f>IF($K438="","",IF($C$4="",0,COUNTIFS(Assignments!$B$6:$B$1000,$K438,Assignments!$F$6:$F$1000,$C$4,Assignments!$E$6:$E$1000,"Active")))</f>
        <v/>
      </c>
      <c r="Q438" s="40" t="str">
        <f t="shared" si="3"/>
        <v/>
      </c>
      <c r="R438" s="40" t="str">
        <f t="shared" si="4"/>
        <v/>
      </c>
      <c r="S438" s="40" t="str">
        <f>IF($K438="","",IF($C$4="",0,COUNTIFS(Assignments!$B$6:$B$1000,$K438,Assignments!$F$6:$F$1000,$C$4,Assignments!$D$6:$D$1000,"&gt;="&amp;Config!$B$3-7,Assignments!$D$6:$D$1000,"&lt;="&amp;Config!$B$3)))</f>
        <v/>
      </c>
      <c r="T438" s="40" t="str">
        <f>IF($K438="","",IFERROR(VLOOKUP($K438,Grinders!$A$4:$N$998,8,FALSE),""))</f>
        <v/>
      </c>
      <c r="U438" s="40" t="str">
        <f>IFERROR(IF($K438="","",IF($M438="Elite",MAX(50,MIN(100,Config!$B$27*MAX(0,MIN(100,(1-IF($R438="",0,$R438))*100)) + Config!$B$28*MAX(0,MIN(100,(1-MIN(1,IF(Config!$B$30=0,1,$S438/Config!$B$30)))*100)) + Config!$B$29*MAX(0,MIN(100,MIN(1,IF($T438="",0,$T438)/Config!$B$23)*100)))),MIN(100,Config!$B$27*MAX(0,MIN(100,(1-IF($R438="",0,$R438))*100)) + Config!$B$28*MAX(0,MIN(100,(1-MIN(1,IF(Config!$B$30=0,1,$S438/Config!$B$30)))*100)) + Config!$B$29*MAX(0,MIN(100,MIN(1,IF($T438="",0,$T438)/Config!$B$23)*100))))),"")
</f>
        <v/>
      </c>
      <c r="V438" s="40" t="str">
        <f>IF(Bids!$AC438="","",Bids!$AC438)</f>
        <v/>
      </c>
      <c r="W438" s="40" t="str">
        <f>IF(Bids!$F437="","",Bids!$F437)</f>
        <v/>
      </c>
      <c r="X438" s="40" t="str">
        <f t="shared" si="5"/>
        <v/>
      </c>
      <c r="Y438" s="40" t="str">
        <f>IF($X438="","",IF(Config!$B$17=Config!$B$16,IF($X438&gt;=Config!$B$17,100,0),MAX(0,MIN(100,($X438-Config!$B$16)/(Config!$B$17-Config!$B$16)*100))))</f>
        <v/>
      </c>
      <c r="Z438" s="40">
        <f>IF($M438="Elite",Config!$B$21,0)</f>
        <v>0</v>
      </c>
      <c r="AA438" s="40" t="str">
        <f>IFERROR(IF(OR($W438="",$H438=""),"",IF($W438&gt;$H438,
  MAX(0, 60-(($W438-$H438)*24/Config!$B$19)*60),
  MIN(100, 60+(($H438-$W438)*24/Config!$B$20)*40)
)),"")
</f>
        <v/>
      </c>
      <c r="AB438" s="40" t="str">
        <f>IF($K438="","",IFERROR(VLOOKUP($K438,Grinders!$A$4:$N$998,10,FALSE)/5*100,""))</f>
        <v/>
      </c>
      <c r="AC438" s="40" t="str">
        <f>IF($K438="","",IFERROR(VLOOKUP($K438,Grinders!$A$4:$N$998,11,FALSE)*100,""))</f>
        <v/>
      </c>
      <c r="AD438" s="40" t="str">
        <f>IF($K438="","",IFERROR(VLOOKUP($K438,Grinders!$A$4:$N$998,12,FALSE)*100,""))</f>
        <v/>
      </c>
      <c r="AE438" s="40" t="str">
        <f>IF(OR(AO438=1,AP438=1),0,=IFERROR(IFS(
    OR($C438="", $K438=""), 0,
    $F438=0, 0,
    $D438&lt;&gt;"Open", 0,
    COUNTIFS(GrinderServices!$A$6:$A$1000, $K438, GrinderServices!$B$6:$B$1000, $E438, GrinderServices!$D$6:$D$1000, "Y")=0, 0,
    $X438&lt;Config!$B$16, 0,
    Config!$B$18=1, IF($O438&gt;=N438, 0, 1),
    TRUE, 1
), "")
)</f>
        <v>#ERROR!</v>
      </c>
      <c r="AF438" s="40" t="str">
        <f>IFERROR((IF(OR(AO438=1,AP438=1),"",=IFERROR((IFERROR(IF($AE438=0,"",((Config!$B$6*$Y438 + Config!$B$7*$U438 + Config!$B$8*$Z438 + Config!$B$9*$AA438 + Config!$B$10*$AB438 + Config!$B$11*$AC438 - Config!$B$12*$AD438)/Config!$B$13)+$AK438+$AL438),""))*(1-IFERROR(VLOOKUP(K438,Grinders!$A:$AB, 28, FALSE),0)),"")))*(1+AR438),"")</f>
        <v>#ERROR!</v>
      </c>
      <c r="AG438" s="40" t="str">
        <f t="shared" si="6"/>
        <v>#ERROR!</v>
      </c>
      <c r="AH438" s="40" t="str">
        <f t="shared" si="7"/>
        <v/>
      </c>
      <c r="AI438" s="40" t="str">
        <f t="shared" si="8"/>
        <v/>
      </c>
      <c r="AJ438" s="40" t="str">
        <f>IF($K438="","",COUNTIF(Assignments!$B$6:$B$1000,$K438))</f>
        <v/>
      </c>
      <c r="AK438" s="40" t="str">
        <f>IF($K438="","",IF(AND($AJ438=0,$O438&lt;$N438),Config!$B$43,0))</f>
        <v/>
      </c>
      <c r="AL438" s="40" t="str">
        <f>IF($K438="","",IF(AND($M438="Elite",$G438&gt;=Config!$B$41,$O438&lt;$N438),Config!$B$42,0))</f>
        <v/>
      </c>
      <c r="AM438" s="22"/>
      <c r="AN438" s="39">
        <f>IFERROR(VLOOKUP(K438,Grinders!$A:$Q,28,FALSE),0)</f>
        <v>0</v>
      </c>
      <c r="AO438" s="39">
        <f>IF(Config!$B$1003&lt;&gt;"Y",0,IF(IFERROR(VLOOKUP(K438,Grinders!$A:$P,27,FALSE),0)&gt;=3,IF(OR(G438&gt;=Config!$B$1001,ISNUMBER(SEARCH(E438,Config!$B$1002))),1,0),0))</f>
        <v>0</v>
      </c>
      <c r="AP438" s="39">
        <f t="array" ref="AP438">IFERROR(IF(INDEX(Bids!$AE:$AE,MATCH(B438,Bids!$A:$A,0))="Pending",1,0),0)</f>
        <v>0</v>
      </c>
      <c r="AQ438" s="39" t="str">
        <f t="array" ref="AQ438">IF(C438="","",IFERROR(XLOOKUP(C438,Assignments!$C:$C,Assignments!$AU:$AU,0),0))</f>
        <v/>
      </c>
      <c r="AR438" s="39">
        <f>IF(AND(Config!$B$1006="Y",AQ438=1),Config!$B$1007,0)</f>
        <v>0</v>
      </c>
    </row>
    <row r="439" ht="15.75" customHeight="1">
      <c r="A439" s="46" t="str">
        <f t="shared" si="1"/>
        <v/>
      </c>
      <c r="B439" s="40" t="str">
        <f>IF(Bids!$A438="","",Bids!$A438)</f>
        <v/>
      </c>
      <c r="C439" s="40" t="str">
        <f>IF(Bids!$B438="","",Bids!$B438)</f>
        <v/>
      </c>
      <c r="D439" s="40" t="str">
        <f>IF($C439="","",IFERROR(VLOOKUP($C439,Orders!$A$4:$J$998,9,FALSE),""))</f>
        <v/>
      </c>
      <c r="E439" s="40" t="str">
        <f>IF($C439="","",IFERROR(VLOOKUP($C439,Orders!$A$4:$J$998,3,FALSE),""))</f>
        <v/>
      </c>
      <c r="F439" s="40">
        <f t="shared" si="2"/>
        <v>1</v>
      </c>
      <c r="G439" s="40" t="str">
        <f>IF($C439="","",IFERROR(VLOOKUP($C439,Orders!$A$4:$J$998,4,FALSE),""))</f>
        <v/>
      </c>
      <c r="H439" s="40" t="str">
        <f>IF($C439="","",IFERROR(VLOOKUP($C439,Orders!$A$4:$J$998,5,FALSE),""))</f>
        <v/>
      </c>
      <c r="I439" s="40" t="str">
        <f>IF($C439="","",IFERROR(VLOOKUP($C439,Orders!$A$4:$J$998,6,FALSE),""))</f>
        <v/>
      </c>
      <c r="J439" s="40" t="str">
        <f>IF($C439="","",IFERROR(VLOOKUP($C439,Orders!$A$4:$J$998,7,FALSE),""))</f>
        <v/>
      </c>
      <c r="K439" s="40" t="str">
        <f>IF(Bids!$C438="","",Bids!$C438)</f>
        <v/>
      </c>
      <c r="L439" s="40" t="str">
        <f>IF($K439="","",IFERROR(VLOOKUP($K439,Grinders!$A$4:$N$998,2,FALSE),""))</f>
        <v/>
      </c>
      <c r="M439" s="40" t="str">
        <f>IF($K439="","",IFERROR(VLOOKUP($K439,Grinders!$A$4:$N$998,3,FALSE),""))</f>
        <v/>
      </c>
      <c r="N439" s="40" t="str">
        <f>IF($K439="","",IFERROR(VLOOKUP($K439,Grinders!$A$4:$N$998,4,FALSE),""))</f>
        <v/>
      </c>
      <c r="O439" s="40" t="str">
        <f>IF($K439="","",IFERROR(VLOOKUP($K439,Grinders!$A$4:$N$998,5,FALSE),""))</f>
        <v/>
      </c>
      <c r="P439" s="40" t="str">
        <f>IF($K439="","",IF($C$4="",0,COUNTIFS(Assignments!$B$6:$B$1000,$K439,Assignments!$F$6:$F$1000,$C$4,Assignments!$E$6:$E$1000,"Active")))</f>
        <v/>
      </c>
      <c r="Q439" s="40" t="str">
        <f t="shared" si="3"/>
        <v/>
      </c>
      <c r="R439" s="40" t="str">
        <f t="shared" si="4"/>
        <v/>
      </c>
      <c r="S439" s="40" t="str">
        <f>IF($K439="","",IF($C$4="",0,COUNTIFS(Assignments!$B$6:$B$1000,$K439,Assignments!$F$6:$F$1000,$C$4,Assignments!$D$6:$D$1000,"&gt;="&amp;Config!$B$3-7,Assignments!$D$6:$D$1000,"&lt;="&amp;Config!$B$3)))</f>
        <v/>
      </c>
      <c r="T439" s="40" t="str">
        <f>IF($K439="","",IFERROR(VLOOKUP($K439,Grinders!$A$4:$N$998,8,FALSE),""))</f>
        <v/>
      </c>
      <c r="U439" s="40" t="str">
        <f>IFERROR(IF($K439="","",IF($M439="Elite",MAX(50,MIN(100,Config!$B$27*MAX(0,MIN(100,(1-IF($R439="",0,$R439))*100)) + Config!$B$28*MAX(0,MIN(100,(1-MIN(1,IF(Config!$B$30=0,1,$S439/Config!$B$30)))*100)) + Config!$B$29*MAX(0,MIN(100,MIN(1,IF($T439="",0,$T439)/Config!$B$23)*100)))),MIN(100,Config!$B$27*MAX(0,MIN(100,(1-IF($R439="",0,$R439))*100)) + Config!$B$28*MAX(0,MIN(100,(1-MIN(1,IF(Config!$B$30=0,1,$S439/Config!$B$30)))*100)) + Config!$B$29*MAX(0,MIN(100,MIN(1,IF($T439="",0,$T439)/Config!$B$23)*100))))),"")
</f>
        <v/>
      </c>
      <c r="V439" s="40" t="str">
        <f>IF(Bids!$AC439="","",Bids!$AC439)</f>
        <v/>
      </c>
      <c r="W439" s="40" t="str">
        <f>IF(Bids!$F438="","",Bids!$F438)</f>
        <v/>
      </c>
      <c r="X439" s="40" t="str">
        <f t="shared" si="5"/>
        <v/>
      </c>
      <c r="Y439" s="40" t="str">
        <f>IF($X439="","",IF(Config!$B$17=Config!$B$16,IF($X439&gt;=Config!$B$17,100,0),MAX(0,MIN(100,($X439-Config!$B$16)/(Config!$B$17-Config!$B$16)*100))))</f>
        <v/>
      </c>
      <c r="Z439" s="40">
        <f>IF($M439="Elite",Config!$B$21,0)</f>
        <v>0</v>
      </c>
      <c r="AA439" s="40" t="str">
        <f>IFERROR(IF(OR($W439="",$H439=""),"",IF($W439&gt;$H439,
  MAX(0, 60-(($W439-$H439)*24/Config!$B$19)*60),
  MIN(100, 60+(($H439-$W439)*24/Config!$B$20)*40)
)),"")
</f>
        <v/>
      </c>
      <c r="AB439" s="40" t="str">
        <f>IF($K439="","",IFERROR(VLOOKUP($K439,Grinders!$A$4:$N$998,10,FALSE)/5*100,""))</f>
        <v/>
      </c>
      <c r="AC439" s="40" t="str">
        <f>IF($K439="","",IFERROR(VLOOKUP($K439,Grinders!$A$4:$N$998,11,FALSE)*100,""))</f>
        <v/>
      </c>
      <c r="AD439" s="40" t="str">
        <f>IF($K439="","",IFERROR(VLOOKUP($K439,Grinders!$A$4:$N$998,12,FALSE)*100,""))</f>
        <v/>
      </c>
      <c r="AE439" s="40" t="str">
        <f>IF(OR(AO439=1,AP439=1),0,=IFERROR(IFS(
    OR($C439="", $K439=""), 0,
    $F439=0, 0,
    $D439&lt;&gt;"Open", 0,
    COUNTIFS(GrinderServices!$A$6:$A$1000, $K439, GrinderServices!$B$6:$B$1000, $E439, GrinderServices!$D$6:$D$1000, "Y")=0, 0,
    $X439&lt;Config!$B$16, 0,
    Config!$B$18=1, IF($O439&gt;=N439, 0, 1),
    TRUE, 1
), "")
)</f>
        <v>#ERROR!</v>
      </c>
      <c r="AF439" s="40" t="str">
        <f>IFERROR((IF(OR(AO439=1,AP439=1),"",=IFERROR((IFERROR(IF($AE439=0,"",((Config!$B$6*$Y439 + Config!$B$7*$U439 + Config!$B$8*$Z439 + Config!$B$9*$AA439 + Config!$B$10*$AB439 + Config!$B$11*$AC439 - Config!$B$12*$AD439)/Config!$B$13)+$AK439+$AL439),""))*(1-IFERROR(VLOOKUP(K439,Grinders!$A:$AB, 28, FALSE),0)),"")))*(1+AR439),"")</f>
        <v>#ERROR!</v>
      </c>
      <c r="AG439" s="40" t="str">
        <f t="shared" si="6"/>
        <v>#ERROR!</v>
      </c>
      <c r="AH439" s="40" t="str">
        <f t="shared" si="7"/>
        <v/>
      </c>
      <c r="AI439" s="40" t="str">
        <f t="shared" si="8"/>
        <v/>
      </c>
      <c r="AJ439" s="40" t="str">
        <f>IF($K439="","",COUNTIF(Assignments!$B$6:$B$1000,$K439))</f>
        <v/>
      </c>
      <c r="AK439" s="40" t="str">
        <f>IF($K439="","",IF(AND($AJ439=0,$O439&lt;$N439),Config!$B$43,0))</f>
        <v/>
      </c>
      <c r="AL439" s="40" t="str">
        <f>IF($K439="","",IF(AND($M439="Elite",$G439&gt;=Config!$B$41,$O439&lt;$N439),Config!$B$42,0))</f>
        <v/>
      </c>
      <c r="AM439" s="22"/>
      <c r="AN439" s="39">
        <f>IFERROR(VLOOKUP(K439,Grinders!$A:$Q,28,FALSE),0)</f>
        <v>0</v>
      </c>
      <c r="AO439" s="39">
        <f>IF(Config!$B$1003&lt;&gt;"Y",0,IF(IFERROR(VLOOKUP(K439,Grinders!$A:$P,27,FALSE),0)&gt;=3,IF(OR(G439&gt;=Config!$B$1001,ISNUMBER(SEARCH(E439,Config!$B$1002))),1,0),0))</f>
        <v>0</v>
      </c>
      <c r="AP439" s="39">
        <f t="array" ref="AP439">IFERROR(IF(INDEX(Bids!$AE:$AE,MATCH(B439,Bids!$A:$A,0))="Pending",1,0),0)</f>
        <v>0</v>
      </c>
      <c r="AQ439" s="39" t="str">
        <f t="array" ref="AQ439">IF(C439="","",IFERROR(XLOOKUP(C439,Assignments!$C:$C,Assignments!$AU:$AU,0),0))</f>
        <v/>
      </c>
      <c r="AR439" s="39">
        <f>IF(AND(Config!$B$1006="Y",AQ439=1),Config!$B$1007,0)</f>
        <v>0</v>
      </c>
    </row>
    <row r="440" ht="15.75" customHeight="1">
      <c r="A440" s="46" t="str">
        <f t="shared" si="1"/>
        <v/>
      </c>
      <c r="B440" s="40" t="str">
        <f>IF(Bids!$A439="","",Bids!$A439)</f>
        <v/>
      </c>
      <c r="C440" s="40" t="str">
        <f>IF(Bids!$B439="","",Bids!$B439)</f>
        <v/>
      </c>
      <c r="D440" s="40" t="str">
        <f>IF($C440="","",IFERROR(VLOOKUP($C440,Orders!$A$4:$J$998,9,FALSE),""))</f>
        <v/>
      </c>
      <c r="E440" s="40" t="str">
        <f>IF($C440="","",IFERROR(VLOOKUP($C440,Orders!$A$4:$J$998,3,FALSE),""))</f>
        <v/>
      </c>
      <c r="F440" s="40">
        <f t="shared" si="2"/>
        <v>1</v>
      </c>
      <c r="G440" s="40" t="str">
        <f>IF($C440="","",IFERROR(VLOOKUP($C440,Orders!$A$4:$J$998,4,FALSE),""))</f>
        <v/>
      </c>
      <c r="H440" s="40" t="str">
        <f>IF($C440="","",IFERROR(VLOOKUP($C440,Orders!$A$4:$J$998,5,FALSE),""))</f>
        <v/>
      </c>
      <c r="I440" s="40" t="str">
        <f>IF($C440="","",IFERROR(VLOOKUP($C440,Orders!$A$4:$J$998,6,FALSE),""))</f>
        <v/>
      </c>
      <c r="J440" s="40" t="str">
        <f>IF($C440="","",IFERROR(VLOOKUP($C440,Orders!$A$4:$J$998,7,FALSE),""))</f>
        <v/>
      </c>
      <c r="K440" s="40" t="str">
        <f>IF(Bids!$C439="","",Bids!$C439)</f>
        <v/>
      </c>
      <c r="L440" s="40" t="str">
        <f>IF($K440="","",IFERROR(VLOOKUP($K440,Grinders!$A$4:$N$998,2,FALSE),""))</f>
        <v/>
      </c>
      <c r="M440" s="40" t="str">
        <f>IF($K440="","",IFERROR(VLOOKUP($K440,Grinders!$A$4:$N$998,3,FALSE),""))</f>
        <v/>
      </c>
      <c r="N440" s="40" t="str">
        <f>IF($K440="","",IFERROR(VLOOKUP($K440,Grinders!$A$4:$N$998,4,FALSE),""))</f>
        <v/>
      </c>
      <c r="O440" s="40" t="str">
        <f>IF($K440="","",IFERROR(VLOOKUP($K440,Grinders!$A$4:$N$998,5,FALSE),""))</f>
        <v/>
      </c>
      <c r="P440" s="40" t="str">
        <f>IF($K440="","",IF($C$4="",0,COUNTIFS(Assignments!$B$6:$B$1000,$K440,Assignments!$F$6:$F$1000,$C$4,Assignments!$E$6:$E$1000,"Active")))</f>
        <v/>
      </c>
      <c r="Q440" s="40" t="str">
        <f t="shared" si="3"/>
        <v/>
      </c>
      <c r="R440" s="40" t="str">
        <f t="shared" si="4"/>
        <v/>
      </c>
      <c r="S440" s="40" t="str">
        <f>IF($K440="","",IF($C$4="",0,COUNTIFS(Assignments!$B$6:$B$1000,$K440,Assignments!$F$6:$F$1000,$C$4,Assignments!$D$6:$D$1000,"&gt;="&amp;Config!$B$3-7,Assignments!$D$6:$D$1000,"&lt;="&amp;Config!$B$3)))</f>
        <v/>
      </c>
      <c r="T440" s="40" t="str">
        <f>IF($K440="","",IFERROR(VLOOKUP($K440,Grinders!$A$4:$N$998,8,FALSE),""))</f>
        <v/>
      </c>
      <c r="U440" s="40" t="str">
        <f>IFERROR(IF($K440="","",IF($M440="Elite",MAX(50,MIN(100,Config!$B$27*MAX(0,MIN(100,(1-IF($R440="",0,$R440))*100)) + Config!$B$28*MAX(0,MIN(100,(1-MIN(1,IF(Config!$B$30=0,1,$S440/Config!$B$30)))*100)) + Config!$B$29*MAX(0,MIN(100,MIN(1,IF($T440="",0,$T440)/Config!$B$23)*100)))),MIN(100,Config!$B$27*MAX(0,MIN(100,(1-IF($R440="",0,$R440))*100)) + Config!$B$28*MAX(0,MIN(100,(1-MIN(1,IF(Config!$B$30=0,1,$S440/Config!$B$30)))*100)) + Config!$B$29*MAX(0,MIN(100,MIN(1,IF($T440="",0,$T440)/Config!$B$23)*100))))),"")
</f>
        <v/>
      </c>
      <c r="V440" s="40" t="str">
        <f>IF(Bids!$AC440="","",Bids!$AC440)</f>
        <v/>
      </c>
      <c r="W440" s="40" t="str">
        <f>IF(Bids!$F439="","",Bids!$F439)</f>
        <v/>
      </c>
      <c r="X440" s="40" t="str">
        <f t="shared" si="5"/>
        <v/>
      </c>
      <c r="Y440" s="40" t="str">
        <f>IF($X440="","",IF(Config!$B$17=Config!$B$16,IF($X440&gt;=Config!$B$17,100,0),MAX(0,MIN(100,($X440-Config!$B$16)/(Config!$B$17-Config!$B$16)*100))))</f>
        <v/>
      </c>
      <c r="Z440" s="40">
        <f>IF($M440="Elite",Config!$B$21,0)</f>
        <v>0</v>
      </c>
      <c r="AA440" s="40" t="str">
        <f>IFERROR(IF(OR($W440="",$H440=""),"",IF($W440&gt;$H440,
  MAX(0, 60-(($W440-$H440)*24/Config!$B$19)*60),
  MIN(100, 60+(($H440-$W440)*24/Config!$B$20)*40)
)),"")
</f>
        <v/>
      </c>
      <c r="AB440" s="40" t="str">
        <f>IF($K440="","",IFERROR(VLOOKUP($K440,Grinders!$A$4:$N$998,10,FALSE)/5*100,""))</f>
        <v/>
      </c>
      <c r="AC440" s="40" t="str">
        <f>IF($K440="","",IFERROR(VLOOKUP($K440,Grinders!$A$4:$N$998,11,FALSE)*100,""))</f>
        <v/>
      </c>
      <c r="AD440" s="40" t="str">
        <f>IF($K440="","",IFERROR(VLOOKUP($K440,Grinders!$A$4:$N$998,12,FALSE)*100,""))</f>
        <v/>
      </c>
      <c r="AE440" s="40" t="str">
        <f>IF(OR(AO440=1,AP440=1),0,=IFERROR(IFS(
    OR($C440="", $K440=""), 0,
    $F440=0, 0,
    $D440&lt;&gt;"Open", 0,
    COUNTIFS(GrinderServices!$A$6:$A$1000, $K440, GrinderServices!$B$6:$B$1000, $E440, GrinderServices!$D$6:$D$1000, "Y")=0, 0,
    $X440&lt;Config!$B$16, 0,
    Config!$B$18=1, IF($O440&gt;=N440, 0, 1),
    TRUE, 1
), "")
)</f>
        <v>#ERROR!</v>
      </c>
      <c r="AF440" s="40" t="str">
        <f>IFERROR((IF(OR(AO440=1,AP440=1),"",=IFERROR((IFERROR(IF($AE440=0,"",((Config!$B$6*$Y440 + Config!$B$7*$U440 + Config!$B$8*$Z440 + Config!$B$9*$AA440 + Config!$B$10*$AB440 + Config!$B$11*$AC440 - Config!$B$12*$AD440)/Config!$B$13)+$AK440+$AL440),""))*(1-IFERROR(VLOOKUP(K440,Grinders!$A:$AB, 28, FALSE),0)),"")))*(1+AR440),"")</f>
        <v>#ERROR!</v>
      </c>
      <c r="AG440" s="40" t="str">
        <f t="shared" si="6"/>
        <v>#ERROR!</v>
      </c>
      <c r="AH440" s="40" t="str">
        <f t="shared" si="7"/>
        <v/>
      </c>
      <c r="AI440" s="40" t="str">
        <f t="shared" si="8"/>
        <v/>
      </c>
      <c r="AJ440" s="40" t="str">
        <f>IF($K440="","",COUNTIF(Assignments!$B$6:$B$1000,$K440))</f>
        <v/>
      </c>
      <c r="AK440" s="40" t="str">
        <f>IF($K440="","",IF(AND($AJ440=0,$O440&lt;$N440),Config!$B$43,0))</f>
        <v/>
      </c>
      <c r="AL440" s="40" t="str">
        <f>IF($K440="","",IF(AND($M440="Elite",$G440&gt;=Config!$B$41,$O440&lt;$N440),Config!$B$42,0))</f>
        <v/>
      </c>
      <c r="AM440" s="22"/>
      <c r="AN440" s="39">
        <f>IFERROR(VLOOKUP(K440,Grinders!$A:$Q,28,FALSE),0)</f>
        <v>0</v>
      </c>
      <c r="AO440" s="39">
        <f>IF(Config!$B$1003&lt;&gt;"Y",0,IF(IFERROR(VLOOKUP(K440,Grinders!$A:$P,27,FALSE),0)&gt;=3,IF(OR(G440&gt;=Config!$B$1001,ISNUMBER(SEARCH(E440,Config!$B$1002))),1,0),0))</f>
        <v>0</v>
      </c>
      <c r="AP440" s="39">
        <f t="array" ref="AP440">IFERROR(IF(INDEX(Bids!$AE:$AE,MATCH(B440,Bids!$A:$A,0))="Pending",1,0),0)</f>
        <v>0</v>
      </c>
      <c r="AQ440" s="39" t="str">
        <f t="array" ref="AQ440">IF(C440="","",IFERROR(XLOOKUP(C440,Assignments!$C:$C,Assignments!$AU:$AU,0),0))</f>
        <v/>
      </c>
      <c r="AR440" s="39">
        <f>IF(AND(Config!$B$1006="Y",AQ440=1),Config!$B$1007,0)</f>
        <v>0</v>
      </c>
    </row>
    <row r="441" ht="15.75" customHeight="1">
      <c r="A441" s="46" t="str">
        <f t="shared" si="1"/>
        <v/>
      </c>
      <c r="B441" s="40" t="str">
        <f>IF(Bids!$A440="","",Bids!$A440)</f>
        <v/>
      </c>
      <c r="C441" s="40" t="str">
        <f>IF(Bids!$B440="","",Bids!$B440)</f>
        <v/>
      </c>
      <c r="D441" s="40" t="str">
        <f>IF($C441="","",IFERROR(VLOOKUP($C441,Orders!$A$4:$J$998,9,FALSE),""))</f>
        <v/>
      </c>
      <c r="E441" s="40" t="str">
        <f>IF($C441="","",IFERROR(VLOOKUP($C441,Orders!$A$4:$J$998,3,FALSE),""))</f>
        <v/>
      </c>
      <c r="F441" s="40">
        <f t="shared" si="2"/>
        <v>1</v>
      </c>
      <c r="G441" s="40" t="str">
        <f>IF($C441="","",IFERROR(VLOOKUP($C441,Orders!$A$4:$J$998,4,FALSE),""))</f>
        <v/>
      </c>
      <c r="H441" s="40" t="str">
        <f>IF($C441="","",IFERROR(VLOOKUP($C441,Orders!$A$4:$J$998,5,FALSE),""))</f>
        <v/>
      </c>
      <c r="I441" s="40" t="str">
        <f>IF($C441="","",IFERROR(VLOOKUP($C441,Orders!$A$4:$J$998,6,FALSE),""))</f>
        <v/>
      </c>
      <c r="J441" s="40" t="str">
        <f>IF($C441="","",IFERROR(VLOOKUP($C441,Orders!$A$4:$J$998,7,FALSE),""))</f>
        <v/>
      </c>
      <c r="K441" s="40" t="str">
        <f>IF(Bids!$C440="","",Bids!$C440)</f>
        <v/>
      </c>
      <c r="L441" s="40" t="str">
        <f>IF($K441="","",IFERROR(VLOOKUP($K441,Grinders!$A$4:$N$998,2,FALSE),""))</f>
        <v/>
      </c>
      <c r="M441" s="40" t="str">
        <f>IF($K441="","",IFERROR(VLOOKUP($K441,Grinders!$A$4:$N$998,3,FALSE),""))</f>
        <v/>
      </c>
      <c r="N441" s="40" t="str">
        <f>IF($K441="","",IFERROR(VLOOKUP($K441,Grinders!$A$4:$N$998,4,FALSE),""))</f>
        <v/>
      </c>
      <c r="O441" s="40" t="str">
        <f>IF($K441="","",IFERROR(VLOOKUP($K441,Grinders!$A$4:$N$998,5,FALSE),""))</f>
        <v/>
      </c>
      <c r="P441" s="40" t="str">
        <f>IF($K441="","",IF($C$4="",0,COUNTIFS(Assignments!$B$6:$B$1000,$K441,Assignments!$F$6:$F$1000,$C$4,Assignments!$E$6:$E$1000,"Active")))</f>
        <v/>
      </c>
      <c r="Q441" s="40" t="str">
        <f t="shared" si="3"/>
        <v/>
      </c>
      <c r="R441" s="40" t="str">
        <f t="shared" si="4"/>
        <v/>
      </c>
      <c r="S441" s="40" t="str">
        <f>IF($K441="","",IF($C$4="",0,COUNTIFS(Assignments!$B$6:$B$1000,$K441,Assignments!$F$6:$F$1000,$C$4,Assignments!$D$6:$D$1000,"&gt;="&amp;Config!$B$3-7,Assignments!$D$6:$D$1000,"&lt;="&amp;Config!$B$3)))</f>
        <v/>
      </c>
      <c r="T441" s="40" t="str">
        <f>IF($K441="","",IFERROR(VLOOKUP($K441,Grinders!$A$4:$N$998,8,FALSE),""))</f>
        <v/>
      </c>
      <c r="U441" s="40" t="str">
        <f>IFERROR(IF($K441="","",IF($M441="Elite",MAX(50,MIN(100,Config!$B$27*MAX(0,MIN(100,(1-IF($R441="",0,$R441))*100)) + Config!$B$28*MAX(0,MIN(100,(1-MIN(1,IF(Config!$B$30=0,1,$S441/Config!$B$30)))*100)) + Config!$B$29*MAX(0,MIN(100,MIN(1,IF($T441="",0,$T441)/Config!$B$23)*100)))),MIN(100,Config!$B$27*MAX(0,MIN(100,(1-IF($R441="",0,$R441))*100)) + Config!$B$28*MAX(0,MIN(100,(1-MIN(1,IF(Config!$B$30=0,1,$S441/Config!$B$30)))*100)) + Config!$B$29*MAX(0,MIN(100,MIN(1,IF($T441="",0,$T441)/Config!$B$23)*100))))),"")
</f>
        <v/>
      </c>
      <c r="V441" s="40" t="str">
        <f>IF(Bids!$AC441="","",Bids!$AC441)</f>
        <v/>
      </c>
      <c r="W441" s="40" t="str">
        <f>IF(Bids!$F440="","",Bids!$F440)</f>
        <v/>
      </c>
      <c r="X441" s="40" t="str">
        <f t="shared" si="5"/>
        <v/>
      </c>
      <c r="Y441" s="40" t="str">
        <f>IF($X441="","",IF(Config!$B$17=Config!$B$16,IF($X441&gt;=Config!$B$17,100,0),MAX(0,MIN(100,($X441-Config!$B$16)/(Config!$B$17-Config!$B$16)*100))))</f>
        <v/>
      </c>
      <c r="Z441" s="40">
        <f>IF($M441="Elite",Config!$B$21,0)</f>
        <v>0</v>
      </c>
      <c r="AA441" s="40" t="str">
        <f>IFERROR(IF(OR($W441="",$H441=""),"",IF($W441&gt;$H441,
  MAX(0, 60-(($W441-$H441)*24/Config!$B$19)*60),
  MIN(100, 60+(($H441-$W441)*24/Config!$B$20)*40)
)),"")
</f>
        <v/>
      </c>
      <c r="AB441" s="40" t="str">
        <f>IF($K441="","",IFERROR(VLOOKUP($K441,Grinders!$A$4:$N$998,10,FALSE)/5*100,""))</f>
        <v/>
      </c>
      <c r="AC441" s="40" t="str">
        <f>IF($K441="","",IFERROR(VLOOKUP($K441,Grinders!$A$4:$N$998,11,FALSE)*100,""))</f>
        <v/>
      </c>
      <c r="AD441" s="40" t="str">
        <f>IF($K441="","",IFERROR(VLOOKUP($K441,Grinders!$A$4:$N$998,12,FALSE)*100,""))</f>
        <v/>
      </c>
      <c r="AE441" s="40" t="str">
        <f>IF(OR(AO441=1,AP441=1),0,=IFERROR(IFS(
    OR($C441="", $K441=""), 0,
    $F441=0, 0,
    $D441&lt;&gt;"Open", 0,
    COUNTIFS(GrinderServices!$A$6:$A$1000, $K441, GrinderServices!$B$6:$B$1000, $E441, GrinderServices!$D$6:$D$1000, "Y")=0, 0,
    $X441&lt;Config!$B$16, 0,
    Config!$B$18=1, IF($O441&gt;=N441, 0, 1),
    TRUE, 1
), "")
)</f>
        <v>#ERROR!</v>
      </c>
      <c r="AF441" s="40" t="str">
        <f>IFERROR((IF(OR(AO441=1,AP441=1),"",=IFERROR((IFERROR(IF($AE441=0,"",((Config!$B$6*$Y441 + Config!$B$7*$U441 + Config!$B$8*$Z441 + Config!$B$9*$AA441 + Config!$B$10*$AB441 + Config!$B$11*$AC441 - Config!$B$12*$AD441)/Config!$B$13)+$AK441+$AL441),""))*(1-IFERROR(VLOOKUP(K441,Grinders!$A:$AB, 28, FALSE),0)),"")))*(1+AR441),"")</f>
        <v>#ERROR!</v>
      </c>
      <c r="AG441" s="40" t="str">
        <f t="shared" si="6"/>
        <v>#ERROR!</v>
      </c>
      <c r="AH441" s="40" t="str">
        <f t="shared" si="7"/>
        <v/>
      </c>
      <c r="AI441" s="40" t="str">
        <f t="shared" si="8"/>
        <v/>
      </c>
      <c r="AJ441" s="40" t="str">
        <f>IF($K441="","",COUNTIF(Assignments!$B$6:$B$1000,$K441))</f>
        <v/>
      </c>
      <c r="AK441" s="40" t="str">
        <f>IF($K441="","",IF(AND($AJ441=0,$O441&lt;$N441),Config!$B$43,0))</f>
        <v/>
      </c>
      <c r="AL441" s="40" t="str">
        <f>IF($K441="","",IF(AND($M441="Elite",$G441&gt;=Config!$B$41,$O441&lt;$N441),Config!$B$42,0))</f>
        <v/>
      </c>
      <c r="AM441" s="22"/>
      <c r="AN441" s="39">
        <f>IFERROR(VLOOKUP(K441,Grinders!$A:$Q,28,FALSE),0)</f>
        <v>0</v>
      </c>
      <c r="AO441" s="39">
        <f>IF(Config!$B$1003&lt;&gt;"Y",0,IF(IFERROR(VLOOKUP(K441,Grinders!$A:$P,27,FALSE),0)&gt;=3,IF(OR(G441&gt;=Config!$B$1001,ISNUMBER(SEARCH(E441,Config!$B$1002))),1,0),0))</f>
        <v>0</v>
      </c>
      <c r="AP441" s="39">
        <f t="array" ref="AP441">IFERROR(IF(INDEX(Bids!$AE:$AE,MATCH(B441,Bids!$A:$A,0))="Pending",1,0),0)</f>
        <v>0</v>
      </c>
      <c r="AQ441" s="39" t="str">
        <f t="array" ref="AQ441">IF(C441="","",IFERROR(XLOOKUP(C441,Assignments!$C:$C,Assignments!$AU:$AU,0),0))</f>
        <v/>
      </c>
      <c r="AR441" s="39">
        <f>IF(AND(Config!$B$1006="Y",AQ441=1),Config!$B$1007,0)</f>
        <v>0</v>
      </c>
    </row>
    <row r="442" ht="15.75" customHeight="1">
      <c r="A442" s="46" t="str">
        <f t="shared" si="1"/>
        <v/>
      </c>
      <c r="B442" s="40" t="str">
        <f>IF(Bids!$A441="","",Bids!$A441)</f>
        <v/>
      </c>
      <c r="C442" s="40" t="str">
        <f>IF(Bids!$B441="","",Bids!$B441)</f>
        <v/>
      </c>
      <c r="D442" s="40" t="str">
        <f>IF($C442="","",IFERROR(VLOOKUP($C442,Orders!$A$4:$J$998,9,FALSE),""))</f>
        <v/>
      </c>
      <c r="E442" s="40" t="str">
        <f>IF($C442="","",IFERROR(VLOOKUP($C442,Orders!$A$4:$J$998,3,FALSE),""))</f>
        <v/>
      </c>
      <c r="F442" s="40">
        <f t="shared" si="2"/>
        <v>1</v>
      </c>
      <c r="G442" s="40" t="str">
        <f>IF($C442="","",IFERROR(VLOOKUP($C442,Orders!$A$4:$J$998,4,FALSE),""))</f>
        <v/>
      </c>
      <c r="H442" s="40" t="str">
        <f>IF($C442="","",IFERROR(VLOOKUP($C442,Orders!$A$4:$J$998,5,FALSE),""))</f>
        <v/>
      </c>
      <c r="I442" s="40" t="str">
        <f>IF($C442="","",IFERROR(VLOOKUP($C442,Orders!$A$4:$J$998,6,FALSE),""))</f>
        <v/>
      </c>
      <c r="J442" s="40" t="str">
        <f>IF($C442="","",IFERROR(VLOOKUP($C442,Orders!$A$4:$J$998,7,FALSE),""))</f>
        <v/>
      </c>
      <c r="K442" s="40" t="str">
        <f>IF(Bids!$C441="","",Bids!$C441)</f>
        <v/>
      </c>
      <c r="L442" s="40" t="str">
        <f>IF($K442="","",IFERROR(VLOOKUP($K442,Grinders!$A$4:$N$998,2,FALSE),""))</f>
        <v/>
      </c>
      <c r="M442" s="40" t="str">
        <f>IF($K442="","",IFERROR(VLOOKUP($K442,Grinders!$A$4:$N$998,3,FALSE),""))</f>
        <v/>
      </c>
      <c r="N442" s="40" t="str">
        <f>IF($K442="","",IFERROR(VLOOKUP($K442,Grinders!$A$4:$N$998,4,FALSE),""))</f>
        <v/>
      </c>
      <c r="O442" s="40" t="str">
        <f>IF($K442="","",IFERROR(VLOOKUP($K442,Grinders!$A$4:$N$998,5,FALSE),""))</f>
        <v/>
      </c>
      <c r="P442" s="40" t="str">
        <f>IF($K442="","",IF($C$4="",0,COUNTIFS(Assignments!$B$6:$B$1000,$K442,Assignments!$F$6:$F$1000,$C$4,Assignments!$E$6:$E$1000,"Active")))</f>
        <v/>
      </c>
      <c r="Q442" s="40" t="str">
        <f t="shared" si="3"/>
        <v/>
      </c>
      <c r="R442" s="40" t="str">
        <f t="shared" si="4"/>
        <v/>
      </c>
      <c r="S442" s="40" t="str">
        <f>IF($K442="","",IF($C$4="",0,COUNTIFS(Assignments!$B$6:$B$1000,$K442,Assignments!$F$6:$F$1000,$C$4,Assignments!$D$6:$D$1000,"&gt;="&amp;Config!$B$3-7,Assignments!$D$6:$D$1000,"&lt;="&amp;Config!$B$3)))</f>
        <v/>
      </c>
      <c r="T442" s="40" t="str">
        <f>IF($K442="","",IFERROR(VLOOKUP($K442,Grinders!$A$4:$N$998,8,FALSE),""))</f>
        <v/>
      </c>
      <c r="U442" s="40" t="str">
        <f>IFERROR(IF($K442="","",IF($M442="Elite",MAX(50,MIN(100,Config!$B$27*MAX(0,MIN(100,(1-IF($R442="",0,$R442))*100)) + Config!$B$28*MAX(0,MIN(100,(1-MIN(1,IF(Config!$B$30=0,1,$S442/Config!$B$30)))*100)) + Config!$B$29*MAX(0,MIN(100,MIN(1,IF($T442="",0,$T442)/Config!$B$23)*100)))),MIN(100,Config!$B$27*MAX(0,MIN(100,(1-IF($R442="",0,$R442))*100)) + Config!$B$28*MAX(0,MIN(100,(1-MIN(1,IF(Config!$B$30=0,1,$S442/Config!$B$30)))*100)) + Config!$B$29*MAX(0,MIN(100,MIN(1,IF($T442="",0,$T442)/Config!$B$23)*100))))),"")
</f>
        <v/>
      </c>
      <c r="V442" s="40" t="str">
        <f>IF(Bids!$AC442="","",Bids!$AC442)</f>
        <v/>
      </c>
      <c r="W442" s="40" t="str">
        <f>IF(Bids!$F441="","",Bids!$F441)</f>
        <v/>
      </c>
      <c r="X442" s="40" t="str">
        <f t="shared" si="5"/>
        <v/>
      </c>
      <c r="Y442" s="40" t="str">
        <f>IF($X442="","",IF(Config!$B$17=Config!$B$16,IF($X442&gt;=Config!$B$17,100,0),MAX(0,MIN(100,($X442-Config!$B$16)/(Config!$B$17-Config!$B$16)*100))))</f>
        <v/>
      </c>
      <c r="Z442" s="40">
        <f>IF($M442="Elite",Config!$B$21,0)</f>
        <v>0</v>
      </c>
      <c r="AA442" s="40" t="str">
        <f>IFERROR(IF(OR($W442="",$H442=""),"",IF($W442&gt;$H442,
  MAX(0, 60-(($W442-$H442)*24/Config!$B$19)*60),
  MIN(100, 60+(($H442-$W442)*24/Config!$B$20)*40)
)),"")
</f>
        <v/>
      </c>
      <c r="AB442" s="40" t="str">
        <f>IF($K442="","",IFERROR(VLOOKUP($K442,Grinders!$A$4:$N$998,10,FALSE)/5*100,""))</f>
        <v/>
      </c>
      <c r="AC442" s="40" t="str">
        <f>IF($K442="","",IFERROR(VLOOKUP($K442,Grinders!$A$4:$N$998,11,FALSE)*100,""))</f>
        <v/>
      </c>
      <c r="AD442" s="40" t="str">
        <f>IF($K442="","",IFERROR(VLOOKUP($K442,Grinders!$A$4:$N$998,12,FALSE)*100,""))</f>
        <v/>
      </c>
      <c r="AE442" s="40" t="str">
        <f>IF(OR(AO442=1,AP442=1),0,=IFERROR(IFS(
    OR($C442="", $K442=""), 0,
    $F442=0, 0,
    $D442&lt;&gt;"Open", 0,
    COUNTIFS(GrinderServices!$A$6:$A$1000, $K442, GrinderServices!$B$6:$B$1000, $E442, GrinderServices!$D$6:$D$1000, "Y")=0, 0,
    $X442&lt;Config!$B$16, 0,
    Config!$B$18=1, IF($O442&gt;=N442, 0, 1),
    TRUE, 1
), "")
)</f>
        <v>#ERROR!</v>
      </c>
      <c r="AF442" s="40" t="str">
        <f>IFERROR((IF(OR(AO442=1,AP442=1),"",=IFERROR((IFERROR(IF($AE442=0,"",((Config!$B$6*$Y442 + Config!$B$7*$U442 + Config!$B$8*$Z442 + Config!$B$9*$AA442 + Config!$B$10*$AB442 + Config!$B$11*$AC442 - Config!$B$12*$AD442)/Config!$B$13)+$AK442+$AL442),""))*(1-IFERROR(VLOOKUP(K442,Grinders!$A:$AB, 28, FALSE),0)),"")))*(1+AR442),"")</f>
        <v>#ERROR!</v>
      </c>
      <c r="AG442" s="40" t="str">
        <f t="shared" si="6"/>
        <v>#ERROR!</v>
      </c>
      <c r="AH442" s="40" t="str">
        <f t="shared" si="7"/>
        <v/>
      </c>
      <c r="AI442" s="40" t="str">
        <f t="shared" si="8"/>
        <v/>
      </c>
      <c r="AJ442" s="40" t="str">
        <f>IF($K442="","",COUNTIF(Assignments!$B$6:$B$1000,$K442))</f>
        <v/>
      </c>
      <c r="AK442" s="40" t="str">
        <f>IF($K442="","",IF(AND($AJ442=0,$O442&lt;$N442),Config!$B$43,0))</f>
        <v/>
      </c>
      <c r="AL442" s="40" t="str">
        <f>IF($K442="","",IF(AND($M442="Elite",$G442&gt;=Config!$B$41,$O442&lt;$N442),Config!$B$42,0))</f>
        <v/>
      </c>
      <c r="AM442" s="22"/>
      <c r="AN442" s="39">
        <f>IFERROR(VLOOKUP(K442,Grinders!$A:$Q,28,FALSE),0)</f>
        <v>0</v>
      </c>
      <c r="AO442" s="39">
        <f>IF(Config!$B$1003&lt;&gt;"Y",0,IF(IFERROR(VLOOKUP(K442,Grinders!$A:$P,27,FALSE),0)&gt;=3,IF(OR(G442&gt;=Config!$B$1001,ISNUMBER(SEARCH(E442,Config!$B$1002))),1,0),0))</f>
        <v>0</v>
      </c>
      <c r="AP442" s="39">
        <f t="array" ref="AP442">IFERROR(IF(INDEX(Bids!$AE:$AE,MATCH(B442,Bids!$A:$A,0))="Pending",1,0),0)</f>
        <v>0</v>
      </c>
      <c r="AQ442" s="39" t="str">
        <f t="array" ref="AQ442">IF(C442="","",IFERROR(XLOOKUP(C442,Assignments!$C:$C,Assignments!$AU:$AU,0),0))</f>
        <v/>
      </c>
      <c r="AR442" s="39">
        <f>IF(AND(Config!$B$1006="Y",AQ442=1),Config!$B$1007,0)</f>
        <v>0</v>
      </c>
    </row>
    <row r="443" ht="15.75" customHeight="1">
      <c r="A443" s="46" t="str">
        <f t="shared" si="1"/>
        <v/>
      </c>
      <c r="B443" s="40" t="str">
        <f>IF(Bids!$A442="","",Bids!$A442)</f>
        <v/>
      </c>
      <c r="C443" s="40" t="str">
        <f>IF(Bids!$B442="","",Bids!$B442)</f>
        <v/>
      </c>
      <c r="D443" s="40" t="str">
        <f>IF($C443="","",IFERROR(VLOOKUP($C443,Orders!$A$4:$J$998,9,FALSE),""))</f>
        <v/>
      </c>
      <c r="E443" s="40" t="str">
        <f>IF($C443="","",IFERROR(VLOOKUP($C443,Orders!$A$4:$J$998,3,FALSE),""))</f>
        <v/>
      </c>
      <c r="F443" s="40">
        <f t="shared" si="2"/>
        <v>1</v>
      </c>
      <c r="G443" s="40" t="str">
        <f>IF($C443="","",IFERROR(VLOOKUP($C443,Orders!$A$4:$J$998,4,FALSE),""))</f>
        <v/>
      </c>
      <c r="H443" s="40" t="str">
        <f>IF($C443="","",IFERROR(VLOOKUP($C443,Orders!$A$4:$J$998,5,FALSE),""))</f>
        <v/>
      </c>
      <c r="I443" s="40" t="str">
        <f>IF($C443="","",IFERROR(VLOOKUP($C443,Orders!$A$4:$J$998,6,FALSE),""))</f>
        <v/>
      </c>
      <c r="J443" s="40" t="str">
        <f>IF($C443="","",IFERROR(VLOOKUP($C443,Orders!$A$4:$J$998,7,FALSE),""))</f>
        <v/>
      </c>
      <c r="K443" s="40" t="str">
        <f>IF(Bids!$C442="","",Bids!$C442)</f>
        <v/>
      </c>
      <c r="L443" s="40" t="str">
        <f>IF($K443="","",IFERROR(VLOOKUP($K443,Grinders!$A$4:$N$998,2,FALSE),""))</f>
        <v/>
      </c>
      <c r="M443" s="40" t="str">
        <f>IF($K443="","",IFERROR(VLOOKUP($K443,Grinders!$A$4:$N$998,3,FALSE),""))</f>
        <v/>
      </c>
      <c r="N443" s="40" t="str">
        <f>IF($K443="","",IFERROR(VLOOKUP($K443,Grinders!$A$4:$N$998,4,FALSE),""))</f>
        <v/>
      </c>
      <c r="O443" s="40" t="str">
        <f>IF($K443="","",IFERROR(VLOOKUP($K443,Grinders!$A$4:$N$998,5,FALSE),""))</f>
        <v/>
      </c>
      <c r="P443" s="40" t="str">
        <f>IF($K443="","",IF($C$4="",0,COUNTIFS(Assignments!$B$6:$B$1000,$K443,Assignments!$F$6:$F$1000,$C$4,Assignments!$E$6:$E$1000,"Active")))</f>
        <v/>
      </c>
      <c r="Q443" s="40" t="str">
        <f t="shared" si="3"/>
        <v/>
      </c>
      <c r="R443" s="40" t="str">
        <f t="shared" si="4"/>
        <v/>
      </c>
      <c r="S443" s="40" t="str">
        <f>IF($K443="","",IF($C$4="",0,COUNTIFS(Assignments!$B$6:$B$1000,$K443,Assignments!$F$6:$F$1000,$C$4,Assignments!$D$6:$D$1000,"&gt;="&amp;Config!$B$3-7,Assignments!$D$6:$D$1000,"&lt;="&amp;Config!$B$3)))</f>
        <v/>
      </c>
      <c r="T443" s="40" t="str">
        <f>IF($K443="","",IFERROR(VLOOKUP($K443,Grinders!$A$4:$N$998,8,FALSE),""))</f>
        <v/>
      </c>
      <c r="U443" s="40" t="str">
        <f>IFERROR(IF($K443="","",IF($M443="Elite",MAX(50,MIN(100,Config!$B$27*MAX(0,MIN(100,(1-IF($R443="",0,$R443))*100)) + Config!$B$28*MAX(0,MIN(100,(1-MIN(1,IF(Config!$B$30=0,1,$S443/Config!$B$30)))*100)) + Config!$B$29*MAX(0,MIN(100,MIN(1,IF($T443="",0,$T443)/Config!$B$23)*100)))),MIN(100,Config!$B$27*MAX(0,MIN(100,(1-IF($R443="",0,$R443))*100)) + Config!$B$28*MAX(0,MIN(100,(1-MIN(1,IF(Config!$B$30=0,1,$S443/Config!$B$30)))*100)) + Config!$B$29*MAX(0,MIN(100,MIN(1,IF($T443="",0,$T443)/Config!$B$23)*100))))),"")
</f>
        <v/>
      </c>
      <c r="V443" s="40" t="str">
        <f>IF(Bids!$AC443="","",Bids!$AC443)</f>
        <v/>
      </c>
      <c r="W443" s="40" t="str">
        <f>IF(Bids!$F442="","",Bids!$F442)</f>
        <v/>
      </c>
      <c r="X443" s="40" t="str">
        <f t="shared" si="5"/>
        <v/>
      </c>
      <c r="Y443" s="40" t="str">
        <f>IF($X443="","",IF(Config!$B$17=Config!$B$16,IF($X443&gt;=Config!$B$17,100,0),MAX(0,MIN(100,($X443-Config!$B$16)/(Config!$B$17-Config!$B$16)*100))))</f>
        <v/>
      </c>
      <c r="Z443" s="40">
        <f>IF($M443="Elite",Config!$B$21,0)</f>
        <v>0</v>
      </c>
      <c r="AA443" s="40" t="str">
        <f>IFERROR(IF(OR($W443="",$H443=""),"",IF($W443&gt;$H443,
  MAX(0, 60-(($W443-$H443)*24/Config!$B$19)*60),
  MIN(100, 60+(($H443-$W443)*24/Config!$B$20)*40)
)),"")
</f>
        <v/>
      </c>
      <c r="AB443" s="40" t="str">
        <f>IF($K443="","",IFERROR(VLOOKUP($K443,Grinders!$A$4:$N$998,10,FALSE)/5*100,""))</f>
        <v/>
      </c>
      <c r="AC443" s="40" t="str">
        <f>IF($K443="","",IFERROR(VLOOKUP($K443,Grinders!$A$4:$N$998,11,FALSE)*100,""))</f>
        <v/>
      </c>
      <c r="AD443" s="40" t="str">
        <f>IF($K443="","",IFERROR(VLOOKUP($K443,Grinders!$A$4:$N$998,12,FALSE)*100,""))</f>
        <v/>
      </c>
      <c r="AE443" s="40" t="str">
        <f>IF(OR(AO443=1,AP443=1),0,=IFERROR(IFS(
    OR($C443="", $K443=""), 0,
    $F443=0, 0,
    $D443&lt;&gt;"Open", 0,
    COUNTIFS(GrinderServices!$A$6:$A$1000, $K443, GrinderServices!$B$6:$B$1000, $E443, GrinderServices!$D$6:$D$1000, "Y")=0, 0,
    $X443&lt;Config!$B$16, 0,
    Config!$B$18=1, IF($O443&gt;=N443, 0, 1),
    TRUE, 1
), "")
)</f>
        <v>#ERROR!</v>
      </c>
      <c r="AF443" s="40" t="str">
        <f>IFERROR((IF(OR(AO443=1,AP443=1),"",=IFERROR((IFERROR(IF($AE443=0,"",((Config!$B$6*$Y443 + Config!$B$7*$U443 + Config!$B$8*$Z443 + Config!$B$9*$AA443 + Config!$B$10*$AB443 + Config!$B$11*$AC443 - Config!$B$12*$AD443)/Config!$B$13)+$AK443+$AL443),""))*(1-IFERROR(VLOOKUP(K443,Grinders!$A:$AB, 28, FALSE),0)),"")))*(1+AR443),"")</f>
        <v>#ERROR!</v>
      </c>
      <c r="AG443" s="40" t="str">
        <f t="shared" si="6"/>
        <v>#ERROR!</v>
      </c>
      <c r="AH443" s="40" t="str">
        <f t="shared" si="7"/>
        <v/>
      </c>
      <c r="AI443" s="40" t="str">
        <f t="shared" si="8"/>
        <v/>
      </c>
      <c r="AJ443" s="40" t="str">
        <f>IF($K443="","",COUNTIF(Assignments!$B$6:$B$1000,$K443))</f>
        <v/>
      </c>
      <c r="AK443" s="40" t="str">
        <f>IF($K443="","",IF(AND($AJ443=0,$O443&lt;$N443),Config!$B$43,0))</f>
        <v/>
      </c>
      <c r="AL443" s="40" t="str">
        <f>IF($K443="","",IF(AND($M443="Elite",$G443&gt;=Config!$B$41,$O443&lt;$N443),Config!$B$42,0))</f>
        <v/>
      </c>
      <c r="AM443" s="22"/>
      <c r="AN443" s="39">
        <f>IFERROR(VLOOKUP(K443,Grinders!$A:$Q,28,FALSE),0)</f>
        <v>0</v>
      </c>
      <c r="AO443" s="39">
        <f>IF(Config!$B$1003&lt;&gt;"Y",0,IF(IFERROR(VLOOKUP(K443,Grinders!$A:$P,27,FALSE),0)&gt;=3,IF(OR(G443&gt;=Config!$B$1001,ISNUMBER(SEARCH(E443,Config!$B$1002))),1,0),0))</f>
        <v>0</v>
      </c>
      <c r="AP443" s="39">
        <f t="array" ref="AP443">IFERROR(IF(INDEX(Bids!$AE:$AE,MATCH(B443,Bids!$A:$A,0))="Pending",1,0),0)</f>
        <v>0</v>
      </c>
      <c r="AQ443" s="39" t="str">
        <f t="array" ref="AQ443">IF(C443="","",IFERROR(XLOOKUP(C443,Assignments!$C:$C,Assignments!$AU:$AU,0),0))</f>
        <v/>
      </c>
      <c r="AR443" s="39">
        <f>IF(AND(Config!$B$1006="Y",AQ443=1),Config!$B$1007,0)</f>
        <v>0</v>
      </c>
    </row>
    <row r="444" ht="15.75" customHeight="1">
      <c r="A444" s="46" t="str">
        <f t="shared" si="1"/>
        <v/>
      </c>
      <c r="B444" s="40" t="str">
        <f>IF(Bids!$A443="","",Bids!$A443)</f>
        <v/>
      </c>
      <c r="C444" s="40" t="str">
        <f>IF(Bids!$B443="","",Bids!$B443)</f>
        <v/>
      </c>
      <c r="D444" s="40" t="str">
        <f>IF($C444="","",IFERROR(VLOOKUP($C444,Orders!$A$4:$J$998,9,FALSE),""))</f>
        <v/>
      </c>
      <c r="E444" s="40" t="str">
        <f>IF($C444="","",IFERROR(VLOOKUP($C444,Orders!$A$4:$J$998,3,FALSE),""))</f>
        <v/>
      </c>
      <c r="F444" s="40">
        <f t="shared" si="2"/>
        <v>1</v>
      </c>
      <c r="G444" s="40" t="str">
        <f>IF($C444="","",IFERROR(VLOOKUP($C444,Orders!$A$4:$J$998,4,FALSE),""))</f>
        <v/>
      </c>
      <c r="H444" s="40" t="str">
        <f>IF($C444="","",IFERROR(VLOOKUP($C444,Orders!$A$4:$J$998,5,FALSE),""))</f>
        <v/>
      </c>
      <c r="I444" s="40" t="str">
        <f>IF($C444="","",IFERROR(VLOOKUP($C444,Orders!$A$4:$J$998,6,FALSE),""))</f>
        <v/>
      </c>
      <c r="J444" s="40" t="str">
        <f>IF($C444="","",IFERROR(VLOOKUP($C444,Orders!$A$4:$J$998,7,FALSE),""))</f>
        <v/>
      </c>
      <c r="K444" s="40" t="str">
        <f>IF(Bids!$C443="","",Bids!$C443)</f>
        <v/>
      </c>
      <c r="L444" s="40" t="str">
        <f>IF($K444="","",IFERROR(VLOOKUP($K444,Grinders!$A$4:$N$998,2,FALSE),""))</f>
        <v/>
      </c>
      <c r="M444" s="40" t="str">
        <f>IF($K444="","",IFERROR(VLOOKUP($K444,Grinders!$A$4:$N$998,3,FALSE),""))</f>
        <v/>
      </c>
      <c r="N444" s="40" t="str">
        <f>IF($K444="","",IFERROR(VLOOKUP($K444,Grinders!$A$4:$N$998,4,FALSE),""))</f>
        <v/>
      </c>
      <c r="O444" s="40" t="str">
        <f>IF($K444="","",IFERROR(VLOOKUP($K444,Grinders!$A$4:$N$998,5,FALSE),""))</f>
        <v/>
      </c>
      <c r="P444" s="40" t="str">
        <f>IF($K444="","",IF($C$4="",0,COUNTIFS(Assignments!$B$6:$B$1000,$K444,Assignments!$F$6:$F$1000,$C$4,Assignments!$E$6:$E$1000,"Active")))</f>
        <v/>
      </c>
      <c r="Q444" s="40" t="str">
        <f t="shared" si="3"/>
        <v/>
      </c>
      <c r="R444" s="40" t="str">
        <f t="shared" si="4"/>
        <v/>
      </c>
      <c r="S444" s="40" t="str">
        <f>IF($K444="","",IF($C$4="",0,COUNTIFS(Assignments!$B$6:$B$1000,$K444,Assignments!$F$6:$F$1000,$C$4,Assignments!$D$6:$D$1000,"&gt;="&amp;Config!$B$3-7,Assignments!$D$6:$D$1000,"&lt;="&amp;Config!$B$3)))</f>
        <v/>
      </c>
      <c r="T444" s="40" t="str">
        <f>IF($K444="","",IFERROR(VLOOKUP($K444,Grinders!$A$4:$N$998,8,FALSE),""))</f>
        <v/>
      </c>
      <c r="U444" s="40" t="str">
        <f>IFERROR(IF($K444="","",IF($M444="Elite",MAX(50,MIN(100,Config!$B$27*MAX(0,MIN(100,(1-IF($R444="",0,$R444))*100)) + Config!$B$28*MAX(0,MIN(100,(1-MIN(1,IF(Config!$B$30=0,1,$S444/Config!$B$30)))*100)) + Config!$B$29*MAX(0,MIN(100,MIN(1,IF($T444="",0,$T444)/Config!$B$23)*100)))),MIN(100,Config!$B$27*MAX(0,MIN(100,(1-IF($R444="",0,$R444))*100)) + Config!$B$28*MAX(0,MIN(100,(1-MIN(1,IF(Config!$B$30=0,1,$S444/Config!$B$30)))*100)) + Config!$B$29*MAX(0,MIN(100,MIN(1,IF($T444="",0,$T444)/Config!$B$23)*100))))),"")
</f>
        <v/>
      </c>
      <c r="V444" s="40" t="str">
        <f>IF(Bids!$AC444="","",Bids!$AC444)</f>
        <v/>
      </c>
      <c r="W444" s="40" t="str">
        <f>IF(Bids!$F443="","",Bids!$F443)</f>
        <v/>
      </c>
      <c r="X444" s="40" t="str">
        <f t="shared" si="5"/>
        <v/>
      </c>
      <c r="Y444" s="40" t="str">
        <f>IF($X444="","",IF(Config!$B$17=Config!$B$16,IF($X444&gt;=Config!$B$17,100,0),MAX(0,MIN(100,($X444-Config!$B$16)/(Config!$B$17-Config!$B$16)*100))))</f>
        <v/>
      </c>
      <c r="Z444" s="40">
        <f>IF($M444="Elite",Config!$B$21,0)</f>
        <v>0</v>
      </c>
      <c r="AA444" s="40" t="str">
        <f>IFERROR(IF(OR($W444="",$H444=""),"",IF($W444&gt;$H444,
  MAX(0, 60-(($W444-$H444)*24/Config!$B$19)*60),
  MIN(100, 60+(($H444-$W444)*24/Config!$B$20)*40)
)),"")
</f>
        <v/>
      </c>
      <c r="AB444" s="40" t="str">
        <f>IF($K444="","",IFERROR(VLOOKUP($K444,Grinders!$A$4:$N$998,10,FALSE)/5*100,""))</f>
        <v/>
      </c>
      <c r="AC444" s="40" t="str">
        <f>IF($K444="","",IFERROR(VLOOKUP($K444,Grinders!$A$4:$N$998,11,FALSE)*100,""))</f>
        <v/>
      </c>
      <c r="AD444" s="40" t="str">
        <f>IF($K444="","",IFERROR(VLOOKUP($K444,Grinders!$A$4:$N$998,12,FALSE)*100,""))</f>
        <v/>
      </c>
      <c r="AE444" s="40" t="str">
        <f>IF(OR(AO444=1,AP444=1),0,=IFERROR(IFS(
    OR($C444="", $K444=""), 0,
    $F444=0, 0,
    $D444&lt;&gt;"Open", 0,
    COUNTIFS(GrinderServices!$A$6:$A$1000, $K444, GrinderServices!$B$6:$B$1000, $E444, GrinderServices!$D$6:$D$1000, "Y")=0, 0,
    $X444&lt;Config!$B$16, 0,
    Config!$B$18=1, IF($O444&gt;=N444, 0, 1),
    TRUE, 1
), "")
)</f>
        <v>#ERROR!</v>
      </c>
      <c r="AF444" s="40" t="str">
        <f>IFERROR((IF(OR(AO444=1,AP444=1),"",=IFERROR((IFERROR(IF($AE444=0,"",((Config!$B$6*$Y444 + Config!$B$7*$U444 + Config!$B$8*$Z444 + Config!$B$9*$AA444 + Config!$B$10*$AB444 + Config!$B$11*$AC444 - Config!$B$12*$AD444)/Config!$B$13)+$AK444+$AL444),""))*(1-IFERROR(VLOOKUP(K444,Grinders!$A:$AB, 28, FALSE),0)),"")))*(1+AR444),"")</f>
        <v>#ERROR!</v>
      </c>
      <c r="AG444" s="40" t="str">
        <f t="shared" si="6"/>
        <v>#ERROR!</v>
      </c>
      <c r="AH444" s="40" t="str">
        <f t="shared" si="7"/>
        <v/>
      </c>
      <c r="AI444" s="40" t="str">
        <f t="shared" si="8"/>
        <v/>
      </c>
      <c r="AJ444" s="40" t="str">
        <f>IF($K444="","",COUNTIF(Assignments!$B$6:$B$1000,$K444))</f>
        <v/>
      </c>
      <c r="AK444" s="40" t="str">
        <f>IF($K444="","",IF(AND($AJ444=0,$O444&lt;$N444),Config!$B$43,0))</f>
        <v/>
      </c>
      <c r="AL444" s="40" t="str">
        <f>IF($K444="","",IF(AND($M444="Elite",$G444&gt;=Config!$B$41,$O444&lt;$N444),Config!$B$42,0))</f>
        <v/>
      </c>
      <c r="AM444" s="22"/>
      <c r="AN444" s="39">
        <f>IFERROR(VLOOKUP(K444,Grinders!$A:$Q,28,FALSE),0)</f>
        <v>0</v>
      </c>
      <c r="AO444" s="39">
        <f>IF(Config!$B$1003&lt;&gt;"Y",0,IF(IFERROR(VLOOKUP(K444,Grinders!$A:$P,27,FALSE),0)&gt;=3,IF(OR(G444&gt;=Config!$B$1001,ISNUMBER(SEARCH(E444,Config!$B$1002))),1,0),0))</f>
        <v>0</v>
      </c>
      <c r="AP444" s="39">
        <f t="array" ref="AP444">IFERROR(IF(INDEX(Bids!$AE:$AE,MATCH(B444,Bids!$A:$A,0))="Pending",1,0),0)</f>
        <v>0</v>
      </c>
      <c r="AQ444" s="39" t="str">
        <f t="array" ref="AQ444">IF(C444="","",IFERROR(XLOOKUP(C444,Assignments!$C:$C,Assignments!$AU:$AU,0),0))</f>
        <v/>
      </c>
      <c r="AR444" s="39">
        <f>IF(AND(Config!$B$1006="Y",AQ444=1),Config!$B$1007,0)</f>
        <v>0</v>
      </c>
    </row>
    <row r="445" ht="15.75" customHeight="1">
      <c r="A445" s="46" t="str">
        <f t="shared" si="1"/>
        <v/>
      </c>
      <c r="B445" s="40" t="str">
        <f>IF(Bids!$A444="","",Bids!$A444)</f>
        <v/>
      </c>
      <c r="C445" s="40" t="str">
        <f>IF(Bids!$B444="","",Bids!$B444)</f>
        <v/>
      </c>
      <c r="D445" s="40" t="str">
        <f>IF($C445="","",IFERROR(VLOOKUP($C445,Orders!$A$4:$J$998,9,FALSE),""))</f>
        <v/>
      </c>
      <c r="E445" s="40" t="str">
        <f>IF($C445="","",IFERROR(VLOOKUP($C445,Orders!$A$4:$J$998,3,FALSE),""))</f>
        <v/>
      </c>
      <c r="F445" s="40">
        <f t="shared" si="2"/>
        <v>1</v>
      </c>
      <c r="G445" s="40" t="str">
        <f>IF($C445="","",IFERROR(VLOOKUP($C445,Orders!$A$4:$J$998,4,FALSE),""))</f>
        <v/>
      </c>
      <c r="H445" s="40" t="str">
        <f>IF($C445="","",IFERROR(VLOOKUP($C445,Orders!$A$4:$J$998,5,FALSE),""))</f>
        <v/>
      </c>
      <c r="I445" s="40" t="str">
        <f>IF($C445="","",IFERROR(VLOOKUP($C445,Orders!$A$4:$J$998,6,FALSE),""))</f>
        <v/>
      </c>
      <c r="J445" s="40" t="str">
        <f>IF($C445="","",IFERROR(VLOOKUP($C445,Orders!$A$4:$J$998,7,FALSE),""))</f>
        <v/>
      </c>
      <c r="K445" s="40" t="str">
        <f>IF(Bids!$C444="","",Bids!$C444)</f>
        <v/>
      </c>
      <c r="L445" s="40" t="str">
        <f>IF($K445="","",IFERROR(VLOOKUP($K445,Grinders!$A$4:$N$998,2,FALSE),""))</f>
        <v/>
      </c>
      <c r="M445" s="40" t="str">
        <f>IF($K445="","",IFERROR(VLOOKUP($K445,Grinders!$A$4:$N$998,3,FALSE),""))</f>
        <v/>
      </c>
      <c r="N445" s="40" t="str">
        <f>IF($K445="","",IFERROR(VLOOKUP($K445,Grinders!$A$4:$N$998,4,FALSE),""))</f>
        <v/>
      </c>
      <c r="O445" s="40" t="str">
        <f>IF($K445="","",IFERROR(VLOOKUP($K445,Grinders!$A$4:$N$998,5,FALSE),""))</f>
        <v/>
      </c>
      <c r="P445" s="40" t="str">
        <f>IF($K445="","",IF($C$4="",0,COUNTIFS(Assignments!$B$6:$B$1000,$K445,Assignments!$F$6:$F$1000,$C$4,Assignments!$E$6:$E$1000,"Active")))</f>
        <v/>
      </c>
      <c r="Q445" s="40" t="str">
        <f t="shared" si="3"/>
        <v/>
      </c>
      <c r="R445" s="40" t="str">
        <f t="shared" si="4"/>
        <v/>
      </c>
      <c r="S445" s="40" t="str">
        <f>IF($K445="","",IF($C$4="",0,COUNTIFS(Assignments!$B$6:$B$1000,$K445,Assignments!$F$6:$F$1000,$C$4,Assignments!$D$6:$D$1000,"&gt;="&amp;Config!$B$3-7,Assignments!$D$6:$D$1000,"&lt;="&amp;Config!$B$3)))</f>
        <v/>
      </c>
      <c r="T445" s="40" t="str">
        <f>IF($K445="","",IFERROR(VLOOKUP($K445,Grinders!$A$4:$N$998,8,FALSE),""))</f>
        <v/>
      </c>
      <c r="U445" s="40" t="str">
        <f>IFERROR(IF($K445="","",IF($M445="Elite",MAX(50,MIN(100,Config!$B$27*MAX(0,MIN(100,(1-IF($R445="",0,$R445))*100)) + Config!$B$28*MAX(0,MIN(100,(1-MIN(1,IF(Config!$B$30=0,1,$S445/Config!$B$30)))*100)) + Config!$B$29*MAX(0,MIN(100,MIN(1,IF($T445="",0,$T445)/Config!$B$23)*100)))),MIN(100,Config!$B$27*MAX(0,MIN(100,(1-IF($R445="",0,$R445))*100)) + Config!$B$28*MAX(0,MIN(100,(1-MIN(1,IF(Config!$B$30=0,1,$S445/Config!$B$30)))*100)) + Config!$B$29*MAX(0,MIN(100,MIN(1,IF($T445="",0,$T445)/Config!$B$23)*100))))),"")
</f>
        <v/>
      </c>
      <c r="V445" s="40" t="str">
        <f>IF(Bids!$AC445="","",Bids!$AC445)</f>
        <v/>
      </c>
      <c r="W445" s="40" t="str">
        <f>IF(Bids!$F444="","",Bids!$F444)</f>
        <v/>
      </c>
      <c r="X445" s="40" t="str">
        <f t="shared" si="5"/>
        <v/>
      </c>
      <c r="Y445" s="40" t="str">
        <f>IF($X445="","",IF(Config!$B$17=Config!$B$16,IF($X445&gt;=Config!$B$17,100,0),MAX(0,MIN(100,($X445-Config!$B$16)/(Config!$B$17-Config!$B$16)*100))))</f>
        <v/>
      </c>
      <c r="Z445" s="40">
        <f>IF($M445="Elite",Config!$B$21,0)</f>
        <v>0</v>
      </c>
      <c r="AA445" s="40" t="str">
        <f>IFERROR(IF(OR($W445="",$H445=""),"",IF($W445&gt;$H445,
  MAX(0, 60-(($W445-$H445)*24/Config!$B$19)*60),
  MIN(100, 60+(($H445-$W445)*24/Config!$B$20)*40)
)),"")
</f>
        <v/>
      </c>
      <c r="AB445" s="40" t="str">
        <f>IF($K445="","",IFERROR(VLOOKUP($K445,Grinders!$A$4:$N$998,10,FALSE)/5*100,""))</f>
        <v/>
      </c>
      <c r="AC445" s="40" t="str">
        <f>IF($K445="","",IFERROR(VLOOKUP($K445,Grinders!$A$4:$N$998,11,FALSE)*100,""))</f>
        <v/>
      </c>
      <c r="AD445" s="40" t="str">
        <f>IF($K445="","",IFERROR(VLOOKUP($K445,Grinders!$A$4:$N$998,12,FALSE)*100,""))</f>
        <v/>
      </c>
      <c r="AE445" s="40" t="str">
        <f>IF(OR(AO445=1,AP445=1),0,=IFERROR(IFS(
    OR($C445="", $K445=""), 0,
    $F445=0, 0,
    $D445&lt;&gt;"Open", 0,
    COUNTIFS(GrinderServices!$A$6:$A$1000, $K445, GrinderServices!$B$6:$B$1000, $E445, GrinderServices!$D$6:$D$1000, "Y")=0, 0,
    $X445&lt;Config!$B$16, 0,
    Config!$B$18=1, IF($O445&gt;=N445, 0, 1),
    TRUE, 1
), "")
)</f>
        <v>#ERROR!</v>
      </c>
      <c r="AF445" s="40" t="str">
        <f>IFERROR((IF(OR(AO445=1,AP445=1),"",=IFERROR((IFERROR(IF($AE445=0,"",((Config!$B$6*$Y445 + Config!$B$7*$U445 + Config!$B$8*$Z445 + Config!$B$9*$AA445 + Config!$B$10*$AB445 + Config!$B$11*$AC445 - Config!$B$12*$AD445)/Config!$B$13)+$AK445+$AL445),""))*(1-IFERROR(VLOOKUP(K445,Grinders!$A:$AB, 28, FALSE),0)),"")))*(1+AR445),"")</f>
        <v>#ERROR!</v>
      </c>
      <c r="AG445" s="40" t="str">
        <f t="shared" si="6"/>
        <v>#ERROR!</v>
      </c>
      <c r="AH445" s="40" t="str">
        <f t="shared" si="7"/>
        <v/>
      </c>
      <c r="AI445" s="40" t="str">
        <f t="shared" si="8"/>
        <v/>
      </c>
      <c r="AJ445" s="40" t="str">
        <f>IF($K445="","",COUNTIF(Assignments!$B$6:$B$1000,$K445))</f>
        <v/>
      </c>
      <c r="AK445" s="40" t="str">
        <f>IF($K445="","",IF(AND($AJ445=0,$O445&lt;$N445),Config!$B$43,0))</f>
        <v/>
      </c>
      <c r="AL445" s="40" t="str">
        <f>IF($K445="","",IF(AND($M445="Elite",$G445&gt;=Config!$B$41,$O445&lt;$N445),Config!$B$42,0))</f>
        <v/>
      </c>
      <c r="AM445" s="22"/>
      <c r="AN445" s="39">
        <f>IFERROR(VLOOKUP(K445,Grinders!$A:$Q,28,FALSE),0)</f>
        <v>0</v>
      </c>
      <c r="AO445" s="39">
        <f>IF(Config!$B$1003&lt;&gt;"Y",0,IF(IFERROR(VLOOKUP(K445,Grinders!$A:$P,27,FALSE),0)&gt;=3,IF(OR(G445&gt;=Config!$B$1001,ISNUMBER(SEARCH(E445,Config!$B$1002))),1,0),0))</f>
        <v>0</v>
      </c>
      <c r="AP445" s="39">
        <f t="array" ref="AP445">IFERROR(IF(INDEX(Bids!$AE:$AE,MATCH(B445,Bids!$A:$A,0))="Pending",1,0),0)</f>
        <v>0</v>
      </c>
      <c r="AQ445" s="39" t="str">
        <f t="array" ref="AQ445">IF(C445="","",IFERROR(XLOOKUP(C445,Assignments!$C:$C,Assignments!$AU:$AU,0),0))</f>
        <v/>
      </c>
      <c r="AR445" s="39">
        <f>IF(AND(Config!$B$1006="Y",AQ445=1),Config!$B$1007,0)</f>
        <v>0</v>
      </c>
    </row>
    <row r="446" ht="15.75" customHeight="1">
      <c r="A446" s="46" t="str">
        <f t="shared" si="1"/>
        <v/>
      </c>
      <c r="B446" s="40" t="str">
        <f>IF(Bids!$A445="","",Bids!$A445)</f>
        <v/>
      </c>
      <c r="C446" s="40" t="str">
        <f>IF(Bids!$B445="","",Bids!$B445)</f>
        <v/>
      </c>
      <c r="D446" s="40" t="str">
        <f>IF($C446="","",IFERROR(VLOOKUP($C446,Orders!$A$4:$J$998,9,FALSE),""))</f>
        <v/>
      </c>
      <c r="E446" s="40" t="str">
        <f>IF($C446="","",IFERROR(VLOOKUP($C446,Orders!$A$4:$J$998,3,FALSE),""))</f>
        <v/>
      </c>
      <c r="F446" s="40">
        <f t="shared" si="2"/>
        <v>1</v>
      </c>
      <c r="G446" s="40" t="str">
        <f>IF($C446="","",IFERROR(VLOOKUP($C446,Orders!$A$4:$J$998,4,FALSE),""))</f>
        <v/>
      </c>
      <c r="H446" s="40" t="str">
        <f>IF($C446="","",IFERROR(VLOOKUP($C446,Orders!$A$4:$J$998,5,FALSE),""))</f>
        <v/>
      </c>
      <c r="I446" s="40" t="str">
        <f>IF($C446="","",IFERROR(VLOOKUP($C446,Orders!$A$4:$J$998,6,FALSE),""))</f>
        <v/>
      </c>
      <c r="J446" s="40" t="str">
        <f>IF($C446="","",IFERROR(VLOOKUP($C446,Orders!$A$4:$J$998,7,FALSE),""))</f>
        <v/>
      </c>
      <c r="K446" s="40" t="str">
        <f>IF(Bids!$C445="","",Bids!$C445)</f>
        <v/>
      </c>
      <c r="L446" s="40" t="str">
        <f>IF($K446="","",IFERROR(VLOOKUP($K446,Grinders!$A$4:$N$998,2,FALSE),""))</f>
        <v/>
      </c>
      <c r="M446" s="40" t="str">
        <f>IF($K446="","",IFERROR(VLOOKUP($K446,Grinders!$A$4:$N$998,3,FALSE),""))</f>
        <v/>
      </c>
      <c r="N446" s="40" t="str">
        <f>IF($K446="","",IFERROR(VLOOKUP($K446,Grinders!$A$4:$N$998,4,FALSE),""))</f>
        <v/>
      </c>
      <c r="O446" s="40" t="str">
        <f>IF($K446="","",IFERROR(VLOOKUP($K446,Grinders!$A$4:$N$998,5,FALSE),""))</f>
        <v/>
      </c>
      <c r="P446" s="40" t="str">
        <f>IF($K446="","",IF($C$4="",0,COUNTIFS(Assignments!$B$6:$B$1000,$K446,Assignments!$F$6:$F$1000,$C$4,Assignments!$E$6:$E$1000,"Active")))</f>
        <v/>
      </c>
      <c r="Q446" s="40" t="str">
        <f t="shared" si="3"/>
        <v/>
      </c>
      <c r="R446" s="40" t="str">
        <f t="shared" si="4"/>
        <v/>
      </c>
      <c r="S446" s="40" t="str">
        <f>IF($K446="","",IF($C$4="",0,COUNTIFS(Assignments!$B$6:$B$1000,$K446,Assignments!$F$6:$F$1000,$C$4,Assignments!$D$6:$D$1000,"&gt;="&amp;Config!$B$3-7,Assignments!$D$6:$D$1000,"&lt;="&amp;Config!$B$3)))</f>
        <v/>
      </c>
      <c r="T446" s="40" t="str">
        <f>IF($K446="","",IFERROR(VLOOKUP($K446,Grinders!$A$4:$N$998,8,FALSE),""))</f>
        <v/>
      </c>
      <c r="U446" s="40" t="str">
        <f>IFERROR(IF($K446="","",IF($M446="Elite",MAX(50,MIN(100,Config!$B$27*MAX(0,MIN(100,(1-IF($R446="",0,$R446))*100)) + Config!$B$28*MAX(0,MIN(100,(1-MIN(1,IF(Config!$B$30=0,1,$S446/Config!$B$30)))*100)) + Config!$B$29*MAX(0,MIN(100,MIN(1,IF($T446="",0,$T446)/Config!$B$23)*100)))),MIN(100,Config!$B$27*MAX(0,MIN(100,(1-IF($R446="",0,$R446))*100)) + Config!$B$28*MAX(0,MIN(100,(1-MIN(1,IF(Config!$B$30=0,1,$S446/Config!$B$30)))*100)) + Config!$B$29*MAX(0,MIN(100,MIN(1,IF($T446="",0,$T446)/Config!$B$23)*100))))),"")
</f>
        <v/>
      </c>
      <c r="V446" s="40" t="str">
        <f>IF(Bids!$AC446="","",Bids!$AC446)</f>
        <v/>
      </c>
      <c r="W446" s="40" t="str">
        <f>IF(Bids!$F445="","",Bids!$F445)</f>
        <v/>
      </c>
      <c r="X446" s="40" t="str">
        <f t="shared" si="5"/>
        <v/>
      </c>
      <c r="Y446" s="40" t="str">
        <f>IF($X446="","",IF(Config!$B$17=Config!$B$16,IF($X446&gt;=Config!$B$17,100,0),MAX(0,MIN(100,($X446-Config!$B$16)/(Config!$B$17-Config!$B$16)*100))))</f>
        <v/>
      </c>
      <c r="Z446" s="40">
        <f>IF($M446="Elite",Config!$B$21,0)</f>
        <v>0</v>
      </c>
      <c r="AA446" s="40" t="str">
        <f>IFERROR(IF(OR($W446="",$H446=""),"",IF($W446&gt;$H446,
  MAX(0, 60-(($W446-$H446)*24/Config!$B$19)*60),
  MIN(100, 60+(($H446-$W446)*24/Config!$B$20)*40)
)),"")
</f>
        <v/>
      </c>
      <c r="AB446" s="40" t="str">
        <f>IF($K446="","",IFERROR(VLOOKUP($K446,Grinders!$A$4:$N$998,10,FALSE)/5*100,""))</f>
        <v/>
      </c>
      <c r="AC446" s="40" t="str">
        <f>IF($K446="","",IFERROR(VLOOKUP($K446,Grinders!$A$4:$N$998,11,FALSE)*100,""))</f>
        <v/>
      </c>
      <c r="AD446" s="40" t="str">
        <f>IF($K446="","",IFERROR(VLOOKUP($K446,Grinders!$A$4:$N$998,12,FALSE)*100,""))</f>
        <v/>
      </c>
      <c r="AE446" s="40" t="str">
        <f>IF(OR(AO446=1,AP446=1),0,=IFERROR(IFS(
    OR($C446="", $K446=""), 0,
    $F446=0, 0,
    $D446&lt;&gt;"Open", 0,
    COUNTIFS(GrinderServices!$A$6:$A$1000, $K446, GrinderServices!$B$6:$B$1000, $E446, GrinderServices!$D$6:$D$1000, "Y")=0, 0,
    $X446&lt;Config!$B$16, 0,
    Config!$B$18=1, IF($O446&gt;=N446, 0, 1),
    TRUE, 1
), "")
)</f>
        <v>#ERROR!</v>
      </c>
      <c r="AF446" s="40" t="str">
        <f>IFERROR((IF(OR(AO446=1,AP446=1),"",=IFERROR((IFERROR(IF($AE446=0,"",((Config!$B$6*$Y446 + Config!$B$7*$U446 + Config!$B$8*$Z446 + Config!$B$9*$AA446 + Config!$B$10*$AB446 + Config!$B$11*$AC446 - Config!$B$12*$AD446)/Config!$B$13)+$AK446+$AL446),""))*(1-IFERROR(VLOOKUP(K446,Grinders!$A:$AB, 28, FALSE),0)),"")))*(1+AR446),"")</f>
        <v>#ERROR!</v>
      </c>
      <c r="AG446" s="40" t="str">
        <f t="shared" si="6"/>
        <v>#ERROR!</v>
      </c>
      <c r="AH446" s="40" t="str">
        <f t="shared" si="7"/>
        <v/>
      </c>
      <c r="AI446" s="40" t="str">
        <f t="shared" si="8"/>
        <v/>
      </c>
      <c r="AJ446" s="40" t="str">
        <f>IF($K446="","",COUNTIF(Assignments!$B$6:$B$1000,$K446))</f>
        <v/>
      </c>
      <c r="AK446" s="40" t="str">
        <f>IF($K446="","",IF(AND($AJ446=0,$O446&lt;$N446),Config!$B$43,0))</f>
        <v/>
      </c>
      <c r="AL446" s="40" t="str">
        <f>IF($K446="","",IF(AND($M446="Elite",$G446&gt;=Config!$B$41,$O446&lt;$N446),Config!$B$42,0))</f>
        <v/>
      </c>
      <c r="AM446" s="22"/>
      <c r="AN446" s="39">
        <f>IFERROR(VLOOKUP(K446,Grinders!$A:$Q,28,FALSE),0)</f>
        <v>0</v>
      </c>
      <c r="AO446" s="39">
        <f>IF(Config!$B$1003&lt;&gt;"Y",0,IF(IFERROR(VLOOKUP(K446,Grinders!$A:$P,27,FALSE),0)&gt;=3,IF(OR(G446&gt;=Config!$B$1001,ISNUMBER(SEARCH(E446,Config!$B$1002))),1,0),0))</f>
        <v>0</v>
      </c>
      <c r="AP446" s="39">
        <f t="array" ref="AP446">IFERROR(IF(INDEX(Bids!$AE:$AE,MATCH(B446,Bids!$A:$A,0))="Pending",1,0),0)</f>
        <v>0</v>
      </c>
      <c r="AQ446" s="39" t="str">
        <f t="array" ref="AQ446">IF(C446="","",IFERROR(XLOOKUP(C446,Assignments!$C:$C,Assignments!$AU:$AU,0),0))</f>
        <v/>
      </c>
      <c r="AR446" s="39">
        <f>IF(AND(Config!$B$1006="Y",AQ446=1),Config!$B$1007,0)</f>
        <v>0</v>
      </c>
    </row>
    <row r="447" ht="15.75" customHeight="1">
      <c r="A447" s="46" t="str">
        <f t="shared" si="1"/>
        <v/>
      </c>
      <c r="B447" s="40" t="str">
        <f>IF(Bids!$A446="","",Bids!$A446)</f>
        <v/>
      </c>
      <c r="C447" s="40" t="str">
        <f>IF(Bids!$B446="","",Bids!$B446)</f>
        <v/>
      </c>
      <c r="D447" s="40" t="str">
        <f>IF($C447="","",IFERROR(VLOOKUP($C447,Orders!$A$4:$J$998,9,FALSE),""))</f>
        <v/>
      </c>
      <c r="E447" s="40" t="str">
        <f>IF($C447="","",IFERROR(VLOOKUP($C447,Orders!$A$4:$J$998,3,FALSE),""))</f>
        <v/>
      </c>
      <c r="F447" s="40">
        <f t="shared" si="2"/>
        <v>1</v>
      </c>
      <c r="G447" s="40" t="str">
        <f>IF($C447="","",IFERROR(VLOOKUP($C447,Orders!$A$4:$J$998,4,FALSE),""))</f>
        <v/>
      </c>
      <c r="H447" s="40" t="str">
        <f>IF($C447="","",IFERROR(VLOOKUP($C447,Orders!$A$4:$J$998,5,FALSE),""))</f>
        <v/>
      </c>
      <c r="I447" s="40" t="str">
        <f>IF($C447="","",IFERROR(VLOOKUP($C447,Orders!$A$4:$J$998,6,FALSE),""))</f>
        <v/>
      </c>
      <c r="J447" s="40" t="str">
        <f>IF($C447="","",IFERROR(VLOOKUP($C447,Orders!$A$4:$J$998,7,FALSE),""))</f>
        <v/>
      </c>
      <c r="K447" s="40" t="str">
        <f>IF(Bids!$C446="","",Bids!$C446)</f>
        <v/>
      </c>
      <c r="L447" s="40" t="str">
        <f>IF($K447="","",IFERROR(VLOOKUP($K447,Grinders!$A$4:$N$998,2,FALSE),""))</f>
        <v/>
      </c>
      <c r="M447" s="40" t="str">
        <f>IF($K447="","",IFERROR(VLOOKUP($K447,Grinders!$A$4:$N$998,3,FALSE),""))</f>
        <v/>
      </c>
      <c r="N447" s="40" t="str">
        <f>IF($K447="","",IFERROR(VLOOKUP($K447,Grinders!$A$4:$N$998,4,FALSE),""))</f>
        <v/>
      </c>
      <c r="O447" s="40" t="str">
        <f>IF($K447="","",IFERROR(VLOOKUP($K447,Grinders!$A$4:$N$998,5,FALSE),""))</f>
        <v/>
      </c>
      <c r="P447" s="40" t="str">
        <f>IF($K447="","",IF($C$4="",0,COUNTIFS(Assignments!$B$6:$B$1000,$K447,Assignments!$F$6:$F$1000,$C$4,Assignments!$E$6:$E$1000,"Active")))</f>
        <v/>
      </c>
      <c r="Q447" s="40" t="str">
        <f t="shared" si="3"/>
        <v/>
      </c>
      <c r="R447" s="40" t="str">
        <f t="shared" si="4"/>
        <v/>
      </c>
      <c r="S447" s="40" t="str">
        <f>IF($K447="","",IF($C$4="",0,COUNTIFS(Assignments!$B$6:$B$1000,$K447,Assignments!$F$6:$F$1000,$C$4,Assignments!$D$6:$D$1000,"&gt;="&amp;Config!$B$3-7,Assignments!$D$6:$D$1000,"&lt;="&amp;Config!$B$3)))</f>
        <v/>
      </c>
      <c r="T447" s="40" t="str">
        <f>IF($K447="","",IFERROR(VLOOKUP($K447,Grinders!$A$4:$N$998,8,FALSE),""))</f>
        <v/>
      </c>
      <c r="U447" s="40" t="str">
        <f>IFERROR(IF($K447="","",IF($M447="Elite",MAX(50,MIN(100,Config!$B$27*MAX(0,MIN(100,(1-IF($R447="",0,$R447))*100)) + Config!$B$28*MAX(0,MIN(100,(1-MIN(1,IF(Config!$B$30=0,1,$S447/Config!$B$30)))*100)) + Config!$B$29*MAX(0,MIN(100,MIN(1,IF($T447="",0,$T447)/Config!$B$23)*100)))),MIN(100,Config!$B$27*MAX(0,MIN(100,(1-IF($R447="",0,$R447))*100)) + Config!$B$28*MAX(0,MIN(100,(1-MIN(1,IF(Config!$B$30=0,1,$S447/Config!$B$30)))*100)) + Config!$B$29*MAX(0,MIN(100,MIN(1,IF($T447="",0,$T447)/Config!$B$23)*100))))),"")
</f>
        <v/>
      </c>
      <c r="V447" s="40" t="str">
        <f>IF(Bids!$AC447="","",Bids!$AC447)</f>
        <v/>
      </c>
      <c r="W447" s="40" t="str">
        <f>IF(Bids!$F446="","",Bids!$F446)</f>
        <v/>
      </c>
      <c r="X447" s="40" t="str">
        <f t="shared" si="5"/>
        <v/>
      </c>
      <c r="Y447" s="40" t="str">
        <f>IF($X447="","",IF(Config!$B$17=Config!$B$16,IF($X447&gt;=Config!$B$17,100,0),MAX(0,MIN(100,($X447-Config!$B$16)/(Config!$B$17-Config!$B$16)*100))))</f>
        <v/>
      </c>
      <c r="Z447" s="40">
        <f>IF($M447="Elite",Config!$B$21,0)</f>
        <v>0</v>
      </c>
      <c r="AA447" s="40" t="str">
        <f>IFERROR(IF(OR($W447="",$H447=""),"",IF($W447&gt;$H447,
  MAX(0, 60-(($W447-$H447)*24/Config!$B$19)*60),
  MIN(100, 60+(($H447-$W447)*24/Config!$B$20)*40)
)),"")
</f>
        <v/>
      </c>
      <c r="AB447" s="40" t="str">
        <f>IF($K447="","",IFERROR(VLOOKUP($K447,Grinders!$A$4:$N$998,10,FALSE)/5*100,""))</f>
        <v/>
      </c>
      <c r="AC447" s="40" t="str">
        <f>IF($K447="","",IFERROR(VLOOKUP($K447,Grinders!$A$4:$N$998,11,FALSE)*100,""))</f>
        <v/>
      </c>
      <c r="AD447" s="40" t="str">
        <f>IF($K447="","",IFERROR(VLOOKUP($K447,Grinders!$A$4:$N$998,12,FALSE)*100,""))</f>
        <v/>
      </c>
      <c r="AE447" s="40" t="str">
        <f>IF(OR(AO447=1,AP447=1),0,=IFERROR(IFS(
    OR($C447="", $K447=""), 0,
    $F447=0, 0,
    $D447&lt;&gt;"Open", 0,
    COUNTIFS(GrinderServices!$A$6:$A$1000, $K447, GrinderServices!$B$6:$B$1000, $E447, GrinderServices!$D$6:$D$1000, "Y")=0, 0,
    $X447&lt;Config!$B$16, 0,
    Config!$B$18=1, IF($O447&gt;=N447, 0, 1),
    TRUE, 1
), "")
)</f>
        <v>#ERROR!</v>
      </c>
      <c r="AF447" s="40" t="str">
        <f>IFERROR((IF(OR(AO447=1,AP447=1),"",=IFERROR((IFERROR(IF($AE447=0,"",((Config!$B$6*$Y447 + Config!$B$7*$U447 + Config!$B$8*$Z447 + Config!$B$9*$AA447 + Config!$B$10*$AB447 + Config!$B$11*$AC447 - Config!$B$12*$AD447)/Config!$B$13)+$AK447+$AL447),""))*(1-IFERROR(VLOOKUP(K447,Grinders!$A:$AB, 28, FALSE),0)),"")))*(1+AR447),"")</f>
        <v>#ERROR!</v>
      </c>
      <c r="AG447" s="40" t="str">
        <f t="shared" si="6"/>
        <v>#ERROR!</v>
      </c>
      <c r="AH447" s="40" t="str">
        <f t="shared" si="7"/>
        <v/>
      </c>
      <c r="AI447" s="40" t="str">
        <f t="shared" si="8"/>
        <v/>
      </c>
      <c r="AJ447" s="40" t="str">
        <f>IF($K447="","",COUNTIF(Assignments!$B$6:$B$1000,$K447))</f>
        <v/>
      </c>
      <c r="AK447" s="40" t="str">
        <f>IF($K447="","",IF(AND($AJ447=0,$O447&lt;$N447),Config!$B$43,0))</f>
        <v/>
      </c>
      <c r="AL447" s="40" t="str">
        <f>IF($K447="","",IF(AND($M447="Elite",$G447&gt;=Config!$B$41,$O447&lt;$N447),Config!$B$42,0))</f>
        <v/>
      </c>
      <c r="AM447" s="22"/>
      <c r="AN447" s="39">
        <f>IFERROR(VLOOKUP(K447,Grinders!$A:$Q,28,FALSE),0)</f>
        <v>0</v>
      </c>
      <c r="AO447" s="39">
        <f>IF(Config!$B$1003&lt;&gt;"Y",0,IF(IFERROR(VLOOKUP(K447,Grinders!$A:$P,27,FALSE),0)&gt;=3,IF(OR(G447&gt;=Config!$B$1001,ISNUMBER(SEARCH(E447,Config!$B$1002))),1,0),0))</f>
        <v>0</v>
      </c>
      <c r="AP447" s="39">
        <f t="array" ref="AP447">IFERROR(IF(INDEX(Bids!$AE:$AE,MATCH(B447,Bids!$A:$A,0))="Pending",1,0),0)</f>
        <v>0</v>
      </c>
      <c r="AQ447" s="39" t="str">
        <f t="array" ref="AQ447">IF(C447="","",IFERROR(XLOOKUP(C447,Assignments!$C:$C,Assignments!$AU:$AU,0),0))</f>
        <v/>
      </c>
      <c r="AR447" s="39">
        <f>IF(AND(Config!$B$1006="Y",AQ447=1),Config!$B$1007,0)</f>
        <v>0</v>
      </c>
    </row>
    <row r="448" ht="15.75" customHeight="1">
      <c r="A448" s="46" t="str">
        <f t="shared" si="1"/>
        <v/>
      </c>
      <c r="B448" s="40" t="str">
        <f>IF(Bids!$A447="","",Bids!$A447)</f>
        <v/>
      </c>
      <c r="C448" s="40" t="str">
        <f>IF(Bids!$B447="","",Bids!$B447)</f>
        <v/>
      </c>
      <c r="D448" s="40" t="str">
        <f>IF($C448="","",IFERROR(VLOOKUP($C448,Orders!$A$4:$J$998,9,FALSE),""))</f>
        <v/>
      </c>
      <c r="E448" s="40" t="str">
        <f>IF($C448="","",IFERROR(VLOOKUP($C448,Orders!$A$4:$J$998,3,FALSE),""))</f>
        <v/>
      </c>
      <c r="F448" s="40">
        <f t="shared" si="2"/>
        <v>1</v>
      </c>
      <c r="G448" s="40" t="str">
        <f>IF($C448="","",IFERROR(VLOOKUP($C448,Orders!$A$4:$J$998,4,FALSE),""))</f>
        <v/>
      </c>
      <c r="H448" s="40" t="str">
        <f>IF($C448="","",IFERROR(VLOOKUP($C448,Orders!$A$4:$J$998,5,FALSE),""))</f>
        <v/>
      </c>
      <c r="I448" s="40" t="str">
        <f>IF($C448="","",IFERROR(VLOOKUP($C448,Orders!$A$4:$J$998,6,FALSE),""))</f>
        <v/>
      </c>
      <c r="J448" s="40" t="str">
        <f>IF($C448="","",IFERROR(VLOOKUP($C448,Orders!$A$4:$J$998,7,FALSE),""))</f>
        <v/>
      </c>
      <c r="K448" s="40" t="str">
        <f>IF(Bids!$C447="","",Bids!$C447)</f>
        <v/>
      </c>
      <c r="L448" s="40" t="str">
        <f>IF($K448="","",IFERROR(VLOOKUP($K448,Grinders!$A$4:$N$998,2,FALSE),""))</f>
        <v/>
      </c>
      <c r="M448" s="40" t="str">
        <f>IF($K448="","",IFERROR(VLOOKUP($K448,Grinders!$A$4:$N$998,3,FALSE),""))</f>
        <v/>
      </c>
      <c r="N448" s="40" t="str">
        <f>IF($K448="","",IFERROR(VLOOKUP($K448,Grinders!$A$4:$N$998,4,FALSE),""))</f>
        <v/>
      </c>
      <c r="O448" s="40" t="str">
        <f>IF($K448="","",IFERROR(VLOOKUP($K448,Grinders!$A$4:$N$998,5,FALSE),""))</f>
        <v/>
      </c>
      <c r="P448" s="40" t="str">
        <f>IF($K448="","",IF($C$4="",0,COUNTIFS(Assignments!$B$6:$B$1000,$K448,Assignments!$F$6:$F$1000,$C$4,Assignments!$E$6:$E$1000,"Active")))</f>
        <v/>
      </c>
      <c r="Q448" s="40" t="str">
        <f t="shared" si="3"/>
        <v/>
      </c>
      <c r="R448" s="40" t="str">
        <f t="shared" si="4"/>
        <v/>
      </c>
      <c r="S448" s="40" t="str">
        <f>IF($K448="","",IF($C$4="",0,COUNTIFS(Assignments!$B$6:$B$1000,$K448,Assignments!$F$6:$F$1000,$C$4,Assignments!$D$6:$D$1000,"&gt;="&amp;Config!$B$3-7,Assignments!$D$6:$D$1000,"&lt;="&amp;Config!$B$3)))</f>
        <v/>
      </c>
      <c r="T448" s="40" t="str">
        <f>IF($K448="","",IFERROR(VLOOKUP($K448,Grinders!$A$4:$N$998,8,FALSE),""))</f>
        <v/>
      </c>
      <c r="U448" s="40" t="str">
        <f>IFERROR(IF($K448="","",IF($M448="Elite",MAX(50,MIN(100,Config!$B$27*MAX(0,MIN(100,(1-IF($R448="",0,$R448))*100)) + Config!$B$28*MAX(0,MIN(100,(1-MIN(1,IF(Config!$B$30=0,1,$S448/Config!$B$30)))*100)) + Config!$B$29*MAX(0,MIN(100,MIN(1,IF($T448="",0,$T448)/Config!$B$23)*100)))),MIN(100,Config!$B$27*MAX(0,MIN(100,(1-IF($R448="",0,$R448))*100)) + Config!$B$28*MAX(0,MIN(100,(1-MIN(1,IF(Config!$B$30=0,1,$S448/Config!$B$30)))*100)) + Config!$B$29*MAX(0,MIN(100,MIN(1,IF($T448="",0,$T448)/Config!$B$23)*100))))),"")
</f>
        <v/>
      </c>
      <c r="V448" s="40" t="str">
        <f>IF(Bids!$AC448="","",Bids!$AC448)</f>
        <v/>
      </c>
      <c r="W448" s="40" t="str">
        <f>IF(Bids!$F447="","",Bids!$F447)</f>
        <v/>
      </c>
      <c r="X448" s="40" t="str">
        <f t="shared" si="5"/>
        <v/>
      </c>
      <c r="Y448" s="40" t="str">
        <f>IF($X448="","",IF(Config!$B$17=Config!$B$16,IF($X448&gt;=Config!$B$17,100,0),MAX(0,MIN(100,($X448-Config!$B$16)/(Config!$B$17-Config!$B$16)*100))))</f>
        <v/>
      </c>
      <c r="Z448" s="40">
        <f>IF($M448="Elite",Config!$B$21,0)</f>
        <v>0</v>
      </c>
      <c r="AA448" s="40" t="str">
        <f>IFERROR(IF(OR($W448="",$H448=""),"",IF($W448&gt;$H448,
  MAX(0, 60-(($W448-$H448)*24/Config!$B$19)*60),
  MIN(100, 60+(($H448-$W448)*24/Config!$B$20)*40)
)),"")
</f>
        <v/>
      </c>
      <c r="AB448" s="40" t="str">
        <f>IF($K448="","",IFERROR(VLOOKUP($K448,Grinders!$A$4:$N$998,10,FALSE)/5*100,""))</f>
        <v/>
      </c>
      <c r="AC448" s="40" t="str">
        <f>IF($K448="","",IFERROR(VLOOKUP($K448,Grinders!$A$4:$N$998,11,FALSE)*100,""))</f>
        <v/>
      </c>
      <c r="AD448" s="40" t="str">
        <f>IF($K448="","",IFERROR(VLOOKUP($K448,Grinders!$A$4:$N$998,12,FALSE)*100,""))</f>
        <v/>
      </c>
      <c r="AE448" s="40" t="str">
        <f>IF(OR(AO448=1,AP448=1),0,=IFERROR(IFS(
    OR($C448="", $K448=""), 0,
    $F448=0, 0,
    $D448&lt;&gt;"Open", 0,
    COUNTIFS(GrinderServices!$A$6:$A$1000, $K448, GrinderServices!$B$6:$B$1000, $E448, GrinderServices!$D$6:$D$1000, "Y")=0, 0,
    $X448&lt;Config!$B$16, 0,
    Config!$B$18=1, IF($O448&gt;=N448, 0, 1),
    TRUE, 1
), "")
)</f>
        <v>#ERROR!</v>
      </c>
      <c r="AF448" s="40" t="str">
        <f>IFERROR((IF(OR(AO448=1,AP448=1),"",=IFERROR((IFERROR(IF($AE448=0,"",((Config!$B$6*$Y448 + Config!$B$7*$U448 + Config!$B$8*$Z448 + Config!$B$9*$AA448 + Config!$B$10*$AB448 + Config!$B$11*$AC448 - Config!$B$12*$AD448)/Config!$B$13)+$AK448+$AL448),""))*(1-IFERROR(VLOOKUP(K448,Grinders!$A:$AB, 28, FALSE),0)),"")))*(1+AR448),"")</f>
        <v>#ERROR!</v>
      </c>
      <c r="AG448" s="40" t="str">
        <f t="shared" si="6"/>
        <v>#ERROR!</v>
      </c>
      <c r="AH448" s="40" t="str">
        <f t="shared" si="7"/>
        <v/>
      </c>
      <c r="AI448" s="40" t="str">
        <f t="shared" si="8"/>
        <v/>
      </c>
      <c r="AJ448" s="40" t="str">
        <f>IF($K448="","",COUNTIF(Assignments!$B$6:$B$1000,$K448))</f>
        <v/>
      </c>
      <c r="AK448" s="40" t="str">
        <f>IF($K448="","",IF(AND($AJ448=0,$O448&lt;$N448),Config!$B$43,0))</f>
        <v/>
      </c>
      <c r="AL448" s="40" t="str">
        <f>IF($K448="","",IF(AND($M448="Elite",$G448&gt;=Config!$B$41,$O448&lt;$N448),Config!$B$42,0))</f>
        <v/>
      </c>
      <c r="AM448" s="22"/>
      <c r="AN448" s="39">
        <f>IFERROR(VLOOKUP(K448,Grinders!$A:$Q,28,FALSE),0)</f>
        <v>0</v>
      </c>
      <c r="AO448" s="39">
        <f>IF(Config!$B$1003&lt;&gt;"Y",0,IF(IFERROR(VLOOKUP(K448,Grinders!$A:$P,27,FALSE),0)&gt;=3,IF(OR(G448&gt;=Config!$B$1001,ISNUMBER(SEARCH(E448,Config!$B$1002))),1,0),0))</f>
        <v>0</v>
      </c>
      <c r="AP448" s="39">
        <f t="array" ref="AP448">IFERROR(IF(INDEX(Bids!$AE:$AE,MATCH(B448,Bids!$A:$A,0))="Pending",1,0),0)</f>
        <v>0</v>
      </c>
      <c r="AQ448" s="39" t="str">
        <f t="array" ref="AQ448">IF(C448="","",IFERROR(XLOOKUP(C448,Assignments!$C:$C,Assignments!$AU:$AU,0),0))</f>
        <v/>
      </c>
      <c r="AR448" s="39">
        <f>IF(AND(Config!$B$1006="Y",AQ448=1),Config!$B$1007,0)</f>
        <v>0</v>
      </c>
    </row>
    <row r="449" ht="15.75" customHeight="1">
      <c r="A449" s="46" t="str">
        <f t="shared" si="1"/>
        <v/>
      </c>
      <c r="B449" s="40" t="str">
        <f>IF(Bids!$A448="","",Bids!$A448)</f>
        <v/>
      </c>
      <c r="C449" s="40" t="str">
        <f>IF(Bids!$B448="","",Bids!$B448)</f>
        <v/>
      </c>
      <c r="D449" s="40" t="str">
        <f>IF($C449="","",IFERROR(VLOOKUP($C449,Orders!$A$4:$J$998,9,FALSE),""))</f>
        <v/>
      </c>
      <c r="E449" s="40" t="str">
        <f>IF($C449="","",IFERROR(VLOOKUP($C449,Orders!$A$4:$J$998,3,FALSE),""))</f>
        <v/>
      </c>
      <c r="F449" s="40">
        <f t="shared" si="2"/>
        <v>1</v>
      </c>
      <c r="G449" s="40" t="str">
        <f>IF($C449="","",IFERROR(VLOOKUP($C449,Orders!$A$4:$J$998,4,FALSE),""))</f>
        <v/>
      </c>
      <c r="H449" s="40" t="str">
        <f>IF($C449="","",IFERROR(VLOOKUP($C449,Orders!$A$4:$J$998,5,FALSE),""))</f>
        <v/>
      </c>
      <c r="I449" s="40" t="str">
        <f>IF($C449="","",IFERROR(VLOOKUP($C449,Orders!$A$4:$J$998,6,FALSE),""))</f>
        <v/>
      </c>
      <c r="J449" s="40" t="str">
        <f>IF($C449="","",IFERROR(VLOOKUP($C449,Orders!$A$4:$J$998,7,FALSE),""))</f>
        <v/>
      </c>
      <c r="K449" s="40" t="str">
        <f>IF(Bids!$C448="","",Bids!$C448)</f>
        <v/>
      </c>
      <c r="L449" s="40" t="str">
        <f>IF($K449="","",IFERROR(VLOOKUP($K449,Grinders!$A$4:$N$998,2,FALSE),""))</f>
        <v/>
      </c>
      <c r="M449" s="40" t="str">
        <f>IF($K449="","",IFERROR(VLOOKUP($K449,Grinders!$A$4:$N$998,3,FALSE),""))</f>
        <v/>
      </c>
      <c r="N449" s="40" t="str">
        <f>IF($K449="","",IFERROR(VLOOKUP($K449,Grinders!$A$4:$N$998,4,FALSE),""))</f>
        <v/>
      </c>
      <c r="O449" s="40" t="str">
        <f>IF($K449="","",IFERROR(VLOOKUP($K449,Grinders!$A$4:$N$998,5,FALSE),""))</f>
        <v/>
      </c>
      <c r="P449" s="40" t="str">
        <f>IF($K449="","",IF($C$4="",0,COUNTIFS(Assignments!$B$6:$B$1000,$K449,Assignments!$F$6:$F$1000,$C$4,Assignments!$E$6:$E$1000,"Active")))</f>
        <v/>
      </c>
      <c r="Q449" s="40" t="str">
        <f t="shared" si="3"/>
        <v/>
      </c>
      <c r="R449" s="40" t="str">
        <f t="shared" si="4"/>
        <v/>
      </c>
      <c r="S449" s="40" t="str">
        <f>IF($K449="","",IF($C$4="",0,COUNTIFS(Assignments!$B$6:$B$1000,$K449,Assignments!$F$6:$F$1000,$C$4,Assignments!$D$6:$D$1000,"&gt;="&amp;Config!$B$3-7,Assignments!$D$6:$D$1000,"&lt;="&amp;Config!$B$3)))</f>
        <v/>
      </c>
      <c r="T449" s="40" t="str">
        <f>IF($K449="","",IFERROR(VLOOKUP($K449,Grinders!$A$4:$N$998,8,FALSE),""))</f>
        <v/>
      </c>
      <c r="U449" s="40" t="str">
        <f>IFERROR(IF($K449="","",IF($M449="Elite",MAX(50,MIN(100,Config!$B$27*MAX(0,MIN(100,(1-IF($R449="",0,$R449))*100)) + Config!$B$28*MAX(0,MIN(100,(1-MIN(1,IF(Config!$B$30=0,1,$S449/Config!$B$30)))*100)) + Config!$B$29*MAX(0,MIN(100,MIN(1,IF($T449="",0,$T449)/Config!$B$23)*100)))),MIN(100,Config!$B$27*MAX(0,MIN(100,(1-IF($R449="",0,$R449))*100)) + Config!$B$28*MAX(0,MIN(100,(1-MIN(1,IF(Config!$B$30=0,1,$S449/Config!$B$30)))*100)) + Config!$B$29*MAX(0,MIN(100,MIN(1,IF($T449="",0,$T449)/Config!$B$23)*100))))),"")
</f>
        <v/>
      </c>
      <c r="V449" s="40" t="str">
        <f>IF(Bids!$AC449="","",Bids!$AC449)</f>
        <v/>
      </c>
      <c r="W449" s="40" t="str">
        <f>IF(Bids!$F448="","",Bids!$F448)</f>
        <v/>
      </c>
      <c r="X449" s="40" t="str">
        <f t="shared" si="5"/>
        <v/>
      </c>
      <c r="Y449" s="40" t="str">
        <f>IF($X449="","",IF(Config!$B$17=Config!$B$16,IF($X449&gt;=Config!$B$17,100,0),MAX(0,MIN(100,($X449-Config!$B$16)/(Config!$B$17-Config!$B$16)*100))))</f>
        <v/>
      </c>
      <c r="Z449" s="40">
        <f>IF($M449="Elite",Config!$B$21,0)</f>
        <v>0</v>
      </c>
      <c r="AA449" s="40" t="str">
        <f>IFERROR(IF(OR($W449="",$H449=""),"",IF($W449&gt;$H449,
  MAX(0, 60-(($W449-$H449)*24/Config!$B$19)*60),
  MIN(100, 60+(($H449-$W449)*24/Config!$B$20)*40)
)),"")
</f>
        <v/>
      </c>
      <c r="AB449" s="40" t="str">
        <f>IF($K449="","",IFERROR(VLOOKUP($K449,Grinders!$A$4:$N$998,10,FALSE)/5*100,""))</f>
        <v/>
      </c>
      <c r="AC449" s="40" t="str">
        <f>IF($K449="","",IFERROR(VLOOKUP($K449,Grinders!$A$4:$N$998,11,FALSE)*100,""))</f>
        <v/>
      </c>
      <c r="AD449" s="40" t="str">
        <f>IF($K449="","",IFERROR(VLOOKUP($K449,Grinders!$A$4:$N$998,12,FALSE)*100,""))</f>
        <v/>
      </c>
      <c r="AE449" s="40" t="str">
        <f>IF(OR(AO449=1,AP449=1),0,=IFERROR(IFS(
    OR($C449="", $K449=""), 0,
    $F449=0, 0,
    $D449&lt;&gt;"Open", 0,
    COUNTIFS(GrinderServices!$A$6:$A$1000, $K449, GrinderServices!$B$6:$B$1000, $E449, GrinderServices!$D$6:$D$1000, "Y")=0, 0,
    $X449&lt;Config!$B$16, 0,
    Config!$B$18=1, IF($O449&gt;=N449, 0, 1),
    TRUE, 1
), "")
)</f>
        <v>#ERROR!</v>
      </c>
      <c r="AF449" s="40" t="str">
        <f>IFERROR((IF(OR(AO449=1,AP449=1),"",=IFERROR((IFERROR(IF($AE449=0,"",((Config!$B$6*$Y449 + Config!$B$7*$U449 + Config!$B$8*$Z449 + Config!$B$9*$AA449 + Config!$B$10*$AB449 + Config!$B$11*$AC449 - Config!$B$12*$AD449)/Config!$B$13)+$AK449+$AL449),""))*(1-IFERROR(VLOOKUP(K449,Grinders!$A:$AB, 28, FALSE),0)),"")))*(1+AR449),"")</f>
        <v>#ERROR!</v>
      </c>
      <c r="AG449" s="40" t="str">
        <f t="shared" si="6"/>
        <v>#ERROR!</v>
      </c>
      <c r="AH449" s="40" t="str">
        <f t="shared" si="7"/>
        <v/>
      </c>
      <c r="AI449" s="40" t="str">
        <f t="shared" si="8"/>
        <v/>
      </c>
      <c r="AJ449" s="40" t="str">
        <f>IF($K449="","",COUNTIF(Assignments!$B$6:$B$1000,$K449))</f>
        <v/>
      </c>
      <c r="AK449" s="40" t="str">
        <f>IF($K449="","",IF(AND($AJ449=0,$O449&lt;$N449),Config!$B$43,0))</f>
        <v/>
      </c>
      <c r="AL449" s="40" t="str">
        <f>IF($K449="","",IF(AND($M449="Elite",$G449&gt;=Config!$B$41,$O449&lt;$N449),Config!$B$42,0))</f>
        <v/>
      </c>
      <c r="AM449" s="22"/>
      <c r="AN449" s="39">
        <f>IFERROR(VLOOKUP(K449,Grinders!$A:$Q,28,FALSE),0)</f>
        <v>0</v>
      </c>
      <c r="AO449" s="39">
        <f>IF(Config!$B$1003&lt;&gt;"Y",0,IF(IFERROR(VLOOKUP(K449,Grinders!$A:$P,27,FALSE),0)&gt;=3,IF(OR(G449&gt;=Config!$B$1001,ISNUMBER(SEARCH(E449,Config!$B$1002))),1,0),0))</f>
        <v>0</v>
      </c>
      <c r="AP449" s="39">
        <f t="array" ref="AP449">IFERROR(IF(INDEX(Bids!$AE:$AE,MATCH(B449,Bids!$A:$A,0))="Pending",1,0),0)</f>
        <v>0</v>
      </c>
      <c r="AQ449" s="39" t="str">
        <f t="array" ref="AQ449">IF(C449="","",IFERROR(XLOOKUP(C449,Assignments!$C:$C,Assignments!$AU:$AU,0),0))</f>
        <v/>
      </c>
      <c r="AR449" s="39">
        <f>IF(AND(Config!$B$1006="Y",AQ449=1),Config!$B$1007,0)</f>
        <v>0</v>
      </c>
    </row>
    <row r="450" ht="15.75" customHeight="1">
      <c r="A450" s="46" t="str">
        <f t="shared" si="1"/>
        <v/>
      </c>
      <c r="B450" s="40" t="str">
        <f>IF(Bids!$A449="","",Bids!$A449)</f>
        <v/>
      </c>
      <c r="C450" s="40" t="str">
        <f>IF(Bids!$B449="","",Bids!$B449)</f>
        <v/>
      </c>
      <c r="D450" s="40" t="str">
        <f>IF($C450="","",IFERROR(VLOOKUP($C450,Orders!$A$4:$J$998,9,FALSE),""))</f>
        <v/>
      </c>
      <c r="E450" s="40" t="str">
        <f>IF($C450="","",IFERROR(VLOOKUP($C450,Orders!$A$4:$J$998,3,FALSE),""))</f>
        <v/>
      </c>
      <c r="F450" s="40">
        <f t="shared" si="2"/>
        <v>1</v>
      </c>
      <c r="G450" s="40" t="str">
        <f>IF($C450="","",IFERROR(VLOOKUP($C450,Orders!$A$4:$J$998,4,FALSE),""))</f>
        <v/>
      </c>
      <c r="H450" s="40" t="str">
        <f>IF($C450="","",IFERROR(VLOOKUP($C450,Orders!$A$4:$J$998,5,FALSE),""))</f>
        <v/>
      </c>
      <c r="I450" s="40" t="str">
        <f>IF($C450="","",IFERROR(VLOOKUP($C450,Orders!$A$4:$J$998,6,FALSE),""))</f>
        <v/>
      </c>
      <c r="J450" s="40" t="str">
        <f>IF($C450="","",IFERROR(VLOOKUP($C450,Orders!$A$4:$J$998,7,FALSE),""))</f>
        <v/>
      </c>
      <c r="K450" s="40" t="str">
        <f>IF(Bids!$C449="","",Bids!$C449)</f>
        <v/>
      </c>
      <c r="L450" s="40" t="str">
        <f>IF($K450="","",IFERROR(VLOOKUP($K450,Grinders!$A$4:$N$998,2,FALSE),""))</f>
        <v/>
      </c>
      <c r="M450" s="40" t="str">
        <f>IF($K450="","",IFERROR(VLOOKUP($K450,Grinders!$A$4:$N$998,3,FALSE),""))</f>
        <v/>
      </c>
      <c r="N450" s="40" t="str">
        <f>IF($K450="","",IFERROR(VLOOKUP($K450,Grinders!$A$4:$N$998,4,FALSE),""))</f>
        <v/>
      </c>
      <c r="O450" s="40" t="str">
        <f>IF($K450="","",IFERROR(VLOOKUP($K450,Grinders!$A$4:$N$998,5,FALSE),""))</f>
        <v/>
      </c>
      <c r="P450" s="40" t="str">
        <f>IF($K450="","",IF($C$4="",0,COUNTIFS(Assignments!$B$6:$B$1000,$K450,Assignments!$F$6:$F$1000,$C$4,Assignments!$E$6:$E$1000,"Active")))</f>
        <v/>
      </c>
      <c r="Q450" s="40" t="str">
        <f t="shared" si="3"/>
        <v/>
      </c>
      <c r="R450" s="40" t="str">
        <f t="shared" si="4"/>
        <v/>
      </c>
      <c r="S450" s="40" t="str">
        <f>IF($K450="","",IF($C$4="",0,COUNTIFS(Assignments!$B$6:$B$1000,$K450,Assignments!$F$6:$F$1000,$C$4,Assignments!$D$6:$D$1000,"&gt;="&amp;Config!$B$3-7,Assignments!$D$6:$D$1000,"&lt;="&amp;Config!$B$3)))</f>
        <v/>
      </c>
      <c r="T450" s="40" t="str">
        <f>IF($K450="","",IFERROR(VLOOKUP($K450,Grinders!$A$4:$N$998,8,FALSE),""))</f>
        <v/>
      </c>
      <c r="U450" s="40" t="str">
        <f>IFERROR(IF($K450="","",IF($M450="Elite",MAX(50,MIN(100,Config!$B$27*MAX(0,MIN(100,(1-IF($R450="",0,$R450))*100)) + Config!$B$28*MAX(0,MIN(100,(1-MIN(1,IF(Config!$B$30=0,1,$S450/Config!$B$30)))*100)) + Config!$B$29*MAX(0,MIN(100,MIN(1,IF($T450="",0,$T450)/Config!$B$23)*100)))),MIN(100,Config!$B$27*MAX(0,MIN(100,(1-IF($R450="",0,$R450))*100)) + Config!$B$28*MAX(0,MIN(100,(1-MIN(1,IF(Config!$B$30=0,1,$S450/Config!$B$30)))*100)) + Config!$B$29*MAX(0,MIN(100,MIN(1,IF($T450="",0,$T450)/Config!$B$23)*100))))),"")
</f>
        <v/>
      </c>
      <c r="V450" s="40" t="str">
        <f>IF(Bids!$AC450="","",Bids!$AC450)</f>
        <v/>
      </c>
      <c r="W450" s="40" t="str">
        <f>IF(Bids!$F449="","",Bids!$F449)</f>
        <v/>
      </c>
      <c r="X450" s="40" t="str">
        <f t="shared" si="5"/>
        <v/>
      </c>
      <c r="Y450" s="40" t="str">
        <f>IF($X450="","",IF(Config!$B$17=Config!$B$16,IF($X450&gt;=Config!$B$17,100,0),MAX(0,MIN(100,($X450-Config!$B$16)/(Config!$B$17-Config!$B$16)*100))))</f>
        <v/>
      </c>
      <c r="Z450" s="40">
        <f>IF($M450="Elite",Config!$B$21,0)</f>
        <v>0</v>
      </c>
      <c r="AA450" s="40" t="str">
        <f>IFERROR(IF(OR($W450="",$H450=""),"",IF($W450&gt;$H450,
  MAX(0, 60-(($W450-$H450)*24/Config!$B$19)*60),
  MIN(100, 60+(($H450-$W450)*24/Config!$B$20)*40)
)),"")
</f>
        <v/>
      </c>
      <c r="AB450" s="40" t="str">
        <f>IF($K450="","",IFERROR(VLOOKUP($K450,Grinders!$A$4:$N$998,10,FALSE)/5*100,""))</f>
        <v/>
      </c>
      <c r="AC450" s="40" t="str">
        <f>IF($K450="","",IFERROR(VLOOKUP($K450,Grinders!$A$4:$N$998,11,FALSE)*100,""))</f>
        <v/>
      </c>
      <c r="AD450" s="40" t="str">
        <f>IF($K450="","",IFERROR(VLOOKUP($K450,Grinders!$A$4:$N$998,12,FALSE)*100,""))</f>
        <v/>
      </c>
      <c r="AE450" s="40" t="str">
        <f>IF(OR(AO450=1,AP450=1),0,=IFERROR(IFS(
    OR($C450="", $K450=""), 0,
    $F450=0, 0,
    $D450&lt;&gt;"Open", 0,
    COUNTIFS(GrinderServices!$A$6:$A$1000, $K450, GrinderServices!$B$6:$B$1000, $E450, GrinderServices!$D$6:$D$1000, "Y")=0, 0,
    $X450&lt;Config!$B$16, 0,
    Config!$B$18=1, IF($O450&gt;=N450, 0, 1),
    TRUE, 1
), "")
)</f>
        <v>#ERROR!</v>
      </c>
      <c r="AF450" s="40" t="str">
        <f>IFERROR((IF(OR(AO450=1,AP450=1),"",=IFERROR((IFERROR(IF($AE450=0,"",((Config!$B$6*$Y450 + Config!$B$7*$U450 + Config!$B$8*$Z450 + Config!$B$9*$AA450 + Config!$B$10*$AB450 + Config!$B$11*$AC450 - Config!$B$12*$AD450)/Config!$B$13)+$AK450+$AL450),""))*(1-IFERROR(VLOOKUP(K450,Grinders!$A:$AB, 28, FALSE),0)),"")))*(1+AR450),"")</f>
        <v>#ERROR!</v>
      </c>
      <c r="AG450" s="40" t="str">
        <f t="shared" si="6"/>
        <v>#ERROR!</v>
      </c>
      <c r="AH450" s="40" t="str">
        <f t="shared" si="7"/>
        <v/>
      </c>
      <c r="AI450" s="40" t="str">
        <f t="shared" si="8"/>
        <v/>
      </c>
      <c r="AJ450" s="40" t="str">
        <f>IF($K450="","",COUNTIF(Assignments!$B$6:$B$1000,$K450))</f>
        <v/>
      </c>
      <c r="AK450" s="40" t="str">
        <f>IF($K450="","",IF(AND($AJ450=0,$O450&lt;$N450),Config!$B$43,0))</f>
        <v/>
      </c>
      <c r="AL450" s="40" t="str">
        <f>IF($K450="","",IF(AND($M450="Elite",$G450&gt;=Config!$B$41,$O450&lt;$N450),Config!$B$42,0))</f>
        <v/>
      </c>
      <c r="AM450" s="22"/>
      <c r="AN450" s="39">
        <f>IFERROR(VLOOKUP(K450,Grinders!$A:$Q,28,FALSE),0)</f>
        <v>0</v>
      </c>
      <c r="AO450" s="39">
        <f>IF(Config!$B$1003&lt;&gt;"Y",0,IF(IFERROR(VLOOKUP(K450,Grinders!$A:$P,27,FALSE),0)&gt;=3,IF(OR(G450&gt;=Config!$B$1001,ISNUMBER(SEARCH(E450,Config!$B$1002))),1,0),0))</f>
        <v>0</v>
      </c>
      <c r="AP450" s="39">
        <f t="array" ref="AP450">IFERROR(IF(INDEX(Bids!$AE:$AE,MATCH(B450,Bids!$A:$A,0))="Pending",1,0),0)</f>
        <v>0</v>
      </c>
      <c r="AQ450" s="39" t="str">
        <f t="array" ref="AQ450">IF(C450="","",IFERROR(XLOOKUP(C450,Assignments!$C:$C,Assignments!$AU:$AU,0),0))</f>
        <v/>
      </c>
      <c r="AR450" s="39">
        <f>IF(AND(Config!$B$1006="Y",AQ450=1),Config!$B$1007,0)</f>
        <v>0</v>
      </c>
    </row>
    <row r="451" ht="15.75" customHeight="1">
      <c r="A451" s="46" t="str">
        <f t="shared" si="1"/>
        <v/>
      </c>
      <c r="B451" s="40" t="str">
        <f>IF(Bids!$A450="","",Bids!$A450)</f>
        <v/>
      </c>
      <c r="C451" s="40" t="str">
        <f>IF(Bids!$B450="","",Bids!$B450)</f>
        <v/>
      </c>
      <c r="D451" s="40" t="str">
        <f>IF($C451="","",IFERROR(VLOOKUP($C451,Orders!$A$4:$J$998,9,FALSE),""))</f>
        <v/>
      </c>
      <c r="E451" s="40" t="str">
        <f>IF($C451="","",IFERROR(VLOOKUP($C451,Orders!$A$4:$J$998,3,FALSE),""))</f>
        <v/>
      </c>
      <c r="F451" s="40">
        <f t="shared" si="2"/>
        <v>1</v>
      </c>
      <c r="G451" s="40" t="str">
        <f>IF($C451="","",IFERROR(VLOOKUP($C451,Orders!$A$4:$J$998,4,FALSE),""))</f>
        <v/>
      </c>
      <c r="H451" s="40" t="str">
        <f>IF($C451="","",IFERROR(VLOOKUP($C451,Orders!$A$4:$J$998,5,FALSE),""))</f>
        <v/>
      </c>
      <c r="I451" s="40" t="str">
        <f>IF($C451="","",IFERROR(VLOOKUP($C451,Orders!$A$4:$J$998,6,FALSE),""))</f>
        <v/>
      </c>
      <c r="J451" s="40" t="str">
        <f>IF($C451="","",IFERROR(VLOOKUP($C451,Orders!$A$4:$J$998,7,FALSE),""))</f>
        <v/>
      </c>
      <c r="K451" s="40" t="str">
        <f>IF(Bids!$C450="","",Bids!$C450)</f>
        <v/>
      </c>
      <c r="L451" s="40" t="str">
        <f>IF($K451="","",IFERROR(VLOOKUP($K451,Grinders!$A$4:$N$998,2,FALSE),""))</f>
        <v/>
      </c>
      <c r="M451" s="40" t="str">
        <f>IF($K451="","",IFERROR(VLOOKUP($K451,Grinders!$A$4:$N$998,3,FALSE),""))</f>
        <v/>
      </c>
      <c r="N451" s="40" t="str">
        <f>IF($K451="","",IFERROR(VLOOKUP($K451,Grinders!$A$4:$N$998,4,FALSE),""))</f>
        <v/>
      </c>
      <c r="O451" s="40" t="str">
        <f>IF($K451="","",IFERROR(VLOOKUP($K451,Grinders!$A$4:$N$998,5,FALSE),""))</f>
        <v/>
      </c>
      <c r="P451" s="40" t="str">
        <f>IF($K451="","",IF($C$4="",0,COUNTIFS(Assignments!$B$6:$B$1000,$K451,Assignments!$F$6:$F$1000,$C$4,Assignments!$E$6:$E$1000,"Active")))</f>
        <v/>
      </c>
      <c r="Q451" s="40" t="str">
        <f t="shared" si="3"/>
        <v/>
      </c>
      <c r="R451" s="40" t="str">
        <f t="shared" si="4"/>
        <v/>
      </c>
      <c r="S451" s="40" t="str">
        <f>IF($K451="","",IF($C$4="",0,COUNTIFS(Assignments!$B$6:$B$1000,$K451,Assignments!$F$6:$F$1000,$C$4,Assignments!$D$6:$D$1000,"&gt;="&amp;Config!$B$3-7,Assignments!$D$6:$D$1000,"&lt;="&amp;Config!$B$3)))</f>
        <v/>
      </c>
      <c r="T451" s="40" t="str">
        <f>IF($K451="","",IFERROR(VLOOKUP($K451,Grinders!$A$4:$N$998,8,FALSE),""))</f>
        <v/>
      </c>
      <c r="U451" s="40" t="str">
        <f>IFERROR(IF($K451="","",IF($M451="Elite",MAX(50,MIN(100,Config!$B$27*MAX(0,MIN(100,(1-IF($R451="",0,$R451))*100)) + Config!$B$28*MAX(0,MIN(100,(1-MIN(1,IF(Config!$B$30=0,1,$S451/Config!$B$30)))*100)) + Config!$B$29*MAX(0,MIN(100,MIN(1,IF($T451="",0,$T451)/Config!$B$23)*100)))),MIN(100,Config!$B$27*MAX(0,MIN(100,(1-IF($R451="",0,$R451))*100)) + Config!$B$28*MAX(0,MIN(100,(1-MIN(1,IF(Config!$B$30=0,1,$S451/Config!$B$30)))*100)) + Config!$B$29*MAX(0,MIN(100,MIN(1,IF($T451="",0,$T451)/Config!$B$23)*100))))),"")
</f>
        <v/>
      </c>
      <c r="V451" s="40" t="str">
        <f>IF(Bids!$AC451="","",Bids!$AC451)</f>
        <v/>
      </c>
      <c r="W451" s="40" t="str">
        <f>IF(Bids!$F450="","",Bids!$F450)</f>
        <v/>
      </c>
      <c r="X451" s="40" t="str">
        <f t="shared" si="5"/>
        <v/>
      </c>
      <c r="Y451" s="40" t="str">
        <f>IF($X451="","",IF(Config!$B$17=Config!$B$16,IF($X451&gt;=Config!$B$17,100,0),MAX(0,MIN(100,($X451-Config!$B$16)/(Config!$B$17-Config!$B$16)*100))))</f>
        <v/>
      </c>
      <c r="Z451" s="40">
        <f>IF($M451="Elite",Config!$B$21,0)</f>
        <v>0</v>
      </c>
      <c r="AA451" s="40" t="str">
        <f>IFERROR(IF(OR($W451="",$H451=""),"",IF($W451&gt;$H451,
  MAX(0, 60-(($W451-$H451)*24/Config!$B$19)*60),
  MIN(100, 60+(($H451-$W451)*24/Config!$B$20)*40)
)),"")
</f>
        <v/>
      </c>
      <c r="AB451" s="40" t="str">
        <f>IF($K451="","",IFERROR(VLOOKUP($K451,Grinders!$A$4:$N$998,10,FALSE)/5*100,""))</f>
        <v/>
      </c>
      <c r="AC451" s="40" t="str">
        <f>IF($K451="","",IFERROR(VLOOKUP($K451,Grinders!$A$4:$N$998,11,FALSE)*100,""))</f>
        <v/>
      </c>
      <c r="AD451" s="40" t="str">
        <f>IF($K451="","",IFERROR(VLOOKUP($K451,Grinders!$A$4:$N$998,12,FALSE)*100,""))</f>
        <v/>
      </c>
      <c r="AE451" s="40" t="str">
        <f>IF(OR(AO451=1,AP451=1),0,=IFERROR(IFS(
    OR($C451="", $K451=""), 0,
    $F451=0, 0,
    $D451&lt;&gt;"Open", 0,
    COUNTIFS(GrinderServices!$A$6:$A$1000, $K451, GrinderServices!$B$6:$B$1000, $E451, GrinderServices!$D$6:$D$1000, "Y")=0, 0,
    $X451&lt;Config!$B$16, 0,
    Config!$B$18=1, IF($O451&gt;=N451, 0, 1),
    TRUE, 1
), "")
)</f>
        <v>#ERROR!</v>
      </c>
      <c r="AF451" s="40" t="str">
        <f>IFERROR((IF(OR(AO451=1,AP451=1),"",=IFERROR((IFERROR(IF($AE451=0,"",((Config!$B$6*$Y451 + Config!$B$7*$U451 + Config!$B$8*$Z451 + Config!$B$9*$AA451 + Config!$B$10*$AB451 + Config!$B$11*$AC451 - Config!$B$12*$AD451)/Config!$B$13)+$AK451+$AL451),""))*(1-IFERROR(VLOOKUP(K451,Grinders!$A:$AB, 28, FALSE),0)),"")))*(1+AR451),"")</f>
        <v>#ERROR!</v>
      </c>
      <c r="AG451" s="40" t="str">
        <f t="shared" si="6"/>
        <v>#ERROR!</v>
      </c>
      <c r="AH451" s="40" t="str">
        <f t="shared" si="7"/>
        <v/>
      </c>
      <c r="AI451" s="40" t="str">
        <f t="shared" si="8"/>
        <v/>
      </c>
      <c r="AJ451" s="40" t="str">
        <f>IF($K451="","",COUNTIF(Assignments!$B$6:$B$1000,$K451))</f>
        <v/>
      </c>
      <c r="AK451" s="40" t="str">
        <f>IF($K451="","",IF(AND($AJ451=0,$O451&lt;$N451),Config!$B$43,0))</f>
        <v/>
      </c>
      <c r="AL451" s="40" t="str">
        <f>IF($K451="","",IF(AND($M451="Elite",$G451&gt;=Config!$B$41,$O451&lt;$N451),Config!$B$42,0))</f>
        <v/>
      </c>
      <c r="AM451" s="22"/>
      <c r="AN451" s="39">
        <f>IFERROR(VLOOKUP(K451,Grinders!$A:$Q,28,FALSE),0)</f>
        <v>0</v>
      </c>
      <c r="AO451" s="39">
        <f>IF(Config!$B$1003&lt;&gt;"Y",0,IF(IFERROR(VLOOKUP(K451,Grinders!$A:$P,27,FALSE),0)&gt;=3,IF(OR(G451&gt;=Config!$B$1001,ISNUMBER(SEARCH(E451,Config!$B$1002))),1,0),0))</f>
        <v>0</v>
      </c>
      <c r="AP451" s="39">
        <f t="array" ref="AP451">IFERROR(IF(INDEX(Bids!$AE:$AE,MATCH(B451,Bids!$A:$A,0))="Pending",1,0),0)</f>
        <v>0</v>
      </c>
      <c r="AQ451" s="39" t="str">
        <f t="array" ref="AQ451">IF(C451="","",IFERROR(XLOOKUP(C451,Assignments!$C:$C,Assignments!$AU:$AU,0),0))</f>
        <v/>
      </c>
      <c r="AR451" s="39">
        <f>IF(AND(Config!$B$1006="Y",AQ451=1),Config!$B$1007,0)</f>
        <v>0</v>
      </c>
    </row>
    <row r="452" ht="15.75" customHeight="1">
      <c r="A452" s="46" t="str">
        <f t="shared" si="1"/>
        <v/>
      </c>
      <c r="B452" s="40" t="str">
        <f>IF(Bids!$A451="","",Bids!$A451)</f>
        <v/>
      </c>
      <c r="C452" s="40" t="str">
        <f>IF(Bids!$B451="","",Bids!$B451)</f>
        <v/>
      </c>
      <c r="D452" s="40" t="str">
        <f>IF($C452="","",IFERROR(VLOOKUP($C452,Orders!$A$4:$J$998,9,FALSE),""))</f>
        <v/>
      </c>
      <c r="E452" s="40" t="str">
        <f>IF($C452="","",IFERROR(VLOOKUP($C452,Orders!$A$4:$J$998,3,FALSE),""))</f>
        <v/>
      </c>
      <c r="F452" s="40">
        <f t="shared" si="2"/>
        <v>1</v>
      </c>
      <c r="G452" s="40" t="str">
        <f>IF($C452="","",IFERROR(VLOOKUP($C452,Orders!$A$4:$J$998,4,FALSE),""))</f>
        <v/>
      </c>
      <c r="H452" s="40" t="str">
        <f>IF($C452="","",IFERROR(VLOOKUP($C452,Orders!$A$4:$J$998,5,FALSE),""))</f>
        <v/>
      </c>
      <c r="I452" s="40" t="str">
        <f>IF($C452="","",IFERROR(VLOOKUP($C452,Orders!$A$4:$J$998,6,FALSE),""))</f>
        <v/>
      </c>
      <c r="J452" s="40" t="str">
        <f>IF($C452="","",IFERROR(VLOOKUP($C452,Orders!$A$4:$J$998,7,FALSE),""))</f>
        <v/>
      </c>
      <c r="K452" s="40" t="str">
        <f>IF(Bids!$C451="","",Bids!$C451)</f>
        <v/>
      </c>
      <c r="L452" s="40" t="str">
        <f>IF($K452="","",IFERROR(VLOOKUP($K452,Grinders!$A$4:$N$998,2,FALSE),""))</f>
        <v/>
      </c>
      <c r="M452" s="40" t="str">
        <f>IF($K452="","",IFERROR(VLOOKUP($K452,Grinders!$A$4:$N$998,3,FALSE),""))</f>
        <v/>
      </c>
      <c r="N452" s="40" t="str">
        <f>IF($K452="","",IFERROR(VLOOKUP($K452,Grinders!$A$4:$N$998,4,FALSE),""))</f>
        <v/>
      </c>
      <c r="O452" s="40" t="str">
        <f>IF($K452="","",IFERROR(VLOOKUP($K452,Grinders!$A$4:$N$998,5,FALSE),""))</f>
        <v/>
      </c>
      <c r="P452" s="40" t="str">
        <f>IF($K452="","",IF($C$4="",0,COUNTIFS(Assignments!$B$6:$B$1000,$K452,Assignments!$F$6:$F$1000,$C$4,Assignments!$E$6:$E$1000,"Active")))</f>
        <v/>
      </c>
      <c r="Q452" s="40" t="str">
        <f t="shared" si="3"/>
        <v/>
      </c>
      <c r="R452" s="40" t="str">
        <f t="shared" si="4"/>
        <v/>
      </c>
      <c r="S452" s="40" t="str">
        <f>IF($K452="","",IF($C$4="",0,COUNTIFS(Assignments!$B$6:$B$1000,$K452,Assignments!$F$6:$F$1000,$C$4,Assignments!$D$6:$D$1000,"&gt;="&amp;Config!$B$3-7,Assignments!$D$6:$D$1000,"&lt;="&amp;Config!$B$3)))</f>
        <v/>
      </c>
      <c r="T452" s="40" t="str">
        <f>IF($K452="","",IFERROR(VLOOKUP($K452,Grinders!$A$4:$N$998,8,FALSE),""))</f>
        <v/>
      </c>
      <c r="U452" s="40" t="str">
        <f>IFERROR(IF($K452="","",IF($M452="Elite",MAX(50,MIN(100,Config!$B$27*MAX(0,MIN(100,(1-IF($R452="",0,$R452))*100)) + Config!$B$28*MAX(0,MIN(100,(1-MIN(1,IF(Config!$B$30=0,1,$S452/Config!$B$30)))*100)) + Config!$B$29*MAX(0,MIN(100,MIN(1,IF($T452="",0,$T452)/Config!$B$23)*100)))),MIN(100,Config!$B$27*MAX(0,MIN(100,(1-IF($R452="",0,$R452))*100)) + Config!$B$28*MAX(0,MIN(100,(1-MIN(1,IF(Config!$B$30=0,1,$S452/Config!$B$30)))*100)) + Config!$B$29*MAX(0,MIN(100,MIN(1,IF($T452="",0,$T452)/Config!$B$23)*100))))),"")
</f>
        <v/>
      </c>
      <c r="V452" s="40" t="str">
        <f>IF(Bids!$AC452="","",Bids!$AC452)</f>
        <v/>
      </c>
      <c r="W452" s="40" t="str">
        <f>IF(Bids!$F451="","",Bids!$F451)</f>
        <v/>
      </c>
      <c r="X452" s="40" t="str">
        <f t="shared" si="5"/>
        <v/>
      </c>
      <c r="Y452" s="40" t="str">
        <f>IF($X452="","",IF(Config!$B$17=Config!$B$16,IF($X452&gt;=Config!$B$17,100,0),MAX(0,MIN(100,($X452-Config!$B$16)/(Config!$B$17-Config!$B$16)*100))))</f>
        <v/>
      </c>
      <c r="Z452" s="40">
        <f>IF($M452="Elite",Config!$B$21,0)</f>
        <v>0</v>
      </c>
      <c r="AA452" s="40" t="str">
        <f>IFERROR(IF(OR($W452="",$H452=""),"",IF($W452&gt;$H452,
  MAX(0, 60-(($W452-$H452)*24/Config!$B$19)*60),
  MIN(100, 60+(($H452-$W452)*24/Config!$B$20)*40)
)),"")
</f>
        <v/>
      </c>
      <c r="AB452" s="40" t="str">
        <f>IF($K452="","",IFERROR(VLOOKUP($K452,Grinders!$A$4:$N$998,10,FALSE)/5*100,""))</f>
        <v/>
      </c>
      <c r="AC452" s="40" t="str">
        <f>IF($K452="","",IFERROR(VLOOKUP($K452,Grinders!$A$4:$N$998,11,FALSE)*100,""))</f>
        <v/>
      </c>
      <c r="AD452" s="40" t="str">
        <f>IF($K452="","",IFERROR(VLOOKUP($K452,Grinders!$A$4:$N$998,12,FALSE)*100,""))</f>
        <v/>
      </c>
      <c r="AE452" s="40" t="str">
        <f>IF(OR(AO452=1,AP452=1),0,=IFERROR(IFS(
    OR($C452="", $K452=""), 0,
    $F452=0, 0,
    $D452&lt;&gt;"Open", 0,
    COUNTIFS(GrinderServices!$A$6:$A$1000, $K452, GrinderServices!$B$6:$B$1000, $E452, GrinderServices!$D$6:$D$1000, "Y")=0, 0,
    $X452&lt;Config!$B$16, 0,
    Config!$B$18=1, IF($O452&gt;=N452, 0, 1),
    TRUE, 1
), "")
)</f>
        <v>#ERROR!</v>
      </c>
      <c r="AF452" s="40" t="str">
        <f>IFERROR((IF(OR(AO452=1,AP452=1),"",=IFERROR((IFERROR(IF($AE452=0,"",((Config!$B$6*$Y452 + Config!$B$7*$U452 + Config!$B$8*$Z452 + Config!$B$9*$AA452 + Config!$B$10*$AB452 + Config!$B$11*$AC452 - Config!$B$12*$AD452)/Config!$B$13)+$AK452+$AL452),""))*(1-IFERROR(VLOOKUP(K452,Grinders!$A:$AB, 28, FALSE),0)),"")))*(1+AR452),"")</f>
        <v>#ERROR!</v>
      </c>
      <c r="AG452" s="40" t="str">
        <f t="shared" si="6"/>
        <v>#ERROR!</v>
      </c>
      <c r="AH452" s="40" t="str">
        <f t="shared" si="7"/>
        <v/>
      </c>
      <c r="AI452" s="40" t="str">
        <f t="shared" si="8"/>
        <v/>
      </c>
      <c r="AJ452" s="40" t="str">
        <f>IF($K452="","",COUNTIF(Assignments!$B$6:$B$1000,$K452))</f>
        <v/>
      </c>
      <c r="AK452" s="40" t="str">
        <f>IF($K452="","",IF(AND($AJ452=0,$O452&lt;$N452),Config!$B$43,0))</f>
        <v/>
      </c>
      <c r="AL452" s="40" t="str">
        <f>IF($K452="","",IF(AND($M452="Elite",$G452&gt;=Config!$B$41,$O452&lt;$N452),Config!$B$42,0))</f>
        <v/>
      </c>
      <c r="AM452" s="22"/>
      <c r="AN452" s="39">
        <f>IFERROR(VLOOKUP(K452,Grinders!$A:$Q,28,FALSE),0)</f>
        <v>0</v>
      </c>
      <c r="AO452" s="39">
        <f>IF(Config!$B$1003&lt;&gt;"Y",0,IF(IFERROR(VLOOKUP(K452,Grinders!$A:$P,27,FALSE),0)&gt;=3,IF(OR(G452&gt;=Config!$B$1001,ISNUMBER(SEARCH(E452,Config!$B$1002))),1,0),0))</f>
        <v>0</v>
      </c>
      <c r="AP452" s="39">
        <f t="array" ref="AP452">IFERROR(IF(INDEX(Bids!$AE:$AE,MATCH(B452,Bids!$A:$A,0))="Pending",1,0),0)</f>
        <v>0</v>
      </c>
      <c r="AQ452" s="39" t="str">
        <f t="array" ref="AQ452">IF(C452="","",IFERROR(XLOOKUP(C452,Assignments!$C:$C,Assignments!$AU:$AU,0),0))</f>
        <v/>
      </c>
      <c r="AR452" s="39">
        <f>IF(AND(Config!$B$1006="Y",AQ452=1),Config!$B$1007,0)</f>
        <v>0</v>
      </c>
    </row>
    <row r="453" ht="15.75" customHeight="1">
      <c r="A453" s="46" t="str">
        <f t="shared" si="1"/>
        <v/>
      </c>
      <c r="B453" s="40" t="str">
        <f>IF(Bids!$A452="","",Bids!$A452)</f>
        <v/>
      </c>
      <c r="C453" s="40" t="str">
        <f>IF(Bids!$B452="","",Bids!$B452)</f>
        <v/>
      </c>
      <c r="D453" s="40" t="str">
        <f>IF($C453="","",IFERROR(VLOOKUP($C453,Orders!$A$4:$J$998,9,FALSE),""))</f>
        <v/>
      </c>
      <c r="E453" s="40" t="str">
        <f>IF($C453="","",IFERROR(VLOOKUP($C453,Orders!$A$4:$J$998,3,FALSE),""))</f>
        <v/>
      </c>
      <c r="F453" s="40">
        <f t="shared" si="2"/>
        <v>1</v>
      </c>
      <c r="G453" s="40" t="str">
        <f>IF($C453="","",IFERROR(VLOOKUP($C453,Orders!$A$4:$J$998,4,FALSE),""))</f>
        <v/>
      </c>
      <c r="H453" s="40" t="str">
        <f>IF($C453="","",IFERROR(VLOOKUP($C453,Orders!$A$4:$J$998,5,FALSE),""))</f>
        <v/>
      </c>
      <c r="I453" s="40" t="str">
        <f>IF($C453="","",IFERROR(VLOOKUP($C453,Orders!$A$4:$J$998,6,FALSE),""))</f>
        <v/>
      </c>
      <c r="J453" s="40" t="str">
        <f>IF($C453="","",IFERROR(VLOOKUP($C453,Orders!$A$4:$J$998,7,FALSE),""))</f>
        <v/>
      </c>
      <c r="K453" s="40" t="str">
        <f>IF(Bids!$C452="","",Bids!$C452)</f>
        <v/>
      </c>
      <c r="L453" s="40" t="str">
        <f>IF($K453="","",IFERROR(VLOOKUP($K453,Grinders!$A$4:$N$998,2,FALSE),""))</f>
        <v/>
      </c>
      <c r="M453" s="40" t="str">
        <f>IF($K453="","",IFERROR(VLOOKUP($K453,Grinders!$A$4:$N$998,3,FALSE),""))</f>
        <v/>
      </c>
      <c r="N453" s="40" t="str">
        <f>IF($K453="","",IFERROR(VLOOKUP($K453,Grinders!$A$4:$N$998,4,FALSE),""))</f>
        <v/>
      </c>
      <c r="O453" s="40" t="str">
        <f>IF($K453="","",IFERROR(VLOOKUP($K453,Grinders!$A$4:$N$998,5,FALSE),""))</f>
        <v/>
      </c>
      <c r="P453" s="40" t="str">
        <f>IF($K453="","",IF($C$4="",0,COUNTIFS(Assignments!$B$6:$B$1000,$K453,Assignments!$F$6:$F$1000,$C$4,Assignments!$E$6:$E$1000,"Active")))</f>
        <v/>
      </c>
      <c r="Q453" s="40" t="str">
        <f t="shared" si="3"/>
        <v/>
      </c>
      <c r="R453" s="40" t="str">
        <f t="shared" si="4"/>
        <v/>
      </c>
      <c r="S453" s="40" t="str">
        <f>IF($K453="","",IF($C$4="",0,COUNTIFS(Assignments!$B$6:$B$1000,$K453,Assignments!$F$6:$F$1000,$C$4,Assignments!$D$6:$D$1000,"&gt;="&amp;Config!$B$3-7,Assignments!$D$6:$D$1000,"&lt;="&amp;Config!$B$3)))</f>
        <v/>
      </c>
      <c r="T453" s="40" t="str">
        <f>IF($K453="","",IFERROR(VLOOKUP($K453,Grinders!$A$4:$N$998,8,FALSE),""))</f>
        <v/>
      </c>
      <c r="U453" s="40" t="str">
        <f>IFERROR(IF($K453="","",IF($M453="Elite",MAX(50,MIN(100,Config!$B$27*MAX(0,MIN(100,(1-IF($R453="",0,$R453))*100)) + Config!$B$28*MAX(0,MIN(100,(1-MIN(1,IF(Config!$B$30=0,1,$S453/Config!$B$30)))*100)) + Config!$B$29*MAX(0,MIN(100,MIN(1,IF($T453="",0,$T453)/Config!$B$23)*100)))),MIN(100,Config!$B$27*MAX(0,MIN(100,(1-IF($R453="",0,$R453))*100)) + Config!$B$28*MAX(0,MIN(100,(1-MIN(1,IF(Config!$B$30=0,1,$S453/Config!$B$30)))*100)) + Config!$B$29*MAX(0,MIN(100,MIN(1,IF($T453="",0,$T453)/Config!$B$23)*100))))),"")
</f>
        <v/>
      </c>
      <c r="V453" s="40" t="str">
        <f>IF(Bids!$AC453="","",Bids!$AC453)</f>
        <v/>
      </c>
      <c r="W453" s="40" t="str">
        <f>IF(Bids!$F452="","",Bids!$F452)</f>
        <v/>
      </c>
      <c r="X453" s="40" t="str">
        <f t="shared" si="5"/>
        <v/>
      </c>
      <c r="Y453" s="40" t="str">
        <f>IF($X453="","",IF(Config!$B$17=Config!$B$16,IF($X453&gt;=Config!$B$17,100,0),MAX(0,MIN(100,($X453-Config!$B$16)/(Config!$B$17-Config!$B$16)*100))))</f>
        <v/>
      </c>
      <c r="Z453" s="40">
        <f>IF($M453="Elite",Config!$B$21,0)</f>
        <v>0</v>
      </c>
      <c r="AA453" s="40" t="str">
        <f>IFERROR(IF(OR($W453="",$H453=""),"",IF($W453&gt;$H453,
  MAX(0, 60-(($W453-$H453)*24/Config!$B$19)*60),
  MIN(100, 60+(($H453-$W453)*24/Config!$B$20)*40)
)),"")
</f>
        <v/>
      </c>
      <c r="AB453" s="40" t="str">
        <f>IF($K453="","",IFERROR(VLOOKUP($K453,Grinders!$A$4:$N$998,10,FALSE)/5*100,""))</f>
        <v/>
      </c>
      <c r="AC453" s="40" t="str">
        <f>IF($K453="","",IFERROR(VLOOKUP($K453,Grinders!$A$4:$N$998,11,FALSE)*100,""))</f>
        <v/>
      </c>
      <c r="AD453" s="40" t="str">
        <f>IF($K453="","",IFERROR(VLOOKUP($K453,Grinders!$A$4:$N$998,12,FALSE)*100,""))</f>
        <v/>
      </c>
      <c r="AE453" s="40" t="str">
        <f>IF(OR(AO453=1,AP453=1),0,=IFERROR(IFS(
    OR($C453="", $K453=""), 0,
    $F453=0, 0,
    $D453&lt;&gt;"Open", 0,
    COUNTIFS(GrinderServices!$A$6:$A$1000, $K453, GrinderServices!$B$6:$B$1000, $E453, GrinderServices!$D$6:$D$1000, "Y")=0, 0,
    $X453&lt;Config!$B$16, 0,
    Config!$B$18=1, IF($O453&gt;=N453, 0, 1),
    TRUE, 1
), "")
)</f>
        <v>#ERROR!</v>
      </c>
      <c r="AF453" s="40" t="str">
        <f>IFERROR((IF(OR(AO453=1,AP453=1),"",=IFERROR((IFERROR(IF($AE453=0,"",((Config!$B$6*$Y453 + Config!$B$7*$U453 + Config!$B$8*$Z453 + Config!$B$9*$AA453 + Config!$B$10*$AB453 + Config!$B$11*$AC453 - Config!$B$12*$AD453)/Config!$B$13)+$AK453+$AL453),""))*(1-IFERROR(VLOOKUP(K453,Grinders!$A:$AB, 28, FALSE),0)),"")))*(1+AR453),"")</f>
        <v>#ERROR!</v>
      </c>
      <c r="AG453" s="40" t="str">
        <f t="shared" si="6"/>
        <v>#ERROR!</v>
      </c>
      <c r="AH453" s="40" t="str">
        <f t="shared" si="7"/>
        <v/>
      </c>
      <c r="AI453" s="40" t="str">
        <f t="shared" si="8"/>
        <v/>
      </c>
      <c r="AJ453" s="40" t="str">
        <f>IF($K453="","",COUNTIF(Assignments!$B$6:$B$1000,$K453))</f>
        <v/>
      </c>
      <c r="AK453" s="40" t="str">
        <f>IF($K453="","",IF(AND($AJ453=0,$O453&lt;$N453),Config!$B$43,0))</f>
        <v/>
      </c>
      <c r="AL453" s="40" t="str">
        <f>IF($K453="","",IF(AND($M453="Elite",$G453&gt;=Config!$B$41,$O453&lt;$N453),Config!$B$42,0))</f>
        <v/>
      </c>
      <c r="AM453" s="22"/>
      <c r="AN453" s="39">
        <f>IFERROR(VLOOKUP(K453,Grinders!$A:$Q,28,FALSE),0)</f>
        <v>0</v>
      </c>
      <c r="AO453" s="39">
        <f>IF(Config!$B$1003&lt;&gt;"Y",0,IF(IFERROR(VLOOKUP(K453,Grinders!$A:$P,27,FALSE),0)&gt;=3,IF(OR(G453&gt;=Config!$B$1001,ISNUMBER(SEARCH(E453,Config!$B$1002))),1,0),0))</f>
        <v>0</v>
      </c>
      <c r="AP453" s="39">
        <f t="array" ref="AP453">IFERROR(IF(INDEX(Bids!$AE:$AE,MATCH(B453,Bids!$A:$A,0))="Pending",1,0),0)</f>
        <v>0</v>
      </c>
      <c r="AQ453" s="39" t="str">
        <f t="array" ref="AQ453">IF(C453="","",IFERROR(XLOOKUP(C453,Assignments!$C:$C,Assignments!$AU:$AU,0),0))</f>
        <v/>
      </c>
      <c r="AR453" s="39">
        <f>IF(AND(Config!$B$1006="Y",AQ453=1),Config!$B$1007,0)</f>
        <v>0</v>
      </c>
    </row>
    <row r="454" ht="15.75" customHeight="1">
      <c r="A454" s="46" t="str">
        <f t="shared" si="1"/>
        <v/>
      </c>
      <c r="B454" s="40" t="str">
        <f>IF(Bids!$A453="","",Bids!$A453)</f>
        <v/>
      </c>
      <c r="C454" s="40" t="str">
        <f>IF(Bids!$B453="","",Bids!$B453)</f>
        <v/>
      </c>
      <c r="D454" s="40" t="str">
        <f>IF($C454="","",IFERROR(VLOOKUP($C454,Orders!$A$4:$J$998,9,FALSE),""))</f>
        <v/>
      </c>
      <c r="E454" s="40" t="str">
        <f>IF($C454="","",IFERROR(VLOOKUP($C454,Orders!$A$4:$J$998,3,FALSE),""))</f>
        <v/>
      </c>
      <c r="F454" s="40">
        <f t="shared" si="2"/>
        <v>1</v>
      </c>
      <c r="G454" s="40" t="str">
        <f>IF($C454="","",IFERROR(VLOOKUP($C454,Orders!$A$4:$J$998,4,FALSE),""))</f>
        <v/>
      </c>
      <c r="H454" s="40" t="str">
        <f>IF($C454="","",IFERROR(VLOOKUP($C454,Orders!$A$4:$J$998,5,FALSE),""))</f>
        <v/>
      </c>
      <c r="I454" s="40" t="str">
        <f>IF($C454="","",IFERROR(VLOOKUP($C454,Orders!$A$4:$J$998,6,FALSE),""))</f>
        <v/>
      </c>
      <c r="J454" s="40" t="str">
        <f>IF($C454="","",IFERROR(VLOOKUP($C454,Orders!$A$4:$J$998,7,FALSE),""))</f>
        <v/>
      </c>
      <c r="K454" s="40" t="str">
        <f>IF(Bids!$C453="","",Bids!$C453)</f>
        <v/>
      </c>
      <c r="L454" s="40" t="str">
        <f>IF($K454="","",IFERROR(VLOOKUP($K454,Grinders!$A$4:$N$998,2,FALSE),""))</f>
        <v/>
      </c>
      <c r="M454" s="40" t="str">
        <f>IF($K454="","",IFERROR(VLOOKUP($K454,Grinders!$A$4:$N$998,3,FALSE),""))</f>
        <v/>
      </c>
      <c r="N454" s="40" t="str">
        <f>IF($K454="","",IFERROR(VLOOKUP($K454,Grinders!$A$4:$N$998,4,FALSE),""))</f>
        <v/>
      </c>
      <c r="O454" s="40" t="str">
        <f>IF($K454="","",IFERROR(VLOOKUP($K454,Grinders!$A$4:$N$998,5,FALSE),""))</f>
        <v/>
      </c>
      <c r="P454" s="40" t="str">
        <f>IF($K454="","",IF($C$4="",0,COUNTIFS(Assignments!$B$6:$B$1000,$K454,Assignments!$F$6:$F$1000,$C$4,Assignments!$E$6:$E$1000,"Active")))</f>
        <v/>
      </c>
      <c r="Q454" s="40" t="str">
        <f t="shared" si="3"/>
        <v/>
      </c>
      <c r="R454" s="40" t="str">
        <f t="shared" si="4"/>
        <v/>
      </c>
      <c r="S454" s="40" t="str">
        <f>IF($K454="","",IF($C$4="",0,COUNTIFS(Assignments!$B$6:$B$1000,$K454,Assignments!$F$6:$F$1000,$C$4,Assignments!$D$6:$D$1000,"&gt;="&amp;Config!$B$3-7,Assignments!$D$6:$D$1000,"&lt;="&amp;Config!$B$3)))</f>
        <v/>
      </c>
      <c r="T454" s="40" t="str">
        <f>IF($K454="","",IFERROR(VLOOKUP($K454,Grinders!$A$4:$N$998,8,FALSE),""))</f>
        <v/>
      </c>
      <c r="U454" s="40" t="str">
        <f>IFERROR(IF($K454="","",IF($M454="Elite",MAX(50,MIN(100,Config!$B$27*MAX(0,MIN(100,(1-IF($R454="",0,$R454))*100)) + Config!$B$28*MAX(0,MIN(100,(1-MIN(1,IF(Config!$B$30=0,1,$S454/Config!$B$30)))*100)) + Config!$B$29*MAX(0,MIN(100,MIN(1,IF($T454="",0,$T454)/Config!$B$23)*100)))),MIN(100,Config!$B$27*MAX(0,MIN(100,(1-IF($R454="",0,$R454))*100)) + Config!$B$28*MAX(0,MIN(100,(1-MIN(1,IF(Config!$B$30=0,1,$S454/Config!$B$30)))*100)) + Config!$B$29*MAX(0,MIN(100,MIN(1,IF($T454="",0,$T454)/Config!$B$23)*100))))),"")
</f>
        <v/>
      </c>
      <c r="V454" s="40" t="str">
        <f>IF(Bids!$AC454="","",Bids!$AC454)</f>
        <v/>
      </c>
      <c r="W454" s="40" t="str">
        <f>IF(Bids!$F453="","",Bids!$F453)</f>
        <v/>
      </c>
      <c r="X454" s="40" t="str">
        <f t="shared" si="5"/>
        <v/>
      </c>
      <c r="Y454" s="40" t="str">
        <f>IF($X454="","",IF(Config!$B$17=Config!$B$16,IF($X454&gt;=Config!$B$17,100,0),MAX(0,MIN(100,($X454-Config!$B$16)/(Config!$B$17-Config!$B$16)*100))))</f>
        <v/>
      </c>
      <c r="Z454" s="40">
        <f>IF($M454="Elite",Config!$B$21,0)</f>
        <v>0</v>
      </c>
      <c r="AA454" s="40" t="str">
        <f>IFERROR(IF(OR($W454="",$H454=""),"",IF($W454&gt;$H454,
  MAX(0, 60-(($W454-$H454)*24/Config!$B$19)*60),
  MIN(100, 60+(($H454-$W454)*24/Config!$B$20)*40)
)),"")
</f>
        <v/>
      </c>
      <c r="AB454" s="40" t="str">
        <f>IF($K454="","",IFERROR(VLOOKUP($K454,Grinders!$A$4:$N$998,10,FALSE)/5*100,""))</f>
        <v/>
      </c>
      <c r="AC454" s="40" t="str">
        <f>IF($K454="","",IFERROR(VLOOKUP($K454,Grinders!$A$4:$N$998,11,FALSE)*100,""))</f>
        <v/>
      </c>
      <c r="AD454" s="40" t="str">
        <f>IF($K454="","",IFERROR(VLOOKUP($K454,Grinders!$A$4:$N$998,12,FALSE)*100,""))</f>
        <v/>
      </c>
      <c r="AE454" s="40" t="str">
        <f>IF(OR(AO454=1,AP454=1),0,=IFERROR(IFS(
    OR($C454="", $K454=""), 0,
    $F454=0, 0,
    $D454&lt;&gt;"Open", 0,
    COUNTIFS(GrinderServices!$A$6:$A$1000, $K454, GrinderServices!$B$6:$B$1000, $E454, GrinderServices!$D$6:$D$1000, "Y")=0, 0,
    $X454&lt;Config!$B$16, 0,
    Config!$B$18=1, IF($O454&gt;=N454, 0, 1),
    TRUE, 1
), "")
)</f>
        <v>#ERROR!</v>
      </c>
      <c r="AF454" s="40" t="str">
        <f>IFERROR((IF(OR(AO454=1,AP454=1),"",=IFERROR((IFERROR(IF($AE454=0,"",((Config!$B$6*$Y454 + Config!$B$7*$U454 + Config!$B$8*$Z454 + Config!$B$9*$AA454 + Config!$B$10*$AB454 + Config!$B$11*$AC454 - Config!$B$12*$AD454)/Config!$B$13)+$AK454+$AL454),""))*(1-IFERROR(VLOOKUP(K454,Grinders!$A:$AB, 28, FALSE),0)),"")))*(1+AR454),"")</f>
        <v>#ERROR!</v>
      </c>
      <c r="AG454" s="40" t="str">
        <f t="shared" si="6"/>
        <v>#ERROR!</v>
      </c>
      <c r="AH454" s="40" t="str">
        <f t="shared" si="7"/>
        <v/>
      </c>
      <c r="AI454" s="40" t="str">
        <f t="shared" si="8"/>
        <v/>
      </c>
      <c r="AJ454" s="40" t="str">
        <f>IF($K454="","",COUNTIF(Assignments!$B$6:$B$1000,$K454))</f>
        <v/>
      </c>
      <c r="AK454" s="40" t="str">
        <f>IF($K454="","",IF(AND($AJ454=0,$O454&lt;$N454),Config!$B$43,0))</f>
        <v/>
      </c>
      <c r="AL454" s="40" t="str">
        <f>IF($K454="","",IF(AND($M454="Elite",$G454&gt;=Config!$B$41,$O454&lt;$N454),Config!$B$42,0))</f>
        <v/>
      </c>
      <c r="AM454" s="22"/>
      <c r="AN454" s="39">
        <f>IFERROR(VLOOKUP(K454,Grinders!$A:$Q,28,FALSE),0)</f>
        <v>0</v>
      </c>
      <c r="AO454" s="39">
        <f>IF(Config!$B$1003&lt;&gt;"Y",0,IF(IFERROR(VLOOKUP(K454,Grinders!$A:$P,27,FALSE),0)&gt;=3,IF(OR(G454&gt;=Config!$B$1001,ISNUMBER(SEARCH(E454,Config!$B$1002))),1,0),0))</f>
        <v>0</v>
      </c>
      <c r="AP454" s="39">
        <f t="array" ref="AP454">IFERROR(IF(INDEX(Bids!$AE:$AE,MATCH(B454,Bids!$A:$A,0))="Pending",1,0),0)</f>
        <v>0</v>
      </c>
      <c r="AQ454" s="39" t="str">
        <f t="array" ref="AQ454">IF(C454="","",IFERROR(XLOOKUP(C454,Assignments!$C:$C,Assignments!$AU:$AU,0),0))</f>
        <v/>
      </c>
      <c r="AR454" s="39">
        <f>IF(AND(Config!$B$1006="Y",AQ454=1),Config!$B$1007,0)</f>
        <v>0</v>
      </c>
    </row>
    <row r="455" ht="15.75" customHeight="1">
      <c r="A455" s="46" t="str">
        <f t="shared" si="1"/>
        <v/>
      </c>
      <c r="B455" s="40" t="str">
        <f>IF(Bids!$A454="","",Bids!$A454)</f>
        <v/>
      </c>
      <c r="C455" s="40" t="str">
        <f>IF(Bids!$B454="","",Bids!$B454)</f>
        <v/>
      </c>
      <c r="D455" s="40" t="str">
        <f>IF($C455="","",IFERROR(VLOOKUP($C455,Orders!$A$4:$J$998,9,FALSE),""))</f>
        <v/>
      </c>
      <c r="E455" s="40" t="str">
        <f>IF($C455="","",IFERROR(VLOOKUP($C455,Orders!$A$4:$J$998,3,FALSE),""))</f>
        <v/>
      </c>
      <c r="F455" s="40">
        <f t="shared" si="2"/>
        <v>1</v>
      </c>
      <c r="G455" s="40" t="str">
        <f>IF($C455="","",IFERROR(VLOOKUP($C455,Orders!$A$4:$J$998,4,FALSE),""))</f>
        <v/>
      </c>
      <c r="H455" s="40" t="str">
        <f>IF($C455="","",IFERROR(VLOOKUP($C455,Orders!$A$4:$J$998,5,FALSE),""))</f>
        <v/>
      </c>
      <c r="I455" s="40" t="str">
        <f>IF($C455="","",IFERROR(VLOOKUP($C455,Orders!$A$4:$J$998,6,FALSE),""))</f>
        <v/>
      </c>
      <c r="J455" s="40" t="str">
        <f>IF($C455="","",IFERROR(VLOOKUP($C455,Orders!$A$4:$J$998,7,FALSE),""))</f>
        <v/>
      </c>
      <c r="K455" s="40" t="str">
        <f>IF(Bids!$C454="","",Bids!$C454)</f>
        <v/>
      </c>
      <c r="L455" s="40" t="str">
        <f>IF($K455="","",IFERROR(VLOOKUP($K455,Grinders!$A$4:$N$998,2,FALSE),""))</f>
        <v/>
      </c>
      <c r="M455" s="40" t="str">
        <f>IF($K455="","",IFERROR(VLOOKUP($K455,Grinders!$A$4:$N$998,3,FALSE),""))</f>
        <v/>
      </c>
      <c r="N455" s="40" t="str">
        <f>IF($K455="","",IFERROR(VLOOKUP($K455,Grinders!$A$4:$N$998,4,FALSE),""))</f>
        <v/>
      </c>
      <c r="O455" s="40" t="str">
        <f>IF($K455="","",IFERROR(VLOOKUP($K455,Grinders!$A$4:$N$998,5,FALSE),""))</f>
        <v/>
      </c>
      <c r="P455" s="40" t="str">
        <f>IF($K455="","",IF($C$4="",0,COUNTIFS(Assignments!$B$6:$B$1000,$K455,Assignments!$F$6:$F$1000,$C$4,Assignments!$E$6:$E$1000,"Active")))</f>
        <v/>
      </c>
      <c r="Q455" s="40" t="str">
        <f t="shared" si="3"/>
        <v/>
      </c>
      <c r="R455" s="40" t="str">
        <f t="shared" si="4"/>
        <v/>
      </c>
      <c r="S455" s="40" t="str">
        <f>IF($K455="","",IF($C$4="",0,COUNTIFS(Assignments!$B$6:$B$1000,$K455,Assignments!$F$6:$F$1000,$C$4,Assignments!$D$6:$D$1000,"&gt;="&amp;Config!$B$3-7,Assignments!$D$6:$D$1000,"&lt;="&amp;Config!$B$3)))</f>
        <v/>
      </c>
      <c r="T455" s="40" t="str">
        <f>IF($K455="","",IFERROR(VLOOKUP($K455,Grinders!$A$4:$N$998,8,FALSE),""))</f>
        <v/>
      </c>
      <c r="U455" s="40" t="str">
        <f>IFERROR(IF($K455="","",IF($M455="Elite",MAX(50,MIN(100,Config!$B$27*MAX(0,MIN(100,(1-IF($R455="",0,$R455))*100)) + Config!$B$28*MAX(0,MIN(100,(1-MIN(1,IF(Config!$B$30=0,1,$S455/Config!$B$30)))*100)) + Config!$B$29*MAX(0,MIN(100,MIN(1,IF($T455="",0,$T455)/Config!$B$23)*100)))),MIN(100,Config!$B$27*MAX(0,MIN(100,(1-IF($R455="",0,$R455))*100)) + Config!$B$28*MAX(0,MIN(100,(1-MIN(1,IF(Config!$B$30=0,1,$S455/Config!$B$30)))*100)) + Config!$B$29*MAX(0,MIN(100,MIN(1,IF($T455="",0,$T455)/Config!$B$23)*100))))),"")
</f>
        <v/>
      </c>
      <c r="V455" s="40" t="str">
        <f>IF(Bids!$AC455="","",Bids!$AC455)</f>
        <v/>
      </c>
      <c r="W455" s="40" t="str">
        <f>IF(Bids!$F454="","",Bids!$F454)</f>
        <v/>
      </c>
      <c r="X455" s="40" t="str">
        <f t="shared" si="5"/>
        <v/>
      </c>
      <c r="Y455" s="40" t="str">
        <f>IF($X455="","",IF(Config!$B$17=Config!$B$16,IF($X455&gt;=Config!$B$17,100,0),MAX(0,MIN(100,($X455-Config!$B$16)/(Config!$B$17-Config!$B$16)*100))))</f>
        <v/>
      </c>
      <c r="Z455" s="40">
        <f>IF($M455="Elite",Config!$B$21,0)</f>
        <v>0</v>
      </c>
      <c r="AA455" s="40" t="str">
        <f>IFERROR(IF(OR($W455="",$H455=""),"",IF($W455&gt;$H455,
  MAX(0, 60-(($W455-$H455)*24/Config!$B$19)*60),
  MIN(100, 60+(($H455-$W455)*24/Config!$B$20)*40)
)),"")
</f>
        <v/>
      </c>
      <c r="AB455" s="40" t="str">
        <f>IF($K455="","",IFERROR(VLOOKUP($K455,Grinders!$A$4:$N$998,10,FALSE)/5*100,""))</f>
        <v/>
      </c>
      <c r="AC455" s="40" t="str">
        <f>IF($K455="","",IFERROR(VLOOKUP($K455,Grinders!$A$4:$N$998,11,FALSE)*100,""))</f>
        <v/>
      </c>
      <c r="AD455" s="40" t="str">
        <f>IF($K455="","",IFERROR(VLOOKUP($K455,Grinders!$A$4:$N$998,12,FALSE)*100,""))</f>
        <v/>
      </c>
      <c r="AE455" s="40" t="str">
        <f>IF(OR(AO455=1,AP455=1),0,=IFERROR(IFS(
    OR($C455="", $K455=""), 0,
    $F455=0, 0,
    $D455&lt;&gt;"Open", 0,
    COUNTIFS(GrinderServices!$A$6:$A$1000, $K455, GrinderServices!$B$6:$B$1000, $E455, GrinderServices!$D$6:$D$1000, "Y")=0, 0,
    $X455&lt;Config!$B$16, 0,
    Config!$B$18=1, IF($O455&gt;=N455, 0, 1),
    TRUE, 1
), "")
)</f>
        <v>#ERROR!</v>
      </c>
      <c r="AF455" s="40" t="str">
        <f>IFERROR((IF(OR(AO455=1,AP455=1),"",=IFERROR((IFERROR(IF($AE455=0,"",((Config!$B$6*$Y455 + Config!$B$7*$U455 + Config!$B$8*$Z455 + Config!$B$9*$AA455 + Config!$B$10*$AB455 + Config!$B$11*$AC455 - Config!$B$12*$AD455)/Config!$B$13)+$AK455+$AL455),""))*(1-IFERROR(VLOOKUP(K455,Grinders!$A:$AB, 28, FALSE),0)),"")))*(1+AR455),"")</f>
        <v>#ERROR!</v>
      </c>
      <c r="AG455" s="40" t="str">
        <f t="shared" si="6"/>
        <v>#ERROR!</v>
      </c>
      <c r="AH455" s="40" t="str">
        <f t="shared" si="7"/>
        <v/>
      </c>
      <c r="AI455" s="40" t="str">
        <f t="shared" si="8"/>
        <v/>
      </c>
      <c r="AJ455" s="40" t="str">
        <f>IF($K455="","",COUNTIF(Assignments!$B$6:$B$1000,$K455))</f>
        <v/>
      </c>
      <c r="AK455" s="40" t="str">
        <f>IF($K455="","",IF(AND($AJ455=0,$O455&lt;$N455),Config!$B$43,0))</f>
        <v/>
      </c>
      <c r="AL455" s="40" t="str">
        <f>IF($K455="","",IF(AND($M455="Elite",$G455&gt;=Config!$B$41,$O455&lt;$N455),Config!$B$42,0))</f>
        <v/>
      </c>
      <c r="AM455" s="22"/>
      <c r="AN455" s="39">
        <f>IFERROR(VLOOKUP(K455,Grinders!$A:$Q,28,FALSE),0)</f>
        <v>0</v>
      </c>
      <c r="AO455" s="39">
        <f>IF(Config!$B$1003&lt;&gt;"Y",0,IF(IFERROR(VLOOKUP(K455,Grinders!$A:$P,27,FALSE),0)&gt;=3,IF(OR(G455&gt;=Config!$B$1001,ISNUMBER(SEARCH(E455,Config!$B$1002))),1,0),0))</f>
        <v>0</v>
      </c>
      <c r="AP455" s="39">
        <f t="array" ref="AP455">IFERROR(IF(INDEX(Bids!$AE:$AE,MATCH(B455,Bids!$A:$A,0))="Pending",1,0),0)</f>
        <v>0</v>
      </c>
      <c r="AQ455" s="39" t="str">
        <f t="array" ref="AQ455">IF(C455="","",IFERROR(XLOOKUP(C455,Assignments!$C:$C,Assignments!$AU:$AU,0),0))</f>
        <v/>
      </c>
      <c r="AR455" s="39">
        <f>IF(AND(Config!$B$1006="Y",AQ455=1),Config!$B$1007,0)</f>
        <v>0</v>
      </c>
    </row>
    <row r="456" ht="15.75" customHeight="1">
      <c r="A456" s="46" t="str">
        <f t="shared" si="1"/>
        <v/>
      </c>
      <c r="B456" s="40" t="str">
        <f>IF(Bids!$A455="","",Bids!$A455)</f>
        <v/>
      </c>
      <c r="C456" s="40" t="str">
        <f>IF(Bids!$B455="","",Bids!$B455)</f>
        <v/>
      </c>
      <c r="D456" s="40" t="str">
        <f>IF($C456="","",IFERROR(VLOOKUP($C456,Orders!$A$4:$J$998,9,FALSE),""))</f>
        <v/>
      </c>
      <c r="E456" s="40" t="str">
        <f>IF($C456="","",IFERROR(VLOOKUP($C456,Orders!$A$4:$J$998,3,FALSE),""))</f>
        <v/>
      </c>
      <c r="F456" s="40">
        <f t="shared" si="2"/>
        <v>1</v>
      </c>
      <c r="G456" s="40" t="str">
        <f>IF($C456="","",IFERROR(VLOOKUP($C456,Orders!$A$4:$J$998,4,FALSE),""))</f>
        <v/>
      </c>
      <c r="H456" s="40" t="str">
        <f>IF($C456="","",IFERROR(VLOOKUP($C456,Orders!$A$4:$J$998,5,FALSE),""))</f>
        <v/>
      </c>
      <c r="I456" s="40" t="str">
        <f>IF($C456="","",IFERROR(VLOOKUP($C456,Orders!$A$4:$J$998,6,FALSE),""))</f>
        <v/>
      </c>
      <c r="J456" s="40" t="str">
        <f>IF($C456="","",IFERROR(VLOOKUP($C456,Orders!$A$4:$J$998,7,FALSE),""))</f>
        <v/>
      </c>
      <c r="K456" s="40" t="str">
        <f>IF(Bids!$C455="","",Bids!$C455)</f>
        <v/>
      </c>
      <c r="L456" s="40" t="str">
        <f>IF($K456="","",IFERROR(VLOOKUP($K456,Grinders!$A$4:$N$998,2,FALSE),""))</f>
        <v/>
      </c>
      <c r="M456" s="40" t="str">
        <f>IF($K456="","",IFERROR(VLOOKUP($K456,Grinders!$A$4:$N$998,3,FALSE),""))</f>
        <v/>
      </c>
      <c r="N456" s="40" t="str">
        <f>IF($K456="","",IFERROR(VLOOKUP($K456,Grinders!$A$4:$N$998,4,FALSE),""))</f>
        <v/>
      </c>
      <c r="O456" s="40" t="str">
        <f>IF($K456="","",IFERROR(VLOOKUP($K456,Grinders!$A$4:$N$998,5,FALSE),""))</f>
        <v/>
      </c>
      <c r="P456" s="40" t="str">
        <f>IF($K456="","",IF($C$4="",0,COUNTIFS(Assignments!$B$6:$B$1000,$K456,Assignments!$F$6:$F$1000,$C$4,Assignments!$E$6:$E$1000,"Active")))</f>
        <v/>
      </c>
      <c r="Q456" s="40" t="str">
        <f t="shared" si="3"/>
        <v/>
      </c>
      <c r="R456" s="40" t="str">
        <f t="shared" si="4"/>
        <v/>
      </c>
      <c r="S456" s="40" t="str">
        <f>IF($K456="","",IF($C$4="",0,COUNTIFS(Assignments!$B$6:$B$1000,$K456,Assignments!$F$6:$F$1000,$C$4,Assignments!$D$6:$D$1000,"&gt;="&amp;Config!$B$3-7,Assignments!$D$6:$D$1000,"&lt;="&amp;Config!$B$3)))</f>
        <v/>
      </c>
      <c r="T456" s="40" t="str">
        <f>IF($K456="","",IFERROR(VLOOKUP($K456,Grinders!$A$4:$N$998,8,FALSE),""))</f>
        <v/>
      </c>
      <c r="U456" s="40" t="str">
        <f>IFERROR(IF($K456="","",IF($M456="Elite",MAX(50,MIN(100,Config!$B$27*MAX(0,MIN(100,(1-IF($R456="",0,$R456))*100)) + Config!$B$28*MAX(0,MIN(100,(1-MIN(1,IF(Config!$B$30=0,1,$S456/Config!$B$30)))*100)) + Config!$B$29*MAX(0,MIN(100,MIN(1,IF($T456="",0,$T456)/Config!$B$23)*100)))),MIN(100,Config!$B$27*MAX(0,MIN(100,(1-IF($R456="",0,$R456))*100)) + Config!$B$28*MAX(0,MIN(100,(1-MIN(1,IF(Config!$B$30=0,1,$S456/Config!$B$30)))*100)) + Config!$B$29*MAX(0,MIN(100,MIN(1,IF($T456="",0,$T456)/Config!$B$23)*100))))),"")
</f>
        <v/>
      </c>
      <c r="V456" s="40" t="str">
        <f>IF(Bids!$AC456="","",Bids!$AC456)</f>
        <v/>
      </c>
      <c r="W456" s="40" t="str">
        <f>IF(Bids!$F455="","",Bids!$F455)</f>
        <v/>
      </c>
      <c r="X456" s="40" t="str">
        <f t="shared" si="5"/>
        <v/>
      </c>
      <c r="Y456" s="40" t="str">
        <f>IF($X456="","",IF(Config!$B$17=Config!$B$16,IF($X456&gt;=Config!$B$17,100,0),MAX(0,MIN(100,($X456-Config!$B$16)/(Config!$B$17-Config!$B$16)*100))))</f>
        <v/>
      </c>
      <c r="Z456" s="40">
        <f>IF($M456="Elite",Config!$B$21,0)</f>
        <v>0</v>
      </c>
      <c r="AA456" s="40" t="str">
        <f>IFERROR(IF(OR($W456="",$H456=""),"",IF($W456&gt;$H456,
  MAX(0, 60-(($W456-$H456)*24/Config!$B$19)*60),
  MIN(100, 60+(($H456-$W456)*24/Config!$B$20)*40)
)),"")
</f>
        <v/>
      </c>
      <c r="AB456" s="40" t="str">
        <f>IF($K456="","",IFERROR(VLOOKUP($K456,Grinders!$A$4:$N$998,10,FALSE)/5*100,""))</f>
        <v/>
      </c>
      <c r="AC456" s="40" t="str">
        <f>IF($K456="","",IFERROR(VLOOKUP($K456,Grinders!$A$4:$N$998,11,FALSE)*100,""))</f>
        <v/>
      </c>
      <c r="AD456" s="40" t="str">
        <f>IF($K456="","",IFERROR(VLOOKUP($K456,Grinders!$A$4:$N$998,12,FALSE)*100,""))</f>
        <v/>
      </c>
      <c r="AE456" s="40" t="str">
        <f>IF(OR(AO456=1,AP456=1),0,=IFERROR(IFS(
    OR($C456="", $K456=""), 0,
    $F456=0, 0,
    $D456&lt;&gt;"Open", 0,
    COUNTIFS(GrinderServices!$A$6:$A$1000, $K456, GrinderServices!$B$6:$B$1000, $E456, GrinderServices!$D$6:$D$1000, "Y")=0, 0,
    $X456&lt;Config!$B$16, 0,
    Config!$B$18=1, IF($O456&gt;=N456, 0, 1),
    TRUE, 1
), "")
)</f>
        <v>#ERROR!</v>
      </c>
      <c r="AF456" s="40" t="str">
        <f>IFERROR((IF(OR(AO456=1,AP456=1),"",=IFERROR((IFERROR(IF($AE456=0,"",((Config!$B$6*$Y456 + Config!$B$7*$U456 + Config!$B$8*$Z456 + Config!$B$9*$AA456 + Config!$B$10*$AB456 + Config!$B$11*$AC456 - Config!$B$12*$AD456)/Config!$B$13)+$AK456+$AL456),""))*(1-IFERROR(VLOOKUP(K456,Grinders!$A:$AB, 28, FALSE),0)),"")))*(1+AR456),"")</f>
        <v>#ERROR!</v>
      </c>
      <c r="AG456" s="40" t="str">
        <f t="shared" si="6"/>
        <v>#ERROR!</v>
      </c>
      <c r="AH456" s="40" t="str">
        <f t="shared" si="7"/>
        <v/>
      </c>
      <c r="AI456" s="40" t="str">
        <f t="shared" si="8"/>
        <v/>
      </c>
      <c r="AJ456" s="40" t="str">
        <f>IF($K456="","",COUNTIF(Assignments!$B$6:$B$1000,$K456))</f>
        <v/>
      </c>
      <c r="AK456" s="40" t="str">
        <f>IF($K456="","",IF(AND($AJ456=0,$O456&lt;$N456),Config!$B$43,0))</f>
        <v/>
      </c>
      <c r="AL456" s="40" t="str">
        <f>IF($K456="","",IF(AND($M456="Elite",$G456&gt;=Config!$B$41,$O456&lt;$N456),Config!$B$42,0))</f>
        <v/>
      </c>
      <c r="AM456" s="22"/>
      <c r="AN456" s="39">
        <f>IFERROR(VLOOKUP(K456,Grinders!$A:$Q,28,FALSE),0)</f>
        <v>0</v>
      </c>
      <c r="AO456" s="39">
        <f>IF(Config!$B$1003&lt;&gt;"Y",0,IF(IFERROR(VLOOKUP(K456,Grinders!$A:$P,27,FALSE),0)&gt;=3,IF(OR(G456&gt;=Config!$B$1001,ISNUMBER(SEARCH(E456,Config!$B$1002))),1,0),0))</f>
        <v>0</v>
      </c>
      <c r="AP456" s="39">
        <f t="array" ref="AP456">IFERROR(IF(INDEX(Bids!$AE:$AE,MATCH(B456,Bids!$A:$A,0))="Pending",1,0),0)</f>
        <v>0</v>
      </c>
      <c r="AQ456" s="39" t="str">
        <f t="array" ref="AQ456">IF(C456="","",IFERROR(XLOOKUP(C456,Assignments!$C:$C,Assignments!$AU:$AU,0),0))</f>
        <v/>
      </c>
      <c r="AR456" s="39">
        <f>IF(AND(Config!$B$1006="Y",AQ456=1),Config!$B$1007,0)</f>
        <v>0</v>
      </c>
    </row>
    <row r="457" ht="15.75" customHeight="1">
      <c r="A457" s="46" t="str">
        <f t="shared" si="1"/>
        <v/>
      </c>
      <c r="B457" s="40" t="str">
        <f>IF(Bids!$A456="","",Bids!$A456)</f>
        <v/>
      </c>
      <c r="C457" s="40" t="str">
        <f>IF(Bids!$B456="","",Bids!$B456)</f>
        <v/>
      </c>
      <c r="D457" s="40" t="str">
        <f>IF($C457="","",IFERROR(VLOOKUP($C457,Orders!$A$4:$J$998,9,FALSE),""))</f>
        <v/>
      </c>
      <c r="E457" s="40" t="str">
        <f>IF($C457="","",IFERROR(VLOOKUP($C457,Orders!$A$4:$J$998,3,FALSE),""))</f>
        <v/>
      </c>
      <c r="F457" s="40">
        <f t="shared" si="2"/>
        <v>1</v>
      </c>
      <c r="G457" s="40" t="str">
        <f>IF($C457="","",IFERROR(VLOOKUP($C457,Orders!$A$4:$J$998,4,FALSE),""))</f>
        <v/>
      </c>
      <c r="H457" s="40" t="str">
        <f>IF($C457="","",IFERROR(VLOOKUP($C457,Orders!$A$4:$J$998,5,FALSE),""))</f>
        <v/>
      </c>
      <c r="I457" s="40" t="str">
        <f>IF($C457="","",IFERROR(VLOOKUP($C457,Orders!$A$4:$J$998,6,FALSE),""))</f>
        <v/>
      </c>
      <c r="J457" s="40" t="str">
        <f>IF($C457="","",IFERROR(VLOOKUP($C457,Orders!$A$4:$J$998,7,FALSE),""))</f>
        <v/>
      </c>
      <c r="K457" s="40" t="str">
        <f>IF(Bids!$C456="","",Bids!$C456)</f>
        <v/>
      </c>
      <c r="L457" s="40" t="str">
        <f>IF($K457="","",IFERROR(VLOOKUP($K457,Grinders!$A$4:$N$998,2,FALSE),""))</f>
        <v/>
      </c>
      <c r="M457" s="40" t="str">
        <f>IF($K457="","",IFERROR(VLOOKUP($K457,Grinders!$A$4:$N$998,3,FALSE),""))</f>
        <v/>
      </c>
      <c r="N457" s="40" t="str">
        <f>IF($K457="","",IFERROR(VLOOKUP($K457,Grinders!$A$4:$N$998,4,FALSE),""))</f>
        <v/>
      </c>
      <c r="O457" s="40" t="str">
        <f>IF($K457="","",IFERROR(VLOOKUP($K457,Grinders!$A$4:$N$998,5,FALSE),""))</f>
        <v/>
      </c>
      <c r="P457" s="40" t="str">
        <f>IF($K457="","",IF($C$4="",0,COUNTIFS(Assignments!$B$6:$B$1000,$K457,Assignments!$F$6:$F$1000,$C$4,Assignments!$E$6:$E$1000,"Active")))</f>
        <v/>
      </c>
      <c r="Q457" s="40" t="str">
        <f t="shared" si="3"/>
        <v/>
      </c>
      <c r="R457" s="40" t="str">
        <f t="shared" si="4"/>
        <v/>
      </c>
      <c r="S457" s="40" t="str">
        <f>IF($K457="","",IF($C$4="",0,COUNTIFS(Assignments!$B$6:$B$1000,$K457,Assignments!$F$6:$F$1000,$C$4,Assignments!$D$6:$D$1000,"&gt;="&amp;Config!$B$3-7,Assignments!$D$6:$D$1000,"&lt;="&amp;Config!$B$3)))</f>
        <v/>
      </c>
      <c r="T457" s="40" t="str">
        <f>IF($K457="","",IFERROR(VLOOKUP($K457,Grinders!$A$4:$N$998,8,FALSE),""))</f>
        <v/>
      </c>
      <c r="U457" s="40" t="str">
        <f>IFERROR(IF($K457="","",IF($M457="Elite",MAX(50,MIN(100,Config!$B$27*MAX(0,MIN(100,(1-IF($R457="",0,$R457))*100)) + Config!$B$28*MAX(0,MIN(100,(1-MIN(1,IF(Config!$B$30=0,1,$S457/Config!$B$30)))*100)) + Config!$B$29*MAX(0,MIN(100,MIN(1,IF($T457="",0,$T457)/Config!$B$23)*100)))),MIN(100,Config!$B$27*MAX(0,MIN(100,(1-IF($R457="",0,$R457))*100)) + Config!$B$28*MAX(0,MIN(100,(1-MIN(1,IF(Config!$B$30=0,1,$S457/Config!$B$30)))*100)) + Config!$B$29*MAX(0,MIN(100,MIN(1,IF($T457="",0,$T457)/Config!$B$23)*100))))),"")
</f>
        <v/>
      </c>
      <c r="V457" s="40" t="str">
        <f>IF(Bids!$AC457="","",Bids!$AC457)</f>
        <v/>
      </c>
      <c r="W457" s="40" t="str">
        <f>IF(Bids!$F456="","",Bids!$F456)</f>
        <v/>
      </c>
      <c r="X457" s="40" t="str">
        <f t="shared" si="5"/>
        <v/>
      </c>
      <c r="Y457" s="40" t="str">
        <f>IF($X457="","",IF(Config!$B$17=Config!$B$16,IF($X457&gt;=Config!$B$17,100,0),MAX(0,MIN(100,($X457-Config!$B$16)/(Config!$B$17-Config!$B$16)*100))))</f>
        <v/>
      </c>
      <c r="Z457" s="40">
        <f>IF($M457="Elite",Config!$B$21,0)</f>
        <v>0</v>
      </c>
      <c r="AA457" s="40" t="str">
        <f>IFERROR(IF(OR($W457="",$H457=""),"",IF($W457&gt;$H457,
  MAX(0, 60-(($W457-$H457)*24/Config!$B$19)*60),
  MIN(100, 60+(($H457-$W457)*24/Config!$B$20)*40)
)),"")
</f>
        <v/>
      </c>
      <c r="AB457" s="40" t="str">
        <f>IF($K457="","",IFERROR(VLOOKUP($K457,Grinders!$A$4:$N$998,10,FALSE)/5*100,""))</f>
        <v/>
      </c>
      <c r="AC457" s="40" t="str">
        <f>IF($K457="","",IFERROR(VLOOKUP($K457,Grinders!$A$4:$N$998,11,FALSE)*100,""))</f>
        <v/>
      </c>
      <c r="AD457" s="40" t="str">
        <f>IF($K457="","",IFERROR(VLOOKUP($K457,Grinders!$A$4:$N$998,12,FALSE)*100,""))</f>
        <v/>
      </c>
      <c r="AE457" s="40" t="str">
        <f>IF(OR(AO457=1,AP457=1),0,=IFERROR(IFS(
    OR($C457="", $K457=""), 0,
    $F457=0, 0,
    $D457&lt;&gt;"Open", 0,
    COUNTIFS(GrinderServices!$A$6:$A$1000, $K457, GrinderServices!$B$6:$B$1000, $E457, GrinderServices!$D$6:$D$1000, "Y")=0, 0,
    $X457&lt;Config!$B$16, 0,
    Config!$B$18=1, IF($O457&gt;=N457, 0, 1),
    TRUE, 1
), "")
)</f>
        <v>#ERROR!</v>
      </c>
      <c r="AF457" s="40" t="str">
        <f>IFERROR((IF(OR(AO457=1,AP457=1),"",=IFERROR((IFERROR(IF($AE457=0,"",((Config!$B$6*$Y457 + Config!$B$7*$U457 + Config!$B$8*$Z457 + Config!$B$9*$AA457 + Config!$B$10*$AB457 + Config!$B$11*$AC457 - Config!$B$12*$AD457)/Config!$B$13)+$AK457+$AL457),""))*(1-IFERROR(VLOOKUP(K457,Grinders!$A:$AB, 28, FALSE),0)),"")))*(1+AR457),"")</f>
        <v>#ERROR!</v>
      </c>
      <c r="AG457" s="40" t="str">
        <f t="shared" si="6"/>
        <v>#ERROR!</v>
      </c>
      <c r="AH457" s="40" t="str">
        <f t="shared" si="7"/>
        <v/>
      </c>
      <c r="AI457" s="40" t="str">
        <f t="shared" si="8"/>
        <v/>
      </c>
      <c r="AJ457" s="40" t="str">
        <f>IF($K457="","",COUNTIF(Assignments!$B$6:$B$1000,$K457))</f>
        <v/>
      </c>
      <c r="AK457" s="40" t="str">
        <f>IF($K457="","",IF(AND($AJ457=0,$O457&lt;$N457),Config!$B$43,0))</f>
        <v/>
      </c>
      <c r="AL457" s="40" t="str">
        <f>IF($K457="","",IF(AND($M457="Elite",$G457&gt;=Config!$B$41,$O457&lt;$N457),Config!$B$42,0))</f>
        <v/>
      </c>
      <c r="AM457" s="22"/>
      <c r="AN457" s="39">
        <f>IFERROR(VLOOKUP(K457,Grinders!$A:$Q,28,FALSE),0)</f>
        <v>0</v>
      </c>
      <c r="AO457" s="39">
        <f>IF(Config!$B$1003&lt;&gt;"Y",0,IF(IFERROR(VLOOKUP(K457,Grinders!$A:$P,27,FALSE),0)&gt;=3,IF(OR(G457&gt;=Config!$B$1001,ISNUMBER(SEARCH(E457,Config!$B$1002))),1,0),0))</f>
        <v>0</v>
      </c>
      <c r="AP457" s="39">
        <f t="array" ref="AP457">IFERROR(IF(INDEX(Bids!$AE:$AE,MATCH(B457,Bids!$A:$A,0))="Pending",1,0),0)</f>
        <v>0</v>
      </c>
      <c r="AQ457" s="39" t="str">
        <f t="array" ref="AQ457">IF(C457="","",IFERROR(XLOOKUP(C457,Assignments!$C:$C,Assignments!$AU:$AU,0),0))</f>
        <v/>
      </c>
      <c r="AR457" s="39">
        <f>IF(AND(Config!$B$1006="Y",AQ457=1),Config!$B$1007,0)</f>
        <v>0</v>
      </c>
    </row>
    <row r="458" ht="15.75" customHeight="1">
      <c r="A458" s="46" t="str">
        <f t="shared" si="1"/>
        <v/>
      </c>
      <c r="B458" s="40" t="str">
        <f>IF(Bids!$A457="","",Bids!$A457)</f>
        <v/>
      </c>
      <c r="C458" s="40" t="str">
        <f>IF(Bids!$B457="","",Bids!$B457)</f>
        <v/>
      </c>
      <c r="D458" s="40" t="str">
        <f>IF($C458="","",IFERROR(VLOOKUP($C458,Orders!$A$4:$J$998,9,FALSE),""))</f>
        <v/>
      </c>
      <c r="E458" s="40" t="str">
        <f>IF($C458="","",IFERROR(VLOOKUP($C458,Orders!$A$4:$J$998,3,FALSE),""))</f>
        <v/>
      </c>
      <c r="F458" s="40">
        <f t="shared" si="2"/>
        <v>1</v>
      </c>
      <c r="G458" s="40" t="str">
        <f>IF($C458="","",IFERROR(VLOOKUP($C458,Orders!$A$4:$J$998,4,FALSE),""))</f>
        <v/>
      </c>
      <c r="H458" s="40" t="str">
        <f>IF($C458="","",IFERROR(VLOOKUP($C458,Orders!$A$4:$J$998,5,FALSE),""))</f>
        <v/>
      </c>
      <c r="I458" s="40" t="str">
        <f>IF($C458="","",IFERROR(VLOOKUP($C458,Orders!$A$4:$J$998,6,FALSE),""))</f>
        <v/>
      </c>
      <c r="J458" s="40" t="str">
        <f>IF($C458="","",IFERROR(VLOOKUP($C458,Orders!$A$4:$J$998,7,FALSE),""))</f>
        <v/>
      </c>
      <c r="K458" s="40" t="str">
        <f>IF(Bids!$C457="","",Bids!$C457)</f>
        <v/>
      </c>
      <c r="L458" s="40" t="str">
        <f>IF($K458="","",IFERROR(VLOOKUP($K458,Grinders!$A$4:$N$998,2,FALSE),""))</f>
        <v/>
      </c>
      <c r="M458" s="40" t="str">
        <f>IF($K458="","",IFERROR(VLOOKUP($K458,Grinders!$A$4:$N$998,3,FALSE),""))</f>
        <v/>
      </c>
      <c r="N458" s="40" t="str">
        <f>IF($K458="","",IFERROR(VLOOKUP($K458,Grinders!$A$4:$N$998,4,FALSE),""))</f>
        <v/>
      </c>
      <c r="O458" s="40" t="str">
        <f>IF($K458="","",IFERROR(VLOOKUP($K458,Grinders!$A$4:$N$998,5,FALSE),""))</f>
        <v/>
      </c>
      <c r="P458" s="40" t="str">
        <f>IF($K458="","",IF($C$4="",0,COUNTIFS(Assignments!$B$6:$B$1000,$K458,Assignments!$F$6:$F$1000,$C$4,Assignments!$E$6:$E$1000,"Active")))</f>
        <v/>
      </c>
      <c r="Q458" s="40" t="str">
        <f t="shared" si="3"/>
        <v/>
      </c>
      <c r="R458" s="40" t="str">
        <f t="shared" si="4"/>
        <v/>
      </c>
      <c r="S458" s="40" t="str">
        <f>IF($K458="","",IF($C$4="",0,COUNTIFS(Assignments!$B$6:$B$1000,$K458,Assignments!$F$6:$F$1000,$C$4,Assignments!$D$6:$D$1000,"&gt;="&amp;Config!$B$3-7,Assignments!$D$6:$D$1000,"&lt;="&amp;Config!$B$3)))</f>
        <v/>
      </c>
      <c r="T458" s="40" t="str">
        <f>IF($K458="","",IFERROR(VLOOKUP($K458,Grinders!$A$4:$N$998,8,FALSE),""))</f>
        <v/>
      </c>
      <c r="U458" s="40" t="str">
        <f>IFERROR(IF($K458="","",IF($M458="Elite",MAX(50,MIN(100,Config!$B$27*MAX(0,MIN(100,(1-IF($R458="",0,$R458))*100)) + Config!$B$28*MAX(0,MIN(100,(1-MIN(1,IF(Config!$B$30=0,1,$S458/Config!$B$30)))*100)) + Config!$B$29*MAX(0,MIN(100,MIN(1,IF($T458="",0,$T458)/Config!$B$23)*100)))),MIN(100,Config!$B$27*MAX(0,MIN(100,(1-IF($R458="",0,$R458))*100)) + Config!$B$28*MAX(0,MIN(100,(1-MIN(1,IF(Config!$B$30=0,1,$S458/Config!$B$30)))*100)) + Config!$B$29*MAX(0,MIN(100,MIN(1,IF($T458="",0,$T458)/Config!$B$23)*100))))),"")
</f>
        <v/>
      </c>
      <c r="V458" s="40" t="str">
        <f>IF(Bids!$AC458="","",Bids!$AC458)</f>
        <v/>
      </c>
      <c r="W458" s="40" t="str">
        <f>IF(Bids!$F457="","",Bids!$F457)</f>
        <v/>
      </c>
      <c r="X458" s="40" t="str">
        <f t="shared" si="5"/>
        <v/>
      </c>
      <c r="Y458" s="40" t="str">
        <f>IF($X458="","",IF(Config!$B$17=Config!$B$16,IF($X458&gt;=Config!$B$17,100,0),MAX(0,MIN(100,($X458-Config!$B$16)/(Config!$B$17-Config!$B$16)*100))))</f>
        <v/>
      </c>
      <c r="Z458" s="40">
        <f>IF($M458="Elite",Config!$B$21,0)</f>
        <v>0</v>
      </c>
      <c r="AA458" s="40" t="str">
        <f>IFERROR(IF(OR($W458="",$H458=""),"",IF($W458&gt;$H458,
  MAX(0, 60-(($W458-$H458)*24/Config!$B$19)*60),
  MIN(100, 60+(($H458-$W458)*24/Config!$B$20)*40)
)),"")
</f>
        <v/>
      </c>
      <c r="AB458" s="40" t="str">
        <f>IF($K458="","",IFERROR(VLOOKUP($K458,Grinders!$A$4:$N$998,10,FALSE)/5*100,""))</f>
        <v/>
      </c>
      <c r="AC458" s="40" t="str">
        <f>IF($K458="","",IFERROR(VLOOKUP($K458,Grinders!$A$4:$N$998,11,FALSE)*100,""))</f>
        <v/>
      </c>
      <c r="AD458" s="40" t="str">
        <f>IF($K458="","",IFERROR(VLOOKUP($K458,Grinders!$A$4:$N$998,12,FALSE)*100,""))</f>
        <v/>
      </c>
      <c r="AE458" s="40" t="str">
        <f>IF(OR(AO458=1,AP458=1),0,=IFERROR(IFS(
    OR($C458="", $K458=""), 0,
    $F458=0, 0,
    $D458&lt;&gt;"Open", 0,
    COUNTIFS(GrinderServices!$A$6:$A$1000, $K458, GrinderServices!$B$6:$B$1000, $E458, GrinderServices!$D$6:$D$1000, "Y")=0, 0,
    $X458&lt;Config!$B$16, 0,
    Config!$B$18=1, IF($O458&gt;=N458, 0, 1),
    TRUE, 1
), "")
)</f>
        <v>#ERROR!</v>
      </c>
      <c r="AF458" s="40" t="str">
        <f>IFERROR((IF(OR(AO458=1,AP458=1),"",=IFERROR((IFERROR(IF($AE458=0,"",((Config!$B$6*$Y458 + Config!$B$7*$U458 + Config!$B$8*$Z458 + Config!$B$9*$AA458 + Config!$B$10*$AB458 + Config!$B$11*$AC458 - Config!$B$12*$AD458)/Config!$B$13)+$AK458+$AL458),""))*(1-IFERROR(VLOOKUP(K458,Grinders!$A:$AB, 28, FALSE),0)),"")))*(1+AR458),"")</f>
        <v>#ERROR!</v>
      </c>
      <c r="AG458" s="40" t="str">
        <f t="shared" si="6"/>
        <v>#ERROR!</v>
      </c>
      <c r="AH458" s="40" t="str">
        <f t="shared" si="7"/>
        <v/>
      </c>
      <c r="AI458" s="40" t="str">
        <f t="shared" si="8"/>
        <v/>
      </c>
      <c r="AJ458" s="40" t="str">
        <f>IF($K458="","",COUNTIF(Assignments!$B$6:$B$1000,$K458))</f>
        <v/>
      </c>
      <c r="AK458" s="40" t="str">
        <f>IF($K458="","",IF(AND($AJ458=0,$O458&lt;$N458),Config!$B$43,0))</f>
        <v/>
      </c>
      <c r="AL458" s="40" t="str">
        <f>IF($K458="","",IF(AND($M458="Elite",$G458&gt;=Config!$B$41,$O458&lt;$N458),Config!$B$42,0))</f>
        <v/>
      </c>
      <c r="AM458" s="22"/>
      <c r="AN458" s="39">
        <f>IFERROR(VLOOKUP(K458,Grinders!$A:$Q,28,FALSE),0)</f>
        <v>0</v>
      </c>
      <c r="AO458" s="39">
        <f>IF(Config!$B$1003&lt;&gt;"Y",0,IF(IFERROR(VLOOKUP(K458,Grinders!$A:$P,27,FALSE),0)&gt;=3,IF(OR(G458&gt;=Config!$B$1001,ISNUMBER(SEARCH(E458,Config!$B$1002))),1,0),0))</f>
        <v>0</v>
      </c>
      <c r="AP458" s="39">
        <f t="array" ref="AP458">IFERROR(IF(INDEX(Bids!$AE:$AE,MATCH(B458,Bids!$A:$A,0))="Pending",1,0),0)</f>
        <v>0</v>
      </c>
      <c r="AQ458" s="39" t="str">
        <f t="array" ref="AQ458">IF(C458="","",IFERROR(XLOOKUP(C458,Assignments!$C:$C,Assignments!$AU:$AU,0),0))</f>
        <v/>
      </c>
      <c r="AR458" s="39">
        <f>IF(AND(Config!$B$1006="Y",AQ458=1),Config!$B$1007,0)</f>
        <v>0</v>
      </c>
    </row>
    <row r="459" ht="15.75" customHeight="1">
      <c r="A459" s="46" t="str">
        <f t="shared" si="1"/>
        <v/>
      </c>
      <c r="B459" s="40" t="str">
        <f>IF(Bids!$A458="","",Bids!$A458)</f>
        <v/>
      </c>
      <c r="C459" s="40" t="str">
        <f>IF(Bids!$B458="","",Bids!$B458)</f>
        <v/>
      </c>
      <c r="D459" s="40" t="str">
        <f>IF($C459="","",IFERROR(VLOOKUP($C459,Orders!$A$4:$J$998,9,FALSE),""))</f>
        <v/>
      </c>
      <c r="E459" s="40" t="str">
        <f>IF($C459="","",IFERROR(VLOOKUP($C459,Orders!$A$4:$J$998,3,FALSE),""))</f>
        <v/>
      </c>
      <c r="F459" s="40">
        <f t="shared" si="2"/>
        <v>1</v>
      </c>
      <c r="G459" s="40" t="str">
        <f>IF($C459="","",IFERROR(VLOOKUP($C459,Orders!$A$4:$J$998,4,FALSE),""))</f>
        <v/>
      </c>
      <c r="H459" s="40" t="str">
        <f>IF($C459="","",IFERROR(VLOOKUP($C459,Orders!$A$4:$J$998,5,FALSE),""))</f>
        <v/>
      </c>
      <c r="I459" s="40" t="str">
        <f>IF($C459="","",IFERROR(VLOOKUP($C459,Orders!$A$4:$J$998,6,FALSE),""))</f>
        <v/>
      </c>
      <c r="J459" s="40" t="str">
        <f>IF($C459="","",IFERROR(VLOOKUP($C459,Orders!$A$4:$J$998,7,FALSE),""))</f>
        <v/>
      </c>
      <c r="K459" s="40" t="str">
        <f>IF(Bids!$C458="","",Bids!$C458)</f>
        <v/>
      </c>
      <c r="L459" s="40" t="str">
        <f>IF($K459="","",IFERROR(VLOOKUP($K459,Grinders!$A$4:$N$998,2,FALSE),""))</f>
        <v/>
      </c>
      <c r="M459" s="40" t="str">
        <f>IF($K459="","",IFERROR(VLOOKUP($K459,Grinders!$A$4:$N$998,3,FALSE),""))</f>
        <v/>
      </c>
      <c r="N459" s="40" t="str">
        <f>IF($K459="","",IFERROR(VLOOKUP($K459,Grinders!$A$4:$N$998,4,FALSE),""))</f>
        <v/>
      </c>
      <c r="O459" s="40" t="str">
        <f>IF($K459="","",IFERROR(VLOOKUP($K459,Grinders!$A$4:$N$998,5,FALSE),""))</f>
        <v/>
      </c>
      <c r="P459" s="40" t="str">
        <f>IF($K459="","",IF($C$4="",0,COUNTIFS(Assignments!$B$6:$B$1000,$K459,Assignments!$F$6:$F$1000,$C$4,Assignments!$E$6:$E$1000,"Active")))</f>
        <v/>
      </c>
      <c r="Q459" s="40" t="str">
        <f t="shared" si="3"/>
        <v/>
      </c>
      <c r="R459" s="40" t="str">
        <f t="shared" si="4"/>
        <v/>
      </c>
      <c r="S459" s="40" t="str">
        <f>IF($K459="","",IF($C$4="",0,COUNTIFS(Assignments!$B$6:$B$1000,$K459,Assignments!$F$6:$F$1000,$C$4,Assignments!$D$6:$D$1000,"&gt;="&amp;Config!$B$3-7,Assignments!$D$6:$D$1000,"&lt;="&amp;Config!$B$3)))</f>
        <v/>
      </c>
      <c r="T459" s="40" t="str">
        <f>IF($K459="","",IFERROR(VLOOKUP($K459,Grinders!$A$4:$N$998,8,FALSE),""))</f>
        <v/>
      </c>
      <c r="U459" s="40" t="str">
        <f>IFERROR(IF($K459="","",IF($M459="Elite",MAX(50,MIN(100,Config!$B$27*MAX(0,MIN(100,(1-IF($R459="",0,$R459))*100)) + Config!$B$28*MAX(0,MIN(100,(1-MIN(1,IF(Config!$B$30=0,1,$S459/Config!$B$30)))*100)) + Config!$B$29*MAX(0,MIN(100,MIN(1,IF($T459="",0,$T459)/Config!$B$23)*100)))),MIN(100,Config!$B$27*MAX(0,MIN(100,(1-IF($R459="",0,$R459))*100)) + Config!$B$28*MAX(0,MIN(100,(1-MIN(1,IF(Config!$B$30=0,1,$S459/Config!$B$30)))*100)) + Config!$B$29*MAX(0,MIN(100,MIN(1,IF($T459="",0,$T459)/Config!$B$23)*100))))),"")
</f>
        <v/>
      </c>
      <c r="V459" s="40" t="str">
        <f>IF(Bids!$AC459="","",Bids!$AC459)</f>
        <v/>
      </c>
      <c r="W459" s="40" t="str">
        <f>IF(Bids!$F458="","",Bids!$F458)</f>
        <v/>
      </c>
      <c r="X459" s="40" t="str">
        <f t="shared" si="5"/>
        <v/>
      </c>
      <c r="Y459" s="40" t="str">
        <f>IF($X459="","",IF(Config!$B$17=Config!$B$16,IF($X459&gt;=Config!$B$17,100,0),MAX(0,MIN(100,($X459-Config!$B$16)/(Config!$B$17-Config!$B$16)*100))))</f>
        <v/>
      </c>
      <c r="Z459" s="40">
        <f>IF($M459="Elite",Config!$B$21,0)</f>
        <v>0</v>
      </c>
      <c r="AA459" s="40" t="str">
        <f>IFERROR(IF(OR($W459="",$H459=""),"",IF($W459&gt;$H459,
  MAX(0, 60-(($W459-$H459)*24/Config!$B$19)*60),
  MIN(100, 60+(($H459-$W459)*24/Config!$B$20)*40)
)),"")
</f>
        <v/>
      </c>
      <c r="AB459" s="40" t="str">
        <f>IF($K459="","",IFERROR(VLOOKUP($K459,Grinders!$A$4:$N$998,10,FALSE)/5*100,""))</f>
        <v/>
      </c>
      <c r="AC459" s="40" t="str">
        <f>IF($K459="","",IFERROR(VLOOKUP($K459,Grinders!$A$4:$N$998,11,FALSE)*100,""))</f>
        <v/>
      </c>
      <c r="AD459" s="40" t="str">
        <f>IF($K459="","",IFERROR(VLOOKUP($K459,Grinders!$A$4:$N$998,12,FALSE)*100,""))</f>
        <v/>
      </c>
      <c r="AE459" s="40" t="str">
        <f>IF(OR(AO459=1,AP459=1),0,=IFERROR(IFS(
    OR($C459="", $K459=""), 0,
    $F459=0, 0,
    $D459&lt;&gt;"Open", 0,
    COUNTIFS(GrinderServices!$A$6:$A$1000, $K459, GrinderServices!$B$6:$B$1000, $E459, GrinderServices!$D$6:$D$1000, "Y")=0, 0,
    $X459&lt;Config!$B$16, 0,
    Config!$B$18=1, IF($O459&gt;=N459, 0, 1),
    TRUE, 1
), "")
)</f>
        <v>#ERROR!</v>
      </c>
      <c r="AF459" s="40" t="str">
        <f>IFERROR((IF(OR(AO459=1,AP459=1),"",=IFERROR((IFERROR(IF($AE459=0,"",((Config!$B$6*$Y459 + Config!$B$7*$U459 + Config!$B$8*$Z459 + Config!$B$9*$AA459 + Config!$B$10*$AB459 + Config!$B$11*$AC459 - Config!$B$12*$AD459)/Config!$B$13)+$AK459+$AL459),""))*(1-IFERROR(VLOOKUP(K459,Grinders!$A:$AB, 28, FALSE),0)),"")))*(1+AR459),"")</f>
        <v>#ERROR!</v>
      </c>
      <c r="AG459" s="40" t="str">
        <f t="shared" si="6"/>
        <v>#ERROR!</v>
      </c>
      <c r="AH459" s="40" t="str">
        <f t="shared" si="7"/>
        <v/>
      </c>
      <c r="AI459" s="40" t="str">
        <f t="shared" si="8"/>
        <v/>
      </c>
      <c r="AJ459" s="40" t="str">
        <f>IF($K459="","",COUNTIF(Assignments!$B$6:$B$1000,$K459))</f>
        <v/>
      </c>
      <c r="AK459" s="40" t="str">
        <f>IF($K459="","",IF(AND($AJ459=0,$O459&lt;$N459),Config!$B$43,0))</f>
        <v/>
      </c>
      <c r="AL459" s="40" t="str">
        <f>IF($K459="","",IF(AND($M459="Elite",$G459&gt;=Config!$B$41,$O459&lt;$N459),Config!$B$42,0))</f>
        <v/>
      </c>
      <c r="AM459" s="22"/>
      <c r="AN459" s="39">
        <f>IFERROR(VLOOKUP(K459,Grinders!$A:$Q,28,FALSE),0)</f>
        <v>0</v>
      </c>
      <c r="AO459" s="39">
        <f>IF(Config!$B$1003&lt;&gt;"Y",0,IF(IFERROR(VLOOKUP(K459,Grinders!$A:$P,27,FALSE),0)&gt;=3,IF(OR(G459&gt;=Config!$B$1001,ISNUMBER(SEARCH(E459,Config!$B$1002))),1,0),0))</f>
        <v>0</v>
      </c>
      <c r="AP459" s="39">
        <f t="array" ref="AP459">IFERROR(IF(INDEX(Bids!$AE:$AE,MATCH(B459,Bids!$A:$A,0))="Pending",1,0),0)</f>
        <v>0</v>
      </c>
      <c r="AQ459" s="39" t="str">
        <f t="array" ref="AQ459">IF(C459="","",IFERROR(XLOOKUP(C459,Assignments!$C:$C,Assignments!$AU:$AU,0),0))</f>
        <v/>
      </c>
      <c r="AR459" s="39">
        <f>IF(AND(Config!$B$1006="Y",AQ459=1),Config!$B$1007,0)</f>
        <v>0</v>
      </c>
    </row>
    <row r="460" ht="15.75" customHeight="1">
      <c r="A460" s="46" t="str">
        <f t="shared" si="1"/>
        <v/>
      </c>
      <c r="B460" s="40" t="str">
        <f>IF(Bids!$A459="","",Bids!$A459)</f>
        <v/>
      </c>
      <c r="C460" s="40" t="str">
        <f>IF(Bids!$B459="","",Bids!$B459)</f>
        <v/>
      </c>
      <c r="D460" s="40" t="str">
        <f>IF($C460="","",IFERROR(VLOOKUP($C460,Orders!$A$4:$J$998,9,FALSE),""))</f>
        <v/>
      </c>
      <c r="E460" s="40" t="str">
        <f>IF($C460="","",IFERROR(VLOOKUP($C460,Orders!$A$4:$J$998,3,FALSE),""))</f>
        <v/>
      </c>
      <c r="F460" s="40">
        <f t="shared" si="2"/>
        <v>1</v>
      </c>
      <c r="G460" s="40" t="str">
        <f>IF($C460="","",IFERROR(VLOOKUP($C460,Orders!$A$4:$J$998,4,FALSE),""))</f>
        <v/>
      </c>
      <c r="H460" s="40" t="str">
        <f>IF($C460="","",IFERROR(VLOOKUP($C460,Orders!$A$4:$J$998,5,FALSE),""))</f>
        <v/>
      </c>
      <c r="I460" s="40" t="str">
        <f>IF($C460="","",IFERROR(VLOOKUP($C460,Orders!$A$4:$J$998,6,FALSE),""))</f>
        <v/>
      </c>
      <c r="J460" s="40" t="str">
        <f>IF($C460="","",IFERROR(VLOOKUP($C460,Orders!$A$4:$J$998,7,FALSE),""))</f>
        <v/>
      </c>
      <c r="K460" s="40" t="str">
        <f>IF(Bids!$C459="","",Bids!$C459)</f>
        <v/>
      </c>
      <c r="L460" s="40" t="str">
        <f>IF($K460="","",IFERROR(VLOOKUP($K460,Grinders!$A$4:$N$998,2,FALSE),""))</f>
        <v/>
      </c>
      <c r="M460" s="40" t="str">
        <f>IF($K460="","",IFERROR(VLOOKUP($K460,Grinders!$A$4:$N$998,3,FALSE),""))</f>
        <v/>
      </c>
      <c r="N460" s="40" t="str">
        <f>IF($K460="","",IFERROR(VLOOKUP($K460,Grinders!$A$4:$N$998,4,FALSE),""))</f>
        <v/>
      </c>
      <c r="O460" s="40" t="str">
        <f>IF($K460="","",IFERROR(VLOOKUP($K460,Grinders!$A$4:$N$998,5,FALSE),""))</f>
        <v/>
      </c>
      <c r="P460" s="40" t="str">
        <f>IF($K460="","",IF($C$4="",0,COUNTIFS(Assignments!$B$6:$B$1000,$K460,Assignments!$F$6:$F$1000,$C$4,Assignments!$E$6:$E$1000,"Active")))</f>
        <v/>
      </c>
      <c r="Q460" s="40" t="str">
        <f t="shared" si="3"/>
        <v/>
      </c>
      <c r="R460" s="40" t="str">
        <f t="shared" si="4"/>
        <v/>
      </c>
      <c r="S460" s="40" t="str">
        <f>IF($K460="","",IF($C$4="",0,COUNTIFS(Assignments!$B$6:$B$1000,$K460,Assignments!$F$6:$F$1000,$C$4,Assignments!$D$6:$D$1000,"&gt;="&amp;Config!$B$3-7,Assignments!$D$6:$D$1000,"&lt;="&amp;Config!$B$3)))</f>
        <v/>
      </c>
      <c r="T460" s="40" t="str">
        <f>IF($K460="","",IFERROR(VLOOKUP($K460,Grinders!$A$4:$N$998,8,FALSE),""))</f>
        <v/>
      </c>
      <c r="U460" s="40" t="str">
        <f>IFERROR(IF($K460="","",IF($M460="Elite",MAX(50,MIN(100,Config!$B$27*MAX(0,MIN(100,(1-IF($R460="",0,$R460))*100)) + Config!$B$28*MAX(0,MIN(100,(1-MIN(1,IF(Config!$B$30=0,1,$S460/Config!$B$30)))*100)) + Config!$B$29*MAX(0,MIN(100,MIN(1,IF($T460="",0,$T460)/Config!$B$23)*100)))),MIN(100,Config!$B$27*MAX(0,MIN(100,(1-IF($R460="",0,$R460))*100)) + Config!$B$28*MAX(0,MIN(100,(1-MIN(1,IF(Config!$B$30=0,1,$S460/Config!$B$30)))*100)) + Config!$B$29*MAX(0,MIN(100,MIN(1,IF($T460="",0,$T460)/Config!$B$23)*100))))),"")
</f>
        <v/>
      </c>
      <c r="V460" s="40" t="str">
        <f>IF(Bids!$AC460="","",Bids!$AC460)</f>
        <v/>
      </c>
      <c r="W460" s="40" t="str">
        <f>IF(Bids!$F459="","",Bids!$F459)</f>
        <v/>
      </c>
      <c r="X460" s="40" t="str">
        <f t="shared" si="5"/>
        <v/>
      </c>
      <c r="Y460" s="40" t="str">
        <f>IF($X460="","",IF(Config!$B$17=Config!$B$16,IF($X460&gt;=Config!$B$17,100,0),MAX(0,MIN(100,($X460-Config!$B$16)/(Config!$B$17-Config!$B$16)*100))))</f>
        <v/>
      </c>
      <c r="Z460" s="40">
        <f>IF($M460="Elite",Config!$B$21,0)</f>
        <v>0</v>
      </c>
      <c r="AA460" s="40" t="str">
        <f>IFERROR(IF(OR($W460="",$H460=""),"",IF($W460&gt;$H460,
  MAX(0, 60-(($W460-$H460)*24/Config!$B$19)*60),
  MIN(100, 60+(($H460-$W460)*24/Config!$B$20)*40)
)),"")
</f>
        <v/>
      </c>
      <c r="AB460" s="40" t="str">
        <f>IF($K460="","",IFERROR(VLOOKUP($K460,Grinders!$A$4:$N$998,10,FALSE)/5*100,""))</f>
        <v/>
      </c>
      <c r="AC460" s="40" t="str">
        <f>IF($K460="","",IFERROR(VLOOKUP($K460,Grinders!$A$4:$N$998,11,FALSE)*100,""))</f>
        <v/>
      </c>
      <c r="AD460" s="40" t="str">
        <f>IF($K460="","",IFERROR(VLOOKUP($K460,Grinders!$A$4:$N$998,12,FALSE)*100,""))</f>
        <v/>
      </c>
      <c r="AE460" s="40" t="str">
        <f>IF(OR(AO460=1,AP460=1),0,=IFERROR(IFS(
    OR($C460="", $K460=""), 0,
    $F460=0, 0,
    $D460&lt;&gt;"Open", 0,
    COUNTIFS(GrinderServices!$A$6:$A$1000, $K460, GrinderServices!$B$6:$B$1000, $E460, GrinderServices!$D$6:$D$1000, "Y")=0, 0,
    $X460&lt;Config!$B$16, 0,
    Config!$B$18=1, IF($O460&gt;=N460, 0, 1),
    TRUE, 1
), "")
)</f>
        <v>#ERROR!</v>
      </c>
      <c r="AF460" s="40" t="str">
        <f>IFERROR((IF(OR(AO460=1,AP460=1),"",=IFERROR((IFERROR(IF($AE460=0,"",((Config!$B$6*$Y460 + Config!$B$7*$U460 + Config!$B$8*$Z460 + Config!$B$9*$AA460 + Config!$B$10*$AB460 + Config!$B$11*$AC460 - Config!$B$12*$AD460)/Config!$B$13)+$AK460+$AL460),""))*(1-IFERROR(VLOOKUP(K460,Grinders!$A:$AB, 28, FALSE),0)),"")))*(1+AR460),"")</f>
        <v>#ERROR!</v>
      </c>
      <c r="AG460" s="40" t="str">
        <f t="shared" si="6"/>
        <v>#ERROR!</v>
      </c>
      <c r="AH460" s="40" t="str">
        <f t="shared" si="7"/>
        <v/>
      </c>
      <c r="AI460" s="40" t="str">
        <f t="shared" si="8"/>
        <v/>
      </c>
      <c r="AJ460" s="40" t="str">
        <f>IF($K460="","",COUNTIF(Assignments!$B$6:$B$1000,$K460))</f>
        <v/>
      </c>
      <c r="AK460" s="40" t="str">
        <f>IF($K460="","",IF(AND($AJ460=0,$O460&lt;$N460),Config!$B$43,0))</f>
        <v/>
      </c>
      <c r="AL460" s="40" t="str">
        <f>IF($K460="","",IF(AND($M460="Elite",$G460&gt;=Config!$B$41,$O460&lt;$N460),Config!$B$42,0))</f>
        <v/>
      </c>
      <c r="AM460" s="22"/>
      <c r="AN460" s="39">
        <f>IFERROR(VLOOKUP(K460,Grinders!$A:$Q,28,FALSE),0)</f>
        <v>0</v>
      </c>
      <c r="AO460" s="39">
        <f>IF(Config!$B$1003&lt;&gt;"Y",0,IF(IFERROR(VLOOKUP(K460,Grinders!$A:$P,27,FALSE),0)&gt;=3,IF(OR(G460&gt;=Config!$B$1001,ISNUMBER(SEARCH(E460,Config!$B$1002))),1,0),0))</f>
        <v>0</v>
      </c>
      <c r="AP460" s="39">
        <f t="array" ref="AP460">IFERROR(IF(INDEX(Bids!$AE:$AE,MATCH(B460,Bids!$A:$A,0))="Pending",1,0),0)</f>
        <v>0</v>
      </c>
      <c r="AQ460" s="39" t="str">
        <f t="array" ref="AQ460">IF(C460="","",IFERROR(XLOOKUP(C460,Assignments!$C:$C,Assignments!$AU:$AU,0),0))</f>
        <v/>
      </c>
      <c r="AR460" s="39">
        <f>IF(AND(Config!$B$1006="Y",AQ460=1),Config!$B$1007,0)</f>
        <v>0</v>
      </c>
    </row>
    <row r="461" ht="15.75" customHeight="1">
      <c r="A461" s="46" t="str">
        <f t="shared" si="1"/>
        <v/>
      </c>
      <c r="B461" s="40" t="str">
        <f>IF(Bids!$A460="","",Bids!$A460)</f>
        <v/>
      </c>
      <c r="C461" s="40" t="str">
        <f>IF(Bids!$B460="","",Bids!$B460)</f>
        <v/>
      </c>
      <c r="D461" s="40" t="str">
        <f>IF($C461="","",IFERROR(VLOOKUP($C461,Orders!$A$4:$J$998,9,FALSE),""))</f>
        <v/>
      </c>
      <c r="E461" s="40" t="str">
        <f>IF($C461="","",IFERROR(VLOOKUP($C461,Orders!$A$4:$J$998,3,FALSE),""))</f>
        <v/>
      </c>
      <c r="F461" s="40">
        <f t="shared" si="2"/>
        <v>1</v>
      </c>
      <c r="G461" s="40" t="str">
        <f>IF($C461="","",IFERROR(VLOOKUP($C461,Orders!$A$4:$J$998,4,FALSE),""))</f>
        <v/>
      </c>
      <c r="H461" s="40" t="str">
        <f>IF($C461="","",IFERROR(VLOOKUP($C461,Orders!$A$4:$J$998,5,FALSE),""))</f>
        <v/>
      </c>
      <c r="I461" s="40" t="str">
        <f>IF($C461="","",IFERROR(VLOOKUP($C461,Orders!$A$4:$J$998,6,FALSE),""))</f>
        <v/>
      </c>
      <c r="J461" s="40" t="str">
        <f>IF($C461="","",IFERROR(VLOOKUP($C461,Orders!$A$4:$J$998,7,FALSE),""))</f>
        <v/>
      </c>
      <c r="K461" s="40" t="str">
        <f>IF(Bids!$C460="","",Bids!$C460)</f>
        <v/>
      </c>
      <c r="L461" s="40" t="str">
        <f>IF($K461="","",IFERROR(VLOOKUP($K461,Grinders!$A$4:$N$998,2,FALSE),""))</f>
        <v/>
      </c>
      <c r="M461" s="40" t="str">
        <f>IF($K461="","",IFERROR(VLOOKUP($K461,Grinders!$A$4:$N$998,3,FALSE),""))</f>
        <v/>
      </c>
      <c r="N461" s="40" t="str">
        <f>IF($K461="","",IFERROR(VLOOKUP($K461,Grinders!$A$4:$N$998,4,FALSE),""))</f>
        <v/>
      </c>
      <c r="O461" s="40" t="str">
        <f>IF($K461="","",IFERROR(VLOOKUP($K461,Grinders!$A$4:$N$998,5,FALSE),""))</f>
        <v/>
      </c>
      <c r="P461" s="40" t="str">
        <f>IF($K461="","",IF($C$4="",0,COUNTIFS(Assignments!$B$6:$B$1000,$K461,Assignments!$F$6:$F$1000,$C$4,Assignments!$E$6:$E$1000,"Active")))</f>
        <v/>
      </c>
      <c r="Q461" s="40" t="str">
        <f t="shared" si="3"/>
        <v/>
      </c>
      <c r="R461" s="40" t="str">
        <f t="shared" si="4"/>
        <v/>
      </c>
      <c r="S461" s="40" t="str">
        <f>IF($K461="","",IF($C$4="",0,COUNTIFS(Assignments!$B$6:$B$1000,$K461,Assignments!$F$6:$F$1000,$C$4,Assignments!$D$6:$D$1000,"&gt;="&amp;Config!$B$3-7,Assignments!$D$6:$D$1000,"&lt;="&amp;Config!$B$3)))</f>
        <v/>
      </c>
      <c r="T461" s="40" t="str">
        <f>IF($K461="","",IFERROR(VLOOKUP($K461,Grinders!$A$4:$N$998,8,FALSE),""))</f>
        <v/>
      </c>
      <c r="U461" s="40" t="str">
        <f>IFERROR(IF($K461="","",IF($M461="Elite",MAX(50,MIN(100,Config!$B$27*MAX(0,MIN(100,(1-IF($R461="",0,$R461))*100)) + Config!$B$28*MAX(0,MIN(100,(1-MIN(1,IF(Config!$B$30=0,1,$S461/Config!$B$30)))*100)) + Config!$B$29*MAX(0,MIN(100,MIN(1,IF($T461="",0,$T461)/Config!$B$23)*100)))),MIN(100,Config!$B$27*MAX(0,MIN(100,(1-IF($R461="",0,$R461))*100)) + Config!$B$28*MAX(0,MIN(100,(1-MIN(1,IF(Config!$B$30=0,1,$S461/Config!$B$30)))*100)) + Config!$B$29*MAX(0,MIN(100,MIN(1,IF($T461="",0,$T461)/Config!$B$23)*100))))),"")
</f>
        <v/>
      </c>
      <c r="V461" s="40" t="str">
        <f>IF(Bids!$AC461="","",Bids!$AC461)</f>
        <v/>
      </c>
      <c r="W461" s="40" t="str">
        <f>IF(Bids!$F460="","",Bids!$F460)</f>
        <v/>
      </c>
      <c r="X461" s="40" t="str">
        <f t="shared" si="5"/>
        <v/>
      </c>
      <c r="Y461" s="40" t="str">
        <f>IF($X461="","",IF(Config!$B$17=Config!$B$16,IF($X461&gt;=Config!$B$17,100,0),MAX(0,MIN(100,($X461-Config!$B$16)/(Config!$B$17-Config!$B$16)*100))))</f>
        <v/>
      </c>
      <c r="Z461" s="40">
        <f>IF($M461="Elite",Config!$B$21,0)</f>
        <v>0</v>
      </c>
      <c r="AA461" s="40" t="str">
        <f>IFERROR(IF(OR($W461="",$H461=""),"",IF($W461&gt;$H461,
  MAX(0, 60-(($W461-$H461)*24/Config!$B$19)*60),
  MIN(100, 60+(($H461-$W461)*24/Config!$B$20)*40)
)),"")
</f>
        <v/>
      </c>
      <c r="AB461" s="40" t="str">
        <f>IF($K461="","",IFERROR(VLOOKUP($K461,Grinders!$A$4:$N$998,10,FALSE)/5*100,""))</f>
        <v/>
      </c>
      <c r="AC461" s="40" t="str">
        <f>IF($K461="","",IFERROR(VLOOKUP($K461,Grinders!$A$4:$N$998,11,FALSE)*100,""))</f>
        <v/>
      </c>
      <c r="AD461" s="40" t="str">
        <f>IF($K461="","",IFERROR(VLOOKUP($K461,Grinders!$A$4:$N$998,12,FALSE)*100,""))</f>
        <v/>
      </c>
      <c r="AE461" s="40" t="str">
        <f>IF(OR(AO461=1,AP461=1),0,=IFERROR(IFS(
    OR($C461="", $K461=""), 0,
    $F461=0, 0,
    $D461&lt;&gt;"Open", 0,
    COUNTIFS(GrinderServices!$A$6:$A$1000, $K461, GrinderServices!$B$6:$B$1000, $E461, GrinderServices!$D$6:$D$1000, "Y")=0, 0,
    $X461&lt;Config!$B$16, 0,
    Config!$B$18=1, IF($O461&gt;=N461, 0, 1),
    TRUE, 1
), "")
)</f>
        <v>#ERROR!</v>
      </c>
      <c r="AF461" s="40" t="str">
        <f>IFERROR((IF(OR(AO461=1,AP461=1),"",=IFERROR((IFERROR(IF($AE461=0,"",((Config!$B$6*$Y461 + Config!$B$7*$U461 + Config!$B$8*$Z461 + Config!$B$9*$AA461 + Config!$B$10*$AB461 + Config!$B$11*$AC461 - Config!$B$12*$AD461)/Config!$B$13)+$AK461+$AL461),""))*(1-IFERROR(VLOOKUP(K461,Grinders!$A:$AB, 28, FALSE),0)),"")))*(1+AR461),"")</f>
        <v>#ERROR!</v>
      </c>
      <c r="AG461" s="40" t="str">
        <f t="shared" si="6"/>
        <v>#ERROR!</v>
      </c>
      <c r="AH461" s="40" t="str">
        <f t="shared" si="7"/>
        <v/>
      </c>
      <c r="AI461" s="40" t="str">
        <f t="shared" si="8"/>
        <v/>
      </c>
      <c r="AJ461" s="40" t="str">
        <f>IF($K461="","",COUNTIF(Assignments!$B$6:$B$1000,$K461))</f>
        <v/>
      </c>
      <c r="AK461" s="40" t="str">
        <f>IF($K461="","",IF(AND($AJ461=0,$O461&lt;$N461),Config!$B$43,0))</f>
        <v/>
      </c>
      <c r="AL461" s="40" t="str">
        <f>IF($K461="","",IF(AND($M461="Elite",$G461&gt;=Config!$B$41,$O461&lt;$N461),Config!$B$42,0))</f>
        <v/>
      </c>
      <c r="AM461" s="22"/>
      <c r="AN461" s="39">
        <f>IFERROR(VLOOKUP(K461,Grinders!$A:$Q,28,FALSE),0)</f>
        <v>0</v>
      </c>
      <c r="AO461" s="39">
        <f>IF(Config!$B$1003&lt;&gt;"Y",0,IF(IFERROR(VLOOKUP(K461,Grinders!$A:$P,27,FALSE),0)&gt;=3,IF(OR(G461&gt;=Config!$B$1001,ISNUMBER(SEARCH(E461,Config!$B$1002))),1,0),0))</f>
        <v>0</v>
      </c>
      <c r="AP461" s="39">
        <f t="array" ref="AP461">IFERROR(IF(INDEX(Bids!$AE:$AE,MATCH(B461,Bids!$A:$A,0))="Pending",1,0),0)</f>
        <v>0</v>
      </c>
      <c r="AQ461" s="39" t="str">
        <f t="array" ref="AQ461">IF(C461="","",IFERROR(XLOOKUP(C461,Assignments!$C:$C,Assignments!$AU:$AU,0),0))</f>
        <v/>
      </c>
      <c r="AR461" s="39">
        <f>IF(AND(Config!$B$1006="Y",AQ461=1),Config!$B$1007,0)</f>
        <v>0</v>
      </c>
    </row>
    <row r="462" ht="15.75" customHeight="1">
      <c r="A462" s="46" t="str">
        <f t="shared" si="1"/>
        <v/>
      </c>
      <c r="B462" s="40" t="str">
        <f>IF(Bids!$A461="","",Bids!$A461)</f>
        <v/>
      </c>
      <c r="C462" s="40" t="str">
        <f>IF(Bids!$B461="","",Bids!$B461)</f>
        <v/>
      </c>
      <c r="D462" s="40" t="str">
        <f>IF($C462="","",IFERROR(VLOOKUP($C462,Orders!$A$4:$J$998,9,FALSE),""))</f>
        <v/>
      </c>
      <c r="E462" s="40" t="str">
        <f>IF($C462="","",IFERROR(VLOOKUP($C462,Orders!$A$4:$J$998,3,FALSE),""))</f>
        <v/>
      </c>
      <c r="F462" s="40">
        <f t="shared" si="2"/>
        <v>1</v>
      </c>
      <c r="G462" s="40" t="str">
        <f>IF($C462="","",IFERROR(VLOOKUP($C462,Orders!$A$4:$J$998,4,FALSE),""))</f>
        <v/>
      </c>
      <c r="H462" s="40" t="str">
        <f>IF($C462="","",IFERROR(VLOOKUP($C462,Orders!$A$4:$J$998,5,FALSE),""))</f>
        <v/>
      </c>
      <c r="I462" s="40" t="str">
        <f>IF($C462="","",IFERROR(VLOOKUP($C462,Orders!$A$4:$J$998,6,FALSE),""))</f>
        <v/>
      </c>
      <c r="J462" s="40" t="str">
        <f>IF($C462="","",IFERROR(VLOOKUP($C462,Orders!$A$4:$J$998,7,FALSE),""))</f>
        <v/>
      </c>
      <c r="K462" s="40" t="str">
        <f>IF(Bids!$C461="","",Bids!$C461)</f>
        <v/>
      </c>
      <c r="L462" s="40" t="str">
        <f>IF($K462="","",IFERROR(VLOOKUP($K462,Grinders!$A$4:$N$998,2,FALSE),""))</f>
        <v/>
      </c>
      <c r="M462" s="40" t="str">
        <f>IF($K462="","",IFERROR(VLOOKUP($K462,Grinders!$A$4:$N$998,3,FALSE),""))</f>
        <v/>
      </c>
      <c r="N462" s="40" t="str">
        <f>IF($K462="","",IFERROR(VLOOKUP($K462,Grinders!$A$4:$N$998,4,FALSE),""))</f>
        <v/>
      </c>
      <c r="O462" s="40" t="str">
        <f>IF($K462="","",IFERROR(VLOOKUP($K462,Grinders!$A$4:$N$998,5,FALSE),""))</f>
        <v/>
      </c>
      <c r="P462" s="40" t="str">
        <f>IF($K462="","",IF($C$4="",0,COUNTIFS(Assignments!$B$6:$B$1000,$K462,Assignments!$F$6:$F$1000,$C$4,Assignments!$E$6:$E$1000,"Active")))</f>
        <v/>
      </c>
      <c r="Q462" s="40" t="str">
        <f t="shared" si="3"/>
        <v/>
      </c>
      <c r="R462" s="40" t="str">
        <f t="shared" si="4"/>
        <v/>
      </c>
      <c r="S462" s="40" t="str">
        <f>IF($K462="","",IF($C$4="",0,COUNTIFS(Assignments!$B$6:$B$1000,$K462,Assignments!$F$6:$F$1000,$C$4,Assignments!$D$6:$D$1000,"&gt;="&amp;Config!$B$3-7,Assignments!$D$6:$D$1000,"&lt;="&amp;Config!$B$3)))</f>
        <v/>
      </c>
      <c r="T462" s="40" t="str">
        <f>IF($K462="","",IFERROR(VLOOKUP($K462,Grinders!$A$4:$N$998,8,FALSE),""))</f>
        <v/>
      </c>
      <c r="U462" s="40" t="str">
        <f>IFERROR(IF($K462="","",IF($M462="Elite",MAX(50,MIN(100,Config!$B$27*MAX(0,MIN(100,(1-IF($R462="",0,$R462))*100)) + Config!$B$28*MAX(0,MIN(100,(1-MIN(1,IF(Config!$B$30=0,1,$S462/Config!$B$30)))*100)) + Config!$B$29*MAX(0,MIN(100,MIN(1,IF($T462="",0,$T462)/Config!$B$23)*100)))),MIN(100,Config!$B$27*MAX(0,MIN(100,(1-IF($R462="",0,$R462))*100)) + Config!$B$28*MAX(0,MIN(100,(1-MIN(1,IF(Config!$B$30=0,1,$S462/Config!$B$30)))*100)) + Config!$B$29*MAX(0,MIN(100,MIN(1,IF($T462="",0,$T462)/Config!$B$23)*100))))),"")
</f>
        <v/>
      </c>
      <c r="V462" s="40" t="str">
        <f>IF(Bids!$AC462="","",Bids!$AC462)</f>
        <v/>
      </c>
      <c r="W462" s="40" t="str">
        <f>IF(Bids!$F461="","",Bids!$F461)</f>
        <v/>
      </c>
      <c r="X462" s="40" t="str">
        <f t="shared" si="5"/>
        <v/>
      </c>
      <c r="Y462" s="40" t="str">
        <f>IF($X462="","",IF(Config!$B$17=Config!$B$16,IF($X462&gt;=Config!$B$17,100,0),MAX(0,MIN(100,($X462-Config!$B$16)/(Config!$B$17-Config!$B$16)*100))))</f>
        <v/>
      </c>
      <c r="Z462" s="40">
        <f>IF($M462="Elite",Config!$B$21,0)</f>
        <v>0</v>
      </c>
      <c r="AA462" s="40" t="str">
        <f>IFERROR(IF(OR($W462="",$H462=""),"",IF($W462&gt;$H462,
  MAX(0, 60-(($W462-$H462)*24/Config!$B$19)*60),
  MIN(100, 60+(($H462-$W462)*24/Config!$B$20)*40)
)),"")
</f>
        <v/>
      </c>
      <c r="AB462" s="40" t="str">
        <f>IF($K462="","",IFERROR(VLOOKUP($K462,Grinders!$A$4:$N$998,10,FALSE)/5*100,""))</f>
        <v/>
      </c>
      <c r="AC462" s="40" t="str">
        <f>IF($K462="","",IFERROR(VLOOKUP($K462,Grinders!$A$4:$N$998,11,FALSE)*100,""))</f>
        <v/>
      </c>
      <c r="AD462" s="40" t="str">
        <f>IF($K462="","",IFERROR(VLOOKUP($K462,Grinders!$A$4:$N$998,12,FALSE)*100,""))</f>
        <v/>
      </c>
      <c r="AE462" s="40" t="str">
        <f>IF(OR(AO462=1,AP462=1),0,=IFERROR(IFS(
    OR($C462="", $K462=""), 0,
    $F462=0, 0,
    $D462&lt;&gt;"Open", 0,
    COUNTIFS(GrinderServices!$A$6:$A$1000, $K462, GrinderServices!$B$6:$B$1000, $E462, GrinderServices!$D$6:$D$1000, "Y")=0, 0,
    $X462&lt;Config!$B$16, 0,
    Config!$B$18=1, IF($O462&gt;=N462, 0, 1),
    TRUE, 1
), "")
)</f>
        <v>#ERROR!</v>
      </c>
      <c r="AF462" s="40" t="str">
        <f>IFERROR((IF(OR(AO462=1,AP462=1),"",=IFERROR((IFERROR(IF($AE462=0,"",((Config!$B$6*$Y462 + Config!$B$7*$U462 + Config!$B$8*$Z462 + Config!$B$9*$AA462 + Config!$B$10*$AB462 + Config!$B$11*$AC462 - Config!$B$12*$AD462)/Config!$B$13)+$AK462+$AL462),""))*(1-IFERROR(VLOOKUP(K462,Grinders!$A:$AB, 28, FALSE),0)),"")))*(1+AR462),"")</f>
        <v>#ERROR!</v>
      </c>
      <c r="AG462" s="40" t="str">
        <f t="shared" si="6"/>
        <v>#ERROR!</v>
      </c>
      <c r="AH462" s="40" t="str">
        <f t="shared" si="7"/>
        <v/>
      </c>
      <c r="AI462" s="40" t="str">
        <f t="shared" si="8"/>
        <v/>
      </c>
      <c r="AJ462" s="40" t="str">
        <f>IF($K462="","",COUNTIF(Assignments!$B$6:$B$1000,$K462))</f>
        <v/>
      </c>
      <c r="AK462" s="40" t="str">
        <f>IF($K462="","",IF(AND($AJ462=0,$O462&lt;$N462),Config!$B$43,0))</f>
        <v/>
      </c>
      <c r="AL462" s="40" t="str">
        <f>IF($K462="","",IF(AND($M462="Elite",$G462&gt;=Config!$B$41,$O462&lt;$N462),Config!$B$42,0))</f>
        <v/>
      </c>
      <c r="AM462" s="22"/>
      <c r="AN462" s="39">
        <f>IFERROR(VLOOKUP(K462,Grinders!$A:$Q,28,FALSE),0)</f>
        <v>0</v>
      </c>
      <c r="AO462" s="39">
        <f>IF(Config!$B$1003&lt;&gt;"Y",0,IF(IFERROR(VLOOKUP(K462,Grinders!$A:$P,27,FALSE),0)&gt;=3,IF(OR(G462&gt;=Config!$B$1001,ISNUMBER(SEARCH(E462,Config!$B$1002))),1,0),0))</f>
        <v>0</v>
      </c>
      <c r="AP462" s="39">
        <f t="array" ref="AP462">IFERROR(IF(INDEX(Bids!$AE:$AE,MATCH(B462,Bids!$A:$A,0))="Pending",1,0),0)</f>
        <v>0</v>
      </c>
      <c r="AQ462" s="39" t="str">
        <f t="array" ref="AQ462">IF(C462="","",IFERROR(XLOOKUP(C462,Assignments!$C:$C,Assignments!$AU:$AU,0),0))</f>
        <v/>
      </c>
      <c r="AR462" s="39">
        <f>IF(AND(Config!$B$1006="Y",AQ462=1),Config!$B$1007,0)</f>
        <v>0</v>
      </c>
    </row>
    <row r="463" ht="15.75" customHeight="1">
      <c r="A463" s="46" t="str">
        <f t="shared" si="1"/>
        <v/>
      </c>
      <c r="B463" s="40" t="str">
        <f>IF(Bids!$A462="","",Bids!$A462)</f>
        <v/>
      </c>
      <c r="C463" s="40" t="str">
        <f>IF(Bids!$B462="","",Bids!$B462)</f>
        <v/>
      </c>
      <c r="D463" s="40" t="str">
        <f>IF($C463="","",IFERROR(VLOOKUP($C463,Orders!$A$4:$J$998,9,FALSE),""))</f>
        <v/>
      </c>
      <c r="E463" s="40" t="str">
        <f>IF($C463="","",IFERROR(VLOOKUP($C463,Orders!$A$4:$J$998,3,FALSE),""))</f>
        <v/>
      </c>
      <c r="F463" s="40">
        <f t="shared" si="2"/>
        <v>1</v>
      </c>
      <c r="G463" s="40" t="str">
        <f>IF($C463="","",IFERROR(VLOOKUP($C463,Orders!$A$4:$J$998,4,FALSE),""))</f>
        <v/>
      </c>
      <c r="H463" s="40" t="str">
        <f>IF($C463="","",IFERROR(VLOOKUP($C463,Orders!$A$4:$J$998,5,FALSE),""))</f>
        <v/>
      </c>
      <c r="I463" s="40" t="str">
        <f>IF($C463="","",IFERROR(VLOOKUP($C463,Orders!$A$4:$J$998,6,FALSE),""))</f>
        <v/>
      </c>
      <c r="J463" s="40" t="str">
        <f>IF($C463="","",IFERROR(VLOOKUP($C463,Orders!$A$4:$J$998,7,FALSE),""))</f>
        <v/>
      </c>
      <c r="K463" s="40" t="str">
        <f>IF(Bids!$C462="","",Bids!$C462)</f>
        <v/>
      </c>
      <c r="L463" s="40" t="str">
        <f>IF($K463="","",IFERROR(VLOOKUP($K463,Grinders!$A$4:$N$998,2,FALSE),""))</f>
        <v/>
      </c>
      <c r="M463" s="40" t="str">
        <f>IF($K463="","",IFERROR(VLOOKUP($K463,Grinders!$A$4:$N$998,3,FALSE),""))</f>
        <v/>
      </c>
      <c r="N463" s="40" t="str">
        <f>IF($K463="","",IFERROR(VLOOKUP($K463,Grinders!$A$4:$N$998,4,FALSE),""))</f>
        <v/>
      </c>
      <c r="O463" s="40" t="str">
        <f>IF($K463="","",IFERROR(VLOOKUP($K463,Grinders!$A$4:$N$998,5,FALSE),""))</f>
        <v/>
      </c>
      <c r="P463" s="40" t="str">
        <f>IF($K463="","",IF($C$4="",0,COUNTIFS(Assignments!$B$6:$B$1000,$K463,Assignments!$F$6:$F$1000,$C$4,Assignments!$E$6:$E$1000,"Active")))</f>
        <v/>
      </c>
      <c r="Q463" s="40" t="str">
        <f t="shared" si="3"/>
        <v/>
      </c>
      <c r="R463" s="40" t="str">
        <f t="shared" si="4"/>
        <v/>
      </c>
      <c r="S463" s="40" t="str">
        <f>IF($K463="","",IF($C$4="",0,COUNTIFS(Assignments!$B$6:$B$1000,$K463,Assignments!$F$6:$F$1000,$C$4,Assignments!$D$6:$D$1000,"&gt;="&amp;Config!$B$3-7,Assignments!$D$6:$D$1000,"&lt;="&amp;Config!$B$3)))</f>
        <v/>
      </c>
      <c r="T463" s="40" t="str">
        <f>IF($K463="","",IFERROR(VLOOKUP($K463,Grinders!$A$4:$N$998,8,FALSE),""))</f>
        <v/>
      </c>
      <c r="U463" s="40" t="str">
        <f>IFERROR(IF($K463="","",IF($M463="Elite",MAX(50,MIN(100,Config!$B$27*MAX(0,MIN(100,(1-IF($R463="",0,$R463))*100)) + Config!$B$28*MAX(0,MIN(100,(1-MIN(1,IF(Config!$B$30=0,1,$S463/Config!$B$30)))*100)) + Config!$B$29*MAX(0,MIN(100,MIN(1,IF($T463="",0,$T463)/Config!$B$23)*100)))),MIN(100,Config!$B$27*MAX(0,MIN(100,(1-IF($R463="",0,$R463))*100)) + Config!$B$28*MAX(0,MIN(100,(1-MIN(1,IF(Config!$B$30=0,1,$S463/Config!$B$30)))*100)) + Config!$B$29*MAX(0,MIN(100,MIN(1,IF($T463="",0,$T463)/Config!$B$23)*100))))),"")
</f>
        <v/>
      </c>
      <c r="V463" s="40" t="str">
        <f>IF(Bids!$AC463="","",Bids!$AC463)</f>
        <v/>
      </c>
      <c r="W463" s="40" t="str">
        <f>IF(Bids!$F462="","",Bids!$F462)</f>
        <v/>
      </c>
      <c r="X463" s="40" t="str">
        <f t="shared" si="5"/>
        <v/>
      </c>
      <c r="Y463" s="40" t="str">
        <f>IF($X463="","",IF(Config!$B$17=Config!$B$16,IF($X463&gt;=Config!$B$17,100,0),MAX(0,MIN(100,($X463-Config!$B$16)/(Config!$B$17-Config!$B$16)*100))))</f>
        <v/>
      </c>
      <c r="Z463" s="40">
        <f>IF($M463="Elite",Config!$B$21,0)</f>
        <v>0</v>
      </c>
      <c r="AA463" s="40" t="str">
        <f>IFERROR(IF(OR($W463="",$H463=""),"",IF($W463&gt;$H463,
  MAX(0, 60-(($W463-$H463)*24/Config!$B$19)*60),
  MIN(100, 60+(($H463-$W463)*24/Config!$B$20)*40)
)),"")
</f>
        <v/>
      </c>
      <c r="AB463" s="40" t="str">
        <f>IF($K463="","",IFERROR(VLOOKUP($K463,Grinders!$A$4:$N$998,10,FALSE)/5*100,""))</f>
        <v/>
      </c>
      <c r="AC463" s="40" t="str">
        <f>IF($K463="","",IFERROR(VLOOKUP($K463,Grinders!$A$4:$N$998,11,FALSE)*100,""))</f>
        <v/>
      </c>
      <c r="AD463" s="40" t="str">
        <f>IF($K463="","",IFERROR(VLOOKUP($K463,Grinders!$A$4:$N$998,12,FALSE)*100,""))</f>
        <v/>
      </c>
      <c r="AE463" s="40" t="str">
        <f>IF(OR(AO463=1,AP463=1),0,=IFERROR(IFS(
    OR($C463="", $K463=""), 0,
    $F463=0, 0,
    $D463&lt;&gt;"Open", 0,
    COUNTIFS(GrinderServices!$A$6:$A$1000, $K463, GrinderServices!$B$6:$B$1000, $E463, GrinderServices!$D$6:$D$1000, "Y")=0, 0,
    $X463&lt;Config!$B$16, 0,
    Config!$B$18=1, IF($O463&gt;=N463, 0, 1),
    TRUE, 1
), "")
)</f>
        <v>#ERROR!</v>
      </c>
      <c r="AF463" s="40" t="str">
        <f>IFERROR((IF(OR(AO463=1,AP463=1),"",=IFERROR((IFERROR(IF($AE463=0,"",((Config!$B$6*$Y463 + Config!$B$7*$U463 + Config!$B$8*$Z463 + Config!$B$9*$AA463 + Config!$B$10*$AB463 + Config!$B$11*$AC463 - Config!$B$12*$AD463)/Config!$B$13)+$AK463+$AL463),""))*(1-IFERROR(VLOOKUP(K463,Grinders!$A:$AB, 28, FALSE),0)),"")))*(1+AR463),"")</f>
        <v>#ERROR!</v>
      </c>
      <c r="AG463" s="40" t="str">
        <f t="shared" si="6"/>
        <v>#ERROR!</v>
      </c>
      <c r="AH463" s="40" t="str">
        <f t="shared" si="7"/>
        <v/>
      </c>
      <c r="AI463" s="40" t="str">
        <f t="shared" si="8"/>
        <v/>
      </c>
      <c r="AJ463" s="40" t="str">
        <f>IF($K463="","",COUNTIF(Assignments!$B$6:$B$1000,$K463))</f>
        <v/>
      </c>
      <c r="AK463" s="40" t="str">
        <f>IF($K463="","",IF(AND($AJ463=0,$O463&lt;$N463),Config!$B$43,0))</f>
        <v/>
      </c>
      <c r="AL463" s="40" t="str">
        <f>IF($K463="","",IF(AND($M463="Elite",$G463&gt;=Config!$B$41,$O463&lt;$N463),Config!$B$42,0))</f>
        <v/>
      </c>
      <c r="AM463" s="22"/>
      <c r="AN463" s="39">
        <f>IFERROR(VLOOKUP(K463,Grinders!$A:$Q,28,FALSE),0)</f>
        <v>0</v>
      </c>
      <c r="AO463" s="39">
        <f>IF(Config!$B$1003&lt;&gt;"Y",0,IF(IFERROR(VLOOKUP(K463,Grinders!$A:$P,27,FALSE),0)&gt;=3,IF(OR(G463&gt;=Config!$B$1001,ISNUMBER(SEARCH(E463,Config!$B$1002))),1,0),0))</f>
        <v>0</v>
      </c>
      <c r="AP463" s="39">
        <f t="array" ref="AP463">IFERROR(IF(INDEX(Bids!$AE:$AE,MATCH(B463,Bids!$A:$A,0))="Pending",1,0),0)</f>
        <v>0</v>
      </c>
      <c r="AQ463" s="39" t="str">
        <f t="array" ref="AQ463">IF(C463="","",IFERROR(XLOOKUP(C463,Assignments!$C:$C,Assignments!$AU:$AU,0),0))</f>
        <v/>
      </c>
      <c r="AR463" s="39">
        <f>IF(AND(Config!$B$1006="Y",AQ463=1),Config!$B$1007,0)</f>
        <v>0</v>
      </c>
    </row>
    <row r="464" ht="15.75" customHeight="1">
      <c r="A464" s="46" t="str">
        <f t="shared" si="1"/>
        <v/>
      </c>
      <c r="B464" s="40" t="str">
        <f>IF(Bids!$A463="","",Bids!$A463)</f>
        <v/>
      </c>
      <c r="C464" s="40" t="str">
        <f>IF(Bids!$B463="","",Bids!$B463)</f>
        <v/>
      </c>
      <c r="D464" s="40" t="str">
        <f>IF($C464="","",IFERROR(VLOOKUP($C464,Orders!$A$4:$J$998,9,FALSE),""))</f>
        <v/>
      </c>
      <c r="E464" s="40" t="str">
        <f>IF($C464="","",IFERROR(VLOOKUP($C464,Orders!$A$4:$J$998,3,FALSE),""))</f>
        <v/>
      </c>
      <c r="F464" s="40">
        <f t="shared" si="2"/>
        <v>1</v>
      </c>
      <c r="G464" s="40" t="str">
        <f>IF($C464="","",IFERROR(VLOOKUP($C464,Orders!$A$4:$J$998,4,FALSE),""))</f>
        <v/>
      </c>
      <c r="H464" s="40" t="str">
        <f>IF($C464="","",IFERROR(VLOOKUP($C464,Orders!$A$4:$J$998,5,FALSE),""))</f>
        <v/>
      </c>
      <c r="I464" s="40" t="str">
        <f>IF($C464="","",IFERROR(VLOOKUP($C464,Orders!$A$4:$J$998,6,FALSE),""))</f>
        <v/>
      </c>
      <c r="J464" s="40" t="str">
        <f>IF($C464="","",IFERROR(VLOOKUP($C464,Orders!$A$4:$J$998,7,FALSE),""))</f>
        <v/>
      </c>
      <c r="K464" s="40" t="str">
        <f>IF(Bids!$C463="","",Bids!$C463)</f>
        <v/>
      </c>
      <c r="L464" s="40" t="str">
        <f>IF($K464="","",IFERROR(VLOOKUP($K464,Grinders!$A$4:$N$998,2,FALSE),""))</f>
        <v/>
      </c>
      <c r="M464" s="40" t="str">
        <f>IF($K464="","",IFERROR(VLOOKUP($K464,Grinders!$A$4:$N$998,3,FALSE),""))</f>
        <v/>
      </c>
      <c r="N464" s="40" t="str">
        <f>IF($K464="","",IFERROR(VLOOKUP($K464,Grinders!$A$4:$N$998,4,FALSE),""))</f>
        <v/>
      </c>
      <c r="O464" s="40" t="str">
        <f>IF($K464="","",IFERROR(VLOOKUP($K464,Grinders!$A$4:$N$998,5,FALSE),""))</f>
        <v/>
      </c>
      <c r="P464" s="40" t="str">
        <f>IF($K464="","",IF($C$4="",0,COUNTIFS(Assignments!$B$6:$B$1000,$K464,Assignments!$F$6:$F$1000,$C$4,Assignments!$E$6:$E$1000,"Active")))</f>
        <v/>
      </c>
      <c r="Q464" s="40" t="str">
        <f t="shared" si="3"/>
        <v/>
      </c>
      <c r="R464" s="40" t="str">
        <f t="shared" si="4"/>
        <v/>
      </c>
      <c r="S464" s="40" t="str">
        <f>IF($K464="","",IF($C$4="",0,COUNTIFS(Assignments!$B$6:$B$1000,$K464,Assignments!$F$6:$F$1000,$C$4,Assignments!$D$6:$D$1000,"&gt;="&amp;Config!$B$3-7,Assignments!$D$6:$D$1000,"&lt;="&amp;Config!$B$3)))</f>
        <v/>
      </c>
      <c r="T464" s="40" t="str">
        <f>IF($K464="","",IFERROR(VLOOKUP($K464,Grinders!$A$4:$N$998,8,FALSE),""))</f>
        <v/>
      </c>
      <c r="U464" s="40" t="str">
        <f>IFERROR(IF($K464="","",IF($M464="Elite",MAX(50,MIN(100,Config!$B$27*MAX(0,MIN(100,(1-IF($R464="",0,$R464))*100)) + Config!$B$28*MAX(0,MIN(100,(1-MIN(1,IF(Config!$B$30=0,1,$S464/Config!$B$30)))*100)) + Config!$B$29*MAX(0,MIN(100,MIN(1,IF($T464="",0,$T464)/Config!$B$23)*100)))),MIN(100,Config!$B$27*MAX(0,MIN(100,(1-IF($R464="",0,$R464))*100)) + Config!$B$28*MAX(0,MIN(100,(1-MIN(1,IF(Config!$B$30=0,1,$S464/Config!$B$30)))*100)) + Config!$B$29*MAX(0,MIN(100,MIN(1,IF($T464="",0,$T464)/Config!$B$23)*100))))),"")
</f>
        <v/>
      </c>
      <c r="V464" s="40" t="str">
        <f>IF(Bids!$AC464="","",Bids!$AC464)</f>
        <v/>
      </c>
      <c r="W464" s="40" t="str">
        <f>IF(Bids!$F463="","",Bids!$F463)</f>
        <v/>
      </c>
      <c r="X464" s="40" t="str">
        <f t="shared" si="5"/>
        <v/>
      </c>
      <c r="Y464" s="40" t="str">
        <f>IF($X464="","",IF(Config!$B$17=Config!$B$16,IF($X464&gt;=Config!$B$17,100,0),MAX(0,MIN(100,($X464-Config!$B$16)/(Config!$B$17-Config!$B$16)*100))))</f>
        <v/>
      </c>
      <c r="Z464" s="40">
        <f>IF($M464="Elite",Config!$B$21,0)</f>
        <v>0</v>
      </c>
      <c r="AA464" s="40" t="str">
        <f>IFERROR(IF(OR($W464="",$H464=""),"",IF($W464&gt;$H464,
  MAX(0, 60-(($W464-$H464)*24/Config!$B$19)*60),
  MIN(100, 60+(($H464-$W464)*24/Config!$B$20)*40)
)),"")
</f>
        <v/>
      </c>
      <c r="AB464" s="40" t="str">
        <f>IF($K464="","",IFERROR(VLOOKUP($K464,Grinders!$A$4:$N$998,10,FALSE)/5*100,""))</f>
        <v/>
      </c>
      <c r="AC464" s="40" t="str">
        <f>IF($K464="","",IFERROR(VLOOKUP($K464,Grinders!$A$4:$N$998,11,FALSE)*100,""))</f>
        <v/>
      </c>
      <c r="AD464" s="40" t="str">
        <f>IF($K464="","",IFERROR(VLOOKUP($K464,Grinders!$A$4:$N$998,12,FALSE)*100,""))</f>
        <v/>
      </c>
      <c r="AE464" s="40" t="str">
        <f>IF(OR(AO464=1,AP464=1),0,=IFERROR(IFS(
    OR($C464="", $K464=""), 0,
    $F464=0, 0,
    $D464&lt;&gt;"Open", 0,
    COUNTIFS(GrinderServices!$A$6:$A$1000, $K464, GrinderServices!$B$6:$B$1000, $E464, GrinderServices!$D$6:$D$1000, "Y")=0, 0,
    $X464&lt;Config!$B$16, 0,
    Config!$B$18=1, IF($O464&gt;=N464, 0, 1),
    TRUE, 1
), "")
)</f>
        <v>#ERROR!</v>
      </c>
      <c r="AF464" s="40" t="str">
        <f>IFERROR((IF(OR(AO464=1,AP464=1),"",=IFERROR((IFERROR(IF($AE464=0,"",((Config!$B$6*$Y464 + Config!$B$7*$U464 + Config!$B$8*$Z464 + Config!$B$9*$AA464 + Config!$B$10*$AB464 + Config!$B$11*$AC464 - Config!$B$12*$AD464)/Config!$B$13)+$AK464+$AL464),""))*(1-IFERROR(VLOOKUP(K464,Grinders!$A:$AB, 28, FALSE),0)),"")))*(1+AR464),"")</f>
        <v>#ERROR!</v>
      </c>
      <c r="AG464" s="40" t="str">
        <f t="shared" si="6"/>
        <v>#ERROR!</v>
      </c>
      <c r="AH464" s="40" t="str">
        <f t="shared" si="7"/>
        <v/>
      </c>
      <c r="AI464" s="40" t="str">
        <f t="shared" si="8"/>
        <v/>
      </c>
      <c r="AJ464" s="40" t="str">
        <f>IF($K464="","",COUNTIF(Assignments!$B$6:$B$1000,$K464))</f>
        <v/>
      </c>
      <c r="AK464" s="40" t="str">
        <f>IF($K464="","",IF(AND($AJ464=0,$O464&lt;$N464),Config!$B$43,0))</f>
        <v/>
      </c>
      <c r="AL464" s="40" t="str">
        <f>IF($K464="","",IF(AND($M464="Elite",$G464&gt;=Config!$B$41,$O464&lt;$N464),Config!$B$42,0))</f>
        <v/>
      </c>
      <c r="AM464" s="22"/>
      <c r="AN464" s="39">
        <f>IFERROR(VLOOKUP(K464,Grinders!$A:$Q,28,FALSE),0)</f>
        <v>0</v>
      </c>
      <c r="AO464" s="39">
        <f>IF(Config!$B$1003&lt;&gt;"Y",0,IF(IFERROR(VLOOKUP(K464,Grinders!$A:$P,27,FALSE),0)&gt;=3,IF(OR(G464&gt;=Config!$B$1001,ISNUMBER(SEARCH(E464,Config!$B$1002))),1,0),0))</f>
        <v>0</v>
      </c>
      <c r="AP464" s="39">
        <f t="array" ref="AP464">IFERROR(IF(INDEX(Bids!$AE:$AE,MATCH(B464,Bids!$A:$A,0))="Pending",1,0),0)</f>
        <v>0</v>
      </c>
      <c r="AQ464" s="39" t="str">
        <f t="array" ref="AQ464">IF(C464="","",IFERROR(XLOOKUP(C464,Assignments!$C:$C,Assignments!$AU:$AU,0),0))</f>
        <v/>
      </c>
      <c r="AR464" s="39">
        <f>IF(AND(Config!$B$1006="Y",AQ464=1),Config!$B$1007,0)</f>
        <v>0</v>
      </c>
    </row>
    <row r="465" ht="15.75" customHeight="1">
      <c r="A465" s="46" t="str">
        <f t="shared" si="1"/>
        <v/>
      </c>
      <c r="B465" s="40" t="str">
        <f>IF(Bids!$A464="","",Bids!$A464)</f>
        <v/>
      </c>
      <c r="C465" s="40" t="str">
        <f>IF(Bids!$B464="","",Bids!$B464)</f>
        <v/>
      </c>
      <c r="D465" s="40" t="str">
        <f>IF($C465="","",IFERROR(VLOOKUP($C465,Orders!$A$4:$J$998,9,FALSE),""))</f>
        <v/>
      </c>
      <c r="E465" s="40" t="str">
        <f>IF($C465="","",IFERROR(VLOOKUP($C465,Orders!$A$4:$J$998,3,FALSE),""))</f>
        <v/>
      </c>
      <c r="F465" s="40">
        <f t="shared" si="2"/>
        <v>1</v>
      </c>
      <c r="G465" s="40" t="str">
        <f>IF($C465="","",IFERROR(VLOOKUP($C465,Orders!$A$4:$J$998,4,FALSE),""))</f>
        <v/>
      </c>
      <c r="H465" s="40" t="str">
        <f>IF($C465="","",IFERROR(VLOOKUP($C465,Orders!$A$4:$J$998,5,FALSE),""))</f>
        <v/>
      </c>
      <c r="I465" s="40" t="str">
        <f>IF($C465="","",IFERROR(VLOOKUP($C465,Orders!$A$4:$J$998,6,FALSE),""))</f>
        <v/>
      </c>
      <c r="J465" s="40" t="str">
        <f>IF($C465="","",IFERROR(VLOOKUP($C465,Orders!$A$4:$J$998,7,FALSE),""))</f>
        <v/>
      </c>
      <c r="K465" s="40" t="str">
        <f>IF(Bids!$C464="","",Bids!$C464)</f>
        <v/>
      </c>
      <c r="L465" s="40" t="str">
        <f>IF($K465="","",IFERROR(VLOOKUP($K465,Grinders!$A$4:$N$998,2,FALSE),""))</f>
        <v/>
      </c>
      <c r="M465" s="40" t="str">
        <f>IF($K465="","",IFERROR(VLOOKUP($K465,Grinders!$A$4:$N$998,3,FALSE),""))</f>
        <v/>
      </c>
      <c r="N465" s="40" t="str">
        <f>IF($K465="","",IFERROR(VLOOKUP($K465,Grinders!$A$4:$N$998,4,FALSE),""))</f>
        <v/>
      </c>
      <c r="O465" s="40" t="str">
        <f>IF($K465="","",IFERROR(VLOOKUP($K465,Grinders!$A$4:$N$998,5,FALSE),""))</f>
        <v/>
      </c>
      <c r="P465" s="40" t="str">
        <f>IF($K465="","",IF($C$4="",0,COUNTIFS(Assignments!$B$6:$B$1000,$K465,Assignments!$F$6:$F$1000,$C$4,Assignments!$E$6:$E$1000,"Active")))</f>
        <v/>
      </c>
      <c r="Q465" s="40" t="str">
        <f t="shared" si="3"/>
        <v/>
      </c>
      <c r="R465" s="40" t="str">
        <f t="shared" si="4"/>
        <v/>
      </c>
      <c r="S465" s="40" t="str">
        <f>IF($K465="","",IF($C$4="",0,COUNTIFS(Assignments!$B$6:$B$1000,$K465,Assignments!$F$6:$F$1000,$C$4,Assignments!$D$6:$D$1000,"&gt;="&amp;Config!$B$3-7,Assignments!$D$6:$D$1000,"&lt;="&amp;Config!$B$3)))</f>
        <v/>
      </c>
      <c r="T465" s="40" t="str">
        <f>IF($K465="","",IFERROR(VLOOKUP($K465,Grinders!$A$4:$N$998,8,FALSE),""))</f>
        <v/>
      </c>
      <c r="U465" s="40" t="str">
        <f>IFERROR(IF($K465="","",IF($M465="Elite",MAX(50,MIN(100,Config!$B$27*MAX(0,MIN(100,(1-IF($R465="",0,$R465))*100)) + Config!$B$28*MAX(0,MIN(100,(1-MIN(1,IF(Config!$B$30=0,1,$S465/Config!$B$30)))*100)) + Config!$B$29*MAX(0,MIN(100,MIN(1,IF($T465="",0,$T465)/Config!$B$23)*100)))),MIN(100,Config!$B$27*MAX(0,MIN(100,(1-IF($R465="",0,$R465))*100)) + Config!$B$28*MAX(0,MIN(100,(1-MIN(1,IF(Config!$B$30=0,1,$S465/Config!$B$30)))*100)) + Config!$B$29*MAX(0,MIN(100,MIN(1,IF($T465="",0,$T465)/Config!$B$23)*100))))),"")
</f>
        <v/>
      </c>
      <c r="V465" s="40" t="str">
        <f>IF(Bids!$AC465="","",Bids!$AC465)</f>
        <v/>
      </c>
      <c r="W465" s="40" t="str">
        <f>IF(Bids!$F464="","",Bids!$F464)</f>
        <v/>
      </c>
      <c r="X465" s="40" t="str">
        <f t="shared" si="5"/>
        <v/>
      </c>
      <c r="Y465" s="40" t="str">
        <f>IF($X465="","",IF(Config!$B$17=Config!$B$16,IF($X465&gt;=Config!$B$17,100,0),MAX(0,MIN(100,($X465-Config!$B$16)/(Config!$B$17-Config!$B$16)*100))))</f>
        <v/>
      </c>
      <c r="Z465" s="40">
        <f>IF($M465="Elite",Config!$B$21,0)</f>
        <v>0</v>
      </c>
      <c r="AA465" s="40" t="str">
        <f>IFERROR(IF(OR($W465="",$H465=""),"",IF($W465&gt;$H465,
  MAX(0, 60-(($W465-$H465)*24/Config!$B$19)*60),
  MIN(100, 60+(($H465-$W465)*24/Config!$B$20)*40)
)),"")
</f>
        <v/>
      </c>
      <c r="AB465" s="40" t="str">
        <f>IF($K465="","",IFERROR(VLOOKUP($K465,Grinders!$A$4:$N$998,10,FALSE)/5*100,""))</f>
        <v/>
      </c>
      <c r="AC465" s="40" t="str">
        <f>IF($K465="","",IFERROR(VLOOKUP($K465,Grinders!$A$4:$N$998,11,FALSE)*100,""))</f>
        <v/>
      </c>
      <c r="AD465" s="40" t="str">
        <f>IF($K465="","",IFERROR(VLOOKUP($K465,Grinders!$A$4:$N$998,12,FALSE)*100,""))</f>
        <v/>
      </c>
      <c r="AE465" s="40" t="str">
        <f>IF(OR(AO465=1,AP465=1),0,=IFERROR(IFS(
    OR($C465="", $K465=""), 0,
    $F465=0, 0,
    $D465&lt;&gt;"Open", 0,
    COUNTIFS(GrinderServices!$A$6:$A$1000, $K465, GrinderServices!$B$6:$B$1000, $E465, GrinderServices!$D$6:$D$1000, "Y")=0, 0,
    $X465&lt;Config!$B$16, 0,
    Config!$B$18=1, IF($O465&gt;=N465, 0, 1),
    TRUE, 1
), "")
)</f>
        <v>#ERROR!</v>
      </c>
      <c r="AF465" s="40" t="str">
        <f>IFERROR((IF(OR(AO465=1,AP465=1),"",=IFERROR((IFERROR(IF($AE465=0,"",((Config!$B$6*$Y465 + Config!$B$7*$U465 + Config!$B$8*$Z465 + Config!$B$9*$AA465 + Config!$B$10*$AB465 + Config!$B$11*$AC465 - Config!$B$12*$AD465)/Config!$B$13)+$AK465+$AL465),""))*(1-IFERROR(VLOOKUP(K465,Grinders!$A:$AB, 28, FALSE),0)),"")))*(1+AR465),"")</f>
        <v>#ERROR!</v>
      </c>
      <c r="AG465" s="40" t="str">
        <f t="shared" si="6"/>
        <v>#ERROR!</v>
      </c>
      <c r="AH465" s="40" t="str">
        <f t="shared" si="7"/>
        <v/>
      </c>
      <c r="AI465" s="40" t="str">
        <f t="shared" si="8"/>
        <v/>
      </c>
      <c r="AJ465" s="40" t="str">
        <f>IF($K465="","",COUNTIF(Assignments!$B$6:$B$1000,$K465))</f>
        <v/>
      </c>
      <c r="AK465" s="40" t="str">
        <f>IF($K465="","",IF(AND($AJ465=0,$O465&lt;$N465),Config!$B$43,0))</f>
        <v/>
      </c>
      <c r="AL465" s="40" t="str">
        <f>IF($K465="","",IF(AND($M465="Elite",$G465&gt;=Config!$B$41,$O465&lt;$N465),Config!$B$42,0))</f>
        <v/>
      </c>
      <c r="AM465" s="22"/>
      <c r="AN465" s="39">
        <f>IFERROR(VLOOKUP(K465,Grinders!$A:$Q,28,FALSE),0)</f>
        <v>0</v>
      </c>
      <c r="AO465" s="39">
        <f>IF(Config!$B$1003&lt;&gt;"Y",0,IF(IFERROR(VLOOKUP(K465,Grinders!$A:$P,27,FALSE),0)&gt;=3,IF(OR(G465&gt;=Config!$B$1001,ISNUMBER(SEARCH(E465,Config!$B$1002))),1,0),0))</f>
        <v>0</v>
      </c>
      <c r="AP465" s="39">
        <f t="array" ref="AP465">IFERROR(IF(INDEX(Bids!$AE:$AE,MATCH(B465,Bids!$A:$A,0))="Pending",1,0),0)</f>
        <v>0</v>
      </c>
      <c r="AQ465" s="39" t="str">
        <f t="array" ref="AQ465">IF(C465="","",IFERROR(XLOOKUP(C465,Assignments!$C:$C,Assignments!$AU:$AU,0),0))</f>
        <v/>
      </c>
      <c r="AR465" s="39">
        <f>IF(AND(Config!$B$1006="Y",AQ465=1),Config!$B$1007,0)</f>
        <v>0</v>
      </c>
    </row>
    <row r="466" ht="15.75" customHeight="1">
      <c r="A466" s="46" t="str">
        <f t="shared" si="1"/>
        <v/>
      </c>
      <c r="B466" s="40" t="str">
        <f>IF(Bids!$A465="","",Bids!$A465)</f>
        <v/>
      </c>
      <c r="C466" s="40" t="str">
        <f>IF(Bids!$B465="","",Bids!$B465)</f>
        <v/>
      </c>
      <c r="D466" s="40" t="str">
        <f>IF($C466="","",IFERROR(VLOOKUP($C466,Orders!$A$4:$J$998,9,FALSE),""))</f>
        <v/>
      </c>
      <c r="E466" s="40" t="str">
        <f>IF($C466="","",IFERROR(VLOOKUP($C466,Orders!$A$4:$J$998,3,FALSE),""))</f>
        <v/>
      </c>
      <c r="F466" s="40">
        <f t="shared" si="2"/>
        <v>1</v>
      </c>
      <c r="G466" s="40" t="str">
        <f>IF($C466="","",IFERROR(VLOOKUP($C466,Orders!$A$4:$J$998,4,FALSE),""))</f>
        <v/>
      </c>
      <c r="H466" s="40" t="str">
        <f>IF($C466="","",IFERROR(VLOOKUP($C466,Orders!$A$4:$J$998,5,FALSE),""))</f>
        <v/>
      </c>
      <c r="I466" s="40" t="str">
        <f>IF($C466="","",IFERROR(VLOOKUP($C466,Orders!$A$4:$J$998,6,FALSE),""))</f>
        <v/>
      </c>
      <c r="J466" s="40" t="str">
        <f>IF($C466="","",IFERROR(VLOOKUP($C466,Orders!$A$4:$J$998,7,FALSE),""))</f>
        <v/>
      </c>
      <c r="K466" s="40" t="str">
        <f>IF(Bids!$C465="","",Bids!$C465)</f>
        <v/>
      </c>
      <c r="L466" s="40" t="str">
        <f>IF($K466="","",IFERROR(VLOOKUP($K466,Grinders!$A$4:$N$998,2,FALSE),""))</f>
        <v/>
      </c>
      <c r="M466" s="40" t="str">
        <f>IF($K466="","",IFERROR(VLOOKUP($K466,Grinders!$A$4:$N$998,3,FALSE),""))</f>
        <v/>
      </c>
      <c r="N466" s="40" t="str">
        <f>IF($K466="","",IFERROR(VLOOKUP($K466,Grinders!$A$4:$N$998,4,FALSE),""))</f>
        <v/>
      </c>
      <c r="O466" s="40" t="str">
        <f>IF($K466="","",IFERROR(VLOOKUP($K466,Grinders!$A$4:$N$998,5,FALSE),""))</f>
        <v/>
      </c>
      <c r="P466" s="40" t="str">
        <f>IF($K466="","",IF($C$4="",0,COUNTIFS(Assignments!$B$6:$B$1000,$K466,Assignments!$F$6:$F$1000,$C$4,Assignments!$E$6:$E$1000,"Active")))</f>
        <v/>
      </c>
      <c r="Q466" s="40" t="str">
        <f t="shared" si="3"/>
        <v/>
      </c>
      <c r="R466" s="40" t="str">
        <f t="shared" si="4"/>
        <v/>
      </c>
      <c r="S466" s="40" t="str">
        <f>IF($K466="","",IF($C$4="",0,COUNTIFS(Assignments!$B$6:$B$1000,$K466,Assignments!$F$6:$F$1000,$C$4,Assignments!$D$6:$D$1000,"&gt;="&amp;Config!$B$3-7,Assignments!$D$6:$D$1000,"&lt;="&amp;Config!$B$3)))</f>
        <v/>
      </c>
      <c r="T466" s="40" t="str">
        <f>IF($K466="","",IFERROR(VLOOKUP($K466,Grinders!$A$4:$N$998,8,FALSE),""))</f>
        <v/>
      </c>
      <c r="U466" s="40" t="str">
        <f>IFERROR(IF($K466="","",IF($M466="Elite",MAX(50,MIN(100,Config!$B$27*MAX(0,MIN(100,(1-IF($R466="",0,$R466))*100)) + Config!$B$28*MAX(0,MIN(100,(1-MIN(1,IF(Config!$B$30=0,1,$S466/Config!$B$30)))*100)) + Config!$B$29*MAX(0,MIN(100,MIN(1,IF($T466="",0,$T466)/Config!$B$23)*100)))),MIN(100,Config!$B$27*MAX(0,MIN(100,(1-IF($R466="",0,$R466))*100)) + Config!$B$28*MAX(0,MIN(100,(1-MIN(1,IF(Config!$B$30=0,1,$S466/Config!$B$30)))*100)) + Config!$B$29*MAX(0,MIN(100,MIN(1,IF($T466="",0,$T466)/Config!$B$23)*100))))),"")
</f>
        <v/>
      </c>
      <c r="V466" s="40" t="str">
        <f>IF(Bids!$AC466="","",Bids!$AC466)</f>
        <v/>
      </c>
      <c r="W466" s="40" t="str">
        <f>IF(Bids!$F465="","",Bids!$F465)</f>
        <v/>
      </c>
      <c r="X466" s="40" t="str">
        <f t="shared" si="5"/>
        <v/>
      </c>
      <c r="Y466" s="40" t="str">
        <f>IF($X466="","",IF(Config!$B$17=Config!$B$16,IF($X466&gt;=Config!$B$17,100,0),MAX(0,MIN(100,($X466-Config!$B$16)/(Config!$B$17-Config!$B$16)*100))))</f>
        <v/>
      </c>
      <c r="Z466" s="40">
        <f>IF($M466="Elite",Config!$B$21,0)</f>
        <v>0</v>
      </c>
      <c r="AA466" s="40" t="str">
        <f>IFERROR(IF(OR($W466="",$H466=""),"",IF($W466&gt;$H466,
  MAX(0, 60-(($W466-$H466)*24/Config!$B$19)*60),
  MIN(100, 60+(($H466-$W466)*24/Config!$B$20)*40)
)),"")
</f>
        <v/>
      </c>
      <c r="AB466" s="40" t="str">
        <f>IF($K466="","",IFERROR(VLOOKUP($K466,Grinders!$A$4:$N$998,10,FALSE)/5*100,""))</f>
        <v/>
      </c>
      <c r="AC466" s="40" t="str">
        <f>IF($K466="","",IFERROR(VLOOKUP($K466,Grinders!$A$4:$N$998,11,FALSE)*100,""))</f>
        <v/>
      </c>
      <c r="AD466" s="40" t="str">
        <f>IF($K466="","",IFERROR(VLOOKUP($K466,Grinders!$A$4:$N$998,12,FALSE)*100,""))</f>
        <v/>
      </c>
      <c r="AE466" s="40" t="str">
        <f>IF(OR(AO466=1,AP466=1),0,=IFERROR(IFS(
    OR($C466="", $K466=""), 0,
    $F466=0, 0,
    $D466&lt;&gt;"Open", 0,
    COUNTIFS(GrinderServices!$A$6:$A$1000, $K466, GrinderServices!$B$6:$B$1000, $E466, GrinderServices!$D$6:$D$1000, "Y")=0, 0,
    $X466&lt;Config!$B$16, 0,
    Config!$B$18=1, IF($O466&gt;=N466, 0, 1),
    TRUE, 1
), "")
)</f>
        <v>#ERROR!</v>
      </c>
      <c r="AF466" s="40" t="str">
        <f>IFERROR((IF(OR(AO466=1,AP466=1),"",=IFERROR((IFERROR(IF($AE466=0,"",((Config!$B$6*$Y466 + Config!$B$7*$U466 + Config!$B$8*$Z466 + Config!$B$9*$AA466 + Config!$B$10*$AB466 + Config!$B$11*$AC466 - Config!$B$12*$AD466)/Config!$B$13)+$AK466+$AL466),""))*(1-IFERROR(VLOOKUP(K466,Grinders!$A:$AB, 28, FALSE),0)),"")))*(1+AR466),"")</f>
        <v>#ERROR!</v>
      </c>
      <c r="AG466" s="40" t="str">
        <f t="shared" si="6"/>
        <v>#ERROR!</v>
      </c>
      <c r="AH466" s="40" t="str">
        <f t="shared" si="7"/>
        <v/>
      </c>
      <c r="AI466" s="40" t="str">
        <f t="shared" si="8"/>
        <v/>
      </c>
      <c r="AJ466" s="40" t="str">
        <f>IF($K466="","",COUNTIF(Assignments!$B$6:$B$1000,$K466))</f>
        <v/>
      </c>
      <c r="AK466" s="40" t="str">
        <f>IF($K466="","",IF(AND($AJ466=0,$O466&lt;$N466),Config!$B$43,0))</f>
        <v/>
      </c>
      <c r="AL466" s="40" t="str">
        <f>IF($K466="","",IF(AND($M466="Elite",$G466&gt;=Config!$B$41,$O466&lt;$N466),Config!$B$42,0))</f>
        <v/>
      </c>
      <c r="AM466" s="22"/>
      <c r="AN466" s="39">
        <f>IFERROR(VLOOKUP(K466,Grinders!$A:$Q,28,FALSE),0)</f>
        <v>0</v>
      </c>
      <c r="AO466" s="39">
        <f>IF(Config!$B$1003&lt;&gt;"Y",0,IF(IFERROR(VLOOKUP(K466,Grinders!$A:$P,27,FALSE),0)&gt;=3,IF(OR(G466&gt;=Config!$B$1001,ISNUMBER(SEARCH(E466,Config!$B$1002))),1,0),0))</f>
        <v>0</v>
      </c>
      <c r="AP466" s="39">
        <f t="array" ref="AP466">IFERROR(IF(INDEX(Bids!$AE:$AE,MATCH(B466,Bids!$A:$A,0))="Pending",1,0),0)</f>
        <v>0</v>
      </c>
      <c r="AQ466" s="39" t="str">
        <f t="array" ref="AQ466">IF(C466="","",IFERROR(XLOOKUP(C466,Assignments!$C:$C,Assignments!$AU:$AU,0),0))</f>
        <v/>
      </c>
      <c r="AR466" s="39">
        <f>IF(AND(Config!$B$1006="Y",AQ466=1),Config!$B$1007,0)</f>
        <v>0</v>
      </c>
    </row>
    <row r="467" ht="15.75" customHeight="1">
      <c r="A467" s="46" t="str">
        <f t="shared" si="1"/>
        <v/>
      </c>
      <c r="B467" s="40" t="str">
        <f>IF(Bids!$A466="","",Bids!$A466)</f>
        <v/>
      </c>
      <c r="C467" s="40" t="str">
        <f>IF(Bids!$B466="","",Bids!$B466)</f>
        <v/>
      </c>
      <c r="D467" s="40" t="str">
        <f>IF($C467="","",IFERROR(VLOOKUP($C467,Orders!$A$4:$J$998,9,FALSE),""))</f>
        <v/>
      </c>
      <c r="E467" s="40" t="str">
        <f>IF($C467="","",IFERROR(VLOOKUP($C467,Orders!$A$4:$J$998,3,FALSE),""))</f>
        <v/>
      </c>
      <c r="F467" s="40">
        <f t="shared" si="2"/>
        <v>1</v>
      </c>
      <c r="G467" s="40" t="str">
        <f>IF($C467="","",IFERROR(VLOOKUP($C467,Orders!$A$4:$J$998,4,FALSE),""))</f>
        <v/>
      </c>
      <c r="H467" s="40" t="str">
        <f>IF($C467="","",IFERROR(VLOOKUP($C467,Orders!$A$4:$J$998,5,FALSE),""))</f>
        <v/>
      </c>
      <c r="I467" s="40" t="str">
        <f>IF($C467="","",IFERROR(VLOOKUP($C467,Orders!$A$4:$J$998,6,FALSE),""))</f>
        <v/>
      </c>
      <c r="J467" s="40" t="str">
        <f>IF($C467="","",IFERROR(VLOOKUP($C467,Orders!$A$4:$J$998,7,FALSE),""))</f>
        <v/>
      </c>
      <c r="K467" s="40" t="str">
        <f>IF(Bids!$C466="","",Bids!$C466)</f>
        <v/>
      </c>
      <c r="L467" s="40" t="str">
        <f>IF($K467="","",IFERROR(VLOOKUP($K467,Grinders!$A$4:$N$998,2,FALSE),""))</f>
        <v/>
      </c>
      <c r="M467" s="40" t="str">
        <f>IF($K467="","",IFERROR(VLOOKUP($K467,Grinders!$A$4:$N$998,3,FALSE),""))</f>
        <v/>
      </c>
      <c r="N467" s="40" t="str">
        <f>IF($K467="","",IFERROR(VLOOKUP($K467,Grinders!$A$4:$N$998,4,FALSE),""))</f>
        <v/>
      </c>
      <c r="O467" s="40" t="str">
        <f>IF($K467="","",IFERROR(VLOOKUP($K467,Grinders!$A$4:$N$998,5,FALSE),""))</f>
        <v/>
      </c>
      <c r="P467" s="40" t="str">
        <f>IF($K467="","",IF($C$4="",0,COUNTIFS(Assignments!$B$6:$B$1000,$K467,Assignments!$F$6:$F$1000,$C$4,Assignments!$E$6:$E$1000,"Active")))</f>
        <v/>
      </c>
      <c r="Q467" s="40" t="str">
        <f t="shared" si="3"/>
        <v/>
      </c>
      <c r="R467" s="40" t="str">
        <f t="shared" si="4"/>
        <v/>
      </c>
      <c r="S467" s="40" t="str">
        <f>IF($K467="","",IF($C$4="",0,COUNTIFS(Assignments!$B$6:$B$1000,$K467,Assignments!$F$6:$F$1000,$C$4,Assignments!$D$6:$D$1000,"&gt;="&amp;Config!$B$3-7,Assignments!$D$6:$D$1000,"&lt;="&amp;Config!$B$3)))</f>
        <v/>
      </c>
      <c r="T467" s="40" t="str">
        <f>IF($K467="","",IFERROR(VLOOKUP($K467,Grinders!$A$4:$N$998,8,FALSE),""))</f>
        <v/>
      </c>
      <c r="U467" s="40" t="str">
        <f>IFERROR(IF($K467="","",IF($M467="Elite",MAX(50,MIN(100,Config!$B$27*MAX(0,MIN(100,(1-IF($R467="",0,$R467))*100)) + Config!$B$28*MAX(0,MIN(100,(1-MIN(1,IF(Config!$B$30=0,1,$S467/Config!$B$30)))*100)) + Config!$B$29*MAX(0,MIN(100,MIN(1,IF($T467="",0,$T467)/Config!$B$23)*100)))),MIN(100,Config!$B$27*MAX(0,MIN(100,(1-IF($R467="",0,$R467))*100)) + Config!$B$28*MAX(0,MIN(100,(1-MIN(1,IF(Config!$B$30=0,1,$S467/Config!$B$30)))*100)) + Config!$B$29*MAX(0,MIN(100,MIN(1,IF($T467="",0,$T467)/Config!$B$23)*100))))),"")
</f>
        <v/>
      </c>
      <c r="V467" s="40" t="str">
        <f>IF(Bids!$AC467="","",Bids!$AC467)</f>
        <v/>
      </c>
      <c r="W467" s="40" t="str">
        <f>IF(Bids!$F466="","",Bids!$F466)</f>
        <v/>
      </c>
      <c r="X467" s="40" t="str">
        <f t="shared" si="5"/>
        <v/>
      </c>
      <c r="Y467" s="40" t="str">
        <f>IF($X467="","",IF(Config!$B$17=Config!$B$16,IF($X467&gt;=Config!$B$17,100,0),MAX(0,MIN(100,($X467-Config!$B$16)/(Config!$B$17-Config!$B$16)*100))))</f>
        <v/>
      </c>
      <c r="Z467" s="40">
        <f>IF($M467="Elite",Config!$B$21,0)</f>
        <v>0</v>
      </c>
      <c r="AA467" s="40" t="str">
        <f>IFERROR(IF(OR($W467="",$H467=""),"",IF($W467&gt;$H467,
  MAX(0, 60-(($W467-$H467)*24/Config!$B$19)*60),
  MIN(100, 60+(($H467-$W467)*24/Config!$B$20)*40)
)),"")
</f>
        <v/>
      </c>
      <c r="AB467" s="40" t="str">
        <f>IF($K467="","",IFERROR(VLOOKUP($K467,Grinders!$A$4:$N$998,10,FALSE)/5*100,""))</f>
        <v/>
      </c>
      <c r="AC467" s="40" t="str">
        <f>IF($K467="","",IFERROR(VLOOKUP($K467,Grinders!$A$4:$N$998,11,FALSE)*100,""))</f>
        <v/>
      </c>
      <c r="AD467" s="40" t="str">
        <f>IF($K467="","",IFERROR(VLOOKUP($K467,Grinders!$A$4:$N$998,12,FALSE)*100,""))</f>
        <v/>
      </c>
      <c r="AE467" s="40" t="str">
        <f>IF(OR(AO467=1,AP467=1),0,=IFERROR(IFS(
    OR($C467="", $K467=""), 0,
    $F467=0, 0,
    $D467&lt;&gt;"Open", 0,
    COUNTIFS(GrinderServices!$A$6:$A$1000, $K467, GrinderServices!$B$6:$B$1000, $E467, GrinderServices!$D$6:$D$1000, "Y")=0, 0,
    $X467&lt;Config!$B$16, 0,
    Config!$B$18=1, IF($O467&gt;=N467, 0, 1),
    TRUE, 1
), "")
)</f>
        <v>#ERROR!</v>
      </c>
      <c r="AF467" s="40" t="str">
        <f>IFERROR((IF(OR(AO467=1,AP467=1),"",=IFERROR((IFERROR(IF($AE467=0,"",((Config!$B$6*$Y467 + Config!$B$7*$U467 + Config!$B$8*$Z467 + Config!$B$9*$AA467 + Config!$B$10*$AB467 + Config!$B$11*$AC467 - Config!$B$12*$AD467)/Config!$B$13)+$AK467+$AL467),""))*(1-IFERROR(VLOOKUP(K467,Grinders!$A:$AB, 28, FALSE),0)),"")))*(1+AR467),"")</f>
        <v>#ERROR!</v>
      </c>
      <c r="AG467" s="40" t="str">
        <f t="shared" si="6"/>
        <v>#ERROR!</v>
      </c>
      <c r="AH467" s="40" t="str">
        <f t="shared" si="7"/>
        <v/>
      </c>
      <c r="AI467" s="40" t="str">
        <f t="shared" si="8"/>
        <v/>
      </c>
      <c r="AJ467" s="40" t="str">
        <f>IF($K467="","",COUNTIF(Assignments!$B$6:$B$1000,$K467))</f>
        <v/>
      </c>
      <c r="AK467" s="40" t="str">
        <f>IF($K467="","",IF(AND($AJ467=0,$O467&lt;$N467),Config!$B$43,0))</f>
        <v/>
      </c>
      <c r="AL467" s="40" t="str">
        <f>IF($K467="","",IF(AND($M467="Elite",$G467&gt;=Config!$B$41,$O467&lt;$N467),Config!$B$42,0))</f>
        <v/>
      </c>
      <c r="AM467" s="22"/>
      <c r="AN467" s="39">
        <f>IFERROR(VLOOKUP(K467,Grinders!$A:$Q,28,FALSE),0)</f>
        <v>0</v>
      </c>
      <c r="AO467" s="39">
        <f>IF(Config!$B$1003&lt;&gt;"Y",0,IF(IFERROR(VLOOKUP(K467,Grinders!$A:$P,27,FALSE),0)&gt;=3,IF(OR(G467&gt;=Config!$B$1001,ISNUMBER(SEARCH(E467,Config!$B$1002))),1,0),0))</f>
        <v>0</v>
      </c>
      <c r="AP467" s="39">
        <f t="array" ref="AP467">IFERROR(IF(INDEX(Bids!$AE:$AE,MATCH(B467,Bids!$A:$A,0))="Pending",1,0),0)</f>
        <v>0</v>
      </c>
      <c r="AQ467" s="39" t="str">
        <f t="array" ref="AQ467">IF(C467="","",IFERROR(XLOOKUP(C467,Assignments!$C:$C,Assignments!$AU:$AU,0),0))</f>
        <v/>
      </c>
      <c r="AR467" s="39">
        <f>IF(AND(Config!$B$1006="Y",AQ467=1),Config!$B$1007,0)</f>
        <v>0</v>
      </c>
    </row>
    <row r="468" ht="15.75" customHeight="1">
      <c r="A468" s="46" t="str">
        <f t="shared" si="1"/>
        <v/>
      </c>
      <c r="B468" s="40" t="str">
        <f>IF(Bids!$A467="","",Bids!$A467)</f>
        <v/>
      </c>
      <c r="C468" s="40" t="str">
        <f>IF(Bids!$B467="","",Bids!$B467)</f>
        <v/>
      </c>
      <c r="D468" s="40" t="str">
        <f>IF($C468="","",IFERROR(VLOOKUP($C468,Orders!$A$4:$J$998,9,FALSE),""))</f>
        <v/>
      </c>
      <c r="E468" s="40" t="str">
        <f>IF($C468="","",IFERROR(VLOOKUP($C468,Orders!$A$4:$J$998,3,FALSE),""))</f>
        <v/>
      </c>
      <c r="F468" s="40">
        <f t="shared" si="2"/>
        <v>1</v>
      </c>
      <c r="G468" s="40" t="str">
        <f>IF($C468="","",IFERROR(VLOOKUP($C468,Orders!$A$4:$J$998,4,FALSE),""))</f>
        <v/>
      </c>
      <c r="H468" s="40" t="str">
        <f>IF($C468="","",IFERROR(VLOOKUP($C468,Orders!$A$4:$J$998,5,FALSE),""))</f>
        <v/>
      </c>
      <c r="I468" s="40" t="str">
        <f>IF($C468="","",IFERROR(VLOOKUP($C468,Orders!$A$4:$J$998,6,FALSE),""))</f>
        <v/>
      </c>
      <c r="J468" s="40" t="str">
        <f>IF($C468="","",IFERROR(VLOOKUP($C468,Orders!$A$4:$J$998,7,FALSE),""))</f>
        <v/>
      </c>
      <c r="K468" s="40" t="str">
        <f>IF(Bids!$C467="","",Bids!$C467)</f>
        <v/>
      </c>
      <c r="L468" s="40" t="str">
        <f>IF($K468="","",IFERROR(VLOOKUP($K468,Grinders!$A$4:$N$998,2,FALSE),""))</f>
        <v/>
      </c>
      <c r="M468" s="40" t="str">
        <f>IF($K468="","",IFERROR(VLOOKUP($K468,Grinders!$A$4:$N$998,3,FALSE),""))</f>
        <v/>
      </c>
      <c r="N468" s="40" t="str">
        <f>IF($K468="","",IFERROR(VLOOKUP($K468,Grinders!$A$4:$N$998,4,FALSE),""))</f>
        <v/>
      </c>
      <c r="O468" s="40" t="str">
        <f>IF($K468="","",IFERROR(VLOOKUP($K468,Grinders!$A$4:$N$998,5,FALSE),""))</f>
        <v/>
      </c>
      <c r="P468" s="40" t="str">
        <f>IF($K468="","",IF($C$4="",0,COUNTIFS(Assignments!$B$6:$B$1000,$K468,Assignments!$F$6:$F$1000,$C$4,Assignments!$E$6:$E$1000,"Active")))</f>
        <v/>
      </c>
      <c r="Q468" s="40" t="str">
        <f t="shared" si="3"/>
        <v/>
      </c>
      <c r="R468" s="40" t="str">
        <f t="shared" si="4"/>
        <v/>
      </c>
      <c r="S468" s="40" t="str">
        <f>IF($K468="","",IF($C$4="",0,COUNTIFS(Assignments!$B$6:$B$1000,$K468,Assignments!$F$6:$F$1000,$C$4,Assignments!$D$6:$D$1000,"&gt;="&amp;Config!$B$3-7,Assignments!$D$6:$D$1000,"&lt;="&amp;Config!$B$3)))</f>
        <v/>
      </c>
      <c r="T468" s="40" t="str">
        <f>IF($K468="","",IFERROR(VLOOKUP($K468,Grinders!$A$4:$N$998,8,FALSE),""))</f>
        <v/>
      </c>
      <c r="U468" s="40" t="str">
        <f>IFERROR(IF($K468="","",IF($M468="Elite",MAX(50,MIN(100,Config!$B$27*MAX(0,MIN(100,(1-IF($R468="",0,$R468))*100)) + Config!$B$28*MAX(0,MIN(100,(1-MIN(1,IF(Config!$B$30=0,1,$S468/Config!$B$30)))*100)) + Config!$B$29*MAX(0,MIN(100,MIN(1,IF($T468="",0,$T468)/Config!$B$23)*100)))),MIN(100,Config!$B$27*MAX(0,MIN(100,(1-IF($R468="",0,$R468))*100)) + Config!$B$28*MAX(0,MIN(100,(1-MIN(1,IF(Config!$B$30=0,1,$S468/Config!$B$30)))*100)) + Config!$B$29*MAX(0,MIN(100,MIN(1,IF($T468="",0,$T468)/Config!$B$23)*100))))),"")
</f>
        <v/>
      </c>
      <c r="V468" s="40" t="str">
        <f>IF(Bids!$AC468="","",Bids!$AC468)</f>
        <v/>
      </c>
      <c r="W468" s="40" t="str">
        <f>IF(Bids!$F467="","",Bids!$F467)</f>
        <v/>
      </c>
      <c r="X468" s="40" t="str">
        <f t="shared" si="5"/>
        <v/>
      </c>
      <c r="Y468" s="40" t="str">
        <f>IF($X468="","",IF(Config!$B$17=Config!$B$16,IF($X468&gt;=Config!$B$17,100,0),MAX(0,MIN(100,($X468-Config!$B$16)/(Config!$B$17-Config!$B$16)*100))))</f>
        <v/>
      </c>
      <c r="Z468" s="40">
        <f>IF($M468="Elite",Config!$B$21,0)</f>
        <v>0</v>
      </c>
      <c r="AA468" s="40" t="str">
        <f>IFERROR(IF(OR($W468="",$H468=""),"",IF($W468&gt;$H468,
  MAX(0, 60-(($W468-$H468)*24/Config!$B$19)*60),
  MIN(100, 60+(($H468-$W468)*24/Config!$B$20)*40)
)),"")
</f>
        <v/>
      </c>
      <c r="AB468" s="40" t="str">
        <f>IF($K468="","",IFERROR(VLOOKUP($K468,Grinders!$A$4:$N$998,10,FALSE)/5*100,""))</f>
        <v/>
      </c>
      <c r="AC468" s="40" t="str">
        <f>IF($K468="","",IFERROR(VLOOKUP($K468,Grinders!$A$4:$N$998,11,FALSE)*100,""))</f>
        <v/>
      </c>
      <c r="AD468" s="40" t="str">
        <f>IF($K468="","",IFERROR(VLOOKUP($K468,Grinders!$A$4:$N$998,12,FALSE)*100,""))</f>
        <v/>
      </c>
      <c r="AE468" s="40" t="str">
        <f>IF(OR(AO468=1,AP468=1),0,=IFERROR(IFS(
    OR($C468="", $K468=""), 0,
    $F468=0, 0,
    $D468&lt;&gt;"Open", 0,
    COUNTIFS(GrinderServices!$A$6:$A$1000, $K468, GrinderServices!$B$6:$B$1000, $E468, GrinderServices!$D$6:$D$1000, "Y")=0, 0,
    $X468&lt;Config!$B$16, 0,
    Config!$B$18=1, IF($O468&gt;=N468, 0, 1),
    TRUE, 1
), "")
)</f>
        <v>#ERROR!</v>
      </c>
      <c r="AF468" s="40" t="str">
        <f>IFERROR((IF(OR(AO468=1,AP468=1),"",=IFERROR((IFERROR(IF($AE468=0,"",((Config!$B$6*$Y468 + Config!$B$7*$U468 + Config!$B$8*$Z468 + Config!$B$9*$AA468 + Config!$B$10*$AB468 + Config!$B$11*$AC468 - Config!$B$12*$AD468)/Config!$B$13)+$AK468+$AL468),""))*(1-IFERROR(VLOOKUP(K468,Grinders!$A:$AB, 28, FALSE),0)),"")))*(1+AR468),"")</f>
        <v>#ERROR!</v>
      </c>
      <c r="AG468" s="40" t="str">
        <f t="shared" si="6"/>
        <v>#ERROR!</v>
      </c>
      <c r="AH468" s="40" t="str">
        <f t="shared" si="7"/>
        <v/>
      </c>
      <c r="AI468" s="40" t="str">
        <f t="shared" si="8"/>
        <v/>
      </c>
      <c r="AJ468" s="40" t="str">
        <f>IF($K468="","",COUNTIF(Assignments!$B$6:$B$1000,$K468))</f>
        <v/>
      </c>
      <c r="AK468" s="40" t="str">
        <f>IF($K468="","",IF(AND($AJ468=0,$O468&lt;$N468),Config!$B$43,0))</f>
        <v/>
      </c>
      <c r="AL468" s="40" t="str">
        <f>IF($K468="","",IF(AND($M468="Elite",$G468&gt;=Config!$B$41,$O468&lt;$N468),Config!$B$42,0))</f>
        <v/>
      </c>
      <c r="AM468" s="22"/>
      <c r="AN468" s="39">
        <f>IFERROR(VLOOKUP(K468,Grinders!$A:$Q,28,FALSE),0)</f>
        <v>0</v>
      </c>
      <c r="AO468" s="39">
        <f>IF(Config!$B$1003&lt;&gt;"Y",0,IF(IFERROR(VLOOKUP(K468,Grinders!$A:$P,27,FALSE),0)&gt;=3,IF(OR(G468&gt;=Config!$B$1001,ISNUMBER(SEARCH(E468,Config!$B$1002))),1,0),0))</f>
        <v>0</v>
      </c>
      <c r="AP468" s="39">
        <f t="array" ref="AP468">IFERROR(IF(INDEX(Bids!$AE:$AE,MATCH(B468,Bids!$A:$A,0))="Pending",1,0),0)</f>
        <v>0</v>
      </c>
      <c r="AQ468" s="39" t="str">
        <f t="array" ref="AQ468">IF(C468="","",IFERROR(XLOOKUP(C468,Assignments!$C:$C,Assignments!$AU:$AU,0),0))</f>
        <v/>
      </c>
      <c r="AR468" s="39">
        <f>IF(AND(Config!$B$1006="Y",AQ468=1),Config!$B$1007,0)</f>
        <v>0</v>
      </c>
    </row>
    <row r="469" ht="15.75" customHeight="1">
      <c r="A469" s="46" t="str">
        <f t="shared" si="1"/>
        <v/>
      </c>
      <c r="B469" s="40" t="str">
        <f>IF(Bids!$A468="","",Bids!$A468)</f>
        <v/>
      </c>
      <c r="C469" s="40" t="str">
        <f>IF(Bids!$B468="","",Bids!$B468)</f>
        <v/>
      </c>
      <c r="D469" s="40" t="str">
        <f>IF($C469="","",IFERROR(VLOOKUP($C469,Orders!$A$4:$J$998,9,FALSE),""))</f>
        <v/>
      </c>
      <c r="E469" s="40" t="str">
        <f>IF($C469="","",IFERROR(VLOOKUP($C469,Orders!$A$4:$J$998,3,FALSE),""))</f>
        <v/>
      </c>
      <c r="F469" s="40">
        <f t="shared" si="2"/>
        <v>1</v>
      </c>
      <c r="G469" s="40" t="str">
        <f>IF($C469="","",IFERROR(VLOOKUP($C469,Orders!$A$4:$J$998,4,FALSE),""))</f>
        <v/>
      </c>
      <c r="H469" s="40" t="str">
        <f>IF($C469="","",IFERROR(VLOOKUP($C469,Orders!$A$4:$J$998,5,FALSE),""))</f>
        <v/>
      </c>
      <c r="I469" s="40" t="str">
        <f>IF($C469="","",IFERROR(VLOOKUP($C469,Orders!$A$4:$J$998,6,FALSE),""))</f>
        <v/>
      </c>
      <c r="J469" s="40" t="str">
        <f>IF($C469="","",IFERROR(VLOOKUP($C469,Orders!$A$4:$J$998,7,FALSE),""))</f>
        <v/>
      </c>
      <c r="K469" s="40" t="str">
        <f>IF(Bids!$C468="","",Bids!$C468)</f>
        <v/>
      </c>
      <c r="L469" s="40" t="str">
        <f>IF($K469="","",IFERROR(VLOOKUP($K469,Grinders!$A$4:$N$998,2,FALSE),""))</f>
        <v/>
      </c>
      <c r="M469" s="40" t="str">
        <f>IF($K469="","",IFERROR(VLOOKUP($K469,Grinders!$A$4:$N$998,3,FALSE),""))</f>
        <v/>
      </c>
      <c r="N469" s="40" t="str">
        <f>IF($K469="","",IFERROR(VLOOKUP($K469,Grinders!$A$4:$N$998,4,FALSE),""))</f>
        <v/>
      </c>
      <c r="O469" s="40" t="str">
        <f>IF($K469="","",IFERROR(VLOOKUP($K469,Grinders!$A$4:$N$998,5,FALSE),""))</f>
        <v/>
      </c>
      <c r="P469" s="40" t="str">
        <f>IF($K469="","",IF($C$4="",0,COUNTIFS(Assignments!$B$6:$B$1000,$K469,Assignments!$F$6:$F$1000,$C$4,Assignments!$E$6:$E$1000,"Active")))</f>
        <v/>
      </c>
      <c r="Q469" s="40" t="str">
        <f t="shared" si="3"/>
        <v/>
      </c>
      <c r="R469" s="40" t="str">
        <f t="shared" si="4"/>
        <v/>
      </c>
      <c r="S469" s="40" t="str">
        <f>IF($K469="","",IF($C$4="",0,COUNTIFS(Assignments!$B$6:$B$1000,$K469,Assignments!$F$6:$F$1000,$C$4,Assignments!$D$6:$D$1000,"&gt;="&amp;Config!$B$3-7,Assignments!$D$6:$D$1000,"&lt;="&amp;Config!$B$3)))</f>
        <v/>
      </c>
      <c r="T469" s="40" t="str">
        <f>IF($K469="","",IFERROR(VLOOKUP($K469,Grinders!$A$4:$N$998,8,FALSE),""))</f>
        <v/>
      </c>
      <c r="U469" s="40" t="str">
        <f>IFERROR(IF($K469="","",IF($M469="Elite",MAX(50,MIN(100,Config!$B$27*MAX(0,MIN(100,(1-IF($R469="",0,$R469))*100)) + Config!$B$28*MAX(0,MIN(100,(1-MIN(1,IF(Config!$B$30=0,1,$S469/Config!$B$30)))*100)) + Config!$B$29*MAX(0,MIN(100,MIN(1,IF($T469="",0,$T469)/Config!$B$23)*100)))),MIN(100,Config!$B$27*MAX(0,MIN(100,(1-IF($R469="",0,$R469))*100)) + Config!$B$28*MAX(0,MIN(100,(1-MIN(1,IF(Config!$B$30=0,1,$S469/Config!$B$30)))*100)) + Config!$B$29*MAX(0,MIN(100,MIN(1,IF($T469="",0,$T469)/Config!$B$23)*100))))),"")
</f>
        <v/>
      </c>
      <c r="V469" s="40" t="str">
        <f>IF(Bids!$AC469="","",Bids!$AC469)</f>
        <v/>
      </c>
      <c r="W469" s="40" t="str">
        <f>IF(Bids!$F468="","",Bids!$F468)</f>
        <v/>
      </c>
      <c r="X469" s="40" t="str">
        <f t="shared" si="5"/>
        <v/>
      </c>
      <c r="Y469" s="40" t="str">
        <f>IF($X469="","",IF(Config!$B$17=Config!$B$16,IF($X469&gt;=Config!$B$17,100,0),MAX(0,MIN(100,($X469-Config!$B$16)/(Config!$B$17-Config!$B$16)*100))))</f>
        <v/>
      </c>
      <c r="Z469" s="40">
        <f>IF($M469="Elite",Config!$B$21,0)</f>
        <v>0</v>
      </c>
      <c r="AA469" s="40" t="str">
        <f>IFERROR(IF(OR($W469="",$H469=""),"",IF($W469&gt;$H469,
  MAX(0, 60-(($W469-$H469)*24/Config!$B$19)*60),
  MIN(100, 60+(($H469-$W469)*24/Config!$B$20)*40)
)),"")
</f>
        <v/>
      </c>
      <c r="AB469" s="40" t="str">
        <f>IF($K469="","",IFERROR(VLOOKUP($K469,Grinders!$A$4:$N$998,10,FALSE)/5*100,""))</f>
        <v/>
      </c>
      <c r="AC469" s="40" t="str">
        <f>IF($K469="","",IFERROR(VLOOKUP($K469,Grinders!$A$4:$N$998,11,FALSE)*100,""))</f>
        <v/>
      </c>
      <c r="AD469" s="40" t="str">
        <f>IF($K469="","",IFERROR(VLOOKUP($K469,Grinders!$A$4:$N$998,12,FALSE)*100,""))</f>
        <v/>
      </c>
      <c r="AE469" s="40" t="str">
        <f>IF(OR(AO469=1,AP469=1),0,=IFERROR(IFS(
    OR($C469="", $K469=""), 0,
    $F469=0, 0,
    $D469&lt;&gt;"Open", 0,
    COUNTIFS(GrinderServices!$A$6:$A$1000, $K469, GrinderServices!$B$6:$B$1000, $E469, GrinderServices!$D$6:$D$1000, "Y")=0, 0,
    $X469&lt;Config!$B$16, 0,
    Config!$B$18=1, IF($O469&gt;=N469, 0, 1),
    TRUE, 1
), "")
)</f>
        <v>#ERROR!</v>
      </c>
      <c r="AF469" s="40" t="str">
        <f>IFERROR((IF(OR(AO469=1,AP469=1),"",=IFERROR((IFERROR(IF($AE469=0,"",((Config!$B$6*$Y469 + Config!$B$7*$U469 + Config!$B$8*$Z469 + Config!$B$9*$AA469 + Config!$B$10*$AB469 + Config!$B$11*$AC469 - Config!$B$12*$AD469)/Config!$B$13)+$AK469+$AL469),""))*(1-IFERROR(VLOOKUP(K469,Grinders!$A:$AB, 28, FALSE),0)),"")))*(1+AR469),"")</f>
        <v>#ERROR!</v>
      </c>
      <c r="AG469" s="40" t="str">
        <f t="shared" si="6"/>
        <v>#ERROR!</v>
      </c>
      <c r="AH469" s="40" t="str">
        <f t="shared" si="7"/>
        <v/>
      </c>
      <c r="AI469" s="40" t="str">
        <f t="shared" si="8"/>
        <v/>
      </c>
      <c r="AJ469" s="40" t="str">
        <f>IF($K469="","",COUNTIF(Assignments!$B$6:$B$1000,$K469))</f>
        <v/>
      </c>
      <c r="AK469" s="40" t="str">
        <f>IF($K469="","",IF(AND($AJ469=0,$O469&lt;$N469),Config!$B$43,0))</f>
        <v/>
      </c>
      <c r="AL469" s="40" t="str">
        <f>IF($K469="","",IF(AND($M469="Elite",$G469&gt;=Config!$B$41,$O469&lt;$N469),Config!$B$42,0))</f>
        <v/>
      </c>
      <c r="AM469" s="22"/>
      <c r="AN469" s="39">
        <f>IFERROR(VLOOKUP(K469,Grinders!$A:$Q,28,FALSE),0)</f>
        <v>0</v>
      </c>
      <c r="AO469" s="39">
        <f>IF(Config!$B$1003&lt;&gt;"Y",0,IF(IFERROR(VLOOKUP(K469,Grinders!$A:$P,27,FALSE),0)&gt;=3,IF(OR(G469&gt;=Config!$B$1001,ISNUMBER(SEARCH(E469,Config!$B$1002))),1,0),0))</f>
        <v>0</v>
      </c>
      <c r="AP469" s="39">
        <f t="array" ref="AP469">IFERROR(IF(INDEX(Bids!$AE:$AE,MATCH(B469,Bids!$A:$A,0))="Pending",1,0),0)</f>
        <v>0</v>
      </c>
      <c r="AQ469" s="39" t="str">
        <f t="array" ref="AQ469">IF(C469="","",IFERROR(XLOOKUP(C469,Assignments!$C:$C,Assignments!$AU:$AU,0),0))</f>
        <v/>
      </c>
      <c r="AR469" s="39">
        <f>IF(AND(Config!$B$1006="Y",AQ469=1),Config!$B$1007,0)</f>
        <v>0</v>
      </c>
    </row>
    <row r="470" ht="15.75" customHeight="1">
      <c r="A470" s="46" t="str">
        <f t="shared" si="1"/>
        <v/>
      </c>
      <c r="B470" s="40" t="str">
        <f>IF(Bids!$A469="","",Bids!$A469)</f>
        <v/>
      </c>
      <c r="C470" s="40" t="str">
        <f>IF(Bids!$B469="","",Bids!$B469)</f>
        <v/>
      </c>
      <c r="D470" s="40" t="str">
        <f>IF($C470="","",IFERROR(VLOOKUP($C470,Orders!$A$4:$J$998,9,FALSE),""))</f>
        <v/>
      </c>
      <c r="E470" s="40" t="str">
        <f>IF($C470="","",IFERROR(VLOOKUP($C470,Orders!$A$4:$J$998,3,FALSE),""))</f>
        <v/>
      </c>
      <c r="F470" s="40">
        <f t="shared" si="2"/>
        <v>1</v>
      </c>
      <c r="G470" s="40" t="str">
        <f>IF($C470="","",IFERROR(VLOOKUP($C470,Orders!$A$4:$J$998,4,FALSE),""))</f>
        <v/>
      </c>
      <c r="H470" s="40" t="str">
        <f>IF($C470="","",IFERROR(VLOOKUP($C470,Orders!$A$4:$J$998,5,FALSE),""))</f>
        <v/>
      </c>
      <c r="I470" s="40" t="str">
        <f>IF($C470="","",IFERROR(VLOOKUP($C470,Orders!$A$4:$J$998,6,FALSE),""))</f>
        <v/>
      </c>
      <c r="J470" s="40" t="str">
        <f>IF($C470="","",IFERROR(VLOOKUP($C470,Orders!$A$4:$J$998,7,FALSE),""))</f>
        <v/>
      </c>
      <c r="K470" s="40" t="str">
        <f>IF(Bids!$C469="","",Bids!$C469)</f>
        <v/>
      </c>
      <c r="L470" s="40" t="str">
        <f>IF($K470="","",IFERROR(VLOOKUP($K470,Grinders!$A$4:$N$998,2,FALSE),""))</f>
        <v/>
      </c>
      <c r="M470" s="40" t="str">
        <f>IF($K470="","",IFERROR(VLOOKUP($K470,Grinders!$A$4:$N$998,3,FALSE),""))</f>
        <v/>
      </c>
      <c r="N470" s="40" t="str">
        <f>IF($K470="","",IFERROR(VLOOKUP($K470,Grinders!$A$4:$N$998,4,FALSE),""))</f>
        <v/>
      </c>
      <c r="O470" s="40" t="str">
        <f>IF($K470="","",IFERROR(VLOOKUP($K470,Grinders!$A$4:$N$998,5,FALSE),""))</f>
        <v/>
      </c>
      <c r="P470" s="40" t="str">
        <f>IF($K470="","",IF($C$4="",0,COUNTIFS(Assignments!$B$6:$B$1000,$K470,Assignments!$F$6:$F$1000,$C$4,Assignments!$E$6:$E$1000,"Active")))</f>
        <v/>
      </c>
      <c r="Q470" s="40" t="str">
        <f t="shared" si="3"/>
        <v/>
      </c>
      <c r="R470" s="40" t="str">
        <f t="shared" si="4"/>
        <v/>
      </c>
      <c r="S470" s="40" t="str">
        <f>IF($K470="","",IF($C$4="",0,COUNTIFS(Assignments!$B$6:$B$1000,$K470,Assignments!$F$6:$F$1000,$C$4,Assignments!$D$6:$D$1000,"&gt;="&amp;Config!$B$3-7,Assignments!$D$6:$D$1000,"&lt;="&amp;Config!$B$3)))</f>
        <v/>
      </c>
      <c r="T470" s="40" t="str">
        <f>IF($K470="","",IFERROR(VLOOKUP($K470,Grinders!$A$4:$N$998,8,FALSE),""))</f>
        <v/>
      </c>
      <c r="U470" s="40" t="str">
        <f>IFERROR(IF($K470="","",IF($M470="Elite",MAX(50,MIN(100,Config!$B$27*MAX(0,MIN(100,(1-IF($R470="",0,$R470))*100)) + Config!$B$28*MAX(0,MIN(100,(1-MIN(1,IF(Config!$B$30=0,1,$S470/Config!$B$30)))*100)) + Config!$B$29*MAX(0,MIN(100,MIN(1,IF($T470="",0,$T470)/Config!$B$23)*100)))),MIN(100,Config!$B$27*MAX(0,MIN(100,(1-IF($R470="",0,$R470))*100)) + Config!$B$28*MAX(0,MIN(100,(1-MIN(1,IF(Config!$B$30=0,1,$S470/Config!$B$30)))*100)) + Config!$B$29*MAX(0,MIN(100,MIN(1,IF($T470="",0,$T470)/Config!$B$23)*100))))),"")
</f>
        <v/>
      </c>
      <c r="V470" s="40" t="str">
        <f>IF(Bids!$AC470="","",Bids!$AC470)</f>
        <v/>
      </c>
      <c r="W470" s="40" t="str">
        <f>IF(Bids!$F469="","",Bids!$F469)</f>
        <v/>
      </c>
      <c r="X470" s="40" t="str">
        <f t="shared" si="5"/>
        <v/>
      </c>
      <c r="Y470" s="40" t="str">
        <f>IF($X470="","",IF(Config!$B$17=Config!$B$16,IF($X470&gt;=Config!$B$17,100,0),MAX(0,MIN(100,($X470-Config!$B$16)/(Config!$B$17-Config!$B$16)*100))))</f>
        <v/>
      </c>
      <c r="Z470" s="40">
        <f>IF($M470="Elite",Config!$B$21,0)</f>
        <v>0</v>
      </c>
      <c r="AA470" s="40" t="str">
        <f>IFERROR(IF(OR($W470="",$H470=""),"",IF($W470&gt;$H470,
  MAX(0, 60-(($W470-$H470)*24/Config!$B$19)*60),
  MIN(100, 60+(($H470-$W470)*24/Config!$B$20)*40)
)),"")
</f>
        <v/>
      </c>
      <c r="AB470" s="40" t="str">
        <f>IF($K470="","",IFERROR(VLOOKUP($K470,Grinders!$A$4:$N$998,10,FALSE)/5*100,""))</f>
        <v/>
      </c>
      <c r="AC470" s="40" t="str">
        <f>IF($K470="","",IFERROR(VLOOKUP($K470,Grinders!$A$4:$N$998,11,FALSE)*100,""))</f>
        <v/>
      </c>
      <c r="AD470" s="40" t="str">
        <f>IF($K470="","",IFERROR(VLOOKUP($K470,Grinders!$A$4:$N$998,12,FALSE)*100,""))</f>
        <v/>
      </c>
      <c r="AE470" s="40" t="str">
        <f>IF(OR(AO470=1,AP470=1),0,=IFERROR(IFS(
    OR($C470="", $K470=""), 0,
    $F470=0, 0,
    $D470&lt;&gt;"Open", 0,
    COUNTIFS(GrinderServices!$A$6:$A$1000, $K470, GrinderServices!$B$6:$B$1000, $E470, GrinderServices!$D$6:$D$1000, "Y")=0, 0,
    $X470&lt;Config!$B$16, 0,
    Config!$B$18=1, IF($O470&gt;=N470, 0, 1),
    TRUE, 1
), "")
)</f>
        <v>#ERROR!</v>
      </c>
      <c r="AF470" s="40" t="str">
        <f>IFERROR((IF(OR(AO470=1,AP470=1),"",=IFERROR((IFERROR(IF($AE470=0,"",((Config!$B$6*$Y470 + Config!$B$7*$U470 + Config!$B$8*$Z470 + Config!$B$9*$AA470 + Config!$B$10*$AB470 + Config!$B$11*$AC470 - Config!$B$12*$AD470)/Config!$B$13)+$AK470+$AL470),""))*(1-IFERROR(VLOOKUP(K470,Grinders!$A:$AB, 28, FALSE),0)),"")))*(1+AR470),"")</f>
        <v>#ERROR!</v>
      </c>
      <c r="AG470" s="40" t="str">
        <f t="shared" si="6"/>
        <v>#ERROR!</v>
      </c>
      <c r="AH470" s="40" t="str">
        <f t="shared" si="7"/>
        <v/>
      </c>
      <c r="AI470" s="40" t="str">
        <f t="shared" si="8"/>
        <v/>
      </c>
      <c r="AJ470" s="40" t="str">
        <f>IF($K470="","",COUNTIF(Assignments!$B$6:$B$1000,$K470))</f>
        <v/>
      </c>
      <c r="AK470" s="40" t="str">
        <f>IF($K470="","",IF(AND($AJ470=0,$O470&lt;$N470),Config!$B$43,0))</f>
        <v/>
      </c>
      <c r="AL470" s="40" t="str">
        <f>IF($K470="","",IF(AND($M470="Elite",$G470&gt;=Config!$B$41,$O470&lt;$N470),Config!$B$42,0))</f>
        <v/>
      </c>
      <c r="AM470" s="22"/>
      <c r="AN470" s="39">
        <f>IFERROR(VLOOKUP(K470,Grinders!$A:$Q,28,FALSE),0)</f>
        <v>0</v>
      </c>
      <c r="AO470" s="39">
        <f>IF(Config!$B$1003&lt;&gt;"Y",0,IF(IFERROR(VLOOKUP(K470,Grinders!$A:$P,27,FALSE),0)&gt;=3,IF(OR(G470&gt;=Config!$B$1001,ISNUMBER(SEARCH(E470,Config!$B$1002))),1,0),0))</f>
        <v>0</v>
      </c>
      <c r="AP470" s="39">
        <f t="array" ref="AP470">IFERROR(IF(INDEX(Bids!$AE:$AE,MATCH(B470,Bids!$A:$A,0))="Pending",1,0),0)</f>
        <v>0</v>
      </c>
      <c r="AQ470" s="39" t="str">
        <f t="array" ref="AQ470">IF(C470="","",IFERROR(XLOOKUP(C470,Assignments!$C:$C,Assignments!$AU:$AU,0),0))</f>
        <v/>
      </c>
      <c r="AR470" s="39">
        <f>IF(AND(Config!$B$1006="Y",AQ470=1),Config!$B$1007,0)</f>
        <v>0</v>
      </c>
    </row>
    <row r="471" ht="15.75" customHeight="1">
      <c r="A471" s="46" t="str">
        <f t="shared" si="1"/>
        <v/>
      </c>
      <c r="B471" s="40" t="str">
        <f>IF(Bids!$A470="","",Bids!$A470)</f>
        <v/>
      </c>
      <c r="C471" s="40" t="str">
        <f>IF(Bids!$B470="","",Bids!$B470)</f>
        <v/>
      </c>
      <c r="D471" s="40" t="str">
        <f>IF($C471="","",IFERROR(VLOOKUP($C471,Orders!$A$4:$J$998,9,FALSE),""))</f>
        <v/>
      </c>
      <c r="E471" s="40" t="str">
        <f>IF($C471="","",IFERROR(VLOOKUP($C471,Orders!$A$4:$J$998,3,FALSE),""))</f>
        <v/>
      </c>
      <c r="F471" s="40">
        <f t="shared" si="2"/>
        <v>1</v>
      </c>
      <c r="G471" s="40" t="str">
        <f>IF($C471="","",IFERROR(VLOOKUP($C471,Orders!$A$4:$J$998,4,FALSE),""))</f>
        <v/>
      </c>
      <c r="H471" s="40" t="str">
        <f>IF($C471="","",IFERROR(VLOOKUP($C471,Orders!$A$4:$J$998,5,FALSE),""))</f>
        <v/>
      </c>
      <c r="I471" s="40" t="str">
        <f>IF($C471="","",IFERROR(VLOOKUP($C471,Orders!$A$4:$J$998,6,FALSE),""))</f>
        <v/>
      </c>
      <c r="J471" s="40" t="str">
        <f>IF($C471="","",IFERROR(VLOOKUP($C471,Orders!$A$4:$J$998,7,FALSE),""))</f>
        <v/>
      </c>
      <c r="K471" s="40" t="str">
        <f>IF(Bids!$C470="","",Bids!$C470)</f>
        <v/>
      </c>
      <c r="L471" s="40" t="str">
        <f>IF($K471="","",IFERROR(VLOOKUP($K471,Grinders!$A$4:$N$998,2,FALSE),""))</f>
        <v/>
      </c>
      <c r="M471" s="40" t="str">
        <f>IF($K471="","",IFERROR(VLOOKUP($K471,Grinders!$A$4:$N$998,3,FALSE),""))</f>
        <v/>
      </c>
      <c r="N471" s="40" t="str">
        <f>IF($K471="","",IFERROR(VLOOKUP($K471,Grinders!$A$4:$N$998,4,FALSE),""))</f>
        <v/>
      </c>
      <c r="O471" s="40" t="str">
        <f>IF($K471="","",IFERROR(VLOOKUP($K471,Grinders!$A$4:$N$998,5,FALSE),""))</f>
        <v/>
      </c>
      <c r="P471" s="40" t="str">
        <f>IF($K471="","",IF($C$4="",0,COUNTIFS(Assignments!$B$6:$B$1000,$K471,Assignments!$F$6:$F$1000,$C$4,Assignments!$E$6:$E$1000,"Active")))</f>
        <v/>
      </c>
      <c r="Q471" s="40" t="str">
        <f t="shared" si="3"/>
        <v/>
      </c>
      <c r="R471" s="40" t="str">
        <f t="shared" si="4"/>
        <v/>
      </c>
      <c r="S471" s="40" t="str">
        <f>IF($K471="","",IF($C$4="",0,COUNTIFS(Assignments!$B$6:$B$1000,$K471,Assignments!$F$6:$F$1000,$C$4,Assignments!$D$6:$D$1000,"&gt;="&amp;Config!$B$3-7,Assignments!$D$6:$D$1000,"&lt;="&amp;Config!$B$3)))</f>
        <v/>
      </c>
      <c r="T471" s="40" t="str">
        <f>IF($K471="","",IFERROR(VLOOKUP($K471,Grinders!$A$4:$N$998,8,FALSE),""))</f>
        <v/>
      </c>
      <c r="U471" s="40" t="str">
        <f>IFERROR(IF($K471="","",IF($M471="Elite",MAX(50,MIN(100,Config!$B$27*MAX(0,MIN(100,(1-IF($R471="",0,$R471))*100)) + Config!$B$28*MAX(0,MIN(100,(1-MIN(1,IF(Config!$B$30=0,1,$S471/Config!$B$30)))*100)) + Config!$B$29*MAX(0,MIN(100,MIN(1,IF($T471="",0,$T471)/Config!$B$23)*100)))),MIN(100,Config!$B$27*MAX(0,MIN(100,(1-IF($R471="",0,$R471))*100)) + Config!$B$28*MAX(0,MIN(100,(1-MIN(1,IF(Config!$B$30=0,1,$S471/Config!$B$30)))*100)) + Config!$B$29*MAX(0,MIN(100,MIN(1,IF($T471="",0,$T471)/Config!$B$23)*100))))),"")
</f>
        <v/>
      </c>
      <c r="V471" s="40" t="str">
        <f>IF(Bids!$AC471="","",Bids!$AC471)</f>
        <v/>
      </c>
      <c r="W471" s="40" t="str">
        <f>IF(Bids!$F470="","",Bids!$F470)</f>
        <v/>
      </c>
      <c r="X471" s="40" t="str">
        <f t="shared" si="5"/>
        <v/>
      </c>
      <c r="Y471" s="40" t="str">
        <f>IF($X471="","",IF(Config!$B$17=Config!$B$16,IF($X471&gt;=Config!$B$17,100,0),MAX(0,MIN(100,($X471-Config!$B$16)/(Config!$B$17-Config!$B$16)*100))))</f>
        <v/>
      </c>
      <c r="Z471" s="40">
        <f>IF($M471="Elite",Config!$B$21,0)</f>
        <v>0</v>
      </c>
      <c r="AA471" s="40" t="str">
        <f>IFERROR(IF(OR($W471="",$H471=""),"",IF($W471&gt;$H471,
  MAX(0, 60-(($W471-$H471)*24/Config!$B$19)*60),
  MIN(100, 60+(($H471-$W471)*24/Config!$B$20)*40)
)),"")
</f>
        <v/>
      </c>
      <c r="AB471" s="40" t="str">
        <f>IF($K471="","",IFERROR(VLOOKUP($K471,Grinders!$A$4:$N$998,10,FALSE)/5*100,""))</f>
        <v/>
      </c>
      <c r="AC471" s="40" t="str">
        <f>IF($K471="","",IFERROR(VLOOKUP($K471,Grinders!$A$4:$N$998,11,FALSE)*100,""))</f>
        <v/>
      </c>
      <c r="AD471" s="40" t="str">
        <f>IF($K471="","",IFERROR(VLOOKUP($K471,Grinders!$A$4:$N$998,12,FALSE)*100,""))</f>
        <v/>
      </c>
      <c r="AE471" s="40" t="str">
        <f>IF(OR(AO471=1,AP471=1),0,=IFERROR(IFS(
    OR($C471="", $K471=""), 0,
    $F471=0, 0,
    $D471&lt;&gt;"Open", 0,
    COUNTIFS(GrinderServices!$A$6:$A$1000, $K471, GrinderServices!$B$6:$B$1000, $E471, GrinderServices!$D$6:$D$1000, "Y")=0, 0,
    $X471&lt;Config!$B$16, 0,
    Config!$B$18=1, IF($O471&gt;=N471, 0, 1),
    TRUE, 1
), "")
)</f>
        <v>#ERROR!</v>
      </c>
      <c r="AF471" s="40" t="str">
        <f>IFERROR((IF(OR(AO471=1,AP471=1),"",=IFERROR((IFERROR(IF($AE471=0,"",((Config!$B$6*$Y471 + Config!$B$7*$U471 + Config!$B$8*$Z471 + Config!$B$9*$AA471 + Config!$B$10*$AB471 + Config!$B$11*$AC471 - Config!$B$12*$AD471)/Config!$B$13)+$AK471+$AL471),""))*(1-IFERROR(VLOOKUP(K471,Grinders!$A:$AB, 28, FALSE),0)),"")))*(1+AR471),"")</f>
        <v>#ERROR!</v>
      </c>
      <c r="AG471" s="40" t="str">
        <f t="shared" si="6"/>
        <v>#ERROR!</v>
      </c>
      <c r="AH471" s="40" t="str">
        <f t="shared" si="7"/>
        <v/>
      </c>
      <c r="AI471" s="40" t="str">
        <f t="shared" si="8"/>
        <v/>
      </c>
      <c r="AJ471" s="40" t="str">
        <f>IF($K471="","",COUNTIF(Assignments!$B$6:$B$1000,$K471))</f>
        <v/>
      </c>
      <c r="AK471" s="40" t="str">
        <f>IF($K471="","",IF(AND($AJ471=0,$O471&lt;$N471),Config!$B$43,0))</f>
        <v/>
      </c>
      <c r="AL471" s="40" t="str">
        <f>IF($K471="","",IF(AND($M471="Elite",$G471&gt;=Config!$B$41,$O471&lt;$N471),Config!$B$42,0))</f>
        <v/>
      </c>
      <c r="AM471" s="22"/>
      <c r="AN471" s="39">
        <f>IFERROR(VLOOKUP(K471,Grinders!$A:$Q,28,FALSE),0)</f>
        <v>0</v>
      </c>
      <c r="AO471" s="39">
        <f>IF(Config!$B$1003&lt;&gt;"Y",0,IF(IFERROR(VLOOKUP(K471,Grinders!$A:$P,27,FALSE),0)&gt;=3,IF(OR(G471&gt;=Config!$B$1001,ISNUMBER(SEARCH(E471,Config!$B$1002))),1,0),0))</f>
        <v>0</v>
      </c>
      <c r="AP471" s="39">
        <f t="array" ref="AP471">IFERROR(IF(INDEX(Bids!$AE:$AE,MATCH(B471,Bids!$A:$A,0))="Pending",1,0),0)</f>
        <v>0</v>
      </c>
      <c r="AQ471" s="39" t="str">
        <f t="array" ref="AQ471">IF(C471="","",IFERROR(XLOOKUP(C471,Assignments!$C:$C,Assignments!$AU:$AU,0),0))</f>
        <v/>
      </c>
      <c r="AR471" s="39">
        <f>IF(AND(Config!$B$1006="Y",AQ471=1),Config!$B$1007,0)</f>
        <v>0</v>
      </c>
    </row>
    <row r="472" ht="15.75" customHeight="1">
      <c r="A472" s="46" t="str">
        <f t="shared" si="1"/>
        <v/>
      </c>
      <c r="B472" s="40" t="str">
        <f>IF(Bids!$A471="","",Bids!$A471)</f>
        <v/>
      </c>
      <c r="C472" s="40" t="str">
        <f>IF(Bids!$B471="","",Bids!$B471)</f>
        <v/>
      </c>
      <c r="D472" s="40" t="str">
        <f>IF($C472="","",IFERROR(VLOOKUP($C472,Orders!$A$4:$J$998,9,FALSE),""))</f>
        <v/>
      </c>
      <c r="E472" s="40" t="str">
        <f>IF($C472="","",IFERROR(VLOOKUP($C472,Orders!$A$4:$J$998,3,FALSE),""))</f>
        <v/>
      </c>
      <c r="F472" s="40">
        <f t="shared" si="2"/>
        <v>1</v>
      </c>
      <c r="G472" s="40" t="str">
        <f>IF($C472="","",IFERROR(VLOOKUP($C472,Orders!$A$4:$J$998,4,FALSE),""))</f>
        <v/>
      </c>
      <c r="H472" s="40" t="str">
        <f>IF($C472="","",IFERROR(VLOOKUP($C472,Orders!$A$4:$J$998,5,FALSE),""))</f>
        <v/>
      </c>
      <c r="I472" s="40" t="str">
        <f>IF($C472="","",IFERROR(VLOOKUP($C472,Orders!$A$4:$J$998,6,FALSE),""))</f>
        <v/>
      </c>
      <c r="J472" s="40" t="str">
        <f>IF($C472="","",IFERROR(VLOOKUP($C472,Orders!$A$4:$J$998,7,FALSE),""))</f>
        <v/>
      </c>
      <c r="K472" s="40" t="str">
        <f>IF(Bids!$C471="","",Bids!$C471)</f>
        <v/>
      </c>
      <c r="L472" s="40" t="str">
        <f>IF($K472="","",IFERROR(VLOOKUP($K472,Grinders!$A$4:$N$998,2,FALSE),""))</f>
        <v/>
      </c>
      <c r="M472" s="40" t="str">
        <f>IF($K472="","",IFERROR(VLOOKUP($K472,Grinders!$A$4:$N$998,3,FALSE),""))</f>
        <v/>
      </c>
      <c r="N472" s="40" t="str">
        <f>IF($K472="","",IFERROR(VLOOKUP($K472,Grinders!$A$4:$N$998,4,FALSE),""))</f>
        <v/>
      </c>
      <c r="O472" s="40" t="str">
        <f>IF($K472="","",IFERROR(VLOOKUP($K472,Grinders!$A$4:$N$998,5,FALSE),""))</f>
        <v/>
      </c>
      <c r="P472" s="40" t="str">
        <f>IF($K472="","",IF($C$4="",0,COUNTIFS(Assignments!$B$6:$B$1000,$K472,Assignments!$F$6:$F$1000,$C$4,Assignments!$E$6:$E$1000,"Active")))</f>
        <v/>
      </c>
      <c r="Q472" s="40" t="str">
        <f t="shared" si="3"/>
        <v/>
      </c>
      <c r="R472" s="40" t="str">
        <f t="shared" si="4"/>
        <v/>
      </c>
      <c r="S472" s="40" t="str">
        <f>IF($K472="","",IF($C$4="",0,COUNTIFS(Assignments!$B$6:$B$1000,$K472,Assignments!$F$6:$F$1000,$C$4,Assignments!$D$6:$D$1000,"&gt;="&amp;Config!$B$3-7,Assignments!$D$6:$D$1000,"&lt;="&amp;Config!$B$3)))</f>
        <v/>
      </c>
      <c r="T472" s="40" t="str">
        <f>IF($K472="","",IFERROR(VLOOKUP($K472,Grinders!$A$4:$N$998,8,FALSE),""))</f>
        <v/>
      </c>
      <c r="U472" s="40" t="str">
        <f>IFERROR(IF($K472="","",IF($M472="Elite",MAX(50,MIN(100,Config!$B$27*MAX(0,MIN(100,(1-IF($R472="",0,$R472))*100)) + Config!$B$28*MAX(0,MIN(100,(1-MIN(1,IF(Config!$B$30=0,1,$S472/Config!$B$30)))*100)) + Config!$B$29*MAX(0,MIN(100,MIN(1,IF($T472="",0,$T472)/Config!$B$23)*100)))),MIN(100,Config!$B$27*MAX(0,MIN(100,(1-IF($R472="",0,$R472))*100)) + Config!$B$28*MAX(0,MIN(100,(1-MIN(1,IF(Config!$B$30=0,1,$S472/Config!$B$30)))*100)) + Config!$B$29*MAX(0,MIN(100,MIN(1,IF($T472="",0,$T472)/Config!$B$23)*100))))),"")
</f>
        <v/>
      </c>
      <c r="V472" s="40" t="str">
        <f>IF(Bids!$AC472="","",Bids!$AC472)</f>
        <v/>
      </c>
      <c r="W472" s="40" t="str">
        <f>IF(Bids!$F471="","",Bids!$F471)</f>
        <v/>
      </c>
      <c r="X472" s="40" t="str">
        <f t="shared" si="5"/>
        <v/>
      </c>
      <c r="Y472" s="40" t="str">
        <f>IF($X472="","",IF(Config!$B$17=Config!$B$16,IF($X472&gt;=Config!$B$17,100,0),MAX(0,MIN(100,($X472-Config!$B$16)/(Config!$B$17-Config!$B$16)*100))))</f>
        <v/>
      </c>
      <c r="Z472" s="40">
        <f>IF($M472="Elite",Config!$B$21,0)</f>
        <v>0</v>
      </c>
      <c r="AA472" s="40" t="str">
        <f>IFERROR(IF(OR($W472="",$H472=""),"",IF($W472&gt;$H472,
  MAX(0, 60-(($W472-$H472)*24/Config!$B$19)*60),
  MIN(100, 60+(($H472-$W472)*24/Config!$B$20)*40)
)),"")
</f>
        <v/>
      </c>
      <c r="AB472" s="40" t="str">
        <f>IF($K472="","",IFERROR(VLOOKUP($K472,Grinders!$A$4:$N$998,10,FALSE)/5*100,""))</f>
        <v/>
      </c>
      <c r="AC472" s="40" t="str">
        <f>IF($K472="","",IFERROR(VLOOKUP($K472,Grinders!$A$4:$N$998,11,FALSE)*100,""))</f>
        <v/>
      </c>
      <c r="AD472" s="40" t="str">
        <f>IF($K472="","",IFERROR(VLOOKUP($K472,Grinders!$A$4:$N$998,12,FALSE)*100,""))</f>
        <v/>
      </c>
      <c r="AE472" s="40" t="str">
        <f>IF(OR(AO472=1,AP472=1),0,=IFERROR(IFS(
    OR($C472="", $K472=""), 0,
    $F472=0, 0,
    $D472&lt;&gt;"Open", 0,
    COUNTIFS(GrinderServices!$A$6:$A$1000, $K472, GrinderServices!$B$6:$B$1000, $E472, GrinderServices!$D$6:$D$1000, "Y")=0, 0,
    $X472&lt;Config!$B$16, 0,
    Config!$B$18=1, IF($O472&gt;=N472, 0, 1),
    TRUE, 1
), "")
)</f>
        <v>#ERROR!</v>
      </c>
      <c r="AF472" s="40" t="str">
        <f>IFERROR((IF(OR(AO472=1,AP472=1),"",=IFERROR((IFERROR(IF($AE472=0,"",((Config!$B$6*$Y472 + Config!$B$7*$U472 + Config!$B$8*$Z472 + Config!$B$9*$AA472 + Config!$B$10*$AB472 + Config!$B$11*$AC472 - Config!$B$12*$AD472)/Config!$B$13)+$AK472+$AL472),""))*(1-IFERROR(VLOOKUP(K472,Grinders!$A:$AB, 28, FALSE),0)),"")))*(1+AR472),"")</f>
        <v>#ERROR!</v>
      </c>
      <c r="AG472" s="40" t="str">
        <f t="shared" si="6"/>
        <v>#ERROR!</v>
      </c>
      <c r="AH472" s="40" t="str">
        <f t="shared" si="7"/>
        <v/>
      </c>
      <c r="AI472" s="40" t="str">
        <f t="shared" si="8"/>
        <v/>
      </c>
      <c r="AJ472" s="40" t="str">
        <f>IF($K472="","",COUNTIF(Assignments!$B$6:$B$1000,$K472))</f>
        <v/>
      </c>
      <c r="AK472" s="40" t="str">
        <f>IF($K472="","",IF(AND($AJ472=0,$O472&lt;$N472),Config!$B$43,0))</f>
        <v/>
      </c>
      <c r="AL472" s="40" t="str">
        <f>IF($K472="","",IF(AND($M472="Elite",$G472&gt;=Config!$B$41,$O472&lt;$N472),Config!$B$42,0))</f>
        <v/>
      </c>
      <c r="AM472" s="22"/>
      <c r="AN472" s="39">
        <f>IFERROR(VLOOKUP(K472,Grinders!$A:$Q,28,FALSE),0)</f>
        <v>0</v>
      </c>
      <c r="AO472" s="39">
        <f>IF(Config!$B$1003&lt;&gt;"Y",0,IF(IFERROR(VLOOKUP(K472,Grinders!$A:$P,27,FALSE),0)&gt;=3,IF(OR(G472&gt;=Config!$B$1001,ISNUMBER(SEARCH(E472,Config!$B$1002))),1,0),0))</f>
        <v>0</v>
      </c>
      <c r="AP472" s="39">
        <f t="array" ref="AP472">IFERROR(IF(INDEX(Bids!$AE:$AE,MATCH(B472,Bids!$A:$A,0))="Pending",1,0),0)</f>
        <v>0</v>
      </c>
      <c r="AQ472" s="39" t="str">
        <f t="array" ref="AQ472">IF(C472="","",IFERROR(XLOOKUP(C472,Assignments!$C:$C,Assignments!$AU:$AU,0),0))</f>
        <v/>
      </c>
      <c r="AR472" s="39">
        <f>IF(AND(Config!$B$1006="Y",AQ472=1),Config!$B$1007,0)</f>
        <v>0</v>
      </c>
    </row>
    <row r="473" ht="15.75" customHeight="1">
      <c r="A473" s="46" t="str">
        <f t="shared" si="1"/>
        <v/>
      </c>
      <c r="B473" s="40" t="str">
        <f>IF(Bids!$A472="","",Bids!$A472)</f>
        <v/>
      </c>
      <c r="C473" s="40" t="str">
        <f>IF(Bids!$B472="","",Bids!$B472)</f>
        <v/>
      </c>
      <c r="D473" s="40" t="str">
        <f>IF($C473="","",IFERROR(VLOOKUP($C473,Orders!$A$4:$J$998,9,FALSE),""))</f>
        <v/>
      </c>
      <c r="E473" s="40" t="str">
        <f>IF($C473="","",IFERROR(VLOOKUP($C473,Orders!$A$4:$J$998,3,FALSE),""))</f>
        <v/>
      </c>
      <c r="F473" s="40">
        <f t="shared" si="2"/>
        <v>1</v>
      </c>
      <c r="G473" s="40" t="str">
        <f>IF($C473="","",IFERROR(VLOOKUP($C473,Orders!$A$4:$J$998,4,FALSE),""))</f>
        <v/>
      </c>
      <c r="H473" s="40" t="str">
        <f>IF($C473="","",IFERROR(VLOOKUP($C473,Orders!$A$4:$J$998,5,FALSE),""))</f>
        <v/>
      </c>
      <c r="I473" s="40" t="str">
        <f>IF($C473="","",IFERROR(VLOOKUP($C473,Orders!$A$4:$J$998,6,FALSE),""))</f>
        <v/>
      </c>
      <c r="J473" s="40" t="str">
        <f>IF($C473="","",IFERROR(VLOOKUP($C473,Orders!$A$4:$J$998,7,FALSE),""))</f>
        <v/>
      </c>
      <c r="K473" s="40" t="str">
        <f>IF(Bids!$C472="","",Bids!$C472)</f>
        <v/>
      </c>
      <c r="L473" s="40" t="str">
        <f>IF($K473="","",IFERROR(VLOOKUP($K473,Grinders!$A$4:$N$998,2,FALSE),""))</f>
        <v/>
      </c>
      <c r="M473" s="40" t="str">
        <f>IF($K473="","",IFERROR(VLOOKUP($K473,Grinders!$A$4:$N$998,3,FALSE),""))</f>
        <v/>
      </c>
      <c r="N473" s="40" t="str">
        <f>IF($K473="","",IFERROR(VLOOKUP($K473,Grinders!$A$4:$N$998,4,FALSE),""))</f>
        <v/>
      </c>
      <c r="O473" s="40" t="str">
        <f>IF($K473="","",IFERROR(VLOOKUP($K473,Grinders!$A$4:$N$998,5,FALSE),""))</f>
        <v/>
      </c>
      <c r="P473" s="40" t="str">
        <f>IF($K473="","",IF($C$4="",0,COUNTIFS(Assignments!$B$6:$B$1000,$K473,Assignments!$F$6:$F$1000,$C$4,Assignments!$E$6:$E$1000,"Active")))</f>
        <v/>
      </c>
      <c r="Q473" s="40" t="str">
        <f t="shared" si="3"/>
        <v/>
      </c>
      <c r="R473" s="40" t="str">
        <f t="shared" si="4"/>
        <v/>
      </c>
      <c r="S473" s="40" t="str">
        <f>IF($K473="","",IF($C$4="",0,COUNTIFS(Assignments!$B$6:$B$1000,$K473,Assignments!$F$6:$F$1000,$C$4,Assignments!$D$6:$D$1000,"&gt;="&amp;Config!$B$3-7,Assignments!$D$6:$D$1000,"&lt;="&amp;Config!$B$3)))</f>
        <v/>
      </c>
      <c r="T473" s="40" t="str">
        <f>IF($K473="","",IFERROR(VLOOKUP($K473,Grinders!$A$4:$N$998,8,FALSE),""))</f>
        <v/>
      </c>
      <c r="U473" s="40" t="str">
        <f>IFERROR(IF($K473="","",IF($M473="Elite",MAX(50,MIN(100,Config!$B$27*MAX(0,MIN(100,(1-IF($R473="",0,$R473))*100)) + Config!$B$28*MAX(0,MIN(100,(1-MIN(1,IF(Config!$B$30=0,1,$S473/Config!$B$30)))*100)) + Config!$B$29*MAX(0,MIN(100,MIN(1,IF($T473="",0,$T473)/Config!$B$23)*100)))),MIN(100,Config!$B$27*MAX(0,MIN(100,(1-IF($R473="",0,$R473))*100)) + Config!$B$28*MAX(0,MIN(100,(1-MIN(1,IF(Config!$B$30=0,1,$S473/Config!$B$30)))*100)) + Config!$B$29*MAX(0,MIN(100,MIN(1,IF($T473="",0,$T473)/Config!$B$23)*100))))),"")
</f>
        <v/>
      </c>
      <c r="V473" s="40" t="str">
        <f>IF(Bids!$AC473="","",Bids!$AC473)</f>
        <v/>
      </c>
      <c r="W473" s="40" t="str">
        <f>IF(Bids!$F472="","",Bids!$F472)</f>
        <v/>
      </c>
      <c r="X473" s="40" t="str">
        <f t="shared" si="5"/>
        <v/>
      </c>
      <c r="Y473" s="40" t="str">
        <f>IF($X473="","",IF(Config!$B$17=Config!$B$16,IF($X473&gt;=Config!$B$17,100,0),MAX(0,MIN(100,($X473-Config!$B$16)/(Config!$B$17-Config!$B$16)*100))))</f>
        <v/>
      </c>
      <c r="Z473" s="40">
        <f>IF($M473="Elite",Config!$B$21,0)</f>
        <v>0</v>
      </c>
      <c r="AA473" s="40" t="str">
        <f>IFERROR(IF(OR($W473="",$H473=""),"",IF($W473&gt;$H473,
  MAX(0, 60-(($W473-$H473)*24/Config!$B$19)*60),
  MIN(100, 60+(($H473-$W473)*24/Config!$B$20)*40)
)),"")
</f>
        <v/>
      </c>
      <c r="AB473" s="40" t="str">
        <f>IF($K473="","",IFERROR(VLOOKUP($K473,Grinders!$A$4:$N$998,10,FALSE)/5*100,""))</f>
        <v/>
      </c>
      <c r="AC473" s="40" t="str">
        <f>IF($K473="","",IFERROR(VLOOKUP($K473,Grinders!$A$4:$N$998,11,FALSE)*100,""))</f>
        <v/>
      </c>
      <c r="AD473" s="40" t="str">
        <f>IF($K473="","",IFERROR(VLOOKUP($K473,Grinders!$A$4:$N$998,12,FALSE)*100,""))</f>
        <v/>
      </c>
      <c r="AE473" s="40" t="str">
        <f>IF(OR(AO473=1,AP473=1),0,=IFERROR(IFS(
    OR($C473="", $K473=""), 0,
    $F473=0, 0,
    $D473&lt;&gt;"Open", 0,
    COUNTIFS(GrinderServices!$A$6:$A$1000, $K473, GrinderServices!$B$6:$B$1000, $E473, GrinderServices!$D$6:$D$1000, "Y")=0, 0,
    $X473&lt;Config!$B$16, 0,
    Config!$B$18=1, IF($O473&gt;=N473, 0, 1),
    TRUE, 1
), "")
)</f>
        <v>#ERROR!</v>
      </c>
      <c r="AF473" s="40" t="str">
        <f>IFERROR((IF(OR(AO473=1,AP473=1),"",=IFERROR((IFERROR(IF($AE473=0,"",((Config!$B$6*$Y473 + Config!$B$7*$U473 + Config!$B$8*$Z473 + Config!$B$9*$AA473 + Config!$B$10*$AB473 + Config!$B$11*$AC473 - Config!$B$12*$AD473)/Config!$B$13)+$AK473+$AL473),""))*(1-IFERROR(VLOOKUP(K473,Grinders!$A:$AB, 28, FALSE),0)),"")))*(1+AR473),"")</f>
        <v>#ERROR!</v>
      </c>
      <c r="AG473" s="40" t="str">
        <f t="shared" si="6"/>
        <v>#ERROR!</v>
      </c>
      <c r="AH473" s="40" t="str">
        <f t="shared" si="7"/>
        <v/>
      </c>
      <c r="AI473" s="40" t="str">
        <f t="shared" si="8"/>
        <v/>
      </c>
      <c r="AJ473" s="40" t="str">
        <f>IF($K473="","",COUNTIF(Assignments!$B$6:$B$1000,$K473))</f>
        <v/>
      </c>
      <c r="AK473" s="40" t="str">
        <f>IF($K473="","",IF(AND($AJ473=0,$O473&lt;$N473),Config!$B$43,0))</f>
        <v/>
      </c>
      <c r="AL473" s="40" t="str">
        <f>IF($K473="","",IF(AND($M473="Elite",$G473&gt;=Config!$B$41,$O473&lt;$N473),Config!$B$42,0))</f>
        <v/>
      </c>
      <c r="AM473" s="22"/>
      <c r="AN473" s="39">
        <f>IFERROR(VLOOKUP(K473,Grinders!$A:$Q,28,FALSE),0)</f>
        <v>0</v>
      </c>
      <c r="AO473" s="39">
        <f>IF(Config!$B$1003&lt;&gt;"Y",0,IF(IFERROR(VLOOKUP(K473,Grinders!$A:$P,27,FALSE),0)&gt;=3,IF(OR(G473&gt;=Config!$B$1001,ISNUMBER(SEARCH(E473,Config!$B$1002))),1,0),0))</f>
        <v>0</v>
      </c>
      <c r="AP473" s="39">
        <f t="array" ref="AP473">IFERROR(IF(INDEX(Bids!$AE:$AE,MATCH(B473,Bids!$A:$A,0))="Pending",1,0),0)</f>
        <v>0</v>
      </c>
      <c r="AQ473" s="39" t="str">
        <f t="array" ref="AQ473">IF(C473="","",IFERROR(XLOOKUP(C473,Assignments!$C:$C,Assignments!$AU:$AU,0),0))</f>
        <v/>
      </c>
      <c r="AR473" s="39">
        <f>IF(AND(Config!$B$1006="Y",AQ473=1),Config!$B$1007,0)</f>
        <v>0</v>
      </c>
    </row>
    <row r="474" ht="15.75" customHeight="1">
      <c r="A474" s="46" t="str">
        <f t="shared" si="1"/>
        <v/>
      </c>
      <c r="B474" s="40" t="str">
        <f>IF(Bids!$A473="","",Bids!$A473)</f>
        <v/>
      </c>
      <c r="C474" s="40" t="str">
        <f>IF(Bids!$B473="","",Bids!$B473)</f>
        <v/>
      </c>
      <c r="D474" s="40" t="str">
        <f>IF($C474="","",IFERROR(VLOOKUP($C474,Orders!$A$4:$J$998,9,FALSE),""))</f>
        <v/>
      </c>
      <c r="E474" s="40" t="str">
        <f>IF($C474="","",IFERROR(VLOOKUP($C474,Orders!$A$4:$J$998,3,FALSE),""))</f>
        <v/>
      </c>
      <c r="F474" s="40">
        <f t="shared" si="2"/>
        <v>1</v>
      </c>
      <c r="G474" s="40" t="str">
        <f>IF($C474="","",IFERROR(VLOOKUP($C474,Orders!$A$4:$J$998,4,FALSE),""))</f>
        <v/>
      </c>
      <c r="H474" s="40" t="str">
        <f>IF($C474="","",IFERROR(VLOOKUP($C474,Orders!$A$4:$J$998,5,FALSE),""))</f>
        <v/>
      </c>
      <c r="I474" s="40" t="str">
        <f>IF($C474="","",IFERROR(VLOOKUP($C474,Orders!$A$4:$J$998,6,FALSE),""))</f>
        <v/>
      </c>
      <c r="J474" s="40" t="str">
        <f>IF($C474="","",IFERROR(VLOOKUP($C474,Orders!$A$4:$J$998,7,FALSE),""))</f>
        <v/>
      </c>
      <c r="K474" s="40" t="str">
        <f>IF(Bids!$C473="","",Bids!$C473)</f>
        <v/>
      </c>
      <c r="L474" s="40" t="str">
        <f>IF($K474="","",IFERROR(VLOOKUP($K474,Grinders!$A$4:$N$998,2,FALSE),""))</f>
        <v/>
      </c>
      <c r="M474" s="40" t="str">
        <f>IF($K474="","",IFERROR(VLOOKUP($K474,Grinders!$A$4:$N$998,3,FALSE),""))</f>
        <v/>
      </c>
      <c r="N474" s="40" t="str">
        <f>IF($K474="","",IFERROR(VLOOKUP($K474,Grinders!$A$4:$N$998,4,FALSE),""))</f>
        <v/>
      </c>
      <c r="O474" s="40" t="str">
        <f>IF($K474="","",IFERROR(VLOOKUP($K474,Grinders!$A$4:$N$998,5,FALSE),""))</f>
        <v/>
      </c>
      <c r="P474" s="40" t="str">
        <f>IF($K474="","",IF($C$4="",0,COUNTIFS(Assignments!$B$6:$B$1000,$K474,Assignments!$F$6:$F$1000,$C$4,Assignments!$E$6:$E$1000,"Active")))</f>
        <v/>
      </c>
      <c r="Q474" s="40" t="str">
        <f t="shared" si="3"/>
        <v/>
      </c>
      <c r="R474" s="40" t="str">
        <f t="shared" si="4"/>
        <v/>
      </c>
      <c r="S474" s="40" t="str">
        <f>IF($K474="","",IF($C$4="",0,COUNTIFS(Assignments!$B$6:$B$1000,$K474,Assignments!$F$6:$F$1000,$C$4,Assignments!$D$6:$D$1000,"&gt;="&amp;Config!$B$3-7,Assignments!$D$6:$D$1000,"&lt;="&amp;Config!$B$3)))</f>
        <v/>
      </c>
      <c r="T474" s="40" t="str">
        <f>IF($K474="","",IFERROR(VLOOKUP($K474,Grinders!$A$4:$N$998,8,FALSE),""))</f>
        <v/>
      </c>
      <c r="U474" s="40" t="str">
        <f>IFERROR(IF($K474="","",IF($M474="Elite",MAX(50,MIN(100,Config!$B$27*MAX(0,MIN(100,(1-IF($R474="",0,$R474))*100)) + Config!$B$28*MAX(0,MIN(100,(1-MIN(1,IF(Config!$B$30=0,1,$S474/Config!$B$30)))*100)) + Config!$B$29*MAX(0,MIN(100,MIN(1,IF($T474="",0,$T474)/Config!$B$23)*100)))),MIN(100,Config!$B$27*MAX(0,MIN(100,(1-IF($R474="",0,$R474))*100)) + Config!$B$28*MAX(0,MIN(100,(1-MIN(1,IF(Config!$B$30=0,1,$S474/Config!$B$30)))*100)) + Config!$B$29*MAX(0,MIN(100,MIN(1,IF($T474="",0,$T474)/Config!$B$23)*100))))),"")
</f>
        <v/>
      </c>
      <c r="V474" s="40" t="str">
        <f>IF(Bids!$AC474="","",Bids!$AC474)</f>
        <v/>
      </c>
      <c r="W474" s="40" t="str">
        <f>IF(Bids!$F473="","",Bids!$F473)</f>
        <v/>
      </c>
      <c r="X474" s="40" t="str">
        <f t="shared" si="5"/>
        <v/>
      </c>
      <c r="Y474" s="40" t="str">
        <f>IF($X474="","",IF(Config!$B$17=Config!$B$16,IF($X474&gt;=Config!$B$17,100,0),MAX(0,MIN(100,($X474-Config!$B$16)/(Config!$B$17-Config!$B$16)*100))))</f>
        <v/>
      </c>
      <c r="Z474" s="40">
        <f>IF($M474="Elite",Config!$B$21,0)</f>
        <v>0</v>
      </c>
      <c r="AA474" s="40" t="str">
        <f>IFERROR(IF(OR($W474="",$H474=""),"",IF($W474&gt;$H474,
  MAX(0, 60-(($W474-$H474)*24/Config!$B$19)*60),
  MIN(100, 60+(($H474-$W474)*24/Config!$B$20)*40)
)),"")
</f>
        <v/>
      </c>
      <c r="AB474" s="40" t="str">
        <f>IF($K474="","",IFERROR(VLOOKUP($K474,Grinders!$A$4:$N$998,10,FALSE)/5*100,""))</f>
        <v/>
      </c>
      <c r="AC474" s="40" t="str">
        <f>IF($K474="","",IFERROR(VLOOKUP($K474,Grinders!$A$4:$N$998,11,FALSE)*100,""))</f>
        <v/>
      </c>
      <c r="AD474" s="40" t="str">
        <f>IF($K474="","",IFERROR(VLOOKUP($K474,Grinders!$A$4:$N$998,12,FALSE)*100,""))</f>
        <v/>
      </c>
      <c r="AE474" s="40" t="str">
        <f>IF(OR(AO474=1,AP474=1),0,=IFERROR(IFS(
    OR($C474="", $K474=""), 0,
    $F474=0, 0,
    $D474&lt;&gt;"Open", 0,
    COUNTIFS(GrinderServices!$A$6:$A$1000, $K474, GrinderServices!$B$6:$B$1000, $E474, GrinderServices!$D$6:$D$1000, "Y")=0, 0,
    $X474&lt;Config!$B$16, 0,
    Config!$B$18=1, IF($O474&gt;=N474, 0, 1),
    TRUE, 1
), "")
)</f>
        <v>#ERROR!</v>
      </c>
      <c r="AF474" s="40" t="str">
        <f>IFERROR((IF(OR(AO474=1,AP474=1),"",=IFERROR((IFERROR(IF($AE474=0,"",((Config!$B$6*$Y474 + Config!$B$7*$U474 + Config!$B$8*$Z474 + Config!$B$9*$AA474 + Config!$B$10*$AB474 + Config!$B$11*$AC474 - Config!$B$12*$AD474)/Config!$B$13)+$AK474+$AL474),""))*(1-IFERROR(VLOOKUP(K474,Grinders!$A:$AB, 28, FALSE),0)),"")))*(1+AR474),"")</f>
        <v>#ERROR!</v>
      </c>
      <c r="AG474" s="40" t="str">
        <f t="shared" si="6"/>
        <v>#ERROR!</v>
      </c>
      <c r="AH474" s="40" t="str">
        <f t="shared" si="7"/>
        <v/>
      </c>
      <c r="AI474" s="40" t="str">
        <f t="shared" si="8"/>
        <v/>
      </c>
      <c r="AJ474" s="40" t="str">
        <f>IF($K474="","",COUNTIF(Assignments!$B$6:$B$1000,$K474))</f>
        <v/>
      </c>
      <c r="AK474" s="40" t="str">
        <f>IF($K474="","",IF(AND($AJ474=0,$O474&lt;$N474),Config!$B$43,0))</f>
        <v/>
      </c>
      <c r="AL474" s="40" t="str">
        <f>IF($K474="","",IF(AND($M474="Elite",$G474&gt;=Config!$B$41,$O474&lt;$N474),Config!$B$42,0))</f>
        <v/>
      </c>
      <c r="AM474" s="22"/>
      <c r="AN474" s="39">
        <f>IFERROR(VLOOKUP(K474,Grinders!$A:$Q,28,FALSE),0)</f>
        <v>0</v>
      </c>
      <c r="AO474" s="39">
        <f>IF(Config!$B$1003&lt;&gt;"Y",0,IF(IFERROR(VLOOKUP(K474,Grinders!$A:$P,27,FALSE),0)&gt;=3,IF(OR(G474&gt;=Config!$B$1001,ISNUMBER(SEARCH(E474,Config!$B$1002))),1,0),0))</f>
        <v>0</v>
      </c>
      <c r="AP474" s="39">
        <f t="array" ref="AP474">IFERROR(IF(INDEX(Bids!$AE:$AE,MATCH(B474,Bids!$A:$A,0))="Pending",1,0),0)</f>
        <v>0</v>
      </c>
      <c r="AQ474" s="39" t="str">
        <f t="array" ref="AQ474">IF(C474="","",IFERROR(XLOOKUP(C474,Assignments!$C:$C,Assignments!$AU:$AU,0),0))</f>
        <v/>
      </c>
      <c r="AR474" s="39">
        <f>IF(AND(Config!$B$1006="Y",AQ474=1),Config!$B$1007,0)</f>
        <v>0</v>
      </c>
    </row>
    <row r="475" ht="15.75" customHeight="1">
      <c r="A475" s="46" t="str">
        <f t="shared" si="1"/>
        <v/>
      </c>
      <c r="B475" s="40" t="str">
        <f>IF(Bids!$A474="","",Bids!$A474)</f>
        <v/>
      </c>
      <c r="C475" s="40" t="str">
        <f>IF(Bids!$B474="","",Bids!$B474)</f>
        <v/>
      </c>
      <c r="D475" s="40" t="str">
        <f>IF($C475="","",IFERROR(VLOOKUP($C475,Orders!$A$4:$J$998,9,FALSE),""))</f>
        <v/>
      </c>
      <c r="E475" s="40" t="str">
        <f>IF($C475="","",IFERROR(VLOOKUP($C475,Orders!$A$4:$J$998,3,FALSE),""))</f>
        <v/>
      </c>
      <c r="F475" s="40">
        <f t="shared" si="2"/>
        <v>1</v>
      </c>
      <c r="G475" s="40" t="str">
        <f>IF($C475="","",IFERROR(VLOOKUP($C475,Orders!$A$4:$J$998,4,FALSE),""))</f>
        <v/>
      </c>
      <c r="H475" s="40" t="str">
        <f>IF($C475="","",IFERROR(VLOOKUP($C475,Orders!$A$4:$J$998,5,FALSE),""))</f>
        <v/>
      </c>
      <c r="I475" s="40" t="str">
        <f>IF($C475="","",IFERROR(VLOOKUP($C475,Orders!$A$4:$J$998,6,FALSE),""))</f>
        <v/>
      </c>
      <c r="J475" s="40" t="str">
        <f>IF($C475="","",IFERROR(VLOOKUP($C475,Orders!$A$4:$J$998,7,FALSE),""))</f>
        <v/>
      </c>
      <c r="K475" s="40" t="str">
        <f>IF(Bids!$C474="","",Bids!$C474)</f>
        <v/>
      </c>
      <c r="L475" s="40" t="str">
        <f>IF($K475="","",IFERROR(VLOOKUP($K475,Grinders!$A$4:$N$998,2,FALSE),""))</f>
        <v/>
      </c>
      <c r="M475" s="40" t="str">
        <f>IF($K475="","",IFERROR(VLOOKUP($K475,Grinders!$A$4:$N$998,3,FALSE),""))</f>
        <v/>
      </c>
      <c r="N475" s="40" t="str">
        <f>IF($K475="","",IFERROR(VLOOKUP($K475,Grinders!$A$4:$N$998,4,FALSE),""))</f>
        <v/>
      </c>
      <c r="O475" s="40" t="str">
        <f>IF($K475="","",IFERROR(VLOOKUP($K475,Grinders!$A$4:$N$998,5,FALSE),""))</f>
        <v/>
      </c>
      <c r="P475" s="40" t="str">
        <f>IF($K475="","",IF($C$4="",0,COUNTIFS(Assignments!$B$6:$B$1000,$K475,Assignments!$F$6:$F$1000,$C$4,Assignments!$E$6:$E$1000,"Active")))</f>
        <v/>
      </c>
      <c r="Q475" s="40" t="str">
        <f t="shared" si="3"/>
        <v/>
      </c>
      <c r="R475" s="40" t="str">
        <f t="shared" si="4"/>
        <v/>
      </c>
      <c r="S475" s="40" t="str">
        <f>IF($K475="","",IF($C$4="",0,COUNTIFS(Assignments!$B$6:$B$1000,$K475,Assignments!$F$6:$F$1000,$C$4,Assignments!$D$6:$D$1000,"&gt;="&amp;Config!$B$3-7,Assignments!$D$6:$D$1000,"&lt;="&amp;Config!$B$3)))</f>
        <v/>
      </c>
      <c r="T475" s="40" t="str">
        <f>IF($K475="","",IFERROR(VLOOKUP($K475,Grinders!$A$4:$N$998,8,FALSE),""))</f>
        <v/>
      </c>
      <c r="U475" s="40" t="str">
        <f>IFERROR(IF($K475="","",IF($M475="Elite",MAX(50,MIN(100,Config!$B$27*MAX(0,MIN(100,(1-IF($R475="",0,$R475))*100)) + Config!$B$28*MAX(0,MIN(100,(1-MIN(1,IF(Config!$B$30=0,1,$S475/Config!$B$30)))*100)) + Config!$B$29*MAX(0,MIN(100,MIN(1,IF($T475="",0,$T475)/Config!$B$23)*100)))),MIN(100,Config!$B$27*MAX(0,MIN(100,(1-IF($R475="",0,$R475))*100)) + Config!$B$28*MAX(0,MIN(100,(1-MIN(1,IF(Config!$B$30=0,1,$S475/Config!$B$30)))*100)) + Config!$B$29*MAX(0,MIN(100,MIN(1,IF($T475="",0,$T475)/Config!$B$23)*100))))),"")
</f>
        <v/>
      </c>
      <c r="V475" s="40" t="str">
        <f>IF(Bids!$AC475="","",Bids!$AC475)</f>
        <v/>
      </c>
      <c r="W475" s="40" t="str">
        <f>IF(Bids!$F474="","",Bids!$F474)</f>
        <v/>
      </c>
      <c r="X475" s="40" t="str">
        <f t="shared" si="5"/>
        <v/>
      </c>
      <c r="Y475" s="40" t="str">
        <f>IF($X475="","",IF(Config!$B$17=Config!$B$16,IF($X475&gt;=Config!$B$17,100,0),MAX(0,MIN(100,($X475-Config!$B$16)/(Config!$B$17-Config!$B$16)*100))))</f>
        <v/>
      </c>
      <c r="Z475" s="40">
        <f>IF($M475="Elite",Config!$B$21,0)</f>
        <v>0</v>
      </c>
      <c r="AA475" s="40" t="str">
        <f>IFERROR(IF(OR($W475="",$H475=""),"",IF($W475&gt;$H475,
  MAX(0, 60-(($W475-$H475)*24/Config!$B$19)*60),
  MIN(100, 60+(($H475-$W475)*24/Config!$B$20)*40)
)),"")
</f>
        <v/>
      </c>
      <c r="AB475" s="40" t="str">
        <f>IF($K475="","",IFERROR(VLOOKUP($K475,Grinders!$A$4:$N$998,10,FALSE)/5*100,""))</f>
        <v/>
      </c>
      <c r="AC475" s="40" t="str">
        <f>IF($K475="","",IFERROR(VLOOKUP($K475,Grinders!$A$4:$N$998,11,FALSE)*100,""))</f>
        <v/>
      </c>
      <c r="AD475" s="40" t="str">
        <f>IF($K475="","",IFERROR(VLOOKUP($K475,Grinders!$A$4:$N$998,12,FALSE)*100,""))</f>
        <v/>
      </c>
      <c r="AE475" s="40" t="str">
        <f>IF(OR(AO475=1,AP475=1),0,=IFERROR(IFS(
    OR($C475="", $K475=""), 0,
    $F475=0, 0,
    $D475&lt;&gt;"Open", 0,
    COUNTIFS(GrinderServices!$A$6:$A$1000, $K475, GrinderServices!$B$6:$B$1000, $E475, GrinderServices!$D$6:$D$1000, "Y")=0, 0,
    $X475&lt;Config!$B$16, 0,
    Config!$B$18=1, IF($O475&gt;=N475, 0, 1),
    TRUE, 1
), "")
)</f>
        <v>#ERROR!</v>
      </c>
      <c r="AF475" s="40" t="str">
        <f>IFERROR((IF(OR(AO475=1,AP475=1),"",=IFERROR((IFERROR(IF($AE475=0,"",((Config!$B$6*$Y475 + Config!$B$7*$U475 + Config!$B$8*$Z475 + Config!$B$9*$AA475 + Config!$B$10*$AB475 + Config!$B$11*$AC475 - Config!$B$12*$AD475)/Config!$B$13)+$AK475+$AL475),""))*(1-IFERROR(VLOOKUP(K475,Grinders!$A:$AB, 28, FALSE),0)),"")))*(1+AR475),"")</f>
        <v>#ERROR!</v>
      </c>
      <c r="AG475" s="40" t="str">
        <f t="shared" si="6"/>
        <v>#ERROR!</v>
      </c>
      <c r="AH475" s="40" t="str">
        <f t="shared" si="7"/>
        <v/>
      </c>
      <c r="AI475" s="40" t="str">
        <f t="shared" si="8"/>
        <v/>
      </c>
      <c r="AJ475" s="40" t="str">
        <f>IF($K475="","",COUNTIF(Assignments!$B$6:$B$1000,$K475))</f>
        <v/>
      </c>
      <c r="AK475" s="40" t="str">
        <f>IF($K475="","",IF(AND($AJ475=0,$O475&lt;$N475),Config!$B$43,0))</f>
        <v/>
      </c>
      <c r="AL475" s="40" t="str">
        <f>IF($K475="","",IF(AND($M475="Elite",$G475&gt;=Config!$B$41,$O475&lt;$N475),Config!$B$42,0))</f>
        <v/>
      </c>
      <c r="AM475" s="22"/>
      <c r="AN475" s="39">
        <f>IFERROR(VLOOKUP(K475,Grinders!$A:$Q,28,FALSE),0)</f>
        <v>0</v>
      </c>
      <c r="AO475" s="39">
        <f>IF(Config!$B$1003&lt;&gt;"Y",0,IF(IFERROR(VLOOKUP(K475,Grinders!$A:$P,27,FALSE),0)&gt;=3,IF(OR(G475&gt;=Config!$B$1001,ISNUMBER(SEARCH(E475,Config!$B$1002))),1,0),0))</f>
        <v>0</v>
      </c>
      <c r="AP475" s="39">
        <f t="array" ref="AP475">IFERROR(IF(INDEX(Bids!$AE:$AE,MATCH(B475,Bids!$A:$A,0))="Pending",1,0),0)</f>
        <v>0</v>
      </c>
      <c r="AQ475" s="39" t="str">
        <f t="array" ref="AQ475">IF(C475="","",IFERROR(XLOOKUP(C475,Assignments!$C:$C,Assignments!$AU:$AU,0),0))</f>
        <v/>
      </c>
      <c r="AR475" s="39">
        <f>IF(AND(Config!$B$1006="Y",AQ475=1),Config!$B$1007,0)</f>
        <v>0</v>
      </c>
    </row>
    <row r="476" ht="15.75" customHeight="1">
      <c r="A476" s="46" t="str">
        <f t="shared" si="1"/>
        <v/>
      </c>
      <c r="B476" s="40" t="str">
        <f>IF(Bids!$A475="","",Bids!$A475)</f>
        <v/>
      </c>
      <c r="C476" s="40" t="str">
        <f>IF(Bids!$B475="","",Bids!$B475)</f>
        <v/>
      </c>
      <c r="D476" s="40" t="str">
        <f>IF($C476="","",IFERROR(VLOOKUP($C476,Orders!$A$4:$J$998,9,FALSE),""))</f>
        <v/>
      </c>
      <c r="E476" s="40" t="str">
        <f>IF($C476="","",IFERROR(VLOOKUP($C476,Orders!$A$4:$J$998,3,FALSE),""))</f>
        <v/>
      </c>
      <c r="F476" s="40">
        <f t="shared" si="2"/>
        <v>1</v>
      </c>
      <c r="G476" s="40" t="str">
        <f>IF($C476="","",IFERROR(VLOOKUP($C476,Orders!$A$4:$J$998,4,FALSE),""))</f>
        <v/>
      </c>
      <c r="H476" s="40" t="str">
        <f>IF($C476="","",IFERROR(VLOOKUP($C476,Orders!$A$4:$J$998,5,FALSE),""))</f>
        <v/>
      </c>
      <c r="I476" s="40" t="str">
        <f>IF($C476="","",IFERROR(VLOOKUP($C476,Orders!$A$4:$J$998,6,FALSE),""))</f>
        <v/>
      </c>
      <c r="J476" s="40" t="str">
        <f>IF($C476="","",IFERROR(VLOOKUP($C476,Orders!$A$4:$J$998,7,FALSE),""))</f>
        <v/>
      </c>
      <c r="K476" s="40" t="str">
        <f>IF(Bids!$C475="","",Bids!$C475)</f>
        <v/>
      </c>
      <c r="L476" s="40" t="str">
        <f>IF($K476="","",IFERROR(VLOOKUP($K476,Grinders!$A$4:$N$998,2,FALSE),""))</f>
        <v/>
      </c>
      <c r="M476" s="40" t="str">
        <f>IF($K476="","",IFERROR(VLOOKUP($K476,Grinders!$A$4:$N$998,3,FALSE),""))</f>
        <v/>
      </c>
      <c r="N476" s="40" t="str">
        <f>IF($K476="","",IFERROR(VLOOKUP($K476,Grinders!$A$4:$N$998,4,FALSE),""))</f>
        <v/>
      </c>
      <c r="O476" s="40" t="str">
        <f>IF($K476="","",IFERROR(VLOOKUP($K476,Grinders!$A$4:$N$998,5,FALSE),""))</f>
        <v/>
      </c>
      <c r="P476" s="40" t="str">
        <f>IF($K476="","",IF($C$4="",0,COUNTIFS(Assignments!$B$6:$B$1000,$K476,Assignments!$F$6:$F$1000,$C$4,Assignments!$E$6:$E$1000,"Active")))</f>
        <v/>
      </c>
      <c r="Q476" s="40" t="str">
        <f t="shared" si="3"/>
        <v/>
      </c>
      <c r="R476" s="40" t="str">
        <f t="shared" si="4"/>
        <v/>
      </c>
      <c r="S476" s="40" t="str">
        <f>IF($K476="","",IF($C$4="",0,COUNTIFS(Assignments!$B$6:$B$1000,$K476,Assignments!$F$6:$F$1000,$C$4,Assignments!$D$6:$D$1000,"&gt;="&amp;Config!$B$3-7,Assignments!$D$6:$D$1000,"&lt;="&amp;Config!$B$3)))</f>
        <v/>
      </c>
      <c r="T476" s="40" t="str">
        <f>IF($K476="","",IFERROR(VLOOKUP($K476,Grinders!$A$4:$N$998,8,FALSE),""))</f>
        <v/>
      </c>
      <c r="U476" s="40" t="str">
        <f>IFERROR(IF($K476="","",IF($M476="Elite",MAX(50,MIN(100,Config!$B$27*MAX(0,MIN(100,(1-IF($R476="",0,$R476))*100)) + Config!$B$28*MAX(0,MIN(100,(1-MIN(1,IF(Config!$B$30=0,1,$S476/Config!$B$30)))*100)) + Config!$B$29*MAX(0,MIN(100,MIN(1,IF($T476="",0,$T476)/Config!$B$23)*100)))),MIN(100,Config!$B$27*MAX(0,MIN(100,(1-IF($R476="",0,$R476))*100)) + Config!$B$28*MAX(0,MIN(100,(1-MIN(1,IF(Config!$B$30=0,1,$S476/Config!$B$30)))*100)) + Config!$B$29*MAX(0,MIN(100,MIN(1,IF($T476="",0,$T476)/Config!$B$23)*100))))),"")
</f>
        <v/>
      </c>
      <c r="V476" s="40" t="str">
        <f>IF(Bids!$AC476="","",Bids!$AC476)</f>
        <v/>
      </c>
      <c r="W476" s="40" t="str">
        <f>IF(Bids!$F475="","",Bids!$F475)</f>
        <v/>
      </c>
      <c r="X476" s="40" t="str">
        <f t="shared" si="5"/>
        <v/>
      </c>
      <c r="Y476" s="40" t="str">
        <f>IF($X476="","",IF(Config!$B$17=Config!$B$16,IF($X476&gt;=Config!$B$17,100,0),MAX(0,MIN(100,($X476-Config!$B$16)/(Config!$B$17-Config!$B$16)*100))))</f>
        <v/>
      </c>
      <c r="Z476" s="40">
        <f>IF($M476="Elite",Config!$B$21,0)</f>
        <v>0</v>
      </c>
      <c r="AA476" s="40" t="str">
        <f>IFERROR(IF(OR($W476="",$H476=""),"",IF($W476&gt;$H476,
  MAX(0, 60-(($W476-$H476)*24/Config!$B$19)*60),
  MIN(100, 60+(($H476-$W476)*24/Config!$B$20)*40)
)),"")
</f>
        <v/>
      </c>
      <c r="AB476" s="40" t="str">
        <f>IF($K476="","",IFERROR(VLOOKUP($K476,Grinders!$A$4:$N$998,10,FALSE)/5*100,""))</f>
        <v/>
      </c>
      <c r="AC476" s="40" t="str">
        <f>IF($K476="","",IFERROR(VLOOKUP($K476,Grinders!$A$4:$N$998,11,FALSE)*100,""))</f>
        <v/>
      </c>
      <c r="AD476" s="40" t="str">
        <f>IF($K476="","",IFERROR(VLOOKUP($K476,Grinders!$A$4:$N$998,12,FALSE)*100,""))</f>
        <v/>
      </c>
      <c r="AE476" s="40" t="str">
        <f>IF(OR(AO476=1,AP476=1),0,=IFERROR(IFS(
    OR($C476="", $K476=""), 0,
    $F476=0, 0,
    $D476&lt;&gt;"Open", 0,
    COUNTIFS(GrinderServices!$A$6:$A$1000, $K476, GrinderServices!$B$6:$B$1000, $E476, GrinderServices!$D$6:$D$1000, "Y")=0, 0,
    $X476&lt;Config!$B$16, 0,
    Config!$B$18=1, IF($O476&gt;=N476, 0, 1),
    TRUE, 1
), "")
)</f>
        <v>#ERROR!</v>
      </c>
      <c r="AF476" s="40" t="str">
        <f>IFERROR((IF(OR(AO476=1,AP476=1),"",=IFERROR((IFERROR(IF($AE476=0,"",((Config!$B$6*$Y476 + Config!$B$7*$U476 + Config!$B$8*$Z476 + Config!$B$9*$AA476 + Config!$B$10*$AB476 + Config!$B$11*$AC476 - Config!$B$12*$AD476)/Config!$B$13)+$AK476+$AL476),""))*(1-IFERROR(VLOOKUP(K476,Grinders!$A:$AB, 28, FALSE),0)),"")))*(1+AR476),"")</f>
        <v>#ERROR!</v>
      </c>
      <c r="AG476" s="40" t="str">
        <f t="shared" si="6"/>
        <v>#ERROR!</v>
      </c>
      <c r="AH476" s="40" t="str">
        <f t="shared" si="7"/>
        <v/>
      </c>
      <c r="AI476" s="40" t="str">
        <f t="shared" si="8"/>
        <v/>
      </c>
      <c r="AJ476" s="40" t="str">
        <f>IF($K476="","",COUNTIF(Assignments!$B$6:$B$1000,$K476))</f>
        <v/>
      </c>
      <c r="AK476" s="40" t="str">
        <f>IF($K476="","",IF(AND($AJ476=0,$O476&lt;$N476),Config!$B$43,0))</f>
        <v/>
      </c>
      <c r="AL476" s="40" t="str">
        <f>IF($K476="","",IF(AND($M476="Elite",$G476&gt;=Config!$B$41,$O476&lt;$N476),Config!$B$42,0))</f>
        <v/>
      </c>
      <c r="AM476" s="22"/>
      <c r="AN476" s="39">
        <f>IFERROR(VLOOKUP(K476,Grinders!$A:$Q,28,FALSE),0)</f>
        <v>0</v>
      </c>
      <c r="AO476" s="39">
        <f>IF(Config!$B$1003&lt;&gt;"Y",0,IF(IFERROR(VLOOKUP(K476,Grinders!$A:$P,27,FALSE),0)&gt;=3,IF(OR(G476&gt;=Config!$B$1001,ISNUMBER(SEARCH(E476,Config!$B$1002))),1,0),0))</f>
        <v>0</v>
      </c>
      <c r="AP476" s="39">
        <f t="array" ref="AP476">IFERROR(IF(INDEX(Bids!$AE:$AE,MATCH(B476,Bids!$A:$A,0))="Pending",1,0),0)</f>
        <v>0</v>
      </c>
      <c r="AQ476" s="39" t="str">
        <f t="array" ref="AQ476">IF(C476="","",IFERROR(XLOOKUP(C476,Assignments!$C:$C,Assignments!$AU:$AU,0),0))</f>
        <v/>
      </c>
      <c r="AR476" s="39">
        <f>IF(AND(Config!$B$1006="Y",AQ476=1),Config!$B$1007,0)</f>
        <v>0</v>
      </c>
    </row>
    <row r="477" ht="15.75" customHeight="1">
      <c r="A477" s="46" t="str">
        <f t="shared" si="1"/>
        <v/>
      </c>
      <c r="B477" s="40" t="str">
        <f>IF(Bids!$A476="","",Bids!$A476)</f>
        <v/>
      </c>
      <c r="C477" s="40" t="str">
        <f>IF(Bids!$B476="","",Bids!$B476)</f>
        <v/>
      </c>
      <c r="D477" s="40" t="str">
        <f>IF($C477="","",IFERROR(VLOOKUP($C477,Orders!$A$4:$J$998,9,FALSE),""))</f>
        <v/>
      </c>
      <c r="E477" s="40" t="str">
        <f>IF($C477="","",IFERROR(VLOOKUP($C477,Orders!$A$4:$J$998,3,FALSE),""))</f>
        <v/>
      </c>
      <c r="F477" s="40">
        <f t="shared" si="2"/>
        <v>1</v>
      </c>
      <c r="G477" s="40" t="str">
        <f>IF($C477="","",IFERROR(VLOOKUP($C477,Orders!$A$4:$J$998,4,FALSE),""))</f>
        <v/>
      </c>
      <c r="H477" s="40" t="str">
        <f>IF($C477="","",IFERROR(VLOOKUP($C477,Orders!$A$4:$J$998,5,FALSE),""))</f>
        <v/>
      </c>
      <c r="I477" s="40" t="str">
        <f>IF($C477="","",IFERROR(VLOOKUP($C477,Orders!$A$4:$J$998,6,FALSE),""))</f>
        <v/>
      </c>
      <c r="J477" s="40" t="str">
        <f>IF($C477="","",IFERROR(VLOOKUP($C477,Orders!$A$4:$J$998,7,FALSE),""))</f>
        <v/>
      </c>
      <c r="K477" s="40" t="str">
        <f>IF(Bids!$C476="","",Bids!$C476)</f>
        <v/>
      </c>
      <c r="L477" s="40" t="str">
        <f>IF($K477="","",IFERROR(VLOOKUP($K477,Grinders!$A$4:$N$998,2,FALSE),""))</f>
        <v/>
      </c>
      <c r="M477" s="40" t="str">
        <f>IF($K477="","",IFERROR(VLOOKUP($K477,Grinders!$A$4:$N$998,3,FALSE),""))</f>
        <v/>
      </c>
      <c r="N477" s="40" t="str">
        <f>IF($K477="","",IFERROR(VLOOKUP($K477,Grinders!$A$4:$N$998,4,FALSE),""))</f>
        <v/>
      </c>
      <c r="O477" s="40" t="str">
        <f>IF($K477="","",IFERROR(VLOOKUP($K477,Grinders!$A$4:$N$998,5,FALSE),""))</f>
        <v/>
      </c>
      <c r="P477" s="40" t="str">
        <f>IF($K477="","",IF($C$4="",0,COUNTIFS(Assignments!$B$6:$B$1000,$K477,Assignments!$F$6:$F$1000,$C$4,Assignments!$E$6:$E$1000,"Active")))</f>
        <v/>
      </c>
      <c r="Q477" s="40" t="str">
        <f t="shared" si="3"/>
        <v/>
      </c>
      <c r="R477" s="40" t="str">
        <f t="shared" si="4"/>
        <v/>
      </c>
      <c r="S477" s="40" t="str">
        <f>IF($K477="","",IF($C$4="",0,COUNTIFS(Assignments!$B$6:$B$1000,$K477,Assignments!$F$6:$F$1000,$C$4,Assignments!$D$6:$D$1000,"&gt;="&amp;Config!$B$3-7,Assignments!$D$6:$D$1000,"&lt;="&amp;Config!$B$3)))</f>
        <v/>
      </c>
      <c r="T477" s="40" t="str">
        <f>IF($K477="","",IFERROR(VLOOKUP($K477,Grinders!$A$4:$N$998,8,FALSE),""))</f>
        <v/>
      </c>
      <c r="U477" s="40" t="str">
        <f>IFERROR(IF($K477="","",IF($M477="Elite",MAX(50,MIN(100,Config!$B$27*MAX(0,MIN(100,(1-IF($R477="",0,$R477))*100)) + Config!$B$28*MAX(0,MIN(100,(1-MIN(1,IF(Config!$B$30=0,1,$S477/Config!$B$30)))*100)) + Config!$B$29*MAX(0,MIN(100,MIN(1,IF($T477="",0,$T477)/Config!$B$23)*100)))),MIN(100,Config!$B$27*MAX(0,MIN(100,(1-IF($R477="",0,$R477))*100)) + Config!$B$28*MAX(0,MIN(100,(1-MIN(1,IF(Config!$B$30=0,1,$S477/Config!$B$30)))*100)) + Config!$B$29*MAX(0,MIN(100,MIN(1,IF($T477="",0,$T477)/Config!$B$23)*100))))),"")
</f>
        <v/>
      </c>
      <c r="V477" s="40" t="str">
        <f>IF(Bids!$AC477="","",Bids!$AC477)</f>
        <v/>
      </c>
      <c r="W477" s="40" t="str">
        <f>IF(Bids!$F476="","",Bids!$F476)</f>
        <v/>
      </c>
      <c r="X477" s="40" t="str">
        <f t="shared" si="5"/>
        <v/>
      </c>
      <c r="Y477" s="40" t="str">
        <f>IF($X477="","",IF(Config!$B$17=Config!$B$16,IF($X477&gt;=Config!$B$17,100,0),MAX(0,MIN(100,($X477-Config!$B$16)/(Config!$B$17-Config!$B$16)*100))))</f>
        <v/>
      </c>
      <c r="Z477" s="40">
        <f>IF($M477="Elite",Config!$B$21,0)</f>
        <v>0</v>
      </c>
      <c r="AA477" s="40" t="str">
        <f>IFERROR(IF(OR($W477="",$H477=""),"",IF($W477&gt;$H477,
  MAX(0, 60-(($W477-$H477)*24/Config!$B$19)*60),
  MIN(100, 60+(($H477-$W477)*24/Config!$B$20)*40)
)),"")
</f>
        <v/>
      </c>
      <c r="AB477" s="40" t="str">
        <f>IF($K477="","",IFERROR(VLOOKUP($K477,Grinders!$A$4:$N$998,10,FALSE)/5*100,""))</f>
        <v/>
      </c>
      <c r="AC477" s="40" t="str">
        <f>IF($K477="","",IFERROR(VLOOKUP($K477,Grinders!$A$4:$N$998,11,FALSE)*100,""))</f>
        <v/>
      </c>
      <c r="AD477" s="40" t="str">
        <f>IF($K477="","",IFERROR(VLOOKUP($K477,Grinders!$A$4:$N$998,12,FALSE)*100,""))</f>
        <v/>
      </c>
      <c r="AE477" s="40" t="str">
        <f>IF(OR(AO477=1,AP477=1),0,=IFERROR(IFS(
    OR($C477="", $K477=""), 0,
    $F477=0, 0,
    $D477&lt;&gt;"Open", 0,
    COUNTIFS(GrinderServices!$A$6:$A$1000, $K477, GrinderServices!$B$6:$B$1000, $E477, GrinderServices!$D$6:$D$1000, "Y")=0, 0,
    $X477&lt;Config!$B$16, 0,
    Config!$B$18=1, IF($O477&gt;=N477, 0, 1),
    TRUE, 1
), "")
)</f>
        <v>#ERROR!</v>
      </c>
      <c r="AF477" s="40" t="str">
        <f>IFERROR((IF(OR(AO477=1,AP477=1),"",=IFERROR((IFERROR(IF($AE477=0,"",((Config!$B$6*$Y477 + Config!$B$7*$U477 + Config!$B$8*$Z477 + Config!$B$9*$AA477 + Config!$B$10*$AB477 + Config!$B$11*$AC477 - Config!$B$12*$AD477)/Config!$B$13)+$AK477+$AL477),""))*(1-IFERROR(VLOOKUP(K477,Grinders!$A:$AB, 28, FALSE),0)),"")))*(1+AR477),"")</f>
        <v>#ERROR!</v>
      </c>
      <c r="AG477" s="40" t="str">
        <f t="shared" si="6"/>
        <v>#ERROR!</v>
      </c>
      <c r="AH477" s="40" t="str">
        <f t="shared" si="7"/>
        <v/>
      </c>
      <c r="AI477" s="40" t="str">
        <f t="shared" si="8"/>
        <v/>
      </c>
      <c r="AJ477" s="40" t="str">
        <f>IF($K477="","",COUNTIF(Assignments!$B$6:$B$1000,$K477))</f>
        <v/>
      </c>
      <c r="AK477" s="40" t="str">
        <f>IF($K477="","",IF(AND($AJ477=0,$O477&lt;$N477),Config!$B$43,0))</f>
        <v/>
      </c>
      <c r="AL477" s="40" t="str">
        <f>IF($K477="","",IF(AND($M477="Elite",$G477&gt;=Config!$B$41,$O477&lt;$N477),Config!$B$42,0))</f>
        <v/>
      </c>
      <c r="AM477" s="22"/>
      <c r="AN477" s="39">
        <f>IFERROR(VLOOKUP(K477,Grinders!$A:$Q,28,FALSE),0)</f>
        <v>0</v>
      </c>
      <c r="AO477" s="39">
        <f>IF(Config!$B$1003&lt;&gt;"Y",0,IF(IFERROR(VLOOKUP(K477,Grinders!$A:$P,27,FALSE),0)&gt;=3,IF(OR(G477&gt;=Config!$B$1001,ISNUMBER(SEARCH(E477,Config!$B$1002))),1,0),0))</f>
        <v>0</v>
      </c>
      <c r="AP477" s="39">
        <f t="array" ref="AP477">IFERROR(IF(INDEX(Bids!$AE:$AE,MATCH(B477,Bids!$A:$A,0))="Pending",1,0),0)</f>
        <v>0</v>
      </c>
      <c r="AQ477" s="39" t="str">
        <f t="array" ref="AQ477">IF(C477="","",IFERROR(XLOOKUP(C477,Assignments!$C:$C,Assignments!$AU:$AU,0),0))</f>
        <v/>
      </c>
      <c r="AR477" s="39">
        <f>IF(AND(Config!$B$1006="Y",AQ477=1),Config!$B$1007,0)</f>
        <v>0</v>
      </c>
    </row>
    <row r="478" ht="15.75" customHeight="1">
      <c r="A478" s="46" t="str">
        <f t="shared" si="1"/>
        <v/>
      </c>
      <c r="B478" s="40" t="str">
        <f>IF(Bids!$A477="","",Bids!$A477)</f>
        <v/>
      </c>
      <c r="C478" s="40" t="str">
        <f>IF(Bids!$B477="","",Bids!$B477)</f>
        <v/>
      </c>
      <c r="D478" s="40" t="str">
        <f>IF($C478="","",IFERROR(VLOOKUP($C478,Orders!$A$4:$J$998,9,FALSE),""))</f>
        <v/>
      </c>
      <c r="E478" s="40" t="str">
        <f>IF($C478="","",IFERROR(VLOOKUP($C478,Orders!$A$4:$J$998,3,FALSE),""))</f>
        <v/>
      </c>
      <c r="F478" s="40">
        <f t="shared" si="2"/>
        <v>1</v>
      </c>
      <c r="G478" s="40" t="str">
        <f>IF($C478="","",IFERROR(VLOOKUP($C478,Orders!$A$4:$J$998,4,FALSE),""))</f>
        <v/>
      </c>
      <c r="H478" s="40" t="str">
        <f>IF($C478="","",IFERROR(VLOOKUP($C478,Orders!$A$4:$J$998,5,FALSE),""))</f>
        <v/>
      </c>
      <c r="I478" s="40" t="str">
        <f>IF($C478="","",IFERROR(VLOOKUP($C478,Orders!$A$4:$J$998,6,FALSE),""))</f>
        <v/>
      </c>
      <c r="J478" s="40" t="str">
        <f>IF($C478="","",IFERROR(VLOOKUP($C478,Orders!$A$4:$J$998,7,FALSE),""))</f>
        <v/>
      </c>
      <c r="K478" s="40" t="str">
        <f>IF(Bids!$C477="","",Bids!$C477)</f>
        <v/>
      </c>
      <c r="L478" s="40" t="str">
        <f>IF($K478="","",IFERROR(VLOOKUP($K478,Grinders!$A$4:$N$998,2,FALSE),""))</f>
        <v/>
      </c>
      <c r="M478" s="40" t="str">
        <f>IF($K478="","",IFERROR(VLOOKUP($K478,Grinders!$A$4:$N$998,3,FALSE),""))</f>
        <v/>
      </c>
      <c r="N478" s="40" t="str">
        <f>IF($K478="","",IFERROR(VLOOKUP($K478,Grinders!$A$4:$N$998,4,FALSE),""))</f>
        <v/>
      </c>
      <c r="O478" s="40" t="str">
        <f>IF($K478="","",IFERROR(VLOOKUP($K478,Grinders!$A$4:$N$998,5,FALSE),""))</f>
        <v/>
      </c>
      <c r="P478" s="40" t="str">
        <f>IF($K478="","",IF($C$4="",0,COUNTIFS(Assignments!$B$6:$B$1000,$K478,Assignments!$F$6:$F$1000,$C$4,Assignments!$E$6:$E$1000,"Active")))</f>
        <v/>
      </c>
      <c r="Q478" s="40" t="str">
        <f t="shared" si="3"/>
        <v/>
      </c>
      <c r="R478" s="40" t="str">
        <f t="shared" si="4"/>
        <v/>
      </c>
      <c r="S478" s="40" t="str">
        <f>IF($K478="","",IF($C$4="",0,COUNTIFS(Assignments!$B$6:$B$1000,$K478,Assignments!$F$6:$F$1000,$C$4,Assignments!$D$6:$D$1000,"&gt;="&amp;Config!$B$3-7,Assignments!$D$6:$D$1000,"&lt;="&amp;Config!$B$3)))</f>
        <v/>
      </c>
      <c r="T478" s="40" t="str">
        <f>IF($K478="","",IFERROR(VLOOKUP($K478,Grinders!$A$4:$N$998,8,FALSE),""))</f>
        <v/>
      </c>
      <c r="U478" s="40" t="str">
        <f>IFERROR(IF($K478="","",IF($M478="Elite",MAX(50,MIN(100,Config!$B$27*MAX(0,MIN(100,(1-IF($R478="",0,$R478))*100)) + Config!$B$28*MAX(0,MIN(100,(1-MIN(1,IF(Config!$B$30=0,1,$S478/Config!$B$30)))*100)) + Config!$B$29*MAX(0,MIN(100,MIN(1,IF($T478="",0,$T478)/Config!$B$23)*100)))),MIN(100,Config!$B$27*MAX(0,MIN(100,(1-IF($R478="",0,$R478))*100)) + Config!$B$28*MAX(0,MIN(100,(1-MIN(1,IF(Config!$B$30=0,1,$S478/Config!$B$30)))*100)) + Config!$B$29*MAX(0,MIN(100,MIN(1,IF($T478="",0,$T478)/Config!$B$23)*100))))),"")
</f>
        <v/>
      </c>
      <c r="V478" s="40" t="str">
        <f>IF(Bids!$AC478="","",Bids!$AC478)</f>
        <v/>
      </c>
      <c r="W478" s="40" t="str">
        <f>IF(Bids!$F477="","",Bids!$F477)</f>
        <v/>
      </c>
      <c r="X478" s="40" t="str">
        <f t="shared" si="5"/>
        <v/>
      </c>
      <c r="Y478" s="40" t="str">
        <f>IF($X478="","",IF(Config!$B$17=Config!$B$16,IF($X478&gt;=Config!$B$17,100,0),MAX(0,MIN(100,($X478-Config!$B$16)/(Config!$B$17-Config!$B$16)*100))))</f>
        <v/>
      </c>
      <c r="Z478" s="40">
        <f>IF($M478="Elite",Config!$B$21,0)</f>
        <v>0</v>
      </c>
      <c r="AA478" s="40" t="str">
        <f>IFERROR(IF(OR($W478="",$H478=""),"",IF($W478&gt;$H478,
  MAX(0, 60-(($W478-$H478)*24/Config!$B$19)*60),
  MIN(100, 60+(($H478-$W478)*24/Config!$B$20)*40)
)),"")
</f>
        <v/>
      </c>
      <c r="AB478" s="40" t="str">
        <f>IF($K478="","",IFERROR(VLOOKUP($K478,Grinders!$A$4:$N$998,10,FALSE)/5*100,""))</f>
        <v/>
      </c>
      <c r="AC478" s="40" t="str">
        <f>IF($K478="","",IFERROR(VLOOKUP($K478,Grinders!$A$4:$N$998,11,FALSE)*100,""))</f>
        <v/>
      </c>
      <c r="AD478" s="40" t="str">
        <f>IF($K478="","",IFERROR(VLOOKUP($K478,Grinders!$A$4:$N$998,12,FALSE)*100,""))</f>
        <v/>
      </c>
      <c r="AE478" s="40" t="str">
        <f>IF(OR(AO478=1,AP478=1),0,=IFERROR(IFS(
    OR($C478="", $K478=""), 0,
    $F478=0, 0,
    $D478&lt;&gt;"Open", 0,
    COUNTIFS(GrinderServices!$A$6:$A$1000, $K478, GrinderServices!$B$6:$B$1000, $E478, GrinderServices!$D$6:$D$1000, "Y")=0, 0,
    $X478&lt;Config!$B$16, 0,
    Config!$B$18=1, IF($O478&gt;=N478, 0, 1),
    TRUE, 1
), "")
)</f>
        <v>#ERROR!</v>
      </c>
      <c r="AF478" s="40" t="str">
        <f>IFERROR((IF(OR(AO478=1,AP478=1),"",=IFERROR((IFERROR(IF($AE478=0,"",((Config!$B$6*$Y478 + Config!$B$7*$U478 + Config!$B$8*$Z478 + Config!$B$9*$AA478 + Config!$B$10*$AB478 + Config!$B$11*$AC478 - Config!$B$12*$AD478)/Config!$B$13)+$AK478+$AL478),""))*(1-IFERROR(VLOOKUP(K478,Grinders!$A:$AB, 28, FALSE),0)),"")))*(1+AR478),"")</f>
        <v>#ERROR!</v>
      </c>
      <c r="AG478" s="40" t="str">
        <f t="shared" si="6"/>
        <v>#ERROR!</v>
      </c>
      <c r="AH478" s="40" t="str">
        <f t="shared" si="7"/>
        <v/>
      </c>
      <c r="AI478" s="40" t="str">
        <f t="shared" si="8"/>
        <v/>
      </c>
      <c r="AJ478" s="40" t="str">
        <f>IF($K478="","",COUNTIF(Assignments!$B$6:$B$1000,$K478))</f>
        <v/>
      </c>
      <c r="AK478" s="40" t="str">
        <f>IF($K478="","",IF(AND($AJ478=0,$O478&lt;$N478),Config!$B$43,0))</f>
        <v/>
      </c>
      <c r="AL478" s="40" t="str">
        <f>IF($K478="","",IF(AND($M478="Elite",$G478&gt;=Config!$B$41,$O478&lt;$N478),Config!$B$42,0))</f>
        <v/>
      </c>
      <c r="AM478" s="22"/>
      <c r="AN478" s="39">
        <f>IFERROR(VLOOKUP(K478,Grinders!$A:$Q,28,FALSE),0)</f>
        <v>0</v>
      </c>
      <c r="AO478" s="39">
        <f>IF(Config!$B$1003&lt;&gt;"Y",0,IF(IFERROR(VLOOKUP(K478,Grinders!$A:$P,27,FALSE),0)&gt;=3,IF(OR(G478&gt;=Config!$B$1001,ISNUMBER(SEARCH(E478,Config!$B$1002))),1,0),0))</f>
        <v>0</v>
      </c>
      <c r="AP478" s="39">
        <f t="array" ref="AP478">IFERROR(IF(INDEX(Bids!$AE:$AE,MATCH(B478,Bids!$A:$A,0))="Pending",1,0),0)</f>
        <v>0</v>
      </c>
      <c r="AQ478" s="39" t="str">
        <f t="array" ref="AQ478">IF(C478="","",IFERROR(XLOOKUP(C478,Assignments!$C:$C,Assignments!$AU:$AU,0),0))</f>
        <v/>
      </c>
      <c r="AR478" s="39">
        <f>IF(AND(Config!$B$1006="Y",AQ478=1),Config!$B$1007,0)</f>
        <v>0</v>
      </c>
    </row>
    <row r="479" ht="15.75" customHeight="1">
      <c r="A479" s="46" t="str">
        <f t="shared" si="1"/>
        <v/>
      </c>
      <c r="B479" s="40" t="str">
        <f>IF(Bids!$A478="","",Bids!$A478)</f>
        <v/>
      </c>
      <c r="C479" s="40" t="str">
        <f>IF(Bids!$B478="","",Bids!$B478)</f>
        <v/>
      </c>
      <c r="D479" s="40" t="str">
        <f>IF($C479="","",IFERROR(VLOOKUP($C479,Orders!$A$4:$J$998,9,FALSE),""))</f>
        <v/>
      </c>
      <c r="E479" s="40" t="str">
        <f>IF($C479="","",IFERROR(VLOOKUP($C479,Orders!$A$4:$J$998,3,FALSE),""))</f>
        <v/>
      </c>
      <c r="F479" s="40">
        <f t="shared" si="2"/>
        <v>1</v>
      </c>
      <c r="G479" s="40" t="str">
        <f>IF($C479="","",IFERROR(VLOOKUP($C479,Orders!$A$4:$J$998,4,FALSE),""))</f>
        <v/>
      </c>
      <c r="H479" s="40" t="str">
        <f>IF($C479="","",IFERROR(VLOOKUP($C479,Orders!$A$4:$J$998,5,FALSE),""))</f>
        <v/>
      </c>
      <c r="I479" s="40" t="str">
        <f>IF($C479="","",IFERROR(VLOOKUP($C479,Orders!$A$4:$J$998,6,FALSE),""))</f>
        <v/>
      </c>
      <c r="J479" s="40" t="str">
        <f>IF($C479="","",IFERROR(VLOOKUP($C479,Orders!$A$4:$J$998,7,FALSE),""))</f>
        <v/>
      </c>
      <c r="K479" s="40" t="str">
        <f>IF(Bids!$C478="","",Bids!$C478)</f>
        <v/>
      </c>
      <c r="L479" s="40" t="str">
        <f>IF($K479="","",IFERROR(VLOOKUP($K479,Grinders!$A$4:$N$998,2,FALSE),""))</f>
        <v/>
      </c>
      <c r="M479" s="40" t="str">
        <f>IF($K479="","",IFERROR(VLOOKUP($K479,Grinders!$A$4:$N$998,3,FALSE),""))</f>
        <v/>
      </c>
      <c r="N479" s="40" t="str">
        <f>IF($K479="","",IFERROR(VLOOKUP($K479,Grinders!$A$4:$N$998,4,FALSE),""))</f>
        <v/>
      </c>
      <c r="O479" s="40" t="str">
        <f>IF($K479="","",IFERROR(VLOOKUP($K479,Grinders!$A$4:$N$998,5,FALSE),""))</f>
        <v/>
      </c>
      <c r="P479" s="40" t="str">
        <f>IF($K479="","",IF($C$4="",0,COUNTIFS(Assignments!$B$6:$B$1000,$K479,Assignments!$F$6:$F$1000,$C$4,Assignments!$E$6:$E$1000,"Active")))</f>
        <v/>
      </c>
      <c r="Q479" s="40" t="str">
        <f t="shared" si="3"/>
        <v/>
      </c>
      <c r="R479" s="40" t="str">
        <f t="shared" si="4"/>
        <v/>
      </c>
      <c r="S479" s="40" t="str">
        <f>IF($K479="","",IF($C$4="",0,COUNTIFS(Assignments!$B$6:$B$1000,$K479,Assignments!$F$6:$F$1000,$C$4,Assignments!$D$6:$D$1000,"&gt;="&amp;Config!$B$3-7,Assignments!$D$6:$D$1000,"&lt;="&amp;Config!$B$3)))</f>
        <v/>
      </c>
      <c r="T479" s="40" t="str">
        <f>IF($K479="","",IFERROR(VLOOKUP($K479,Grinders!$A$4:$N$998,8,FALSE),""))</f>
        <v/>
      </c>
      <c r="U479" s="40" t="str">
        <f>IFERROR(IF($K479="","",IF($M479="Elite",MAX(50,MIN(100,Config!$B$27*MAX(0,MIN(100,(1-IF($R479="",0,$R479))*100)) + Config!$B$28*MAX(0,MIN(100,(1-MIN(1,IF(Config!$B$30=0,1,$S479/Config!$B$30)))*100)) + Config!$B$29*MAX(0,MIN(100,MIN(1,IF($T479="",0,$T479)/Config!$B$23)*100)))),MIN(100,Config!$B$27*MAX(0,MIN(100,(1-IF($R479="",0,$R479))*100)) + Config!$B$28*MAX(0,MIN(100,(1-MIN(1,IF(Config!$B$30=0,1,$S479/Config!$B$30)))*100)) + Config!$B$29*MAX(0,MIN(100,MIN(1,IF($T479="",0,$T479)/Config!$B$23)*100))))),"")
</f>
        <v/>
      </c>
      <c r="V479" s="40" t="str">
        <f>IF(Bids!$AC479="","",Bids!$AC479)</f>
        <v/>
      </c>
      <c r="W479" s="40" t="str">
        <f>IF(Bids!$F478="","",Bids!$F478)</f>
        <v/>
      </c>
      <c r="X479" s="40" t="str">
        <f t="shared" si="5"/>
        <v/>
      </c>
      <c r="Y479" s="40" t="str">
        <f>IF($X479="","",IF(Config!$B$17=Config!$B$16,IF($X479&gt;=Config!$B$17,100,0),MAX(0,MIN(100,($X479-Config!$B$16)/(Config!$B$17-Config!$B$16)*100))))</f>
        <v/>
      </c>
      <c r="Z479" s="40">
        <f>IF($M479="Elite",Config!$B$21,0)</f>
        <v>0</v>
      </c>
      <c r="AA479" s="40" t="str">
        <f>IFERROR(IF(OR($W479="",$H479=""),"",IF($W479&gt;$H479,
  MAX(0, 60-(($W479-$H479)*24/Config!$B$19)*60),
  MIN(100, 60+(($H479-$W479)*24/Config!$B$20)*40)
)),"")
</f>
        <v/>
      </c>
      <c r="AB479" s="40" t="str">
        <f>IF($K479="","",IFERROR(VLOOKUP($K479,Grinders!$A$4:$N$998,10,FALSE)/5*100,""))</f>
        <v/>
      </c>
      <c r="AC479" s="40" t="str">
        <f>IF($K479="","",IFERROR(VLOOKUP($K479,Grinders!$A$4:$N$998,11,FALSE)*100,""))</f>
        <v/>
      </c>
      <c r="AD479" s="40" t="str">
        <f>IF($K479="","",IFERROR(VLOOKUP($K479,Grinders!$A$4:$N$998,12,FALSE)*100,""))</f>
        <v/>
      </c>
      <c r="AE479" s="40" t="str">
        <f>IF(OR(AO479=1,AP479=1),0,=IFERROR(IFS(
    OR($C479="", $K479=""), 0,
    $F479=0, 0,
    $D479&lt;&gt;"Open", 0,
    COUNTIFS(GrinderServices!$A$6:$A$1000, $K479, GrinderServices!$B$6:$B$1000, $E479, GrinderServices!$D$6:$D$1000, "Y")=0, 0,
    $X479&lt;Config!$B$16, 0,
    Config!$B$18=1, IF($O479&gt;=N479, 0, 1),
    TRUE, 1
), "")
)</f>
        <v>#ERROR!</v>
      </c>
      <c r="AF479" s="40" t="str">
        <f>IFERROR((IF(OR(AO479=1,AP479=1),"",=IFERROR((IFERROR(IF($AE479=0,"",((Config!$B$6*$Y479 + Config!$B$7*$U479 + Config!$B$8*$Z479 + Config!$B$9*$AA479 + Config!$B$10*$AB479 + Config!$B$11*$AC479 - Config!$B$12*$AD479)/Config!$B$13)+$AK479+$AL479),""))*(1-IFERROR(VLOOKUP(K479,Grinders!$A:$AB, 28, FALSE),0)),"")))*(1+AR479),"")</f>
        <v>#ERROR!</v>
      </c>
      <c r="AG479" s="40" t="str">
        <f t="shared" si="6"/>
        <v>#ERROR!</v>
      </c>
      <c r="AH479" s="40" t="str">
        <f t="shared" si="7"/>
        <v/>
      </c>
      <c r="AI479" s="40" t="str">
        <f t="shared" si="8"/>
        <v/>
      </c>
      <c r="AJ479" s="40" t="str">
        <f>IF($K479="","",COUNTIF(Assignments!$B$6:$B$1000,$K479))</f>
        <v/>
      </c>
      <c r="AK479" s="40" t="str">
        <f>IF($K479="","",IF(AND($AJ479=0,$O479&lt;$N479),Config!$B$43,0))</f>
        <v/>
      </c>
      <c r="AL479" s="40" t="str">
        <f>IF($K479="","",IF(AND($M479="Elite",$G479&gt;=Config!$B$41,$O479&lt;$N479),Config!$B$42,0))</f>
        <v/>
      </c>
      <c r="AM479" s="22"/>
      <c r="AN479" s="39">
        <f>IFERROR(VLOOKUP(K479,Grinders!$A:$Q,28,FALSE),0)</f>
        <v>0</v>
      </c>
      <c r="AO479" s="39">
        <f>IF(Config!$B$1003&lt;&gt;"Y",0,IF(IFERROR(VLOOKUP(K479,Grinders!$A:$P,27,FALSE),0)&gt;=3,IF(OR(G479&gt;=Config!$B$1001,ISNUMBER(SEARCH(E479,Config!$B$1002))),1,0),0))</f>
        <v>0</v>
      </c>
      <c r="AP479" s="39">
        <f t="array" ref="AP479">IFERROR(IF(INDEX(Bids!$AE:$AE,MATCH(B479,Bids!$A:$A,0))="Pending",1,0),0)</f>
        <v>0</v>
      </c>
      <c r="AQ479" s="39" t="str">
        <f t="array" ref="AQ479">IF(C479="","",IFERROR(XLOOKUP(C479,Assignments!$C:$C,Assignments!$AU:$AU,0),0))</f>
        <v/>
      </c>
      <c r="AR479" s="39">
        <f>IF(AND(Config!$B$1006="Y",AQ479=1),Config!$B$1007,0)</f>
        <v>0</v>
      </c>
    </row>
    <row r="480" ht="15.75" customHeight="1">
      <c r="A480" s="46" t="str">
        <f t="shared" si="1"/>
        <v/>
      </c>
      <c r="B480" s="40" t="str">
        <f>IF(Bids!$A479="","",Bids!$A479)</f>
        <v/>
      </c>
      <c r="C480" s="40" t="str">
        <f>IF(Bids!$B479="","",Bids!$B479)</f>
        <v/>
      </c>
      <c r="D480" s="40" t="str">
        <f>IF($C480="","",IFERROR(VLOOKUP($C480,Orders!$A$4:$J$998,9,FALSE),""))</f>
        <v/>
      </c>
      <c r="E480" s="40" t="str">
        <f>IF($C480="","",IFERROR(VLOOKUP($C480,Orders!$A$4:$J$998,3,FALSE),""))</f>
        <v/>
      </c>
      <c r="F480" s="40">
        <f t="shared" si="2"/>
        <v>1</v>
      </c>
      <c r="G480" s="40" t="str">
        <f>IF($C480="","",IFERROR(VLOOKUP($C480,Orders!$A$4:$J$998,4,FALSE),""))</f>
        <v/>
      </c>
      <c r="H480" s="40" t="str">
        <f>IF($C480="","",IFERROR(VLOOKUP($C480,Orders!$A$4:$J$998,5,FALSE),""))</f>
        <v/>
      </c>
      <c r="I480" s="40" t="str">
        <f>IF($C480="","",IFERROR(VLOOKUP($C480,Orders!$A$4:$J$998,6,FALSE),""))</f>
        <v/>
      </c>
      <c r="J480" s="40" t="str">
        <f>IF($C480="","",IFERROR(VLOOKUP($C480,Orders!$A$4:$J$998,7,FALSE),""))</f>
        <v/>
      </c>
      <c r="K480" s="40" t="str">
        <f>IF(Bids!$C479="","",Bids!$C479)</f>
        <v/>
      </c>
      <c r="L480" s="40" t="str">
        <f>IF($K480="","",IFERROR(VLOOKUP($K480,Grinders!$A$4:$N$998,2,FALSE),""))</f>
        <v/>
      </c>
      <c r="M480" s="40" t="str">
        <f>IF($K480="","",IFERROR(VLOOKUP($K480,Grinders!$A$4:$N$998,3,FALSE),""))</f>
        <v/>
      </c>
      <c r="N480" s="40" t="str">
        <f>IF($K480="","",IFERROR(VLOOKUP($K480,Grinders!$A$4:$N$998,4,FALSE),""))</f>
        <v/>
      </c>
      <c r="O480" s="40" t="str">
        <f>IF($K480="","",IFERROR(VLOOKUP($K480,Grinders!$A$4:$N$998,5,FALSE),""))</f>
        <v/>
      </c>
      <c r="P480" s="40" t="str">
        <f>IF($K480="","",IF($C$4="",0,COUNTIFS(Assignments!$B$6:$B$1000,$K480,Assignments!$F$6:$F$1000,$C$4,Assignments!$E$6:$E$1000,"Active")))</f>
        <v/>
      </c>
      <c r="Q480" s="40" t="str">
        <f t="shared" si="3"/>
        <v/>
      </c>
      <c r="R480" s="40" t="str">
        <f t="shared" si="4"/>
        <v/>
      </c>
      <c r="S480" s="40" t="str">
        <f>IF($K480="","",IF($C$4="",0,COUNTIFS(Assignments!$B$6:$B$1000,$K480,Assignments!$F$6:$F$1000,$C$4,Assignments!$D$6:$D$1000,"&gt;="&amp;Config!$B$3-7,Assignments!$D$6:$D$1000,"&lt;="&amp;Config!$B$3)))</f>
        <v/>
      </c>
      <c r="T480" s="40" t="str">
        <f>IF($K480="","",IFERROR(VLOOKUP($K480,Grinders!$A$4:$N$998,8,FALSE),""))</f>
        <v/>
      </c>
      <c r="U480" s="40" t="str">
        <f>IFERROR(IF($K480="","",IF($M480="Elite",MAX(50,MIN(100,Config!$B$27*MAX(0,MIN(100,(1-IF($R480="",0,$R480))*100)) + Config!$B$28*MAX(0,MIN(100,(1-MIN(1,IF(Config!$B$30=0,1,$S480/Config!$B$30)))*100)) + Config!$B$29*MAX(0,MIN(100,MIN(1,IF($T480="",0,$T480)/Config!$B$23)*100)))),MIN(100,Config!$B$27*MAX(0,MIN(100,(1-IF($R480="",0,$R480))*100)) + Config!$B$28*MAX(0,MIN(100,(1-MIN(1,IF(Config!$B$30=0,1,$S480/Config!$B$30)))*100)) + Config!$B$29*MAX(0,MIN(100,MIN(1,IF($T480="",0,$T480)/Config!$B$23)*100))))),"")
</f>
        <v/>
      </c>
      <c r="V480" s="40" t="str">
        <f>IF(Bids!$AC480="","",Bids!$AC480)</f>
        <v/>
      </c>
      <c r="W480" s="40" t="str">
        <f>IF(Bids!$F479="","",Bids!$F479)</f>
        <v/>
      </c>
      <c r="X480" s="40" t="str">
        <f t="shared" si="5"/>
        <v/>
      </c>
      <c r="Y480" s="40" t="str">
        <f>IF($X480="","",IF(Config!$B$17=Config!$B$16,IF($X480&gt;=Config!$B$17,100,0),MAX(0,MIN(100,($X480-Config!$B$16)/(Config!$B$17-Config!$B$16)*100))))</f>
        <v/>
      </c>
      <c r="Z480" s="40">
        <f>IF($M480="Elite",Config!$B$21,0)</f>
        <v>0</v>
      </c>
      <c r="AA480" s="40" t="str">
        <f>IFERROR(IF(OR($W480="",$H480=""),"",IF($W480&gt;$H480,
  MAX(0, 60-(($W480-$H480)*24/Config!$B$19)*60),
  MIN(100, 60+(($H480-$W480)*24/Config!$B$20)*40)
)),"")
</f>
        <v/>
      </c>
      <c r="AB480" s="40" t="str">
        <f>IF($K480="","",IFERROR(VLOOKUP($K480,Grinders!$A$4:$N$998,10,FALSE)/5*100,""))</f>
        <v/>
      </c>
      <c r="AC480" s="40" t="str">
        <f>IF($K480="","",IFERROR(VLOOKUP($K480,Grinders!$A$4:$N$998,11,FALSE)*100,""))</f>
        <v/>
      </c>
      <c r="AD480" s="40" t="str">
        <f>IF($K480="","",IFERROR(VLOOKUP($K480,Grinders!$A$4:$N$998,12,FALSE)*100,""))</f>
        <v/>
      </c>
      <c r="AE480" s="40" t="str">
        <f>IF(OR(AO480=1,AP480=1),0,=IFERROR(IFS(
    OR($C480="", $K480=""), 0,
    $F480=0, 0,
    $D480&lt;&gt;"Open", 0,
    COUNTIFS(GrinderServices!$A$6:$A$1000, $K480, GrinderServices!$B$6:$B$1000, $E480, GrinderServices!$D$6:$D$1000, "Y")=0, 0,
    $X480&lt;Config!$B$16, 0,
    Config!$B$18=1, IF($O480&gt;=N480, 0, 1),
    TRUE, 1
), "")
)</f>
        <v>#ERROR!</v>
      </c>
      <c r="AF480" s="40" t="str">
        <f>IFERROR((IF(OR(AO480=1,AP480=1),"",=IFERROR((IFERROR(IF($AE480=0,"",((Config!$B$6*$Y480 + Config!$B$7*$U480 + Config!$B$8*$Z480 + Config!$B$9*$AA480 + Config!$B$10*$AB480 + Config!$B$11*$AC480 - Config!$B$12*$AD480)/Config!$B$13)+$AK480+$AL480),""))*(1-IFERROR(VLOOKUP(K480,Grinders!$A:$AB, 28, FALSE),0)),"")))*(1+AR480),"")</f>
        <v>#ERROR!</v>
      </c>
      <c r="AG480" s="40" t="str">
        <f t="shared" si="6"/>
        <v>#ERROR!</v>
      </c>
      <c r="AH480" s="40" t="str">
        <f t="shared" si="7"/>
        <v/>
      </c>
      <c r="AI480" s="40" t="str">
        <f t="shared" si="8"/>
        <v/>
      </c>
      <c r="AJ480" s="40" t="str">
        <f>IF($K480="","",COUNTIF(Assignments!$B$6:$B$1000,$K480))</f>
        <v/>
      </c>
      <c r="AK480" s="40" t="str">
        <f>IF($K480="","",IF(AND($AJ480=0,$O480&lt;$N480),Config!$B$43,0))</f>
        <v/>
      </c>
      <c r="AL480" s="40" t="str">
        <f>IF($K480="","",IF(AND($M480="Elite",$G480&gt;=Config!$B$41,$O480&lt;$N480),Config!$B$42,0))</f>
        <v/>
      </c>
      <c r="AM480" s="22"/>
      <c r="AN480" s="39">
        <f>IFERROR(VLOOKUP(K480,Grinders!$A:$Q,28,FALSE),0)</f>
        <v>0</v>
      </c>
      <c r="AO480" s="39">
        <f>IF(Config!$B$1003&lt;&gt;"Y",0,IF(IFERROR(VLOOKUP(K480,Grinders!$A:$P,27,FALSE),0)&gt;=3,IF(OR(G480&gt;=Config!$B$1001,ISNUMBER(SEARCH(E480,Config!$B$1002))),1,0),0))</f>
        <v>0</v>
      </c>
      <c r="AP480" s="39">
        <f t="array" ref="AP480">IFERROR(IF(INDEX(Bids!$AE:$AE,MATCH(B480,Bids!$A:$A,0))="Pending",1,0),0)</f>
        <v>0</v>
      </c>
      <c r="AQ480" s="39" t="str">
        <f t="array" ref="AQ480">IF(C480="","",IFERROR(XLOOKUP(C480,Assignments!$C:$C,Assignments!$AU:$AU,0),0))</f>
        <v/>
      </c>
      <c r="AR480" s="39">
        <f>IF(AND(Config!$B$1006="Y",AQ480=1),Config!$B$1007,0)</f>
        <v>0</v>
      </c>
    </row>
    <row r="481" ht="15.75" customHeight="1">
      <c r="A481" s="46" t="str">
        <f t="shared" si="1"/>
        <v/>
      </c>
      <c r="B481" s="40" t="str">
        <f>IF(Bids!$A480="","",Bids!$A480)</f>
        <v/>
      </c>
      <c r="C481" s="40" t="str">
        <f>IF(Bids!$B480="","",Bids!$B480)</f>
        <v/>
      </c>
      <c r="D481" s="40" t="str">
        <f>IF($C481="","",IFERROR(VLOOKUP($C481,Orders!$A$4:$J$998,9,FALSE),""))</f>
        <v/>
      </c>
      <c r="E481" s="40" t="str">
        <f>IF($C481="","",IFERROR(VLOOKUP($C481,Orders!$A$4:$J$998,3,FALSE),""))</f>
        <v/>
      </c>
      <c r="F481" s="40">
        <f t="shared" si="2"/>
        <v>1</v>
      </c>
      <c r="G481" s="40" t="str">
        <f>IF($C481="","",IFERROR(VLOOKUP($C481,Orders!$A$4:$J$998,4,FALSE),""))</f>
        <v/>
      </c>
      <c r="H481" s="40" t="str">
        <f>IF($C481="","",IFERROR(VLOOKUP($C481,Orders!$A$4:$J$998,5,FALSE),""))</f>
        <v/>
      </c>
      <c r="I481" s="40" t="str">
        <f>IF($C481="","",IFERROR(VLOOKUP($C481,Orders!$A$4:$J$998,6,FALSE),""))</f>
        <v/>
      </c>
      <c r="J481" s="40" t="str">
        <f>IF($C481="","",IFERROR(VLOOKUP($C481,Orders!$A$4:$J$998,7,FALSE),""))</f>
        <v/>
      </c>
      <c r="K481" s="40" t="str">
        <f>IF(Bids!$C480="","",Bids!$C480)</f>
        <v/>
      </c>
      <c r="L481" s="40" t="str">
        <f>IF($K481="","",IFERROR(VLOOKUP($K481,Grinders!$A$4:$N$998,2,FALSE),""))</f>
        <v/>
      </c>
      <c r="M481" s="40" t="str">
        <f>IF($K481="","",IFERROR(VLOOKUP($K481,Grinders!$A$4:$N$998,3,FALSE),""))</f>
        <v/>
      </c>
      <c r="N481" s="40" t="str">
        <f>IF($K481="","",IFERROR(VLOOKUP($K481,Grinders!$A$4:$N$998,4,FALSE),""))</f>
        <v/>
      </c>
      <c r="O481" s="40" t="str">
        <f>IF($K481="","",IFERROR(VLOOKUP($K481,Grinders!$A$4:$N$998,5,FALSE),""))</f>
        <v/>
      </c>
      <c r="P481" s="40" t="str">
        <f>IF($K481="","",IF($C$4="",0,COUNTIFS(Assignments!$B$6:$B$1000,$K481,Assignments!$F$6:$F$1000,$C$4,Assignments!$E$6:$E$1000,"Active")))</f>
        <v/>
      </c>
      <c r="Q481" s="40" t="str">
        <f t="shared" si="3"/>
        <v/>
      </c>
      <c r="R481" s="40" t="str">
        <f t="shared" si="4"/>
        <v/>
      </c>
      <c r="S481" s="40" t="str">
        <f>IF($K481="","",IF($C$4="",0,COUNTIFS(Assignments!$B$6:$B$1000,$K481,Assignments!$F$6:$F$1000,$C$4,Assignments!$D$6:$D$1000,"&gt;="&amp;Config!$B$3-7,Assignments!$D$6:$D$1000,"&lt;="&amp;Config!$B$3)))</f>
        <v/>
      </c>
      <c r="T481" s="40" t="str">
        <f>IF($K481="","",IFERROR(VLOOKUP($K481,Grinders!$A$4:$N$998,8,FALSE),""))</f>
        <v/>
      </c>
      <c r="U481" s="40" t="str">
        <f>IFERROR(IF($K481="","",IF($M481="Elite",MAX(50,MIN(100,Config!$B$27*MAX(0,MIN(100,(1-IF($R481="",0,$R481))*100)) + Config!$B$28*MAX(0,MIN(100,(1-MIN(1,IF(Config!$B$30=0,1,$S481/Config!$B$30)))*100)) + Config!$B$29*MAX(0,MIN(100,MIN(1,IF($T481="",0,$T481)/Config!$B$23)*100)))),MIN(100,Config!$B$27*MAX(0,MIN(100,(1-IF($R481="",0,$R481))*100)) + Config!$B$28*MAX(0,MIN(100,(1-MIN(1,IF(Config!$B$30=0,1,$S481/Config!$B$30)))*100)) + Config!$B$29*MAX(0,MIN(100,MIN(1,IF($T481="",0,$T481)/Config!$B$23)*100))))),"")
</f>
        <v/>
      </c>
      <c r="V481" s="40" t="str">
        <f>IF(Bids!$AC481="","",Bids!$AC481)</f>
        <v/>
      </c>
      <c r="W481" s="40" t="str">
        <f>IF(Bids!$F480="","",Bids!$F480)</f>
        <v/>
      </c>
      <c r="X481" s="40" t="str">
        <f t="shared" si="5"/>
        <v/>
      </c>
      <c r="Y481" s="40" t="str">
        <f>IF($X481="","",IF(Config!$B$17=Config!$B$16,IF($X481&gt;=Config!$B$17,100,0),MAX(0,MIN(100,($X481-Config!$B$16)/(Config!$B$17-Config!$B$16)*100))))</f>
        <v/>
      </c>
      <c r="Z481" s="40">
        <f>IF($M481="Elite",Config!$B$21,0)</f>
        <v>0</v>
      </c>
      <c r="AA481" s="40" t="str">
        <f>IFERROR(IF(OR($W481="",$H481=""),"",IF($W481&gt;$H481,
  MAX(0, 60-(($W481-$H481)*24/Config!$B$19)*60),
  MIN(100, 60+(($H481-$W481)*24/Config!$B$20)*40)
)),"")
</f>
        <v/>
      </c>
      <c r="AB481" s="40" t="str">
        <f>IF($K481="","",IFERROR(VLOOKUP($K481,Grinders!$A$4:$N$998,10,FALSE)/5*100,""))</f>
        <v/>
      </c>
      <c r="AC481" s="40" t="str">
        <f>IF($K481="","",IFERROR(VLOOKUP($K481,Grinders!$A$4:$N$998,11,FALSE)*100,""))</f>
        <v/>
      </c>
      <c r="AD481" s="40" t="str">
        <f>IF($K481="","",IFERROR(VLOOKUP($K481,Grinders!$A$4:$N$998,12,FALSE)*100,""))</f>
        <v/>
      </c>
      <c r="AE481" s="40" t="str">
        <f>IF(OR(AO481=1,AP481=1),0,=IFERROR(IFS(
    OR($C481="", $K481=""), 0,
    $F481=0, 0,
    $D481&lt;&gt;"Open", 0,
    COUNTIFS(GrinderServices!$A$6:$A$1000, $K481, GrinderServices!$B$6:$B$1000, $E481, GrinderServices!$D$6:$D$1000, "Y")=0, 0,
    $X481&lt;Config!$B$16, 0,
    Config!$B$18=1, IF($O481&gt;=N481, 0, 1),
    TRUE, 1
), "")
)</f>
        <v>#ERROR!</v>
      </c>
      <c r="AF481" s="40" t="str">
        <f>IFERROR((IF(OR(AO481=1,AP481=1),"",=IFERROR((IFERROR(IF($AE481=0,"",((Config!$B$6*$Y481 + Config!$B$7*$U481 + Config!$B$8*$Z481 + Config!$B$9*$AA481 + Config!$B$10*$AB481 + Config!$B$11*$AC481 - Config!$B$12*$AD481)/Config!$B$13)+$AK481+$AL481),""))*(1-IFERROR(VLOOKUP(K481,Grinders!$A:$AB, 28, FALSE),0)),"")))*(1+AR481),"")</f>
        <v>#ERROR!</v>
      </c>
      <c r="AG481" s="40" t="str">
        <f t="shared" si="6"/>
        <v>#ERROR!</v>
      </c>
      <c r="AH481" s="40" t="str">
        <f t="shared" si="7"/>
        <v/>
      </c>
      <c r="AI481" s="40" t="str">
        <f t="shared" si="8"/>
        <v/>
      </c>
      <c r="AJ481" s="40" t="str">
        <f>IF($K481="","",COUNTIF(Assignments!$B$6:$B$1000,$K481))</f>
        <v/>
      </c>
      <c r="AK481" s="40" t="str">
        <f>IF($K481="","",IF(AND($AJ481=0,$O481&lt;$N481),Config!$B$43,0))</f>
        <v/>
      </c>
      <c r="AL481" s="40" t="str">
        <f>IF($K481="","",IF(AND($M481="Elite",$G481&gt;=Config!$B$41,$O481&lt;$N481),Config!$B$42,0))</f>
        <v/>
      </c>
      <c r="AM481" s="22"/>
      <c r="AN481" s="39">
        <f>IFERROR(VLOOKUP(K481,Grinders!$A:$Q,28,FALSE),0)</f>
        <v>0</v>
      </c>
      <c r="AO481" s="39">
        <f>IF(Config!$B$1003&lt;&gt;"Y",0,IF(IFERROR(VLOOKUP(K481,Grinders!$A:$P,27,FALSE),0)&gt;=3,IF(OR(G481&gt;=Config!$B$1001,ISNUMBER(SEARCH(E481,Config!$B$1002))),1,0),0))</f>
        <v>0</v>
      </c>
      <c r="AP481" s="39">
        <f t="array" ref="AP481">IFERROR(IF(INDEX(Bids!$AE:$AE,MATCH(B481,Bids!$A:$A,0))="Pending",1,0),0)</f>
        <v>0</v>
      </c>
      <c r="AQ481" s="39" t="str">
        <f t="array" ref="AQ481">IF(C481="","",IFERROR(XLOOKUP(C481,Assignments!$C:$C,Assignments!$AU:$AU,0),0))</f>
        <v/>
      </c>
      <c r="AR481" s="39">
        <f>IF(AND(Config!$B$1006="Y",AQ481=1),Config!$B$1007,0)</f>
        <v>0</v>
      </c>
    </row>
    <row r="482" ht="15.75" customHeight="1">
      <c r="A482" s="46" t="str">
        <f t="shared" si="1"/>
        <v/>
      </c>
      <c r="B482" s="40" t="str">
        <f>IF(Bids!$A481="","",Bids!$A481)</f>
        <v/>
      </c>
      <c r="C482" s="40" t="str">
        <f>IF(Bids!$B481="","",Bids!$B481)</f>
        <v/>
      </c>
      <c r="D482" s="40" t="str">
        <f>IF($C482="","",IFERROR(VLOOKUP($C482,Orders!$A$4:$J$998,9,FALSE),""))</f>
        <v/>
      </c>
      <c r="E482" s="40" t="str">
        <f>IF($C482="","",IFERROR(VLOOKUP($C482,Orders!$A$4:$J$998,3,FALSE),""))</f>
        <v/>
      </c>
      <c r="F482" s="40">
        <f t="shared" si="2"/>
        <v>1</v>
      </c>
      <c r="G482" s="40" t="str">
        <f>IF($C482="","",IFERROR(VLOOKUP($C482,Orders!$A$4:$J$998,4,FALSE),""))</f>
        <v/>
      </c>
      <c r="H482" s="40" t="str">
        <f>IF($C482="","",IFERROR(VLOOKUP($C482,Orders!$A$4:$J$998,5,FALSE),""))</f>
        <v/>
      </c>
      <c r="I482" s="40" t="str">
        <f>IF($C482="","",IFERROR(VLOOKUP($C482,Orders!$A$4:$J$998,6,FALSE),""))</f>
        <v/>
      </c>
      <c r="J482" s="40" t="str">
        <f>IF($C482="","",IFERROR(VLOOKUP($C482,Orders!$A$4:$J$998,7,FALSE),""))</f>
        <v/>
      </c>
      <c r="K482" s="40" t="str">
        <f>IF(Bids!$C481="","",Bids!$C481)</f>
        <v/>
      </c>
      <c r="L482" s="40" t="str">
        <f>IF($K482="","",IFERROR(VLOOKUP($K482,Grinders!$A$4:$N$998,2,FALSE),""))</f>
        <v/>
      </c>
      <c r="M482" s="40" t="str">
        <f>IF($K482="","",IFERROR(VLOOKUP($K482,Grinders!$A$4:$N$998,3,FALSE),""))</f>
        <v/>
      </c>
      <c r="N482" s="40" t="str">
        <f>IF($K482="","",IFERROR(VLOOKUP($K482,Grinders!$A$4:$N$998,4,FALSE),""))</f>
        <v/>
      </c>
      <c r="O482" s="40" t="str">
        <f>IF($K482="","",IFERROR(VLOOKUP($K482,Grinders!$A$4:$N$998,5,FALSE),""))</f>
        <v/>
      </c>
      <c r="P482" s="40" t="str">
        <f>IF($K482="","",IF($C$4="",0,COUNTIFS(Assignments!$B$6:$B$1000,$K482,Assignments!$F$6:$F$1000,$C$4,Assignments!$E$6:$E$1000,"Active")))</f>
        <v/>
      </c>
      <c r="Q482" s="40" t="str">
        <f t="shared" si="3"/>
        <v/>
      </c>
      <c r="R482" s="40" t="str">
        <f t="shared" si="4"/>
        <v/>
      </c>
      <c r="S482" s="40" t="str">
        <f>IF($K482="","",IF($C$4="",0,COUNTIFS(Assignments!$B$6:$B$1000,$K482,Assignments!$F$6:$F$1000,$C$4,Assignments!$D$6:$D$1000,"&gt;="&amp;Config!$B$3-7,Assignments!$D$6:$D$1000,"&lt;="&amp;Config!$B$3)))</f>
        <v/>
      </c>
      <c r="T482" s="40" t="str">
        <f>IF($K482="","",IFERROR(VLOOKUP($K482,Grinders!$A$4:$N$998,8,FALSE),""))</f>
        <v/>
      </c>
      <c r="U482" s="40" t="str">
        <f>IFERROR(IF($K482="","",IF($M482="Elite",MAX(50,MIN(100,Config!$B$27*MAX(0,MIN(100,(1-IF($R482="",0,$R482))*100)) + Config!$B$28*MAX(0,MIN(100,(1-MIN(1,IF(Config!$B$30=0,1,$S482/Config!$B$30)))*100)) + Config!$B$29*MAX(0,MIN(100,MIN(1,IF($T482="",0,$T482)/Config!$B$23)*100)))),MIN(100,Config!$B$27*MAX(0,MIN(100,(1-IF($R482="",0,$R482))*100)) + Config!$B$28*MAX(0,MIN(100,(1-MIN(1,IF(Config!$B$30=0,1,$S482/Config!$B$30)))*100)) + Config!$B$29*MAX(0,MIN(100,MIN(1,IF($T482="",0,$T482)/Config!$B$23)*100))))),"")
</f>
        <v/>
      </c>
      <c r="V482" s="40" t="str">
        <f>IF(Bids!$AC482="","",Bids!$AC482)</f>
        <v/>
      </c>
      <c r="W482" s="40" t="str">
        <f>IF(Bids!$F481="","",Bids!$F481)</f>
        <v/>
      </c>
      <c r="X482" s="40" t="str">
        <f t="shared" si="5"/>
        <v/>
      </c>
      <c r="Y482" s="40" t="str">
        <f>IF($X482="","",IF(Config!$B$17=Config!$B$16,IF($X482&gt;=Config!$B$17,100,0),MAX(0,MIN(100,($X482-Config!$B$16)/(Config!$B$17-Config!$B$16)*100))))</f>
        <v/>
      </c>
      <c r="Z482" s="40">
        <f>IF($M482="Elite",Config!$B$21,0)</f>
        <v>0</v>
      </c>
      <c r="AA482" s="40" t="str">
        <f>IFERROR(IF(OR($W482="",$H482=""),"",IF($W482&gt;$H482,
  MAX(0, 60-(($W482-$H482)*24/Config!$B$19)*60),
  MIN(100, 60+(($H482-$W482)*24/Config!$B$20)*40)
)),"")
</f>
        <v/>
      </c>
      <c r="AB482" s="40" t="str">
        <f>IF($K482="","",IFERROR(VLOOKUP($K482,Grinders!$A$4:$N$998,10,FALSE)/5*100,""))</f>
        <v/>
      </c>
      <c r="AC482" s="40" t="str">
        <f>IF($K482="","",IFERROR(VLOOKUP($K482,Grinders!$A$4:$N$998,11,FALSE)*100,""))</f>
        <v/>
      </c>
      <c r="AD482" s="40" t="str">
        <f>IF($K482="","",IFERROR(VLOOKUP($K482,Grinders!$A$4:$N$998,12,FALSE)*100,""))</f>
        <v/>
      </c>
      <c r="AE482" s="40" t="str">
        <f>IF(OR(AO482=1,AP482=1),0,=IFERROR(IFS(
    OR($C482="", $K482=""), 0,
    $F482=0, 0,
    $D482&lt;&gt;"Open", 0,
    COUNTIFS(GrinderServices!$A$6:$A$1000, $K482, GrinderServices!$B$6:$B$1000, $E482, GrinderServices!$D$6:$D$1000, "Y")=0, 0,
    $X482&lt;Config!$B$16, 0,
    Config!$B$18=1, IF($O482&gt;=N482, 0, 1),
    TRUE, 1
), "")
)</f>
        <v>#ERROR!</v>
      </c>
      <c r="AF482" s="40" t="str">
        <f>IFERROR((IF(OR(AO482=1,AP482=1),"",=IFERROR((IFERROR(IF($AE482=0,"",((Config!$B$6*$Y482 + Config!$B$7*$U482 + Config!$B$8*$Z482 + Config!$B$9*$AA482 + Config!$B$10*$AB482 + Config!$B$11*$AC482 - Config!$B$12*$AD482)/Config!$B$13)+$AK482+$AL482),""))*(1-IFERROR(VLOOKUP(K482,Grinders!$A:$AB, 28, FALSE),0)),"")))*(1+AR482),"")</f>
        <v>#ERROR!</v>
      </c>
      <c r="AG482" s="40" t="str">
        <f t="shared" si="6"/>
        <v>#ERROR!</v>
      </c>
      <c r="AH482" s="40" t="str">
        <f t="shared" si="7"/>
        <v/>
      </c>
      <c r="AI482" s="40" t="str">
        <f t="shared" si="8"/>
        <v/>
      </c>
      <c r="AJ482" s="40" t="str">
        <f>IF($K482="","",COUNTIF(Assignments!$B$6:$B$1000,$K482))</f>
        <v/>
      </c>
      <c r="AK482" s="40" t="str">
        <f>IF($K482="","",IF(AND($AJ482=0,$O482&lt;$N482),Config!$B$43,0))</f>
        <v/>
      </c>
      <c r="AL482" s="40" t="str">
        <f>IF($K482="","",IF(AND($M482="Elite",$G482&gt;=Config!$B$41,$O482&lt;$N482),Config!$B$42,0))</f>
        <v/>
      </c>
      <c r="AM482" s="22"/>
      <c r="AN482" s="39">
        <f>IFERROR(VLOOKUP(K482,Grinders!$A:$Q,28,FALSE),0)</f>
        <v>0</v>
      </c>
      <c r="AO482" s="39">
        <f>IF(Config!$B$1003&lt;&gt;"Y",0,IF(IFERROR(VLOOKUP(K482,Grinders!$A:$P,27,FALSE),0)&gt;=3,IF(OR(G482&gt;=Config!$B$1001,ISNUMBER(SEARCH(E482,Config!$B$1002))),1,0),0))</f>
        <v>0</v>
      </c>
      <c r="AP482" s="39">
        <f t="array" ref="AP482">IFERROR(IF(INDEX(Bids!$AE:$AE,MATCH(B482,Bids!$A:$A,0))="Pending",1,0),0)</f>
        <v>0</v>
      </c>
      <c r="AQ482" s="39" t="str">
        <f t="array" ref="AQ482">IF(C482="","",IFERROR(XLOOKUP(C482,Assignments!$C:$C,Assignments!$AU:$AU,0),0))</f>
        <v/>
      </c>
      <c r="AR482" s="39">
        <f>IF(AND(Config!$B$1006="Y",AQ482=1),Config!$B$1007,0)</f>
        <v>0</v>
      </c>
    </row>
    <row r="483" ht="15.75" customHeight="1">
      <c r="A483" s="46" t="str">
        <f t="shared" si="1"/>
        <v/>
      </c>
      <c r="B483" s="40" t="str">
        <f>IF(Bids!$A482="","",Bids!$A482)</f>
        <v/>
      </c>
      <c r="C483" s="40" t="str">
        <f>IF(Bids!$B482="","",Bids!$B482)</f>
        <v/>
      </c>
      <c r="D483" s="40" t="str">
        <f>IF($C483="","",IFERROR(VLOOKUP($C483,Orders!$A$4:$J$998,9,FALSE),""))</f>
        <v/>
      </c>
      <c r="E483" s="40" t="str">
        <f>IF($C483="","",IFERROR(VLOOKUP($C483,Orders!$A$4:$J$998,3,FALSE),""))</f>
        <v/>
      </c>
      <c r="F483" s="40">
        <f t="shared" si="2"/>
        <v>1</v>
      </c>
      <c r="G483" s="40" t="str">
        <f>IF($C483="","",IFERROR(VLOOKUP($C483,Orders!$A$4:$J$998,4,FALSE),""))</f>
        <v/>
      </c>
      <c r="H483" s="40" t="str">
        <f>IF($C483="","",IFERROR(VLOOKUP($C483,Orders!$A$4:$J$998,5,FALSE),""))</f>
        <v/>
      </c>
      <c r="I483" s="40" t="str">
        <f>IF($C483="","",IFERROR(VLOOKUP($C483,Orders!$A$4:$J$998,6,FALSE),""))</f>
        <v/>
      </c>
      <c r="J483" s="40" t="str">
        <f>IF($C483="","",IFERROR(VLOOKUP($C483,Orders!$A$4:$J$998,7,FALSE),""))</f>
        <v/>
      </c>
      <c r="K483" s="40" t="str">
        <f>IF(Bids!$C482="","",Bids!$C482)</f>
        <v/>
      </c>
      <c r="L483" s="40" t="str">
        <f>IF($K483="","",IFERROR(VLOOKUP($K483,Grinders!$A$4:$N$998,2,FALSE),""))</f>
        <v/>
      </c>
      <c r="M483" s="40" t="str">
        <f>IF($K483="","",IFERROR(VLOOKUP($K483,Grinders!$A$4:$N$998,3,FALSE),""))</f>
        <v/>
      </c>
      <c r="N483" s="40" t="str">
        <f>IF($K483="","",IFERROR(VLOOKUP($K483,Grinders!$A$4:$N$998,4,FALSE),""))</f>
        <v/>
      </c>
      <c r="O483" s="40" t="str">
        <f>IF($K483="","",IFERROR(VLOOKUP($K483,Grinders!$A$4:$N$998,5,FALSE),""))</f>
        <v/>
      </c>
      <c r="P483" s="40" t="str">
        <f>IF($K483="","",IF($C$4="",0,COUNTIFS(Assignments!$B$6:$B$1000,$K483,Assignments!$F$6:$F$1000,$C$4,Assignments!$E$6:$E$1000,"Active")))</f>
        <v/>
      </c>
      <c r="Q483" s="40" t="str">
        <f t="shared" si="3"/>
        <v/>
      </c>
      <c r="R483" s="40" t="str">
        <f t="shared" si="4"/>
        <v/>
      </c>
      <c r="S483" s="40" t="str">
        <f>IF($K483="","",IF($C$4="",0,COUNTIFS(Assignments!$B$6:$B$1000,$K483,Assignments!$F$6:$F$1000,$C$4,Assignments!$D$6:$D$1000,"&gt;="&amp;Config!$B$3-7,Assignments!$D$6:$D$1000,"&lt;="&amp;Config!$B$3)))</f>
        <v/>
      </c>
      <c r="T483" s="40" t="str">
        <f>IF($K483="","",IFERROR(VLOOKUP($K483,Grinders!$A$4:$N$998,8,FALSE),""))</f>
        <v/>
      </c>
      <c r="U483" s="40" t="str">
        <f>IFERROR(IF($K483="","",IF($M483="Elite",MAX(50,MIN(100,Config!$B$27*MAX(0,MIN(100,(1-IF($R483="",0,$R483))*100)) + Config!$B$28*MAX(0,MIN(100,(1-MIN(1,IF(Config!$B$30=0,1,$S483/Config!$B$30)))*100)) + Config!$B$29*MAX(0,MIN(100,MIN(1,IF($T483="",0,$T483)/Config!$B$23)*100)))),MIN(100,Config!$B$27*MAX(0,MIN(100,(1-IF($R483="",0,$R483))*100)) + Config!$B$28*MAX(0,MIN(100,(1-MIN(1,IF(Config!$B$30=0,1,$S483/Config!$B$30)))*100)) + Config!$B$29*MAX(0,MIN(100,MIN(1,IF($T483="",0,$T483)/Config!$B$23)*100))))),"")
</f>
        <v/>
      </c>
      <c r="V483" s="40" t="str">
        <f>IF(Bids!$AC483="","",Bids!$AC483)</f>
        <v/>
      </c>
      <c r="W483" s="40" t="str">
        <f>IF(Bids!$F482="","",Bids!$F482)</f>
        <v/>
      </c>
      <c r="X483" s="40" t="str">
        <f t="shared" si="5"/>
        <v/>
      </c>
      <c r="Y483" s="40" t="str">
        <f>IF($X483="","",IF(Config!$B$17=Config!$B$16,IF($X483&gt;=Config!$B$17,100,0),MAX(0,MIN(100,($X483-Config!$B$16)/(Config!$B$17-Config!$B$16)*100))))</f>
        <v/>
      </c>
      <c r="Z483" s="40">
        <f>IF($M483="Elite",Config!$B$21,0)</f>
        <v>0</v>
      </c>
      <c r="AA483" s="40" t="str">
        <f>IFERROR(IF(OR($W483="",$H483=""),"",IF($W483&gt;$H483,
  MAX(0, 60-(($W483-$H483)*24/Config!$B$19)*60),
  MIN(100, 60+(($H483-$W483)*24/Config!$B$20)*40)
)),"")
</f>
        <v/>
      </c>
      <c r="AB483" s="40" t="str">
        <f>IF($K483="","",IFERROR(VLOOKUP($K483,Grinders!$A$4:$N$998,10,FALSE)/5*100,""))</f>
        <v/>
      </c>
      <c r="AC483" s="40" t="str">
        <f>IF($K483="","",IFERROR(VLOOKUP($K483,Grinders!$A$4:$N$998,11,FALSE)*100,""))</f>
        <v/>
      </c>
      <c r="AD483" s="40" t="str">
        <f>IF($K483="","",IFERROR(VLOOKUP($K483,Grinders!$A$4:$N$998,12,FALSE)*100,""))</f>
        <v/>
      </c>
      <c r="AE483" s="40" t="str">
        <f>IF(OR(AO483=1,AP483=1),0,=IFERROR(IFS(
    OR($C483="", $K483=""), 0,
    $F483=0, 0,
    $D483&lt;&gt;"Open", 0,
    COUNTIFS(GrinderServices!$A$6:$A$1000, $K483, GrinderServices!$B$6:$B$1000, $E483, GrinderServices!$D$6:$D$1000, "Y")=0, 0,
    $X483&lt;Config!$B$16, 0,
    Config!$B$18=1, IF($O483&gt;=N483, 0, 1),
    TRUE, 1
), "")
)</f>
        <v>#ERROR!</v>
      </c>
      <c r="AF483" s="40" t="str">
        <f>IFERROR((IF(OR(AO483=1,AP483=1),"",=IFERROR((IFERROR(IF($AE483=0,"",((Config!$B$6*$Y483 + Config!$B$7*$U483 + Config!$B$8*$Z483 + Config!$B$9*$AA483 + Config!$B$10*$AB483 + Config!$B$11*$AC483 - Config!$B$12*$AD483)/Config!$B$13)+$AK483+$AL483),""))*(1-IFERROR(VLOOKUP(K483,Grinders!$A:$AB, 28, FALSE),0)),"")))*(1+AR483),"")</f>
        <v>#ERROR!</v>
      </c>
      <c r="AG483" s="40" t="str">
        <f t="shared" si="6"/>
        <v>#ERROR!</v>
      </c>
      <c r="AH483" s="40" t="str">
        <f t="shared" si="7"/>
        <v/>
      </c>
      <c r="AI483" s="40" t="str">
        <f t="shared" si="8"/>
        <v/>
      </c>
      <c r="AJ483" s="40" t="str">
        <f>IF($K483="","",COUNTIF(Assignments!$B$6:$B$1000,$K483))</f>
        <v/>
      </c>
      <c r="AK483" s="40" t="str">
        <f>IF($K483="","",IF(AND($AJ483=0,$O483&lt;$N483),Config!$B$43,0))</f>
        <v/>
      </c>
      <c r="AL483" s="40" t="str">
        <f>IF($K483="","",IF(AND($M483="Elite",$G483&gt;=Config!$B$41,$O483&lt;$N483),Config!$B$42,0))</f>
        <v/>
      </c>
      <c r="AM483" s="22"/>
      <c r="AN483" s="39">
        <f>IFERROR(VLOOKUP(K483,Grinders!$A:$Q,28,FALSE),0)</f>
        <v>0</v>
      </c>
      <c r="AO483" s="39">
        <f>IF(Config!$B$1003&lt;&gt;"Y",0,IF(IFERROR(VLOOKUP(K483,Grinders!$A:$P,27,FALSE),0)&gt;=3,IF(OR(G483&gt;=Config!$B$1001,ISNUMBER(SEARCH(E483,Config!$B$1002))),1,0),0))</f>
        <v>0</v>
      </c>
      <c r="AP483" s="39">
        <f t="array" ref="AP483">IFERROR(IF(INDEX(Bids!$AE:$AE,MATCH(B483,Bids!$A:$A,0))="Pending",1,0),0)</f>
        <v>0</v>
      </c>
      <c r="AQ483" s="39" t="str">
        <f t="array" ref="AQ483">IF(C483="","",IFERROR(XLOOKUP(C483,Assignments!$C:$C,Assignments!$AU:$AU,0),0))</f>
        <v/>
      </c>
      <c r="AR483" s="39">
        <f>IF(AND(Config!$B$1006="Y",AQ483=1),Config!$B$1007,0)</f>
        <v>0</v>
      </c>
    </row>
    <row r="484" ht="15.75" customHeight="1">
      <c r="A484" s="46" t="str">
        <f t="shared" si="1"/>
        <v/>
      </c>
      <c r="B484" s="40" t="str">
        <f>IF(Bids!$A483="","",Bids!$A483)</f>
        <v/>
      </c>
      <c r="C484" s="40" t="str">
        <f>IF(Bids!$B483="","",Bids!$B483)</f>
        <v/>
      </c>
      <c r="D484" s="40" t="str">
        <f>IF($C484="","",IFERROR(VLOOKUP($C484,Orders!$A$4:$J$998,9,FALSE),""))</f>
        <v/>
      </c>
      <c r="E484" s="40" t="str">
        <f>IF($C484="","",IFERROR(VLOOKUP($C484,Orders!$A$4:$J$998,3,FALSE),""))</f>
        <v/>
      </c>
      <c r="F484" s="40">
        <f t="shared" si="2"/>
        <v>1</v>
      </c>
      <c r="G484" s="40" t="str">
        <f>IF($C484="","",IFERROR(VLOOKUP($C484,Orders!$A$4:$J$998,4,FALSE),""))</f>
        <v/>
      </c>
      <c r="H484" s="40" t="str">
        <f>IF($C484="","",IFERROR(VLOOKUP($C484,Orders!$A$4:$J$998,5,FALSE),""))</f>
        <v/>
      </c>
      <c r="I484" s="40" t="str">
        <f>IF($C484="","",IFERROR(VLOOKUP($C484,Orders!$A$4:$J$998,6,FALSE),""))</f>
        <v/>
      </c>
      <c r="J484" s="40" t="str">
        <f>IF($C484="","",IFERROR(VLOOKUP($C484,Orders!$A$4:$J$998,7,FALSE),""))</f>
        <v/>
      </c>
      <c r="K484" s="40" t="str">
        <f>IF(Bids!$C483="","",Bids!$C483)</f>
        <v/>
      </c>
      <c r="L484" s="40" t="str">
        <f>IF($K484="","",IFERROR(VLOOKUP($K484,Grinders!$A$4:$N$998,2,FALSE),""))</f>
        <v/>
      </c>
      <c r="M484" s="40" t="str">
        <f>IF($K484="","",IFERROR(VLOOKUP($K484,Grinders!$A$4:$N$998,3,FALSE),""))</f>
        <v/>
      </c>
      <c r="N484" s="40" t="str">
        <f>IF($K484="","",IFERROR(VLOOKUP($K484,Grinders!$A$4:$N$998,4,FALSE),""))</f>
        <v/>
      </c>
      <c r="O484" s="40" t="str">
        <f>IF($K484="","",IFERROR(VLOOKUP($K484,Grinders!$A$4:$N$998,5,FALSE),""))</f>
        <v/>
      </c>
      <c r="P484" s="40" t="str">
        <f>IF($K484="","",IF($C$4="",0,COUNTIFS(Assignments!$B$6:$B$1000,$K484,Assignments!$F$6:$F$1000,$C$4,Assignments!$E$6:$E$1000,"Active")))</f>
        <v/>
      </c>
      <c r="Q484" s="40" t="str">
        <f t="shared" si="3"/>
        <v/>
      </c>
      <c r="R484" s="40" t="str">
        <f t="shared" si="4"/>
        <v/>
      </c>
      <c r="S484" s="40" t="str">
        <f>IF($K484="","",IF($C$4="",0,COUNTIFS(Assignments!$B$6:$B$1000,$K484,Assignments!$F$6:$F$1000,$C$4,Assignments!$D$6:$D$1000,"&gt;="&amp;Config!$B$3-7,Assignments!$D$6:$D$1000,"&lt;="&amp;Config!$B$3)))</f>
        <v/>
      </c>
      <c r="T484" s="40" t="str">
        <f>IF($K484="","",IFERROR(VLOOKUP($K484,Grinders!$A$4:$N$998,8,FALSE),""))</f>
        <v/>
      </c>
      <c r="U484" s="40" t="str">
        <f>IFERROR(IF($K484="","",IF($M484="Elite",MAX(50,MIN(100,Config!$B$27*MAX(0,MIN(100,(1-IF($R484="",0,$R484))*100)) + Config!$B$28*MAX(0,MIN(100,(1-MIN(1,IF(Config!$B$30=0,1,$S484/Config!$B$30)))*100)) + Config!$B$29*MAX(0,MIN(100,MIN(1,IF($T484="",0,$T484)/Config!$B$23)*100)))),MIN(100,Config!$B$27*MAX(0,MIN(100,(1-IF($R484="",0,$R484))*100)) + Config!$B$28*MAX(0,MIN(100,(1-MIN(1,IF(Config!$B$30=0,1,$S484/Config!$B$30)))*100)) + Config!$B$29*MAX(0,MIN(100,MIN(1,IF($T484="",0,$T484)/Config!$B$23)*100))))),"")
</f>
        <v/>
      </c>
      <c r="V484" s="40" t="str">
        <f>IF(Bids!$AC484="","",Bids!$AC484)</f>
        <v/>
      </c>
      <c r="W484" s="40" t="str">
        <f>IF(Bids!$F483="","",Bids!$F483)</f>
        <v/>
      </c>
      <c r="X484" s="40" t="str">
        <f t="shared" si="5"/>
        <v/>
      </c>
      <c r="Y484" s="40" t="str">
        <f>IF($X484="","",IF(Config!$B$17=Config!$B$16,IF($X484&gt;=Config!$B$17,100,0),MAX(0,MIN(100,($X484-Config!$B$16)/(Config!$B$17-Config!$B$16)*100))))</f>
        <v/>
      </c>
      <c r="Z484" s="40">
        <f>IF($M484="Elite",Config!$B$21,0)</f>
        <v>0</v>
      </c>
      <c r="AA484" s="40" t="str">
        <f>IFERROR(IF(OR($W484="",$H484=""),"",IF($W484&gt;$H484,
  MAX(0, 60-(($W484-$H484)*24/Config!$B$19)*60),
  MIN(100, 60+(($H484-$W484)*24/Config!$B$20)*40)
)),"")
</f>
        <v/>
      </c>
      <c r="AB484" s="40" t="str">
        <f>IF($K484="","",IFERROR(VLOOKUP($K484,Grinders!$A$4:$N$998,10,FALSE)/5*100,""))</f>
        <v/>
      </c>
      <c r="AC484" s="40" t="str">
        <f>IF($K484="","",IFERROR(VLOOKUP($K484,Grinders!$A$4:$N$998,11,FALSE)*100,""))</f>
        <v/>
      </c>
      <c r="AD484" s="40" t="str">
        <f>IF($K484="","",IFERROR(VLOOKUP($K484,Grinders!$A$4:$N$998,12,FALSE)*100,""))</f>
        <v/>
      </c>
      <c r="AE484" s="40" t="str">
        <f>IF(OR(AO484=1,AP484=1),0,=IFERROR(IFS(
    OR($C484="", $K484=""), 0,
    $F484=0, 0,
    $D484&lt;&gt;"Open", 0,
    COUNTIFS(GrinderServices!$A$6:$A$1000, $K484, GrinderServices!$B$6:$B$1000, $E484, GrinderServices!$D$6:$D$1000, "Y")=0, 0,
    $X484&lt;Config!$B$16, 0,
    Config!$B$18=1, IF($O484&gt;=N484, 0, 1),
    TRUE, 1
), "")
)</f>
        <v>#ERROR!</v>
      </c>
      <c r="AF484" s="40" t="str">
        <f>IFERROR((IF(OR(AO484=1,AP484=1),"",=IFERROR((IFERROR(IF($AE484=0,"",((Config!$B$6*$Y484 + Config!$B$7*$U484 + Config!$B$8*$Z484 + Config!$B$9*$AA484 + Config!$B$10*$AB484 + Config!$B$11*$AC484 - Config!$B$12*$AD484)/Config!$B$13)+$AK484+$AL484),""))*(1-IFERROR(VLOOKUP(K484,Grinders!$A:$AB, 28, FALSE),0)),"")))*(1+AR484),"")</f>
        <v>#ERROR!</v>
      </c>
      <c r="AG484" s="40" t="str">
        <f t="shared" si="6"/>
        <v>#ERROR!</v>
      </c>
      <c r="AH484" s="40" t="str">
        <f t="shared" si="7"/>
        <v/>
      </c>
      <c r="AI484" s="40" t="str">
        <f t="shared" si="8"/>
        <v/>
      </c>
      <c r="AJ484" s="40" t="str">
        <f>IF($K484="","",COUNTIF(Assignments!$B$6:$B$1000,$K484))</f>
        <v/>
      </c>
      <c r="AK484" s="40" t="str">
        <f>IF($K484="","",IF(AND($AJ484=0,$O484&lt;$N484),Config!$B$43,0))</f>
        <v/>
      </c>
      <c r="AL484" s="40" t="str">
        <f>IF($K484="","",IF(AND($M484="Elite",$G484&gt;=Config!$B$41,$O484&lt;$N484),Config!$B$42,0))</f>
        <v/>
      </c>
      <c r="AM484" s="22"/>
      <c r="AN484" s="39">
        <f>IFERROR(VLOOKUP(K484,Grinders!$A:$Q,28,FALSE),0)</f>
        <v>0</v>
      </c>
      <c r="AO484" s="39">
        <f>IF(Config!$B$1003&lt;&gt;"Y",0,IF(IFERROR(VLOOKUP(K484,Grinders!$A:$P,27,FALSE),0)&gt;=3,IF(OR(G484&gt;=Config!$B$1001,ISNUMBER(SEARCH(E484,Config!$B$1002))),1,0),0))</f>
        <v>0</v>
      </c>
      <c r="AP484" s="39">
        <f t="array" ref="AP484">IFERROR(IF(INDEX(Bids!$AE:$AE,MATCH(B484,Bids!$A:$A,0))="Pending",1,0),0)</f>
        <v>0</v>
      </c>
      <c r="AQ484" s="39" t="str">
        <f t="array" ref="AQ484">IF(C484="","",IFERROR(XLOOKUP(C484,Assignments!$C:$C,Assignments!$AU:$AU,0),0))</f>
        <v/>
      </c>
      <c r="AR484" s="39">
        <f>IF(AND(Config!$B$1006="Y",AQ484=1),Config!$B$1007,0)</f>
        <v>0</v>
      </c>
    </row>
    <row r="485" ht="15.75" customHeight="1">
      <c r="A485" s="46" t="str">
        <f t="shared" si="1"/>
        <v/>
      </c>
      <c r="B485" s="40" t="str">
        <f>IF(Bids!$A484="","",Bids!$A484)</f>
        <v/>
      </c>
      <c r="C485" s="40" t="str">
        <f>IF(Bids!$B484="","",Bids!$B484)</f>
        <v/>
      </c>
      <c r="D485" s="40" t="str">
        <f>IF($C485="","",IFERROR(VLOOKUP($C485,Orders!$A$4:$J$998,9,FALSE),""))</f>
        <v/>
      </c>
      <c r="E485" s="40" t="str">
        <f>IF($C485="","",IFERROR(VLOOKUP($C485,Orders!$A$4:$J$998,3,FALSE),""))</f>
        <v/>
      </c>
      <c r="F485" s="40">
        <f t="shared" si="2"/>
        <v>1</v>
      </c>
      <c r="G485" s="40" t="str">
        <f>IF($C485="","",IFERROR(VLOOKUP($C485,Orders!$A$4:$J$998,4,FALSE),""))</f>
        <v/>
      </c>
      <c r="H485" s="40" t="str">
        <f>IF($C485="","",IFERROR(VLOOKUP($C485,Orders!$A$4:$J$998,5,FALSE),""))</f>
        <v/>
      </c>
      <c r="I485" s="40" t="str">
        <f>IF($C485="","",IFERROR(VLOOKUP($C485,Orders!$A$4:$J$998,6,FALSE),""))</f>
        <v/>
      </c>
      <c r="J485" s="40" t="str">
        <f>IF($C485="","",IFERROR(VLOOKUP($C485,Orders!$A$4:$J$998,7,FALSE),""))</f>
        <v/>
      </c>
      <c r="K485" s="40" t="str">
        <f>IF(Bids!$C484="","",Bids!$C484)</f>
        <v/>
      </c>
      <c r="L485" s="40" t="str">
        <f>IF($K485="","",IFERROR(VLOOKUP($K485,Grinders!$A$4:$N$998,2,FALSE),""))</f>
        <v/>
      </c>
      <c r="M485" s="40" t="str">
        <f>IF($K485="","",IFERROR(VLOOKUP($K485,Grinders!$A$4:$N$998,3,FALSE),""))</f>
        <v/>
      </c>
      <c r="N485" s="40" t="str">
        <f>IF($K485="","",IFERROR(VLOOKUP($K485,Grinders!$A$4:$N$998,4,FALSE),""))</f>
        <v/>
      </c>
      <c r="O485" s="40" t="str">
        <f>IF($K485="","",IFERROR(VLOOKUP($K485,Grinders!$A$4:$N$998,5,FALSE),""))</f>
        <v/>
      </c>
      <c r="P485" s="40" t="str">
        <f>IF($K485="","",IF($C$4="",0,COUNTIFS(Assignments!$B$6:$B$1000,$K485,Assignments!$F$6:$F$1000,$C$4,Assignments!$E$6:$E$1000,"Active")))</f>
        <v/>
      </c>
      <c r="Q485" s="40" t="str">
        <f t="shared" si="3"/>
        <v/>
      </c>
      <c r="R485" s="40" t="str">
        <f t="shared" si="4"/>
        <v/>
      </c>
      <c r="S485" s="40" t="str">
        <f>IF($K485="","",IF($C$4="",0,COUNTIFS(Assignments!$B$6:$B$1000,$K485,Assignments!$F$6:$F$1000,$C$4,Assignments!$D$6:$D$1000,"&gt;="&amp;Config!$B$3-7,Assignments!$D$6:$D$1000,"&lt;="&amp;Config!$B$3)))</f>
        <v/>
      </c>
      <c r="T485" s="40" t="str">
        <f>IF($K485="","",IFERROR(VLOOKUP($K485,Grinders!$A$4:$N$998,8,FALSE),""))</f>
        <v/>
      </c>
      <c r="U485" s="40" t="str">
        <f>IFERROR(IF($K485="","",IF($M485="Elite",MAX(50,MIN(100,Config!$B$27*MAX(0,MIN(100,(1-IF($R485="",0,$R485))*100)) + Config!$B$28*MAX(0,MIN(100,(1-MIN(1,IF(Config!$B$30=0,1,$S485/Config!$B$30)))*100)) + Config!$B$29*MAX(0,MIN(100,MIN(1,IF($T485="",0,$T485)/Config!$B$23)*100)))),MIN(100,Config!$B$27*MAX(0,MIN(100,(1-IF($R485="",0,$R485))*100)) + Config!$B$28*MAX(0,MIN(100,(1-MIN(1,IF(Config!$B$30=0,1,$S485/Config!$B$30)))*100)) + Config!$B$29*MAX(0,MIN(100,MIN(1,IF($T485="",0,$T485)/Config!$B$23)*100))))),"")
</f>
        <v/>
      </c>
      <c r="V485" s="40" t="str">
        <f>IF(Bids!$AC485="","",Bids!$AC485)</f>
        <v/>
      </c>
      <c r="W485" s="40" t="str">
        <f>IF(Bids!$F484="","",Bids!$F484)</f>
        <v/>
      </c>
      <c r="X485" s="40" t="str">
        <f t="shared" si="5"/>
        <v/>
      </c>
      <c r="Y485" s="40" t="str">
        <f>IF($X485="","",IF(Config!$B$17=Config!$B$16,IF($X485&gt;=Config!$B$17,100,0),MAX(0,MIN(100,($X485-Config!$B$16)/(Config!$B$17-Config!$B$16)*100))))</f>
        <v/>
      </c>
      <c r="Z485" s="40">
        <f>IF($M485="Elite",Config!$B$21,0)</f>
        <v>0</v>
      </c>
      <c r="AA485" s="40" t="str">
        <f>IFERROR(IF(OR($W485="",$H485=""),"",IF($W485&gt;$H485,
  MAX(0, 60-(($W485-$H485)*24/Config!$B$19)*60),
  MIN(100, 60+(($H485-$W485)*24/Config!$B$20)*40)
)),"")
</f>
        <v/>
      </c>
      <c r="AB485" s="40" t="str">
        <f>IF($K485="","",IFERROR(VLOOKUP($K485,Grinders!$A$4:$N$998,10,FALSE)/5*100,""))</f>
        <v/>
      </c>
      <c r="AC485" s="40" t="str">
        <f>IF($K485="","",IFERROR(VLOOKUP($K485,Grinders!$A$4:$N$998,11,FALSE)*100,""))</f>
        <v/>
      </c>
      <c r="AD485" s="40" t="str">
        <f>IF($K485="","",IFERROR(VLOOKUP($K485,Grinders!$A$4:$N$998,12,FALSE)*100,""))</f>
        <v/>
      </c>
      <c r="AE485" s="40" t="str">
        <f>IF(OR(AO485=1,AP485=1),0,=IFERROR(IFS(
    OR($C485="", $K485=""), 0,
    $F485=0, 0,
    $D485&lt;&gt;"Open", 0,
    COUNTIFS(GrinderServices!$A$6:$A$1000, $K485, GrinderServices!$B$6:$B$1000, $E485, GrinderServices!$D$6:$D$1000, "Y")=0, 0,
    $X485&lt;Config!$B$16, 0,
    Config!$B$18=1, IF($O485&gt;=N485, 0, 1),
    TRUE, 1
), "")
)</f>
        <v>#ERROR!</v>
      </c>
      <c r="AF485" s="40" t="str">
        <f>IFERROR((IF(OR(AO485=1,AP485=1),"",=IFERROR((IFERROR(IF($AE485=0,"",((Config!$B$6*$Y485 + Config!$B$7*$U485 + Config!$B$8*$Z485 + Config!$B$9*$AA485 + Config!$B$10*$AB485 + Config!$B$11*$AC485 - Config!$B$12*$AD485)/Config!$B$13)+$AK485+$AL485),""))*(1-IFERROR(VLOOKUP(K485,Grinders!$A:$AB, 28, FALSE),0)),"")))*(1+AR485),"")</f>
        <v>#ERROR!</v>
      </c>
      <c r="AG485" s="40" t="str">
        <f t="shared" si="6"/>
        <v>#ERROR!</v>
      </c>
      <c r="AH485" s="40" t="str">
        <f t="shared" si="7"/>
        <v/>
      </c>
      <c r="AI485" s="40" t="str">
        <f t="shared" si="8"/>
        <v/>
      </c>
      <c r="AJ485" s="40" t="str">
        <f>IF($K485="","",COUNTIF(Assignments!$B$6:$B$1000,$K485))</f>
        <v/>
      </c>
      <c r="AK485" s="40" t="str">
        <f>IF($K485="","",IF(AND($AJ485=0,$O485&lt;$N485),Config!$B$43,0))</f>
        <v/>
      </c>
      <c r="AL485" s="40" t="str">
        <f>IF($K485="","",IF(AND($M485="Elite",$G485&gt;=Config!$B$41,$O485&lt;$N485),Config!$B$42,0))</f>
        <v/>
      </c>
      <c r="AM485" s="22"/>
      <c r="AN485" s="39">
        <f>IFERROR(VLOOKUP(K485,Grinders!$A:$Q,28,FALSE),0)</f>
        <v>0</v>
      </c>
      <c r="AO485" s="39">
        <f>IF(Config!$B$1003&lt;&gt;"Y",0,IF(IFERROR(VLOOKUP(K485,Grinders!$A:$P,27,FALSE),0)&gt;=3,IF(OR(G485&gt;=Config!$B$1001,ISNUMBER(SEARCH(E485,Config!$B$1002))),1,0),0))</f>
        <v>0</v>
      </c>
      <c r="AP485" s="39">
        <f t="array" ref="AP485">IFERROR(IF(INDEX(Bids!$AE:$AE,MATCH(B485,Bids!$A:$A,0))="Pending",1,0),0)</f>
        <v>0</v>
      </c>
      <c r="AQ485" s="39" t="str">
        <f t="array" ref="AQ485">IF(C485="","",IFERROR(XLOOKUP(C485,Assignments!$C:$C,Assignments!$AU:$AU,0),0))</f>
        <v/>
      </c>
      <c r="AR485" s="39">
        <f>IF(AND(Config!$B$1006="Y",AQ485=1),Config!$B$1007,0)</f>
        <v>0</v>
      </c>
    </row>
    <row r="486" ht="15.75" customHeight="1">
      <c r="A486" s="46" t="str">
        <f t="shared" si="1"/>
        <v/>
      </c>
      <c r="B486" s="40" t="str">
        <f>IF(Bids!$A485="","",Bids!$A485)</f>
        <v/>
      </c>
      <c r="C486" s="40" t="str">
        <f>IF(Bids!$B485="","",Bids!$B485)</f>
        <v/>
      </c>
      <c r="D486" s="40" t="str">
        <f>IF($C486="","",IFERROR(VLOOKUP($C486,Orders!$A$4:$J$998,9,FALSE),""))</f>
        <v/>
      </c>
      <c r="E486" s="40" t="str">
        <f>IF($C486="","",IFERROR(VLOOKUP($C486,Orders!$A$4:$J$998,3,FALSE),""))</f>
        <v/>
      </c>
      <c r="F486" s="40">
        <f t="shared" si="2"/>
        <v>1</v>
      </c>
      <c r="G486" s="40" t="str">
        <f>IF($C486="","",IFERROR(VLOOKUP($C486,Orders!$A$4:$J$998,4,FALSE),""))</f>
        <v/>
      </c>
      <c r="H486" s="40" t="str">
        <f>IF($C486="","",IFERROR(VLOOKUP($C486,Orders!$A$4:$J$998,5,FALSE),""))</f>
        <v/>
      </c>
      <c r="I486" s="40" t="str">
        <f>IF($C486="","",IFERROR(VLOOKUP($C486,Orders!$A$4:$J$998,6,FALSE),""))</f>
        <v/>
      </c>
      <c r="J486" s="40" t="str">
        <f>IF($C486="","",IFERROR(VLOOKUP($C486,Orders!$A$4:$J$998,7,FALSE),""))</f>
        <v/>
      </c>
      <c r="K486" s="40" t="str">
        <f>IF(Bids!$C485="","",Bids!$C485)</f>
        <v/>
      </c>
      <c r="L486" s="40" t="str">
        <f>IF($K486="","",IFERROR(VLOOKUP($K486,Grinders!$A$4:$N$998,2,FALSE),""))</f>
        <v/>
      </c>
      <c r="M486" s="40" t="str">
        <f>IF($K486="","",IFERROR(VLOOKUP($K486,Grinders!$A$4:$N$998,3,FALSE),""))</f>
        <v/>
      </c>
      <c r="N486" s="40" t="str">
        <f>IF($K486="","",IFERROR(VLOOKUP($K486,Grinders!$A$4:$N$998,4,FALSE),""))</f>
        <v/>
      </c>
      <c r="O486" s="40" t="str">
        <f>IF($K486="","",IFERROR(VLOOKUP($K486,Grinders!$A$4:$N$998,5,FALSE),""))</f>
        <v/>
      </c>
      <c r="P486" s="40" t="str">
        <f>IF($K486="","",IF($C$4="",0,COUNTIFS(Assignments!$B$6:$B$1000,$K486,Assignments!$F$6:$F$1000,$C$4,Assignments!$E$6:$E$1000,"Active")))</f>
        <v/>
      </c>
      <c r="Q486" s="40" t="str">
        <f t="shared" si="3"/>
        <v/>
      </c>
      <c r="R486" s="40" t="str">
        <f t="shared" si="4"/>
        <v/>
      </c>
      <c r="S486" s="40" t="str">
        <f>IF($K486="","",IF($C$4="",0,COUNTIFS(Assignments!$B$6:$B$1000,$K486,Assignments!$F$6:$F$1000,$C$4,Assignments!$D$6:$D$1000,"&gt;="&amp;Config!$B$3-7,Assignments!$D$6:$D$1000,"&lt;="&amp;Config!$B$3)))</f>
        <v/>
      </c>
      <c r="T486" s="40" t="str">
        <f>IF($K486="","",IFERROR(VLOOKUP($K486,Grinders!$A$4:$N$998,8,FALSE),""))</f>
        <v/>
      </c>
      <c r="U486" s="40" t="str">
        <f>IFERROR(IF($K486="","",IF($M486="Elite",MAX(50,MIN(100,Config!$B$27*MAX(0,MIN(100,(1-IF($R486="",0,$R486))*100)) + Config!$B$28*MAX(0,MIN(100,(1-MIN(1,IF(Config!$B$30=0,1,$S486/Config!$B$30)))*100)) + Config!$B$29*MAX(0,MIN(100,MIN(1,IF($T486="",0,$T486)/Config!$B$23)*100)))),MIN(100,Config!$B$27*MAX(0,MIN(100,(1-IF($R486="",0,$R486))*100)) + Config!$B$28*MAX(0,MIN(100,(1-MIN(1,IF(Config!$B$30=0,1,$S486/Config!$B$30)))*100)) + Config!$B$29*MAX(0,MIN(100,MIN(1,IF($T486="",0,$T486)/Config!$B$23)*100))))),"")
</f>
        <v/>
      </c>
      <c r="V486" s="40" t="str">
        <f>IF(Bids!$AC486="","",Bids!$AC486)</f>
        <v/>
      </c>
      <c r="W486" s="40" t="str">
        <f>IF(Bids!$F485="","",Bids!$F485)</f>
        <v/>
      </c>
      <c r="X486" s="40" t="str">
        <f t="shared" si="5"/>
        <v/>
      </c>
      <c r="Y486" s="40" t="str">
        <f>IF($X486="","",IF(Config!$B$17=Config!$B$16,IF($X486&gt;=Config!$B$17,100,0),MAX(0,MIN(100,($X486-Config!$B$16)/(Config!$B$17-Config!$B$16)*100))))</f>
        <v/>
      </c>
      <c r="Z486" s="40">
        <f>IF($M486="Elite",Config!$B$21,0)</f>
        <v>0</v>
      </c>
      <c r="AA486" s="40" t="str">
        <f>IFERROR(IF(OR($W486="",$H486=""),"",IF($W486&gt;$H486,
  MAX(0, 60-(($W486-$H486)*24/Config!$B$19)*60),
  MIN(100, 60+(($H486-$W486)*24/Config!$B$20)*40)
)),"")
</f>
        <v/>
      </c>
      <c r="AB486" s="40" t="str">
        <f>IF($K486="","",IFERROR(VLOOKUP($K486,Grinders!$A$4:$N$998,10,FALSE)/5*100,""))</f>
        <v/>
      </c>
      <c r="AC486" s="40" t="str">
        <f>IF($K486="","",IFERROR(VLOOKUP($K486,Grinders!$A$4:$N$998,11,FALSE)*100,""))</f>
        <v/>
      </c>
      <c r="AD486" s="40" t="str">
        <f>IF($K486="","",IFERROR(VLOOKUP($K486,Grinders!$A$4:$N$998,12,FALSE)*100,""))</f>
        <v/>
      </c>
      <c r="AE486" s="40" t="str">
        <f>IF(OR(AO486=1,AP486=1),0,=IFERROR(IFS(
    OR($C486="", $K486=""), 0,
    $F486=0, 0,
    $D486&lt;&gt;"Open", 0,
    COUNTIFS(GrinderServices!$A$6:$A$1000, $K486, GrinderServices!$B$6:$B$1000, $E486, GrinderServices!$D$6:$D$1000, "Y")=0, 0,
    $X486&lt;Config!$B$16, 0,
    Config!$B$18=1, IF($O486&gt;=N486, 0, 1),
    TRUE, 1
), "")
)</f>
        <v>#ERROR!</v>
      </c>
      <c r="AF486" s="40" t="str">
        <f>IFERROR((IF(OR(AO486=1,AP486=1),"",=IFERROR((IFERROR(IF($AE486=0,"",((Config!$B$6*$Y486 + Config!$B$7*$U486 + Config!$B$8*$Z486 + Config!$B$9*$AA486 + Config!$B$10*$AB486 + Config!$B$11*$AC486 - Config!$B$12*$AD486)/Config!$B$13)+$AK486+$AL486),""))*(1-IFERROR(VLOOKUP(K486,Grinders!$A:$AB, 28, FALSE),0)),"")))*(1+AR486),"")</f>
        <v>#ERROR!</v>
      </c>
      <c r="AG486" s="40" t="str">
        <f t="shared" si="6"/>
        <v>#ERROR!</v>
      </c>
      <c r="AH486" s="40" t="str">
        <f t="shared" si="7"/>
        <v/>
      </c>
      <c r="AI486" s="40" t="str">
        <f t="shared" si="8"/>
        <v/>
      </c>
      <c r="AJ486" s="40" t="str">
        <f>IF($K486="","",COUNTIF(Assignments!$B$6:$B$1000,$K486))</f>
        <v/>
      </c>
      <c r="AK486" s="40" t="str">
        <f>IF($K486="","",IF(AND($AJ486=0,$O486&lt;$N486),Config!$B$43,0))</f>
        <v/>
      </c>
      <c r="AL486" s="40" t="str">
        <f>IF($K486="","",IF(AND($M486="Elite",$G486&gt;=Config!$B$41,$O486&lt;$N486),Config!$B$42,0))</f>
        <v/>
      </c>
      <c r="AM486" s="22"/>
      <c r="AN486" s="39">
        <f>IFERROR(VLOOKUP(K486,Grinders!$A:$Q,28,FALSE),0)</f>
        <v>0</v>
      </c>
      <c r="AO486" s="39">
        <f>IF(Config!$B$1003&lt;&gt;"Y",0,IF(IFERROR(VLOOKUP(K486,Grinders!$A:$P,27,FALSE),0)&gt;=3,IF(OR(G486&gt;=Config!$B$1001,ISNUMBER(SEARCH(E486,Config!$B$1002))),1,0),0))</f>
        <v>0</v>
      </c>
      <c r="AP486" s="39">
        <f t="array" ref="AP486">IFERROR(IF(INDEX(Bids!$AE:$AE,MATCH(B486,Bids!$A:$A,0))="Pending",1,0),0)</f>
        <v>0</v>
      </c>
      <c r="AQ486" s="39" t="str">
        <f t="array" ref="AQ486">IF(C486="","",IFERROR(XLOOKUP(C486,Assignments!$C:$C,Assignments!$AU:$AU,0),0))</f>
        <v/>
      </c>
      <c r="AR486" s="39">
        <f>IF(AND(Config!$B$1006="Y",AQ486=1),Config!$B$1007,0)</f>
        <v>0</v>
      </c>
    </row>
    <row r="487" ht="15.75" customHeight="1">
      <c r="A487" s="46" t="str">
        <f t="shared" si="1"/>
        <v/>
      </c>
      <c r="B487" s="40" t="str">
        <f>IF(Bids!$A486="","",Bids!$A486)</f>
        <v/>
      </c>
      <c r="C487" s="40" t="str">
        <f>IF(Bids!$B486="","",Bids!$B486)</f>
        <v/>
      </c>
      <c r="D487" s="40" t="str">
        <f>IF($C487="","",IFERROR(VLOOKUP($C487,Orders!$A$4:$J$998,9,FALSE),""))</f>
        <v/>
      </c>
      <c r="E487" s="40" t="str">
        <f>IF($C487="","",IFERROR(VLOOKUP($C487,Orders!$A$4:$J$998,3,FALSE),""))</f>
        <v/>
      </c>
      <c r="F487" s="40">
        <f t="shared" si="2"/>
        <v>1</v>
      </c>
      <c r="G487" s="40" t="str">
        <f>IF($C487="","",IFERROR(VLOOKUP($C487,Orders!$A$4:$J$998,4,FALSE),""))</f>
        <v/>
      </c>
      <c r="H487" s="40" t="str">
        <f>IF($C487="","",IFERROR(VLOOKUP($C487,Orders!$A$4:$J$998,5,FALSE),""))</f>
        <v/>
      </c>
      <c r="I487" s="40" t="str">
        <f>IF($C487="","",IFERROR(VLOOKUP($C487,Orders!$A$4:$J$998,6,FALSE),""))</f>
        <v/>
      </c>
      <c r="J487" s="40" t="str">
        <f>IF($C487="","",IFERROR(VLOOKUP($C487,Orders!$A$4:$J$998,7,FALSE),""))</f>
        <v/>
      </c>
      <c r="K487" s="40" t="str">
        <f>IF(Bids!$C486="","",Bids!$C486)</f>
        <v/>
      </c>
      <c r="L487" s="40" t="str">
        <f>IF($K487="","",IFERROR(VLOOKUP($K487,Grinders!$A$4:$N$998,2,FALSE),""))</f>
        <v/>
      </c>
      <c r="M487" s="40" t="str">
        <f>IF($K487="","",IFERROR(VLOOKUP($K487,Grinders!$A$4:$N$998,3,FALSE),""))</f>
        <v/>
      </c>
      <c r="N487" s="40" t="str">
        <f>IF($K487="","",IFERROR(VLOOKUP($K487,Grinders!$A$4:$N$998,4,FALSE),""))</f>
        <v/>
      </c>
      <c r="O487" s="40" t="str">
        <f>IF($K487="","",IFERROR(VLOOKUP($K487,Grinders!$A$4:$N$998,5,FALSE),""))</f>
        <v/>
      </c>
      <c r="P487" s="40" t="str">
        <f>IF($K487="","",IF($C$4="",0,COUNTIFS(Assignments!$B$6:$B$1000,$K487,Assignments!$F$6:$F$1000,$C$4,Assignments!$E$6:$E$1000,"Active")))</f>
        <v/>
      </c>
      <c r="Q487" s="40" t="str">
        <f t="shared" si="3"/>
        <v/>
      </c>
      <c r="R487" s="40" t="str">
        <f t="shared" si="4"/>
        <v/>
      </c>
      <c r="S487" s="40" t="str">
        <f>IF($K487="","",IF($C$4="",0,COUNTIFS(Assignments!$B$6:$B$1000,$K487,Assignments!$F$6:$F$1000,$C$4,Assignments!$D$6:$D$1000,"&gt;="&amp;Config!$B$3-7,Assignments!$D$6:$D$1000,"&lt;="&amp;Config!$B$3)))</f>
        <v/>
      </c>
      <c r="T487" s="40" t="str">
        <f>IF($K487="","",IFERROR(VLOOKUP($K487,Grinders!$A$4:$N$998,8,FALSE),""))</f>
        <v/>
      </c>
      <c r="U487" s="40" t="str">
        <f>IFERROR(IF($K487="","",IF($M487="Elite",MAX(50,MIN(100,Config!$B$27*MAX(0,MIN(100,(1-IF($R487="",0,$R487))*100)) + Config!$B$28*MAX(0,MIN(100,(1-MIN(1,IF(Config!$B$30=0,1,$S487/Config!$B$30)))*100)) + Config!$B$29*MAX(0,MIN(100,MIN(1,IF($T487="",0,$T487)/Config!$B$23)*100)))),MIN(100,Config!$B$27*MAX(0,MIN(100,(1-IF($R487="",0,$R487))*100)) + Config!$B$28*MAX(0,MIN(100,(1-MIN(1,IF(Config!$B$30=0,1,$S487/Config!$B$30)))*100)) + Config!$B$29*MAX(0,MIN(100,MIN(1,IF($T487="",0,$T487)/Config!$B$23)*100))))),"")
</f>
        <v/>
      </c>
      <c r="V487" s="40" t="str">
        <f>IF(Bids!$AC487="","",Bids!$AC487)</f>
        <v/>
      </c>
      <c r="W487" s="40" t="str">
        <f>IF(Bids!$F486="","",Bids!$F486)</f>
        <v/>
      </c>
      <c r="X487" s="40" t="str">
        <f t="shared" si="5"/>
        <v/>
      </c>
      <c r="Y487" s="40" t="str">
        <f>IF($X487="","",IF(Config!$B$17=Config!$B$16,IF($X487&gt;=Config!$B$17,100,0),MAX(0,MIN(100,($X487-Config!$B$16)/(Config!$B$17-Config!$B$16)*100))))</f>
        <v/>
      </c>
      <c r="Z487" s="40">
        <f>IF($M487="Elite",Config!$B$21,0)</f>
        <v>0</v>
      </c>
      <c r="AA487" s="40" t="str">
        <f>IFERROR(IF(OR($W487="",$H487=""),"",IF($W487&gt;$H487,
  MAX(0, 60-(($W487-$H487)*24/Config!$B$19)*60),
  MIN(100, 60+(($H487-$W487)*24/Config!$B$20)*40)
)),"")
</f>
        <v/>
      </c>
      <c r="AB487" s="40" t="str">
        <f>IF($K487="","",IFERROR(VLOOKUP($K487,Grinders!$A$4:$N$998,10,FALSE)/5*100,""))</f>
        <v/>
      </c>
      <c r="AC487" s="40" t="str">
        <f>IF($K487="","",IFERROR(VLOOKUP($K487,Grinders!$A$4:$N$998,11,FALSE)*100,""))</f>
        <v/>
      </c>
      <c r="AD487" s="40" t="str">
        <f>IF($K487="","",IFERROR(VLOOKUP($K487,Grinders!$A$4:$N$998,12,FALSE)*100,""))</f>
        <v/>
      </c>
      <c r="AE487" s="40" t="str">
        <f>IF(OR(AO487=1,AP487=1),0,=IFERROR(IFS(
    OR($C487="", $K487=""), 0,
    $F487=0, 0,
    $D487&lt;&gt;"Open", 0,
    COUNTIFS(GrinderServices!$A$6:$A$1000, $K487, GrinderServices!$B$6:$B$1000, $E487, GrinderServices!$D$6:$D$1000, "Y")=0, 0,
    $X487&lt;Config!$B$16, 0,
    Config!$B$18=1, IF($O487&gt;=N487, 0, 1),
    TRUE, 1
), "")
)</f>
        <v>#ERROR!</v>
      </c>
      <c r="AF487" s="40" t="str">
        <f>IFERROR((IF(OR(AO487=1,AP487=1),"",=IFERROR((IFERROR(IF($AE487=0,"",((Config!$B$6*$Y487 + Config!$B$7*$U487 + Config!$B$8*$Z487 + Config!$B$9*$AA487 + Config!$B$10*$AB487 + Config!$B$11*$AC487 - Config!$B$12*$AD487)/Config!$B$13)+$AK487+$AL487),""))*(1-IFERROR(VLOOKUP(K487,Grinders!$A:$AB, 28, FALSE),0)),"")))*(1+AR487),"")</f>
        <v>#ERROR!</v>
      </c>
      <c r="AG487" s="40" t="str">
        <f t="shared" si="6"/>
        <v>#ERROR!</v>
      </c>
      <c r="AH487" s="40" t="str">
        <f t="shared" si="7"/>
        <v/>
      </c>
      <c r="AI487" s="40" t="str">
        <f t="shared" si="8"/>
        <v/>
      </c>
      <c r="AJ487" s="40" t="str">
        <f>IF($K487="","",COUNTIF(Assignments!$B$6:$B$1000,$K487))</f>
        <v/>
      </c>
      <c r="AK487" s="40" t="str">
        <f>IF($K487="","",IF(AND($AJ487=0,$O487&lt;$N487),Config!$B$43,0))</f>
        <v/>
      </c>
      <c r="AL487" s="40" t="str">
        <f>IF($K487="","",IF(AND($M487="Elite",$G487&gt;=Config!$B$41,$O487&lt;$N487),Config!$B$42,0))</f>
        <v/>
      </c>
      <c r="AM487" s="22"/>
      <c r="AN487" s="39">
        <f>IFERROR(VLOOKUP(K487,Grinders!$A:$Q,28,FALSE),0)</f>
        <v>0</v>
      </c>
      <c r="AO487" s="39">
        <f>IF(Config!$B$1003&lt;&gt;"Y",0,IF(IFERROR(VLOOKUP(K487,Grinders!$A:$P,27,FALSE),0)&gt;=3,IF(OR(G487&gt;=Config!$B$1001,ISNUMBER(SEARCH(E487,Config!$B$1002))),1,0),0))</f>
        <v>0</v>
      </c>
      <c r="AP487" s="39">
        <f t="array" ref="AP487">IFERROR(IF(INDEX(Bids!$AE:$AE,MATCH(B487,Bids!$A:$A,0))="Pending",1,0),0)</f>
        <v>0</v>
      </c>
      <c r="AQ487" s="39" t="str">
        <f t="array" ref="AQ487">IF(C487="","",IFERROR(XLOOKUP(C487,Assignments!$C:$C,Assignments!$AU:$AU,0),0))</f>
        <v/>
      </c>
      <c r="AR487" s="39">
        <f>IF(AND(Config!$B$1006="Y",AQ487=1),Config!$B$1007,0)</f>
        <v>0</v>
      </c>
    </row>
    <row r="488" ht="15.75" customHeight="1">
      <c r="A488" s="46" t="str">
        <f t="shared" si="1"/>
        <v/>
      </c>
      <c r="B488" s="40" t="str">
        <f>IF(Bids!$A487="","",Bids!$A487)</f>
        <v/>
      </c>
      <c r="C488" s="40" t="str">
        <f>IF(Bids!$B487="","",Bids!$B487)</f>
        <v/>
      </c>
      <c r="D488" s="40" t="str">
        <f>IF($C488="","",IFERROR(VLOOKUP($C488,Orders!$A$4:$J$998,9,FALSE),""))</f>
        <v/>
      </c>
      <c r="E488" s="40" t="str">
        <f>IF($C488="","",IFERROR(VLOOKUP($C488,Orders!$A$4:$J$998,3,FALSE),""))</f>
        <v/>
      </c>
      <c r="F488" s="40">
        <f t="shared" si="2"/>
        <v>1</v>
      </c>
      <c r="G488" s="40" t="str">
        <f>IF($C488="","",IFERROR(VLOOKUP($C488,Orders!$A$4:$J$998,4,FALSE),""))</f>
        <v/>
      </c>
      <c r="H488" s="40" t="str">
        <f>IF($C488="","",IFERROR(VLOOKUP($C488,Orders!$A$4:$J$998,5,FALSE),""))</f>
        <v/>
      </c>
      <c r="I488" s="40" t="str">
        <f>IF($C488="","",IFERROR(VLOOKUP($C488,Orders!$A$4:$J$998,6,FALSE),""))</f>
        <v/>
      </c>
      <c r="J488" s="40" t="str">
        <f>IF($C488="","",IFERROR(VLOOKUP($C488,Orders!$A$4:$J$998,7,FALSE),""))</f>
        <v/>
      </c>
      <c r="K488" s="40" t="str">
        <f>IF(Bids!$C487="","",Bids!$C487)</f>
        <v/>
      </c>
      <c r="L488" s="40" t="str">
        <f>IF($K488="","",IFERROR(VLOOKUP($K488,Grinders!$A$4:$N$998,2,FALSE),""))</f>
        <v/>
      </c>
      <c r="M488" s="40" t="str">
        <f>IF($K488="","",IFERROR(VLOOKUP($K488,Grinders!$A$4:$N$998,3,FALSE),""))</f>
        <v/>
      </c>
      <c r="N488" s="40" t="str">
        <f>IF($K488="","",IFERROR(VLOOKUP($K488,Grinders!$A$4:$N$998,4,FALSE),""))</f>
        <v/>
      </c>
      <c r="O488" s="40" t="str">
        <f>IF($K488="","",IFERROR(VLOOKUP($K488,Grinders!$A$4:$N$998,5,FALSE),""))</f>
        <v/>
      </c>
      <c r="P488" s="40" t="str">
        <f>IF($K488="","",IF($C$4="",0,COUNTIFS(Assignments!$B$6:$B$1000,$K488,Assignments!$F$6:$F$1000,$C$4,Assignments!$E$6:$E$1000,"Active")))</f>
        <v/>
      </c>
      <c r="Q488" s="40" t="str">
        <f t="shared" si="3"/>
        <v/>
      </c>
      <c r="R488" s="40" t="str">
        <f t="shared" si="4"/>
        <v/>
      </c>
      <c r="S488" s="40" t="str">
        <f>IF($K488="","",IF($C$4="",0,COUNTIFS(Assignments!$B$6:$B$1000,$K488,Assignments!$F$6:$F$1000,$C$4,Assignments!$D$6:$D$1000,"&gt;="&amp;Config!$B$3-7,Assignments!$D$6:$D$1000,"&lt;="&amp;Config!$B$3)))</f>
        <v/>
      </c>
      <c r="T488" s="40" t="str">
        <f>IF($K488="","",IFERROR(VLOOKUP($K488,Grinders!$A$4:$N$998,8,FALSE),""))</f>
        <v/>
      </c>
      <c r="U488" s="40" t="str">
        <f>IFERROR(IF($K488="","",IF($M488="Elite",MAX(50,MIN(100,Config!$B$27*MAX(0,MIN(100,(1-IF($R488="",0,$R488))*100)) + Config!$B$28*MAX(0,MIN(100,(1-MIN(1,IF(Config!$B$30=0,1,$S488/Config!$B$30)))*100)) + Config!$B$29*MAX(0,MIN(100,MIN(1,IF($T488="",0,$T488)/Config!$B$23)*100)))),MIN(100,Config!$B$27*MAX(0,MIN(100,(1-IF($R488="",0,$R488))*100)) + Config!$B$28*MAX(0,MIN(100,(1-MIN(1,IF(Config!$B$30=0,1,$S488/Config!$B$30)))*100)) + Config!$B$29*MAX(0,MIN(100,MIN(1,IF($T488="",0,$T488)/Config!$B$23)*100))))),"")
</f>
        <v/>
      </c>
      <c r="V488" s="40" t="str">
        <f>IF(Bids!$AC488="","",Bids!$AC488)</f>
        <v/>
      </c>
      <c r="W488" s="40" t="str">
        <f>IF(Bids!$F487="","",Bids!$F487)</f>
        <v/>
      </c>
      <c r="X488" s="40" t="str">
        <f t="shared" si="5"/>
        <v/>
      </c>
      <c r="Y488" s="40" t="str">
        <f>IF($X488="","",IF(Config!$B$17=Config!$B$16,IF($X488&gt;=Config!$B$17,100,0),MAX(0,MIN(100,($X488-Config!$B$16)/(Config!$B$17-Config!$B$16)*100))))</f>
        <v/>
      </c>
      <c r="Z488" s="40">
        <f>IF($M488="Elite",Config!$B$21,0)</f>
        <v>0</v>
      </c>
      <c r="AA488" s="40" t="str">
        <f>IFERROR(IF(OR($W488="",$H488=""),"",IF($W488&gt;$H488,
  MAX(0, 60-(($W488-$H488)*24/Config!$B$19)*60),
  MIN(100, 60+(($H488-$W488)*24/Config!$B$20)*40)
)),"")
</f>
        <v/>
      </c>
      <c r="AB488" s="40" t="str">
        <f>IF($K488="","",IFERROR(VLOOKUP($K488,Grinders!$A$4:$N$998,10,FALSE)/5*100,""))</f>
        <v/>
      </c>
      <c r="AC488" s="40" t="str">
        <f>IF($K488="","",IFERROR(VLOOKUP($K488,Grinders!$A$4:$N$998,11,FALSE)*100,""))</f>
        <v/>
      </c>
      <c r="AD488" s="40" t="str">
        <f>IF($K488="","",IFERROR(VLOOKUP($K488,Grinders!$A$4:$N$998,12,FALSE)*100,""))</f>
        <v/>
      </c>
      <c r="AE488" s="40" t="str">
        <f>IF(OR(AO488=1,AP488=1),0,=IFERROR(IFS(
    OR($C488="", $K488=""), 0,
    $F488=0, 0,
    $D488&lt;&gt;"Open", 0,
    COUNTIFS(GrinderServices!$A$6:$A$1000, $K488, GrinderServices!$B$6:$B$1000, $E488, GrinderServices!$D$6:$D$1000, "Y")=0, 0,
    $X488&lt;Config!$B$16, 0,
    Config!$B$18=1, IF($O488&gt;=N488, 0, 1),
    TRUE, 1
), "")
)</f>
        <v>#ERROR!</v>
      </c>
      <c r="AF488" s="40" t="str">
        <f>IFERROR((IF(OR(AO488=1,AP488=1),"",=IFERROR((IFERROR(IF($AE488=0,"",((Config!$B$6*$Y488 + Config!$B$7*$U488 + Config!$B$8*$Z488 + Config!$B$9*$AA488 + Config!$B$10*$AB488 + Config!$B$11*$AC488 - Config!$B$12*$AD488)/Config!$B$13)+$AK488+$AL488),""))*(1-IFERROR(VLOOKUP(K488,Grinders!$A:$AB, 28, FALSE),0)),"")))*(1+AR488),"")</f>
        <v>#ERROR!</v>
      </c>
      <c r="AG488" s="40" t="str">
        <f t="shared" si="6"/>
        <v>#ERROR!</v>
      </c>
      <c r="AH488" s="40" t="str">
        <f t="shared" si="7"/>
        <v/>
      </c>
      <c r="AI488" s="40" t="str">
        <f t="shared" si="8"/>
        <v/>
      </c>
      <c r="AJ488" s="40" t="str">
        <f>IF($K488="","",COUNTIF(Assignments!$B$6:$B$1000,$K488))</f>
        <v/>
      </c>
      <c r="AK488" s="40" t="str">
        <f>IF($K488="","",IF(AND($AJ488=0,$O488&lt;$N488),Config!$B$43,0))</f>
        <v/>
      </c>
      <c r="AL488" s="40" t="str">
        <f>IF($K488="","",IF(AND($M488="Elite",$G488&gt;=Config!$B$41,$O488&lt;$N488),Config!$B$42,0))</f>
        <v/>
      </c>
      <c r="AM488" s="22"/>
      <c r="AN488" s="39">
        <f>IFERROR(VLOOKUP(K488,Grinders!$A:$Q,28,FALSE),0)</f>
        <v>0</v>
      </c>
      <c r="AO488" s="39">
        <f>IF(Config!$B$1003&lt;&gt;"Y",0,IF(IFERROR(VLOOKUP(K488,Grinders!$A:$P,27,FALSE),0)&gt;=3,IF(OR(G488&gt;=Config!$B$1001,ISNUMBER(SEARCH(E488,Config!$B$1002))),1,0),0))</f>
        <v>0</v>
      </c>
      <c r="AP488" s="39">
        <f t="array" ref="AP488">IFERROR(IF(INDEX(Bids!$AE:$AE,MATCH(B488,Bids!$A:$A,0))="Pending",1,0),0)</f>
        <v>0</v>
      </c>
      <c r="AQ488" s="39" t="str">
        <f t="array" ref="AQ488">IF(C488="","",IFERROR(XLOOKUP(C488,Assignments!$C:$C,Assignments!$AU:$AU,0),0))</f>
        <v/>
      </c>
      <c r="AR488" s="39">
        <f>IF(AND(Config!$B$1006="Y",AQ488=1),Config!$B$1007,0)</f>
        <v>0</v>
      </c>
    </row>
    <row r="489" ht="15.75" customHeight="1">
      <c r="A489" s="46" t="str">
        <f t="shared" si="1"/>
        <v/>
      </c>
      <c r="B489" s="40" t="str">
        <f>IF(Bids!$A488="","",Bids!$A488)</f>
        <v/>
      </c>
      <c r="C489" s="40" t="str">
        <f>IF(Bids!$B488="","",Bids!$B488)</f>
        <v/>
      </c>
      <c r="D489" s="40" t="str">
        <f>IF($C489="","",IFERROR(VLOOKUP($C489,Orders!$A$4:$J$998,9,FALSE),""))</f>
        <v/>
      </c>
      <c r="E489" s="40" t="str">
        <f>IF($C489="","",IFERROR(VLOOKUP($C489,Orders!$A$4:$J$998,3,FALSE),""))</f>
        <v/>
      </c>
      <c r="F489" s="40">
        <f t="shared" si="2"/>
        <v>1</v>
      </c>
      <c r="G489" s="40" t="str">
        <f>IF($C489="","",IFERROR(VLOOKUP($C489,Orders!$A$4:$J$998,4,FALSE),""))</f>
        <v/>
      </c>
      <c r="H489" s="40" t="str">
        <f>IF($C489="","",IFERROR(VLOOKUP($C489,Orders!$A$4:$J$998,5,FALSE),""))</f>
        <v/>
      </c>
      <c r="I489" s="40" t="str">
        <f>IF($C489="","",IFERROR(VLOOKUP($C489,Orders!$A$4:$J$998,6,FALSE),""))</f>
        <v/>
      </c>
      <c r="J489" s="40" t="str">
        <f>IF($C489="","",IFERROR(VLOOKUP($C489,Orders!$A$4:$J$998,7,FALSE),""))</f>
        <v/>
      </c>
      <c r="K489" s="40" t="str">
        <f>IF(Bids!$C488="","",Bids!$C488)</f>
        <v/>
      </c>
      <c r="L489" s="40" t="str">
        <f>IF($K489="","",IFERROR(VLOOKUP($K489,Grinders!$A$4:$N$998,2,FALSE),""))</f>
        <v/>
      </c>
      <c r="M489" s="40" t="str">
        <f>IF($K489="","",IFERROR(VLOOKUP($K489,Grinders!$A$4:$N$998,3,FALSE),""))</f>
        <v/>
      </c>
      <c r="N489" s="40" t="str">
        <f>IF($K489="","",IFERROR(VLOOKUP($K489,Grinders!$A$4:$N$998,4,FALSE),""))</f>
        <v/>
      </c>
      <c r="O489" s="40" t="str">
        <f>IF($K489="","",IFERROR(VLOOKUP($K489,Grinders!$A$4:$N$998,5,FALSE),""))</f>
        <v/>
      </c>
      <c r="P489" s="40" t="str">
        <f>IF($K489="","",IF($C$4="",0,COUNTIFS(Assignments!$B$6:$B$1000,$K489,Assignments!$F$6:$F$1000,$C$4,Assignments!$E$6:$E$1000,"Active")))</f>
        <v/>
      </c>
      <c r="Q489" s="40" t="str">
        <f t="shared" si="3"/>
        <v/>
      </c>
      <c r="R489" s="40" t="str">
        <f t="shared" si="4"/>
        <v/>
      </c>
      <c r="S489" s="40" t="str">
        <f>IF($K489="","",IF($C$4="",0,COUNTIFS(Assignments!$B$6:$B$1000,$K489,Assignments!$F$6:$F$1000,$C$4,Assignments!$D$6:$D$1000,"&gt;="&amp;Config!$B$3-7,Assignments!$D$6:$D$1000,"&lt;="&amp;Config!$B$3)))</f>
        <v/>
      </c>
      <c r="T489" s="40" t="str">
        <f>IF($K489="","",IFERROR(VLOOKUP($K489,Grinders!$A$4:$N$998,8,FALSE),""))</f>
        <v/>
      </c>
      <c r="U489" s="40" t="str">
        <f>IFERROR(IF($K489="","",IF($M489="Elite",MAX(50,MIN(100,Config!$B$27*MAX(0,MIN(100,(1-IF($R489="",0,$R489))*100)) + Config!$B$28*MAX(0,MIN(100,(1-MIN(1,IF(Config!$B$30=0,1,$S489/Config!$B$30)))*100)) + Config!$B$29*MAX(0,MIN(100,MIN(1,IF($T489="",0,$T489)/Config!$B$23)*100)))),MIN(100,Config!$B$27*MAX(0,MIN(100,(1-IF($R489="",0,$R489))*100)) + Config!$B$28*MAX(0,MIN(100,(1-MIN(1,IF(Config!$B$30=0,1,$S489/Config!$B$30)))*100)) + Config!$B$29*MAX(0,MIN(100,MIN(1,IF($T489="",0,$T489)/Config!$B$23)*100))))),"")
</f>
        <v/>
      </c>
      <c r="V489" s="40" t="str">
        <f>IF(Bids!$AC489="","",Bids!$AC489)</f>
        <v/>
      </c>
      <c r="W489" s="40" t="str">
        <f>IF(Bids!$F488="","",Bids!$F488)</f>
        <v/>
      </c>
      <c r="X489" s="40" t="str">
        <f t="shared" si="5"/>
        <v/>
      </c>
      <c r="Y489" s="40" t="str">
        <f>IF($X489="","",IF(Config!$B$17=Config!$B$16,IF($X489&gt;=Config!$B$17,100,0),MAX(0,MIN(100,($X489-Config!$B$16)/(Config!$B$17-Config!$B$16)*100))))</f>
        <v/>
      </c>
      <c r="Z489" s="40">
        <f>IF($M489="Elite",Config!$B$21,0)</f>
        <v>0</v>
      </c>
      <c r="AA489" s="40" t="str">
        <f>IFERROR(IF(OR($W489="",$H489=""),"",IF($W489&gt;$H489,
  MAX(0, 60-(($W489-$H489)*24/Config!$B$19)*60),
  MIN(100, 60+(($H489-$W489)*24/Config!$B$20)*40)
)),"")
</f>
        <v/>
      </c>
      <c r="AB489" s="40" t="str">
        <f>IF($K489="","",IFERROR(VLOOKUP($K489,Grinders!$A$4:$N$998,10,FALSE)/5*100,""))</f>
        <v/>
      </c>
      <c r="AC489" s="40" t="str">
        <f>IF($K489="","",IFERROR(VLOOKUP($K489,Grinders!$A$4:$N$998,11,FALSE)*100,""))</f>
        <v/>
      </c>
      <c r="AD489" s="40" t="str">
        <f>IF($K489="","",IFERROR(VLOOKUP($K489,Grinders!$A$4:$N$998,12,FALSE)*100,""))</f>
        <v/>
      </c>
      <c r="AE489" s="40" t="str">
        <f>IF(OR(AO489=1,AP489=1),0,=IFERROR(IFS(
    OR($C489="", $K489=""), 0,
    $F489=0, 0,
    $D489&lt;&gt;"Open", 0,
    COUNTIFS(GrinderServices!$A$6:$A$1000, $K489, GrinderServices!$B$6:$B$1000, $E489, GrinderServices!$D$6:$D$1000, "Y")=0, 0,
    $X489&lt;Config!$B$16, 0,
    Config!$B$18=1, IF($O489&gt;=N489, 0, 1),
    TRUE, 1
), "")
)</f>
        <v>#ERROR!</v>
      </c>
      <c r="AF489" s="40" t="str">
        <f>IFERROR((IF(OR(AO489=1,AP489=1),"",=IFERROR((IFERROR(IF($AE489=0,"",((Config!$B$6*$Y489 + Config!$B$7*$U489 + Config!$B$8*$Z489 + Config!$B$9*$AA489 + Config!$B$10*$AB489 + Config!$B$11*$AC489 - Config!$B$12*$AD489)/Config!$B$13)+$AK489+$AL489),""))*(1-IFERROR(VLOOKUP(K489,Grinders!$A:$AB, 28, FALSE),0)),"")))*(1+AR489),"")</f>
        <v>#ERROR!</v>
      </c>
      <c r="AG489" s="40" t="str">
        <f t="shared" si="6"/>
        <v>#ERROR!</v>
      </c>
      <c r="AH489" s="40" t="str">
        <f t="shared" si="7"/>
        <v/>
      </c>
      <c r="AI489" s="40" t="str">
        <f t="shared" si="8"/>
        <v/>
      </c>
      <c r="AJ489" s="40" t="str">
        <f>IF($K489="","",COUNTIF(Assignments!$B$6:$B$1000,$K489))</f>
        <v/>
      </c>
      <c r="AK489" s="40" t="str">
        <f>IF($K489="","",IF(AND($AJ489=0,$O489&lt;$N489),Config!$B$43,0))</f>
        <v/>
      </c>
      <c r="AL489" s="40" t="str">
        <f>IF($K489="","",IF(AND($M489="Elite",$G489&gt;=Config!$B$41,$O489&lt;$N489),Config!$B$42,0))</f>
        <v/>
      </c>
      <c r="AM489" s="22"/>
      <c r="AN489" s="39">
        <f>IFERROR(VLOOKUP(K489,Grinders!$A:$Q,28,FALSE),0)</f>
        <v>0</v>
      </c>
      <c r="AO489" s="39">
        <f>IF(Config!$B$1003&lt;&gt;"Y",0,IF(IFERROR(VLOOKUP(K489,Grinders!$A:$P,27,FALSE),0)&gt;=3,IF(OR(G489&gt;=Config!$B$1001,ISNUMBER(SEARCH(E489,Config!$B$1002))),1,0),0))</f>
        <v>0</v>
      </c>
      <c r="AP489" s="39">
        <f t="array" ref="AP489">IFERROR(IF(INDEX(Bids!$AE:$AE,MATCH(B489,Bids!$A:$A,0))="Pending",1,0),0)</f>
        <v>0</v>
      </c>
      <c r="AQ489" s="39" t="str">
        <f t="array" ref="AQ489">IF(C489="","",IFERROR(XLOOKUP(C489,Assignments!$C:$C,Assignments!$AU:$AU,0),0))</f>
        <v/>
      </c>
      <c r="AR489" s="39">
        <f>IF(AND(Config!$B$1006="Y",AQ489=1),Config!$B$1007,0)</f>
        <v>0</v>
      </c>
    </row>
    <row r="490" ht="15.75" customHeight="1">
      <c r="A490" s="46" t="str">
        <f t="shared" si="1"/>
        <v/>
      </c>
      <c r="B490" s="40" t="str">
        <f>IF(Bids!$A489="","",Bids!$A489)</f>
        <v/>
      </c>
      <c r="C490" s="40" t="str">
        <f>IF(Bids!$B489="","",Bids!$B489)</f>
        <v/>
      </c>
      <c r="D490" s="40" t="str">
        <f>IF($C490="","",IFERROR(VLOOKUP($C490,Orders!$A$4:$J$998,9,FALSE),""))</f>
        <v/>
      </c>
      <c r="E490" s="40" t="str">
        <f>IF($C490="","",IFERROR(VLOOKUP($C490,Orders!$A$4:$J$998,3,FALSE),""))</f>
        <v/>
      </c>
      <c r="F490" s="40">
        <f t="shared" si="2"/>
        <v>1</v>
      </c>
      <c r="G490" s="40" t="str">
        <f>IF($C490="","",IFERROR(VLOOKUP($C490,Orders!$A$4:$J$998,4,FALSE),""))</f>
        <v/>
      </c>
      <c r="H490" s="40" t="str">
        <f>IF($C490="","",IFERROR(VLOOKUP($C490,Orders!$A$4:$J$998,5,FALSE),""))</f>
        <v/>
      </c>
      <c r="I490" s="40" t="str">
        <f>IF($C490="","",IFERROR(VLOOKUP($C490,Orders!$A$4:$J$998,6,FALSE),""))</f>
        <v/>
      </c>
      <c r="J490" s="40" t="str">
        <f>IF($C490="","",IFERROR(VLOOKUP($C490,Orders!$A$4:$J$998,7,FALSE),""))</f>
        <v/>
      </c>
      <c r="K490" s="40" t="str">
        <f>IF(Bids!$C489="","",Bids!$C489)</f>
        <v/>
      </c>
      <c r="L490" s="40" t="str">
        <f>IF($K490="","",IFERROR(VLOOKUP($K490,Grinders!$A$4:$N$998,2,FALSE),""))</f>
        <v/>
      </c>
      <c r="M490" s="40" t="str">
        <f>IF($K490="","",IFERROR(VLOOKUP($K490,Grinders!$A$4:$N$998,3,FALSE),""))</f>
        <v/>
      </c>
      <c r="N490" s="40" t="str">
        <f>IF($K490="","",IFERROR(VLOOKUP($K490,Grinders!$A$4:$N$998,4,FALSE),""))</f>
        <v/>
      </c>
      <c r="O490" s="40" t="str">
        <f>IF($K490="","",IFERROR(VLOOKUP($K490,Grinders!$A$4:$N$998,5,FALSE),""))</f>
        <v/>
      </c>
      <c r="P490" s="40" t="str">
        <f>IF($K490="","",IF($C$4="",0,COUNTIFS(Assignments!$B$6:$B$1000,$K490,Assignments!$F$6:$F$1000,$C$4,Assignments!$E$6:$E$1000,"Active")))</f>
        <v/>
      </c>
      <c r="Q490" s="40" t="str">
        <f t="shared" si="3"/>
        <v/>
      </c>
      <c r="R490" s="40" t="str">
        <f t="shared" si="4"/>
        <v/>
      </c>
      <c r="S490" s="40" t="str">
        <f>IF($K490="","",IF($C$4="",0,COUNTIFS(Assignments!$B$6:$B$1000,$K490,Assignments!$F$6:$F$1000,$C$4,Assignments!$D$6:$D$1000,"&gt;="&amp;Config!$B$3-7,Assignments!$D$6:$D$1000,"&lt;="&amp;Config!$B$3)))</f>
        <v/>
      </c>
      <c r="T490" s="40" t="str">
        <f>IF($K490="","",IFERROR(VLOOKUP($K490,Grinders!$A$4:$N$998,8,FALSE),""))</f>
        <v/>
      </c>
      <c r="U490" s="40" t="str">
        <f>IFERROR(IF($K490="","",IF($M490="Elite",MAX(50,MIN(100,Config!$B$27*MAX(0,MIN(100,(1-IF($R490="",0,$R490))*100)) + Config!$B$28*MAX(0,MIN(100,(1-MIN(1,IF(Config!$B$30=0,1,$S490/Config!$B$30)))*100)) + Config!$B$29*MAX(0,MIN(100,MIN(1,IF($T490="",0,$T490)/Config!$B$23)*100)))),MIN(100,Config!$B$27*MAX(0,MIN(100,(1-IF($R490="",0,$R490))*100)) + Config!$B$28*MAX(0,MIN(100,(1-MIN(1,IF(Config!$B$30=0,1,$S490/Config!$B$30)))*100)) + Config!$B$29*MAX(0,MIN(100,MIN(1,IF($T490="",0,$T490)/Config!$B$23)*100))))),"")
</f>
        <v/>
      </c>
      <c r="V490" s="40" t="str">
        <f>IF(Bids!$AC490="","",Bids!$AC490)</f>
        <v/>
      </c>
      <c r="W490" s="40" t="str">
        <f>IF(Bids!$F489="","",Bids!$F489)</f>
        <v/>
      </c>
      <c r="X490" s="40" t="str">
        <f t="shared" si="5"/>
        <v/>
      </c>
      <c r="Y490" s="40" t="str">
        <f>IF($X490="","",IF(Config!$B$17=Config!$B$16,IF($X490&gt;=Config!$B$17,100,0),MAX(0,MIN(100,($X490-Config!$B$16)/(Config!$B$17-Config!$B$16)*100))))</f>
        <v/>
      </c>
      <c r="Z490" s="40">
        <f>IF($M490="Elite",Config!$B$21,0)</f>
        <v>0</v>
      </c>
      <c r="AA490" s="40" t="str">
        <f>IFERROR(IF(OR($W490="",$H490=""),"",IF($W490&gt;$H490,
  MAX(0, 60-(($W490-$H490)*24/Config!$B$19)*60),
  MIN(100, 60+(($H490-$W490)*24/Config!$B$20)*40)
)),"")
</f>
        <v/>
      </c>
      <c r="AB490" s="40" t="str">
        <f>IF($K490="","",IFERROR(VLOOKUP($K490,Grinders!$A$4:$N$998,10,FALSE)/5*100,""))</f>
        <v/>
      </c>
      <c r="AC490" s="40" t="str">
        <f>IF($K490="","",IFERROR(VLOOKUP($K490,Grinders!$A$4:$N$998,11,FALSE)*100,""))</f>
        <v/>
      </c>
      <c r="AD490" s="40" t="str">
        <f>IF($K490="","",IFERROR(VLOOKUP($K490,Grinders!$A$4:$N$998,12,FALSE)*100,""))</f>
        <v/>
      </c>
      <c r="AE490" s="40" t="str">
        <f>IF(OR(AO490=1,AP490=1),0,=IFERROR(IFS(
    OR($C490="", $K490=""), 0,
    $F490=0, 0,
    $D490&lt;&gt;"Open", 0,
    COUNTIFS(GrinderServices!$A$6:$A$1000, $K490, GrinderServices!$B$6:$B$1000, $E490, GrinderServices!$D$6:$D$1000, "Y")=0, 0,
    $X490&lt;Config!$B$16, 0,
    Config!$B$18=1, IF($O490&gt;=N490, 0, 1),
    TRUE, 1
), "")
)</f>
        <v>#ERROR!</v>
      </c>
      <c r="AF490" s="40" t="str">
        <f>IFERROR((IF(OR(AO490=1,AP490=1),"",=IFERROR((IFERROR(IF($AE490=0,"",((Config!$B$6*$Y490 + Config!$B$7*$U490 + Config!$B$8*$Z490 + Config!$B$9*$AA490 + Config!$B$10*$AB490 + Config!$B$11*$AC490 - Config!$B$12*$AD490)/Config!$B$13)+$AK490+$AL490),""))*(1-IFERROR(VLOOKUP(K490,Grinders!$A:$AB, 28, FALSE),0)),"")))*(1+AR490),"")</f>
        <v>#ERROR!</v>
      </c>
      <c r="AG490" s="40" t="str">
        <f t="shared" si="6"/>
        <v>#ERROR!</v>
      </c>
      <c r="AH490" s="40" t="str">
        <f t="shared" si="7"/>
        <v/>
      </c>
      <c r="AI490" s="40" t="str">
        <f t="shared" si="8"/>
        <v/>
      </c>
      <c r="AJ490" s="40" t="str">
        <f>IF($K490="","",COUNTIF(Assignments!$B$6:$B$1000,$K490))</f>
        <v/>
      </c>
      <c r="AK490" s="40" t="str">
        <f>IF($K490="","",IF(AND($AJ490=0,$O490&lt;$N490),Config!$B$43,0))</f>
        <v/>
      </c>
      <c r="AL490" s="40" t="str">
        <f>IF($K490="","",IF(AND($M490="Elite",$G490&gt;=Config!$B$41,$O490&lt;$N490),Config!$B$42,0))</f>
        <v/>
      </c>
      <c r="AM490" s="22"/>
      <c r="AN490" s="39">
        <f>IFERROR(VLOOKUP(K490,Grinders!$A:$Q,28,FALSE),0)</f>
        <v>0</v>
      </c>
      <c r="AO490" s="39">
        <f>IF(Config!$B$1003&lt;&gt;"Y",0,IF(IFERROR(VLOOKUP(K490,Grinders!$A:$P,27,FALSE),0)&gt;=3,IF(OR(G490&gt;=Config!$B$1001,ISNUMBER(SEARCH(E490,Config!$B$1002))),1,0),0))</f>
        <v>0</v>
      </c>
      <c r="AP490" s="39">
        <f t="array" ref="AP490">IFERROR(IF(INDEX(Bids!$AE:$AE,MATCH(B490,Bids!$A:$A,0))="Pending",1,0),0)</f>
        <v>0</v>
      </c>
      <c r="AQ490" s="39" t="str">
        <f t="array" ref="AQ490">IF(C490="","",IFERROR(XLOOKUP(C490,Assignments!$C:$C,Assignments!$AU:$AU,0),0))</f>
        <v/>
      </c>
      <c r="AR490" s="39">
        <f>IF(AND(Config!$B$1006="Y",AQ490=1),Config!$B$1007,0)</f>
        <v>0</v>
      </c>
    </row>
    <row r="491" ht="15.75" customHeight="1">
      <c r="A491" s="46" t="str">
        <f t="shared" si="1"/>
        <v/>
      </c>
      <c r="B491" s="40" t="str">
        <f>IF(Bids!$A490="","",Bids!$A490)</f>
        <v/>
      </c>
      <c r="C491" s="40" t="str">
        <f>IF(Bids!$B490="","",Bids!$B490)</f>
        <v/>
      </c>
      <c r="D491" s="40" t="str">
        <f>IF($C491="","",IFERROR(VLOOKUP($C491,Orders!$A$4:$J$998,9,FALSE),""))</f>
        <v/>
      </c>
      <c r="E491" s="40" t="str">
        <f>IF($C491="","",IFERROR(VLOOKUP($C491,Orders!$A$4:$J$998,3,FALSE),""))</f>
        <v/>
      </c>
      <c r="F491" s="40">
        <f t="shared" si="2"/>
        <v>1</v>
      </c>
      <c r="G491" s="40" t="str">
        <f>IF($C491="","",IFERROR(VLOOKUP($C491,Orders!$A$4:$J$998,4,FALSE),""))</f>
        <v/>
      </c>
      <c r="H491" s="40" t="str">
        <f>IF($C491="","",IFERROR(VLOOKUP($C491,Orders!$A$4:$J$998,5,FALSE),""))</f>
        <v/>
      </c>
      <c r="I491" s="40" t="str">
        <f>IF($C491="","",IFERROR(VLOOKUP($C491,Orders!$A$4:$J$998,6,FALSE),""))</f>
        <v/>
      </c>
      <c r="J491" s="40" t="str">
        <f>IF($C491="","",IFERROR(VLOOKUP($C491,Orders!$A$4:$J$998,7,FALSE),""))</f>
        <v/>
      </c>
      <c r="K491" s="40" t="str">
        <f>IF(Bids!$C490="","",Bids!$C490)</f>
        <v/>
      </c>
      <c r="L491" s="40" t="str">
        <f>IF($K491="","",IFERROR(VLOOKUP($K491,Grinders!$A$4:$N$998,2,FALSE),""))</f>
        <v/>
      </c>
      <c r="M491" s="40" t="str">
        <f>IF($K491="","",IFERROR(VLOOKUP($K491,Grinders!$A$4:$N$998,3,FALSE),""))</f>
        <v/>
      </c>
      <c r="N491" s="40" t="str">
        <f>IF($K491="","",IFERROR(VLOOKUP($K491,Grinders!$A$4:$N$998,4,FALSE),""))</f>
        <v/>
      </c>
      <c r="O491" s="40" t="str">
        <f>IF($K491="","",IFERROR(VLOOKUP($K491,Grinders!$A$4:$N$998,5,FALSE),""))</f>
        <v/>
      </c>
      <c r="P491" s="40" t="str">
        <f>IF($K491="","",IF($C$4="",0,COUNTIFS(Assignments!$B$6:$B$1000,$K491,Assignments!$F$6:$F$1000,$C$4,Assignments!$E$6:$E$1000,"Active")))</f>
        <v/>
      </c>
      <c r="Q491" s="40" t="str">
        <f t="shared" si="3"/>
        <v/>
      </c>
      <c r="R491" s="40" t="str">
        <f t="shared" si="4"/>
        <v/>
      </c>
      <c r="S491" s="40" t="str">
        <f>IF($K491="","",IF($C$4="",0,COUNTIFS(Assignments!$B$6:$B$1000,$K491,Assignments!$F$6:$F$1000,$C$4,Assignments!$D$6:$D$1000,"&gt;="&amp;Config!$B$3-7,Assignments!$D$6:$D$1000,"&lt;="&amp;Config!$B$3)))</f>
        <v/>
      </c>
      <c r="T491" s="40" t="str">
        <f>IF($K491="","",IFERROR(VLOOKUP($K491,Grinders!$A$4:$N$998,8,FALSE),""))</f>
        <v/>
      </c>
      <c r="U491" s="40" t="str">
        <f>IFERROR(IF($K491="","",IF($M491="Elite",MAX(50,MIN(100,Config!$B$27*MAX(0,MIN(100,(1-IF($R491="",0,$R491))*100)) + Config!$B$28*MAX(0,MIN(100,(1-MIN(1,IF(Config!$B$30=0,1,$S491/Config!$B$30)))*100)) + Config!$B$29*MAX(0,MIN(100,MIN(1,IF($T491="",0,$T491)/Config!$B$23)*100)))),MIN(100,Config!$B$27*MAX(0,MIN(100,(1-IF($R491="",0,$R491))*100)) + Config!$B$28*MAX(0,MIN(100,(1-MIN(1,IF(Config!$B$30=0,1,$S491/Config!$B$30)))*100)) + Config!$B$29*MAX(0,MIN(100,MIN(1,IF($T491="",0,$T491)/Config!$B$23)*100))))),"")
</f>
        <v/>
      </c>
      <c r="V491" s="40" t="str">
        <f>IF(Bids!$AC491="","",Bids!$AC491)</f>
        <v/>
      </c>
      <c r="W491" s="40" t="str">
        <f>IF(Bids!$F490="","",Bids!$F490)</f>
        <v/>
      </c>
      <c r="X491" s="40" t="str">
        <f t="shared" si="5"/>
        <v/>
      </c>
      <c r="Y491" s="40" t="str">
        <f>IF($X491="","",IF(Config!$B$17=Config!$B$16,IF($X491&gt;=Config!$B$17,100,0),MAX(0,MIN(100,($X491-Config!$B$16)/(Config!$B$17-Config!$B$16)*100))))</f>
        <v/>
      </c>
      <c r="Z491" s="40">
        <f>IF($M491="Elite",Config!$B$21,0)</f>
        <v>0</v>
      </c>
      <c r="AA491" s="40" t="str">
        <f>IFERROR(IF(OR($W491="",$H491=""),"",IF($W491&gt;$H491,
  MAX(0, 60-(($W491-$H491)*24/Config!$B$19)*60),
  MIN(100, 60+(($H491-$W491)*24/Config!$B$20)*40)
)),"")
</f>
        <v/>
      </c>
      <c r="AB491" s="40" t="str">
        <f>IF($K491="","",IFERROR(VLOOKUP($K491,Grinders!$A$4:$N$998,10,FALSE)/5*100,""))</f>
        <v/>
      </c>
      <c r="AC491" s="40" t="str">
        <f>IF($K491="","",IFERROR(VLOOKUP($K491,Grinders!$A$4:$N$998,11,FALSE)*100,""))</f>
        <v/>
      </c>
      <c r="AD491" s="40" t="str">
        <f>IF($K491="","",IFERROR(VLOOKUP($K491,Grinders!$A$4:$N$998,12,FALSE)*100,""))</f>
        <v/>
      </c>
      <c r="AE491" s="40" t="str">
        <f>IF(OR(AO491=1,AP491=1),0,=IFERROR(IFS(
    OR($C491="", $K491=""), 0,
    $F491=0, 0,
    $D491&lt;&gt;"Open", 0,
    COUNTIFS(GrinderServices!$A$6:$A$1000, $K491, GrinderServices!$B$6:$B$1000, $E491, GrinderServices!$D$6:$D$1000, "Y")=0, 0,
    $X491&lt;Config!$B$16, 0,
    Config!$B$18=1, IF($O491&gt;=N491, 0, 1),
    TRUE, 1
), "")
)</f>
        <v>#ERROR!</v>
      </c>
      <c r="AF491" s="40" t="str">
        <f>IFERROR((IF(OR(AO491=1,AP491=1),"",=IFERROR((IFERROR(IF($AE491=0,"",((Config!$B$6*$Y491 + Config!$B$7*$U491 + Config!$B$8*$Z491 + Config!$B$9*$AA491 + Config!$B$10*$AB491 + Config!$B$11*$AC491 - Config!$B$12*$AD491)/Config!$B$13)+$AK491+$AL491),""))*(1-IFERROR(VLOOKUP(K491,Grinders!$A:$AB, 28, FALSE),0)),"")))*(1+AR491),"")</f>
        <v>#ERROR!</v>
      </c>
      <c r="AG491" s="40" t="str">
        <f t="shared" si="6"/>
        <v>#ERROR!</v>
      </c>
      <c r="AH491" s="40" t="str">
        <f t="shared" si="7"/>
        <v/>
      </c>
      <c r="AI491" s="40" t="str">
        <f t="shared" si="8"/>
        <v/>
      </c>
      <c r="AJ491" s="40" t="str">
        <f>IF($K491="","",COUNTIF(Assignments!$B$6:$B$1000,$K491))</f>
        <v/>
      </c>
      <c r="AK491" s="40" t="str">
        <f>IF($K491="","",IF(AND($AJ491=0,$O491&lt;$N491),Config!$B$43,0))</f>
        <v/>
      </c>
      <c r="AL491" s="40" t="str">
        <f>IF($K491="","",IF(AND($M491="Elite",$G491&gt;=Config!$B$41,$O491&lt;$N491),Config!$B$42,0))</f>
        <v/>
      </c>
      <c r="AM491" s="22"/>
      <c r="AN491" s="39">
        <f>IFERROR(VLOOKUP(K491,Grinders!$A:$Q,28,FALSE),0)</f>
        <v>0</v>
      </c>
      <c r="AO491" s="39">
        <f>IF(Config!$B$1003&lt;&gt;"Y",0,IF(IFERROR(VLOOKUP(K491,Grinders!$A:$P,27,FALSE),0)&gt;=3,IF(OR(G491&gt;=Config!$B$1001,ISNUMBER(SEARCH(E491,Config!$B$1002))),1,0),0))</f>
        <v>0</v>
      </c>
      <c r="AP491" s="39">
        <f t="array" ref="AP491">IFERROR(IF(INDEX(Bids!$AE:$AE,MATCH(B491,Bids!$A:$A,0))="Pending",1,0),0)</f>
        <v>0</v>
      </c>
      <c r="AQ491" s="39" t="str">
        <f t="array" ref="AQ491">IF(C491="","",IFERROR(XLOOKUP(C491,Assignments!$C:$C,Assignments!$AU:$AU,0),0))</f>
        <v/>
      </c>
      <c r="AR491" s="39">
        <f>IF(AND(Config!$B$1006="Y",AQ491=1),Config!$B$1007,0)</f>
        <v>0</v>
      </c>
    </row>
    <row r="492" ht="15.75" customHeight="1">
      <c r="A492" s="46" t="str">
        <f t="shared" si="1"/>
        <v/>
      </c>
      <c r="B492" s="40" t="str">
        <f>IF(Bids!$A491="","",Bids!$A491)</f>
        <v/>
      </c>
      <c r="C492" s="40" t="str">
        <f>IF(Bids!$B491="","",Bids!$B491)</f>
        <v/>
      </c>
      <c r="D492" s="40" t="str">
        <f>IF($C492="","",IFERROR(VLOOKUP($C492,Orders!$A$4:$J$998,9,FALSE),""))</f>
        <v/>
      </c>
      <c r="E492" s="40" t="str">
        <f>IF($C492="","",IFERROR(VLOOKUP($C492,Orders!$A$4:$J$998,3,FALSE),""))</f>
        <v/>
      </c>
      <c r="F492" s="40">
        <f t="shared" si="2"/>
        <v>1</v>
      </c>
      <c r="G492" s="40" t="str">
        <f>IF($C492="","",IFERROR(VLOOKUP($C492,Orders!$A$4:$J$998,4,FALSE),""))</f>
        <v/>
      </c>
      <c r="H492" s="40" t="str">
        <f>IF($C492="","",IFERROR(VLOOKUP($C492,Orders!$A$4:$J$998,5,FALSE),""))</f>
        <v/>
      </c>
      <c r="I492" s="40" t="str">
        <f>IF($C492="","",IFERROR(VLOOKUP($C492,Orders!$A$4:$J$998,6,FALSE),""))</f>
        <v/>
      </c>
      <c r="J492" s="40" t="str">
        <f>IF($C492="","",IFERROR(VLOOKUP($C492,Orders!$A$4:$J$998,7,FALSE),""))</f>
        <v/>
      </c>
      <c r="K492" s="40" t="str">
        <f>IF(Bids!$C491="","",Bids!$C491)</f>
        <v/>
      </c>
      <c r="L492" s="40" t="str">
        <f>IF($K492="","",IFERROR(VLOOKUP($K492,Grinders!$A$4:$N$998,2,FALSE),""))</f>
        <v/>
      </c>
      <c r="M492" s="40" t="str">
        <f>IF($K492="","",IFERROR(VLOOKUP($K492,Grinders!$A$4:$N$998,3,FALSE),""))</f>
        <v/>
      </c>
      <c r="N492" s="40" t="str">
        <f>IF($K492="","",IFERROR(VLOOKUP($K492,Grinders!$A$4:$N$998,4,FALSE),""))</f>
        <v/>
      </c>
      <c r="O492" s="40" t="str">
        <f>IF($K492="","",IFERROR(VLOOKUP($K492,Grinders!$A$4:$N$998,5,FALSE),""))</f>
        <v/>
      </c>
      <c r="P492" s="40" t="str">
        <f>IF($K492="","",IF($C$4="",0,COUNTIFS(Assignments!$B$6:$B$1000,$K492,Assignments!$F$6:$F$1000,$C$4,Assignments!$E$6:$E$1000,"Active")))</f>
        <v/>
      </c>
      <c r="Q492" s="40" t="str">
        <f t="shared" si="3"/>
        <v/>
      </c>
      <c r="R492" s="40" t="str">
        <f t="shared" si="4"/>
        <v/>
      </c>
      <c r="S492" s="40" t="str">
        <f>IF($K492="","",IF($C$4="",0,COUNTIFS(Assignments!$B$6:$B$1000,$K492,Assignments!$F$6:$F$1000,$C$4,Assignments!$D$6:$D$1000,"&gt;="&amp;Config!$B$3-7,Assignments!$D$6:$D$1000,"&lt;="&amp;Config!$B$3)))</f>
        <v/>
      </c>
      <c r="T492" s="40" t="str">
        <f>IF($K492="","",IFERROR(VLOOKUP($K492,Grinders!$A$4:$N$998,8,FALSE),""))</f>
        <v/>
      </c>
      <c r="U492" s="40" t="str">
        <f>IFERROR(IF($K492="","",IF($M492="Elite",MAX(50,MIN(100,Config!$B$27*MAX(0,MIN(100,(1-IF($R492="",0,$R492))*100)) + Config!$B$28*MAX(0,MIN(100,(1-MIN(1,IF(Config!$B$30=0,1,$S492/Config!$B$30)))*100)) + Config!$B$29*MAX(0,MIN(100,MIN(1,IF($T492="",0,$T492)/Config!$B$23)*100)))),MIN(100,Config!$B$27*MAX(0,MIN(100,(1-IF($R492="",0,$R492))*100)) + Config!$B$28*MAX(0,MIN(100,(1-MIN(1,IF(Config!$B$30=0,1,$S492/Config!$B$30)))*100)) + Config!$B$29*MAX(0,MIN(100,MIN(1,IF($T492="",0,$T492)/Config!$B$23)*100))))),"")
</f>
        <v/>
      </c>
      <c r="V492" s="40" t="str">
        <f>IF(Bids!$AC492="","",Bids!$AC492)</f>
        <v/>
      </c>
      <c r="W492" s="40" t="str">
        <f>IF(Bids!$F491="","",Bids!$F491)</f>
        <v/>
      </c>
      <c r="X492" s="40" t="str">
        <f t="shared" si="5"/>
        <v/>
      </c>
      <c r="Y492" s="40" t="str">
        <f>IF($X492="","",IF(Config!$B$17=Config!$B$16,IF($X492&gt;=Config!$B$17,100,0),MAX(0,MIN(100,($X492-Config!$B$16)/(Config!$B$17-Config!$B$16)*100))))</f>
        <v/>
      </c>
      <c r="Z492" s="40">
        <f>IF($M492="Elite",Config!$B$21,0)</f>
        <v>0</v>
      </c>
      <c r="AA492" s="40" t="str">
        <f>IFERROR(IF(OR($W492="",$H492=""),"",IF($W492&gt;$H492,
  MAX(0, 60-(($W492-$H492)*24/Config!$B$19)*60),
  MIN(100, 60+(($H492-$W492)*24/Config!$B$20)*40)
)),"")
</f>
        <v/>
      </c>
      <c r="AB492" s="40" t="str">
        <f>IF($K492="","",IFERROR(VLOOKUP($K492,Grinders!$A$4:$N$998,10,FALSE)/5*100,""))</f>
        <v/>
      </c>
      <c r="AC492" s="40" t="str">
        <f>IF($K492="","",IFERROR(VLOOKUP($K492,Grinders!$A$4:$N$998,11,FALSE)*100,""))</f>
        <v/>
      </c>
      <c r="AD492" s="40" t="str">
        <f>IF($K492="","",IFERROR(VLOOKUP($K492,Grinders!$A$4:$N$998,12,FALSE)*100,""))</f>
        <v/>
      </c>
      <c r="AE492" s="40" t="str">
        <f>IF(OR(AO492=1,AP492=1),0,=IFERROR(IFS(
    OR($C492="", $K492=""), 0,
    $F492=0, 0,
    $D492&lt;&gt;"Open", 0,
    COUNTIFS(GrinderServices!$A$6:$A$1000, $K492, GrinderServices!$B$6:$B$1000, $E492, GrinderServices!$D$6:$D$1000, "Y")=0, 0,
    $X492&lt;Config!$B$16, 0,
    Config!$B$18=1, IF($O492&gt;=N492, 0, 1),
    TRUE, 1
), "")
)</f>
        <v>#ERROR!</v>
      </c>
      <c r="AF492" s="40" t="str">
        <f>IFERROR((IF(OR(AO492=1,AP492=1),"",=IFERROR((IFERROR(IF($AE492=0,"",((Config!$B$6*$Y492 + Config!$B$7*$U492 + Config!$B$8*$Z492 + Config!$B$9*$AA492 + Config!$B$10*$AB492 + Config!$B$11*$AC492 - Config!$B$12*$AD492)/Config!$B$13)+$AK492+$AL492),""))*(1-IFERROR(VLOOKUP(K492,Grinders!$A:$AB, 28, FALSE),0)),"")))*(1+AR492),"")</f>
        <v>#ERROR!</v>
      </c>
      <c r="AG492" s="40" t="str">
        <f t="shared" si="6"/>
        <v>#ERROR!</v>
      </c>
      <c r="AH492" s="40" t="str">
        <f t="shared" si="7"/>
        <v/>
      </c>
      <c r="AI492" s="40" t="str">
        <f t="shared" si="8"/>
        <v/>
      </c>
      <c r="AJ492" s="40" t="str">
        <f>IF($K492="","",COUNTIF(Assignments!$B$6:$B$1000,$K492))</f>
        <v/>
      </c>
      <c r="AK492" s="40" t="str">
        <f>IF($K492="","",IF(AND($AJ492=0,$O492&lt;$N492),Config!$B$43,0))</f>
        <v/>
      </c>
      <c r="AL492" s="40" t="str">
        <f>IF($K492="","",IF(AND($M492="Elite",$G492&gt;=Config!$B$41,$O492&lt;$N492),Config!$B$42,0))</f>
        <v/>
      </c>
      <c r="AM492" s="22"/>
      <c r="AN492" s="39">
        <f>IFERROR(VLOOKUP(K492,Grinders!$A:$Q,28,FALSE),0)</f>
        <v>0</v>
      </c>
      <c r="AO492" s="39">
        <f>IF(Config!$B$1003&lt;&gt;"Y",0,IF(IFERROR(VLOOKUP(K492,Grinders!$A:$P,27,FALSE),0)&gt;=3,IF(OR(G492&gt;=Config!$B$1001,ISNUMBER(SEARCH(E492,Config!$B$1002))),1,0),0))</f>
        <v>0</v>
      </c>
      <c r="AP492" s="39">
        <f t="array" ref="AP492">IFERROR(IF(INDEX(Bids!$AE:$AE,MATCH(B492,Bids!$A:$A,0))="Pending",1,0),0)</f>
        <v>0</v>
      </c>
      <c r="AQ492" s="39" t="str">
        <f t="array" ref="AQ492">IF(C492="","",IFERROR(XLOOKUP(C492,Assignments!$C:$C,Assignments!$AU:$AU,0),0))</f>
        <v/>
      </c>
      <c r="AR492" s="39">
        <f>IF(AND(Config!$B$1006="Y",AQ492=1),Config!$B$1007,0)</f>
        <v>0</v>
      </c>
    </row>
    <row r="493" ht="15.75" customHeight="1">
      <c r="A493" s="46" t="str">
        <f t="shared" si="1"/>
        <v/>
      </c>
      <c r="B493" s="40" t="str">
        <f>IF(Bids!$A492="","",Bids!$A492)</f>
        <v/>
      </c>
      <c r="C493" s="40" t="str">
        <f>IF(Bids!$B492="","",Bids!$B492)</f>
        <v/>
      </c>
      <c r="D493" s="40" t="str">
        <f>IF($C493="","",IFERROR(VLOOKUP($C493,Orders!$A$4:$J$998,9,FALSE),""))</f>
        <v/>
      </c>
      <c r="E493" s="40" t="str">
        <f>IF($C493="","",IFERROR(VLOOKUP($C493,Orders!$A$4:$J$998,3,FALSE),""))</f>
        <v/>
      </c>
      <c r="F493" s="40">
        <f t="shared" si="2"/>
        <v>1</v>
      </c>
      <c r="G493" s="40" t="str">
        <f>IF($C493="","",IFERROR(VLOOKUP($C493,Orders!$A$4:$J$998,4,FALSE),""))</f>
        <v/>
      </c>
      <c r="H493" s="40" t="str">
        <f>IF($C493="","",IFERROR(VLOOKUP($C493,Orders!$A$4:$J$998,5,FALSE),""))</f>
        <v/>
      </c>
      <c r="I493" s="40" t="str">
        <f>IF($C493="","",IFERROR(VLOOKUP($C493,Orders!$A$4:$J$998,6,FALSE),""))</f>
        <v/>
      </c>
      <c r="J493" s="40" t="str">
        <f>IF($C493="","",IFERROR(VLOOKUP($C493,Orders!$A$4:$J$998,7,FALSE),""))</f>
        <v/>
      </c>
      <c r="K493" s="40" t="str">
        <f>IF(Bids!$C492="","",Bids!$C492)</f>
        <v/>
      </c>
      <c r="L493" s="40" t="str">
        <f>IF($K493="","",IFERROR(VLOOKUP($K493,Grinders!$A$4:$N$998,2,FALSE),""))</f>
        <v/>
      </c>
      <c r="M493" s="40" t="str">
        <f>IF($K493="","",IFERROR(VLOOKUP($K493,Grinders!$A$4:$N$998,3,FALSE),""))</f>
        <v/>
      </c>
      <c r="N493" s="40" t="str">
        <f>IF($K493="","",IFERROR(VLOOKUP($K493,Grinders!$A$4:$N$998,4,FALSE),""))</f>
        <v/>
      </c>
      <c r="O493" s="40" t="str">
        <f>IF($K493="","",IFERROR(VLOOKUP($K493,Grinders!$A$4:$N$998,5,FALSE),""))</f>
        <v/>
      </c>
      <c r="P493" s="40" t="str">
        <f>IF($K493="","",IF($C$4="",0,COUNTIFS(Assignments!$B$6:$B$1000,$K493,Assignments!$F$6:$F$1000,$C$4,Assignments!$E$6:$E$1000,"Active")))</f>
        <v/>
      </c>
      <c r="Q493" s="40" t="str">
        <f t="shared" si="3"/>
        <v/>
      </c>
      <c r="R493" s="40" t="str">
        <f t="shared" si="4"/>
        <v/>
      </c>
      <c r="S493" s="40" t="str">
        <f>IF($K493="","",IF($C$4="",0,COUNTIFS(Assignments!$B$6:$B$1000,$K493,Assignments!$F$6:$F$1000,$C$4,Assignments!$D$6:$D$1000,"&gt;="&amp;Config!$B$3-7,Assignments!$D$6:$D$1000,"&lt;="&amp;Config!$B$3)))</f>
        <v/>
      </c>
      <c r="T493" s="40" t="str">
        <f>IF($K493="","",IFERROR(VLOOKUP($K493,Grinders!$A$4:$N$998,8,FALSE),""))</f>
        <v/>
      </c>
      <c r="U493" s="40" t="str">
        <f>IFERROR(IF($K493="","",IF($M493="Elite",MAX(50,MIN(100,Config!$B$27*MAX(0,MIN(100,(1-IF($R493="",0,$R493))*100)) + Config!$B$28*MAX(0,MIN(100,(1-MIN(1,IF(Config!$B$30=0,1,$S493/Config!$B$30)))*100)) + Config!$B$29*MAX(0,MIN(100,MIN(1,IF($T493="",0,$T493)/Config!$B$23)*100)))),MIN(100,Config!$B$27*MAX(0,MIN(100,(1-IF($R493="",0,$R493))*100)) + Config!$B$28*MAX(0,MIN(100,(1-MIN(1,IF(Config!$B$30=0,1,$S493/Config!$B$30)))*100)) + Config!$B$29*MAX(0,MIN(100,MIN(1,IF($T493="",0,$T493)/Config!$B$23)*100))))),"")
</f>
        <v/>
      </c>
      <c r="V493" s="40" t="str">
        <f>IF(Bids!$AC493="","",Bids!$AC493)</f>
        <v/>
      </c>
      <c r="W493" s="40" t="str">
        <f>IF(Bids!$F492="","",Bids!$F492)</f>
        <v/>
      </c>
      <c r="X493" s="40" t="str">
        <f t="shared" si="5"/>
        <v/>
      </c>
      <c r="Y493" s="40" t="str">
        <f>IF($X493="","",IF(Config!$B$17=Config!$B$16,IF($X493&gt;=Config!$B$17,100,0),MAX(0,MIN(100,($X493-Config!$B$16)/(Config!$B$17-Config!$B$16)*100))))</f>
        <v/>
      </c>
      <c r="Z493" s="40">
        <f>IF($M493="Elite",Config!$B$21,0)</f>
        <v>0</v>
      </c>
      <c r="AA493" s="40" t="str">
        <f>IFERROR(IF(OR($W493="",$H493=""),"",IF($W493&gt;$H493,
  MAX(0, 60-(($W493-$H493)*24/Config!$B$19)*60),
  MIN(100, 60+(($H493-$W493)*24/Config!$B$20)*40)
)),"")
</f>
        <v/>
      </c>
      <c r="AB493" s="40" t="str">
        <f>IF($K493="","",IFERROR(VLOOKUP($K493,Grinders!$A$4:$N$998,10,FALSE)/5*100,""))</f>
        <v/>
      </c>
      <c r="AC493" s="40" t="str">
        <f>IF($K493="","",IFERROR(VLOOKUP($K493,Grinders!$A$4:$N$998,11,FALSE)*100,""))</f>
        <v/>
      </c>
      <c r="AD493" s="40" t="str">
        <f>IF($K493="","",IFERROR(VLOOKUP($K493,Grinders!$A$4:$N$998,12,FALSE)*100,""))</f>
        <v/>
      </c>
      <c r="AE493" s="40" t="str">
        <f>IF(OR(AO493=1,AP493=1),0,=IFERROR(IFS(
    OR($C493="", $K493=""), 0,
    $F493=0, 0,
    $D493&lt;&gt;"Open", 0,
    COUNTIFS(GrinderServices!$A$6:$A$1000, $K493, GrinderServices!$B$6:$B$1000, $E493, GrinderServices!$D$6:$D$1000, "Y")=0, 0,
    $X493&lt;Config!$B$16, 0,
    Config!$B$18=1, IF($O493&gt;=N493, 0, 1),
    TRUE, 1
), "")
)</f>
        <v>#ERROR!</v>
      </c>
      <c r="AF493" s="40" t="str">
        <f>IFERROR((IF(OR(AO493=1,AP493=1),"",=IFERROR((IFERROR(IF($AE493=0,"",((Config!$B$6*$Y493 + Config!$B$7*$U493 + Config!$B$8*$Z493 + Config!$B$9*$AA493 + Config!$B$10*$AB493 + Config!$B$11*$AC493 - Config!$B$12*$AD493)/Config!$B$13)+$AK493+$AL493),""))*(1-IFERROR(VLOOKUP(K493,Grinders!$A:$AB, 28, FALSE),0)),"")))*(1+AR493),"")</f>
        <v>#ERROR!</v>
      </c>
      <c r="AG493" s="40" t="str">
        <f t="shared" si="6"/>
        <v>#ERROR!</v>
      </c>
      <c r="AH493" s="40" t="str">
        <f t="shared" si="7"/>
        <v/>
      </c>
      <c r="AI493" s="40" t="str">
        <f t="shared" si="8"/>
        <v/>
      </c>
      <c r="AJ493" s="40" t="str">
        <f>IF($K493="","",COUNTIF(Assignments!$B$6:$B$1000,$K493))</f>
        <v/>
      </c>
      <c r="AK493" s="40" t="str">
        <f>IF($K493="","",IF(AND($AJ493=0,$O493&lt;$N493),Config!$B$43,0))</f>
        <v/>
      </c>
      <c r="AL493" s="40" t="str">
        <f>IF($K493="","",IF(AND($M493="Elite",$G493&gt;=Config!$B$41,$O493&lt;$N493),Config!$B$42,0))</f>
        <v/>
      </c>
      <c r="AM493" s="22"/>
      <c r="AN493" s="39">
        <f>IFERROR(VLOOKUP(K493,Grinders!$A:$Q,28,FALSE),0)</f>
        <v>0</v>
      </c>
      <c r="AO493" s="39">
        <f>IF(Config!$B$1003&lt;&gt;"Y",0,IF(IFERROR(VLOOKUP(K493,Grinders!$A:$P,27,FALSE),0)&gt;=3,IF(OR(G493&gt;=Config!$B$1001,ISNUMBER(SEARCH(E493,Config!$B$1002))),1,0),0))</f>
        <v>0</v>
      </c>
      <c r="AP493" s="39">
        <f t="array" ref="AP493">IFERROR(IF(INDEX(Bids!$AE:$AE,MATCH(B493,Bids!$A:$A,0))="Pending",1,0),0)</f>
        <v>0</v>
      </c>
      <c r="AQ493" s="39" t="str">
        <f t="array" ref="AQ493">IF(C493="","",IFERROR(XLOOKUP(C493,Assignments!$C:$C,Assignments!$AU:$AU,0),0))</f>
        <v/>
      </c>
      <c r="AR493" s="39">
        <f>IF(AND(Config!$B$1006="Y",AQ493=1),Config!$B$1007,0)</f>
        <v>0</v>
      </c>
    </row>
    <row r="494" ht="15.75" customHeight="1">
      <c r="A494" s="46" t="str">
        <f t="shared" si="1"/>
        <v/>
      </c>
      <c r="B494" s="40" t="str">
        <f>IF(Bids!$A493="","",Bids!$A493)</f>
        <v/>
      </c>
      <c r="C494" s="40" t="str">
        <f>IF(Bids!$B493="","",Bids!$B493)</f>
        <v/>
      </c>
      <c r="D494" s="40" t="str">
        <f>IF($C494="","",IFERROR(VLOOKUP($C494,Orders!$A$4:$J$998,9,FALSE),""))</f>
        <v/>
      </c>
      <c r="E494" s="40" t="str">
        <f>IF($C494="","",IFERROR(VLOOKUP($C494,Orders!$A$4:$J$998,3,FALSE),""))</f>
        <v/>
      </c>
      <c r="F494" s="40">
        <f t="shared" si="2"/>
        <v>1</v>
      </c>
      <c r="G494" s="40" t="str">
        <f>IF($C494="","",IFERROR(VLOOKUP($C494,Orders!$A$4:$J$998,4,FALSE),""))</f>
        <v/>
      </c>
      <c r="H494" s="40" t="str">
        <f>IF($C494="","",IFERROR(VLOOKUP($C494,Orders!$A$4:$J$998,5,FALSE),""))</f>
        <v/>
      </c>
      <c r="I494" s="40" t="str">
        <f>IF($C494="","",IFERROR(VLOOKUP($C494,Orders!$A$4:$J$998,6,FALSE),""))</f>
        <v/>
      </c>
      <c r="J494" s="40" t="str">
        <f>IF($C494="","",IFERROR(VLOOKUP($C494,Orders!$A$4:$J$998,7,FALSE),""))</f>
        <v/>
      </c>
      <c r="K494" s="40" t="str">
        <f>IF(Bids!$C493="","",Bids!$C493)</f>
        <v/>
      </c>
      <c r="L494" s="40" t="str">
        <f>IF($K494="","",IFERROR(VLOOKUP($K494,Grinders!$A$4:$N$998,2,FALSE),""))</f>
        <v/>
      </c>
      <c r="M494" s="40" t="str">
        <f>IF($K494="","",IFERROR(VLOOKUP($K494,Grinders!$A$4:$N$998,3,FALSE),""))</f>
        <v/>
      </c>
      <c r="N494" s="40" t="str">
        <f>IF($K494="","",IFERROR(VLOOKUP($K494,Grinders!$A$4:$N$998,4,FALSE),""))</f>
        <v/>
      </c>
      <c r="O494" s="40" t="str">
        <f>IF($K494="","",IFERROR(VLOOKUP($K494,Grinders!$A$4:$N$998,5,FALSE),""))</f>
        <v/>
      </c>
      <c r="P494" s="40" t="str">
        <f>IF($K494="","",IF($C$4="",0,COUNTIFS(Assignments!$B$6:$B$1000,$K494,Assignments!$F$6:$F$1000,$C$4,Assignments!$E$6:$E$1000,"Active")))</f>
        <v/>
      </c>
      <c r="Q494" s="40" t="str">
        <f t="shared" si="3"/>
        <v/>
      </c>
      <c r="R494" s="40" t="str">
        <f t="shared" si="4"/>
        <v/>
      </c>
      <c r="S494" s="40" t="str">
        <f>IF($K494="","",IF($C$4="",0,COUNTIFS(Assignments!$B$6:$B$1000,$K494,Assignments!$F$6:$F$1000,$C$4,Assignments!$D$6:$D$1000,"&gt;="&amp;Config!$B$3-7,Assignments!$D$6:$D$1000,"&lt;="&amp;Config!$B$3)))</f>
        <v/>
      </c>
      <c r="T494" s="40" t="str">
        <f>IF($K494="","",IFERROR(VLOOKUP($K494,Grinders!$A$4:$N$998,8,FALSE),""))</f>
        <v/>
      </c>
      <c r="U494" s="40" t="str">
        <f>IFERROR(IF($K494="","",IF($M494="Elite",MAX(50,MIN(100,Config!$B$27*MAX(0,MIN(100,(1-IF($R494="",0,$R494))*100)) + Config!$B$28*MAX(0,MIN(100,(1-MIN(1,IF(Config!$B$30=0,1,$S494/Config!$B$30)))*100)) + Config!$B$29*MAX(0,MIN(100,MIN(1,IF($T494="",0,$T494)/Config!$B$23)*100)))),MIN(100,Config!$B$27*MAX(0,MIN(100,(1-IF($R494="",0,$R494))*100)) + Config!$B$28*MAX(0,MIN(100,(1-MIN(1,IF(Config!$B$30=0,1,$S494/Config!$B$30)))*100)) + Config!$B$29*MAX(0,MIN(100,MIN(1,IF($T494="",0,$T494)/Config!$B$23)*100))))),"")
</f>
        <v/>
      </c>
      <c r="V494" s="40" t="str">
        <f>IF(Bids!$AC494="","",Bids!$AC494)</f>
        <v/>
      </c>
      <c r="W494" s="40" t="str">
        <f>IF(Bids!$F493="","",Bids!$F493)</f>
        <v/>
      </c>
      <c r="X494" s="40" t="str">
        <f t="shared" si="5"/>
        <v/>
      </c>
      <c r="Y494" s="40" t="str">
        <f>IF($X494="","",IF(Config!$B$17=Config!$B$16,IF($X494&gt;=Config!$B$17,100,0),MAX(0,MIN(100,($X494-Config!$B$16)/(Config!$B$17-Config!$B$16)*100))))</f>
        <v/>
      </c>
      <c r="Z494" s="40">
        <f>IF($M494="Elite",Config!$B$21,0)</f>
        <v>0</v>
      </c>
      <c r="AA494" s="40" t="str">
        <f>IFERROR(IF(OR($W494="",$H494=""),"",IF($W494&gt;$H494,
  MAX(0, 60-(($W494-$H494)*24/Config!$B$19)*60),
  MIN(100, 60+(($H494-$W494)*24/Config!$B$20)*40)
)),"")
</f>
        <v/>
      </c>
      <c r="AB494" s="40" t="str">
        <f>IF($K494="","",IFERROR(VLOOKUP($K494,Grinders!$A$4:$N$998,10,FALSE)/5*100,""))</f>
        <v/>
      </c>
      <c r="AC494" s="40" t="str">
        <f>IF($K494="","",IFERROR(VLOOKUP($K494,Grinders!$A$4:$N$998,11,FALSE)*100,""))</f>
        <v/>
      </c>
      <c r="AD494" s="40" t="str">
        <f>IF($K494="","",IFERROR(VLOOKUP($K494,Grinders!$A$4:$N$998,12,FALSE)*100,""))</f>
        <v/>
      </c>
      <c r="AE494" s="40" t="str">
        <f>IF(OR(AO494=1,AP494=1),0,=IFERROR(IFS(
    OR($C494="", $K494=""), 0,
    $F494=0, 0,
    $D494&lt;&gt;"Open", 0,
    COUNTIFS(GrinderServices!$A$6:$A$1000, $K494, GrinderServices!$B$6:$B$1000, $E494, GrinderServices!$D$6:$D$1000, "Y")=0, 0,
    $X494&lt;Config!$B$16, 0,
    Config!$B$18=1, IF($O494&gt;=N494, 0, 1),
    TRUE, 1
), "")
)</f>
        <v>#ERROR!</v>
      </c>
      <c r="AF494" s="40" t="str">
        <f>IFERROR((IF(OR(AO494=1,AP494=1),"",=IFERROR((IFERROR(IF($AE494=0,"",((Config!$B$6*$Y494 + Config!$B$7*$U494 + Config!$B$8*$Z494 + Config!$B$9*$AA494 + Config!$B$10*$AB494 + Config!$B$11*$AC494 - Config!$B$12*$AD494)/Config!$B$13)+$AK494+$AL494),""))*(1-IFERROR(VLOOKUP(K494,Grinders!$A:$AB, 28, FALSE),0)),"")))*(1+AR494),"")</f>
        <v>#ERROR!</v>
      </c>
      <c r="AG494" s="40" t="str">
        <f t="shared" si="6"/>
        <v>#ERROR!</v>
      </c>
      <c r="AH494" s="40" t="str">
        <f t="shared" si="7"/>
        <v/>
      </c>
      <c r="AI494" s="40" t="str">
        <f t="shared" si="8"/>
        <v/>
      </c>
      <c r="AJ494" s="40" t="str">
        <f>IF($K494="","",COUNTIF(Assignments!$B$6:$B$1000,$K494))</f>
        <v/>
      </c>
      <c r="AK494" s="40" t="str">
        <f>IF($K494="","",IF(AND($AJ494=0,$O494&lt;$N494),Config!$B$43,0))</f>
        <v/>
      </c>
      <c r="AL494" s="40" t="str">
        <f>IF($K494="","",IF(AND($M494="Elite",$G494&gt;=Config!$B$41,$O494&lt;$N494),Config!$B$42,0))</f>
        <v/>
      </c>
      <c r="AM494" s="22"/>
      <c r="AN494" s="39">
        <f>IFERROR(VLOOKUP(K494,Grinders!$A:$Q,28,FALSE),0)</f>
        <v>0</v>
      </c>
      <c r="AO494" s="39">
        <f>IF(Config!$B$1003&lt;&gt;"Y",0,IF(IFERROR(VLOOKUP(K494,Grinders!$A:$P,27,FALSE),0)&gt;=3,IF(OR(G494&gt;=Config!$B$1001,ISNUMBER(SEARCH(E494,Config!$B$1002))),1,0),0))</f>
        <v>0</v>
      </c>
      <c r="AP494" s="39">
        <f t="array" ref="AP494">IFERROR(IF(INDEX(Bids!$AE:$AE,MATCH(B494,Bids!$A:$A,0))="Pending",1,0),0)</f>
        <v>0</v>
      </c>
      <c r="AQ494" s="39" t="str">
        <f t="array" ref="AQ494">IF(C494="","",IFERROR(XLOOKUP(C494,Assignments!$C:$C,Assignments!$AU:$AU,0),0))</f>
        <v/>
      </c>
      <c r="AR494" s="39">
        <f>IF(AND(Config!$B$1006="Y",AQ494=1),Config!$B$1007,0)</f>
        <v>0</v>
      </c>
    </row>
    <row r="495" ht="15.75" customHeight="1">
      <c r="A495" s="46" t="str">
        <f t="shared" si="1"/>
        <v/>
      </c>
      <c r="B495" s="40" t="str">
        <f>IF(Bids!$A494="","",Bids!$A494)</f>
        <v/>
      </c>
      <c r="C495" s="40" t="str">
        <f>IF(Bids!$B494="","",Bids!$B494)</f>
        <v/>
      </c>
      <c r="D495" s="40" t="str">
        <f>IF($C495="","",IFERROR(VLOOKUP($C495,Orders!$A$4:$J$998,9,FALSE),""))</f>
        <v/>
      </c>
      <c r="E495" s="40" t="str">
        <f>IF($C495="","",IFERROR(VLOOKUP($C495,Orders!$A$4:$J$998,3,FALSE),""))</f>
        <v/>
      </c>
      <c r="F495" s="40">
        <f t="shared" si="2"/>
        <v>1</v>
      </c>
      <c r="G495" s="40" t="str">
        <f>IF($C495="","",IFERROR(VLOOKUP($C495,Orders!$A$4:$J$998,4,FALSE),""))</f>
        <v/>
      </c>
      <c r="H495" s="40" t="str">
        <f>IF($C495="","",IFERROR(VLOOKUP($C495,Orders!$A$4:$J$998,5,FALSE),""))</f>
        <v/>
      </c>
      <c r="I495" s="40" t="str">
        <f>IF($C495="","",IFERROR(VLOOKUP($C495,Orders!$A$4:$J$998,6,FALSE),""))</f>
        <v/>
      </c>
      <c r="J495" s="40" t="str">
        <f>IF($C495="","",IFERROR(VLOOKUP($C495,Orders!$A$4:$J$998,7,FALSE),""))</f>
        <v/>
      </c>
      <c r="K495" s="40" t="str">
        <f>IF(Bids!$C494="","",Bids!$C494)</f>
        <v/>
      </c>
      <c r="L495" s="40" t="str">
        <f>IF($K495="","",IFERROR(VLOOKUP($K495,Grinders!$A$4:$N$998,2,FALSE),""))</f>
        <v/>
      </c>
      <c r="M495" s="40" t="str">
        <f>IF($K495="","",IFERROR(VLOOKUP($K495,Grinders!$A$4:$N$998,3,FALSE),""))</f>
        <v/>
      </c>
      <c r="N495" s="40" t="str">
        <f>IF($K495="","",IFERROR(VLOOKUP($K495,Grinders!$A$4:$N$998,4,FALSE),""))</f>
        <v/>
      </c>
      <c r="O495" s="40" t="str">
        <f>IF($K495="","",IFERROR(VLOOKUP($K495,Grinders!$A$4:$N$998,5,FALSE),""))</f>
        <v/>
      </c>
      <c r="P495" s="40" t="str">
        <f>IF($K495="","",IF($C$4="",0,COUNTIFS(Assignments!$B$6:$B$1000,$K495,Assignments!$F$6:$F$1000,$C$4,Assignments!$E$6:$E$1000,"Active")))</f>
        <v/>
      </c>
      <c r="Q495" s="40" t="str">
        <f t="shared" si="3"/>
        <v/>
      </c>
      <c r="R495" s="40" t="str">
        <f t="shared" si="4"/>
        <v/>
      </c>
      <c r="S495" s="40" t="str">
        <f>IF($K495="","",IF($C$4="",0,COUNTIFS(Assignments!$B$6:$B$1000,$K495,Assignments!$F$6:$F$1000,$C$4,Assignments!$D$6:$D$1000,"&gt;="&amp;Config!$B$3-7,Assignments!$D$6:$D$1000,"&lt;="&amp;Config!$B$3)))</f>
        <v/>
      </c>
      <c r="T495" s="40" t="str">
        <f>IF($K495="","",IFERROR(VLOOKUP($K495,Grinders!$A$4:$N$998,8,FALSE),""))</f>
        <v/>
      </c>
      <c r="U495" s="40" t="str">
        <f>IFERROR(IF($K495="","",IF($M495="Elite",MAX(50,MIN(100,Config!$B$27*MAX(0,MIN(100,(1-IF($R495="",0,$R495))*100)) + Config!$B$28*MAX(0,MIN(100,(1-MIN(1,IF(Config!$B$30=0,1,$S495/Config!$B$30)))*100)) + Config!$B$29*MAX(0,MIN(100,MIN(1,IF($T495="",0,$T495)/Config!$B$23)*100)))),MIN(100,Config!$B$27*MAX(0,MIN(100,(1-IF($R495="",0,$R495))*100)) + Config!$B$28*MAX(0,MIN(100,(1-MIN(1,IF(Config!$B$30=0,1,$S495/Config!$B$30)))*100)) + Config!$B$29*MAX(0,MIN(100,MIN(1,IF($T495="",0,$T495)/Config!$B$23)*100))))),"")
</f>
        <v/>
      </c>
      <c r="V495" s="40" t="str">
        <f>IF(Bids!$AC495="","",Bids!$AC495)</f>
        <v/>
      </c>
      <c r="W495" s="40" t="str">
        <f>IF(Bids!$F494="","",Bids!$F494)</f>
        <v/>
      </c>
      <c r="X495" s="40" t="str">
        <f t="shared" si="5"/>
        <v/>
      </c>
      <c r="Y495" s="40" t="str">
        <f>IF($X495="","",IF(Config!$B$17=Config!$B$16,IF($X495&gt;=Config!$B$17,100,0),MAX(0,MIN(100,($X495-Config!$B$16)/(Config!$B$17-Config!$B$16)*100))))</f>
        <v/>
      </c>
      <c r="Z495" s="40">
        <f>IF($M495="Elite",Config!$B$21,0)</f>
        <v>0</v>
      </c>
      <c r="AA495" s="40" t="str">
        <f>IFERROR(IF(OR($W495="",$H495=""),"",IF($W495&gt;$H495,
  MAX(0, 60-(($W495-$H495)*24/Config!$B$19)*60),
  MIN(100, 60+(($H495-$W495)*24/Config!$B$20)*40)
)),"")
</f>
        <v/>
      </c>
      <c r="AB495" s="40" t="str">
        <f>IF($K495="","",IFERROR(VLOOKUP($K495,Grinders!$A$4:$N$998,10,FALSE)/5*100,""))</f>
        <v/>
      </c>
      <c r="AC495" s="40" t="str">
        <f>IF($K495="","",IFERROR(VLOOKUP($K495,Grinders!$A$4:$N$998,11,FALSE)*100,""))</f>
        <v/>
      </c>
      <c r="AD495" s="40" t="str">
        <f>IF($K495="","",IFERROR(VLOOKUP($K495,Grinders!$A$4:$N$998,12,FALSE)*100,""))</f>
        <v/>
      </c>
      <c r="AE495" s="40" t="str">
        <f>IF(OR(AO495=1,AP495=1),0,=IFERROR(IFS(
    OR($C495="", $K495=""), 0,
    $F495=0, 0,
    $D495&lt;&gt;"Open", 0,
    COUNTIFS(GrinderServices!$A$6:$A$1000, $K495, GrinderServices!$B$6:$B$1000, $E495, GrinderServices!$D$6:$D$1000, "Y")=0, 0,
    $X495&lt;Config!$B$16, 0,
    Config!$B$18=1, IF($O495&gt;=N495, 0, 1),
    TRUE, 1
), "")
)</f>
        <v>#ERROR!</v>
      </c>
      <c r="AF495" s="40" t="str">
        <f>IFERROR((IF(OR(AO495=1,AP495=1),"",=IFERROR((IFERROR(IF($AE495=0,"",((Config!$B$6*$Y495 + Config!$B$7*$U495 + Config!$B$8*$Z495 + Config!$B$9*$AA495 + Config!$B$10*$AB495 + Config!$B$11*$AC495 - Config!$B$12*$AD495)/Config!$B$13)+$AK495+$AL495),""))*(1-IFERROR(VLOOKUP(K495,Grinders!$A:$AB, 28, FALSE),0)),"")))*(1+AR495),"")</f>
        <v>#ERROR!</v>
      </c>
      <c r="AG495" s="40" t="str">
        <f t="shared" si="6"/>
        <v>#ERROR!</v>
      </c>
      <c r="AH495" s="40" t="str">
        <f t="shared" si="7"/>
        <v/>
      </c>
      <c r="AI495" s="40" t="str">
        <f t="shared" si="8"/>
        <v/>
      </c>
      <c r="AJ495" s="40" t="str">
        <f>IF($K495="","",COUNTIF(Assignments!$B$6:$B$1000,$K495))</f>
        <v/>
      </c>
      <c r="AK495" s="40" t="str">
        <f>IF($K495="","",IF(AND($AJ495=0,$O495&lt;$N495),Config!$B$43,0))</f>
        <v/>
      </c>
      <c r="AL495" s="40" t="str">
        <f>IF($K495="","",IF(AND($M495="Elite",$G495&gt;=Config!$B$41,$O495&lt;$N495),Config!$B$42,0))</f>
        <v/>
      </c>
      <c r="AM495" s="22"/>
      <c r="AN495" s="39">
        <f>IFERROR(VLOOKUP(K495,Grinders!$A:$Q,28,FALSE),0)</f>
        <v>0</v>
      </c>
      <c r="AO495" s="39">
        <f>IF(Config!$B$1003&lt;&gt;"Y",0,IF(IFERROR(VLOOKUP(K495,Grinders!$A:$P,27,FALSE),0)&gt;=3,IF(OR(G495&gt;=Config!$B$1001,ISNUMBER(SEARCH(E495,Config!$B$1002))),1,0),0))</f>
        <v>0</v>
      </c>
      <c r="AP495" s="39">
        <f t="array" ref="AP495">IFERROR(IF(INDEX(Bids!$AE:$AE,MATCH(B495,Bids!$A:$A,0))="Pending",1,0),0)</f>
        <v>0</v>
      </c>
      <c r="AQ495" s="39" t="str">
        <f t="array" ref="AQ495">IF(C495="","",IFERROR(XLOOKUP(C495,Assignments!$C:$C,Assignments!$AU:$AU,0),0))</f>
        <v/>
      </c>
      <c r="AR495" s="39">
        <f>IF(AND(Config!$B$1006="Y",AQ495=1),Config!$B$1007,0)</f>
        <v>0</v>
      </c>
    </row>
    <row r="496" ht="15.75" customHeight="1">
      <c r="A496" s="46" t="str">
        <f t="shared" si="1"/>
        <v/>
      </c>
      <c r="B496" s="40" t="str">
        <f>IF(Bids!$A495="","",Bids!$A495)</f>
        <v/>
      </c>
      <c r="C496" s="40" t="str">
        <f>IF(Bids!$B495="","",Bids!$B495)</f>
        <v/>
      </c>
      <c r="D496" s="40" t="str">
        <f>IF($C496="","",IFERROR(VLOOKUP($C496,Orders!$A$4:$J$998,9,FALSE),""))</f>
        <v/>
      </c>
      <c r="E496" s="40" t="str">
        <f>IF($C496="","",IFERROR(VLOOKUP($C496,Orders!$A$4:$J$998,3,FALSE),""))</f>
        <v/>
      </c>
      <c r="F496" s="40">
        <f t="shared" si="2"/>
        <v>1</v>
      </c>
      <c r="G496" s="40" t="str">
        <f>IF($C496="","",IFERROR(VLOOKUP($C496,Orders!$A$4:$J$998,4,FALSE),""))</f>
        <v/>
      </c>
      <c r="H496" s="40" t="str">
        <f>IF($C496="","",IFERROR(VLOOKUP($C496,Orders!$A$4:$J$998,5,FALSE),""))</f>
        <v/>
      </c>
      <c r="I496" s="40" t="str">
        <f>IF($C496="","",IFERROR(VLOOKUP($C496,Orders!$A$4:$J$998,6,FALSE),""))</f>
        <v/>
      </c>
      <c r="J496" s="40" t="str">
        <f>IF($C496="","",IFERROR(VLOOKUP($C496,Orders!$A$4:$J$998,7,FALSE),""))</f>
        <v/>
      </c>
      <c r="K496" s="40" t="str">
        <f>IF(Bids!$C495="","",Bids!$C495)</f>
        <v/>
      </c>
      <c r="L496" s="40" t="str">
        <f>IF($K496="","",IFERROR(VLOOKUP($K496,Grinders!$A$4:$N$998,2,FALSE),""))</f>
        <v/>
      </c>
      <c r="M496" s="40" t="str">
        <f>IF($K496="","",IFERROR(VLOOKUP($K496,Grinders!$A$4:$N$998,3,FALSE),""))</f>
        <v/>
      </c>
      <c r="N496" s="40" t="str">
        <f>IF($K496="","",IFERROR(VLOOKUP($K496,Grinders!$A$4:$N$998,4,FALSE),""))</f>
        <v/>
      </c>
      <c r="O496" s="40" t="str">
        <f>IF($K496="","",IFERROR(VLOOKUP($K496,Grinders!$A$4:$N$998,5,FALSE),""))</f>
        <v/>
      </c>
      <c r="P496" s="40" t="str">
        <f>IF($K496="","",IF($C$4="",0,COUNTIFS(Assignments!$B$6:$B$1000,$K496,Assignments!$F$6:$F$1000,$C$4,Assignments!$E$6:$E$1000,"Active")))</f>
        <v/>
      </c>
      <c r="Q496" s="40" t="str">
        <f t="shared" si="3"/>
        <v/>
      </c>
      <c r="R496" s="40" t="str">
        <f t="shared" si="4"/>
        <v/>
      </c>
      <c r="S496" s="40" t="str">
        <f>IF($K496="","",IF($C$4="",0,COUNTIFS(Assignments!$B$6:$B$1000,$K496,Assignments!$F$6:$F$1000,$C$4,Assignments!$D$6:$D$1000,"&gt;="&amp;Config!$B$3-7,Assignments!$D$6:$D$1000,"&lt;="&amp;Config!$B$3)))</f>
        <v/>
      </c>
      <c r="T496" s="40" t="str">
        <f>IF($K496="","",IFERROR(VLOOKUP($K496,Grinders!$A$4:$N$998,8,FALSE),""))</f>
        <v/>
      </c>
      <c r="U496" s="40" t="str">
        <f>IFERROR(IF($K496="","",IF($M496="Elite",MAX(50,MIN(100,Config!$B$27*MAX(0,MIN(100,(1-IF($R496="",0,$R496))*100)) + Config!$B$28*MAX(0,MIN(100,(1-MIN(1,IF(Config!$B$30=0,1,$S496/Config!$B$30)))*100)) + Config!$B$29*MAX(0,MIN(100,MIN(1,IF($T496="",0,$T496)/Config!$B$23)*100)))),MIN(100,Config!$B$27*MAX(0,MIN(100,(1-IF($R496="",0,$R496))*100)) + Config!$B$28*MAX(0,MIN(100,(1-MIN(1,IF(Config!$B$30=0,1,$S496/Config!$B$30)))*100)) + Config!$B$29*MAX(0,MIN(100,MIN(1,IF($T496="",0,$T496)/Config!$B$23)*100))))),"")
</f>
        <v/>
      </c>
      <c r="V496" s="40" t="str">
        <f>IF(Bids!$AC496="","",Bids!$AC496)</f>
        <v/>
      </c>
      <c r="W496" s="40" t="str">
        <f>IF(Bids!$F495="","",Bids!$F495)</f>
        <v/>
      </c>
      <c r="X496" s="40" t="str">
        <f t="shared" si="5"/>
        <v/>
      </c>
      <c r="Y496" s="40" t="str">
        <f>IF($X496="","",IF(Config!$B$17=Config!$B$16,IF($X496&gt;=Config!$B$17,100,0),MAX(0,MIN(100,($X496-Config!$B$16)/(Config!$B$17-Config!$B$16)*100))))</f>
        <v/>
      </c>
      <c r="Z496" s="40">
        <f>IF($M496="Elite",Config!$B$21,0)</f>
        <v>0</v>
      </c>
      <c r="AA496" s="40" t="str">
        <f>IFERROR(IF(OR($W496="",$H496=""),"",IF($W496&gt;$H496,
  MAX(0, 60-(($W496-$H496)*24/Config!$B$19)*60),
  MIN(100, 60+(($H496-$W496)*24/Config!$B$20)*40)
)),"")
</f>
        <v/>
      </c>
      <c r="AB496" s="40" t="str">
        <f>IF($K496="","",IFERROR(VLOOKUP($K496,Grinders!$A$4:$N$998,10,FALSE)/5*100,""))</f>
        <v/>
      </c>
      <c r="AC496" s="40" t="str">
        <f>IF($K496="","",IFERROR(VLOOKUP($K496,Grinders!$A$4:$N$998,11,FALSE)*100,""))</f>
        <v/>
      </c>
      <c r="AD496" s="40" t="str">
        <f>IF($K496="","",IFERROR(VLOOKUP($K496,Grinders!$A$4:$N$998,12,FALSE)*100,""))</f>
        <v/>
      </c>
      <c r="AE496" s="40" t="str">
        <f>IF(OR(AO496=1,AP496=1),0,=IFERROR(IFS(
    OR($C496="", $K496=""), 0,
    $F496=0, 0,
    $D496&lt;&gt;"Open", 0,
    COUNTIFS(GrinderServices!$A$6:$A$1000, $K496, GrinderServices!$B$6:$B$1000, $E496, GrinderServices!$D$6:$D$1000, "Y")=0, 0,
    $X496&lt;Config!$B$16, 0,
    Config!$B$18=1, IF($O496&gt;=N496, 0, 1),
    TRUE, 1
), "")
)</f>
        <v>#ERROR!</v>
      </c>
      <c r="AF496" s="40" t="str">
        <f>IFERROR((IF(OR(AO496=1,AP496=1),"",=IFERROR((IFERROR(IF($AE496=0,"",((Config!$B$6*$Y496 + Config!$B$7*$U496 + Config!$B$8*$Z496 + Config!$B$9*$AA496 + Config!$B$10*$AB496 + Config!$B$11*$AC496 - Config!$B$12*$AD496)/Config!$B$13)+$AK496+$AL496),""))*(1-IFERROR(VLOOKUP(K496,Grinders!$A:$AB, 28, FALSE),0)),"")))*(1+AR496),"")</f>
        <v>#ERROR!</v>
      </c>
      <c r="AG496" s="40" t="str">
        <f t="shared" si="6"/>
        <v>#ERROR!</v>
      </c>
      <c r="AH496" s="40" t="str">
        <f t="shared" si="7"/>
        <v/>
      </c>
      <c r="AI496" s="40" t="str">
        <f t="shared" si="8"/>
        <v/>
      </c>
      <c r="AJ496" s="40" t="str">
        <f>IF($K496="","",COUNTIF(Assignments!$B$6:$B$1000,$K496))</f>
        <v/>
      </c>
      <c r="AK496" s="40" t="str">
        <f>IF($K496="","",IF(AND($AJ496=0,$O496&lt;$N496),Config!$B$43,0))</f>
        <v/>
      </c>
      <c r="AL496" s="40" t="str">
        <f>IF($K496="","",IF(AND($M496="Elite",$G496&gt;=Config!$B$41,$O496&lt;$N496),Config!$B$42,0))</f>
        <v/>
      </c>
      <c r="AM496" s="22"/>
      <c r="AN496" s="39">
        <f>IFERROR(VLOOKUP(K496,Grinders!$A:$Q,28,FALSE),0)</f>
        <v>0</v>
      </c>
      <c r="AO496" s="39">
        <f>IF(Config!$B$1003&lt;&gt;"Y",0,IF(IFERROR(VLOOKUP(K496,Grinders!$A:$P,27,FALSE),0)&gt;=3,IF(OR(G496&gt;=Config!$B$1001,ISNUMBER(SEARCH(E496,Config!$B$1002))),1,0),0))</f>
        <v>0</v>
      </c>
      <c r="AP496" s="39">
        <f t="array" ref="AP496">IFERROR(IF(INDEX(Bids!$AE:$AE,MATCH(B496,Bids!$A:$A,0))="Pending",1,0),0)</f>
        <v>0</v>
      </c>
      <c r="AQ496" s="39" t="str">
        <f t="array" ref="AQ496">IF(C496="","",IFERROR(XLOOKUP(C496,Assignments!$C:$C,Assignments!$AU:$AU,0),0))</f>
        <v/>
      </c>
      <c r="AR496" s="39">
        <f>IF(AND(Config!$B$1006="Y",AQ496=1),Config!$B$1007,0)</f>
        <v>0</v>
      </c>
    </row>
    <row r="497" ht="15.75" customHeight="1">
      <c r="A497" s="46" t="str">
        <f t="shared" si="1"/>
        <v/>
      </c>
      <c r="B497" s="40" t="str">
        <f>IF(Bids!$A496="","",Bids!$A496)</f>
        <v/>
      </c>
      <c r="C497" s="40" t="str">
        <f>IF(Bids!$B496="","",Bids!$B496)</f>
        <v/>
      </c>
      <c r="D497" s="40" t="str">
        <f>IF($C497="","",IFERROR(VLOOKUP($C497,Orders!$A$4:$J$998,9,FALSE),""))</f>
        <v/>
      </c>
      <c r="E497" s="40" t="str">
        <f>IF($C497="","",IFERROR(VLOOKUP($C497,Orders!$A$4:$J$998,3,FALSE),""))</f>
        <v/>
      </c>
      <c r="F497" s="40">
        <f t="shared" si="2"/>
        <v>1</v>
      </c>
      <c r="G497" s="40" t="str">
        <f>IF($C497="","",IFERROR(VLOOKUP($C497,Orders!$A$4:$J$998,4,FALSE),""))</f>
        <v/>
      </c>
      <c r="H497" s="40" t="str">
        <f>IF($C497="","",IFERROR(VLOOKUP($C497,Orders!$A$4:$J$998,5,FALSE),""))</f>
        <v/>
      </c>
      <c r="I497" s="40" t="str">
        <f>IF($C497="","",IFERROR(VLOOKUP($C497,Orders!$A$4:$J$998,6,FALSE),""))</f>
        <v/>
      </c>
      <c r="J497" s="40" t="str">
        <f>IF($C497="","",IFERROR(VLOOKUP($C497,Orders!$A$4:$J$998,7,FALSE),""))</f>
        <v/>
      </c>
      <c r="K497" s="40" t="str">
        <f>IF(Bids!$C496="","",Bids!$C496)</f>
        <v/>
      </c>
      <c r="L497" s="40" t="str">
        <f>IF($K497="","",IFERROR(VLOOKUP($K497,Grinders!$A$4:$N$998,2,FALSE),""))</f>
        <v/>
      </c>
      <c r="M497" s="40" t="str">
        <f>IF($K497="","",IFERROR(VLOOKUP($K497,Grinders!$A$4:$N$998,3,FALSE),""))</f>
        <v/>
      </c>
      <c r="N497" s="40" t="str">
        <f>IF($K497="","",IFERROR(VLOOKUP($K497,Grinders!$A$4:$N$998,4,FALSE),""))</f>
        <v/>
      </c>
      <c r="O497" s="40" t="str">
        <f>IF($K497="","",IFERROR(VLOOKUP($K497,Grinders!$A$4:$N$998,5,FALSE),""))</f>
        <v/>
      </c>
      <c r="P497" s="40" t="str">
        <f>IF($K497="","",IF($C$4="",0,COUNTIFS(Assignments!$B$6:$B$1000,$K497,Assignments!$F$6:$F$1000,$C$4,Assignments!$E$6:$E$1000,"Active")))</f>
        <v/>
      </c>
      <c r="Q497" s="40" t="str">
        <f t="shared" si="3"/>
        <v/>
      </c>
      <c r="R497" s="40" t="str">
        <f t="shared" si="4"/>
        <v/>
      </c>
      <c r="S497" s="40" t="str">
        <f>IF($K497="","",IF($C$4="",0,COUNTIFS(Assignments!$B$6:$B$1000,$K497,Assignments!$F$6:$F$1000,$C$4,Assignments!$D$6:$D$1000,"&gt;="&amp;Config!$B$3-7,Assignments!$D$6:$D$1000,"&lt;="&amp;Config!$B$3)))</f>
        <v/>
      </c>
      <c r="T497" s="40" t="str">
        <f>IF($K497="","",IFERROR(VLOOKUP($K497,Grinders!$A$4:$N$998,8,FALSE),""))</f>
        <v/>
      </c>
      <c r="U497" s="40" t="str">
        <f>IFERROR(IF($K497="","",IF($M497="Elite",MAX(50,MIN(100,Config!$B$27*MAX(0,MIN(100,(1-IF($R497="",0,$R497))*100)) + Config!$B$28*MAX(0,MIN(100,(1-MIN(1,IF(Config!$B$30=0,1,$S497/Config!$B$30)))*100)) + Config!$B$29*MAX(0,MIN(100,MIN(1,IF($T497="",0,$T497)/Config!$B$23)*100)))),MIN(100,Config!$B$27*MAX(0,MIN(100,(1-IF($R497="",0,$R497))*100)) + Config!$B$28*MAX(0,MIN(100,(1-MIN(1,IF(Config!$B$30=0,1,$S497/Config!$B$30)))*100)) + Config!$B$29*MAX(0,MIN(100,MIN(1,IF($T497="",0,$T497)/Config!$B$23)*100))))),"")
</f>
        <v/>
      </c>
      <c r="V497" s="40" t="str">
        <f>IF(Bids!$AC497="","",Bids!$AC497)</f>
        <v/>
      </c>
      <c r="W497" s="40" t="str">
        <f>IF(Bids!$F496="","",Bids!$F496)</f>
        <v/>
      </c>
      <c r="X497" s="40" t="str">
        <f t="shared" si="5"/>
        <v/>
      </c>
      <c r="Y497" s="40" t="str">
        <f>IF($X497="","",IF(Config!$B$17=Config!$B$16,IF($X497&gt;=Config!$B$17,100,0),MAX(0,MIN(100,($X497-Config!$B$16)/(Config!$B$17-Config!$B$16)*100))))</f>
        <v/>
      </c>
      <c r="Z497" s="40">
        <f>IF($M497="Elite",Config!$B$21,0)</f>
        <v>0</v>
      </c>
      <c r="AA497" s="40" t="str">
        <f>IFERROR(IF(OR($W497="",$H497=""),"",IF($W497&gt;$H497,
  MAX(0, 60-(($W497-$H497)*24/Config!$B$19)*60),
  MIN(100, 60+(($H497-$W497)*24/Config!$B$20)*40)
)),"")
</f>
        <v/>
      </c>
      <c r="AB497" s="40" t="str">
        <f>IF($K497="","",IFERROR(VLOOKUP($K497,Grinders!$A$4:$N$998,10,FALSE)/5*100,""))</f>
        <v/>
      </c>
      <c r="AC497" s="40" t="str">
        <f>IF($K497="","",IFERROR(VLOOKUP($K497,Grinders!$A$4:$N$998,11,FALSE)*100,""))</f>
        <v/>
      </c>
      <c r="AD497" s="40" t="str">
        <f>IF($K497="","",IFERROR(VLOOKUP($K497,Grinders!$A$4:$N$998,12,FALSE)*100,""))</f>
        <v/>
      </c>
      <c r="AE497" s="40" t="str">
        <f>IF(OR(AO497=1,AP497=1),0,=IFERROR(IFS(
    OR($C497="", $K497=""), 0,
    $F497=0, 0,
    $D497&lt;&gt;"Open", 0,
    COUNTIFS(GrinderServices!$A$6:$A$1000, $K497, GrinderServices!$B$6:$B$1000, $E497, GrinderServices!$D$6:$D$1000, "Y")=0, 0,
    $X497&lt;Config!$B$16, 0,
    Config!$B$18=1, IF($O497&gt;=N497, 0, 1),
    TRUE, 1
), "")
)</f>
        <v>#ERROR!</v>
      </c>
      <c r="AF497" s="40" t="str">
        <f>IFERROR((IF(OR(AO497=1,AP497=1),"",=IFERROR((IFERROR(IF($AE497=0,"",((Config!$B$6*$Y497 + Config!$B$7*$U497 + Config!$B$8*$Z497 + Config!$B$9*$AA497 + Config!$B$10*$AB497 + Config!$B$11*$AC497 - Config!$B$12*$AD497)/Config!$B$13)+$AK497+$AL497),""))*(1-IFERROR(VLOOKUP(K497,Grinders!$A:$AB, 28, FALSE),0)),"")))*(1+AR497),"")</f>
        <v>#ERROR!</v>
      </c>
      <c r="AG497" s="40" t="str">
        <f t="shared" si="6"/>
        <v>#ERROR!</v>
      </c>
      <c r="AH497" s="40" t="str">
        <f t="shared" si="7"/>
        <v/>
      </c>
      <c r="AI497" s="40" t="str">
        <f t="shared" si="8"/>
        <v/>
      </c>
      <c r="AJ497" s="40" t="str">
        <f>IF($K497="","",COUNTIF(Assignments!$B$6:$B$1000,$K497))</f>
        <v/>
      </c>
      <c r="AK497" s="40" t="str">
        <f>IF($K497="","",IF(AND($AJ497=0,$O497&lt;$N497),Config!$B$43,0))</f>
        <v/>
      </c>
      <c r="AL497" s="40" t="str">
        <f>IF($K497="","",IF(AND($M497="Elite",$G497&gt;=Config!$B$41,$O497&lt;$N497),Config!$B$42,0))</f>
        <v/>
      </c>
      <c r="AM497" s="22"/>
      <c r="AN497" s="39">
        <f>IFERROR(VLOOKUP(K497,Grinders!$A:$Q,28,FALSE),0)</f>
        <v>0</v>
      </c>
      <c r="AO497" s="39">
        <f>IF(Config!$B$1003&lt;&gt;"Y",0,IF(IFERROR(VLOOKUP(K497,Grinders!$A:$P,27,FALSE),0)&gt;=3,IF(OR(G497&gt;=Config!$B$1001,ISNUMBER(SEARCH(E497,Config!$B$1002))),1,0),0))</f>
        <v>0</v>
      </c>
      <c r="AP497" s="39">
        <f t="array" ref="AP497">IFERROR(IF(INDEX(Bids!$AE:$AE,MATCH(B497,Bids!$A:$A,0))="Pending",1,0),0)</f>
        <v>0</v>
      </c>
      <c r="AQ497" s="39" t="str">
        <f t="array" ref="AQ497">IF(C497="","",IFERROR(XLOOKUP(C497,Assignments!$C:$C,Assignments!$AU:$AU,0),0))</f>
        <v/>
      </c>
      <c r="AR497" s="39">
        <f>IF(AND(Config!$B$1006="Y",AQ497=1),Config!$B$1007,0)</f>
        <v>0</v>
      </c>
    </row>
    <row r="498" ht="15.75" customHeight="1">
      <c r="A498" s="46" t="str">
        <f t="shared" si="1"/>
        <v/>
      </c>
      <c r="B498" s="40" t="str">
        <f>IF(Bids!$A497="","",Bids!$A497)</f>
        <v/>
      </c>
      <c r="C498" s="40" t="str">
        <f>IF(Bids!$B497="","",Bids!$B497)</f>
        <v/>
      </c>
      <c r="D498" s="40" t="str">
        <f>IF($C498="","",IFERROR(VLOOKUP($C498,Orders!$A$4:$J$998,9,FALSE),""))</f>
        <v/>
      </c>
      <c r="E498" s="40" t="str">
        <f>IF($C498="","",IFERROR(VLOOKUP($C498,Orders!$A$4:$J$998,3,FALSE),""))</f>
        <v/>
      </c>
      <c r="F498" s="40">
        <f t="shared" si="2"/>
        <v>1</v>
      </c>
      <c r="G498" s="40" t="str">
        <f>IF($C498="","",IFERROR(VLOOKUP($C498,Orders!$A$4:$J$998,4,FALSE),""))</f>
        <v/>
      </c>
      <c r="H498" s="40" t="str">
        <f>IF($C498="","",IFERROR(VLOOKUP($C498,Orders!$A$4:$J$998,5,FALSE),""))</f>
        <v/>
      </c>
      <c r="I498" s="40" t="str">
        <f>IF($C498="","",IFERROR(VLOOKUP($C498,Orders!$A$4:$J$998,6,FALSE),""))</f>
        <v/>
      </c>
      <c r="J498" s="40" t="str">
        <f>IF($C498="","",IFERROR(VLOOKUP($C498,Orders!$A$4:$J$998,7,FALSE),""))</f>
        <v/>
      </c>
      <c r="K498" s="40" t="str">
        <f>IF(Bids!$C497="","",Bids!$C497)</f>
        <v/>
      </c>
      <c r="L498" s="40" t="str">
        <f>IF($K498="","",IFERROR(VLOOKUP($K498,Grinders!$A$4:$N$998,2,FALSE),""))</f>
        <v/>
      </c>
      <c r="M498" s="40" t="str">
        <f>IF($K498="","",IFERROR(VLOOKUP($K498,Grinders!$A$4:$N$998,3,FALSE),""))</f>
        <v/>
      </c>
      <c r="N498" s="40" t="str">
        <f>IF($K498="","",IFERROR(VLOOKUP($K498,Grinders!$A$4:$N$998,4,FALSE),""))</f>
        <v/>
      </c>
      <c r="O498" s="40" t="str">
        <f>IF($K498="","",IFERROR(VLOOKUP($K498,Grinders!$A$4:$N$998,5,FALSE),""))</f>
        <v/>
      </c>
      <c r="P498" s="40" t="str">
        <f>IF($K498="","",IF($C$4="",0,COUNTIFS(Assignments!$B$6:$B$1000,$K498,Assignments!$F$6:$F$1000,$C$4,Assignments!$E$6:$E$1000,"Active")))</f>
        <v/>
      </c>
      <c r="Q498" s="40" t="str">
        <f t="shared" si="3"/>
        <v/>
      </c>
      <c r="R498" s="40" t="str">
        <f t="shared" si="4"/>
        <v/>
      </c>
      <c r="S498" s="40" t="str">
        <f>IF($K498="","",IF($C$4="",0,COUNTIFS(Assignments!$B$6:$B$1000,$K498,Assignments!$F$6:$F$1000,$C$4,Assignments!$D$6:$D$1000,"&gt;="&amp;Config!$B$3-7,Assignments!$D$6:$D$1000,"&lt;="&amp;Config!$B$3)))</f>
        <v/>
      </c>
      <c r="T498" s="40" t="str">
        <f>IF($K498="","",IFERROR(VLOOKUP($K498,Grinders!$A$4:$N$998,8,FALSE),""))</f>
        <v/>
      </c>
      <c r="U498" s="40" t="str">
        <f>IFERROR(IF($K498="","",IF($M498="Elite",MAX(50,MIN(100,Config!$B$27*MAX(0,MIN(100,(1-IF($R498="",0,$R498))*100)) + Config!$B$28*MAX(0,MIN(100,(1-MIN(1,IF(Config!$B$30=0,1,$S498/Config!$B$30)))*100)) + Config!$B$29*MAX(0,MIN(100,MIN(1,IF($T498="",0,$T498)/Config!$B$23)*100)))),MIN(100,Config!$B$27*MAX(0,MIN(100,(1-IF($R498="",0,$R498))*100)) + Config!$B$28*MAX(0,MIN(100,(1-MIN(1,IF(Config!$B$30=0,1,$S498/Config!$B$30)))*100)) + Config!$B$29*MAX(0,MIN(100,MIN(1,IF($T498="",0,$T498)/Config!$B$23)*100))))),"")
</f>
        <v/>
      </c>
      <c r="V498" s="40" t="str">
        <f>IF(Bids!$AC498="","",Bids!$AC498)</f>
        <v/>
      </c>
      <c r="W498" s="40" t="str">
        <f>IF(Bids!$F497="","",Bids!$F497)</f>
        <v/>
      </c>
      <c r="X498" s="40" t="str">
        <f t="shared" si="5"/>
        <v/>
      </c>
      <c r="Y498" s="40" t="str">
        <f>IF($X498="","",IF(Config!$B$17=Config!$B$16,IF($X498&gt;=Config!$B$17,100,0),MAX(0,MIN(100,($X498-Config!$B$16)/(Config!$B$17-Config!$B$16)*100))))</f>
        <v/>
      </c>
      <c r="Z498" s="40">
        <f>IF($M498="Elite",Config!$B$21,0)</f>
        <v>0</v>
      </c>
      <c r="AA498" s="40" t="str">
        <f>IFERROR(IF(OR($W498="",$H498=""),"",IF($W498&gt;$H498,
  MAX(0, 60-(($W498-$H498)*24/Config!$B$19)*60),
  MIN(100, 60+(($H498-$W498)*24/Config!$B$20)*40)
)),"")
</f>
        <v/>
      </c>
      <c r="AB498" s="40" t="str">
        <f>IF($K498="","",IFERROR(VLOOKUP($K498,Grinders!$A$4:$N$998,10,FALSE)/5*100,""))</f>
        <v/>
      </c>
      <c r="AC498" s="40" t="str">
        <f>IF($K498="","",IFERROR(VLOOKUP($K498,Grinders!$A$4:$N$998,11,FALSE)*100,""))</f>
        <v/>
      </c>
      <c r="AD498" s="40" t="str">
        <f>IF($K498="","",IFERROR(VLOOKUP($K498,Grinders!$A$4:$N$998,12,FALSE)*100,""))</f>
        <v/>
      </c>
      <c r="AE498" s="40" t="str">
        <f>IF(OR(AO498=1,AP498=1),0,=IFERROR(IFS(
    OR($C498="", $K498=""), 0,
    $F498=0, 0,
    $D498&lt;&gt;"Open", 0,
    COUNTIFS(GrinderServices!$A$6:$A$1000, $K498, GrinderServices!$B$6:$B$1000, $E498, GrinderServices!$D$6:$D$1000, "Y")=0, 0,
    $X498&lt;Config!$B$16, 0,
    Config!$B$18=1, IF($O498&gt;=N498, 0, 1),
    TRUE, 1
), "")
)</f>
        <v>#ERROR!</v>
      </c>
      <c r="AF498" s="40" t="str">
        <f>IFERROR((IF(OR(AO498=1,AP498=1),"",=IFERROR((IFERROR(IF($AE498=0,"",((Config!$B$6*$Y498 + Config!$B$7*$U498 + Config!$B$8*$Z498 + Config!$B$9*$AA498 + Config!$B$10*$AB498 + Config!$B$11*$AC498 - Config!$B$12*$AD498)/Config!$B$13)+$AK498+$AL498),""))*(1-IFERROR(VLOOKUP(K498,Grinders!$A:$AB, 28, FALSE),0)),"")))*(1+AR498),"")</f>
        <v>#ERROR!</v>
      </c>
      <c r="AG498" s="40" t="str">
        <f t="shared" si="6"/>
        <v>#ERROR!</v>
      </c>
      <c r="AH498" s="40" t="str">
        <f t="shared" si="7"/>
        <v/>
      </c>
      <c r="AI498" s="40" t="str">
        <f t="shared" si="8"/>
        <v/>
      </c>
      <c r="AJ498" s="40" t="str">
        <f>IF($K498="","",COUNTIF(Assignments!$B$6:$B$1000,$K498))</f>
        <v/>
      </c>
      <c r="AK498" s="40" t="str">
        <f>IF($K498="","",IF(AND($AJ498=0,$O498&lt;$N498),Config!$B$43,0))</f>
        <v/>
      </c>
      <c r="AL498" s="40" t="str">
        <f>IF($K498="","",IF(AND($M498="Elite",$G498&gt;=Config!$B$41,$O498&lt;$N498),Config!$B$42,0))</f>
        <v/>
      </c>
      <c r="AM498" s="22"/>
      <c r="AN498" s="39">
        <f>IFERROR(VLOOKUP(K498,Grinders!$A:$Q,28,FALSE),0)</f>
        <v>0</v>
      </c>
      <c r="AO498" s="39">
        <f>IF(Config!$B$1003&lt;&gt;"Y",0,IF(IFERROR(VLOOKUP(K498,Grinders!$A:$P,27,FALSE),0)&gt;=3,IF(OR(G498&gt;=Config!$B$1001,ISNUMBER(SEARCH(E498,Config!$B$1002))),1,0),0))</f>
        <v>0</v>
      </c>
      <c r="AP498" s="39">
        <f t="array" ref="AP498">IFERROR(IF(INDEX(Bids!$AE:$AE,MATCH(B498,Bids!$A:$A,0))="Pending",1,0),0)</f>
        <v>0</v>
      </c>
      <c r="AQ498" s="39" t="str">
        <f t="array" ref="AQ498">IF(C498="","",IFERROR(XLOOKUP(C498,Assignments!$C:$C,Assignments!$AU:$AU,0),0))</f>
        <v/>
      </c>
      <c r="AR498" s="39">
        <f>IF(AND(Config!$B$1006="Y",AQ498=1),Config!$B$1007,0)</f>
        <v>0</v>
      </c>
    </row>
    <row r="499" ht="15.75" customHeight="1">
      <c r="A499" s="46" t="str">
        <f t="shared" si="1"/>
        <v/>
      </c>
      <c r="B499" s="40" t="str">
        <f>IF(Bids!$A498="","",Bids!$A498)</f>
        <v/>
      </c>
      <c r="C499" s="40" t="str">
        <f>IF(Bids!$B498="","",Bids!$B498)</f>
        <v/>
      </c>
      <c r="D499" s="40" t="str">
        <f>IF($C499="","",IFERROR(VLOOKUP($C499,Orders!$A$4:$J$998,9,FALSE),""))</f>
        <v/>
      </c>
      <c r="E499" s="40" t="str">
        <f>IF($C499="","",IFERROR(VLOOKUP($C499,Orders!$A$4:$J$998,3,FALSE),""))</f>
        <v/>
      </c>
      <c r="F499" s="40">
        <f t="shared" si="2"/>
        <v>1</v>
      </c>
      <c r="G499" s="40" t="str">
        <f>IF($C499="","",IFERROR(VLOOKUP($C499,Orders!$A$4:$J$998,4,FALSE),""))</f>
        <v/>
      </c>
      <c r="H499" s="40" t="str">
        <f>IF($C499="","",IFERROR(VLOOKUP($C499,Orders!$A$4:$J$998,5,FALSE),""))</f>
        <v/>
      </c>
      <c r="I499" s="40" t="str">
        <f>IF($C499="","",IFERROR(VLOOKUP($C499,Orders!$A$4:$J$998,6,FALSE),""))</f>
        <v/>
      </c>
      <c r="J499" s="40" t="str">
        <f>IF($C499="","",IFERROR(VLOOKUP($C499,Orders!$A$4:$J$998,7,FALSE),""))</f>
        <v/>
      </c>
      <c r="K499" s="40" t="str">
        <f>IF(Bids!$C498="","",Bids!$C498)</f>
        <v/>
      </c>
      <c r="L499" s="40" t="str">
        <f>IF($K499="","",IFERROR(VLOOKUP($K499,Grinders!$A$4:$N$998,2,FALSE),""))</f>
        <v/>
      </c>
      <c r="M499" s="40" t="str">
        <f>IF($K499="","",IFERROR(VLOOKUP($K499,Grinders!$A$4:$N$998,3,FALSE),""))</f>
        <v/>
      </c>
      <c r="N499" s="40" t="str">
        <f>IF($K499="","",IFERROR(VLOOKUP($K499,Grinders!$A$4:$N$998,4,FALSE),""))</f>
        <v/>
      </c>
      <c r="O499" s="40" t="str">
        <f>IF($K499="","",IFERROR(VLOOKUP($K499,Grinders!$A$4:$N$998,5,FALSE),""))</f>
        <v/>
      </c>
      <c r="P499" s="40" t="str">
        <f>IF($K499="","",IF($C$4="",0,COUNTIFS(Assignments!$B$6:$B$1000,$K499,Assignments!$F$6:$F$1000,$C$4,Assignments!$E$6:$E$1000,"Active")))</f>
        <v/>
      </c>
      <c r="Q499" s="40" t="str">
        <f t="shared" si="3"/>
        <v/>
      </c>
      <c r="R499" s="40" t="str">
        <f t="shared" si="4"/>
        <v/>
      </c>
      <c r="S499" s="40" t="str">
        <f>IF($K499="","",IF($C$4="",0,COUNTIFS(Assignments!$B$6:$B$1000,$K499,Assignments!$F$6:$F$1000,$C$4,Assignments!$D$6:$D$1000,"&gt;="&amp;Config!$B$3-7,Assignments!$D$6:$D$1000,"&lt;="&amp;Config!$B$3)))</f>
        <v/>
      </c>
      <c r="T499" s="40" t="str">
        <f>IF($K499="","",IFERROR(VLOOKUP($K499,Grinders!$A$4:$N$998,8,FALSE),""))</f>
        <v/>
      </c>
      <c r="U499" s="40" t="str">
        <f>IFERROR(IF($K499="","",IF($M499="Elite",MAX(50,MIN(100,Config!$B$27*MAX(0,MIN(100,(1-IF($R499="",0,$R499))*100)) + Config!$B$28*MAX(0,MIN(100,(1-MIN(1,IF(Config!$B$30=0,1,$S499/Config!$B$30)))*100)) + Config!$B$29*MAX(0,MIN(100,MIN(1,IF($T499="",0,$T499)/Config!$B$23)*100)))),MIN(100,Config!$B$27*MAX(0,MIN(100,(1-IF($R499="",0,$R499))*100)) + Config!$B$28*MAX(0,MIN(100,(1-MIN(1,IF(Config!$B$30=0,1,$S499/Config!$B$30)))*100)) + Config!$B$29*MAX(0,MIN(100,MIN(1,IF($T499="",0,$T499)/Config!$B$23)*100))))),"")
</f>
        <v/>
      </c>
      <c r="V499" s="40" t="str">
        <f>IF(Bids!$AC499="","",Bids!$AC499)</f>
        <v/>
      </c>
      <c r="W499" s="40" t="str">
        <f>IF(Bids!$F498="","",Bids!$F498)</f>
        <v/>
      </c>
      <c r="X499" s="40" t="str">
        <f t="shared" si="5"/>
        <v/>
      </c>
      <c r="Y499" s="40" t="str">
        <f>IF($X499="","",IF(Config!$B$17=Config!$B$16,IF($X499&gt;=Config!$B$17,100,0),MAX(0,MIN(100,($X499-Config!$B$16)/(Config!$B$17-Config!$B$16)*100))))</f>
        <v/>
      </c>
      <c r="Z499" s="40">
        <f>IF($M499="Elite",Config!$B$21,0)</f>
        <v>0</v>
      </c>
      <c r="AA499" s="40" t="str">
        <f>IFERROR(IF(OR($W499="",$H499=""),"",IF($W499&gt;$H499,
  MAX(0, 60-(($W499-$H499)*24/Config!$B$19)*60),
  MIN(100, 60+(($H499-$W499)*24/Config!$B$20)*40)
)),"")
</f>
        <v/>
      </c>
      <c r="AB499" s="40" t="str">
        <f>IF($K499="","",IFERROR(VLOOKUP($K499,Grinders!$A$4:$N$998,10,FALSE)/5*100,""))</f>
        <v/>
      </c>
      <c r="AC499" s="40" t="str">
        <f>IF($K499="","",IFERROR(VLOOKUP($K499,Grinders!$A$4:$N$998,11,FALSE)*100,""))</f>
        <v/>
      </c>
      <c r="AD499" s="40" t="str">
        <f>IF($K499="","",IFERROR(VLOOKUP($K499,Grinders!$A$4:$N$998,12,FALSE)*100,""))</f>
        <v/>
      </c>
      <c r="AE499" s="40" t="str">
        <f>IF(OR(AO499=1,AP499=1),0,=IFERROR(IFS(
    OR($C499="", $K499=""), 0,
    $F499=0, 0,
    $D499&lt;&gt;"Open", 0,
    COUNTIFS(GrinderServices!$A$6:$A$1000, $K499, GrinderServices!$B$6:$B$1000, $E499, GrinderServices!$D$6:$D$1000, "Y")=0, 0,
    $X499&lt;Config!$B$16, 0,
    Config!$B$18=1, IF($O499&gt;=N499, 0, 1),
    TRUE, 1
), "")
)</f>
        <v>#ERROR!</v>
      </c>
      <c r="AF499" s="40" t="str">
        <f>IFERROR((IF(OR(AO499=1,AP499=1),"",=IFERROR((IFERROR(IF($AE499=0,"",((Config!$B$6*$Y499 + Config!$B$7*$U499 + Config!$B$8*$Z499 + Config!$B$9*$AA499 + Config!$B$10*$AB499 + Config!$B$11*$AC499 - Config!$B$12*$AD499)/Config!$B$13)+$AK499+$AL499),""))*(1-IFERROR(VLOOKUP(K499,Grinders!$A:$AB, 28, FALSE),0)),"")))*(1+AR499),"")</f>
        <v>#ERROR!</v>
      </c>
      <c r="AG499" s="40" t="str">
        <f t="shared" si="6"/>
        <v>#ERROR!</v>
      </c>
      <c r="AH499" s="40" t="str">
        <f t="shared" si="7"/>
        <v/>
      </c>
      <c r="AI499" s="40" t="str">
        <f t="shared" si="8"/>
        <v/>
      </c>
      <c r="AJ499" s="40" t="str">
        <f>IF($K499="","",COUNTIF(Assignments!$B$6:$B$1000,$K499))</f>
        <v/>
      </c>
      <c r="AK499" s="40" t="str">
        <f>IF($K499="","",IF(AND($AJ499=0,$O499&lt;$N499),Config!$B$43,0))</f>
        <v/>
      </c>
      <c r="AL499" s="40" t="str">
        <f>IF($K499="","",IF(AND($M499="Elite",$G499&gt;=Config!$B$41,$O499&lt;$N499),Config!$B$42,0))</f>
        <v/>
      </c>
      <c r="AM499" s="22"/>
      <c r="AN499" s="39">
        <f>IFERROR(VLOOKUP(K499,Grinders!$A:$Q,28,FALSE),0)</f>
        <v>0</v>
      </c>
      <c r="AO499" s="39">
        <f>IF(Config!$B$1003&lt;&gt;"Y",0,IF(IFERROR(VLOOKUP(K499,Grinders!$A:$P,27,FALSE),0)&gt;=3,IF(OR(G499&gt;=Config!$B$1001,ISNUMBER(SEARCH(E499,Config!$B$1002))),1,0),0))</f>
        <v>0</v>
      </c>
      <c r="AP499" s="39">
        <f t="array" ref="AP499">IFERROR(IF(INDEX(Bids!$AE:$AE,MATCH(B499,Bids!$A:$A,0))="Pending",1,0),0)</f>
        <v>0</v>
      </c>
      <c r="AQ499" s="39" t="str">
        <f t="array" ref="AQ499">IF(C499="","",IFERROR(XLOOKUP(C499,Assignments!$C:$C,Assignments!$AU:$AU,0),0))</f>
        <v/>
      </c>
      <c r="AR499" s="39">
        <f>IF(AND(Config!$B$1006="Y",AQ499=1),Config!$B$1007,0)</f>
        <v>0</v>
      </c>
    </row>
    <row r="500" ht="15.75" customHeight="1">
      <c r="A500" s="40" t="str">
        <f t="shared" si="1"/>
        <v/>
      </c>
      <c r="B500" s="40" t="str">
        <f>IF(Bids!$A499="","",Bids!$A499)</f>
        <v/>
      </c>
      <c r="C500" s="40" t="str">
        <f>IF(Bids!$B499="","",Bids!$B499)</f>
        <v/>
      </c>
      <c r="D500" s="40" t="str">
        <f>IF($C500="","",IFERROR(VLOOKUP($C500,Orders!$A$4:$J$998,9,FALSE),""))</f>
        <v/>
      </c>
      <c r="E500" s="40" t="str">
        <f>IF($C500="","",IFERROR(VLOOKUP($C500,Orders!$A$4:$J$998,3,FALSE),""))</f>
        <v/>
      </c>
      <c r="F500" s="40">
        <f t="shared" si="2"/>
        <v>1</v>
      </c>
      <c r="G500" s="40" t="str">
        <f>IF($C500="","",IFERROR(VLOOKUP($C500,Orders!$A$4:$J$998,4,FALSE),""))</f>
        <v/>
      </c>
      <c r="H500" s="40" t="str">
        <f>IF($C500="","",IFERROR(VLOOKUP($C500,Orders!$A$4:$J$998,5,FALSE),""))</f>
        <v/>
      </c>
      <c r="I500" s="40" t="str">
        <f>IF($C500="","",IFERROR(VLOOKUP($C500,Orders!$A$4:$J$998,6,FALSE),""))</f>
        <v/>
      </c>
      <c r="J500" s="40" t="str">
        <f>IF($C500="","",IFERROR(VLOOKUP($C500,Orders!$A$4:$J$998,7,FALSE),""))</f>
        <v/>
      </c>
      <c r="K500" s="40" t="str">
        <f>IF(Bids!$C499="","",Bids!$C499)</f>
        <v/>
      </c>
      <c r="L500" s="40" t="str">
        <f>IF($K500="","",IFERROR(VLOOKUP($K500,Grinders!$A$4:$N$998,2,FALSE),""))</f>
        <v/>
      </c>
      <c r="M500" s="40" t="str">
        <f>IF($K500="","",IFERROR(VLOOKUP($K500,Grinders!$A$4:$N$998,3,FALSE),""))</f>
        <v/>
      </c>
      <c r="N500" s="40" t="str">
        <f>IF($K500="","",IFERROR(VLOOKUP($K500,Grinders!$A$4:$N$998,4,FALSE),""))</f>
        <v/>
      </c>
      <c r="O500" s="40" t="str">
        <f>IF($K500="","",IFERROR(VLOOKUP($K500,Grinders!$A$4:$N$998,5,FALSE),""))</f>
        <v/>
      </c>
      <c r="P500" s="40" t="str">
        <f>IF($K500="","",IF($C$4="",0,COUNTIFS(Assignments!$B$6:$B$1000,$K500,Assignments!$F$6:$F$1000,$C$4,Assignments!$E$6:$E$1000,"Active")))</f>
        <v/>
      </c>
      <c r="Q500" s="40" t="str">
        <f t="shared" si="3"/>
        <v/>
      </c>
      <c r="R500" s="40" t="str">
        <f t="shared" si="4"/>
        <v/>
      </c>
      <c r="S500" s="40" t="str">
        <f>IF($K500="","",IF($C$4="",0,COUNTIFS(Assignments!$B$6:$B$1000,$K500,Assignments!$F$6:$F$1000,$C$4,Assignments!$D$6:$D$1000,"&gt;="&amp;Config!$B$3-7,Assignments!$D$6:$D$1000,"&lt;="&amp;Config!$B$3)))</f>
        <v/>
      </c>
      <c r="T500" s="40" t="str">
        <f>IF($K500="","",IFERROR(VLOOKUP($K500,Grinders!$A$4:$N$998,8,FALSE),""))</f>
        <v/>
      </c>
      <c r="U500" s="40" t="str">
        <f>IFERROR(IF($K500="","",IF($M500="Elite",MAX(50,MIN(100,Config!$B$27*MAX(0,MIN(100,(1-IF($R500="",0,$R500))*100)) + Config!$B$28*MAX(0,MIN(100,(1-MIN(1,IF(Config!$B$30=0,1,$S500/Config!$B$30)))*100)) + Config!$B$29*MAX(0,MIN(100,MIN(1,IF($T500="",0,$T500)/Config!$B$23)*100)))),MIN(100,Config!$B$27*MAX(0,MIN(100,(1-IF($R500="",0,$R500))*100)) + Config!$B$28*MAX(0,MIN(100,(1-MIN(1,IF(Config!$B$30=0,1,$S500/Config!$B$30)))*100)) + Config!$B$29*MAX(0,MIN(100,MIN(1,IF($T500="",0,$T500)/Config!$B$23)*100))))),"")
</f>
        <v/>
      </c>
      <c r="V500" s="40" t="str">
        <f>IF(Bids!$AC500="","",Bids!$AC500)</f>
        <v/>
      </c>
      <c r="W500" s="40" t="str">
        <f>IF(Bids!$F499="","",Bids!$F499)</f>
        <v/>
      </c>
      <c r="X500" s="40" t="str">
        <f t="shared" si="5"/>
        <v/>
      </c>
      <c r="Y500" s="40" t="str">
        <f>IF($X500="","",IF(Config!$B$17=Config!$B$16,IF($X500&gt;=Config!$B$17,100,0),MAX(0,MIN(100,($X500-Config!$B$16)/(Config!$B$17-Config!$B$16)*100))))</f>
        <v/>
      </c>
      <c r="Z500" s="40">
        <f>IF($M500="Elite",Config!$B$21,0)</f>
        <v>0</v>
      </c>
      <c r="AA500" s="40" t="str">
        <f>IFERROR(IF(OR($W500="",$H500=""),"",IF($W500&gt;$H500,
  MAX(0, 60-(($W500-$H500)*24/Config!$B$19)*60),
  MIN(100, 60+(($H500-$W500)*24/Config!$B$20)*40)
)),"")
</f>
        <v/>
      </c>
      <c r="AB500" s="40" t="str">
        <f>IF($K500="","",IFERROR(VLOOKUP($K500,Grinders!$A$4:$N$998,10,FALSE)/5*100,""))</f>
        <v/>
      </c>
      <c r="AC500" s="40" t="str">
        <f>IF($K500="","",IFERROR(VLOOKUP($K500,Grinders!$A$4:$N$998,11,FALSE)*100,""))</f>
        <v/>
      </c>
      <c r="AD500" s="40" t="str">
        <f>IF($K500="","",IFERROR(VLOOKUP($K500,Grinders!$A$4:$N$998,12,FALSE)*100,""))</f>
        <v/>
      </c>
      <c r="AE500" s="40" t="str">
        <f>IF(OR(AO500=1,AP500=1),0,=IFERROR(IFS(
    OR($C500="", $K500=""), 0,
    $F500=0, 0,
    $D500&lt;&gt;"Open", 0,
    COUNTIFS(GrinderServices!$A$6:$A$1000, $K500, GrinderServices!$B$6:$B$1000, $E500, GrinderServices!$D$6:$D$1000, "Y")=0, 0,
    $X500&lt;Config!$B$16, 0,
    Config!$B$18=1, IF($O500&gt;=N500, 0, 1),
    TRUE, 1
), "")
)</f>
        <v>#ERROR!</v>
      </c>
      <c r="AF500" s="40" t="str">
        <f>IFERROR((IF(OR(AO500=1,AP500=1),"",=IFERROR((IFERROR(IF($AE500=0,"",((Config!$B$6*$Y500 + Config!$B$7*$U500 + Config!$B$8*$Z500 + Config!$B$9*$AA500 + Config!$B$10*$AB500 + Config!$B$11*$AC500 - Config!$B$12*$AD500)/Config!$B$13)+$AK500+$AL500),""))*(1-IFERROR(VLOOKUP(K500,Grinders!$A:$AB, 28, FALSE),0)),"")))*(1+AR500),"")</f>
        <v>#ERROR!</v>
      </c>
      <c r="AG500" s="40" t="str">
        <f t="shared" si="6"/>
        <v>#ERROR!</v>
      </c>
      <c r="AH500" s="40" t="str">
        <f t="shared" si="7"/>
        <v/>
      </c>
      <c r="AI500" s="40" t="str">
        <f t="shared" si="8"/>
        <v/>
      </c>
      <c r="AJ500" s="40" t="str">
        <f>IF($K500="","",COUNTIF(Assignments!$B$6:$B$1000,$K500))</f>
        <v/>
      </c>
      <c r="AK500" s="40" t="str">
        <f>IF($K500="","",IF(AND($AJ500=0,$O500&lt;$N500),Config!$B$43,0))</f>
        <v/>
      </c>
      <c r="AL500" s="40" t="str">
        <f>IF($K500="","",IF(AND($M500="Elite",$G500&gt;=Config!$B$41,$O500&lt;$N500),Config!$B$42,0))</f>
        <v/>
      </c>
      <c r="AM500" s="22"/>
      <c r="AN500" s="39">
        <f>IFERROR(VLOOKUP(K500,Grinders!$A:$Q,28,FALSE),0)</f>
        <v>0</v>
      </c>
      <c r="AO500" s="39">
        <f>IF(Config!$B$1003&lt;&gt;"Y",0,IF(IFERROR(VLOOKUP(K500,Grinders!$A:$P,27,FALSE),0)&gt;=3,IF(OR(G500&gt;=Config!$B$1001,ISNUMBER(SEARCH(E500,Config!$B$1002))),1,0),0))</f>
        <v>0</v>
      </c>
      <c r="AP500" s="39">
        <f t="array" ref="AP500">IFERROR(IF(INDEX(Bids!$AE:$AE,MATCH(B500,Bids!$A:$A,0))="Pending",1,0),0)</f>
        <v>0</v>
      </c>
      <c r="AQ500" s="39" t="str">
        <f t="array" ref="AQ500">IF(C500="","",IFERROR(XLOOKUP(C500,Assignments!$C:$C,Assignments!$AU:$AU,0),0))</f>
        <v/>
      </c>
      <c r="AR500" s="39">
        <f>IF(AND(Config!$B$1006="Y",AQ500=1),Config!$B$1007,0)</f>
        <v>0</v>
      </c>
    </row>
    <row r="501" ht="15.75" customHeight="1">
      <c r="A501" s="40" t="str">
        <f t="shared" si="1"/>
        <v/>
      </c>
      <c r="B501" s="40" t="str">
        <f>IF(Bids!$A500="","",Bids!$A500)</f>
        <v/>
      </c>
      <c r="C501" s="40" t="str">
        <f>IF(Bids!$B500="","",Bids!$B500)</f>
        <v/>
      </c>
      <c r="D501" s="40" t="str">
        <f>IF($C501="","",IFERROR(VLOOKUP($C501,Orders!$A$4:$J$998,9,FALSE),""))</f>
        <v/>
      </c>
      <c r="E501" s="40" t="str">
        <f>IF($C501="","",IFERROR(VLOOKUP($C501,Orders!$A$4:$J$998,3,FALSE),""))</f>
        <v/>
      </c>
      <c r="F501" s="40">
        <f t="shared" si="2"/>
        <v>1</v>
      </c>
      <c r="G501" s="40" t="str">
        <f>IF($C501="","",IFERROR(VLOOKUP($C501,Orders!$A$4:$J$998,4,FALSE),""))</f>
        <v/>
      </c>
      <c r="H501" s="40" t="str">
        <f>IF($C501="","",IFERROR(VLOOKUP($C501,Orders!$A$4:$J$998,5,FALSE),""))</f>
        <v/>
      </c>
      <c r="I501" s="40" t="str">
        <f>IF($C501="","",IFERROR(VLOOKUP($C501,Orders!$A$4:$J$998,6,FALSE),""))</f>
        <v/>
      </c>
      <c r="J501" s="40" t="str">
        <f>IF($C501="","",IFERROR(VLOOKUP($C501,Orders!$A$4:$J$998,7,FALSE),""))</f>
        <v/>
      </c>
      <c r="K501" s="40" t="str">
        <f>IF(Bids!$C500="","",Bids!$C500)</f>
        <v/>
      </c>
      <c r="L501" s="40" t="str">
        <f>IF($K501="","",IFERROR(VLOOKUP($K501,Grinders!$A$4:$N$998,2,FALSE),""))</f>
        <v/>
      </c>
      <c r="M501" s="40" t="str">
        <f>IF($K501="","",IFERROR(VLOOKUP($K501,Grinders!$A$4:$N$998,3,FALSE),""))</f>
        <v/>
      </c>
      <c r="N501" s="40" t="str">
        <f>IF($K501="","",IFERROR(VLOOKUP($K501,Grinders!$A$4:$N$998,4,FALSE),""))</f>
        <v/>
      </c>
      <c r="O501" s="40" t="str">
        <f>IF($K501="","",IFERROR(VLOOKUP($K501,Grinders!$A$4:$N$998,5,FALSE),""))</f>
        <v/>
      </c>
      <c r="P501" s="40" t="str">
        <f>IF($K501="","",IF($C$4="",0,COUNTIFS(Assignments!$B$6:$B$1000,$K501,Assignments!$F$6:$F$1000,$C$4,Assignments!$E$6:$E$1000,"Active")))</f>
        <v/>
      </c>
      <c r="Q501" s="40" t="str">
        <f t="shared" si="3"/>
        <v/>
      </c>
      <c r="R501" s="40" t="str">
        <f t="shared" si="4"/>
        <v/>
      </c>
      <c r="S501" s="40" t="str">
        <f>IF($K501="","",IF($C$4="",0,COUNTIFS(Assignments!$B$6:$B$1000,$K501,Assignments!$F$6:$F$1000,$C$4,Assignments!$D$6:$D$1000,"&gt;="&amp;Config!$B$3-7,Assignments!$D$6:$D$1000,"&lt;="&amp;Config!$B$3)))</f>
        <v/>
      </c>
      <c r="T501" s="40" t="str">
        <f>IF($K501="","",IFERROR(VLOOKUP($K501,Grinders!$A$4:$N$998,8,FALSE),""))</f>
        <v/>
      </c>
      <c r="U501" s="40" t="str">
        <f>IFERROR(IF($K501="","",IF($M501="Elite",MAX(50,MIN(100,Config!$B$27*MAX(0,MIN(100,(1-IF($R501="",0,$R501))*100)) + Config!$B$28*MAX(0,MIN(100,(1-MIN(1,IF(Config!$B$30=0,1,$S501/Config!$B$30)))*100)) + Config!$B$29*MAX(0,MIN(100,MIN(1,IF($T501="",0,$T501)/Config!$B$23)*100)))),MIN(100,Config!$B$27*MAX(0,MIN(100,(1-IF($R501="",0,$R501))*100)) + Config!$B$28*MAX(0,MIN(100,(1-MIN(1,IF(Config!$B$30=0,1,$S501/Config!$B$30)))*100)) + Config!$B$29*MAX(0,MIN(100,MIN(1,IF($T501="",0,$T501)/Config!$B$23)*100))))),"")
</f>
        <v/>
      </c>
      <c r="V501" s="40" t="str">
        <f>IF(Bids!$AC501="","",Bids!$AC501)</f>
        <v/>
      </c>
      <c r="W501" s="40" t="str">
        <f>IF(Bids!$F500="","",Bids!$F500)</f>
        <v/>
      </c>
      <c r="X501" s="40" t="str">
        <f t="shared" si="5"/>
        <v/>
      </c>
      <c r="Y501" s="40" t="str">
        <f>IF($X501="","",IF(Config!$B$17=Config!$B$16,IF($X501&gt;=Config!$B$17,100,0),MAX(0,MIN(100,($X501-Config!$B$16)/(Config!$B$17-Config!$B$16)*100))))</f>
        <v/>
      </c>
      <c r="Z501" s="40">
        <f>IF($M501="Elite",Config!$B$21,0)</f>
        <v>0</v>
      </c>
      <c r="AA501" s="40" t="str">
        <f>IFERROR(IF(OR($W501="",$H501=""),"",IF($W501&gt;$H501,
  MAX(0, 60-(($W501-$H501)*24/Config!$B$19)*60),
  MIN(100, 60+(($H501-$W501)*24/Config!$B$20)*40)
)),"")
</f>
        <v/>
      </c>
      <c r="AB501" s="40" t="str">
        <f>IF($K501="","",IFERROR(VLOOKUP($K501,Grinders!$A$4:$N$998,10,FALSE)/5*100,""))</f>
        <v/>
      </c>
      <c r="AC501" s="40" t="str">
        <f>IF($K501="","",IFERROR(VLOOKUP($K501,Grinders!$A$4:$N$998,11,FALSE)*100,""))</f>
        <v/>
      </c>
      <c r="AD501" s="40" t="str">
        <f>IF($K501="","",IFERROR(VLOOKUP($K501,Grinders!$A$4:$N$998,12,FALSE)*100,""))</f>
        <v/>
      </c>
      <c r="AE501" s="40" t="str">
        <f>IF(OR(AO501=1,AP501=1),0,=IFERROR(IFS(
    OR($C501="", $K501=""), 0,
    $F501=0, 0,
    $D501&lt;&gt;"Open", 0,
    COUNTIFS(GrinderServices!$A$6:$A$1000, $K501, GrinderServices!$B$6:$B$1000, $E501, GrinderServices!$D$6:$D$1000, "Y")=0, 0,
    $X501&lt;Config!$B$16, 0,
    Config!$B$18=1, IF($O501&gt;=N501, 0, 1),
    TRUE, 1
), "")
)</f>
        <v>#ERROR!</v>
      </c>
      <c r="AF501" s="40" t="str">
        <f>IFERROR((IF(OR(AO501=1,AP501=1),"",=IFERROR((IFERROR(IF($AE501=0,"",((Config!$B$6*$Y501 + Config!$B$7*$U501 + Config!$B$8*$Z501 + Config!$B$9*$AA501 + Config!$B$10*$AB501 + Config!$B$11*$AC501 - Config!$B$12*$AD501)/Config!$B$13)+$AK501+$AL501),""))*(1-IFERROR(VLOOKUP(K501,Grinders!$A:$AB, 28, FALSE),0)),"")))*(1+AR501),"")</f>
        <v>#ERROR!</v>
      </c>
      <c r="AG501" s="40" t="str">
        <f t="shared" si="6"/>
        <v>#ERROR!</v>
      </c>
      <c r="AH501" s="40" t="str">
        <f t="shared" si="7"/>
        <v/>
      </c>
      <c r="AI501" s="40" t="str">
        <f t="shared" si="8"/>
        <v/>
      </c>
      <c r="AJ501" s="40" t="str">
        <f>IF($K501="","",COUNTIF(Assignments!$B$6:$B$1000,$K501))</f>
        <v/>
      </c>
      <c r="AK501" s="40" t="str">
        <f>IF($K501="","",IF(AND($AJ501=0,$O501&lt;$N501),Config!$B$43,0))</f>
        <v/>
      </c>
      <c r="AL501" s="40" t="str">
        <f>IF($K501="","",IF(AND($M501="Elite",$G501&gt;=Config!$B$41,$O501&lt;$N501),Config!$B$42,0))</f>
        <v/>
      </c>
      <c r="AM501" s="22"/>
      <c r="AN501" s="39">
        <f>IFERROR(VLOOKUP(K501,Grinders!$A:$Q,28,FALSE),0)</f>
        <v>0</v>
      </c>
      <c r="AO501" s="39">
        <f>IF(Config!$B$1003&lt;&gt;"Y",0,IF(IFERROR(VLOOKUP(K501,Grinders!$A:$P,27,FALSE),0)&gt;=3,IF(OR(G501&gt;=Config!$B$1001,ISNUMBER(SEARCH(E501,Config!$B$1002))),1,0),0))</f>
        <v>0</v>
      </c>
      <c r="AP501" s="39">
        <f t="array" ref="AP501">IFERROR(IF(INDEX(Bids!$AE:$AE,MATCH(B501,Bids!$A:$A,0))="Pending",1,0),0)</f>
        <v>0</v>
      </c>
      <c r="AQ501" s="39" t="str">
        <f t="array" ref="AQ501">IF(C501="","",IFERROR(XLOOKUP(C501,Assignments!$C:$C,Assignments!$AU:$AU,0),0))</f>
        <v/>
      </c>
      <c r="AR501" s="39">
        <f>IF(AND(Config!$B$1006="Y",AQ501=1),Config!$B$1007,0)</f>
        <v>0</v>
      </c>
    </row>
    <row r="502" ht="15.75" customHeight="1">
      <c r="A502" s="40" t="str">
        <f t="shared" si="1"/>
        <v/>
      </c>
      <c r="B502" s="40" t="str">
        <f>IF(Bids!$A501="","",Bids!$A501)</f>
        <v/>
      </c>
      <c r="C502" s="40" t="str">
        <f>IF(Bids!$B501="","",Bids!$B501)</f>
        <v/>
      </c>
      <c r="D502" s="40" t="str">
        <f>IF($C502="","",IFERROR(VLOOKUP($C502,Orders!$A$4:$J$998,9,FALSE),""))</f>
        <v/>
      </c>
      <c r="E502" s="40" t="str">
        <f>IF($C502="","",IFERROR(VLOOKUP($C502,Orders!$A$4:$J$998,3,FALSE),""))</f>
        <v/>
      </c>
      <c r="F502" s="40">
        <f t="shared" si="2"/>
        <v>1</v>
      </c>
      <c r="G502" s="40" t="str">
        <f>IF($C502="","",IFERROR(VLOOKUP($C502,Orders!$A$4:$J$998,4,FALSE),""))</f>
        <v/>
      </c>
      <c r="H502" s="40" t="str">
        <f>IF($C502="","",IFERROR(VLOOKUP($C502,Orders!$A$4:$J$998,5,FALSE),""))</f>
        <v/>
      </c>
      <c r="I502" s="40" t="str">
        <f>IF($C502="","",IFERROR(VLOOKUP($C502,Orders!$A$4:$J$998,6,FALSE),""))</f>
        <v/>
      </c>
      <c r="J502" s="40" t="str">
        <f>IF($C502="","",IFERROR(VLOOKUP($C502,Orders!$A$4:$J$998,7,FALSE),""))</f>
        <v/>
      </c>
      <c r="K502" s="40" t="str">
        <f>IF(Bids!$C501="","",Bids!$C501)</f>
        <v/>
      </c>
      <c r="L502" s="40" t="str">
        <f>IF($K502="","",IFERROR(VLOOKUP($K502,Grinders!$A$4:$N$998,2,FALSE),""))</f>
        <v/>
      </c>
      <c r="M502" s="40" t="str">
        <f>IF($K502="","",IFERROR(VLOOKUP($K502,Grinders!$A$4:$N$998,3,FALSE),""))</f>
        <v/>
      </c>
      <c r="N502" s="40" t="str">
        <f>IF($K502="","",IFERROR(VLOOKUP($K502,Grinders!$A$4:$N$998,4,FALSE),""))</f>
        <v/>
      </c>
      <c r="O502" s="40" t="str">
        <f>IF($K502="","",IFERROR(VLOOKUP($K502,Grinders!$A$4:$N$998,5,FALSE),""))</f>
        <v/>
      </c>
      <c r="P502" s="40" t="str">
        <f>IF($K502="","",IF($C$4="",0,COUNTIFS(Assignments!$B$6:$B$1000,$K502,Assignments!$F$6:$F$1000,$C$4,Assignments!$E$6:$E$1000,"Active")))</f>
        <v/>
      </c>
      <c r="Q502" s="40" t="str">
        <f t="shared" si="3"/>
        <v/>
      </c>
      <c r="R502" s="40" t="str">
        <f t="shared" si="4"/>
        <v/>
      </c>
      <c r="S502" s="40" t="str">
        <f>IF($K502="","",IF($C$4="",0,COUNTIFS(Assignments!$B$6:$B$1000,$K502,Assignments!$F$6:$F$1000,$C$4,Assignments!$D$6:$D$1000,"&gt;="&amp;Config!$B$3-7,Assignments!$D$6:$D$1000,"&lt;="&amp;Config!$B$3)))</f>
        <v/>
      </c>
      <c r="T502" s="40" t="str">
        <f>IF($K502="","",IFERROR(VLOOKUP($K502,Grinders!$A$4:$N$998,8,FALSE),""))</f>
        <v/>
      </c>
      <c r="U502" s="40" t="str">
        <f>IFERROR(IF($K502="","",IF($M502="Elite",MAX(50,MIN(100,Config!$B$27*MAX(0,MIN(100,(1-IF($R502="",0,$R502))*100)) + Config!$B$28*MAX(0,MIN(100,(1-MIN(1,IF(Config!$B$30=0,1,$S502/Config!$B$30)))*100)) + Config!$B$29*MAX(0,MIN(100,MIN(1,IF($T502="",0,$T502)/Config!$B$23)*100)))),MIN(100,Config!$B$27*MAX(0,MIN(100,(1-IF($R502="",0,$R502))*100)) + Config!$B$28*MAX(0,MIN(100,(1-MIN(1,IF(Config!$B$30=0,1,$S502/Config!$B$30)))*100)) + Config!$B$29*MAX(0,MIN(100,MIN(1,IF($T502="",0,$T502)/Config!$B$23)*100))))),"")
</f>
        <v/>
      </c>
      <c r="V502" s="40" t="str">
        <f>IF(Bids!$AC502="","",Bids!$AC502)</f>
        <v/>
      </c>
      <c r="W502" s="40" t="str">
        <f>IF(Bids!$F501="","",Bids!$F501)</f>
        <v/>
      </c>
      <c r="X502" s="40" t="str">
        <f t="shared" si="5"/>
        <v/>
      </c>
      <c r="Y502" s="40" t="str">
        <f>IF($X502="","",IF(Config!$B$17=Config!$B$16,IF($X502&gt;=Config!$B$17,100,0),MAX(0,MIN(100,($X502-Config!$B$16)/(Config!$B$17-Config!$B$16)*100))))</f>
        <v/>
      </c>
      <c r="Z502" s="40">
        <f>IF($M502="Elite",Config!$B$21,0)</f>
        <v>0</v>
      </c>
      <c r="AA502" s="40" t="str">
        <f>IFERROR(IF(OR($W502="",$H502=""),"",IF($W502&gt;$H502,
  MAX(0, 60-(($W502-$H502)*24/Config!$B$19)*60),
  MIN(100, 60+(($H502-$W502)*24/Config!$B$20)*40)
)),"")
</f>
        <v/>
      </c>
      <c r="AB502" s="40" t="str">
        <f>IF($K502="","",IFERROR(VLOOKUP($K502,Grinders!$A$4:$N$998,10,FALSE)/5*100,""))</f>
        <v/>
      </c>
      <c r="AC502" s="40" t="str">
        <f>IF($K502="","",IFERROR(VLOOKUP($K502,Grinders!$A$4:$N$998,11,FALSE)*100,""))</f>
        <v/>
      </c>
      <c r="AD502" s="40" t="str">
        <f>IF($K502="","",IFERROR(VLOOKUP($K502,Grinders!$A$4:$N$998,12,FALSE)*100,""))</f>
        <v/>
      </c>
      <c r="AE502" s="40" t="str">
        <f>IF(OR(AO502=1,AP502=1),0,=IFERROR(IFS(
    OR($C502="", $K502=""), 0,
    $F502=0, 0,
    $D502&lt;&gt;"Open", 0,
    COUNTIFS(GrinderServices!$A$6:$A$1000, $K502, GrinderServices!$B$6:$B$1000, $E502, GrinderServices!$D$6:$D$1000, "Y")=0, 0,
    $X502&lt;Config!$B$16, 0,
    Config!$B$18=1, IF($O502&gt;=N502, 0, 1),
    TRUE, 1
), "")
)</f>
        <v>#ERROR!</v>
      </c>
      <c r="AF502" s="40" t="str">
        <f>IFERROR((IF(OR(AO502=1,AP502=1),"",=IFERROR((IFERROR(IF($AE502=0,"",((Config!$B$6*$Y502 + Config!$B$7*$U502 + Config!$B$8*$Z502 + Config!$B$9*$AA502 + Config!$B$10*$AB502 + Config!$B$11*$AC502 - Config!$B$12*$AD502)/Config!$B$13)+$AK502+$AL502),""))*(1-IFERROR(VLOOKUP(K502,Grinders!$A:$AB, 28, FALSE),0)),"")))*(1+AR502),"")</f>
        <v>#ERROR!</v>
      </c>
      <c r="AG502" s="40" t="str">
        <f t="shared" si="6"/>
        <v>#ERROR!</v>
      </c>
      <c r="AH502" s="40" t="str">
        <f t="shared" si="7"/>
        <v/>
      </c>
      <c r="AI502" s="40" t="str">
        <f t="shared" si="8"/>
        <v/>
      </c>
      <c r="AJ502" s="40" t="str">
        <f>IF($K502="","",COUNTIF(Assignments!$B$6:$B$1000,$K502))</f>
        <v/>
      </c>
      <c r="AK502" s="40" t="str">
        <f>IF($K502="","",IF(AND($AJ502=0,$O502&lt;$N502),Config!$B$43,0))</f>
        <v/>
      </c>
      <c r="AL502" s="40" t="str">
        <f>IF($K502="","",IF(AND($M502="Elite",$G502&gt;=Config!$B$41,$O502&lt;$N502),Config!$B$42,0))</f>
        <v/>
      </c>
      <c r="AM502" s="22"/>
      <c r="AN502" s="39">
        <f>IFERROR(VLOOKUP(K502,Grinders!$A:$Q,28,FALSE),0)</f>
        <v>0</v>
      </c>
      <c r="AO502" s="39">
        <f>IF(Config!$B$1003&lt;&gt;"Y",0,IF(IFERROR(VLOOKUP(K502,Grinders!$A:$P,27,FALSE),0)&gt;=3,IF(OR(G502&gt;=Config!$B$1001,ISNUMBER(SEARCH(E502,Config!$B$1002))),1,0),0))</f>
        <v>0</v>
      </c>
      <c r="AP502" s="39">
        <f t="array" ref="AP502">IFERROR(IF(INDEX(Bids!$AE:$AE,MATCH(B502,Bids!$A:$A,0))="Pending",1,0),0)</f>
        <v>0</v>
      </c>
      <c r="AQ502" s="39" t="str">
        <f t="array" ref="AQ502">IF(C502="","",IFERROR(XLOOKUP(C502,Assignments!$C:$C,Assignments!$AU:$AU,0),0))</f>
        <v/>
      </c>
      <c r="AR502" s="39">
        <f>IF(AND(Config!$B$1006="Y",AQ502=1),Config!$B$1007,0)</f>
        <v>0</v>
      </c>
    </row>
    <row r="503" ht="15.75" customHeight="1">
      <c r="A503" s="40" t="str">
        <f t="shared" si="1"/>
        <v/>
      </c>
      <c r="B503" s="40" t="str">
        <f>IF(Bids!$A502="","",Bids!$A502)</f>
        <v/>
      </c>
      <c r="C503" s="40" t="str">
        <f>IF(Bids!$B502="","",Bids!$B502)</f>
        <v/>
      </c>
      <c r="D503" s="40" t="str">
        <f>IF($C503="","",IFERROR(VLOOKUP($C503,Orders!$A$4:$J$998,9,FALSE),""))</f>
        <v/>
      </c>
      <c r="E503" s="40" t="str">
        <f>IF($C503="","",IFERROR(VLOOKUP($C503,Orders!$A$4:$J$998,3,FALSE),""))</f>
        <v/>
      </c>
      <c r="F503" s="40">
        <f t="shared" si="2"/>
        <v>1</v>
      </c>
      <c r="G503" s="40" t="str">
        <f>IF($C503="","",IFERROR(VLOOKUP($C503,Orders!$A$4:$J$998,4,FALSE),""))</f>
        <v/>
      </c>
      <c r="H503" s="40" t="str">
        <f>IF($C503="","",IFERROR(VLOOKUP($C503,Orders!$A$4:$J$998,5,FALSE),""))</f>
        <v/>
      </c>
      <c r="I503" s="40" t="str">
        <f>IF($C503="","",IFERROR(VLOOKUP($C503,Orders!$A$4:$J$998,6,FALSE),""))</f>
        <v/>
      </c>
      <c r="J503" s="40" t="str">
        <f>IF($C503="","",IFERROR(VLOOKUP($C503,Orders!$A$4:$J$998,7,FALSE),""))</f>
        <v/>
      </c>
      <c r="K503" s="40" t="str">
        <f>IF(Bids!$C502="","",Bids!$C502)</f>
        <v/>
      </c>
      <c r="L503" s="40" t="str">
        <f>IF($K503="","",IFERROR(VLOOKUP($K503,Grinders!$A$4:$N$998,2,FALSE),""))</f>
        <v/>
      </c>
      <c r="M503" s="40" t="str">
        <f>IF($K503="","",IFERROR(VLOOKUP($K503,Grinders!$A$4:$N$998,3,FALSE),""))</f>
        <v/>
      </c>
      <c r="N503" s="40" t="str">
        <f>IF($K503="","",IFERROR(VLOOKUP($K503,Grinders!$A$4:$N$998,4,FALSE),""))</f>
        <v/>
      </c>
      <c r="O503" s="40" t="str">
        <f>IF($K503="","",IFERROR(VLOOKUP($K503,Grinders!$A$4:$N$998,5,FALSE),""))</f>
        <v/>
      </c>
      <c r="P503" s="40" t="str">
        <f>IF($K503="","",IF($C$4="",0,COUNTIFS(Assignments!$B$6:$B$1000,$K503,Assignments!$F$6:$F$1000,$C$4,Assignments!$E$6:$E$1000,"Active")))</f>
        <v/>
      </c>
      <c r="Q503" s="40" t="str">
        <f t="shared" si="3"/>
        <v/>
      </c>
      <c r="R503" s="40" t="str">
        <f t="shared" si="4"/>
        <v/>
      </c>
      <c r="S503" s="40" t="str">
        <f>IF($K503="","",IF($C$4="",0,COUNTIFS(Assignments!$B$6:$B$1000,$K503,Assignments!$F$6:$F$1000,$C$4,Assignments!$D$6:$D$1000,"&gt;="&amp;Config!$B$3-7,Assignments!$D$6:$D$1000,"&lt;="&amp;Config!$B$3)))</f>
        <v/>
      </c>
      <c r="T503" s="40" t="str">
        <f>IF($K503="","",IFERROR(VLOOKUP($K503,Grinders!$A$4:$N$998,8,FALSE),""))</f>
        <v/>
      </c>
      <c r="U503" s="40" t="str">
        <f>IFERROR(IF($K503="","",IF($M503="Elite",MAX(50,MIN(100,Config!$B$27*MAX(0,MIN(100,(1-IF($R503="",0,$R503))*100)) + Config!$B$28*MAX(0,MIN(100,(1-MIN(1,IF(Config!$B$30=0,1,$S503/Config!$B$30)))*100)) + Config!$B$29*MAX(0,MIN(100,MIN(1,IF($T503="",0,$T503)/Config!$B$23)*100)))),MIN(100,Config!$B$27*MAX(0,MIN(100,(1-IF($R503="",0,$R503))*100)) + Config!$B$28*MAX(0,MIN(100,(1-MIN(1,IF(Config!$B$30=0,1,$S503/Config!$B$30)))*100)) + Config!$B$29*MAX(0,MIN(100,MIN(1,IF($T503="",0,$T503)/Config!$B$23)*100))))),"")
</f>
        <v/>
      </c>
      <c r="V503" s="40" t="str">
        <f>IF(Bids!$AC503="","",Bids!$AC503)</f>
        <v/>
      </c>
      <c r="W503" s="40" t="str">
        <f>IF(Bids!$F502="","",Bids!$F502)</f>
        <v/>
      </c>
      <c r="X503" s="40" t="str">
        <f t="shared" si="5"/>
        <v/>
      </c>
      <c r="Y503" s="40" t="str">
        <f>IF($X503="","",IF(Config!$B$17=Config!$B$16,IF($X503&gt;=Config!$B$17,100,0),MAX(0,MIN(100,($X503-Config!$B$16)/(Config!$B$17-Config!$B$16)*100))))</f>
        <v/>
      </c>
      <c r="Z503" s="40">
        <f>IF($M503="Elite",Config!$B$21,0)</f>
        <v>0</v>
      </c>
      <c r="AA503" s="40" t="str">
        <f>IFERROR(IF(OR($W503="",$H503=""),"",IF($W503&gt;$H503,
  MAX(0, 60-(($W503-$H503)*24/Config!$B$19)*60),
  MIN(100, 60+(($H503-$W503)*24/Config!$B$20)*40)
)),"")
</f>
        <v/>
      </c>
      <c r="AB503" s="40" t="str">
        <f>IF($K503="","",IFERROR(VLOOKUP($K503,Grinders!$A$4:$N$998,10,FALSE)/5*100,""))</f>
        <v/>
      </c>
      <c r="AC503" s="40" t="str">
        <f>IF($K503="","",IFERROR(VLOOKUP($K503,Grinders!$A$4:$N$998,11,FALSE)*100,""))</f>
        <v/>
      </c>
      <c r="AD503" s="40" t="str">
        <f>IF($K503="","",IFERROR(VLOOKUP($K503,Grinders!$A$4:$N$998,12,FALSE)*100,""))</f>
        <v/>
      </c>
      <c r="AE503" s="40" t="str">
        <f>IF(OR(AO503=1,AP503=1),0,=IFERROR(IFS(
    OR($C503="", $K503=""), 0,
    $F503=0, 0,
    $D503&lt;&gt;"Open", 0,
    COUNTIFS(GrinderServices!$A$6:$A$1000, $K503, GrinderServices!$B$6:$B$1000, $E503, GrinderServices!$D$6:$D$1000, "Y")=0, 0,
    $X503&lt;Config!$B$16, 0,
    Config!$B$18=1, IF($O503&gt;=N503, 0, 1),
    TRUE, 1
), "")
)</f>
        <v>#ERROR!</v>
      </c>
      <c r="AF503" s="40" t="str">
        <f>IFERROR((IF(OR(AO503=1,AP503=1),"",=IFERROR((IFERROR(IF($AE503=0,"",((Config!$B$6*$Y503 + Config!$B$7*$U503 + Config!$B$8*$Z503 + Config!$B$9*$AA503 + Config!$B$10*$AB503 + Config!$B$11*$AC503 - Config!$B$12*$AD503)/Config!$B$13)+$AK503+$AL503),""))*(1-IFERROR(VLOOKUP(K503,Grinders!$A:$AB, 28, FALSE),0)),"")))*(1+AR503),"")</f>
        <v>#ERROR!</v>
      </c>
      <c r="AG503" s="40" t="str">
        <f t="shared" si="6"/>
        <v>#ERROR!</v>
      </c>
      <c r="AH503" s="40" t="str">
        <f t="shared" si="7"/>
        <v/>
      </c>
      <c r="AI503" s="40" t="str">
        <f t="shared" si="8"/>
        <v/>
      </c>
      <c r="AJ503" s="40" t="str">
        <f>IF($K503="","",COUNTIF(Assignments!$B$6:$B$1000,$K503))</f>
        <v/>
      </c>
      <c r="AK503" s="40" t="str">
        <f>IF($K503="","",IF(AND($AJ503=0,$O503&lt;$N503),Config!$B$43,0))</f>
        <v/>
      </c>
      <c r="AL503" s="40" t="str">
        <f>IF($K503="","",IF(AND($M503="Elite",$G503&gt;=Config!$B$41,$O503&lt;$N503),Config!$B$42,0))</f>
        <v/>
      </c>
      <c r="AM503" s="22"/>
      <c r="AN503" s="39">
        <f>IFERROR(VLOOKUP(K503,Grinders!$A:$Q,28,FALSE),0)</f>
        <v>0</v>
      </c>
      <c r="AO503" s="39">
        <f>IF(Config!$B$1003&lt;&gt;"Y",0,IF(IFERROR(VLOOKUP(K503,Grinders!$A:$P,27,FALSE),0)&gt;=3,IF(OR(G503&gt;=Config!$B$1001,ISNUMBER(SEARCH(E503,Config!$B$1002))),1,0),0))</f>
        <v>0</v>
      </c>
      <c r="AP503" s="39">
        <f t="array" ref="AP503">IFERROR(IF(INDEX(Bids!$AE:$AE,MATCH(B503,Bids!$A:$A,0))="Pending",1,0),0)</f>
        <v>0</v>
      </c>
      <c r="AQ503" s="39" t="str">
        <f t="array" ref="AQ503">IF(C503="","",IFERROR(XLOOKUP(C503,Assignments!$C:$C,Assignments!$AU:$AU,0),0))</f>
        <v/>
      </c>
      <c r="AR503" s="39">
        <f>IF(AND(Config!$B$1006="Y",AQ503=1),Config!$B$1007,0)</f>
        <v>0</v>
      </c>
    </row>
    <row r="504" ht="15.75" customHeight="1">
      <c r="A504" s="40" t="str">
        <f t="shared" si="1"/>
        <v/>
      </c>
      <c r="B504" s="40" t="str">
        <f>IF(Bids!$A503="","",Bids!$A503)</f>
        <v/>
      </c>
      <c r="C504" s="40" t="str">
        <f>IF(Bids!$B503="","",Bids!$B503)</f>
        <v/>
      </c>
      <c r="D504" s="40" t="str">
        <f>IF($C504="","",IFERROR(VLOOKUP($C504,Orders!$A$4:$J$998,9,FALSE),""))</f>
        <v/>
      </c>
      <c r="E504" s="40" t="str">
        <f>IF($C504="","",IFERROR(VLOOKUP($C504,Orders!$A$4:$J$998,3,FALSE),""))</f>
        <v/>
      </c>
      <c r="F504" s="40">
        <f t="shared" si="2"/>
        <v>1</v>
      </c>
      <c r="G504" s="40" t="str">
        <f>IF($C504="","",IFERROR(VLOOKUP($C504,Orders!$A$4:$J$998,4,FALSE),""))</f>
        <v/>
      </c>
      <c r="H504" s="40" t="str">
        <f>IF($C504="","",IFERROR(VLOOKUP($C504,Orders!$A$4:$J$998,5,FALSE),""))</f>
        <v/>
      </c>
      <c r="I504" s="40" t="str">
        <f>IF($C504="","",IFERROR(VLOOKUP($C504,Orders!$A$4:$J$998,6,FALSE),""))</f>
        <v/>
      </c>
      <c r="J504" s="40" t="str">
        <f>IF($C504="","",IFERROR(VLOOKUP($C504,Orders!$A$4:$J$998,7,FALSE),""))</f>
        <v/>
      </c>
      <c r="K504" s="40" t="str">
        <f>IF(Bids!$C503="","",Bids!$C503)</f>
        <v/>
      </c>
      <c r="L504" s="40" t="str">
        <f>IF($K504="","",IFERROR(VLOOKUP($K504,Grinders!$A$4:$N$998,2,FALSE),""))</f>
        <v/>
      </c>
      <c r="M504" s="40" t="str">
        <f>IF($K504="","",IFERROR(VLOOKUP($K504,Grinders!$A$4:$N$998,3,FALSE),""))</f>
        <v/>
      </c>
      <c r="N504" s="40" t="str">
        <f>IF($K504="","",IFERROR(VLOOKUP($K504,Grinders!$A$4:$N$998,4,FALSE),""))</f>
        <v/>
      </c>
      <c r="O504" s="40" t="str">
        <f>IF($K504="","",IFERROR(VLOOKUP($K504,Grinders!$A$4:$N$998,5,FALSE),""))</f>
        <v/>
      </c>
      <c r="P504" s="40" t="str">
        <f>IF($K504="","",IF($C$4="",0,COUNTIFS(Assignments!$B$6:$B$1000,$K504,Assignments!$F$6:$F$1000,$C$4,Assignments!$E$6:$E$1000,"Active")))</f>
        <v/>
      </c>
      <c r="Q504" s="40" t="str">
        <f t="shared" si="3"/>
        <v/>
      </c>
      <c r="R504" s="40" t="str">
        <f t="shared" si="4"/>
        <v/>
      </c>
      <c r="S504" s="40" t="str">
        <f>IF($K504="","",IF($C$4="",0,COUNTIFS(Assignments!$B$6:$B$1000,$K504,Assignments!$F$6:$F$1000,$C$4,Assignments!$D$6:$D$1000,"&gt;="&amp;Config!$B$3-7,Assignments!$D$6:$D$1000,"&lt;="&amp;Config!$B$3)))</f>
        <v/>
      </c>
      <c r="T504" s="40" t="str">
        <f>IF($K504="","",IFERROR(VLOOKUP($K504,Grinders!$A$4:$N$998,8,FALSE),""))</f>
        <v/>
      </c>
      <c r="U504" s="40" t="str">
        <f>IFERROR(IF($K504="","",IF($M504="Elite",MAX(50,MIN(100,Config!$B$27*MAX(0,MIN(100,(1-IF($R504="",0,$R504))*100)) + Config!$B$28*MAX(0,MIN(100,(1-MIN(1,IF(Config!$B$30=0,1,$S504/Config!$B$30)))*100)) + Config!$B$29*MAX(0,MIN(100,MIN(1,IF($T504="",0,$T504)/Config!$B$23)*100)))),MIN(100,Config!$B$27*MAX(0,MIN(100,(1-IF($R504="",0,$R504))*100)) + Config!$B$28*MAX(0,MIN(100,(1-MIN(1,IF(Config!$B$30=0,1,$S504/Config!$B$30)))*100)) + Config!$B$29*MAX(0,MIN(100,MIN(1,IF($T504="",0,$T504)/Config!$B$23)*100))))),"")
</f>
        <v/>
      </c>
      <c r="V504" s="40" t="str">
        <f>IF(Bids!$AC504="","",Bids!$AC504)</f>
        <v/>
      </c>
      <c r="W504" s="40" t="str">
        <f>IF(Bids!$F503="","",Bids!$F503)</f>
        <v/>
      </c>
      <c r="X504" s="40" t="str">
        <f t="shared" si="5"/>
        <v/>
      </c>
      <c r="Y504" s="40" t="str">
        <f>IF($X504="","",IF(Config!$B$17=Config!$B$16,IF($X504&gt;=Config!$B$17,100,0),MAX(0,MIN(100,($X504-Config!$B$16)/(Config!$B$17-Config!$B$16)*100))))</f>
        <v/>
      </c>
      <c r="Z504" s="40">
        <f>IF($M504="Elite",Config!$B$21,0)</f>
        <v>0</v>
      </c>
      <c r="AA504" s="40" t="str">
        <f>IFERROR(IF(OR($W504="",$H504=""),"",IF($W504&gt;$H504,
  MAX(0, 60-(($W504-$H504)*24/Config!$B$19)*60),
  MIN(100, 60+(($H504-$W504)*24/Config!$B$20)*40)
)),"")
</f>
        <v/>
      </c>
      <c r="AB504" s="40" t="str">
        <f>IF($K504="","",IFERROR(VLOOKUP($K504,Grinders!$A$4:$N$998,10,FALSE)/5*100,""))</f>
        <v/>
      </c>
      <c r="AC504" s="40" t="str">
        <f>IF($K504="","",IFERROR(VLOOKUP($K504,Grinders!$A$4:$N$998,11,FALSE)*100,""))</f>
        <v/>
      </c>
      <c r="AD504" s="40" t="str">
        <f>IF($K504="","",IFERROR(VLOOKUP($K504,Grinders!$A$4:$N$998,12,FALSE)*100,""))</f>
        <v/>
      </c>
      <c r="AE504" s="40" t="str">
        <f>IF(OR(AO504=1,AP504=1),0,=IFERROR(IFS(
    OR($C504="", $K504=""), 0,
    $F504=0, 0,
    $D504&lt;&gt;"Open", 0,
    COUNTIFS(GrinderServices!$A$6:$A$1000, $K504, GrinderServices!$B$6:$B$1000, $E504, GrinderServices!$D$6:$D$1000, "Y")=0, 0,
    $X504&lt;Config!$B$16, 0,
    Config!$B$18=1, IF($O504&gt;=N504, 0, 1),
    TRUE, 1
), "")
)</f>
        <v>#ERROR!</v>
      </c>
      <c r="AF504" s="40" t="str">
        <f>IFERROR((IF(OR(AO504=1,AP504=1),"",=IFERROR((IFERROR(IF($AE504=0,"",((Config!$B$6*$Y504 + Config!$B$7*$U504 + Config!$B$8*$Z504 + Config!$B$9*$AA504 + Config!$B$10*$AB504 + Config!$B$11*$AC504 - Config!$B$12*$AD504)/Config!$B$13)+$AK504+$AL504),""))*(1-IFERROR(VLOOKUP(K504,Grinders!$A:$AB, 28, FALSE),0)),"")))*(1+AR504),"")</f>
        <v>#ERROR!</v>
      </c>
      <c r="AG504" s="40" t="str">
        <f t="shared" si="6"/>
        <v>#ERROR!</v>
      </c>
      <c r="AH504" s="40" t="str">
        <f t="shared" si="7"/>
        <v/>
      </c>
      <c r="AI504" s="40" t="str">
        <f t="shared" si="8"/>
        <v/>
      </c>
      <c r="AJ504" s="40" t="str">
        <f>IF($K504="","",COUNTIF(Assignments!$B$6:$B$1000,$K504))</f>
        <v/>
      </c>
      <c r="AK504" s="40" t="str">
        <f>IF($K504="","",IF(AND($AJ504=0,$O504&lt;$N504),Config!$B$43,0))</f>
        <v/>
      </c>
      <c r="AL504" s="40" t="str">
        <f>IF($K504="","",IF(AND($M504="Elite",$G504&gt;=Config!$B$41,$O504&lt;$N504),Config!$B$42,0))</f>
        <v/>
      </c>
      <c r="AM504" s="22"/>
      <c r="AN504" s="39">
        <f>IFERROR(VLOOKUP(K504,Grinders!$A:$Q,28,FALSE),0)</f>
        <v>0</v>
      </c>
      <c r="AO504" s="39">
        <f>IF(Config!$B$1003&lt;&gt;"Y",0,IF(IFERROR(VLOOKUP(K504,Grinders!$A:$P,27,FALSE),0)&gt;=3,IF(OR(G504&gt;=Config!$B$1001,ISNUMBER(SEARCH(E504,Config!$B$1002))),1,0),0))</f>
        <v>0</v>
      </c>
      <c r="AP504" s="39">
        <f t="array" ref="AP504">IFERROR(IF(INDEX(Bids!$AE:$AE,MATCH(B504,Bids!$A:$A,0))="Pending",1,0),0)</f>
        <v>0</v>
      </c>
      <c r="AQ504" s="39" t="str">
        <f t="array" ref="AQ504">IF(C504="","",IFERROR(XLOOKUP(C504,Assignments!$C:$C,Assignments!$AU:$AU,0),0))</f>
        <v/>
      </c>
      <c r="AR504" s="39">
        <f>IF(AND(Config!$B$1006="Y",AQ504=1),Config!$B$1007,0)</f>
        <v>0</v>
      </c>
    </row>
    <row r="505" ht="15.75" customHeight="1">
      <c r="A505" s="40" t="str">
        <f t="shared" si="1"/>
        <v/>
      </c>
      <c r="B505" s="40" t="str">
        <f>IF(Bids!$A504="","",Bids!$A504)</f>
        <v/>
      </c>
      <c r="C505" s="40" t="str">
        <f>IF(Bids!$B504="","",Bids!$B504)</f>
        <v/>
      </c>
      <c r="D505" s="40" t="str">
        <f>IF($C505="","",IFERROR(VLOOKUP($C505,Orders!$A$4:$J$998,9,FALSE),""))</f>
        <v/>
      </c>
      <c r="E505" s="40" t="str">
        <f>IF($C505="","",IFERROR(VLOOKUP($C505,Orders!$A$4:$J$998,3,FALSE),""))</f>
        <v/>
      </c>
      <c r="F505" s="40">
        <f t="shared" si="2"/>
        <v>1</v>
      </c>
      <c r="G505" s="40" t="str">
        <f>IF($C505="","",IFERROR(VLOOKUP($C505,Orders!$A$4:$J$998,4,FALSE),""))</f>
        <v/>
      </c>
      <c r="H505" s="40" t="str">
        <f>IF($C505="","",IFERROR(VLOOKUP($C505,Orders!$A$4:$J$998,5,FALSE),""))</f>
        <v/>
      </c>
      <c r="I505" s="40" t="str">
        <f>IF($C505="","",IFERROR(VLOOKUP($C505,Orders!$A$4:$J$998,6,FALSE),""))</f>
        <v/>
      </c>
      <c r="J505" s="40" t="str">
        <f>IF($C505="","",IFERROR(VLOOKUP($C505,Orders!$A$4:$J$998,7,FALSE),""))</f>
        <v/>
      </c>
      <c r="K505" s="40" t="str">
        <f>IF(Bids!$C504="","",Bids!$C504)</f>
        <v/>
      </c>
      <c r="L505" s="40" t="str">
        <f>IF($K505="","",IFERROR(VLOOKUP($K505,Grinders!$A$4:$N$998,2,FALSE),""))</f>
        <v/>
      </c>
      <c r="M505" s="40" t="str">
        <f>IF($K505="","",IFERROR(VLOOKUP($K505,Grinders!$A$4:$N$998,3,FALSE),""))</f>
        <v/>
      </c>
      <c r="N505" s="40" t="str">
        <f>IF($K505="","",IFERROR(VLOOKUP($K505,Grinders!$A$4:$N$998,4,FALSE),""))</f>
        <v/>
      </c>
      <c r="O505" s="40" t="str">
        <f>IF($K505="","",IFERROR(VLOOKUP($K505,Grinders!$A$4:$N$998,5,FALSE),""))</f>
        <v/>
      </c>
      <c r="P505" s="40" t="str">
        <f>IF($K505="","",IF($C$4="",0,COUNTIFS(Assignments!$B$6:$B$1000,$K505,Assignments!$F$6:$F$1000,$C$4,Assignments!$E$6:$E$1000,"Active")))</f>
        <v/>
      </c>
      <c r="Q505" s="40" t="str">
        <f t="shared" si="3"/>
        <v/>
      </c>
      <c r="R505" s="40" t="str">
        <f t="shared" si="4"/>
        <v/>
      </c>
      <c r="S505" s="40" t="str">
        <f>IF($K505="","",IF($C$4="",0,COUNTIFS(Assignments!$B$6:$B$1000,$K505,Assignments!$F$6:$F$1000,$C$4,Assignments!$D$6:$D$1000,"&gt;="&amp;Config!$B$3-7,Assignments!$D$6:$D$1000,"&lt;="&amp;Config!$B$3)))</f>
        <v/>
      </c>
      <c r="T505" s="40" t="str">
        <f>IF($K505="","",IFERROR(VLOOKUP($K505,Grinders!$A$4:$N$998,8,FALSE),""))</f>
        <v/>
      </c>
      <c r="U505" s="40" t="str">
        <f>IFERROR(IF($K505="","",IF($M505="Elite",MAX(50,MIN(100,Config!$B$27*MAX(0,MIN(100,(1-IF($R505="",0,$R505))*100)) + Config!$B$28*MAX(0,MIN(100,(1-MIN(1,IF(Config!$B$30=0,1,$S505/Config!$B$30)))*100)) + Config!$B$29*MAX(0,MIN(100,MIN(1,IF($T505="",0,$T505)/Config!$B$23)*100)))),MIN(100,Config!$B$27*MAX(0,MIN(100,(1-IF($R505="",0,$R505))*100)) + Config!$B$28*MAX(0,MIN(100,(1-MIN(1,IF(Config!$B$30=0,1,$S505/Config!$B$30)))*100)) + Config!$B$29*MAX(0,MIN(100,MIN(1,IF($T505="",0,$T505)/Config!$B$23)*100))))),"")
</f>
        <v/>
      </c>
      <c r="V505" s="40" t="str">
        <f>IF(Bids!$AC505="","",Bids!$AC505)</f>
        <v/>
      </c>
      <c r="W505" s="40" t="str">
        <f>IF(Bids!$F504="","",Bids!$F504)</f>
        <v/>
      </c>
      <c r="X505" s="40" t="str">
        <f t="shared" si="5"/>
        <v/>
      </c>
      <c r="Y505" s="40" t="str">
        <f>IF($X505="","",IF(Config!$B$17=Config!$B$16,IF($X505&gt;=Config!$B$17,100,0),MAX(0,MIN(100,($X505-Config!$B$16)/(Config!$B$17-Config!$B$16)*100))))</f>
        <v/>
      </c>
      <c r="Z505" s="40">
        <f>IF($M505="Elite",Config!$B$21,0)</f>
        <v>0</v>
      </c>
      <c r="AA505" s="40" t="str">
        <f>IFERROR(IF(OR($W505="",$H505=""),"",IF($W505&gt;$H505,
  MAX(0, 60-(($W505-$H505)*24/Config!$B$19)*60),
  MIN(100, 60+(($H505-$W505)*24/Config!$B$20)*40)
)),"")
</f>
        <v/>
      </c>
      <c r="AB505" s="40" t="str">
        <f>IF($K505="","",IFERROR(VLOOKUP($K505,Grinders!$A$4:$N$998,10,FALSE)/5*100,""))</f>
        <v/>
      </c>
      <c r="AC505" s="40" t="str">
        <f>IF($K505="","",IFERROR(VLOOKUP($K505,Grinders!$A$4:$N$998,11,FALSE)*100,""))</f>
        <v/>
      </c>
      <c r="AD505" s="40" t="str">
        <f>IF($K505="","",IFERROR(VLOOKUP($K505,Grinders!$A$4:$N$998,12,FALSE)*100,""))</f>
        <v/>
      </c>
      <c r="AE505" s="40" t="str">
        <f>IF(OR(AO505=1,AP505=1),0,=IFERROR(IFS(
    OR($C505="", $K505=""), 0,
    $F505=0, 0,
    $D505&lt;&gt;"Open", 0,
    COUNTIFS(GrinderServices!$A$6:$A$1000, $K505, GrinderServices!$B$6:$B$1000, $E505, GrinderServices!$D$6:$D$1000, "Y")=0, 0,
    $X505&lt;Config!$B$16, 0,
    Config!$B$18=1, IF($O505&gt;=N505, 0, 1),
    TRUE, 1
), "")
)</f>
        <v>#ERROR!</v>
      </c>
      <c r="AF505" s="40" t="str">
        <f>IFERROR((IF(OR(AO505=1,AP505=1),"",=IFERROR((IFERROR(IF($AE505=0,"",((Config!$B$6*$Y505 + Config!$B$7*$U505 + Config!$B$8*$Z505 + Config!$B$9*$AA505 + Config!$B$10*$AB505 + Config!$B$11*$AC505 - Config!$B$12*$AD505)/Config!$B$13)+$AK505+$AL505),""))*(1-IFERROR(VLOOKUP(K505,Grinders!$A:$AB, 28, FALSE),0)),"")))*(1+AR505),"")</f>
        <v>#ERROR!</v>
      </c>
      <c r="AG505" s="40" t="str">
        <f t="shared" si="6"/>
        <v>#ERROR!</v>
      </c>
      <c r="AH505" s="40" t="str">
        <f t="shared" si="7"/>
        <v/>
      </c>
      <c r="AI505" s="40" t="str">
        <f t="shared" si="8"/>
        <v/>
      </c>
      <c r="AJ505" s="40" t="str">
        <f>IF($K505="","",COUNTIF(Assignments!$B$6:$B$1000,$K505))</f>
        <v/>
      </c>
      <c r="AK505" s="40" t="str">
        <f>IF($K505="","",IF(AND($AJ505=0,$O505&lt;$N505),Config!$B$43,0))</f>
        <v/>
      </c>
      <c r="AL505" s="40" t="str">
        <f>IF($K505="","",IF(AND($M505="Elite",$G505&gt;=Config!$B$41,$O505&lt;$N505),Config!$B$42,0))</f>
        <v/>
      </c>
      <c r="AM505" s="22"/>
      <c r="AN505" s="39">
        <f>IFERROR(VLOOKUP(K505,Grinders!$A:$Q,28,FALSE),0)</f>
        <v>0</v>
      </c>
      <c r="AO505" s="39">
        <f>IF(Config!$B$1003&lt;&gt;"Y",0,IF(IFERROR(VLOOKUP(K505,Grinders!$A:$P,27,FALSE),0)&gt;=3,IF(OR(G505&gt;=Config!$B$1001,ISNUMBER(SEARCH(E505,Config!$B$1002))),1,0),0))</f>
        <v>0</v>
      </c>
      <c r="AP505" s="39">
        <f t="array" ref="AP505">IFERROR(IF(INDEX(Bids!$AE:$AE,MATCH(B505,Bids!$A:$A,0))="Pending",1,0),0)</f>
        <v>0</v>
      </c>
      <c r="AQ505" s="39" t="str">
        <f t="array" ref="AQ505">IF(C505="","",IFERROR(XLOOKUP(C505,Assignments!$C:$C,Assignments!$AU:$AU,0),0))</f>
        <v/>
      </c>
      <c r="AR505" s="39">
        <f>IF(AND(Config!$B$1006="Y",AQ505=1),Config!$B$1007,0)</f>
        <v>0</v>
      </c>
    </row>
    <row r="506" ht="15.75" customHeight="1">
      <c r="A506" s="40" t="str">
        <f t="shared" si="1"/>
        <v/>
      </c>
      <c r="B506" s="40" t="str">
        <f>IF(Bids!$A505="","",Bids!$A505)</f>
        <v/>
      </c>
      <c r="C506" s="40" t="str">
        <f>IF(Bids!$B505="","",Bids!$B505)</f>
        <v/>
      </c>
      <c r="D506" s="40" t="str">
        <f>IF($C506="","",IFERROR(VLOOKUP($C506,Orders!$A$4:$J$998,9,FALSE),""))</f>
        <v/>
      </c>
      <c r="E506" s="40" t="str">
        <f>IF($C506="","",IFERROR(VLOOKUP($C506,Orders!$A$4:$J$998,3,FALSE),""))</f>
        <v/>
      </c>
      <c r="F506" s="40">
        <f t="shared" si="2"/>
        <v>1</v>
      </c>
      <c r="G506" s="40" t="str">
        <f>IF($C506="","",IFERROR(VLOOKUP($C506,Orders!$A$4:$J$998,4,FALSE),""))</f>
        <v/>
      </c>
      <c r="H506" s="40" t="str">
        <f>IF($C506="","",IFERROR(VLOOKUP($C506,Orders!$A$4:$J$998,5,FALSE),""))</f>
        <v/>
      </c>
      <c r="I506" s="40" t="str">
        <f>IF($C506="","",IFERROR(VLOOKUP($C506,Orders!$A$4:$J$998,6,FALSE),""))</f>
        <v/>
      </c>
      <c r="J506" s="40" t="str">
        <f>IF($C506="","",IFERROR(VLOOKUP($C506,Orders!$A$4:$J$998,7,FALSE),""))</f>
        <v/>
      </c>
      <c r="K506" s="40" t="str">
        <f>IF(Bids!$C505="","",Bids!$C505)</f>
        <v/>
      </c>
      <c r="L506" s="40" t="str">
        <f>IF($K506="","",IFERROR(VLOOKUP($K506,Grinders!$A$4:$N$998,2,FALSE),""))</f>
        <v/>
      </c>
      <c r="M506" s="40" t="str">
        <f>IF($K506="","",IFERROR(VLOOKUP($K506,Grinders!$A$4:$N$998,3,FALSE),""))</f>
        <v/>
      </c>
      <c r="N506" s="40" t="str">
        <f>IF($K506="","",IFERROR(VLOOKUP($K506,Grinders!$A$4:$N$998,4,FALSE),""))</f>
        <v/>
      </c>
      <c r="O506" s="40" t="str">
        <f>IF($K506="","",IFERROR(VLOOKUP($K506,Grinders!$A$4:$N$998,5,FALSE),""))</f>
        <v/>
      </c>
      <c r="P506" s="40" t="str">
        <f>IF($K506="","",IF($C$4="",0,COUNTIFS(Assignments!$B$6:$B$1000,$K506,Assignments!$F$6:$F$1000,$C$4,Assignments!$E$6:$E$1000,"Active")))</f>
        <v/>
      </c>
      <c r="Q506" s="40" t="str">
        <f t="shared" si="3"/>
        <v/>
      </c>
      <c r="R506" s="40" t="str">
        <f t="shared" si="4"/>
        <v/>
      </c>
      <c r="S506" s="40" t="str">
        <f>IF($K506="","",IF($C$4="",0,COUNTIFS(Assignments!$B$6:$B$1000,$K506,Assignments!$F$6:$F$1000,$C$4,Assignments!$D$6:$D$1000,"&gt;="&amp;Config!$B$3-7,Assignments!$D$6:$D$1000,"&lt;="&amp;Config!$B$3)))</f>
        <v/>
      </c>
      <c r="T506" s="40" t="str">
        <f>IF($K506="","",IFERROR(VLOOKUP($K506,Grinders!$A$4:$N$998,8,FALSE),""))</f>
        <v/>
      </c>
      <c r="U506" s="40" t="str">
        <f>IFERROR(IF($K506="","",IF($M506="Elite",MAX(50,MIN(100,Config!$B$27*MAX(0,MIN(100,(1-IF($R506="",0,$R506))*100)) + Config!$B$28*MAX(0,MIN(100,(1-MIN(1,IF(Config!$B$30=0,1,$S506/Config!$B$30)))*100)) + Config!$B$29*MAX(0,MIN(100,MIN(1,IF($T506="",0,$T506)/Config!$B$23)*100)))),MIN(100,Config!$B$27*MAX(0,MIN(100,(1-IF($R506="",0,$R506))*100)) + Config!$B$28*MAX(0,MIN(100,(1-MIN(1,IF(Config!$B$30=0,1,$S506/Config!$B$30)))*100)) + Config!$B$29*MAX(0,MIN(100,MIN(1,IF($T506="",0,$T506)/Config!$B$23)*100))))),"")
</f>
        <v/>
      </c>
      <c r="V506" s="40" t="str">
        <f>IF(Bids!$D505="","",Bids!$D505)</f>
        <v/>
      </c>
      <c r="W506" s="40" t="str">
        <f>IF(Bids!$F505="","",Bids!$F505)</f>
        <v/>
      </c>
      <c r="X506" s="40" t="str">
        <f t="shared" si="5"/>
        <v/>
      </c>
      <c r="Y506" s="40" t="str">
        <f>IF($X506="","",IF(Config!$B$17=Config!$B$16,IF($X506&gt;=Config!$B$17,100,0),MAX(0,MIN(100,($X506-Config!$B$16)/(Config!$B$17-Config!$B$16)*100))))</f>
        <v/>
      </c>
      <c r="Z506" s="40">
        <f>IF($M506="Elite",Config!$B$21,0)</f>
        <v>0</v>
      </c>
      <c r="AA506" s="40" t="str">
        <f>IFERROR(IF(OR($W506="",$H506=""),"",IF($W506&gt;$H506,
  MAX(0, 60-(($W506-$H506)*24/Config!$B$19)*60),
  MIN(100, 60+(($H506-$W506)*24/Config!$B$20)*40)
)),"")
</f>
        <v/>
      </c>
      <c r="AB506" s="40" t="str">
        <f>IF($K506="","",IFERROR(VLOOKUP($K506,Grinders!$A$4:$N$998,10,FALSE)/5*100,""))</f>
        <v/>
      </c>
      <c r="AC506" s="40" t="str">
        <f>IF($K506="","",IFERROR(VLOOKUP($K506,Grinders!$A$4:$N$998,11,FALSE)*100,""))</f>
        <v/>
      </c>
      <c r="AD506" s="40" t="str">
        <f>IF($K506="","",IFERROR(VLOOKUP($K506,Grinders!$A$4:$N$998,12,FALSE)*100,""))</f>
        <v/>
      </c>
      <c r="AE506" s="40" t="str">
        <f>IF(OR(AO506=1,AP506=1),0,=IFERROR(IFS(
    OR($C506="", $K506=""), 0,
    $F506=0, 0,
    $D506&lt;&gt;"Open", 0,
    COUNTIFS(GrinderServices!$A$6:$A$1000, $K506, GrinderServices!$B$6:$B$1000, $E506, GrinderServices!$D$6:$D$1000, "Y")=0, 0,
    $X506&lt;Config!$B$16, 0,
    Config!$B$18=1, IF($O506&gt;=N506, 0, 1),
    TRUE, 1
), "")
)</f>
        <v>#ERROR!</v>
      </c>
      <c r="AF506" s="40" t="str">
        <f>IFERROR((IF(OR(AO506=1,AP506=1),"",=IFERROR(IF($AE506=0,"",((Config!$B$6*$Y506 + Config!$B$7*$U506 + Config!$B$8*$Z506 + Config!$B$9*$AA506 + Config!$B$10*$AB506 + Config!$B$11*$AC506 - Config!$B$12*$AD506)/Config!$B$13)+$AK506+$AL506),"")))*(1+AR506),"")</f>
        <v>#ERROR!</v>
      </c>
      <c r="AG506" s="40" t="str">
        <f t="shared" si="6"/>
        <v>#ERROR!</v>
      </c>
      <c r="AH506" s="40" t="str">
        <f t="shared" si="7"/>
        <v/>
      </c>
      <c r="AI506" s="40" t="str">
        <f t="shared" si="8"/>
        <v/>
      </c>
      <c r="AJ506" s="40" t="str">
        <f>IF($K506="","",COUNTIF(Assignments!$B$6:$B$1000,$K506))</f>
        <v/>
      </c>
      <c r="AK506" s="40" t="str">
        <f>IF($K506="","",IF(AND($AJ506=0,$O506&lt;$N506),Config!$B$43,0))</f>
        <v/>
      </c>
      <c r="AL506" s="40" t="str">
        <f>IF($K506="","",IF(AND($M506="Elite",$G506&gt;=Config!$B$41,$O506&lt;$N506),Config!$B$42,0))</f>
        <v/>
      </c>
      <c r="AM506" s="22"/>
      <c r="AN506" s="39">
        <f>IFERROR(VLOOKUP(K506,Grinders!$A:$Q,28,FALSE),0)</f>
        <v>0</v>
      </c>
      <c r="AO506" s="39">
        <f>IF(Config!$B$1003&lt;&gt;"Y",0,IF(IFERROR(VLOOKUP(K506,Grinders!$A:$P,27,FALSE),0)&gt;=3,IF(OR(G506&gt;=Config!$B$1001,ISNUMBER(SEARCH(E506,Config!$B$1002))),1,0),0))</f>
        <v>0</v>
      </c>
      <c r="AP506" s="39">
        <f t="array" ref="AP506">IFERROR(IF(INDEX(Bids!$AE:$AE,MATCH(B506,Bids!$A:$A,0))="Pending",1,0),0)</f>
        <v>0</v>
      </c>
      <c r="AQ506" s="39" t="str">
        <f t="array" ref="AQ506">IF(C506="","",IFERROR(XLOOKUP(C506,Assignments!$C:$C,Assignments!$AU:$AU,0),0))</f>
        <v/>
      </c>
      <c r="AR506" s="39">
        <f>IF(AND(Config!$B$1006="Y",AQ506=1),Config!$B$1007,0)</f>
        <v>0</v>
      </c>
    </row>
    <row r="507" ht="15.75" customHeight="1">
      <c r="A507" s="40" t="str">
        <f t="shared" si="1"/>
        <v/>
      </c>
      <c r="B507" s="40" t="str">
        <f>IF(Bids!$A506="","",Bids!$A506)</f>
        <v/>
      </c>
      <c r="C507" s="40" t="str">
        <f>IF(Bids!$B506="","",Bids!$B506)</f>
        <v/>
      </c>
      <c r="D507" s="40" t="str">
        <f>IF($C507="","",IFERROR(VLOOKUP($C507,Orders!$A$4:$J$998,9,FALSE),""))</f>
        <v/>
      </c>
      <c r="E507" s="40" t="str">
        <f>IF($C507="","",IFERROR(VLOOKUP($C507,Orders!$A$4:$J$998,3,FALSE),""))</f>
        <v/>
      </c>
      <c r="F507" s="40">
        <f t="shared" si="2"/>
        <v>1</v>
      </c>
      <c r="G507" s="40" t="str">
        <f>IF($C507="","",IFERROR(VLOOKUP($C507,Orders!$A$4:$J$998,4,FALSE),""))</f>
        <v/>
      </c>
      <c r="H507" s="40" t="str">
        <f>IF($C507="","",IFERROR(VLOOKUP($C507,Orders!$A$4:$J$998,5,FALSE),""))</f>
        <v/>
      </c>
      <c r="I507" s="40" t="str">
        <f>IF($C507="","",IFERROR(VLOOKUP($C507,Orders!$A$4:$J$998,6,FALSE),""))</f>
        <v/>
      </c>
      <c r="J507" s="40" t="str">
        <f>IF($C507="","",IFERROR(VLOOKUP($C507,Orders!$A$4:$J$998,7,FALSE),""))</f>
        <v/>
      </c>
      <c r="K507" s="40" t="str">
        <f>IF(Bids!$C506="","",Bids!$C506)</f>
        <v/>
      </c>
      <c r="L507" s="40" t="str">
        <f>IF($K507="","",IFERROR(VLOOKUP($K507,Grinders!$A$4:$N$998,2,FALSE),""))</f>
        <v/>
      </c>
      <c r="M507" s="40" t="str">
        <f>IF($K507="","",IFERROR(VLOOKUP($K507,Grinders!$A$4:$N$998,3,FALSE),""))</f>
        <v/>
      </c>
      <c r="N507" s="40" t="str">
        <f>IF($K507="","",IFERROR(VLOOKUP($K507,Grinders!$A$4:$N$998,4,FALSE),""))</f>
        <v/>
      </c>
      <c r="O507" s="40" t="str">
        <f>IF($K507="","",IFERROR(VLOOKUP($K507,Grinders!$A$4:$N$998,5,FALSE),""))</f>
        <v/>
      </c>
      <c r="P507" s="40" t="str">
        <f>IF($K507="","",IF($C$4="",0,COUNTIFS(Assignments!$B$6:$B$1000,$K507,Assignments!$F$6:$F$1000,$C$4,Assignments!$E$6:$E$1000,"Active")))</f>
        <v/>
      </c>
      <c r="Q507" s="40" t="str">
        <f t="shared" si="3"/>
        <v/>
      </c>
      <c r="R507" s="40" t="str">
        <f t="shared" si="4"/>
        <v/>
      </c>
      <c r="S507" s="40" t="str">
        <f>IF($K507="","",IF($C$4="",0,COUNTIFS(Assignments!$B$6:$B$1000,$K507,Assignments!$F$6:$F$1000,$C$4,Assignments!$D$6:$D$1000,"&gt;="&amp;Config!$B$3-7,Assignments!$D$6:$D$1000,"&lt;="&amp;Config!$B$3)))</f>
        <v/>
      </c>
      <c r="T507" s="40" t="str">
        <f>IF($K507="","",IFERROR(VLOOKUP($K507,Grinders!$A$4:$N$998,8,FALSE),""))</f>
        <v/>
      </c>
      <c r="U507" s="40" t="str">
        <f>IFERROR(IF($K507="","",IF($M507="Elite",MAX(50,MIN(100,Config!$B$27*MAX(0,MIN(100,(1-IF($R507="",0,$R507))*100)) + Config!$B$28*MAX(0,MIN(100,(1-MIN(1,IF(Config!$B$30=0,1,$S507/Config!$B$30)))*100)) + Config!$B$29*MAX(0,MIN(100,MIN(1,IF($T507="",0,$T507)/Config!$B$23)*100)))),MIN(100,Config!$B$27*MAX(0,MIN(100,(1-IF($R507="",0,$R507))*100)) + Config!$B$28*MAX(0,MIN(100,(1-MIN(1,IF(Config!$B$30=0,1,$S507/Config!$B$30)))*100)) + Config!$B$29*MAX(0,MIN(100,MIN(1,IF($T507="",0,$T507)/Config!$B$23)*100))))),"")
</f>
        <v/>
      </c>
      <c r="V507" s="40" t="str">
        <f>IF(Bids!$D506="","",Bids!$D506)</f>
        <v/>
      </c>
      <c r="W507" s="40" t="str">
        <f>IF(Bids!$F506="","",Bids!$F506)</f>
        <v/>
      </c>
      <c r="X507" s="40" t="str">
        <f t="shared" si="5"/>
        <v/>
      </c>
      <c r="Y507" s="40" t="str">
        <f>IF($X507="","",IF(Config!$B$17=Config!$B$16,IF($X507&gt;=Config!$B$17,100,0),MAX(0,MIN(100,($X507-Config!$B$16)/(Config!$B$17-Config!$B$16)*100))))</f>
        <v/>
      </c>
      <c r="Z507" s="40">
        <f>IF($M507="Elite",Config!$B$21,0)</f>
        <v>0</v>
      </c>
      <c r="AA507" s="40" t="str">
        <f>IFERROR(IF(OR($W507="",$H507=""),"",IF($W507&gt;$H507,
  MAX(0, 60-(($W507-$H507)*24/Config!$B$19)*60),
  MIN(100, 60+(($H507-$W507)*24/Config!$B$20)*40)
)),"")
</f>
        <v/>
      </c>
      <c r="AB507" s="40" t="str">
        <f>IF($K507="","",IFERROR(VLOOKUP($K507,Grinders!$A$4:$N$998,10,FALSE)/5*100,""))</f>
        <v/>
      </c>
      <c r="AC507" s="40" t="str">
        <f>IF($K507="","",IFERROR(VLOOKUP($K507,Grinders!$A$4:$N$998,11,FALSE)*100,""))</f>
        <v/>
      </c>
      <c r="AD507" s="40" t="str">
        <f>IF($K507="","",IFERROR(VLOOKUP($K507,Grinders!$A$4:$N$998,12,FALSE)*100,""))</f>
        <v/>
      </c>
      <c r="AE507" s="40">
        <f>IFERROR(IFS(
    OR($C507="", $K507=""), 0,
    $F507=0, 0,
    $D507&lt;&gt;"Open", 0,
    COUNTIFS(GrinderServices!$B$4:$B$998, $K507, GrinderServices!$C$4:$C$998, $E507, GrinderServices!$E$4:$E$998, "Y")=0, 0,
    $X507&lt;Config!$B$16, 0,
    Config!$B$18=1, IF($O507&gt;=N507, 0, 1),
    TRUE, 1
), "")
</f>
        <v>0</v>
      </c>
      <c r="AF507" s="40" t="str">
        <f>IFERROR(IF($AE507=0,"",((Config!$B$6*$Y507 + Config!$B$7*$U507 + Config!$B$8*$Z507 + Config!$B$9*$AA507 + Config!$B$10*$AB507 + Config!$B$11*$AC507 - Config!$B$12*$AD507)/Config!$B$13)+$AK507+$AL507),"")</f>
        <v/>
      </c>
      <c r="AG507" s="40" t="str">
        <f t="shared" si="6"/>
        <v/>
      </c>
      <c r="AH507" s="40" t="str">
        <f t="shared" si="7"/>
        <v/>
      </c>
      <c r="AI507" s="40" t="str">
        <f t="shared" si="8"/>
        <v/>
      </c>
      <c r="AJ507" s="40" t="str">
        <f>IF($K507="","",COUNTIF(Assignments!$B$6:$B$1000,$K507))</f>
        <v/>
      </c>
      <c r="AK507" s="40" t="str">
        <f>IF($K507="","",IF(AND($AJ507=0,$O507&lt;$N507),Config!$B$43,0))</f>
        <v/>
      </c>
      <c r="AL507" s="40" t="str">
        <f>IF($K507="","",IF(AND($M507="Elite",$G507&gt;=Config!$B$41,$O507&lt;$N507),Config!$B$42,0))</f>
        <v/>
      </c>
      <c r="AM507" s="22"/>
    </row>
    <row r="508" ht="15.75" customHeight="1">
      <c r="A508" s="40" t="str">
        <f t="shared" si="1"/>
        <v/>
      </c>
      <c r="B508" s="40" t="str">
        <f>IF(Bids!$A507="","",Bids!$A507)</f>
        <v/>
      </c>
      <c r="C508" s="40" t="str">
        <f>IF(Bids!$B507="","",Bids!$B507)</f>
        <v/>
      </c>
      <c r="D508" s="40" t="str">
        <f>IF($C508="","",IFERROR(VLOOKUP($C508,Orders!$A$4:$J$998,9,FALSE),""))</f>
        <v/>
      </c>
      <c r="E508" s="40" t="str">
        <f>IF($C508="","",IFERROR(VLOOKUP($C508,Orders!$A$4:$J$998,3,FALSE),""))</f>
        <v/>
      </c>
      <c r="F508" s="40">
        <f t="shared" si="2"/>
        <v>1</v>
      </c>
      <c r="G508" s="40" t="str">
        <f>IF($C508="","",IFERROR(VLOOKUP($C508,Orders!$A$4:$J$998,4,FALSE),""))</f>
        <v/>
      </c>
      <c r="H508" s="40" t="str">
        <f>IF($C508="","",IFERROR(VLOOKUP($C508,Orders!$A$4:$J$998,5,FALSE),""))</f>
        <v/>
      </c>
      <c r="I508" s="40" t="str">
        <f>IF($C508="","",IFERROR(VLOOKUP($C508,Orders!$A$4:$J$998,6,FALSE),""))</f>
        <v/>
      </c>
      <c r="J508" s="40" t="str">
        <f>IF($C508="","",IFERROR(VLOOKUP($C508,Orders!$A$4:$J$998,7,FALSE),""))</f>
        <v/>
      </c>
      <c r="K508" s="40" t="str">
        <f>IF(Bids!$C507="","",Bids!$C507)</f>
        <v/>
      </c>
      <c r="L508" s="40" t="str">
        <f>IF($K508="","",IFERROR(VLOOKUP($K508,Grinders!$A$4:$N$998,2,FALSE),""))</f>
        <v/>
      </c>
      <c r="M508" s="40" t="str">
        <f>IF($K508="","",IFERROR(VLOOKUP($K508,Grinders!$A$4:$N$998,3,FALSE),""))</f>
        <v/>
      </c>
      <c r="N508" s="40" t="str">
        <f>IF($K508="","",IFERROR(VLOOKUP($K508,Grinders!$A$4:$N$998,4,FALSE),""))</f>
        <v/>
      </c>
      <c r="O508" s="40" t="str">
        <f>IF($K508="","",IFERROR(VLOOKUP($K508,Grinders!$A$4:$N$998,5,FALSE),""))</f>
        <v/>
      </c>
      <c r="P508" s="40" t="str">
        <f>IF($K508="","",IF($C$4="",0,COUNTIFS(Assignments!$B$6:$B$1000,$K508,Assignments!$F$6:$F$1000,$C$4,Assignments!$E$6:$E$1000,"Active")))</f>
        <v/>
      </c>
      <c r="Q508" s="40" t="str">
        <f t="shared" si="3"/>
        <v/>
      </c>
      <c r="R508" s="40" t="str">
        <f t="shared" si="4"/>
        <v/>
      </c>
      <c r="S508" s="40" t="str">
        <f>IF($K508="","",IF($C$4="",0,COUNTIFS(Assignments!$B$6:$B$1000,$K508,Assignments!$F$6:$F$1000,$C$4,Assignments!$D$6:$D$1000,"&gt;="&amp;Config!$B$3-7,Assignments!$D$6:$D$1000,"&lt;="&amp;Config!$B$3)))</f>
        <v/>
      </c>
      <c r="T508" s="40" t="str">
        <f>IF($K508="","",IFERROR(VLOOKUP($K508,Grinders!$A$4:$N$998,8,FALSE),""))</f>
        <v/>
      </c>
      <c r="U508" s="40" t="str">
        <f>IFERROR(IF($K508="","",IF($M508="Elite",MAX(50,MIN(100,Config!$B$27*MAX(0,MIN(100,(1-IF($R508="",0,$R508))*100)) + Config!$B$28*MAX(0,MIN(100,(1-MIN(1,IF(Config!$B$30=0,1,$S508/Config!$B$30)))*100)) + Config!$B$29*MAX(0,MIN(100,MIN(1,IF($T508="",0,$T508)/Config!$B$23)*100)))),MIN(100,Config!$B$27*MAX(0,MIN(100,(1-IF($R508="",0,$R508))*100)) + Config!$B$28*MAX(0,MIN(100,(1-MIN(1,IF(Config!$B$30=0,1,$S508/Config!$B$30)))*100)) + Config!$B$29*MAX(0,MIN(100,MIN(1,IF($T508="",0,$T508)/Config!$B$23)*100))))),"")
</f>
        <v/>
      </c>
      <c r="V508" s="40" t="str">
        <f>IF(Bids!$D507="","",Bids!$D507)</f>
        <v/>
      </c>
      <c r="W508" s="40" t="str">
        <f>IF(Bids!$F507="","",Bids!$F507)</f>
        <v/>
      </c>
      <c r="X508" s="40" t="str">
        <f t="shared" si="5"/>
        <v/>
      </c>
      <c r="Y508" s="40" t="str">
        <f>IF($X508="","",IF(Config!$B$17=Config!$B$16,IF($X508&gt;=Config!$B$17,100,0),MAX(0,MIN(100,($X508-Config!$B$16)/(Config!$B$17-Config!$B$16)*100))))</f>
        <v/>
      </c>
      <c r="Z508" s="40">
        <f>IF($M508="Elite",Config!$B$21,0)</f>
        <v>0</v>
      </c>
      <c r="AA508" s="40" t="str">
        <f>IFERROR(IF(OR($W508="",$H508=""),"",IF($W508&gt;$H508,
  MAX(0, 60-(($W508-$H508)*24/Config!$B$19)*60),
  MIN(100, 60+(($H508-$W508)*24/Config!$B$20)*40)
)),"")
</f>
        <v/>
      </c>
      <c r="AB508" s="40" t="str">
        <f>IF($K508="","",IFERROR(VLOOKUP($K508,Grinders!$A$4:$N$998,10,FALSE)/5*100,""))</f>
        <v/>
      </c>
      <c r="AC508" s="40" t="str">
        <f>IF($K508="","",IFERROR(VLOOKUP($K508,Grinders!$A$4:$N$998,11,FALSE)*100,""))</f>
        <v/>
      </c>
      <c r="AD508" s="40" t="str">
        <f>IF($K508="","",IFERROR(VLOOKUP($K508,Grinders!$A$4:$N$998,12,FALSE)*100,""))</f>
        <v/>
      </c>
      <c r="AE508" s="40">
        <f>IFERROR(IFS(
    OR($C508="", $K508=""), 0,
    $F508=0, 0,
    $D508&lt;&gt;"Open", 0,
    COUNTIFS(GrinderServices!$B$4:$B$998, $K508, GrinderServices!$C$4:$C$998, $E508, GrinderServices!$E$4:$E$998, "Y")=0, 0,
    $X508&lt;Config!$B$16, 0,
    Config!$B$18=1, IF($O508&gt;=N508, 0, 1),
    TRUE, 1
), "")
</f>
        <v>0</v>
      </c>
      <c r="AF508" s="40" t="str">
        <f>IFERROR(IF($AE508=0,"",((Config!$B$6*$Y508 + Config!$B$7*$U508 + Config!$B$8*$Z508 + Config!$B$9*$AA508 + Config!$B$10*$AB508 + Config!$B$11*$AC508 - Config!$B$12*$AD508)/Config!$B$13)+$AK508+$AL508),"")</f>
        <v/>
      </c>
      <c r="AG508" s="40" t="str">
        <f t="shared" si="6"/>
        <v/>
      </c>
      <c r="AH508" s="40" t="str">
        <f t="shared" si="7"/>
        <v/>
      </c>
      <c r="AI508" s="40" t="str">
        <f t="shared" si="8"/>
        <v/>
      </c>
      <c r="AJ508" s="40" t="str">
        <f>IF($K508="","",COUNTIF(Assignments!$B$6:$B$1000,$K508))</f>
        <v/>
      </c>
      <c r="AK508" s="40" t="str">
        <f>IF($K508="","",IF(AND($AJ508=0,$O508&lt;$N508),Config!$B$43,0))</f>
        <v/>
      </c>
      <c r="AL508" s="40" t="str">
        <f>IF($K508="","",IF(AND($M508="Elite",$G508&gt;=Config!$B$41,$O508&lt;$N508),Config!$B$42,0))</f>
        <v/>
      </c>
      <c r="AM508" s="22"/>
    </row>
    <row r="509" ht="15.75" customHeight="1">
      <c r="A509" s="40" t="str">
        <f t="shared" si="1"/>
        <v/>
      </c>
      <c r="B509" s="40" t="str">
        <f>IF(Bids!$A508="","",Bids!$A508)</f>
        <v/>
      </c>
      <c r="C509" s="40" t="str">
        <f>IF(Bids!$B508="","",Bids!$B508)</f>
        <v/>
      </c>
      <c r="D509" s="40" t="str">
        <f>IF($C509="","",IFERROR(VLOOKUP($C509,Orders!$A$4:$J$998,9,FALSE),""))</f>
        <v/>
      </c>
      <c r="E509" s="40" t="str">
        <f>IF($C509="","",IFERROR(VLOOKUP($C509,Orders!$A$4:$J$998,3,FALSE),""))</f>
        <v/>
      </c>
      <c r="F509" s="40">
        <f t="shared" si="2"/>
        <v>1</v>
      </c>
      <c r="G509" s="40" t="str">
        <f>IF($C509="","",IFERROR(VLOOKUP($C509,Orders!$A$4:$J$998,4,FALSE),""))</f>
        <v/>
      </c>
      <c r="H509" s="40" t="str">
        <f>IF($C509="","",IFERROR(VLOOKUP($C509,Orders!$A$4:$J$998,5,FALSE),""))</f>
        <v/>
      </c>
      <c r="I509" s="40" t="str">
        <f>IF($C509="","",IFERROR(VLOOKUP($C509,Orders!$A$4:$J$998,6,FALSE),""))</f>
        <v/>
      </c>
      <c r="J509" s="40" t="str">
        <f>IF($C509="","",IFERROR(VLOOKUP($C509,Orders!$A$4:$J$998,7,FALSE),""))</f>
        <v/>
      </c>
      <c r="K509" s="40" t="str">
        <f>IF(Bids!$C508="","",Bids!$C508)</f>
        <v/>
      </c>
      <c r="L509" s="40" t="str">
        <f>IF($K509="","",IFERROR(VLOOKUP($K509,Grinders!$A$4:$N$998,2,FALSE),""))</f>
        <v/>
      </c>
      <c r="M509" s="40" t="str">
        <f>IF($K509="","",IFERROR(VLOOKUP($K509,Grinders!$A$4:$N$998,3,FALSE),""))</f>
        <v/>
      </c>
      <c r="N509" s="40" t="str">
        <f>IF($K509="","",IFERROR(VLOOKUP($K509,Grinders!$A$4:$N$998,4,FALSE),""))</f>
        <v/>
      </c>
      <c r="O509" s="40" t="str">
        <f>IF($K509="","",IFERROR(VLOOKUP($K509,Grinders!$A$4:$N$998,5,FALSE),""))</f>
        <v/>
      </c>
      <c r="P509" s="40" t="str">
        <f>IF($K509="","",IF($C$4="",0,COUNTIFS(Assignments!$B$6:$B$1000,$K509,Assignments!$F$6:$F$1000,$C$4,Assignments!$E$6:$E$1000,"Active")))</f>
        <v/>
      </c>
      <c r="Q509" s="40" t="str">
        <f t="shared" si="3"/>
        <v/>
      </c>
      <c r="R509" s="40" t="str">
        <f t="shared" si="4"/>
        <v/>
      </c>
      <c r="S509" s="40" t="str">
        <f>IF($K509="","",IF($C$4="",0,COUNTIFS(Assignments!$B$6:$B$1000,$K509,Assignments!$F$6:$F$1000,$C$4,Assignments!$D$6:$D$1000,"&gt;="&amp;Config!$B$3-7,Assignments!$D$6:$D$1000,"&lt;="&amp;Config!$B$3)))</f>
        <v/>
      </c>
      <c r="T509" s="40" t="str">
        <f>IF($K509="","",IFERROR(VLOOKUP($K509,Grinders!$A$4:$N$998,8,FALSE),""))</f>
        <v/>
      </c>
      <c r="U509" s="40" t="str">
        <f>IFERROR(IF($K509="","",IF($M509="Elite",MAX(50,MIN(100,Config!$B$27*MAX(0,MIN(100,(1-IF($R509="",0,$R509))*100)) + Config!$B$28*MAX(0,MIN(100,(1-MIN(1,IF(Config!$B$30=0,1,$S509/Config!$B$30)))*100)) + Config!$B$29*MAX(0,MIN(100,MIN(1,IF($T509="",0,$T509)/Config!$B$23)*100)))),MIN(100,Config!$B$27*MAX(0,MIN(100,(1-IF($R509="",0,$R509))*100)) + Config!$B$28*MAX(0,MIN(100,(1-MIN(1,IF(Config!$B$30=0,1,$S509/Config!$B$30)))*100)) + Config!$B$29*MAX(0,MIN(100,MIN(1,IF($T509="",0,$T509)/Config!$B$23)*100))))),"")
</f>
        <v/>
      </c>
      <c r="V509" s="40" t="str">
        <f>IF(Bids!$D508="","",Bids!$D508)</f>
        <v/>
      </c>
      <c r="W509" s="40" t="str">
        <f>IF(Bids!$F508="","",Bids!$F508)</f>
        <v/>
      </c>
      <c r="X509" s="40" t="str">
        <f t="shared" si="5"/>
        <v/>
      </c>
      <c r="Y509" s="40" t="str">
        <f>IF($X509="","",IF(Config!$B$17=Config!$B$16,IF($X509&gt;=Config!$B$17,100,0),MAX(0,MIN(100,($X509-Config!$B$16)/(Config!$B$17-Config!$B$16)*100))))</f>
        <v/>
      </c>
      <c r="Z509" s="40">
        <f>IF($M509="Elite",Config!$B$21,0)</f>
        <v>0</v>
      </c>
      <c r="AA509" s="40" t="str">
        <f>IFERROR(IF(OR($W509="",$H509=""),"",IF($W509&gt;$H509,
  MAX(0, 60-(($W509-$H509)*24/Config!$B$19)*60),
  MIN(100, 60+(($H509-$W509)*24/Config!$B$20)*40)
)),"")
</f>
        <v/>
      </c>
      <c r="AB509" s="40" t="str">
        <f>IF($K509="","",IFERROR(VLOOKUP($K509,Grinders!$A$4:$N$998,10,FALSE)/5*100,""))</f>
        <v/>
      </c>
      <c r="AC509" s="40" t="str">
        <f>IF($K509="","",IFERROR(VLOOKUP($K509,Grinders!$A$4:$N$998,11,FALSE)*100,""))</f>
        <v/>
      </c>
      <c r="AD509" s="40" t="str">
        <f>IF($K509="","",IFERROR(VLOOKUP($K509,Grinders!$A$4:$N$998,12,FALSE)*100,""))</f>
        <v/>
      </c>
      <c r="AE509" s="40">
        <f>IFERROR(IFS(
    OR($C509="", $K509=""), 0,
    $F509=0, 0,
    $D509&lt;&gt;"Open", 0,
    COUNTIFS(GrinderServices!$B$4:$B$998, $K509, GrinderServices!$C$4:$C$998, $E509, GrinderServices!$E$4:$E$998, "Y")=0, 0,
    $X509&lt;Config!$B$16, 0,
    Config!$B$18=1, IF($O509&gt;=N509, 0, 1),
    TRUE, 1
), "")
</f>
        <v>0</v>
      </c>
      <c r="AF509" s="40" t="str">
        <f>IFERROR(IF($AE509=0,"",((Config!$B$6*$Y509 + Config!$B$7*$U509 + Config!$B$8*$Z509 + Config!$B$9*$AA509 + Config!$B$10*$AB509 + Config!$B$11*$AC509 - Config!$B$12*$AD509)/Config!$B$13)+$AK509+$AL509),"")</f>
        <v/>
      </c>
      <c r="AG509" s="40" t="str">
        <f t="shared" si="6"/>
        <v/>
      </c>
      <c r="AH509" s="40" t="str">
        <f t="shared" si="7"/>
        <v/>
      </c>
      <c r="AI509" s="40" t="str">
        <f t="shared" si="8"/>
        <v/>
      </c>
      <c r="AJ509" s="40" t="str">
        <f>IF($K509="","",COUNTIF(Assignments!$B$6:$B$1000,$K509))</f>
        <v/>
      </c>
      <c r="AK509" s="40" t="str">
        <f>IF($K509="","",IF(AND($AJ509=0,$O509&lt;$N509),Config!$B$43,0))</f>
        <v/>
      </c>
      <c r="AL509" s="40" t="str">
        <f>IF($K509="","",IF(AND($M509="Elite",$G509&gt;=Config!$B$41,$O509&lt;$N509),Config!$B$42,0))</f>
        <v/>
      </c>
      <c r="AM509" s="22"/>
    </row>
    <row r="510" ht="15.75" customHeight="1">
      <c r="A510" s="40" t="str">
        <f t="shared" si="1"/>
        <v/>
      </c>
      <c r="B510" s="40" t="str">
        <f>IF(Bids!$A509="","",Bids!$A509)</f>
        <v/>
      </c>
      <c r="C510" s="40" t="str">
        <f>IF(Bids!$B509="","",Bids!$B509)</f>
        <v/>
      </c>
      <c r="D510" s="40" t="str">
        <f>IF($C510="","",IFERROR(VLOOKUP($C510,Orders!$A$4:$J$998,9,FALSE),""))</f>
        <v/>
      </c>
      <c r="E510" s="40" t="str">
        <f>IF($C510="","",IFERROR(VLOOKUP($C510,Orders!$A$4:$J$998,3,FALSE),""))</f>
        <v/>
      </c>
      <c r="F510" s="40">
        <f t="shared" si="2"/>
        <v>1</v>
      </c>
      <c r="G510" s="40" t="str">
        <f>IF($C510="","",IFERROR(VLOOKUP($C510,Orders!$A$4:$J$998,4,FALSE),""))</f>
        <v/>
      </c>
      <c r="H510" s="40" t="str">
        <f>IF($C510="","",IFERROR(VLOOKUP($C510,Orders!$A$4:$J$998,5,FALSE),""))</f>
        <v/>
      </c>
      <c r="I510" s="40" t="str">
        <f>IF($C510="","",IFERROR(VLOOKUP($C510,Orders!$A$4:$J$998,6,FALSE),""))</f>
        <v/>
      </c>
      <c r="J510" s="40" t="str">
        <f>IF($C510="","",IFERROR(VLOOKUP($C510,Orders!$A$4:$J$998,7,FALSE),""))</f>
        <v/>
      </c>
      <c r="K510" s="40" t="str">
        <f>IF(Bids!$C509="","",Bids!$C509)</f>
        <v/>
      </c>
      <c r="L510" s="40" t="str">
        <f>IF($K510="","",IFERROR(VLOOKUP($K510,Grinders!$A$4:$N$998,2,FALSE),""))</f>
        <v/>
      </c>
      <c r="M510" s="40" t="str">
        <f>IF($K510="","",IFERROR(VLOOKUP($K510,Grinders!$A$4:$N$998,3,FALSE),""))</f>
        <v/>
      </c>
      <c r="N510" s="40" t="str">
        <f>IF($K510="","",IFERROR(VLOOKUP($K510,Grinders!$A$4:$N$998,4,FALSE),""))</f>
        <v/>
      </c>
      <c r="O510" s="40" t="str">
        <f>IF($K510="","",IFERROR(VLOOKUP($K510,Grinders!$A$4:$N$998,5,FALSE),""))</f>
        <v/>
      </c>
      <c r="P510" s="40" t="str">
        <f>IF($K510="","",IF($C$4="",0,COUNTIFS(Assignments!$B$6:$B$1000,$K510,Assignments!$F$6:$F$1000,$C$4,Assignments!$E$6:$E$1000,"Active")))</f>
        <v/>
      </c>
      <c r="Q510" s="40" t="str">
        <f t="shared" si="3"/>
        <v/>
      </c>
      <c r="R510" s="40" t="str">
        <f t="shared" si="4"/>
        <v/>
      </c>
      <c r="S510" s="40" t="str">
        <f>IF($K510="","",IF($C$4="",0,COUNTIFS(Assignments!$B$6:$B$1000,$K510,Assignments!$F$6:$F$1000,$C$4,Assignments!$D$6:$D$1000,"&gt;="&amp;Config!$B$3-7,Assignments!$D$6:$D$1000,"&lt;="&amp;Config!$B$3)))</f>
        <v/>
      </c>
      <c r="T510" s="40" t="str">
        <f>IF($K510="","",IFERROR(VLOOKUP($K510,Grinders!$A$4:$N$998,8,FALSE),""))</f>
        <v/>
      </c>
      <c r="U510" s="40" t="str">
        <f>IFERROR(IF($K510="","",IF($M510="Elite",MAX(50,MIN(100,Config!$B$27*MAX(0,MIN(100,(1-IF($R510="",0,$R510))*100)) + Config!$B$28*MAX(0,MIN(100,(1-MIN(1,IF(Config!$B$30=0,1,$S510/Config!$B$30)))*100)) + Config!$B$29*MAX(0,MIN(100,MIN(1,IF($T510="",0,$T510)/Config!$B$23)*100)))),MIN(100,Config!$B$27*MAX(0,MIN(100,(1-IF($R510="",0,$R510))*100)) + Config!$B$28*MAX(0,MIN(100,(1-MIN(1,IF(Config!$B$30=0,1,$S510/Config!$B$30)))*100)) + Config!$B$29*MAX(0,MIN(100,MIN(1,IF($T510="",0,$T510)/Config!$B$23)*100))))),"")
</f>
        <v/>
      </c>
      <c r="V510" s="40" t="str">
        <f>IF(Bids!$D509="","",Bids!$D509)</f>
        <v/>
      </c>
      <c r="W510" s="40" t="str">
        <f>IF(Bids!$F509="","",Bids!$F509)</f>
        <v/>
      </c>
      <c r="X510" s="40" t="str">
        <f t="shared" si="5"/>
        <v/>
      </c>
      <c r="Y510" s="40" t="str">
        <f>IF($X510="","",IF(Config!$B$17=Config!$B$16,IF($X510&gt;=Config!$B$17,100,0),MAX(0,MIN(100,($X510-Config!$B$16)/(Config!$B$17-Config!$B$16)*100))))</f>
        <v/>
      </c>
      <c r="Z510" s="40">
        <f>IF($M510="Elite",Config!$B$21,0)</f>
        <v>0</v>
      </c>
      <c r="AA510" s="40" t="str">
        <f>IFERROR(IF(OR($W510="",$H510=""),"",IF($W510&gt;$H510,
  MAX(0, 60-(($W510-$H510)*24/Config!$B$19)*60),
  MIN(100, 60+(($H510-$W510)*24/Config!$B$20)*40)
)),"")
</f>
        <v/>
      </c>
      <c r="AB510" s="40" t="str">
        <f>IF($K510="","",IFERROR(VLOOKUP($K510,Grinders!$A$4:$N$998,10,FALSE)/5*100,""))</f>
        <v/>
      </c>
      <c r="AC510" s="40" t="str">
        <f>IF($K510="","",IFERROR(VLOOKUP($K510,Grinders!$A$4:$N$998,11,FALSE)*100,""))</f>
        <v/>
      </c>
      <c r="AD510" s="40" t="str">
        <f>IF($K510="","",IFERROR(VLOOKUP($K510,Grinders!$A$4:$N$998,12,FALSE)*100,""))</f>
        <v/>
      </c>
      <c r="AE510" s="40">
        <f>IFERROR(IFS(
    OR($C510="", $K510=""), 0,
    $F510=0, 0,
    $D510&lt;&gt;"Open", 0,
    COUNTIFS(GrinderServices!$B$4:$B$998, $K510, GrinderServices!$C$4:$C$998, $E510, GrinderServices!$E$4:$E$998, "Y")=0, 0,
    $X510&lt;Config!$B$16, 0,
    Config!$B$18=1, IF($O510&gt;=N510, 0, 1),
    TRUE, 1
), "")
</f>
        <v>0</v>
      </c>
      <c r="AF510" s="40" t="str">
        <f>IFERROR(IF($AE510=0,"",((Config!$B$6*$Y510 + Config!$B$7*$U510 + Config!$B$8*$Z510 + Config!$B$9*$AA510 + Config!$B$10*$AB510 + Config!$B$11*$AC510 - Config!$B$12*$AD510)/Config!$B$13)+$AK510+$AL510),"")</f>
        <v/>
      </c>
      <c r="AG510" s="40" t="str">
        <f t="shared" si="6"/>
        <v/>
      </c>
      <c r="AH510" s="40" t="str">
        <f t="shared" si="7"/>
        <v/>
      </c>
      <c r="AI510" s="40" t="str">
        <f t="shared" si="8"/>
        <v/>
      </c>
      <c r="AJ510" s="40" t="str">
        <f>IF($K510="","",COUNTIF(Assignments!$B$6:$B$1000,$K510))</f>
        <v/>
      </c>
      <c r="AK510" s="40" t="str">
        <f>IF($K510="","",IF(AND($AJ510=0,$O510&lt;$N510),Config!$B$43,0))</f>
        <v/>
      </c>
      <c r="AL510" s="40" t="str">
        <f>IF($K510="","",IF(AND($M510="Elite",$G510&gt;=Config!$B$41,$O510&lt;$N510),Config!$B$42,0))</f>
        <v/>
      </c>
      <c r="AM510" s="22"/>
    </row>
    <row r="511" ht="15.75" customHeight="1">
      <c r="A511" s="40" t="str">
        <f t="shared" si="1"/>
        <v/>
      </c>
      <c r="B511" s="40" t="str">
        <f>IF(Bids!$A510="","",Bids!$A510)</f>
        <v/>
      </c>
      <c r="C511" s="40" t="str">
        <f>IF(Bids!$B510="","",Bids!$B510)</f>
        <v/>
      </c>
      <c r="D511" s="40" t="str">
        <f>IF($C511="","",IFERROR(VLOOKUP($C511,Orders!$A$4:$J$998,9,FALSE),""))</f>
        <v/>
      </c>
      <c r="E511" s="40" t="str">
        <f>IF($C511="","",IFERROR(VLOOKUP($C511,Orders!$A$4:$J$998,3,FALSE),""))</f>
        <v/>
      </c>
      <c r="F511" s="40">
        <f t="shared" si="2"/>
        <v>1</v>
      </c>
      <c r="G511" s="40" t="str">
        <f>IF($C511="","",IFERROR(VLOOKUP($C511,Orders!$A$4:$J$998,4,FALSE),""))</f>
        <v/>
      </c>
      <c r="H511" s="40" t="str">
        <f>IF($C511="","",IFERROR(VLOOKUP($C511,Orders!$A$4:$J$998,5,FALSE),""))</f>
        <v/>
      </c>
      <c r="I511" s="40" t="str">
        <f>IF($C511="","",IFERROR(VLOOKUP($C511,Orders!$A$4:$J$998,6,FALSE),""))</f>
        <v/>
      </c>
      <c r="J511" s="40" t="str">
        <f>IF($C511="","",IFERROR(VLOOKUP($C511,Orders!$A$4:$J$998,7,FALSE),""))</f>
        <v/>
      </c>
      <c r="K511" s="40" t="str">
        <f>IF(Bids!$C510="","",Bids!$C510)</f>
        <v/>
      </c>
      <c r="L511" s="40" t="str">
        <f>IF($K511="","",IFERROR(VLOOKUP($K511,Grinders!$A$4:$N$998,2,FALSE),""))</f>
        <v/>
      </c>
      <c r="M511" s="40" t="str">
        <f>IF($K511="","",IFERROR(VLOOKUP($K511,Grinders!$A$4:$N$998,3,FALSE),""))</f>
        <v/>
      </c>
      <c r="N511" s="40" t="str">
        <f>IF($K511="","",IFERROR(VLOOKUP($K511,Grinders!$A$4:$N$998,4,FALSE),""))</f>
        <v/>
      </c>
      <c r="O511" s="40" t="str">
        <f>IF($K511="","",IFERROR(VLOOKUP($K511,Grinders!$A$4:$N$998,5,FALSE),""))</f>
        <v/>
      </c>
      <c r="P511" s="40" t="str">
        <f>IF($K511="","",IF($C$4="",0,COUNTIFS(Assignments!$B$6:$B$1000,$K511,Assignments!$F$6:$F$1000,$C$4,Assignments!$E$6:$E$1000,"Active")))</f>
        <v/>
      </c>
      <c r="Q511" s="40" t="str">
        <f t="shared" si="3"/>
        <v/>
      </c>
      <c r="R511" s="40" t="str">
        <f t="shared" si="4"/>
        <v/>
      </c>
      <c r="S511" s="40" t="str">
        <f>IF($K511="","",IF($C$4="",0,COUNTIFS(Assignments!$B$6:$B$1000,$K511,Assignments!$F$6:$F$1000,$C$4,Assignments!$D$6:$D$1000,"&gt;="&amp;Config!$B$3-7,Assignments!$D$6:$D$1000,"&lt;="&amp;Config!$B$3)))</f>
        <v/>
      </c>
      <c r="T511" s="40" t="str">
        <f>IF($K511="","",IFERROR(VLOOKUP($K511,Grinders!$A$4:$N$998,8,FALSE),""))</f>
        <v/>
      </c>
      <c r="U511" s="40" t="str">
        <f>IFERROR(IF($K511="","",IF($M511="Elite",MAX(50,MIN(100,Config!$B$27*MAX(0,MIN(100,(1-IF($R511="",0,$R511))*100)) + Config!$B$28*MAX(0,MIN(100,(1-MIN(1,IF(Config!$B$30=0,1,$S511/Config!$B$30)))*100)) + Config!$B$29*MAX(0,MIN(100,MIN(1,IF($T511="",0,$T511)/Config!$B$23)*100)))),MIN(100,Config!$B$27*MAX(0,MIN(100,(1-IF($R511="",0,$R511))*100)) + Config!$B$28*MAX(0,MIN(100,(1-MIN(1,IF(Config!$B$30=0,1,$S511/Config!$B$30)))*100)) + Config!$B$29*MAX(0,MIN(100,MIN(1,IF($T511="",0,$T511)/Config!$B$23)*100))))),"")
</f>
        <v/>
      </c>
      <c r="V511" s="40" t="str">
        <f>IF(Bids!$D510="","",Bids!$D510)</f>
        <v/>
      </c>
      <c r="W511" s="40" t="str">
        <f>IF(Bids!$F510="","",Bids!$F510)</f>
        <v/>
      </c>
      <c r="X511" s="40" t="str">
        <f t="shared" si="5"/>
        <v/>
      </c>
      <c r="Y511" s="40" t="str">
        <f>IF($X511="","",IF(Config!$B$17=Config!$B$16,IF($X511&gt;=Config!$B$17,100,0),MAX(0,MIN(100,($X511-Config!$B$16)/(Config!$B$17-Config!$B$16)*100))))</f>
        <v/>
      </c>
      <c r="Z511" s="40">
        <f>IF($M511="Elite",Config!$B$21,0)</f>
        <v>0</v>
      </c>
      <c r="AA511" s="40" t="str">
        <f>IFERROR(IF(OR($W511="",$H511=""),"",IF($W511&gt;$H511,
  MAX(0, 60-(($W511-$H511)*24/Config!$B$19)*60),
  MIN(100, 60+(($H511-$W511)*24/Config!$B$20)*40)
)),"")
</f>
        <v/>
      </c>
      <c r="AB511" s="40" t="str">
        <f>IF($K511="","",IFERROR(VLOOKUP($K511,Grinders!$A$4:$N$998,10,FALSE)/5*100,""))</f>
        <v/>
      </c>
      <c r="AC511" s="40" t="str">
        <f>IF($K511="","",IFERROR(VLOOKUP($K511,Grinders!$A$4:$N$998,11,FALSE)*100,""))</f>
        <v/>
      </c>
      <c r="AD511" s="40" t="str">
        <f>IF($K511="","",IFERROR(VLOOKUP($K511,Grinders!$A$4:$N$998,12,FALSE)*100,""))</f>
        <v/>
      </c>
      <c r="AE511" s="40">
        <f>IFERROR(IFS(
    OR($C511="", $K511=""), 0,
    $F511=0, 0,
    $D511&lt;&gt;"Open", 0,
    COUNTIFS(GrinderServices!$B$4:$B$998, $K511, GrinderServices!$C$4:$C$998, $E511, GrinderServices!$E$4:$E$998, "Y")=0, 0,
    $X511&lt;Config!$B$16, 0,
    Config!$B$18=1, IF($O511&gt;=N511, 0, 1),
    TRUE, 1
), "")
</f>
        <v>0</v>
      </c>
      <c r="AF511" s="40" t="str">
        <f>IFERROR(IF($AE511=0,"",((Config!$B$6*$Y511 + Config!$B$7*$U511 + Config!$B$8*$Z511 + Config!$B$9*$AA511 + Config!$B$10*$AB511 + Config!$B$11*$AC511 - Config!$B$12*$AD511)/Config!$B$13)+$AK511+$AL511),"")</f>
        <v/>
      </c>
      <c r="AG511" s="40" t="str">
        <f t="shared" si="6"/>
        <v/>
      </c>
      <c r="AH511" s="40" t="str">
        <f t="shared" si="7"/>
        <v/>
      </c>
      <c r="AI511" s="40" t="str">
        <f t="shared" si="8"/>
        <v/>
      </c>
      <c r="AJ511" s="40" t="str">
        <f>IF($K511="","",COUNTIF(Assignments!$B$6:$B$1000,$K511))</f>
        <v/>
      </c>
      <c r="AK511" s="40" t="str">
        <f>IF($K511="","",IF(AND($AJ511=0,$O511&lt;$N511),Config!$B$43,0))</f>
        <v/>
      </c>
      <c r="AL511" s="40" t="str">
        <f>IF($K511="","",IF(AND($M511="Elite",$G511&gt;=Config!$B$41,$O511&lt;$N511),Config!$B$42,0))</f>
        <v/>
      </c>
      <c r="AM511" s="22"/>
    </row>
    <row r="512" ht="15.75" customHeight="1">
      <c r="A512" s="40" t="str">
        <f t="shared" si="1"/>
        <v/>
      </c>
      <c r="B512" s="40" t="str">
        <f>IF(Bids!$A511="","",Bids!$A511)</f>
        <v/>
      </c>
      <c r="C512" s="40" t="str">
        <f>IF(Bids!$B511="","",Bids!$B511)</f>
        <v/>
      </c>
      <c r="D512" s="40" t="str">
        <f>IF($C512="","",IFERROR(VLOOKUP($C512,Orders!$A$4:$J$998,9,FALSE),""))</f>
        <v/>
      </c>
      <c r="E512" s="40" t="str">
        <f>IF($C512="","",IFERROR(VLOOKUP($C512,Orders!$A$4:$J$998,3,FALSE),""))</f>
        <v/>
      </c>
      <c r="F512" s="40">
        <f t="shared" si="2"/>
        <v>1</v>
      </c>
      <c r="G512" s="40" t="str">
        <f>IF($C512="","",IFERROR(VLOOKUP($C512,Orders!$A$4:$J$998,4,FALSE),""))</f>
        <v/>
      </c>
      <c r="H512" s="40" t="str">
        <f>IF($C512="","",IFERROR(VLOOKUP($C512,Orders!$A$4:$J$998,5,FALSE),""))</f>
        <v/>
      </c>
      <c r="I512" s="40" t="str">
        <f>IF($C512="","",IFERROR(VLOOKUP($C512,Orders!$A$4:$J$998,6,FALSE),""))</f>
        <v/>
      </c>
      <c r="J512" s="40" t="str">
        <f>IF($C512="","",IFERROR(VLOOKUP($C512,Orders!$A$4:$J$998,7,FALSE),""))</f>
        <v/>
      </c>
      <c r="K512" s="40" t="str">
        <f>IF(Bids!$C511="","",Bids!$C511)</f>
        <v/>
      </c>
      <c r="L512" s="40" t="str">
        <f>IF($K512="","",IFERROR(VLOOKUP($K512,Grinders!$A$4:$N$998,2,FALSE),""))</f>
        <v/>
      </c>
      <c r="M512" s="40" t="str">
        <f>IF($K512="","",IFERROR(VLOOKUP($K512,Grinders!$A$4:$N$998,3,FALSE),""))</f>
        <v/>
      </c>
      <c r="N512" s="40" t="str">
        <f>IF($K512="","",IFERROR(VLOOKUP($K512,Grinders!$A$4:$N$998,4,FALSE),""))</f>
        <v/>
      </c>
      <c r="O512" s="40" t="str">
        <f>IF($K512="","",IFERROR(VLOOKUP($K512,Grinders!$A$4:$N$998,5,FALSE),""))</f>
        <v/>
      </c>
      <c r="P512" s="40" t="str">
        <f>IF($K512="","",IF($C$4="",0,COUNTIFS(Assignments!$B$6:$B$1000,$K512,Assignments!$F$6:$F$1000,$C$4,Assignments!$E$6:$E$1000,"Active")))</f>
        <v/>
      </c>
      <c r="Q512" s="40" t="str">
        <f t="shared" si="3"/>
        <v/>
      </c>
      <c r="R512" s="40" t="str">
        <f t="shared" si="4"/>
        <v/>
      </c>
      <c r="S512" s="40" t="str">
        <f>IF($K512="","",IF($C$4="",0,COUNTIFS(Assignments!$B$6:$B$1000,$K512,Assignments!$F$6:$F$1000,$C$4,Assignments!$D$6:$D$1000,"&gt;="&amp;Config!$B$3-7,Assignments!$D$6:$D$1000,"&lt;="&amp;Config!$B$3)))</f>
        <v/>
      </c>
      <c r="T512" s="40" t="str">
        <f>IF($K512="","",IFERROR(VLOOKUP($K512,Grinders!$A$4:$N$998,8,FALSE),""))</f>
        <v/>
      </c>
      <c r="U512" s="40" t="str">
        <f>IFERROR(IF($K512="","",IF($M512="Elite",MAX(50,MIN(100,Config!$B$27*MAX(0,MIN(100,(1-IF($R512="",0,$R512))*100)) + Config!$B$28*MAX(0,MIN(100,(1-MIN(1,IF(Config!$B$30=0,1,$S512/Config!$B$30)))*100)) + Config!$B$29*MAX(0,MIN(100,MIN(1,IF($T512="",0,$T512)/Config!$B$23)*100)))),MIN(100,Config!$B$27*MAX(0,MIN(100,(1-IF($R512="",0,$R512))*100)) + Config!$B$28*MAX(0,MIN(100,(1-MIN(1,IF(Config!$B$30=0,1,$S512/Config!$B$30)))*100)) + Config!$B$29*MAX(0,MIN(100,MIN(1,IF($T512="",0,$T512)/Config!$B$23)*100))))),"")
</f>
        <v/>
      </c>
      <c r="V512" s="40" t="str">
        <f>IF(Bids!$D511="","",Bids!$D511)</f>
        <v/>
      </c>
      <c r="W512" s="40" t="str">
        <f>IF(Bids!$F511="","",Bids!$F511)</f>
        <v/>
      </c>
      <c r="X512" s="40" t="str">
        <f t="shared" si="5"/>
        <v/>
      </c>
      <c r="Y512" s="40" t="str">
        <f>IF($X512="","",IF(Config!$B$17=Config!$B$16,IF($X512&gt;=Config!$B$17,100,0),MAX(0,MIN(100,($X512-Config!$B$16)/(Config!$B$17-Config!$B$16)*100))))</f>
        <v/>
      </c>
      <c r="Z512" s="40">
        <f>IF($M512="Elite",Config!$B$21,0)</f>
        <v>0</v>
      </c>
      <c r="AA512" s="40" t="str">
        <f>IFERROR(IF(OR($W512="",$H512=""),"",IF($W512&gt;$H512,
  MAX(0, 60-(($W512-$H512)*24/Config!$B$19)*60),
  MIN(100, 60+(($H512-$W512)*24/Config!$B$20)*40)
)),"")
</f>
        <v/>
      </c>
      <c r="AB512" s="40" t="str">
        <f>IF($K512="","",IFERROR(VLOOKUP($K512,Grinders!$A$4:$N$998,10,FALSE)/5*100,""))</f>
        <v/>
      </c>
      <c r="AC512" s="40" t="str">
        <f>IF($K512="","",IFERROR(VLOOKUP($K512,Grinders!$A$4:$N$998,11,FALSE)*100,""))</f>
        <v/>
      </c>
      <c r="AD512" s="40" t="str">
        <f>IF($K512="","",IFERROR(VLOOKUP($K512,Grinders!$A$4:$N$998,12,FALSE)*100,""))</f>
        <v/>
      </c>
      <c r="AE512" s="40">
        <f>IFERROR(IFS(
    OR($C512="", $K512=""), 0,
    $F512=0, 0,
    $D512&lt;&gt;"Open", 0,
    COUNTIFS(GrinderServices!$B$4:$B$998, $K512, GrinderServices!$C$4:$C$998, $E512, GrinderServices!$E$4:$E$998, "Y")=0, 0,
    $X512&lt;Config!$B$16, 0,
    Config!$B$18=1, IF($O512&gt;=N512, 0, 1),
    TRUE, 1
), "")
</f>
        <v>0</v>
      </c>
      <c r="AF512" s="40" t="str">
        <f>IFERROR(IF($AE512=0,"",((Config!$B$6*$Y512 + Config!$B$7*$U512 + Config!$B$8*$Z512 + Config!$B$9*$AA512 + Config!$B$10*$AB512 + Config!$B$11*$AC512 - Config!$B$12*$AD512)/Config!$B$13)+$AK512+$AL512),"")</f>
        <v/>
      </c>
      <c r="AG512" s="40" t="str">
        <f t="shared" si="6"/>
        <v/>
      </c>
      <c r="AH512" s="40" t="str">
        <f t="shared" si="7"/>
        <v/>
      </c>
      <c r="AI512" s="40" t="str">
        <f t="shared" si="8"/>
        <v/>
      </c>
      <c r="AJ512" s="40" t="str">
        <f>IF($K512="","",COUNTIF(Assignments!$B$6:$B$1000,$K512))</f>
        <v/>
      </c>
      <c r="AK512" s="40" t="str">
        <f>IF($K512="","",IF(AND($AJ512=0,$O512&lt;$N512),Config!$B$43,0))</f>
        <v/>
      </c>
      <c r="AL512" s="40" t="str">
        <f>IF($K512="","",IF(AND($M512="Elite",$G512&gt;=Config!$B$41,$O512&lt;$N512),Config!$B$42,0))</f>
        <v/>
      </c>
      <c r="AM512" s="22"/>
    </row>
    <row r="513" ht="15.75" customHeight="1">
      <c r="A513" s="40" t="str">
        <f t="shared" si="1"/>
        <v/>
      </c>
      <c r="B513" s="40" t="str">
        <f>IF(Bids!$A512="","",Bids!$A512)</f>
        <v/>
      </c>
      <c r="C513" s="40" t="str">
        <f>IF(Bids!$B512="","",Bids!$B512)</f>
        <v/>
      </c>
      <c r="D513" s="40" t="str">
        <f>IF($C513="","",IFERROR(VLOOKUP($C513,Orders!$A$4:$J$998,9,FALSE),""))</f>
        <v/>
      </c>
      <c r="E513" s="40" t="str">
        <f>IF($C513="","",IFERROR(VLOOKUP($C513,Orders!$A$4:$J$998,3,FALSE),""))</f>
        <v/>
      </c>
      <c r="F513" s="40">
        <f t="shared" si="2"/>
        <v>1</v>
      </c>
      <c r="G513" s="40" t="str">
        <f>IF($C513="","",IFERROR(VLOOKUP($C513,Orders!$A$4:$J$998,4,FALSE),""))</f>
        <v/>
      </c>
      <c r="H513" s="40" t="str">
        <f>IF($C513="","",IFERROR(VLOOKUP($C513,Orders!$A$4:$J$998,5,FALSE),""))</f>
        <v/>
      </c>
      <c r="I513" s="40" t="str">
        <f>IF($C513="","",IFERROR(VLOOKUP($C513,Orders!$A$4:$J$998,6,FALSE),""))</f>
        <v/>
      </c>
      <c r="J513" s="40" t="str">
        <f>IF($C513="","",IFERROR(VLOOKUP($C513,Orders!$A$4:$J$998,7,FALSE),""))</f>
        <v/>
      </c>
      <c r="K513" s="40" t="str">
        <f>IF(Bids!$C512="","",Bids!$C512)</f>
        <v/>
      </c>
      <c r="L513" s="40" t="str">
        <f>IF($K513="","",IFERROR(VLOOKUP($K513,Grinders!$A$4:$N$998,2,FALSE),""))</f>
        <v/>
      </c>
      <c r="M513" s="40" t="str">
        <f>IF($K513="","",IFERROR(VLOOKUP($K513,Grinders!$A$4:$N$998,3,FALSE),""))</f>
        <v/>
      </c>
      <c r="N513" s="40" t="str">
        <f>IF($K513="","",IFERROR(VLOOKUP($K513,Grinders!$A$4:$N$998,4,FALSE),""))</f>
        <v/>
      </c>
      <c r="O513" s="40" t="str">
        <f>IF($K513="","",IFERROR(VLOOKUP($K513,Grinders!$A$4:$N$998,5,FALSE),""))</f>
        <v/>
      </c>
      <c r="P513" s="40" t="str">
        <f>IF($K513="","",IF($C$4="",0,COUNTIFS(Assignments!$B$6:$B$1000,$K513,Assignments!$F$6:$F$1000,$C$4,Assignments!$E$6:$E$1000,"Active")))</f>
        <v/>
      </c>
      <c r="Q513" s="40" t="str">
        <f t="shared" si="3"/>
        <v/>
      </c>
      <c r="R513" s="40" t="str">
        <f t="shared" si="4"/>
        <v/>
      </c>
      <c r="S513" s="40" t="str">
        <f>IF($K513="","",IF($C$4="",0,COUNTIFS(Assignments!$B$6:$B$1000,$K513,Assignments!$F$6:$F$1000,$C$4,Assignments!$D$6:$D$1000,"&gt;="&amp;Config!$B$3-7,Assignments!$D$6:$D$1000,"&lt;="&amp;Config!$B$3)))</f>
        <v/>
      </c>
      <c r="T513" s="40" t="str">
        <f>IF($K513="","",IFERROR(VLOOKUP($K513,Grinders!$A$4:$N$998,8,FALSE),""))</f>
        <v/>
      </c>
      <c r="U513" s="40" t="str">
        <f>IFERROR(IF($K513="","",IF($M513="Elite",MAX(50,MIN(100,Config!$B$27*MAX(0,MIN(100,(1-IF($R513="",0,$R513))*100)) + Config!$B$28*MAX(0,MIN(100,(1-MIN(1,IF(Config!$B$30=0,1,$S513/Config!$B$30)))*100)) + Config!$B$29*MAX(0,MIN(100,MIN(1,IF($T513="",0,$T513)/Config!$B$23)*100)))),MIN(100,Config!$B$27*MAX(0,MIN(100,(1-IF($R513="",0,$R513))*100)) + Config!$B$28*MAX(0,MIN(100,(1-MIN(1,IF(Config!$B$30=0,1,$S513/Config!$B$30)))*100)) + Config!$B$29*MAX(0,MIN(100,MIN(1,IF($T513="",0,$T513)/Config!$B$23)*100))))),"")
</f>
        <v/>
      </c>
      <c r="V513" s="40" t="str">
        <f>IF(Bids!$D512="","",Bids!$D512)</f>
        <v/>
      </c>
      <c r="W513" s="40" t="str">
        <f>IF(Bids!$F512="","",Bids!$F512)</f>
        <v/>
      </c>
      <c r="X513" s="40" t="str">
        <f t="shared" si="5"/>
        <v/>
      </c>
      <c r="Y513" s="40" t="str">
        <f>IF($X513="","",IF(Config!$B$17=Config!$B$16,IF($X513&gt;=Config!$B$17,100,0),MAX(0,MIN(100,($X513-Config!$B$16)/(Config!$B$17-Config!$B$16)*100))))</f>
        <v/>
      </c>
      <c r="Z513" s="40">
        <f>IF($M513="Elite",Config!$B$21,0)</f>
        <v>0</v>
      </c>
      <c r="AA513" s="40" t="str">
        <f>IFERROR(IF(OR($W513="",$H513=""),"",IF($W513&gt;$H513,
  MAX(0, 60-(($W513-$H513)*24/Config!$B$19)*60),
  MIN(100, 60+(($H513-$W513)*24/Config!$B$20)*40)
)),"")
</f>
        <v/>
      </c>
      <c r="AB513" s="40" t="str">
        <f>IF($K513="","",IFERROR(VLOOKUP($K513,Grinders!$A$4:$N$998,10,FALSE)/5*100,""))</f>
        <v/>
      </c>
      <c r="AC513" s="40" t="str">
        <f>IF($K513="","",IFERROR(VLOOKUP($K513,Grinders!$A$4:$N$998,11,FALSE)*100,""))</f>
        <v/>
      </c>
      <c r="AD513" s="40" t="str">
        <f>IF($K513="","",IFERROR(VLOOKUP($K513,Grinders!$A$4:$N$998,12,FALSE)*100,""))</f>
        <v/>
      </c>
      <c r="AE513" s="40">
        <f>IFERROR(IFS(
    OR($C513="", $K513=""), 0,
    $F513=0, 0,
    $D513&lt;&gt;"Open", 0,
    COUNTIFS(GrinderServices!$B$4:$B$998, $K513, GrinderServices!$C$4:$C$998, $E513, GrinderServices!$E$4:$E$998, "Y")=0, 0,
    $X513&lt;Config!$B$16, 0,
    Config!$B$18=1, IF($O513&gt;=N513, 0, 1),
    TRUE, 1
), "")
</f>
        <v>0</v>
      </c>
      <c r="AF513" s="40" t="str">
        <f>IFERROR(IF($AE513=0,"",((Config!$B$6*$Y513 + Config!$B$7*$U513 + Config!$B$8*$Z513 + Config!$B$9*$AA513 + Config!$B$10*$AB513 + Config!$B$11*$AC513 - Config!$B$12*$AD513)/Config!$B$13)+$AK513+$AL513),"")</f>
        <v/>
      </c>
      <c r="AG513" s="40" t="str">
        <f t="shared" si="6"/>
        <v/>
      </c>
      <c r="AH513" s="40" t="str">
        <f t="shared" si="7"/>
        <v/>
      </c>
      <c r="AI513" s="40" t="str">
        <f t="shared" si="8"/>
        <v/>
      </c>
      <c r="AJ513" s="40" t="str">
        <f>IF($K513="","",COUNTIF(Assignments!$B$6:$B$1000,$K513))</f>
        <v/>
      </c>
      <c r="AK513" s="40" t="str">
        <f>IF($K513="","",IF(AND($AJ513=0,$O513&lt;$N513),Config!$B$43,0))</f>
        <v/>
      </c>
      <c r="AL513" s="40" t="str">
        <f>IF($K513="","",IF(AND($M513="Elite",$G513&gt;=Config!$B$41,$O513&lt;$N513),Config!$B$42,0))</f>
        <v/>
      </c>
      <c r="AM513" s="22"/>
    </row>
    <row r="514" ht="15.75" customHeight="1">
      <c r="A514" s="40" t="str">
        <f t="shared" si="1"/>
        <v/>
      </c>
      <c r="B514" s="40" t="str">
        <f>IF(Bids!$A513="","",Bids!$A513)</f>
        <v/>
      </c>
      <c r="C514" s="40" t="str">
        <f>IF(Bids!$B513="","",Bids!$B513)</f>
        <v/>
      </c>
      <c r="D514" s="40" t="str">
        <f>IF($C514="","",IFERROR(VLOOKUP($C514,Orders!$A$4:$J$998,9,FALSE),""))</f>
        <v/>
      </c>
      <c r="E514" s="40" t="str">
        <f>IF($C514="","",IFERROR(VLOOKUP($C514,Orders!$A$4:$J$998,3,FALSE),""))</f>
        <v/>
      </c>
      <c r="F514" s="40">
        <f t="shared" si="2"/>
        <v>1</v>
      </c>
      <c r="G514" s="40" t="str">
        <f>IF($C514="","",IFERROR(VLOOKUP($C514,Orders!$A$4:$J$998,4,FALSE),""))</f>
        <v/>
      </c>
      <c r="H514" s="40" t="str">
        <f>IF($C514="","",IFERROR(VLOOKUP($C514,Orders!$A$4:$J$998,5,FALSE),""))</f>
        <v/>
      </c>
      <c r="I514" s="40" t="str">
        <f>IF($C514="","",IFERROR(VLOOKUP($C514,Orders!$A$4:$J$998,6,FALSE),""))</f>
        <v/>
      </c>
      <c r="J514" s="40" t="str">
        <f>IF($C514="","",IFERROR(VLOOKUP($C514,Orders!$A$4:$J$998,7,FALSE),""))</f>
        <v/>
      </c>
      <c r="K514" s="40" t="str">
        <f>IF(Bids!$C513="","",Bids!$C513)</f>
        <v/>
      </c>
      <c r="L514" s="40" t="str">
        <f>IF($K514="","",IFERROR(VLOOKUP($K514,Grinders!$A$4:$N$998,2,FALSE),""))</f>
        <v/>
      </c>
      <c r="M514" s="40" t="str">
        <f>IF($K514="","",IFERROR(VLOOKUP($K514,Grinders!$A$4:$N$998,3,FALSE),""))</f>
        <v/>
      </c>
      <c r="N514" s="40" t="str">
        <f>IF($K514="","",IFERROR(VLOOKUP($K514,Grinders!$A$4:$N$998,4,FALSE),""))</f>
        <v/>
      </c>
      <c r="O514" s="40" t="str">
        <f>IF($K514="","",IFERROR(VLOOKUP($K514,Grinders!$A$4:$N$998,5,FALSE),""))</f>
        <v/>
      </c>
      <c r="P514" s="40" t="str">
        <f>IF($K514="","",IF($C$4="",0,COUNTIFS(Assignments!$B$6:$B$1000,$K514,Assignments!$F$6:$F$1000,$C$4,Assignments!$E$6:$E$1000,"Active")))</f>
        <v/>
      </c>
      <c r="Q514" s="40" t="str">
        <f t="shared" si="3"/>
        <v/>
      </c>
      <c r="R514" s="40" t="str">
        <f t="shared" si="4"/>
        <v/>
      </c>
      <c r="S514" s="40" t="str">
        <f>IF($K514="","",IF($C$4="",0,COUNTIFS(Assignments!$B$6:$B$1000,$K514,Assignments!$F$6:$F$1000,$C$4,Assignments!$D$6:$D$1000,"&gt;="&amp;Config!$B$3-7,Assignments!$D$6:$D$1000,"&lt;="&amp;Config!$B$3)))</f>
        <v/>
      </c>
      <c r="T514" s="40" t="str">
        <f>IF($K514="","",IFERROR(VLOOKUP($K514,Grinders!$A$4:$N$998,8,FALSE),""))</f>
        <v/>
      </c>
      <c r="U514" s="40" t="str">
        <f>IFERROR(IF($K514="","",IF($M514="Elite",MAX(50,MIN(100,Config!$B$27*MAX(0,MIN(100,(1-IF($R514="",0,$R514))*100)) + Config!$B$28*MAX(0,MIN(100,(1-MIN(1,IF(Config!$B$30=0,1,$S514/Config!$B$30)))*100)) + Config!$B$29*MAX(0,MIN(100,MIN(1,IF($T514="",0,$T514)/Config!$B$23)*100)))),MIN(100,Config!$B$27*MAX(0,MIN(100,(1-IF($R514="",0,$R514))*100)) + Config!$B$28*MAX(0,MIN(100,(1-MIN(1,IF(Config!$B$30=0,1,$S514/Config!$B$30)))*100)) + Config!$B$29*MAX(0,MIN(100,MIN(1,IF($T514="",0,$T514)/Config!$B$23)*100))))),"")
</f>
        <v/>
      </c>
      <c r="V514" s="40" t="str">
        <f>IF(Bids!$D513="","",Bids!$D513)</f>
        <v/>
      </c>
      <c r="W514" s="40" t="str">
        <f>IF(Bids!$F513="","",Bids!$F513)</f>
        <v/>
      </c>
      <c r="X514" s="40" t="str">
        <f t="shared" si="5"/>
        <v/>
      </c>
      <c r="Y514" s="40" t="str">
        <f>IF($X514="","",IF(Config!$B$17=Config!$B$16,IF($X514&gt;=Config!$B$17,100,0),MAX(0,MIN(100,($X514-Config!$B$16)/(Config!$B$17-Config!$B$16)*100))))</f>
        <v/>
      </c>
      <c r="Z514" s="40">
        <f>IF($M514="Elite",Config!$B$21,0)</f>
        <v>0</v>
      </c>
      <c r="AA514" s="40" t="str">
        <f>IFERROR(IF(OR($W514="",$H514=""),"",IF($W514&gt;$H514,
  MAX(0, 60-(($W514-$H514)*24/Config!$B$19)*60),
  MIN(100, 60+(($H514-$W514)*24/Config!$B$20)*40)
)),"")
</f>
        <v/>
      </c>
      <c r="AB514" s="40" t="str">
        <f>IF($K514="","",IFERROR(VLOOKUP($K514,Grinders!$A$4:$N$998,10,FALSE)/5*100,""))</f>
        <v/>
      </c>
      <c r="AC514" s="40" t="str">
        <f>IF($K514="","",IFERROR(VLOOKUP($K514,Grinders!$A$4:$N$998,11,FALSE)*100,""))</f>
        <v/>
      </c>
      <c r="AD514" s="40" t="str">
        <f>IF($K514="","",IFERROR(VLOOKUP($K514,Grinders!$A$4:$N$998,12,FALSE)*100,""))</f>
        <v/>
      </c>
      <c r="AE514" s="40">
        <f>IFERROR(IFS(
    OR($C514="", $K514=""), 0,
    $F514=0, 0,
    $D514&lt;&gt;"Open", 0,
    COUNTIFS(GrinderServices!$B$4:$B$998, $K514, GrinderServices!$C$4:$C$998, $E514, GrinderServices!$E$4:$E$998, "Y")=0, 0,
    $X514&lt;Config!$B$16, 0,
    Config!$B$18=1, IF($O514&gt;=N514, 0, 1),
    TRUE, 1
), "")
</f>
        <v>0</v>
      </c>
      <c r="AF514" s="40" t="str">
        <f>IFERROR(IF($AE514=0,"",((Config!$B$6*$Y514 + Config!$B$7*$U514 + Config!$B$8*$Z514 + Config!$B$9*$AA514 + Config!$B$10*$AB514 + Config!$B$11*$AC514 - Config!$B$12*$AD514)/Config!$B$13)+$AK514+$AL514),"")</f>
        <v/>
      </c>
      <c r="AG514" s="40" t="str">
        <f t="shared" si="6"/>
        <v/>
      </c>
      <c r="AH514" s="40" t="str">
        <f t="shared" si="7"/>
        <v/>
      </c>
      <c r="AI514" s="40" t="str">
        <f t="shared" si="8"/>
        <v/>
      </c>
      <c r="AJ514" s="40" t="str">
        <f>IF($K514="","",COUNTIF(Assignments!$B$6:$B$1000,$K514))</f>
        <v/>
      </c>
      <c r="AK514" s="40" t="str">
        <f>IF($K514="","",IF(AND($AJ514=0,$O514&lt;$N514),Config!$B$43,0))</f>
        <v/>
      </c>
      <c r="AL514" s="40" t="str">
        <f>IF($K514="","",IF(AND($M514="Elite",$G514&gt;=Config!$B$41,$O514&lt;$N514),Config!$B$42,0))</f>
        <v/>
      </c>
      <c r="AM514" s="22"/>
    </row>
    <row r="515" ht="15.75" customHeight="1">
      <c r="A515" s="40" t="str">
        <f t="shared" si="1"/>
        <v/>
      </c>
      <c r="B515" s="40" t="str">
        <f>IF(Bids!$A514="","",Bids!$A514)</f>
        <v/>
      </c>
      <c r="C515" s="40" t="str">
        <f>IF(Bids!$B514="","",Bids!$B514)</f>
        <v/>
      </c>
      <c r="D515" s="40" t="str">
        <f>IF($C515="","",IFERROR(VLOOKUP($C515,Orders!$A$4:$J$998,9,FALSE),""))</f>
        <v/>
      </c>
      <c r="E515" s="40" t="str">
        <f>IF($C515="","",IFERROR(VLOOKUP($C515,Orders!$A$4:$J$998,3,FALSE),""))</f>
        <v/>
      </c>
      <c r="F515" s="40">
        <f t="shared" si="2"/>
        <v>1</v>
      </c>
      <c r="G515" s="40" t="str">
        <f>IF($C515="","",IFERROR(VLOOKUP($C515,Orders!$A$4:$J$998,4,FALSE),""))</f>
        <v/>
      </c>
      <c r="H515" s="40" t="str">
        <f>IF($C515="","",IFERROR(VLOOKUP($C515,Orders!$A$4:$J$998,5,FALSE),""))</f>
        <v/>
      </c>
      <c r="I515" s="40" t="str">
        <f>IF($C515="","",IFERROR(VLOOKUP($C515,Orders!$A$4:$J$998,6,FALSE),""))</f>
        <v/>
      </c>
      <c r="J515" s="40" t="str">
        <f>IF($C515="","",IFERROR(VLOOKUP($C515,Orders!$A$4:$J$998,7,FALSE),""))</f>
        <v/>
      </c>
      <c r="K515" s="40" t="str">
        <f>IF(Bids!$C514="","",Bids!$C514)</f>
        <v/>
      </c>
      <c r="L515" s="40" t="str">
        <f>IF($K515="","",IFERROR(VLOOKUP($K515,Grinders!$A$4:$N$998,2,FALSE),""))</f>
        <v/>
      </c>
      <c r="M515" s="40" t="str">
        <f>IF($K515="","",IFERROR(VLOOKUP($K515,Grinders!$A$4:$N$998,3,FALSE),""))</f>
        <v/>
      </c>
      <c r="N515" s="40" t="str">
        <f>IF($K515="","",IFERROR(VLOOKUP($K515,Grinders!$A$4:$N$998,4,FALSE),""))</f>
        <v/>
      </c>
      <c r="O515" s="40" t="str">
        <f>IF($K515="","",IFERROR(VLOOKUP($K515,Grinders!$A$4:$N$998,5,FALSE),""))</f>
        <v/>
      </c>
      <c r="P515" s="40" t="str">
        <f>IF($K515="","",IF($C$4="",0,COUNTIFS(Assignments!$B$6:$B$1000,$K515,Assignments!$F$6:$F$1000,$C$4,Assignments!$E$6:$E$1000,"Active")))</f>
        <v/>
      </c>
      <c r="Q515" s="40" t="str">
        <f t="shared" si="3"/>
        <v/>
      </c>
      <c r="R515" s="40" t="str">
        <f t="shared" si="4"/>
        <v/>
      </c>
      <c r="S515" s="40" t="str">
        <f>IF($K515="","",IF($C$4="",0,COUNTIFS(Assignments!$B$6:$B$1000,$K515,Assignments!$F$6:$F$1000,$C$4,Assignments!$D$6:$D$1000,"&gt;="&amp;Config!$B$3-7,Assignments!$D$6:$D$1000,"&lt;="&amp;Config!$B$3)))</f>
        <v/>
      </c>
      <c r="T515" s="40" t="str">
        <f>IF($K515="","",IFERROR(VLOOKUP($K515,Grinders!$A$4:$N$998,8,FALSE),""))</f>
        <v/>
      </c>
      <c r="U515" s="40" t="str">
        <f>IFERROR(IF($K515="","",IF($M515="Elite",MAX(50,MIN(100,Config!$B$27*MAX(0,MIN(100,(1-IF($R515="",0,$R515))*100)) + Config!$B$28*MAX(0,MIN(100,(1-MIN(1,IF(Config!$B$30=0,1,$S515/Config!$B$30)))*100)) + Config!$B$29*MAX(0,MIN(100,MIN(1,IF($T515="",0,$T515)/Config!$B$23)*100)))),MIN(100,Config!$B$27*MAX(0,MIN(100,(1-IF($R515="",0,$R515))*100)) + Config!$B$28*MAX(0,MIN(100,(1-MIN(1,IF(Config!$B$30=0,1,$S515/Config!$B$30)))*100)) + Config!$B$29*MAX(0,MIN(100,MIN(1,IF($T515="",0,$T515)/Config!$B$23)*100))))),"")
</f>
        <v/>
      </c>
      <c r="V515" s="40" t="str">
        <f>IF(Bids!$D514="","",Bids!$D514)</f>
        <v/>
      </c>
      <c r="W515" s="40" t="str">
        <f>IF(Bids!$F514="","",Bids!$F514)</f>
        <v/>
      </c>
      <c r="X515" s="40" t="str">
        <f t="shared" si="5"/>
        <v/>
      </c>
      <c r="Y515" s="40" t="str">
        <f>IF($X515="","",IF(Config!$B$17=Config!$B$16,IF($X515&gt;=Config!$B$17,100,0),MAX(0,MIN(100,($X515-Config!$B$16)/(Config!$B$17-Config!$B$16)*100))))</f>
        <v/>
      </c>
      <c r="Z515" s="40">
        <f>IF($M515="Elite",Config!$B$21,0)</f>
        <v>0</v>
      </c>
      <c r="AA515" s="40" t="str">
        <f>IFERROR(IF(OR($W515="",$H515=""),"",IF($W515&gt;$H515,
  MAX(0, 60-(($W515-$H515)*24/Config!$B$19)*60),
  MIN(100, 60+(($H515-$W515)*24/Config!$B$20)*40)
)),"")
</f>
        <v/>
      </c>
      <c r="AB515" s="40" t="str">
        <f>IF($K515="","",IFERROR(VLOOKUP($K515,Grinders!$A$4:$N$998,10,FALSE)/5*100,""))</f>
        <v/>
      </c>
      <c r="AC515" s="40" t="str">
        <f>IF($K515="","",IFERROR(VLOOKUP($K515,Grinders!$A$4:$N$998,11,FALSE)*100,""))</f>
        <v/>
      </c>
      <c r="AD515" s="40" t="str">
        <f>IF($K515="","",IFERROR(VLOOKUP($K515,Grinders!$A$4:$N$998,12,FALSE)*100,""))</f>
        <v/>
      </c>
      <c r="AE515" s="40">
        <f>IFERROR(IFS(
    OR($C515="", $K515=""), 0,
    $F515=0, 0,
    $D515&lt;&gt;"Open", 0,
    COUNTIFS(GrinderServices!$B$4:$B$998, $K515, GrinderServices!$C$4:$C$998, $E515, GrinderServices!$E$4:$E$998, "Y")=0, 0,
    $X515&lt;Config!$B$16, 0,
    Config!$B$18=1, IF($O515&gt;=N515, 0, 1),
    TRUE, 1
), "")
</f>
        <v>0</v>
      </c>
      <c r="AF515" s="40" t="str">
        <f>IFERROR(IF($AE515=0,"",((Config!$B$6*$Y515 + Config!$B$7*$U515 + Config!$B$8*$Z515 + Config!$B$9*$AA515 + Config!$B$10*$AB515 + Config!$B$11*$AC515 - Config!$B$12*$AD515)/Config!$B$13)+$AK515+$AL515),"")</f>
        <v/>
      </c>
      <c r="AG515" s="40" t="str">
        <f t="shared" si="6"/>
        <v/>
      </c>
      <c r="AH515" s="40" t="str">
        <f t="shared" si="7"/>
        <v/>
      </c>
      <c r="AI515" s="40" t="str">
        <f t="shared" si="8"/>
        <v/>
      </c>
      <c r="AJ515" s="40" t="str">
        <f>IF($K515="","",COUNTIF(Assignments!$B$6:$B$1000,$K515))</f>
        <v/>
      </c>
      <c r="AK515" s="40" t="str">
        <f>IF($K515="","",IF(AND($AJ515=0,$O515&lt;$N515),Config!$B$43,0))</f>
        <v/>
      </c>
      <c r="AL515" s="40" t="str">
        <f>IF($K515="","",IF(AND($M515="Elite",$G515&gt;=Config!$B$41,$O515&lt;$N515),Config!$B$42,0))</f>
        <v/>
      </c>
      <c r="AM515" s="22"/>
    </row>
    <row r="516" ht="15.75" customHeight="1">
      <c r="A516" s="40" t="str">
        <f t="shared" si="1"/>
        <v/>
      </c>
      <c r="B516" s="40" t="str">
        <f>IF(Bids!$A515="","",Bids!$A515)</f>
        <v/>
      </c>
      <c r="C516" s="40" t="str">
        <f>IF(Bids!$B515="","",Bids!$B515)</f>
        <v/>
      </c>
      <c r="D516" s="40" t="str">
        <f>IF($C516="","",IFERROR(VLOOKUP($C516,Orders!$A$4:$J$998,9,FALSE),""))</f>
        <v/>
      </c>
      <c r="E516" s="40" t="str">
        <f>IF($C516="","",IFERROR(VLOOKUP($C516,Orders!$A$4:$J$998,3,FALSE),""))</f>
        <v/>
      </c>
      <c r="F516" s="40">
        <f t="shared" si="2"/>
        <v>1</v>
      </c>
      <c r="G516" s="40" t="str">
        <f>IF($C516="","",IFERROR(VLOOKUP($C516,Orders!$A$4:$J$998,4,FALSE),""))</f>
        <v/>
      </c>
      <c r="H516" s="40" t="str">
        <f>IF($C516="","",IFERROR(VLOOKUP($C516,Orders!$A$4:$J$998,5,FALSE),""))</f>
        <v/>
      </c>
      <c r="I516" s="40" t="str">
        <f>IF($C516="","",IFERROR(VLOOKUP($C516,Orders!$A$4:$J$998,6,FALSE),""))</f>
        <v/>
      </c>
      <c r="J516" s="40" t="str">
        <f>IF($C516="","",IFERROR(VLOOKUP($C516,Orders!$A$4:$J$998,7,FALSE),""))</f>
        <v/>
      </c>
      <c r="K516" s="40" t="str">
        <f>IF(Bids!$C515="","",Bids!$C515)</f>
        <v/>
      </c>
      <c r="L516" s="40" t="str">
        <f>IF($K516="","",IFERROR(VLOOKUP($K516,Grinders!$A$4:$N$998,2,FALSE),""))</f>
        <v/>
      </c>
      <c r="M516" s="40" t="str">
        <f>IF($K516="","",IFERROR(VLOOKUP($K516,Grinders!$A$4:$N$998,3,FALSE),""))</f>
        <v/>
      </c>
      <c r="N516" s="40" t="str">
        <f>IF($K516="","",IFERROR(VLOOKUP($K516,Grinders!$A$4:$N$998,4,FALSE),""))</f>
        <v/>
      </c>
      <c r="O516" s="40" t="str">
        <f>IF($K516="","",IFERROR(VLOOKUP($K516,Grinders!$A$4:$N$998,5,FALSE),""))</f>
        <v/>
      </c>
      <c r="P516" s="40" t="str">
        <f>IF($K516="","",IF($C$4="",0,COUNTIFS(Assignments!$B$6:$B$1000,$K516,Assignments!$F$6:$F$1000,$C$4,Assignments!$E$6:$E$1000,"Active")))</f>
        <v/>
      </c>
      <c r="Q516" s="40" t="str">
        <f t="shared" si="3"/>
        <v/>
      </c>
      <c r="R516" s="40" t="str">
        <f t="shared" si="4"/>
        <v/>
      </c>
      <c r="S516" s="40" t="str">
        <f>IF($K516="","",IF($C$4="",0,COUNTIFS(Assignments!$B$6:$B$1000,$K516,Assignments!$F$6:$F$1000,$C$4,Assignments!$D$6:$D$1000,"&gt;="&amp;Config!$B$3-7,Assignments!$D$6:$D$1000,"&lt;="&amp;Config!$B$3)))</f>
        <v/>
      </c>
      <c r="T516" s="40" t="str">
        <f>IF($K516="","",IFERROR(VLOOKUP($K516,Grinders!$A$4:$N$998,8,FALSE),""))</f>
        <v/>
      </c>
      <c r="U516" s="40" t="str">
        <f>IFERROR(IF($K516="","",IF($M516="Elite",MAX(50,MIN(100,Config!$B$27*MAX(0,MIN(100,(1-IF($R516="",0,$R516))*100)) + Config!$B$28*MAX(0,MIN(100,(1-MIN(1,IF(Config!$B$30=0,1,$S516/Config!$B$30)))*100)) + Config!$B$29*MAX(0,MIN(100,MIN(1,IF($T516="",0,$T516)/Config!$B$23)*100)))),MIN(100,Config!$B$27*MAX(0,MIN(100,(1-IF($R516="",0,$R516))*100)) + Config!$B$28*MAX(0,MIN(100,(1-MIN(1,IF(Config!$B$30=0,1,$S516/Config!$B$30)))*100)) + Config!$B$29*MAX(0,MIN(100,MIN(1,IF($T516="",0,$T516)/Config!$B$23)*100))))),"")
</f>
        <v/>
      </c>
      <c r="V516" s="40" t="str">
        <f>IF(Bids!$D515="","",Bids!$D515)</f>
        <v/>
      </c>
      <c r="W516" s="40" t="str">
        <f>IF(Bids!$F515="","",Bids!$F515)</f>
        <v/>
      </c>
      <c r="X516" s="40" t="str">
        <f t="shared" si="5"/>
        <v/>
      </c>
      <c r="Y516" s="40" t="str">
        <f>IF($X516="","",IF(Config!$B$17=Config!$B$16,IF($X516&gt;=Config!$B$17,100,0),MAX(0,MIN(100,($X516-Config!$B$16)/(Config!$B$17-Config!$B$16)*100))))</f>
        <v/>
      </c>
      <c r="Z516" s="40">
        <f>IF($M516="Elite",Config!$B$21,0)</f>
        <v>0</v>
      </c>
      <c r="AA516" s="40" t="str">
        <f>IFERROR(IF(OR($W516="",$H516=""),"",IF($W516&gt;$H516,
  MAX(0, 60-(($W516-$H516)*24/Config!$B$19)*60),
  MIN(100, 60+(($H516-$W516)*24/Config!$B$20)*40)
)),"")
</f>
        <v/>
      </c>
      <c r="AB516" s="40" t="str">
        <f>IF($K516="","",IFERROR(VLOOKUP($K516,Grinders!$A$4:$N$998,10,FALSE)/5*100,""))</f>
        <v/>
      </c>
      <c r="AC516" s="40" t="str">
        <f>IF($K516="","",IFERROR(VLOOKUP($K516,Grinders!$A$4:$N$998,11,FALSE)*100,""))</f>
        <v/>
      </c>
      <c r="AD516" s="40" t="str">
        <f>IF($K516="","",IFERROR(VLOOKUP($K516,Grinders!$A$4:$N$998,12,FALSE)*100,""))</f>
        <v/>
      </c>
      <c r="AE516" s="40">
        <f>IFERROR(IFS(
    OR($C516="", $K516=""), 0,
    $F516=0, 0,
    $D516&lt;&gt;"Open", 0,
    COUNTIFS(GrinderServices!$B$4:$B$998, $K516, GrinderServices!$C$4:$C$998, $E516, GrinderServices!$E$4:$E$998, "Y")=0, 0,
    $X516&lt;Config!$B$16, 0,
    Config!$B$18=1, IF($O516&gt;=N516, 0, 1),
    TRUE, 1
), "")
</f>
        <v>0</v>
      </c>
      <c r="AF516" s="40" t="str">
        <f>IFERROR(IF($AE516=0,"",((Config!$B$6*$Y516 + Config!$B$7*$U516 + Config!$B$8*$Z516 + Config!$B$9*$AA516 + Config!$B$10*$AB516 + Config!$B$11*$AC516 - Config!$B$12*$AD516)/Config!$B$13)+$AK516+$AL516),"")</f>
        <v/>
      </c>
      <c r="AG516" s="40" t="str">
        <f t="shared" si="6"/>
        <v/>
      </c>
      <c r="AH516" s="40" t="str">
        <f t="shared" si="7"/>
        <v/>
      </c>
      <c r="AI516" s="40" t="str">
        <f t="shared" si="8"/>
        <v/>
      </c>
      <c r="AJ516" s="40" t="str">
        <f>IF($K516="","",COUNTIF(Assignments!$B$6:$B$1000,$K516))</f>
        <v/>
      </c>
      <c r="AK516" s="40" t="str">
        <f>IF($K516="","",IF(AND($AJ516=0,$O516&lt;$N516),Config!$B$43,0))</f>
        <v/>
      </c>
      <c r="AL516" s="40" t="str">
        <f>IF($K516="","",IF(AND($M516="Elite",$G516&gt;=Config!$B$41,$O516&lt;$N516),Config!$B$42,0))</f>
        <v/>
      </c>
      <c r="AM516" s="22"/>
    </row>
    <row r="517" ht="15.75" customHeight="1">
      <c r="A517" s="40" t="str">
        <f t="shared" si="1"/>
        <v/>
      </c>
      <c r="B517" s="40" t="str">
        <f>IF(Bids!$A516="","",Bids!$A516)</f>
        <v/>
      </c>
      <c r="C517" s="40" t="str">
        <f>IF(Bids!$B516="","",Bids!$B516)</f>
        <v/>
      </c>
      <c r="D517" s="40" t="str">
        <f>IF($C517="","",IFERROR(VLOOKUP($C517,Orders!$A$4:$J$998,9,FALSE),""))</f>
        <v/>
      </c>
      <c r="E517" s="40" t="str">
        <f>IF($C517="","",IFERROR(VLOOKUP($C517,Orders!$A$4:$J$998,3,FALSE),""))</f>
        <v/>
      </c>
      <c r="F517" s="40">
        <f t="shared" si="2"/>
        <v>1</v>
      </c>
      <c r="G517" s="40" t="str">
        <f>IF($C517="","",IFERROR(VLOOKUP($C517,Orders!$A$4:$J$998,4,FALSE),""))</f>
        <v/>
      </c>
      <c r="H517" s="40" t="str">
        <f>IF($C517="","",IFERROR(VLOOKUP($C517,Orders!$A$4:$J$998,5,FALSE),""))</f>
        <v/>
      </c>
      <c r="I517" s="40" t="str">
        <f>IF($C517="","",IFERROR(VLOOKUP($C517,Orders!$A$4:$J$998,6,FALSE),""))</f>
        <v/>
      </c>
      <c r="J517" s="40" t="str">
        <f>IF($C517="","",IFERROR(VLOOKUP($C517,Orders!$A$4:$J$998,7,FALSE),""))</f>
        <v/>
      </c>
      <c r="K517" s="40" t="str">
        <f>IF(Bids!$C516="","",Bids!$C516)</f>
        <v/>
      </c>
      <c r="L517" s="40" t="str">
        <f>IF($K517="","",IFERROR(VLOOKUP($K517,Grinders!$A$4:$N$998,2,FALSE),""))</f>
        <v/>
      </c>
      <c r="M517" s="40" t="str">
        <f>IF($K517="","",IFERROR(VLOOKUP($K517,Grinders!$A$4:$N$998,3,FALSE),""))</f>
        <v/>
      </c>
      <c r="N517" s="40" t="str">
        <f>IF($K517="","",IFERROR(VLOOKUP($K517,Grinders!$A$4:$N$998,4,FALSE),""))</f>
        <v/>
      </c>
      <c r="O517" s="40" t="str">
        <f>IF($K517="","",IFERROR(VLOOKUP($K517,Grinders!$A$4:$N$998,5,FALSE),""))</f>
        <v/>
      </c>
      <c r="P517" s="40" t="str">
        <f>IF($K517="","",IF($C$4="",0,COUNTIFS(Assignments!$B$6:$B$1000,$K517,Assignments!$F$6:$F$1000,$C$4,Assignments!$E$6:$E$1000,"Active")))</f>
        <v/>
      </c>
      <c r="Q517" s="40" t="str">
        <f t="shared" si="3"/>
        <v/>
      </c>
      <c r="R517" s="40" t="str">
        <f t="shared" si="4"/>
        <v/>
      </c>
      <c r="S517" s="40" t="str">
        <f>IF($K517="","",IF($C$4="",0,COUNTIFS(Assignments!$B$6:$B$1000,$K517,Assignments!$F$6:$F$1000,$C$4,Assignments!$D$6:$D$1000,"&gt;="&amp;Config!$B$3-7,Assignments!$D$6:$D$1000,"&lt;="&amp;Config!$B$3)))</f>
        <v/>
      </c>
      <c r="T517" s="40" t="str">
        <f>IF($K517="","",IFERROR(VLOOKUP($K517,Grinders!$A$4:$N$998,8,FALSE),""))</f>
        <v/>
      </c>
      <c r="U517" s="40" t="str">
        <f>IFERROR(IF($K517="","",IF($M517="Elite",MAX(50,MIN(100,Config!$B$27*MAX(0,MIN(100,(1-IF($R517="",0,$R517))*100)) + Config!$B$28*MAX(0,MIN(100,(1-MIN(1,IF(Config!$B$30=0,1,$S517/Config!$B$30)))*100)) + Config!$B$29*MAX(0,MIN(100,MIN(1,IF($T517="",0,$T517)/Config!$B$23)*100)))),MIN(100,Config!$B$27*MAX(0,MIN(100,(1-IF($R517="",0,$R517))*100)) + Config!$B$28*MAX(0,MIN(100,(1-MIN(1,IF(Config!$B$30=0,1,$S517/Config!$B$30)))*100)) + Config!$B$29*MAX(0,MIN(100,MIN(1,IF($T517="",0,$T517)/Config!$B$23)*100))))),"")
</f>
        <v/>
      </c>
      <c r="V517" s="40" t="str">
        <f>IF(Bids!$D516="","",Bids!$D516)</f>
        <v/>
      </c>
      <c r="W517" s="40" t="str">
        <f>IF(Bids!$F516="","",Bids!$F516)</f>
        <v/>
      </c>
      <c r="X517" s="40" t="str">
        <f t="shared" si="5"/>
        <v/>
      </c>
      <c r="Y517" s="40" t="str">
        <f>IF($X517="","",IF(Config!$B$17=Config!$B$16,IF($X517&gt;=Config!$B$17,100,0),MAX(0,MIN(100,($X517-Config!$B$16)/(Config!$B$17-Config!$B$16)*100))))</f>
        <v/>
      </c>
      <c r="Z517" s="40">
        <f>IF($M517="Elite",Config!$B$21,0)</f>
        <v>0</v>
      </c>
      <c r="AA517" s="40" t="str">
        <f>IFERROR(IF(OR($W517="",$H517=""),"",IF($W517&gt;$H517,
  MAX(0, 60-(($W517-$H517)*24/Config!$B$19)*60),
  MIN(100, 60+(($H517-$W517)*24/Config!$B$20)*40)
)),"")
</f>
        <v/>
      </c>
      <c r="AB517" s="40" t="str">
        <f>IF($K517="","",IFERROR(VLOOKUP($K517,Grinders!$A$4:$N$998,10,FALSE)/5*100,""))</f>
        <v/>
      </c>
      <c r="AC517" s="40" t="str">
        <f>IF($K517="","",IFERROR(VLOOKUP($K517,Grinders!$A$4:$N$998,11,FALSE)*100,""))</f>
        <v/>
      </c>
      <c r="AD517" s="40" t="str">
        <f>IF($K517="","",IFERROR(VLOOKUP($K517,Grinders!$A$4:$N$998,12,FALSE)*100,""))</f>
        <v/>
      </c>
      <c r="AE517" s="40">
        <f>IFERROR(IFS(
    OR($C517="", $K517=""), 0,
    $F517=0, 0,
    $D517&lt;&gt;"Open", 0,
    COUNTIFS(GrinderServices!$B$4:$B$998, $K517, GrinderServices!$C$4:$C$998, $E517, GrinderServices!$E$4:$E$998, "Y")=0, 0,
    $X517&lt;Config!$B$16, 0,
    Config!$B$18=1, IF($O517&gt;=N517, 0, 1),
    TRUE, 1
), "")
</f>
        <v>0</v>
      </c>
      <c r="AF517" s="40" t="str">
        <f>IFERROR(IF($AE517=0,"",((Config!$B$6*$Y517 + Config!$B$7*$U517 + Config!$B$8*$Z517 + Config!$B$9*$AA517 + Config!$B$10*$AB517 + Config!$B$11*$AC517 - Config!$B$12*$AD517)/Config!$B$13)+$AK517+$AL517),"")</f>
        <v/>
      </c>
      <c r="AG517" s="40" t="str">
        <f t="shared" si="6"/>
        <v/>
      </c>
      <c r="AH517" s="40" t="str">
        <f t="shared" si="7"/>
        <v/>
      </c>
      <c r="AI517" s="40" t="str">
        <f t="shared" si="8"/>
        <v/>
      </c>
      <c r="AJ517" s="40" t="str">
        <f>IF($K517="","",COUNTIF(Assignments!$B$6:$B$1000,$K517))</f>
        <v/>
      </c>
      <c r="AK517" s="40" t="str">
        <f>IF($K517="","",IF(AND($AJ517=0,$O517&lt;$N517),Config!$B$43,0))</f>
        <v/>
      </c>
      <c r="AL517" s="40" t="str">
        <f>IF($K517="","",IF(AND($M517="Elite",$G517&gt;=Config!$B$41,$O517&lt;$N517),Config!$B$42,0))</f>
        <v/>
      </c>
      <c r="AM517" s="22"/>
    </row>
    <row r="518" ht="15.75" customHeight="1">
      <c r="A518" s="40" t="str">
        <f t="shared" si="1"/>
        <v/>
      </c>
      <c r="B518" s="40" t="str">
        <f>IF(Bids!$A517="","",Bids!$A517)</f>
        <v/>
      </c>
      <c r="C518" s="40" t="str">
        <f>IF(Bids!$B517="","",Bids!$B517)</f>
        <v/>
      </c>
      <c r="D518" s="40" t="str">
        <f>IF($C518="","",IFERROR(VLOOKUP($C518,Orders!$A$4:$J$998,9,FALSE),""))</f>
        <v/>
      </c>
      <c r="E518" s="40" t="str">
        <f>IF($C518="","",IFERROR(VLOOKUP($C518,Orders!$A$4:$J$998,3,FALSE),""))</f>
        <v/>
      </c>
      <c r="F518" s="40">
        <f t="shared" si="2"/>
        <v>1</v>
      </c>
      <c r="G518" s="40" t="str">
        <f>IF($C518="","",IFERROR(VLOOKUP($C518,Orders!$A$4:$J$998,4,FALSE),""))</f>
        <v/>
      </c>
      <c r="H518" s="40" t="str">
        <f>IF($C518="","",IFERROR(VLOOKUP($C518,Orders!$A$4:$J$998,5,FALSE),""))</f>
        <v/>
      </c>
      <c r="I518" s="40" t="str">
        <f>IF($C518="","",IFERROR(VLOOKUP($C518,Orders!$A$4:$J$998,6,FALSE),""))</f>
        <v/>
      </c>
      <c r="J518" s="40" t="str">
        <f>IF($C518="","",IFERROR(VLOOKUP($C518,Orders!$A$4:$J$998,7,FALSE),""))</f>
        <v/>
      </c>
      <c r="K518" s="40" t="str">
        <f>IF(Bids!$C517="","",Bids!$C517)</f>
        <v/>
      </c>
      <c r="L518" s="40" t="str">
        <f>IF($K518="","",IFERROR(VLOOKUP($K518,Grinders!$A$4:$N$998,2,FALSE),""))</f>
        <v/>
      </c>
      <c r="M518" s="40" t="str">
        <f>IF($K518="","",IFERROR(VLOOKUP($K518,Grinders!$A$4:$N$998,3,FALSE),""))</f>
        <v/>
      </c>
      <c r="N518" s="40" t="str">
        <f>IF($K518="","",IFERROR(VLOOKUP($K518,Grinders!$A$4:$N$998,4,FALSE),""))</f>
        <v/>
      </c>
      <c r="O518" s="40" t="str">
        <f>IF($K518="","",IFERROR(VLOOKUP($K518,Grinders!$A$4:$N$998,5,FALSE),""))</f>
        <v/>
      </c>
      <c r="P518" s="40" t="str">
        <f>IF($K518="","",IF($C$4="",0,COUNTIFS(Assignments!$B$6:$B$1000,$K518,Assignments!$F$6:$F$1000,$C$4,Assignments!$E$6:$E$1000,"Active")))</f>
        <v/>
      </c>
      <c r="Q518" s="40" t="str">
        <f t="shared" si="3"/>
        <v/>
      </c>
      <c r="R518" s="40" t="str">
        <f t="shared" si="4"/>
        <v/>
      </c>
      <c r="S518" s="40" t="str">
        <f>IF($K518="","",IF($C$4="",0,COUNTIFS(Assignments!$B$6:$B$1000,$K518,Assignments!$F$6:$F$1000,$C$4,Assignments!$D$6:$D$1000,"&gt;="&amp;Config!$B$3-7,Assignments!$D$6:$D$1000,"&lt;="&amp;Config!$B$3)))</f>
        <v/>
      </c>
      <c r="T518" s="40" t="str">
        <f>IF($K518="","",IFERROR(VLOOKUP($K518,Grinders!$A$4:$N$998,8,FALSE),""))</f>
        <v/>
      </c>
      <c r="U518" s="40" t="str">
        <f>IFERROR(IF($K518="","",IF($M518="Elite",MAX(50,MIN(100,Config!$B$27*MAX(0,MIN(100,(1-IF($R518="",0,$R518))*100)) + Config!$B$28*MAX(0,MIN(100,(1-MIN(1,IF(Config!$B$30=0,1,$S518/Config!$B$30)))*100)) + Config!$B$29*MAX(0,MIN(100,MIN(1,IF($T518="",0,$T518)/Config!$B$23)*100)))),MIN(100,Config!$B$27*MAX(0,MIN(100,(1-IF($R518="",0,$R518))*100)) + Config!$B$28*MAX(0,MIN(100,(1-MIN(1,IF(Config!$B$30=0,1,$S518/Config!$B$30)))*100)) + Config!$B$29*MAX(0,MIN(100,MIN(1,IF($T518="",0,$T518)/Config!$B$23)*100))))),"")
</f>
        <v/>
      </c>
      <c r="V518" s="40" t="str">
        <f>IF(Bids!$D517="","",Bids!$D517)</f>
        <v/>
      </c>
      <c r="W518" s="40" t="str">
        <f>IF(Bids!$F517="","",Bids!$F517)</f>
        <v/>
      </c>
      <c r="X518" s="40" t="str">
        <f t="shared" si="5"/>
        <v/>
      </c>
      <c r="Y518" s="40" t="str">
        <f>IF($X518="","",IF(Config!$B$17=Config!$B$16,IF($X518&gt;=Config!$B$17,100,0),MAX(0,MIN(100,($X518-Config!$B$16)/(Config!$B$17-Config!$B$16)*100))))</f>
        <v/>
      </c>
      <c r="Z518" s="40">
        <f>IF($M518="Elite",Config!$B$21,0)</f>
        <v>0</v>
      </c>
      <c r="AA518" s="40" t="str">
        <f>IFERROR(IF(OR($W518="",$H518=""),"",IF($W518&gt;$H518,
  MAX(0, 60-(($W518-$H518)*24/Config!$B$19)*60),
  MIN(100, 60+(($H518-$W518)*24/Config!$B$20)*40)
)),"")
</f>
        <v/>
      </c>
      <c r="AB518" s="40" t="str">
        <f>IF($K518="","",IFERROR(VLOOKUP($K518,Grinders!$A$4:$N$998,10,FALSE)/5*100,""))</f>
        <v/>
      </c>
      <c r="AC518" s="40" t="str">
        <f>IF($K518="","",IFERROR(VLOOKUP($K518,Grinders!$A$4:$N$998,11,FALSE)*100,""))</f>
        <v/>
      </c>
      <c r="AD518" s="40" t="str">
        <f>IF($K518="","",IFERROR(VLOOKUP($K518,Grinders!$A$4:$N$998,12,FALSE)*100,""))</f>
        <v/>
      </c>
      <c r="AE518" s="40">
        <f>IFERROR(IFS(
    OR($C518="", $K518=""), 0,
    $F518=0, 0,
    $D518&lt;&gt;"Open", 0,
    COUNTIFS(GrinderServices!$B$4:$B$998, $K518, GrinderServices!$C$4:$C$998, $E518, GrinderServices!$E$4:$E$998, "Y")=0, 0,
    $X518&lt;Config!$B$16, 0,
    Config!$B$18=1, IF($O518&gt;=N518, 0, 1),
    TRUE, 1
), "")
</f>
        <v>0</v>
      </c>
      <c r="AF518" s="40" t="str">
        <f>IFERROR(IF($AE518=0,"",((Config!$B$6*$Y518 + Config!$B$7*$U518 + Config!$B$8*$Z518 + Config!$B$9*$AA518 + Config!$B$10*$AB518 + Config!$B$11*$AC518 - Config!$B$12*$AD518)/Config!$B$13)+$AK518+$AL518),"")</f>
        <v/>
      </c>
      <c r="AG518" s="40" t="str">
        <f t="shared" si="6"/>
        <v/>
      </c>
      <c r="AH518" s="40" t="str">
        <f t="shared" si="7"/>
        <v/>
      </c>
      <c r="AI518" s="40" t="str">
        <f t="shared" si="8"/>
        <v/>
      </c>
      <c r="AJ518" s="40" t="str">
        <f>IF($K518="","",COUNTIF(Assignments!$B$6:$B$1000,$K518))</f>
        <v/>
      </c>
      <c r="AK518" s="40" t="str">
        <f>IF($K518="","",IF(AND($AJ518=0,$O518&lt;$N518),Config!$B$43,0))</f>
        <v/>
      </c>
      <c r="AL518" s="40" t="str">
        <f>IF($K518="","",IF(AND($M518="Elite",$G518&gt;=Config!$B$41,$O518&lt;$N518),Config!$B$42,0))</f>
        <v/>
      </c>
      <c r="AM518" s="22"/>
    </row>
    <row r="519" ht="15.75" customHeight="1">
      <c r="A519" s="40" t="str">
        <f t="shared" si="1"/>
        <v/>
      </c>
      <c r="B519" s="40" t="str">
        <f>IF(Bids!$A518="","",Bids!$A518)</f>
        <v/>
      </c>
      <c r="C519" s="40" t="str">
        <f>IF(Bids!$B518="","",Bids!$B518)</f>
        <v/>
      </c>
      <c r="D519" s="40" t="str">
        <f>IF($C519="","",IFERROR(VLOOKUP($C519,Orders!$A$4:$J$998,9,FALSE),""))</f>
        <v/>
      </c>
      <c r="E519" s="40" t="str">
        <f>IF($C519="","",IFERROR(VLOOKUP($C519,Orders!$A$4:$J$998,3,FALSE),""))</f>
        <v/>
      </c>
      <c r="F519" s="40">
        <f t="shared" si="2"/>
        <v>1</v>
      </c>
      <c r="G519" s="40" t="str">
        <f>IF($C519="","",IFERROR(VLOOKUP($C519,Orders!$A$4:$J$998,4,FALSE),""))</f>
        <v/>
      </c>
      <c r="H519" s="40" t="str">
        <f>IF($C519="","",IFERROR(VLOOKUP($C519,Orders!$A$4:$J$998,5,FALSE),""))</f>
        <v/>
      </c>
      <c r="I519" s="40" t="str">
        <f>IF($C519="","",IFERROR(VLOOKUP($C519,Orders!$A$4:$J$998,6,FALSE),""))</f>
        <v/>
      </c>
      <c r="J519" s="40" t="str">
        <f>IF($C519="","",IFERROR(VLOOKUP($C519,Orders!$A$4:$J$998,7,FALSE),""))</f>
        <v/>
      </c>
      <c r="K519" s="40" t="str">
        <f>IF(Bids!$C518="","",Bids!$C518)</f>
        <v/>
      </c>
      <c r="L519" s="40" t="str">
        <f>IF($K519="","",IFERROR(VLOOKUP($K519,Grinders!$A$4:$N$998,2,FALSE),""))</f>
        <v/>
      </c>
      <c r="M519" s="40" t="str">
        <f>IF($K519="","",IFERROR(VLOOKUP($K519,Grinders!$A$4:$N$998,3,FALSE),""))</f>
        <v/>
      </c>
      <c r="N519" s="40" t="str">
        <f>IF($K519="","",IFERROR(VLOOKUP($K519,Grinders!$A$4:$N$998,4,FALSE),""))</f>
        <v/>
      </c>
      <c r="O519" s="40" t="str">
        <f>IF($K519="","",IFERROR(VLOOKUP($K519,Grinders!$A$4:$N$998,5,FALSE),""))</f>
        <v/>
      </c>
      <c r="P519" s="40" t="str">
        <f>IF($K519="","",IF($C$4="",0,COUNTIFS(Assignments!$B$6:$B$1000,$K519,Assignments!$F$6:$F$1000,$C$4,Assignments!$E$6:$E$1000,"Active")))</f>
        <v/>
      </c>
      <c r="Q519" s="40" t="str">
        <f t="shared" si="3"/>
        <v/>
      </c>
      <c r="R519" s="40" t="str">
        <f t="shared" si="4"/>
        <v/>
      </c>
      <c r="S519" s="40" t="str">
        <f>IF($K519="","",IF($C$4="",0,COUNTIFS(Assignments!$B$6:$B$1000,$K519,Assignments!$F$6:$F$1000,$C$4,Assignments!$D$6:$D$1000,"&gt;="&amp;Config!$B$3-7,Assignments!$D$6:$D$1000,"&lt;="&amp;Config!$B$3)))</f>
        <v/>
      </c>
      <c r="T519" s="40" t="str">
        <f>IF($K519="","",IFERROR(VLOOKUP($K519,Grinders!$A$4:$N$998,8,FALSE),""))</f>
        <v/>
      </c>
      <c r="U519" s="40" t="str">
        <f>IFERROR(IF($K519="","",IF($M519="Elite",MAX(50,MIN(100,Config!$B$27*MAX(0,MIN(100,(1-IF($R519="",0,$R519))*100)) + Config!$B$28*MAX(0,MIN(100,(1-MIN(1,IF(Config!$B$30=0,1,$S519/Config!$B$30)))*100)) + Config!$B$29*MAX(0,MIN(100,MIN(1,IF($T519="",0,$T519)/Config!$B$23)*100)))),MIN(100,Config!$B$27*MAX(0,MIN(100,(1-IF($R519="",0,$R519))*100)) + Config!$B$28*MAX(0,MIN(100,(1-MIN(1,IF(Config!$B$30=0,1,$S519/Config!$B$30)))*100)) + Config!$B$29*MAX(0,MIN(100,MIN(1,IF($T519="",0,$T519)/Config!$B$23)*100))))),"")
</f>
        <v/>
      </c>
      <c r="V519" s="40" t="str">
        <f>IF(Bids!$D518="","",Bids!$D518)</f>
        <v/>
      </c>
      <c r="W519" s="40" t="str">
        <f>IF(Bids!$F518="","",Bids!$F518)</f>
        <v/>
      </c>
      <c r="X519" s="40" t="str">
        <f t="shared" si="5"/>
        <v/>
      </c>
      <c r="Y519" s="40" t="str">
        <f>IF($X519="","",IF(Config!$B$17=Config!$B$16,IF($X519&gt;=Config!$B$17,100,0),MAX(0,MIN(100,($X519-Config!$B$16)/(Config!$B$17-Config!$B$16)*100))))</f>
        <v/>
      </c>
      <c r="Z519" s="40">
        <f>IF($M519="Elite",Config!$B$21,0)</f>
        <v>0</v>
      </c>
      <c r="AA519" s="40" t="str">
        <f>IFERROR(IF(OR($W519="",$H519=""),"",IF($W519&gt;$H519,
  MAX(0, 60-(($W519-$H519)*24/Config!$B$19)*60),
  MIN(100, 60+(($H519-$W519)*24/Config!$B$20)*40)
)),"")
</f>
        <v/>
      </c>
      <c r="AB519" s="40" t="str">
        <f>IF($K519="","",IFERROR(VLOOKUP($K519,Grinders!$A$4:$N$998,10,FALSE)/5*100,""))</f>
        <v/>
      </c>
      <c r="AC519" s="40" t="str">
        <f>IF($K519="","",IFERROR(VLOOKUP($K519,Grinders!$A$4:$N$998,11,FALSE)*100,""))</f>
        <v/>
      </c>
      <c r="AD519" s="40" t="str">
        <f>IF($K519="","",IFERROR(VLOOKUP($K519,Grinders!$A$4:$N$998,12,FALSE)*100,""))</f>
        <v/>
      </c>
      <c r="AE519" s="40">
        <f>IFERROR(IFS(
    OR($C519="", $K519=""), 0,
    $F519=0, 0,
    $D519&lt;&gt;"Open", 0,
    COUNTIFS(GrinderServices!$B$4:$B$998, $K519, GrinderServices!$C$4:$C$998, $E519, GrinderServices!$E$4:$E$998, "Y")=0, 0,
    $X519&lt;Config!$B$16, 0,
    Config!$B$18=1, IF($O519&gt;=N519, 0, 1),
    TRUE, 1
), "")
</f>
        <v>0</v>
      </c>
      <c r="AF519" s="40" t="str">
        <f>IFERROR(IF($AE519=0,"",((Config!$B$6*$Y519 + Config!$B$7*$U519 + Config!$B$8*$Z519 + Config!$B$9*$AA519 + Config!$B$10*$AB519 + Config!$B$11*$AC519 - Config!$B$12*$AD519)/Config!$B$13)+$AK519+$AL519),"")</f>
        <v/>
      </c>
      <c r="AG519" s="40" t="str">
        <f t="shared" si="6"/>
        <v/>
      </c>
      <c r="AH519" s="40" t="str">
        <f t="shared" si="7"/>
        <v/>
      </c>
      <c r="AI519" s="40" t="str">
        <f t="shared" si="8"/>
        <v/>
      </c>
      <c r="AJ519" s="40" t="str">
        <f>IF($K519="","",COUNTIF(Assignments!$B$6:$B$1000,$K519))</f>
        <v/>
      </c>
      <c r="AK519" s="40" t="str">
        <f>IF($K519="","",IF(AND($AJ519=0,$O519&lt;$N519),Config!$B$43,0))</f>
        <v/>
      </c>
      <c r="AL519" s="40" t="str">
        <f>IF($K519="","",IF(AND($M519="Elite",$G519&gt;=Config!$B$41,$O519&lt;$N519),Config!$B$42,0))</f>
        <v/>
      </c>
      <c r="AM519" s="22"/>
    </row>
    <row r="520" ht="15.75" customHeight="1">
      <c r="A520" s="40" t="str">
        <f t="shared" si="1"/>
        <v/>
      </c>
      <c r="B520" s="40" t="str">
        <f>IF(Bids!$A519="","",Bids!$A519)</f>
        <v/>
      </c>
      <c r="C520" s="40" t="str">
        <f>IF(Bids!$B519="","",Bids!$B519)</f>
        <v/>
      </c>
      <c r="D520" s="40" t="str">
        <f>IF($C520="","",IFERROR(VLOOKUP($C520,Orders!$A$4:$J$998,9,FALSE),""))</f>
        <v/>
      </c>
      <c r="E520" s="40" t="str">
        <f>IF($C520="","",IFERROR(VLOOKUP($C520,Orders!$A$4:$J$998,3,FALSE),""))</f>
        <v/>
      </c>
      <c r="F520" s="40">
        <f t="shared" si="2"/>
        <v>1</v>
      </c>
      <c r="G520" s="40" t="str">
        <f>IF($C520="","",IFERROR(VLOOKUP($C520,Orders!$A$4:$J$998,4,FALSE),""))</f>
        <v/>
      </c>
      <c r="H520" s="40" t="str">
        <f>IF($C520="","",IFERROR(VLOOKUP($C520,Orders!$A$4:$J$998,5,FALSE),""))</f>
        <v/>
      </c>
      <c r="I520" s="40" t="str">
        <f>IF($C520="","",IFERROR(VLOOKUP($C520,Orders!$A$4:$J$998,6,FALSE),""))</f>
        <v/>
      </c>
      <c r="J520" s="40" t="str">
        <f>IF($C520="","",IFERROR(VLOOKUP($C520,Orders!$A$4:$J$998,7,FALSE),""))</f>
        <v/>
      </c>
      <c r="K520" s="40" t="str">
        <f>IF(Bids!$C519="","",Bids!$C519)</f>
        <v/>
      </c>
      <c r="L520" s="40" t="str">
        <f>IF($K520="","",IFERROR(VLOOKUP($K520,Grinders!$A$4:$N$998,2,FALSE),""))</f>
        <v/>
      </c>
      <c r="M520" s="40" t="str">
        <f>IF($K520="","",IFERROR(VLOOKUP($K520,Grinders!$A$4:$N$998,3,FALSE),""))</f>
        <v/>
      </c>
      <c r="N520" s="40" t="str">
        <f>IF($K520="","",IFERROR(VLOOKUP($K520,Grinders!$A$4:$N$998,4,FALSE),""))</f>
        <v/>
      </c>
      <c r="O520" s="40" t="str">
        <f>IF($K520="","",IFERROR(VLOOKUP($K520,Grinders!$A$4:$N$998,5,FALSE),""))</f>
        <v/>
      </c>
      <c r="P520" s="40" t="str">
        <f>IF($K520="","",IF($C$4="",0,COUNTIFS(Assignments!$B$6:$B$1000,$K520,Assignments!$F$6:$F$1000,$C$4,Assignments!$E$6:$E$1000,"Active")))</f>
        <v/>
      </c>
      <c r="Q520" s="40" t="str">
        <f t="shared" si="3"/>
        <v/>
      </c>
      <c r="R520" s="40" t="str">
        <f t="shared" si="4"/>
        <v/>
      </c>
      <c r="S520" s="40" t="str">
        <f>IF($K520="","",IF($C$4="",0,COUNTIFS(Assignments!$B$6:$B$1000,$K520,Assignments!$F$6:$F$1000,$C$4,Assignments!$D$6:$D$1000,"&gt;="&amp;Config!$B$3-7,Assignments!$D$6:$D$1000,"&lt;="&amp;Config!$B$3)))</f>
        <v/>
      </c>
      <c r="T520" s="40" t="str">
        <f>IF($K520="","",IFERROR(VLOOKUP($K520,Grinders!$A$4:$N$998,8,FALSE),""))</f>
        <v/>
      </c>
      <c r="U520" s="40" t="str">
        <f>IFERROR(IF($K520="","",IF($M520="Elite",MAX(50,MIN(100,Config!$B$27*MAX(0,MIN(100,(1-IF($R520="",0,$R520))*100)) + Config!$B$28*MAX(0,MIN(100,(1-MIN(1,IF(Config!$B$30=0,1,$S520/Config!$B$30)))*100)) + Config!$B$29*MAX(0,MIN(100,MIN(1,IF($T520="",0,$T520)/Config!$B$23)*100)))),MIN(100,Config!$B$27*MAX(0,MIN(100,(1-IF($R520="",0,$R520))*100)) + Config!$B$28*MAX(0,MIN(100,(1-MIN(1,IF(Config!$B$30=0,1,$S520/Config!$B$30)))*100)) + Config!$B$29*MAX(0,MIN(100,MIN(1,IF($T520="",0,$T520)/Config!$B$23)*100))))),"")
</f>
        <v/>
      </c>
      <c r="V520" s="40" t="str">
        <f>IF(Bids!$D519="","",Bids!$D519)</f>
        <v/>
      </c>
      <c r="W520" s="40" t="str">
        <f>IF(Bids!$F519="","",Bids!$F519)</f>
        <v/>
      </c>
      <c r="X520" s="40" t="str">
        <f t="shared" si="5"/>
        <v/>
      </c>
      <c r="Y520" s="40" t="str">
        <f>IF($X520="","",IF(Config!$B$17=Config!$B$16,IF($X520&gt;=Config!$B$17,100,0),MAX(0,MIN(100,($X520-Config!$B$16)/(Config!$B$17-Config!$B$16)*100))))</f>
        <v/>
      </c>
      <c r="Z520" s="40">
        <f>IF($M520="Elite",Config!$B$21,0)</f>
        <v>0</v>
      </c>
      <c r="AA520" s="40" t="str">
        <f>IFERROR(IF(OR($W520="",$H520=""),"",IF($W520&gt;$H520,
  MAX(0, 60-(($W520-$H520)*24/Config!$B$19)*60),
  MIN(100, 60+(($H520-$W520)*24/Config!$B$20)*40)
)),"")
</f>
        <v/>
      </c>
      <c r="AB520" s="40" t="str">
        <f>IF($K520="","",IFERROR(VLOOKUP($K520,Grinders!$A$4:$N$998,10,FALSE)/5*100,""))</f>
        <v/>
      </c>
      <c r="AC520" s="40" t="str">
        <f>IF($K520="","",IFERROR(VLOOKUP($K520,Grinders!$A$4:$N$998,11,FALSE)*100,""))</f>
        <v/>
      </c>
      <c r="AD520" s="40" t="str">
        <f>IF($K520="","",IFERROR(VLOOKUP($K520,Grinders!$A$4:$N$998,12,FALSE)*100,""))</f>
        <v/>
      </c>
      <c r="AE520" s="40">
        <f>IFERROR(IFS(
    OR($C520="", $K520=""), 0,
    $F520=0, 0,
    $D520&lt;&gt;"Open", 0,
    COUNTIFS(GrinderServices!$B$4:$B$998, $K520, GrinderServices!$C$4:$C$998, $E520, GrinderServices!$E$4:$E$998, "Y")=0, 0,
    $X520&lt;Config!$B$16, 0,
    Config!$B$18=1, IF($O520&gt;=N520, 0, 1),
    TRUE, 1
), "")
</f>
        <v>0</v>
      </c>
      <c r="AF520" s="40" t="str">
        <f>IFERROR(IF($AE520=0,"",((Config!$B$6*$Y520 + Config!$B$7*$U520 + Config!$B$8*$Z520 + Config!$B$9*$AA520 + Config!$B$10*$AB520 + Config!$B$11*$AC520 - Config!$B$12*$AD520)/Config!$B$13)+$AK520+$AL520),"")</f>
        <v/>
      </c>
      <c r="AG520" s="40" t="str">
        <f t="shared" si="6"/>
        <v/>
      </c>
      <c r="AH520" s="40" t="str">
        <f t="shared" si="7"/>
        <v/>
      </c>
      <c r="AI520" s="40" t="str">
        <f t="shared" si="8"/>
        <v/>
      </c>
      <c r="AJ520" s="40" t="str">
        <f>IF($K520="","",COUNTIF(Assignments!$B$6:$B$1000,$K520))</f>
        <v/>
      </c>
      <c r="AK520" s="40" t="str">
        <f>IF($K520="","",IF(AND($AJ520=0,$O520&lt;$N520),Config!$B$43,0))</f>
        <v/>
      </c>
      <c r="AL520" s="40" t="str">
        <f>IF($K520="","",IF(AND($M520="Elite",$G520&gt;=Config!$B$41,$O520&lt;$N520),Config!$B$42,0))</f>
        <v/>
      </c>
      <c r="AM520" s="22"/>
    </row>
    <row r="521" ht="15.75" customHeight="1">
      <c r="A521" s="40" t="str">
        <f t="shared" si="1"/>
        <v/>
      </c>
      <c r="B521" s="40" t="str">
        <f>IF(Bids!$A520="","",Bids!$A520)</f>
        <v/>
      </c>
      <c r="C521" s="40" t="str">
        <f>IF(Bids!$B520="","",Bids!$B520)</f>
        <v/>
      </c>
      <c r="D521" s="40" t="str">
        <f>IF($C521="","",IFERROR(VLOOKUP($C521,Orders!$A$4:$J$998,9,FALSE),""))</f>
        <v/>
      </c>
      <c r="E521" s="40" t="str">
        <f>IF($C521="","",IFERROR(VLOOKUP($C521,Orders!$A$4:$J$998,3,FALSE),""))</f>
        <v/>
      </c>
      <c r="F521" s="40">
        <f t="shared" si="2"/>
        <v>1</v>
      </c>
      <c r="G521" s="40" t="str">
        <f>IF($C521="","",IFERROR(VLOOKUP($C521,Orders!$A$4:$J$998,4,FALSE),""))</f>
        <v/>
      </c>
      <c r="H521" s="40" t="str">
        <f>IF($C521="","",IFERROR(VLOOKUP($C521,Orders!$A$4:$J$998,5,FALSE),""))</f>
        <v/>
      </c>
      <c r="I521" s="40" t="str">
        <f>IF($C521="","",IFERROR(VLOOKUP($C521,Orders!$A$4:$J$998,6,FALSE),""))</f>
        <v/>
      </c>
      <c r="J521" s="40" t="str">
        <f>IF($C521="","",IFERROR(VLOOKUP($C521,Orders!$A$4:$J$998,7,FALSE),""))</f>
        <v/>
      </c>
      <c r="K521" s="40" t="str">
        <f>IF(Bids!$C520="","",Bids!$C520)</f>
        <v/>
      </c>
      <c r="L521" s="40" t="str">
        <f>IF($K521="","",IFERROR(VLOOKUP($K521,Grinders!$A$4:$N$998,2,FALSE),""))</f>
        <v/>
      </c>
      <c r="M521" s="40" t="str">
        <f>IF($K521="","",IFERROR(VLOOKUP($K521,Grinders!$A$4:$N$998,3,FALSE),""))</f>
        <v/>
      </c>
      <c r="N521" s="40" t="str">
        <f>IF($K521="","",IFERROR(VLOOKUP($K521,Grinders!$A$4:$N$998,4,FALSE),""))</f>
        <v/>
      </c>
      <c r="O521" s="40" t="str">
        <f>IF($K521="","",IFERROR(VLOOKUP($K521,Grinders!$A$4:$N$998,5,FALSE),""))</f>
        <v/>
      </c>
      <c r="P521" s="40" t="str">
        <f>IF($K521="","",IF($C$4="",0,COUNTIFS(Assignments!$B$6:$B$1000,$K521,Assignments!$F$6:$F$1000,$C$4,Assignments!$E$6:$E$1000,"Active")))</f>
        <v/>
      </c>
      <c r="Q521" s="40" t="str">
        <f t="shared" si="3"/>
        <v/>
      </c>
      <c r="R521" s="40" t="str">
        <f t="shared" si="4"/>
        <v/>
      </c>
      <c r="S521" s="40" t="str">
        <f>IF($K521="","",IF($C$4="",0,COUNTIFS(Assignments!$B$6:$B$1000,$K521,Assignments!$F$6:$F$1000,$C$4,Assignments!$D$6:$D$1000,"&gt;="&amp;Config!$B$3-7,Assignments!$D$6:$D$1000,"&lt;="&amp;Config!$B$3)))</f>
        <v/>
      </c>
      <c r="T521" s="40" t="str">
        <f>IF($K521="","",IFERROR(VLOOKUP($K521,Grinders!$A$4:$N$998,8,FALSE),""))</f>
        <v/>
      </c>
      <c r="U521" s="40" t="str">
        <f>IFERROR(IF($K521="","",IF($M521="Elite",MAX(50,MIN(100,Config!$B$27*MAX(0,MIN(100,(1-IF($R521="",0,$R521))*100)) + Config!$B$28*MAX(0,MIN(100,(1-MIN(1,IF(Config!$B$30=0,1,$S521/Config!$B$30)))*100)) + Config!$B$29*MAX(0,MIN(100,MIN(1,IF($T521="",0,$T521)/Config!$B$23)*100)))),MIN(100,Config!$B$27*MAX(0,MIN(100,(1-IF($R521="",0,$R521))*100)) + Config!$B$28*MAX(0,MIN(100,(1-MIN(1,IF(Config!$B$30=0,1,$S521/Config!$B$30)))*100)) + Config!$B$29*MAX(0,MIN(100,MIN(1,IF($T521="",0,$T521)/Config!$B$23)*100))))),"")
</f>
        <v/>
      </c>
      <c r="V521" s="40" t="str">
        <f>IF(Bids!$D520="","",Bids!$D520)</f>
        <v/>
      </c>
      <c r="W521" s="40" t="str">
        <f>IF(Bids!$F520="","",Bids!$F520)</f>
        <v/>
      </c>
      <c r="X521" s="40" t="str">
        <f t="shared" si="5"/>
        <v/>
      </c>
      <c r="Y521" s="40" t="str">
        <f>IF($X521="","",IF(Config!$B$17=Config!$B$16,IF($X521&gt;=Config!$B$17,100,0),MAX(0,MIN(100,($X521-Config!$B$16)/(Config!$B$17-Config!$B$16)*100))))</f>
        <v/>
      </c>
      <c r="Z521" s="40">
        <f>IF($M521="Elite",Config!$B$21,0)</f>
        <v>0</v>
      </c>
      <c r="AA521" s="40" t="str">
        <f>IFERROR(IF(OR($W521="",$H521=""),"",IF($W521&gt;$H521,
  MAX(0, 60-(($W521-$H521)*24/Config!$B$19)*60),
  MIN(100, 60+(($H521-$W521)*24/Config!$B$20)*40)
)),"")
</f>
        <v/>
      </c>
      <c r="AB521" s="40" t="str">
        <f>IF($K521="","",IFERROR(VLOOKUP($K521,Grinders!$A$4:$N$998,10,FALSE)/5*100,""))</f>
        <v/>
      </c>
      <c r="AC521" s="40" t="str">
        <f>IF($K521="","",IFERROR(VLOOKUP($K521,Grinders!$A$4:$N$998,11,FALSE)*100,""))</f>
        <v/>
      </c>
      <c r="AD521" s="40" t="str">
        <f>IF($K521="","",IFERROR(VLOOKUP($K521,Grinders!$A$4:$N$998,12,FALSE)*100,""))</f>
        <v/>
      </c>
      <c r="AE521" s="40">
        <f>IFERROR(IFS(
    OR($C521="", $K521=""), 0,
    $F521=0, 0,
    $D521&lt;&gt;"Open", 0,
    COUNTIFS(GrinderServices!$B$4:$B$998, $K521, GrinderServices!$C$4:$C$998, $E521, GrinderServices!$E$4:$E$998, "Y")=0, 0,
    $X521&lt;Config!$B$16, 0,
    Config!$B$18=1, IF($O521&gt;=N521, 0, 1),
    TRUE, 1
), "")
</f>
        <v>0</v>
      </c>
      <c r="AF521" s="40" t="str">
        <f>IFERROR(IF($AE521=0,"",((Config!$B$6*$Y521 + Config!$B$7*$U521 + Config!$B$8*$Z521 + Config!$B$9*$AA521 + Config!$B$10*$AB521 + Config!$B$11*$AC521 - Config!$B$12*$AD521)/Config!$B$13)+$AK521+$AL521),"")</f>
        <v/>
      </c>
      <c r="AG521" s="40" t="str">
        <f t="shared" si="6"/>
        <v/>
      </c>
      <c r="AH521" s="40" t="str">
        <f t="shared" si="7"/>
        <v/>
      </c>
      <c r="AI521" s="40" t="str">
        <f t="shared" si="8"/>
        <v/>
      </c>
      <c r="AJ521" s="40" t="str">
        <f>IF($K521="","",COUNTIF(Assignments!$B$6:$B$1000,$K521))</f>
        <v/>
      </c>
      <c r="AK521" s="40" t="str">
        <f>IF($K521="","",IF(AND($AJ521=0,$O521&lt;$N521),Config!$B$43,0))</f>
        <v/>
      </c>
      <c r="AL521" s="40" t="str">
        <f>IF($K521="","",IF(AND($M521="Elite",$G521&gt;=Config!$B$41,$O521&lt;$N521),Config!$B$42,0))</f>
        <v/>
      </c>
      <c r="AM521" s="22"/>
    </row>
    <row r="522" ht="15.75" customHeight="1">
      <c r="A522" s="40" t="str">
        <f t="shared" si="1"/>
        <v/>
      </c>
      <c r="B522" s="40" t="str">
        <f>IF(Bids!$A521="","",Bids!$A521)</f>
        <v/>
      </c>
      <c r="C522" s="40" t="str">
        <f>IF(Bids!$B521="","",Bids!$B521)</f>
        <v/>
      </c>
      <c r="D522" s="40" t="str">
        <f>IF($C522="","",IFERROR(VLOOKUP($C522,Orders!$A$4:$J$998,9,FALSE),""))</f>
        <v/>
      </c>
      <c r="E522" s="40" t="str">
        <f>IF($C522="","",IFERROR(VLOOKUP($C522,Orders!$A$4:$J$998,3,FALSE),""))</f>
        <v/>
      </c>
      <c r="F522" s="40">
        <f t="shared" si="2"/>
        <v>1</v>
      </c>
      <c r="G522" s="40" t="str">
        <f>IF($C522="","",IFERROR(VLOOKUP($C522,Orders!$A$4:$J$998,4,FALSE),""))</f>
        <v/>
      </c>
      <c r="H522" s="40" t="str">
        <f>IF($C522="","",IFERROR(VLOOKUP($C522,Orders!$A$4:$J$998,5,FALSE),""))</f>
        <v/>
      </c>
      <c r="I522" s="40" t="str">
        <f>IF($C522="","",IFERROR(VLOOKUP($C522,Orders!$A$4:$J$998,6,FALSE),""))</f>
        <v/>
      </c>
      <c r="J522" s="40" t="str">
        <f>IF($C522="","",IFERROR(VLOOKUP($C522,Orders!$A$4:$J$998,7,FALSE),""))</f>
        <v/>
      </c>
      <c r="K522" s="40" t="str">
        <f>IF(Bids!$C521="","",Bids!$C521)</f>
        <v/>
      </c>
      <c r="L522" s="40" t="str">
        <f>IF($K522="","",IFERROR(VLOOKUP($K522,Grinders!$A$4:$N$998,2,FALSE),""))</f>
        <v/>
      </c>
      <c r="M522" s="40" t="str">
        <f>IF($K522="","",IFERROR(VLOOKUP($K522,Grinders!$A$4:$N$998,3,FALSE),""))</f>
        <v/>
      </c>
      <c r="N522" s="40" t="str">
        <f>IF($K522="","",IFERROR(VLOOKUP($K522,Grinders!$A$4:$N$998,4,FALSE),""))</f>
        <v/>
      </c>
      <c r="O522" s="40" t="str">
        <f>IF($K522="","",IFERROR(VLOOKUP($K522,Grinders!$A$4:$N$998,5,FALSE),""))</f>
        <v/>
      </c>
      <c r="P522" s="40" t="str">
        <f>IF($K522="","",IF($C$4="",0,COUNTIFS(Assignments!$B$6:$B$1000,$K522,Assignments!$F$6:$F$1000,$C$4,Assignments!$E$6:$E$1000,"Active")))</f>
        <v/>
      </c>
      <c r="Q522" s="40" t="str">
        <f t="shared" si="3"/>
        <v/>
      </c>
      <c r="R522" s="40" t="str">
        <f t="shared" si="4"/>
        <v/>
      </c>
      <c r="S522" s="40" t="str">
        <f>IF($K522="","",IF($C$4="",0,COUNTIFS(Assignments!$B$6:$B$1000,$K522,Assignments!$F$6:$F$1000,$C$4,Assignments!$D$6:$D$1000,"&gt;="&amp;Config!$B$3-7,Assignments!$D$6:$D$1000,"&lt;="&amp;Config!$B$3)))</f>
        <v/>
      </c>
      <c r="T522" s="40" t="str">
        <f>IF($K522="","",IFERROR(VLOOKUP($K522,Grinders!$A$4:$N$998,8,FALSE),""))</f>
        <v/>
      </c>
      <c r="U522" s="40" t="str">
        <f>IFERROR(IF($K522="","",IF($M522="Elite",MAX(50,MIN(100,Config!$B$27*MAX(0,MIN(100,(1-IF($R522="",0,$R522))*100)) + Config!$B$28*MAX(0,MIN(100,(1-MIN(1,IF(Config!$B$30=0,1,$S522/Config!$B$30)))*100)) + Config!$B$29*MAX(0,MIN(100,MIN(1,IF($T522="",0,$T522)/Config!$B$23)*100)))),MIN(100,Config!$B$27*MAX(0,MIN(100,(1-IF($R522="",0,$R522))*100)) + Config!$B$28*MAX(0,MIN(100,(1-MIN(1,IF(Config!$B$30=0,1,$S522/Config!$B$30)))*100)) + Config!$B$29*MAX(0,MIN(100,MIN(1,IF($T522="",0,$T522)/Config!$B$23)*100))))),"")
</f>
        <v/>
      </c>
      <c r="V522" s="40" t="str">
        <f>IF(Bids!$D521="","",Bids!$D521)</f>
        <v/>
      </c>
      <c r="W522" s="40" t="str">
        <f>IF(Bids!$F521="","",Bids!$F521)</f>
        <v/>
      </c>
      <c r="X522" s="40" t="str">
        <f t="shared" si="5"/>
        <v/>
      </c>
      <c r="Y522" s="40" t="str">
        <f>IF($X522="","",IF(Config!$B$17=Config!$B$16,IF($X522&gt;=Config!$B$17,100,0),MAX(0,MIN(100,($X522-Config!$B$16)/(Config!$B$17-Config!$B$16)*100))))</f>
        <v/>
      </c>
      <c r="Z522" s="40">
        <f>IF($M522="Elite",Config!$B$21,0)</f>
        <v>0</v>
      </c>
      <c r="AA522" s="40" t="str">
        <f>IFERROR(IF(OR($W522="",$H522=""),"",IF($W522&gt;$H522,
  MAX(0, 60-(($W522-$H522)*24/Config!$B$19)*60),
  MIN(100, 60+(($H522-$W522)*24/Config!$B$20)*40)
)),"")
</f>
        <v/>
      </c>
      <c r="AB522" s="40" t="str">
        <f>IF($K522="","",IFERROR(VLOOKUP($K522,Grinders!$A$4:$N$998,10,FALSE)/5*100,""))</f>
        <v/>
      </c>
      <c r="AC522" s="40" t="str">
        <f>IF($K522="","",IFERROR(VLOOKUP($K522,Grinders!$A$4:$N$998,11,FALSE)*100,""))</f>
        <v/>
      </c>
      <c r="AD522" s="40" t="str">
        <f>IF($K522="","",IFERROR(VLOOKUP($K522,Grinders!$A$4:$N$998,12,FALSE)*100,""))</f>
        <v/>
      </c>
      <c r="AE522" s="40">
        <f>IFERROR(IFS(
    OR($C522="", $K522=""), 0,
    $F522=0, 0,
    $D522&lt;&gt;"Open", 0,
    COUNTIFS(GrinderServices!$B$4:$B$998, $K522, GrinderServices!$C$4:$C$998, $E522, GrinderServices!$E$4:$E$998, "Y")=0, 0,
    $X522&lt;Config!$B$16, 0,
    Config!$B$18=1, IF($O522&gt;=N522, 0, 1),
    TRUE, 1
), "")
</f>
        <v>0</v>
      </c>
      <c r="AF522" s="40" t="str">
        <f>IFERROR(IF($AE522=0,"",((Config!$B$6*$Y522 + Config!$B$7*$U522 + Config!$B$8*$Z522 + Config!$B$9*$AA522 + Config!$B$10*$AB522 + Config!$B$11*$AC522 - Config!$B$12*$AD522)/Config!$B$13)+$AK522+$AL522),"")</f>
        <v/>
      </c>
      <c r="AG522" s="40" t="str">
        <f t="shared" si="6"/>
        <v/>
      </c>
      <c r="AH522" s="40" t="str">
        <f t="shared" si="7"/>
        <v/>
      </c>
      <c r="AI522" s="40" t="str">
        <f t="shared" si="8"/>
        <v/>
      </c>
      <c r="AJ522" s="40" t="str">
        <f>IF($K522="","",COUNTIF(Assignments!$B$6:$B$1000,$K522))</f>
        <v/>
      </c>
      <c r="AK522" s="40" t="str">
        <f>IF($K522="","",IF(AND($AJ522=0,$O522&lt;$N522),Config!$B$43,0))</f>
        <v/>
      </c>
      <c r="AL522" s="40" t="str">
        <f>IF($K522="","",IF(AND($M522="Elite",$G522&gt;=Config!$B$41,$O522&lt;$N522),Config!$B$42,0))</f>
        <v/>
      </c>
      <c r="AM522" s="22"/>
    </row>
    <row r="523" ht="15.75" customHeight="1">
      <c r="A523" s="40" t="str">
        <f t="shared" si="1"/>
        <v/>
      </c>
      <c r="B523" s="40" t="str">
        <f>IF(Bids!$A522="","",Bids!$A522)</f>
        <v/>
      </c>
      <c r="C523" s="40" t="str">
        <f>IF(Bids!$B522="","",Bids!$B522)</f>
        <v/>
      </c>
      <c r="D523" s="40" t="str">
        <f>IF($C523="","",IFERROR(VLOOKUP($C523,Orders!$A$4:$J$998,9,FALSE),""))</f>
        <v/>
      </c>
      <c r="E523" s="40" t="str">
        <f>IF($C523="","",IFERROR(VLOOKUP($C523,Orders!$A$4:$J$998,3,FALSE),""))</f>
        <v/>
      </c>
      <c r="F523" s="40">
        <f t="shared" si="2"/>
        <v>1</v>
      </c>
      <c r="G523" s="40" t="str">
        <f>IF($C523="","",IFERROR(VLOOKUP($C523,Orders!$A$4:$J$998,4,FALSE),""))</f>
        <v/>
      </c>
      <c r="H523" s="40" t="str">
        <f>IF($C523="","",IFERROR(VLOOKUP($C523,Orders!$A$4:$J$998,5,FALSE),""))</f>
        <v/>
      </c>
      <c r="I523" s="40" t="str">
        <f>IF($C523="","",IFERROR(VLOOKUP($C523,Orders!$A$4:$J$998,6,FALSE),""))</f>
        <v/>
      </c>
      <c r="J523" s="40" t="str">
        <f>IF($C523="","",IFERROR(VLOOKUP($C523,Orders!$A$4:$J$998,7,FALSE),""))</f>
        <v/>
      </c>
      <c r="K523" s="40" t="str">
        <f>IF(Bids!$C522="","",Bids!$C522)</f>
        <v/>
      </c>
      <c r="L523" s="40" t="str">
        <f>IF($K523="","",IFERROR(VLOOKUP($K523,Grinders!$A$4:$N$998,2,FALSE),""))</f>
        <v/>
      </c>
      <c r="M523" s="40" t="str">
        <f>IF($K523="","",IFERROR(VLOOKUP($K523,Grinders!$A$4:$N$998,3,FALSE),""))</f>
        <v/>
      </c>
      <c r="N523" s="40" t="str">
        <f>IF($K523="","",IFERROR(VLOOKUP($K523,Grinders!$A$4:$N$998,4,FALSE),""))</f>
        <v/>
      </c>
      <c r="O523" s="40" t="str">
        <f>IF($K523="","",IFERROR(VLOOKUP($K523,Grinders!$A$4:$N$998,5,FALSE),""))</f>
        <v/>
      </c>
      <c r="P523" s="40" t="str">
        <f>IF($K523="","",IF($C$4="",0,COUNTIFS(Assignments!$B$6:$B$1000,$K523,Assignments!$F$6:$F$1000,$C$4,Assignments!$E$6:$E$1000,"Active")))</f>
        <v/>
      </c>
      <c r="Q523" s="40" t="str">
        <f t="shared" si="3"/>
        <v/>
      </c>
      <c r="R523" s="40" t="str">
        <f t="shared" si="4"/>
        <v/>
      </c>
      <c r="S523" s="40" t="str">
        <f>IF($K523="","",IF($C$4="",0,COUNTIFS(Assignments!$B$6:$B$1000,$K523,Assignments!$F$6:$F$1000,$C$4,Assignments!$D$6:$D$1000,"&gt;="&amp;Config!$B$3-7,Assignments!$D$6:$D$1000,"&lt;="&amp;Config!$B$3)))</f>
        <v/>
      </c>
      <c r="T523" s="40" t="str">
        <f>IF($K523="","",IFERROR(VLOOKUP($K523,Grinders!$A$4:$N$998,8,FALSE),""))</f>
        <v/>
      </c>
      <c r="U523" s="40" t="str">
        <f>IFERROR(IF($K523="","",IF($M523="Elite",MAX(50,MIN(100,Config!$B$27*MAX(0,MIN(100,(1-IF($R523="",0,$R523))*100)) + Config!$B$28*MAX(0,MIN(100,(1-MIN(1,IF(Config!$B$30=0,1,$S523/Config!$B$30)))*100)) + Config!$B$29*MAX(0,MIN(100,MIN(1,IF($T523="",0,$T523)/Config!$B$23)*100)))),MIN(100,Config!$B$27*MAX(0,MIN(100,(1-IF($R523="",0,$R523))*100)) + Config!$B$28*MAX(0,MIN(100,(1-MIN(1,IF(Config!$B$30=0,1,$S523/Config!$B$30)))*100)) + Config!$B$29*MAX(0,MIN(100,MIN(1,IF($T523="",0,$T523)/Config!$B$23)*100))))),"")
</f>
        <v/>
      </c>
      <c r="V523" s="40" t="str">
        <f>IF(Bids!$D522="","",Bids!$D522)</f>
        <v/>
      </c>
      <c r="W523" s="40" t="str">
        <f>IF(Bids!$F522="","",Bids!$F522)</f>
        <v/>
      </c>
      <c r="X523" s="40" t="str">
        <f t="shared" si="5"/>
        <v/>
      </c>
      <c r="Y523" s="40" t="str">
        <f>IF($X523="","",IF(Config!$B$17=Config!$B$16,IF($X523&gt;=Config!$B$17,100,0),MAX(0,MIN(100,($X523-Config!$B$16)/(Config!$B$17-Config!$B$16)*100))))</f>
        <v/>
      </c>
      <c r="Z523" s="40">
        <f>IF($M523="Elite",Config!$B$21,0)</f>
        <v>0</v>
      </c>
      <c r="AA523" s="40" t="str">
        <f>IFERROR(IF(OR($W523="",$H523=""),"",IF($W523&gt;$H523,
  MAX(0, 60-(($W523-$H523)*24/Config!$B$19)*60),
  MIN(100, 60+(($H523-$W523)*24/Config!$B$20)*40)
)),"")
</f>
        <v/>
      </c>
      <c r="AB523" s="40" t="str">
        <f>IF($K523="","",IFERROR(VLOOKUP($K523,Grinders!$A$4:$N$998,10,FALSE)/5*100,""))</f>
        <v/>
      </c>
      <c r="AC523" s="40" t="str">
        <f>IF($K523="","",IFERROR(VLOOKUP($K523,Grinders!$A$4:$N$998,11,FALSE)*100,""))</f>
        <v/>
      </c>
      <c r="AD523" s="40" t="str">
        <f>IF($K523="","",IFERROR(VLOOKUP($K523,Grinders!$A$4:$N$998,12,FALSE)*100,""))</f>
        <v/>
      </c>
      <c r="AE523" s="40">
        <f>IFERROR(IFS(
    OR($C523="", $K523=""), 0,
    $F523=0, 0,
    $D523&lt;&gt;"Open", 0,
    COUNTIFS(GrinderServices!$B$4:$B$998, $K523, GrinderServices!$C$4:$C$998, $E523, GrinderServices!$E$4:$E$998, "Y")=0, 0,
    $X523&lt;Config!$B$16, 0,
    Config!$B$18=1, IF($O523&gt;=N523, 0, 1),
    TRUE, 1
), "")
</f>
        <v>0</v>
      </c>
      <c r="AF523" s="40" t="str">
        <f>IFERROR(IF($AE523=0,"",((Config!$B$6*$Y523 + Config!$B$7*$U523 + Config!$B$8*$Z523 + Config!$B$9*$AA523 + Config!$B$10*$AB523 + Config!$B$11*$AC523 - Config!$B$12*$AD523)/Config!$B$13)+$AK523+$AL523),"")</f>
        <v/>
      </c>
      <c r="AG523" s="40" t="str">
        <f t="shared" si="6"/>
        <v/>
      </c>
      <c r="AH523" s="40" t="str">
        <f t="shared" si="7"/>
        <v/>
      </c>
      <c r="AI523" s="40" t="str">
        <f t="shared" si="8"/>
        <v/>
      </c>
      <c r="AJ523" s="40" t="str">
        <f>IF($K523="","",COUNTIF(Assignments!$B$6:$B$1000,$K523))</f>
        <v/>
      </c>
      <c r="AK523" s="40" t="str">
        <f>IF($K523="","",IF(AND($AJ523=0,$O523&lt;$N523),Config!$B$43,0))</f>
        <v/>
      </c>
      <c r="AL523" s="40" t="str">
        <f>IF($K523="","",IF(AND($M523="Elite",$G523&gt;=Config!$B$41,$O523&lt;$N523),Config!$B$42,0))</f>
        <v/>
      </c>
      <c r="AM523" s="22"/>
    </row>
    <row r="524" ht="15.75" customHeight="1">
      <c r="A524" s="40" t="str">
        <f t="shared" si="1"/>
        <v/>
      </c>
      <c r="B524" s="40" t="str">
        <f>IF(Bids!$A523="","",Bids!$A523)</f>
        <v/>
      </c>
      <c r="C524" s="40" t="str">
        <f>IF(Bids!$B523="","",Bids!$B523)</f>
        <v/>
      </c>
      <c r="D524" s="40" t="str">
        <f>IF($C524="","",IFERROR(VLOOKUP($C524,Orders!$A$4:$J$998,9,FALSE),""))</f>
        <v/>
      </c>
      <c r="E524" s="40" t="str">
        <f>IF($C524="","",IFERROR(VLOOKUP($C524,Orders!$A$4:$J$998,3,FALSE),""))</f>
        <v/>
      </c>
      <c r="F524" s="40">
        <f t="shared" si="2"/>
        <v>1</v>
      </c>
      <c r="G524" s="40" t="str">
        <f>IF($C524="","",IFERROR(VLOOKUP($C524,Orders!$A$4:$J$998,4,FALSE),""))</f>
        <v/>
      </c>
      <c r="H524" s="40" t="str">
        <f>IF($C524="","",IFERROR(VLOOKUP($C524,Orders!$A$4:$J$998,5,FALSE),""))</f>
        <v/>
      </c>
      <c r="I524" s="40" t="str">
        <f>IF($C524="","",IFERROR(VLOOKUP($C524,Orders!$A$4:$J$998,6,FALSE),""))</f>
        <v/>
      </c>
      <c r="J524" s="40" t="str">
        <f>IF($C524="","",IFERROR(VLOOKUP($C524,Orders!$A$4:$J$998,7,FALSE),""))</f>
        <v/>
      </c>
      <c r="K524" s="40" t="str">
        <f>IF(Bids!$C523="","",Bids!$C523)</f>
        <v/>
      </c>
      <c r="L524" s="40" t="str">
        <f>IF($K524="","",IFERROR(VLOOKUP($K524,Grinders!$A$4:$N$998,2,FALSE),""))</f>
        <v/>
      </c>
      <c r="M524" s="40" t="str">
        <f>IF($K524="","",IFERROR(VLOOKUP($K524,Grinders!$A$4:$N$998,3,FALSE),""))</f>
        <v/>
      </c>
      <c r="N524" s="40" t="str">
        <f>IF($K524="","",IFERROR(VLOOKUP($K524,Grinders!$A$4:$N$998,4,FALSE),""))</f>
        <v/>
      </c>
      <c r="O524" s="40" t="str">
        <f>IF($K524="","",IFERROR(VLOOKUP($K524,Grinders!$A$4:$N$998,5,FALSE),""))</f>
        <v/>
      </c>
      <c r="P524" s="40" t="str">
        <f>IF($K524="","",IF($C$4="",0,COUNTIFS(Assignments!$B$6:$B$1000,$K524,Assignments!$F$6:$F$1000,$C$4,Assignments!$E$6:$E$1000,"Active")))</f>
        <v/>
      </c>
      <c r="Q524" s="40" t="str">
        <f t="shared" si="3"/>
        <v/>
      </c>
      <c r="R524" s="40" t="str">
        <f t="shared" si="4"/>
        <v/>
      </c>
      <c r="S524" s="40" t="str">
        <f>IF($K524="","",IF($C$4="",0,COUNTIFS(Assignments!$B$6:$B$1000,$K524,Assignments!$F$6:$F$1000,$C$4,Assignments!$D$6:$D$1000,"&gt;="&amp;Config!$B$3-7,Assignments!$D$6:$D$1000,"&lt;="&amp;Config!$B$3)))</f>
        <v/>
      </c>
      <c r="T524" s="40" t="str">
        <f>IF($K524="","",IFERROR(VLOOKUP($K524,Grinders!$A$4:$N$998,8,FALSE),""))</f>
        <v/>
      </c>
      <c r="U524" s="40" t="str">
        <f>IFERROR(IF($K524="","",IF($M524="Elite",MAX(50,MIN(100,Config!$B$27*MAX(0,MIN(100,(1-IF($R524="",0,$R524))*100)) + Config!$B$28*MAX(0,MIN(100,(1-MIN(1,IF(Config!$B$30=0,1,$S524/Config!$B$30)))*100)) + Config!$B$29*MAX(0,MIN(100,MIN(1,IF($T524="",0,$T524)/Config!$B$23)*100)))),MIN(100,Config!$B$27*MAX(0,MIN(100,(1-IF($R524="",0,$R524))*100)) + Config!$B$28*MAX(0,MIN(100,(1-MIN(1,IF(Config!$B$30=0,1,$S524/Config!$B$30)))*100)) + Config!$B$29*MAX(0,MIN(100,MIN(1,IF($T524="",0,$T524)/Config!$B$23)*100))))),"")
</f>
        <v/>
      </c>
      <c r="V524" s="40" t="str">
        <f>IF(Bids!$D523="","",Bids!$D523)</f>
        <v/>
      </c>
      <c r="W524" s="40" t="str">
        <f>IF(Bids!$F523="","",Bids!$F523)</f>
        <v/>
      </c>
      <c r="X524" s="40" t="str">
        <f t="shared" si="5"/>
        <v/>
      </c>
      <c r="Y524" s="40" t="str">
        <f>IF($X524="","",IF(Config!$B$17=Config!$B$16,IF($X524&gt;=Config!$B$17,100,0),MAX(0,MIN(100,($X524-Config!$B$16)/(Config!$B$17-Config!$B$16)*100))))</f>
        <v/>
      </c>
      <c r="Z524" s="40">
        <f>IF($M524="Elite",Config!$B$21,0)</f>
        <v>0</v>
      </c>
      <c r="AA524" s="40" t="str">
        <f>IFERROR(IF(OR($W524="",$H524=""),"",IF($W524&gt;$H524,
  MAX(0, 60-(($W524-$H524)*24/Config!$B$19)*60),
  MIN(100, 60+(($H524-$W524)*24/Config!$B$20)*40)
)),"")
</f>
        <v/>
      </c>
      <c r="AB524" s="40" t="str">
        <f>IF($K524="","",IFERROR(VLOOKUP($K524,Grinders!$A$4:$N$998,10,FALSE)/5*100,""))</f>
        <v/>
      </c>
      <c r="AC524" s="40" t="str">
        <f>IF($K524="","",IFERROR(VLOOKUP($K524,Grinders!$A$4:$N$998,11,FALSE)*100,""))</f>
        <v/>
      </c>
      <c r="AD524" s="40" t="str">
        <f>IF($K524="","",IFERROR(VLOOKUP($K524,Grinders!$A$4:$N$998,12,FALSE)*100,""))</f>
        <v/>
      </c>
      <c r="AE524" s="40">
        <f>IFERROR(IFS(
    OR($C524="", $K524=""), 0,
    $F524=0, 0,
    $D524&lt;&gt;"Open", 0,
    COUNTIFS(GrinderServices!$B$4:$B$998, $K524, GrinderServices!$C$4:$C$998, $E524, GrinderServices!$E$4:$E$998, "Y")=0, 0,
    $X524&lt;Config!$B$16, 0,
    Config!$B$18=1, IF($O524&gt;=N524, 0, 1),
    TRUE, 1
), "")
</f>
        <v>0</v>
      </c>
      <c r="AF524" s="40" t="str">
        <f>IFERROR(IF($AE524=0,"",((Config!$B$6*$Y524 + Config!$B$7*$U524 + Config!$B$8*$Z524 + Config!$B$9*$AA524 + Config!$B$10*$AB524 + Config!$B$11*$AC524 - Config!$B$12*$AD524)/Config!$B$13)+$AK524+$AL524),"")</f>
        <v/>
      </c>
      <c r="AG524" s="40" t="str">
        <f t="shared" si="6"/>
        <v/>
      </c>
      <c r="AH524" s="40" t="str">
        <f t="shared" si="7"/>
        <v/>
      </c>
      <c r="AI524" s="40" t="str">
        <f t="shared" si="8"/>
        <v/>
      </c>
      <c r="AJ524" s="40" t="str">
        <f>IF($K524="","",COUNTIF(Assignments!$B$6:$B$1000,$K524))</f>
        <v/>
      </c>
      <c r="AK524" s="40" t="str">
        <f>IF($K524="","",IF(AND($AJ524=0,$O524&lt;$N524),Config!$B$43,0))</f>
        <v/>
      </c>
      <c r="AL524" s="40" t="str">
        <f>IF($K524="","",IF(AND($M524="Elite",$G524&gt;=Config!$B$41,$O524&lt;$N524),Config!$B$42,0))</f>
        <v/>
      </c>
      <c r="AM524" s="22"/>
    </row>
    <row r="525" ht="15.75" customHeight="1">
      <c r="A525" s="40" t="str">
        <f t="shared" si="1"/>
        <v/>
      </c>
      <c r="B525" s="40" t="str">
        <f>IF(Bids!$A524="","",Bids!$A524)</f>
        <v/>
      </c>
      <c r="C525" s="40" t="str">
        <f>IF(Bids!$B524="","",Bids!$B524)</f>
        <v/>
      </c>
      <c r="D525" s="40" t="str">
        <f>IF($C525="","",IFERROR(VLOOKUP($C525,Orders!$A$4:$J$998,9,FALSE),""))</f>
        <v/>
      </c>
      <c r="E525" s="40" t="str">
        <f>IF($C525="","",IFERROR(VLOOKUP($C525,Orders!$A$4:$J$998,3,FALSE),""))</f>
        <v/>
      </c>
      <c r="F525" s="40">
        <f t="shared" si="2"/>
        <v>1</v>
      </c>
      <c r="G525" s="40" t="str">
        <f>IF($C525="","",IFERROR(VLOOKUP($C525,Orders!$A$4:$J$998,4,FALSE),""))</f>
        <v/>
      </c>
      <c r="H525" s="40" t="str">
        <f>IF($C525="","",IFERROR(VLOOKUP($C525,Orders!$A$4:$J$998,5,FALSE),""))</f>
        <v/>
      </c>
      <c r="I525" s="40" t="str">
        <f>IF($C525="","",IFERROR(VLOOKUP($C525,Orders!$A$4:$J$998,6,FALSE),""))</f>
        <v/>
      </c>
      <c r="J525" s="40" t="str">
        <f>IF($C525="","",IFERROR(VLOOKUP($C525,Orders!$A$4:$J$998,7,FALSE),""))</f>
        <v/>
      </c>
      <c r="K525" s="40" t="str">
        <f>IF(Bids!$C524="","",Bids!$C524)</f>
        <v/>
      </c>
      <c r="L525" s="40" t="str">
        <f>IF($K525="","",IFERROR(VLOOKUP($K525,Grinders!$A$4:$N$998,2,FALSE),""))</f>
        <v/>
      </c>
      <c r="M525" s="40" t="str">
        <f>IF($K525="","",IFERROR(VLOOKUP($K525,Grinders!$A$4:$N$998,3,FALSE),""))</f>
        <v/>
      </c>
      <c r="N525" s="40" t="str">
        <f>IF($K525="","",IFERROR(VLOOKUP($K525,Grinders!$A$4:$N$998,4,FALSE),""))</f>
        <v/>
      </c>
      <c r="O525" s="40" t="str">
        <f>IF($K525="","",IFERROR(VLOOKUP($K525,Grinders!$A$4:$N$998,5,FALSE),""))</f>
        <v/>
      </c>
      <c r="P525" s="40" t="str">
        <f>IF($K525="","",IF($C$4="",0,COUNTIFS(Assignments!$B$6:$B$1000,$K525,Assignments!$F$6:$F$1000,$C$4,Assignments!$E$6:$E$1000,"Active")))</f>
        <v/>
      </c>
      <c r="Q525" s="40" t="str">
        <f t="shared" si="3"/>
        <v/>
      </c>
      <c r="R525" s="40" t="str">
        <f t="shared" si="4"/>
        <v/>
      </c>
      <c r="S525" s="40" t="str">
        <f>IF($K525="","",IF($C$4="",0,COUNTIFS(Assignments!$B$6:$B$1000,$K525,Assignments!$F$6:$F$1000,$C$4,Assignments!$D$6:$D$1000,"&gt;="&amp;Config!$B$3-7,Assignments!$D$6:$D$1000,"&lt;="&amp;Config!$B$3)))</f>
        <v/>
      </c>
      <c r="T525" s="40" t="str">
        <f>IF($K525="","",IFERROR(VLOOKUP($K525,Grinders!$A$4:$N$998,8,FALSE),""))</f>
        <v/>
      </c>
      <c r="U525" s="40" t="str">
        <f>IFERROR(IF($K525="","",IF($M525="Elite",MAX(50,MIN(100,Config!$B$27*MAX(0,MIN(100,(1-IF($R525="",0,$R525))*100)) + Config!$B$28*MAX(0,MIN(100,(1-MIN(1,IF(Config!$B$30=0,1,$S525/Config!$B$30)))*100)) + Config!$B$29*MAX(0,MIN(100,MIN(1,IF($T525="",0,$T525)/Config!$B$23)*100)))),MIN(100,Config!$B$27*MAX(0,MIN(100,(1-IF($R525="",0,$R525))*100)) + Config!$B$28*MAX(0,MIN(100,(1-MIN(1,IF(Config!$B$30=0,1,$S525/Config!$B$30)))*100)) + Config!$B$29*MAX(0,MIN(100,MIN(1,IF($T525="",0,$T525)/Config!$B$23)*100))))),"")
</f>
        <v/>
      </c>
      <c r="V525" s="40" t="str">
        <f>IF(Bids!$D524="","",Bids!$D524)</f>
        <v/>
      </c>
      <c r="W525" s="40" t="str">
        <f>IF(Bids!$F524="","",Bids!$F524)</f>
        <v/>
      </c>
      <c r="X525" s="40" t="str">
        <f t="shared" si="5"/>
        <v/>
      </c>
      <c r="Y525" s="40" t="str">
        <f>IF($X525="","",IF(Config!$B$17=Config!$B$16,IF($X525&gt;=Config!$B$17,100,0),MAX(0,MIN(100,($X525-Config!$B$16)/(Config!$B$17-Config!$B$16)*100))))</f>
        <v/>
      </c>
      <c r="Z525" s="40">
        <f>IF($M525="Elite",Config!$B$21,0)</f>
        <v>0</v>
      </c>
      <c r="AA525" s="40" t="str">
        <f>IFERROR(IF(OR($W525="",$H525=""),"",IF($W525&gt;$H525,
  MAX(0, 60-(($W525-$H525)*24/Config!$B$19)*60),
  MIN(100, 60+(($H525-$W525)*24/Config!$B$20)*40)
)),"")
</f>
        <v/>
      </c>
      <c r="AB525" s="40" t="str">
        <f>IF($K525="","",IFERROR(VLOOKUP($K525,Grinders!$A$4:$N$998,10,FALSE)/5*100,""))</f>
        <v/>
      </c>
      <c r="AC525" s="40" t="str">
        <f>IF($K525="","",IFERROR(VLOOKUP($K525,Grinders!$A$4:$N$998,11,FALSE)*100,""))</f>
        <v/>
      </c>
      <c r="AD525" s="40" t="str">
        <f>IF($K525="","",IFERROR(VLOOKUP($K525,Grinders!$A$4:$N$998,12,FALSE)*100,""))</f>
        <v/>
      </c>
      <c r="AE525" s="40">
        <f>IFERROR(IFS(
    OR($C525="", $K525=""), 0,
    $F525=0, 0,
    $D525&lt;&gt;"Open", 0,
    COUNTIFS(GrinderServices!$B$4:$B$998, $K525, GrinderServices!$C$4:$C$998, $E525, GrinderServices!$E$4:$E$998, "Y")=0, 0,
    $X525&lt;Config!$B$16, 0,
    Config!$B$18=1, IF($O525&gt;=N525, 0, 1),
    TRUE, 1
), "")
</f>
        <v>0</v>
      </c>
      <c r="AF525" s="40" t="str">
        <f>IFERROR(IF($AE525=0,"",((Config!$B$6*$Y525 + Config!$B$7*$U525 + Config!$B$8*$Z525 + Config!$B$9*$AA525 + Config!$B$10*$AB525 + Config!$B$11*$AC525 - Config!$B$12*$AD525)/Config!$B$13)+$AK525+$AL525),"")</f>
        <v/>
      </c>
      <c r="AG525" s="40" t="str">
        <f t="shared" si="6"/>
        <v/>
      </c>
      <c r="AH525" s="40" t="str">
        <f t="shared" si="7"/>
        <v/>
      </c>
      <c r="AI525" s="40" t="str">
        <f t="shared" si="8"/>
        <v/>
      </c>
      <c r="AJ525" s="40" t="str">
        <f>IF($K525="","",COUNTIF(Assignments!$B$6:$B$1000,$K525))</f>
        <v/>
      </c>
      <c r="AK525" s="40" t="str">
        <f>IF($K525="","",IF(AND($AJ525=0,$O525&lt;$N525),Config!$B$43,0))</f>
        <v/>
      </c>
      <c r="AL525" s="40" t="str">
        <f>IF($K525="","",IF(AND($M525="Elite",$G525&gt;=Config!$B$41,$O525&lt;$N525),Config!$B$42,0))</f>
        <v/>
      </c>
      <c r="AM525" s="22"/>
    </row>
    <row r="526" ht="15.75" customHeight="1">
      <c r="A526" s="40" t="str">
        <f t="shared" si="1"/>
        <v/>
      </c>
      <c r="B526" s="40" t="str">
        <f>IF(Bids!$A525="","",Bids!$A525)</f>
        <v/>
      </c>
      <c r="C526" s="40" t="str">
        <f>IF(Bids!$B525="","",Bids!$B525)</f>
        <v/>
      </c>
      <c r="D526" s="40" t="str">
        <f>IF($C526="","",IFERROR(VLOOKUP($C526,Orders!$A$4:$J$998,9,FALSE),""))</f>
        <v/>
      </c>
      <c r="E526" s="40" t="str">
        <f>IF($C526="","",IFERROR(VLOOKUP($C526,Orders!$A$4:$J$998,3,FALSE),""))</f>
        <v/>
      </c>
      <c r="F526" s="40">
        <f t="shared" si="2"/>
        <v>1</v>
      </c>
      <c r="G526" s="40" t="str">
        <f>IF($C526="","",IFERROR(VLOOKUP($C526,Orders!$A$4:$J$998,4,FALSE),""))</f>
        <v/>
      </c>
      <c r="H526" s="40" t="str">
        <f>IF($C526="","",IFERROR(VLOOKUP($C526,Orders!$A$4:$J$998,5,FALSE),""))</f>
        <v/>
      </c>
      <c r="I526" s="40" t="str">
        <f>IF($C526="","",IFERROR(VLOOKUP($C526,Orders!$A$4:$J$998,6,FALSE),""))</f>
        <v/>
      </c>
      <c r="J526" s="40" t="str">
        <f>IF($C526="","",IFERROR(VLOOKUP($C526,Orders!$A$4:$J$998,7,FALSE),""))</f>
        <v/>
      </c>
      <c r="K526" s="40" t="str">
        <f>IF(Bids!$C525="","",Bids!$C525)</f>
        <v/>
      </c>
      <c r="L526" s="40" t="str">
        <f>IF($K526="","",IFERROR(VLOOKUP($K526,Grinders!$A$4:$N$998,2,FALSE),""))</f>
        <v/>
      </c>
      <c r="M526" s="40" t="str">
        <f>IF($K526="","",IFERROR(VLOOKUP($K526,Grinders!$A$4:$N$998,3,FALSE),""))</f>
        <v/>
      </c>
      <c r="N526" s="40" t="str">
        <f>IF($K526="","",IFERROR(VLOOKUP($K526,Grinders!$A$4:$N$998,4,FALSE),""))</f>
        <v/>
      </c>
      <c r="O526" s="40" t="str">
        <f>IF($K526="","",IFERROR(VLOOKUP($K526,Grinders!$A$4:$N$998,5,FALSE),""))</f>
        <v/>
      </c>
      <c r="P526" s="40" t="str">
        <f>IF($K526="","",IF($C$4="",0,COUNTIFS(Assignments!$B$6:$B$1000,$K526,Assignments!$F$6:$F$1000,$C$4,Assignments!$E$6:$E$1000,"Active")))</f>
        <v/>
      </c>
      <c r="Q526" s="40" t="str">
        <f t="shared" si="3"/>
        <v/>
      </c>
      <c r="R526" s="40" t="str">
        <f t="shared" si="4"/>
        <v/>
      </c>
      <c r="S526" s="40" t="str">
        <f>IF($K526="","",IF($C$4="",0,COUNTIFS(Assignments!$B$6:$B$1000,$K526,Assignments!$F$6:$F$1000,$C$4,Assignments!$D$6:$D$1000,"&gt;="&amp;Config!$B$3-7,Assignments!$D$6:$D$1000,"&lt;="&amp;Config!$B$3)))</f>
        <v/>
      </c>
      <c r="T526" s="40" t="str">
        <f>IF($K526="","",IFERROR(VLOOKUP($K526,Grinders!$A$4:$N$998,8,FALSE),""))</f>
        <v/>
      </c>
      <c r="U526" s="40" t="str">
        <f>IFERROR(IF($K526="","",IF($M526="Elite",MAX(50,MIN(100,Config!$B$27*MAX(0,MIN(100,(1-IF($R526="",0,$R526))*100)) + Config!$B$28*MAX(0,MIN(100,(1-MIN(1,IF(Config!$B$30=0,1,$S526/Config!$B$30)))*100)) + Config!$B$29*MAX(0,MIN(100,MIN(1,IF($T526="",0,$T526)/Config!$B$23)*100)))),MIN(100,Config!$B$27*MAX(0,MIN(100,(1-IF($R526="",0,$R526))*100)) + Config!$B$28*MAX(0,MIN(100,(1-MIN(1,IF(Config!$B$30=0,1,$S526/Config!$B$30)))*100)) + Config!$B$29*MAX(0,MIN(100,MIN(1,IF($T526="",0,$T526)/Config!$B$23)*100))))),"")
</f>
        <v/>
      </c>
      <c r="V526" s="40" t="str">
        <f>IF(Bids!$D525="","",Bids!$D525)</f>
        <v/>
      </c>
      <c r="W526" s="40" t="str">
        <f>IF(Bids!$F525="","",Bids!$F525)</f>
        <v/>
      </c>
      <c r="X526" s="40" t="str">
        <f t="shared" si="5"/>
        <v/>
      </c>
      <c r="Y526" s="40" t="str">
        <f>IF($X526="","",IF(Config!$B$17=Config!$B$16,IF($X526&gt;=Config!$B$17,100,0),MAX(0,MIN(100,($X526-Config!$B$16)/(Config!$B$17-Config!$B$16)*100))))</f>
        <v/>
      </c>
      <c r="Z526" s="40">
        <f>IF($M526="Elite",Config!$B$21,0)</f>
        <v>0</v>
      </c>
      <c r="AA526" s="40" t="str">
        <f>IFERROR(IF(OR($W526="",$H526=""),"",IF($W526&gt;$H526,
  MAX(0, 60-(($W526-$H526)*24/Config!$B$19)*60),
  MIN(100, 60+(($H526-$W526)*24/Config!$B$20)*40)
)),"")
</f>
        <v/>
      </c>
      <c r="AB526" s="40" t="str">
        <f>IF($K526="","",IFERROR(VLOOKUP($K526,Grinders!$A$4:$N$998,10,FALSE)/5*100,""))</f>
        <v/>
      </c>
      <c r="AC526" s="40" t="str">
        <f>IF($K526="","",IFERROR(VLOOKUP($K526,Grinders!$A$4:$N$998,11,FALSE)*100,""))</f>
        <v/>
      </c>
      <c r="AD526" s="40" t="str">
        <f>IF($K526="","",IFERROR(VLOOKUP($K526,Grinders!$A$4:$N$998,12,FALSE)*100,""))</f>
        <v/>
      </c>
      <c r="AE526" s="40">
        <f>IFERROR(IFS(
    OR($C526="", $K526=""), 0,
    $F526=0, 0,
    $D526&lt;&gt;"Open", 0,
    COUNTIFS(GrinderServices!$B$4:$B$998, $K526, GrinderServices!$C$4:$C$998, $E526, GrinderServices!$E$4:$E$998, "Y")=0, 0,
    $X526&lt;Config!$B$16, 0,
    Config!$B$18=1, IF($O526&gt;=N526, 0, 1),
    TRUE, 1
), "")
</f>
        <v>0</v>
      </c>
      <c r="AF526" s="40" t="str">
        <f>IFERROR(IF($AE526=0,"",((Config!$B$6*$Y526 + Config!$B$7*$U526 + Config!$B$8*$Z526 + Config!$B$9*$AA526 + Config!$B$10*$AB526 + Config!$B$11*$AC526 - Config!$B$12*$AD526)/Config!$B$13)+$AK526+$AL526),"")</f>
        <v/>
      </c>
      <c r="AG526" s="40" t="str">
        <f t="shared" si="6"/>
        <v/>
      </c>
      <c r="AH526" s="40" t="str">
        <f t="shared" si="7"/>
        <v/>
      </c>
      <c r="AI526" s="40" t="str">
        <f t="shared" si="8"/>
        <v/>
      </c>
      <c r="AJ526" s="40" t="str">
        <f>IF($K526="","",COUNTIF(Assignments!$B$6:$B$1000,$K526))</f>
        <v/>
      </c>
      <c r="AK526" s="40" t="str">
        <f>IF($K526="","",IF(AND($AJ526=0,$O526&lt;$N526),Config!$B$43,0))</f>
        <v/>
      </c>
      <c r="AL526" s="40" t="str">
        <f>IF($K526="","",IF(AND($M526="Elite",$G526&gt;=Config!$B$41,$O526&lt;$N526),Config!$B$42,0))</f>
        <v/>
      </c>
      <c r="AM526" s="22"/>
    </row>
    <row r="527" ht="15.75" customHeight="1">
      <c r="A527" s="40" t="str">
        <f t="shared" si="1"/>
        <v/>
      </c>
      <c r="B527" s="40" t="str">
        <f>IF(Bids!$A526="","",Bids!$A526)</f>
        <v/>
      </c>
      <c r="C527" s="40" t="str">
        <f>IF(Bids!$B526="","",Bids!$B526)</f>
        <v/>
      </c>
      <c r="D527" s="40" t="str">
        <f>IF($C527="","",IFERROR(VLOOKUP($C527,Orders!$A$4:$J$998,9,FALSE),""))</f>
        <v/>
      </c>
      <c r="E527" s="40" t="str">
        <f>IF($C527="","",IFERROR(VLOOKUP($C527,Orders!$A$4:$J$998,3,FALSE),""))</f>
        <v/>
      </c>
      <c r="F527" s="40">
        <f t="shared" si="2"/>
        <v>1</v>
      </c>
      <c r="G527" s="40" t="str">
        <f>IF($C527="","",IFERROR(VLOOKUP($C527,Orders!$A$4:$J$998,4,FALSE),""))</f>
        <v/>
      </c>
      <c r="H527" s="40" t="str">
        <f>IF($C527="","",IFERROR(VLOOKUP($C527,Orders!$A$4:$J$998,5,FALSE),""))</f>
        <v/>
      </c>
      <c r="I527" s="40" t="str">
        <f>IF($C527="","",IFERROR(VLOOKUP($C527,Orders!$A$4:$J$998,6,FALSE),""))</f>
        <v/>
      </c>
      <c r="J527" s="40" t="str">
        <f>IF($C527="","",IFERROR(VLOOKUP($C527,Orders!$A$4:$J$998,7,FALSE),""))</f>
        <v/>
      </c>
      <c r="K527" s="40" t="str">
        <f>IF(Bids!$C526="","",Bids!$C526)</f>
        <v/>
      </c>
      <c r="L527" s="40" t="str">
        <f>IF($K527="","",IFERROR(VLOOKUP($K527,Grinders!$A$4:$N$998,2,FALSE),""))</f>
        <v/>
      </c>
      <c r="M527" s="40" t="str">
        <f>IF($K527="","",IFERROR(VLOOKUP($K527,Grinders!$A$4:$N$998,3,FALSE),""))</f>
        <v/>
      </c>
      <c r="N527" s="40" t="str">
        <f>IF($K527="","",IFERROR(VLOOKUP($K527,Grinders!$A$4:$N$998,4,FALSE),""))</f>
        <v/>
      </c>
      <c r="O527" s="40" t="str">
        <f>IF($K527="","",IFERROR(VLOOKUP($K527,Grinders!$A$4:$N$998,5,FALSE),""))</f>
        <v/>
      </c>
      <c r="P527" s="40" t="str">
        <f>IF($K527="","",IF($C$4="",0,COUNTIFS(Assignments!$B$6:$B$1000,$K527,Assignments!$F$6:$F$1000,$C$4,Assignments!$E$6:$E$1000,"Active")))</f>
        <v/>
      </c>
      <c r="Q527" s="40" t="str">
        <f t="shared" si="3"/>
        <v/>
      </c>
      <c r="R527" s="40" t="str">
        <f t="shared" si="4"/>
        <v/>
      </c>
      <c r="S527" s="40" t="str">
        <f>IF($K527="","",IF($C$4="",0,COUNTIFS(Assignments!$B$6:$B$1000,$K527,Assignments!$F$6:$F$1000,$C$4,Assignments!$D$6:$D$1000,"&gt;="&amp;Config!$B$3-7,Assignments!$D$6:$D$1000,"&lt;="&amp;Config!$B$3)))</f>
        <v/>
      </c>
      <c r="T527" s="40" t="str">
        <f>IF($K527="","",IFERROR(VLOOKUP($K527,Grinders!$A$4:$N$998,8,FALSE),""))</f>
        <v/>
      </c>
      <c r="U527" s="40" t="str">
        <f>IFERROR(IF($K527="","",IF($M527="Elite",MAX(50,MIN(100,Config!$B$27*MAX(0,MIN(100,(1-IF($R527="",0,$R527))*100)) + Config!$B$28*MAX(0,MIN(100,(1-MIN(1,IF(Config!$B$30=0,1,$S527/Config!$B$30)))*100)) + Config!$B$29*MAX(0,MIN(100,MIN(1,IF($T527="",0,$T527)/Config!$B$23)*100)))),MIN(100,Config!$B$27*MAX(0,MIN(100,(1-IF($R527="",0,$R527))*100)) + Config!$B$28*MAX(0,MIN(100,(1-MIN(1,IF(Config!$B$30=0,1,$S527/Config!$B$30)))*100)) + Config!$B$29*MAX(0,MIN(100,MIN(1,IF($T527="",0,$T527)/Config!$B$23)*100))))),"")
</f>
        <v/>
      </c>
      <c r="V527" s="40" t="str">
        <f>IF(Bids!$D526="","",Bids!$D526)</f>
        <v/>
      </c>
      <c r="W527" s="40" t="str">
        <f>IF(Bids!$F526="","",Bids!$F526)</f>
        <v/>
      </c>
      <c r="X527" s="40" t="str">
        <f t="shared" si="5"/>
        <v/>
      </c>
      <c r="Y527" s="40" t="str">
        <f>IF($X527="","",IF(Config!$B$17=Config!$B$16,IF($X527&gt;=Config!$B$17,100,0),MAX(0,MIN(100,($X527-Config!$B$16)/(Config!$B$17-Config!$B$16)*100))))</f>
        <v/>
      </c>
      <c r="Z527" s="40">
        <f>IF($M527="Elite",Config!$B$21,0)</f>
        <v>0</v>
      </c>
      <c r="AA527" s="40" t="str">
        <f>IFERROR(IF(OR($W527="",$H527=""),"",IF($W527&gt;$H527,
  MAX(0, 60-(($W527-$H527)*24/Config!$B$19)*60),
  MIN(100, 60+(($H527-$W527)*24/Config!$B$20)*40)
)),"")
</f>
        <v/>
      </c>
      <c r="AB527" s="40" t="str">
        <f>IF($K527="","",IFERROR(VLOOKUP($K527,Grinders!$A$4:$N$998,10,FALSE)/5*100,""))</f>
        <v/>
      </c>
      <c r="AC527" s="40" t="str">
        <f>IF($K527="","",IFERROR(VLOOKUP($K527,Grinders!$A$4:$N$998,11,FALSE)*100,""))</f>
        <v/>
      </c>
      <c r="AD527" s="40" t="str">
        <f>IF($K527="","",IFERROR(VLOOKUP($K527,Grinders!$A$4:$N$998,12,FALSE)*100,""))</f>
        <v/>
      </c>
      <c r="AE527" s="40">
        <f>IFERROR(IFS(
    OR($C527="", $K527=""), 0,
    $F527=0, 0,
    $D527&lt;&gt;"Open", 0,
    COUNTIFS(GrinderServices!$B$4:$B$998, $K527, GrinderServices!$C$4:$C$998, $E527, GrinderServices!$E$4:$E$998, "Y")=0, 0,
    $X527&lt;Config!$B$16, 0,
    Config!$B$18=1, IF($O527&gt;=N527, 0, 1),
    TRUE, 1
), "")
</f>
        <v>0</v>
      </c>
      <c r="AF527" s="40" t="str">
        <f>IFERROR(IF($AE527=0,"",((Config!$B$6*$Y527 + Config!$B$7*$U527 + Config!$B$8*$Z527 + Config!$B$9*$AA527 + Config!$B$10*$AB527 + Config!$B$11*$AC527 - Config!$B$12*$AD527)/Config!$B$13)+$AK527+$AL527),"")</f>
        <v/>
      </c>
      <c r="AG527" s="40" t="str">
        <f t="shared" si="6"/>
        <v/>
      </c>
      <c r="AH527" s="40" t="str">
        <f t="shared" si="7"/>
        <v/>
      </c>
      <c r="AI527" s="40" t="str">
        <f t="shared" si="8"/>
        <v/>
      </c>
      <c r="AJ527" s="40" t="str">
        <f>IF($K527="","",COUNTIF(Assignments!$B$6:$B$1000,$K527))</f>
        <v/>
      </c>
      <c r="AK527" s="40" t="str">
        <f>IF($K527="","",IF(AND($AJ527=0,$O527&lt;$N527),Config!$B$43,0))</f>
        <v/>
      </c>
      <c r="AL527" s="40" t="str">
        <f>IF($K527="","",IF(AND($M527="Elite",$G527&gt;=Config!$B$41,$O527&lt;$N527),Config!$B$42,0))</f>
        <v/>
      </c>
      <c r="AM527" s="22"/>
    </row>
    <row r="528" ht="15.75" customHeight="1">
      <c r="A528" s="40" t="str">
        <f t="shared" si="1"/>
        <v/>
      </c>
      <c r="B528" s="40" t="str">
        <f>IF(Bids!$A527="","",Bids!$A527)</f>
        <v/>
      </c>
      <c r="C528" s="40" t="str">
        <f>IF(Bids!$B527="","",Bids!$B527)</f>
        <v/>
      </c>
      <c r="D528" s="40" t="str">
        <f>IF($C528="","",IFERROR(VLOOKUP($C528,Orders!$A$4:$J$998,9,FALSE),""))</f>
        <v/>
      </c>
      <c r="E528" s="40" t="str">
        <f>IF($C528="","",IFERROR(VLOOKUP($C528,Orders!$A$4:$J$998,3,FALSE),""))</f>
        <v/>
      </c>
      <c r="F528" s="40">
        <f t="shared" si="2"/>
        <v>1</v>
      </c>
      <c r="G528" s="40" t="str">
        <f>IF($C528="","",IFERROR(VLOOKUP($C528,Orders!$A$4:$J$998,4,FALSE),""))</f>
        <v/>
      </c>
      <c r="H528" s="40" t="str">
        <f>IF($C528="","",IFERROR(VLOOKUP($C528,Orders!$A$4:$J$998,5,FALSE),""))</f>
        <v/>
      </c>
      <c r="I528" s="40" t="str">
        <f>IF($C528="","",IFERROR(VLOOKUP($C528,Orders!$A$4:$J$998,6,FALSE),""))</f>
        <v/>
      </c>
      <c r="J528" s="40" t="str">
        <f>IF($C528="","",IFERROR(VLOOKUP($C528,Orders!$A$4:$J$998,7,FALSE),""))</f>
        <v/>
      </c>
      <c r="K528" s="40" t="str">
        <f>IF(Bids!$C527="","",Bids!$C527)</f>
        <v/>
      </c>
      <c r="L528" s="40" t="str">
        <f>IF($K528="","",IFERROR(VLOOKUP($K528,Grinders!$A$4:$N$998,2,FALSE),""))</f>
        <v/>
      </c>
      <c r="M528" s="40" t="str">
        <f>IF($K528="","",IFERROR(VLOOKUP($K528,Grinders!$A$4:$N$998,3,FALSE),""))</f>
        <v/>
      </c>
      <c r="N528" s="40" t="str">
        <f>IF($K528="","",IFERROR(VLOOKUP($K528,Grinders!$A$4:$N$998,4,FALSE),""))</f>
        <v/>
      </c>
      <c r="O528" s="40" t="str">
        <f>IF($K528="","",IFERROR(VLOOKUP($K528,Grinders!$A$4:$N$998,5,FALSE),""))</f>
        <v/>
      </c>
      <c r="P528" s="40" t="str">
        <f>IF($K528="","",IF($C$4="",0,COUNTIFS(Assignments!$B$6:$B$1000,$K528,Assignments!$F$6:$F$1000,$C$4,Assignments!$E$6:$E$1000,"Active")))</f>
        <v/>
      </c>
      <c r="Q528" s="40" t="str">
        <f t="shared" si="3"/>
        <v/>
      </c>
      <c r="R528" s="40" t="str">
        <f t="shared" si="4"/>
        <v/>
      </c>
      <c r="S528" s="40" t="str">
        <f>IF($K528="","",IF($C$4="",0,COUNTIFS(Assignments!$B$6:$B$1000,$K528,Assignments!$F$6:$F$1000,$C$4,Assignments!$D$6:$D$1000,"&gt;="&amp;Config!$B$3-7,Assignments!$D$6:$D$1000,"&lt;="&amp;Config!$B$3)))</f>
        <v/>
      </c>
      <c r="T528" s="40" t="str">
        <f>IF($K528="","",IFERROR(VLOOKUP($K528,Grinders!$A$4:$N$998,8,FALSE),""))</f>
        <v/>
      </c>
      <c r="U528" s="40" t="str">
        <f>IFERROR(IF($K528="","",IF($M528="Elite",MAX(50,MIN(100,Config!$B$27*MAX(0,MIN(100,(1-IF($R528="",0,$R528))*100)) + Config!$B$28*MAX(0,MIN(100,(1-MIN(1,IF(Config!$B$30=0,1,$S528/Config!$B$30)))*100)) + Config!$B$29*MAX(0,MIN(100,MIN(1,IF($T528="",0,$T528)/Config!$B$23)*100)))),MIN(100,Config!$B$27*MAX(0,MIN(100,(1-IF($R528="",0,$R528))*100)) + Config!$B$28*MAX(0,MIN(100,(1-MIN(1,IF(Config!$B$30=0,1,$S528/Config!$B$30)))*100)) + Config!$B$29*MAX(0,MIN(100,MIN(1,IF($T528="",0,$T528)/Config!$B$23)*100))))),"")
</f>
        <v/>
      </c>
      <c r="V528" s="40" t="str">
        <f>IF(Bids!$D527="","",Bids!$D527)</f>
        <v/>
      </c>
      <c r="W528" s="40" t="str">
        <f>IF(Bids!$F527="","",Bids!$F527)</f>
        <v/>
      </c>
      <c r="X528" s="40" t="str">
        <f t="shared" si="5"/>
        <v/>
      </c>
      <c r="Y528" s="40" t="str">
        <f>IF($X528="","",IF(Config!$B$17=Config!$B$16,IF($X528&gt;=Config!$B$17,100,0),MAX(0,MIN(100,($X528-Config!$B$16)/(Config!$B$17-Config!$B$16)*100))))</f>
        <v/>
      </c>
      <c r="Z528" s="40">
        <f>IF($M528="Elite",Config!$B$21,0)</f>
        <v>0</v>
      </c>
      <c r="AA528" s="40" t="str">
        <f>IFERROR(IF(OR($W528="",$H528=""),"",IF($W528&gt;$H528,
  MAX(0, 60-(($W528-$H528)*24/Config!$B$19)*60),
  MIN(100, 60+(($H528-$W528)*24/Config!$B$20)*40)
)),"")
</f>
        <v/>
      </c>
      <c r="AB528" s="40" t="str">
        <f>IF($K528="","",IFERROR(VLOOKUP($K528,Grinders!$A$4:$N$998,10,FALSE)/5*100,""))</f>
        <v/>
      </c>
      <c r="AC528" s="40" t="str">
        <f>IF($K528="","",IFERROR(VLOOKUP($K528,Grinders!$A$4:$N$998,11,FALSE)*100,""))</f>
        <v/>
      </c>
      <c r="AD528" s="40" t="str">
        <f>IF($K528="","",IFERROR(VLOOKUP($K528,Grinders!$A$4:$N$998,12,FALSE)*100,""))</f>
        <v/>
      </c>
      <c r="AE528" s="40">
        <f>IFERROR(IFS(
    OR($C528="", $K528=""), 0,
    $F528=0, 0,
    $D528&lt;&gt;"Open", 0,
    COUNTIFS(GrinderServices!$B$4:$B$998, $K528, GrinderServices!$C$4:$C$998, $E528, GrinderServices!$E$4:$E$998, "Y")=0, 0,
    $X528&lt;Config!$B$16, 0,
    Config!$B$18=1, IF($O528&gt;=N528, 0, 1),
    TRUE, 1
), "")
</f>
        <v>0</v>
      </c>
      <c r="AF528" s="40" t="str">
        <f>IFERROR(IF($AE528=0,"",((Config!$B$6*$Y528 + Config!$B$7*$U528 + Config!$B$8*$Z528 + Config!$B$9*$AA528 + Config!$B$10*$AB528 + Config!$B$11*$AC528 - Config!$B$12*$AD528)/Config!$B$13)+$AK528+$AL528),"")</f>
        <v/>
      </c>
      <c r="AG528" s="40" t="str">
        <f t="shared" si="6"/>
        <v/>
      </c>
      <c r="AH528" s="40" t="str">
        <f t="shared" si="7"/>
        <v/>
      </c>
      <c r="AI528" s="40" t="str">
        <f t="shared" si="8"/>
        <v/>
      </c>
      <c r="AJ528" s="40" t="str">
        <f>IF($K528="","",COUNTIF(Assignments!$B$6:$B$1000,$K528))</f>
        <v/>
      </c>
      <c r="AK528" s="40" t="str">
        <f>IF($K528="","",IF(AND($AJ528=0,$O528&lt;$N528),Config!$B$43,0))</f>
        <v/>
      </c>
      <c r="AL528" s="40" t="str">
        <f>IF($K528="","",IF(AND($M528="Elite",$G528&gt;=Config!$B$41,$O528&lt;$N528),Config!$B$42,0))</f>
        <v/>
      </c>
      <c r="AM528" s="22"/>
    </row>
    <row r="529" ht="15.75" customHeight="1">
      <c r="A529" s="40" t="str">
        <f t="shared" si="1"/>
        <v/>
      </c>
      <c r="B529" s="40" t="str">
        <f>IF(Bids!$A528="","",Bids!$A528)</f>
        <v/>
      </c>
      <c r="C529" s="40" t="str">
        <f>IF(Bids!$B528="","",Bids!$B528)</f>
        <v/>
      </c>
      <c r="D529" s="40" t="str">
        <f>IF($C529="","",IFERROR(VLOOKUP($C529,Orders!$A$4:$J$998,9,FALSE),""))</f>
        <v/>
      </c>
      <c r="E529" s="40" t="str">
        <f>IF($C529="","",IFERROR(VLOOKUP($C529,Orders!$A$4:$J$998,3,FALSE),""))</f>
        <v/>
      </c>
      <c r="F529" s="40">
        <f t="shared" si="2"/>
        <v>1</v>
      </c>
      <c r="G529" s="40" t="str">
        <f>IF($C529="","",IFERROR(VLOOKUP($C529,Orders!$A$4:$J$998,4,FALSE),""))</f>
        <v/>
      </c>
      <c r="H529" s="40" t="str">
        <f>IF($C529="","",IFERROR(VLOOKUP($C529,Orders!$A$4:$J$998,5,FALSE),""))</f>
        <v/>
      </c>
      <c r="I529" s="40" t="str">
        <f>IF($C529="","",IFERROR(VLOOKUP($C529,Orders!$A$4:$J$998,6,FALSE),""))</f>
        <v/>
      </c>
      <c r="J529" s="40" t="str">
        <f>IF($C529="","",IFERROR(VLOOKUP($C529,Orders!$A$4:$J$998,7,FALSE),""))</f>
        <v/>
      </c>
      <c r="K529" s="40" t="str">
        <f>IF(Bids!$C528="","",Bids!$C528)</f>
        <v/>
      </c>
      <c r="L529" s="40" t="str">
        <f>IF($K529="","",IFERROR(VLOOKUP($K529,Grinders!$A$4:$N$998,2,FALSE),""))</f>
        <v/>
      </c>
      <c r="M529" s="40" t="str">
        <f>IF($K529="","",IFERROR(VLOOKUP($K529,Grinders!$A$4:$N$998,3,FALSE),""))</f>
        <v/>
      </c>
      <c r="N529" s="40" t="str">
        <f>IF($K529="","",IFERROR(VLOOKUP($K529,Grinders!$A$4:$N$998,4,FALSE),""))</f>
        <v/>
      </c>
      <c r="O529" s="40" t="str">
        <f>IF($K529="","",IFERROR(VLOOKUP($K529,Grinders!$A$4:$N$998,5,FALSE),""))</f>
        <v/>
      </c>
      <c r="P529" s="40" t="str">
        <f>IF($K529="","",IF($C$4="",0,COUNTIFS(Assignments!$B$6:$B$1000,$K529,Assignments!$F$6:$F$1000,$C$4,Assignments!$E$6:$E$1000,"Active")))</f>
        <v/>
      </c>
      <c r="Q529" s="40" t="str">
        <f t="shared" si="3"/>
        <v/>
      </c>
      <c r="R529" s="40" t="str">
        <f t="shared" si="4"/>
        <v/>
      </c>
      <c r="S529" s="40" t="str">
        <f>IF($K529="","",IF($C$4="",0,COUNTIFS(Assignments!$B$6:$B$1000,$K529,Assignments!$F$6:$F$1000,$C$4,Assignments!$D$6:$D$1000,"&gt;="&amp;Config!$B$3-7,Assignments!$D$6:$D$1000,"&lt;="&amp;Config!$B$3)))</f>
        <v/>
      </c>
      <c r="T529" s="40" t="str">
        <f>IF($K529="","",IFERROR(VLOOKUP($K529,Grinders!$A$4:$N$998,8,FALSE),""))</f>
        <v/>
      </c>
      <c r="U529" s="40" t="str">
        <f>IFERROR(IF($K529="","",IF($M529="Elite",MAX(50,MIN(100,Config!$B$27*MAX(0,MIN(100,(1-IF($R529="",0,$R529))*100)) + Config!$B$28*MAX(0,MIN(100,(1-MIN(1,IF(Config!$B$30=0,1,$S529/Config!$B$30)))*100)) + Config!$B$29*MAX(0,MIN(100,MIN(1,IF($T529="",0,$T529)/Config!$B$23)*100)))),MIN(100,Config!$B$27*MAX(0,MIN(100,(1-IF($R529="",0,$R529))*100)) + Config!$B$28*MAX(0,MIN(100,(1-MIN(1,IF(Config!$B$30=0,1,$S529/Config!$B$30)))*100)) + Config!$B$29*MAX(0,MIN(100,MIN(1,IF($T529="",0,$T529)/Config!$B$23)*100))))),"")
</f>
        <v/>
      </c>
      <c r="V529" s="40" t="str">
        <f>IF(Bids!$D528="","",Bids!$D528)</f>
        <v/>
      </c>
      <c r="W529" s="40" t="str">
        <f>IF(Bids!$F528="","",Bids!$F528)</f>
        <v/>
      </c>
      <c r="X529" s="40" t="str">
        <f t="shared" si="5"/>
        <v/>
      </c>
      <c r="Y529" s="40" t="str">
        <f>IF($X529="","",IF(Config!$B$17=Config!$B$16,IF($X529&gt;=Config!$B$17,100,0),MAX(0,MIN(100,($X529-Config!$B$16)/(Config!$B$17-Config!$B$16)*100))))</f>
        <v/>
      </c>
      <c r="Z529" s="40">
        <f>IF($M529="Elite",Config!$B$21,0)</f>
        <v>0</v>
      </c>
      <c r="AA529" s="40" t="str">
        <f>IFERROR(IF(OR($W529="",$H529=""),"",IF($W529&gt;$H529,
  MAX(0, 60-(($W529-$H529)*24/Config!$B$19)*60),
  MIN(100, 60+(($H529-$W529)*24/Config!$B$20)*40)
)),"")
</f>
        <v/>
      </c>
      <c r="AB529" s="40" t="str">
        <f>IF($K529="","",IFERROR(VLOOKUP($K529,Grinders!$A$4:$N$998,10,FALSE)/5*100,""))</f>
        <v/>
      </c>
      <c r="AC529" s="40" t="str">
        <f>IF($K529="","",IFERROR(VLOOKUP($K529,Grinders!$A$4:$N$998,11,FALSE)*100,""))</f>
        <v/>
      </c>
      <c r="AD529" s="40" t="str">
        <f>IF($K529="","",IFERROR(VLOOKUP($K529,Grinders!$A$4:$N$998,12,FALSE)*100,""))</f>
        <v/>
      </c>
      <c r="AE529" s="40">
        <f>IFERROR(IFS(
    OR($C529="", $K529=""), 0,
    $F529=0, 0,
    $D529&lt;&gt;"Open", 0,
    COUNTIFS(GrinderServices!$B$4:$B$998, $K529, GrinderServices!$C$4:$C$998, $E529, GrinderServices!$E$4:$E$998, "Y")=0, 0,
    $X529&lt;Config!$B$16, 0,
    Config!$B$18=1, IF($O529&gt;=N529, 0, 1),
    TRUE, 1
), "")
</f>
        <v>0</v>
      </c>
      <c r="AF529" s="40" t="str">
        <f>IFERROR(IF($AE529=0,"",((Config!$B$6*$Y529 + Config!$B$7*$U529 + Config!$B$8*$Z529 + Config!$B$9*$AA529 + Config!$B$10*$AB529 + Config!$B$11*$AC529 - Config!$B$12*$AD529)/Config!$B$13)+$AK529+$AL529),"")</f>
        <v/>
      </c>
      <c r="AG529" s="40" t="str">
        <f t="shared" si="6"/>
        <v/>
      </c>
      <c r="AH529" s="40" t="str">
        <f t="shared" si="7"/>
        <v/>
      </c>
      <c r="AI529" s="40" t="str">
        <f t="shared" si="8"/>
        <v/>
      </c>
      <c r="AJ529" s="40" t="str">
        <f>IF($K529="","",COUNTIF(Assignments!$B$6:$B$1000,$K529))</f>
        <v/>
      </c>
      <c r="AK529" s="40" t="str">
        <f>IF($K529="","",IF(AND($AJ529=0,$O529&lt;$N529),Config!$B$43,0))</f>
        <v/>
      </c>
      <c r="AL529" s="40" t="str">
        <f>IF($K529="","",IF(AND($M529="Elite",$G529&gt;=Config!$B$41,$O529&lt;$N529),Config!$B$42,0))</f>
        <v/>
      </c>
      <c r="AM529" s="22"/>
    </row>
    <row r="530" ht="15.75" customHeight="1">
      <c r="A530" s="40" t="str">
        <f t="shared" si="1"/>
        <v/>
      </c>
      <c r="B530" s="40" t="str">
        <f>IF(Bids!$A529="","",Bids!$A529)</f>
        <v/>
      </c>
      <c r="C530" s="40" t="str">
        <f>IF(Bids!$B529="","",Bids!$B529)</f>
        <v/>
      </c>
      <c r="D530" s="40" t="str">
        <f>IF($C530="","",IFERROR(VLOOKUP($C530,Orders!$A$4:$J$998,9,FALSE),""))</f>
        <v/>
      </c>
      <c r="E530" s="40" t="str">
        <f>IF($C530="","",IFERROR(VLOOKUP($C530,Orders!$A$4:$J$998,3,FALSE),""))</f>
        <v/>
      </c>
      <c r="F530" s="40">
        <f t="shared" si="2"/>
        <v>1</v>
      </c>
      <c r="G530" s="40" t="str">
        <f>IF($C530="","",IFERROR(VLOOKUP($C530,Orders!$A$4:$J$998,4,FALSE),""))</f>
        <v/>
      </c>
      <c r="H530" s="40" t="str">
        <f>IF($C530="","",IFERROR(VLOOKUP($C530,Orders!$A$4:$J$998,5,FALSE),""))</f>
        <v/>
      </c>
      <c r="I530" s="40" t="str">
        <f>IF($C530="","",IFERROR(VLOOKUP($C530,Orders!$A$4:$J$998,6,FALSE),""))</f>
        <v/>
      </c>
      <c r="J530" s="40" t="str">
        <f>IF($C530="","",IFERROR(VLOOKUP($C530,Orders!$A$4:$J$998,7,FALSE),""))</f>
        <v/>
      </c>
      <c r="K530" s="40" t="str">
        <f>IF(Bids!$C529="","",Bids!$C529)</f>
        <v/>
      </c>
      <c r="L530" s="40" t="str">
        <f>IF($K530="","",IFERROR(VLOOKUP($K530,Grinders!$A$4:$N$998,2,FALSE),""))</f>
        <v/>
      </c>
      <c r="M530" s="40" t="str">
        <f>IF($K530="","",IFERROR(VLOOKUP($K530,Grinders!$A$4:$N$998,3,FALSE),""))</f>
        <v/>
      </c>
      <c r="N530" s="40" t="str">
        <f>IF($K530="","",IFERROR(VLOOKUP($K530,Grinders!$A$4:$N$998,4,FALSE),""))</f>
        <v/>
      </c>
      <c r="O530" s="40" t="str">
        <f>IF($K530="","",IFERROR(VLOOKUP($K530,Grinders!$A$4:$N$998,5,FALSE),""))</f>
        <v/>
      </c>
      <c r="P530" s="40" t="str">
        <f>IF($K530="","",IF($C$4="",0,COUNTIFS(Assignments!$B$6:$B$1000,$K530,Assignments!$F$6:$F$1000,$C$4,Assignments!$E$6:$E$1000,"Active")))</f>
        <v/>
      </c>
      <c r="Q530" s="40" t="str">
        <f t="shared" si="3"/>
        <v/>
      </c>
      <c r="R530" s="40" t="str">
        <f t="shared" si="4"/>
        <v/>
      </c>
      <c r="S530" s="40" t="str">
        <f>IF($K530="","",IF($C$4="",0,COUNTIFS(Assignments!$B$6:$B$1000,$K530,Assignments!$F$6:$F$1000,$C$4,Assignments!$D$6:$D$1000,"&gt;="&amp;Config!$B$3-7,Assignments!$D$6:$D$1000,"&lt;="&amp;Config!$B$3)))</f>
        <v/>
      </c>
      <c r="T530" s="40" t="str">
        <f>IF($K530="","",IFERROR(VLOOKUP($K530,Grinders!$A$4:$N$998,8,FALSE),""))</f>
        <v/>
      </c>
      <c r="U530" s="40" t="str">
        <f>IFERROR(IF($K530="","",IF($M530="Elite",MAX(50,MIN(100,Config!$B$27*MAX(0,MIN(100,(1-IF($R530="",0,$R530))*100)) + Config!$B$28*MAX(0,MIN(100,(1-MIN(1,IF(Config!$B$30=0,1,$S530/Config!$B$30)))*100)) + Config!$B$29*MAX(0,MIN(100,MIN(1,IF($T530="",0,$T530)/Config!$B$23)*100)))),MIN(100,Config!$B$27*MAX(0,MIN(100,(1-IF($R530="",0,$R530))*100)) + Config!$B$28*MAX(0,MIN(100,(1-MIN(1,IF(Config!$B$30=0,1,$S530/Config!$B$30)))*100)) + Config!$B$29*MAX(0,MIN(100,MIN(1,IF($T530="",0,$T530)/Config!$B$23)*100))))),"")
</f>
        <v/>
      </c>
      <c r="V530" s="40" t="str">
        <f>IF(Bids!$D529="","",Bids!$D529)</f>
        <v/>
      </c>
      <c r="W530" s="40" t="str">
        <f>IF(Bids!$F529="","",Bids!$F529)</f>
        <v/>
      </c>
      <c r="X530" s="40" t="str">
        <f t="shared" si="5"/>
        <v/>
      </c>
      <c r="Y530" s="40" t="str">
        <f>IF($X530="","",IF(Config!$B$17=Config!$B$16,IF($X530&gt;=Config!$B$17,100,0),MAX(0,MIN(100,($X530-Config!$B$16)/(Config!$B$17-Config!$B$16)*100))))</f>
        <v/>
      </c>
      <c r="Z530" s="40">
        <f>IF($M530="Elite",Config!$B$21,0)</f>
        <v>0</v>
      </c>
      <c r="AA530" s="40" t="str">
        <f>IFERROR(IF(OR($W530="",$H530=""),"",IF($W530&gt;$H530,
  MAX(0, 60-(($W530-$H530)*24/Config!$B$19)*60),
  MIN(100, 60+(($H530-$W530)*24/Config!$B$20)*40)
)),"")
</f>
        <v/>
      </c>
      <c r="AB530" s="40" t="str">
        <f>IF($K530="","",IFERROR(VLOOKUP($K530,Grinders!$A$4:$N$998,10,FALSE)/5*100,""))</f>
        <v/>
      </c>
      <c r="AC530" s="40" t="str">
        <f>IF($K530="","",IFERROR(VLOOKUP($K530,Grinders!$A$4:$N$998,11,FALSE)*100,""))</f>
        <v/>
      </c>
      <c r="AD530" s="40" t="str">
        <f>IF($K530="","",IFERROR(VLOOKUP($K530,Grinders!$A$4:$N$998,12,FALSE)*100,""))</f>
        <v/>
      </c>
      <c r="AE530" s="40">
        <f>IFERROR(IFS(
    OR($C530="", $K530=""), 0,
    $F530=0, 0,
    $D530&lt;&gt;"Open", 0,
    COUNTIFS(GrinderServices!$B$4:$B$998, $K530, GrinderServices!$C$4:$C$998, $E530, GrinderServices!$E$4:$E$998, "Y")=0, 0,
    $X530&lt;Config!$B$16, 0,
    Config!$B$18=1, IF($O530&gt;=N530, 0, 1),
    TRUE, 1
), "")
</f>
        <v>0</v>
      </c>
      <c r="AF530" s="40" t="str">
        <f>IFERROR(IF($AE530=0,"",((Config!$B$6*$Y530 + Config!$B$7*$U530 + Config!$B$8*$Z530 + Config!$B$9*$AA530 + Config!$B$10*$AB530 + Config!$B$11*$AC530 - Config!$B$12*$AD530)/Config!$B$13)+$AK530+$AL530),"")</f>
        <v/>
      </c>
      <c r="AG530" s="40" t="str">
        <f t="shared" si="6"/>
        <v/>
      </c>
      <c r="AH530" s="40" t="str">
        <f t="shared" si="7"/>
        <v/>
      </c>
      <c r="AI530" s="40" t="str">
        <f t="shared" si="8"/>
        <v/>
      </c>
      <c r="AJ530" s="40" t="str">
        <f>IF($K530="","",COUNTIF(Assignments!$B$6:$B$1000,$K530))</f>
        <v/>
      </c>
      <c r="AK530" s="40" t="str">
        <f>IF($K530="","",IF(AND($AJ530=0,$O530&lt;$N530),Config!$B$43,0))</f>
        <v/>
      </c>
      <c r="AL530" s="40" t="str">
        <f>IF($K530="","",IF(AND($M530="Elite",$G530&gt;=Config!$B$41,$O530&lt;$N530),Config!$B$42,0))</f>
        <v/>
      </c>
      <c r="AM530" s="22"/>
    </row>
    <row r="531" ht="15.75" customHeight="1">
      <c r="A531" s="40" t="str">
        <f t="shared" si="1"/>
        <v/>
      </c>
      <c r="B531" s="40" t="str">
        <f>IF(Bids!$A530="","",Bids!$A530)</f>
        <v/>
      </c>
      <c r="C531" s="40" t="str">
        <f>IF(Bids!$B530="","",Bids!$B530)</f>
        <v/>
      </c>
      <c r="D531" s="40" t="str">
        <f>IF($C531="","",IFERROR(VLOOKUP($C531,Orders!$A$4:$J$998,9,FALSE),""))</f>
        <v/>
      </c>
      <c r="E531" s="40" t="str">
        <f>IF($C531="","",IFERROR(VLOOKUP($C531,Orders!$A$4:$J$998,3,FALSE),""))</f>
        <v/>
      </c>
      <c r="F531" s="40">
        <f t="shared" si="2"/>
        <v>1</v>
      </c>
      <c r="G531" s="40" t="str">
        <f>IF($C531="","",IFERROR(VLOOKUP($C531,Orders!$A$4:$J$998,4,FALSE),""))</f>
        <v/>
      </c>
      <c r="H531" s="40" t="str">
        <f>IF($C531="","",IFERROR(VLOOKUP($C531,Orders!$A$4:$J$998,5,FALSE),""))</f>
        <v/>
      </c>
      <c r="I531" s="40" t="str">
        <f>IF($C531="","",IFERROR(VLOOKUP($C531,Orders!$A$4:$J$998,6,FALSE),""))</f>
        <v/>
      </c>
      <c r="J531" s="40" t="str">
        <f>IF($C531="","",IFERROR(VLOOKUP($C531,Orders!$A$4:$J$998,7,FALSE),""))</f>
        <v/>
      </c>
      <c r="K531" s="40" t="str">
        <f>IF(Bids!$C530="","",Bids!$C530)</f>
        <v/>
      </c>
      <c r="L531" s="40" t="str">
        <f>IF($K531="","",IFERROR(VLOOKUP($K531,Grinders!$A$4:$N$998,2,FALSE),""))</f>
        <v/>
      </c>
      <c r="M531" s="40" t="str">
        <f>IF($K531="","",IFERROR(VLOOKUP($K531,Grinders!$A$4:$N$998,3,FALSE),""))</f>
        <v/>
      </c>
      <c r="N531" s="40" t="str">
        <f>IF($K531="","",IFERROR(VLOOKUP($K531,Grinders!$A$4:$N$998,4,FALSE),""))</f>
        <v/>
      </c>
      <c r="O531" s="40" t="str">
        <f>IF($K531="","",IFERROR(VLOOKUP($K531,Grinders!$A$4:$N$998,5,FALSE),""))</f>
        <v/>
      </c>
      <c r="P531" s="40" t="str">
        <f>IF($K531="","",IF($C$4="",0,COUNTIFS(Assignments!$B$6:$B$1000,$K531,Assignments!$F$6:$F$1000,$C$4,Assignments!$E$6:$E$1000,"Active")))</f>
        <v/>
      </c>
      <c r="Q531" s="40" t="str">
        <f t="shared" si="3"/>
        <v/>
      </c>
      <c r="R531" s="40" t="str">
        <f t="shared" si="4"/>
        <v/>
      </c>
      <c r="S531" s="40" t="str">
        <f>IF($K531="","",IF($C$4="",0,COUNTIFS(Assignments!$B$6:$B$1000,$K531,Assignments!$F$6:$F$1000,$C$4,Assignments!$D$6:$D$1000,"&gt;="&amp;Config!$B$3-7,Assignments!$D$6:$D$1000,"&lt;="&amp;Config!$B$3)))</f>
        <v/>
      </c>
      <c r="T531" s="40" t="str">
        <f>IF($K531="","",IFERROR(VLOOKUP($K531,Grinders!$A$4:$N$998,8,FALSE),""))</f>
        <v/>
      </c>
      <c r="U531" s="40" t="str">
        <f>IFERROR(IF($K531="","",IF($M531="Elite",MAX(50,MIN(100,Config!$B$27*MAX(0,MIN(100,(1-IF($R531="",0,$R531))*100)) + Config!$B$28*MAX(0,MIN(100,(1-MIN(1,IF(Config!$B$30=0,1,$S531/Config!$B$30)))*100)) + Config!$B$29*MAX(0,MIN(100,MIN(1,IF($T531="",0,$T531)/Config!$B$23)*100)))),MIN(100,Config!$B$27*MAX(0,MIN(100,(1-IF($R531="",0,$R531))*100)) + Config!$B$28*MAX(0,MIN(100,(1-MIN(1,IF(Config!$B$30=0,1,$S531/Config!$B$30)))*100)) + Config!$B$29*MAX(0,MIN(100,MIN(1,IF($T531="",0,$T531)/Config!$B$23)*100))))),"")
</f>
        <v/>
      </c>
      <c r="V531" s="40" t="str">
        <f>IF(Bids!$D530="","",Bids!$D530)</f>
        <v/>
      </c>
      <c r="W531" s="40" t="str">
        <f>IF(Bids!$F530="","",Bids!$F530)</f>
        <v/>
      </c>
      <c r="X531" s="40" t="str">
        <f t="shared" si="5"/>
        <v/>
      </c>
      <c r="Y531" s="40" t="str">
        <f>IF($X531="","",IF(Config!$B$17=Config!$B$16,IF($X531&gt;=Config!$B$17,100,0),MAX(0,MIN(100,($X531-Config!$B$16)/(Config!$B$17-Config!$B$16)*100))))</f>
        <v/>
      </c>
      <c r="Z531" s="40">
        <f>IF($M531="Elite",Config!$B$21,0)</f>
        <v>0</v>
      </c>
      <c r="AA531" s="40" t="str">
        <f>IFERROR(IF(OR($W531="",$H531=""),"",IF($W531&gt;$H531,
  MAX(0, 60-(($W531-$H531)*24/Config!$B$19)*60),
  MIN(100, 60+(($H531-$W531)*24/Config!$B$20)*40)
)),"")
</f>
        <v/>
      </c>
      <c r="AB531" s="40" t="str">
        <f>IF($K531="","",IFERROR(VLOOKUP($K531,Grinders!$A$4:$N$998,10,FALSE)/5*100,""))</f>
        <v/>
      </c>
      <c r="AC531" s="40" t="str">
        <f>IF($K531="","",IFERROR(VLOOKUP($K531,Grinders!$A$4:$N$998,11,FALSE)*100,""))</f>
        <v/>
      </c>
      <c r="AD531" s="40" t="str">
        <f>IF($K531="","",IFERROR(VLOOKUP($K531,Grinders!$A$4:$N$998,12,FALSE)*100,""))</f>
        <v/>
      </c>
      <c r="AE531" s="40">
        <f>IFERROR(IFS(
    OR($C531="", $K531=""), 0,
    $F531=0, 0,
    $D531&lt;&gt;"Open", 0,
    COUNTIFS(GrinderServices!$B$4:$B$998, $K531, GrinderServices!$C$4:$C$998, $E531, GrinderServices!$E$4:$E$998, "Y")=0, 0,
    $X531&lt;Config!$B$16, 0,
    Config!$B$18=1, IF($O531&gt;=N531, 0, 1),
    TRUE, 1
), "")
</f>
        <v>0</v>
      </c>
      <c r="AF531" s="40" t="str">
        <f>IFERROR(IF($AE531=0,"",((Config!$B$6*$Y531 + Config!$B$7*$U531 + Config!$B$8*$Z531 + Config!$B$9*$AA531 + Config!$B$10*$AB531 + Config!$B$11*$AC531 - Config!$B$12*$AD531)/Config!$B$13)+$AK531+$AL531),"")</f>
        <v/>
      </c>
      <c r="AG531" s="40" t="str">
        <f t="shared" si="6"/>
        <v/>
      </c>
      <c r="AH531" s="40" t="str">
        <f t="shared" si="7"/>
        <v/>
      </c>
      <c r="AI531" s="40" t="str">
        <f t="shared" si="8"/>
        <v/>
      </c>
      <c r="AJ531" s="40" t="str">
        <f>IF($K531="","",COUNTIF(Assignments!$B$6:$B$1000,$K531))</f>
        <v/>
      </c>
      <c r="AK531" s="40" t="str">
        <f>IF($K531="","",IF(AND($AJ531=0,$O531&lt;$N531),Config!$B$43,0))</f>
        <v/>
      </c>
      <c r="AL531" s="40" t="str">
        <f>IF($K531="","",IF(AND($M531="Elite",$G531&gt;=Config!$B$41,$O531&lt;$N531),Config!$B$42,0))</f>
        <v/>
      </c>
      <c r="AM531" s="22"/>
    </row>
    <row r="532" ht="15.75" customHeight="1">
      <c r="A532" s="40" t="str">
        <f t="shared" si="1"/>
        <v/>
      </c>
      <c r="B532" s="40" t="str">
        <f>IF(Bids!$A531="","",Bids!$A531)</f>
        <v/>
      </c>
      <c r="C532" s="40" t="str">
        <f>IF(Bids!$B531="","",Bids!$B531)</f>
        <v/>
      </c>
      <c r="D532" s="40" t="str">
        <f>IF($C532="","",IFERROR(VLOOKUP($C532,Orders!$A$4:$J$998,9,FALSE),""))</f>
        <v/>
      </c>
      <c r="E532" s="40" t="str">
        <f>IF($C532="","",IFERROR(VLOOKUP($C532,Orders!$A$4:$J$998,3,FALSE),""))</f>
        <v/>
      </c>
      <c r="F532" s="40">
        <f t="shared" si="2"/>
        <v>1</v>
      </c>
      <c r="G532" s="40" t="str">
        <f>IF($C532="","",IFERROR(VLOOKUP($C532,Orders!$A$4:$J$998,4,FALSE),""))</f>
        <v/>
      </c>
      <c r="H532" s="40" t="str">
        <f>IF($C532="","",IFERROR(VLOOKUP($C532,Orders!$A$4:$J$998,5,FALSE),""))</f>
        <v/>
      </c>
      <c r="I532" s="40" t="str">
        <f>IF($C532="","",IFERROR(VLOOKUP($C532,Orders!$A$4:$J$998,6,FALSE),""))</f>
        <v/>
      </c>
      <c r="J532" s="40" t="str">
        <f>IF($C532="","",IFERROR(VLOOKUP($C532,Orders!$A$4:$J$998,7,FALSE),""))</f>
        <v/>
      </c>
      <c r="K532" s="40" t="str">
        <f>IF(Bids!$C531="","",Bids!$C531)</f>
        <v/>
      </c>
      <c r="L532" s="40" t="str">
        <f>IF($K532="","",IFERROR(VLOOKUP($K532,Grinders!$A$4:$N$998,2,FALSE),""))</f>
        <v/>
      </c>
      <c r="M532" s="40" t="str">
        <f>IF($K532="","",IFERROR(VLOOKUP($K532,Grinders!$A$4:$N$998,3,FALSE),""))</f>
        <v/>
      </c>
      <c r="N532" s="40" t="str">
        <f>IF($K532="","",IFERROR(VLOOKUP($K532,Grinders!$A$4:$N$998,4,FALSE),""))</f>
        <v/>
      </c>
      <c r="O532" s="40" t="str">
        <f>IF($K532="","",IFERROR(VLOOKUP($K532,Grinders!$A$4:$N$998,5,FALSE),""))</f>
        <v/>
      </c>
      <c r="P532" s="40" t="str">
        <f>IF($K532="","",IF($C$4="",0,COUNTIFS(Assignments!$B$6:$B$1000,$K532,Assignments!$F$6:$F$1000,$C$4,Assignments!$E$6:$E$1000,"Active")))</f>
        <v/>
      </c>
      <c r="Q532" s="40" t="str">
        <f t="shared" si="3"/>
        <v/>
      </c>
      <c r="R532" s="40" t="str">
        <f t="shared" si="4"/>
        <v/>
      </c>
      <c r="S532" s="40" t="str">
        <f>IF($K532="","",IF($C$4="",0,COUNTIFS(Assignments!$B$6:$B$1000,$K532,Assignments!$F$6:$F$1000,$C$4,Assignments!$D$6:$D$1000,"&gt;="&amp;Config!$B$3-7,Assignments!$D$6:$D$1000,"&lt;="&amp;Config!$B$3)))</f>
        <v/>
      </c>
      <c r="T532" s="40" t="str">
        <f>IF($K532="","",IFERROR(VLOOKUP($K532,Grinders!$A$4:$N$998,8,FALSE),""))</f>
        <v/>
      </c>
      <c r="U532" s="40" t="str">
        <f>IFERROR(IF($K532="","",IF($M532="Elite",MAX(50,MIN(100,Config!$B$27*MAX(0,MIN(100,(1-IF($R532="",0,$R532))*100)) + Config!$B$28*MAX(0,MIN(100,(1-MIN(1,IF(Config!$B$30=0,1,$S532/Config!$B$30)))*100)) + Config!$B$29*MAX(0,MIN(100,MIN(1,IF($T532="",0,$T532)/Config!$B$23)*100)))),MIN(100,Config!$B$27*MAX(0,MIN(100,(1-IF($R532="",0,$R532))*100)) + Config!$B$28*MAX(0,MIN(100,(1-MIN(1,IF(Config!$B$30=0,1,$S532/Config!$B$30)))*100)) + Config!$B$29*MAX(0,MIN(100,MIN(1,IF($T532="",0,$T532)/Config!$B$23)*100))))),"")
</f>
        <v/>
      </c>
      <c r="V532" s="40" t="str">
        <f>IF(Bids!$D531="","",Bids!$D531)</f>
        <v/>
      </c>
      <c r="W532" s="40" t="str">
        <f>IF(Bids!$F531="","",Bids!$F531)</f>
        <v/>
      </c>
      <c r="X532" s="40" t="str">
        <f t="shared" si="5"/>
        <v/>
      </c>
      <c r="Y532" s="40" t="str">
        <f>IF($X532="","",IF(Config!$B$17=Config!$B$16,IF($X532&gt;=Config!$B$17,100,0),MAX(0,MIN(100,($X532-Config!$B$16)/(Config!$B$17-Config!$B$16)*100))))</f>
        <v/>
      </c>
      <c r="Z532" s="40">
        <f>IF($M532="Elite",Config!$B$21,0)</f>
        <v>0</v>
      </c>
      <c r="AA532" s="40" t="str">
        <f>IFERROR(IF(OR($W532="",$H532=""),"",IF($W532&gt;$H532,
  MAX(0, 60-(($W532-$H532)*24/Config!$B$19)*60),
  MIN(100, 60+(($H532-$W532)*24/Config!$B$20)*40)
)),"")
</f>
        <v/>
      </c>
      <c r="AB532" s="40" t="str">
        <f>IF($K532="","",IFERROR(VLOOKUP($K532,Grinders!$A$4:$N$998,10,FALSE)/5*100,""))</f>
        <v/>
      </c>
      <c r="AC532" s="40" t="str">
        <f>IF($K532="","",IFERROR(VLOOKUP($K532,Grinders!$A$4:$N$998,11,FALSE)*100,""))</f>
        <v/>
      </c>
      <c r="AD532" s="40" t="str">
        <f>IF($K532="","",IFERROR(VLOOKUP($K532,Grinders!$A$4:$N$998,12,FALSE)*100,""))</f>
        <v/>
      </c>
      <c r="AE532" s="40">
        <f>IFERROR(IFS(
    OR($C532="", $K532=""), 0,
    $F532=0, 0,
    $D532&lt;&gt;"Open", 0,
    COUNTIFS(GrinderServices!$B$4:$B$998, $K532, GrinderServices!$C$4:$C$998, $E532, GrinderServices!$E$4:$E$998, "Y")=0, 0,
    $X532&lt;Config!$B$16, 0,
    Config!$B$18=1, IF($O532&gt;=N532, 0, 1),
    TRUE, 1
), "")
</f>
        <v>0</v>
      </c>
      <c r="AF532" s="40" t="str">
        <f>IFERROR(IF($AE532=0,"",((Config!$B$6*$Y532 + Config!$B$7*$U532 + Config!$B$8*$Z532 + Config!$B$9*$AA532 + Config!$B$10*$AB532 + Config!$B$11*$AC532 - Config!$B$12*$AD532)/Config!$B$13)+$AK532+$AL532),"")</f>
        <v/>
      </c>
      <c r="AG532" s="40" t="str">
        <f t="shared" si="6"/>
        <v/>
      </c>
      <c r="AH532" s="40" t="str">
        <f t="shared" si="7"/>
        <v/>
      </c>
      <c r="AI532" s="40" t="str">
        <f t="shared" si="8"/>
        <v/>
      </c>
      <c r="AJ532" s="40" t="str">
        <f>IF($K532="","",COUNTIF(Assignments!$B$6:$B$1000,$K532))</f>
        <v/>
      </c>
      <c r="AK532" s="40" t="str">
        <f>IF($K532="","",IF(AND($AJ532=0,$O532&lt;$N532),Config!$B$43,0))</f>
        <v/>
      </c>
      <c r="AL532" s="40" t="str">
        <f>IF($K532="","",IF(AND($M532="Elite",$G532&gt;=Config!$B$41,$O532&lt;$N532),Config!$B$42,0))</f>
        <v/>
      </c>
      <c r="AM532" s="22"/>
    </row>
    <row r="533" ht="15.75" customHeight="1">
      <c r="A533" s="40" t="str">
        <f t="shared" si="1"/>
        <v/>
      </c>
      <c r="B533" s="40" t="str">
        <f>IF(Bids!$A532="","",Bids!$A532)</f>
        <v/>
      </c>
      <c r="C533" s="40" t="str">
        <f>IF(Bids!$B532="","",Bids!$B532)</f>
        <v/>
      </c>
      <c r="D533" s="40" t="str">
        <f>IF($C533="","",IFERROR(VLOOKUP($C533,Orders!$A$4:$J$998,9,FALSE),""))</f>
        <v/>
      </c>
      <c r="E533" s="40" t="str">
        <f>IF($C533="","",IFERROR(VLOOKUP($C533,Orders!$A$4:$J$998,3,FALSE),""))</f>
        <v/>
      </c>
      <c r="F533" s="40">
        <f t="shared" si="2"/>
        <v>1</v>
      </c>
      <c r="G533" s="40" t="str">
        <f>IF($C533="","",IFERROR(VLOOKUP($C533,Orders!$A$4:$J$998,4,FALSE),""))</f>
        <v/>
      </c>
      <c r="H533" s="40" t="str">
        <f>IF($C533="","",IFERROR(VLOOKUP($C533,Orders!$A$4:$J$998,5,FALSE),""))</f>
        <v/>
      </c>
      <c r="I533" s="40" t="str">
        <f>IF($C533="","",IFERROR(VLOOKUP($C533,Orders!$A$4:$J$998,6,FALSE),""))</f>
        <v/>
      </c>
      <c r="J533" s="40" t="str">
        <f>IF($C533="","",IFERROR(VLOOKUP($C533,Orders!$A$4:$J$998,7,FALSE),""))</f>
        <v/>
      </c>
      <c r="K533" s="40" t="str">
        <f>IF(Bids!$C532="","",Bids!$C532)</f>
        <v/>
      </c>
      <c r="L533" s="40" t="str">
        <f>IF($K533="","",IFERROR(VLOOKUP($K533,Grinders!$A$4:$N$998,2,FALSE),""))</f>
        <v/>
      </c>
      <c r="M533" s="40" t="str">
        <f>IF($K533="","",IFERROR(VLOOKUP($K533,Grinders!$A$4:$N$998,3,FALSE),""))</f>
        <v/>
      </c>
      <c r="N533" s="40" t="str">
        <f>IF($K533="","",IFERROR(VLOOKUP($K533,Grinders!$A$4:$N$998,4,FALSE),""))</f>
        <v/>
      </c>
      <c r="O533" s="40" t="str">
        <f>IF($K533="","",IFERROR(VLOOKUP($K533,Grinders!$A$4:$N$998,5,FALSE),""))</f>
        <v/>
      </c>
      <c r="P533" s="40" t="str">
        <f>IF($K533="","",IF($C$4="",0,COUNTIFS(Assignments!$B$6:$B$1000,$K533,Assignments!$F$6:$F$1000,$C$4,Assignments!$E$6:$E$1000,"Active")))</f>
        <v/>
      </c>
      <c r="Q533" s="40" t="str">
        <f t="shared" si="3"/>
        <v/>
      </c>
      <c r="R533" s="40" t="str">
        <f t="shared" si="4"/>
        <v/>
      </c>
      <c r="S533" s="40" t="str">
        <f>IF($K533="","",IF($C$4="",0,COUNTIFS(Assignments!$B$6:$B$1000,$K533,Assignments!$F$6:$F$1000,$C$4,Assignments!$D$6:$D$1000,"&gt;="&amp;Config!$B$3-7,Assignments!$D$6:$D$1000,"&lt;="&amp;Config!$B$3)))</f>
        <v/>
      </c>
      <c r="T533" s="40" t="str">
        <f>IF($K533="","",IFERROR(VLOOKUP($K533,Grinders!$A$4:$N$998,8,FALSE),""))</f>
        <v/>
      </c>
      <c r="U533" s="40" t="str">
        <f>IFERROR(IF($K533="","",IF($M533="Elite",MAX(50,MIN(100,Config!$B$27*MAX(0,MIN(100,(1-IF($R533="",0,$R533))*100)) + Config!$B$28*MAX(0,MIN(100,(1-MIN(1,IF(Config!$B$30=0,1,$S533/Config!$B$30)))*100)) + Config!$B$29*MAX(0,MIN(100,MIN(1,IF($T533="",0,$T533)/Config!$B$23)*100)))),MIN(100,Config!$B$27*MAX(0,MIN(100,(1-IF($R533="",0,$R533))*100)) + Config!$B$28*MAX(0,MIN(100,(1-MIN(1,IF(Config!$B$30=0,1,$S533/Config!$B$30)))*100)) + Config!$B$29*MAX(0,MIN(100,MIN(1,IF($T533="",0,$T533)/Config!$B$23)*100))))),"")
</f>
        <v/>
      </c>
      <c r="V533" s="40" t="str">
        <f>IF(Bids!$D532="","",Bids!$D532)</f>
        <v/>
      </c>
      <c r="W533" s="40" t="str">
        <f>IF(Bids!$F532="","",Bids!$F532)</f>
        <v/>
      </c>
      <c r="X533" s="40" t="str">
        <f t="shared" si="5"/>
        <v/>
      </c>
      <c r="Y533" s="40" t="str">
        <f>IF($X533="","",IF(Config!$B$17=Config!$B$16,IF($X533&gt;=Config!$B$17,100,0),MAX(0,MIN(100,($X533-Config!$B$16)/(Config!$B$17-Config!$B$16)*100))))</f>
        <v/>
      </c>
      <c r="Z533" s="40">
        <f>IF($M533="Elite",Config!$B$21,0)</f>
        <v>0</v>
      </c>
      <c r="AA533" s="40" t="str">
        <f>IFERROR(IF(OR($W533="",$H533=""),"",IF($W533&gt;$H533,
  MAX(0, 60-(($W533-$H533)*24/Config!$B$19)*60),
  MIN(100, 60+(($H533-$W533)*24/Config!$B$20)*40)
)),"")
</f>
        <v/>
      </c>
      <c r="AB533" s="40" t="str">
        <f>IF($K533="","",IFERROR(VLOOKUP($K533,Grinders!$A$4:$N$998,10,FALSE)/5*100,""))</f>
        <v/>
      </c>
      <c r="AC533" s="40" t="str">
        <f>IF($K533="","",IFERROR(VLOOKUP($K533,Grinders!$A$4:$N$998,11,FALSE)*100,""))</f>
        <v/>
      </c>
      <c r="AD533" s="40" t="str">
        <f>IF($K533="","",IFERROR(VLOOKUP($K533,Grinders!$A$4:$N$998,12,FALSE)*100,""))</f>
        <v/>
      </c>
      <c r="AE533" s="40">
        <f>IFERROR(IFS(
    OR($C533="", $K533=""), 0,
    $F533=0, 0,
    $D533&lt;&gt;"Open", 0,
    COUNTIFS(GrinderServices!$B$4:$B$998, $K533, GrinderServices!$C$4:$C$998, $E533, GrinderServices!$E$4:$E$998, "Y")=0, 0,
    $X533&lt;Config!$B$16, 0,
    Config!$B$18=1, IF($O533&gt;=N533, 0, 1),
    TRUE, 1
), "")
</f>
        <v>0</v>
      </c>
      <c r="AF533" s="40" t="str">
        <f>IFERROR(IF($AE533=0,"",((Config!$B$6*$Y533 + Config!$B$7*$U533 + Config!$B$8*$Z533 + Config!$B$9*$AA533 + Config!$B$10*$AB533 + Config!$B$11*$AC533 - Config!$B$12*$AD533)/Config!$B$13)+$AK533+$AL533),"")</f>
        <v/>
      </c>
      <c r="AG533" s="40" t="str">
        <f t="shared" si="6"/>
        <v/>
      </c>
      <c r="AH533" s="40" t="str">
        <f t="shared" si="7"/>
        <v/>
      </c>
      <c r="AI533" s="40" t="str">
        <f t="shared" si="8"/>
        <v/>
      </c>
      <c r="AJ533" s="40" t="str">
        <f>IF($K533="","",COUNTIF(Assignments!$B$6:$B$1000,$K533))</f>
        <v/>
      </c>
      <c r="AK533" s="40" t="str">
        <f>IF($K533="","",IF(AND($AJ533=0,$O533&lt;$N533),Config!$B$43,0))</f>
        <v/>
      </c>
      <c r="AL533" s="40" t="str">
        <f>IF($K533="","",IF(AND($M533="Elite",$G533&gt;=Config!$B$41,$O533&lt;$N533),Config!$B$42,0))</f>
        <v/>
      </c>
      <c r="AM533" s="22"/>
    </row>
    <row r="534" ht="15.75" customHeight="1">
      <c r="A534" s="40" t="str">
        <f t="shared" si="1"/>
        <v/>
      </c>
      <c r="B534" s="40" t="str">
        <f>IF(Bids!$A533="","",Bids!$A533)</f>
        <v/>
      </c>
      <c r="C534" s="40" t="str">
        <f>IF(Bids!$B533="","",Bids!$B533)</f>
        <v/>
      </c>
      <c r="D534" s="40" t="str">
        <f>IF($C534="","",IFERROR(VLOOKUP($C534,Orders!$A$4:$J$998,9,FALSE),""))</f>
        <v/>
      </c>
      <c r="E534" s="40" t="str">
        <f>IF($C534="","",IFERROR(VLOOKUP($C534,Orders!$A$4:$J$998,3,FALSE),""))</f>
        <v/>
      </c>
      <c r="F534" s="40">
        <f t="shared" si="2"/>
        <v>1</v>
      </c>
      <c r="G534" s="40" t="str">
        <f>IF($C534="","",IFERROR(VLOOKUP($C534,Orders!$A$4:$J$998,4,FALSE),""))</f>
        <v/>
      </c>
      <c r="H534" s="40" t="str">
        <f>IF($C534="","",IFERROR(VLOOKUP($C534,Orders!$A$4:$J$998,5,FALSE),""))</f>
        <v/>
      </c>
      <c r="I534" s="40" t="str">
        <f>IF($C534="","",IFERROR(VLOOKUP($C534,Orders!$A$4:$J$998,6,FALSE),""))</f>
        <v/>
      </c>
      <c r="J534" s="40" t="str">
        <f>IF($C534="","",IFERROR(VLOOKUP($C534,Orders!$A$4:$J$998,7,FALSE),""))</f>
        <v/>
      </c>
      <c r="K534" s="40" t="str">
        <f>IF(Bids!$C533="","",Bids!$C533)</f>
        <v/>
      </c>
      <c r="L534" s="40" t="str">
        <f>IF($K534="","",IFERROR(VLOOKUP($K534,Grinders!$A$4:$N$998,2,FALSE),""))</f>
        <v/>
      </c>
      <c r="M534" s="40" t="str">
        <f>IF($K534="","",IFERROR(VLOOKUP($K534,Grinders!$A$4:$N$998,3,FALSE),""))</f>
        <v/>
      </c>
      <c r="N534" s="40" t="str">
        <f>IF($K534="","",IFERROR(VLOOKUP($K534,Grinders!$A$4:$N$998,4,FALSE),""))</f>
        <v/>
      </c>
      <c r="O534" s="40" t="str">
        <f>IF($K534="","",IFERROR(VLOOKUP($K534,Grinders!$A$4:$N$998,5,FALSE),""))</f>
        <v/>
      </c>
      <c r="P534" s="40" t="str">
        <f>IF($K534="","",IF($C$4="",0,COUNTIFS(Assignments!$B$6:$B$1000,$K534,Assignments!$F$6:$F$1000,$C$4,Assignments!$E$6:$E$1000,"Active")))</f>
        <v/>
      </c>
      <c r="Q534" s="40" t="str">
        <f t="shared" si="3"/>
        <v/>
      </c>
      <c r="R534" s="40" t="str">
        <f t="shared" si="4"/>
        <v/>
      </c>
      <c r="S534" s="40" t="str">
        <f>IF($K534="","",IF($C$4="",0,COUNTIFS(Assignments!$B$6:$B$1000,$K534,Assignments!$F$6:$F$1000,$C$4,Assignments!$D$6:$D$1000,"&gt;="&amp;Config!$B$3-7,Assignments!$D$6:$D$1000,"&lt;="&amp;Config!$B$3)))</f>
        <v/>
      </c>
      <c r="T534" s="40" t="str">
        <f>IF($K534="","",IFERROR(VLOOKUP($K534,Grinders!$A$4:$N$998,8,FALSE),""))</f>
        <v/>
      </c>
      <c r="U534" s="40" t="str">
        <f>IFERROR(IF($K534="","",IF($M534="Elite",MAX(50,MIN(100,Config!$B$27*MAX(0,MIN(100,(1-IF($R534="",0,$R534))*100)) + Config!$B$28*MAX(0,MIN(100,(1-MIN(1,IF(Config!$B$30=0,1,$S534/Config!$B$30)))*100)) + Config!$B$29*MAX(0,MIN(100,MIN(1,IF($T534="",0,$T534)/Config!$B$23)*100)))),MIN(100,Config!$B$27*MAX(0,MIN(100,(1-IF($R534="",0,$R534))*100)) + Config!$B$28*MAX(0,MIN(100,(1-MIN(1,IF(Config!$B$30=0,1,$S534/Config!$B$30)))*100)) + Config!$B$29*MAX(0,MIN(100,MIN(1,IF($T534="",0,$T534)/Config!$B$23)*100))))),"")
</f>
        <v/>
      </c>
      <c r="V534" s="40" t="str">
        <f>IF(Bids!$D533="","",Bids!$D533)</f>
        <v/>
      </c>
      <c r="W534" s="40" t="str">
        <f>IF(Bids!$F533="","",Bids!$F533)</f>
        <v/>
      </c>
      <c r="X534" s="40" t="str">
        <f t="shared" si="5"/>
        <v/>
      </c>
      <c r="Y534" s="40" t="str">
        <f>IF($X534="","",IF(Config!$B$17=Config!$B$16,IF($X534&gt;=Config!$B$17,100,0),MAX(0,MIN(100,($X534-Config!$B$16)/(Config!$B$17-Config!$B$16)*100))))</f>
        <v/>
      </c>
      <c r="Z534" s="40">
        <f>IF($M534="Elite",Config!$B$21,0)</f>
        <v>0</v>
      </c>
      <c r="AA534" s="40" t="str">
        <f>IFERROR(IF(OR($W534="",$H534=""),"",IF($W534&gt;$H534,
  MAX(0, 60-(($W534-$H534)*24/Config!$B$19)*60),
  MIN(100, 60+(($H534-$W534)*24/Config!$B$20)*40)
)),"")
</f>
        <v/>
      </c>
      <c r="AB534" s="40" t="str">
        <f>IF($K534="","",IFERROR(VLOOKUP($K534,Grinders!$A$4:$N$998,10,FALSE)/5*100,""))</f>
        <v/>
      </c>
      <c r="AC534" s="40" t="str">
        <f>IF($K534="","",IFERROR(VLOOKUP($K534,Grinders!$A$4:$N$998,11,FALSE)*100,""))</f>
        <v/>
      </c>
      <c r="AD534" s="40" t="str">
        <f>IF($K534="","",IFERROR(VLOOKUP($K534,Grinders!$A$4:$N$998,12,FALSE)*100,""))</f>
        <v/>
      </c>
      <c r="AE534" s="40">
        <f>IFERROR(IFS(
    OR($C534="", $K534=""), 0,
    $F534=0, 0,
    $D534&lt;&gt;"Open", 0,
    COUNTIFS(GrinderServices!$B$4:$B$998, $K534, GrinderServices!$C$4:$C$998, $E534, GrinderServices!$E$4:$E$998, "Y")=0, 0,
    $X534&lt;Config!$B$16, 0,
    Config!$B$18=1, IF($O534&gt;=N534, 0, 1),
    TRUE, 1
), "")
</f>
        <v>0</v>
      </c>
      <c r="AF534" s="40" t="str">
        <f>IFERROR(IF($AE534=0,"",((Config!$B$6*$Y534 + Config!$B$7*$U534 + Config!$B$8*$Z534 + Config!$B$9*$AA534 + Config!$B$10*$AB534 + Config!$B$11*$AC534 - Config!$B$12*$AD534)/Config!$B$13)+$AK534+$AL534),"")</f>
        <v/>
      </c>
      <c r="AG534" s="40" t="str">
        <f t="shared" si="6"/>
        <v/>
      </c>
      <c r="AH534" s="40" t="str">
        <f t="shared" si="7"/>
        <v/>
      </c>
      <c r="AI534" s="40" t="str">
        <f t="shared" si="8"/>
        <v/>
      </c>
      <c r="AJ534" s="40" t="str">
        <f>IF($K534="","",COUNTIF(Assignments!$B$6:$B$1000,$K534))</f>
        <v/>
      </c>
      <c r="AK534" s="40" t="str">
        <f>IF($K534="","",IF(AND($AJ534=0,$O534&lt;$N534),Config!$B$43,0))</f>
        <v/>
      </c>
      <c r="AL534" s="40" t="str">
        <f>IF($K534="","",IF(AND($M534="Elite",$G534&gt;=Config!$B$41,$O534&lt;$N534),Config!$B$42,0))</f>
        <v/>
      </c>
      <c r="AM534" s="22"/>
    </row>
    <row r="535" ht="15.75" customHeight="1">
      <c r="A535" s="40" t="str">
        <f t="shared" si="1"/>
        <v/>
      </c>
      <c r="B535" s="40" t="str">
        <f>IF(Bids!$A534="","",Bids!$A534)</f>
        <v/>
      </c>
      <c r="C535" s="40" t="str">
        <f>IF(Bids!$B534="","",Bids!$B534)</f>
        <v/>
      </c>
      <c r="D535" s="40" t="str">
        <f>IF($C535="","",IFERROR(VLOOKUP($C535,Orders!$A$4:$J$998,9,FALSE),""))</f>
        <v/>
      </c>
      <c r="E535" s="40" t="str">
        <f>IF($C535="","",IFERROR(VLOOKUP($C535,Orders!$A$4:$J$998,3,FALSE),""))</f>
        <v/>
      </c>
      <c r="F535" s="40">
        <f t="shared" si="2"/>
        <v>1</v>
      </c>
      <c r="G535" s="40" t="str">
        <f>IF($C535="","",IFERROR(VLOOKUP($C535,Orders!$A$4:$J$998,4,FALSE),""))</f>
        <v/>
      </c>
      <c r="H535" s="40" t="str">
        <f>IF($C535="","",IFERROR(VLOOKUP($C535,Orders!$A$4:$J$998,5,FALSE),""))</f>
        <v/>
      </c>
      <c r="I535" s="40" t="str">
        <f>IF($C535="","",IFERROR(VLOOKUP($C535,Orders!$A$4:$J$998,6,FALSE),""))</f>
        <v/>
      </c>
      <c r="J535" s="40" t="str">
        <f>IF($C535="","",IFERROR(VLOOKUP($C535,Orders!$A$4:$J$998,7,FALSE),""))</f>
        <v/>
      </c>
      <c r="K535" s="40" t="str">
        <f>IF(Bids!$C534="","",Bids!$C534)</f>
        <v/>
      </c>
      <c r="L535" s="40" t="str">
        <f>IF($K535="","",IFERROR(VLOOKUP($K535,Grinders!$A$4:$N$998,2,FALSE),""))</f>
        <v/>
      </c>
      <c r="M535" s="40" t="str">
        <f>IF($K535="","",IFERROR(VLOOKUP($K535,Grinders!$A$4:$N$998,3,FALSE),""))</f>
        <v/>
      </c>
      <c r="N535" s="40" t="str">
        <f>IF($K535="","",IFERROR(VLOOKUP($K535,Grinders!$A$4:$N$998,4,FALSE),""))</f>
        <v/>
      </c>
      <c r="O535" s="40" t="str">
        <f>IF($K535="","",IFERROR(VLOOKUP($K535,Grinders!$A$4:$N$998,5,FALSE),""))</f>
        <v/>
      </c>
      <c r="P535" s="40" t="str">
        <f>IF($K535="","",IF($C$4="",0,COUNTIFS(Assignments!$B$6:$B$1000,$K535,Assignments!$F$6:$F$1000,$C$4,Assignments!$E$6:$E$1000,"Active")))</f>
        <v/>
      </c>
      <c r="Q535" s="40" t="str">
        <f t="shared" si="3"/>
        <v/>
      </c>
      <c r="R535" s="40" t="str">
        <f t="shared" si="4"/>
        <v/>
      </c>
      <c r="S535" s="40" t="str">
        <f>IF($K535="","",IF($C$4="",0,COUNTIFS(Assignments!$B$6:$B$1000,$K535,Assignments!$F$6:$F$1000,$C$4,Assignments!$D$6:$D$1000,"&gt;="&amp;Config!$B$3-7,Assignments!$D$6:$D$1000,"&lt;="&amp;Config!$B$3)))</f>
        <v/>
      </c>
      <c r="T535" s="40" t="str">
        <f>IF($K535="","",IFERROR(VLOOKUP($K535,Grinders!$A$4:$N$998,8,FALSE),""))</f>
        <v/>
      </c>
      <c r="U535" s="40" t="str">
        <f>IFERROR(IF($K535="","",IF($M535="Elite",MAX(50,MIN(100,Config!$B$27*MAX(0,MIN(100,(1-IF($R535="",0,$R535))*100)) + Config!$B$28*MAX(0,MIN(100,(1-MIN(1,IF(Config!$B$30=0,1,$S535/Config!$B$30)))*100)) + Config!$B$29*MAX(0,MIN(100,MIN(1,IF($T535="",0,$T535)/Config!$B$23)*100)))),MIN(100,Config!$B$27*MAX(0,MIN(100,(1-IF($R535="",0,$R535))*100)) + Config!$B$28*MAX(0,MIN(100,(1-MIN(1,IF(Config!$B$30=0,1,$S535/Config!$B$30)))*100)) + Config!$B$29*MAX(0,MIN(100,MIN(1,IF($T535="",0,$T535)/Config!$B$23)*100))))),"")
</f>
        <v/>
      </c>
      <c r="V535" s="40" t="str">
        <f>IF(Bids!$D534="","",Bids!$D534)</f>
        <v/>
      </c>
      <c r="W535" s="40" t="str">
        <f>IF(Bids!$F534="","",Bids!$F534)</f>
        <v/>
      </c>
      <c r="X535" s="40" t="str">
        <f t="shared" si="5"/>
        <v/>
      </c>
      <c r="Y535" s="40" t="str">
        <f>IF($X535="","",IF(Config!$B$17=Config!$B$16,IF($X535&gt;=Config!$B$17,100,0),MAX(0,MIN(100,($X535-Config!$B$16)/(Config!$B$17-Config!$B$16)*100))))</f>
        <v/>
      </c>
      <c r="Z535" s="40">
        <f>IF($M535="Elite",Config!$B$21,0)</f>
        <v>0</v>
      </c>
      <c r="AA535" s="40" t="str">
        <f>IFERROR(IF(OR($W535="",$H535=""),"",IF($W535&gt;$H535,
  MAX(0, 60-(($W535-$H535)*24/Config!$B$19)*60),
  MIN(100, 60+(($H535-$W535)*24/Config!$B$20)*40)
)),"")
</f>
        <v/>
      </c>
      <c r="AB535" s="40" t="str">
        <f>IF($K535="","",IFERROR(VLOOKUP($K535,Grinders!$A$4:$N$998,10,FALSE)/5*100,""))</f>
        <v/>
      </c>
      <c r="AC535" s="40" t="str">
        <f>IF($K535="","",IFERROR(VLOOKUP($K535,Grinders!$A$4:$N$998,11,FALSE)*100,""))</f>
        <v/>
      </c>
      <c r="AD535" s="40" t="str">
        <f>IF($K535="","",IFERROR(VLOOKUP($K535,Grinders!$A$4:$N$998,12,FALSE)*100,""))</f>
        <v/>
      </c>
      <c r="AE535" s="40">
        <f>IFERROR(IFS(
    OR($C535="", $K535=""), 0,
    $F535=0, 0,
    $D535&lt;&gt;"Open", 0,
    COUNTIFS(GrinderServices!$B$4:$B$998, $K535, GrinderServices!$C$4:$C$998, $E535, GrinderServices!$E$4:$E$998, "Y")=0, 0,
    $X535&lt;Config!$B$16, 0,
    Config!$B$18=1, IF($O535&gt;=N535, 0, 1),
    TRUE, 1
), "")
</f>
        <v>0</v>
      </c>
      <c r="AF535" s="40" t="str">
        <f>IFERROR(IF($AE535=0,"",((Config!$B$6*$Y535 + Config!$B$7*$U535 + Config!$B$8*$Z535 + Config!$B$9*$AA535 + Config!$B$10*$AB535 + Config!$B$11*$AC535 - Config!$B$12*$AD535)/Config!$B$13)+$AK535+$AL535),"")</f>
        <v/>
      </c>
      <c r="AG535" s="40" t="str">
        <f t="shared" si="6"/>
        <v/>
      </c>
      <c r="AH535" s="40" t="str">
        <f t="shared" si="7"/>
        <v/>
      </c>
      <c r="AI535" s="40" t="str">
        <f t="shared" si="8"/>
        <v/>
      </c>
      <c r="AJ535" s="40" t="str">
        <f>IF($K535="","",COUNTIF(Assignments!$B$6:$B$1000,$K535))</f>
        <v/>
      </c>
      <c r="AK535" s="40" t="str">
        <f>IF($K535="","",IF(AND($AJ535=0,$O535&lt;$N535),Config!$B$43,0))</f>
        <v/>
      </c>
      <c r="AL535" s="40" t="str">
        <f>IF($K535="","",IF(AND($M535="Elite",$G535&gt;=Config!$B$41,$O535&lt;$N535),Config!$B$42,0))</f>
        <v/>
      </c>
      <c r="AM535" s="22"/>
    </row>
    <row r="536" ht="15.75" customHeight="1">
      <c r="A536" s="40" t="str">
        <f t="shared" si="1"/>
        <v/>
      </c>
      <c r="B536" s="40" t="str">
        <f>IF(Bids!$A535="","",Bids!$A535)</f>
        <v/>
      </c>
      <c r="C536" s="40" t="str">
        <f>IF(Bids!$B535="","",Bids!$B535)</f>
        <v/>
      </c>
      <c r="D536" s="40" t="str">
        <f>IF($C536="","",IFERROR(VLOOKUP($C536,Orders!$A$4:$J$998,9,FALSE),""))</f>
        <v/>
      </c>
      <c r="E536" s="40" t="str">
        <f>IF($C536="","",IFERROR(VLOOKUP($C536,Orders!$A$4:$J$998,3,FALSE),""))</f>
        <v/>
      </c>
      <c r="F536" s="40">
        <f t="shared" si="2"/>
        <v>1</v>
      </c>
      <c r="G536" s="40" t="str">
        <f>IF($C536="","",IFERROR(VLOOKUP($C536,Orders!$A$4:$J$998,4,FALSE),""))</f>
        <v/>
      </c>
      <c r="H536" s="40" t="str">
        <f>IF($C536="","",IFERROR(VLOOKUP($C536,Orders!$A$4:$J$998,5,FALSE),""))</f>
        <v/>
      </c>
      <c r="I536" s="40" t="str">
        <f>IF($C536="","",IFERROR(VLOOKUP($C536,Orders!$A$4:$J$998,6,FALSE),""))</f>
        <v/>
      </c>
      <c r="J536" s="40" t="str">
        <f>IF($C536="","",IFERROR(VLOOKUP($C536,Orders!$A$4:$J$998,7,FALSE),""))</f>
        <v/>
      </c>
      <c r="K536" s="40" t="str">
        <f>IF(Bids!$C535="","",Bids!$C535)</f>
        <v/>
      </c>
      <c r="L536" s="40" t="str">
        <f>IF($K536="","",IFERROR(VLOOKUP($K536,Grinders!$A$4:$N$998,2,FALSE),""))</f>
        <v/>
      </c>
      <c r="M536" s="40" t="str">
        <f>IF($K536="","",IFERROR(VLOOKUP($K536,Grinders!$A$4:$N$998,3,FALSE),""))</f>
        <v/>
      </c>
      <c r="N536" s="40" t="str">
        <f>IF($K536="","",IFERROR(VLOOKUP($K536,Grinders!$A$4:$N$998,4,FALSE),""))</f>
        <v/>
      </c>
      <c r="O536" s="40" t="str">
        <f>IF($K536="","",IFERROR(VLOOKUP($K536,Grinders!$A$4:$N$998,5,FALSE),""))</f>
        <v/>
      </c>
      <c r="P536" s="40" t="str">
        <f>IF($K536="","",IF($C$4="",0,COUNTIFS(Assignments!$B$6:$B$1000,$K536,Assignments!$F$6:$F$1000,$C$4,Assignments!$E$6:$E$1000,"Active")))</f>
        <v/>
      </c>
      <c r="Q536" s="40" t="str">
        <f t="shared" si="3"/>
        <v/>
      </c>
      <c r="R536" s="40" t="str">
        <f t="shared" si="4"/>
        <v/>
      </c>
      <c r="S536" s="40" t="str">
        <f>IF($K536="","",IF($C$4="",0,COUNTIFS(Assignments!$B$6:$B$1000,$K536,Assignments!$F$6:$F$1000,$C$4,Assignments!$D$6:$D$1000,"&gt;="&amp;Config!$B$3-7,Assignments!$D$6:$D$1000,"&lt;="&amp;Config!$B$3)))</f>
        <v/>
      </c>
      <c r="T536" s="40" t="str">
        <f>IF($K536="","",IFERROR(VLOOKUP($K536,Grinders!$A$4:$N$998,8,FALSE),""))</f>
        <v/>
      </c>
      <c r="U536" s="40" t="str">
        <f>IFERROR(IF($K536="","",IF($M536="Elite",MAX(50,MIN(100,Config!$B$27*MAX(0,MIN(100,(1-IF($R536="",0,$R536))*100)) + Config!$B$28*MAX(0,MIN(100,(1-MIN(1,IF(Config!$B$30=0,1,$S536/Config!$B$30)))*100)) + Config!$B$29*MAX(0,MIN(100,MIN(1,IF($T536="",0,$T536)/Config!$B$23)*100)))),MIN(100,Config!$B$27*MAX(0,MIN(100,(1-IF($R536="",0,$R536))*100)) + Config!$B$28*MAX(0,MIN(100,(1-MIN(1,IF(Config!$B$30=0,1,$S536/Config!$B$30)))*100)) + Config!$B$29*MAX(0,MIN(100,MIN(1,IF($T536="",0,$T536)/Config!$B$23)*100))))),"")
</f>
        <v/>
      </c>
      <c r="V536" s="40" t="str">
        <f>IF(Bids!$D535="","",Bids!$D535)</f>
        <v/>
      </c>
      <c r="W536" s="40" t="str">
        <f>IF(Bids!$F535="","",Bids!$F535)</f>
        <v/>
      </c>
      <c r="X536" s="40" t="str">
        <f t="shared" si="5"/>
        <v/>
      </c>
      <c r="Y536" s="40" t="str">
        <f>IF($X536="","",IF(Config!$B$17=Config!$B$16,IF($X536&gt;=Config!$B$17,100,0),MAX(0,MIN(100,($X536-Config!$B$16)/(Config!$B$17-Config!$B$16)*100))))</f>
        <v/>
      </c>
      <c r="Z536" s="40">
        <f>IF($M536="Elite",Config!$B$21,0)</f>
        <v>0</v>
      </c>
      <c r="AA536" s="40" t="str">
        <f>IFERROR(IF(OR($W536="",$H536=""),"",IF($W536&gt;$H536,
  MAX(0, 60-(($W536-$H536)*24/Config!$B$19)*60),
  MIN(100, 60+(($H536-$W536)*24/Config!$B$20)*40)
)),"")
</f>
        <v/>
      </c>
      <c r="AB536" s="40" t="str">
        <f>IF($K536="","",IFERROR(VLOOKUP($K536,Grinders!$A$4:$N$998,10,FALSE)/5*100,""))</f>
        <v/>
      </c>
      <c r="AC536" s="40" t="str">
        <f>IF($K536="","",IFERROR(VLOOKUP($K536,Grinders!$A$4:$N$998,11,FALSE)*100,""))</f>
        <v/>
      </c>
      <c r="AD536" s="40" t="str">
        <f>IF($K536="","",IFERROR(VLOOKUP($K536,Grinders!$A$4:$N$998,12,FALSE)*100,""))</f>
        <v/>
      </c>
      <c r="AE536" s="40">
        <f>IFERROR(IFS(
    OR($C536="", $K536=""), 0,
    $F536=0, 0,
    $D536&lt;&gt;"Open", 0,
    COUNTIFS(GrinderServices!$B$4:$B$998, $K536, GrinderServices!$C$4:$C$998, $E536, GrinderServices!$E$4:$E$998, "Y")=0, 0,
    $X536&lt;Config!$B$16, 0,
    Config!$B$18=1, IF($O536&gt;=N536, 0, 1),
    TRUE, 1
), "")
</f>
        <v>0</v>
      </c>
      <c r="AF536" s="40" t="str">
        <f>IFERROR(IF($AE536=0,"",((Config!$B$6*$Y536 + Config!$B$7*$U536 + Config!$B$8*$Z536 + Config!$B$9*$AA536 + Config!$B$10*$AB536 + Config!$B$11*$AC536 - Config!$B$12*$AD536)/Config!$B$13)+$AK536+$AL536),"")</f>
        <v/>
      </c>
      <c r="AG536" s="40" t="str">
        <f t="shared" si="6"/>
        <v/>
      </c>
      <c r="AH536" s="40" t="str">
        <f t="shared" si="7"/>
        <v/>
      </c>
      <c r="AI536" s="40" t="str">
        <f t="shared" si="8"/>
        <v/>
      </c>
      <c r="AJ536" s="40" t="str">
        <f>IF($K536="","",COUNTIF(Assignments!$B$6:$B$1000,$K536))</f>
        <v/>
      </c>
      <c r="AK536" s="40" t="str">
        <f>IF($K536="","",IF(AND($AJ536=0,$O536&lt;$N536),Config!$B$43,0))</f>
        <v/>
      </c>
      <c r="AL536" s="40" t="str">
        <f>IF($K536="","",IF(AND($M536="Elite",$G536&gt;=Config!$B$41,$O536&lt;$N536),Config!$B$42,0))</f>
        <v/>
      </c>
      <c r="AM536" s="22"/>
    </row>
    <row r="537" ht="15.75" customHeight="1">
      <c r="A537" s="40" t="str">
        <f t="shared" si="1"/>
        <v/>
      </c>
      <c r="B537" s="40" t="str">
        <f>IF(Bids!$A536="","",Bids!$A536)</f>
        <v/>
      </c>
      <c r="C537" s="40" t="str">
        <f>IF(Bids!$B536="","",Bids!$B536)</f>
        <v/>
      </c>
      <c r="D537" s="40" t="str">
        <f>IF($C537="","",IFERROR(VLOOKUP($C537,Orders!$A$4:$J$998,9,FALSE),""))</f>
        <v/>
      </c>
      <c r="E537" s="40" t="str">
        <f>IF($C537="","",IFERROR(VLOOKUP($C537,Orders!$A$4:$J$998,3,FALSE),""))</f>
        <v/>
      </c>
      <c r="F537" s="40">
        <f t="shared" si="2"/>
        <v>1</v>
      </c>
      <c r="G537" s="40" t="str">
        <f>IF($C537="","",IFERROR(VLOOKUP($C537,Orders!$A$4:$J$998,4,FALSE),""))</f>
        <v/>
      </c>
      <c r="H537" s="40" t="str">
        <f>IF($C537="","",IFERROR(VLOOKUP($C537,Orders!$A$4:$J$998,5,FALSE),""))</f>
        <v/>
      </c>
      <c r="I537" s="40" t="str">
        <f>IF($C537="","",IFERROR(VLOOKUP($C537,Orders!$A$4:$J$998,6,FALSE),""))</f>
        <v/>
      </c>
      <c r="J537" s="40" t="str">
        <f>IF($C537="","",IFERROR(VLOOKUP($C537,Orders!$A$4:$J$998,7,FALSE),""))</f>
        <v/>
      </c>
      <c r="K537" s="40" t="str">
        <f>IF(Bids!$C536="","",Bids!$C536)</f>
        <v/>
      </c>
      <c r="L537" s="40" t="str">
        <f>IF($K537="","",IFERROR(VLOOKUP($K537,Grinders!$A$4:$N$998,2,FALSE),""))</f>
        <v/>
      </c>
      <c r="M537" s="40" t="str">
        <f>IF($K537="","",IFERROR(VLOOKUP($K537,Grinders!$A$4:$N$998,3,FALSE),""))</f>
        <v/>
      </c>
      <c r="N537" s="40" t="str">
        <f>IF($K537="","",IFERROR(VLOOKUP($K537,Grinders!$A$4:$N$998,4,FALSE),""))</f>
        <v/>
      </c>
      <c r="O537" s="40" t="str">
        <f>IF($K537="","",IFERROR(VLOOKUP($K537,Grinders!$A$4:$N$998,5,FALSE),""))</f>
        <v/>
      </c>
      <c r="P537" s="40" t="str">
        <f>IF($K537="","",IF($C$4="",0,COUNTIFS(Assignments!$B$6:$B$1000,$K537,Assignments!$F$6:$F$1000,$C$4,Assignments!$E$6:$E$1000,"Active")))</f>
        <v/>
      </c>
      <c r="Q537" s="40" t="str">
        <f t="shared" si="3"/>
        <v/>
      </c>
      <c r="R537" s="40" t="str">
        <f t="shared" si="4"/>
        <v/>
      </c>
      <c r="S537" s="40" t="str">
        <f>IF($K537="","",IF($C$4="",0,COUNTIFS(Assignments!$B$6:$B$1000,$K537,Assignments!$F$6:$F$1000,$C$4,Assignments!$D$6:$D$1000,"&gt;="&amp;Config!$B$3-7,Assignments!$D$6:$D$1000,"&lt;="&amp;Config!$B$3)))</f>
        <v/>
      </c>
      <c r="T537" s="40" t="str">
        <f>IF($K537="","",IFERROR(VLOOKUP($K537,Grinders!$A$4:$N$998,8,FALSE),""))</f>
        <v/>
      </c>
      <c r="U537" s="40" t="str">
        <f>IFERROR(IF($K537="","",IF($M537="Elite",MAX(50,MIN(100,Config!$B$27*MAX(0,MIN(100,(1-IF($R537="",0,$R537))*100)) + Config!$B$28*MAX(0,MIN(100,(1-MIN(1,IF(Config!$B$30=0,1,$S537/Config!$B$30)))*100)) + Config!$B$29*MAX(0,MIN(100,MIN(1,IF($T537="",0,$T537)/Config!$B$23)*100)))),MIN(100,Config!$B$27*MAX(0,MIN(100,(1-IF($R537="",0,$R537))*100)) + Config!$B$28*MAX(0,MIN(100,(1-MIN(1,IF(Config!$B$30=0,1,$S537/Config!$B$30)))*100)) + Config!$B$29*MAX(0,MIN(100,MIN(1,IF($T537="",0,$T537)/Config!$B$23)*100))))),"")
</f>
        <v/>
      </c>
      <c r="V537" s="40" t="str">
        <f>IF(Bids!$D536="","",Bids!$D536)</f>
        <v/>
      </c>
      <c r="W537" s="40" t="str">
        <f>IF(Bids!$F536="","",Bids!$F536)</f>
        <v/>
      </c>
      <c r="X537" s="40" t="str">
        <f t="shared" si="5"/>
        <v/>
      </c>
      <c r="Y537" s="40" t="str">
        <f>IF($X537="","",IF(Config!$B$17=Config!$B$16,IF($X537&gt;=Config!$B$17,100,0),MAX(0,MIN(100,($X537-Config!$B$16)/(Config!$B$17-Config!$B$16)*100))))</f>
        <v/>
      </c>
      <c r="Z537" s="40">
        <f>IF($M537="Elite",Config!$B$21,0)</f>
        <v>0</v>
      </c>
      <c r="AA537" s="40" t="str">
        <f>IFERROR(IF(OR($W537="",$H537=""),"",IF($W537&gt;$H537,
  MAX(0, 60-(($W537-$H537)*24/Config!$B$19)*60),
  MIN(100, 60+(($H537-$W537)*24/Config!$B$20)*40)
)),"")
</f>
        <v/>
      </c>
      <c r="AB537" s="40" t="str">
        <f>IF($K537="","",IFERROR(VLOOKUP($K537,Grinders!$A$4:$N$998,10,FALSE)/5*100,""))</f>
        <v/>
      </c>
      <c r="AC537" s="40" t="str">
        <f>IF($K537="","",IFERROR(VLOOKUP($K537,Grinders!$A$4:$N$998,11,FALSE)*100,""))</f>
        <v/>
      </c>
      <c r="AD537" s="40" t="str">
        <f>IF($K537="","",IFERROR(VLOOKUP($K537,Grinders!$A$4:$N$998,12,FALSE)*100,""))</f>
        <v/>
      </c>
      <c r="AE537" s="40">
        <f>IFERROR(IFS(
    OR($C537="", $K537=""), 0,
    $F537=0, 0,
    $D537&lt;&gt;"Open", 0,
    COUNTIFS(GrinderServices!$B$4:$B$998, $K537, GrinderServices!$C$4:$C$998, $E537, GrinderServices!$E$4:$E$998, "Y")=0, 0,
    $X537&lt;Config!$B$16, 0,
    Config!$B$18=1, IF($O537&gt;=N537, 0, 1),
    TRUE, 1
), "")
</f>
        <v>0</v>
      </c>
      <c r="AF537" s="40" t="str">
        <f>IFERROR(IF($AE537=0,"",((Config!$B$6*$Y537 + Config!$B$7*$U537 + Config!$B$8*$Z537 + Config!$B$9*$AA537 + Config!$B$10*$AB537 + Config!$B$11*$AC537 - Config!$B$12*$AD537)/Config!$B$13)+$AK537+$AL537),"")</f>
        <v/>
      </c>
      <c r="AG537" s="40" t="str">
        <f t="shared" si="6"/>
        <v/>
      </c>
      <c r="AH537" s="40" t="str">
        <f t="shared" si="7"/>
        <v/>
      </c>
      <c r="AI537" s="40" t="str">
        <f t="shared" si="8"/>
        <v/>
      </c>
      <c r="AJ537" s="40" t="str">
        <f>IF($K537="","",COUNTIF(Assignments!$B$6:$B$1000,$K537))</f>
        <v/>
      </c>
      <c r="AK537" s="40" t="str">
        <f>IF($K537="","",IF(AND($AJ537=0,$O537&lt;$N537),Config!$B$43,0))</f>
        <v/>
      </c>
      <c r="AL537" s="40" t="str">
        <f>IF($K537="","",IF(AND($M537="Elite",$G537&gt;=Config!$B$41,$O537&lt;$N537),Config!$B$42,0))</f>
        <v/>
      </c>
      <c r="AM537" s="22"/>
    </row>
    <row r="538" ht="15.75" customHeight="1">
      <c r="A538" s="40" t="str">
        <f t="shared" si="1"/>
        <v/>
      </c>
      <c r="B538" s="40" t="str">
        <f>IF(Bids!$A537="","",Bids!$A537)</f>
        <v/>
      </c>
      <c r="C538" s="40" t="str">
        <f>IF(Bids!$B537="","",Bids!$B537)</f>
        <v/>
      </c>
      <c r="D538" s="40" t="str">
        <f>IF($C538="","",IFERROR(VLOOKUP($C538,Orders!$A$4:$J$998,9,FALSE),""))</f>
        <v/>
      </c>
      <c r="E538" s="40" t="str">
        <f>IF($C538="","",IFERROR(VLOOKUP($C538,Orders!$A$4:$J$998,3,FALSE),""))</f>
        <v/>
      </c>
      <c r="F538" s="40">
        <f t="shared" si="2"/>
        <v>1</v>
      </c>
      <c r="G538" s="40" t="str">
        <f>IF($C538="","",IFERROR(VLOOKUP($C538,Orders!$A$4:$J$998,4,FALSE),""))</f>
        <v/>
      </c>
      <c r="H538" s="40" t="str">
        <f>IF($C538="","",IFERROR(VLOOKUP($C538,Orders!$A$4:$J$998,5,FALSE),""))</f>
        <v/>
      </c>
      <c r="I538" s="40" t="str">
        <f>IF($C538="","",IFERROR(VLOOKUP($C538,Orders!$A$4:$J$998,6,FALSE),""))</f>
        <v/>
      </c>
      <c r="J538" s="40" t="str">
        <f>IF($C538="","",IFERROR(VLOOKUP($C538,Orders!$A$4:$J$998,7,FALSE),""))</f>
        <v/>
      </c>
      <c r="K538" s="40" t="str">
        <f>IF(Bids!$C537="","",Bids!$C537)</f>
        <v/>
      </c>
      <c r="L538" s="40" t="str">
        <f>IF($K538="","",IFERROR(VLOOKUP($K538,Grinders!$A$4:$N$998,2,FALSE),""))</f>
        <v/>
      </c>
      <c r="M538" s="40" t="str">
        <f>IF($K538="","",IFERROR(VLOOKUP($K538,Grinders!$A$4:$N$998,3,FALSE),""))</f>
        <v/>
      </c>
      <c r="N538" s="40" t="str">
        <f>IF($K538="","",IFERROR(VLOOKUP($K538,Grinders!$A$4:$N$998,4,FALSE),""))</f>
        <v/>
      </c>
      <c r="O538" s="40" t="str">
        <f>IF($K538="","",IFERROR(VLOOKUP($K538,Grinders!$A$4:$N$998,5,FALSE),""))</f>
        <v/>
      </c>
      <c r="P538" s="40" t="str">
        <f>IF($K538="","",IF($C$4="",0,COUNTIFS(Assignments!$B$6:$B$1000,$K538,Assignments!$F$6:$F$1000,$C$4,Assignments!$E$6:$E$1000,"Active")))</f>
        <v/>
      </c>
      <c r="Q538" s="40" t="str">
        <f t="shared" si="3"/>
        <v/>
      </c>
      <c r="R538" s="40" t="str">
        <f t="shared" si="4"/>
        <v/>
      </c>
      <c r="S538" s="40" t="str">
        <f>IF($K538="","",IF($C$4="",0,COUNTIFS(Assignments!$B$6:$B$1000,$K538,Assignments!$F$6:$F$1000,$C$4,Assignments!$D$6:$D$1000,"&gt;="&amp;Config!$B$3-7,Assignments!$D$6:$D$1000,"&lt;="&amp;Config!$B$3)))</f>
        <v/>
      </c>
      <c r="T538" s="40" t="str">
        <f>IF($K538="","",IFERROR(VLOOKUP($K538,Grinders!$A$4:$N$998,8,FALSE),""))</f>
        <v/>
      </c>
      <c r="U538" s="40" t="str">
        <f>IFERROR(IF($K538="","",IF($M538="Elite",MAX(50,MIN(100,Config!$B$27*MAX(0,MIN(100,(1-IF($R538="",0,$R538))*100)) + Config!$B$28*MAX(0,MIN(100,(1-MIN(1,IF(Config!$B$30=0,1,$S538/Config!$B$30)))*100)) + Config!$B$29*MAX(0,MIN(100,MIN(1,IF($T538="",0,$T538)/Config!$B$23)*100)))),MIN(100,Config!$B$27*MAX(0,MIN(100,(1-IF($R538="",0,$R538))*100)) + Config!$B$28*MAX(0,MIN(100,(1-MIN(1,IF(Config!$B$30=0,1,$S538/Config!$B$30)))*100)) + Config!$B$29*MAX(0,MIN(100,MIN(1,IF($T538="",0,$T538)/Config!$B$23)*100))))),"")
</f>
        <v/>
      </c>
      <c r="V538" s="40" t="str">
        <f>IF(Bids!$D537="","",Bids!$D537)</f>
        <v/>
      </c>
      <c r="W538" s="40" t="str">
        <f>IF(Bids!$F537="","",Bids!$F537)</f>
        <v/>
      </c>
      <c r="X538" s="40" t="str">
        <f t="shared" si="5"/>
        <v/>
      </c>
      <c r="Y538" s="40" t="str">
        <f>IF($X538="","",IF(Config!$B$17=Config!$B$16,IF($X538&gt;=Config!$B$17,100,0),MAX(0,MIN(100,($X538-Config!$B$16)/(Config!$B$17-Config!$B$16)*100))))</f>
        <v/>
      </c>
      <c r="Z538" s="40">
        <f>IF($M538="Elite",Config!$B$21,0)</f>
        <v>0</v>
      </c>
      <c r="AA538" s="40" t="str">
        <f>IFERROR(IF(OR($W538="",$H538=""),"",IF($W538&gt;$H538,
  MAX(0, 60-(($W538-$H538)*24/Config!$B$19)*60),
  MIN(100, 60+(($H538-$W538)*24/Config!$B$20)*40)
)),"")
</f>
        <v/>
      </c>
      <c r="AB538" s="40" t="str">
        <f>IF($K538="","",IFERROR(VLOOKUP($K538,Grinders!$A$4:$N$998,10,FALSE)/5*100,""))</f>
        <v/>
      </c>
      <c r="AC538" s="40" t="str">
        <f>IF($K538="","",IFERROR(VLOOKUP($K538,Grinders!$A$4:$N$998,11,FALSE)*100,""))</f>
        <v/>
      </c>
      <c r="AD538" s="40" t="str">
        <f>IF($K538="","",IFERROR(VLOOKUP($K538,Grinders!$A$4:$N$998,12,FALSE)*100,""))</f>
        <v/>
      </c>
      <c r="AE538" s="40">
        <f>IFERROR(IFS(
    OR($C538="", $K538=""), 0,
    $F538=0, 0,
    $D538&lt;&gt;"Open", 0,
    COUNTIFS(GrinderServices!$B$4:$B$998, $K538, GrinderServices!$C$4:$C$998, $E538, GrinderServices!$E$4:$E$998, "Y")=0, 0,
    $X538&lt;Config!$B$16, 0,
    Config!$B$18=1, IF($O538&gt;=N538, 0, 1),
    TRUE, 1
), "")
</f>
        <v>0</v>
      </c>
      <c r="AF538" s="40" t="str">
        <f>IFERROR(IF($AE538=0,"",((Config!$B$6*$Y538 + Config!$B$7*$U538 + Config!$B$8*$Z538 + Config!$B$9*$AA538 + Config!$B$10*$AB538 + Config!$B$11*$AC538 - Config!$B$12*$AD538)/Config!$B$13)+$AK538+$AL538),"")</f>
        <v/>
      </c>
      <c r="AG538" s="40" t="str">
        <f t="shared" si="6"/>
        <v/>
      </c>
      <c r="AH538" s="40" t="str">
        <f t="shared" si="7"/>
        <v/>
      </c>
      <c r="AI538" s="40" t="str">
        <f t="shared" si="8"/>
        <v/>
      </c>
      <c r="AJ538" s="40" t="str">
        <f>IF($K538="","",COUNTIF(Assignments!$B$6:$B$1000,$K538))</f>
        <v/>
      </c>
      <c r="AK538" s="40" t="str">
        <f>IF($K538="","",IF(AND($AJ538=0,$O538&lt;$N538),Config!$B$43,0))</f>
        <v/>
      </c>
      <c r="AL538" s="40" t="str">
        <f>IF($K538="","",IF(AND($M538="Elite",$G538&gt;=Config!$B$41,$O538&lt;$N538),Config!$B$42,0))</f>
        <v/>
      </c>
      <c r="AM538" s="22"/>
    </row>
    <row r="539" ht="15.75" customHeight="1">
      <c r="A539" s="40" t="str">
        <f t="shared" si="1"/>
        <v/>
      </c>
      <c r="B539" s="40" t="str">
        <f>IF(Bids!$A538="","",Bids!$A538)</f>
        <v/>
      </c>
      <c r="C539" s="40" t="str">
        <f>IF(Bids!$B538="","",Bids!$B538)</f>
        <v/>
      </c>
      <c r="D539" s="40" t="str">
        <f>IF($C539="","",IFERROR(VLOOKUP($C539,Orders!$A$4:$J$998,9,FALSE),""))</f>
        <v/>
      </c>
      <c r="E539" s="40" t="str">
        <f>IF($C539="","",IFERROR(VLOOKUP($C539,Orders!$A$4:$J$998,3,FALSE),""))</f>
        <v/>
      </c>
      <c r="F539" s="40">
        <f t="shared" si="2"/>
        <v>1</v>
      </c>
      <c r="G539" s="40" t="str">
        <f>IF($C539="","",IFERROR(VLOOKUP($C539,Orders!$A$4:$J$998,4,FALSE),""))</f>
        <v/>
      </c>
      <c r="H539" s="40" t="str">
        <f>IF($C539="","",IFERROR(VLOOKUP($C539,Orders!$A$4:$J$998,5,FALSE),""))</f>
        <v/>
      </c>
      <c r="I539" s="40" t="str">
        <f>IF($C539="","",IFERROR(VLOOKUP($C539,Orders!$A$4:$J$998,6,FALSE),""))</f>
        <v/>
      </c>
      <c r="J539" s="40" t="str">
        <f>IF($C539="","",IFERROR(VLOOKUP($C539,Orders!$A$4:$J$998,7,FALSE),""))</f>
        <v/>
      </c>
      <c r="K539" s="40" t="str">
        <f>IF(Bids!$C538="","",Bids!$C538)</f>
        <v/>
      </c>
      <c r="L539" s="40" t="str">
        <f>IF($K539="","",IFERROR(VLOOKUP($K539,Grinders!$A$4:$N$998,2,FALSE),""))</f>
        <v/>
      </c>
      <c r="M539" s="40" t="str">
        <f>IF($K539="","",IFERROR(VLOOKUP($K539,Grinders!$A$4:$N$998,3,FALSE),""))</f>
        <v/>
      </c>
      <c r="N539" s="40" t="str">
        <f>IF($K539="","",IFERROR(VLOOKUP($K539,Grinders!$A$4:$N$998,4,FALSE),""))</f>
        <v/>
      </c>
      <c r="O539" s="40" t="str">
        <f>IF($K539="","",IFERROR(VLOOKUP($K539,Grinders!$A$4:$N$998,5,FALSE),""))</f>
        <v/>
      </c>
      <c r="P539" s="40" t="str">
        <f>IF($K539="","",IF($C$4="",0,COUNTIFS(Assignments!$B$6:$B$1000,$K539,Assignments!$F$6:$F$1000,$C$4,Assignments!$E$6:$E$1000,"Active")))</f>
        <v/>
      </c>
      <c r="Q539" s="40" t="str">
        <f t="shared" si="3"/>
        <v/>
      </c>
      <c r="R539" s="40" t="str">
        <f t="shared" si="4"/>
        <v/>
      </c>
      <c r="S539" s="40" t="str">
        <f>IF($K539="","",IF($C$4="",0,COUNTIFS(Assignments!$B$6:$B$1000,$K539,Assignments!$F$6:$F$1000,$C$4,Assignments!$D$6:$D$1000,"&gt;="&amp;Config!$B$3-7,Assignments!$D$6:$D$1000,"&lt;="&amp;Config!$B$3)))</f>
        <v/>
      </c>
      <c r="T539" s="40" t="str">
        <f>IF($K539="","",IFERROR(VLOOKUP($K539,Grinders!$A$4:$N$998,8,FALSE),""))</f>
        <v/>
      </c>
      <c r="U539" s="40" t="str">
        <f>IFERROR(IF($K539="","",IF($M539="Elite",MAX(50,MIN(100,Config!$B$27*MAX(0,MIN(100,(1-IF($R539="",0,$R539))*100)) + Config!$B$28*MAX(0,MIN(100,(1-MIN(1,IF(Config!$B$30=0,1,$S539/Config!$B$30)))*100)) + Config!$B$29*MAX(0,MIN(100,MIN(1,IF($T539="",0,$T539)/Config!$B$23)*100)))),MIN(100,Config!$B$27*MAX(0,MIN(100,(1-IF($R539="",0,$R539))*100)) + Config!$B$28*MAX(0,MIN(100,(1-MIN(1,IF(Config!$B$30=0,1,$S539/Config!$B$30)))*100)) + Config!$B$29*MAX(0,MIN(100,MIN(1,IF($T539="",0,$T539)/Config!$B$23)*100))))),"")
</f>
        <v/>
      </c>
      <c r="V539" s="40" t="str">
        <f>IF(Bids!$D538="","",Bids!$D538)</f>
        <v/>
      </c>
      <c r="W539" s="40" t="str">
        <f>IF(Bids!$F538="","",Bids!$F538)</f>
        <v/>
      </c>
      <c r="X539" s="40" t="str">
        <f t="shared" si="5"/>
        <v/>
      </c>
      <c r="Y539" s="40" t="str">
        <f>IF($X539="","",IF(Config!$B$17=Config!$B$16,IF($X539&gt;=Config!$B$17,100,0),MAX(0,MIN(100,($X539-Config!$B$16)/(Config!$B$17-Config!$B$16)*100))))</f>
        <v/>
      </c>
      <c r="Z539" s="40">
        <f>IF($M539="Elite",Config!$B$21,0)</f>
        <v>0</v>
      </c>
      <c r="AA539" s="40" t="str">
        <f>IFERROR(IF(OR($W539="",$H539=""),"",IF($W539&gt;$H539,
  MAX(0, 60-(($W539-$H539)*24/Config!$B$19)*60),
  MIN(100, 60+(($H539-$W539)*24/Config!$B$20)*40)
)),"")
</f>
        <v/>
      </c>
      <c r="AB539" s="40" t="str">
        <f>IF($K539="","",IFERROR(VLOOKUP($K539,Grinders!$A$4:$N$998,10,FALSE)/5*100,""))</f>
        <v/>
      </c>
      <c r="AC539" s="40" t="str">
        <f>IF($K539="","",IFERROR(VLOOKUP($K539,Grinders!$A$4:$N$998,11,FALSE)*100,""))</f>
        <v/>
      </c>
      <c r="AD539" s="40" t="str">
        <f>IF($K539="","",IFERROR(VLOOKUP($K539,Grinders!$A$4:$N$998,12,FALSE)*100,""))</f>
        <v/>
      </c>
      <c r="AE539" s="40">
        <f>IFERROR(IFS(
    OR($C539="", $K539=""), 0,
    $F539=0, 0,
    $D539&lt;&gt;"Open", 0,
    COUNTIFS(GrinderServices!$B$4:$B$998, $K539, GrinderServices!$C$4:$C$998, $E539, GrinderServices!$E$4:$E$998, "Y")=0, 0,
    $X539&lt;Config!$B$16, 0,
    Config!$B$18=1, IF($O539&gt;=N539, 0, 1),
    TRUE, 1
), "")
</f>
        <v>0</v>
      </c>
      <c r="AF539" s="40" t="str">
        <f>IFERROR(IF($AE539=0,"",((Config!$B$6*$Y539 + Config!$B$7*$U539 + Config!$B$8*$Z539 + Config!$B$9*$AA539 + Config!$B$10*$AB539 + Config!$B$11*$AC539 - Config!$B$12*$AD539)/Config!$B$13)+$AK539+$AL539),"")</f>
        <v/>
      </c>
      <c r="AG539" s="40" t="str">
        <f t="shared" si="6"/>
        <v/>
      </c>
      <c r="AH539" s="40" t="str">
        <f t="shared" si="7"/>
        <v/>
      </c>
      <c r="AI539" s="40" t="str">
        <f t="shared" si="8"/>
        <v/>
      </c>
      <c r="AJ539" s="40" t="str">
        <f>IF($K539="","",COUNTIF(Assignments!$B$6:$B$1000,$K539))</f>
        <v/>
      </c>
      <c r="AK539" s="40" t="str">
        <f>IF($K539="","",IF(AND($AJ539=0,$O539&lt;$N539),Config!$B$43,0))</f>
        <v/>
      </c>
      <c r="AL539" s="40" t="str">
        <f>IF($K539="","",IF(AND($M539="Elite",$G539&gt;=Config!$B$41,$O539&lt;$N539),Config!$B$42,0))</f>
        <v/>
      </c>
      <c r="AM539" s="22"/>
    </row>
    <row r="540" ht="15.75" customHeight="1">
      <c r="A540" s="40" t="str">
        <f t="shared" si="1"/>
        <v/>
      </c>
      <c r="B540" s="40" t="str">
        <f>IF(Bids!$A539="","",Bids!$A539)</f>
        <v/>
      </c>
      <c r="C540" s="40" t="str">
        <f>IF(Bids!$B539="","",Bids!$B539)</f>
        <v/>
      </c>
      <c r="D540" s="40" t="str">
        <f>IF($C540="","",IFERROR(VLOOKUP($C540,Orders!$A$4:$J$998,9,FALSE),""))</f>
        <v/>
      </c>
      <c r="E540" s="40" t="str">
        <f>IF($C540="","",IFERROR(VLOOKUP($C540,Orders!$A$4:$J$998,3,FALSE),""))</f>
        <v/>
      </c>
      <c r="F540" s="40">
        <f t="shared" si="2"/>
        <v>1</v>
      </c>
      <c r="G540" s="40" t="str">
        <f>IF($C540="","",IFERROR(VLOOKUP($C540,Orders!$A$4:$J$998,4,FALSE),""))</f>
        <v/>
      </c>
      <c r="H540" s="40" t="str">
        <f>IF($C540="","",IFERROR(VLOOKUP($C540,Orders!$A$4:$J$998,5,FALSE),""))</f>
        <v/>
      </c>
      <c r="I540" s="40" t="str">
        <f>IF($C540="","",IFERROR(VLOOKUP($C540,Orders!$A$4:$J$998,6,FALSE),""))</f>
        <v/>
      </c>
      <c r="J540" s="40" t="str">
        <f>IF($C540="","",IFERROR(VLOOKUP($C540,Orders!$A$4:$J$998,7,FALSE),""))</f>
        <v/>
      </c>
      <c r="K540" s="40" t="str">
        <f>IF(Bids!$C539="","",Bids!$C539)</f>
        <v/>
      </c>
      <c r="L540" s="40" t="str">
        <f>IF($K540="","",IFERROR(VLOOKUP($K540,Grinders!$A$4:$N$998,2,FALSE),""))</f>
        <v/>
      </c>
      <c r="M540" s="40" t="str">
        <f>IF($K540="","",IFERROR(VLOOKUP($K540,Grinders!$A$4:$N$998,3,FALSE),""))</f>
        <v/>
      </c>
      <c r="N540" s="40" t="str">
        <f>IF($K540="","",IFERROR(VLOOKUP($K540,Grinders!$A$4:$N$998,4,FALSE),""))</f>
        <v/>
      </c>
      <c r="O540" s="40" t="str">
        <f>IF($K540="","",IFERROR(VLOOKUP($K540,Grinders!$A$4:$N$998,5,FALSE),""))</f>
        <v/>
      </c>
      <c r="P540" s="40" t="str">
        <f>IF($K540="","",IF($C$4="",0,COUNTIFS(Assignments!$B$6:$B$1000,$K540,Assignments!$F$6:$F$1000,$C$4,Assignments!$E$6:$E$1000,"Active")))</f>
        <v/>
      </c>
      <c r="Q540" s="40" t="str">
        <f t="shared" si="3"/>
        <v/>
      </c>
      <c r="R540" s="40" t="str">
        <f t="shared" si="4"/>
        <v/>
      </c>
      <c r="S540" s="40" t="str">
        <f>IF($K540="","",IF($C$4="",0,COUNTIFS(Assignments!$B$6:$B$1000,$K540,Assignments!$F$6:$F$1000,$C$4,Assignments!$D$6:$D$1000,"&gt;="&amp;Config!$B$3-7,Assignments!$D$6:$D$1000,"&lt;="&amp;Config!$B$3)))</f>
        <v/>
      </c>
      <c r="T540" s="40" t="str">
        <f>IF($K540="","",IFERROR(VLOOKUP($K540,Grinders!$A$4:$N$998,8,FALSE),""))</f>
        <v/>
      </c>
      <c r="U540" s="40" t="str">
        <f>IFERROR(IF($K540="","",IF($M540="Elite",MAX(50,MIN(100,Config!$B$27*MAX(0,MIN(100,(1-IF($R540="",0,$R540))*100)) + Config!$B$28*MAX(0,MIN(100,(1-MIN(1,IF(Config!$B$30=0,1,$S540/Config!$B$30)))*100)) + Config!$B$29*MAX(0,MIN(100,MIN(1,IF($T540="",0,$T540)/Config!$B$23)*100)))),MIN(100,Config!$B$27*MAX(0,MIN(100,(1-IF($R540="",0,$R540))*100)) + Config!$B$28*MAX(0,MIN(100,(1-MIN(1,IF(Config!$B$30=0,1,$S540/Config!$B$30)))*100)) + Config!$B$29*MAX(0,MIN(100,MIN(1,IF($T540="",0,$T540)/Config!$B$23)*100))))),"")
</f>
        <v/>
      </c>
      <c r="V540" s="40" t="str">
        <f>IF(Bids!$D539="","",Bids!$D539)</f>
        <v/>
      </c>
      <c r="W540" s="40" t="str">
        <f>IF(Bids!$F539="","",Bids!$F539)</f>
        <v/>
      </c>
      <c r="X540" s="40" t="str">
        <f t="shared" si="5"/>
        <v/>
      </c>
      <c r="Y540" s="40" t="str">
        <f>IF($X540="","",IF(Config!$B$17=Config!$B$16,IF($X540&gt;=Config!$B$17,100,0),MAX(0,MIN(100,($X540-Config!$B$16)/(Config!$B$17-Config!$B$16)*100))))</f>
        <v/>
      </c>
      <c r="Z540" s="40">
        <f>IF($M540="Elite",Config!$B$21,0)</f>
        <v>0</v>
      </c>
      <c r="AA540" s="40" t="str">
        <f>IFERROR(IF(OR($W540="",$H540=""),"",IF($W540&gt;$H540,
  MAX(0, 60-(($W540-$H540)*24/Config!$B$19)*60),
  MIN(100, 60+(($H540-$W540)*24/Config!$B$20)*40)
)),"")
</f>
        <v/>
      </c>
      <c r="AB540" s="40" t="str">
        <f>IF($K540="","",IFERROR(VLOOKUP($K540,Grinders!$A$4:$N$998,10,FALSE)/5*100,""))</f>
        <v/>
      </c>
      <c r="AC540" s="40" t="str">
        <f>IF($K540="","",IFERROR(VLOOKUP($K540,Grinders!$A$4:$N$998,11,FALSE)*100,""))</f>
        <v/>
      </c>
      <c r="AD540" s="40" t="str">
        <f>IF($K540="","",IFERROR(VLOOKUP($K540,Grinders!$A$4:$N$998,12,FALSE)*100,""))</f>
        <v/>
      </c>
      <c r="AE540" s="40">
        <f>IFERROR(IFS(
    OR($C540="", $K540=""), 0,
    $F540=0, 0,
    $D540&lt;&gt;"Open", 0,
    COUNTIFS(GrinderServices!$B$4:$B$998, $K540, GrinderServices!$C$4:$C$998, $E540, GrinderServices!$E$4:$E$998, "Y")=0, 0,
    $X540&lt;Config!$B$16, 0,
    Config!$B$18=1, IF($O540&gt;=N540, 0, 1),
    TRUE, 1
), "")
</f>
        <v>0</v>
      </c>
      <c r="AF540" s="40" t="str">
        <f>IFERROR(IF($AE540=0,"",((Config!$B$6*$Y540 + Config!$B$7*$U540 + Config!$B$8*$Z540 + Config!$B$9*$AA540 + Config!$B$10*$AB540 + Config!$B$11*$AC540 - Config!$B$12*$AD540)/Config!$B$13)+$AK540+$AL540),"")</f>
        <v/>
      </c>
      <c r="AG540" s="40" t="str">
        <f t="shared" si="6"/>
        <v/>
      </c>
      <c r="AH540" s="40" t="str">
        <f t="shared" si="7"/>
        <v/>
      </c>
      <c r="AI540" s="40" t="str">
        <f t="shared" si="8"/>
        <v/>
      </c>
      <c r="AJ540" s="40" t="str">
        <f>IF($K540="","",COUNTIF(Assignments!$B$6:$B$1000,$K540))</f>
        <v/>
      </c>
      <c r="AK540" s="40" t="str">
        <f>IF($K540="","",IF(AND($AJ540=0,$O540&lt;$N540),Config!$B$43,0))</f>
        <v/>
      </c>
      <c r="AL540" s="40" t="str">
        <f>IF($K540="","",IF(AND($M540="Elite",$G540&gt;=Config!$B$41,$O540&lt;$N540),Config!$B$42,0))</f>
        <v/>
      </c>
      <c r="AM540" s="22"/>
    </row>
    <row r="541" ht="15.75" customHeight="1">
      <c r="A541" s="40" t="str">
        <f t="shared" si="1"/>
        <v/>
      </c>
      <c r="B541" s="40" t="str">
        <f>IF(Bids!$A540="","",Bids!$A540)</f>
        <v/>
      </c>
      <c r="C541" s="40" t="str">
        <f>IF(Bids!$B540="","",Bids!$B540)</f>
        <v/>
      </c>
      <c r="D541" s="40" t="str">
        <f>IF($C541="","",IFERROR(VLOOKUP($C541,Orders!$A$4:$J$998,9,FALSE),""))</f>
        <v/>
      </c>
      <c r="E541" s="40" t="str">
        <f>IF($C541="","",IFERROR(VLOOKUP($C541,Orders!$A$4:$J$998,3,FALSE),""))</f>
        <v/>
      </c>
      <c r="F541" s="40">
        <f t="shared" si="2"/>
        <v>1</v>
      </c>
      <c r="G541" s="40" t="str">
        <f>IF($C541="","",IFERROR(VLOOKUP($C541,Orders!$A$4:$J$998,4,FALSE),""))</f>
        <v/>
      </c>
      <c r="H541" s="40" t="str">
        <f>IF($C541="","",IFERROR(VLOOKUP($C541,Orders!$A$4:$J$998,5,FALSE),""))</f>
        <v/>
      </c>
      <c r="I541" s="40" t="str">
        <f>IF($C541="","",IFERROR(VLOOKUP($C541,Orders!$A$4:$J$998,6,FALSE),""))</f>
        <v/>
      </c>
      <c r="J541" s="40" t="str">
        <f>IF($C541="","",IFERROR(VLOOKUP($C541,Orders!$A$4:$J$998,7,FALSE),""))</f>
        <v/>
      </c>
      <c r="K541" s="40" t="str">
        <f>IF(Bids!$C540="","",Bids!$C540)</f>
        <v/>
      </c>
      <c r="L541" s="40" t="str">
        <f>IF($K541="","",IFERROR(VLOOKUP($K541,Grinders!$A$4:$N$998,2,FALSE),""))</f>
        <v/>
      </c>
      <c r="M541" s="40" t="str">
        <f>IF($K541="","",IFERROR(VLOOKUP($K541,Grinders!$A$4:$N$998,3,FALSE),""))</f>
        <v/>
      </c>
      <c r="N541" s="40" t="str">
        <f>IF($K541="","",IFERROR(VLOOKUP($K541,Grinders!$A$4:$N$998,4,FALSE),""))</f>
        <v/>
      </c>
      <c r="O541" s="40" t="str">
        <f>IF($K541="","",IFERROR(VLOOKUP($K541,Grinders!$A$4:$N$998,5,FALSE),""))</f>
        <v/>
      </c>
      <c r="P541" s="40" t="str">
        <f>IF($K541="","",IF($C$4="",0,COUNTIFS(Assignments!$B$6:$B$1000,$K541,Assignments!$F$6:$F$1000,$C$4,Assignments!$E$6:$E$1000,"Active")))</f>
        <v/>
      </c>
      <c r="Q541" s="40" t="str">
        <f t="shared" si="3"/>
        <v/>
      </c>
      <c r="R541" s="40" t="str">
        <f t="shared" si="4"/>
        <v/>
      </c>
      <c r="S541" s="40" t="str">
        <f>IF($K541="","",IF($C$4="",0,COUNTIFS(Assignments!$B$6:$B$1000,$K541,Assignments!$F$6:$F$1000,$C$4,Assignments!$D$6:$D$1000,"&gt;="&amp;Config!$B$3-7,Assignments!$D$6:$D$1000,"&lt;="&amp;Config!$B$3)))</f>
        <v/>
      </c>
      <c r="T541" s="40" t="str">
        <f>IF($K541="","",IFERROR(VLOOKUP($K541,Grinders!$A$4:$N$998,8,FALSE),""))</f>
        <v/>
      </c>
      <c r="U541" s="40" t="str">
        <f>IFERROR(IF($K541="","",IF($M541="Elite",MAX(50,MIN(100,Config!$B$27*MAX(0,MIN(100,(1-IF($R541="",0,$R541))*100)) + Config!$B$28*MAX(0,MIN(100,(1-MIN(1,IF(Config!$B$30=0,1,$S541/Config!$B$30)))*100)) + Config!$B$29*MAX(0,MIN(100,MIN(1,IF($T541="",0,$T541)/Config!$B$23)*100)))),MIN(100,Config!$B$27*MAX(0,MIN(100,(1-IF($R541="",0,$R541))*100)) + Config!$B$28*MAX(0,MIN(100,(1-MIN(1,IF(Config!$B$30=0,1,$S541/Config!$B$30)))*100)) + Config!$B$29*MAX(0,MIN(100,MIN(1,IF($T541="",0,$T541)/Config!$B$23)*100))))),"")
</f>
        <v/>
      </c>
      <c r="V541" s="40" t="str">
        <f>IF(Bids!$D540="","",Bids!$D540)</f>
        <v/>
      </c>
      <c r="W541" s="40" t="str">
        <f>IF(Bids!$F540="","",Bids!$F540)</f>
        <v/>
      </c>
      <c r="X541" s="40" t="str">
        <f t="shared" si="5"/>
        <v/>
      </c>
      <c r="Y541" s="40" t="str">
        <f>IF($X541="","",IF(Config!$B$17=Config!$B$16,IF($X541&gt;=Config!$B$17,100,0),MAX(0,MIN(100,($X541-Config!$B$16)/(Config!$B$17-Config!$B$16)*100))))</f>
        <v/>
      </c>
      <c r="Z541" s="40">
        <f>IF($M541="Elite",Config!$B$21,0)</f>
        <v>0</v>
      </c>
      <c r="AA541" s="40" t="str">
        <f>IFERROR(IF(OR($W541="",$H541=""),"",IF($W541&gt;$H541,
  MAX(0, 60-(($W541-$H541)*24/Config!$B$19)*60),
  MIN(100, 60+(($H541-$W541)*24/Config!$B$20)*40)
)),"")
</f>
        <v/>
      </c>
      <c r="AB541" s="40" t="str">
        <f>IF($K541="","",IFERROR(VLOOKUP($K541,Grinders!$A$4:$N$998,10,FALSE)/5*100,""))</f>
        <v/>
      </c>
      <c r="AC541" s="40" t="str">
        <f>IF($K541="","",IFERROR(VLOOKUP($K541,Grinders!$A$4:$N$998,11,FALSE)*100,""))</f>
        <v/>
      </c>
      <c r="AD541" s="40" t="str">
        <f>IF($K541="","",IFERROR(VLOOKUP($K541,Grinders!$A$4:$N$998,12,FALSE)*100,""))</f>
        <v/>
      </c>
      <c r="AE541" s="40">
        <f>IFERROR(IFS(
    OR($C541="", $K541=""), 0,
    $F541=0, 0,
    $D541&lt;&gt;"Open", 0,
    COUNTIFS(GrinderServices!$B$4:$B$998, $K541, GrinderServices!$C$4:$C$998, $E541, GrinderServices!$E$4:$E$998, "Y")=0, 0,
    $X541&lt;Config!$B$16, 0,
    Config!$B$18=1, IF($O541&gt;=N541, 0, 1),
    TRUE, 1
), "")
</f>
        <v>0</v>
      </c>
      <c r="AF541" s="40" t="str">
        <f>IFERROR(IF($AE541=0,"",((Config!$B$6*$Y541 + Config!$B$7*$U541 + Config!$B$8*$Z541 + Config!$B$9*$AA541 + Config!$B$10*$AB541 + Config!$B$11*$AC541 - Config!$B$12*$AD541)/Config!$B$13)+$AK541+$AL541),"")</f>
        <v/>
      </c>
      <c r="AG541" s="40" t="str">
        <f t="shared" si="6"/>
        <v/>
      </c>
      <c r="AH541" s="40" t="str">
        <f t="shared" si="7"/>
        <v/>
      </c>
      <c r="AI541" s="40" t="str">
        <f t="shared" si="8"/>
        <v/>
      </c>
      <c r="AJ541" s="40" t="str">
        <f>IF($K541="","",COUNTIF(Assignments!$B$6:$B$1000,$K541))</f>
        <v/>
      </c>
      <c r="AK541" s="40" t="str">
        <f>IF($K541="","",IF(AND($AJ541=0,$O541&lt;$N541),Config!$B$43,0))</f>
        <v/>
      </c>
      <c r="AL541" s="40" t="str">
        <f>IF($K541="","",IF(AND($M541="Elite",$G541&gt;=Config!$B$41,$O541&lt;$N541),Config!$B$42,0))</f>
        <v/>
      </c>
      <c r="AM541" s="22"/>
    </row>
    <row r="542" ht="15.75" customHeight="1">
      <c r="A542" s="40" t="str">
        <f t="shared" si="1"/>
        <v/>
      </c>
      <c r="B542" s="40" t="str">
        <f>IF(Bids!$A541="","",Bids!$A541)</f>
        <v/>
      </c>
      <c r="C542" s="40" t="str">
        <f>IF(Bids!$B541="","",Bids!$B541)</f>
        <v/>
      </c>
      <c r="D542" s="40" t="str">
        <f>IF($C542="","",IFERROR(VLOOKUP($C542,Orders!$A$4:$J$998,9,FALSE),""))</f>
        <v/>
      </c>
      <c r="E542" s="40" t="str">
        <f>IF($C542="","",IFERROR(VLOOKUP($C542,Orders!$A$4:$J$998,3,FALSE),""))</f>
        <v/>
      </c>
      <c r="F542" s="40">
        <f t="shared" si="2"/>
        <v>1</v>
      </c>
      <c r="G542" s="40" t="str">
        <f>IF($C542="","",IFERROR(VLOOKUP($C542,Orders!$A$4:$J$998,4,FALSE),""))</f>
        <v/>
      </c>
      <c r="H542" s="40" t="str">
        <f>IF($C542="","",IFERROR(VLOOKUP($C542,Orders!$A$4:$J$998,5,FALSE),""))</f>
        <v/>
      </c>
      <c r="I542" s="40" t="str">
        <f>IF($C542="","",IFERROR(VLOOKUP($C542,Orders!$A$4:$J$998,6,FALSE),""))</f>
        <v/>
      </c>
      <c r="J542" s="40" t="str">
        <f>IF($C542="","",IFERROR(VLOOKUP($C542,Orders!$A$4:$J$998,7,FALSE),""))</f>
        <v/>
      </c>
      <c r="K542" s="40" t="str">
        <f>IF(Bids!$C541="","",Bids!$C541)</f>
        <v/>
      </c>
      <c r="L542" s="40" t="str">
        <f>IF($K542="","",IFERROR(VLOOKUP($K542,Grinders!$A$4:$N$998,2,FALSE),""))</f>
        <v/>
      </c>
      <c r="M542" s="40" t="str">
        <f>IF($K542="","",IFERROR(VLOOKUP($K542,Grinders!$A$4:$N$998,3,FALSE),""))</f>
        <v/>
      </c>
      <c r="N542" s="40" t="str">
        <f>IF($K542="","",IFERROR(VLOOKUP($K542,Grinders!$A$4:$N$998,4,FALSE),""))</f>
        <v/>
      </c>
      <c r="O542" s="40" t="str">
        <f>IF($K542="","",IFERROR(VLOOKUP($K542,Grinders!$A$4:$N$998,5,FALSE),""))</f>
        <v/>
      </c>
      <c r="P542" s="40" t="str">
        <f>IF($K542="","",IF($C$4="",0,COUNTIFS(Assignments!$B$6:$B$1000,$K542,Assignments!$F$6:$F$1000,$C$4,Assignments!$E$6:$E$1000,"Active")))</f>
        <v/>
      </c>
      <c r="Q542" s="40" t="str">
        <f t="shared" si="3"/>
        <v/>
      </c>
      <c r="R542" s="40" t="str">
        <f t="shared" si="4"/>
        <v/>
      </c>
      <c r="S542" s="40" t="str">
        <f>IF($K542="","",IF($C$4="",0,COUNTIFS(Assignments!$B$6:$B$1000,$K542,Assignments!$F$6:$F$1000,$C$4,Assignments!$D$6:$D$1000,"&gt;="&amp;Config!$B$3-7,Assignments!$D$6:$D$1000,"&lt;="&amp;Config!$B$3)))</f>
        <v/>
      </c>
      <c r="T542" s="40" t="str">
        <f>IF($K542="","",IFERROR(VLOOKUP($K542,Grinders!$A$4:$N$998,8,FALSE),""))</f>
        <v/>
      </c>
      <c r="U542" s="40" t="str">
        <f>IFERROR(IF($K542="","",IF($M542="Elite",MAX(50,MIN(100,Config!$B$27*MAX(0,MIN(100,(1-IF($R542="",0,$R542))*100)) + Config!$B$28*MAX(0,MIN(100,(1-MIN(1,IF(Config!$B$30=0,1,$S542/Config!$B$30)))*100)) + Config!$B$29*MAX(0,MIN(100,MIN(1,IF($T542="",0,$T542)/Config!$B$23)*100)))),MIN(100,Config!$B$27*MAX(0,MIN(100,(1-IF($R542="",0,$R542))*100)) + Config!$B$28*MAX(0,MIN(100,(1-MIN(1,IF(Config!$B$30=0,1,$S542/Config!$B$30)))*100)) + Config!$B$29*MAX(0,MIN(100,MIN(1,IF($T542="",0,$T542)/Config!$B$23)*100))))),"")
</f>
        <v/>
      </c>
      <c r="V542" s="40" t="str">
        <f>IF(Bids!$D541="","",Bids!$D541)</f>
        <v/>
      </c>
      <c r="W542" s="40" t="str">
        <f>IF(Bids!$F541="","",Bids!$F541)</f>
        <v/>
      </c>
      <c r="X542" s="40" t="str">
        <f t="shared" si="5"/>
        <v/>
      </c>
      <c r="Y542" s="40" t="str">
        <f>IF($X542="","",IF(Config!$B$17=Config!$B$16,IF($X542&gt;=Config!$B$17,100,0),MAX(0,MIN(100,($X542-Config!$B$16)/(Config!$B$17-Config!$B$16)*100))))</f>
        <v/>
      </c>
      <c r="Z542" s="40">
        <f>IF($M542="Elite",Config!$B$21,0)</f>
        <v>0</v>
      </c>
      <c r="AA542" s="40" t="str">
        <f>IFERROR(IF(OR($W542="",$H542=""),"",IF($W542&gt;$H542,
  MAX(0, 60-(($W542-$H542)*24/Config!$B$19)*60),
  MIN(100, 60+(($H542-$W542)*24/Config!$B$20)*40)
)),"")
</f>
        <v/>
      </c>
      <c r="AB542" s="40" t="str">
        <f>IF($K542="","",IFERROR(VLOOKUP($K542,Grinders!$A$4:$N$998,10,FALSE)/5*100,""))</f>
        <v/>
      </c>
      <c r="AC542" s="40" t="str">
        <f>IF($K542="","",IFERROR(VLOOKUP($K542,Grinders!$A$4:$N$998,11,FALSE)*100,""))</f>
        <v/>
      </c>
      <c r="AD542" s="40" t="str">
        <f>IF($K542="","",IFERROR(VLOOKUP($K542,Grinders!$A$4:$N$998,12,FALSE)*100,""))</f>
        <v/>
      </c>
      <c r="AE542" s="40">
        <f>IFERROR(IFS(
    OR($C542="", $K542=""), 0,
    $F542=0, 0,
    $D542&lt;&gt;"Open", 0,
    COUNTIFS(GrinderServices!$B$4:$B$998, $K542, GrinderServices!$C$4:$C$998, $E542, GrinderServices!$E$4:$E$998, "Y")=0, 0,
    $X542&lt;Config!$B$16, 0,
    Config!$B$18=1, IF($O542&gt;=N542, 0, 1),
    TRUE, 1
), "")
</f>
        <v>0</v>
      </c>
      <c r="AF542" s="40" t="str">
        <f>IFERROR(IF($AE542=0,"",((Config!$B$6*$Y542 + Config!$B$7*$U542 + Config!$B$8*$Z542 + Config!$B$9*$AA542 + Config!$B$10*$AB542 + Config!$B$11*$AC542 - Config!$B$12*$AD542)/Config!$B$13)+$AK542+$AL542),"")</f>
        <v/>
      </c>
      <c r="AG542" s="40" t="str">
        <f t="shared" si="6"/>
        <v/>
      </c>
      <c r="AH542" s="40" t="str">
        <f t="shared" si="7"/>
        <v/>
      </c>
      <c r="AI542" s="40" t="str">
        <f t="shared" si="8"/>
        <v/>
      </c>
      <c r="AJ542" s="40" t="str">
        <f>IF($K542="","",COUNTIF(Assignments!$B$6:$B$1000,$K542))</f>
        <v/>
      </c>
      <c r="AK542" s="40" t="str">
        <f>IF($K542="","",IF(AND($AJ542=0,$O542&lt;$N542),Config!$B$43,0))</f>
        <v/>
      </c>
      <c r="AL542" s="40" t="str">
        <f>IF($K542="","",IF(AND($M542="Elite",$G542&gt;=Config!$B$41,$O542&lt;$N542),Config!$B$42,0))</f>
        <v/>
      </c>
      <c r="AM542" s="22"/>
    </row>
    <row r="543" ht="15.75" customHeight="1">
      <c r="A543" s="40" t="str">
        <f t="shared" si="1"/>
        <v/>
      </c>
      <c r="B543" s="40" t="str">
        <f>IF(Bids!$A542="","",Bids!$A542)</f>
        <v/>
      </c>
      <c r="C543" s="40" t="str">
        <f>IF(Bids!$B542="","",Bids!$B542)</f>
        <v/>
      </c>
      <c r="D543" s="40" t="str">
        <f>IF($C543="","",IFERROR(VLOOKUP($C543,Orders!$A$4:$J$998,9,FALSE),""))</f>
        <v/>
      </c>
      <c r="E543" s="40" t="str">
        <f>IF($C543="","",IFERROR(VLOOKUP($C543,Orders!$A$4:$J$998,3,FALSE),""))</f>
        <v/>
      </c>
      <c r="F543" s="40">
        <f t="shared" si="2"/>
        <v>1</v>
      </c>
      <c r="G543" s="40" t="str">
        <f>IF($C543="","",IFERROR(VLOOKUP($C543,Orders!$A$4:$J$998,4,FALSE),""))</f>
        <v/>
      </c>
      <c r="H543" s="40" t="str">
        <f>IF($C543="","",IFERROR(VLOOKUP($C543,Orders!$A$4:$J$998,5,FALSE),""))</f>
        <v/>
      </c>
      <c r="I543" s="40" t="str">
        <f>IF($C543="","",IFERROR(VLOOKUP($C543,Orders!$A$4:$J$998,6,FALSE),""))</f>
        <v/>
      </c>
      <c r="J543" s="40" t="str">
        <f>IF($C543="","",IFERROR(VLOOKUP($C543,Orders!$A$4:$J$998,7,FALSE),""))</f>
        <v/>
      </c>
      <c r="K543" s="40" t="str">
        <f>IF(Bids!$C542="","",Bids!$C542)</f>
        <v/>
      </c>
      <c r="L543" s="40" t="str">
        <f>IF($K543="","",IFERROR(VLOOKUP($K543,Grinders!$A$4:$N$998,2,FALSE),""))</f>
        <v/>
      </c>
      <c r="M543" s="40" t="str">
        <f>IF($K543="","",IFERROR(VLOOKUP($K543,Grinders!$A$4:$N$998,3,FALSE),""))</f>
        <v/>
      </c>
      <c r="N543" s="40" t="str">
        <f>IF($K543="","",IFERROR(VLOOKUP($K543,Grinders!$A$4:$N$998,4,FALSE),""))</f>
        <v/>
      </c>
      <c r="O543" s="40" t="str">
        <f>IF($K543="","",IFERROR(VLOOKUP($K543,Grinders!$A$4:$N$998,5,FALSE),""))</f>
        <v/>
      </c>
      <c r="P543" s="40" t="str">
        <f>IF($K543="","",IF($C$4="",0,COUNTIFS(Assignments!$B$6:$B$1000,$K543,Assignments!$F$6:$F$1000,$C$4,Assignments!$E$6:$E$1000,"Active")))</f>
        <v/>
      </c>
      <c r="Q543" s="40" t="str">
        <f t="shared" si="3"/>
        <v/>
      </c>
      <c r="R543" s="40" t="str">
        <f t="shared" si="4"/>
        <v/>
      </c>
      <c r="S543" s="40" t="str">
        <f>IF($K543="","",IF($C$4="",0,COUNTIFS(Assignments!$B$6:$B$1000,$K543,Assignments!$F$6:$F$1000,$C$4,Assignments!$D$6:$D$1000,"&gt;="&amp;Config!$B$3-7,Assignments!$D$6:$D$1000,"&lt;="&amp;Config!$B$3)))</f>
        <v/>
      </c>
      <c r="T543" s="40" t="str">
        <f>IF($K543="","",IFERROR(VLOOKUP($K543,Grinders!$A$4:$N$998,8,FALSE),""))</f>
        <v/>
      </c>
      <c r="U543" s="40" t="str">
        <f>IFERROR(IF($K543="","",IF($M543="Elite",MAX(50,MIN(100,Config!$B$27*MAX(0,MIN(100,(1-IF($R543="",0,$R543))*100)) + Config!$B$28*MAX(0,MIN(100,(1-MIN(1,IF(Config!$B$30=0,1,$S543/Config!$B$30)))*100)) + Config!$B$29*MAX(0,MIN(100,MIN(1,IF($T543="",0,$T543)/Config!$B$23)*100)))),MIN(100,Config!$B$27*MAX(0,MIN(100,(1-IF($R543="",0,$R543))*100)) + Config!$B$28*MAX(0,MIN(100,(1-MIN(1,IF(Config!$B$30=0,1,$S543/Config!$B$30)))*100)) + Config!$B$29*MAX(0,MIN(100,MIN(1,IF($T543="",0,$T543)/Config!$B$23)*100))))),"")
</f>
        <v/>
      </c>
      <c r="V543" s="40" t="str">
        <f>IF(Bids!$D542="","",Bids!$D542)</f>
        <v/>
      </c>
      <c r="W543" s="40" t="str">
        <f>IF(Bids!$F542="","",Bids!$F542)</f>
        <v/>
      </c>
      <c r="X543" s="40" t="str">
        <f t="shared" si="5"/>
        <v/>
      </c>
      <c r="Y543" s="40" t="str">
        <f>IF($X543="","",IF(Config!$B$17=Config!$B$16,IF($X543&gt;=Config!$B$17,100,0),MAX(0,MIN(100,($X543-Config!$B$16)/(Config!$B$17-Config!$B$16)*100))))</f>
        <v/>
      </c>
      <c r="Z543" s="40">
        <f>IF($M543="Elite",Config!$B$21,0)</f>
        <v>0</v>
      </c>
      <c r="AA543" s="40" t="str">
        <f>IFERROR(IF(OR($W543="",$H543=""),"",IF($W543&gt;$H543,
  MAX(0, 60-(($W543-$H543)*24/Config!$B$19)*60),
  MIN(100, 60+(($H543-$W543)*24/Config!$B$20)*40)
)),"")
</f>
        <v/>
      </c>
      <c r="AB543" s="40" t="str">
        <f>IF($K543="","",IFERROR(VLOOKUP($K543,Grinders!$A$4:$N$998,10,FALSE)/5*100,""))</f>
        <v/>
      </c>
      <c r="AC543" s="40" t="str">
        <f>IF($K543="","",IFERROR(VLOOKUP($K543,Grinders!$A$4:$N$998,11,FALSE)*100,""))</f>
        <v/>
      </c>
      <c r="AD543" s="40" t="str">
        <f>IF($K543="","",IFERROR(VLOOKUP($K543,Grinders!$A$4:$N$998,12,FALSE)*100,""))</f>
        <v/>
      </c>
      <c r="AE543" s="40">
        <f>IFERROR(IFS(
    OR($C543="", $K543=""), 0,
    $F543=0, 0,
    $D543&lt;&gt;"Open", 0,
    COUNTIFS(GrinderServices!$B$4:$B$998, $K543, GrinderServices!$C$4:$C$998, $E543, GrinderServices!$E$4:$E$998, "Y")=0, 0,
    $X543&lt;Config!$B$16, 0,
    Config!$B$18=1, IF($O543&gt;=N543, 0, 1),
    TRUE, 1
), "")
</f>
        <v>0</v>
      </c>
      <c r="AF543" s="40" t="str">
        <f>IFERROR(IF($AE543=0,"",((Config!$B$6*$Y543 + Config!$B$7*$U543 + Config!$B$8*$Z543 + Config!$B$9*$AA543 + Config!$B$10*$AB543 + Config!$B$11*$AC543 - Config!$B$12*$AD543)/Config!$B$13)+$AK543+$AL543),"")</f>
        <v/>
      </c>
      <c r="AG543" s="40" t="str">
        <f t="shared" si="6"/>
        <v/>
      </c>
      <c r="AH543" s="40" t="str">
        <f t="shared" si="7"/>
        <v/>
      </c>
      <c r="AI543" s="40" t="str">
        <f t="shared" si="8"/>
        <v/>
      </c>
      <c r="AJ543" s="40" t="str">
        <f>IF($K543="","",COUNTIF(Assignments!$B$6:$B$1000,$K543))</f>
        <v/>
      </c>
      <c r="AK543" s="40" t="str">
        <f>IF($K543="","",IF(AND($AJ543=0,$O543&lt;$N543),Config!$B$43,0))</f>
        <v/>
      </c>
      <c r="AL543" s="40" t="str">
        <f>IF($K543="","",IF(AND($M543="Elite",$G543&gt;=Config!$B$41,$O543&lt;$N543),Config!$B$42,0))</f>
        <v/>
      </c>
      <c r="AM543" s="22"/>
    </row>
    <row r="544" ht="15.75" customHeight="1">
      <c r="A544" s="40" t="str">
        <f t="shared" si="1"/>
        <v/>
      </c>
      <c r="B544" s="40" t="str">
        <f>IF(Bids!$A543="","",Bids!$A543)</f>
        <v/>
      </c>
      <c r="C544" s="40" t="str">
        <f>IF(Bids!$B543="","",Bids!$B543)</f>
        <v/>
      </c>
      <c r="D544" s="40" t="str">
        <f>IF($C544="","",IFERROR(VLOOKUP($C544,Orders!$A$4:$J$998,9,FALSE),""))</f>
        <v/>
      </c>
      <c r="E544" s="40" t="str">
        <f>IF($C544="","",IFERROR(VLOOKUP($C544,Orders!$A$4:$J$998,3,FALSE),""))</f>
        <v/>
      </c>
      <c r="F544" s="40">
        <f t="shared" si="2"/>
        <v>1</v>
      </c>
      <c r="G544" s="40" t="str">
        <f>IF($C544="","",IFERROR(VLOOKUP($C544,Orders!$A$4:$J$998,4,FALSE),""))</f>
        <v/>
      </c>
      <c r="H544" s="40" t="str">
        <f>IF($C544="","",IFERROR(VLOOKUP($C544,Orders!$A$4:$J$998,5,FALSE),""))</f>
        <v/>
      </c>
      <c r="I544" s="40" t="str">
        <f>IF($C544="","",IFERROR(VLOOKUP($C544,Orders!$A$4:$J$998,6,FALSE),""))</f>
        <v/>
      </c>
      <c r="J544" s="40" t="str">
        <f>IF($C544="","",IFERROR(VLOOKUP($C544,Orders!$A$4:$J$998,7,FALSE),""))</f>
        <v/>
      </c>
      <c r="K544" s="40" t="str">
        <f>IF(Bids!$C543="","",Bids!$C543)</f>
        <v/>
      </c>
      <c r="L544" s="40" t="str">
        <f>IF($K544="","",IFERROR(VLOOKUP($K544,Grinders!$A$4:$N$998,2,FALSE),""))</f>
        <v/>
      </c>
      <c r="M544" s="40" t="str">
        <f>IF($K544="","",IFERROR(VLOOKUP($K544,Grinders!$A$4:$N$998,3,FALSE),""))</f>
        <v/>
      </c>
      <c r="N544" s="40" t="str">
        <f>IF($K544="","",IFERROR(VLOOKUP($K544,Grinders!$A$4:$N$998,4,FALSE),""))</f>
        <v/>
      </c>
      <c r="O544" s="40" t="str">
        <f>IF($K544="","",IFERROR(VLOOKUP($K544,Grinders!$A$4:$N$998,5,FALSE),""))</f>
        <v/>
      </c>
      <c r="P544" s="40" t="str">
        <f>IF($K544="","",IF($C$4="",0,COUNTIFS(Assignments!$B$6:$B$1000,$K544,Assignments!$F$6:$F$1000,$C$4,Assignments!$E$6:$E$1000,"Active")))</f>
        <v/>
      </c>
      <c r="Q544" s="40" t="str">
        <f t="shared" si="3"/>
        <v/>
      </c>
      <c r="R544" s="40" t="str">
        <f t="shared" si="4"/>
        <v/>
      </c>
      <c r="S544" s="40" t="str">
        <f>IF($K544="","",IF($C$4="",0,COUNTIFS(Assignments!$B$6:$B$1000,$K544,Assignments!$F$6:$F$1000,$C$4,Assignments!$D$6:$D$1000,"&gt;="&amp;Config!$B$3-7,Assignments!$D$6:$D$1000,"&lt;="&amp;Config!$B$3)))</f>
        <v/>
      </c>
      <c r="T544" s="40" t="str">
        <f>IF($K544="","",IFERROR(VLOOKUP($K544,Grinders!$A$4:$N$998,8,FALSE),""))</f>
        <v/>
      </c>
      <c r="U544" s="40" t="str">
        <f>IFERROR(IF($K544="","",IF($M544="Elite",MAX(50,MIN(100,Config!$B$27*MAX(0,MIN(100,(1-IF($R544="",0,$R544))*100)) + Config!$B$28*MAX(0,MIN(100,(1-MIN(1,IF(Config!$B$30=0,1,$S544/Config!$B$30)))*100)) + Config!$B$29*MAX(0,MIN(100,MIN(1,IF($T544="",0,$T544)/Config!$B$23)*100)))),MIN(100,Config!$B$27*MAX(0,MIN(100,(1-IF($R544="",0,$R544))*100)) + Config!$B$28*MAX(0,MIN(100,(1-MIN(1,IF(Config!$B$30=0,1,$S544/Config!$B$30)))*100)) + Config!$B$29*MAX(0,MIN(100,MIN(1,IF($T544="",0,$T544)/Config!$B$23)*100))))),"")
</f>
        <v/>
      </c>
      <c r="V544" s="40" t="str">
        <f>IF(Bids!$D543="","",Bids!$D543)</f>
        <v/>
      </c>
      <c r="W544" s="40" t="str">
        <f>IF(Bids!$F543="","",Bids!$F543)</f>
        <v/>
      </c>
      <c r="X544" s="40" t="str">
        <f t="shared" si="5"/>
        <v/>
      </c>
      <c r="Y544" s="40" t="str">
        <f>IF($X544="","",IF(Config!$B$17=Config!$B$16,IF($X544&gt;=Config!$B$17,100,0),MAX(0,MIN(100,($X544-Config!$B$16)/(Config!$B$17-Config!$B$16)*100))))</f>
        <v/>
      </c>
      <c r="Z544" s="40">
        <f>IF($M544="Elite",Config!$B$21,0)</f>
        <v>0</v>
      </c>
      <c r="AA544" s="40" t="str">
        <f>IFERROR(IF(OR($W544="",$H544=""),"",IF($W544&gt;$H544,
  MAX(0, 60-(($W544-$H544)*24/Config!$B$19)*60),
  MIN(100, 60+(($H544-$W544)*24/Config!$B$20)*40)
)),"")
</f>
        <v/>
      </c>
      <c r="AB544" s="40" t="str">
        <f>IF($K544="","",IFERROR(VLOOKUP($K544,Grinders!$A$4:$N$998,10,FALSE)/5*100,""))</f>
        <v/>
      </c>
      <c r="AC544" s="40" t="str">
        <f>IF($K544="","",IFERROR(VLOOKUP($K544,Grinders!$A$4:$N$998,11,FALSE)*100,""))</f>
        <v/>
      </c>
      <c r="AD544" s="40" t="str">
        <f>IF($K544="","",IFERROR(VLOOKUP($K544,Grinders!$A$4:$N$998,12,FALSE)*100,""))</f>
        <v/>
      </c>
      <c r="AE544" s="40">
        <f>IFERROR(IFS(
    OR($C544="", $K544=""), 0,
    $F544=0, 0,
    $D544&lt;&gt;"Open", 0,
    COUNTIFS(GrinderServices!$B$4:$B$998, $K544, GrinderServices!$C$4:$C$998, $E544, GrinderServices!$E$4:$E$998, "Y")=0, 0,
    $X544&lt;Config!$B$16, 0,
    Config!$B$18=1, IF($O544&gt;=N544, 0, 1),
    TRUE, 1
), "")
</f>
        <v>0</v>
      </c>
      <c r="AF544" s="40" t="str">
        <f>IFERROR(IF($AE544=0,"",((Config!$B$6*$Y544 + Config!$B$7*$U544 + Config!$B$8*$Z544 + Config!$B$9*$AA544 + Config!$B$10*$AB544 + Config!$B$11*$AC544 - Config!$B$12*$AD544)/Config!$B$13)+$AK544+$AL544),"")</f>
        <v/>
      </c>
      <c r="AG544" s="40" t="str">
        <f t="shared" si="6"/>
        <v/>
      </c>
      <c r="AH544" s="40" t="str">
        <f t="shared" si="7"/>
        <v/>
      </c>
      <c r="AI544" s="40" t="str">
        <f t="shared" si="8"/>
        <v/>
      </c>
      <c r="AJ544" s="40" t="str">
        <f>IF($K544="","",COUNTIF(Assignments!$B$6:$B$1000,$K544))</f>
        <v/>
      </c>
      <c r="AK544" s="40" t="str">
        <f>IF($K544="","",IF(AND($AJ544=0,$O544&lt;$N544),Config!$B$43,0))</f>
        <v/>
      </c>
      <c r="AL544" s="40" t="str">
        <f>IF($K544="","",IF(AND($M544="Elite",$G544&gt;=Config!$B$41,$O544&lt;$N544),Config!$B$42,0))</f>
        <v/>
      </c>
      <c r="AM544" s="22"/>
    </row>
    <row r="545" ht="15.75" customHeight="1">
      <c r="A545" s="40" t="str">
        <f t="shared" si="1"/>
        <v/>
      </c>
      <c r="B545" s="40" t="str">
        <f>IF(Bids!$A544="","",Bids!$A544)</f>
        <v/>
      </c>
      <c r="C545" s="40" t="str">
        <f>IF(Bids!$B544="","",Bids!$B544)</f>
        <v/>
      </c>
      <c r="D545" s="40" t="str">
        <f>IF($C545="","",IFERROR(VLOOKUP($C545,Orders!$A$4:$J$998,9,FALSE),""))</f>
        <v/>
      </c>
      <c r="E545" s="40" t="str">
        <f>IF($C545="","",IFERROR(VLOOKUP($C545,Orders!$A$4:$J$998,3,FALSE),""))</f>
        <v/>
      </c>
      <c r="F545" s="40">
        <f t="shared" si="2"/>
        <v>1</v>
      </c>
      <c r="G545" s="40" t="str">
        <f>IF($C545="","",IFERROR(VLOOKUP($C545,Orders!$A$4:$J$998,4,FALSE),""))</f>
        <v/>
      </c>
      <c r="H545" s="40" t="str">
        <f>IF($C545="","",IFERROR(VLOOKUP($C545,Orders!$A$4:$J$998,5,FALSE),""))</f>
        <v/>
      </c>
      <c r="I545" s="40" t="str">
        <f>IF($C545="","",IFERROR(VLOOKUP($C545,Orders!$A$4:$J$998,6,FALSE),""))</f>
        <v/>
      </c>
      <c r="J545" s="40" t="str">
        <f>IF($C545="","",IFERROR(VLOOKUP($C545,Orders!$A$4:$J$998,7,FALSE),""))</f>
        <v/>
      </c>
      <c r="K545" s="40" t="str">
        <f>IF(Bids!$C544="","",Bids!$C544)</f>
        <v/>
      </c>
      <c r="L545" s="40" t="str">
        <f>IF($K545="","",IFERROR(VLOOKUP($K545,Grinders!$A$4:$N$998,2,FALSE),""))</f>
        <v/>
      </c>
      <c r="M545" s="40" t="str">
        <f>IF($K545="","",IFERROR(VLOOKUP($K545,Grinders!$A$4:$N$998,3,FALSE),""))</f>
        <v/>
      </c>
      <c r="N545" s="40" t="str">
        <f>IF($K545="","",IFERROR(VLOOKUP($K545,Grinders!$A$4:$N$998,4,FALSE),""))</f>
        <v/>
      </c>
      <c r="O545" s="40" t="str">
        <f>IF($K545="","",IFERROR(VLOOKUP($K545,Grinders!$A$4:$N$998,5,FALSE),""))</f>
        <v/>
      </c>
      <c r="P545" s="40" t="str">
        <f>IF($K545="","",IF($C$4="",0,COUNTIFS(Assignments!$B$6:$B$1000,$K545,Assignments!$F$6:$F$1000,$C$4,Assignments!$E$6:$E$1000,"Active")))</f>
        <v/>
      </c>
      <c r="Q545" s="40" t="str">
        <f t="shared" si="3"/>
        <v/>
      </c>
      <c r="R545" s="40" t="str">
        <f t="shared" si="4"/>
        <v/>
      </c>
      <c r="S545" s="40" t="str">
        <f>IF($K545="","",IF($C$4="",0,COUNTIFS(Assignments!$B$6:$B$1000,$K545,Assignments!$F$6:$F$1000,$C$4,Assignments!$D$6:$D$1000,"&gt;="&amp;Config!$B$3-7,Assignments!$D$6:$D$1000,"&lt;="&amp;Config!$B$3)))</f>
        <v/>
      </c>
      <c r="T545" s="40" t="str">
        <f>IF($K545="","",IFERROR(VLOOKUP($K545,Grinders!$A$4:$N$998,8,FALSE),""))</f>
        <v/>
      </c>
      <c r="U545" s="40" t="str">
        <f>IFERROR(IF($K545="","",IF($M545="Elite",MAX(50,MIN(100,Config!$B$27*MAX(0,MIN(100,(1-IF($R545="",0,$R545))*100)) + Config!$B$28*MAX(0,MIN(100,(1-MIN(1,IF(Config!$B$30=0,1,$S545/Config!$B$30)))*100)) + Config!$B$29*MAX(0,MIN(100,MIN(1,IF($T545="",0,$T545)/Config!$B$23)*100)))),MIN(100,Config!$B$27*MAX(0,MIN(100,(1-IF($R545="",0,$R545))*100)) + Config!$B$28*MAX(0,MIN(100,(1-MIN(1,IF(Config!$B$30=0,1,$S545/Config!$B$30)))*100)) + Config!$B$29*MAX(0,MIN(100,MIN(1,IF($T545="",0,$T545)/Config!$B$23)*100))))),"")
</f>
        <v/>
      </c>
      <c r="V545" s="40" t="str">
        <f>IF(Bids!$D544="","",Bids!$D544)</f>
        <v/>
      </c>
      <c r="W545" s="40" t="str">
        <f>IF(Bids!$F544="","",Bids!$F544)</f>
        <v/>
      </c>
      <c r="X545" s="40" t="str">
        <f t="shared" si="5"/>
        <v/>
      </c>
      <c r="Y545" s="40" t="str">
        <f>IF($X545="","",IF(Config!$B$17=Config!$B$16,IF($X545&gt;=Config!$B$17,100,0),MAX(0,MIN(100,($X545-Config!$B$16)/(Config!$B$17-Config!$B$16)*100))))</f>
        <v/>
      </c>
      <c r="Z545" s="40">
        <f>IF($M545="Elite",Config!$B$21,0)</f>
        <v>0</v>
      </c>
      <c r="AA545" s="40" t="str">
        <f>IFERROR(IF(OR($W545="",$H545=""),"",IF($W545&gt;$H545,
  MAX(0, 60-(($W545-$H545)*24/Config!$B$19)*60),
  MIN(100, 60+(($H545-$W545)*24/Config!$B$20)*40)
)),"")
</f>
        <v/>
      </c>
      <c r="AB545" s="40" t="str">
        <f>IF($K545="","",IFERROR(VLOOKUP($K545,Grinders!$A$4:$N$998,10,FALSE)/5*100,""))</f>
        <v/>
      </c>
      <c r="AC545" s="40" t="str">
        <f>IF($K545="","",IFERROR(VLOOKUP($K545,Grinders!$A$4:$N$998,11,FALSE)*100,""))</f>
        <v/>
      </c>
      <c r="AD545" s="40" t="str">
        <f>IF($K545="","",IFERROR(VLOOKUP($K545,Grinders!$A$4:$N$998,12,FALSE)*100,""))</f>
        <v/>
      </c>
      <c r="AE545" s="40">
        <f>IFERROR(IFS(
    OR($C545="", $K545=""), 0,
    $F545=0, 0,
    $D545&lt;&gt;"Open", 0,
    COUNTIFS(GrinderServices!$B$4:$B$998, $K545, GrinderServices!$C$4:$C$998, $E545, GrinderServices!$E$4:$E$998, "Y")=0, 0,
    $X545&lt;Config!$B$16, 0,
    Config!$B$18=1, IF($O545&gt;=N545, 0, 1),
    TRUE, 1
), "")
</f>
        <v>0</v>
      </c>
      <c r="AF545" s="40" t="str">
        <f>IFERROR(IF($AE545=0,"",((Config!$B$6*$Y545 + Config!$B$7*$U545 + Config!$B$8*$Z545 + Config!$B$9*$AA545 + Config!$B$10*$AB545 + Config!$B$11*$AC545 - Config!$B$12*$AD545)/Config!$B$13)+$AK545+$AL545),"")</f>
        <v/>
      </c>
      <c r="AG545" s="40" t="str">
        <f t="shared" si="6"/>
        <v/>
      </c>
      <c r="AH545" s="40" t="str">
        <f t="shared" si="7"/>
        <v/>
      </c>
      <c r="AI545" s="40" t="str">
        <f t="shared" si="8"/>
        <v/>
      </c>
      <c r="AJ545" s="40" t="str">
        <f>IF($K545="","",COUNTIF(Assignments!$B$6:$B$1000,$K545))</f>
        <v/>
      </c>
      <c r="AK545" s="40" t="str">
        <f>IF($K545="","",IF(AND($AJ545=0,$O545&lt;$N545),Config!$B$43,0))</f>
        <v/>
      </c>
      <c r="AL545" s="40" t="str">
        <f>IF($K545="","",IF(AND($M545="Elite",$G545&gt;=Config!$B$41,$O545&lt;$N545),Config!$B$42,0))</f>
        <v/>
      </c>
      <c r="AM545" s="22"/>
    </row>
    <row r="546" ht="15.75" customHeight="1">
      <c r="A546" s="40" t="str">
        <f t="shared" si="1"/>
        <v/>
      </c>
      <c r="B546" s="40" t="str">
        <f>IF(Bids!$A545="","",Bids!$A545)</f>
        <v/>
      </c>
      <c r="C546" s="40" t="str">
        <f>IF(Bids!$B545="","",Bids!$B545)</f>
        <v/>
      </c>
      <c r="D546" s="40" t="str">
        <f>IF($C546="","",IFERROR(VLOOKUP($C546,Orders!$A$4:$J$998,9,FALSE),""))</f>
        <v/>
      </c>
      <c r="E546" s="40" t="str">
        <f>IF($C546="","",IFERROR(VLOOKUP($C546,Orders!$A$4:$J$998,3,FALSE),""))</f>
        <v/>
      </c>
      <c r="F546" s="40">
        <f t="shared" si="2"/>
        <v>1</v>
      </c>
      <c r="G546" s="40" t="str">
        <f>IF($C546="","",IFERROR(VLOOKUP($C546,Orders!$A$4:$J$998,4,FALSE),""))</f>
        <v/>
      </c>
      <c r="H546" s="40" t="str">
        <f>IF($C546="","",IFERROR(VLOOKUP($C546,Orders!$A$4:$J$998,5,FALSE),""))</f>
        <v/>
      </c>
      <c r="I546" s="40" t="str">
        <f>IF($C546="","",IFERROR(VLOOKUP($C546,Orders!$A$4:$J$998,6,FALSE),""))</f>
        <v/>
      </c>
      <c r="J546" s="40" t="str">
        <f>IF($C546="","",IFERROR(VLOOKUP($C546,Orders!$A$4:$J$998,7,FALSE),""))</f>
        <v/>
      </c>
      <c r="K546" s="40" t="str">
        <f>IF(Bids!$C545="","",Bids!$C545)</f>
        <v/>
      </c>
      <c r="L546" s="40" t="str">
        <f>IF($K546="","",IFERROR(VLOOKUP($K546,Grinders!$A$4:$N$998,2,FALSE),""))</f>
        <v/>
      </c>
      <c r="M546" s="40" t="str">
        <f>IF($K546="","",IFERROR(VLOOKUP($K546,Grinders!$A$4:$N$998,3,FALSE),""))</f>
        <v/>
      </c>
      <c r="N546" s="40" t="str">
        <f>IF($K546="","",IFERROR(VLOOKUP($K546,Grinders!$A$4:$N$998,4,FALSE),""))</f>
        <v/>
      </c>
      <c r="O546" s="40" t="str">
        <f>IF($K546="","",IFERROR(VLOOKUP($K546,Grinders!$A$4:$N$998,5,FALSE),""))</f>
        <v/>
      </c>
      <c r="P546" s="40" t="str">
        <f>IF($K546="","",IF($C$4="",0,COUNTIFS(Assignments!$B$6:$B$1000,$K546,Assignments!$F$6:$F$1000,$C$4,Assignments!$E$6:$E$1000,"Active")))</f>
        <v/>
      </c>
      <c r="Q546" s="40" t="str">
        <f t="shared" si="3"/>
        <v/>
      </c>
      <c r="R546" s="40" t="str">
        <f t="shared" si="4"/>
        <v/>
      </c>
      <c r="S546" s="40" t="str">
        <f>IF($K546="","",IF($C$4="",0,COUNTIFS(Assignments!$B$6:$B$1000,$K546,Assignments!$F$6:$F$1000,$C$4,Assignments!$D$6:$D$1000,"&gt;="&amp;Config!$B$3-7,Assignments!$D$6:$D$1000,"&lt;="&amp;Config!$B$3)))</f>
        <v/>
      </c>
      <c r="T546" s="40" t="str">
        <f>IF($K546="","",IFERROR(VLOOKUP($K546,Grinders!$A$4:$N$998,8,FALSE),""))</f>
        <v/>
      </c>
      <c r="U546" s="40" t="str">
        <f>IFERROR(IF($K546="","",IF($M546="Elite",MAX(50,MIN(100,Config!$B$27*MAX(0,MIN(100,(1-IF($R546="",0,$R546))*100)) + Config!$B$28*MAX(0,MIN(100,(1-MIN(1,IF(Config!$B$30=0,1,$S546/Config!$B$30)))*100)) + Config!$B$29*MAX(0,MIN(100,MIN(1,IF($T546="",0,$T546)/Config!$B$23)*100)))),MIN(100,Config!$B$27*MAX(0,MIN(100,(1-IF($R546="",0,$R546))*100)) + Config!$B$28*MAX(0,MIN(100,(1-MIN(1,IF(Config!$B$30=0,1,$S546/Config!$B$30)))*100)) + Config!$B$29*MAX(0,MIN(100,MIN(1,IF($T546="",0,$T546)/Config!$B$23)*100))))),"")
</f>
        <v/>
      </c>
      <c r="V546" s="40" t="str">
        <f>IF(Bids!$D545="","",Bids!$D545)</f>
        <v/>
      </c>
      <c r="W546" s="40" t="str">
        <f>IF(Bids!$F545="","",Bids!$F545)</f>
        <v/>
      </c>
      <c r="X546" s="40" t="str">
        <f t="shared" si="5"/>
        <v/>
      </c>
      <c r="Y546" s="40" t="str">
        <f>IF($X546="","",IF(Config!$B$17=Config!$B$16,IF($X546&gt;=Config!$B$17,100,0),MAX(0,MIN(100,($X546-Config!$B$16)/(Config!$B$17-Config!$B$16)*100))))</f>
        <v/>
      </c>
      <c r="Z546" s="40">
        <f>IF($M546="Elite",Config!$B$21,0)</f>
        <v>0</v>
      </c>
      <c r="AA546" s="40" t="str">
        <f>IFERROR(IF(OR($W546="",$H546=""),"",IF($W546&gt;$H546,
  MAX(0, 60-(($W546-$H546)*24/Config!$B$19)*60),
  MIN(100, 60+(($H546-$W546)*24/Config!$B$20)*40)
)),"")
</f>
        <v/>
      </c>
      <c r="AB546" s="40" t="str">
        <f>IF($K546="","",IFERROR(VLOOKUP($K546,Grinders!$A$4:$N$998,10,FALSE)/5*100,""))</f>
        <v/>
      </c>
      <c r="AC546" s="40" t="str">
        <f>IF($K546="","",IFERROR(VLOOKUP($K546,Grinders!$A$4:$N$998,11,FALSE)*100,""))</f>
        <v/>
      </c>
      <c r="AD546" s="40" t="str">
        <f>IF($K546="","",IFERROR(VLOOKUP($K546,Grinders!$A$4:$N$998,12,FALSE)*100,""))</f>
        <v/>
      </c>
      <c r="AE546" s="40">
        <f>IFERROR(IFS(
    OR($C546="", $K546=""), 0,
    $F546=0, 0,
    $D546&lt;&gt;"Open", 0,
    COUNTIFS(GrinderServices!$B$4:$B$998, $K546, GrinderServices!$C$4:$C$998, $E546, GrinderServices!$E$4:$E$998, "Y")=0, 0,
    $X546&lt;Config!$B$16, 0,
    Config!$B$18=1, IF($O546&gt;=N546, 0, 1),
    TRUE, 1
), "")
</f>
        <v>0</v>
      </c>
      <c r="AF546" s="40" t="str">
        <f>IFERROR(IF($AE546=0,"",((Config!$B$6*$Y546 + Config!$B$7*$U546 + Config!$B$8*$Z546 + Config!$B$9*$AA546 + Config!$B$10*$AB546 + Config!$B$11*$AC546 - Config!$B$12*$AD546)/Config!$B$13)+$AK546+$AL546),"")</f>
        <v/>
      </c>
      <c r="AG546" s="40" t="str">
        <f t="shared" si="6"/>
        <v/>
      </c>
      <c r="AH546" s="40" t="str">
        <f t="shared" si="7"/>
        <v/>
      </c>
      <c r="AI546" s="40" t="str">
        <f t="shared" si="8"/>
        <v/>
      </c>
      <c r="AJ546" s="40" t="str">
        <f>IF($K546="","",COUNTIF(Assignments!$B$6:$B$1000,$K546))</f>
        <v/>
      </c>
      <c r="AK546" s="40" t="str">
        <f>IF($K546="","",IF(AND($AJ546=0,$O546&lt;$N546),Config!$B$43,0))</f>
        <v/>
      </c>
      <c r="AL546" s="40" t="str">
        <f>IF($K546="","",IF(AND($M546="Elite",$G546&gt;=Config!$B$41,$O546&lt;$N546),Config!$B$42,0))</f>
        <v/>
      </c>
      <c r="AM546" s="22"/>
    </row>
    <row r="547" ht="15.75" customHeight="1">
      <c r="A547" s="40" t="str">
        <f t="shared" si="1"/>
        <v/>
      </c>
      <c r="B547" s="40" t="str">
        <f>IF(Bids!$A546="","",Bids!$A546)</f>
        <v/>
      </c>
      <c r="C547" s="40" t="str">
        <f>IF(Bids!$B546="","",Bids!$B546)</f>
        <v/>
      </c>
      <c r="D547" s="40" t="str">
        <f>IF($C547="","",IFERROR(VLOOKUP($C547,Orders!$A$4:$J$998,9,FALSE),""))</f>
        <v/>
      </c>
      <c r="E547" s="40" t="str">
        <f>IF($C547="","",IFERROR(VLOOKUP($C547,Orders!$A$4:$J$998,3,FALSE),""))</f>
        <v/>
      </c>
      <c r="F547" s="40">
        <f t="shared" si="2"/>
        <v>1</v>
      </c>
      <c r="G547" s="40" t="str">
        <f>IF($C547="","",IFERROR(VLOOKUP($C547,Orders!$A$4:$J$998,4,FALSE),""))</f>
        <v/>
      </c>
      <c r="H547" s="40" t="str">
        <f>IF($C547="","",IFERROR(VLOOKUP($C547,Orders!$A$4:$J$998,5,FALSE),""))</f>
        <v/>
      </c>
      <c r="I547" s="40" t="str">
        <f>IF($C547="","",IFERROR(VLOOKUP($C547,Orders!$A$4:$J$998,6,FALSE),""))</f>
        <v/>
      </c>
      <c r="J547" s="40" t="str">
        <f>IF($C547="","",IFERROR(VLOOKUP($C547,Orders!$A$4:$J$998,7,FALSE),""))</f>
        <v/>
      </c>
      <c r="K547" s="40" t="str">
        <f>IF(Bids!$C546="","",Bids!$C546)</f>
        <v/>
      </c>
      <c r="L547" s="40" t="str">
        <f>IF($K547="","",IFERROR(VLOOKUP($K547,Grinders!$A$4:$N$998,2,FALSE),""))</f>
        <v/>
      </c>
      <c r="M547" s="40" t="str">
        <f>IF($K547="","",IFERROR(VLOOKUP($K547,Grinders!$A$4:$N$998,3,FALSE),""))</f>
        <v/>
      </c>
      <c r="N547" s="40" t="str">
        <f>IF($K547="","",IFERROR(VLOOKUP($K547,Grinders!$A$4:$N$998,4,FALSE),""))</f>
        <v/>
      </c>
      <c r="O547" s="40" t="str">
        <f>IF($K547="","",IFERROR(VLOOKUP($K547,Grinders!$A$4:$N$998,5,FALSE),""))</f>
        <v/>
      </c>
      <c r="P547" s="40" t="str">
        <f>IF($K547="","",IF($C$4="",0,COUNTIFS(Assignments!$B$6:$B$1000,$K547,Assignments!$F$6:$F$1000,$C$4,Assignments!$E$6:$E$1000,"Active")))</f>
        <v/>
      </c>
      <c r="Q547" s="40" t="str">
        <f t="shared" si="3"/>
        <v/>
      </c>
      <c r="R547" s="40" t="str">
        <f t="shared" si="4"/>
        <v/>
      </c>
      <c r="S547" s="40" t="str">
        <f>IF($K547="","",IF($C$4="",0,COUNTIFS(Assignments!$B$6:$B$1000,$K547,Assignments!$F$6:$F$1000,$C$4,Assignments!$D$6:$D$1000,"&gt;="&amp;Config!$B$3-7,Assignments!$D$6:$D$1000,"&lt;="&amp;Config!$B$3)))</f>
        <v/>
      </c>
      <c r="T547" s="40" t="str">
        <f>IF($K547="","",IFERROR(VLOOKUP($K547,Grinders!$A$4:$N$998,8,FALSE),""))</f>
        <v/>
      </c>
      <c r="U547" s="40" t="str">
        <f>IFERROR(IF($K547="","",IF($M547="Elite",MAX(50,MIN(100,Config!$B$27*MAX(0,MIN(100,(1-IF($R547="",0,$R547))*100)) + Config!$B$28*MAX(0,MIN(100,(1-MIN(1,IF(Config!$B$30=0,1,$S547/Config!$B$30)))*100)) + Config!$B$29*MAX(0,MIN(100,MIN(1,IF($T547="",0,$T547)/Config!$B$23)*100)))),MIN(100,Config!$B$27*MAX(0,MIN(100,(1-IF($R547="",0,$R547))*100)) + Config!$B$28*MAX(0,MIN(100,(1-MIN(1,IF(Config!$B$30=0,1,$S547/Config!$B$30)))*100)) + Config!$B$29*MAX(0,MIN(100,MIN(1,IF($T547="",0,$T547)/Config!$B$23)*100))))),"")
</f>
        <v/>
      </c>
      <c r="V547" s="40" t="str">
        <f>IF(Bids!$D546="","",Bids!$D546)</f>
        <v/>
      </c>
      <c r="W547" s="40" t="str">
        <f>IF(Bids!$F546="","",Bids!$F546)</f>
        <v/>
      </c>
      <c r="X547" s="40" t="str">
        <f t="shared" si="5"/>
        <v/>
      </c>
      <c r="Y547" s="40" t="str">
        <f>IF($X547="","",IF(Config!$B$17=Config!$B$16,IF($X547&gt;=Config!$B$17,100,0),MAX(0,MIN(100,($X547-Config!$B$16)/(Config!$B$17-Config!$B$16)*100))))</f>
        <v/>
      </c>
      <c r="Z547" s="40">
        <f>IF($M547="Elite",Config!$B$21,0)</f>
        <v>0</v>
      </c>
      <c r="AA547" s="40" t="str">
        <f>IFERROR(IF(OR($W547="",$H547=""),"",IF($W547&gt;$H547,
  MAX(0, 60-(($W547-$H547)*24/Config!$B$19)*60),
  MIN(100, 60+(($H547-$W547)*24/Config!$B$20)*40)
)),"")
</f>
        <v/>
      </c>
      <c r="AB547" s="40" t="str">
        <f>IF($K547="","",IFERROR(VLOOKUP($K547,Grinders!$A$4:$N$998,10,FALSE)/5*100,""))</f>
        <v/>
      </c>
      <c r="AC547" s="40" t="str">
        <f>IF($K547="","",IFERROR(VLOOKUP($K547,Grinders!$A$4:$N$998,11,FALSE)*100,""))</f>
        <v/>
      </c>
      <c r="AD547" s="40" t="str">
        <f>IF($K547="","",IFERROR(VLOOKUP($K547,Grinders!$A$4:$N$998,12,FALSE)*100,""))</f>
        <v/>
      </c>
      <c r="AE547" s="40">
        <f>IFERROR(IFS(
    OR($C547="", $K547=""), 0,
    $F547=0, 0,
    $D547&lt;&gt;"Open", 0,
    COUNTIFS(GrinderServices!$B$4:$B$998, $K547, GrinderServices!$C$4:$C$998, $E547, GrinderServices!$E$4:$E$998, "Y")=0, 0,
    $X547&lt;Config!$B$16, 0,
    Config!$B$18=1, IF($O547&gt;=N547, 0, 1),
    TRUE, 1
), "")
</f>
        <v>0</v>
      </c>
      <c r="AF547" s="40" t="str">
        <f>IFERROR(IF($AE547=0,"",((Config!$B$6*$Y547 + Config!$B$7*$U547 + Config!$B$8*$Z547 + Config!$B$9*$AA547 + Config!$B$10*$AB547 + Config!$B$11*$AC547 - Config!$B$12*$AD547)/Config!$B$13)+$AK547+$AL547),"")</f>
        <v/>
      </c>
      <c r="AG547" s="40" t="str">
        <f t="shared" si="6"/>
        <v/>
      </c>
      <c r="AH547" s="40" t="str">
        <f t="shared" si="7"/>
        <v/>
      </c>
      <c r="AI547" s="40" t="str">
        <f t="shared" si="8"/>
        <v/>
      </c>
      <c r="AJ547" s="40" t="str">
        <f>IF($K547="","",COUNTIF(Assignments!$B$6:$B$1000,$K547))</f>
        <v/>
      </c>
      <c r="AK547" s="40" t="str">
        <f>IF($K547="","",IF(AND($AJ547=0,$O547&lt;$N547),Config!$B$43,0))</f>
        <v/>
      </c>
      <c r="AL547" s="40" t="str">
        <f>IF($K547="","",IF(AND($M547="Elite",$G547&gt;=Config!$B$41,$O547&lt;$N547),Config!$B$42,0))</f>
        <v/>
      </c>
      <c r="AM547" s="22"/>
    </row>
    <row r="548" ht="15.75" customHeight="1">
      <c r="A548" s="40" t="str">
        <f t="shared" si="1"/>
        <v/>
      </c>
      <c r="B548" s="40" t="str">
        <f>IF(Bids!$A547="","",Bids!$A547)</f>
        <v/>
      </c>
      <c r="C548" s="40" t="str">
        <f>IF(Bids!$B547="","",Bids!$B547)</f>
        <v/>
      </c>
      <c r="D548" s="40" t="str">
        <f>IF($C548="","",IFERROR(VLOOKUP($C548,Orders!$A$4:$J$998,9,FALSE),""))</f>
        <v/>
      </c>
      <c r="E548" s="40" t="str">
        <f>IF($C548="","",IFERROR(VLOOKUP($C548,Orders!$A$4:$J$998,3,FALSE),""))</f>
        <v/>
      </c>
      <c r="F548" s="40">
        <f t="shared" si="2"/>
        <v>1</v>
      </c>
      <c r="G548" s="40" t="str">
        <f>IF($C548="","",IFERROR(VLOOKUP($C548,Orders!$A$4:$J$998,4,FALSE),""))</f>
        <v/>
      </c>
      <c r="H548" s="40" t="str">
        <f>IF($C548="","",IFERROR(VLOOKUP($C548,Orders!$A$4:$J$998,5,FALSE),""))</f>
        <v/>
      </c>
      <c r="I548" s="40" t="str">
        <f>IF($C548="","",IFERROR(VLOOKUP($C548,Orders!$A$4:$J$998,6,FALSE),""))</f>
        <v/>
      </c>
      <c r="J548" s="40" t="str">
        <f>IF($C548="","",IFERROR(VLOOKUP($C548,Orders!$A$4:$J$998,7,FALSE),""))</f>
        <v/>
      </c>
      <c r="K548" s="40" t="str">
        <f>IF(Bids!$C547="","",Bids!$C547)</f>
        <v/>
      </c>
      <c r="L548" s="40" t="str">
        <f>IF($K548="","",IFERROR(VLOOKUP($K548,Grinders!$A$4:$N$998,2,FALSE),""))</f>
        <v/>
      </c>
      <c r="M548" s="40" t="str">
        <f>IF($K548="","",IFERROR(VLOOKUP($K548,Grinders!$A$4:$N$998,3,FALSE),""))</f>
        <v/>
      </c>
      <c r="N548" s="40" t="str">
        <f>IF($K548="","",IFERROR(VLOOKUP($K548,Grinders!$A$4:$N$998,4,FALSE),""))</f>
        <v/>
      </c>
      <c r="O548" s="40" t="str">
        <f>IF($K548="","",IFERROR(VLOOKUP($K548,Grinders!$A$4:$N$998,5,FALSE),""))</f>
        <v/>
      </c>
      <c r="P548" s="40" t="str">
        <f>IF($K548="","",IF($C$4="",0,COUNTIFS(Assignments!$B$6:$B$1000,$K548,Assignments!$F$6:$F$1000,$C$4,Assignments!$E$6:$E$1000,"Active")))</f>
        <v/>
      </c>
      <c r="Q548" s="40" t="str">
        <f t="shared" si="3"/>
        <v/>
      </c>
      <c r="R548" s="40" t="str">
        <f t="shared" si="4"/>
        <v/>
      </c>
      <c r="S548" s="40" t="str">
        <f>IF($K548="","",IF($C$4="",0,COUNTIFS(Assignments!$B$6:$B$1000,$K548,Assignments!$F$6:$F$1000,$C$4,Assignments!$D$6:$D$1000,"&gt;="&amp;Config!$B$3-7,Assignments!$D$6:$D$1000,"&lt;="&amp;Config!$B$3)))</f>
        <v/>
      </c>
      <c r="T548" s="40" t="str">
        <f>IF($K548="","",IFERROR(VLOOKUP($K548,Grinders!$A$4:$N$998,8,FALSE),""))</f>
        <v/>
      </c>
      <c r="U548" s="40" t="str">
        <f>IFERROR(IF($K548="","",IF($M548="Elite",MAX(50,MIN(100,Config!$B$27*MAX(0,MIN(100,(1-IF($R548="",0,$R548))*100)) + Config!$B$28*MAX(0,MIN(100,(1-MIN(1,IF(Config!$B$30=0,1,$S548/Config!$B$30)))*100)) + Config!$B$29*MAX(0,MIN(100,MIN(1,IF($T548="",0,$T548)/Config!$B$23)*100)))),MIN(100,Config!$B$27*MAX(0,MIN(100,(1-IF($R548="",0,$R548))*100)) + Config!$B$28*MAX(0,MIN(100,(1-MIN(1,IF(Config!$B$30=0,1,$S548/Config!$B$30)))*100)) + Config!$B$29*MAX(0,MIN(100,MIN(1,IF($T548="",0,$T548)/Config!$B$23)*100))))),"")
</f>
        <v/>
      </c>
      <c r="V548" s="40" t="str">
        <f>IF(Bids!$D547="","",Bids!$D547)</f>
        <v/>
      </c>
      <c r="W548" s="40" t="str">
        <f>IF(Bids!$F547="","",Bids!$F547)</f>
        <v/>
      </c>
      <c r="X548" s="40" t="str">
        <f t="shared" si="5"/>
        <v/>
      </c>
      <c r="Y548" s="40" t="str">
        <f>IF($X548="","",IF(Config!$B$17=Config!$B$16,IF($X548&gt;=Config!$B$17,100,0),MAX(0,MIN(100,($X548-Config!$B$16)/(Config!$B$17-Config!$B$16)*100))))</f>
        <v/>
      </c>
      <c r="Z548" s="40">
        <f>IF($M548="Elite",Config!$B$21,0)</f>
        <v>0</v>
      </c>
      <c r="AA548" s="40" t="str">
        <f>IFERROR(IF(OR($W548="",$H548=""),"",IF($W548&gt;$H548,
  MAX(0, 60-(($W548-$H548)*24/Config!$B$19)*60),
  MIN(100, 60+(($H548-$W548)*24/Config!$B$20)*40)
)),"")
</f>
        <v/>
      </c>
      <c r="AB548" s="40" t="str">
        <f>IF($K548="","",IFERROR(VLOOKUP($K548,Grinders!$A$4:$N$998,10,FALSE)/5*100,""))</f>
        <v/>
      </c>
      <c r="AC548" s="40" t="str">
        <f>IF($K548="","",IFERROR(VLOOKUP($K548,Grinders!$A$4:$N$998,11,FALSE)*100,""))</f>
        <v/>
      </c>
      <c r="AD548" s="40" t="str">
        <f>IF($K548="","",IFERROR(VLOOKUP($K548,Grinders!$A$4:$N$998,12,FALSE)*100,""))</f>
        <v/>
      </c>
      <c r="AE548" s="40">
        <f>IFERROR(IFS(
    OR($C548="", $K548=""), 0,
    $F548=0, 0,
    $D548&lt;&gt;"Open", 0,
    COUNTIFS(GrinderServices!$B$4:$B$998, $K548, GrinderServices!$C$4:$C$998, $E548, GrinderServices!$E$4:$E$998, "Y")=0, 0,
    $X548&lt;Config!$B$16, 0,
    Config!$B$18=1, IF($O548&gt;=N548, 0, 1),
    TRUE, 1
), "")
</f>
        <v>0</v>
      </c>
      <c r="AF548" s="40" t="str">
        <f>IFERROR(IF($AE548=0,"",((Config!$B$6*$Y548 + Config!$B$7*$U548 + Config!$B$8*$Z548 + Config!$B$9*$AA548 + Config!$B$10*$AB548 + Config!$B$11*$AC548 - Config!$B$12*$AD548)/Config!$B$13)+$AK548+$AL548),"")</f>
        <v/>
      </c>
      <c r="AG548" s="40" t="str">
        <f t="shared" si="6"/>
        <v/>
      </c>
      <c r="AH548" s="40" t="str">
        <f t="shared" si="7"/>
        <v/>
      </c>
      <c r="AI548" s="40" t="str">
        <f t="shared" si="8"/>
        <v/>
      </c>
      <c r="AJ548" s="40" t="str">
        <f>IF($K548="","",COUNTIF(Assignments!$B$6:$B$1000,$K548))</f>
        <v/>
      </c>
      <c r="AK548" s="40" t="str">
        <f>IF($K548="","",IF(AND($AJ548=0,$O548&lt;$N548),Config!$B$43,0))</f>
        <v/>
      </c>
      <c r="AL548" s="40" t="str">
        <f>IF($K548="","",IF(AND($M548="Elite",$G548&gt;=Config!$B$41,$O548&lt;$N548),Config!$B$42,0))</f>
        <v/>
      </c>
      <c r="AM548" s="22"/>
    </row>
    <row r="549" ht="15.75" customHeight="1">
      <c r="A549" s="40" t="str">
        <f t="shared" si="1"/>
        <v/>
      </c>
      <c r="B549" s="40" t="str">
        <f>IF(Bids!$A548="","",Bids!$A548)</f>
        <v/>
      </c>
      <c r="C549" s="40" t="str">
        <f>IF(Bids!$B548="","",Bids!$B548)</f>
        <v/>
      </c>
      <c r="D549" s="40" t="str">
        <f>IF($C549="","",IFERROR(VLOOKUP($C549,Orders!$A$4:$J$998,9,FALSE),""))</f>
        <v/>
      </c>
      <c r="E549" s="40" t="str">
        <f>IF($C549="","",IFERROR(VLOOKUP($C549,Orders!$A$4:$J$998,3,FALSE),""))</f>
        <v/>
      </c>
      <c r="F549" s="40">
        <f t="shared" si="2"/>
        <v>1</v>
      </c>
      <c r="G549" s="40" t="str">
        <f>IF($C549="","",IFERROR(VLOOKUP($C549,Orders!$A$4:$J$998,4,FALSE),""))</f>
        <v/>
      </c>
      <c r="H549" s="40" t="str">
        <f>IF($C549="","",IFERROR(VLOOKUP($C549,Orders!$A$4:$J$998,5,FALSE),""))</f>
        <v/>
      </c>
      <c r="I549" s="40" t="str">
        <f>IF($C549="","",IFERROR(VLOOKUP($C549,Orders!$A$4:$J$998,6,FALSE),""))</f>
        <v/>
      </c>
      <c r="J549" s="40" t="str">
        <f>IF($C549="","",IFERROR(VLOOKUP($C549,Orders!$A$4:$J$998,7,FALSE),""))</f>
        <v/>
      </c>
      <c r="K549" s="40" t="str">
        <f>IF(Bids!$C548="","",Bids!$C548)</f>
        <v/>
      </c>
      <c r="L549" s="40" t="str">
        <f>IF($K549="","",IFERROR(VLOOKUP($K549,Grinders!$A$4:$N$998,2,FALSE),""))</f>
        <v/>
      </c>
      <c r="M549" s="40" t="str">
        <f>IF($K549="","",IFERROR(VLOOKUP($K549,Grinders!$A$4:$N$998,3,FALSE),""))</f>
        <v/>
      </c>
      <c r="N549" s="40" t="str">
        <f>IF($K549="","",IFERROR(VLOOKUP($K549,Grinders!$A$4:$N$998,4,FALSE),""))</f>
        <v/>
      </c>
      <c r="O549" s="40" t="str">
        <f>IF($K549="","",IFERROR(VLOOKUP($K549,Grinders!$A$4:$N$998,5,FALSE),""))</f>
        <v/>
      </c>
      <c r="P549" s="40" t="str">
        <f>IF($K549="","",IF($C$4="",0,COUNTIFS(Assignments!$B$6:$B$1000,$K549,Assignments!$F$6:$F$1000,$C$4,Assignments!$E$6:$E$1000,"Active")))</f>
        <v/>
      </c>
      <c r="Q549" s="40" t="str">
        <f t="shared" si="3"/>
        <v/>
      </c>
      <c r="R549" s="40" t="str">
        <f t="shared" si="4"/>
        <v/>
      </c>
      <c r="S549" s="40" t="str">
        <f>IF($K549="","",IF($C$4="",0,COUNTIFS(Assignments!$B$6:$B$1000,$K549,Assignments!$F$6:$F$1000,$C$4,Assignments!$D$6:$D$1000,"&gt;="&amp;Config!$B$3-7,Assignments!$D$6:$D$1000,"&lt;="&amp;Config!$B$3)))</f>
        <v/>
      </c>
      <c r="T549" s="40" t="str">
        <f>IF($K549="","",IFERROR(VLOOKUP($K549,Grinders!$A$4:$N$998,8,FALSE),""))</f>
        <v/>
      </c>
      <c r="U549" s="40" t="str">
        <f>IFERROR(IF($K549="","",IF($M549="Elite",MAX(50,MIN(100,Config!$B$27*MAX(0,MIN(100,(1-IF($R549="",0,$R549))*100)) + Config!$B$28*MAX(0,MIN(100,(1-MIN(1,IF(Config!$B$30=0,1,$S549/Config!$B$30)))*100)) + Config!$B$29*MAX(0,MIN(100,MIN(1,IF($T549="",0,$T549)/Config!$B$23)*100)))),MIN(100,Config!$B$27*MAX(0,MIN(100,(1-IF($R549="",0,$R549))*100)) + Config!$B$28*MAX(0,MIN(100,(1-MIN(1,IF(Config!$B$30=0,1,$S549/Config!$B$30)))*100)) + Config!$B$29*MAX(0,MIN(100,MIN(1,IF($T549="",0,$T549)/Config!$B$23)*100))))),"")
</f>
        <v/>
      </c>
      <c r="V549" s="40" t="str">
        <f>IF(Bids!$D548="","",Bids!$D548)</f>
        <v/>
      </c>
      <c r="W549" s="40" t="str">
        <f>IF(Bids!$F548="","",Bids!$F548)</f>
        <v/>
      </c>
      <c r="X549" s="40" t="str">
        <f t="shared" si="5"/>
        <v/>
      </c>
      <c r="Y549" s="40" t="str">
        <f>IF($X549="","",IF(Config!$B$17=Config!$B$16,IF($X549&gt;=Config!$B$17,100,0),MAX(0,MIN(100,($X549-Config!$B$16)/(Config!$B$17-Config!$B$16)*100))))</f>
        <v/>
      </c>
      <c r="Z549" s="40">
        <f>IF($M549="Elite",Config!$B$21,0)</f>
        <v>0</v>
      </c>
      <c r="AA549" s="40" t="str">
        <f>IFERROR(IF(OR($W549="",$H549=""),"",IF($W549&gt;$H549,
  MAX(0, 60-(($W549-$H549)*24/Config!$B$19)*60),
  MIN(100, 60+(($H549-$W549)*24/Config!$B$20)*40)
)),"")
</f>
        <v/>
      </c>
      <c r="AB549" s="40" t="str">
        <f>IF($K549="","",IFERROR(VLOOKUP($K549,Grinders!$A$4:$N$998,10,FALSE)/5*100,""))</f>
        <v/>
      </c>
      <c r="AC549" s="40" t="str">
        <f>IF($K549="","",IFERROR(VLOOKUP($K549,Grinders!$A$4:$N$998,11,FALSE)*100,""))</f>
        <v/>
      </c>
      <c r="AD549" s="40" t="str">
        <f>IF($K549="","",IFERROR(VLOOKUP($K549,Grinders!$A$4:$N$998,12,FALSE)*100,""))</f>
        <v/>
      </c>
      <c r="AE549" s="40">
        <f>IFERROR(IFS(
    OR($C549="", $K549=""), 0,
    $F549=0, 0,
    $D549&lt;&gt;"Open", 0,
    COUNTIFS(GrinderServices!$B$4:$B$998, $K549, GrinderServices!$C$4:$C$998, $E549, GrinderServices!$E$4:$E$998, "Y")=0, 0,
    $X549&lt;Config!$B$16, 0,
    Config!$B$18=1, IF($O549&gt;=N549, 0, 1),
    TRUE, 1
), "")
</f>
        <v>0</v>
      </c>
      <c r="AF549" s="40" t="str">
        <f>IFERROR(IF($AE549=0,"",((Config!$B$6*$Y549 + Config!$B$7*$U549 + Config!$B$8*$Z549 + Config!$B$9*$AA549 + Config!$B$10*$AB549 + Config!$B$11*$AC549 - Config!$B$12*$AD549)/Config!$B$13)+$AK549+$AL549),"")</f>
        <v/>
      </c>
      <c r="AG549" s="40" t="str">
        <f t="shared" si="6"/>
        <v/>
      </c>
      <c r="AH549" s="40" t="str">
        <f t="shared" si="7"/>
        <v/>
      </c>
      <c r="AI549" s="40" t="str">
        <f t="shared" si="8"/>
        <v/>
      </c>
      <c r="AJ549" s="40" t="str">
        <f>IF($K549="","",COUNTIF(Assignments!$B$6:$B$1000,$K549))</f>
        <v/>
      </c>
      <c r="AK549" s="40" t="str">
        <f>IF($K549="","",IF(AND($AJ549=0,$O549&lt;$N549),Config!$B$43,0))</f>
        <v/>
      </c>
      <c r="AL549" s="40" t="str">
        <f>IF($K549="","",IF(AND($M549="Elite",$G549&gt;=Config!$B$41,$O549&lt;$N549),Config!$B$42,0))</f>
        <v/>
      </c>
      <c r="AM549" s="22"/>
    </row>
    <row r="550" ht="15.75" customHeight="1">
      <c r="A550" s="40" t="str">
        <f t="shared" si="1"/>
        <v/>
      </c>
      <c r="B550" s="40" t="str">
        <f>IF(Bids!$A549="","",Bids!$A549)</f>
        <v/>
      </c>
      <c r="C550" s="40" t="str">
        <f>IF(Bids!$B549="","",Bids!$B549)</f>
        <v/>
      </c>
      <c r="D550" s="40" t="str">
        <f>IF($C550="","",IFERROR(VLOOKUP($C550,Orders!$A$4:$J$998,9,FALSE),""))</f>
        <v/>
      </c>
      <c r="E550" s="40" t="str">
        <f>IF($C550="","",IFERROR(VLOOKUP($C550,Orders!$A$4:$J$998,3,FALSE),""))</f>
        <v/>
      </c>
      <c r="F550" s="40">
        <f t="shared" si="2"/>
        <v>1</v>
      </c>
      <c r="G550" s="40" t="str">
        <f>IF($C550="","",IFERROR(VLOOKUP($C550,Orders!$A$4:$J$998,4,FALSE),""))</f>
        <v/>
      </c>
      <c r="H550" s="40" t="str">
        <f>IF($C550="","",IFERROR(VLOOKUP($C550,Orders!$A$4:$J$998,5,FALSE),""))</f>
        <v/>
      </c>
      <c r="I550" s="40" t="str">
        <f>IF($C550="","",IFERROR(VLOOKUP($C550,Orders!$A$4:$J$998,6,FALSE),""))</f>
        <v/>
      </c>
      <c r="J550" s="40" t="str">
        <f>IF($C550="","",IFERROR(VLOOKUP($C550,Orders!$A$4:$J$998,7,FALSE),""))</f>
        <v/>
      </c>
      <c r="K550" s="40" t="str">
        <f>IF(Bids!$C549="","",Bids!$C549)</f>
        <v/>
      </c>
      <c r="L550" s="40" t="str">
        <f>IF($K550="","",IFERROR(VLOOKUP($K550,Grinders!$A$4:$N$998,2,FALSE),""))</f>
        <v/>
      </c>
      <c r="M550" s="40" t="str">
        <f>IF($K550="","",IFERROR(VLOOKUP($K550,Grinders!$A$4:$N$998,3,FALSE),""))</f>
        <v/>
      </c>
      <c r="N550" s="40" t="str">
        <f>IF($K550="","",IFERROR(VLOOKUP($K550,Grinders!$A$4:$N$998,4,FALSE),""))</f>
        <v/>
      </c>
      <c r="O550" s="40" t="str">
        <f>IF($K550="","",IFERROR(VLOOKUP($K550,Grinders!$A$4:$N$998,5,FALSE),""))</f>
        <v/>
      </c>
      <c r="P550" s="40" t="str">
        <f>IF($K550="","",IF($C$4="",0,COUNTIFS(Assignments!$B$6:$B$1000,$K550,Assignments!$F$6:$F$1000,$C$4,Assignments!$E$6:$E$1000,"Active")))</f>
        <v/>
      </c>
      <c r="Q550" s="40" t="str">
        <f t="shared" si="3"/>
        <v/>
      </c>
      <c r="R550" s="40" t="str">
        <f t="shared" si="4"/>
        <v/>
      </c>
      <c r="S550" s="40" t="str">
        <f>IF($K550="","",IF($C$4="",0,COUNTIFS(Assignments!$B$6:$B$1000,$K550,Assignments!$F$6:$F$1000,$C$4,Assignments!$D$6:$D$1000,"&gt;="&amp;Config!$B$3-7,Assignments!$D$6:$D$1000,"&lt;="&amp;Config!$B$3)))</f>
        <v/>
      </c>
      <c r="T550" s="40" t="str">
        <f>IF($K550="","",IFERROR(VLOOKUP($K550,Grinders!$A$4:$N$998,8,FALSE),""))</f>
        <v/>
      </c>
      <c r="U550" s="40" t="str">
        <f>IFERROR(IF($K550="","",IF($M550="Elite",MAX(50,MIN(100,Config!$B$27*MAX(0,MIN(100,(1-IF($R550="",0,$R550))*100)) + Config!$B$28*MAX(0,MIN(100,(1-MIN(1,IF(Config!$B$30=0,1,$S550/Config!$B$30)))*100)) + Config!$B$29*MAX(0,MIN(100,MIN(1,IF($T550="",0,$T550)/Config!$B$23)*100)))),MIN(100,Config!$B$27*MAX(0,MIN(100,(1-IF($R550="",0,$R550))*100)) + Config!$B$28*MAX(0,MIN(100,(1-MIN(1,IF(Config!$B$30=0,1,$S550/Config!$B$30)))*100)) + Config!$B$29*MAX(0,MIN(100,MIN(1,IF($T550="",0,$T550)/Config!$B$23)*100))))),"")
</f>
        <v/>
      </c>
      <c r="V550" s="40" t="str">
        <f>IF(Bids!$D549="","",Bids!$D549)</f>
        <v/>
      </c>
      <c r="W550" s="40" t="str">
        <f>IF(Bids!$F549="","",Bids!$F549)</f>
        <v/>
      </c>
      <c r="X550" s="40" t="str">
        <f t="shared" si="5"/>
        <v/>
      </c>
      <c r="Y550" s="40" t="str">
        <f>IF($X550="","",IF(Config!$B$17=Config!$B$16,IF($X550&gt;=Config!$B$17,100,0),MAX(0,MIN(100,($X550-Config!$B$16)/(Config!$B$17-Config!$B$16)*100))))</f>
        <v/>
      </c>
      <c r="Z550" s="40">
        <f>IF($M550="Elite",Config!$B$21,0)</f>
        <v>0</v>
      </c>
      <c r="AA550" s="40" t="str">
        <f>IFERROR(IF(OR($W550="",$H550=""),"",IF($W550&gt;$H550,
  MAX(0, 60-(($W550-$H550)*24/Config!$B$19)*60),
  MIN(100, 60+(($H550-$W550)*24/Config!$B$20)*40)
)),"")
</f>
        <v/>
      </c>
      <c r="AB550" s="40" t="str">
        <f>IF($K550="","",IFERROR(VLOOKUP($K550,Grinders!$A$4:$N$998,10,FALSE)/5*100,""))</f>
        <v/>
      </c>
      <c r="AC550" s="40" t="str">
        <f>IF($K550="","",IFERROR(VLOOKUP($K550,Grinders!$A$4:$N$998,11,FALSE)*100,""))</f>
        <v/>
      </c>
      <c r="AD550" s="40" t="str">
        <f>IF($K550="","",IFERROR(VLOOKUP($K550,Grinders!$A$4:$N$998,12,FALSE)*100,""))</f>
        <v/>
      </c>
      <c r="AE550" s="40">
        <f>IFERROR(IFS(
    OR($C550="", $K550=""), 0,
    $F550=0, 0,
    $D550&lt;&gt;"Open", 0,
    COUNTIFS(GrinderServices!$B$4:$B$998, $K550, GrinderServices!$C$4:$C$998, $E550, GrinderServices!$E$4:$E$998, "Y")=0, 0,
    $X550&lt;Config!$B$16, 0,
    Config!$B$18=1, IF($O550&gt;=N550, 0, 1),
    TRUE, 1
), "")
</f>
        <v>0</v>
      </c>
      <c r="AF550" s="40" t="str">
        <f>IFERROR(IF($AE550=0,"",((Config!$B$6*$Y550 + Config!$B$7*$U550 + Config!$B$8*$Z550 + Config!$B$9*$AA550 + Config!$B$10*$AB550 + Config!$B$11*$AC550 - Config!$B$12*$AD550)/Config!$B$13)+$AK550+$AL550),"")</f>
        <v/>
      </c>
      <c r="AG550" s="40" t="str">
        <f t="shared" si="6"/>
        <v/>
      </c>
      <c r="AH550" s="40" t="str">
        <f t="shared" si="7"/>
        <v/>
      </c>
      <c r="AI550" s="40" t="str">
        <f t="shared" si="8"/>
        <v/>
      </c>
      <c r="AJ550" s="40" t="str">
        <f>IF($K550="","",COUNTIF(Assignments!$B$6:$B$1000,$K550))</f>
        <v/>
      </c>
      <c r="AK550" s="40" t="str">
        <f>IF($K550="","",IF(AND($AJ550=0,$O550&lt;$N550),Config!$B$43,0))</f>
        <v/>
      </c>
      <c r="AL550" s="40" t="str">
        <f>IF($K550="","",IF(AND($M550="Elite",$G550&gt;=Config!$B$41,$O550&lt;$N550),Config!$B$42,0))</f>
        <v/>
      </c>
      <c r="AM550" s="22"/>
    </row>
    <row r="551" ht="15.75" customHeight="1">
      <c r="A551" s="40" t="str">
        <f t="shared" si="1"/>
        <v/>
      </c>
      <c r="B551" s="40" t="str">
        <f>IF(Bids!$A550="","",Bids!$A550)</f>
        <v/>
      </c>
      <c r="C551" s="40" t="str">
        <f>IF(Bids!$B550="","",Bids!$B550)</f>
        <v/>
      </c>
      <c r="D551" s="40" t="str">
        <f>IF($C551="","",IFERROR(VLOOKUP($C551,Orders!$A$4:$J$998,9,FALSE),""))</f>
        <v/>
      </c>
      <c r="E551" s="40" t="str">
        <f>IF($C551="","",IFERROR(VLOOKUP($C551,Orders!$A$4:$J$998,3,FALSE),""))</f>
        <v/>
      </c>
      <c r="F551" s="40">
        <f t="shared" si="2"/>
        <v>1</v>
      </c>
      <c r="G551" s="40" t="str">
        <f>IF($C551="","",IFERROR(VLOOKUP($C551,Orders!$A$4:$J$998,4,FALSE),""))</f>
        <v/>
      </c>
      <c r="H551" s="40" t="str">
        <f>IF($C551="","",IFERROR(VLOOKUP($C551,Orders!$A$4:$J$998,5,FALSE),""))</f>
        <v/>
      </c>
      <c r="I551" s="40" t="str">
        <f>IF($C551="","",IFERROR(VLOOKUP($C551,Orders!$A$4:$J$998,6,FALSE),""))</f>
        <v/>
      </c>
      <c r="J551" s="40" t="str">
        <f>IF($C551="","",IFERROR(VLOOKUP($C551,Orders!$A$4:$J$998,7,FALSE),""))</f>
        <v/>
      </c>
      <c r="K551" s="40" t="str">
        <f>IF(Bids!$C550="","",Bids!$C550)</f>
        <v/>
      </c>
      <c r="L551" s="40" t="str">
        <f>IF($K551="","",IFERROR(VLOOKUP($K551,Grinders!$A$4:$N$998,2,FALSE),""))</f>
        <v/>
      </c>
      <c r="M551" s="40" t="str">
        <f>IF($K551="","",IFERROR(VLOOKUP($K551,Grinders!$A$4:$N$998,3,FALSE),""))</f>
        <v/>
      </c>
      <c r="N551" s="40" t="str">
        <f>IF($K551="","",IFERROR(VLOOKUP($K551,Grinders!$A$4:$N$998,4,FALSE),""))</f>
        <v/>
      </c>
      <c r="O551" s="40" t="str">
        <f>IF($K551="","",IFERROR(VLOOKUP($K551,Grinders!$A$4:$N$998,5,FALSE),""))</f>
        <v/>
      </c>
      <c r="P551" s="40" t="str">
        <f>IF($K551="","",IF($C$4="",0,COUNTIFS(Assignments!$B$6:$B$1000,$K551,Assignments!$F$6:$F$1000,$C$4,Assignments!$E$6:$E$1000,"Active")))</f>
        <v/>
      </c>
      <c r="Q551" s="40" t="str">
        <f t="shared" si="3"/>
        <v/>
      </c>
      <c r="R551" s="40" t="str">
        <f t="shared" si="4"/>
        <v/>
      </c>
      <c r="S551" s="40" t="str">
        <f>IF($K551="","",IF($C$4="",0,COUNTIFS(Assignments!$B$6:$B$1000,$K551,Assignments!$F$6:$F$1000,$C$4,Assignments!$D$6:$D$1000,"&gt;="&amp;Config!$B$3-7,Assignments!$D$6:$D$1000,"&lt;="&amp;Config!$B$3)))</f>
        <v/>
      </c>
      <c r="T551" s="40" t="str">
        <f>IF($K551="","",IFERROR(VLOOKUP($K551,Grinders!$A$4:$N$998,8,FALSE),""))</f>
        <v/>
      </c>
      <c r="U551" s="40" t="str">
        <f>IFERROR(IF($K551="","",IF($M551="Elite",MAX(50,MIN(100,Config!$B$27*MAX(0,MIN(100,(1-IF($R551="",0,$R551))*100)) + Config!$B$28*MAX(0,MIN(100,(1-MIN(1,IF(Config!$B$30=0,1,$S551/Config!$B$30)))*100)) + Config!$B$29*MAX(0,MIN(100,MIN(1,IF($T551="",0,$T551)/Config!$B$23)*100)))),MIN(100,Config!$B$27*MAX(0,MIN(100,(1-IF($R551="",0,$R551))*100)) + Config!$B$28*MAX(0,MIN(100,(1-MIN(1,IF(Config!$B$30=0,1,$S551/Config!$B$30)))*100)) + Config!$B$29*MAX(0,MIN(100,MIN(1,IF($T551="",0,$T551)/Config!$B$23)*100))))),"")
</f>
        <v/>
      </c>
      <c r="V551" s="40" t="str">
        <f>IF(Bids!$D550="","",Bids!$D550)</f>
        <v/>
      </c>
      <c r="W551" s="40" t="str">
        <f>IF(Bids!$F550="","",Bids!$F550)</f>
        <v/>
      </c>
      <c r="X551" s="40" t="str">
        <f t="shared" si="5"/>
        <v/>
      </c>
      <c r="Y551" s="40" t="str">
        <f>IF($X551="","",IF(Config!$B$17=Config!$B$16,IF($X551&gt;=Config!$B$17,100,0),MAX(0,MIN(100,($X551-Config!$B$16)/(Config!$B$17-Config!$B$16)*100))))</f>
        <v/>
      </c>
      <c r="Z551" s="40">
        <f>IF($M551="Elite",Config!$B$21,0)</f>
        <v>0</v>
      </c>
      <c r="AA551" s="40" t="str">
        <f>IFERROR(IF(OR($W551="",$H551=""),"",IF($W551&gt;$H551,
  MAX(0, 60-(($W551-$H551)*24/Config!$B$19)*60),
  MIN(100, 60+(($H551-$W551)*24/Config!$B$20)*40)
)),"")
</f>
        <v/>
      </c>
      <c r="AB551" s="40" t="str">
        <f>IF($K551="","",IFERROR(VLOOKUP($K551,Grinders!$A$4:$N$998,10,FALSE)/5*100,""))</f>
        <v/>
      </c>
      <c r="AC551" s="40" t="str">
        <f>IF($K551="","",IFERROR(VLOOKUP($K551,Grinders!$A$4:$N$998,11,FALSE)*100,""))</f>
        <v/>
      </c>
      <c r="AD551" s="40" t="str">
        <f>IF($K551="","",IFERROR(VLOOKUP($K551,Grinders!$A$4:$N$998,12,FALSE)*100,""))</f>
        <v/>
      </c>
      <c r="AE551" s="40">
        <f>IFERROR(IFS(
    OR($C551="", $K551=""), 0,
    $F551=0, 0,
    $D551&lt;&gt;"Open", 0,
    COUNTIFS(GrinderServices!$B$4:$B$998, $K551, GrinderServices!$C$4:$C$998, $E551, GrinderServices!$E$4:$E$998, "Y")=0, 0,
    $X551&lt;Config!$B$16, 0,
    Config!$B$18=1, IF($O551&gt;=N551, 0, 1),
    TRUE, 1
), "")
</f>
        <v>0</v>
      </c>
      <c r="AF551" s="40" t="str">
        <f>IFERROR(IF($AE551=0,"",((Config!$B$6*$Y551 + Config!$B$7*$U551 + Config!$B$8*$Z551 + Config!$B$9*$AA551 + Config!$B$10*$AB551 + Config!$B$11*$AC551 - Config!$B$12*$AD551)/Config!$B$13)+$AK551+$AL551),"")</f>
        <v/>
      </c>
      <c r="AG551" s="40" t="str">
        <f t="shared" si="6"/>
        <v/>
      </c>
      <c r="AH551" s="40" t="str">
        <f t="shared" si="7"/>
        <v/>
      </c>
      <c r="AI551" s="40" t="str">
        <f t="shared" si="8"/>
        <v/>
      </c>
      <c r="AJ551" s="40" t="str">
        <f>IF($K551="","",COUNTIF(Assignments!$B$6:$B$1000,$K551))</f>
        <v/>
      </c>
      <c r="AK551" s="40" t="str">
        <f>IF($K551="","",IF(AND($AJ551=0,$O551&lt;$N551),Config!$B$43,0))</f>
        <v/>
      </c>
      <c r="AL551" s="40" t="str">
        <f>IF($K551="","",IF(AND($M551="Elite",$G551&gt;=Config!$B$41,$O551&lt;$N551),Config!$B$42,0))</f>
        <v/>
      </c>
      <c r="AM551" s="22"/>
    </row>
    <row r="552" ht="15.75" customHeight="1">
      <c r="A552" s="40" t="str">
        <f t="shared" si="1"/>
        <v/>
      </c>
      <c r="B552" s="40" t="str">
        <f>IF(Bids!$A551="","",Bids!$A551)</f>
        <v/>
      </c>
      <c r="C552" s="40" t="str">
        <f>IF(Bids!$B551="","",Bids!$B551)</f>
        <v/>
      </c>
      <c r="D552" s="40" t="str">
        <f>IF($C552="","",IFERROR(VLOOKUP($C552,Orders!$A$4:$J$998,9,FALSE),""))</f>
        <v/>
      </c>
      <c r="E552" s="40" t="str">
        <f>IF($C552="","",IFERROR(VLOOKUP($C552,Orders!$A$4:$J$998,3,FALSE),""))</f>
        <v/>
      </c>
      <c r="F552" s="40">
        <f t="shared" si="2"/>
        <v>1</v>
      </c>
      <c r="G552" s="40" t="str">
        <f>IF($C552="","",IFERROR(VLOOKUP($C552,Orders!$A$4:$J$998,4,FALSE),""))</f>
        <v/>
      </c>
      <c r="H552" s="40" t="str">
        <f>IF($C552="","",IFERROR(VLOOKUP($C552,Orders!$A$4:$J$998,5,FALSE),""))</f>
        <v/>
      </c>
      <c r="I552" s="40" t="str">
        <f>IF($C552="","",IFERROR(VLOOKUP($C552,Orders!$A$4:$J$998,6,FALSE),""))</f>
        <v/>
      </c>
      <c r="J552" s="40" t="str">
        <f>IF($C552="","",IFERROR(VLOOKUP($C552,Orders!$A$4:$J$998,7,FALSE),""))</f>
        <v/>
      </c>
      <c r="K552" s="40" t="str">
        <f>IF(Bids!$C551="","",Bids!$C551)</f>
        <v/>
      </c>
      <c r="L552" s="40" t="str">
        <f>IF($K552="","",IFERROR(VLOOKUP($K552,Grinders!$A$4:$N$998,2,FALSE),""))</f>
        <v/>
      </c>
      <c r="M552" s="40" t="str">
        <f>IF($K552="","",IFERROR(VLOOKUP($K552,Grinders!$A$4:$N$998,3,FALSE),""))</f>
        <v/>
      </c>
      <c r="N552" s="40" t="str">
        <f>IF($K552="","",IFERROR(VLOOKUP($K552,Grinders!$A$4:$N$998,4,FALSE),""))</f>
        <v/>
      </c>
      <c r="O552" s="40" t="str">
        <f>IF($K552="","",IFERROR(VLOOKUP($K552,Grinders!$A$4:$N$998,5,FALSE),""))</f>
        <v/>
      </c>
      <c r="P552" s="40" t="str">
        <f>IF($K552="","",IF($C$4="",0,COUNTIFS(Assignments!$B$6:$B$1000,$K552,Assignments!$F$6:$F$1000,$C$4,Assignments!$E$6:$E$1000,"Active")))</f>
        <v/>
      </c>
      <c r="Q552" s="40" t="str">
        <f t="shared" si="3"/>
        <v/>
      </c>
      <c r="R552" s="40" t="str">
        <f t="shared" si="4"/>
        <v/>
      </c>
      <c r="S552" s="40" t="str">
        <f>IF($K552="","",IF($C$4="",0,COUNTIFS(Assignments!$B$6:$B$1000,$K552,Assignments!$F$6:$F$1000,$C$4,Assignments!$D$6:$D$1000,"&gt;="&amp;Config!$B$3-7,Assignments!$D$6:$D$1000,"&lt;="&amp;Config!$B$3)))</f>
        <v/>
      </c>
      <c r="T552" s="40" t="str">
        <f>IF($K552="","",IFERROR(VLOOKUP($K552,Grinders!$A$4:$N$998,8,FALSE),""))</f>
        <v/>
      </c>
      <c r="U552" s="40" t="str">
        <f>IFERROR(IF($K552="","",IF($M552="Elite",MAX(50,MIN(100,Config!$B$27*MAX(0,MIN(100,(1-IF($R552="",0,$R552))*100)) + Config!$B$28*MAX(0,MIN(100,(1-MIN(1,IF(Config!$B$30=0,1,$S552/Config!$B$30)))*100)) + Config!$B$29*MAX(0,MIN(100,MIN(1,IF($T552="",0,$T552)/Config!$B$23)*100)))),MIN(100,Config!$B$27*MAX(0,MIN(100,(1-IF($R552="",0,$R552))*100)) + Config!$B$28*MAX(0,MIN(100,(1-MIN(1,IF(Config!$B$30=0,1,$S552/Config!$B$30)))*100)) + Config!$B$29*MAX(0,MIN(100,MIN(1,IF($T552="",0,$T552)/Config!$B$23)*100))))),"")
</f>
        <v/>
      </c>
      <c r="V552" s="40" t="str">
        <f>IF(Bids!$D551="","",Bids!$D551)</f>
        <v/>
      </c>
      <c r="W552" s="40" t="str">
        <f>IF(Bids!$F551="","",Bids!$F551)</f>
        <v/>
      </c>
      <c r="X552" s="40" t="str">
        <f t="shared" si="5"/>
        <v/>
      </c>
      <c r="Y552" s="40" t="str">
        <f>IF($X552="","",IF(Config!$B$17=Config!$B$16,IF($X552&gt;=Config!$B$17,100,0),MAX(0,MIN(100,($X552-Config!$B$16)/(Config!$B$17-Config!$B$16)*100))))</f>
        <v/>
      </c>
      <c r="Z552" s="40">
        <f>IF($M552="Elite",Config!$B$21,0)</f>
        <v>0</v>
      </c>
      <c r="AA552" s="40" t="str">
        <f>IFERROR(IF(OR($W552="",$H552=""),"",IF($W552&gt;$H552,
  MAX(0, 60-(($W552-$H552)*24/Config!$B$19)*60),
  MIN(100, 60+(($H552-$W552)*24/Config!$B$20)*40)
)),"")
</f>
        <v/>
      </c>
      <c r="AB552" s="40" t="str">
        <f>IF($K552="","",IFERROR(VLOOKUP($K552,Grinders!$A$4:$N$998,10,FALSE)/5*100,""))</f>
        <v/>
      </c>
      <c r="AC552" s="40" t="str">
        <f>IF($K552="","",IFERROR(VLOOKUP($K552,Grinders!$A$4:$N$998,11,FALSE)*100,""))</f>
        <v/>
      </c>
      <c r="AD552" s="40" t="str">
        <f>IF($K552="","",IFERROR(VLOOKUP($K552,Grinders!$A$4:$N$998,12,FALSE)*100,""))</f>
        <v/>
      </c>
      <c r="AE552" s="40">
        <f>IFERROR(IFS(
    OR($C552="", $K552=""), 0,
    $F552=0, 0,
    $D552&lt;&gt;"Open", 0,
    COUNTIFS(GrinderServices!$B$4:$B$998, $K552, GrinderServices!$C$4:$C$998, $E552, GrinderServices!$E$4:$E$998, "Y")=0, 0,
    $X552&lt;Config!$B$16, 0,
    Config!$B$18=1, IF($O552&gt;=N552, 0, 1),
    TRUE, 1
), "")
</f>
        <v>0</v>
      </c>
      <c r="AF552" s="40" t="str">
        <f>IFERROR(IF($AE552=0,"",((Config!$B$6*$Y552 + Config!$B$7*$U552 + Config!$B$8*$Z552 + Config!$B$9*$AA552 + Config!$B$10*$AB552 + Config!$B$11*$AC552 - Config!$B$12*$AD552)/Config!$B$13)+$AK552+$AL552),"")</f>
        <v/>
      </c>
      <c r="AG552" s="40" t="str">
        <f t="shared" si="6"/>
        <v/>
      </c>
      <c r="AH552" s="40" t="str">
        <f t="shared" si="7"/>
        <v/>
      </c>
      <c r="AI552" s="40" t="str">
        <f t="shared" si="8"/>
        <v/>
      </c>
      <c r="AJ552" s="40" t="str">
        <f>IF($K552="","",COUNTIF(Assignments!$B$6:$B$1000,$K552))</f>
        <v/>
      </c>
      <c r="AK552" s="40" t="str">
        <f>IF($K552="","",IF(AND($AJ552=0,$O552&lt;$N552),Config!$B$43,0))</f>
        <v/>
      </c>
      <c r="AL552" s="40" t="str">
        <f>IF($K552="","",IF(AND($M552="Elite",$G552&gt;=Config!$B$41,$O552&lt;$N552),Config!$B$42,0))</f>
        <v/>
      </c>
      <c r="AM552" s="22"/>
    </row>
    <row r="553" ht="15.75" customHeight="1">
      <c r="A553" s="40" t="str">
        <f t="shared" si="1"/>
        <v/>
      </c>
      <c r="B553" s="40" t="str">
        <f>IF(Bids!$A552="","",Bids!$A552)</f>
        <v/>
      </c>
      <c r="C553" s="40" t="str">
        <f>IF(Bids!$B552="","",Bids!$B552)</f>
        <v/>
      </c>
      <c r="D553" s="40" t="str">
        <f>IF($C553="","",IFERROR(VLOOKUP($C553,Orders!$A$4:$J$998,9,FALSE),""))</f>
        <v/>
      </c>
      <c r="E553" s="40" t="str">
        <f>IF($C553="","",IFERROR(VLOOKUP($C553,Orders!$A$4:$J$998,3,FALSE),""))</f>
        <v/>
      </c>
      <c r="F553" s="40">
        <f t="shared" si="2"/>
        <v>1</v>
      </c>
      <c r="G553" s="40" t="str">
        <f>IF($C553="","",IFERROR(VLOOKUP($C553,Orders!$A$4:$J$998,4,FALSE),""))</f>
        <v/>
      </c>
      <c r="H553" s="40" t="str">
        <f>IF($C553="","",IFERROR(VLOOKUP($C553,Orders!$A$4:$J$998,5,FALSE),""))</f>
        <v/>
      </c>
      <c r="I553" s="40" t="str">
        <f>IF($C553="","",IFERROR(VLOOKUP($C553,Orders!$A$4:$J$998,6,FALSE),""))</f>
        <v/>
      </c>
      <c r="J553" s="40" t="str">
        <f>IF($C553="","",IFERROR(VLOOKUP($C553,Orders!$A$4:$J$998,7,FALSE),""))</f>
        <v/>
      </c>
      <c r="K553" s="40" t="str">
        <f>IF(Bids!$C552="","",Bids!$C552)</f>
        <v/>
      </c>
      <c r="L553" s="40" t="str">
        <f>IF($K553="","",IFERROR(VLOOKUP($K553,Grinders!$A$4:$N$998,2,FALSE),""))</f>
        <v/>
      </c>
      <c r="M553" s="40" t="str">
        <f>IF($K553="","",IFERROR(VLOOKUP($K553,Grinders!$A$4:$N$998,3,FALSE),""))</f>
        <v/>
      </c>
      <c r="N553" s="40" t="str">
        <f>IF($K553="","",IFERROR(VLOOKUP($K553,Grinders!$A$4:$N$998,4,FALSE),""))</f>
        <v/>
      </c>
      <c r="O553" s="40" t="str">
        <f>IF($K553="","",IFERROR(VLOOKUP($K553,Grinders!$A$4:$N$998,5,FALSE),""))</f>
        <v/>
      </c>
      <c r="P553" s="40" t="str">
        <f>IF($K553="","",IF($C$4="",0,COUNTIFS(Assignments!$B$6:$B$1000,$K553,Assignments!$F$6:$F$1000,$C$4,Assignments!$E$6:$E$1000,"Active")))</f>
        <v/>
      </c>
      <c r="Q553" s="40" t="str">
        <f t="shared" si="3"/>
        <v/>
      </c>
      <c r="R553" s="40" t="str">
        <f t="shared" si="4"/>
        <v/>
      </c>
      <c r="S553" s="40" t="str">
        <f>IF($K553="","",IF($C$4="",0,COUNTIFS(Assignments!$B$6:$B$1000,$K553,Assignments!$F$6:$F$1000,$C$4,Assignments!$D$6:$D$1000,"&gt;="&amp;Config!$B$3-7,Assignments!$D$6:$D$1000,"&lt;="&amp;Config!$B$3)))</f>
        <v/>
      </c>
      <c r="T553" s="40" t="str">
        <f>IF($K553="","",IFERROR(VLOOKUP($K553,Grinders!$A$4:$N$998,8,FALSE),""))</f>
        <v/>
      </c>
      <c r="U553" s="40" t="str">
        <f>IFERROR(IF($K553="","",IF($M553="Elite",MAX(50,MIN(100,Config!$B$27*MAX(0,MIN(100,(1-IF($R553="",0,$R553))*100)) + Config!$B$28*MAX(0,MIN(100,(1-MIN(1,IF(Config!$B$30=0,1,$S553/Config!$B$30)))*100)) + Config!$B$29*MAX(0,MIN(100,MIN(1,IF($T553="",0,$T553)/Config!$B$23)*100)))),MIN(100,Config!$B$27*MAX(0,MIN(100,(1-IF($R553="",0,$R553))*100)) + Config!$B$28*MAX(0,MIN(100,(1-MIN(1,IF(Config!$B$30=0,1,$S553/Config!$B$30)))*100)) + Config!$B$29*MAX(0,MIN(100,MIN(1,IF($T553="",0,$T553)/Config!$B$23)*100))))),"")
</f>
        <v/>
      </c>
      <c r="V553" s="40" t="str">
        <f>IF(Bids!$D552="","",Bids!$D552)</f>
        <v/>
      </c>
      <c r="W553" s="40" t="str">
        <f>IF(Bids!$F552="","",Bids!$F552)</f>
        <v/>
      </c>
      <c r="X553" s="40" t="str">
        <f t="shared" si="5"/>
        <v/>
      </c>
      <c r="Y553" s="40" t="str">
        <f>IF($X553="","",IF(Config!$B$17=Config!$B$16,IF($X553&gt;=Config!$B$17,100,0),MAX(0,MIN(100,($X553-Config!$B$16)/(Config!$B$17-Config!$B$16)*100))))</f>
        <v/>
      </c>
      <c r="Z553" s="40">
        <f>IF($M553="Elite",Config!$B$21,0)</f>
        <v>0</v>
      </c>
      <c r="AA553" s="40" t="str">
        <f>IFERROR(IF(OR($W553="",$H553=""),"",IF($W553&gt;$H553,
  MAX(0, 60-(($W553-$H553)*24/Config!$B$19)*60),
  MIN(100, 60+(($H553-$W553)*24/Config!$B$20)*40)
)),"")
</f>
        <v/>
      </c>
      <c r="AB553" s="40" t="str">
        <f>IF($K553="","",IFERROR(VLOOKUP($K553,Grinders!$A$4:$N$998,10,FALSE)/5*100,""))</f>
        <v/>
      </c>
      <c r="AC553" s="40" t="str">
        <f>IF($K553="","",IFERROR(VLOOKUP($K553,Grinders!$A$4:$N$998,11,FALSE)*100,""))</f>
        <v/>
      </c>
      <c r="AD553" s="40" t="str">
        <f>IF($K553="","",IFERROR(VLOOKUP($K553,Grinders!$A$4:$N$998,12,FALSE)*100,""))</f>
        <v/>
      </c>
      <c r="AE553" s="40">
        <f>IFERROR(IFS(
    OR($C553="", $K553=""), 0,
    $F553=0, 0,
    $D553&lt;&gt;"Open", 0,
    COUNTIFS(GrinderServices!$B$4:$B$998, $K553, GrinderServices!$C$4:$C$998, $E553, GrinderServices!$E$4:$E$998, "Y")=0, 0,
    $X553&lt;Config!$B$16, 0,
    Config!$B$18=1, IF($O553&gt;=N553, 0, 1),
    TRUE, 1
), "")
</f>
        <v>0</v>
      </c>
      <c r="AF553" s="40" t="str">
        <f>IFERROR(IF($AE553=0,"",((Config!$B$6*$Y553 + Config!$B$7*$U553 + Config!$B$8*$Z553 + Config!$B$9*$AA553 + Config!$B$10*$AB553 + Config!$B$11*$AC553 - Config!$B$12*$AD553)/Config!$B$13)+$AK553+$AL553),"")</f>
        <v/>
      </c>
      <c r="AG553" s="40" t="str">
        <f t="shared" si="6"/>
        <v/>
      </c>
      <c r="AH553" s="40" t="str">
        <f t="shared" si="7"/>
        <v/>
      </c>
      <c r="AI553" s="40" t="str">
        <f t="shared" si="8"/>
        <v/>
      </c>
      <c r="AJ553" s="40" t="str">
        <f>IF($K553="","",COUNTIF(Assignments!$B$6:$B$1000,$K553))</f>
        <v/>
      </c>
      <c r="AK553" s="40" t="str">
        <f>IF($K553="","",IF(AND($AJ553=0,$O553&lt;$N553),Config!$B$43,0))</f>
        <v/>
      </c>
      <c r="AL553" s="40" t="str">
        <f>IF($K553="","",IF(AND($M553="Elite",$G553&gt;=Config!$B$41,$O553&lt;$N553),Config!$B$42,0))</f>
        <v/>
      </c>
      <c r="AM553" s="22"/>
    </row>
    <row r="554" ht="15.75" customHeight="1">
      <c r="A554" s="40" t="str">
        <f t="shared" si="1"/>
        <v/>
      </c>
      <c r="B554" s="40" t="str">
        <f>IF(Bids!$A553="","",Bids!$A553)</f>
        <v/>
      </c>
      <c r="C554" s="40" t="str">
        <f>IF(Bids!$B553="","",Bids!$B553)</f>
        <v/>
      </c>
      <c r="D554" s="40" t="str">
        <f>IF($C554="","",IFERROR(VLOOKUP($C554,Orders!$A$4:$J$998,9,FALSE),""))</f>
        <v/>
      </c>
      <c r="E554" s="40" t="str">
        <f>IF($C554="","",IFERROR(VLOOKUP($C554,Orders!$A$4:$J$998,3,FALSE),""))</f>
        <v/>
      </c>
      <c r="F554" s="40">
        <f t="shared" si="2"/>
        <v>1</v>
      </c>
      <c r="G554" s="40" t="str">
        <f>IF($C554="","",IFERROR(VLOOKUP($C554,Orders!$A$4:$J$998,4,FALSE),""))</f>
        <v/>
      </c>
      <c r="H554" s="40" t="str">
        <f>IF($C554="","",IFERROR(VLOOKUP($C554,Orders!$A$4:$J$998,5,FALSE),""))</f>
        <v/>
      </c>
      <c r="I554" s="40" t="str">
        <f>IF($C554="","",IFERROR(VLOOKUP($C554,Orders!$A$4:$J$998,6,FALSE),""))</f>
        <v/>
      </c>
      <c r="J554" s="40" t="str">
        <f>IF($C554="","",IFERROR(VLOOKUP($C554,Orders!$A$4:$J$998,7,FALSE),""))</f>
        <v/>
      </c>
      <c r="K554" s="40" t="str">
        <f>IF(Bids!$C553="","",Bids!$C553)</f>
        <v/>
      </c>
      <c r="L554" s="40" t="str">
        <f>IF($K554="","",IFERROR(VLOOKUP($K554,Grinders!$A$4:$N$998,2,FALSE),""))</f>
        <v/>
      </c>
      <c r="M554" s="40" t="str">
        <f>IF($K554="","",IFERROR(VLOOKUP($K554,Grinders!$A$4:$N$998,3,FALSE),""))</f>
        <v/>
      </c>
      <c r="N554" s="40" t="str">
        <f>IF($K554="","",IFERROR(VLOOKUP($K554,Grinders!$A$4:$N$998,4,FALSE),""))</f>
        <v/>
      </c>
      <c r="O554" s="40" t="str">
        <f>IF($K554="","",IFERROR(VLOOKUP($K554,Grinders!$A$4:$N$998,5,FALSE),""))</f>
        <v/>
      </c>
      <c r="P554" s="40" t="str">
        <f>IF($K554="","",IF($C$4="",0,COUNTIFS(Assignments!$B$6:$B$1000,$K554,Assignments!$F$6:$F$1000,$C$4,Assignments!$E$6:$E$1000,"Active")))</f>
        <v/>
      </c>
      <c r="Q554" s="40" t="str">
        <f t="shared" si="3"/>
        <v/>
      </c>
      <c r="R554" s="40" t="str">
        <f t="shared" si="4"/>
        <v/>
      </c>
      <c r="S554" s="40" t="str">
        <f>IF($K554="","",IF($C$4="",0,COUNTIFS(Assignments!$B$6:$B$1000,$K554,Assignments!$F$6:$F$1000,$C$4,Assignments!$D$6:$D$1000,"&gt;="&amp;Config!$B$3-7,Assignments!$D$6:$D$1000,"&lt;="&amp;Config!$B$3)))</f>
        <v/>
      </c>
      <c r="T554" s="40" t="str">
        <f>IF($K554="","",IFERROR(VLOOKUP($K554,Grinders!$A$4:$N$998,8,FALSE),""))</f>
        <v/>
      </c>
      <c r="U554" s="40" t="str">
        <f>IFERROR(IF($K554="","",IF($M554="Elite",MAX(50,MIN(100,Config!$B$27*MAX(0,MIN(100,(1-IF($R554="",0,$R554))*100)) + Config!$B$28*MAX(0,MIN(100,(1-MIN(1,IF(Config!$B$30=0,1,$S554/Config!$B$30)))*100)) + Config!$B$29*MAX(0,MIN(100,MIN(1,IF($T554="",0,$T554)/Config!$B$23)*100)))),MIN(100,Config!$B$27*MAX(0,MIN(100,(1-IF($R554="",0,$R554))*100)) + Config!$B$28*MAX(0,MIN(100,(1-MIN(1,IF(Config!$B$30=0,1,$S554/Config!$B$30)))*100)) + Config!$B$29*MAX(0,MIN(100,MIN(1,IF($T554="",0,$T554)/Config!$B$23)*100))))),"")
</f>
        <v/>
      </c>
      <c r="V554" s="40" t="str">
        <f>IF(Bids!$D553="","",Bids!$D553)</f>
        <v/>
      </c>
      <c r="W554" s="40" t="str">
        <f>IF(Bids!$F553="","",Bids!$F553)</f>
        <v/>
      </c>
      <c r="X554" s="40" t="str">
        <f t="shared" si="5"/>
        <v/>
      </c>
      <c r="Y554" s="40" t="str">
        <f>IF($X554="","",IF(Config!$B$17=Config!$B$16,IF($X554&gt;=Config!$B$17,100,0),MAX(0,MIN(100,($X554-Config!$B$16)/(Config!$B$17-Config!$B$16)*100))))</f>
        <v/>
      </c>
      <c r="Z554" s="40">
        <f>IF($M554="Elite",Config!$B$21,0)</f>
        <v>0</v>
      </c>
      <c r="AA554" s="40" t="str">
        <f>IFERROR(IF(OR($W554="",$H554=""),"",IF($W554&gt;$H554,
  MAX(0, 60-(($W554-$H554)*24/Config!$B$19)*60),
  MIN(100, 60+(($H554-$W554)*24/Config!$B$20)*40)
)),"")
</f>
        <v/>
      </c>
      <c r="AB554" s="40" t="str">
        <f>IF($K554="","",IFERROR(VLOOKUP($K554,Grinders!$A$4:$N$998,10,FALSE)/5*100,""))</f>
        <v/>
      </c>
      <c r="AC554" s="40" t="str">
        <f>IF($K554="","",IFERROR(VLOOKUP($K554,Grinders!$A$4:$N$998,11,FALSE)*100,""))</f>
        <v/>
      </c>
      <c r="AD554" s="40" t="str">
        <f>IF($K554="","",IFERROR(VLOOKUP($K554,Grinders!$A$4:$N$998,12,FALSE)*100,""))</f>
        <v/>
      </c>
      <c r="AE554" s="40">
        <f>IFERROR(IFS(
    OR($C554="", $K554=""), 0,
    $F554=0, 0,
    $D554&lt;&gt;"Open", 0,
    COUNTIFS(GrinderServices!$B$4:$B$998, $K554, GrinderServices!$C$4:$C$998, $E554, GrinderServices!$E$4:$E$998, "Y")=0, 0,
    $X554&lt;Config!$B$16, 0,
    Config!$B$18=1, IF($O554&gt;=N554, 0, 1),
    TRUE, 1
), "")
</f>
        <v>0</v>
      </c>
      <c r="AF554" s="40" t="str">
        <f>IFERROR(IF($AE554=0,"",((Config!$B$6*$Y554 + Config!$B$7*$U554 + Config!$B$8*$Z554 + Config!$B$9*$AA554 + Config!$B$10*$AB554 + Config!$B$11*$AC554 - Config!$B$12*$AD554)/Config!$B$13)+$AK554+$AL554),"")</f>
        <v/>
      </c>
      <c r="AG554" s="40" t="str">
        <f t="shared" si="6"/>
        <v/>
      </c>
      <c r="AH554" s="40" t="str">
        <f t="shared" si="7"/>
        <v/>
      </c>
      <c r="AI554" s="40" t="str">
        <f t="shared" si="8"/>
        <v/>
      </c>
      <c r="AJ554" s="40" t="str">
        <f>IF($K554="","",COUNTIF(Assignments!$B$6:$B$1000,$K554))</f>
        <v/>
      </c>
      <c r="AK554" s="40" t="str">
        <f>IF($K554="","",IF(AND($AJ554=0,$O554&lt;$N554),Config!$B$43,0))</f>
        <v/>
      </c>
      <c r="AL554" s="40" t="str">
        <f>IF($K554="","",IF(AND($M554="Elite",$G554&gt;=Config!$B$41,$O554&lt;$N554),Config!$B$42,0))</f>
        <v/>
      </c>
      <c r="AM554" s="22"/>
    </row>
    <row r="555" ht="15.75" customHeight="1">
      <c r="A555" s="40" t="str">
        <f t="shared" si="1"/>
        <v/>
      </c>
      <c r="B555" s="40" t="str">
        <f>IF(Bids!$A554="","",Bids!$A554)</f>
        <v/>
      </c>
      <c r="C555" s="40" t="str">
        <f>IF(Bids!$B554="","",Bids!$B554)</f>
        <v/>
      </c>
      <c r="D555" s="40" t="str">
        <f>IF($C555="","",IFERROR(VLOOKUP($C555,Orders!$A$4:$J$998,9,FALSE),""))</f>
        <v/>
      </c>
      <c r="E555" s="40" t="str">
        <f>IF($C555="","",IFERROR(VLOOKUP($C555,Orders!$A$4:$J$998,3,FALSE),""))</f>
        <v/>
      </c>
      <c r="F555" s="40">
        <f t="shared" si="2"/>
        <v>1</v>
      </c>
      <c r="G555" s="40" t="str">
        <f>IF($C555="","",IFERROR(VLOOKUP($C555,Orders!$A$4:$J$998,4,FALSE),""))</f>
        <v/>
      </c>
      <c r="H555" s="40" t="str">
        <f>IF($C555="","",IFERROR(VLOOKUP($C555,Orders!$A$4:$J$998,5,FALSE),""))</f>
        <v/>
      </c>
      <c r="I555" s="40" t="str">
        <f>IF($C555="","",IFERROR(VLOOKUP($C555,Orders!$A$4:$J$998,6,FALSE),""))</f>
        <v/>
      </c>
      <c r="J555" s="40" t="str">
        <f>IF($C555="","",IFERROR(VLOOKUP($C555,Orders!$A$4:$J$998,7,FALSE),""))</f>
        <v/>
      </c>
      <c r="K555" s="40" t="str">
        <f>IF(Bids!$C554="","",Bids!$C554)</f>
        <v/>
      </c>
      <c r="L555" s="40" t="str">
        <f>IF($K555="","",IFERROR(VLOOKUP($K555,Grinders!$A$4:$N$998,2,FALSE),""))</f>
        <v/>
      </c>
      <c r="M555" s="40" t="str">
        <f>IF($K555="","",IFERROR(VLOOKUP($K555,Grinders!$A$4:$N$998,3,FALSE),""))</f>
        <v/>
      </c>
      <c r="N555" s="40" t="str">
        <f>IF($K555="","",IFERROR(VLOOKUP($K555,Grinders!$A$4:$N$998,4,FALSE),""))</f>
        <v/>
      </c>
      <c r="O555" s="40" t="str">
        <f>IF($K555="","",IFERROR(VLOOKUP($K555,Grinders!$A$4:$N$998,5,FALSE),""))</f>
        <v/>
      </c>
      <c r="P555" s="40" t="str">
        <f>IF($K555="","",IF($C$4="",0,COUNTIFS(Assignments!$B$6:$B$1000,$K555,Assignments!$F$6:$F$1000,$C$4,Assignments!$E$6:$E$1000,"Active")))</f>
        <v/>
      </c>
      <c r="Q555" s="40" t="str">
        <f t="shared" si="3"/>
        <v/>
      </c>
      <c r="R555" s="40" t="str">
        <f t="shared" si="4"/>
        <v/>
      </c>
      <c r="S555" s="40" t="str">
        <f>IF($K555="","",IF($C$4="",0,COUNTIFS(Assignments!$B$6:$B$1000,$K555,Assignments!$F$6:$F$1000,$C$4,Assignments!$D$6:$D$1000,"&gt;="&amp;Config!$B$3-7,Assignments!$D$6:$D$1000,"&lt;="&amp;Config!$B$3)))</f>
        <v/>
      </c>
      <c r="T555" s="40" t="str">
        <f>IF($K555="","",IFERROR(VLOOKUP($K555,Grinders!$A$4:$N$998,8,FALSE),""))</f>
        <v/>
      </c>
      <c r="U555" s="40" t="str">
        <f>IFERROR(IF($K555="","",IF($M555="Elite",MAX(50,MIN(100,Config!$B$27*MAX(0,MIN(100,(1-IF($R555="",0,$R555))*100)) + Config!$B$28*MAX(0,MIN(100,(1-MIN(1,IF(Config!$B$30=0,1,$S555/Config!$B$30)))*100)) + Config!$B$29*MAX(0,MIN(100,MIN(1,IF($T555="",0,$T555)/Config!$B$23)*100)))),MIN(100,Config!$B$27*MAX(0,MIN(100,(1-IF($R555="",0,$R555))*100)) + Config!$B$28*MAX(0,MIN(100,(1-MIN(1,IF(Config!$B$30=0,1,$S555/Config!$B$30)))*100)) + Config!$B$29*MAX(0,MIN(100,MIN(1,IF($T555="",0,$T555)/Config!$B$23)*100))))),"")
</f>
        <v/>
      </c>
      <c r="V555" s="40" t="str">
        <f>IF(Bids!$D554="","",Bids!$D554)</f>
        <v/>
      </c>
      <c r="W555" s="40" t="str">
        <f>IF(Bids!$F554="","",Bids!$F554)</f>
        <v/>
      </c>
      <c r="X555" s="40" t="str">
        <f t="shared" si="5"/>
        <v/>
      </c>
      <c r="Y555" s="40" t="str">
        <f>IF($X555="","",IF(Config!$B$17=Config!$B$16,IF($X555&gt;=Config!$B$17,100,0),MAX(0,MIN(100,($X555-Config!$B$16)/(Config!$B$17-Config!$B$16)*100))))</f>
        <v/>
      </c>
      <c r="Z555" s="40">
        <f>IF($M555="Elite",Config!$B$21,0)</f>
        <v>0</v>
      </c>
      <c r="AA555" s="40" t="str">
        <f>IFERROR(IF(OR($W555="",$H555=""),"",IF($W555&gt;$H555,
  MAX(0, 60-(($W555-$H555)*24/Config!$B$19)*60),
  MIN(100, 60+(($H555-$W555)*24/Config!$B$20)*40)
)),"")
</f>
        <v/>
      </c>
      <c r="AB555" s="40" t="str">
        <f>IF($K555="","",IFERROR(VLOOKUP($K555,Grinders!$A$4:$N$998,10,FALSE)/5*100,""))</f>
        <v/>
      </c>
      <c r="AC555" s="40" t="str">
        <f>IF($K555="","",IFERROR(VLOOKUP($K555,Grinders!$A$4:$N$998,11,FALSE)*100,""))</f>
        <v/>
      </c>
      <c r="AD555" s="40" t="str">
        <f>IF($K555="","",IFERROR(VLOOKUP($K555,Grinders!$A$4:$N$998,12,FALSE)*100,""))</f>
        <v/>
      </c>
      <c r="AE555" s="40">
        <f>IFERROR(IFS(
    OR($C555="", $K555=""), 0,
    $F555=0, 0,
    $D555&lt;&gt;"Open", 0,
    COUNTIFS(GrinderServices!$B$4:$B$998, $K555, GrinderServices!$C$4:$C$998, $E555, GrinderServices!$E$4:$E$998, "Y")=0, 0,
    $X555&lt;Config!$B$16, 0,
    Config!$B$18=1, IF($O555&gt;=N555, 0, 1),
    TRUE, 1
), "")
</f>
        <v>0</v>
      </c>
      <c r="AF555" s="40" t="str">
        <f>IFERROR(IF($AE555=0,"",((Config!$B$6*$Y555 + Config!$B$7*$U555 + Config!$B$8*$Z555 + Config!$B$9*$AA555 + Config!$B$10*$AB555 + Config!$B$11*$AC555 - Config!$B$12*$AD555)/Config!$B$13)+$AK555+$AL555),"")</f>
        <v/>
      </c>
      <c r="AG555" s="40" t="str">
        <f t="shared" si="6"/>
        <v/>
      </c>
      <c r="AH555" s="40" t="str">
        <f t="shared" si="7"/>
        <v/>
      </c>
      <c r="AI555" s="40" t="str">
        <f t="shared" si="8"/>
        <v/>
      </c>
      <c r="AJ555" s="40" t="str">
        <f>IF($K555="","",COUNTIF(Assignments!$B$6:$B$1000,$K555))</f>
        <v/>
      </c>
      <c r="AK555" s="40" t="str">
        <f>IF($K555="","",IF(AND($AJ555=0,$O555&lt;$N555),Config!$B$43,0))</f>
        <v/>
      </c>
      <c r="AL555" s="40" t="str">
        <f>IF($K555="","",IF(AND($M555="Elite",$G555&gt;=Config!$B$41,$O555&lt;$N555),Config!$B$42,0))</f>
        <v/>
      </c>
      <c r="AM555" s="22"/>
    </row>
    <row r="556" ht="15.75" customHeight="1">
      <c r="A556" s="40" t="str">
        <f t="shared" si="1"/>
        <v/>
      </c>
      <c r="B556" s="40" t="str">
        <f>IF(Bids!$A555="","",Bids!$A555)</f>
        <v/>
      </c>
      <c r="C556" s="40" t="str">
        <f>IF(Bids!$B555="","",Bids!$B555)</f>
        <v/>
      </c>
      <c r="D556" s="40" t="str">
        <f>IF($C556="","",IFERROR(VLOOKUP($C556,Orders!$A$4:$J$998,9,FALSE),""))</f>
        <v/>
      </c>
      <c r="E556" s="40" t="str">
        <f>IF($C556="","",IFERROR(VLOOKUP($C556,Orders!$A$4:$J$998,3,FALSE),""))</f>
        <v/>
      </c>
      <c r="F556" s="40">
        <f t="shared" si="2"/>
        <v>1</v>
      </c>
      <c r="G556" s="40" t="str">
        <f>IF($C556="","",IFERROR(VLOOKUP($C556,Orders!$A$4:$J$998,4,FALSE),""))</f>
        <v/>
      </c>
      <c r="H556" s="40" t="str">
        <f>IF($C556="","",IFERROR(VLOOKUP($C556,Orders!$A$4:$J$998,5,FALSE),""))</f>
        <v/>
      </c>
      <c r="I556" s="40" t="str">
        <f>IF($C556="","",IFERROR(VLOOKUP($C556,Orders!$A$4:$J$998,6,FALSE),""))</f>
        <v/>
      </c>
      <c r="J556" s="40" t="str">
        <f>IF($C556="","",IFERROR(VLOOKUP($C556,Orders!$A$4:$J$998,7,FALSE),""))</f>
        <v/>
      </c>
      <c r="K556" s="40" t="str">
        <f>IF(Bids!$C555="","",Bids!$C555)</f>
        <v/>
      </c>
      <c r="L556" s="40" t="str">
        <f>IF($K556="","",IFERROR(VLOOKUP($K556,Grinders!$A$4:$N$998,2,FALSE),""))</f>
        <v/>
      </c>
      <c r="M556" s="40" t="str">
        <f>IF($K556="","",IFERROR(VLOOKUP($K556,Grinders!$A$4:$N$998,3,FALSE),""))</f>
        <v/>
      </c>
      <c r="N556" s="40" t="str">
        <f>IF($K556="","",IFERROR(VLOOKUP($K556,Grinders!$A$4:$N$998,4,FALSE),""))</f>
        <v/>
      </c>
      <c r="O556" s="40" t="str">
        <f>IF($K556="","",IFERROR(VLOOKUP($K556,Grinders!$A$4:$N$998,5,FALSE),""))</f>
        <v/>
      </c>
      <c r="P556" s="40" t="str">
        <f>IF($K556="","",IF($C$4="",0,COUNTIFS(Assignments!$B$6:$B$1000,$K556,Assignments!$F$6:$F$1000,$C$4,Assignments!$E$6:$E$1000,"Active")))</f>
        <v/>
      </c>
      <c r="Q556" s="40" t="str">
        <f t="shared" si="3"/>
        <v/>
      </c>
      <c r="R556" s="40" t="str">
        <f t="shared" si="4"/>
        <v/>
      </c>
      <c r="S556" s="40" t="str">
        <f>IF($K556="","",IF($C$4="",0,COUNTIFS(Assignments!$B$6:$B$1000,$K556,Assignments!$F$6:$F$1000,$C$4,Assignments!$D$6:$D$1000,"&gt;="&amp;Config!$B$3-7,Assignments!$D$6:$D$1000,"&lt;="&amp;Config!$B$3)))</f>
        <v/>
      </c>
      <c r="T556" s="40" t="str">
        <f>IF($K556="","",IFERROR(VLOOKUP($K556,Grinders!$A$4:$N$998,8,FALSE),""))</f>
        <v/>
      </c>
      <c r="U556" s="40" t="str">
        <f>IFERROR(IF($K556="","",IF($M556="Elite",MAX(50,MIN(100,Config!$B$27*MAX(0,MIN(100,(1-IF($R556="",0,$R556))*100)) + Config!$B$28*MAX(0,MIN(100,(1-MIN(1,IF(Config!$B$30=0,1,$S556/Config!$B$30)))*100)) + Config!$B$29*MAX(0,MIN(100,MIN(1,IF($T556="",0,$T556)/Config!$B$23)*100)))),MIN(100,Config!$B$27*MAX(0,MIN(100,(1-IF($R556="",0,$R556))*100)) + Config!$B$28*MAX(0,MIN(100,(1-MIN(1,IF(Config!$B$30=0,1,$S556/Config!$B$30)))*100)) + Config!$B$29*MAX(0,MIN(100,MIN(1,IF($T556="",0,$T556)/Config!$B$23)*100))))),"")
</f>
        <v/>
      </c>
      <c r="V556" s="40" t="str">
        <f>IF(Bids!$D555="","",Bids!$D555)</f>
        <v/>
      </c>
      <c r="W556" s="40" t="str">
        <f>IF(Bids!$F555="","",Bids!$F555)</f>
        <v/>
      </c>
      <c r="X556" s="40" t="str">
        <f t="shared" si="5"/>
        <v/>
      </c>
      <c r="Y556" s="40" t="str">
        <f>IF($X556="","",IF(Config!$B$17=Config!$B$16,IF($X556&gt;=Config!$B$17,100,0),MAX(0,MIN(100,($X556-Config!$B$16)/(Config!$B$17-Config!$B$16)*100))))</f>
        <v/>
      </c>
      <c r="Z556" s="40">
        <f>IF($M556="Elite",Config!$B$21,0)</f>
        <v>0</v>
      </c>
      <c r="AA556" s="40" t="str">
        <f>IFERROR(IF(OR($W556="",$H556=""),"",IF($W556&gt;$H556,
  MAX(0, 60-(($W556-$H556)*24/Config!$B$19)*60),
  MIN(100, 60+(($H556-$W556)*24/Config!$B$20)*40)
)),"")
</f>
        <v/>
      </c>
      <c r="AB556" s="40" t="str">
        <f>IF($K556="","",IFERROR(VLOOKUP($K556,Grinders!$A$4:$N$998,10,FALSE)/5*100,""))</f>
        <v/>
      </c>
      <c r="AC556" s="40" t="str">
        <f>IF($K556="","",IFERROR(VLOOKUP($K556,Grinders!$A$4:$N$998,11,FALSE)*100,""))</f>
        <v/>
      </c>
      <c r="AD556" s="40" t="str">
        <f>IF($K556="","",IFERROR(VLOOKUP($K556,Grinders!$A$4:$N$998,12,FALSE)*100,""))</f>
        <v/>
      </c>
      <c r="AE556" s="40">
        <f>IFERROR(IFS(
    OR($C556="", $K556=""), 0,
    $F556=0, 0,
    $D556&lt;&gt;"Open", 0,
    COUNTIFS(GrinderServices!$B$4:$B$998, $K556, GrinderServices!$C$4:$C$998, $E556, GrinderServices!$E$4:$E$998, "Y")=0, 0,
    $X556&lt;Config!$B$16, 0,
    Config!$B$18=1, IF($O556&gt;=N556, 0, 1),
    TRUE, 1
), "")
</f>
        <v>0</v>
      </c>
      <c r="AF556" s="40" t="str">
        <f>IFERROR(IF($AE556=0,"",((Config!$B$6*$Y556 + Config!$B$7*$U556 + Config!$B$8*$Z556 + Config!$B$9*$AA556 + Config!$B$10*$AB556 + Config!$B$11*$AC556 - Config!$B$12*$AD556)/Config!$B$13)+$AK556+$AL556),"")</f>
        <v/>
      </c>
      <c r="AG556" s="40" t="str">
        <f t="shared" si="6"/>
        <v/>
      </c>
      <c r="AH556" s="40" t="str">
        <f t="shared" si="7"/>
        <v/>
      </c>
      <c r="AI556" s="40" t="str">
        <f t="shared" si="8"/>
        <v/>
      </c>
      <c r="AJ556" s="40" t="str">
        <f>IF($K556="","",COUNTIF(Assignments!$B$6:$B$1000,$K556))</f>
        <v/>
      </c>
      <c r="AK556" s="40" t="str">
        <f>IF($K556="","",IF(AND($AJ556=0,$O556&lt;$N556),Config!$B$43,0))</f>
        <v/>
      </c>
      <c r="AL556" s="40" t="str">
        <f>IF($K556="","",IF(AND($M556="Elite",$G556&gt;=Config!$B$41,$O556&lt;$N556),Config!$B$42,0))</f>
        <v/>
      </c>
      <c r="AM556" s="22"/>
    </row>
    <row r="557" ht="15.75" customHeight="1">
      <c r="A557" s="40" t="str">
        <f t="shared" si="1"/>
        <v/>
      </c>
      <c r="B557" s="40" t="str">
        <f>IF(Bids!$A556="","",Bids!$A556)</f>
        <v/>
      </c>
      <c r="C557" s="40" t="str">
        <f>IF(Bids!$B556="","",Bids!$B556)</f>
        <v/>
      </c>
      <c r="D557" s="40" t="str">
        <f>IF($C557="","",IFERROR(VLOOKUP($C557,Orders!$A$4:$J$998,9,FALSE),""))</f>
        <v/>
      </c>
      <c r="E557" s="40" t="str">
        <f>IF($C557="","",IFERROR(VLOOKUP($C557,Orders!$A$4:$J$998,3,FALSE),""))</f>
        <v/>
      </c>
      <c r="F557" s="40">
        <f t="shared" si="2"/>
        <v>1</v>
      </c>
      <c r="G557" s="40" t="str">
        <f>IF($C557="","",IFERROR(VLOOKUP($C557,Orders!$A$4:$J$998,4,FALSE),""))</f>
        <v/>
      </c>
      <c r="H557" s="40" t="str">
        <f>IF($C557="","",IFERROR(VLOOKUP($C557,Orders!$A$4:$J$998,5,FALSE),""))</f>
        <v/>
      </c>
      <c r="I557" s="40" t="str">
        <f>IF($C557="","",IFERROR(VLOOKUP($C557,Orders!$A$4:$J$998,6,FALSE),""))</f>
        <v/>
      </c>
      <c r="J557" s="40" t="str">
        <f>IF($C557="","",IFERROR(VLOOKUP($C557,Orders!$A$4:$J$998,7,FALSE),""))</f>
        <v/>
      </c>
      <c r="K557" s="40" t="str">
        <f>IF(Bids!$C556="","",Bids!$C556)</f>
        <v/>
      </c>
      <c r="L557" s="40" t="str">
        <f>IF($K557="","",IFERROR(VLOOKUP($K557,Grinders!$A$4:$N$998,2,FALSE),""))</f>
        <v/>
      </c>
      <c r="M557" s="40" t="str">
        <f>IF($K557="","",IFERROR(VLOOKUP($K557,Grinders!$A$4:$N$998,3,FALSE),""))</f>
        <v/>
      </c>
      <c r="N557" s="40" t="str">
        <f>IF($K557="","",IFERROR(VLOOKUP($K557,Grinders!$A$4:$N$998,4,FALSE),""))</f>
        <v/>
      </c>
      <c r="O557" s="40" t="str">
        <f>IF($K557="","",IFERROR(VLOOKUP($K557,Grinders!$A$4:$N$998,5,FALSE),""))</f>
        <v/>
      </c>
      <c r="P557" s="40" t="str">
        <f>IF($K557="","",IF($C$4="",0,COUNTIFS(Assignments!$B$6:$B$1000,$K557,Assignments!$F$6:$F$1000,$C$4,Assignments!$E$6:$E$1000,"Active")))</f>
        <v/>
      </c>
      <c r="Q557" s="40" t="str">
        <f t="shared" si="3"/>
        <v/>
      </c>
      <c r="R557" s="40" t="str">
        <f t="shared" si="4"/>
        <v/>
      </c>
      <c r="S557" s="40" t="str">
        <f>IF($K557="","",IF($C$4="",0,COUNTIFS(Assignments!$B$6:$B$1000,$K557,Assignments!$F$6:$F$1000,$C$4,Assignments!$D$6:$D$1000,"&gt;="&amp;Config!$B$3-7,Assignments!$D$6:$D$1000,"&lt;="&amp;Config!$B$3)))</f>
        <v/>
      </c>
      <c r="T557" s="40" t="str">
        <f>IF($K557="","",IFERROR(VLOOKUP($K557,Grinders!$A$4:$N$998,8,FALSE),""))</f>
        <v/>
      </c>
      <c r="U557" s="40" t="str">
        <f>IFERROR(IF($K557="","",IF($M557="Elite",MAX(50,MIN(100,Config!$B$27*MAX(0,MIN(100,(1-IF($R557="",0,$R557))*100)) + Config!$B$28*MAX(0,MIN(100,(1-MIN(1,IF(Config!$B$30=0,1,$S557/Config!$B$30)))*100)) + Config!$B$29*MAX(0,MIN(100,MIN(1,IF($T557="",0,$T557)/Config!$B$23)*100)))),MIN(100,Config!$B$27*MAX(0,MIN(100,(1-IF($R557="",0,$R557))*100)) + Config!$B$28*MAX(0,MIN(100,(1-MIN(1,IF(Config!$B$30=0,1,$S557/Config!$B$30)))*100)) + Config!$B$29*MAX(0,MIN(100,MIN(1,IF($T557="",0,$T557)/Config!$B$23)*100))))),"")
</f>
        <v/>
      </c>
      <c r="V557" s="40" t="str">
        <f>IF(Bids!$D556="","",Bids!$D556)</f>
        <v/>
      </c>
      <c r="W557" s="40" t="str">
        <f>IF(Bids!$F556="","",Bids!$F556)</f>
        <v/>
      </c>
      <c r="X557" s="40" t="str">
        <f t="shared" si="5"/>
        <v/>
      </c>
      <c r="Y557" s="40" t="str">
        <f>IF($X557="","",IF(Config!$B$17=Config!$B$16,IF($X557&gt;=Config!$B$17,100,0),MAX(0,MIN(100,($X557-Config!$B$16)/(Config!$B$17-Config!$B$16)*100))))</f>
        <v/>
      </c>
      <c r="Z557" s="40">
        <f>IF($M557="Elite",Config!$B$21,0)</f>
        <v>0</v>
      </c>
      <c r="AA557" s="40" t="str">
        <f>IFERROR(IF(OR($W557="",$H557=""),"",IF($W557&gt;$H557,
  MAX(0, 60-(($W557-$H557)*24/Config!$B$19)*60),
  MIN(100, 60+(($H557-$W557)*24/Config!$B$20)*40)
)),"")
</f>
        <v/>
      </c>
      <c r="AB557" s="40" t="str">
        <f>IF($K557="","",IFERROR(VLOOKUP($K557,Grinders!$A$4:$N$998,10,FALSE)/5*100,""))</f>
        <v/>
      </c>
      <c r="AC557" s="40" t="str">
        <f>IF($K557="","",IFERROR(VLOOKUP($K557,Grinders!$A$4:$N$998,11,FALSE)*100,""))</f>
        <v/>
      </c>
      <c r="AD557" s="40" t="str">
        <f>IF($K557="","",IFERROR(VLOOKUP($K557,Grinders!$A$4:$N$998,12,FALSE)*100,""))</f>
        <v/>
      </c>
      <c r="AE557" s="40">
        <f>IFERROR(IFS(
    OR($C557="", $K557=""), 0,
    $F557=0, 0,
    $D557&lt;&gt;"Open", 0,
    COUNTIFS(GrinderServices!$B$4:$B$998, $K557, GrinderServices!$C$4:$C$998, $E557, GrinderServices!$E$4:$E$998, "Y")=0, 0,
    $X557&lt;Config!$B$16, 0,
    Config!$B$18=1, IF($O557&gt;=N557, 0, 1),
    TRUE, 1
), "")
</f>
        <v>0</v>
      </c>
      <c r="AF557" s="40" t="str">
        <f>IFERROR(IF($AE557=0,"",((Config!$B$6*$Y557 + Config!$B$7*$U557 + Config!$B$8*$Z557 + Config!$B$9*$AA557 + Config!$B$10*$AB557 + Config!$B$11*$AC557 - Config!$B$12*$AD557)/Config!$B$13)+$AK557+$AL557),"")</f>
        <v/>
      </c>
      <c r="AG557" s="40" t="str">
        <f t="shared" si="6"/>
        <v/>
      </c>
      <c r="AH557" s="40" t="str">
        <f t="shared" si="7"/>
        <v/>
      </c>
      <c r="AI557" s="40" t="str">
        <f t="shared" si="8"/>
        <v/>
      </c>
      <c r="AJ557" s="40" t="str">
        <f>IF($K557="","",COUNTIF(Assignments!$B$6:$B$1000,$K557))</f>
        <v/>
      </c>
      <c r="AK557" s="40" t="str">
        <f>IF($K557="","",IF(AND($AJ557=0,$O557&lt;$N557),Config!$B$43,0))</f>
        <v/>
      </c>
      <c r="AL557" s="40" t="str">
        <f>IF($K557="","",IF(AND($M557="Elite",$G557&gt;=Config!$B$41,$O557&lt;$N557),Config!$B$42,0))</f>
        <v/>
      </c>
      <c r="AM557" s="22"/>
    </row>
    <row r="558" ht="15.75" customHeight="1">
      <c r="A558" s="40" t="str">
        <f t="shared" si="1"/>
        <v/>
      </c>
      <c r="B558" s="40" t="str">
        <f>IF(Bids!$A557="","",Bids!$A557)</f>
        <v/>
      </c>
      <c r="C558" s="40" t="str">
        <f>IF(Bids!$B557="","",Bids!$B557)</f>
        <v/>
      </c>
      <c r="D558" s="40" t="str">
        <f>IF($C558="","",IFERROR(VLOOKUP($C558,Orders!$A$4:$J$998,9,FALSE),""))</f>
        <v/>
      </c>
      <c r="E558" s="40" t="str">
        <f>IF($C558="","",IFERROR(VLOOKUP($C558,Orders!$A$4:$J$998,3,FALSE),""))</f>
        <v/>
      </c>
      <c r="F558" s="40">
        <f t="shared" si="2"/>
        <v>1</v>
      </c>
      <c r="G558" s="40" t="str">
        <f>IF($C558="","",IFERROR(VLOOKUP($C558,Orders!$A$4:$J$998,4,FALSE),""))</f>
        <v/>
      </c>
      <c r="H558" s="40" t="str">
        <f>IF($C558="","",IFERROR(VLOOKUP($C558,Orders!$A$4:$J$998,5,FALSE),""))</f>
        <v/>
      </c>
      <c r="I558" s="40" t="str">
        <f>IF($C558="","",IFERROR(VLOOKUP($C558,Orders!$A$4:$J$998,6,FALSE),""))</f>
        <v/>
      </c>
      <c r="J558" s="40" t="str">
        <f>IF($C558="","",IFERROR(VLOOKUP($C558,Orders!$A$4:$J$998,7,FALSE),""))</f>
        <v/>
      </c>
      <c r="K558" s="40" t="str">
        <f>IF(Bids!$C557="","",Bids!$C557)</f>
        <v/>
      </c>
      <c r="L558" s="40" t="str">
        <f>IF($K558="","",IFERROR(VLOOKUP($K558,Grinders!$A$4:$N$998,2,FALSE),""))</f>
        <v/>
      </c>
      <c r="M558" s="40" t="str">
        <f>IF($K558="","",IFERROR(VLOOKUP($K558,Grinders!$A$4:$N$998,3,FALSE),""))</f>
        <v/>
      </c>
      <c r="N558" s="40" t="str">
        <f>IF($K558="","",IFERROR(VLOOKUP($K558,Grinders!$A$4:$N$998,4,FALSE),""))</f>
        <v/>
      </c>
      <c r="O558" s="40" t="str">
        <f>IF($K558="","",IFERROR(VLOOKUP($K558,Grinders!$A$4:$N$998,5,FALSE),""))</f>
        <v/>
      </c>
      <c r="P558" s="40" t="str">
        <f>IF($K558="","",IF($C$4="",0,COUNTIFS(Assignments!$B$6:$B$1000,$K558,Assignments!$F$6:$F$1000,$C$4,Assignments!$E$6:$E$1000,"Active")))</f>
        <v/>
      </c>
      <c r="Q558" s="40" t="str">
        <f t="shared" si="3"/>
        <v/>
      </c>
      <c r="R558" s="40" t="str">
        <f t="shared" si="4"/>
        <v/>
      </c>
      <c r="S558" s="40" t="str">
        <f>IF($K558="","",IF($C$4="",0,COUNTIFS(Assignments!$B$6:$B$1000,$K558,Assignments!$F$6:$F$1000,$C$4,Assignments!$D$6:$D$1000,"&gt;="&amp;Config!$B$3-7,Assignments!$D$6:$D$1000,"&lt;="&amp;Config!$B$3)))</f>
        <v/>
      </c>
      <c r="T558" s="40" t="str">
        <f>IF($K558="","",IFERROR(VLOOKUP($K558,Grinders!$A$4:$N$998,8,FALSE),""))</f>
        <v/>
      </c>
      <c r="U558" s="40" t="str">
        <f>IFERROR(IF($K558="","",IF($M558="Elite",MAX(50,MIN(100,Config!$B$27*MAX(0,MIN(100,(1-IF($R558="",0,$R558))*100)) + Config!$B$28*MAX(0,MIN(100,(1-MIN(1,IF(Config!$B$30=0,1,$S558/Config!$B$30)))*100)) + Config!$B$29*MAX(0,MIN(100,MIN(1,IF($T558="",0,$T558)/Config!$B$23)*100)))),MIN(100,Config!$B$27*MAX(0,MIN(100,(1-IF($R558="",0,$R558))*100)) + Config!$B$28*MAX(0,MIN(100,(1-MIN(1,IF(Config!$B$30=0,1,$S558/Config!$B$30)))*100)) + Config!$B$29*MAX(0,MIN(100,MIN(1,IF($T558="",0,$T558)/Config!$B$23)*100))))),"")
</f>
        <v/>
      </c>
      <c r="V558" s="40" t="str">
        <f>IF(Bids!$D557="","",Bids!$D557)</f>
        <v/>
      </c>
      <c r="W558" s="40" t="str">
        <f>IF(Bids!$F557="","",Bids!$F557)</f>
        <v/>
      </c>
      <c r="X558" s="40" t="str">
        <f t="shared" si="5"/>
        <v/>
      </c>
      <c r="Y558" s="40" t="str">
        <f>IF($X558="","",IF(Config!$B$17=Config!$B$16,IF($X558&gt;=Config!$B$17,100,0),MAX(0,MIN(100,($X558-Config!$B$16)/(Config!$B$17-Config!$B$16)*100))))</f>
        <v/>
      </c>
      <c r="Z558" s="40">
        <f>IF($M558="Elite",Config!$B$21,0)</f>
        <v>0</v>
      </c>
      <c r="AA558" s="40" t="str">
        <f>IFERROR(IF(OR($W558="",$H558=""),"",IF($W558&gt;$H558,
  MAX(0, 60-(($W558-$H558)*24/Config!$B$19)*60),
  MIN(100, 60+(($H558-$W558)*24/Config!$B$20)*40)
)),"")
</f>
        <v/>
      </c>
      <c r="AB558" s="40" t="str">
        <f>IF($K558="","",IFERROR(VLOOKUP($K558,Grinders!$A$4:$N$998,10,FALSE)/5*100,""))</f>
        <v/>
      </c>
      <c r="AC558" s="40" t="str">
        <f>IF($K558="","",IFERROR(VLOOKUP($K558,Grinders!$A$4:$N$998,11,FALSE)*100,""))</f>
        <v/>
      </c>
      <c r="AD558" s="40" t="str">
        <f>IF($K558="","",IFERROR(VLOOKUP($K558,Grinders!$A$4:$N$998,12,FALSE)*100,""))</f>
        <v/>
      </c>
      <c r="AE558" s="40">
        <f>IFERROR(IFS(
    OR($C558="", $K558=""), 0,
    $F558=0, 0,
    $D558&lt;&gt;"Open", 0,
    COUNTIFS(GrinderServices!$B$4:$B$998, $K558, GrinderServices!$C$4:$C$998, $E558, GrinderServices!$E$4:$E$998, "Y")=0, 0,
    $X558&lt;Config!$B$16, 0,
    Config!$B$18=1, IF($O558&gt;=N558, 0, 1),
    TRUE, 1
), "")
</f>
        <v>0</v>
      </c>
      <c r="AF558" s="40" t="str">
        <f>IFERROR(IF($AE558=0,"",((Config!$B$6*$Y558 + Config!$B$7*$U558 + Config!$B$8*$Z558 + Config!$B$9*$AA558 + Config!$B$10*$AB558 + Config!$B$11*$AC558 - Config!$B$12*$AD558)/Config!$B$13)+$AK558+$AL558),"")</f>
        <v/>
      </c>
      <c r="AG558" s="40" t="str">
        <f t="shared" si="6"/>
        <v/>
      </c>
      <c r="AH558" s="40" t="str">
        <f t="shared" si="7"/>
        <v/>
      </c>
      <c r="AI558" s="40" t="str">
        <f t="shared" si="8"/>
        <v/>
      </c>
      <c r="AJ558" s="40" t="str">
        <f>IF($K558="","",COUNTIF(Assignments!$B$6:$B$1000,$K558))</f>
        <v/>
      </c>
      <c r="AK558" s="40" t="str">
        <f>IF($K558="","",IF(AND($AJ558=0,$O558&lt;$N558),Config!$B$43,0))</f>
        <v/>
      </c>
      <c r="AL558" s="40" t="str">
        <f>IF($K558="","",IF(AND($M558="Elite",$G558&gt;=Config!$B$41,$O558&lt;$N558),Config!$B$42,0))</f>
        <v/>
      </c>
      <c r="AM558" s="22"/>
    </row>
    <row r="559" ht="15.75" customHeight="1">
      <c r="A559" s="40" t="str">
        <f t="shared" si="1"/>
        <v/>
      </c>
      <c r="B559" s="40" t="str">
        <f>IF(Bids!$A558="","",Bids!$A558)</f>
        <v/>
      </c>
      <c r="C559" s="40" t="str">
        <f>IF(Bids!$B558="","",Bids!$B558)</f>
        <v/>
      </c>
      <c r="D559" s="40" t="str">
        <f>IF($C559="","",IFERROR(VLOOKUP($C559,Orders!$A$4:$J$998,9,FALSE),""))</f>
        <v/>
      </c>
      <c r="E559" s="40" t="str">
        <f>IF($C559="","",IFERROR(VLOOKUP($C559,Orders!$A$4:$J$998,3,FALSE),""))</f>
        <v/>
      </c>
      <c r="F559" s="40">
        <f t="shared" si="2"/>
        <v>1</v>
      </c>
      <c r="G559" s="40" t="str">
        <f>IF($C559="","",IFERROR(VLOOKUP($C559,Orders!$A$4:$J$998,4,FALSE),""))</f>
        <v/>
      </c>
      <c r="H559" s="40" t="str">
        <f>IF($C559="","",IFERROR(VLOOKUP($C559,Orders!$A$4:$J$998,5,FALSE),""))</f>
        <v/>
      </c>
      <c r="I559" s="40" t="str">
        <f>IF($C559="","",IFERROR(VLOOKUP($C559,Orders!$A$4:$J$998,6,FALSE),""))</f>
        <v/>
      </c>
      <c r="J559" s="40" t="str">
        <f>IF($C559="","",IFERROR(VLOOKUP($C559,Orders!$A$4:$J$998,7,FALSE),""))</f>
        <v/>
      </c>
      <c r="K559" s="40" t="str">
        <f>IF(Bids!$C558="","",Bids!$C558)</f>
        <v/>
      </c>
      <c r="L559" s="40" t="str">
        <f>IF($K559="","",IFERROR(VLOOKUP($K559,Grinders!$A$4:$N$998,2,FALSE),""))</f>
        <v/>
      </c>
      <c r="M559" s="40" t="str">
        <f>IF($K559="","",IFERROR(VLOOKUP($K559,Grinders!$A$4:$N$998,3,FALSE),""))</f>
        <v/>
      </c>
      <c r="N559" s="40" t="str">
        <f>IF($K559="","",IFERROR(VLOOKUP($K559,Grinders!$A$4:$N$998,4,FALSE),""))</f>
        <v/>
      </c>
      <c r="O559" s="40" t="str">
        <f>IF($K559="","",IFERROR(VLOOKUP($K559,Grinders!$A$4:$N$998,5,FALSE),""))</f>
        <v/>
      </c>
      <c r="P559" s="40" t="str">
        <f>IF($K559="","",IF($C$4="",0,COUNTIFS(Assignments!$B$6:$B$1000,$K559,Assignments!$F$6:$F$1000,$C$4,Assignments!$E$6:$E$1000,"Active")))</f>
        <v/>
      </c>
      <c r="Q559" s="40" t="str">
        <f t="shared" si="3"/>
        <v/>
      </c>
      <c r="R559" s="40" t="str">
        <f t="shared" si="4"/>
        <v/>
      </c>
      <c r="S559" s="40" t="str">
        <f>IF($K559="","",IF($C$4="",0,COUNTIFS(Assignments!$B$6:$B$1000,$K559,Assignments!$F$6:$F$1000,$C$4,Assignments!$D$6:$D$1000,"&gt;="&amp;Config!$B$3-7,Assignments!$D$6:$D$1000,"&lt;="&amp;Config!$B$3)))</f>
        <v/>
      </c>
      <c r="T559" s="40" t="str">
        <f>IF($K559="","",IFERROR(VLOOKUP($K559,Grinders!$A$4:$N$998,8,FALSE),""))</f>
        <v/>
      </c>
      <c r="U559" s="40" t="str">
        <f>IFERROR(IF($K559="","",IF($M559="Elite",MAX(50,MIN(100,Config!$B$27*MAX(0,MIN(100,(1-IF($R559="",0,$R559))*100)) + Config!$B$28*MAX(0,MIN(100,(1-MIN(1,IF(Config!$B$30=0,1,$S559/Config!$B$30)))*100)) + Config!$B$29*MAX(0,MIN(100,MIN(1,IF($T559="",0,$T559)/Config!$B$23)*100)))),MIN(100,Config!$B$27*MAX(0,MIN(100,(1-IF($R559="",0,$R559))*100)) + Config!$B$28*MAX(0,MIN(100,(1-MIN(1,IF(Config!$B$30=0,1,$S559/Config!$B$30)))*100)) + Config!$B$29*MAX(0,MIN(100,MIN(1,IF($T559="",0,$T559)/Config!$B$23)*100))))),"")
</f>
        <v/>
      </c>
      <c r="V559" s="40" t="str">
        <f>IF(Bids!$D558="","",Bids!$D558)</f>
        <v/>
      </c>
      <c r="W559" s="40" t="str">
        <f>IF(Bids!$F558="","",Bids!$F558)</f>
        <v/>
      </c>
      <c r="X559" s="40" t="str">
        <f t="shared" si="5"/>
        <v/>
      </c>
      <c r="Y559" s="40" t="str">
        <f>IF($X559="","",IF(Config!$B$17=Config!$B$16,IF($X559&gt;=Config!$B$17,100,0),MAX(0,MIN(100,($X559-Config!$B$16)/(Config!$B$17-Config!$B$16)*100))))</f>
        <v/>
      </c>
      <c r="Z559" s="40">
        <f>IF($M559="Elite",Config!$B$21,0)</f>
        <v>0</v>
      </c>
      <c r="AA559" s="40" t="str">
        <f>IFERROR(IF(OR($W559="",$H559=""),"",IF($W559&gt;$H559,
  MAX(0, 60-(($W559-$H559)*24/Config!$B$19)*60),
  MIN(100, 60+(($H559-$W559)*24/Config!$B$20)*40)
)),"")
</f>
        <v/>
      </c>
      <c r="AB559" s="40" t="str">
        <f>IF($K559="","",IFERROR(VLOOKUP($K559,Grinders!$A$4:$N$998,10,FALSE)/5*100,""))</f>
        <v/>
      </c>
      <c r="AC559" s="40" t="str">
        <f>IF($K559="","",IFERROR(VLOOKUP($K559,Grinders!$A$4:$N$998,11,FALSE)*100,""))</f>
        <v/>
      </c>
      <c r="AD559" s="40" t="str">
        <f>IF($K559="","",IFERROR(VLOOKUP($K559,Grinders!$A$4:$N$998,12,FALSE)*100,""))</f>
        <v/>
      </c>
      <c r="AE559" s="40">
        <f>IFERROR(IFS(
    OR($C559="", $K559=""), 0,
    $F559=0, 0,
    $D559&lt;&gt;"Open", 0,
    COUNTIFS(GrinderServices!$B$4:$B$998, $K559, GrinderServices!$C$4:$C$998, $E559, GrinderServices!$E$4:$E$998, "Y")=0, 0,
    $X559&lt;Config!$B$16, 0,
    Config!$B$18=1, IF($O559&gt;=N559, 0, 1),
    TRUE, 1
), "")
</f>
        <v>0</v>
      </c>
      <c r="AF559" s="40" t="str">
        <f>IFERROR(IF($AE559=0,"",((Config!$B$6*$Y559 + Config!$B$7*$U559 + Config!$B$8*$Z559 + Config!$B$9*$AA559 + Config!$B$10*$AB559 + Config!$B$11*$AC559 - Config!$B$12*$AD559)/Config!$B$13)+$AK559+$AL559),"")</f>
        <v/>
      </c>
      <c r="AG559" s="40" t="str">
        <f t="shared" si="6"/>
        <v/>
      </c>
      <c r="AH559" s="40" t="str">
        <f t="shared" si="7"/>
        <v/>
      </c>
      <c r="AI559" s="40" t="str">
        <f t="shared" si="8"/>
        <v/>
      </c>
      <c r="AJ559" s="40" t="str">
        <f>IF($K559="","",COUNTIF(Assignments!$B$6:$B$1000,$K559))</f>
        <v/>
      </c>
      <c r="AK559" s="40" t="str">
        <f>IF($K559="","",IF(AND($AJ559=0,$O559&lt;$N559),Config!$B$43,0))</f>
        <v/>
      </c>
      <c r="AL559" s="40" t="str">
        <f>IF($K559="","",IF(AND($M559="Elite",$G559&gt;=Config!$B$41,$O559&lt;$N559),Config!$B$42,0))</f>
        <v/>
      </c>
      <c r="AM559" s="22"/>
    </row>
    <row r="560" ht="15.75" customHeight="1">
      <c r="A560" s="40" t="str">
        <f t="shared" si="1"/>
        <v/>
      </c>
      <c r="B560" s="40" t="str">
        <f>IF(Bids!$A559="","",Bids!$A559)</f>
        <v/>
      </c>
      <c r="C560" s="40" t="str">
        <f>IF(Bids!$B559="","",Bids!$B559)</f>
        <v/>
      </c>
      <c r="D560" s="40" t="str">
        <f>IF($C560="","",IFERROR(VLOOKUP($C560,Orders!$A$4:$J$998,9,FALSE),""))</f>
        <v/>
      </c>
      <c r="E560" s="40" t="str">
        <f>IF($C560="","",IFERROR(VLOOKUP($C560,Orders!$A$4:$J$998,3,FALSE),""))</f>
        <v/>
      </c>
      <c r="F560" s="40">
        <f t="shared" si="2"/>
        <v>1</v>
      </c>
      <c r="G560" s="40" t="str">
        <f>IF($C560="","",IFERROR(VLOOKUP($C560,Orders!$A$4:$J$998,4,FALSE),""))</f>
        <v/>
      </c>
      <c r="H560" s="40" t="str">
        <f>IF($C560="","",IFERROR(VLOOKUP($C560,Orders!$A$4:$J$998,5,FALSE),""))</f>
        <v/>
      </c>
      <c r="I560" s="40" t="str">
        <f>IF($C560="","",IFERROR(VLOOKUP($C560,Orders!$A$4:$J$998,6,FALSE),""))</f>
        <v/>
      </c>
      <c r="J560" s="40" t="str">
        <f>IF($C560="","",IFERROR(VLOOKUP($C560,Orders!$A$4:$J$998,7,FALSE),""))</f>
        <v/>
      </c>
      <c r="K560" s="40" t="str">
        <f>IF(Bids!$C559="","",Bids!$C559)</f>
        <v/>
      </c>
      <c r="L560" s="40" t="str">
        <f>IF($K560="","",IFERROR(VLOOKUP($K560,Grinders!$A$4:$N$998,2,FALSE),""))</f>
        <v/>
      </c>
      <c r="M560" s="40" t="str">
        <f>IF($K560="","",IFERROR(VLOOKUP($K560,Grinders!$A$4:$N$998,3,FALSE),""))</f>
        <v/>
      </c>
      <c r="N560" s="40" t="str">
        <f>IF($K560="","",IFERROR(VLOOKUP($K560,Grinders!$A$4:$N$998,4,FALSE),""))</f>
        <v/>
      </c>
      <c r="O560" s="40" t="str">
        <f>IF($K560="","",IFERROR(VLOOKUP($K560,Grinders!$A$4:$N$998,5,FALSE),""))</f>
        <v/>
      </c>
      <c r="P560" s="40" t="str">
        <f>IF($K560="","",IF($C$4="",0,COUNTIFS(Assignments!$B$6:$B$1000,$K560,Assignments!$F$6:$F$1000,$C$4,Assignments!$E$6:$E$1000,"Active")))</f>
        <v/>
      </c>
      <c r="Q560" s="40" t="str">
        <f t="shared" si="3"/>
        <v/>
      </c>
      <c r="R560" s="40" t="str">
        <f t="shared" si="4"/>
        <v/>
      </c>
      <c r="S560" s="40" t="str">
        <f>IF($K560="","",IF($C$4="",0,COUNTIFS(Assignments!$B$6:$B$1000,$K560,Assignments!$F$6:$F$1000,$C$4,Assignments!$D$6:$D$1000,"&gt;="&amp;Config!$B$3-7,Assignments!$D$6:$D$1000,"&lt;="&amp;Config!$B$3)))</f>
        <v/>
      </c>
      <c r="T560" s="40" t="str">
        <f>IF($K560="","",IFERROR(VLOOKUP($K560,Grinders!$A$4:$N$998,8,FALSE),""))</f>
        <v/>
      </c>
      <c r="U560" s="40" t="str">
        <f>IFERROR(IF($K560="","",IF($M560="Elite",MAX(50,MIN(100,Config!$B$27*MAX(0,MIN(100,(1-IF($R560="",0,$R560))*100)) + Config!$B$28*MAX(0,MIN(100,(1-MIN(1,IF(Config!$B$30=0,1,$S560/Config!$B$30)))*100)) + Config!$B$29*MAX(0,MIN(100,MIN(1,IF($T560="",0,$T560)/Config!$B$23)*100)))),MIN(100,Config!$B$27*MAX(0,MIN(100,(1-IF($R560="",0,$R560))*100)) + Config!$B$28*MAX(0,MIN(100,(1-MIN(1,IF(Config!$B$30=0,1,$S560/Config!$B$30)))*100)) + Config!$B$29*MAX(0,MIN(100,MIN(1,IF($T560="",0,$T560)/Config!$B$23)*100))))),"")
</f>
        <v/>
      </c>
      <c r="V560" s="40" t="str">
        <f>IF(Bids!$D559="","",Bids!$D559)</f>
        <v/>
      </c>
      <c r="W560" s="40" t="str">
        <f>IF(Bids!$F559="","",Bids!$F559)</f>
        <v/>
      </c>
      <c r="X560" s="40" t="str">
        <f t="shared" si="5"/>
        <v/>
      </c>
      <c r="Y560" s="40" t="str">
        <f>IF($X560="","",IF(Config!$B$17=Config!$B$16,IF($X560&gt;=Config!$B$17,100,0),MAX(0,MIN(100,($X560-Config!$B$16)/(Config!$B$17-Config!$B$16)*100))))</f>
        <v/>
      </c>
      <c r="Z560" s="40">
        <f>IF($M560="Elite",Config!$B$21,0)</f>
        <v>0</v>
      </c>
      <c r="AA560" s="40" t="str">
        <f>IFERROR(IF(OR($W560="",$H560=""),"",IF($W560&gt;$H560,
  MAX(0, 60-(($W560-$H560)*24/Config!$B$19)*60),
  MIN(100, 60+(($H560-$W560)*24/Config!$B$20)*40)
)),"")
</f>
        <v/>
      </c>
      <c r="AB560" s="40" t="str">
        <f>IF($K560="","",IFERROR(VLOOKUP($K560,Grinders!$A$4:$N$998,10,FALSE)/5*100,""))</f>
        <v/>
      </c>
      <c r="AC560" s="40" t="str">
        <f>IF($K560="","",IFERROR(VLOOKUP($K560,Grinders!$A$4:$N$998,11,FALSE)*100,""))</f>
        <v/>
      </c>
      <c r="AD560" s="40" t="str">
        <f>IF($K560="","",IFERROR(VLOOKUP($K560,Grinders!$A$4:$N$998,12,FALSE)*100,""))</f>
        <v/>
      </c>
      <c r="AE560" s="40">
        <f>IFERROR(IFS(
    OR($C560="", $K560=""), 0,
    $F560=0, 0,
    $D560&lt;&gt;"Open", 0,
    COUNTIFS(GrinderServices!$B$4:$B$998, $K560, GrinderServices!$C$4:$C$998, $E560, GrinderServices!$E$4:$E$998, "Y")=0, 0,
    $X560&lt;Config!$B$16, 0,
    Config!$B$18=1, IF($O560&gt;=N560, 0, 1),
    TRUE, 1
), "")
</f>
        <v>0</v>
      </c>
      <c r="AF560" s="40" t="str">
        <f>IFERROR(IF($AE560=0,"",((Config!$B$6*$Y560 + Config!$B$7*$U560 + Config!$B$8*$Z560 + Config!$B$9*$AA560 + Config!$B$10*$AB560 + Config!$B$11*$AC560 - Config!$B$12*$AD560)/Config!$B$13)+$AK560+$AL560),"")</f>
        <v/>
      </c>
      <c r="AG560" s="40" t="str">
        <f t="shared" si="6"/>
        <v/>
      </c>
      <c r="AH560" s="40" t="str">
        <f t="shared" si="7"/>
        <v/>
      </c>
      <c r="AI560" s="40" t="str">
        <f t="shared" si="8"/>
        <v/>
      </c>
      <c r="AJ560" s="40" t="str">
        <f>IF($K560="","",COUNTIF(Assignments!$B$6:$B$1000,$K560))</f>
        <v/>
      </c>
      <c r="AK560" s="40" t="str">
        <f>IF($K560="","",IF(AND($AJ560=0,$O560&lt;$N560),Config!$B$43,0))</f>
        <v/>
      </c>
      <c r="AL560" s="40" t="str">
        <f>IF($K560="","",IF(AND($M560="Elite",$G560&gt;=Config!$B$41,$O560&lt;$N560),Config!$B$42,0))</f>
        <v/>
      </c>
      <c r="AM560" s="22"/>
    </row>
    <row r="561" ht="15.75" customHeight="1">
      <c r="A561" s="40" t="str">
        <f t="shared" si="1"/>
        <v/>
      </c>
      <c r="B561" s="40" t="str">
        <f>IF(Bids!$A560="","",Bids!$A560)</f>
        <v/>
      </c>
      <c r="C561" s="40" t="str">
        <f>IF(Bids!$B560="","",Bids!$B560)</f>
        <v/>
      </c>
      <c r="D561" s="40" t="str">
        <f>IF($C561="","",IFERROR(VLOOKUP($C561,Orders!$A$4:$J$998,9,FALSE),""))</f>
        <v/>
      </c>
      <c r="E561" s="40" t="str">
        <f>IF($C561="","",IFERROR(VLOOKUP($C561,Orders!$A$4:$J$998,3,FALSE),""))</f>
        <v/>
      </c>
      <c r="F561" s="40">
        <f t="shared" si="2"/>
        <v>1</v>
      </c>
      <c r="G561" s="40" t="str">
        <f>IF($C561="","",IFERROR(VLOOKUP($C561,Orders!$A$4:$J$998,4,FALSE),""))</f>
        <v/>
      </c>
      <c r="H561" s="40" t="str">
        <f>IF($C561="","",IFERROR(VLOOKUP($C561,Orders!$A$4:$J$998,5,FALSE),""))</f>
        <v/>
      </c>
      <c r="I561" s="40" t="str">
        <f>IF($C561="","",IFERROR(VLOOKUP($C561,Orders!$A$4:$J$998,6,FALSE),""))</f>
        <v/>
      </c>
      <c r="J561" s="40" t="str">
        <f>IF($C561="","",IFERROR(VLOOKUP($C561,Orders!$A$4:$J$998,7,FALSE),""))</f>
        <v/>
      </c>
      <c r="K561" s="40" t="str">
        <f>IF(Bids!$C560="","",Bids!$C560)</f>
        <v/>
      </c>
      <c r="L561" s="40" t="str">
        <f>IF($K561="","",IFERROR(VLOOKUP($K561,Grinders!$A$4:$N$998,2,FALSE),""))</f>
        <v/>
      </c>
      <c r="M561" s="40" t="str">
        <f>IF($K561="","",IFERROR(VLOOKUP($K561,Grinders!$A$4:$N$998,3,FALSE),""))</f>
        <v/>
      </c>
      <c r="N561" s="40" t="str">
        <f>IF($K561="","",IFERROR(VLOOKUP($K561,Grinders!$A$4:$N$998,4,FALSE),""))</f>
        <v/>
      </c>
      <c r="O561" s="40" t="str">
        <f>IF($K561="","",IFERROR(VLOOKUP($K561,Grinders!$A$4:$N$998,5,FALSE),""))</f>
        <v/>
      </c>
      <c r="P561" s="40" t="str">
        <f>IF($K561="","",IF($C$4="",0,COUNTIFS(Assignments!$B$6:$B$1000,$K561,Assignments!$F$6:$F$1000,$C$4,Assignments!$E$6:$E$1000,"Active")))</f>
        <v/>
      </c>
      <c r="Q561" s="40" t="str">
        <f t="shared" si="3"/>
        <v/>
      </c>
      <c r="R561" s="40" t="str">
        <f t="shared" si="4"/>
        <v/>
      </c>
      <c r="S561" s="40" t="str">
        <f>IF($K561="","",IF($C$4="",0,COUNTIFS(Assignments!$B$6:$B$1000,$K561,Assignments!$F$6:$F$1000,$C$4,Assignments!$D$6:$D$1000,"&gt;="&amp;Config!$B$3-7,Assignments!$D$6:$D$1000,"&lt;="&amp;Config!$B$3)))</f>
        <v/>
      </c>
      <c r="T561" s="40" t="str">
        <f>IF($K561="","",IFERROR(VLOOKUP($K561,Grinders!$A$4:$N$998,8,FALSE),""))</f>
        <v/>
      </c>
      <c r="U561" s="40" t="str">
        <f>IFERROR(IF($K561="","",IF($M561="Elite",MAX(50,MIN(100,Config!$B$27*MAX(0,MIN(100,(1-IF($R561="",0,$R561))*100)) + Config!$B$28*MAX(0,MIN(100,(1-MIN(1,IF(Config!$B$30=0,1,$S561/Config!$B$30)))*100)) + Config!$B$29*MAX(0,MIN(100,MIN(1,IF($T561="",0,$T561)/Config!$B$23)*100)))),MIN(100,Config!$B$27*MAX(0,MIN(100,(1-IF($R561="",0,$R561))*100)) + Config!$B$28*MAX(0,MIN(100,(1-MIN(1,IF(Config!$B$30=0,1,$S561/Config!$B$30)))*100)) + Config!$B$29*MAX(0,MIN(100,MIN(1,IF($T561="",0,$T561)/Config!$B$23)*100))))),"")
</f>
        <v/>
      </c>
      <c r="V561" s="40" t="str">
        <f>IF(Bids!$D560="","",Bids!$D560)</f>
        <v/>
      </c>
      <c r="W561" s="40" t="str">
        <f>IF(Bids!$F560="","",Bids!$F560)</f>
        <v/>
      </c>
      <c r="X561" s="40" t="str">
        <f t="shared" si="5"/>
        <v/>
      </c>
      <c r="Y561" s="40" t="str">
        <f>IF($X561="","",IF(Config!$B$17=Config!$B$16,IF($X561&gt;=Config!$B$17,100,0),MAX(0,MIN(100,($X561-Config!$B$16)/(Config!$B$17-Config!$B$16)*100))))</f>
        <v/>
      </c>
      <c r="Z561" s="40">
        <f>IF($M561="Elite",Config!$B$21,0)</f>
        <v>0</v>
      </c>
      <c r="AA561" s="40" t="str">
        <f>IFERROR(IF(OR($W561="",$H561=""),"",IF($W561&gt;$H561,
  MAX(0, 60-(($W561-$H561)*24/Config!$B$19)*60),
  MIN(100, 60+(($H561-$W561)*24/Config!$B$20)*40)
)),"")
</f>
        <v/>
      </c>
      <c r="AB561" s="40" t="str">
        <f>IF($K561="","",IFERROR(VLOOKUP($K561,Grinders!$A$4:$N$998,10,FALSE)/5*100,""))</f>
        <v/>
      </c>
      <c r="AC561" s="40" t="str">
        <f>IF($K561="","",IFERROR(VLOOKUP($K561,Grinders!$A$4:$N$998,11,FALSE)*100,""))</f>
        <v/>
      </c>
      <c r="AD561" s="40" t="str">
        <f>IF($K561="","",IFERROR(VLOOKUP($K561,Grinders!$A$4:$N$998,12,FALSE)*100,""))</f>
        <v/>
      </c>
      <c r="AE561" s="40">
        <f>IFERROR(IFS(
    OR($C561="", $K561=""), 0,
    $F561=0, 0,
    $D561&lt;&gt;"Open", 0,
    COUNTIFS(GrinderServices!$B$4:$B$998, $K561, GrinderServices!$C$4:$C$998, $E561, GrinderServices!$E$4:$E$998, "Y")=0, 0,
    $X561&lt;Config!$B$16, 0,
    Config!$B$18=1, IF($O561&gt;=N561, 0, 1),
    TRUE, 1
), "")
</f>
        <v>0</v>
      </c>
      <c r="AF561" s="40" t="str">
        <f>IFERROR(IF($AE561=0,"",((Config!$B$6*$Y561 + Config!$B$7*$U561 + Config!$B$8*$Z561 + Config!$B$9*$AA561 + Config!$B$10*$AB561 + Config!$B$11*$AC561 - Config!$B$12*$AD561)/Config!$B$13)+$AK561+$AL561),"")</f>
        <v/>
      </c>
      <c r="AG561" s="40" t="str">
        <f t="shared" si="6"/>
        <v/>
      </c>
      <c r="AH561" s="40" t="str">
        <f t="shared" si="7"/>
        <v/>
      </c>
      <c r="AI561" s="40" t="str">
        <f t="shared" si="8"/>
        <v/>
      </c>
      <c r="AJ561" s="40" t="str">
        <f>IF($K561="","",COUNTIF(Assignments!$B$6:$B$1000,$K561))</f>
        <v/>
      </c>
      <c r="AK561" s="40" t="str">
        <f>IF($K561="","",IF(AND($AJ561=0,$O561&lt;$N561),Config!$B$43,0))</f>
        <v/>
      </c>
      <c r="AL561" s="40" t="str">
        <f>IF($K561="","",IF(AND($M561="Elite",$G561&gt;=Config!$B$41,$O561&lt;$N561),Config!$B$42,0))</f>
        <v/>
      </c>
      <c r="AM561" s="22"/>
    </row>
    <row r="562" ht="15.75" customHeight="1">
      <c r="A562" s="40" t="str">
        <f t="shared" si="1"/>
        <v/>
      </c>
      <c r="B562" s="40" t="str">
        <f>IF(Bids!$A561="","",Bids!$A561)</f>
        <v/>
      </c>
      <c r="C562" s="40" t="str">
        <f>IF(Bids!$B561="","",Bids!$B561)</f>
        <v/>
      </c>
      <c r="D562" s="40" t="str">
        <f>IF($C562="","",IFERROR(VLOOKUP($C562,Orders!$A$4:$J$998,9,FALSE),""))</f>
        <v/>
      </c>
      <c r="E562" s="40" t="str">
        <f>IF($C562="","",IFERROR(VLOOKUP($C562,Orders!$A$4:$J$998,3,FALSE),""))</f>
        <v/>
      </c>
      <c r="F562" s="40">
        <f t="shared" si="2"/>
        <v>1</v>
      </c>
      <c r="G562" s="40" t="str">
        <f>IF($C562="","",IFERROR(VLOOKUP($C562,Orders!$A$4:$J$998,4,FALSE),""))</f>
        <v/>
      </c>
      <c r="H562" s="40" t="str">
        <f>IF($C562="","",IFERROR(VLOOKUP($C562,Orders!$A$4:$J$998,5,FALSE),""))</f>
        <v/>
      </c>
      <c r="I562" s="40" t="str">
        <f>IF($C562="","",IFERROR(VLOOKUP($C562,Orders!$A$4:$J$998,6,FALSE),""))</f>
        <v/>
      </c>
      <c r="J562" s="40" t="str">
        <f>IF($C562="","",IFERROR(VLOOKUP($C562,Orders!$A$4:$J$998,7,FALSE),""))</f>
        <v/>
      </c>
      <c r="K562" s="40" t="str">
        <f>IF(Bids!$C561="","",Bids!$C561)</f>
        <v/>
      </c>
      <c r="L562" s="40" t="str">
        <f>IF($K562="","",IFERROR(VLOOKUP($K562,Grinders!$A$4:$N$998,2,FALSE),""))</f>
        <v/>
      </c>
      <c r="M562" s="40" t="str">
        <f>IF($K562="","",IFERROR(VLOOKUP($K562,Grinders!$A$4:$N$998,3,FALSE),""))</f>
        <v/>
      </c>
      <c r="N562" s="40" t="str">
        <f>IF($K562="","",IFERROR(VLOOKUP($K562,Grinders!$A$4:$N$998,4,FALSE),""))</f>
        <v/>
      </c>
      <c r="O562" s="40" t="str">
        <f>IF($K562="","",IFERROR(VLOOKUP($K562,Grinders!$A$4:$N$998,5,FALSE),""))</f>
        <v/>
      </c>
      <c r="P562" s="40" t="str">
        <f>IF($K562="","",IF($C$4="",0,COUNTIFS(Assignments!$B$6:$B$1000,$K562,Assignments!$F$6:$F$1000,$C$4,Assignments!$E$6:$E$1000,"Active")))</f>
        <v/>
      </c>
      <c r="Q562" s="40" t="str">
        <f t="shared" si="3"/>
        <v/>
      </c>
      <c r="R562" s="40" t="str">
        <f t="shared" si="4"/>
        <v/>
      </c>
      <c r="S562" s="40" t="str">
        <f>IF($K562="","",IF($C$4="",0,COUNTIFS(Assignments!$B$6:$B$1000,$K562,Assignments!$F$6:$F$1000,$C$4,Assignments!$D$6:$D$1000,"&gt;="&amp;Config!$B$3-7,Assignments!$D$6:$D$1000,"&lt;="&amp;Config!$B$3)))</f>
        <v/>
      </c>
      <c r="T562" s="40" t="str">
        <f>IF($K562="","",IFERROR(VLOOKUP($K562,Grinders!$A$4:$N$998,8,FALSE),""))</f>
        <v/>
      </c>
      <c r="U562" s="40" t="str">
        <f>IFERROR(IF($K562="","",IF($M562="Elite",MAX(50,MIN(100,Config!$B$27*MAX(0,MIN(100,(1-IF($R562="",0,$R562))*100)) + Config!$B$28*MAX(0,MIN(100,(1-MIN(1,IF(Config!$B$30=0,1,$S562/Config!$B$30)))*100)) + Config!$B$29*MAX(0,MIN(100,MIN(1,IF($T562="",0,$T562)/Config!$B$23)*100)))),MIN(100,Config!$B$27*MAX(0,MIN(100,(1-IF($R562="",0,$R562))*100)) + Config!$B$28*MAX(0,MIN(100,(1-MIN(1,IF(Config!$B$30=0,1,$S562/Config!$B$30)))*100)) + Config!$B$29*MAX(0,MIN(100,MIN(1,IF($T562="",0,$T562)/Config!$B$23)*100))))),"")
</f>
        <v/>
      </c>
      <c r="V562" s="40" t="str">
        <f>IF(Bids!$D561="","",Bids!$D561)</f>
        <v/>
      </c>
      <c r="W562" s="40" t="str">
        <f>IF(Bids!$F561="","",Bids!$F561)</f>
        <v/>
      </c>
      <c r="X562" s="40" t="str">
        <f t="shared" si="5"/>
        <v/>
      </c>
      <c r="Y562" s="40" t="str">
        <f>IF($X562="","",IF(Config!$B$17=Config!$B$16,IF($X562&gt;=Config!$B$17,100,0),MAX(0,MIN(100,($X562-Config!$B$16)/(Config!$B$17-Config!$B$16)*100))))</f>
        <v/>
      </c>
      <c r="Z562" s="40">
        <f>IF($M562="Elite",Config!$B$21,0)</f>
        <v>0</v>
      </c>
      <c r="AA562" s="40" t="str">
        <f>IFERROR(IF(OR($W562="",$H562=""),"",IF($W562&gt;$H562,
  MAX(0, 60-(($W562-$H562)*24/Config!$B$19)*60),
  MIN(100, 60+(($H562-$W562)*24/Config!$B$20)*40)
)),"")
</f>
        <v/>
      </c>
      <c r="AB562" s="40" t="str">
        <f>IF($K562="","",IFERROR(VLOOKUP($K562,Grinders!$A$4:$N$998,10,FALSE)/5*100,""))</f>
        <v/>
      </c>
      <c r="AC562" s="40" t="str">
        <f>IF($K562="","",IFERROR(VLOOKUP($K562,Grinders!$A$4:$N$998,11,FALSE)*100,""))</f>
        <v/>
      </c>
      <c r="AD562" s="40" t="str">
        <f>IF($K562="","",IFERROR(VLOOKUP($K562,Grinders!$A$4:$N$998,12,FALSE)*100,""))</f>
        <v/>
      </c>
      <c r="AE562" s="40">
        <f>IFERROR(IFS(
    OR($C562="", $K562=""), 0,
    $F562=0, 0,
    $D562&lt;&gt;"Open", 0,
    COUNTIFS(GrinderServices!$B$4:$B$998, $K562, GrinderServices!$C$4:$C$998, $E562, GrinderServices!$E$4:$E$998, "Y")=0, 0,
    $X562&lt;Config!$B$16, 0,
    Config!$B$18=1, IF($O562&gt;=N562, 0, 1),
    TRUE, 1
), "")
</f>
        <v>0</v>
      </c>
      <c r="AF562" s="40" t="str">
        <f>IFERROR(IF($AE562=0,"",((Config!$B$6*$Y562 + Config!$B$7*$U562 + Config!$B$8*$Z562 + Config!$B$9*$AA562 + Config!$B$10*$AB562 + Config!$B$11*$AC562 - Config!$B$12*$AD562)/Config!$B$13)+$AK562+$AL562),"")</f>
        <v/>
      </c>
      <c r="AG562" s="40" t="str">
        <f t="shared" si="6"/>
        <v/>
      </c>
      <c r="AH562" s="40" t="str">
        <f t="shared" si="7"/>
        <v/>
      </c>
      <c r="AI562" s="40" t="str">
        <f t="shared" si="8"/>
        <v/>
      </c>
      <c r="AJ562" s="40" t="str">
        <f>IF($K562="","",COUNTIF(Assignments!$B$6:$B$1000,$K562))</f>
        <v/>
      </c>
      <c r="AK562" s="40" t="str">
        <f>IF($K562="","",IF(AND($AJ562=0,$O562&lt;$N562),Config!$B$43,0))</f>
        <v/>
      </c>
      <c r="AL562" s="40" t="str">
        <f>IF($K562="","",IF(AND($M562="Elite",$G562&gt;=Config!$B$41,$O562&lt;$N562),Config!$B$42,0))</f>
        <v/>
      </c>
      <c r="AM562" s="22"/>
    </row>
    <row r="563" ht="15.75" customHeight="1">
      <c r="A563" s="40" t="str">
        <f t="shared" si="1"/>
        <v/>
      </c>
      <c r="B563" s="40" t="str">
        <f>IF(Bids!$A562="","",Bids!$A562)</f>
        <v/>
      </c>
      <c r="C563" s="40" t="str">
        <f>IF(Bids!$B562="","",Bids!$B562)</f>
        <v/>
      </c>
      <c r="D563" s="40" t="str">
        <f>IF($C563="","",IFERROR(VLOOKUP($C563,Orders!$A$4:$J$998,9,FALSE),""))</f>
        <v/>
      </c>
      <c r="E563" s="40" t="str">
        <f>IF($C563="","",IFERROR(VLOOKUP($C563,Orders!$A$4:$J$998,3,FALSE),""))</f>
        <v/>
      </c>
      <c r="F563" s="40">
        <f t="shared" si="2"/>
        <v>1</v>
      </c>
      <c r="G563" s="40" t="str">
        <f>IF($C563="","",IFERROR(VLOOKUP($C563,Orders!$A$4:$J$998,4,FALSE),""))</f>
        <v/>
      </c>
      <c r="H563" s="40" t="str">
        <f>IF($C563="","",IFERROR(VLOOKUP($C563,Orders!$A$4:$J$998,5,FALSE),""))</f>
        <v/>
      </c>
      <c r="I563" s="40" t="str">
        <f>IF($C563="","",IFERROR(VLOOKUP($C563,Orders!$A$4:$J$998,6,FALSE),""))</f>
        <v/>
      </c>
      <c r="J563" s="40" t="str">
        <f>IF($C563="","",IFERROR(VLOOKUP($C563,Orders!$A$4:$J$998,7,FALSE),""))</f>
        <v/>
      </c>
      <c r="K563" s="40" t="str">
        <f>IF(Bids!$C562="","",Bids!$C562)</f>
        <v/>
      </c>
      <c r="L563" s="40" t="str">
        <f>IF($K563="","",IFERROR(VLOOKUP($K563,Grinders!$A$4:$N$998,2,FALSE),""))</f>
        <v/>
      </c>
      <c r="M563" s="40" t="str">
        <f>IF($K563="","",IFERROR(VLOOKUP($K563,Grinders!$A$4:$N$998,3,FALSE),""))</f>
        <v/>
      </c>
      <c r="N563" s="40" t="str">
        <f>IF($K563="","",IFERROR(VLOOKUP($K563,Grinders!$A$4:$N$998,4,FALSE),""))</f>
        <v/>
      </c>
      <c r="O563" s="40" t="str">
        <f>IF($K563="","",IFERROR(VLOOKUP($K563,Grinders!$A$4:$N$998,5,FALSE),""))</f>
        <v/>
      </c>
      <c r="P563" s="40" t="str">
        <f>IF($K563="","",IF($C$4="",0,COUNTIFS(Assignments!$B$6:$B$1000,$K563,Assignments!$F$6:$F$1000,$C$4,Assignments!$E$6:$E$1000,"Active")))</f>
        <v/>
      </c>
      <c r="Q563" s="40" t="str">
        <f t="shared" si="3"/>
        <v/>
      </c>
      <c r="R563" s="40" t="str">
        <f t="shared" si="4"/>
        <v/>
      </c>
      <c r="S563" s="40" t="str">
        <f>IF($K563="","",IF($C$4="",0,COUNTIFS(Assignments!$B$6:$B$1000,$K563,Assignments!$F$6:$F$1000,$C$4,Assignments!$D$6:$D$1000,"&gt;="&amp;Config!$B$3-7,Assignments!$D$6:$D$1000,"&lt;="&amp;Config!$B$3)))</f>
        <v/>
      </c>
      <c r="T563" s="40" t="str">
        <f>IF($K563="","",IFERROR(VLOOKUP($K563,Grinders!$A$4:$N$998,8,FALSE),""))</f>
        <v/>
      </c>
      <c r="U563" s="40" t="str">
        <f>IFERROR(IF($K563="","",IF($M563="Elite",MAX(50,MIN(100,Config!$B$27*MAX(0,MIN(100,(1-IF($R563="",0,$R563))*100)) + Config!$B$28*MAX(0,MIN(100,(1-MIN(1,IF(Config!$B$30=0,1,$S563/Config!$B$30)))*100)) + Config!$B$29*MAX(0,MIN(100,MIN(1,IF($T563="",0,$T563)/Config!$B$23)*100)))),MIN(100,Config!$B$27*MAX(0,MIN(100,(1-IF($R563="",0,$R563))*100)) + Config!$B$28*MAX(0,MIN(100,(1-MIN(1,IF(Config!$B$30=0,1,$S563/Config!$B$30)))*100)) + Config!$B$29*MAX(0,MIN(100,MIN(1,IF($T563="",0,$T563)/Config!$B$23)*100))))),"")
</f>
        <v/>
      </c>
      <c r="V563" s="40" t="str">
        <f>IF(Bids!$D562="","",Bids!$D562)</f>
        <v/>
      </c>
      <c r="W563" s="40" t="str">
        <f>IF(Bids!$F562="","",Bids!$F562)</f>
        <v/>
      </c>
      <c r="X563" s="40" t="str">
        <f t="shared" si="5"/>
        <v/>
      </c>
      <c r="Y563" s="40" t="str">
        <f>IF($X563="","",IF(Config!$B$17=Config!$B$16,IF($X563&gt;=Config!$B$17,100,0),MAX(0,MIN(100,($X563-Config!$B$16)/(Config!$B$17-Config!$B$16)*100))))</f>
        <v/>
      </c>
      <c r="Z563" s="40">
        <f>IF($M563="Elite",Config!$B$21,0)</f>
        <v>0</v>
      </c>
      <c r="AA563" s="40" t="str">
        <f>IFERROR(IF(OR($W563="",$H563=""),"",IF($W563&gt;$H563,
  MAX(0, 60-(($W563-$H563)*24/Config!$B$19)*60),
  MIN(100, 60+(($H563-$W563)*24/Config!$B$20)*40)
)),"")
</f>
        <v/>
      </c>
      <c r="AB563" s="40" t="str">
        <f>IF($K563="","",IFERROR(VLOOKUP($K563,Grinders!$A$4:$N$998,10,FALSE)/5*100,""))</f>
        <v/>
      </c>
      <c r="AC563" s="40" t="str">
        <f>IF($K563="","",IFERROR(VLOOKUP($K563,Grinders!$A$4:$N$998,11,FALSE)*100,""))</f>
        <v/>
      </c>
      <c r="AD563" s="40" t="str">
        <f>IF($K563="","",IFERROR(VLOOKUP($K563,Grinders!$A$4:$N$998,12,FALSE)*100,""))</f>
        <v/>
      </c>
      <c r="AE563" s="40">
        <f>IFERROR(IFS(
    OR($C563="", $K563=""), 0,
    $F563=0, 0,
    $D563&lt;&gt;"Open", 0,
    COUNTIFS(GrinderServices!$B$4:$B$998, $K563, GrinderServices!$C$4:$C$998, $E563, GrinderServices!$E$4:$E$998, "Y")=0, 0,
    $X563&lt;Config!$B$16, 0,
    Config!$B$18=1, IF($O563&gt;=N563, 0, 1),
    TRUE, 1
), "")
</f>
        <v>0</v>
      </c>
      <c r="AF563" s="40" t="str">
        <f>IFERROR(IF($AE563=0,"",((Config!$B$6*$Y563 + Config!$B$7*$U563 + Config!$B$8*$Z563 + Config!$B$9*$AA563 + Config!$B$10*$AB563 + Config!$B$11*$AC563 - Config!$B$12*$AD563)/Config!$B$13)+$AK563+$AL563),"")</f>
        <v/>
      </c>
      <c r="AG563" s="40" t="str">
        <f t="shared" si="6"/>
        <v/>
      </c>
      <c r="AH563" s="40" t="str">
        <f t="shared" si="7"/>
        <v/>
      </c>
      <c r="AI563" s="40" t="str">
        <f t="shared" si="8"/>
        <v/>
      </c>
      <c r="AJ563" s="40" t="str">
        <f>IF($K563="","",COUNTIF(Assignments!$B$6:$B$1000,$K563))</f>
        <v/>
      </c>
      <c r="AK563" s="40" t="str">
        <f>IF($K563="","",IF(AND($AJ563=0,$O563&lt;$N563),Config!$B$43,0))</f>
        <v/>
      </c>
      <c r="AL563" s="40" t="str">
        <f>IF($K563="","",IF(AND($M563="Elite",$G563&gt;=Config!$B$41,$O563&lt;$N563),Config!$B$42,0))</f>
        <v/>
      </c>
      <c r="AM563" s="22"/>
    </row>
    <row r="564" ht="15.75" customHeight="1">
      <c r="A564" s="40" t="str">
        <f t="shared" si="1"/>
        <v/>
      </c>
      <c r="B564" s="40" t="str">
        <f>IF(Bids!$A563="","",Bids!$A563)</f>
        <v/>
      </c>
      <c r="C564" s="40" t="str">
        <f>IF(Bids!$B563="","",Bids!$B563)</f>
        <v/>
      </c>
      <c r="D564" s="40" t="str">
        <f>IF($C564="","",IFERROR(VLOOKUP($C564,Orders!$A$4:$J$998,9,FALSE),""))</f>
        <v/>
      </c>
      <c r="E564" s="40" t="str">
        <f>IF($C564="","",IFERROR(VLOOKUP($C564,Orders!$A$4:$J$998,3,FALSE),""))</f>
        <v/>
      </c>
      <c r="F564" s="40">
        <f t="shared" si="2"/>
        <v>1</v>
      </c>
      <c r="G564" s="40" t="str">
        <f>IF($C564="","",IFERROR(VLOOKUP($C564,Orders!$A$4:$J$998,4,FALSE),""))</f>
        <v/>
      </c>
      <c r="H564" s="40" t="str">
        <f>IF($C564="","",IFERROR(VLOOKUP($C564,Orders!$A$4:$J$998,5,FALSE),""))</f>
        <v/>
      </c>
      <c r="I564" s="40" t="str">
        <f>IF($C564="","",IFERROR(VLOOKUP($C564,Orders!$A$4:$J$998,6,FALSE),""))</f>
        <v/>
      </c>
      <c r="J564" s="40" t="str">
        <f>IF($C564="","",IFERROR(VLOOKUP($C564,Orders!$A$4:$J$998,7,FALSE),""))</f>
        <v/>
      </c>
      <c r="K564" s="40" t="str">
        <f>IF(Bids!$C563="","",Bids!$C563)</f>
        <v/>
      </c>
      <c r="L564" s="40" t="str">
        <f>IF($K564="","",IFERROR(VLOOKUP($K564,Grinders!$A$4:$N$998,2,FALSE),""))</f>
        <v/>
      </c>
      <c r="M564" s="40" t="str">
        <f>IF($K564="","",IFERROR(VLOOKUP($K564,Grinders!$A$4:$N$998,3,FALSE),""))</f>
        <v/>
      </c>
      <c r="N564" s="40" t="str">
        <f>IF($K564="","",IFERROR(VLOOKUP($K564,Grinders!$A$4:$N$998,4,FALSE),""))</f>
        <v/>
      </c>
      <c r="O564" s="40" t="str">
        <f>IF($K564="","",IFERROR(VLOOKUP($K564,Grinders!$A$4:$N$998,5,FALSE),""))</f>
        <v/>
      </c>
      <c r="P564" s="40" t="str">
        <f>IF($K564="","",IF($C$4="",0,COUNTIFS(Assignments!$B$6:$B$1000,$K564,Assignments!$F$6:$F$1000,$C$4,Assignments!$E$6:$E$1000,"Active")))</f>
        <v/>
      </c>
      <c r="Q564" s="40" t="str">
        <f t="shared" si="3"/>
        <v/>
      </c>
      <c r="R564" s="40" t="str">
        <f t="shared" si="4"/>
        <v/>
      </c>
      <c r="S564" s="40" t="str">
        <f>IF($K564="","",IF($C$4="",0,COUNTIFS(Assignments!$B$6:$B$1000,$K564,Assignments!$F$6:$F$1000,$C$4,Assignments!$D$6:$D$1000,"&gt;="&amp;Config!$B$3-7,Assignments!$D$6:$D$1000,"&lt;="&amp;Config!$B$3)))</f>
        <v/>
      </c>
      <c r="T564" s="40" t="str">
        <f>IF($K564="","",IFERROR(VLOOKUP($K564,Grinders!$A$4:$N$998,8,FALSE),""))</f>
        <v/>
      </c>
      <c r="U564" s="40" t="str">
        <f>IFERROR(IF($K564="","",IF($M564="Elite",MAX(50,MIN(100,Config!$B$27*MAX(0,MIN(100,(1-IF($R564="",0,$R564))*100)) + Config!$B$28*MAX(0,MIN(100,(1-MIN(1,IF(Config!$B$30=0,1,$S564/Config!$B$30)))*100)) + Config!$B$29*MAX(0,MIN(100,MIN(1,IF($T564="",0,$T564)/Config!$B$23)*100)))),MIN(100,Config!$B$27*MAX(0,MIN(100,(1-IF($R564="",0,$R564))*100)) + Config!$B$28*MAX(0,MIN(100,(1-MIN(1,IF(Config!$B$30=0,1,$S564/Config!$B$30)))*100)) + Config!$B$29*MAX(0,MIN(100,MIN(1,IF($T564="",0,$T564)/Config!$B$23)*100))))),"")
</f>
        <v/>
      </c>
      <c r="V564" s="40" t="str">
        <f>IF(Bids!$D563="","",Bids!$D563)</f>
        <v/>
      </c>
      <c r="W564" s="40" t="str">
        <f>IF(Bids!$F563="","",Bids!$F563)</f>
        <v/>
      </c>
      <c r="X564" s="40" t="str">
        <f t="shared" si="5"/>
        <v/>
      </c>
      <c r="Y564" s="40" t="str">
        <f>IF($X564="","",IF(Config!$B$17=Config!$B$16,IF($X564&gt;=Config!$B$17,100,0),MAX(0,MIN(100,($X564-Config!$B$16)/(Config!$B$17-Config!$B$16)*100))))</f>
        <v/>
      </c>
      <c r="Z564" s="40">
        <f>IF($M564="Elite",Config!$B$21,0)</f>
        <v>0</v>
      </c>
      <c r="AA564" s="40" t="str">
        <f>IFERROR(IF(OR($W564="",$H564=""),"",IF($W564&gt;$H564,
  MAX(0, 60-(($W564-$H564)*24/Config!$B$19)*60),
  MIN(100, 60+(($H564-$W564)*24/Config!$B$20)*40)
)),"")
</f>
        <v/>
      </c>
      <c r="AB564" s="40" t="str">
        <f>IF($K564="","",IFERROR(VLOOKUP($K564,Grinders!$A$4:$N$998,10,FALSE)/5*100,""))</f>
        <v/>
      </c>
      <c r="AC564" s="40" t="str">
        <f>IF($K564="","",IFERROR(VLOOKUP($K564,Grinders!$A$4:$N$998,11,FALSE)*100,""))</f>
        <v/>
      </c>
      <c r="AD564" s="40" t="str">
        <f>IF($K564="","",IFERROR(VLOOKUP($K564,Grinders!$A$4:$N$998,12,FALSE)*100,""))</f>
        <v/>
      </c>
      <c r="AE564" s="40">
        <f>IFERROR(IFS(
    OR($C564="", $K564=""), 0,
    $F564=0, 0,
    $D564&lt;&gt;"Open", 0,
    COUNTIFS(GrinderServices!$B$4:$B$998, $K564, GrinderServices!$C$4:$C$998, $E564, GrinderServices!$E$4:$E$998, "Y")=0, 0,
    $X564&lt;Config!$B$16, 0,
    Config!$B$18=1, IF($O564&gt;=N564, 0, 1),
    TRUE, 1
), "")
</f>
        <v>0</v>
      </c>
      <c r="AF564" s="40" t="str">
        <f>IFERROR(IF($AE564=0,"",((Config!$B$6*$Y564 + Config!$B$7*$U564 + Config!$B$8*$Z564 + Config!$B$9*$AA564 + Config!$B$10*$AB564 + Config!$B$11*$AC564 - Config!$B$12*$AD564)/Config!$B$13)+$AK564+$AL564),"")</f>
        <v/>
      </c>
      <c r="AG564" s="40" t="str">
        <f t="shared" si="6"/>
        <v/>
      </c>
      <c r="AH564" s="40" t="str">
        <f t="shared" si="7"/>
        <v/>
      </c>
      <c r="AI564" s="40" t="str">
        <f t="shared" si="8"/>
        <v/>
      </c>
      <c r="AJ564" s="40" t="str">
        <f>IF($K564="","",COUNTIF(Assignments!$B$6:$B$1000,$K564))</f>
        <v/>
      </c>
      <c r="AK564" s="40" t="str">
        <f>IF($K564="","",IF(AND($AJ564=0,$O564&lt;$N564),Config!$B$43,0))</f>
        <v/>
      </c>
      <c r="AL564" s="40" t="str">
        <f>IF($K564="","",IF(AND($M564="Elite",$G564&gt;=Config!$B$41,$O564&lt;$N564),Config!$B$42,0))</f>
        <v/>
      </c>
      <c r="AM564" s="22"/>
    </row>
    <row r="565" ht="15.75" customHeight="1">
      <c r="A565" s="40" t="str">
        <f t="shared" si="1"/>
        <v/>
      </c>
      <c r="B565" s="40" t="str">
        <f>IF(Bids!$A564="","",Bids!$A564)</f>
        <v/>
      </c>
      <c r="C565" s="40" t="str">
        <f>IF(Bids!$B564="","",Bids!$B564)</f>
        <v/>
      </c>
      <c r="D565" s="40" t="str">
        <f>IF($C565="","",IFERROR(VLOOKUP($C565,Orders!$A$4:$J$998,9,FALSE),""))</f>
        <v/>
      </c>
      <c r="E565" s="40" t="str">
        <f>IF($C565="","",IFERROR(VLOOKUP($C565,Orders!$A$4:$J$998,3,FALSE),""))</f>
        <v/>
      </c>
      <c r="F565" s="40">
        <f t="shared" si="2"/>
        <v>1</v>
      </c>
      <c r="G565" s="40" t="str">
        <f>IF($C565="","",IFERROR(VLOOKUP($C565,Orders!$A$4:$J$998,4,FALSE),""))</f>
        <v/>
      </c>
      <c r="H565" s="40" t="str">
        <f>IF($C565="","",IFERROR(VLOOKUP($C565,Orders!$A$4:$J$998,5,FALSE),""))</f>
        <v/>
      </c>
      <c r="I565" s="40" t="str">
        <f>IF($C565="","",IFERROR(VLOOKUP($C565,Orders!$A$4:$J$998,6,FALSE),""))</f>
        <v/>
      </c>
      <c r="J565" s="40" t="str">
        <f>IF($C565="","",IFERROR(VLOOKUP($C565,Orders!$A$4:$J$998,7,FALSE),""))</f>
        <v/>
      </c>
      <c r="K565" s="40" t="str">
        <f>IF(Bids!$C564="","",Bids!$C564)</f>
        <v/>
      </c>
      <c r="L565" s="40" t="str">
        <f>IF($K565="","",IFERROR(VLOOKUP($K565,Grinders!$A$4:$N$998,2,FALSE),""))</f>
        <v/>
      </c>
      <c r="M565" s="40" t="str">
        <f>IF($K565="","",IFERROR(VLOOKUP($K565,Grinders!$A$4:$N$998,3,FALSE),""))</f>
        <v/>
      </c>
      <c r="N565" s="40" t="str">
        <f>IF($K565="","",IFERROR(VLOOKUP($K565,Grinders!$A$4:$N$998,4,FALSE),""))</f>
        <v/>
      </c>
      <c r="O565" s="40" t="str">
        <f>IF($K565="","",IFERROR(VLOOKUP($K565,Grinders!$A$4:$N$998,5,FALSE),""))</f>
        <v/>
      </c>
      <c r="P565" s="40" t="str">
        <f>IF($K565="","",IF($C$4="",0,COUNTIFS(Assignments!$B$6:$B$1000,$K565,Assignments!$F$6:$F$1000,$C$4,Assignments!$E$6:$E$1000,"Active")))</f>
        <v/>
      </c>
      <c r="Q565" s="40" t="str">
        <f t="shared" si="3"/>
        <v/>
      </c>
      <c r="R565" s="40" t="str">
        <f t="shared" si="4"/>
        <v/>
      </c>
      <c r="S565" s="40" t="str">
        <f>IF($K565="","",IF($C$4="",0,COUNTIFS(Assignments!$B$6:$B$1000,$K565,Assignments!$F$6:$F$1000,$C$4,Assignments!$D$6:$D$1000,"&gt;="&amp;Config!$B$3-7,Assignments!$D$6:$D$1000,"&lt;="&amp;Config!$B$3)))</f>
        <v/>
      </c>
      <c r="T565" s="40" t="str">
        <f>IF($K565="","",IFERROR(VLOOKUP($K565,Grinders!$A$4:$N$998,8,FALSE),""))</f>
        <v/>
      </c>
      <c r="U565" s="40" t="str">
        <f>IFERROR(IF($K565="","",IF($M565="Elite",MAX(50,MIN(100,Config!$B$27*MAX(0,MIN(100,(1-IF($R565="",0,$R565))*100)) + Config!$B$28*MAX(0,MIN(100,(1-MIN(1,IF(Config!$B$30=0,1,$S565/Config!$B$30)))*100)) + Config!$B$29*MAX(0,MIN(100,MIN(1,IF($T565="",0,$T565)/Config!$B$23)*100)))),MIN(100,Config!$B$27*MAX(0,MIN(100,(1-IF($R565="",0,$R565))*100)) + Config!$B$28*MAX(0,MIN(100,(1-MIN(1,IF(Config!$B$30=0,1,$S565/Config!$B$30)))*100)) + Config!$B$29*MAX(0,MIN(100,MIN(1,IF($T565="",0,$T565)/Config!$B$23)*100))))),"")
</f>
        <v/>
      </c>
      <c r="V565" s="40" t="str">
        <f>IF(Bids!$D564="","",Bids!$D564)</f>
        <v/>
      </c>
      <c r="W565" s="40" t="str">
        <f>IF(Bids!$F564="","",Bids!$F564)</f>
        <v/>
      </c>
      <c r="X565" s="40" t="str">
        <f t="shared" si="5"/>
        <v/>
      </c>
      <c r="Y565" s="40" t="str">
        <f>IF($X565="","",IF(Config!$B$17=Config!$B$16,IF($X565&gt;=Config!$B$17,100,0),MAX(0,MIN(100,($X565-Config!$B$16)/(Config!$B$17-Config!$B$16)*100))))</f>
        <v/>
      </c>
      <c r="Z565" s="40">
        <f>IF($M565="Elite",Config!$B$21,0)</f>
        <v>0</v>
      </c>
      <c r="AA565" s="40" t="str">
        <f>IFERROR(IF(OR($W565="",$H565=""),"",IF($W565&gt;$H565,
  MAX(0, 60-(($W565-$H565)*24/Config!$B$19)*60),
  MIN(100, 60+(($H565-$W565)*24/Config!$B$20)*40)
)),"")
</f>
        <v/>
      </c>
      <c r="AB565" s="40" t="str">
        <f>IF($K565="","",IFERROR(VLOOKUP($K565,Grinders!$A$4:$N$998,10,FALSE)/5*100,""))</f>
        <v/>
      </c>
      <c r="AC565" s="40" t="str">
        <f>IF($K565="","",IFERROR(VLOOKUP($K565,Grinders!$A$4:$N$998,11,FALSE)*100,""))</f>
        <v/>
      </c>
      <c r="AD565" s="40" t="str">
        <f>IF($K565="","",IFERROR(VLOOKUP($K565,Grinders!$A$4:$N$998,12,FALSE)*100,""))</f>
        <v/>
      </c>
      <c r="AE565" s="40">
        <f>IFERROR(IFS(
    OR($C565="", $K565=""), 0,
    $F565=0, 0,
    $D565&lt;&gt;"Open", 0,
    COUNTIFS(GrinderServices!$B$4:$B$998, $K565, GrinderServices!$C$4:$C$998, $E565, GrinderServices!$E$4:$E$998, "Y")=0, 0,
    $X565&lt;Config!$B$16, 0,
    Config!$B$18=1, IF($O565&gt;=N565, 0, 1),
    TRUE, 1
), "")
</f>
        <v>0</v>
      </c>
      <c r="AF565" s="40" t="str">
        <f>IFERROR(IF($AE565=0,"",((Config!$B$6*$Y565 + Config!$B$7*$U565 + Config!$B$8*$Z565 + Config!$B$9*$AA565 + Config!$B$10*$AB565 + Config!$B$11*$AC565 - Config!$B$12*$AD565)/Config!$B$13)+$AK565+$AL565),"")</f>
        <v/>
      </c>
      <c r="AG565" s="40" t="str">
        <f t="shared" si="6"/>
        <v/>
      </c>
      <c r="AH565" s="40" t="str">
        <f t="shared" si="7"/>
        <v/>
      </c>
      <c r="AI565" s="40" t="str">
        <f t="shared" si="8"/>
        <v/>
      </c>
      <c r="AJ565" s="40" t="str">
        <f>IF($K565="","",COUNTIF(Assignments!$B$6:$B$1000,$K565))</f>
        <v/>
      </c>
      <c r="AK565" s="40" t="str">
        <f>IF($K565="","",IF(AND($AJ565=0,$O565&lt;$N565),Config!$B$43,0))</f>
        <v/>
      </c>
      <c r="AL565" s="40" t="str">
        <f>IF($K565="","",IF(AND($M565="Elite",$G565&gt;=Config!$B$41,$O565&lt;$N565),Config!$B$42,0))</f>
        <v/>
      </c>
      <c r="AM565" s="22"/>
    </row>
    <row r="566" ht="15.75" customHeight="1">
      <c r="A566" s="40" t="str">
        <f t="shared" si="1"/>
        <v/>
      </c>
      <c r="B566" s="40" t="str">
        <f>IF(Bids!$A565="","",Bids!$A565)</f>
        <v/>
      </c>
      <c r="C566" s="40" t="str">
        <f>IF(Bids!$B565="","",Bids!$B565)</f>
        <v/>
      </c>
      <c r="D566" s="40" t="str">
        <f>IF($C566="","",IFERROR(VLOOKUP($C566,Orders!$A$4:$J$998,9,FALSE),""))</f>
        <v/>
      </c>
      <c r="E566" s="40" t="str">
        <f>IF($C566="","",IFERROR(VLOOKUP($C566,Orders!$A$4:$J$998,3,FALSE),""))</f>
        <v/>
      </c>
      <c r="F566" s="40">
        <f t="shared" si="2"/>
        <v>1</v>
      </c>
      <c r="G566" s="40" t="str">
        <f>IF($C566="","",IFERROR(VLOOKUP($C566,Orders!$A$4:$J$998,4,FALSE),""))</f>
        <v/>
      </c>
      <c r="H566" s="40" t="str">
        <f>IF($C566="","",IFERROR(VLOOKUP($C566,Orders!$A$4:$J$998,5,FALSE),""))</f>
        <v/>
      </c>
      <c r="I566" s="40" t="str">
        <f>IF($C566="","",IFERROR(VLOOKUP($C566,Orders!$A$4:$J$998,6,FALSE),""))</f>
        <v/>
      </c>
      <c r="J566" s="40" t="str">
        <f>IF($C566="","",IFERROR(VLOOKUP($C566,Orders!$A$4:$J$998,7,FALSE),""))</f>
        <v/>
      </c>
      <c r="K566" s="40" t="str">
        <f>IF(Bids!$C565="","",Bids!$C565)</f>
        <v/>
      </c>
      <c r="L566" s="40" t="str">
        <f>IF($K566="","",IFERROR(VLOOKUP($K566,Grinders!$A$4:$N$998,2,FALSE),""))</f>
        <v/>
      </c>
      <c r="M566" s="40" t="str">
        <f>IF($K566="","",IFERROR(VLOOKUP($K566,Grinders!$A$4:$N$998,3,FALSE),""))</f>
        <v/>
      </c>
      <c r="N566" s="40" t="str">
        <f>IF($K566="","",IFERROR(VLOOKUP($K566,Grinders!$A$4:$N$998,4,FALSE),""))</f>
        <v/>
      </c>
      <c r="O566" s="40" t="str">
        <f>IF($K566="","",IFERROR(VLOOKUP($K566,Grinders!$A$4:$N$998,5,FALSE),""))</f>
        <v/>
      </c>
      <c r="P566" s="40" t="str">
        <f>IF($K566="","",IF($C$4="",0,COUNTIFS(Assignments!$B$6:$B$1000,$K566,Assignments!$F$6:$F$1000,$C$4,Assignments!$E$6:$E$1000,"Active")))</f>
        <v/>
      </c>
      <c r="Q566" s="40" t="str">
        <f t="shared" si="3"/>
        <v/>
      </c>
      <c r="R566" s="40" t="str">
        <f t="shared" si="4"/>
        <v/>
      </c>
      <c r="S566" s="40" t="str">
        <f>IF($K566="","",IF($C$4="",0,COUNTIFS(Assignments!$B$6:$B$1000,$K566,Assignments!$F$6:$F$1000,$C$4,Assignments!$D$6:$D$1000,"&gt;="&amp;Config!$B$3-7,Assignments!$D$6:$D$1000,"&lt;="&amp;Config!$B$3)))</f>
        <v/>
      </c>
      <c r="T566" s="40" t="str">
        <f>IF($K566="","",IFERROR(VLOOKUP($K566,Grinders!$A$4:$N$998,8,FALSE),""))</f>
        <v/>
      </c>
      <c r="U566" s="40" t="str">
        <f>IFERROR(IF($K566="","",IF($M566="Elite",MAX(50,MIN(100,Config!$B$27*MAX(0,MIN(100,(1-IF($R566="",0,$R566))*100)) + Config!$B$28*MAX(0,MIN(100,(1-MIN(1,IF(Config!$B$30=0,1,$S566/Config!$B$30)))*100)) + Config!$B$29*MAX(0,MIN(100,MIN(1,IF($T566="",0,$T566)/Config!$B$23)*100)))),MIN(100,Config!$B$27*MAX(0,MIN(100,(1-IF($R566="",0,$R566))*100)) + Config!$B$28*MAX(0,MIN(100,(1-MIN(1,IF(Config!$B$30=0,1,$S566/Config!$B$30)))*100)) + Config!$B$29*MAX(0,MIN(100,MIN(1,IF($T566="",0,$T566)/Config!$B$23)*100))))),"")
</f>
        <v/>
      </c>
      <c r="V566" s="40" t="str">
        <f>IF(Bids!$D565="","",Bids!$D565)</f>
        <v/>
      </c>
      <c r="W566" s="40" t="str">
        <f>IF(Bids!$F565="","",Bids!$F565)</f>
        <v/>
      </c>
      <c r="X566" s="40" t="str">
        <f t="shared" si="5"/>
        <v/>
      </c>
      <c r="Y566" s="40" t="str">
        <f>IF($X566="","",IF(Config!$B$17=Config!$B$16,IF($X566&gt;=Config!$B$17,100,0),MAX(0,MIN(100,($X566-Config!$B$16)/(Config!$B$17-Config!$B$16)*100))))</f>
        <v/>
      </c>
      <c r="Z566" s="40">
        <f>IF($M566="Elite",Config!$B$21,0)</f>
        <v>0</v>
      </c>
      <c r="AA566" s="40" t="str">
        <f>IFERROR(IF(OR($W566="",$H566=""),"",IF($W566&gt;$H566,
  MAX(0, 60-(($W566-$H566)*24/Config!$B$19)*60),
  MIN(100, 60+(($H566-$W566)*24/Config!$B$20)*40)
)),"")
</f>
        <v/>
      </c>
      <c r="AB566" s="40" t="str">
        <f>IF($K566="","",IFERROR(VLOOKUP($K566,Grinders!$A$4:$N$998,10,FALSE)/5*100,""))</f>
        <v/>
      </c>
      <c r="AC566" s="40" t="str">
        <f>IF($K566="","",IFERROR(VLOOKUP($K566,Grinders!$A$4:$N$998,11,FALSE)*100,""))</f>
        <v/>
      </c>
      <c r="AD566" s="40" t="str">
        <f>IF($K566="","",IFERROR(VLOOKUP($K566,Grinders!$A$4:$N$998,12,FALSE)*100,""))</f>
        <v/>
      </c>
      <c r="AE566" s="40">
        <f>IFERROR(IFS(
    OR($C566="", $K566=""), 0,
    $F566=0, 0,
    $D566&lt;&gt;"Open", 0,
    COUNTIFS(GrinderServices!$B$4:$B$998, $K566, GrinderServices!$C$4:$C$998, $E566, GrinderServices!$E$4:$E$998, "Y")=0, 0,
    $X566&lt;Config!$B$16, 0,
    Config!$B$18=1, IF($O566&gt;=N566, 0, 1),
    TRUE, 1
), "")
</f>
        <v>0</v>
      </c>
      <c r="AF566" s="40" t="str">
        <f>IFERROR(IF($AE566=0,"",((Config!$B$6*$Y566 + Config!$B$7*$U566 + Config!$B$8*$Z566 + Config!$B$9*$AA566 + Config!$B$10*$AB566 + Config!$B$11*$AC566 - Config!$B$12*$AD566)/Config!$B$13)+$AK566+$AL566),"")</f>
        <v/>
      </c>
      <c r="AG566" s="40" t="str">
        <f t="shared" si="6"/>
        <v/>
      </c>
      <c r="AH566" s="40" t="str">
        <f t="shared" si="7"/>
        <v/>
      </c>
      <c r="AI566" s="40" t="str">
        <f t="shared" si="8"/>
        <v/>
      </c>
      <c r="AJ566" s="40" t="str">
        <f>IF($K566="","",COUNTIF(Assignments!$B$6:$B$1000,$K566))</f>
        <v/>
      </c>
      <c r="AK566" s="40" t="str">
        <f>IF($K566="","",IF(AND($AJ566=0,$O566&lt;$N566),Config!$B$43,0))</f>
        <v/>
      </c>
      <c r="AL566" s="40" t="str">
        <f>IF($K566="","",IF(AND($M566="Elite",$G566&gt;=Config!$B$41,$O566&lt;$N566),Config!$B$42,0))</f>
        <v/>
      </c>
      <c r="AM566" s="22"/>
    </row>
    <row r="567" ht="15.75" customHeight="1">
      <c r="A567" s="40" t="str">
        <f t="shared" si="1"/>
        <v/>
      </c>
      <c r="B567" s="40" t="str">
        <f>IF(Bids!$A566="","",Bids!$A566)</f>
        <v/>
      </c>
      <c r="C567" s="40" t="str">
        <f>IF(Bids!$B566="","",Bids!$B566)</f>
        <v/>
      </c>
      <c r="D567" s="40" t="str">
        <f>IF($C567="","",IFERROR(VLOOKUP($C567,Orders!$A$4:$J$998,9,FALSE),""))</f>
        <v/>
      </c>
      <c r="E567" s="40" t="str">
        <f>IF($C567="","",IFERROR(VLOOKUP($C567,Orders!$A$4:$J$998,3,FALSE),""))</f>
        <v/>
      </c>
      <c r="F567" s="40">
        <f t="shared" si="2"/>
        <v>1</v>
      </c>
      <c r="G567" s="40" t="str">
        <f>IF($C567="","",IFERROR(VLOOKUP($C567,Orders!$A$4:$J$998,4,FALSE),""))</f>
        <v/>
      </c>
      <c r="H567" s="40" t="str">
        <f>IF($C567="","",IFERROR(VLOOKUP($C567,Orders!$A$4:$J$998,5,FALSE),""))</f>
        <v/>
      </c>
      <c r="I567" s="40" t="str">
        <f>IF($C567="","",IFERROR(VLOOKUP($C567,Orders!$A$4:$J$998,6,FALSE),""))</f>
        <v/>
      </c>
      <c r="J567" s="40" t="str">
        <f>IF($C567="","",IFERROR(VLOOKUP($C567,Orders!$A$4:$J$998,7,FALSE),""))</f>
        <v/>
      </c>
      <c r="K567" s="40" t="str">
        <f>IF(Bids!$C566="","",Bids!$C566)</f>
        <v/>
      </c>
      <c r="L567" s="40" t="str">
        <f>IF($K567="","",IFERROR(VLOOKUP($K567,Grinders!$A$4:$N$998,2,FALSE),""))</f>
        <v/>
      </c>
      <c r="M567" s="40" t="str">
        <f>IF($K567="","",IFERROR(VLOOKUP($K567,Grinders!$A$4:$N$998,3,FALSE),""))</f>
        <v/>
      </c>
      <c r="N567" s="40" t="str">
        <f>IF($K567="","",IFERROR(VLOOKUP($K567,Grinders!$A$4:$N$998,4,FALSE),""))</f>
        <v/>
      </c>
      <c r="O567" s="40" t="str">
        <f>IF($K567="","",IFERROR(VLOOKUP($K567,Grinders!$A$4:$N$998,5,FALSE),""))</f>
        <v/>
      </c>
      <c r="P567" s="40" t="str">
        <f>IF($K567="","",IF($C$4="",0,COUNTIFS(Assignments!$B$6:$B$1000,$K567,Assignments!$F$6:$F$1000,$C$4,Assignments!$E$6:$E$1000,"Active")))</f>
        <v/>
      </c>
      <c r="Q567" s="40" t="str">
        <f t="shared" si="3"/>
        <v/>
      </c>
      <c r="R567" s="40" t="str">
        <f t="shared" si="4"/>
        <v/>
      </c>
      <c r="S567" s="40" t="str">
        <f>IF($K567="","",IF($C$4="",0,COUNTIFS(Assignments!$B$6:$B$1000,$K567,Assignments!$F$6:$F$1000,$C$4,Assignments!$D$6:$D$1000,"&gt;="&amp;Config!$B$3-7,Assignments!$D$6:$D$1000,"&lt;="&amp;Config!$B$3)))</f>
        <v/>
      </c>
      <c r="T567" s="40" t="str">
        <f>IF($K567="","",IFERROR(VLOOKUP($K567,Grinders!$A$4:$N$998,8,FALSE),""))</f>
        <v/>
      </c>
      <c r="U567" s="40" t="str">
        <f>IFERROR(IF($K567="","",IF($M567="Elite",MAX(50,MIN(100,Config!$B$27*MAX(0,MIN(100,(1-IF($R567="",0,$R567))*100)) + Config!$B$28*MAX(0,MIN(100,(1-MIN(1,IF(Config!$B$30=0,1,$S567/Config!$B$30)))*100)) + Config!$B$29*MAX(0,MIN(100,MIN(1,IF($T567="",0,$T567)/Config!$B$23)*100)))),MIN(100,Config!$B$27*MAX(0,MIN(100,(1-IF($R567="",0,$R567))*100)) + Config!$B$28*MAX(0,MIN(100,(1-MIN(1,IF(Config!$B$30=0,1,$S567/Config!$B$30)))*100)) + Config!$B$29*MAX(0,MIN(100,MIN(1,IF($T567="",0,$T567)/Config!$B$23)*100))))),"")
</f>
        <v/>
      </c>
      <c r="V567" s="40" t="str">
        <f>IF(Bids!$D566="","",Bids!$D566)</f>
        <v/>
      </c>
      <c r="W567" s="40" t="str">
        <f>IF(Bids!$F566="","",Bids!$F566)</f>
        <v/>
      </c>
      <c r="X567" s="40" t="str">
        <f t="shared" si="5"/>
        <v/>
      </c>
      <c r="Y567" s="40" t="str">
        <f>IF($X567="","",IF(Config!$B$17=Config!$B$16,IF($X567&gt;=Config!$B$17,100,0),MAX(0,MIN(100,($X567-Config!$B$16)/(Config!$B$17-Config!$B$16)*100))))</f>
        <v/>
      </c>
      <c r="Z567" s="40">
        <f>IF($M567="Elite",Config!$B$21,0)</f>
        <v>0</v>
      </c>
      <c r="AA567" s="40" t="str">
        <f>IFERROR(IF(OR($W567="",$H567=""),"",IF($W567&gt;$H567,
  MAX(0, 60-(($W567-$H567)*24/Config!$B$19)*60),
  MIN(100, 60+(($H567-$W567)*24/Config!$B$20)*40)
)),"")
</f>
        <v/>
      </c>
      <c r="AB567" s="40" t="str">
        <f>IF($K567="","",IFERROR(VLOOKUP($K567,Grinders!$A$4:$N$998,10,FALSE)/5*100,""))</f>
        <v/>
      </c>
      <c r="AC567" s="40" t="str">
        <f>IF($K567="","",IFERROR(VLOOKUP($K567,Grinders!$A$4:$N$998,11,FALSE)*100,""))</f>
        <v/>
      </c>
      <c r="AD567" s="40" t="str">
        <f>IF($K567="","",IFERROR(VLOOKUP($K567,Grinders!$A$4:$N$998,12,FALSE)*100,""))</f>
        <v/>
      </c>
      <c r="AE567" s="40">
        <f>IFERROR(IFS(
    OR($C567="", $K567=""), 0,
    $F567=0, 0,
    $D567&lt;&gt;"Open", 0,
    COUNTIFS(GrinderServices!$B$4:$B$998, $K567, GrinderServices!$C$4:$C$998, $E567, GrinderServices!$E$4:$E$998, "Y")=0, 0,
    $X567&lt;Config!$B$16, 0,
    Config!$B$18=1, IF($O567&gt;=N567, 0, 1),
    TRUE, 1
), "")
</f>
        <v>0</v>
      </c>
      <c r="AF567" s="40" t="str">
        <f>IFERROR(IF($AE567=0,"",((Config!$B$6*$Y567 + Config!$B$7*$U567 + Config!$B$8*$Z567 + Config!$B$9*$AA567 + Config!$B$10*$AB567 + Config!$B$11*$AC567 - Config!$B$12*$AD567)/Config!$B$13)+$AK567+$AL567),"")</f>
        <v/>
      </c>
      <c r="AG567" s="40" t="str">
        <f t="shared" si="6"/>
        <v/>
      </c>
      <c r="AH567" s="40" t="str">
        <f t="shared" si="7"/>
        <v/>
      </c>
      <c r="AI567" s="40" t="str">
        <f t="shared" si="8"/>
        <v/>
      </c>
      <c r="AJ567" s="40" t="str">
        <f>IF($K567="","",COUNTIF(Assignments!$B$6:$B$1000,$K567))</f>
        <v/>
      </c>
      <c r="AK567" s="40" t="str">
        <f>IF($K567="","",IF(AND($AJ567=0,$O567&lt;$N567),Config!$B$43,0))</f>
        <v/>
      </c>
      <c r="AL567" s="40" t="str">
        <f>IF($K567="","",IF(AND($M567="Elite",$G567&gt;=Config!$B$41,$O567&lt;$N567),Config!$B$42,0))</f>
        <v/>
      </c>
      <c r="AM567" s="22"/>
    </row>
    <row r="568" ht="15.75" customHeight="1">
      <c r="A568" s="40" t="str">
        <f t="shared" si="1"/>
        <v/>
      </c>
      <c r="B568" s="40" t="str">
        <f>IF(Bids!$A567="","",Bids!$A567)</f>
        <v/>
      </c>
      <c r="C568" s="40" t="str">
        <f>IF(Bids!$B567="","",Bids!$B567)</f>
        <v/>
      </c>
      <c r="D568" s="40" t="str">
        <f>IF($C568="","",IFERROR(VLOOKUP($C568,Orders!$A$4:$J$998,9,FALSE),""))</f>
        <v/>
      </c>
      <c r="E568" s="40" t="str">
        <f>IF($C568="","",IFERROR(VLOOKUP($C568,Orders!$A$4:$J$998,3,FALSE),""))</f>
        <v/>
      </c>
      <c r="F568" s="40">
        <f t="shared" si="2"/>
        <v>1</v>
      </c>
      <c r="G568" s="40" t="str">
        <f>IF($C568="","",IFERROR(VLOOKUP($C568,Orders!$A$4:$J$998,4,FALSE),""))</f>
        <v/>
      </c>
      <c r="H568" s="40" t="str">
        <f>IF($C568="","",IFERROR(VLOOKUP($C568,Orders!$A$4:$J$998,5,FALSE),""))</f>
        <v/>
      </c>
      <c r="I568" s="40" t="str">
        <f>IF($C568="","",IFERROR(VLOOKUP($C568,Orders!$A$4:$J$998,6,FALSE),""))</f>
        <v/>
      </c>
      <c r="J568" s="40" t="str">
        <f>IF($C568="","",IFERROR(VLOOKUP($C568,Orders!$A$4:$J$998,7,FALSE),""))</f>
        <v/>
      </c>
      <c r="K568" s="40" t="str">
        <f>IF(Bids!$C567="","",Bids!$C567)</f>
        <v/>
      </c>
      <c r="L568" s="40" t="str">
        <f>IF($K568="","",IFERROR(VLOOKUP($K568,Grinders!$A$4:$N$998,2,FALSE),""))</f>
        <v/>
      </c>
      <c r="M568" s="40" t="str">
        <f>IF($K568="","",IFERROR(VLOOKUP($K568,Grinders!$A$4:$N$998,3,FALSE),""))</f>
        <v/>
      </c>
      <c r="N568" s="40" t="str">
        <f>IF($K568="","",IFERROR(VLOOKUP($K568,Grinders!$A$4:$N$998,4,FALSE),""))</f>
        <v/>
      </c>
      <c r="O568" s="40" t="str">
        <f>IF($K568="","",IFERROR(VLOOKUP($K568,Grinders!$A$4:$N$998,5,FALSE),""))</f>
        <v/>
      </c>
      <c r="P568" s="40" t="str">
        <f>IF($K568="","",IF($C$4="",0,COUNTIFS(Assignments!$B$6:$B$1000,$K568,Assignments!$F$6:$F$1000,$C$4,Assignments!$E$6:$E$1000,"Active")))</f>
        <v/>
      </c>
      <c r="Q568" s="40" t="str">
        <f t="shared" si="3"/>
        <v/>
      </c>
      <c r="R568" s="40" t="str">
        <f t="shared" si="4"/>
        <v/>
      </c>
      <c r="S568" s="40" t="str">
        <f>IF($K568="","",IF($C$4="",0,COUNTIFS(Assignments!$B$6:$B$1000,$K568,Assignments!$F$6:$F$1000,$C$4,Assignments!$D$6:$D$1000,"&gt;="&amp;Config!$B$3-7,Assignments!$D$6:$D$1000,"&lt;="&amp;Config!$B$3)))</f>
        <v/>
      </c>
      <c r="T568" s="40" t="str">
        <f>IF($K568="","",IFERROR(VLOOKUP($K568,Grinders!$A$4:$N$998,8,FALSE),""))</f>
        <v/>
      </c>
      <c r="U568" s="40" t="str">
        <f>IFERROR(IF($K568="","",IF($M568="Elite",MAX(50,MIN(100,Config!$B$27*MAX(0,MIN(100,(1-IF($R568="",0,$R568))*100)) + Config!$B$28*MAX(0,MIN(100,(1-MIN(1,IF(Config!$B$30=0,1,$S568/Config!$B$30)))*100)) + Config!$B$29*MAX(0,MIN(100,MIN(1,IF($T568="",0,$T568)/Config!$B$23)*100)))),MIN(100,Config!$B$27*MAX(0,MIN(100,(1-IF($R568="",0,$R568))*100)) + Config!$B$28*MAX(0,MIN(100,(1-MIN(1,IF(Config!$B$30=0,1,$S568/Config!$B$30)))*100)) + Config!$B$29*MAX(0,MIN(100,MIN(1,IF($T568="",0,$T568)/Config!$B$23)*100))))),"")
</f>
        <v/>
      </c>
      <c r="V568" s="40" t="str">
        <f>IF(Bids!$D567="","",Bids!$D567)</f>
        <v/>
      </c>
      <c r="W568" s="40" t="str">
        <f>IF(Bids!$F567="","",Bids!$F567)</f>
        <v/>
      </c>
      <c r="X568" s="40" t="str">
        <f t="shared" si="5"/>
        <v/>
      </c>
      <c r="Y568" s="40" t="str">
        <f>IF($X568="","",IF(Config!$B$17=Config!$B$16,IF($X568&gt;=Config!$B$17,100,0),MAX(0,MIN(100,($X568-Config!$B$16)/(Config!$B$17-Config!$B$16)*100))))</f>
        <v/>
      </c>
      <c r="Z568" s="40">
        <f>IF($M568="Elite",Config!$B$21,0)</f>
        <v>0</v>
      </c>
      <c r="AA568" s="40" t="str">
        <f>IFERROR(IF(OR($W568="",$H568=""),"",IF($W568&gt;$H568,
  MAX(0, 60-(($W568-$H568)*24/Config!$B$19)*60),
  MIN(100, 60+(($H568-$W568)*24/Config!$B$20)*40)
)),"")
</f>
        <v/>
      </c>
      <c r="AB568" s="40" t="str">
        <f>IF($K568="","",IFERROR(VLOOKUP($K568,Grinders!$A$4:$N$998,10,FALSE)/5*100,""))</f>
        <v/>
      </c>
      <c r="AC568" s="40" t="str">
        <f>IF($K568="","",IFERROR(VLOOKUP($K568,Grinders!$A$4:$N$998,11,FALSE)*100,""))</f>
        <v/>
      </c>
      <c r="AD568" s="40" t="str">
        <f>IF($K568="","",IFERROR(VLOOKUP($K568,Grinders!$A$4:$N$998,12,FALSE)*100,""))</f>
        <v/>
      </c>
      <c r="AE568" s="40">
        <f>IFERROR(IFS(
    OR($C568="", $K568=""), 0,
    $F568=0, 0,
    $D568&lt;&gt;"Open", 0,
    COUNTIFS(GrinderServices!$B$4:$B$998, $K568, GrinderServices!$C$4:$C$998, $E568, GrinderServices!$E$4:$E$998, "Y")=0, 0,
    $X568&lt;Config!$B$16, 0,
    Config!$B$18=1, IF($O568&gt;=N568, 0, 1),
    TRUE, 1
), "")
</f>
        <v>0</v>
      </c>
      <c r="AF568" s="40" t="str">
        <f>IFERROR(IF($AE568=0,"",((Config!$B$6*$Y568 + Config!$B$7*$U568 + Config!$B$8*$Z568 + Config!$B$9*$AA568 + Config!$B$10*$AB568 + Config!$B$11*$AC568 - Config!$B$12*$AD568)/Config!$B$13)+$AK568+$AL568),"")</f>
        <v/>
      </c>
      <c r="AG568" s="40" t="str">
        <f t="shared" si="6"/>
        <v/>
      </c>
      <c r="AH568" s="40" t="str">
        <f t="shared" si="7"/>
        <v/>
      </c>
      <c r="AI568" s="40" t="str">
        <f t="shared" si="8"/>
        <v/>
      </c>
      <c r="AJ568" s="40" t="str">
        <f>IF($K568="","",COUNTIF(Assignments!$B$6:$B$1000,$K568))</f>
        <v/>
      </c>
      <c r="AK568" s="40" t="str">
        <f>IF($K568="","",IF(AND($AJ568=0,$O568&lt;$N568),Config!$B$43,0))</f>
        <v/>
      </c>
      <c r="AL568" s="40" t="str">
        <f>IF($K568="","",IF(AND($M568="Elite",$G568&gt;=Config!$B$41,$O568&lt;$N568),Config!$B$42,0))</f>
        <v/>
      </c>
      <c r="AM568" s="22"/>
    </row>
    <row r="569" ht="15.75" customHeight="1">
      <c r="A569" s="40" t="str">
        <f t="shared" si="1"/>
        <v/>
      </c>
      <c r="B569" s="40" t="str">
        <f>IF(Bids!$A568="","",Bids!$A568)</f>
        <v/>
      </c>
      <c r="C569" s="40" t="str">
        <f>IF(Bids!$B568="","",Bids!$B568)</f>
        <v/>
      </c>
      <c r="D569" s="40" t="str">
        <f>IF($C569="","",IFERROR(VLOOKUP($C569,Orders!$A$4:$J$998,9,FALSE),""))</f>
        <v/>
      </c>
      <c r="E569" s="40" t="str">
        <f>IF($C569="","",IFERROR(VLOOKUP($C569,Orders!$A$4:$J$998,3,FALSE),""))</f>
        <v/>
      </c>
      <c r="F569" s="40">
        <f t="shared" si="2"/>
        <v>1</v>
      </c>
      <c r="G569" s="40" t="str">
        <f>IF($C569="","",IFERROR(VLOOKUP($C569,Orders!$A$4:$J$998,4,FALSE),""))</f>
        <v/>
      </c>
      <c r="H569" s="40" t="str">
        <f>IF($C569="","",IFERROR(VLOOKUP($C569,Orders!$A$4:$J$998,5,FALSE),""))</f>
        <v/>
      </c>
      <c r="I569" s="40" t="str">
        <f>IF($C569="","",IFERROR(VLOOKUP($C569,Orders!$A$4:$J$998,6,FALSE),""))</f>
        <v/>
      </c>
      <c r="J569" s="40" t="str">
        <f>IF($C569="","",IFERROR(VLOOKUP($C569,Orders!$A$4:$J$998,7,FALSE),""))</f>
        <v/>
      </c>
      <c r="K569" s="40" t="str">
        <f>IF(Bids!$C568="","",Bids!$C568)</f>
        <v/>
      </c>
      <c r="L569" s="40" t="str">
        <f>IF($K569="","",IFERROR(VLOOKUP($K569,Grinders!$A$4:$N$998,2,FALSE),""))</f>
        <v/>
      </c>
      <c r="M569" s="40" t="str">
        <f>IF($K569="","",IFERROR(VLOOKUP($K569,Grinders!$A$4:$N$998,3,FALSE),""))</f>
        <v/>
      </c>
      <c r="N569" s="40" t="str">
        <f>IF($K569="","",IFERROR(VLOOKUP($K569,Grinders!$A$4:$N$998,4,FALSE),""))</f>
        <v/>
      </c>
      <c r="O569" s="40" t="str">
        <f>IF($K569="","",IFERROR(VLOOKUP($K569,Grinders!$A$4:$N$998,5,FALSE),""))</f>
        <v/>
      </c>
      <c r="P569" s="40" t="str">
        <f>IF($K569="","",IF($C$4="",0,COUNTIFS(Assignments!$B$6:$B$1000,$K569,Assignments!$F$6:$F$1000,$C$4,Assignments!$E$6:$E$1000,"Active")))</f>
        <v/>
      </c>
      <c r="Q569" s="40" t="str">
        <f t="shared" si="3"/>
        <v/>
      </c>
      <c r="R569" s="40" t="str">
        <f t="shared" si="4"/>
        <v/>
      </c>
      <c r="S569" s="40" t="str">
        <f>IF($K569="","",IF($C$4="",0,COUNTIFS(Assignments!$B$6:$B$1000,$K569,Assignments!$F$6:$F$1000,$C$4,Assignments!$D$6:$D$1000,"&gt;="&amp;Config!$B$3-7,Assignments!$D$6:$D$1000,"&lt;="&amp;Config!$B$3)))</f>
        <v/>
      </c>
      <c r="T569" s="40" t="str">
        <f>IF($K569="","",IFERROR(VLOOKUP($K569,Grinders!$A$4:$N$998,8,FALSE),""))</f>
        <v/>
      </c>
      <c r="U569" s="40" t="str">
        <f>IFERROR(IF($K569="","",IF($M569="Elite",MAX(50,MIN(100,Config!$B$27*MAX(0,MIN(100,(1-IF($R569="",0,$R569))*100)) + Config!$B$28*MAX(0,MIN(100,(1-MIN(1,IF(Config!$B$30=0,1,$S569/Config!$B$30)))*100)) + Config!$B$29*MAX(0,MIN(100,MIN(1,IF($T569="",0,$T569)/Config!$B$23)*100)))),MIN(100,Config!$B$27*MAX(0,MIN(100,(1-IF($R569="",0,$R569))*100)) + Config!$B$28*MAX(0,MIN(100,(1-MIN(1,IF(Config!$B$30=0,1,$S569/Config!$B$30)))*100)) + Config!$B$29*MAX(0,MIN(100,MIN(1,IF($T569="",0,$T569)/Config!$B$23)*100))))),"")
</f>
        <v/>
      </c>
      <c r="V569" s="40" t="str">
        <f>IF(Bids!$D568="","",Bids!$D568)</f>
        <v/>
      </c>
      <c r="W569" s="40" t="str">
        <f>IF(Bids!$F568="","",Bids!$F568)</f>
        <v/>
      </c>
      <c r="X569" s="40" t="str">
        <f t="shared" si="5"/>
        <v/>
      </c>
      <c r="Y569" s="40" t="str">
        <f>IF($X569="","",IF(Config!$B$17=Config!$B$16,IF($X569&gt;=Config!$B$17,100,0),MAX(0,MIN(100,($X569-Config!$B$16)/(Config!$B$17-Config!$B$16)*100))))</f>
        <v/>
      </c>
      <c r="Z569" s="40">
        <f>IF($M569="Elite",Config!$B$21,0)</f>
        <v>0</v>
      </c>
      <c r="AA569" s="40" t="str">
        <f>IFERROR(IF(OR($W569="",$H569=""),"",IF($W569&gt;$H569,
  MAX(0, 60-(($W569-$H569)*24/Config!$B$19)*60),
  MIN(100, 60+(($H569-$W569)*24/Config!$B$20)*40)
)),"")
</f>
        <v/>
      </c>
      <c r="AB569" s="40" t="str">
        <f>IF($K569="","",IFERROR(VLOOKUP($K569,Grinders!$A$4:$N$998,10,FALSE)/5*100,""))</f>
        <v/>
      </c>
      <c r="AC569" s="40" t="str">
        <f>IF($K569="","",IFERROR(VLOOKUP($K569,Grinders!$A$4:$N$998,11,FALSE)*100,""))</f>
        <v/>
      </c>
      <c r="AD569" s="40" t="str">
        <f>IF($K569="","",IFERROR(VLOOKUP($K569,Grinders!$A$4:$N$998,12,FALSE)*100,""))</f>
        <v/>
      </c>
      <c r="AE569" s="40">
        <f>IFERROR(IFS(
    OR($C569="", $K569=""), 0,
    $F569=0, 0,
    $D569&lt;&gt;"Open", 0,
    COUNTIFS(GrinderServices!$B$4:$B$998, $K569, GrinderServices!$C$4:$C$998, $E569, GrinderServices!$E$4:$E$998, "Y")=0, 0,
    $X569&lt;Config!$B$16, 0,
    Config!$B$18=1, IF($O569&gt;=N569, 0, 1),
    TRUE, 1
), "")
</f>
        <v>0</v>
      </c>
      <c r="AF569" s="40" t="str">
        <f>IFERROR(IF($AE569=0,"",((Config!$B$6*$Y569 + Config!$B$7*$U569 + Config!$B$8*$Z569 + Config!$B$9*$AA569 + Config!$B$10*$AB569 + Config!$B$11*$AC569 - Config!$B$12*$AD569)/Config!$B$13)+$AK569+$AL569),"")</f>
        <v/>
      </c>
      <c r="AG569" s="40" t="str">
        <f t="shared" si="6"/>
        <v/>
      </c>
      <c r="AH569" s="40" t="str">
        <f t="shared" si="7"/>
        <v/>
      </c>
      <c r="AI569" s="40" t="str">
        <f t="shared" si="8"/>
        <v/>
      </c>
      <c r="AJ569" s="40" t="str">
        <f>IF($K569="","",COUNTIF(Assignments!$B$6:$B$1000,$K569))</f>
        <v/>
      </c>
      <c r="AK569" s="40" t="str">
        <f>IF($K569="","",IF(AND($AJ569=0,$O569&lt;$N569),Config!$B$43,0))</f>
        <v/>
      </c>
      <c r="AL569" s="40" t="str">
        <f>IF($K569="","",IF(AND($M569="Elite",$G569&gt;=Config!$B$41,$O569&lt;$N569),Config!$B$42,0))</f>
        <v/>
      </c>
      <c r="AM569" s="22"/>
    </row>
    <row r="570" ht="15.75" customHeight="1">
      <c r="A570" s="40" t="str">
        <f t="shared" si="1"/>
        <v/>
      </c>
      <c r="B570" s="40" t="str">
        <f>IF(Bids!$A569="","",Bids!$A569)</f>
        <v/>
      </c>
      <c r="C570" s="40" t="str">
        <f>IF(Bids!$B569="","",Bids!$B569)</f>
        <v/>
      </c>
      <c r="D570" s="40" t="str">
        <f>IF($C570="","",IFERROR(VLOOKUP($C570,Orders!$A$4:$J$998,9,FALSE),""))</f>
        <v/>
      </c>
      <c r="E570" s="40" t="str">
        <f>IF($C570="","",IFERROR(VLOOKUP($C570,Orders!$A$4:$J$998,3,FALSE),""))</f>
        <v/>
      </c>
      <c r="F570" s="40">
        <f t="shared" si="2"/>
        <v>1</v>
      </c>
      <c r="G570" s="40" t="str">
        <f>IF($C570="","",IFERROR(VLOOKUP($C570,Orders!$A$4:$J$998,4,FALSE),""))</f>
        <v/>
      </c>
      <c r="H570" s="40" t="str">
        <f>IF($C570="","",IFERROR(VLOOKUP($C570,Orders!$A$4:$J$998,5,FALSE),""))</f>
        <v/>
      </c>
      <c r="I570" s="40" t="str">
        <f>IF($C570="","",IFERROR(VLOOKUP($C570,Orders!$A$4:$J$998,6,FALSE),""))</f>
        <v/>
      </c>
      <c r="J570" s="40" t="str">
        <f>IF($C570="","",IFERROR(VLOOKUP($C570,Orders!$A$4:$J$998,7,FALSE),""))</f>
        <v/>
      </c>
      <c r="K570" s="40" t="str">
        <f>IF(Bids!$C569="","",Bids!$C569)</f>
        <v/>
      </c>
      <c r="L570" s="40" t="str">
        <f>IF($K570="","",IFERROR(VLOOKUP($K570,Grinders!$A$4:$N$998,2,FALSE),""))</f>
        <v/>
      </c>
      <c r="M570" s="40" t="str">
        <f>IF($K570="","",IFERROR(VLOOKUP($K570,Grinders!$A$4:$N$998,3,FALSE),""))</f>
        <v/>
      </c>
      <c r="N570" s="40" t="str">
        <f>IF($K570="","",IFERROR(VLOOKUP($K570,Grinders!$A$4:$N$998,4,FALSE),""))</f>
        <v/>
      </c>
      <c r="O570" s="40" t="str">
        <f>IF($K570="","",IFERROR(VLOOKUP($K570,Grinders!$A$4:$N$998,5,FALSE),""))</f>
        <v/>
      </c>
      <c r="P570" s="40" t="str">
        <f>IF($K570="","",IF($C$4="",0,COUNTIFS(Assignments!$B$6:$B$1000,$K570,Assignments!$F$6:$F$1000,$C$4,Assignments!$E$6:$E$1000,"Active")))</f>
        <v/>
      </c>
      <c r="Q570" s="40" t="str">
        <f t="shared" si="3"/>
        <v/>
      </c>
      <c r="R570" s="40" t="str">
        <f t="shared" si="4"/>
        <v/>
      </c>
      <c r="S570" s="40" t="str">
        <f>IF($K570="","",IF($C$4="",0,COUNTIFS(Assignments!$B$6:$B$1000,$K570,Assignments!$F$6:$F$1000,$C$4,Assignments!$D$6:$D$1000,"&gt;="&amp;Config!$B$3-7,Assignments!$D$6:$D$1000,"&lt;="&amp;Config!$B$3)))</f>
        <v/>
      </c>
      <c r="T570" s="40" t="str">
        <f>IF($K570="","",IFERROR(VLOOKUP($K570,Grinders!$A$4:$N$998,8,FALSE),""))</f>
        <v/>
      </c>
      <c r="U570" s="40" t="str">
        <f>IFERROR(IF($K570="","",IF($M570="Elite",MAX(50,MIN(100,Config!$B$27*MAX(0,MIN(100,(1-IF($R570="",0,$R570))*100)) + Config!$B$28*MAX(0,MIN(100,(1-MIN(1,IF(Config!$B$30=0,1,$S570/Config!$B$30)))*100)) + Config!$B$29*MAX(0,MIN(100,MIN(1,IF($T570="",0,$T570)/Config!$B$23)*100)))),MIN(100,Config!$B$27*MAX(0,MIN(100,(1-IF($R570="",0,$R570))*100)) + Config!$B$28*MAX(0,MIN(100,(1-MIN(1,IF(Config!$B$30=0,1,$S570/Config!$B$30)))*100)) + Config!$B$29*MAX(0,MIN(100,MIN(1,IF($T570="",0,$T570)/Config!$B$23)*100))))),"")
</f>
        <v/>
      </c>
      <c r="V570" s="40" t="str">
        <f>IF(Bids!$D569="","",Bids!$D569)</f>
        <v/>
      </c>
      <c r="W570" s="40" t="str">
        <f>IF(Bids!$F569="","",Bids!$F569)</f>
        <v/>
      </c>
      <c r="X570" s="40" t="str">
        <f t="shared" si="5"/>
        <v/>
      </c>
      <c r="Y570" s="40" t="str">
        <f>IF($X570="","",IF(Config!$B$17=Config!$B$16,IF($X570&gt;=Config!$B$17,100,0),MAX(0,MIN(100,($X570-Config!$B$16)/(Config!$B$17-Config!$B$16)*100))))</f>
        <v/>
      </c>
      <c r="Z570" s="40">
        <f>IF($M570="Elite",Config!$B$21,0)</f>
        <v>0</v>
      </c>
      <c r="AA570" s="40" t="str">
        <f>IFERROR(IF(OR($W570="",$H570=""),"",IF($W570&gt;$H570,
  MAX(0, 60-(($W570-$H570)*24/Config!$B$19)*60),
  MIN(100, 60+(($H570-$W570)*24/Config!$B$20)*40)
)),"")
</f>
        <v/>
      </c>
      <c r="AB570" s="40" t="str">
        <f>IF($K570="","",IFERROR(VLOOKUP($K570,Grinders!$A$4:$N$998,10,FALSE)/5*100,""))</f>
        <v/>
      </c>
      <c r="AC570" s="40" t="str">
        <f>IF($K570="","",IFERROR(VLOOKUP($K570,Grinders!$A$4:$N$998,11,FALSE)*100,""))</f>
        <v/>
      </c>
      <c r="AD570" s="40" t="str">
        <f>IF($K570="","",IFERROR(VLOOKUP($K570,Grinders!$A$4:$N$998,12,FALSE)*100,""))</f>
        <v/>
      </c>
      <c r="AE570" s="40">
        <f>IFERROR(IFS(
    OR($C570="", $K570=""), 0,
    $F570=0, 0,
    $D570&lt;&gt;"Open", 0,
    COUNTIFS(GrinderServices!$B$4:$B$998, $K570, GrinderServices!$C$4:$C$998, $E570, GrinderServices!$E$4:$E$998, "Y")=0, 0,
    $X570&lt;Config!$B$16, 0,
    Config!$B$18=1, IF($O570&gt;=N570, 0, 1),
    TRUE, 1
), "")
</f>
        <v>0</v>
      </c>
      <c r="AF570" s="40" t="str">
        <f>IFERROR(IF($AE570=0,"",((Config!$B$6*$Y570 + Config!$B$7*$U570 + Config!$B$8*$Z570 + Config!$B$9*$AA570 + Config!$B$10*$AB570 + Config!$B$11*$AC570 - Config!$B$12*$AD570)/Config!$B$13)+$AK570+$AL570),"")</f>
        <v/>
      </c>
      <c r="AG570" s="40" t="str">
        <f t="shared" si="6"/>
        <v/>
      </c>
      <c r="AH570" s="40" t="str">
        <f t="shared" si="7"/>
        <v/>
      </c>
      <c r="AI570" s="40" t="str">
        <f t="shared" si="8"/>
        <v/>
      </c>
      <c r="AJ570" s="40" t="str">
        <f>IF($K570="","",COUNTIF(Assignments!$B$6:$B$1000,$K570))</f>
        <v/>
      </c>
      <c r="AK570" s="40" t="str">
        <f>IF($K570="","",IF(AND($AJ570=0,$O570&lt;$N570),Config!$B$43,0))</f>
        <v/>
      </c>
      <c r="AL570" s="40" t="str">
        <f>IF($K570="","",IF(AND($M570="Elite",$G570&gt;=Config!$B$41,$O570&lt;$N570),Config!$B$42,0))</f>
        <v/>
      </c>
      <c r="AM570" s="22"/>
    </row>
    <row r="571" ht="15.75" customHeight="1">
      <c r="A571" s="40" t="str">
        <f t="shared" si="1"/>
        <v/>
      </c>
      <c r="B571" s="40" t="str">
        <f>IF(Bids!$A570="","",Bids!$A570)</f>
        <v/>
      </c>
      <c r="C571" s="40" t="str">
        <f>IF(Bids!$B570="","",Bids!$B570)</f>
        <v/>
      </c>
      <c r="D571" s="40" t="str">
        <f>IF($C571="","",IFERROR(VLOOKUP($C571,Orders!$A$4:$J$998,9,FALSE),""))</f>
        <v/>
      </c>
      <c r="E571" s="40" t="str">
        <f>IF($C571="","",IFERROR(VLOOKUP($C571,Orders!$A$4:$J$998,3,FALSE),""))</f>
        <v/>
      </c>
      <c r="F571" s="40">
        <f t="shared" si="2"/>
        <v>1</v>
      </c>
      <c r="G571" s="40" t="str">
        <f>IF($C571="","",IFERROR(VLOOKUP($C571,Orders!$A$4:$J$998,4,FALSE),""))</f>
        <v/>
      </c>
      <c r="H571" s="40" t="str">
        <f>IF($C571="","",IFERROR(VLOOKUP($C571,Orders!$A$4:$J$998,5,FALSE),""))</f>
        <v/>
      </c>
      <c r="I571" s="40" t="str">
        <f>IF($C571="","",IFERROR(VLOOKUP($C571,Orders!$A$4:$J$998,6,FALSE),""))</f>
        <v/>
      </c>
      <c r="J571" s="40" t="str">
        <f>IF($C571="","",IFERROR(VLOOKUP($C571,Orders!$A$4:$J$998,7,FALSE),""))</f>
        <v/>
      </c>
      <c r="K571" s="40" t="str">
        <f>IF(Bids!$C570="","",Bids!$C570)</f>
        <v/>
      </c>
      <c r="L571" s="40" t="str">
        <f>IF($K571="","",IFERROR(VLOOKUP($K571,Grinders!$A$4:$N$998,2,FALSE),""))</f>
        <v/>
      </c>
      <c r="M571" s="40" t="str">
        <f>IF($K571="","",IFERROR(VLOOKUP($K571,Grinders!$A$4:$N$998,3,FALSE),""))</f>
        <v/>
      </c>
      <c r="N571" s="40" t="str">
        <f>IF($K571="","",IFERROR(VLOOKUP($K571,Grinders!$A$4:$N$998,4,FALSE),""))</f>
        <v/>
      </c>
      <c r="O571" s="40" t="str">
        <f>IF($K571="","",IFERROR(VLOOKUP($K571,Grinders!$A$4:$N$998,5,FALSE),""))</f>
        <v/>
      </c>
      <c r="P571" s="40" t="str">
        <f>IF($K571="","",IF($C$4="",0,COUNTIFS(Assignments!$B$6:$B$1000,$K571,Assignments!$F$6:$F$1000,$C$4,Assignments!$E$6:$E$1000,"Active")))</f>
        <v/>
      </c>
      <c r="Q571" s="40" t="str">
        <f t="shared" si="3"/>
        <v/>
      </c>
      <c r="R571" s="40" t="str">
        <f t="shared" si="4"/>
        <v/>
      </c>
      <c r="S571" s="40" t="str">
        <f>IF($K571="","",IF($C$4="",0,COUNTIFS(Assignments!$B$6:$B$1000,$K571,Assignments!$F$6:$F$1000,$C$4,Assignments!$D$6:$D$1000,"&gt;="&amp;Config!$B$3-7,Assignments!$D$6:$D$1000,"&lt;="&amp;Config!$B$3)))</f>
        <v/>
      </c>
      <c r="T571" s="40" t="str">
        <f>IF($K571="","",IFERROR(VLOOKUP($K571,Grinders!$A$4:$N$998,8,FALSE),""))</f>
        <v/>
      </c>
      <c r="U571" s="40" t="str">
        <f>IFERROR(IF($K571="","",IF($M571="Elite",MAX(50,MIN(100,Config!$B$27*MAX(0,MIN(100,(1-IF($R571="",0,$R571))*100)) + Config!$B$28*MAX(0,MIN(100,(1-MIN(1,IF(Config!$B$30=0,1,$S571/Config!$B$30)))*100)) + Config!$B$29*MAX(0,MIN(100,MIN(1,IF($T571="",0,$T571)/Config!$B$23)*100)))),MIN(100,Config!$B$27*MAX(0,MIN(100,(1-IF($R571="",0,$R571))*100)) + Config!$B$28*MAX(0,MIN(100,(1-MIN(1,IF(Config!$B$30=0,1,$S571/Config!$B$30)))*100)) + Config!$B$29*MAX(0,MIN(100,MIN(1,IF($T571="",0,$T571)/Config!$B$23)*100))))),"")
</f>
        <v/>
      </c>
      <c r="V571" s="40" t="str">
        <f>IF(Bids!$D570="","",Bids!$D570)</f>
        <v/>
      </c>
      <c r="W571" s="40" t="str">
        <f>IF(Bids!$F570="","",Bids!$F570)</f>
        <v/>
      </c>
      <c r="X571" s="40" t="str">
        <f t="shared" si="5"/>
        <v/>
      </c>
      <c r="Y571" s="40" t="str">
        <f>IF($X571="","",IF(Config!$B$17=Config!$B$16,IF($X571&gt;=Config!$B$17,100,0),MAX(0,MIN(100,($X571-Config!$B$16)/(Config!$B$17-Config!$B$16)*100))))</f>
        <v/>
      </c>
      <c r="Z571" s="40">
        <f>IF($M571="Elite",Config!$B$21,0)</f>
        <v>0</v>
      </c>
      <c r="AA571" s="40" t="str">
        <f>IFERROR(IF(OR($W571="",$H571=""),"",IF($W571&gt;$H571,
  MAX(0, 60-(($W571-$H571)*24/Config!$B$19)*60),
  MIN(100, 60+(($H571-$W571)*24/Config!$B$20)*40)
)),"")
</f>
        <v/>
      </c>
      <c r="AB571" s="40" t="str">
        <f>IF($K571="","",IFERROR(VLOOKUP($K571,Grinders!$A$4:$N$998,10,FALSE)/5*100,""))</f>
        <v/>
      </c>
      <c r="AC571" s="40" t="str">
        <f>IF($K571="","",IFERROR(VLOOKUP($K571,Grinders!$A$4:$N$998,11,FALSE)*100,""))</f>
        <v/>
      </c>
      <c r="AD571" s="40" t="str">
        <f>IF($K571="","",IFERROR(VLOOKUP($K571,Grinders!$A$4:$N$998,12,FALSE)*100,""))</f>
        <v/>
      </c>
      <c r="AE571" s="40">
        <f>IFERROR(IFS(
    OR($C571="", $K571=""), 0,
    $F571=0, 0,
    $D571&lt;&gt;"Open", 0,
    COUNTIFS(GrinderServices!$B$4:$B$998, $K571, GrinderServices!$C$4:$C$998, $E571, GrinderServices!$E$4:$E$998, "Y")=0, 0,
    $X571&lt;Config!$B$16, 0,
    Config!$B$18=1, IF($O571&gt;=N571, 0, 1),
    TRUE, 1
), "")
</f>
        <v>0</v>
      </c>
      <c r="AF571" s="40" t="str">
        <f>IFERROR(IF($AE571=0,"",((Config!$B$6*$Y571 + Config!$B$7*$U571 + Config!$B$8*$Z571 + Config!$B$9*$AA571 + Config!$B$10*$AB571 + Config!$B$11*$AC571 - Config!$B$12*$AD571)/Config!$B$13)+$AK571+$AL571),"")</f>
        <v/>
      </c>
      <c r="AG571" s="40" t="str">
        <f t="shared" si="6"/>
        <v/>
      </c>
      <c r="AH571" s="40" t="str">
        <f t="shared" si="7"/>
        <v/>
      </c>
      <c r="AI571" s="40" t="str">
        <f t="shared" si="8"/>
        <v/>
      </c>
      <c r="AJ571" s="40" t="str">
        <f>IF($K571="","",COUNTIF(Assignments!$B$6:$B$1000,$K571))</f>
        <v/>
      </c>
      <c r="AK571" s="40" t="str">
        <f>IF($K571="","",IF(AND($AJ571=0,$O571&lt;$N571),Config!$B$43,0))</f>
        <v/>
      </c>
      <c r="AL571" s="40" t="str">
        <f>IF($K571="","",IF(AND($M571="Elite",$G571&gt;=Config!$B$41,$O571&lt;$N571),Config!$B$42,0))</f>
        <v/>
      </c>
      <c r="AM571" s="22"/>
    </row>
    <row r="572" ht="15.75" customHeight="1">
      <c r="A572" s="40" t="str">
        <f t="shared" si="1"/>
        <v/>
      </c>
      <c r="B572" s="40" t="str">
        <f>IF(Bids!$A571="","",Bids!$A571)</f>
        <v/>
      </c>
      <c r="C572" s="40" t="str">
        <f>IF(Bids!$B571="","",Bids!$B571)</f>
        <v/>
      </c>
      <c r="D572" s="40" t="str">
        <f>IF($C572="","",IFERROR(VLOOKUP($C572,Orders!$A$4:$J$998,9,FALSE),""))</f>
        <v/>
      </c>
      <c r="E572" s="40" t="str">
        <f>IF($C572="","",IFERROR(VLOOKUP($C572,Orders!$A$4:$J$998,3,FALSE),""))</f>
        <v/>
      </c>
      <c r="F572" s="40">
        <f t="shared" si="2"/>
        <v>1</v>
      </c>
      <c r="G572" s="40" t="str">
        <f>IF($C572="","",IFERROR(VLOOKUP($C572,Orders!$A$4:$J$998,4,FALSE),""))</f>
        <v/>
      </c>
      <c r="H572" s="40" t="str">
        <f>IF($C572="","",IFERROR(VLOOKUP($C572,Orders!$A$4:$J$998,5,FALSE),""))</f>
        <v/>
      </c>
      <c r="I572" s="40" t="str">
        <f>IF($C572="","",IFERROR(VLOOKUP($C572,Orders!$A$4:$J$998,6,FALSE),""))</f>
        <v/>
      </c>
      <c r="J572" s="40" t="str">
        <f>IF($C572="","",IFERROR(VLOOKUP($C572,Orders!$A$4:$J$998,7,FALSE),""))</f>
        <v/>
      </c>
      <c r="K572" s="40" t="str">
        <f>IF(Bids!$C571="","",Bids!$C571)</f>
        <v/>
      </c>
      <c r="L572" s="40" t="str">
        <f>IF($K572="","",IFERROR(VLOOKUP($K572,Grinders!$A$4:$N$998,2,FALSE),""))</f>
        <v/>
      </c>
      <c r="M572" s="40" t="str">
        <f>IF($K572="","",IFERROR(VLOOKUP($K572,Grinders!$A$4:$N$998,3,FALSE),""))</f>
        <v/>
      </c>
      <c r="N572" s="40" t="str">
        <f>IF($K572="","",IFERROR(VLOOKUP($K572,Grinders!$A$4:$N$998,4,FALSE),""))</f>
        <v/>
      </c>
      <c r="O572" s="40" t="str">
        <f>IF($K572="","",IFERROR(VLOOKUP($K572,Grinders!$A$4:$N$998,5,FALSE),""))</f>
        <v/>
      </c>
      <c r="P572" s="40" t="str">
        <f>IF($K572="","",IF($C$4="",0,COUNTIFS(Assignments!$B$6:$B$1000,$K572,Assignments!$F$6:$F$1000,$C$4,Assignments!$E$6:$E$1000,"Active")))</f>
        <v/>
      </c>
      <c r="Q572" s="40" t="str">
        <f t="shared" si="3"/>
        <v/>
      </c>
      <c r="R572" s="40" t="str">
        <f t="shared" si="4"/>
        <v/>
      </c>
      <c r="S572" s="40" t="str">
        <f>IF($K572="","",IF($C$4="",0,COUNTIFS(Assignments!$B$6:$B$1000,$K572,Assignments!$F$6:$F$1000,$C$4,Assignments!$D$6:$D$1000,"&gt;="&amp;Config!$B$3-7,Assignments!$D$6:$D$1000,"&lt;="&amp;Config!$B$3)))</f>
        <v/>
      </c>
      <c r="T572" s="40" t="str">
        <f>IF($K572="","",IFERROR(VLOOKUP($K572,Grinders!$A$4:$N$998,8,FALSE),""))</f>
        <v/>
      </c>
      <c r="U572" s="40" t="str">
        <f>IFERROR(IF($K572="","",IF($M572="Elite",MAX(50,MIN(100,Config!$B$27*MAX(0,MIN(100,(1-IF($R572="",0,$R572))*100)) + Config!$B$28*MAX(0,MIN(100,(1-MIN(1,IF(Config!$B$30=0,1,$S572/Config!$B$30)))*100)) + Config!$B$29*MAX(0,MIN(100,MIN(1,IF($T572="",0,$T572)/Config!$B$23)*100)))),MIN(100,Config!$B$27*MAX(0,MIN(100,(1-IF($R572="",0,$R572))*100)) + Config!$B$28*MAX(0,MIN(100,(1-MIN(1,IF(Config!$B$30=0,1,$S572/Config!$B$30)))*100)) + Config!$B$29*MAX(0,MIN(100,MIN(1,IF($T572="",0,$T572)/Config!$B$23)*100))))),"")
</f>
        <v/>
      </c>
      <c r="V572" s="40" t="str">
        <f>IF(Bids!$D571="","",Bids!$D571)</f>
        <v/>
      </c>
      <c r="W572" s="40" t="str">
        <f>IF(Bids!$F571="","",Bids!$F571)</f>
        <v/>
      </c>
      <c r="X572" s="40" t="str">
        <f t="shared" si="5"/>
        <v/>
      </c>
      <c r="Y572" s="40" t="str">
        <f>IF($X572="","",IF(Config!$B$17=Config!$B$16,IF($X572&gt;=Config!$B$17,100,0),MAX(0,MIN(100,($X572-Config!$B$16)/(Config!$B$17-Config!$B$16)*100))))</f>
        <v/>
      </c>
      <c r="Z572" s="40">
        <f>IF($M572="Elite",Config!$B$21,0)</f>
        <v>0</v>
      </c>
      <c r="AA572" s="40" t="str">
        <f>IFERROR(IF(OR($W572="",$H572=""),"",IF($W572&gt;$H572,
  MAX(0, 60-(($W572-$H572)*24/Config!$B$19)*60),
  MIN(100, 60+(($H572-$W572)*24/Config!$B$20)*40)
)),"")
</f>
        <v/>
      </c>
      <c r="AB572" s="40" t="str">
        <f>IF($K572="","",IFERROR(VLOOKUP($K572,Grinders!$A$4:$N$998,10,FALSE)/5*100,""))</f>
        <v/>
      </c>
      <c r="AC572" s="40" t="str">
        <f>IF($K572="","",IFERROR(VLOOKUP($K572,Grinders!$A$4:$N$998,11,FALSE)*100,""))</f>
        <v/>
      </c>
      <c r="AD572" s="40" t="str">
        <f>IF($K572="","",IFERROR(VLOOKUP($K572,Grinders!$A$4:$N$998,12,FALSE)*100,""))</f>
        <v/>
      </c>
      <c r="AE572" s="40">
        <f>IFERROR(IFS(
    OR($C572="", $K572=""), 0,
    $F572=0, 0,
    $D572&lt;&gt;"Open", 0,
    COUNTIFS(GrinderServices!$B$4:$B$998, $K572, GrinderServices!$C$4:$C$998, $E572, GrinderServices!$E$4:$E$998, "Y")=0, 0,
    $X572&lt;Config!$B$16, 0,
    Config!$B$18=1, IF($O572&gt;=N572, 0, 1),
    TRUE, 1
), "")
</f>
        <v>0</v>
      </c>
      <c r="AF572" s="40" t="str">
        <f>IFERROR(IF($AE572=0,"",((Config!$B$6*$Y572 + Config!$B$7*$U572 + Config!$B$8*$Z572 + Config!$B$9*$AA572 + Config!$B$10*$AB572 + Config!$B$11*$AC572 - Config!$B$12*$AD572)/Config!$B$13)+$AK572+$AL572),"")</f>
        <v/>
      </c>
      <c r="AG572" s="40" t="str">
        <f t="shared" si="6"/>
        <v/>
      </c>
      <c r="AH572" s="40" t="str">
        <f t="shared" si="7"/>
        <v/>
      </c>
      <c r="AI572" s="40" t="str">
        <f t="shared" si="8"/>
        <v/>
      </c>
      <c r="AJ572" s="40" t="str">
        <f>IF($K572="","",COUNTIF(Assignments!$B$6:$B$1000,$K572))</f>
        <v/>
      </c>
      <c r="AK572" s="40" t="str">
        <f>IF($K572="","",IF(AND($AJ572=0,$O572&lt;$N572),Config!$B$43,0))</f>
        <v/>
      </c>
      <c r="AL572" s="40" t="str">
        <f>IF($K572="","",IF(AND($M572="Elite",$G572&gt;=Config!$B$41,$O572&lt;$N572),Config!$B$42,0))</f>
        <v/>
      </c>
      <c r="AM572" s="22"/>
    </row>
    <row r="573" ht="15.75" customHeight="1">
      <c r="A573" s="40" t="str">
        <f t="shared" si="1"/>
        <v/>
      </c>
      <c r="B573" s="40" t="str">
        <f>IF(Bids!$A572="","",Bids!$A572)</f>
        <v/>
      </c>
      <c r="C573" s="40" t="str">
        <f>IF(Bids!$B572="","",Bids!$B572)</f>
        <v/>
      </c>
      <c r="D573" s="40" t="str">
        <f>IF($C573="","",IFERROR(VLOOKUP($C573,Orders!$A$4:$J$998,9,FALSE),""))</f>
        <v/>
      </c>
      <c r="E573" s="40" t="str">
        <f>IF($C573="","",IFERROR(VLOOKUP($C573,Orders!$A$4:$J$998,3,FALSE),""))</f>
        <v/>
      </c>
      <c r="F573" s="40">
        <f t="shared" si="2"/>
        <v>1</v>
      </c>
      <c r="G573" s="40" t="str">
        <f>IF($C573="","",IFERROR(VLOOKUP($C573,Orders!$A$4:$J$998,4,FALSE),""))</f>
        <v/>
      </c>
      <c r="H573" s="40" t="str">
        <f>IF($C573="","",IFERROR(VLOOKUP($C573,Orders!$A$4:$J$998,5,FALSE),""))</f>
        <v/>
      </c>
      <c r="I573" s="40" t="str">
        <f>IF($C573="","",IFERROR(VLOOKUP($C573,Orders!$A$4:$J$998,6,FALSE),""))</f>
        <v/>
      </c>
      <c r="J573" s="40" t="str">
        <f>IF($C573="","",IFERROR(VLOOKUP($C573,Orders!$A$4:$J$998,7,FALSE),""))</f>
        <v/>
      </c>
      <c r="K573" s="40" t="str">
        <f>IF(Bids!$C572="","",Bids!$C572)</f>
        <v/>
      </c>
      <c r="L573" s="40" t="str">
        <f>IF($K573="","",IFERROR(VLOOKUP($K573,Grinders!$A$4:$N$998,2,FALSE),""))</f>
        <v/>
      </c>
      <c r="M573" s="40" t="str">
        <f>IF($K573="","",IFERROR(VLOOKUP($K573,Grinders!$A$4:$N$998,3,FALSE),""))</f>
        <v/>
      </c>
      <c r="N573" s="40" t="str">
        <f>IF($K573="","",IFERROR(VLOOKUP($K573,Grinders!$A$4:$N$998,4,FALSE),""))</f>
        <v/>
      </c>
      <c r="O573" s="40" t="str">
        <f>IF($K573="","",IFERROR(VLOOKUP($K573,Grinders!$A$4:$N$998,5,FALSE),""))</f>
        <v/>
      </c>
      <c r="P573" s="40" t="str">
        <f>IF($K573="","",IF($C$4="",0,COUNTIFS(Assignments!$B$6:$B$1000,$K573,Assignments!$F$6:$F$1000,$C$4,Assignments!$E$6:$E$1000,"Active")))</f>
        <v/>
      </c>
      <c r="Q573" s="40" t="str">
        <f t="shared" si="3"/>
        <v/>
      </c>
      <c r="R573" s="40" t="str">
        <f t="shared" si="4"/>
        <v/>
      </c>
      <c r="S573" s="40" t="str">
        <f>IF($K573="","",IF($C$4="",0,COUNTIFS(Assignments!$B$6:$B$1000,$K573,Assignments!$F$6:$F$1000,$C$4,Assignments!$D$6:$D$1000,"&gt;="&amp;Config!$B$3-7,Assignments!$D$6:$D$1000,"&lt;="&amp;Config!$B$3)))</f>
        <v/>
      </c>
      <c r="T573" s="40" t="str">
        <f>IF($K573="","",IFERROR(VLOOKUP($K573,Grinders!$A$4:$N$998,8,FALSE),""))</f>
        <v/>
      </c>
      <c r="U573" s="40" t="str">
        <f>IFERROR(IF($K573="","",IF($M573="Elite",MAX(50,MIN(100,Config!$B$27*MAX(0,MIN(100,(1-IF($R573="",0,$R573))*100)) + Config!$B$28*MAX(0,MIN(100,(1-MIN(1,IF(Config!$B$30=0,1,$S573/Config!$B$30)))*100)) + Config!$B$29*MAX(0,MIN(100,MIN(1,IF($T573="",0,$T573)/Config!$B$23)*100)))),MIN(100,Config!$B$27*MAX(0,MIN(100,(1-IF($R573="",0,$R573))*100)) + Config!$B$28*MAX(0,MIN(100,(1-MIN(1,IF(Config!$B$30=0,1,$S573/Config!$B$30)))*100)) + Config!$B$29*MAX(0,MIN(100,MIN(1,IF($T573="",0,$T573)/Config!$B$23)*100))))),"")
</f>
        <v/>
      </c>
      <c r="V573" s="40" t="str">
        <f>IF(Bids!$D572="","",Bids!$D572)</f>
        <v/>
      </c>
      <c r="W573" s="40" t="str">
        <f>IF(Bids!$F572="","",Bids!$F572)</f>
        <v/>
      </c>
      <c r="X573" s="40" t="str">
        <f t="shared" si="5"/>
        <v/>
      </c>
      <c r="Y573" s="40" t="str">
        <f>IF($X573="","",IF(Config!$B$17=Config!$B$16,IF($X573&gt;=Config!$B$17,100,0),MAX(0,MIN(100,($X573-Config!$B$16)/(Config!$B$17-Config!$B$16)*100))))</f>
        <v/>
      </c>
      <c r="Z573" s="40">
        <f>IF($M573="Elite",Config!$B$21,0)</f>
        <v>0</v>
      </c>
      <c r="AA573" s="40" t="str">
        <f>IFERROR(IF(OR($W573="",$H573=""),"",IF($W573&gt;$H573,
  MAX(0, 60-(($W573-$H573)*24/Config!$B$19)*60),
  MIN(100, 60+(($H573-$W573)*24/Config!$B$20)*40)
)),"")
</f>
        <v/>
      </c>
      <c r="AB573" s="40" t="str">
        <f>IF($K573="","",IFERROR(VLOOKUP($K573,Grinders!$A$4:$N$998,10,FALSE)/5*100,""))</f>
        <v/>
      </c>
      <c r="AC573" s="40" t="str">
        <f>IF($K573="","",IFERROR(VLOOKUP($K573,Grinders!$A$4:$N$998,11,FALSE)*100,""))</f>
        <v/>
      </c>
      <c r="AD573" s="40" t="str">
        <f>IF($K573="","",IFERROR(VLOOKUP($K573,Grinders!$A$4:$N$998,12,FALSE)*100,""))</f>
        <v/>
      </c>
      <c r="AE573" s="40">
        <f>IFERROR(IFS(
    OR($C573="", $K573=""), 0,
    $F573=0, 0,
    $D573&lt;&gt;"Open", 0,
    COUNTIFS(GrinderServices!$B$4:$B$998, $K573, GrinderServices!$C$4:$C$998, $E573, GrinderServices!$E$4:$E$998, "Y")=0, 0,
    $X573&lt;Config!$B$16, 0,
    Config!$B$18=1, IF($O573&gt;=N573, 0, 1),
    TRUE, 1
), "")
</f>
        <v>0</v>
      </c>
      <c r="AF573" s="40" t="str">
        <f>IFERROR(IF($AE573=0,"",((Config!$B$6*$Y573 + Config!$B$7*$U573 + Config!$B$8*$Z573 + Config!$B$9*$AA573 + Config!$B$10*$AB573 + Config!$B$11*$AC573 - Config!$B$12*$AD573)/Config!$B$13)+$AK573+$AL573),"")</f>
        <v/>
      </c>
      <c r="AG573" s="40" t="str">
        <f t="shared" si="6"/>
        <v/>
      </c>
      <c r="AH573" s="40" t="str">
        <f t="shared" si="7"/>
        <v/>
      </c>
      <c r="AI573" s="40" t="str">
        <f t="shared" si="8"/>
        <v/>
      </c>
      <c r="AJ573" s="40" t="str">
        <f>IF($K573="","",COUNTIF(Assignments!$B$6:$B$1000,$K573))</f>
        <v/>
      </c>
      <c r="AK573" s="40" t="str">
        <f>IF($K573="","",IF(AND($AJ573=0,$O573&lt;$N573),Config!$B$43,0))</f>
        <v/>
      </c>
      <c r="AL573" s="40" t="str">
        <f>IF($K573="","",IF(AND($M573="Elite",$G573&gt;=Config!$B$41,$O573&lt;$N573),Config!$B$42,0))</f>
        <v/>
      </c>
      <c r="AM573" s="22"/>
    </row>
    <row r="574" ht="15.75" customHeight="1">
      <c r="A574" s="40" t="str">
        <f t="shared" si="1"/>
        <v/>
      </c>
      <c r="B574" s="40" t="str">
        <f>IF(Bids!$A573="","",Bids!$A573)</f>
        <v/>
      </c>
      <c r="C574" s="40" t="str">
        <f>IF(Bids!$B573="","",Bids!$B573)</f>
        <v/>
      </c>
      <c r="D574" s="40" t="str">
        <f>IF($C574="","",IFERROR(VLOOKUP($C574,Orders!$A$4:$J$998,9,FALSE),""))</f>
        <v/>
      </c>
      <c r="E574" s="40" t="str">
        <f>IF($C574="","",IFERROR(VLOOKUP($C574,Orders!$A$4:$J$998,3,FALSE),""))</f>
        <v/>
      </c>
      <c r="F574" s="40">
        <f t="shared" si="2"/>
        <v>1</v>
      </c>
      <c r="G574" s="40" t="str">
        <f>IF($C574="","",IFERROR(VLOOKUP($C574,Orders!$A$4:$J$998,4,FALSE),""))</f>
        <v/>
      </c>
      <c r="H574" s="40" t="str">
        <f>IF($C574="","",IFERROR(VLOOKUP($C574,Orders!$A$4:$J$998,5,FALSE),""))</f>
        <v/>
      </c>
      <c r="I574" s="40" t="str">
        <f>IF($C574="","",IFERROR(VLOOKUP($C574,Orders!$A$4:$J$998,6,FALSE),""))</f>
        <v/>
      </c>
      <c r="J574" s="40" t="str">
        <f>IF($C574="","",IFERROR(VLOOKUP($C574,Orders!$A$4:$J$998,7,FALSE),""))</f>
        <v/>
      </c>
      <c r="K574" s="40" t="str">
        <f>IF(Bids!$C573="","",Bids!$C573)</f>
        <v/>
      </c>
      <c r="L574" s="40" t="str">
        <f>IF($K574="","",IFERROR(VLOOKUP($K574,Grinders!$A$4:$N$998,2,FALSE),""))</f>
        <v/>
      </c>
      <c r="M574" s="40" t="str">
        <f>IF($K574="","",IFERROR(VLOOKUP($K574,Grinders!$A$4:$N$998,3,FALSE),""))</f>
        <v/>
      </c>
      <c r="N574" s="40" t="str">
        <f>IF($K574="","",IFERROR(VLOOKUP($K574,Grinders!$A$4:$N$998,4,FALSE),""))</f>
        <v/>
      </c>
      <c r="O574" s="40" t="str">
        <f>IF($K574="","",IFERROR(VLOOKUP($K574,Grinders!$A$4:$N$998,5,FALSE),""))</f>
        <v/>
      </c>
      <c r="P574" s="40" t="str">
        <f>IF($K574="","",IF($C$4="",0,COUNTIFS(Assignments!$B$6:$B$1000,$K574,Assignments!$F$6:$F$1000,$C$4,Assignments!$E$6:$E$1000,"Active")))</f>
        <v/>
      </c>
      <c r="Q574" s="40" t="str">
        <f t="shared" si="3"/>
        <v/>
      </c>
      <c r="R574" s="40" t="str">
        <f t="shared" si="4"/>
        <v/>
      </c>
      <c r="S574" s="40" t="str">
        <f>IF($K574="","",IF($C$4="",0,COUNTIFS(Assignments!$B$6:$B$1000,$K574,Assignments!$F$6:$F$1000,$C$4,Assignments!$D$6:$D$1000,"&gt;="&amp;Config!$B$3-7,Assignments!$D$6:$D$1000,"&lt;="&amp;Config!$B$3)))</f>
        <v/>
      </c>
      <c r="T574" s="40" t="str">
        <f>IF($K574="","",IFERROR(VLOOKUP($K574,Grinders!$A$4:$N$998,8,FALSE),""))</f>
        <v/>
      </c>
      <c r="U574" s="40" t="str">
        <f>IFERROR(IF($K574="","",IF($M574="Elite",MAX(50,MIN(100,Config!$B$27*MAX(0,MIN(100,(1-IF($R574="",0,$R574))*100)) + Config!$B$28*MAX(0,MIN(100,(1-MIN(1,IF(Config!$B$30=0,1,$S574/Config!$B$30)))*100)) + Config!$B$29*MAX(0,MIN(100,MIN(1,IF($T574="",0,$T574)/Config!$B$23)*100)))),MIN(100,Config!$B$27*MAX(0,MIN(100,(1-IF($R574="",0,$R574))*100)) + Config!$B$28*MAX(0,MIN(100,(1-MIN(1,IF(Config!$B$30=0,1,$S574/Config!$B$30)))*100)) + Config!$B$29*MAX(0,MIN(100,MIN(1,IF($T574="",0,$T574)/Config!$B$23)*100))))),"")
</f>
        <v/>
      </c>
      <c r="V574" s="40" t="str">
        <f>IF(Bids!$D573="","",Bids!$D573)</f>
        <v/>
      </c>
      <c r="W574" s="40" t="str">
        <f>IF(Bids!$F573="","",Bids!$F573)</f>
        <v/>
      </c>
      <c r="X574" s="40" t="str">
        <f t="shared" si="5"/>
        <v/>
      </c>
      <c r="Y574" s="40" t="str">
        <f>IF($X574="","",IF(Config!$B$17=Config!$B$16,IF($X574&gt;=Config!$B$17,100,0),MAX(0,MIN(100,($X574-Config!$B$16)/(Config!$B$17-Config!$B$16)*100))))</f>
        <v/>
      </c>
      <c r="Z574" s="40">
        <f>IF($M574="Elite",Config!$B$21,0)</f>
        <v>0</v>
      </c>
      <c r="AA574" s="40" t="str">
        <f>IFERROR(IF(OR($W574="",$H574=""),"",IF($W574&gt;$H574,
  MAX(0, 60-(($W574-$H574)*24/Config!$B$19)*60),
  MIN(100, 60+(($H574-$W574)*24/Config!$B$20)*40)
)),"")
</f>
        <v/>
      </c>
      <c r="AB574" s="40" t="str">
        <f>IF($K574="","",IFERROR(VLOOKUP($K574,Grinders!$A$4:$N$998,10,FALSE)/5*100,""))</f>
        <v/>
      </c>
      <c r="AC574" s="40" t="str">
        <f>IF($K574="","",IFERROR(VLOOKUP($K574,Grinders!$A$4:$N$998,11,FALSE)*100,""))</f>
        <v/>
      </c>
      <c r="AD574" s="40" t="str">
        <f>IF($K574="","",IFERROR(VLOOKUP($K574,Grinders!$A$4:$N$998,12,FALSE)*100,""))</f>
        <v/>
      </c>
      <c r="AE574" s="40">
        <f>IFERROR(IFS(
    OR($C574="", $K574=""), 0,
    $F574=0, 0,
    $D574&lt;&gt;"Open", 0,
    COUNTIFS(GrinderServices!$B$4:$B$998, $K574, GrinderServices!$C$4:$C$998, $E574, GrinderServices!$E$4:$E$998, "Y")=0, 0,
    $X574&lt;Config!$B$16, 0,
    Config!$B$18=1, IF($O574&gt;=N574, 0, 1),
    TRUE, 1
), "")
</f>
        <v>0</v>
      </c>
      <c r="AF574" s="40" t="str">
        <f>IFERROR(IF($AE574=0,"",((Config!$B$6*$Y574 + Config!$B$7*$U574 + Config!$B$8*$Z574 + Config!$B$9*$AA574 + Config!$B$10*$AB574 + Config!$B$11*$AC574 - Config!$B$12*$AD574)/Config!$B$13)+$AK574+$AL574),"")</f>
        <v/>
      </c>
      <c r="AG574" s="40" t="str">
        <f t="shared" si="6"/>
        <v/>
      </c>
      <c r="AH574" s="40" t="str">
        <f t="shared" si="7"/>
        <v/>
      </c>
      <c r="AI574" s="40" t="str">
        <f t="shared" si="8"/>
        <v/>
      </c>
      <c r="AJ574" s="40" t="str">
        <f>IF($K574="","",COUNTIF(Assignments!$B$6:$B$1000,$K574))</f>
        <v/>
      </c>
      <c r="AK574" s="40" t="str">
        <f>IF($K574="","",IF(AND($AJ574=0,$O574&lt;$N574),Config!$B$43,0))</f>
        <v/>
      </c>
      <c r="AL574" s="40" t="str">
        <f>IF($K574="","",IF(AND($M574="Elite",$G574&gt;=Config!$B$41,$O574&lt;$N574),Config!$B$42,0))</f>
        <v/>
      </c>
      <c r="AM574" s="22"/>
    </row>
    <row r="575" ht="15.75" customHeight="1">
      <c r="A575" s="40" t="str">
        <f t="shared" si="1"/>
        <v/>
      </c>
      <c r="B575" s="40" t="str">
        <f>IF(Bids!$A574="","",Bids!$A574)</f>
        <v/>
      </c>
      <c r="C575" s="40" t="str">
        <f>IF(Bids!$B574="","",Bids!$B574)</f>
        <v/>
      </c>
      <c r="D575" s="40" t="str">
        <f>IF($C575="","",IFERROR(VLOOKUP($C575,Orders!$A$4:$J$998,9,FALSE),""))</f>
        <v/>
      </c>
      <c r="E575" s="40" t="str">
        <f>IF($C575="","",IFERROR(VLOOKUP($C575,Orders!$A$4:$J$998,3,FALSE),""))</f>
        <v/>
      </c>
      <c r="F575" s="40">
        <f t="shared" si="2"/>
        <v>1</v>
      </c>
      <c r="G575" s="40" t="str">
        <f>IF($C575="","",IFERROR(VLOOKUP($C575,Orders!$A$4:$J$998,4,FALSE),""))</f>
        <v/>
      </c>
      <c r="H575" s="40" t="str">
        <f>IF($C575="","",IFERROR(VLOOKUP($C575,Orders!$A$4:$J$998,5,FALSE),""))</f>
        <v/>
      </c>
      <c r="I575" s="40" t="str">
        <f>IF($C575="","",IFERROR(VLOOKUP($C575,Orders!$A$4:$J$998,6,FALSE),""))</f>
        <v/>
      </c>
      <c r="J575" s="40" t="str">
        <f>IF($C575="","",IFERROR(VLOOKUP($C575,Orders!$A$4:$J$998,7,FALSE),""))</f>
        <v/>
      </c>
      <c r="K575" s="40" t="str">
        <f>IF(Bids!$C574="","",Bids!$C574)</f>
        <v/>
      </c>
      <c r="L575" s="40" t="str">
        <f>IF($K575="","",IFERROR(VLOOKUP($K575,Grinders!$A$4:$N$998,2,FALSE),""))</f>
        <v/>
      </c>
      <c r="M575" s="40" t="str">
        <f>IF($K575="","",IFERROR(VLOOKUP($K575,Grinders!$A$4:$N$998,3,FALSE),""))</f>
        <v/>
      </c>
      <c r="N575" s="40" t="str">
        <f>IF($K575="","",IFERROR(VLOOKUP($K575,Grinders!$A$4:$N$998,4,FALSE),""))</f>
        <v/>
      </c>
      <c r="O575" s="40" t="str">
        <f>IF($K575="","",IFERROR(VLOOKUP($K575,Grinders!$A$4:$N$998,5,FALSE),""))</f>
        <v/>
      </c>
      <c r="P575" s="40" t="str">
        <f>IF($K575="","",IF($C$4="",0,COUNTIFS(Assignments!$B$6:$B$1000,$K575,Assignments!$F$6:$F$1000,$C$4,Assignments!$E$6:$E$1000,"Active")))</f>
        <v/>
      </c>
      <c r="Q575" s="40" t="str">
        <f t="shared" si="3"/>
        <v/>
      </c>
      <c r="R575" s="40" t="str">
        <f t="shared" si="4"/>
        <v/>
      </c>
      <c r="S575" s="40" t="str">
        <f>IF($K575="","",IF($C$4="",0,COUNTIFS(Assignments!$B$6:$B$1000,$K575,Assignments!$F$6:$F$1000,$C$4,Assignments!$D$6:$D$1000,"&gt;="&amp;Config!$B$3-7,Assignments!$D$6:$D$1000,"&lt;="&amp;Config!$B$3)))</f>
        <v/>
      </c>
      <c r="T575" s="40" t="str">
        <f>IF($K575="","",IFERROR(VLOOKUP($K575,Grinders!$A$4:$N$998,8,FALSE),""))</f>
        <v/>
      </c>
      <c r="U575" s="40" t="str">
        <f>IFERROR(IF($K575="","",IF($M575="Elite",MAX(50,MIN(100,Config!$B$27*MAX(0,MIN(100,(1-IF($R575="",0,$R575))*100)) + Config!$B$28*MAX(0,MIN(100,(1-MIN(1,IF(Config!$B$30=0,1,$S575/Config!$B$30)))*100)) + Config!$B$29*MAX(0,MIN(100,MIN(1,IF($T575="",0,$T575)/Config!$B$23)*100)))),MIN(100,Config!$B$27*MAX(0,MIN(100,(1-IF($R575="",0,$R575))*100)) + Config!$B$28*MAX(0,MIN(100,(1-MIN(1,IF(Config!$B$30=0,1,$S575/Config!$B$30)))*100)) + Config!$B$29*MAX(0,MIN(100,MIN(1,IF($T575="",0,$T575)/Config!$B$23)*100))))),"")
</f>
        <v/>
      </c>
      <c r="V575" s="40" t="str">
        <f>IF(Bids!$D574="","",Bids!$D574)</f>
        <v/>
      </c>
      <c r="W575" s="40" t="str">
        <f>IF(Bids!$F574="","",Bids!$F574)</f>
        <v/>
      </c>
      <c r="X575" s="40" t="str">
        <f t="shared" si="5"/>
        <v/>
      </c>
      <c r="Y575" s="40" t="str">
        <f>IF($X575="","",IF(Config!$B$17=Config!$B$16,IF($X575&gt;=Config!$B$17,100,0),MAX(0,MIN(100,($X575-Config!$B$16)/(Config!$B$17-Config!$B$16)*100))))</f>
        <v/>
      </c>
      <c r="Z575" s="40">
        <f>IF($M575="Elite",Config!$B$21,0)</f>
        <v>0</v>
      </c>
      <c r="AA575" s="40" t="str">
        <f>IFERROR(IF(OR($W575="",$H575=""),"",IF($W575&gt;$H575,
  MAX(0, 60-(($W575-$H575)*24/Config!$B$19)*60),
  MIN(100, 60+(($H575-$W575)*24/Config!$B$20)*40)
)),"")
</f>
        <v/>
      </c>
      <c r="AB575" s="40" t="str">
        <f>IF($K575="","",IFERROR(VLOOKUP($K575,Grinders!$A$4:$N$998,10,FALSE)/5*100,""))</f>
        <v/>
      </c>
      <c r="AC575" s="40" t="str">
        <f>IF($K575="","",IFERROR(VLOOKUP($K575,Grinders!$A$4:$N$998,11,FALSE)*100,""))</f>
        <v/>
      </c>
      <c r="AD575" s="40" t="str">
        <f>IF($K575="","",IFERROR(VLOOKUP($K575,Grinders!$A$4:$N$998,12,FALSE)*100,""))</f>
        <v/>
      </c>
      <c r="AE575" s="40">
        <f>IFERROR(IFS(
    OR($C575="", $K575=""), 0,
    $F575=0, 0,
    $D575&lt;&gt;"Open", 0,
    COUNTIFS(GrinderServices!$B$4:$B$998, $K575, GrinderServices!$C$4:$C$998, $E575, GrinderServices!$E$4:$E$998, "Y")=0, 0,
    $X575&lt;Config!$B$16, 0,
    Config!$B$18=1, IF($O575&gt;=N575, 0, 1),
    TRUE, 1
), "")
</f>
        <v>0</v>
      </c>
      <c r="AF575" s="40" t="str">
        <f>IFERROR(IF($AE575=0,"",((Config!$B$6*$Y575 + Config!$B$7*$U575 + Config!$B$8*$Z575 + Config!$B$9*$AA575 + Config!$B$10*$AB575 + Config!$B$11*$AC575 - Config!$B$12*$AD575)/Config!$B$13)+$AK575+$AL575),"")</f>
        <v/>
      </c>
      <c r="AG575" s="40" t="str">
        <f t="shared" si="6"/>
        <v/>
      </c>
      <c r="AH575" s="40" t="str">
        <f t="shared" si="7"/>
        <v/>
      </c>
      <c r="AI575" s="40" t="str">
        <f t="shared" si="8"/>
        <v/>
      </c>
      <c r="AJ575" s="40" t="str">
        <f>IF($K575="","",COUNTIF(Assignments!$B$6:$B$1000,$K575))</f>
        <v/>
      </c>
      <c r="AK575" s="40" t="str">
        <f>IF($K575="","",IF(AND($AJ575=0,$O575&lt;$N575),Config!$B$43,0))</f>
        <v/>
      </c>
      <c r="AL575" s="40" t="str">
        <f>IF($K575="","",IF(AND($M575="Elite",$G575&gt;=Config!$B$41,$O575&lt;$N575),Config!$B$42,0))</f>
        <v/>
      </c>
      <c r="AM575" s="22"/>
    </row>
    <row r="576" ht="15.75" customHeight="1">
      <c r="A576" s="40" t="str">
        <f t="shared" si="1"/>
        <v/>
      </c>
      <c r="B576" s="40" t="str">
        <f>IF(Bids!$A575="","",Bids!$A575)</f>
        <v/>
      </c>
      <c r="C576" s="40" t="str">
        <f>IF(Bids!$B575="","",Bids!$B575)</f>
        <v/>
      </c>
      <c r="D576" s="40" t="str">
        <f>IF($C576="","",IFERROR(VLOOKUP($C576,Orders!$A$4:$J$998,9,FALSE),""))</f>
        <v/>
      </c>
      <c r="E576" s="40" t="str">
        <f>IF($C576="","",IFERROR(VLOOKUP($C576,Orders!$A$4:$J$998,3,FALSE),""))</f>
        <v/>
      </c>
      <c r="F576" s="40">
        <f t="shared" si="2"/>
        <v>1</v>
      </c>
      <c r="G576" s="40" t="str">
        <f>IF($C576="","",IFERROR(VLOOKUP($C576,Orders!$A$4:$J$998,4,FALSE),""))</f>
        <v/>
      </c>
      <c r="H576" s="40" t="str">
        <f>IF($C576="","",IFERROR(VLOOKUP($C576,Orders!$A$4:$J$998,5,FALSE),""))</f>
        <v/>
      </c>
      <c r="I576" s="40" t="str">
        <f>IF($C576="","",IFERROR(VLOOKUP($C576,Orders!$A$4:$J$998,6,FALSE),""))</f>
        <v/>
      </c>
      <c r="J576" s="40" t="str">
        <f>IF($C576="","",IFERROR(VLOOKUP($C576,Orders!$A$4:$J$998,7,FALSE),""))</f>
        <v/>
      </c>
      <c r="K576" s="40" t="str">
        <f>IF(Bids!$C575="","",Bids!$C575)</f>
        <v/>
      </c>
      <c r="L576" s="40" t="str">
        <f>IF($K576="","",IFERROR(VLOOKUP($K576,Grinders!$A$4:$N$998,2,FALSE),""))</f>
        <v/>
      </c>
      <c r="M576" s="40" t="str">
        <f>IF($K576="","",IFERROR(VLOOKUP($K576,Grinders!$A$4:$N$998,3,FALSE),""))</f>
        <v/>
      </c>
      <c r="N576" s="40" t="str">
        <f>IF($K576="","",IFERROR(VLOOKUP($K576,Grinders!$A$4:$N$998,4,FALSE),""))</f>
        <v/>
      </c>
      <c r="O576" s="40" t="str">
        <f>IF($K576="","",IFERROR(VLOOKUP($K576,Grinders!$A$4:$N$998,5,FALSE),""))</f>
        <v/>
      </c>
      <c r="P576" s="40" t="str">
        <f>IF($K576="","",IF($C$4="",0,COUNTIFS(Assignments!$B$6:$B$1000,$K576,Assignments!$F$6:$F$1000,$C$4,Assignments!$E$6:$E$1000,"Active")))</f>
        <v/>
      </c>
      <c r="Q576" s="40" t="str">
        <f t="shared" si="3"/>
        <v/>
      </c>
      <c r="R576" s="40" t="str">
        <f t="shared" si="4"/>
        <v/>
      </c>
      <c r="S576" s="40" t="str">
        <f>IF($K576="","",IF($C$4="",0,COUNTIFS(Assignments!$B$6:$B$1000,$K576,Assignments!$F$6:$F$1000,$C$4,Assignments!$D$6:$D$1000,"&gt;="&amp;Config!$B$3-7,Assignments!$D$6:$D$1000,"&lt;="&amp;Config!$B$3)))</f>
        <v/>
      </c>
      <c r="T576" s="40" t="str">
        <f>IF($K576="","",IFERROR(VLOOKUP($K576,Grinders!$A$4:$N$998,8,FALSE),""))</f>
        <v/>
      </c>
      <c r="U576" s="40" t="str">
        <f>IFERROR(IF($K576="","",IF($M576="Elite",MAX(50,MIN(100,Config!$B$27*MAX(0,MIN(100,(1-IF($R576="",0,$R576))*100)) + Config!$B$28*MAX(0,MIN(100,(1-MIN(1,IF(Config!$B$30=0,1,$S576/Config!$B$30)))*100)) + Config!$B$29*MAX(0,MIN(100,MIN(1,IF($T576="",0,$T576)/Config!$B$23)*100)))),MIN(100,Config!$B$27*MAX(0,MIN(100,(1-IF($R576="",0,$R576))*100)) + Config!$B$28*MAX(0,MIN(100,(1-MIN(1,IF(Config!$B$30=0,1,$S576/Config!$B$30)))*100)) + Config!$B$29*MAX(0,MIN(100,MIN(1,IF($T576="",0,$T576)/Config!$B$23)*100))))),"")
</f>
        <v/>
      </c>
      <c r="V576" s="40" t="str">
        <f>IF(Bids!$D575="","",Bids!$D575)</f>
        <v/>
      </c>
      <c r="W576" s="40" t="str">
        <f>IF(Bids!$F575="","",Bids!$F575)</f>
        <v/>
      </c>
      <c r="X576" s="40" t="str">
        <f t="shared" si="5"/>
        <v/>
      </c>
      <c r="Y576" s="40" t="str">
        <f>IF($X576="","",IF(Config!$B$17=Config!$B$16,IF($X576&gt;=Config!$B$17,100,0),MAX(0,MIN(100,($X576-Config!$B$16)/(Config!$B$17-Config!$B$16)*100))))</f>
        <v/>
      </c>
      <c r="Z576" s="40">
        <f>IF($M576="Elite",Config!$B$21,0)</f>
        <v>0</v>
      </c>
      <c r="AA576" s="40" t="str">
        <f>IFERROR(IF(OR($W576="",$H576=""),"",IF($W576&gt;$H576,
  MAX(0, 60-(($W576-$H576)*24/Config!$B$19)*60),
  MIN(100, 60+(($H576-$W576)*24/Config!$B$20)*40)
)),"")
</f>
        <v/>
      </c>
      <c r="AB576" s="40" t="str">
        <f>IF($K576="","",IFERROR(VLOOKUP($K576,Grinders!$A$4:$N$998,10,FALSE)/5*100,""))</f>
        <v/>
      </c>
      <c r="AC576" s="40" t="str">
        <f>IF($K576="","",IFERROR(VLOOKUP($K576,Grinders!$A$4:$N$998,11,FALSE)*100,""))</f>
        <v/>
      </c>
      <c r="AD576" s="40" t="str">
        <f>IF($K576="","",IFERROR(VLOOKUP($K576,Grinders!$A$4:$N$998,12,FALSE)*100,""))</f>
        <v/>
      </c>
      <c r="AE576" s="40">
        <f>IFERROR(IFS(
    OR($C576="", $K576=""), 0,
    $F576=0, 0,
    $D576&lt;&gt;"Open", 0,
    COUNTIFS(GrinderServices!$B$4:$B$998, $K576, GrinderServices!$C$4:$C$998, $E576, GrinderServices!$E$4:$E$998, "Y")=0, 0,
    $X576&lt;Config!$B$16, 0,
    Config!$B$18=1, IF($O576&gt;=N576, 0, 1),
    TRUE, 1
), "")
</f>
        <v>0</v>
      </c>
      <c r="AF576" s="40" t="str">
        <f>IFERROR(IF($AE576=0,"",((Config!$B$6*$Y576 + Config!$B$7*$U576 + Config!$B$8*$Z576 + Config!$B$9*$AA576 + Config!$B$10*$AB576 + Config!$B$11*$AC576 - Config!$B$12*$AD576)/Config!$B$13)+$AK576+$AL576),"")</f>
        <v/>
      </c>
      <c r="AG576" s="40" t="str">
        <f t="shared" si="6"/>
        <v/>
      </c>
      <c r="AH576" s="40" t="str">
        <f t="shared" si="7"/>
        <v/>
      </c>
      <c r="AI576" s="40" t="str">
        <f t="shared" si="8"/>
        <v/>
      </c>
      <c r="AJ576" s="40" t="str">
        <f>IF($K576="","",COUNTIF(Assignments!$B$6:$B$1000,$K576))</f>
        <v/>
      </c>
      <c r="AK576" s="40" t="str">
        <f>IF($K576="","",IF(AND($AJ576=0,$O576&lt;$N576),Config!$B$43,0))</f>
        <v/>
      </c>
      <c r="AL576" s="40" t="str">
        <f>IF($K576="","",IF(AND($M576="Elite",$G576&gt;=Config!$B$41,$O576&lt;$N576),Config!$B$42,0))</f>
        <v/>
      </c>
      <c r="AM576" s="22"/>
    </row>
    <row r="577" ht="15.75" customHeight="1">
      <c r="A577" s="40" t="str">
        <f t="shared" si="1"/>
        <v/>
      </c>
      <c r="B577" s="40" t="str">
        <f>IF(Bids!$A576="","",Bids!$A576)</f>
        <v/>
      </c>
      <c r="C577" s="40" t="str">
        <f>IF(Bids!$B576="","",Bids!$B576)</f>
        <v/>
      </c>
      <c r="D577" s="40" t="str">
        <f>IF($C577="","",IFERROR(VLOOKUP($C577,Orders!$A$4:$J$998,9,FALSE),""))</f>
        <v/>
      </c>
      <c r="E577" s="40" t="str">
        <f>IF($C577="","",IFERROR(VLOOKUP($C577,Orders!$A$4:$J$998,3,FALSE),""))</f>
        <v/>
      </c>
      <c r="F577" s="40">
        <f t="shared" si="2"/>
        <v>1</v>
      </c>
      <c r="G577" s="40" t="str">
        <f>IF($C577="","",IFERROR(VLOOKUP($C577,Orders!$A$4:$J$998,4,FALSE),""))</f>
        <v/>
      </c>
      <c r="H577" s="40" t="str">
        <f>IF($C577="","",IFERROR(VLOOKUP($C577,Orders!$A$4:$J$998,5,FALSE),""))</f>
        <v/>
      </c>
      <c r="I577" s="40" t="str">
        <f>IF($C577="","",IFERROR(VLOOKUP($C577,Orders!$A$4:$J$998,6,FALSE),""))</f>
        <v/>
      </c>
      <c r="J577" s="40" t="str">
        <f>IF($C577="","",IFERROR(VLOOKUP($C577,Orders!$A$4:$J$998,7,FALSE),""))</f>
        <v/>
      </c>
      <c r="K577" s="40" t="str">
        <f>IF(Bids!$C576="","",Bids!$C576)</f>
        <v/>
      </c>
      <c r="L577" s="40" t="str">
        <f>IF($K577="","",IFERROR(VLOOKUP($K577,Grinders!$A$4:$N$998,2,FALSE),""))</f>
        <v/>
      </c>
      <c r="M577" s="40" t="str">
        <f>IF($K577="","",IFERROR(VLOOKUP($K577,Grinders!$A$4:$N$998,3,FALSE),""))</f>
        <v/>
      </c>
      <c r="N577" s="40" t="str">
        <f>IF($K577="","",IFERROR(VLOOKUP($K577,Grinders!$A$4:$N$998,4,FALSE),""))</f>
        <v/>
      </c>
      <c r="O577" s="40" t="str">
        <f>IF($K577="","",IFERROR(VLOOKUP($K577,Grinders!$A$4:$N$998,5,FALSE),""))</f>
        <v/>
      </c>
      <c r="P577" s="40" t="str">
        <f>IF($K577="","",IF($C$4="",0,COUNTIFS(Assignments!$B$6:$B$1000,$K577,Assignments!$F$6:$F$1000,$C$4,Assignments!$E$6:$E$1000,"Active")))</f>
        <v/>
      </c>
      <c r="Q577" s="40" t="str">
        <f t="shared" si="3"/>
        <v/>
      </c>
      <c r="R577" s="40" t="str">
        <f t="shared" si="4"/>
        <v/>
      </c>
      <c r="S577" s="40" t="str">
        <f>IF($K577="","",IF($C$4="",0,COUNTIFS(Assignments!$B$6:$B$1000,$K577,Assignments!$F$6:$F$1000,$C$4,Assignments!$D$6:$D$1000,"&gt;="&amp;Config!$B$3-7,Assignments!$D$6:$D$1000,"&lt;="&amp;Config!$B$3)))</f>
        <v/>
      </c>
      <c r="T577" s="40" t="str">
        <f>IF($K577="","",IFERROR(VLOOKUP($K577,Grinders!$A$4:$N$998,8,FALSE),""))</f>
        <v/>
      </c>
      <c r="U577" s="40" t="str">
        <f>IFERROR(IF($K577="","",IF($M577="Elite",MAX(50,MIN(100,Config!$B$27*MAX(0,MIN(100,(1-IF($R577="",0,$R577))*100)) + Config!$B$28*MAX(0,MIN(100,(1-MIN(1,IF(Config!$B$30=0,1,$S577/Config!$B$30)))*100)) + Config!$B$29*MAX(0,MIN(100,MIN(1,IF($T577="",0,$T577)/Config!$B$23)*100)))),MIN(100,Config!$B$27*MAX(0,MIN(100,(1-IF($R577="",0,$R577))*100)) + Config!$B$28*MAX(0,MIN(100,(1-MIN(1,IF(Config!$B$30=0,1,$S577/Config!$B$30)))*100)) + Config!$B$29*MAX(0,MIN(100,MIN(1,IF($T577="",0,$T577)/Config!$B$23)*100))))),"")
</f>
        <v/>
      </c>
      <c r="V577" s="40" t="str">
        <f>IF(Bids!$D576="","",Bids!$D576)</f>
        <v/>
      </c>
      <c r="W577" s="40" t="str">
        <f>IF(Bids!$F576="","",Bids!$F576)</f>
        <v/>
      </c>
      <c r="X577" s="40" t="str">
        <f t="shared" si="5"/>
        <v/>
      </c>
      <c r="Y577" s="40" t="str">
        <f>IF($X577="","",IF(Config!$B$17=Config!$B$16,IF($X577&gt;=Config!$B$17,100,0),MAX(0,MIN(100,($X577-Config!$B$16)/(Config!$B$17-Config!$B$16)*100))))</f>
        <v/>
      </c>
      <c r="Z577" s="40">
        <f>IF($M577="Elite",Config!$B$21,0)</f>
        <v>0</v>
      </c>
      <c r="AA577" s="40" t="str">
        <f>IFERROR(IF(OR($W577="",$H577=""),"",IF($W577&gt;$H577,
  MAX(0, 60-(($W577-$H577)*24/Config!$B$19)*60),
  MIN(100, 60+(($H577-$W577)*24/Config!$B$20)*40)
)),"")
</f>
        <v/>
      </c>
      <c r="AB577" s="40" t="str">
        <f>IF($K577="","",IFERROR(VLOOKUP($K577,Grinders!$A$4:$N$998,10,FALSE)/5*100,""))</f>
        <v/>
      </c>
      <c r="AC577" s="40" t="str">
        <f>IF($K577="","",IFERROR(VLOOKUP($K577,Grinders!$A$4:$N$998,11,FALSE)*100,""))</f>
        <v/>
      </c>
      <c r="AD577" s="40" t="str">
        <f>IF($K577="","",IFERROR(VLOOKUP($K577,Grinders!$A$4:$N$998,12,FALSE)*100,""))</f>
        <v/>
      </c>
      <c r="AE577" s="40">
        <f>IFERROR(IFS(
    OR($C577="", $K577=""), 0,
    $F577=0, 0,
    $D577&lt;&gt;"Open", 0,
    COUNTIFS(GrinderServices!$B$4:$B$998, $K577, GrinderServices!$C$4:$C$998, $E577, GrinderServices!$E$4:$E$998, "Y")=0, 0,
    $X577&lt;Config!$B$16, 0,
    Config!$B$18=1, IF($O577&gt;=N577, 0, 1),
    TRUE, 1
), "")
</f>
        <v>0</v>
      </c>
      <c r="AF577" s="40" t="str">
        <f>IFERROR(IF($AE577=0,"",((Config!$B$6*$Y577 + Config!$B$7*$U577 + Config!$B$8*$Z577 + Config!$B$9*$AA577 + Config!$B$10*$AB577 + Config!$B$11*$AC577 - Config!$B$12*$AD577)/Config!$B$13)+$AK577+$AL577),"")</f>
        <v/>
      </c>
      <c r="AG577" s="40" t="str">
        <f t="shared" si="6"/>
        <v/>
      </c>
      <c r="AH577" s="40" t="str">
        <f t="shared" si="7"/>
        <v/>
      </c>
      <c r="AI577" s="40" t="str">
        <f t="shared" si="8"/>
        <v/>
      </c>
      <c r="AJ577" s="40" t="str">
        <f>IF($K577="","",COUNTIF(Assignments!$B$6:$B$1000,$K577))</f>
        <v/>
      </c>
      <c r="AK577" s="40" t="str">
        <f>IF($K577="","",IF(AND($AJ577=0,$O577&lt;$N577),Config!$B$43,0))</f>
        <v/>
      </c>
      <c r="AL577" s="40" t="str">
        <f>IF($K577="","",IF(AND($M577="Elite",$G577&gt;=Config!$B$41,$O577&lt;$N577),Config!$B$42,0))</f>
        <v/>
      </c>
      <c r="AM577" s="22"/>
    </row>
    <row r="578" ht="15.75" customHeight="1">
      <c r="A578" s="40" t="str">
        <f t="shared" si="1"/>
        <v/>
      </c>
      <c r="B578" s="40" t="str">
        <f>IF(Bids!$A577="","",Bids!$A577)</f>
        <v/>
      </c>
      <c r="C578" s="40" t="str">
        <f>IF(Bids!$B577="","",Bids!$B577)</f>
        <v/>
      </c>
      <c r="D578" s="40" t="str">
        <f>IF($C578="","",IFERROR(VLOOKUP($C578,Orders!$A$4:$J$998,9,FALSE),""))</f>
        <v/>
      </c>
      <c r="E578" s="40" t="str">
        <f>IF($C578="","",IFERROR(VLOOKUP($C578,Orders!$A$4:$J$998,3,FALSE),""))</f>
        <v/>
      </c>
      <c r="F578" s="40">
        <f t="shared" si="2"/>
        <v>1</v>
      </c>
      <c r="G578" s="40" t="str">
        <f>IF($C578="","",IFERROR(VLOOKUP($C578,Orders!$A$4:$J$998,4,FALSE),""))</f>
        <v/>
      </c>
      <c r="H578" s="40" t="str">
        <f>IF($C578="","",IFERROR(VLOOKUP($C578,Orders!$A$4:$J$998,5,FALSE),""))</f>
        <v/>
      </c>
      <c r="I578" s="40" t="str">
        <f>IF($C578="","",IFERROR(VLOOKUP($C578,Orders!$A$4:$J$998,6,FALSE),""))</f>
        <v/>
      </c>
      <c r="J578" s="40" t="str">
        <f>IF($C578="","",IFERROR(VLOOKUP($C578,Orders!$A$4:$J$998,7,FALSE),""))</f>
        <v/>
      </c>
      <c r="K578" s="40" t="str">
        <f>IF(Bids!$C577="","",Bids!$C577)</f>
        <v/>
      </c>
      <c r="L578" s="40" t="str">
        <f>IF($K578="","",IFERROR(VLOOKUP($K578,Grinders!$A$4:$N$998,2,FALSE),""))</f>
        <v/>
      </c>
      <c r="M578" s="40" t="str">
        <f>IF($K578="","",IFERROR(VLOOKUP($K578,Grinders!$A$4:$N$998,3,FALSE),""))</f>
        <v/>
      </c>
      <c r="N578" s="40" t="str">
        <f>IF($K578="","",IFERROR(VLOOKUP($K578,Grinders!$A$4:$N$998,4,FALSE),""))</f>
        <v/>
      </c>
      <c r="O578" s="40" t="str">
        <f>IF($K578="","",IFERROR(VLOOKUP($K578,Grinders!$A$4:$N$998,5,FALSE),""))</f>
        <v/>
      </c>
      <c r="P578" s="40" t="str">
        <f>IF($K578="","",IF($C$4="",0,COUNTIFS(Assignments!$B$6:$B$1000,$K578,Assignments!$F$6:$F$1000,$C$4,Assignments!$E$6:$E$1000,"Active")))</f>
        <v/>
      </c>
      <c r="Q578" s="40" t="str">
        <f t="shared" si="3"/>
        <v/>
      </c>
      <c r="R578" s="40" t="str">
        <f t="shared" si="4"/>
        <v/>
      </c>
      <c r="S578" s="40" t="str">
        <f>IF($K578="","",IF($C$4="",0,COUNTIFS(Assignments!$B$6:$B$1000,$K578,Assignments!$F$6:$F$1000,$C$4,Assignments!$D$6:$D$1000,"&gt;="&amp;Config!$B$3-7,Assignments!$D$6:$D$1000,"&lt;="&amp;Config!$B$3)))</f>
        <v/>
      </c>
      <c r="T578" s="40" t="str">
        <f>IF($K578="","",IFERROR(VLOOKUP($K578,Grinders!$A$4:$N$998,8,FALSE),""))</f>
        <v/>
      </c>
      <c r="U578" s="40" t="str">
        <f>IFERROR(IF($K578="","",IF($M578="Elite",MAX(50,MIN(100,Config!$B$27*MAX(0,MIN(100,(1-IF($R578="",0,$R578))*100)) + Config!$B$28*MAX(0,MIN(100,(1-MIN(1,IF(Config!$B$30=0,1,$S578/Config!$B$30)))*100)) + Config!$B$29*MAX(0,MIN(100,MIN(1,IF($T578="",0,$T578)/Config!$B$23)*100)))),MIN(100,Config!$B$27*MAX(0,MIN(100,(1-IF($R578="",0,$R578))*100)) + Config!$B$28*MAX(0,MIN(100,(1-MIN(1,IF(Config!$B$30=0,1,$S578/Config!$B$30)))*100)) + Config!$B$29*MAX(0,MIN(100,MIN(1,IF($T578="",0,$T578)/Config!$B$23)*100))))),"")
</f>
        <v/>
      </c>
      <c r="V578" s="40" t="str">
        <f>IF(Bids!$D577="","",Bids!$D577)</f>
        <v/>
      </c>
      <c r="W578" s="40" t="str">
        <f>IF(Bids!$F577="","",Bids!$F577)</f>
        <v/>
      </c>
      <c r="X578" s="40" t="str">
        <f t="shared" si="5"/>
        <v/>
      </c>
      <c r="Y578" s="40" t="str">
        <f>IF($X578="","",IF(Config!$B$17=Config!$B$16,IF($X578&gt;=Config!$B$17,100,0),MAX(0,MIN(100,($X578-Config!$B$16)/(Config!$B$17-Config!$B$16)*100))))</f>
        <v/>
      </c>
      <c r="Z578" s="40">
        <f>IF($M578="Elite",Config!$B$21,0)</f>
        <v>0</v>
      </c>
      <c r="AA578" s="40" t="str">
        <f>IFERROR(IF(OR($W578="",$H578=""),"",IF($W578&gt;$H578,
  MAX(0, 60-(($W578-$H578)*24/Config!$B$19)*60),
  MIN(100, 60+(($H578-$W578)*24/Config!$B$20)*40)
)),"")
</f>
        <v/>
      </c>
      <c r="AB578" s="40" t="str">
        <f>IF($K578="","",IFERROR(VLOOKUP($K578,Grinders!$A$4:$N$998,10,FALSE)/5*100,""))</f>
        <v/>
      </c>
      <c r="AC578" s="40" t="str">
        <f>IF($K578="","",IFERROR(VLOOKUP($K578,Grinders!$A$4:$N$998,11,FALSE)*100,""))</f>
        <v/>
      </c>
      <c r="AD578" s="40" t="str">
        <f>IF($K578="","",IFERROR(VLOOKUP($K578,Grinders!$A$4:$N$998,12,FALSE)*100,""))</f>
        <v/>
      </c>
      <c r="AE578" s="40">
        <f>IFERROR(IFS(
    OR($C578="", $K578=""), 0,
    $F578=0, 0,
    $D578&lt;&gt;"Open", 0,
    COUNTIFS(GrinderServices!$B$4:$B$998, $K578, GrinderServices!$C$4:$C$998, $E578, GrinderServices!$E$4:$E$998, "Y")=0, 0,
    $X578&lt;Config!$B$16, 0,
    Config!$B$18=1, IF($O578&gt;=N578, 0, 1),
    TRUE, 1
), "")
</f>
        <v>0</v>
      </c>
      <c r="AF578" s="40" t="str">
        <f>IFERROR(IF($AE578=0,"",((Config!$B$6*$Y578 + Config!$B$7*$U578 + Config!$B$8*$Z578 + Config!$B$9*$AA578 + Config!$B$10*$AB578 + Config!$B$11*$AC578 - Config!$B$12*$AD578)/Config!$B$13)+$AK578+$AL578),"")</f>
        <v/>
      </c>
      <c r="AG578" s="40" t="str">
        <f t="shared" si="6"/>
        <v/>
      </c>
      <c r="AH578" s="40" t="str">
        <f t="shared" si="7"/>
        <v/>
      </c>
      <c r="AI578" s="40" t="str">
        <f t="shared" si="8"/>
        <v/>
      </c>
      <c r="AJ578" s="40" t="str">
        <f>IF($K578="","",COUNTIF(Assignments!$B$6:$B$1000,$K578))</f>
        <v/>
      </c>
      <c r="AK578" s="40" t="str">
        <f>IF($K578="","",IF(AND($AJ578=0,$O578&lt;$N578),Config!$B$43,0))</f>
        <v/>
      </c>
      <c r="AL578" s="40" t="str">
        <f>IF($K578="","",IF(AND($M578="Elite",$G578&gt;=Config!$B$41,$O578&lt;$N578),Config!$B$42,0))</f>
        <v/>
      </c>
      <c r="AM578" s="22"/>
    </row>
    <row r="579" ht="15.75" customHeight="1">
      <c r="A579" s="40" t="str">
        <f t="shared" si="1"/>
        <v/>
      </c>
      <c r="B579" s="40" t="str">
        <f>IF(Bids!$A578="","",Bids!$A578)</f>
        <v/>
      </c>
      <c r="C579" s="40" t="str">
        <f>IF(Bids!$B578="","",Bids!$B578)</f>
        <v/>
      </c>
      <c r="D579" s="40" t="str">
        <f>IF($C579="","",IFERROR(VLOOKUP($C579,Orders!$A$4:$J$998,9,FALSE),""))</f>
        <v/>
      </c>
      <c r="E579" s="40" t="str">
        <f>IF($C579="","",IFERROR(VLOOKUP($C579,Orders!$A$4:$J$998,3,FALSE),""))</f>
        <v/>
      </c>
      <c r="F579" s="40">
        <f t="shared" si="2"/>
        <v>1</v>
      </c>
      <c r="G579" s="40" t="str">
        <f>IF($C579="","",IFERROR(VLOOKUP($C579,Orders!$A$4:$J$998,4,FALSE),""))</f>
        <v/>
      </c>
      <c r="H579" s="40" t="str">
        <f>IF($C579="","",IFERROR(VLOOKUP($C579,Orders!$A$4:$J$998,5,FALSE),""))</f>
        <v/>
      </c>
      <c r="I579" s="40" t="str">
        <f>IF($C579="","",IFERROR(VLOOKUP($C579,Orders!$A$4:$J$998,6,FALSE),""))</f>
        <v/>
      </c>
      <c r="J579" s="40" t="str">
        <f>IF($C579="","",IFERROR(VLOOKUP($C579,Orders!$A$4:$J$998,7,FALSE),""))</f>
        <v/>
      </c>
      <c r="K579" s="40" t="str">
        <f>IF(Bids!$C578="","",Bids!$C578)</f>
        <v/>
      </c>
      <c r="L579" s="40" t="str">
        <f>IF($K579="","",IFERROR(VLOOKUP($K579,Grinders!$A$4:$N$998,2,FALSE),""))</f>
        <v/>
      </c>
      <c r="M579" s="40" t="str">
        <f>IF($K579="","",IFERROR(VLOOKUP($K579,Grinders!$A$4:$N$998,3,FALSE),""))</f>
        <v/>
      </c>
      <c r="N579" s="40" t="str">
        <f>IF($K579="","",IFERROR(VLOOKUP($K579,Grinders!$A$4:$N$998,4,FALSE),""))</f>
        <v/>
      </c>
      <c r="O579" s="40" t="str">
        <f>IF($K579="","",IFERROR(VLOOKUP($K579,Grinders!$A$4:$N$998,5,FALSE),""))</f>
        <v/>
      </c>
      <c r="P579" s="40" t="str">
        <f>IF($K579="","",IF($C$4="",0,COUNTIFS(Assignments!$B$6:$B$1000,$K579,Assignments!$F$6:$F$1000,$C$4,Assignments!$E$6:$E$1000,"Active")))</f>
        <v/>
      </c>
      <c r="Q579" s="40" t="str">
        <f t="shared" si="3"/>
        <v/>
      </c>
      <c r="R579" s="40" t="str">
        <f t="shared" si="4"/>
        <v/>
      </c>
      <c r="S579" s="40" t="str">
        <f>IF($K579="","",IF($C$4="",0,COUNTIFS(Assignments!$B$6:$B$1000,$K579,Assignments!$F$6:$F$1000,$C$4,Assignments!$D$6:$D$1000,"&gt;="&amp;Config!$B$3-7,Assignments!$D$6:$D$1000,"&lt;="&amp;Config!$B$3)))</f>
        <v/>
      </c>
      <c r="T579" s="40" t="str">
        <f>IF($K579="","",IFERROR(VLOOKUP($K579,Grinders!$A$4:$N$998,8,FALSE),""))</f>
        <v/>
      </c>
      <c r="U579" s="40" t="str">
        <f>IFERROR(IF($K579="","",IF($M579="Elite",MAX(50,MIN(100,Config!$B$27*MAX(0,MIN(100,(1-IF($R579="",0,$R579))*100)) + Config!$B$28*MAX(0,MIN(100,(1-MIN(1,IF(Config!$B$30=0,1,$S579/Config!$B$30)))*100)) + Config!$B$29*MAX(0,MIN(100,MIN(1,IF($T579="",0,$T579)/Config!$B$23)*100)))),MIN(100,Config!$B$27*MAX(0,MIN(100,(1-IF($R579="",0,$R579))*100)) + Config!$B$28*MAX(0,MIN(100,(1-MIN(1,IF(Config!$B$30=0,1,$S579/Config!$B$30)))*100)) + Config!$B$29*MAX(0,MIN(100,MIN(1,IF($T579="",0,$T579)/Config!$B$23)*100))))),"")
</f>
        <v/>
      </c>
      <c r="V579" s="40" t="str">
        <f>IF(Bids!$D578="","",Bids!$D578)</f>
        <v/>
      </c>
      <c r="W579" s="40" t="str">
        <f>IF(Bids!$F578="","",Bids!$F578)</f>
        <v/>
      </c>
      <c r="X579" s="40" t="str">
        <f t="shared" si="5"/>
        <v/>
      </c>
      <c r="Y579" s="40" t="str">
        <f>IF($X579="","",IF(Config!$B$17=Config!$B$16,IF($X579&gt;=Config!$B$17,100,0),MAX(0,MIN(100,($X579-Config!$B$16)/(Config!$B$17-Config!$B$16)*100))))</f>
        <v/>
      </c>
      <c r="Z579" s="40">
        <f>IF($M579="Elite",Config!$B$21,0)</f>
        <v>0</v>
      </c>
      <c r="AA579" s="40" t="str">
        <f>IFERROR(IF(OR($W579="",$H579=""),"",IF($W579&gt;$H579,
  MAX(0, 60-(($W579-$H579)*24/Config!$B$19)*60),
  MIN(100, 60+(($H579-$W579)*24/Config!$B$20)*40)
)),"")
</f>
        <v/>
      </c>
      <c r="AB579" s="40" t="str">
        <f>IF($K579="","",IFERROR(VLOOKUP($K579,Grinders!$A$4:$N$998,10,FALSE)/5*100,""))</f>
        <v/>
      </c>
      <c r="AC579" s="40" t="str">
        <f>IF($K579="","",IFERROR(VLOOKUP($K579,Grinders!$A$4:$N$998,11,FALSE)*100,""))</f>
        <v/>
      </c>
      <c r="AD579" s="40" t="str">
        <f>IF($K579="","",IFERROR(VLOOKUP($K579,Grinders!$A$4:$N$998,12,FALSE)*100,""))</f>
        <v/>
      </c>
      <c r="AE579" s="40">
        <f>IFERROR(IFS(
    OR($C579="", $K579=""), 0,
    $F579=0, 0,
    $D579&lt;&gt;"Open", 0,
    COUNTIFS(GrinderServices!$B$4:$B$998, $K579, GrinderServices!$C$4:$C$998, $E579, GrinderServices!$E$4:$E$998, "Y")=0, 0,
    $X579&lt;Config!$B$16, 0,
    Config!$B$18=1, IF($O579&gt;=N579, 0, 1),
    TRUE, 1
), "")
</f>
        <v>0</v>
      </c>
      <c r="AF579" s="40" t="str">
        <f>IFERROR(IF($AE579=0,"",((Config!$B$6*$Y579 + Config!$B$7*$U579 + Config!$B$8*$Z579 + Config!$B$9*$AA579 + Config!$B$10*$AB579 + Config!$B$11*$AC579 - Config!$B$12*$AD579)/Config!$B$13)+$AK579+$AL579),"")</f>
        <v/>
      </c>
      <c r="AG579" s="40" t="str">
        <f t="shared" si="6"/>
        <v/>
      </c>
      <c r="AH579" s="40" t="str">
        <f t="shared" si="7"/>
        <v/>
      </c>
      <c r="AI579" s="40" t="str">
        <f t="shared" si="8"/>
        <v/>
      </c>
      <c r="AJ579" s="40" t="str">
        <f>IF($K579="","",COUNTIF(Assignments!$B$6:$B$1000,$K579))</f>
        <v/>
      </c>
      <c r="AK579" s="40" t="str">
        <f>IF($K579="","",IF(AND($AJ579=0,$O579&lt;$N579),Config!$B$43,0))</f>
        <v/>
      </c>
      <c r="AL579" s="40" t="str">
        <f>IF($K579="","",IF(AND($M579="Elite",$G579&gt;=Config!$B$41,$O579&lt;$N579),Config!$B$42,0))</f>
        <v/>
      </c>
      <c r="AM579" s="22"/>
    </row>
    <row r="580" ht="15.75" customHeight="1">
      <c r="A580" s="40" t="str">
        <f t="shared" si="1"/>
        <v/>
      </c>
      <c r="B580" s="40" t="str">
        <f>IF(Bids!$A579="","",Bids!$A579)</f>
        <v/>
      </c>
      <c r="C580" s="40" t="str">
        <f>IF(Bids!$B579="","",Bids!$B579)</f>
        <v/>
      </c>
      <c r="D580" s="40" t="str">
        <f>IF($C580="","",IFERROR(VLOOKUP($C580,Orders!$A$4:$J$998,9,FALSE),""))</f>
        <v/>
      </c>
      <c r="E580" s="40" t="str">
        <f>IF($C580="","",IFERROR(VLOOKUP($C580,Orders!$A$4:$J$998,3,FALSE),""))</f>
        <v/>
      </c>
      <c r="F580" s="40">
        <f t="shared" si="2"/>
        <v>1</v>
      </c>
      <c r="G580" s="40" t="str">
        <f>IF($C580="","",IFERROR(VLOOKUP($C580,Orders!$A$4:$J$998,4,FALSE),""))</f>
        <v/>
      </c>
      <c r="H580" s="40" t="str">
        <f>IF($C580="","",IFERROR(VLOOKUP($C580,Orders!$A$4:$J$998,5,FALSE),""))</f>
        <v/>
      </c>
      <c r="I580" s="40" t="str">
        <f>IF($C580="","",IFERROR(VLOOKUP($C580,Orders!$A$4:$J$998,6,FALSE),""))</f>
        <v/>
      </c>
      <c r="J580" s="40" t="str">
        <f>IF($C580="","",IFERROR(VLOOKUP($C580,Orders!$A$4:$J$998,7,FALSE),""))</f>
        <v/>
      </c>
      <c r="K580" s="40" t="str">
        <f>IF(Bids!$C579="","",Bids!$C579)</f>
        <v/>
      </c>
      <c r="L580" s="40" t="str">
        <f>IF($K580="","",IFERROR(VLOOKUP($K580,Grinders!$A$4:$N$998,2,FALSE),""))</f>
        <v/>
      </c>
      <c r="M580" s="40" t="str">
        <f>IF($K580="","",IFERROR(VLOOKUP($K580,Grinders!$A$4:$N$998,3,FALSE),""))</f>
        <v/>
      </c>
      <c r="N580" s="40" t="str">
        <f>IF($K580="","",IFERROR(VLOOKUP($K580,Grinders!$A$4:$N$998,4,FALSE),""))</f>
        <v/>
      </c>
      <c r="O580" s="40" t="str">
        <f>IF($K580="","",IFERROR(VLOOKUP($K580,Grinders!$A$4:$N$998,5,FALSE),""))</f>
        <v/>
      </c>
      <c r="P580" s="40" t="str">
        <f>IF($K580="","",IF($C$4="",0,COUNTIFS(Assignments!$B$6:$B$1000,$K580,Assignments!$F$6:$F$1000,$C$4,Assignments!$E$6:$E$1000,"Active")))</f>
        <v/>
      </c>
      <c r="Q580" s="40" t="str">
        <f t="shared" si="3"/>
        <v/>
      </c>
      <c r="R580" s="40" t="str">
        <f t="shared" si="4"/>
        <v/>
      </c>
      <c r="S580" s="40" t="str">
        <f>IF($K580="","",IF($C$4="",0,COUNTIFS(Assignments!$B$6:$B$1000,$K580,Assignments!$F$6:$F$1000,$C$4,Assignments!$D$6:$D$1000,"&gt;="&amp;Config!$B$3-7,Assignments!$D$6:$D$1000,"&lt;="&amp;Config!$B$3)))</f>
        <v/>
      </c>
      <c r="T580" s="40" t="str">
        <f>IF($K580="","",IFERROR(VLOOKUP($K580,Grinders!$A$4:$N$998,8,FALSE),""))</f>
        <v/>
      </c>
      <c r="U580" s="40" t="str">
        <f>IFERROR(IF($K580="","",IF($M580="Elite",MAX(50,MIN(100,Config!$B$27*MAX(0,MIN(100,(1-IF($R580="",0,$R580))*100)) + Config!$B$28*MAX(0,MIN(100,(1-MIN(1,IF(Config!$B$30=0,1,$S580/Config!$B$30)))*100)) + Config!$B$29*MAX(0,MIN(100,MIN(1,IF($T580="",0,$T580)/Config!$B$23)*100)))),MIN(100,Config!$B$27*MAX(0,MIN(100,(1-IF($R580="",0,$R580))*100)) + Config!$B$28*MAX(0,MIN(100,(1-MIN(1,IF(Config!$B$30=0,1,$S580/Config!$B$30)))*100)) + Config!$B$29*MAX(0,MIN(100,MIN(1,IF($T580="",0,$T580)/Config!$B$23)*100))))),"")
</f>
        <v/>
      </c>
      <c r="V580" s="40" t="str">
        <f>IF(Bids!$D579="","",Bids!$D579)</f>
        <v/>
      </c>
      <c r="W580" s="40" t="str">
        <f>IF(Bids!$F579="","",Bids!$F579)</f>
        <v/>
      </c>
      <c r="X580" s="40" t="str">
        <f t="shared" si="5"/>
        <v/>
      </c>
      <c r="Y580" s="40" t="str">
        <f>IF($X580="","",IF(Config!$B$17=Config!$B$16,IF($X580&gt;=Config!$B$17,100,0),MAX(0,MIN(100,($X580-Config!$B$16)/(Config!$B$17-Config!$B$16)*100))))</f>
        <v/>
      </c>
      <c r="Z580" s="40">
        <f>IF($M580="Elite",Config!$B$21,0)</f>
        <v>0</v>
      </c>
      <c r="AA580" s="40" t="str">
        <f>IFERROR(IF(OR($W580="",$H580=""),"",IF($W580&gt;$H580,
  MAX(0, 60-(($W580-$H580)*24/Config!$B$19)*60),
  MIN(100, 60+(($H580-$W580)*24/Config!$B$20)*40)
)),"")
</f>
        <v/>
      </c>
      <c r="AB580" s="40" t="str">
        <f>IF($K580="","",IFERROR(VLOOKUP($K580,Grinders!$A$4:$N$998,10,FALSE)/5*100,""))</f>
        <v/>
      </c>
      <c r="AC580" s="40" t="str">
        <f>IF($K580="","",IFERROR(VLOOKUP($K580,Grinders!$A$4:$N$998,11,FALSE)*100,""))</f>
        <v/>
      </c>
      <c r="AD580" s="40" t="str">
        <f>IF($K580="","",IFERROR(VLOOKUP($K580,Grinders!$A$4:$N$998,12,FALSE)*100,""))</f>
        <v/>
      </c>
      <c r="AE580" s="40">
        <f>IFERROR(IFS(
    OR($C580="", $K580=""), 0,
    $F580=0, 0,
    $D580&lt;&gt;"Open", 0,
    COUNTIFS(GrinderServices!$B$4:$B$998, $K580, GrinderServices!$C$4:$C$998, $E580, GrinderServices!$E$4:$E$998, "Y")=0, 0,
    $X580&lt;Config!$B$16, 0,
    Config!$B$18=1, IF($O580&gt;=N580, 0, 1),
    TRUE, 1
), "")
</f>
        <v>0</v>
      </c>
      <c r="AF580" s="40" t="str">
        <f>IFERROR(IF($AE580=0,"",((Config!$B$6*$Y580 + Config!$B$7*$U580 + Config!$B$8*$Z580 + Config!$B$9*$AA580 + Config!$B$10*$AB580 + Config!$B$11*$AC580 - Config!$B$12*$AD580)/Config!$B$13)+$AK580+$AL580),"")</f>
        <v/>
      </c>
      <c r="AG580" s="40" t="str">
        <f t="shared" si="6"/>
        <v/>
      </c>
      <c r="AH580" s="40" t="str">
        <f t="shared" si="7"/>
        <v/>
      </c>
      <c r="AI580" s="40" t="str">
        <f t="shared" si="8"/>
        <v/>
      </c>
      <c r="AJ580" s="40" t="str">
        <f>IF($K580="","",COUNTIF(Assignments!$B$6:$B$1000,$K580))</f>
        <v/>
      </c>
      <c r="AK580" s="40" t="str">
        <f>IF($K580="","",IF(AND($AJ580=0,$O580&lt;$N580),Config!$B$43,0))</f>
        <v/>
      </c>
      <c r="AL580" s="40" t="str">
        <f>IF($K580="","",IF(AND($M580="Elite",$G580&gt;=Config!$B$41,$O580&lt;$N580),Config!$B$42,0))</f>
        <v/>
      </c>
      <c r="AM580" s="22"/>
    </row>
    <row r="581" ht="15.75" customHeight="1">
      <c r="A581" s="40" t="str">
        <f t="shared" si="1"/>
        <v/>
      </c>
      <c r="B581" s="40" t="str">
        <f>IF(Bids!$A580="","",Bids!$A580)</f>
        <v/>
      </c>
      <c r="C581" s="40" t="str">
        <f>IF(Bids!$B580="","",Bids!$B580)</f>
        <v/>
      </c>
      <c r="D581" s="40" t="str">
        <f>IF($C581="","",IFERROR(VLOOKUP($C581,Orders!$A$4:$J$998,9,FALSE),""))</f>
        <v/>
      </c>
      <c r="E581" s="40" t="str">
        <f>IF($C581="","",IFERROR(VLOOKUP($C581,Orders!$A$4:$J$998,3,FALSE),""))</f>
        <v/>
      </c>
      <c r="F581" s="40">
        <f t="shared" si="2"/>
        <v>1</v>
      </c>
      <c r="G581" s="40" t="str">
        <f>IF($C581="","",IFERROR(VLOOKUP($C581,Orders!$A$4:$J$998,4,FALSE),""))</f>
        <v/>
      </c>
      <c r="H581" s="40" t="str">
        <f>IF($C581="","",IFERROR(VLOOKUP($C581,Orders!$A$4:$J$998,5,FALSE),""))</f>
        <v/>
      </c>
      <c r="I581" s="40" t="str">
        <f>IF($C581="","",IFERROR(VLOOKUP($C581,Orders!$A$4:$J$998,6,FALSE),""))</f>
        <v/>
      </c>
      <c r="J581" s="40" t="str">
        <f>IF($C581="","",IFERROR(VLOOKUP($C581,Orders!$A$4:$J$998,7,FALSE),""))</f>
        <v/>
      </c>
      <c r="K581" s="40" t="str">
        <f>IF(Bids!$C580="","",Bids!$C580)</f>
        <v/>
      </c>
      <c r="L581" s="40" t="str">
        <f>IF($K581="","",IFERROR(VLOOKUP($K581,Grinders!$A$4:$N$998,2,FALSE),""))</f>
        <v/>
      </c>
      <c r="M581" s="40" t="str">
        <f>IF($K581="","",IFERROR(VLOOKUP($K581,Grinders!$A$4:$N$998,3,FALSE),""))</f>
        <v/>
      </c>
      <c r="N581" s="40" t="str">
        <f>IF($K581="","",IFERROR(VLOOKUP($K581,Grinders!$A$4:$N$998,4,FALSE),""))</f>
        <v/>
      </c>
      <c r="O581" s="40" t="str">
        <f>IF($K581="","",IFERROR(VLOOKUP($K581,Grinders!$A$4:$N$998,5,FALSE),""))</f>
        <v/>
      </c>
      <c r="P581" s="40" t="str">
        <f>IF($K581="","",IF($C$4="",0,COUNTIFS(Assignments!$B$6:$B$1000,$K581,Assignments!$F$6:$F$1000,$C$4,Assignments!$E$6:$E$1000,"Active")))</f>
        <v/>
      </c>
      <c r="Q581" s="40" t="str">
        <f t="shared" si="3"/>
        <v/>
      </c>
      <c r="R581" s="40" t="str">
        <f t="shared" si="4"/>
        <v/>
      </c>
      <c r="S581" s="40" t="str">
        <f>IF($K581="","",IF($C$4="",0,COUNTIFS(Assignments!$B$6:$B$1000,$K581,Assignments!$F$6:$F$1000,$C$4,Assignments!$D$6:$D$1000,"&gt;="&amp;Config!$B$3-7,Assignments!$D$6:$D$1000,"&lt;="&amp;Config!$B$3)))</f>
        <v/>
      </c>
      <c r="T581" s="40" t="str">
        <f>IF($K581="","",IFERROR(VLOOKUP($K581,Grinders!$A$4:$N$998,8,FALSE),""))</f>
        <v/>
      </c>
      <c r="U581" s="40" t="str">
        <f>IFERROR(IF($K581="","",IF($M581="Elite",MAX(50,MIN(100,Config!$B$27*MAX(0,MIN(100,(1-IF($R581="",0,$R581))*100)) + Config!$B$28*MAX(0,MIN(100,(1-MIN(1,IF(Config!$B$30=0,1,$S581/Config!$B$30)))*100)) + Config!$B$29*MAX(0,MIN(100,MIN(1,IF($T581="",0,$T581)/Config!$B$23)*100)))),MIN(100,Config!$B$27*MAX(0,MIN(100,(1-IF($R581="",0,$R581))*100)) + Config!$B$28*MAX(0,MIN(100,(1-MIN(1,IF(Config!$B$30=0,1,$S581/Config!$B$30)))*100)) + Config!$B$29*MAX(0,MIN(100,MIN(1,IF($T581="",0,$T581)/Config!$B$23)*100))))),"")
</f>
        <v/>
      </c>
      <c r="V581" s="40" t="str">
        <f>IF(Bids!$D580="","",Bids!$D580)</f>
        <v/>
      </c>
      <c r="W581" s="40" t="str">
        <f>IF(Bids!$F580="","",Bids!$F580)</f>
        <v/>
      </c>
      <c r="X581" s="40" t="str">
        <f t="shared" si="5"/>
        <v/>
      </c>
      <c r="Y581" s="40" t="str">
        <f>IF($X581="","",IF(Config!$B$17=Config!$B$16,IF($X581&gt;=Config!$B$17,100,0),MAX(0,MIN(100,($X581-Config!$B$16)/(Config!$B$17-Config!$B$16)*100))))</f>
        <v/>
      </c>
      <c r="Z581" s="40">
        <f>IF($M581="Elite",Config!$B$21,0)</f>
        <v>0</v>
      </c>
      <c r="AA581" s="40" t="str">
        <f>IFERROR(IF(OR($W581="",$H581=""),"",IF($W581&gt;$H581,
  MAX(0, 60-(($W581-$H581)*24/Config!$B$19)*60),
  MIN(100, 60+(($H581-$W581)*24/Config!$B$20)*40)
)),"")
</f>
        <v/>
      </c>
      <c r="AB581" s="40" t="str">
        <f>IF($K581="","",IFERROR(VLOOKUP($K581,Grinders!$A$4:$N$998,10,FALSE)/5*100,""))</f>
        <v/>
      </c>
      <c r="AC581" s="40" t="str">
        <f>IF($K581="","",IFERROR(VLOOKUP($K581,Grinders!$A$4:$N$998,11,FALSE)*100,""))</f>
        <v/>
      </c>
      <c r="AD581" s="40" t="str">
        <f>IF($K581="","",IFERROR(VLOOKUP($K581,Grinders!$A$4:$N$998,12,FALSE)*100,""))</f>
        <v/>
      </c>
      <c r="AE581" s="40">
        <f>IFERROR(IFS(
    OR($C581="", $K581=""), 0,
    $F581=0, 0,
    $D581&lt;&gt;"Open", 0,
    COUNTIFS(GrinderServices!$B$4:$B$998, $K581, GrinderServices!$C$4:$C$998, $E581, GrinderServices!$E$4:$E$998, "Y")=0, 0,
    $X581&lt;Config!$B$16, 0,
    Config!$B$18=1, IF($O581&gt;=N581, 0, 1),
    TRUE, 1
), "")
</f>
        <v>0</v>
      </c>
      <c r="AF581" s="40" t="str">
        <f>IFERROR(IF($AE581=0,"",((Config!$B$6*$Y581 + Config!$B$7*$U581 + Config!$B$8*$Z581 + Config!$B$9*$AA581 + Config!$B$10*$AB581 + Config!$B$11*$AC581 - Config!$B$12*$AD581)/Config!$B$13)+$AK581+$AL581),"")</f>
        <v/>
      </c>
      <c r="AG581" s="40" t="str">
        <f t="shared" si="6"/>
        <v/>
      </c>
      <c r="AH581" s="40" t="str">
        <f t="shared" si="7"/>
        <v/>
      </c>
      <c r="AI581" s="40" t="str">
        <f t="shared" si="8"/>
        <v/>
      </c>
      <c r="AJ581" s="40" t="str">
        <f>IF($K581="","",COUNTIF(Assignments!$B$6:$B$1000,$K581))</f>
        <v/>
      </c>
      <c r="AK581" s="40" t="str">
        <f>IF($K581="","",IF(AND($AJ581=0,$O581&lt;$N581),Config!$B$43,0))</f>
        <v/>
      </c>
      <c r="AL581" s="40" t="str">
        <f>IF($K581="","",IF(AND($M581="Elite",$G581&gt;=Config!$B$41,$O581&lt;$N581),Config!$B$42,0))</f>
        <v/>
      </c>
      <c r="AM581" s="22"/>
    </row>
    <row r="582" ht="15.75" customHeight="1">
      <c r="A582" s="40" t="str">
        <f t="shared" si="1"/>
        <v/>
      </c>
      <c r="B582" s="40" t="str">
        <f>IF(Bids!$A581="","",Bids!$A581)</f>
        <v/>
      </c>
      <c r="C582" s="40" t="str">
        <f>IF(Bids!$B581="","",Bids!$B581)</f>
        <v/>
      </c>
      <c r="D582" s="40" t="str">
        <f>IF($C582="","",IFERROR(VLOOKUP($C582,Orders!$A$4:$J$998,9,FALSE),""))</f>
        <v/>
      </c>
      <c r="E582" s="40" t="str">
        <f>IF($C582="","",IFERROR(VLOOKUP($C582,Orders!$A$4:$J$998,3,FALSE),""))</f>
        <v/>
      </c>
      <c r="F582" s="40">
        <f t="shared" si="2"/>
        <v>1</v>
      </c>
      <c r="G582" s="40" t="str">
        <f>IF($C582="","",IFERROR(VLOOKUP($C582,Orders!$A$4:$J$998,4,FALSE),""))</f>
        <v/>
      </c>
      <c r="H582" s="40" t="str">
        <f>IF($C582="","",IFERROR(VLOOKUP($C582,Orders!$A$4:$J$998,5,FALSE),""))</f>
        <v/>
      </c>
      <c r="I582" s="40" t="str">
        <f>IF($C582="","",IFERROR(VLOOKUP($C582,Orders!$A$4:$J$998,6,FALSE),""))</f>
        <v/>
      </c>
      <c r="J582" s="40" t="str">
        <f>IF($C582="","",IFERROR(VLOOKUP($C582,Orders!$A$4:$J$998,7,FALSE),""))</f>
        <v/>
      </c>
      <c r="K582" s="40" t="str">
        <f>IF(Bids!$C581="","",Bids!$C581)</f>
        <v/>
      </c>
      <c r="L582" s="40" t="str">
        <f>IF($K582="","",IFERROR(VLOOKUP($K582,Grinders!$A$4:$N$998,2,FALSE),""))</f>
        <v/>
      </c>
      <c r="M582" s="40" t="str">
        <f>IF($K582="","",IFERROR(VLOOKUP($K582,Grinders!$A$4:$N$998,3,FALSE),""))</f>
        <v/>
      </c>
      <c r="N582" s="40" t="str">
        <f>IF($K582="","",IFERROR(VLOOKUP($K582,Grinders!$A$4:$N$998,4,FALSE),""))</f>
        <v/>
      </c>
      <c r="O582" s="40" t="str">
        <f>IF($K582="","",IFERROR(VLOOKUP($K582,Grinders!$A$4:$N$998,5,FALSE),""))</f>
        <v/>
      </c>
      <c r="P582" s="40" t="str">
        <f>IF($K582="","",IF($C$4="",0,COUNTIFS(Assignments!$B$6:$B$1000,$K582,Assignments!$F$6:$F$1000,$C$4,Assignments!$E$6:$E$1000,"Active")))</f>
        <v/>
      </c>
      <c r="Q582" s="40" t="str">
        <f t="shared" si="3"/>
        <v/>
      </c>
      <c r="R582" s="40" t="str">
        <f t="shared" si="4"/>
        <v/>
      </c>
      <c r="S582" s="40" t="str">
        <f>IF($K582="","",IF($C$4="",0,COUNTIFS(Assignments!$B$6:$B$1000,$K582,Assignments!$F$6:$F$1000,$C$4,Assignments!$D$6:$D$1000,"&gt;="&amp;Config!$B$3-7,Assignments!$D$6:$D$1000,"&lt;="&amp;Config!$B$3)))</f>
        <v/>
      </c>
      <c r="T582" s="40" t="str">
        <f>IF($K582="","",IFERROR(VLOOKUP($K582,Grinders!$A$4:$N$998,8,FALSE),""))</f>
        <v/>
      </c>
      <c r="U582" s="40" t="str">
        <f>IFERROR(IF($K582="","",IF($M582="Elite",MAX(50,MIN(100,Config!$B$27*MAX(0,MIN(100,(1-IF($R582="",0,$R582))*100)) + Config!$B$28*MAX(0,MIN(100,(1-MIN(1,IF(Config!$B$30=0,1,$S582/Config!$B$30)))*100)) + Config!$B$29*MAX(0,MIN(100,MIN(1,IF($T582="",0,$T582)/Config!$B$23)*100)))),MIN(100,Config!$B$27*MAX(0,MIN(100,(1-IF($R582="",0,$R582))*100)) + Config!$B$28*MAX(0,MIN(100,(1-MIN(1,IF(Config!$B$30=0,1,$S582/Config!$B$30)))*100)) + Config!$B$29*MAX(0,MIN(100,MIN(1,IF($T582="",0,$T582)/Config!$B$23)*100))))),"")
</f>
        <v/>
      </c>
      <c r="V582" s="40" t="str">
        <f>IF(Bids!$D581="","",Bids!$D581)</f>
        <v/>
      </c>
      <c r="W582" s="40" t="str">
        <f>IF(Bids!$F581="","",Bids!$F581)</f>
        <v/>
      </c>
      <c r="X582" s="40" t="str">
        <f t="shared" si="5"/>
        <v/>
      </c>
      <c r="Y582" s="40" t="str">
        <f>IF($X582="","",IF(Config!$B$17=Config!$B$16,IF($X582&gt;=Config!$B$17,100,0),MAX(0,MIN(100,($X582-Config!$B$16)/(Config!$B$17-Config!$B$16)*100))))</f>
        <v/>
      </c>
      <c r="Z582" s="40">
        <f>IF($M582="Elite",Config!$B$21,0)</f>
        <v>0</v>
      </c>
      <c r="AA582" s="40" t="str">
        <f>IFERROR(IF(OR($W582="",$H582=""),"",IF($W582&gt;$H582,
  MAX(0, 60-(($W582-$H582)*24/Config!$B$19)*60),
  MIN(100, 60+(($H582-$W582)*24/Config!$B$20)*40)
)),"")
</f>
        <v/>
      </c>
      <c r="AB582" s="40" t="str">
        <f>IF($K582="","",IFERROR(VLOOKUP($K582,Grinders!$A$4:$N$998,10,FALSE)/5*100,""))</f>
        <v/>
      </c>
      <c r="AC582" s="40" t="str">
        <f>IF($K582="","",IFERROR(VLOOKUP($K582,Grinders!$A$4:$N$998,11,FALSE)*100,""))</f>
        <v/>
      </c>
      <c r="AD582" s="40" t="str">
        <f>IF($K582="","",IFERROR(VLOOKUP($K582,Grinders!$A$4:$N$998,12,FALSE)*100,""))</f>
        <v/>
      </c>
      <c r="AE582" s="40">
        <f>IFERROR(IFS(
    OR($C582="", $K582=""), 0,
    $F582=0, 0,
    $D582&lt;&gt;"Open", 0,
    COUNTIFS(GrinderServices!$B$4:$B$998, $K582, GrinderServices!$C$4:$C$998, $E582, GrinderServices!$E$4:$E$998, "Y")=0, 0,
    $X582&lt;Config!$B$16, 0,
    Config!$B$18=1, IF($O582&gt;=N582, 0, 1),
    TRUE, 1
), "")
</f>
        <v>0</v>
      </c>
      <c r="AF582" s="40" t="str">
        <f>IFERROR(IF($AE582=0,"",((Config!$B$6*$Y582 + Config!$B$7*$U582 + Config!$B$8*$Z582 + Config!$B$9*$AA582 + Config!$B$10*$AB582 + Config!$B$11*$AC582 - Config!$B$12*$AD582)/Config!$B$13)+$AK582+$AL582),"")</f>
        <v/>
      </c>
      <c r="AG582" s="40" t="str">
        <f t="shared" si="6"/>
        <v/>
      </c>
      <c r="AH582" s="40" t="str">
        <f t="shared" si="7"/>
        <v/>
      </c>
      <c r="AI582" s="40" t="str">
        <f t="shared" si="8"/>
        <v/>
      </c>
      <c r="AJ582" s="40" t="str">
        <f>IF($K582="","",COUNTIF(Assignments!$B$6:$B$1000,$K582))</f>
        <v/>
      </c>
      <c r="AK582" s="40" t="str">
        <f>IF($K582="","",IF(AND($AJ582=0,$O582&lt;$N582),Config!$B$43,0))</f>
        <v/>
      </c>
      <c r="AL582" s="40" t="str">
        <f>IF($K582="","",IF(AND($M582="Elite",$G582&gt;=Config!$B$41,$O582&lt;$N582),Config!$B$42,0))</f>
        <v/>
      </c>
      <c r="AM582" s="22"/>
    </row>
    <row r="583" ht="15.75" customHeight="1">
      <c r="A583" s="40" t="str">
        <f t="shared" si="1"/>
        <v/>
      </c>
      <c r="B583" s="40" t="str">
        <f>IF(Bids!$A582="","",Bids!$A582)</f>
        <v/>
      </c>
      <c r="C583" s="40" t="str">
        <f>IF(Bids!$B582="","",Bids!$B582)</f>
        <v/>
      </c>
      <c r="D583" s="40" t="str">
        <f>IF($C583="","",IFERROR(VLOOKUP($C583,Orders!$A$4:$J$998,9,FALSE),""))</f>
        <v/>
      </c>
      <c r="E583" s="40" t="str">
        <f>IF($C583="","",IFERROR(VLOOKUP($C583,Orders!$A$4:$J$998,3,FALSE),""))</f>
        <v/>
      </c>
      <c r="F583" s="40">
        <f t="shared" si="2"/>
        <v>1</v>
      </c>
      <c r="G583" s="40" t="str">
        <f>IF($C583="","",IFERROR(VLOOKUP($C583,Orders!$A$4:$J$998,4,FALSE),""))</f>
        <v/>
      </c>
      <c r="H583" s="40" t="str">
        <f>IF($C583="","",IFERROR(VLOOKUP($C583,Orders!$A$4:$J$998,5,FALSE),""))</f>
        <v/>
      </c>
      <c r="I583" s="40" t="str">
        <f>IF($C583="","",IFERROR(VLOOKUP($C583,Orders!$A$4:$J$998,6,FALSE),""))</f>
        <v/>
      </c>
      <c r="J583" s="40" t="str">
        <f>IF($C583="","",IFERROR(VLOOKUP($C583,Orders!$A$4:$J$998,7,FALSE),""))</f>
        <v/>
      </c>
      <c r="K583" s="40" t="str">
        <f>IF(Bids!$C582="","",Bids!$C582)</f>
        <v/>
      </c>
      <c r="L583" s="40" t="str">
        <f>IF($K583="","",IFERROR(VLOOKUP($K583,Grinders!$A$4:$N$998,2,FALSE),""))</f>
        <v/>
      </c>
      <c r="M583" s="40" t="str">
        <f>IF($K583="","",IFERROR(VLOOKUP($K583,Grinders!$A$4:$N$998,3,FALSE),""))</f>
        <v/>
      </c>
      <c r="N583" s="40" t="str">
        <f>IF($K583="","",IFERROR(VLOOKUP($K583,Grinders!$A$4:$N$998,4,FALSE),""))</f>
        <v/>
      </c>
      <c r="O583" s="40" t="str">
        <f>IF($K583="","",IFERROR(VLOOKUP($K583,Grinders!$A$4:$N$998,5,FALSE),""))</f>
        <v/>
      </c>
      <c r="P583" s="40" t="str">
        <f>IF($K583="","",IF($C$4="",0,COUNTIFS(Assignments!$B$6:$B$1000,$K583,Assignments!$F$6:$F$1000,$C$4,Assignments!$E$6:$E$1000,"Active")))</f>
        <v/>
      </c>
      <c r="Q583" s="40" t="str">
        <f t="shared" si="3"/>
        <v/>
      </c>
      <c r="R583" s="40" t="str">
        <f t="shared" si="4"/>
        <v/>
      </c>
      <c r="S583" s="40" t="str">
        <f>IF($K583="","",IF($C$4="",0,COUNTIFS(Assignments!$B$6:$B$1000,$K583,Assignments!$F$6:$F$1000,$C$4,Assignments!$D$6:$D$1000,"&gt;="&amp;Config!$B$3-7,Assignments!$D$6:$D$1000,"&lt;="&amp;Config!$B$3)))</f>
        <v/>
      </c>
      <c r="T583" s="40" t="str">
        <f>IF($K583="","",IFERROR(VLOOKUP($K583,Grinders!$A$4:$N$998,8,FALSE),""))</f>
        <v/>
      </c>
      <c r="U583" s="40" t="str">
        <f>IFERROR(IF($K583="","",IF($M583="Elite",MAX(50,MIN(100,Config!$B$27*MAX(0,MIN(100,(1-IF($R583="",0,$R583))*100)) + Config!$B$28*MAX(0,MIN(100,(1-MIN(1,IF(Config!$B$30=0,1,$S583/Config!$B$30)))*100)) + Config!$B$29*MAX(0,MIN(100,MIN(1,IF($T583="",0,$T583)/Config!$B$23)*100)))),MIN(100,Config!$B$27*MAX(0,MIN(100,(1-IF($R583="",0,$R583))*100)) + Config!$B$28*MAX(0,MIN(100,(1-MIN(1,IF(Config!$B$30=0,1,$S583/Config!$B$30)))*100)) + Config!$B$29*MAX(0,MIN(100,MIN(1,IF($T583="",0,$T583)/Config!$B$23)*100))))),"")
</f>
        <v/>
      </c>
      <c r="V583" s="40" t="str">
        <f>IF(Bids!$D582="","",Bids!$D582)</f>
        <v/>
      </c>
      <c r="W583" s="40" t="str">
        <f>IF(Bids!$F582="","",Bids!$F582)</f>
        <v/>
      </c>
      <c r="X583" s="40" t="str">
        <f t="shared" si="5"/>
        <v/>
      </c>
      <c r="Y583" s="40" t="str">
        <f>IF($X583="","",IF(Config!$B$17=Config!$B$16,IF($X583&gt;=Config!$B$17,100,0),MAX(0,MIN(100,($X583-Config!$B$16)/(Config!$B$17-Config!$B$16)*100))))</f>
        <v/>
      </c>
      <c r="Z583" s="40">
        <f>IF($M583="Elite",Config!$B$21,0)</f>
        <v>0</v>
      </c>
      <c r="AA583" s="40" t="str">
        <f>IFERROR(IF(OR($W583="",$H583=""),"",IF($W583&gt;$H583,
  MAX(0, 60-(($W583-$H583)*24/Config!$B$19)*60),
  MIN(100, 60+(($H583-$W583)*24/Config!$B$20)*40)
)),"")
</f>
        <v/>
      </c>
      <c r="AB583" s="40" t="str">
        <f>IF($K583="","",IFERROR(VLOOKUP($K583,Grinders!$A$4:$N$998,10,FALSE)/5*100,""))</f>
        <v/>
      </c>
      <c r="AC583" s="40" t="str">
        <f>IF($K583="","",IFERROR(VLOOKUP($K583,Grinders!$A$4:$N$998,11,FALSE)*100,""))</f>
        <v/>
      </c>
      <c r="AD583" s="40" t="str">
        <f>IF($K583="","",IFERROR(VLOOKUP($K583,Grinders!$A$4:$N$998,12,FALSE)*100,""))</f>
        <v/>
      </c>
      <c r="AE583" s="40">
        <f>IFERROR(IFS(
    OR($C583="", $K583=""), 0,
    $F583=0, 0,
    $D583&lt;&gt;"Open", 0,
    COUNTIFS(GrinderServices!$B$4:$B$998, $K583, GrinderServices!$C$4:$C$998, $E583, GrinderServices!$E$4:$E$998, "Y")=0, 0,
    $X583&lt;Config!$B$16, 0,
    Config!$B$18=1, IF($O583&gt;=N583, 0, 1),
    TRUE, 1
), "")
</f>
        <v>0</v>
      </c>
      <c r="AF583" s="40" t="str">
        <f>IFERROR(IF($AE583=0,"",((Config!$B$6*$Y583 + Config!$B$7*$U583 + Config!$B$8*$Z583 + Config!$B$9*$AA583 + Config!$B$10*$AB583 + Config!$B$11*$AC583 - Config!$B$12*$AD583)/Config!$B$13)+$AK583+$AL583),"")</f>
        <v/>
      </c>
      <c r="AG583" s="40" t="str">
        <f t="shared" si="6"/>
        <v/>
      </c>
      <c r="AH583" s="40" t="str">
        <f t="shared" si="7"/>
        <v/>
      </c>
      <c r="AI583" s="40" t="str">
        <f t="shared" si="8"/>
        <v/>
      </c>
      <c r="AJ583" s="40" t="str">
        <f>IF($K583="","",COUNTIF(Assignments!$B$6:$B$1000,$K583))</f>
        <v/>
      </c>
      <c r="AK583" s="40" t="str">
        <f>IF($K583="","",IF(AND($AJ583=0,$O583&lt;$N583),Config!$B$43,0))</f>
        <v/>
      </c>
      <c r="AL583" s="40" t="str">
        <f>IF($K583="","",IF(AND($M583="Elite",$G583&gt;=Config!$B$41,$O583&lt;$N583),Config!$B$42,0))</f>
        <v/>
      </c>
      <c r="AM583" s="22"/>
    </row>
    <row r="584" ht="15.75" customHeight="1">
      <c r="A584" s="40" t="str">
        <f t="shared" si="1"/>
        <v/>
      </c>
      <c r="B584" s="40" t="str">
        <f>IF(Bids!$A583="","",Bids!$A583)</f>
        <v/>
      </c>
      <c r="C584" s="40" t="str">
        <f>IF(Bids!$B583="","",Bids!$B583)</f>
        <v/>
      </c>
      <c r="D584" s="40" t="str">
        <f>IF($C584="","",IFERROR(VLOOKUP($C584,Orders!$A$4:$J$998,9,FALSE),""))</f>
        <v/>
      </c>
      <c r="E584" s="40" t="str">
        <f>IF($C584="","",IFERROR(VLOOKUP($C584,Orders!$A$4:$J$998,3,FALSE),""))</f>
        <v/>
      </c>
      <c r="F584" s="40">
        <f t="shared" si="2"/>
        <v>1</v>
      </c>
      <c r="G584" s="40" t="str">
        <f>IF($C584="","",IFERROR(VLOOKUP($C584,Orders!$A$4:$J$998,4,FALSE),""))</f>
        <v/>
      </c>
      <c r="H584" s="40" t="str">
        <f>IF($C584="","",IFERROR(VLOOKUP($C584,Orders!$A$4:$J$998,5,FALSE),""))</f>
        <v/>
      </c>
      <c r="I584" s="40" t="str">
        <f>IF($C584="","",IFERROR(VLOOKUP($C584,Orders!$A$4:$J$998,6,FALSE),""))</f>
        <v/>
      </c>
      <c r="J584" s="40" t="str">
        <f>IF($C584="","",IFERROR(VLOOKUP($C584,Orders!$A$4:$J$998,7,FALSE),""))</f>
        <v/>
      </c>
      <c r="K584" s="40" t="str">
        <f>IF(Bids!$C583="","",Bids!$C583)</f>
        <v/>
      </c>
      <c r="L584" s="40" t="str">
        <f>IF($K584="","",IFERROR(VLOOKUP($K584,Grinders!$A$4:$N$998,2,FALSE),""))</f>
        <v/>
      </c>
      <c r="M584" s="40" t="str">
        <f>IF($K584="","",IFERROR(VLOOKUP($K584,Grinders!$A$4:$N$998,3,FALSE),""))</f>
        <v/>
      </c>
      <c r="N584" s="40" t="str">
        <f>IF($K584="","",IFERROR(VLOOKUP($K584,Grinders!$A$4:$N$998,4,FALSE),""))</f>
        <v/>
      </c>
      <c r="O584" s="40" t="str">
        <f>IF($K584="","",IFERROR(VLOOKUP($K584,Grinders!$A$4:$N$998,5,FALSE),""))</f>
        <v/>
      </c>
      <c r="P584" s="40" t="str">
        <f>IF($K584="","",IF($C$4="",0,COUNTIFS(Assignments!$B$6:$B$1000,$K584,Assignments!$F$6:$F$1000,$C$4,Assignments!$E$6:$E$1000,"Active")))</f>
        <v/>
      </c>
      <c r="Q584" s="40" t="str">
        <f t="shared" si="3"/>
        <v/>
      </c>
      <c r="R584" s="40" t="str">
        <f t="shared" si="4"/>
        <v/>
      </c>
      <c r="S584" s="40" t="str">
        <f>IF($K584="","",IF($C$4="",0,COUNTIFS(Assignments!$B$6:$B$1000,$K584,Assignments!$F$6:$F$1000,$C$4,Assignments!$D$6:$D$1000,"&gt;="&amp;Config!$B$3-7,Assignments!$D$6:$D$1000,"&lt;="&amp;Config!$B$3)))</f>
        <v/>
      </c>
      <c r="T584" s="40" t="str">
        <f>IF($K584="","",IFERROR(VLOOKUP($K584,Grinders!$A$4:$N$998,8,FALSE),""))</f>
        <v/>
      </c>
      <c r="U584" s="40" t="str">
        <f>IFERROR(IF($K584="","",IF($M584="Elite",MAX(50,MIN(100,Config!$B$27*MAX(0,MIN(100,(1-IF($R584="",0,$R584))*100)) + Config!$B$28*MAX(0,MIN(100,(1-MIN(1,IF(Config!$B$30=0,1,$S584/Config!$B$30)))*100)) + Config!$B$29*MAX(0,MIN(100,MIN(1,IF($T584="",0,$T584)/Config!$B$23)*100)))),MIN(100,Config!$B$27*MAX(0,MIN(100,(1-IF($R584="",0,$R584))*100)) + Config!$B$28*MAX(0,MIN(100,(1-MIN(1,IF(Config!$B$30=0,1,$S584/Config!$B$30)))*100)) + Config!$B$29*MAX(0,MIN(100,MIN(1,IF($T584="",0,$T584)/Config!$B$23)*100))))),"")
</f>
        <v/>
      </c>
      <c r="V584" s="40" t="str">
        <f>IF(Bids!$D583="","",Bids!$D583)</f>
        <v/>
      </c>
      <c r="W584" s="40" t="str">
        <f>IF(Bids!$F583="","",Bids!$F583)</f>
        <v/>
      </c>
      <c r="X584" s="40" t="str">
        <f t="shared" si="5"/>
        <v/>
      </c>
      <c r="Y584" s="40" t="str">
        <f>IF($X584="","",IF(Config!$B$17=Config!$B$16,IF($X584&gt;=Config!$B$17,100,0),MAX(0,MIN(100,($X584-Config!$B$16)/(Config!$B$17-Config!$B$16)*100))))</f>
        <v/>
      </c>
      <c r="Z584" s="40">
        <f>IF($M584="Elite",Config!$B$21,0)</f>
        <v>0</v>
      </c>
      <c r="AA584" s="40" t="str">
        <f>IFERROR(IF(OR($W584="",$H584=""),"",IF($W584&gt;$H584,
  MAX(0, 60-(($W584-$H584)*24/Config!$B$19)*60),
  MIN(100, 60+(($H584-$W584)*24/Config!$B$20)*40)
)),"")
</f>
        <v/>
      </c>
      <c r="AB584" s="40" t="str">
        <f>IF($K584="","",IFERROR(VLOOKUP($K584,Grinders!$A$4:$N$998,10,FALSE)/5*100,""))</f>
        <v/>
      </c>
      <c r="AC584" s="40" t="str">
        <f>IF($K584="","",IFERROR(VLOOKUP($K584,Grinders!$A$4:$N$998,11,FALSE)*100,""))</f>
        <v/>
      </c>
      <c r="AD584" s="40" t="str">
        <f>IF($K584="","",IFERROR(VLOOKUP($K584,Grinders!$A$4:$N$998,12,FALSE)*100,""))</f>
        <v/>
      </c>
      <c r="AE584" s="40">
        <f>IFERROR(IFS(
    OR($C584="", $K584=""), 0,
    $F584=0, 0,
    $D584&lt;&gt;"Open", 0,
    COUNTIFS(GrinderServices!$B$4:$B$998, $K584, GrinderServices!$C$4:$C$998, $E584, GrinderServices!$E$4:$E$998, "Y")=0, 0,
    $X584&lt;Config!$B$16, 0,
    Config!$B$18=1, IF($O584&gt;=N584, 0, 1),
    TRUE, 1
), "")
</f>
        <v>0</v>
      </c>
      <c r="AF584" s="40" t="str">
        <f>IFERROR(IF($AE584=0,"",((Config!$B$6*$Y584 + Config!$B$7*$U584 + Config!$B$8*$Z584 + Config!$B$9*$AA584 + Config!$B$10*$AB584 + Config!$B$11*$AC584 - Config!$B$12*$AD584)/Config!$B$13)+$AK584+$AL584),"")</f>
        <v/>
      </c>
      <c r="AG584" s="40" t="str">
        <f t="shared" si="6"/>
        <v/>
      </c>
      <c r="AH584" s="40" t="str">
        <f t="shared" si="7"/>
        <v/>
      </c>
      <c r="AI584" s="40" t="str">
        <f t="shared" si="8"/>
        <v/>
      </c>
      <c r="AJ584" s="40" t="str">
        <f>IF($K584="","",COUNTIF(Assignments!$B$6:$B$1000,$K584))</f>
        <v/>
      </c>
      <c r="AK584" s="40" t="str">
        <f>IF($K584="","",IF(AND($AJ584=0,$O584&lt;$N584),Config!$B$43,0))</f>
        <v/>
      </c>
      <c r="AL584" s="40" t="str">
        <f>IF($K584="","",IF(AND($M584="Elite",$G584&gt;=Config!$B$41,$O584&lt;$N584),Config!$B$42,0))</f>
        <v/>
      </c>
      <c r="AM584" s="22"/>
    </row>
    <row r="585" ht="15.75" customHeight="1">
      <c r="A585" s="40" t="str">
        <f t="shared" si="1"/>
        <v/>
      </c>
      <c r="B585" s="40" t="str">
        <f>IF(Bids!$A584="","",Bids!$A584)</f>
        <v/>
      </c>
      <c r="C585" s="40" t="str">
        <f>IF(Bids!$B584="","",Bids!$B584)</f>
        <v/>
      </c>
      <c r="D585" s="40" t="str">
        <f>IF($C585="","",IFERROR(VLOOKUP($C585,Orders!$A$4:$J$998,9,FALSE),""))</f>
        <v/>
      </c>
      <c r="E585" s="40" t="str">
        <f>IF($C585="","",IFERROR(VLOOKUP($C585,Orders!$A$4:$J$998,3,FALSE),""))</f>
        <v/>
      </c>
      <c r="F585" s="40">
        <f t="shared" si="2"/>
        <v>1</v>
      </c>
      <c r="G585" s="40" t="str">
        <f>IF($C585="","",IFERROR(VLOOKUP($C585,Orders!$A$4:$J$998,4,FALSE),""))</f>
        <v/>
      </c>
      <c r="H585" s="40" t="str">
        <f>IF($C585="","",IFERROR(VLOOKUP($C585,Orders!$A$4:$J$998,5,FALSE),""))</f>
        <v/>
      </c>
      <c r="I585" s="40" t="str">
        <f>IF($C585="","",IFERROR(VLOOKUP($C585,Orders!$A$4:$J$998,6,FALSE),""))</f>
        <v/>
      </c>
      <c r="J585" s="40" t="str">
        <f>IF($C585="","",IFERROR(VLOOKUP($C585,Orders!$A$4:$J$998,7,FALSE),""))</f>
        <v/>
      </c>
      <c r="K585" s="40" t="str">
        <f>IF(Bids!$C584="","",Bids!$C584)</f>
        <v/>
      </c>
      <c r="L585" s="40" t="str">
        <f>IF($K585="","",IFERROR(VLOOKUP($K585,Grinders!$A$4:$N$998,2,FALSE),""))</f>
        <v/>
      </c>
      <c r="M585" s="40" t="str">
        <f>IF($K585="","",IFERROR(VLOOKUP($K585,Grinders!$A$4:$N$998,3,FALSE),""))</f>
        <v/>
      </c>
      <c r="N585" s="40" t="str">
        <f>IF($K585="","",IFERROR(VLOOKUP($K585,Grinders!$A$4:$N$998,4,FALSE),""))</f>
        <v/>
      </c>
      <c r="O585" s="40" t="str">
        <f>IF($K585="","",IFERROR(VLOOKUP($K585,Grinders!$A$4:$N$998,5,FALSE),""))</f>
        <v/>
      </c>
      <c r="P585" s="40" t="str">
        <f>IF($K585="","",IF($C$4="",0,COUNTIFS(Assignments!$B$6:$B$1000,$K585,Assignments!$F$6:$F$1000,$C$4,Assignments!$E$6:$E$1000,"Active")))</f>
        <v/>
      </c>
      <c r="Q585" s="40" t="str">
        <f t="shared" si="3"/>
        <v/>
      </c>
      <c r="R585" s="40" t="str">
        <f t="shared" si="4"/>
        <v/>
      </c>
      <c r="S585" s="40" t="str">
        <f>IF($K585="","",IF($C$4="",0,COUNTIFS(Assignments!$B$6:$B$1000,$K585,Assignments!$F$6:$F$1000,$C$4,Assignments!$D$6:$D$1000,"&gt;="&amp;Config!$B$3-7,Assignments!$D$6:$D$1000,"&lt;="&amp;Config!$B$3)))</f>
        <v/>
      </c>
      <c r="T585" s="40" t="str">
        <f>IF($K585="","",IFERROR(VLOOKUP($K585,Grinders!$A$4:$N$998,8,FALSE),""))</f>
        <v/>
      </c>
      <c r="U585" s="40" t="str">
        <f>IFERROR(IF($K585="","",IF($M585="Elite",MAX(50,MIN(100,Config!$B$27*MAX(0,MIN(100,(1-IF($R585="",0,$R585))*100)) + Config!$B$28*MAX(0,MIN(100,(1-MIN(1,IF(Config!$B$30=0,1,$S585/Config!$B$30)))*100)) + Config!$B$29*MAX(0,MIN(100,MIN(1,IF($T585="",0,$T585)/Config!$B$23)*100)))),MIN(100,Config!$B$27*MAX(0,MIN(100,(1-IF($R585="",0,$R585))*100)) + Config!$B$28*MAX(0,MIN(100,(1-MIN(1,IF(Config!$B$30=0,1,$S585/Config!$B$30)))*100)) + Config!$B$29*MAX(0,MIN(100,MIN(1,IF($T585="",0,$T585)/Config!$B$23)*100))))),"")
</f>
        <v/>
      </c>
      <c r="V585" s="40" t="str">
        <f>IF(Bids!$D584="","",Bids!$D584)</f>
        <v/>
      </c>
      <c r="W585" s="40" t="str">
        <f>IF(Bids!$F584="","",Bids!$F584)</f>
        <v/>
      </c>
      <c r="X585" s="40" t="str">
        <f t="shared" si="5"/>
        <v/>
      </c>
      <c r="Y585" s="40" t="str">
        <f>IF($X585="","",IF(Config!$B$17=Config!$B$16,IF($X585&gt;=Config!$B$17,100,0),MAX(0,MIN(100,($X585-Config!$B$16)/(Config!$B$17-Config!$B$16)*100))))</f>
        <v/>
      </c>
      <c r="Z585" s="40">
        <f>IF($M585="Elite",Config!$B$21,0)</f>
        <v>0</v>
      </c>
      <c r="AA585" s="40" t="str">
        <f>IFERROR(IF(OR($W585="",$H585=""),"",IF($W585&gt;$H585,
  MAX(0, 60-(($W585-$H585)*24/Config!$B$19)*60),
  MIN(100, 60+(($H585-$W585)*24/Config!$B$20)*40)
)),"")
</f>
        <v/>
      </c>
      <c r="AB585" s="40" t="str">
        <f>IF($K585="","",IFERROR(VLOOKUP($K585,Grinders!$A$4:$N$998,10,FALSE)/5*100,""))</f>
        <v/>
      </c>
      <c r="AC585" s="40" t="str">
        <f>IF($K585="","",IFERROR(VLOOKUP($K585,Grinders!$A$4:$N$998,11,FALSE)*100,""))</f>
        <v/>
      </c>
      <c r="AD585" s="40" t="str">
        <f>IF($K585="","",IFERROR(VLOOKUP($K585,Grinders!$A$4:$N$998,12,FALSE)*100,""))</f>
        <v/>
      </c>
      <c r="AE585" s="40">
        <f>IFERROR(IFS(
    OR($C585="", $K585=""), 0,
    $F585=0, 0,
    $D585&lt;&gt;"Open", 0,
    COUNTIFS(GrinderServices!$B$4:$B$998, $K585, GrinderServices!$C$4:$C$998, $E585, GrinderServices!$E$4:$E$998, "Y")=0, 0,
    $X585&lt;Config!$B$16, 0,
    Config!$B$18=1, IF($O585&gt;=N585, 0, 1),
    TRUE, 1
), "")
</f>
        <v>0</v>
      </c>
      <c r="AF585" s="40" t="str">
        <f>IFERROR(IF($AE585=0,"",((Config!$B$6*$Y585 + Config!$B$7*$U585 + Config!$B$8*$Z585 + Config!$B$9*$AA585 + Config!$B$10*$AB585 + Config!$B$11*$AC585 - Config!$B$12*$AD585)/Config!$B$13)+$AK585+$AL585),"")</f>
        <v/>
      </c>
      <c r="AG585" s="40" t="str">
        <f t="shared" si="6"/>
        <v/>
      </c>
      <c r="AH585" s="40" t="str">
        <f t="shared" si="7"/>
        <v/>
      </c>
      <c r="AI585" s="40" t="str">
        <f t="shared" si="8"/>
        <v/>
      </c>
      <c r="AJ585" s="40" t="str">
        <f>IF($K585="","",COUNTIF(Assignments!$B$6:$B$1000,$K585))</f>
        <v/>
      </c>
      <c r="AK585" s="40" t="str">
        <f>IF($K585="","",IF(AND($AJ585=0,$O585&lt;$N585),Config!$B$43,0))</f>
        <v/>
      </c>
      <c r="AL585" s="40" t="str">
        <f>IF($K585="","",IF(AND($M585="Elite",$G585&gt;=Config!$B$41,$O585&lt;$N585),Config!$B$42,0))</f>
        <v/>
      </c>
      <c r="AM585" s="22"/>
    </row>
    <row r="586" ht="15.75" customHeight="1">
      <c r="A586" s="40" t="str">
        <f t="shared" si="1"/>
        <v/>
      </c>
      <c r="B586" s="40" t="str">
        <f>IF(Bids!$A585="","",Bids!$A585)</f>
        <v/>
      </c>
      <c r="C586" s="40" t="str">
        <f>IF(Bids!$B585="","",Bids!$B585)</f>
        <v/>
      </c>
      <c r="D586" s="40" t="str">
        <f>IF($C586="","",IFERROR(VLOOKUP($C586,Orders!$A$4:$J$998,9,FALSE),""))</f>
        <v/>
      </c>
      <c r="E586" s="40" t="str">
        <f>IF($C586="","",IFERROR(VLOOKUP($C586,Orders!$A$4:$J$998,3,FALSE),""))</f>
        <v/>
      </c>
      <c r="F586" s="40">
        <f t="shared" si="2"/>
        <v>1</v>
      </c>
      <c r="G586" s="40" t="str">
        <f>IF($C586="","",IFERROR(VLOOKUP($C586,Orders!$A$4:$J$998,4,FALSE),""))</f>
        <v/>
      </c>
      <c r="H586" s="40" t="str">
        <f>IF($C586="","",IFERROR(VLOOKUP($C586,Orders!$A$4:$J$998,5,FALSE),""))</f>
        <v/>
      </c>
      <c r="I586" s="40" t="str">
        <f>IF($C586="","",IFERROR(VLOOKUP($C586,Orders!$A$4:$J$998,6,FALSE),""))</f>
        <v/>
      </c>
      <c r="J586" s="40" t="str">
        <f>IF($C586="","",IFERROR(VLOOKUP($C586,Orders!$A$4:$J$998,7,FALSE),""))</f>
        <v/>
      </c>
      <c r="K586" s="40" t="str">
        <f>IF(Bids!$C585="","",Bids!$C585)</f>
        <v/>
      </c>
      <c r="L586" s="40" t="str">
        <f>IF($K586="","",IFERROR(VLOOKUP($K586,Grinders!$A$4:$N$998,2,FALSE),""))</f>
        <v/>
      </c>
      <c r="M586" s="40" t="str">
        <f>IF($K586="","",IFERROR(VLOOKUP($K586,Grinders!$A$4:$N$998,3,FALSE),""))</f>
        <v/>
      </c>
      <c r="N586" s="40" t="str">
        <f>IF($K586="","",IFERROR(VLOOKUP($K586,Grinders!$A$4:$N$998,4,FALSE),""))</f>
        <v/>
      </c>
      <c r="O586" s="40" t="str">
        <f>IF($K586="","",IFERROR(VLOOKUP($K586,Grinders!$A$4:$N$998,5,FALSE),""))</f>
        <v/>
      </c>
      <c r="P586" s="40" t="str">
        <f>IF($K586="","",IF($C$4="",0,COUNTIFS(Assignments!$B$6:$B$1000,$K586,Assignments!$F$6:$F$1000,$C$4,Assignments!$E$6:$E$1000,"Active")))</f>
        <v/>
      </c>
      <c r="Q586" s="40" t="str">
        <f t="shared" si="3"/>
        <v/>
      </c>
      <c r="R586" s="40" t="str">
        <f t="shared" si="4"/>
        <v/>
      </c>
      <c r="S586" s="40" t="str">
        <f>IF($K586="","",IF($C$4="",0,COUNTIFS(Assignments!$B$6:$B$1000,$K586,Assignments!$F$6:$F$1000,$C$4,Assignments!$D$6:$D$1000,"&gt;="&amp;Config!$B$3-7,Assignments!$D$6:$D$1000,"&lt;="&amp;Config!$B$3)))</f>
        <v/>
      </c>
      <c r="T586" s="40" t="str">
        <f>IF($K586="","",IFERROR(VLOOKUP($K586,Grinders!$A$4:$N$998,8,FALSE),""))</f>
        <v/>
      </c>
      <c r="U586" s="40" t="str">
        <f>IFERROR(IF($K586="","",IF($M586="Elite",MAX(50,MIN(100,Config!$B$27*MAX(0,MIN(100,(1-IF($R586="",0,$R586))*100)) + Config!$B$28*MAX(0,MIN(100,(1-MIN(1,IF(Config!$B$30=0,1,$S586/Config!$B$30)))*100)) + Config!$B$29*MAX(0,MIN(100,MIN(1,IF($T586="",0,$T586)/Config!$B$23)*100)))),MIN(100,Config!$B$27*MAX(0,MIN(100,(1-IF($R586="",0,$R586))*100)) + Config!$B$28*MAX(0,MIN(100,(1-MIN(1,IF(Config!$B$30=0,1,$S586/Config!$B$30)))*100)) + Config!$B$29*MAX(0,MIN(100,MIN(1,IF($T586="",0,$T586)/Config!$B$23)*100))))),"")
</f>
        <v/>
      </c>
      <c r="V586" s="40" t="str">
        <f>IF(Bids!$D585="","",Bids!$D585)</f>
        <v/>
      </c>
      <c r="W586" s="40" t="str">
        <f>IF(Bids!$F585="","",Bids!$F585)</f>
        <v/>
      </c>
      <c r="X586" s="40" t="str">
        <f t="shared" si="5"/>
        <v/>
      </c>
      <c r="Y586" s="40" t="str">
        <f>IF($X586="","",IF(Config!$B$17=Config!$B$16,IF($X586&gt;=Config!$B$17,100,0),MAX(0,MIN(100,($X586-Config!$B$16)/(Config!$B$17-Config!$B$16)*100))))</f>
        <v/>
      </c>
      <c r="Z586" s="40">
        <f>IF($M586="Elite",Config!$B$21,0)</f>
        <v>0</v>
      </c>
      <c r="AA586" s="40" t="str">
        <f>IFERROR(IF(OR($W586="",$H586=""),"",IF($W586&gt;$H586,
  MAX(0, 60-(($W586-$H586)*24/Config!$B$19)*60),
  MIN(100, 60+(($H586-$W586)*24/Config!$B$20)*40)
)),"")
</f>
        <v/>
      </c>
      <c r="AB586" s="40" t="str">
        <f>IF($K586="","",IFERROR(VLOOKUP($K586,Grinders!$A$4:$N$998,10,FALSE)/5*100,""))</f>
        <v/>
      </c>
      <c r="AC586" s="40" t="str">
        <f>IF($K586="","",IFERROR(VLOOKUP($K586,Grinders!$A$4:$N$998,11,FALSE)*100,""))</f>
        <v/>
      </c>
      <c r="AD586" s="40" t="str">
        <f>IF($K586="","",IFERROR(VLOOKUP($K586,Grinders!$A$4:$N$998,12,FALSE)*100,""))</f>
        <v/>
      </c>
      <c r="AE586" s="40">
        <f>IFERROR(IFS(
    OR($C586="", $K586=""), 0,
    $F586=0, 0,
    $D586&lt;&gt;"Open", 0,
    COUNTIFS(GrinderServices!$B$4:$B$998, $K586, GrinderServices!$C$4:$C$998, $E586, GrinderServices!$E$4:$E$998, "Y")=0, 0,
    $X586&lt;Config!$B$16, 0,
    Config!$B$18=1, IF($O586&gt;=N586, 0, 1),
    TRUE, 1
), "")
</f>
        <v>0</v>
      </c>
      <c r="AF586" s="40" t="str">
        <f>IFERROR(IF($AE586=0,"",((Config!$B$6*$Y586 + Config!$B$7*$U586 + Config!$B$8*$Z586 + Config!$B$9*$AA586 + Config!$B$10*$AB586 + Config!$B$11*$AC586 - Config!$B$12*$AD586)/Config!$B$13)+$AK586+$AL586),"")</f>
        <v/>
      </c>
      <c r="AG586" s="40" t="str">
        <f t="shared" si="6"/>
        <v/>
      </c>
      <c r="AH586" s="40" t="str">
        <f t="shared" si="7"/>
        <v/>
      </c>
      <c r="AI586" s="40" t="str">
        <f t="shared" si="8"/>
        <v/>
      </c>
      <c r="AJ586" s="40" t="str">
        <f>IF($K586="","",COUNTIF(Assignments!$B$6:$B$1000,$K586))</f>
        <v/>
      </c>
      <c r="AK586" s="40" t="str">
        <f>IF($K586="","",IF(AND($AJ586=0,$O586&lt;$N586),Config!$B$43,0))</f>
        <v/>
      </c>
      <c r="AL586" s="40" t="str">
        <f>IF($K586="","",IF(AND($M586="Elite",$G586&gt;=Config!$B$41,$O586&lt;$N586),Config!$B$42,0))</f>
        <v/>
      </c>
      <c r="AM586" s="22"/>
    </row>
    <row r="587" ht="15.75" customHeight="1">
      <c r="A587" s="40" t="str">
        <f t="shared" si="1"/>
        <v/>
      </c>
      <c r="B587" s="40" t="str">
        <f>IF(Bids!$A586="","",Bids!$A586)</f>
        <v/>
      </c>
      <c r="C587" s="40" t="str">
        <f>IF(Bids!$B586="","",Bids!$B586)</f>
        <v/>
      </c>
      <c r="D587" s="40" t="str">
        <f>IF($C587="","",IFERROR(VLOOKUP($C587,Orders!$A$4:$J$998,9,FALSE),""))</f>
        <v/>
      </c>
      <c r="E587" s="40" t="str">
        <f>IF($C587="","",IFERROR(VLOOKUP($C587,Orders!$A$4:$J$998,3,FALSE),""))</f>
        <v/>
      </c>
      <c r="F587" s="40">
        <f t="shared" si="2"/>
        <v>1</v>
      </c>
      <c r="G587" s="40" t="str">
        <f>IF($C587="","",IFERROR(VLOOKUP($C587,Orders!$A$4:$J$998,4,FALSE),""))</f>
        <v/>
      </c>
      <c r="H587" s="40" t="str">
        <f>IF($C587="","",IFERROR(VLOOKUP($C587,Orders!$A$4:$J$998,5,FALSE),""))</f>
        <v/>
      </c>
      <c r="I587" s="40" t="str">
        <f>IF($C587="","",IFERROR(VLOOKUP($C587,Orders!$A$4:$J$998,6,FALSE),""))</f>
        <v/>
      </c>
      <c r="J587" s="40" t="str">
        <f>IF($C587="","",IFERROR(VLOOKUP($C587,Orders!$A$4:$J$998,7,FALSE),""))</f>
        <v/>
      </c>
      <c r="K587" s="40" t="str">
        <f>IF(Bids!$C586="","",Bids!$C586)</f>
        <v/>
      </c>
      <c r="L587" s="40" t="str">
        <f>IF($K587="","",IFERROR(VLOOKUP($K587,Grinders!$A$4:$N$998,2,FALSE),""))</f>
        <v/>
      </c>
      <c r="M587" s="40" t="str">
        <f>IF($K587="","",IFERROR(VLOOKUP($K587,Grinders!$A$4:$N$998,3,FALSE),""))</f>
        <v/>
      </c>
      <c r="N587" s="40" t="str">
        <f>IF($K587="","",IFERROR(VLOOKUP($K587,Grinders!$A$4:$N$998,4,FALSE),""))</f>
        <v/>
      </c>
      <c r="O587" s="40" t="str">
        <f>IF($K587="","",IFERROR(VLOOKUP($K587,Grinders!$A$4:$N$998,5,FALSE),""))</f>
        <v/>
      </c>
      <c r="P587" s="40" t="str">
        <f>IF($K587="","",IF($C$4="",0,COUNTIFS(Assignments!$B$6:$B$1000,$K587,Assignments!$F$6:$F$1000,$C$4,Assignments!$E$6:$E$1000,"Active")))</f>
        <v/>
      </c>
      <c r="Q587" s="40" t="str">
        <f t="shared" si="3"/>
        <v/>
      </c>
      <c r="R587" s="40" t="str">
        <f t="shared" si="4"/>
        <v/>
      </c>
      <c r="S587" s="40" t="str">
        <f>IF($K587="","",IF($C$4="",0,COUNTIFS(Assignments!$B$6:$B$1000,$K587,Assignments!$F$6:$F$1000,$C$4,Assignments!$D$6:$D$1000,"&gt;="&amp;Config!$B$3-7,Assignments!$D$6:$D$1000,"&lt;="&amp;Config!$B$3)))</f>
        <v/>
      </c>
      <c r="T587" s="40" t="str">
        <f>IF($K587="","",IFERROR(VLOOKUP($K587,Grinders!$A$4:$N$998,8,FALSE),""))</f>
        <v/>
      </c>
      <c r="U587" s="40" t="str">
        <f>IFERROR(IF($K587="","",IF($M587="Elite",MAX(50,MIN(100,Config!$B$27*MAX(0,MIN(100,(1-IF($R587="",0,$R587))*100)) + Config!$B$28*MAX(0,MIN(100,(1-MIN(1,IF(Config!$B$30=0,1,$S587/Config!$B$30)))*100)) + Config!$B$29*MAX(0,MIN(100,MIN(1,IF($T587="",0,$T587)/Config!$B$23)*100)))),MIN(100,Config!$B$27*MAX(0,MIN(100,(1-IF($R587="",0,$R587))*100)) + Config!$B$28*MAX(0,MIN(100,(1-MIN(1,IF(Config!$B$30=0,1,$S587/Config!$B$30)))*100)) + Config!$B$29*MAX(0,MIN(100,MIN(1,IF($T587="",0,$T587)/Config!$B$23)*100))))),"")
</f>
        <v/>
      </c>
      <c r="V587" s="40" t="str">
        <f>IF(Bids!$D586="","",Bids!$D586)</f>
        <v/>
      </c>
      <c r="W587" s="40" t="str">
        <f>IF(Bids!$F586="","",Bids!$F586)</f>
        <v/>
      </c>
      <c r="X587" s="40" t="str">
        <f t="shared" si="5"/>
        <v/>
      </c>
      <c r="Y587" s="40" t="str">
        <f>IF($X587="","",IF(Config!$B$17=Config!$B$16,IF($X587&gt;=Config!$B$17,100,0),MAX(0,MIN(100,($X587-Config!$B$16)/(Config!$B$17-Config!$B$16)*100))))</f>
        <v/>
      </c>
      <c r="Z587" s="40">
        <f>IF($M587="Elite",Config!$B$21,0)</f>
        <v>0</v>
      </c>
      <c r="AA587" s="40" t="str">
        <f>IFERROR(IF(OR($W587="",$H587=""),"",IF($W587&gt;$H587,
  MAX(0, 60-(($W587-$H587)*24/Config!$B$19)*60),
  MIN(100, 60+(($H587-$W587)*24/Config!$B$20)*40)
)),"")
</f>
        <v/>
      </c>
      <c r="AB587" s="40" t="str">
        <f>IF($K587="","",IFERROR(VLOOKUP($K587,Grinders!$A$4:$N$998,10,FALSE)/5*100,""))</f>
        <v/>
      </c>
      <c r="AC587" s="40" t="str">
        <f>IF($K587="","",IFERROR(VLOOKUP($K587,Grinders!$A$4:$N$998,11,FALSE)*100,""))</f>
        <v/>
      </c>
      <c r="AD587" s="40" t="str">
        <f>IF($K587="","",IFERROR(VLOOKUP($K587,Grinders!$A$4:$N$998,12,FALSE)*100,""))</f>
        <v/>
      </c>
      <c r="AE587" s="40">
        <f>IFERROR(IFS(
    OR($C587="", $K587=""), 0,
    $F587=0, 0,
    $D587&lt;&gt;"Open", 0,
    COUNTIFS(GrinderServices!$B$4:$B$998, $K587, GrinderServices!$C$4:$C$998, $E587, GrinderServices!$E$4:$E$998, "Y")=0, 0,
    $X587&lt;Config!$B$16, 0,
    Config!$B$18=1, IF($O587&gt;=N587, 0, 1),
    TRUE, 1
), "")
</f>
        <v>0</v>
      </c>
      <c r="AF587" s="40" t="str">
        <f>IFERROR(IF($AE587=0,"",((Config!$B$6*$Y587 + Config!$B$7*$U587 + Config!$B$8*$Z587 + Config!$B$9*$AA587 + Config!$B$10*$AB587 + Config!$B$11*$AC587 - Config!$B$12*$AD587)/Config!$B$13)+$AK587+$AL587),"")</f>
        <v/>
      </c>
      <c r="AG587" s="40" t="str">
        <f t="shared" si="6"/>
        <v/>
      </c>
      <c r="AH587" s="40" t="str">
        <f t="shared" si="7"/>
        <v/>
      </c>
      <c r="AI587" s="40" t="str">
        <f t="shared" si="8"/>
        <v/>
      </c>
      <c r="AJ587" s="40" t="str">
        <f>IF($K587="","",COUNTIF(Assignments!$B$6:$B$1000,$K587))</f>
        <v/>
      </c>
      <c r="AK587" s="40" t="str">
        <f>IF($K587="","",IF(AND($AJ587=0,$O587&lt;$N587),Config!$B$43,0))</f>
        <v/>
      </c>
      <c r="AL587" s="40" t="str">
        <f>IF($K587="","",IF(AND($M587="Elite",$G587&gt;=Config!$B$41,$O587&lt;$N587),Config!$B$42,0))</f>
        <v/>
      </c>
      <c r="AM587" s="22"/>
    </row>
    <row r="588" ht="15.75" customHeight="1">
      <c r="A588" s="40" t="str">
        <f t="shared" si="1"/>
        <v/>
      </c>
      <c r="B588" s="40" t="str">
        <f>IF(Bids!$A587="","",Bids!$A587)</f>
        <v/>
      </c>
      <c r="C588" s="40" t="str">
        <f>IF(Bids!$B587="","",Bids!$B587)</f>
        <v/>
      </c>
      <c r="D588" s="40" t="str">
        <f>IF($C588="","",IFERROR(VLOOKUP($C588,Orders!$A$4:$J$998,9,FALSE),""))</f>
        <v/>
      </c>
      <c r="E588" s="40" t="str">
        <f>IF($C588="","",IFERROR(VLOOKUP($C588,Orders!$A$4:$J$998,3,FALSE),""))</f>
        <v/>
      </c>
      <c r="F588" s="40">
        <f t="shared" si="2"/>
        <v>1</v>
      </c>
      <c r="G588" s="40" t="str">
        <f>IF($C588="","",IFERROR(VLOOKUP($C588,Orders!$A$4:$J$998,4,FALSE),""))</f>
        <v/>
      </c>
      <c r="H588" s="40" t="str">
        <f>IF($C588="","",IFERROR(VLOOKUP($C588,Orders!$A$4:$J$998,5,FALSE),""))</f>
        <v/>
      </c>
      <c r="I588" s="40" t="str">
        <f>IF($C588="","",IFERROR(VLOOKUP($C588,Orders!$A$4:$J$998,6,FALSE),""))</f>
        <v/>
      </c>
      <c r="J588" s="40" t="str">
        <f>IF($C588="","",IFERROR(VLOOKUP($C588,Orders!$A$4:$J$998,7,FALSE),""))</f>
        <v/>
      </c>
      <c r="K588" s="40" t="str">
        <f>IF(Bids!$C587="","",Bids!$C587)</f>
        <v/>
      </c>
      <c r="L588" s="40" t="str">
        <f>IF($K588="","",IFERROR(VLOOKUP($K588,Grinders!$A$4:$N$998,2,FALSE),""))</f>
        <v/>
      </c>
      <c r="M588" s="40" t="str">
        <f>IF($K588="","",IFERROR(VLOOKUP($K588,Grinders!$A$4:$N$998,3,FALSE),""))</f>
        <v/>
      </c>
      <c r="N588" s="40" t="str">
        <f>IF($K588="","",IFERROR(VLOOKUP($K588,Grinders!$A$4:$N$998,4,FALSE),""))</f>
        <v/>
      </c>
      <c r="O588" s="40" t="str">
        <f>IF($K588="","",IFERROR(VLOOKUP($K588,Grinders!$A$4:$N$998,5,FALSE),""))</f>
        <v/>
      </c>
      <c r="P588" s="40" t="str">
        <f>IF($K588="","",IF($C$4="",0,COUNTIFS(Assignments!$B$6:$B$1000,$K588,Assignments!$F$6:$F$1000,$C$4,Assignments!$E$6:$E$1000,"Active")))</f>
        <v/>
      </c>
      <c r="Q588" s="40" t="str">
        <f t="shared" si="3"/>
        <v/>
      </c>
      <c r="R588" s="40" t="str">
        <f t="shared" si="4"/>
        <v/>
      </c>
      <c r="S588" s="40" t="str">
        <f>IF($K588="","",IF($C$4="",0,COUNTIFS(Assignments!$B$6:$B$1000,$K588,Assignments!$F$6:$F$1000,$C$4,Assignments!$D$6:$D$1000,"&gt;="&amp;Config!$B$3-7,Assignments!$D$6:$D$1000,"&lt;="&amp;Config!$B$3)))</f>
        <v/>
      </c>
      <c r="T588" s="40" t="str">
        <f>IF($K588="","",IFERROR(VLOOKUP($K588,Grinders!$A$4:$N$998,8,FALSE),""))</f>
        <v/>
      </c>
      <c r="U588" s="40" t="str">
        <f>IFERROR(IF($K588="","",IF($M588="Elite",MAX(50,MIN(100,Config!$B$27*MAX(0,MIN(100,(1-IF($R588="",0,$R588))*100)) + Config!$B$28*MAX(0,MIN(100,(1-MIN(1,IF(Config!$B$30=0,1,$S588/Config!$B$30)))*100)) + Config!$B$29*MAX(0,MIN(100,MIN(1,IF($T588="",0,$T588)/Config!$B$23)*100)))),MIN(100,Config!$B$27*MAX(0,MIN(100,(1-IF($R588="",0,$R588))*100)) + Config!$B$28*MAX(0,MIN(100,(1-MIN(1,IF(Config!$B$30=0,1,$S588/Config!$B$30)))*100)) + Config!$B$29*MAX(0,MIN(100,MIN(1,IF($T588="",0,$T588)/Config!$B$23)*100))))),"")
</f>
        <v/>
      </c>
      <c r="V588" s="40" t="str">
        <f>IF(Bids!$D587="","",Bids!$D587)</f>
        <v/>
      </c>
      <c r="W588" s="40" t="str">
        <f>IF(Bids!$F587="","",Bids!$F587)</f>
        <v/>
      </c>
      <c r="X588" s="40" t="str">
        <f t="shared" si="5"/>
        <v/>
      </c>
      <c r="Y588" s="40" t="str">
        <f>IF($X588="","",IF(Config!$B$17=Config!$B$16,IF($X588&gt;=Config!$B$17,100,0),MAX(0,MIN(100,($X588-Config!$B$16)/(Config!$B$17-Config!$B$16)*100))))</f>
        <v/>
      </c>
      <c r="Z588" s="40">
        <f>IF($M588="Elite",Config!$B$21,0)</f>
        <v>0</v>
      </c>
      <c r="AA588" s="40" t="str">
        <f>IFERROR(IF(OR($W588="",$H588=""),"",IF($W588&gt;$H588,
  MAX(0, 60-(($W588-$H588)*24/Config!$B$19)*60),
  MIN(100, 60+(($H588-$W588)*24/Config!$B$20)*40)
)),"")
</f>
        <v/>
      </c>
      <c r="AB588" s="40" t="str">
        <f>IF($K588="","",IFERROR(VLOOKUP($K588,Grinders!$A$4:$N$998,10,FALSE)/5*100,""))</f>
        <v/>
      </c>
      <c r="AC588" s="40" t="str">
        <f>IF($K588="","",IFERROR(VLOOKUP($K588,Grinders!$A$4:$N$998,11,FALSE)*100,""))</f>
        <v/>
      </c>
      <c r="AD588" s="40" t="str">
        <f>IF($K588="","",IFERROR(VLOOKUP($K588,Grinders!$A$4:$N$998,12,FALSE)*100,""))</f>
        <v/>
      </c>
      <c r="AE588" s="40">
        <f>IFERROR(IFS(
    OR($C588="", $K588=""), 0,
    $F588=0, 0,
    $D588&lt;&gt;"Open", 0,
    COUNTIFS(GrinderServices!$B$4:$B$998, $K588, GrinderServices!$C$4:$C$998, $E588, GrinderServices!$E$4:$E$998, "Y")=0, 0,
    $X588&lt;Config!$B$16, 0,
    Config!$B$18=1, IF($O588&gt;=N588, 0, 1),
    TRUE, 1
), "")
</f>
        <v>0</v>
      </c>
      <c r="AF588" s="40" t="str">
        <f>IFERROR(IF($AE588=0,"",((Config!$B$6*$Y588 + Config!$B$7*$U588 + Config!$B$8*$Z588 + Config!$B$9*$AA588 + Config!$B$10*$AB588 + Config!$B$11*$AC588 - Config!$B$12*$AD588)/Config!$B$13)+$AK588+$AL588),"")</f>
        <v/>
      </c>
      <c r="AG588" s="40" t="str">
        <f t="shared" si="6"/>
        <v/>
      </c>
      <c r="AH588" s="40" t="str">
        <f t="shared" si="7"/>
        <v/>
      </c>
      <c r="AI588" s="40" t="str">
        <f t="shared" si="8"/>
        <v/>
      </c>
      <c r="AJ588" s="40" t="str">
        <f>IF($K588="","",COUNTIF(Assignments!$B$6:$B$1000,$K588))</f>
        <v/>
      </c>
      <c r="AK588" s="40" t="str">
        <f>IF($K588="","",IF(AND($AJ588=0,$O588&lt;$N588),Config!$B$43,0))</f>
        <v/>
      </c>
      <c r="AL588" s="40" t="str">
        <f>IF($K588="","",IF(AND($M588="Elite",$G588&gt;=Config!$B$41,$O588&lt;$N588),Config!$B$42,0))</f>
        <v/>
      </c>
      <c r="AM588" s="22"/>
    </row>
    <row r="589" ht="15.75" customHeight="1">
      <c r="A589" s="40" t="str">
        <f t="shared" si="1"/>
        <v/>
      </c>
      <c r="B589" s="40" t="str">
        <f>IF(Bids!$A588="","",Bids!$A588)</f>
        <v/>
      </c>
      <c r="C589" s="40" t="str">
        <f>IF(Bids!$B588="","",Bids!$B588)</f>
        <v/>
      </c>
      <c r="D589" s="40" t="str">
        <f>IF($C589="","",IFERROR(VLOOKUP($C589,Orders!$A$4:$J$998,9,FALSE),""))</f>
        <v/>
      </c>
      <c r="E589" s="40" t="str">
        <f>IF($C589="","",IFERROR(VLOOKUP($C589,Orders!$A$4:$J$998,3,FALSE),""))</f>
        <v/>
      </c>
      <c r="F589" s="40">
        <f t="shared" si="2"/>
        <v>1</v>
      </c>
      <c r="G589" s="40" t="str">
        <f>IF($C589="","",IFERROR(VLOOKUP($C589,Orders!$A$4:$J$998,4,FALSE),""))</f>
        <v/>
      </c>
      <c r="H589" s="40" t="str">
        <f>IF($C589="","",IFERROR(VLOOKUP($C589,Orders!$A$4:$J$998,5,FALSE),""))</f>
        <v/>
      </c>
      <c r="I589" s="40" t="str">
        <f>IF($C589="","",IFERROR(VLOOKUP($C589,Orders!$A$4:$J$998,6,FALSE),""))</f>
        <v/>
      </c>
      <c r="J589" s="40" t="str">
        <f>IF($C589="","",IFERROR(VLOOKUP($C589,Orders!$A$4:$J$998,7,FALSE),""))</f>
        <v/>
      </c>
      <c r="K589" s="40" t="str">
        <f>IF(Bids!$C588="","",Bids!$C588)</f>
        <v/>
      </c>
      <c r="L589" s="40" t="str">
        <f>IF($K589="","",IFERROR(VLOOKUP($K589,Grinders!$A$4:$N$998,2,FALSE),""))</f>
        <v/>
      </c>
      <c r="M589" s="40" t="str">
        <f>IF($K589="","",IFERROR(VLOOKUP($K589,Grinders!$A$4:$N$998,3,FALSE),""))</f>
        <v/>
      </c>
      <c r="N589" s="40" t="str">
        <f>IF($K589="","",IFERROR(VLOOKUP($K589,Grinders!$A$4:$N$998,4,FALSE),""))</f>
        <v/>
      </c>
      <c r="O589" s="40" t="str">
        <f>IF($K589="","",IFERROR(VLOOKUP($K589,Grinders!$A$4:$N$998,5,FALSE),""))</f>
        <v/>
      </c>
      <c r="P589" s="40" t="str">
        <f>IF($K589="","",IF($C$4="",0,COUNTIFS(Assignments!$B$6:$B$1000,$K589,Assignments!$F$6:$F$1000,$C$4,Assignments!$E$6:$E$1000,"Active")))</f>
        <v/>
      </c>
      <c r="Q589" s="40" t="str">
        <f t="shared" si="3"/>
        <v/>
      </c>
      <c r="R589" s="40" t="str">
        <f t="shared" si="4"/>
        <v/>
      </c>
      <c r="S589" s="40" t="str">
        <f>IF($K589="","",IF($C$4="",0,COUNTIFS(Assignments!$B$6:$B$1000,$K589,Assignments!$F$6:$F$1000,$C$4,Assignments!$D$6:$D$1000,"&gt;="&amp;Config!$B$3-7,Assignments!$D$6:$D$1000,"&lt;="&amp;Config!$B$3)))</f>
        <v/>
      </c>
      <c r="T589" s="40" t="str">
        <f>IF($K589="","",IFERROR(VLOOKUP($K589,Grinders!$A$4:$N$998,8,FALSE),""))</f>
        <v/>
      </c>
      <c r="U589" s="40" t="str">
        <f>IFERROR(IF($K589="","",IF($M589="Elite",MAX(50,MIN(100,Config!$B$27*MAX(0,MIN(100,(1-IF($R589="",0,$R589))*100)) + Config!$B$28*MAX(0,MIN(100,(1-MIN(1,IF(Config!$B$30=0,1,$S589/Config!$B$30)))*100)) + Config!$B$29*MAX(0,MIN(100,MIN(1,IF($T589="",0,$T589)/Config!$B$23)*100)))),MIN(100,Config!$B$27*MAX(0,MIN(100,(1-IF($R589="",0,$R589))*100)) + Config!$B$28*MAX(0,MIN(100,(1-MIN(1,IF(Config!$B$30=0,1,$S589/Config!$B$30)))*100)) + Config!$B$29*MAX(0,MIN(100,MIN(1,IF($T589="",0,$T589)/Config!$B$23)*100))))),"")
</f>
        <v/>
      </c>
      <c r="V589" s="40" t="str">
        <f>IF(Bids!$D588="","",Bids!$D588)</f>
        <v/>
      </c>
      <c r="W589" s="40" t="str">
        <f>IF(Bids!$F588="","",Bids!$F588)</f>
        <v/>
      </c>
      <c r="X589" s="40" t="str">
        <f t="shared" si="5"/>
        <v/>
      </c>
      <c r="Y589" s="40" t="str">
        <f>IF($X589="","",IF(Config!$B$17=Config!$B$16,IF($X589&gt;=Config!$B$17,100,0),MAX(0,MIN(100,($X589-Config!$B$16)/(Config!$B$17-Config!$B$16)*100))))</f>
        <v/>
      </c>
      <c r="Z589" s="40">
        <f>IF($M589="Elite",Config!$B$21,0)</f>
        <v>0</v>
      </c>
      <c r="AA589" s="40" t="str">
        <f>IFERROR(IF(OR($W589="",$H589=""),"",IF($W589&gt;$H589,
  MAX(0, 60-(($W589-$H589)*24/Config!$B$19)*60),
  MIN(100, 60+(($H589-$W589)*24/Config!$B$20)*40)
)),"")
</f>
        <v/>
      </c>
      <c r="AB589" s="40" t="str">
        <f>IF($K589="","",IFERROR(VLOOKUP($K589,Grinders!$A$4:$N$998,10,FALSE)/5*100,""))</f>
        <v/>
      </c>
      <c r="AC589" s="40" t="str">
        <f>IF($K589="","",IFERROR(VLOOKUP($K589,Grinders!$A$4:$N$998,11,FALSE)*100,""))</f>
        <v/>
      </c>
      <c r="AD589" s="40" t="str">
        <f>IF($K589="","",IFERROR(VLOOKUP($K589,Grinders!$A$4:$N$998,12,FALSE)*100,""))</f>
        <v/>
      </c>
      <c r="AE589" s="40">
        <f>IFERROR(IFS(
    OR($C589="", $K589=""), 0,
    $F589=0, 0,
    $D589&lt;&gt;"Open", 0,
    COUNTIFS(GrinderServices!$B$4:$B$998, $K589, GrinderServices!$C$4:$C$998, $E589, GrinderServices!$E$4:$E$998, "Y")=0, 0,
    $X589&lt;Config!$B$16, 0,
    Config!$B$18=1, IF($O589&gt;=N589, 0, 1),
    TRUE, 1
), "")
</f>
        <v>0</v>
      </c>
      <c r="AF589" s="40" t="str">
        <f>IFERROR(IF($AE589=0,"",((Config!$B$6*$Y589 + Config!$B$7*$U589 + Config!$B$8*$Z589 + Config!$B$9*$AA589 + Config!$B$10*$AB589 + Config!$B$11*$AC589 - Config!$B$12*$AD589)/Config!$B$13)+$AK589+$AL589),"")</f>
        <v/>
      </c>
      <c r="AG589" s="40" t="str">
        <f t="shared" si="6"/>
        <v/>
      </c>
      <c r="AH589" s="40" t="str">
        <f t="shared" si="7"/>
        <v/>
      </c>
      <c r="AI589" s="40" t="str">
        <f t="shared" si="8"/>
        <v/>
      </c>
      <c r="AJ589" s="40" t="str">
        <f>IF($K589="","",COUNTIF(Assignments!$B$6:$B$1000,$K589))</f>
        <v/>
      </c>
      <c r="AK589" s="40" t="str">
        <f>IF($K589="","",IF(AND($AJ589=0,$O589&lt;$N589),Config!$B$43,0))</f>
        <v/>
      </c>
      <c r="AL589" s="40" t="str">
        <f>IF($K589="","",IF(AND($M589="Elite",$G589&gt;=Config!$B$41,$O589&lt;$N589),Config!$B$42,0))</f>
        <v/>
      </c>
      <c r="AM589" s="22"/>
    </row>
    <row r="590" ht="15.75" customHeight="1">
      <c r="A590" s="40" t="str">
        <f t="shared" si="1"/>
        <v/>
      </c>
      <c r="B590" s="40" t="str">
        <f>IF(Bids!$A589="","",Bids!$A589)</f>
        <v/>
      </c>
      <c r="C590" s="40" t="str">
        <f>IF(Bids!$B589="","",Bids!$B589)</f>
        <v/>
      </c>
      <c r="D590" s="40" t="str">
        <f>IF($C590="","",IFERROR(VLOOKUP($C590,Orders!$A$4:$J$998,9,FALSE),""))</f>
        <v/>
      </c>
      <c r="E590" s="40" t="str">
        <f>IF($C590="","",IFERROR(VLOOKUP($C590,Orders!$A$4:$J$998,3,FALSE),""))</f>
        <v/>
      </c>
      <c r="F590" s="40">
        <f t="shared" si="2"/>
        <v>1</v>
      </c>
      <c r="G590" s="40" t="str">
        <f>IF($C590="","",IFERROR(VLOOKUP($C590,Orders!$A$4:$J$998,4,FALSE),""))</f>
        <v/>
      </c>
      <c r="H590" s="40" t="str">
        <f>IF($C590="","",IFERROR(VLOOKUP($C590,Orders!$A$4:$J$998,5,FALSE),""))</f>
        <v/>
      </c>
      <c r="I590" s="40" t="str">
        <f>IF($C590="","",IFERROR(VLOOKUP($C590,Orders!$A$4:$J$998,6,FALSE),""))</f>
        <v/>
      </c>
      <c r="J590" s="40" t="str">
        <f>IF($C590="","",IFERROR(VLOOKUP($C590,Orders!$A$4:$J$998,7,FALSE),""))</f>
        <v/>
      </c>
      <c r="K590" s="40" t="str">
        <f>IF(Bids!$C589="","",Bids!$C589)</f>
        <v/>
      </c>
      <c r="L590" s="40" t="str">
        <f>IF($K590="","",IFERROR(VLOOKUP($K590,Grinders!$A$4:$N$998,2,FALSE),""))</f>
        <v/>
      </c>
      <c r="M590" s="40" t="str">
        <f>IF($K590="","",IFERROR(VLOOKUP($K590,Grinders!$A$4:$N$998,3,FALSE),""))</f>
        <v/>
      </c>
      <c r="N590" s="40" t="str">
        <f>IF($K590="","",IFERROR(VLOOKUP($K590,Grinders!$A$4:$N$998,4,FALSE),""))</f>
        <v/>
      </c>
      <c r="O590" s="40" t="str">
        <f>IF($K590="","",IFERROR(VLOOKUP($K590,Grinders!$A$4:$N$998,5,FALSE),""))</f>
        <v/>
      </c>
      <c r="P590" s="40" t="str">
        <f>IF($K590="","",IF($C$4="",0,COUNTIFS(Assignments!$B$6:$B$1000,$K590,Assignments!$F$6:$F$1000,$C$4,Assignments!$E$6:$E$1000,"Active")))</f>
        <v/>
      </c>
      <c r="Q590" s="40" t="str">
        <f t="shared" si="3"/>
        <v/>
      </c>
      <c r="R590" s="40" t="str">
        <f t="shared" si="4"/>
        <v/>
      </c>
      <c r="S590" s="40" t="str">
        <f>IF($K590="","",IF($C$4="",0,COUNTIFS(Assignments!$B$6:$B$1000,$K590,Assignments!$F$6:$F$1000,$C$4,Assignments!$D$6:$D$1000,"&gt;="&amp;Config!$B$3-7,Assignments!$D$6:$D$1000,"&lt;="&amp;Config!$B$3)))</f>
        <v/>
      </c>
      <c r="T590" s="40" t="str">
        <f>IF($K590="","",IFERROR(VLOOKUP($K590,Grinders!$A$4:$N$998,8,FALSE),""))</f>
        <v/>
      </c>
      <c r="U590" s="40" t="str">
        <f>IFERROR(IF($K590="","",IF($M590="Elite",MAX(50,MIN(100,Config!$B$27*MAX(0,MIN(100,(1-IF($R590="",0,$R590))*100)) + Config!$B$28*MAX(0,MIN(100,(1-MIN(1,IF(Config!$B$30=0,1,$S590/Config!$B$30)))*100)) + Config!$B$29*MAX(0,MIN(100,MIN(1,IF($T590="",0,$T590)/Config!$B$23)*100)))),MIN(100,Config!$B$27*MAX(0,MIN(100,(1-IF($R590="",0,$R590))*100)) + Config!$B$28*MAX(0,MIN(100,(1-MIN(1,IF(Config!$B$30=0,1,$S590/Config!$B$30)))*100)) + Config!$B$29*MAX(0,MIN(100,MIN(1,IF($T590="",0,$T590)/Config!$B$23)*100))))),"")
</f>
        <v/>
      </c>
      <c r="V590" s="40" t="str">
        <f>IF(Bids!$D589="","",Bids!$D589)</f>
        <v/>
      </c>
      <c r="W590" s="40" t="str">
        <f>IF(Bids!$F589="","",Bids!$F589)</f>
        <v/>
      </c>
      <c r="X590" s="40" t="str">
        <f t="shared" si="5"/>
        <v/>
      </c>
      <c r="Y590" s="40" t="str">
        <f>IF($X590="","",IF(Config!$B$17=Config!$B$16,IF($X590&gt;=Config!$B$17,100,0),MAX(0,MIN(100,($X590-Config!$B$16)/(Config!$B$17-Config!$B$16)*100))))</f>
        <v/>
      </c>
      <c r="Z590" s="40">
        <f>IF($M590="Elite",Config!$B$21,0)</f>
        <v>0</v>
      </c>
      <c r="AA590" s="40" t="str">
        <f>IFERROR(IF(OR($W590="",$H590=""),"",IF($W590&gt;$H590,
  MAX(0, 60-(($W590-$H590)*24/Config!$B$19)*60),
  MIN(100, 60+(($H590-$W590)*24/Config!$B$20)*40)
)),"")
</f>
        <v/>
      </c>
      <c r="AB590" s="40" t="str">
        <f>IF($K590="","",IFERROR(VLOOKUP($K590,Grinders!$A$4:$N$998,10,FALSE)/5*100,""))</f>
        <v/>
      </c>
      <c r="AC590" s="40" t="str">
        <f>IF($K590="","",IFERROR(VLOOKUP($K590,Grinders!$A$4:$N$998,11,FALSE)*100,""))</f>
        <v/>
      </c>
      <c r="AD590" s="40" t="str">
        <f>IF($K590="","",IFERROR(VLOOKUP($K590,Grinders!$A$4:$N$998,12,FALSE)*100,""))</f>
        <v/>
      </c>
      <c r="AE590" s="40">
        <f>IFERROR(IFS(
    OR($C590="", $K590=""), 0,
    $F590=0, 0,
    $D590&lt;&gt;"Open", 0,
    COUNTIFS(GrinderServices!$B$4:$B$998, $K590, GrinderServices!$C$4:$C$998, $E590, GrinderServices!$E$4:$E$998, "Y")=0, 0,
    $X590&lt;Config!$B$16, 0,
    Config!$B$18=1, IF($O590&gt;=N590, 0, 1),
    TRUE, 1
), "")
</f>
        <v>0</v>
      </c>
      <c r="AF590" s="40" t="str">
        <f>IFERROR(IF($AE590=0,"",((Config!$B$6*$Y590 + Config!$B$7*$U590 + Config!$B$8*$Z590 + Config!$B$9*$AA590 + Config!$B$10*$AB590 + Config!$B$11*$AC590 - Config!$B$12*$AD590)/Config!$B$13)+$AK590+$AL590),"")</f>
        <v/>
      </c>
      <c r="AG590" s="40" t="str">
        <f t="shared" si="6"/>
        <v/>
      </c>
      <c r="AH590" s="40" t="str">
        <f t="shared" si="7"/>
        <v/>
      </c>
      <c r="AI590" s="40" t="str">
        <f t="shared" si="8"/>
        <v/>
      </c>
      <c r="AJ590" s="40" t="str">
        <f>IF($K590="","",COUNTIF(Assignments!$B$6:$B$1000,$K590))</f>
        <v/>
      </c>
      <c r="AK590" s="40" t="str">
        <f>IF($K590="","",IF(AND($AJ590=0,$O590&lt;$N590),Config!$B$43,0))</f>
        <v/>
      </c>
      <c r="AL590" s="40" t="str">
        <f>IF($K590="","",IF(AND($M590="Elite",$G590&gt;=Config!$B$41,$O590&lt;$N590),Config!$B$42,0))</f>
        <v/>
      </c>
      <c r="AM590" s="22"/>
    </row>
    <row r="591" ht="15.75" customHeight="1">
      <c r="A591" s="40" t="str">
        <f t="shared" si="1"/>
        <v/>
      </c>
      <c r="B591" s="40" t="str">
        <f>IF(Bids!$A590="","",Bids!$A590)</f>
        <v/>
      </c>
      <c r="C591" s="40" t="str">
        <f>IF(Bids!$B590="","",Bids!$B590)</f>
        <v/>
      </c>
      <c r="D591" s="40" t="str">
        <f>IF($C591="","",IFERROR(VLOOKUP($C591,Orders!$A$4:$J$998,9,FALSE),""))</f>
        <v/>
      </c>
      <c r="E591" s="40" t="str">
        <f>IF($C591="","",IFERROR(VLOOKUP($C591,Orders!$A$4:$J$998,3,FALSE),""))</f>
        <v/>
      </c>
      <c r="F591" s="40">
        <f t="shared" si="2"/>
        <v>1</v>
      </c>
      <c r="G591" s="40" t="str">
        <f>IF($C591="","",IFERROR(VLOOKUP($C591,Orders!$A$4:$J$998,4,FALSE),""))</f>
        <v/>
      </c>
      <c r="H591" s="40" t="str">
        <f>IF($C591="","",IFERROR(VLOOKUP($C591,Orders!$A$4:$J$998,5,FALSE),""))</f>
        <v/>
      </c>
      <c r="I591" s="40" t="str">
        <f>IF($C591="","",IFERROR(VLOOKUP($C591,Orders!$A$4:$J$998,6,FALSE),""))</f>
        <v/>
      </c>
      <c r="J591" s="40" t="str">
        <f>IF($C591="","",IFERROR(VLOOKUP($C591,Orders!$A$4:$J$998,7,FALSE),""))</f>
        <v/>
      </c>
      <c r="K591" s="40" t="str">
        <f>IF(Bids!$C590="","",Bids!$C590)</f>
        <v/>
      </c>
      <c r="L591" s="40" t="str">
        <f>IF($K591="","",IFERROR(VLOOKUP($K591,Grinders!$A$4:$N$998,2,FALSE),""))</f>
        <v/>
      </c>
      <c r="M591" s="40" t="str">
        <f>IF($K591="","",IFERROR(VLOOKUP($K591,Grinders!$A$4:$N$998,3,FALSE),""))</f>
        <v/>
      </c>
      <c r="N591" s="40" t="str">
        <f>IF($K591="","",IFERROR(VLOOKUP($K591,Grinders!$A$4:$N$998,4,FALSE),""))</f>
        <v/>
      </c>
      <c r="O591" s="40" t="str">
        <f>IF($K591="","",IFERROR(VLOOKUP($K591,Grinders!$A$4:$N$998,5,FALSE),""))</f>
        <v/>
      </c>
      <c r="P591" s="40" t="str">
        <f>IF($K591="","",IF($C$4="",0,COUNTIFS(Assignments!$B$6:$B$1000,$K591,Assignments!$F$6:$F$1000,$C$4,Assignments!$E$6:$E$1000,"Active")))</f>
        <v/>
      </c>
      <c r="Q591" s="40" t="str">
        <f t="shared" si="3"/>
        <v/>
      </c>
      <c r="R591" s="40" t="str">
        <f t="shared" si="4"/>
        <v/>
      </c>
      <c r="S591" s="40" t="str">
        <f>IF($K591="","",IF($C$4="",0,COUNTIFS(Assignments!$B$6:$B$1000,$K591,Assignments!$F$6:$F$1000,$C$4,Assignments!$D$6:$D$1000,"&gt;="&amp;Config!$B$3-7,Assignments!$D$6:$D$1000,"&lt;="&amp;Config!$B$3)))</f>
        <v/>
      </c>
      <c r="T591" s="40" t="str">
        <f>IF($K591="","",IFERROR(VLOOKUP($K591,Grinders!$A$4:$N$998,8,FALSE),""))</f>
        <v/>
      </c>
      <c r="U591" s="40" t="str">
        <f>IFERROR(IF($K591="","",IF($M591="Elite",MAX(50,MIN(100,Config!$B$27*MAX(0,MIN(100,(1-IF($R591="",0,$R591))*100)) + Config!$B$28*MAX(0,MIN(100,(1-MIN(1,IF(Config!$B$30=0,1,$S591/Config!$B$30)))*100)) + Config!$B$29*MAX(0,MIN(100,MIN(1,IF($T591="",0,$T591)/Config!$B$23)*100)))),MIN(100,Config!$B$27*MAX(0,MIN(100,(1-IF($R591="",0,$R591))*100)) + Config!$B$28*MAX(0,MIN(100,(1-MIN(1,IF(Config!$B$30=0,1,$S591/Config!$B$30)))*100)) + Config!$B$29*MAX(0,MIN(100,MIN(1,IF($T591="",0,$T591)/Config!$B$23)*100))))),"")
</f>
        <v/>
      </c>
      <c r="V591" s="40" t="str">
        <f>IF(Bids!$D590="","",Bids!$D590)</f>
        <v/>
      </c>
      <c r="W591" s="40" t="str">
        <f>IF(Bids!$F590="","",Bids!$F590)</f>
        <v/>
      </c>
      <c r="X591" s="40" t="str">
        <f t="shared" si="5"/>
        <v/>
      </c>
      <c r="Y591" s="40" t="str">
        <f>IF($X591="","",IF(Config!$B$17=Config!$B$16,IF($X591&gt;=Config!$B$17,100,0),MAX(0,MIN(100,($X591-Config!$B$16)/(Config!$B$17-Config!$B$16)*100))))</f>
        <v/>
      </c>
      <c r="Z591" s="40">
        <f>IF($M591="Elite",Config!$B$21,0)</f>
        <v>0</v>
      </c>
      <c r="AA591" s="40" t="str">
        <f>IFERROR(IF(OR($W591="",$H591=""),"",IF($W591&gt;$H591,
  MAX(0, 60-(($W591-$H591)*24/Config!$B$19)*60),
  MIN(100, 60+(($H591-$W591)*24/Config!$B$20)*40)
)),"")
</f>
        <v/>
      </c>
      <c r="AB591" s="40" t="str">
        <f>IF($K591="","",IFERROR(VLOOKUP($K591,Grinders!$A$4:$N$998,10,FALSE)/5*100,""))</f>
        <v/>
      </c>
      <c r="AC591" s="40" t="str">
        <f>IF($K591="","",IFERROR(VLOOKUP($K591,Grinders!$A$4:$N$998,11,FALSE)*100,""))</f>
        <v/>
      </c>
      <c r="AD591" s="40" t="str">
        <f>IF($K591="","",IFERROR(VLOOKUP($K591,Grinders!$A$4:$N$998,12,FALSE)*100,""))</f>
        <v/>
      </c>
      <c r="AE591" s="40">
        <f>IFERROR(IFS(
    OR($C591="", $K591=""), 0,
    $F591=0, 0,
    $D591&lt;&gt;"Open", 0,
    COUNTIFS(GrinderServices!$B$4:$B$998, $K591, GrinderServices!$C$4:$C$998, $E591, GrinderServices!$E$4:$E$998, "Y")=0, 0,
    $X591&lt;Config!$B$16, 0,
    Config!$B$18=1, IF($O591&gt;=N591, 0, 1),
    TRUE, 1
), "")
</f>
        <v>0</v>
      </c>
      <c r="AF591" s="40" t="str">
        <f>IFERROR(IF($AE591=0,"",((Config!$B$6*$Y591 + Config!$B$7*$U591 + Config!$B$8*$Z591 + Config!$B$9*$AA591 + Config!$B$10*$AB591 + Config!$B$11*$AC591 - Config!$B$12*$AD591)/Config!$B$13)+$AK591+$AL591),"")</f>
        <v/>
      </c>
      <c r="AG591" s="40" t="str">
        <f t="shared" si="6"/>
        <v/>
      </c>
      <c r="AH591" s="40" t="str">
        <f t="shared" si="7"/>
        <v/>
      </c>
      <c r="AI591" s="40" t="str">
        <f t="shared" si="8"/>
        <v/>
      </c>
      <c r="AJ591" s="40" t="str">
        <f>IF($K591="","",COUNTIF(Assignments!$B$6:$B$1000,$K591))</f>
        <v/>
      </c>
      <c r="AK591" s="40" t="str">
        <f>IF($K591="","",IF(AND($AJ591=0,$O591&lt;$N591),Config!$B$43,0))</f>
        <v/>
      </c>
      <c r="AL591" s="40" t="str">
        <f>IF($K591="","",IF(AND($M591="Elite",$G591&gt;=Config!$B$41,$O591&lt;$N591),Config!$B$42,0))</f>
        <v/>
      </c>
      <c r="AM591" s="22"/>
    </row>
    <row r="592" ht="15.75" customHeight="1">
      <c r="A592" s="40" t="str">
        <f t="shared" si="1"/>
        <v/>
      </c>
      <c r="B592" s="40" t="str">
        <f>IF(Bids!$A591="","",Bids!$A591)</f>
        <v/>
      </c>
      <c r="C592" s="40" t="str">
        <f>IF(Bids!$B591="","",Bids!$B591)</f>
        <v/>
      </c>
      <c r="D592" s="40" t="str">
        <f>IF($C592="","",IFERROR(VLOOKUP($C592,Orders!$A$4:$J$998,9,FALSE),""))</f>
        <v/>
      </c>
      <c r="E592" s="40" t="str">
        <f>IF($C592="","",IFERROR(VLOOKUP($C592,Orders!$A$4:$J$998,3,FALSE),""))</f>
        <v/>
      </c>
      <c r="F592" s="40">
        <f t="shared" si="2"/>
        <v>1</v>
      </c>
      <c r="G592" s="40" t="str">
        <f>IF($C592="","",IFERROR(VLOOKUP($C592,Orders!$A$4:$J$998,4,FALSE),""))</f>
        <v/>
      </c>
      <c r="H592" s="40" t="str">
        <f>IF($C592="","",IFERROR(VLOOKUP($C592,Orders!$A$4:$J$998,5,FALSE),""))</f>
        <v/>
      </c>
      <c r="I592" s="40" t="str">
        <f>IF($C592="","",IFERROR(VLOOKUP($C592,Orders!$A$4:$J$998,6,FALSE),""))</f>
        <v/>
      </c>
      <c r="J592" s="40" t="str">
        <f>IF($C592="","",IFERROR(VLOOKUP($C592,Orders!$A$4:$J$998,7,FALSE),""))</f>
        <v/>
      </c>
      <c r="K592" s="40" t="str">
        <f>IF(Bids!$C591="","",Bids!$C591)</f>
        <v/>
      </c>
      <c r="L592" s="40" t="str">
        <f>IF($K592="","",IFERROR(VLOOKUP($K592,Grinders!$A$4:$N$998,2,FALSE),""))</f>
        <v/>
      </c>
      <c r="M592" s="40" t="str">
        <f>IF($K592="","",IFERROR(VLOOKUP($K592,Grinders!$A$4:$N$998,3,FALSE),""))</f>
        <v/>
      </c>
      <c r="N592" s="40" t="str">
        <f>IF($K592="","",IFERROR(VLOOKUP($K592,Grinders!$A$4:$N$998,4,FALSE),""))</f>
        <v/>
      </c>
      <c r="O592" s="40" t="str">
        <f>IF($K592="","",IFERROR(VLOOKUP($K592,Grinders!$A$4:$N$998,5,FALSE),""))</f>
        <v/>
      </c>
      <c r="P592" s="40" t="str">
        <f>IF($K592="","",IF($C$4="",0,COUNTIFS(Assignments!$B$6:$B$1000,$K592,Assignments!$F$6:$F$1000,$C$4,Assignments!$E$6:$E$1000,"Active")))</f>
        <v/>
      </c>
      <c r="Q592" s="40" t="str">
        <f t="shared" si="3"/>
        <v/>
      </c>
      <c r="R592" s="40" t="str">
        <f t="shared" si="4"/>
        <v/>
      </c>
      <c r="S592" s="40" t="str">
        <f>IF($K592="","",IF($C$4="",0,COUNTIFS(Assignments!$B$6:$B$1000,$K592,Assignments!$F$6:$F$1000,$C$4,Assignments!$D$6:$D$1000,"&gt;="&amp;Config!$B$3-7,Assignments!$D$6:$D$1000,"&lt;="&amp;Config!$B$3)))</f>
        <v/>
      </c>
      <c r="T592" s="40" t="str">
        <f>IF($K592="","",IFERROR(VLOOKUP($K592,Grinders!$A$4:$N$998,8,FALSE),""))</f>
        <v/>
      </c>
      <c r="U592" s="40" t="str">
        <f>IFERROR(IF($K592="","",IF($M592="Elite",MAX(50,MIN(100,Config!$B$27*MAX(0,MIN(100,(1-IF($R592="",0,$R592))*100)) + Config!$B$28*MAX(0,MIN(100,(1-MIN(1,IF(Config!$B$30=0,1,$S592/Config!$B$30)))*100)) + Config!$B$29*MAX(0,MIN(100,MIN(1,IF($T592="",0,$T592)/Config!$B$23)*100)))),MIN(100,Config!$B$27*MAX(0,MIN(100,(1-IF($R592="",0,$R592))*100)) + Config!$B$28*MAX(0,MIN(100,(1-MIN(1,IF(Config!$B$30=0,1,$S592/Config!$B$30)))*100)) + Config!$B$29*MAX(0,MIN(100,MIN(1,IF($T592="",0,$T592)/Config!$B$23)*100))))),"")
</f>
        <v/>
      </c>
      <c r="V592" s="40" t="str">
        <f>IF(Bids!$D591="","",Bids!$D591)</f>
        <v/>
      </c>
      <c r="W592" s="40" t="str">
        <f>IF(Bids!$F591="","",Bids!$F591)</f>
        <v/>
      </c>
      <c r="X592" s="40" t="str">
        <f t="shared" si="5"/>
        <v/>
      </c>
      <c r="Y592" s="40" t="str">
        <f>IF($X592="","",IF(Config!$B$17=Config!$B$16,IF($X592&gt;=Config!$B$17,100,0),MAX(0,MIN(100,($X592-Config!$B$16)/(Config!$B$17-Config!$B$16)*100))))</f>
        <v/>
      </c>
      <c r="Z592" s="40">
        <f>IF($M592="Elite",Config!$B$21,0)</f>
        <v>0</v>
      </c>
      <c r="AA592" s="40" t="str">
        <f>IFERROR(IF(OR($W592="",$H592=""),"",IF($W592&gt;$H592,
  MAX(0, 60-(($W592-$H592)*24/Config!$B$19)*60),
  MIN(100, 60+(($H592-$W592)*24/Config!$B$20)*40)
)),"")
</f>
        <v/>
      </c>
      <c r="AB592" s="40" t="str">
        <f>IF($K592="","",IFERROR(VLOOKUP($K592,Grinders!$A$4:$N$998,10,FALSE)/5*100,""))</f>
        <v/>
      </c>
      <c r="AC592" s="40" t="str">
        <f>IF($K592="","",IFERROR(VLOOKUP($K592,Grinders!$A$4:$N$998,11,FALSE)*100,""))</f>
        <v/>
      </c>
      <c r="AD592" s="40" t="str">
        <f>IF($K592="","",IFERROR(VLOOKUP($K592,Grinders!$A$4:$N$998,12,FALSE)*100,""))</f>
        <v/>
      </c>
      <c r="AE592" s="40">
        <f>IFERROR(IFS(
    OR($C592="", $K592=""), 0,
    $F592=0, 0,
    $D592&lt;&gt;"Open", 0,
    COUNTIFS(GrinderServices!$B$4:$B$998, $K592, GrinderServices!$C$4:$C$998, $E592, GrinderServices!$E$4:$E$998, "Y")=0, 0,
    $X592&lt;Config!$B$16, 0,
    Config!$B$18=1, IF($O592&gt;=N592, 0, 1),
    TRUE, 1
), "")
</f>
        <v>0</v>
      </c>
      <c r="AF592" s="40" t="str">
        <f>IFERROR(IF($AE592=0,"",((Config!$B$6*$Y592 + Config!$B$7*$U592 + Config!$B$8*$Z592 + Config!$B$9*$AA592 + Config!$B$10*$AB592 + Config!$B$11*$AC592 - Config!$B$12*$AD592)/Config!$B$13)+$AK592+$AL592),"")</f>
        <v/>
      </c>
      <c r="AG592" s="40" t="str">
        <f t="shared" si="6"/>
        <v/>
      </c>
      <c r="AH592" s="40" t="str">
        <f t="shared" si="7"/>
        <v/>
      </c>
      <c r="AI592" s="40" t="str">
        <f t="shared" si="8"/>
        <v/>
      </c>
      <c r="AJ592" s="40" t="str">
        <f>IF($K592="","",COUNTIF(Assignments!$B$6:$B$1000,$K592))</f>
        <v/>
      </c>
      <c r="AK592" s="40" t="str">
        <f>IF($K592="","",IF(AND($AJ592=0,$O592&lt;$N592),Config!$B$43,0))</f>
        <v/>
      </c>
      <c r="AL592" s="40" t="str">
        <f>IF($K592="","",IF(AND($M592="Elite",$G592&gt;=Config!$B$41,$O592&lt;$N592),Config!$B$42,0))</f>
        <v/>
      </c>
      <c r="AM592" s="22"/>
    </row>
    <row r="593" ht="15.75" customHeight="1">
      <c r="A593" s="40" t="str">
        <f t="shared" si="1"/>
        <v/>
      </c>
      <c r="B593" s="40" t="str">
        <f>IF(Bids!$A592="","",Bids!$A592)</f>
        <v/>
      </c>
      <c r="C593" s="40" t="str">
        <f>IF(Bids!$B592="","",Bids!$B592)</f>
        <v/>
      </c>
      <c r="D593" s="40" t="str">
        <f>IF($C593="","",IFERROR(VLOOKUP($C593,Orders!$A$4:$J$998,9,FALSE),""))</f>
        <v/>
      </c>
      <c r="E593" s="40" t="str">
        <f>IF($C593="","",IFERROR(VLOOKUP($C593,Orders!$A$4:$J$998,3,FALSE),""))</f>
        <v/>
      </c>
      <c r="F593" s="40">
        <f t="shared" si="2"/>
        <v>1</v>
      </c>
      <c r="G593" s="40" t="str">
        <f>IF($C593="","",IFERROR(VLOOKUP($C593,Orders!$A$4:$J$998,4,FALSE),""))</f>
        <v/>
      </c>
      <c r="H593" s="40" t="str">
        <f>IF($C593="","",IFERROR(VLOOKUP($C593,Orders!$A$4:$J$998,5,FALSE),""))</f>
        <v/>
      </c>
      <c r="I593" s="40" t="str">
        <f>IF($C593="","",IFERROR(VLOOKUP($C593,Orders!$A$4:$J$998,6,FALSE),""))</f>
        <v/>
      </c>
      <c r="J593" s="40" t="str">
        <f>IF($C593="","",IFERROR(VLOOKUP($C593,Orders!$A$4:$J$998,7,FALSE),""))</f>
        <v/>
      </c>
      <c r="K593" s="40" t="str">
        <f>IF(Bids!$C592="","",Bids!$C592)</f>
        <v/>
      </c>
      <c r="L593" s="40" t="str">
        <f>IF($K593="","",IFERROR(VLOOKUP($K593,Grinders!$A$4:$N$998,2,FALSE),""))</f>
        <v/>
      </c>
      <c r="M593" s="40" t="str">
        <f>IF($K593="","",IFERROR(VLOOKUP($K593,Grinders!$A$4:$N$998,3,FALSE),""))</f>
        <v/>
      </c>
      <c r="N593" s="40" t="str">
        <f>IF($K593="","",IFERROR(VLOOKUP($K593,Grinders!$A$4:$N$998,4,FALSE),""))</f>
        <v/>
      </c>
      <c r="O593" s="40" t="str">
        <f>IF($K593="","",IFERROR(VLOOKUP($K593,Grinders!$A$4:$N$998,5,FALSE),""))</f>
        <v/>
      </c>
      <c r="P593" s="40" t="str">
        <f>IF($K593="","",IF($C$4="",0,COUNTIFS(Assignments!$B$6:$B$1000,$K593,Assignments!$F$6:$F$1000,$C$4,Assignments!$E$6:$E$1000,"Active")))</f>
        <v/>
      </c>
      <c r="Q593" s="40" t="str">
        <f t="shared" si="3"/>
        <v/>
      </c>
      <c r="R593" s="40" t="str">
        <f t="shared" si="4"/>
        <v/>
      </c>
      <c r="S593" s="40" t="str">
        <f>IF($K593="","",IF($C$4="",0,COUNTIFS(Assignments!$B$6:$B$1000,$K593,Assignments!$F$6:$F$1000,$C$4,Assignments!$D$6:$D$1000,"&gt;="&amp;Config!$B$3-7,Assignments!$D$6:$D$1000,"&lt;="&amp;Config!$B$3)))</f>
        <v/>
      </c>
      <c r="T593" s="40" t="str">
        <f>IF($K593="","",IFERROR(VLOOKUP($K593,Grinders!$A$4:$N$998,8,FALSE),""))</f>
        <v/>
      </c>
      <c r="U593" s="40" t="str">
        <f>IFERROR(IF($K593="","",IF($M593="Elite",MAX(50,MIN(100,Config!$B$27*MAX(0,MIN(100,(1-IF($R593="",0,$R593))*100)) + Config!$B$28*MAX(0,MIN(100,(1-MIN(1,IF(Config!$B$30=0,1,$S593/Config!$B$30)))*100)) + Config!$B$29*MAX(0,MIN(100,MIN(1,IF($T593="",0,$T593)/Config!$B$23)*100)))),MIN(100,Config!$B$27*MAX(0,MIN(100,(1-IF($R593="",0,$R593))*100)) + Config!$B$28*MAX(0,MIN(100,(1-MIN(1,IF(Config!$B$30=0,1,$S593/Config!$B$30)))*100)) + Config!$B$29*MAX(0,MIN(100,MIN(1,IF($T593="",0,$T593)/Config!$B$23)*100))))),"")
</f>
        <v/>
      </c>
      <c r="V593" s="40" t="str">
        <f>IF(Bids!$D592="","",Bids!$D592)</f>
        <v/>
      </c>
      <c r="W593" s="40" t="str">
        <f>IF(Bids!$F592="","",Bids!$F592)</f>
        <v/>
      </c>
      <c r="X593" s="40" t="str">
        <f t="shared" si="5"/>
        <v/>
      </c>
      <c r="Y593" s="40" t="str">
        <f>IF($X593="","",IF(Config!$B$17=Config!$B$16,IF($X593&gt;=Config!$B$17,100,0),MAX(0,MIN(100,($X593-Config!$B$16)/(Config!$B$17-Config!$B$16)*100))))</f>
        <v/>
      </c>
      <c r="Z593" s="40">
        <f>IF($M593="Elite",Config!$B$21,0)</f>
        <v>0</v>
      </c>
      <c r="AA593" s="40" t="str">
        <f>IFERROR(IF(OR($W593="",$H593=""),"",IF($W593&gt;$H593,
  MAX(0, 60-(($W593-$H593)*24/Config!$B$19)*60),
  MIN(100, 60+(($H593-$W593)*24/Config!$B$20)*40)
)),"")
</f>
        <v/>
      </c>
      <c r="AB593" s="40" t="str">
        <f>IF($K593="","",IFERROR(VLOOKUP($K593,Grinders!$A$4:$N$998,10,FALSE)/5*100,""))</f>
        <v/>
      </c>
      <c r="AC593" s="40" t="str">
        <f>IF($K593="","",IFERROR(VLOOKUP($K593,Grinders!$A$4:$N$998,11,FALSE)*100,""))</f>
        <v/>
      </c>
      <c r="AD593" s="40" t="str">
        <f>IF($K593="","",IFERROR(VLOOKUP($K593,Grinders!$A$4:$N$998,12,FALSE)*100,""))</f>
        <v/>
      </c>
      <c r="AE593" s="40">
        <f>IFERROR(IFS(
    OR($C593="", $K593=""), 0,
    $F593=0, 0,
    $D593&lt;&gt;"Open", 0,
    COUNTIFS(GrinderServices!$B$4:$B$998, $K593, GrinderServices!$C$4:$C$998, $E593, GrinderServices!$E$4:$E$998, "Y")=0, 0,
    $X593&lt;Config!$B$16, 0,
    Config!$B$18=1, IF($O593&gt;=N593, 0, 1),
    TRUE, 1
), "")
</f>
        <v>0</v>
      </c>
      <c r="AF593" s="40" t="str">
        <f>IFERROR(IF($AE593=0,"",((Config!$B$6*$Y593 + Config!$B$7*$U593 + Config!$B$8*$Z593 + Config!$B$9*$AA593 + Config!$B$10*$AB593 + Config!$B$11*$AC593 - Config!$B$12*$AD593)/Config!$B$13)+$AK593+$AL593),"")</f>
        <v/>
      </c>
      <c r="AG593" s="40" t="str">
        <f t="shared" si="6"/>
        <v/>
      </c>
      <c r="AH593" s="40" t="str">
        <f t="shared" si="7"/>
        <v/>
      </c>
      <c r="AI593" s="40" t="str">
        <f t="shared" si="8"/>
        <v/>
      </c>
      <c r="AJ593" s="40" t="str">
        <f>IF($K593="","",COUNTIF(Assignments!$B$6:$B$1000,$K593))</f>
        <v/>
      </c>
      <c r="AK593" s="40" t="str">
        <f>IF($K593="","",IF(AND($AJ593=0,$O593&lt;$N593),Config!$B$43,0))</f>
        <v/>
      </c>
      <c r="AL593" s="40" t="str">
        <f>IF($K593="","",IF(AND($M593="Elite",$G593&gt;=Config!$B$41,$O593&lt;$N593),Config!$B$42,0))</f>
        <v/>
      </c>
      <c r="AM593" s="22"/>
    </row>
    <row r="594" ht="15.75" customHeight="1">
      <c r="A594" s="40" t="str">
        <f t="shared" si="1"/>
        <v/>
      </c>
      <c r="B594" s="40" t="str">
        <f>IF(Bids!$A593="","",Bids!$A593)</f>
        <v/>
      </c>
      <c r="C594" s="40" t="str">
        <f>IF(Bids!$B593="","",Bids!$B593)</f>
        <v/>
      </c>
      <c r="D594" s="40" t="str">
        <f>IF($C594="","",IFERROR(VLOOKUP($C594,Orders!$A$4:$J$998,9,FALSE),""))</f>
        <v/>
      </c>
      <c r="E594" s="40" t="str">
        <f>IF($C594="","",IFERROR(VLOOKUP($C594,Orders!$A$4:$J$998,3,FALSE),""))</f>
        <v/>
      </c>
      <c r="F594" s="40">
        <f t="shared" si="2"/>
        <v>1</v>
      </c>
      <c r="G594" s="40" t="str">
        <f>IF($C594="","",IFERROR(VLOOKUP($C594,Orders!$A$4:$J$998,4,FALSE),""))</f>
        <v/>
      </c>
      <c r="H594" s="40" t="str">
        <f>IF($C594="","",IFERROR(VLOOKUP($C594,Orders!$A$4:$J$998,5,FALSE),""))</f>
        <v/>
      </c>
      <c r="I594" s="40" t="str">
        <f>IF($C594="","",IFERROR(VLOOKUP($C594,Orders!$A$4:$J$998,6,FALSE),""))</f>
        <v/>
      </c>
      <c r="J594" s="40" t="str">
        <f>IF($C594="","",IFERROR(VLOOKUP($C594,Orders!$A$4:$J$998,7,FALSE),""))</f>
        <v/>
      </c>
      <c r="K594" s="40" t="str">
        <f>IF(Bids!$C593="","",Bids!$C593)</f>
        <v/>
      </c>
      <c r="L594" s="40" t="str">
        <f>IF($K594="","",IFERROR(VLOOKUP($K594,Grinders!$A$4:$N$998,2,FALSE),""))</f>
        <v/>
      </c>
      <c r="M594" s="40" t="str">
        <f>IF($K594="","",IFERROR(VLOOKUP($K594,Grinders!$A$4:$N$998,3,FALSE),""))</f>
        <v/>
      </c>
      <c r="N594" s="40" t="str">
        <f>IF($K594="","",IFERROR(VLOOKUP($K594,Grinders!$A$4:$N$998,4,FALSE),""))</f>
        <v/>
      </c>
      <c r="O594" s="40" t="str">
        <f>IF($K594="","",IFERROR(VLOOKUP($K594,Grinders!$A$4:$N$998,5,FALSE),""))</f>
        <v/>
      </c>
      <c r="P594" s="40" t="str">
        <f>IF($K594="","",IF($C$4="",0,COUNTIFS(Assignments!$B$6:$B$1000,$K594,Assignments!$F$6:$F$1000,$C$4,Assignments!$E$6:$E$1000,"Active")))</f>
        <v/>
      </c>
      <c r="Q594" s="40" t="str">
        <f t="shared" si="3"/>
        <v/>
      </c>
      <c r="R594" s="40" t="str">
        <f t="shared" si="4"/>
        <v/>
      </c>
      <c r="S594" s="40" t="str">
        <f>IF($K594="","",IF($C$4="",0,COUNTIFS(Assignments!$B$6:$B$1000,$K594,Assignments!$F$6:$F$1000,$C$4,Assignments!$D$6:$D$1000,"&gt;="&amp;Config!$B$3-7,Assignments!$D$6:$D$1000,"&lt;="&amp;Config!$B$3)))</f>
        <v/>
      </c>
      <c r="T594" s="40" t="str">
        <f>IF($K594="","",IFERROR(VLOOKUP($K594,Grinders!$A$4:$N$998,8,FALSE),""))</f>
        <v/>
      </c>
      <c r="U594" s="40" t="str">
        <f>IFERROR(IF($K594="","",IF($M594="Elite",MAX(50,MIN(100,Config!$B$27*MAX(0,MIN(100,(1-IF($R594="",0,$R594))*100)) + Config!$B$28*MAX(0,MIN(100,(1-MIN(1,IF(Config!$B$30=0,1,$S594/Config!$B$30)))*100)) + Config!$B$29*MAX(0,MIN(100,MIN(1,IF($T594="",0,$T594)/Config!$B$23)*100)))),MIN(100,Config!$B$27*MAX(0,MIN(100,(1-IF($R594="",0,$R594))*100)) + Config!$B$28*MAX(0,MIN(100,(1-MIN(1,IF(Config!$B$30=0,1,$S594/Config!$B$30)))*100)) + Config!$B$29*MAX(0,MIN(100,MIN(1,IF($T594="",0,$T594)/Config!$B$23)*100))))),"")
</f>
        <v/>
      </c>
      <c r="V594" s="40" t="str">
        <f>IF(Bids!$D593="","",Bids!$D593)</f>
        <v/>
      </c>
      <c r="W594" s="40" t="str">
        <f>IF(Bids!$F593="","",Bids!$F593)</f>
        <v/>
      </c>
      <c r="X594" s="40" t="str">
        <f t="shared" si="5"/>
        <v/>
      </c>
      <c r="Y594" s="40" t="str">
        <f>IF($X594="","",IF(Config!$B$17=Config!$B$16,IF($X594&gt;=Config!$B$17,100,0),MAX(0,MIN(100,($X594-Config!$B$16)/(Config!$B$17-Config!$B$16)*100))))</f>
        <v/>
      </c>
      <c r="Z594" s="40">
        <f>IF($M594="Elite",Config!$B$21,0)</f>
        <v>0</v>
      </c>
      <c r="AA594" s="40" t="str">
        <f>IFERROR(IF(OR($W594="",$H594=""),"",IF($W594&gt;$H594,
  MAX(0, 60-(($W594-$H594)*24/Config!$B$19)*60),
  MIN(100, 60+(($H594-$W594)*24/Config!$B$20)*40)
)),"")
</f>
        <v/>
      </c>
      <c r="AB594" s="40" t="str">
        <f>IF($K594="","",IFERROR(VLOOKUP($K594,Grinders!$A$4:$N$998,10,FALSE)/5*100,""))</f>
        <v/>
      </c>
      <c r="AC594" s="40" t="str">
        <f>IF($K594="","",IFERROR(VLOOKUP($K594,Grinders!$A$4:$N$998,11,FALSE)*100,""))</f>
        <v/>
      </c>
      <c r="AD594" s="40" t="str">
        <f>IF($K594="","",IFERROR(VLOOKUP($K594,Grinders!$A$4:$N$998,12,FALSE)*100,""))</f>
        <v/>
      </c>
      <c r="AE594" s="40">
        <f>IFERROR(IFS(
    OR($C594="", $K594=""), 0,
    $F594=0, 0,
    $D594&lt;&gt;"Open", 0,
    COUNTIFS(GrinderServices!$B$4:$B$998, $K594, GrinderServices!$C$4:$C$998, $E594, GrinderServices!$E$4:$E$998, "Y")=0, 0,
    $X594&lt;Config!$B$16, 0,
    Config!$B$18=1, IF($O594&gt;=N594, 0, 1),
    TRUE, 1
), "")
</f>
        <v>0</v>
      </c>
      <c r="AF594" s="40" t="str">
        <f>IFERROR(IF($AE594=0,"",((Config!$B$6*$Y594 + Config!$B$7*$U594 + Config!$B$8*$Z594 + Config!$B$9*$AA594 + Config!$B$10*$AB594 + Config!$B$11*$AC594 - Config!$B$12*$AD594)/Config!$B$13)+$AK594+$AL594),"")</f>
        <v/>
      </c>
      <c r="AG594" s="40" t="str">
        <f t="shared" si="6"/>
        <v/>
      </c>
      <c r="AH594" s="40" t="str">
        <f t="shared" si="7"/>
        <v/>
      </c>
      <c r="AI594" s="40" t="str">
        <f t="shared" si="8"/>
        <v/>
      </c>
      <c r="AJ594" s="40" t="str">
        <f>IF($K594="","",COUNTIF(Assignments!$B$6:$B$1000,$K594))</f>
        <v/>
      </c>
      <c r="AK594" s="40" t="str">
        <f>IF($K594="","",IF(AND($AJ594=0,$O594&lt;$N594),Config!$B$43,0))</f>
        <v/>
      </c>
      <c r="AL594" s="40" t="str">
        <f>IF($K594="","",IF(AND($M594="Elite",$G594&gt;=Config!$B$41,$O594&lt;$N594),Config!$B$42,0))</f>
        <v/>
      </c>
      <c r="AM594" s="22"/>
    </row>
    <row r="595" ht="15.75" customHeight="1">
      <c r="A595" s="40" t="str">
        <f t="shared" si="1"/>
        <v/>
      </c>
      <c r="B595" s="40" t="str">
        <f>IF(Bids!$A594="","",Bids!$A594)</f>
        <v/>
      </c>
      <c r="C595" s="40" t="str">
        <f>IF(Bids!$B594="","",Bids!$B594)</f>
        <v/>
      </c>
      <c r="D595" s="40" t="str">
        <f>IF($C595="","",IFERROR(VLOOKUP($C595,Orders!$A$4:$J$998,9,FALSE),""))</f>
        <v/>
      </c>
      <c r="E595" s="40" t="str">
        <f>IF($C595="","",IFERROR(VLOOKUP($C595,Orders!$A$4:$J$998,3,FALSE),""))</f>
        <v/>
      </c>
      <c r="F595" s="40">
        <f t="shared" si="2"/>
        <v>1</v>
      </c>
      <c r="G595" s="40" t="str">
        <f>IF($C595="","",IFERROR(VLOOKUP($C595,Orders!$A$4:$J$998,4,FALSE),""))</f>
        <v/>
      </c>
      <c r="H595" s="40" t="str">
        <f>IF($C595="","",IFERROR(VLOOKUP($C595,Orders!$A$4:$J$998,5,FALSE),""))</f>
        <v/>
      </c>
      <c r="I595" s="40" t="str">
        <f>IF($C595="","",IFERROR(VLOOKUP($C595,Orders!$A$4:$J$998,6,FALSE),""))</f>
        <v/>
      </c>
      <c r="J595" s="40" t="str">
        <f>IF($C595="","",IFERROR(VLOOKUP($C595,Orders!$A$4:$J$998,7,FALSE),""))</f>
        <v/>
      </c>
      <c r="K595" s="40" t="str">
        <f>IF(Bids!$C594="","",Bids!$C594)</f>
        <v/>
      </c>
      <c r="L595" s="40" t="str">
        <f>IF($K595="","",IFERROR(VLOOKUP($K595,Grinders!$A$4:$N$998,2,FALSE),""))</f>
        <v/>
      </c>
      <c r="M595" s="40" t="str">
        <f>IF($K595="","",IFERROR(VLOOKUP($K595,Grinders!$A$4:$N$998,3,FALSE),""))</f>
        <v/>
      </c>
      <c r="N595" s="40" t="str">
        <f>IF($K595="","",IFERROR(VLOOKUP($K595,Grinders!$A$4:$N$998,4,FALSE),""))</f>
        <v/>
      </c>
      <c r="O595" s="40" t="str">
        <f>IF($K595="","",IFERROR(VLOOKUP($K595,Grinders!$A$4:$N$998,5,FALSE),""))</f>
        <v/>
      </c>
      <c r="P595" s="40" t="str">
        <f>IF($K595="","",IF($C$4="",0,COUNTIFS(Assignments!$B$6:$B$1000,$K595,Assignments!$F$6:$F$1000,$C$4,Assignments!$E$6:$E$1000,"Active")))</f>
        <v/>
      </c>
      <c r="Q595" s="40" t="str">
        <f t="shared" si="3"/>
        <v/>
      </c>
      <c r="R595" s="40" t="str">
        <f t="shared" si="4"/>
        <v/>
      </c>
      <c r="S595" s="40" t="str">
        <f>IF($K595="","",IF($C$4="",0,COUNTIFS(Assignments!$B$6:$B$1000,$K595,Assignments!$F$6:$F$1000,$C$4,Assignments!$D$6:$D$1000,"&gt;="&amp;Config!$B$3-7,Assignments!$D$6:$D$1000,"&lt;="&amp;Config!$B$3)))</f>
        <v/>
      </c>
      <c r="T595" s="40" t="str">
        <f>IF($K595="","",IFERROR(VLOOKUP($K595,Grinders!$A$4:$N$998,8,FALSE),""))</f>
        <v/>
      </c>
      <c r="U595" s="40" t="str">
        <f>IFERROR(IF($K595="","",IF($M595="Elite",MAX(50,MIN(100,Config!$B$27*MAX(0,MIN(100,(1-IF($R595="",0,$R595))*100)) + Config!$B$28*MAX(0,MIN(100,(1-MIN(1,IF(Config!$B$30=0,1,$S595/Config!$B$30)))*100)) + Config!$B$29*MAX(0,MIN(100,MIN(1,IF($T595="",0,$T595)/Config!$B$23)*100)))),MIN(100,Config!$B$27*MAX(0,MIN(100,(1-IF($R595="",0,$R595))*100)) + Config!$B$28*MAX(0,MIN(100,(1-MIN(1,IF(Config!$B$30=0,1,$S595/Config!$B$30)))*100)) + Config!$B$29*MAX(0,MIN(100,MIN(1,IF($T595="",0,$T595)/Config!$B$23)*100))))),"")
</f>
        <v/>
      </c>
      <c r="V595" s="40" t="str">
        <f>IF(Bids!$D594="","",Bids!$D594)</f>
        <v/>
      </c>
      <c r="W595" s="40" t="str">
        <f>IF(Bids!$F594="","",Bids!$F594)</f>
        <v/>
      </c>
      <c r="X595" s="40" t="str">
        <f t="shared" si="5"/>
        <v/>
      </c>
      <c r="Y595" s="40" t="str">
        <f>IF($X595="","",IF(Config!$B$17=Config!$B$16,IF($X595&gt;=Config!$B$17,100,0),MAX(0,MIN(100,($X595-Config!$B$16)/(Config!$B$17-Config!$B$16)*100))))</f>
        <v/>
      </c>
      <c r="Z595" s="40">
        <f>IF($M595="Elite",Config!$B$21,0)</f>
        <v>0</v>
      </c>
      <c r="AA595" s="40" t="str">
        <f>IFERROR(IF(OR($W595="",$H595=""),"",IF($W595&gt;$H595,
  MAX(0, 60-(($W595-$H595)*24/Config!$B$19)*60),
  MIN(100, 60+(($H595-$W595)*24/Config!$B$20)*40)
)),"")
</f>
        <v/>
      </c>
      <c r="AB595" s="40" t="str">
        <f>IF($K595="","",IFERROR(VLOOKUP($K595,Grinders!$A$4:$N$998,10,FALSE)/5*100,""))</f>
        <v/>
      </c>
      <c r="AC595" s="40" t="str">
        <f>IF($K595="","",IFERROR(VLOOKUP($K595,Grinders!$A$4:$N$998,11,FALSE)*100,""))</f>
        <v/>
      </c>
      <c r="AD595" s="40" t="str">
        <f>IF($K595="","",IFERROR(VLOOKUP($K595,Grinders!$A$4:$N$998,12,FALSE)*100,""))</f>
        <v/>
      </c>
      <c r="AE595" s="40">
        <f>IFERROR(IFS(
    OR($C595="", $K595=""), 0,
    $F595=0, 0,
    $D595&lt;&gt;"Open", 0,
    COUNTIFS(GrinderServices!$B$4:$B$998, $K595, GrinderServices!$C$4:$C$998, $E595, GrinderServices!$E$4:$E$998, "Y")=0, 0,
    $X595&lt;Config!$B$16, 0,
    Config!$B$18=1, IF($O595&gt;=N595, 0, 1),
    TRUE, 1
), "")
</f>
        <v>0</v>
      </c>
      <c r="AF595" s="40" t="str">
        <f>IFERROR(IF($AE595=0,"",((Config!$B$6*$Y595 + Config!$B$7*$U595 + Config!$B$8*$Z595 + Config!$B$9*$AA595 + Config!$B$10*$AB595 + Config!$B$11*$AC595 - Config!$B$12*$AD595)/Config!$B$13)+$AK595+$AL595),"")</f>
        <v/>
      </c>
      <c r="AG595" s="40" t="str">
        <f t="shared" si="6"/>
        <v/>
      </c>
      <c r="AH595" s="40" t="str">
        <f t="shared" si="7"/>
        <v/>
      </c>
      <c r="AI595" s="40" t="str">
        <f t="shared" si="8"/>
        <v/>
      </c>
      <c r="AJ595" s="40" t="str">
        <f>IF($K595="","",COUNTIF(Assignments!$B$6:$B$1000,$K595))</f>
        <v/>
      </c>
      <c r="AK595" s="40" t="str">
        <f>IF($K595="","",IF(AND($AJ595=0,$O595&lt;$N595),Config!$B$43,0))</f>
        <v/>
      </c>
      <c r="AL595" s="40" t="str">
        <f>IF($K595="","",IF(AND($M595="Elite",$G595&gt;=Config!$B$41,$O595&lt;$N595),Config!$B$42,0))</f>
        <v/>
      </c>
      <c r="AM595" s="22"/>
    </row>
    <row r="596" ht="15.75" customHeight="1">
      <c r="A596" s="40" t="str">
        <f t="shared" si="1"/>
        <v/>
      </c>
      <c r="B596" s="40" t="str">
        <f>IF(Bids!$A595="","",Bids!$A595)</f>
        <v/>
      </c>
      <c r="C596" s="40" t="str">
        <f>IF(Bids!$B595="","",Bids!$B595)</f>
        <v/>
      </c>
      <c r="D596" s="40" t="str">
        <f>IF($C596="","",IFERROR(VLOOKUP($C596,Orders!$A$4:$J$998,9,FALSE),""))</f>
        <v/>
      </c>
      <c r="E596" s="40" t="str">
        <f>IF($C596="","",IFERROR(VLOOKUP($C596,Orders!$A$4:$J$998,3,FALSE),""))</f>
        <v/>
      </c>
      <c r="F596" s="40">
        <f t="shared" si="2"/>
        <v>1</v>
      </c>
      <c r="G596" s="40" t="str">
        <f>IF($C596="","",IFERROR(VLOOKUP($C596,Orders!$A$4:$J$998,4,FALSE),""))</f>
        <v/>
      </c>
      <c r="H596" s="40" t="str">
        <f>IF($C596="","",IFERROR(VLOOKUP($C596,Orders!$A$4:$J$998,5,FALSE),""))</f>
        <v/>
      </c>
      <c r="I596" s="40" t="str">
        <f>IF($C596="","",IFERROR(VLOOKUP($C596,Orders!$A$4:$J$998,6,FALSE),""))</f>
        <v/>
      </c>
      <c r="J596" s="40" t="str">
        <f>IF($C596="","",IFERROR(VLOOKUP($C596,Orders!$A$4:$J$998,7,FALSE),""))</f>
        <v/>
      </c>
      <c r="K596" s="40" t="str">
        <f>IF(Bids!$C595="","",Bids!$C595)</f>
        <v/>
      </c>
      <c r="L596" s="40" t="str">
        <f>IF($K596="","",IFERROR(VLOOKUP($K596,Grinders!$A$4:$N$998,2,FALSE),""))</f>
        <v/>
      </c>
      <c r="M596" s="40" t="str">
        <f>IF($K596="","",IFERROR(VLOOKUP($K596,Grinders!$A$4:$N$998,3,FALSE),""))</f>
        <v/>
      </c>
      <c r="N596" s="40" t="str">
        <f>IF($K596="","",IFERROR(VLOOKUP($K596,Grinders!$A$4:$N$998,4,FALSE),""))</f>
        <v/>
      </c>
      <c r="O596" s="40" t="str">
        <f>IF($K596="","",IFERROR(VLOOKUP($K596,Grinders!$A$4:$N$998,5,FALSE),""))</f>
        <v/>
      </c>
      <c r="P596" s="40" t="str">
        <f>IF($K596="","",IF($C$4="",0,COUNTIFS(Assignments!$B$6:$B$1000,$K596,Assignments!$F$6:$F$1000,$C$4,Assignments!$E$6:$E$1000,"Active")))</f>
        <v/>
      </c>
      <c r="Q596" s="40" t="str">
        <f t="shared" si="3"/>
        <v/>
      </c>
      <c r="R596" s="40" t="str">
        <f t="shared" si="4"/>
        <v/>
      </c>
      <c r="S596" s="40" t="str">
        <f>IF($K596="","",IF($C$4="",0,COUNTIFS(Assignments!$B$6:$B$1000,$K596,Assignments!$F$6:$F$1000,$C$4,Assignments!$D$6:$D$1000,"&gt;="&amp;Config!$B$3-7,Assignments!$D$6:$D$1000,"&lt;="&amp;Config!$B$3)))</f>
        <v/>
      </c>
      <c r="T596" s="40" t="str">
        <f>IF($K596="","",IFERROR(VLOOKUP($K596,Grinders!$A$4:$N$998,8,FALSE),""))</f>
        <v/>
      </c>
      <c r="U596" s="40" t="str">
        <f>IFERROR(IF($K596="","",IF($M596="Elite",MAX(50,MIN(100,Config!$B$27*MAX(0,MIN(100,(1-IF($R596="",0,$R596))*100)) + Config!$B$28*MAX(0,MIN(100,(1-MIN(1,IF(Config!$B$30=0,1,$S596/Config!$B$30)))*100)) + Config!$B$29*MAX(0,MIN(100,MIN(1,IF($T596="",0,$T596)/Config!$B$23)*100)))),MIN(100,Config!$B$27*MAX(0,MIN(100,(1-IF($R596="",0,$R596))*100)) + Config!$B$28*MAX(0,MIN(100,(1-MIN(1,IF(Config!$B$30=0,1,$S596/Config!$B$30)))*100)) + Config!$B$29*MAX(0,MIN(100,MIN(1,IF($T596="",0,$T596)/Config!$B$23)*100))))),"")
</f>
        <v/>
      </c>
      <c r="V596" s="40" t="str">
        <f>IF(Bids!$D595="","",Bids!$D595)</f>
        <v/>
      </c>
      <c r="W596" s="40" t="str">
        <f>IF(Bids!$F595="","",Bids!$F595)</f>
        <v/>
      </c>
      <c r="X596" s="40" t="str">
        <f t="shared" si="5"/>
        <v/>
      </c>
      <c r="Y596" s="40" t="str">
        <f>IF($X596="","",IF(Config!$B$17=Config!$B$16,IF($X596&gt;=Config!$B$17,100,0),MAX(0,MIN(100,($X596-Config!$B$16)/(Config!$B$17-Config!$B$16)*100))))</f>
        <v/>
      </c>
      <c r="Z596" s="40">
        <f>IF($M596="Elite",Config!$B$21,0)</f>
        <v>0</v>
      </c>
      <c r="AA596" s="40" t="str">
        <f>IFERROR(IF(OR($W596="",$H596=""),"",IF($W596&gt;$H596,
  MAX(0, 60-(($W596-$H596)*24/Config!$B$19)*60),
  MIN(100, 60+(($H596-$W596)*24/Config!$B$20)*40)
)),"")
</f>
        <v/>
      </c>
      <c r="AB596" s="40" t="str">
        <f>IF($K596="","",IFERROR(VLOOKUP($K596,Grinders!$A$4:$N$998,10,FALSE)/5*100,""))</f>
        <v/>
      </c>
      <c r="AC596" s="40" t="str">
        <f>IF($K596="","",IFERROR(VLOOKUP($K596,Grinders!$A$4:$N$998,11,FALSE)*100,""))</f>
        <v/>
      </c>
      <c r="AD596" s="40" t="str">
        <f>IF($K596="","",IFERROR(VLOOKUP($K596,Grinders!$A$4:$N$998,12,FALSE)*100,""))</f>
        <v/>
      </c>
      <c r="AE596" s="40">
        <f>IFERROR(IFS(
    OR($C596="", $K596=""), 0,
    $F596=0, 0,
    $D596&lt;&gt;"Open", 0,
    COUNTIFS(GrinderServices!$B$4:$B$998, $K596, GrinderServices!$C$4:$C$998, $E596, GrinderServices!$E$4:$E$998, "Y")=0, 0,
    $X596&lt;Config!$B$16, 0,
    Config!$B$18=1, IF($O596&gt;=N596, 0, 1),
    TRUE, 1
), "")
</f>
        <v>0</v>
      </c>
      <c r="AF596" s="40" t="str">
        <f>IFERROR(IF($AE596=0,"",((Config!$B$6*$Y596 + Config!$B$7*$U596 + Config!$B$8*$Z596 + Config!$B$9*$AA596 + Config!$B$10*$AB596 + Config!$B$11*$AC596 - Config!$B$12*$AD596)/Config!$B$13)+$AK596+$AL596),"")</f>
        <v/>
      </c>
      <c r="AG596" s="40" t="str">
        <f t="shared" si="6"/>
        <v/>
      </c>
      <c r="AH596" s="40" t="str">
        <f t="shared" si="7"/>
        <v/>
      </c>
      <c r="AI596" s="40" t="str">
        <f t="shared" si="8"/>
        <v/>
      </c>
      <c r="AJ596" s="40" t="str">
        <f>IF($K596="","",COUNTIF(Assignments!$B$6:$B$1000,$K596))</f>
        <v/>
      </c>
      <c r="AK596" s="40" t="str">
        <f>IF($K596="","",IF(AND($AJ596=0,$O596&lt;$N596),Config!$B$43,0))</f>
        <v/>
      </c>
      <c r="AL596" s="40" t="str">
        <f>IF($K596="","",IF(AND($M596="Elite",$G596&gt;=Config!$B$41,$O596&lt;$N596),Config!$B$42,0))</f>
        <v/>
      </c>
      <c r="AM596" s="22"/>
    </row>
    <row r="597" ht="15.75" customHeight="1">
      <c r="A597" s="40" t="str">
        <f t="shared" si="1"/>
        <v/>
      </c>
      <c r="B597" s="40" t="str">
        <f>IF(Bids!$A596="","",Bids!$A596)</f>
        <v/>
      </c>
      <c r="C597" s="40" t="str">
        <f>IF(Bids!$B596="","",Bids!$B596)</f>
        <v/>
      </c>
      <c r="D597" s="40" t="str">
        <f>IF($C597="","",IFERROR(VLOOKUP($C597,Orders!$A$4:$J$998,9,FALSE),""))</f>
        <v/>
      </c>
      <c r="E597" s="40" t="str">
        <f>IF($C597="","",IFERROR(VLOOKUP($C597,Orders!$A$4:$J$998,3,FALSE),""))</f>
        <v/>
      </c>
      <c r="F597" s="40">
        <f t="shared" si="2"/>
        <v>1</v>
      </c>
      <c r="G597" s="40" t="str">
        <f>IF($C597="","",IFERROR(VLOOKUP($C597,Orders!$A$4:$J$998,4,FALSE),""))</f>
        <v/>
      </c>
      <c r="H597" s="40" t="str">
        <f>IF($C597="","",IFERROR(VLOOKUP($C597,Orders!$A$4:$J$998,5,FALSE),""))</f>
        <v/>
      </c>
      <c r="I597" s="40" t="str">
        <f>IF($C597="","",IFERROR(VLOOKUP($C597,Orders!$A$4:$J$998,6,FALSE),""))</f>
        <v/>
      </c>
      <c r="J597" s="40" t="str">
        <f>IF($C597="","",IFERROR(VLOOKUP($C597,Orders!$A$4:$J$998,7,FALSE),""))</f>
        <v/>
      </c>
      <c r="K597" s="40" t="str">
        <f>IF(Bids!$C596="","",Bids!$C596)</f>
        <v/>
      </c>
      <c r="L597" s="40" t="str">
        <f>IF($K597="","",IFERROR(VLOOKUP($K597,Grinders!$A$4:$N$998,2,FALSE),""))</f>
        <v/>
      </c>
      <c r="M597" s="40" t="str">
        <f>IF($K597="","",IFERROR(VLOOKUP($K597,Grinders!$A$4:$N$998,3,FALSE),""))</f>
        <v/>
      </c>
      <c r="N597" s="40" t="str">
        <f>IF($K597="","",IFERROR(VLOOKUP($K597,Grinders!$A$4:$N$998,4,FALSE),""))</f>
        <v/>
      </c>
      <c r="O597" s="40" t="str">
        <f>IF($K597="","",IFERROR(VLOOKUP($K597,Grinders!$A$4:$N$998,5,FALSE),""))</f>
        <v/>
      </c>
      <c r="P597" s="40" t="str">
        <f>IF($K597="","",IF($C$4="",0,COUNTIFS(Assignments!$B$6:$B$1000,$K597,Assignments!$F$6:$F$1000,$C$4,Assignments!$E$6:$E$1000,"Active")))</f>
        <v/>
      </c>
      <c r="Q597" s="40" t="str">
        <f t="shared" si="3"/>
        <v/>
      </c>
      <c r="R597" s="40" t="str">
        <f t="shared" si="4"/>
        <v/>
      </c>
      <c r="S597" s="40" t="str">
        <f>IF($K597="","",IF($C$4="",0,COUNTIFS(Assignments!$B$6:$B$1000,$K597,Assignments!$F$6:$F$1000,$C$4,Assignments!$D$6:$D$1000,"&gt;="&amp;Config!$B$3-7,Assignments!$D$6:$D$1000,"&lt;="&amp;Config!$B$3)))</f>
        <v/>
      </c>
      <c r="T597" s="40" t="str">
        <f>IF($K597="","",IFERROR(VLOOKUP($K597,Grinders!$A$4:$N$998,8,FALSE),""))</f>
        <v/>
      </c>
      <c r="U597" s="40" t="str">
        <f>IFERROR(IF($K597="","",IF($M597="Elite",MAX(50,MIN(100,Config!$B$27*MAX(0,MIN(100,(1-IF($R597="",0,$R597))*100)) + Config!$B$28*MAX(0,MIN(100,(1-MIN(1,IF(Config!$B$30=0,1,$S597/Config!$B$30)))*100)) + Config!$B$29*MAX(0,MIN(100,MIN(1,IF($T597="",0,$T597)/Config!$B$23)*100)))),MIN(100,Config!$B$27*MAX(0,MIN(100,(1-IF($R597="",0,$R597))*100)) + Config!$B$28*MAX(0,MIN(100,(1-MIN(1,IF(Config!$B$30=0,1,$S597/Config!$B$30)))*100)) + Config!$B$29*MAX(0,MIN(100,MIN(1,IF($T597="",0,$T597)/Config!$B$23)*100))))),"")
</f>
        <v/>
      </c>
      <c r="V597" s="40" t="str">
        <f>IF(Bids!$D596="","",Bids!$D596)</f>
        <v/>
      </c>
      <c r="W597" s="40" t="str">
        <f>IF(Bids!$F596="","",Bids!$F596)</f>
        <v/>
      </c>
      <c r="X597" s="40" t="str">
        <f t="shared" si="5"/>
        <v/>
      </c>
      <c r="Y597" s="40" t="str">
        <f>IF($X597="","",IF(Config!$B$17=Config!$B$16,IF($X597&gt;=Config!$B$17,100,0),MAX(0,MIN(100,($X597-Config!$B$16)/(Config!$B$17-Config!$B$16)*100))))</f>
        <v/>
      </c>
      <c r="Z597" s="40">
        <f>IF($M597="Elite",Config!$B$21,0)</f>
        <v>0</v>
      </c>
      <c r="AA597" s="40" t="str">
        <f>IFERROR(IF(OR($W597="",$H597=""),"",IF($W597&gt;$H597,
  MAX(0, 60-(($W597-$H597)*24/Config!$B$19)*60),
  MIN(100, 60+(($H597-$W597)*24/Config!$B$20)*40)
)),"")
</f>
        <v/>
      </c>
      <c r="AB597" s="40" t="str">
        <f>IF($K597="","",IFERROR(VLOOKUP($K597,Grinders!$A$4:$N$998,10,FALSE)/5*100,""))</f>
        <v/>
      </c>
      <c r="AC597" s="40" t="str">
        <f>IF($K597="","",IFERROR(VLOOKUP($K597,Grinders!$A$4:$N$998,11,FALSE)*100,""))</f>
        <v/>
      </c>
      <c r="AD597" s="40" t="str">
        <f>IF($K597="","",IFERROR(VLOOKUP($K597,Grinders!$A$4:$N$998,12,FALSE)*100,""))</f>
        <v/>
      </c>
      <c r="AE597" s="40">
        <f>IFERROR(IFS(
    OR($C597="", $K597=""), 0,
    $F597=0, 0,
    $D597&lt;&gt;"Open", 0,
    COUNTIFS(GrinderServices!$B$4:$B$998, $K597, GrinderServices!$C$4:$C$998, $E597, GrinderServices!$E$4:$E$998, "Y")=0, 0,
    $X597&lt;Config!$B$16, 0,
    Config!$B$18=1, IF($O597&gt;=N597, 0, 1),
    TRUE, 1
), "")
</f>
        <v>0</v>
      </c>
      <c r="AF597" s="40" t="str">
        <f>IFERROR(IF($AE597=0,"",((Config!$B$6*$Y597 + Config!$B$7*$U597 + Config!$B$8*$Z597 + Config!$B$9*$AA597 + Config!$B$10*$AB597 + Config!$B$11*$AC597 - Config!$B$12*$AD597)/Config!$B$13)+$AK597+$AL597),"")</f>
        <v/>
      </c>
      <c r="AG597" s="40" t="str">
        <f t="shared" si="6"/>
        <v/>
      </c>
      <c r="AH597" s="40" t="str">
        <f t="shared" si="7"/>
        <v/>
      </c>
      <c r="AI597" s="40" t="str">
        <f t="shared" si="8"/>
        <v/>
      </c>
      <c r="AJ597" s="40" t="str">
        <f>IF($K597="","",COUNTIF(Assignments!$B$6:$B$1000,$K597))</f>
        <v/>
      </c>
      <c r="AK597" s="40" t="str">
        <f>IF($K597="","",IF(AND($AJ597=0,$O597&lt;$N597),Config!$B$43,0))</f>
        <v/>
      </c>
      <c r="AL597" s="40" t="str">
        <f>IF($K597="","",IF(AND($M597="Elite",$G597&gt;=Config!$B$41,$O597&lt;$N597),Config!$B$42,0))</f>
        <v/>
      </c>
      <c r="AM597" s="22"/>
    </row>
    <row r="598" ht="15.75" customHeight="1">
      <c r="A598" s="40" t="str">
        <f t="shared" si="1"/>
        <v/>
      </c>
      <c r="B598" s="40" t="str">
        <f>IF(Bids!$A597="","",Bids!$A597)</f>
        <v/>
      </c>
      <c r="C598" s="40" t="str">
        <f>IF(Bids!$B597="","",Bids!$B597)</f>
        <v/>
      </c>
      <c r="D598" s="40" t="str">
        <f>IF($C598="","",IFERROR(VLOOKUP($C598,Orders!$A$4:$J$998,9,FALSE),""))</f>
        <v/>
      </c>
      <c r="E598" s="40" t="str">
        <f>IF($C598="","",IFERROR(VLOOKUP($C598,Orders!$A$4:$J$998,3,FALSE),""))</f>
        <v/>
      </c>
      <c r="F598" s="40">
        <f t="shared" si="2"/>
        <v>1</v>
      </c>
      <c r="G598" s="40" t="str">
        <f>IF($C598="","",IFERROR(VLOOKUP($C598,Orders!$A$4:$J$998,4,FALSE),""))</f>
        <v/>
      </c>
      <c r="H598" s="40" t="str">
        <f>IF($C598="","",IFERROR(VLOOKUP($C598,Orders!$A$4:$J$998,5,FALSE),""))</f>
        <v/>
      </c>
      <c r="I598" s="40" t="str">
        <f>IF($C598="","",IFERROR(VLOOKUP($C598,Orders!$A$4:$J$998,6,FALSE),""))</f>
        <v/>
      </c>
      <c r="J598" s="40" t="str">
        <f>IF($C598="","",IFERROR(VLOOKUP($C598,Orders!$A$4:$J$998,7,FALSE),""))</f>
        <v/>
      </c>
      <c r="K598" s="40" t="str">
        <f>IF(Bids!$C597="","",Bids!$C597)</f>
        <v/>
      </c>
      <c r="L598" s="40" t="str">
        <f>IF($K598="","",IFERROR(VLOOKUP($K598,Grinders!$A$4:$N$998,2,FALSE),""))</f>
        <v/>
      </c>
      <c r="M598" s="40" t="str">
        <f>IF($K598="","",IFERROR(VLOOKUP($K598,Grinders!$A$4:$N$998,3,FALSE),""))</f>
        <v/>
      </c>
      <c r="N598" s="40" t="str">
        <f>IF($K598="","",IFERROR(VLOOKUP($K598,Grinders!$A$4:$N$998,4,FALSE),""))</f>
        <v/>
      </c>
      <c r="O598" s="40" t="str">
        <f>IF($K598="","",IFERROR(VLOOKUP($K598,Grinders!$A$4:$N$998,5,FALSE),""))</f>
        <v/>
      </c>
      <c r="P598" s="40" t="str">
        <f>IF($K598="","",IF($C$4="",0,COUNTIFS(Assignments!$B$6:$B$1000,$K598,Assignments!$F$6:$F$1000,$C$4,Assignments!$E$6:$E$1000,"Active")))</f>
        <v/>
      </c>
      <c r="Q598" s="40" t="str">
        <f t="shared" si="3"/>
        <v/>
      </c>
      <c r="R598" s="40" t="str">
        <f t="shared" si="4"/>
        <v/>
      </c>
      <c r="S598" s="40" t="str">
        <f>IF($K598="","",IF($C$4="",0,COUNTIFS(Assignments!$B$6:$B$1000,$K598,Assignments!$F$6:$F$1000,$C$4,Assignments!$D$6:$D$1000,"&gt;="&amp;Config!$B$3-7,Assignments!$D$6:$D$1000,"&lt;="&amp;Config!$B$3)))</f>
        <v/>
      </c>
      <c r="T598" s="40" t="str">
        <f>IF($K598="","",IFERROR(VLOOKUP($K598,Grinders!$A$4:$N$998,8,FALSE),""))</f>
        <v/>
      </c>
      <c r="U598" s="40" t="str">
        <f>IFERROR(IF($K598="","",IF($M598="Elite",MAX(50,MIN(100,Config!$B$27*MAX(0,MIN(100,(1-IF($R598="",0,$R598))*100)) + Config!$B$28*MAX(0,MIN(100,(1-MIN(1,IF(Config!$B$30=0,1,$S598/Config!$B$30)))*100)) + Config!$B$29*MAX(0,MIN(100,MIN(1,IF($T598="",0,$T598)/Config!$B$23)*100)))),MIN(100,Config!$B$27*MAX(0,MIN(100,(1-IF($R598="",0,$R598))*100)) + Config!$B$28*MAX(0,MIN(100,(1-MIN(1,IF(Config!$B$30=0,1,$S598/Config!$B$30)))*100)) + Config!$B$29*MAX(0,MIN(100,MIN(1,IF($T598="",0,$T598)/Config!$B$23)*100))))),"")
</f>
        <v/>
      </c>
      <c r="V598" s="40" t="str">
        <f>IF(Bids!$D597="","",Bids!$D597)</f>
        <v/>
      </c>
      <c r="W598" s="40" t="str">
        <f>IF(Bids!$F597="","",Bids!$F597)</f>
        <v/>
      </c>
      <c r="X598" s="40" t="str">
        <f t="shared" si="5"/>
        <v/>
      </c>
      <c r="Y598" s="40" t="str">
        <f>IF($X598="","",IF(Config!$B$17=Config!$B$16,IF($X598&gt;=Config!$B$17,100,0),MAX(0,MIN(100,($X598-Config!$B$16)/(Config!$B$17-Config!$B$16)*100))))</f>
        <v/>
      </c>
      <c r="Z598" s="40">
        <f>IF($M598="Elite",Config!$B$21,0)</f>
        <v>0</v>
      </c>
      <c r="AA598" s="40" t="str">
        <f>IFERROR(IF(OR($W598="",$H598=""),"",IF($W598&gt;$H598,
  MAX(0, 60-(($W598-$H598)*24/Config!$B$19)*60),
  MIN(100, 60+(($H598-$W598)*24/Config!$B$20)*40)
)),"")
</f>
        <v/>
      </c>
      <c r="AB598" s="40" t="str">
        <f>IF($K598="","",IFERROR(VLOOKUP($K598,Grinders!$A$4:$N$998,10,FALSE)/5*100,""))</f>
        <v/>
      </c>
      <c r="AC598" s="40" t="str">
        <f>IF($K598="","",IFERROR(VLOOKUP($K598,Grinders!$A$4:$N$998,11,FALSE)*100,""))</f>
        <v/>
      </c>
      <c r="AD598" s="40" t="str">
        <f>IF($K598="","",IFERROR(VLOOKUP($K598,Grinders!$A$4:$N$998,12,FALSE)*100,""))</f>
        <v/>
      </c>
      <c r="AE598" s="40">
        <f>IFERROR(IFS(
    OR($C598="", $K598=""), 0,
    $F598=0, 0,
    $D598&lt;&gt;"Open", 0,
    COUNTIFS(GrinderServices!$B$4:$B$998, $K598, GrinderServices!$C$4:$C$998, $E598, GrinderServices!$E$4:$E$998, "Y")=0, 0,
    $X598&lt;Config!$B$16, 0,
    Config!$B$18=1, IF($O598&gt;=N598, 0, 1),
    TRUE, 1
), "")
</f>
        <v>0</v>
      </c>
      <c r="AF598" s="40" t="str">
        <f>IFERROR(IF($AE598=0,"",((Config!$B$6*$Y598 + Config!$B$7*$U598 + Config!$B$8*$Z598 + Config!$B$9*$AA598 + Config!$B$10*$AB598 + Config!$B$11*$AC598 - Config!$B$12*$AD598)/Config!$B$13)+$AK598+$AL598),"")</f>
        <v/>
      </c>
      <c r="AG598" s="40" t="str">
        <f t="shared" si="6"/>
        <v/>
      </c>
      <c r="AH598" s="40" t="str">
        <f t="shared" si="7"/>
        <v/>
      </c>
      <c r="AI598" s="40" t="str">
        <f t="shared" si="8"/>
        <v/>
      </c>
      <c r="AJ598" s="40" t="str">
        <f>IF($K598="","",COUNTIF(Assignments!$B$6:$B$1000,$K598))</f>
        <v/>
      </c>
      <c r="AK598" s="40" t="str">
        <f>IF($K598="","",IF(AND($AJ598=0,$O598&lt;$N598),Config!$B$43,0))</f>
        <v/>
      </c>
      <c r="AL598" s="40" t="str">
        <f>IF($K598="","",IF(AND($M598="Elite",$G598&gt;=Config!$B$41,$O598&lt;$N598),Config!$B$42,0))</f>
        <v/>
      </c>
      <c r="AM598" s="22"/>
    </row>
    <row r="599" ht="15.75" customHeight="1">
      <c r="A599" s="40" t="str">
        <f t="shared" si="1"/>
        <v/>
      </c>
      <c r="B599" s="40" t="str">
        <f>IF(Bids!$A598="","",Bids!$A598)</f>
        <v/>
      </c>
      <c r="C599" s="40" t="str">
        <f>IF(Bids!$B598="","",Bids!$B598)</f>
        <v/>
      </c>
      <c r="D599" s="40" t="str">
        <f>IF($C599="","",IFERROR(VLOOKUP($C599,Orders!$A$4:$J$998,9,FALSE),""))</f>
        <v/>
      </c>
      <c r="E599" s="40" t="str">
        <f>IF($C599="","",IFERROR(VLOOKUP($C599,Orders!$A$4:$J$998,3,FALSE),""))</f>
        <v/>
      </c>
      <c r="F599" s="40">
        <f t="shared" si="2"/>
        <v>1</v>
      </c>
      <c r="G599" s="40" t="str">
        <f>IF($C599="","",IFERROR(VLOOKUP($C599,Orders!$A$4:$J$998,4,FALSE),""))</f>
        <v/>
      </c>
      <c r="H599" s="40" t="str">
        <f>IF($C599="","",IFERROR(VLOOKUP($C599,Orders!$A$4:$J$998,5,FALSE),""))</f>
        <v/>
      </c>
      <c r="I599" s="40" t="str">
        <f>IF($C599="","",IFERROR(VLOOKUP($C599,Orders!$A$4:$J$998,6,FALSE),""))</f>
        <v/>
      </c>
      <c r="J599" s="40" t="str">
        <f>IF($C599="","",IFERROR(VLOOKUP($C599,Orders!$A$4:$J$998,7,FALSE),""))</f>
        <v/>
      </c>
      <c r="K599" s="40" t="str">
        <f>IF(Bids!$C598="","",Bids!$C598)</f>
        <v/>
      </c>
      <c r="L599" s="40" t="str">
        <f>IF($K599="","",IFERROR(VLOOKUP($K599,Grinders!$A$4:$N$998,2,FALSE),""))</f>
        <v/>
      </c>
      <c r="M599" s="40" t="str">
        <f>IF($K599="","",IFERROR(VLOOKUP($K599,Grinders!$A$4:$N$998,3,FALSE),""))</f>
        <v/>
      </c>
      <c r="N599" s="40" t="str">
        <f>IF($K599="","",IFERROR(VLOOKUP($K599,Grinders!$A$4:$N$998,4,FALSE),""))</f>
        <v/>
      </c>
      <c r="O599" s="40" t="str">
        <f>IF($K599="","",IFERROR(VLOOKUP($K599,Grinders!$A$4:$N$998,5,FALSE),""))</f>
        <v/>
      </c>
      <c r="P599" s="40" t="str">
        <f>IF($K599="","",IF($C$4="",0,COUNTIFS(Assignments!$B$6:$B$1000,$K599,Assignments!$F$6:$F$1000,$C$4,Assignments!$E$6:$E$1000,"Active")))</f>
        <v/>
      </c>
      <c r="Q599" s="40" t="str">
        <f t="shared" si="3"/>
        <v/>
      </c>
      <c r="R599" s="40" t="str">
        <f t="shared" si="4"/>
        <v/>
      </c>
      <c r="S599" s="40" t="str">
        <f>IF($K599="","",IF($C$4="",0,COUNTIFS(Assignments!$B$6:$B$1000,$K599,Assignments!$F$6:$F$1000,$C$4,Assignments!$D$6:$D$1000,"&gt;="&amp;Config!$B$3-7,Assignments!$D$6:$D$1000,"&lt;="&amp;Config!$B$3)))</f>
        <v/>
      </c>
      <c r="T599" s="40" t="str">
        <f>IF($K599="","",IFERROR(VLOOKUP($K599,Grinders!$A$4:$N$998,8,FALSE),""))</f>
        <v/>
      </c>
      <c r="U599" s="40" t="str">
        <f>IFERROR(IF($K599="","",IF($M599="Elite",MAX(50,MIN(100,Config!$B$27*MAX(0,MIN(100,(1-IF($R599="",0,$R599))*100)) + Config!$B$28*MAX(0,MIN(100,(1-MIN(1,IF(Config!$B$30=0,1,$S599/Config!$B$30)))*100)) + Config!$B$29*MAX(0,MIN(100,MIN(1,IF($T599="",0,$T599)/Config!$B$23)*100)))),MIN(100,Config!$B$27*MAX(0,MIN(100,(1-IF($R599="",0,$R599))*100)) + Config!$B$28*MAX(0,MIN(100,(1-MIN(1,IF(Config!$B$30=0,1,$S599/Config!$B$30)))*100)) + Config!$B$29*MAX(0,MIN(100,MIN(1,IF($T599="",0,$T599)/Config!$B$23)*100))))),"")
</f>
        <v/>
      </c>
      <c r="V599" s="40" t="str">
        <f>IF(Bids!$D598="","",Bids!$D598)</f>
        <v/>
      </c>
      <c r="W599" s="40" t="str">
        <f>IF(Bids!$F598="","",Bids!$F598)</f>
        <v/>
      </c>
      <c r="X599" s="40" t="str">
        <f t="shared" si="5"/>
        <v/>
      </c>
      <c r="Y599" s="40" t="str">
        <f>IF($X599="","",IF(Config!$B$17=Config!$B$16,IF($X599&gt;=Config!$B$17,100,0),MAX(0,MIN(100,($X599-Config!$B$16)/(Config!$B$17-Config!$B$16)*100))))</f>
        <v/>
      </c>
      <c r="Z599" s="40">
        <f>IF($M599="Elite",Config!$B$21,0)</f>
        <v>0</v>
      </c>
      <c r="AA599" s="40" t="str">
        <f>IFERROR(IF(OR($W599="",$H599=""),"",IF($W599&gt;$H599,
  MAX(0, 60-(($W599-$H599)*24/Config!$B$19)*60),
  MIN(100, 60+(($H599-$W599)*24/Config!$B$20)*40)
)),"")
</f>
        <v/>
      </c>
      <c r="AB599" s="40" t="str">
        <f>IF($K599="","",IFERROR(VLOOKUP($K599,Grinders!$A$4:$N$998,10,FALSE)/5*100,""))</f>
        <v/>
      </c>
      <c r="AC599" s="40" t="str">
        <f>IF($K599="","",IFERROR(VLOOKUP($K599,Grinders!$A$4:$N$998,11,FALSE)*100,""))</f>
        <v/>
      </c>
      <c r="AD599" s="40" t="str">
        <f>IF($K599="","",IFERROR(VLOOKUP($K599,Grinders!$A$4:$N$998,12,FALSE)*100,""))</f>
        <v/>
      </c>
      <c r="AE599" s="40">
        <f>IFERROR(IFS(
    OR($C599="", $K599=""), 0,
    $F599=0, 0,
    $D599&lt;&gt;"Open", 0,
    COUNTIFS(GrinderServices!$B$4:$B$998, $K599, GrinderServices!$C$4:$C$998, $E599, GrinderServices!$E$4:$E$998, "Y")=0, 0,
    $X599&lt;Config!$B$16, 0,
    Config!$B$18=1, IF($O599&gt;=N599, 0, 1),
    TRUE, 1
), "")
</f>
        <v>0</v>
      </c>
      <c r="AF599" s="40" t="str">
        <f>IFERROR(IF($AE599=0,"",((Config!$B$6*$Y599 + Config!$B$7*$U599 + Config!$B$8*$Z599 + Config!$B$9*$AA599 + Config!$B$10*$AB599 + Config!$B$11*$AC599 - Config!$B$12*$AD599)/Config!$B$13)+$AK599+$AL599),"")</f>
        <v/>
      </c>
      <c r="AG599" s="40" t="str">
        <f t="shared" si="6"/>
        <v/>
      </c>
      <c r="AH599" s="40" t="str">
        <f t="shared" si="7"/>
        <v/>
      </c>
      <c r="AI599" s="40" t="str">
        <f t="shared" si="8"/>
        <v/>
      </c>
      <c r="AJ599" s="40" t="str">
        <f>IF($K599="","",COUNTIF(Assignments!$B$6:$B$1000,$K599))</f>
        <v/>
      </c>
      <c r="AK599" s="40" t="str">
        <f>IF($K599="","",IF(AND($AJ599=0,$O599&lt;$N599),Config!$B$43,0))</f>
        <v/>
      </c>
      <c r="AL599" s="40" t="str">
        <f>IF($K599="","",IF(AND($M599="Elite",$G599&gt;=Config!$B$41,$O599&lt;$N599),Config!$B$42,0))</f>
        <v/>
      </c>
      <c r="AM599" s="22"/>
    </row>
    <row r="600" ht="15.75" customHeight="1">
      <c r="A600" s="40" t="str">
        <f t="shared" si="1"/>
        <v/>
      </c>
      <c r="B600" s="40" t="str">
        <f>IF(Bids!$A599="","",Bids!$A599)</f>
        <v/>
      </c>
      <c r="C600" s="40" t="str">
        <f>IF(Bids!$B599="","",Bids!$B599)</f>
        <v/>
      </c>
      <c r="D600" s="40" t="str">
        <f>IF($C600="","",IFERROR(VLOOKUP($C600,Orders!$A$4:$J$998,9,FALSE),""))</f>
        <v/>
      </c>
      <c r="E600" s="40" t="str">
        <f>IF($C600="","",IFERROR(VLOOKUP($C600,Orders!$A$4:$J$998,3,FALSE),""))</f>
        <v/>
      </c>
      <c r="F600" s="40">
        <f t="shared" si="2"/>
        <v>1</v>
      </c>
      <c r="G600" s="40" t="str">
        <f>IF($C600="","",IFERROR(VLOOKUP($C600,Orders!$A$4:$J$998,4,FALSE),""))</f>
        <v/>
      </c>
      <c r="H600" s="40" t="str">
        <f>IF($C600="","",IFERROR(VLOOKUP($C600,Orders!$A$4:$J$998,5,FALSE),""))</f>
        <v/>
      </c>
      <c r="I600" s="40" t="str">
        <f>IF($C600="","",IFERROR(VLOOKUP($C600,Orders!$A$4:$J$998,6,FALSE),""))</f>
        <v/>
      </c>
      <c r="J600" s="40" t="str">
        <f>IF($C600="","",IFERROR(VLOOKUP($C600,Orders!$A$4:$J$998,7,FALSE),""))</f>
        <v/>
      </c>
      <c r="K600" s="40" t="str">
        <f>IF(Bids!$C599="","",Bids!$C599)</f>
        <v/>
      </c>
      <c r="L600" s="40" t="str">
        <f>IF($K600="","",IFERROR(VLOOKUP($K600,Grinders!$A$4:$N$998,2,FALSE),""))</f>
        <v/>
      </c>
      <c r="M600" s="40" t="str">
        <f>IF($K600="","",IFERROR(VLOOKUP($K600,Grinders!$A$4:$N$998,3,FALSE),""))</f>
        <v/>
      </c>
      <c r="N600" s="40" t="str">
        <f>IF($K600="","",IFERROR(VLOOKUP($K600,Grinders!$A$4:$N$998,4,FALSE),""))</f>
        <v/>
      </c>
      <c r="O600" s="40" t="str">
        <f>IF($K600="","",IFERROR(VLOOKUP($K600,Grinders!$A$4:$N$998,5,FALSE),""))</f>
        <v/>
      </c>
      <c r="P600" s="40" t="str">
        <f>IF($K600="","",IF($C$4="",0,COUNTIFS(Assignments!$B$6:$B$1000,$K600,Assignments!$F$6:$F$1000,$C$4,Assignments!$E$6:$E$1000,"Active")))</f>
        <v/>
      </c>
      <c r="Q600" s="40" t="str">
        <f t="shared" si="3"/>
        <v/>
      </c>
      <c r="R600" s="40" t="str">
        <f t="shared" si="4"/>
        <v/>
      </c>
      <c r="S600" s="40" t="str">
        <f>IF($K600="","",IF($C$4="",0,COUNTIFS(Assignments!$B$6:$B$1000,$K600,Assignments!$F$6:$F$1000,$C$4,Assignments!$D$6:$D$1000,"&gt;="&amp;Config!$B$3-7,Assignments!$D$6:$D$1000,"&lt;="&amp;Config!$B$3)))</f>
        <v/>
      </c>
      <c r="T600" s="40" t="str">
        <f>IF($K600="","",IFERROR(VLOOKUP($K600,Grinders!$A$4:$N$998,8,FALSE),""))</f>
        <v/>
      </c>
      <c r="U600" s="40" t="str">
        <f>IFERROR(IF($K600="","",IF($M600="Elite",MAX(50,MIN(100,Config!$B$27*MAX(0,MIN(100,(1-IF($R600="",0,$R600))*100)) + Config!$B$28*MAX(0,MIN(100,(1-MIN(1,IF(Config!$B$30=0,1,$S600/Config!$B$30)))*100)) + Config!$B$29*MAX(0,MIN(100,MIN(1,IF($T600="",0,$T600)/Config!$B$23)*100)))),MIN(100,Config!$B$27*MAX(0,MIN(100,(1-IF($R600="",0,$R600))*100)) + Config!$B$28*MAX(0,MIN(100,(1-MIN(1,IF(Config!$B$30=0,1,$S600/Config!$B$30)))*100)) + Config!$B$29*MAX(0,MIN(100,MIN(1,IF($T600="",0,$T600)/Config!$B$23)*100))))),"")
</f>
        <v/>
      </c>
      <c r="V600" s="40" t="str">
        <f>IF(Bids!$D599="","",Bids!$D599)</f>
        <v/>
      </c>
      <c r="W600" s="40" t="str">
        <f>IF(Bids!$F599="","",Bids!$F599)</f>
        <v/>
      </c>
      <c r="X600" s="40" t="str">
        <f t="shared" si="5"/>
        <v/>
      </c>
      <c r="Y600" s="40" t="str">
        <f>IF($X600="","",IF(Config!$B$17=Config!$B$16,IF($X600&gt;=Config!$B$17,100,0),MAX(0,MIN(100,($X600-Config!$B$16)/(Config!$B$17-Config!$B$16)*100))))</f>
        <v/>
      </c>
      <c r="Z600" s="40">
        <f>IF($M600="Elite",Config!$B$21,0)</f>
        <v>0</v>
      </c>
      <c r="AA600" s="40" t="str">
        <f>IFERROR(IF(OR($W600="",$H600=""),"",IF($W600&gt;$H600,
  MAX(0, 60-(($W600-$H600)*24/Config!$B$19)*60),
  MIN(100, 60+(($H600-$W600)*24/Config!$B$20)*40)
)),"")
</f>
        <v/>
      </c>
      <c r="AB600" s="40" t="str">
        <f>IF($K600="","",IFERROR(VLOOKUP($K600,Grinders!$A$4:$N$998,10,FALSE)/5*100,""))</f>
        <v/>
      </c>
      <c r="AC600" s="40" t="str">
        <f>IF($K600="","",IFERROR(VLOOKUP($K600,Grinders!$A$4:$N$998,11,FALSE)*100,""))</f>
        <v/>
      </c>
      <c r="AD600" s="40" t="str">
        <f>IF($K600="","",IFERROR(VLOOKUP($K600,Grinders!$A$4:$N$998,12,FALSE)*100,""))</f>
        <v/>
      </c>
      <c r="AE600" s="40">
        <f>IFERROR(IFS(
    OR($C600="", $K600=""), 0,
    $F600=0, 0,
    $D600&lt;&gt;"Open", 0,
    COUNTIFS(GrinderServices!$B$4:$B$998, $K600, GrinderServices!$C$4:$C$998, $E600, GrinderServices!$E$4:$E$998, "Y")=0, 0,
    $X600&lt;Config!$B$16, 0,
    Config!$B$18=1, IF($O600&gt;=N600, 0, 1),
    TRUE, 1
), "")
</f>
        <v>0</v>
      </c>
      <c r="AF600" s="40" t="str">
        <f>IFERROR(IF($AE600=0,"",((Config!$B$6*$Y600 + Config!$B$7*$U600 + Config!$B$8*$Z600 + Config!$B$9*$AA600 + Config!$B$10*$AB600 + Config!$B$11*$AC600 - Config!$B$12*$AD600)/Config!$B$13)+$AK600+$AL600),"")</f>
        <v/>
      </c>
      <c r="AG600" s="40" t="str">
        <f t="shared" si="6"/>
        <v/>
      </c>
      <c r="AH600" s="40" t="str">
        <f t="shared" si="7"/>
        <v/>
      </c>
      <c r="AI600" s="40" t="str">
        <f t="shared" si="8"/>
        <v/>
      </c>
      <c r="AJ600" s="40" t="str">
        <f>IF($K600="","",COUNTIF(Assignments!$B$6:$B$1000,$K600))</f>
        <v/>
      </c>
      <c r="AK600" s="40" t="str">
        <f>IF($K600="","",IF(AND($AJ600=0,$O600&lt;$N600),Config!$B$43,0))</f>
        <v/>
      </c>
      <c r="AL600" s="40" t="str">
        <f>IF($K600="","",IF(AND($M600="Elite",$G600&gt;=Config!$B$41,$O600&lt;$N600),Config!$B$42,0))</f>
        <v/>
      </c>
      <c r="AM600" s="22"/>
    </row>
    <row r="601" ht="15.75" customHeight="1">
      <c r="A601" s="40" t="str">
        <f t="shared" si="1"/>
        <v/>
      </c>
      <c r="B601" s="40" t="str">
        <f>IF(Bids!$A600="","",Bids!$A600)</f>
        <v/>
      </c>
      <c r="C601" s="40" t="str">
        <f>IF(Bids!$B600="","",Bids!$B600)</f>
        <v/>
      </c>
      <c r="D601" s="40" t="str">
        <f>IF($C601="","",IFERROR(VLOOKUP($C601,Orders!$A$4:$J$998,9,FALSE),""))</f>
        <v/>
      </c>
      <c r="E601" s="40" t="str">
        <f>IF($C601="","",IFERROR(VLOOKUP($C601,Orders!$A$4:$J$998,3,FALSE),""))</f>
        <v/>
      </c>
      <c r="F601" s="40">
        <f t="shared" si="2"/>
        <v>1</v>
      </c>
      <c r="G601" s="40" t="str">
        <f>IF($C601="","",IFERROR(VLOOKUP($C601,Orders!$A$4:$J$998,4,FALSE),""))</f>
        <v/>
      </c>
      <c r="H601" s="40" t="str">
        <f>IF($C601="","",IFERROR(VLOOKUP($C601,Orders!$A$4:$J$998,5,FALSE),""))</f>
        <v/>
      </c>
      <c r="I601" s="40" t="str">
        <f>IF($C601="","",IFERROR(VLOOKUP($C601,Orders!$A$4:$J$998,6,FALSE),""))</f>
        <v/>
      </c>
      <c r="J601" s="40" t="str">
        <f>IF($C601="","",IFERROR(VLOOKUP($C601,Orders!$A$4:$J$998,7,FALSE),""))</f>
        <v/>
      </c>
      <c r="K601" s="40" t="str">
        <f>IF(Bids!$C600="","",Bids!$C600)</f>
        <v/>
      </c>
      <c r="L601" s="40" t="str">
        <f>IF($K601="","",IFERROR(VLOOKUP($K601,Grinders!$A$4:$N$998,2,FALSE),""))</f>
        <v/>
      </c>
      <c r="M601" s="40" t="str">
        <f>IF($K601="","",IFERROR(VLOOKUP($K601,Grinders!$A$4:$N$998,3,FALSE),""))</f>
        <v/>
      </c>
      <c r="N601" s="40" t="str">
        <f>IF($K601="","",IFERROR(VLOOKUP($K601,Grinders!$A$4:$N$998,4,FALSE),""))</f>
        <v/>
      </c>
      <c r="O601" s="40" t="str">
        <f>IF($K601="","",IFERROR(VLOOKUP($K601,Grinders!$A$4:$N$998,5,FALSE),""))</f>
        <v/>
      </c>
      <c r="P601" s="40" t="str">
        <f>IF($K601="","",IF($C$4="",0,COUNTIFS(Assignments!$B$6:$B$1000,$K601,Assignments!$F$6:$F$1000,$C$4,Assignments!$E$6:$E$1000,"Active")))</f>
        <v/>
      </c>
      <c r="Q601" s="40" t="str">
        <f t="shared" si="3"/>
        <v/>
      </c>
      <c r="R601" s="40" t="str">
        <f t="shared" si="4"/>
        <v/>
      </c>
      <c r="S601" s="40" t="str">
        <f>IF($K601="","",IF($C$4="",0,COUNTIFS(Assignments!$B$6:$B$1000,$K601,Assignments!$F$6:$F$1000,$C$4,Assignments!$D$6:$D$1000,"&gt;="&amp;Config!$B$3-7,Assignments!$D$6:$D$1000,"&lt;="&amp;Config!$B$3)))</f>
        <v/>
      </c>
      <c r="T601" s="40" t="str">
        <f>IF($K601="","",IFERROR(VLOOKUP($K601,Grinders!$A$4:$N$998,8,FALSE),""))</f>
        <v/>
      </c>
      <c r="U601" s="40" t="str">
        <f>IFERROR(IF($K601="","",IF($M601="Elite",MAX(50,MIN(100,Config!$B$27*MAX(0,MIN(100,(1-IF($R601="",0,$R601))*100)) + Config!$B$28*MAX(0,MIN(100,(1-MIN(1,IF(Config!$B$30=0,1,$S601/Config!$B$30)))*100)) + Config!$B$29*MAX(0,MIN(100,MIN(1,IF($T601="",0,$T601)/Config!$B$23)*100)))),MIN(100,Config!$B$27*MAX(0,MIN(100,(1-IF($R601="",0,$R601))*100)) + Config!$B$28*MAX(0,MIN(100,(1-MIN(1,IF(Config!$B$30=0,1,$S601/Config!$B$30)))*100)) + Config!$B$29*MAX(0,MIN(100,MIN(1,IF($T601="",0,$T601)/Config!$B$23)*100))))),"")
</f>
        <v/>
      </c>
      <c r="V601" s="40" t="str">
        <f>IF(Bids!$D600="","",Bids!$D600)</f>
        <v/>
      </c>
      <c r="W601" s="40" t="str">
        <f>IF(Bids!$F600="","",Bids!$F600)</f>
        <v/>
      </c>
      <c r="X601" s="40" t="str">
        <f t="shared" si="5"/>
        <v/>
      </c>
      <c r="Y601" s="40" t="str">
        <f>IF($X601="","",IF(Config!$B$17=Config!$B$16,IF($X601&gt;=Config!$B$17,100,0),MAX(0,MIN(100,($X601-Config!$B$16)/(Config!$B$17-Config!$B$16)*100))))</f>
        <v/>
      </c>
      <c r="Z601" s="40">
        <f>IF($M601="Elite",Config!$B$21,0)</f>
        <v>0</v>
      </c>
      <c r="AA601" s="40" t="str">
        <f>IFERROR(IF(OR($W601="",$H601=""),"",IF($W601&gt;$H601,
  MAX(0, 60-(($W601-$H601)*24/Config!$B$19)*60),
  MIN(100, 60+(($H601-$W601)*24/Config!$B$20)*40)
)),"")
</f>
        <v/>
      </c>
      <c r="AB601" s="40" t="str">
        <f>IF($K601="","",IFERROR(VLOOKUP($K601,Grinders!$A$4:$N$998,10,FALSE)/5*100,""))</f>
        <v/>
      </c>
      <c r="AC601" s="40" t="str">
        <f>IF($K601="","",IFERROR(VLOOKUP($K601,Grinders!$A$4:$N$998,11,FALSE)*100,""))</f>
        <v/>
      </c>
      <c r="AD601" s="40" t="str">
        <f>IF($K601="","",IFERROR(VLOOKUP($K601,Grinders!$A$4:$N$998,12,FALSE)*100,""))</f>
        <v/>
      </c>
      <c r="AE601" s="40">
        <f>IFERROR(IFS(
    OR($C601="", $K601=""), 0,
    $F601=0, 0,
    $D601&lt;&gt;"Open", 0,
    COUNTIFS(GrinderServices!$B$4:$B$998, $K601, GrinderServices!$C$4:$C$998, $E601, GrinderServices!$E$4:$E$998, "Y")=0, 0,
    $X601&lt;Config!$B$16, 0,
    Config!$B$18=1, IF($O601&gt;=N601, 0, 1),
    TRUE, 1
), "")
</f>
        <v>0</v>
      </c>
      <c r="AF601" s="40" t="str">
        <f>IFERROR(IF($AE601=0,"",((Config!$B$6*$Y601 + Config!$B$7*$U601 + Config!$B$8*$Z601 + Config!$B$9*$AA601 + Config!$B$10*$AB601 + Config!$B$11*$AC601 - Config!$B$12*$AD601)/Config!$B$13)+$AK601+$AL601),"")</f>
        <v/>
      </c>
      <c r="AG601" s="40" t="str">
        <f t="shared" si="6"/>
        <v/>
      </c>
      <c r="AH601" s="40" t="str">
        <f t="shared" si="7"/>
        <v/>
      </c>
      <c r="AI601" s="40" t="str">
        <f t="shared" si="8"/>
        <v/>
      </c>
      <c r="AJ601" s="40" t="str">
        <f>IF($K601="","",COUNTIF(Assignments!$B$6:$B$1000,$K601))</f>
        <v/>
      </c>
      <c r="AK601" s="40" t="str">
        <f>IF($K601="","",IF(AND($AJ601=0,$O601&lt;$N601),Config!$B$43,0))</f>
        <v/>
      </c>
      <c r="AL601" s="40" t="str">
        <f>IF($K601="","",IF(AND($M601="Elite",$G601&gt;=Config!$B$41,$O601&lt;$N601),Config!$B$42,0))</f>
        <v/>
      </c>
      <c r="AM601" s="22"/>
    </row>
    <row r="602" ht="15.75" customHeight="1">
      <c r="A602" s="40" t="str">
        <f t="shared" si="1"/>
        <v/>
      </c>
      <c r="B602" s="40" t="str">
        <f>IF(Bids!$A601="","",Bids!$A601)</f>
        <v/>
      </c>
      <c r="C602" s="40" t="str">
        <f>IF(Bids!$B601="","",Bids!$B601)</f>
        <v/>
      </c>
      <c r="D602" s="40" t="str">
        <f>IF($C602="","",IFERROR(VLOOKUP($C602,Orders!$A$4:$J$998,9,FALSE),""))</f>
        <v/>
      </c>
      <c r="E602" s="40" t="str">
        <f>IF($C602="","",IFERROR(VLOOKUP($C602,Orders!$A$4:$J$998,3,FALSE),""))</f>
        <v/>
      </c>
      <c r="F602" s="40">
        <f t="shared" si="2"/>
        <v>1</v>
      </c>
      <c r="G602" s="40" t="str">
        <f>IF($C602="","",IFERROR(VLOOKUP($C602,Orders!$A$4:$J$998,4,FALSE),""))</f>
        <v/>
      </c>
      <c r="H602" s="40" t="str">
        <f>IF($C602="","",IFERROR(VLOOKUP($C602,Orders!$A$4:$J$998,5,FALSE),""))</f>
        <v/>
      </c>
      <c r="I602" s="40" t="str">
        <f>IF($C602="","",IFERROR(VLOOKUP($C602,Orders!$A$4:$J$998,6,FALSE),""))</f>
        <v/>
      </c>
      <c r="J602" s="40" t="str">
        <f>IF($C602="","",IFERROR(VLOOKUP($C602,Orders!$A$4:$J$998,7,FALSE),""))</f>
        <v/>
      </c>
      <c r="K602" s="40" t="str">
        <f>IF(Bids!$C601="","",Bids!$C601)</f>
        <v/>
      </c>
      <c r="L602" s="40" t="str">
        <f>IF($K602="","",IFERROR(VLOOKUP($K602,Grinders!$A$4:$N$998,2,FALSE),""))</f>
        <v/>
      </c>
      <c r="M602" s="40" t="str">
        <f>IF($K602="","",IFERROR(VLOOKUP($K602,Grinders!$A$4:$N$998,3,FALSE),""))</f>
        <v/>
      </c>
      <c r="N602" s="40" t="str">
        <f>IF($K602="","",IFERROR(VLOOKUP($K602,Grinders!$A$4:$N$998,4,FALSE),""))</f>
        <v/>
      </c>
      <c r="O602" s="40" t="str">
        <f>IF($K602="","",IFERROR(VLOOKUP($K602,Grinders!$A$4:$N$998,5,FALSE),""))</f>
        <v/>
      </c>
      <c r="P602" s="40" t="str">
        <f>IF($K602="","",IF($C$4="",0,COUNTIFS(Assignments!$B$6:$B$1000,$K602,Assignments!$F$6:$F$1000,$C$4,Assignments!$E$6:$E$1000,"Active")))</f>
        <v/>
      </c>
      <c r="Q602" s="40" t="str">
        <f t="shared" si="3"/>
        <v/>
      </c>
      <c r="R602" s="40" t="str">
        <f t="shared" si="4"/>
        <v/>
      </c>
      <c r="S602" s="40" t="str">
        <f>IF($K602="","",IF($C$4="",0,COUNTIFS(Assignments!$B$6:$B$1000,$K602,Assignments!$F$6:$F$1000,$C$4,Assignments!$D$6:$D$1000,"&gt;="&amp;Config!$B$3-7,Assignments!$D$6:$D$1000,"&lt;="&amp;Config!$B$3)))</f>
        <v/>
      </c>
      <c r="T602" s="40" t="str">
        <f>IF($K602="","",IFERROR(VLOOKUP($K602,Grinders!$A$4:$N$998,8,FALSE),""))</f>
        <v/>
      </c>
      <c r="U602" s="40" t="str">
        <f>IFERROR(IF($K602="","",IF($M602="Elite",MAX(50,MIN(100,Config!$B$27*MAX(0,MIN(100,(1-IF($R602="",0,$R602))*100)) + Config!$B$28*MAX(0,MIN(100,(1-MIN(1,IF(Config!$B$30=0,1,$S602/Config!$B$30)))*100)) + Config!$B$29*MAX(0,MIN(100,MIN(1,IF($T602="",0,$T602)/Config!$B$23)*100)))),MIN(100,Config!$B$27*MAX(0,MIN(100,(1-IF($R602="",0,$R602))*100)) + Config!$B$28*MAX(0,MIN(100,(1-MIN(1,IF(Config!$B$30=0,1,$S602/Config!$B$30)))*100)) + Config!$B$29*MAX(0,MIN(100,MIN(1,IF($T602="",0,$T602)/Config!$B$23)*100))))),"")
</f>
        <v/>
      </c>
      <c r="V602" s="40" t="str">
        <f>IF(Bids!$D601="","",Bids!$D601)</f>
        <v/>
      </c>
      <c r="W602" s="40" t="str">
        <f>IF(Bids!$F601="","",Bids!$F601)</f>
        <v/>
      </c>
      <c r="X602" s="40" t="str">
        <f t="shared" si="5"/>
        <v/>
      </c>
      <c r="Y602" s="40" t="str">
        <f>IF($X602="","",IF(Config!$B$17=Config!$B$16,IF($X602&gt;=Config!$B$17,100,0),MAX(0,MIN(100,($X602-Config!$B$16)/(Config!$B$17-Config!$B$16)*100))))</f>
        <v/>
      </c>
      <c r="Z602" s="40">
        <f>IF($M602="Elite",Config!$B$21,0)</f>
        <v>0</v>
      </c>
      <c r="AA602" s="40" t="str">
        <f>IFERROR(IF(OR($W602="",$H602=""),"",IF($W602&gt;$H602,
  MAX(0, 60-(($W602-$H602)*24/Config!$B$19)*60),
  MIN(100, 60+(($H602-$W602)*24/Config!$B$20)*40)
)),"")
</f>
        <v/>
      </c>
      <c r="AB602" s="40" t="str">
        <f>IF($K602="","",IFERROR(VLOOKUP($K602,Grinders!$A$4:$N$998,10,FALSE)/5*100,""))</f>
        <v/>
      </c>
      <c r="AC602" s="40" t="str">
        <f>IF($K602="","",IFERROR(VLOOKUP($K602,Grinders!$A$4:$N$998,11,FALSE)*100,""))</f>
        <v/>
      </c>
      <c r="AD602" s="40" t="str">
        <f>IF($K602="","",IFERROR(VLOOKUP($K602,Grinders!$A$4:$N$998,12,FALSE)*100,""))</f>
        <v/>
      </c>
      <c r="AE602" s="40">
        <f>IFERROR(IFS(
    OR($C602="", $K602=""), 0,
    $F602=0, 0,
    $D602&lt;&gt;"Open", 0,
    COUNTIFS(GrinderServices!$B$4:$B$998, $K602, GrinderServices!$C$4:$C$998, $E602, GrinderServices!$E$4:$E$998, "Y")=0, 0,
    $X602&lt;Config!$B$16, 0,
    Config!$B$18=1, IF($O602&gt;=N602, 0, 1),
    TRUE, 1
), "")
</f>
        <v>0</v>
      </c>
      <c r="AF602" s="40" t="str">
        <f>IFERROR(IF($AE602=0,"",((Config!$B$6*$Y602 + Config!$B$7*$U602 + Config!$B$8*$Z602 + Config!$B$9*$AA602 + Config!$B$10*$AB602 + Config!$B$11*$AC602 - Config!$B$12*$AD602)/Config!$B$13)+$AK602+$AL602),"")</f>
        <v/>
      </c>
      <c r="AG602" s="40" t="str">
        <f t="shared" si="6"/>
        <v/>
      </c>
      <c r="AH602" s="40" t="str">
        <f t="shared" si="7"/>
        <v/>
      </c>
      <c r="AI602" s="40" t="str">
        <f t="shared" si="8"/>
        <v/>
      </c>
      <c r="AJ602" s="40" t="str">
        <f>IF($K602="","",COUNTIF(Assignments!$B$6:$B$1000,$K602))</f>
        <v/>
      </c>
      <c r="AK602" s="40" t="str">
        <f>IF($K602="","",IF(AND($AJ602=0,$O602&lt;$N602),Config!$B$43,0))</f>
        <v/>
      </c>
      <c r="AL602" s="40" t="str">
        <f>IF($K602="","",IF(AND($M602="Elite",$G602&gt;=Config!$B$41,$O602&lt;$N602),Config!$B$42,0))</f>
        <v/>
      </c>
      <c r="AM602" s="22"/>
    </row>
    <row r="603" ht="15.75" customHeight="1">
      <c r="A603" s="40" t="str">
        <f t="shared" si="1"/>
        <v/>
      </c>
      <c r="B603" s="40" t="str">
        <f>IF(Bids!$A602="","",Bids!$A602)</f>
        <v/>
      </c>
      <c r="C603" s="40" t="str">
        <f>IF(Bids!$B602="","",Bids!$B602)</f>
        <v/>
      </c>
      <c r="D603" s="40" t="str">
        <f>IF($C603="","",IFERROR(VLOOKUP($C603,Orders!$A$4:$J$998,9,FALSE),""))</f>
        <v/>
      </c>
      <c r="E603" s="40" t="str">
        <f>IF($C603="","",IFERROR(VLOOKUP($C603,Orders!$A$4:$J$998,3,FALSE),""))</f>
        <v/>
      </c>
      <c r="F603" s="40">
        <f t="shared" si="2"/>
        <v>1</v>
      </c>
      <c r="G603" s="40" t="str">
        <f>IF($C603="","",IFERROR(VLOOKUP($C603,Orders!$A$4:$J$998,4,FALSE),""))</f>
        <v/>
      </c>
      <c r="H603" s="40" t="str">
        <f>IF($C603="","",IFERROR(VLOOKUP($C603,Orders!$A$4:$J$998,5,FALSE),""))</f>
        <v/>
      </c>
      <c r="I603" s="40" t="str">
        <f>IF($C603="","",IFERROR(VLOOKUP($C603,Orders!$A$4:$J$998,6,FALSE),""))</f>
        <v/>
      </c>
      <c r="J603" s="40" t="str">
        <f>IF($C603="","",IFERROR(VLOOKUP($C603,Orders!$A$4:$J$998,7,FALSE),""))</f>
        <v/>
      </c>
      <c r="K603" s="40" t="str">
        <f>IF(Bids!$C602="","",Bids!$C602)</f>
        <v/>
      </c>
      <c r="L603" s="40" t="str">
        <f>IF($K603="","",IFERROR(VLOOKUP($K603,Grinders!$A$4:$N$998,2,FALSE),""))</f>
        <v/>
      </c>
      <c r="M603" s="40" t="str">
        <f>IF($K603="","",IFERROR(VLOOKUP($K603,Grinders!$A$4:$N$998,3,FALSE),""))</f>
        <v/>
      </c>
      <c r="N603" s="40" t="str">
        <f>IF($K603="","",IFERROR(VLOOKUP($K603,Grinders!$A$4:$N$998,4,FALSE),""))</f>
        <v/>
      </c>
      <c r="O603" s="40" t="str">
        <f>IF($K603="","",IFERROR(VLOOKUP($K603,Grinders!$A$4:$N$998,5,FALSE),""))</f>
        <v/>
      </c>
      <c r="P603" s="40" t="str">
        <f>IF($K603="","",IF($C$4="",0,COUNTIFS(Assignments!$B$6:$B$1000,$K603,Assignments!$F$6:$F$1000,$C$4,Assignments!$E$6:$E$1000,"Active")))</f>
        <v/>
      </c>
      <c r="Q603" s="40" t="str">
        <f t="shared" si="3"/>
        <v/>
      </c>
      <c r="R603" s="40" t="str">
        <f t="shared" si="4"/>
        <v/>
      </c>
      <c r="S603" s="40" t="str">
        <f>IF($K603="","",IF($C$4="",0,COUNTIFS(Assignments!$B$6:$B$1000,$K603,Assignments!$F$6:$F$1000,$C$4,Assignments!$D$6:$D$1000,"&gt;="&amp;Config!$B$3-7,Assignments!$D$6:$D$1000,"&lt;="&amp;Config!$B$3)))</f>
        <v/>
      </c>
      <c r="T603" s="40" t="str">
        <f>IF($K603="","",IFERROR(VLOOKUP($K603,Grinders!$A$4:$N$998,8,FALSE),""))</f>
        <v/>
      </c>
      <c r="U603" s="40" t="str">
        <f>IFERROR(IF($K603="","",IF($M603="Elite",MAX(50,MIN(100,Config!$B$27*MAX(0,MIN(100,(1-IF($R603="",0,$R603))*100)) + Config!$B$28*MAX(0,MIN(100,(1-MIN(1,IF(Config!$B$30=0,1,$S603/Config!$B$30)))*100)) + Config!$B$29*MAX(0,MIN(100,MIN(1,IF($T603="",0,$T603)/Config!$B$23)*100)))),MIN(100,Config!$B$27*MAX(0,MIN(100,(1-IF($R603="",0,$R603))*100)) + Config!$B$28*MAX(0,MIN(100,(1-MIN(1,IF(Config!$B$30=0,1,$S603/Config!$B$30)))*100)) + Config!$B$29*MAX(0,MIN(100,MIN(1,IF($T603="",0,$T603)/Config!$B$23)*100))))),"")
</f>
        <v/>
      </c>
      <c r="V603" s="40" t="str">
        <f>IF(Bids!$D602="","",Bids!$D602)</f>
        <v/>
      </c>
      <c r="W603" s="40" t="str">
        <f>IF(Bids!$F602="","",Bids!$F602)</f>
        <v/>
      </c>
      <c r="X603" s="40" t="str">
        <f t="shared" si="5"/>
        <v/>
      </c>
      <c r="Y603" s="40" t="str">
        <f>IF($X603="","",IF(Config!$B$17=Config!$B$16,IF($X603&gt;=Config!$B$17,100,0),MAX(0,MIN(100,($X603-Config!$B$16)/(Config!$B$17-Config!$B$16)*100))))</f>
        <v/>
      </c>
      <c r="Z603" s="40">
        <f>IF($M603="Elite",Config!$B$21,0)</f>
        <v>0</v>
      </c>
      <c r="AA603" s="40" t="str">
        <f>IFERROR(IF(OR($W603="",$H603=""),"",IF($W603&gt;$H603,
  MAX(0, 60-(($W603-$H603)*24/Config!$B$19)*60),
  MIN(100, 60+(($H603-$W603)*24/Config!$B$20)*40)
)),"")
</f>
        <v/>
      </c>
      <c r="AB603" s="40" t="str">
        <f>IF($K603="","",IFERROR(VLOOKUP($K603,Grinders!$A$4:$N$998,10,FALSE)/5*100,""))</f>
        <v/>
      </c>
      <c r="AC603" s="40" t="str">
        <f>IF($K603="","",IFERROR(VLOOKUP($K603,Grinders!$A$4:$N$998,11,FALSE)*100,""))</f>
        <v/>
      </c>
      <c r="AD603" s="40" t="str">
        <f>IF($K603="","",IFERROR(VLOOKUP($K603,Grinders!$A$4:$N$998,12,FALSE)*100,""))</f>
        <v/>
      </c>
      <c r="AE603" s="40">
        <f>IFERROR(IFS(
    OR($C603="", $K603=""), 0,
    $F603=0, 0,
    $D603&lt;&gt;"Open", 0,
    COUNTIFS(GrinderServices!$B$4:$B$998, $K603, GrinderServices!$C$4:$C$998, $E603, GrinderServices!$E$4:$E$998, "Y")=0, 0,
    $X603&lt;Config!$B$16, 0,
    Config!$B$18=1, IF($O603&gt;=N603, 0, 1),
    TRUE, 1
), "")
</f>
        <v>0</v>
      </c>
      <c r="AF603" s="40" t="str">
        <f>IFERROR(IF($AE603=0,"",((Config!$B$6*$Y603 + Config!$B$7*$U603 + Config!$B$8*$Z603 + Config!$B$9*$AA603 + Config!$B$10*$AB603 + Config!$B$11*$AC603 - Config!$B$12*$AD603)/Config!$B$13)+$AK603+$AL603),"")</f>
        <v/>
      </c>
      <c r="AG603" s="40" t="str">
        <f t="shared" si="6"/>
        <v/>
      </c>
      <c r="AH603" s="40" t="str">
        <f t="shared" si="7"/>
        <v/>
      </c>
      <c r="AI603" s="40" t="str">
        <f t="shared" si="8"/>
        <v/>
      </c>
      <c r="AJ603" s="40" t="str">
        <f>IF($K603="","",COUNTIF(Assignments!$B$6:$B$1000,$K603))</f>
        <v/>
      </c>
      <c r="AK603" s="40" t="str">
        <f>IF($K603="","",IF(AND($AJ603=0,$O603&lt;$N603),Config!$B$43,0))</f>
        <v/>
      </c>
      <c r="AL603" s="40" t="str">
        <f>IF($K603="","",IF(AND($M603="Elite",$G603&gt;=Config!$B$41,$O603&lt;$N603),Config!$B$42,0))</f>
        <v/>
      </c>
      <c r="AM603" s="22"/>
    </row>
    <row r="604" ht="15.75" customHeight="1">
      <c r="A604" s="40" t="str">
        <f t="shared" si="1"/>
        <v/>
      </c>
      <c r="B604" s="40" t="str">
        <f>IF(Bids!$A603="","",Bids!$A603)</f>
        <v/>
      </c>
      <c r="C604" s="40" t="str">
        <f>IF(Bids!$B603="","",Bids!$B603)</f>
        <v/>
      </c>
      <c r="D604" s="40" t="str">
        <f>IF($C604="","",IFERROR(VLOOKUP($C604,Orders!$A$4:$J$998,9,FALSE),""))</f>
        <v/>
      </c>
      <c r="E604" s="40" t="str">
        <f>IF($C604="","",IFERROR(VLOOKUP($C604,Orders!$A$4:$J$998,3,FALSE),""))</f>
        <v/>
      </c>
      <c r="F604" s="40">
        <f t="shared" si="2"/>
        <v>1</v>
      </c>
      <c r="G604" s="40" t="str">
        <f>IF($C604="","",IFERROR(VLOOKUP($C604,Orders!$A$4:$J$998,4,FALSE),""))</f>
        <v/>
      </c>
      <c r="H604" s="40" t="str">
        <f>IF($C604="","",IFERROR(VLOOKUP($C604,Orders!$A$4:$J$998,5,FALSE),""))</f>
        <v/>
      </c>
      <c r="I604" s="40" t="str">
        <f>IF($C604="","",IFERROR(VLOOKUP($C604,Orders!$A$4:$J$998,6,FALSE),""))</f>
        <v/>
      </c>
      <c r="J604" s="40" t="str">
        <f>IF($C604="","",IFERROR(VLOOKUP($C604,Orders!$A$4:$J$998,7,FALSE),""))</f>
        <v/>
      </c>
      <c r="K604" s="40" t="str">
        <f>IF(Bids!$C603="","",Bids!$C603)</f>
        <v/>
      </c>
      <c r="L604" s="40" t="str">
        <f>IF($K604="","",IFERROR(VLOOKUP($K604,Grinders!$A$4:$N$998,2,FALSE),""))</f>
        <v/>
      </c>
      <c r="M604" s="40" t="str">
        <f>IF($K604="","",IFERROR(VLOOKUP($K604,Grinders!$A$4:$N$998,3,FALSE),""))</f>
        <v/>
      </c>
      <c r="N604" s="40" t="str">
        <f>IF($K604="","",IFERROR(VLOOKUP($K604,Grinders!$A$4:$N$998,4,FALSE),""))</f>
        <v/>
      </c>
      <c r="O604" s="40" t="str">
        <f>IF($K604="","",IFERROR(VLOOKUP($K604,Grinders!$A$4:$N$998,5,FALSE),""))</f>
        <v/>
      </c>
      <c r="P604" s="40" t="str">
        <f>IF($K604="","",IF($C$4="",0,COUNTIFS(Assignments!$B$6:$B$1000,$K604,Assignments!$F$6:$F$1000,$C$4,Assignments!$E$6:$E$1000,"Active")))</f>
        <v/>
      </c>
      <c r="Q604" s="40" t="str">
        <f t="shared" si="3"/>
        <v/>
      </c>
      <c r="R604" s="40" t="str">
        <f t="shared" si="4"/>
        <v/>
      </c>
      <c r="S604" s="40" t="str">
        <f>IF($K604="","",IF($C$4="",0,COUNTIFS(Assignments!$B$6:$B$1000,$K604,Assignments!$F$6:$F$1000,$C$4,Assignments!$D$6:$D$1000,"&gt;="&amp;Config!$B$3-7,Assignments!$D$6:$D$1000,"&lt;="&amp;Config!$B$3)))</f>
        <v/>
      </c>
      <c r="T604" s="40" t="str">
        <f>IF($K604="","",IFERROR(VLOOKUP($K604,Grinders!$A$4:$N$998,8,FALSE),""))</f>
        <v/>
      </c>
      <c r="U604" s="40" t="str">
        <f>IFERROR(IF($K604="","",IF($M604="Elite",MAX(50,MIN(100,Config!$B$27*MAX(0,MIN(100,(1-IF($R604="",0,$R604))*100)) + Config!$B$28*MAX(0,MIN(100,(1-MIN(1,IF(Config!$B$30=0,1,$S604/Config!$B$30)))*100)) + Config!$B$29*MAX(0,MIN(100,MIN(1,IF($T604="",0,$T604)/Config!$B$23)*100)))),MIN(100,Config!$B$27*MAX(0,MIN(100,(1-IF($R604="",0,$R604))*100)) + Config!$B$28*MAX(0,MIN(100,(1-MIN(1,IF(Config!$B$30=0,1,$S604/Config!$B$30)))*100)) + Config!$B$29*MAX(0,MIN(100,MIN(1,IF($T604="",0,$T604)/Config!$B$23)*100))))),"")
</f>
        <v/>
      </c>
      <c r="V604" s="40" t="str">
        <f>IF(Bids!$D603="","",Bids!$D603)</f>
        <v/>
      </c>
      <c r="W604" s="40" t="str">
        <f>IF(Bids!$F603="","",Bids!$F603)</f>
        <v/>
      </c>
      <c r="X604" s="40" t="str">
        <f t="shared" si="5"/>
        <v/>
      </c>
      <c r="Y604" s="40" t="str">
        <f>IF($X604="","",IF(Config!$B$17=Config!$B$16,IF($X604&gt;=Config!$B$17,100,0),MAX(0,MIN(100,($X604-Config!$B$16)/(Config!$B$17-Config!$B$16)*100))))</f>
        <v/>
      </c>
      <c r="Z604" s="40">
        <f>IF($M604="Elite",Config!$B$21,0)</f>
        <v>0</v>
      </c>
      <c r="AA604" s="40" t="str">
        <f>IFERROR(IF(OR($W604="",$H604=""),"",IF($W604&gt;$H604,
  MAX(0, 60-(($W604-$H604)*24/Config!$B$19)*60),
  MIN(100, 60+(($H604-$W604)*24/Config!$B$20)*40)
)),"")
</f>
        <v/>
      </c>
      <c r="AB604" s="40" t="str">
        <f>IF($K604="","",IFERROR(VLOOKUP($K604,Grinders!$A$4:$N$998,10,FALSE)/5*100,""))</f>
        <v/>
      </c>
      <c r="AC604" s="40" t="str">
        <f>IF($K604="","",IFERROR(VLOOKUP($K604,Grinders!$A$4:$N$998,11,FALSE)*100,""))</f>
        <v/>
      </c>
      <c r="AD604" s="40" t="str">
        <f>IF($K604="","",IFERROR(VLOOKUP($K604,Grinders!$A$4:$N$998,12,FALSE)*100,""))</f>
        <v/>
      </c>
      <c r="AE604" s="40">
        <f>IFERROR(IFS(
    OR($C604="", $K604=""), 0,
    $F604=0, 0,
    $D604&lt;&gt;"Open", 0,
    COUNTIFS(GrinderServices!$B$4:$B$998, $K604, GrinderServices!$C$4:$C$998, $E604, GrinderServices!$E$4:$E$998, "Y")=0, 0,
    $X604&lt;Config!$B$16, 0,
    Config!$B$18=1, IF($O604&gt;=N604, 0, 1),
    TRUE, 1
), "")
</f>
        <v>0</v>
      </c>
      <c r="AF604" s="40" t="str">
        <f>IFERROR(IF($AE604=0,"",((Config!$B$6*$Y604 + Config!$B$7*$U604 + Config!$B$8*$Z604 + Config!$B$9*$AA604 + Config!$B$10*$AB604 + Config!$B$11*$AC604 - Config!$B$12*$AD604)/Config!$B$13)+$AK604+$AL604),"")</f>
        <v/>
      </c>
      <c r="AG604" s="40" t="str">
        <f t="shared" si="6"/>
        <v/>
      </c>
      <c r="AH604" s="40" t="str">
        <f t="shared" si="7"/>
        <v/>
      </c>
      <c r="AI604" s="40" t="str">
        <f t="shared" si="8"/>
        <v/>
      </c>
      <c r="AJ604" s="40" t="str">
        <f>IF($K604="","",COUNTIF(Assignments!$B$6:$B$1000,$K604))</f>
        <v/>
      </c>
      <c r="AK604" s="40" t="str">
        <f>IF($K604="","",IF(AND($AJ604=0,$O604&lt;$N604),Config!$B$43,0))</f>
        <v/>
      </c>
      <c r="AL604" s="40" t="str">
        <f>IF($K604="","",IF(AND($M604="Elite",$G604&gt;=Config!$B$41,$O604&lt;$N604),Config!$B$42,0))</f>
        <v/>
      </c>
      <c r="AM604" s="22"/>
    </row>
    <row r="605" ht="15.75" customHeight="1">
      <c r="A605" s="40" t="str">
        <f t="shared" si="1"/>
        <v/>
      </c>
      <c r="B605" s="40" t="str">
        <f>IF(Bids!$A604="","",Bids!$A604)</f>
        <v/>
      </c>
      <c r="C605" s="40" t="str">
        <f>IF(Bids!$B604="","",Bids!$B604)</f>
        <v/>
      </c>
      <c r="D605" s="40" t="str">
        <f>IF($C605="","",IFERROR(VLOOKUP($C605,Orders!$A$4:$J$998,9,FALSE),""))</f>
        <v/>
      </c>
      <c r="E605" s="40" t="str">
        <f>IF($C605="","",IFERROR(VLOOKUP($C605,Orders!$A$4:$J$998,3,FALSE),""))</f>
        <v/>
      </c>
      <c r="F605" s="40">
        <f t="shared" si="2"/>
        <v>1</v>
      </c>
      <c r="G605" s="40" t="str">
        <f>IF($C605="","",IFERROR(VLOOKUP($C605,Orders!$A$4:$J$998,4,FALSE),""))</f>
        <v/>
      </c>
      <c r="H605" s="40" t="str">
        <f>IF($C605="","",IFERROR(VLOOKUP($C605,Orders!$A$4:$J$998,5,FALSE),""))</f>
        <v/>
      </c>
      <c r="I605" s="40" t="str">
        <f>IF($C605="","",IFERROR(VLOOKUP($C605,Orders!$A$4:$J$998,6,FALSE),""))</f>
        <v/>
      </c>
      <c r="J605" s="40" t="str">
        <f>IF($C605="","",IFERROR(VLOOKUP($C605,Orders!$A$4:$J$998,7,FALSE),""))</f>
        <v/>
      </c>
      <c r="K605" s="40" t="str">
        <f>IF(Bids!$C604="","",Bids!$C604)</f>
        <v/>
      </c>
      <c r="L605" s="40" t="str">
        <f>IF($K605="","",IFERROR(VLOOKUP($K605,Grinders!$A$4:$N$998,2,FALSE),""))</f>
        <v/>
      </c>
      <c r="M605" s="40" t="str">
        <f>IF($K605="","",IFERROR(VLOOKUP($K605,Grinders!$A$4:$N$998,3,FALSE),""))</f>
        <v/>
      </c>
      <c r="N605" s="40" t="str">
        <f>IF($K605="","",IFERROR(VLOOKUP($K605,Grinders!$A$4:$N$998,4,FALSE),""))</f>
        <v/>
      </c>
      <c r="O605" s="40" t="str">
        <f>IF($K605="","",IFERROR(VLOOKUP($K605,Grinders!$A$4:$N$998,5,FALSE),""))</f>
        <v/>
      </c>
      <c r="P605" s="40" t="str">
        <f>IF($K605="","",IF($C$4="",0,COUNTIFS(Assignments!$B$6:$B$1000,$K605,Assignments!$F$6:$F$1000,$C$4,Assignments!$E$6:$E$1000,"Active")))</f>
        <v/>
      </c>
      <c r="Q605" s="40" t="str">
        <f t="shared" si="3"/>
        <v/>
      </c>
      <c r="R605" s="40" t="str">
        <f t="shared" si="4"/>
        <v/>
      </c>
      <c r="S605" s="40" t="str">
        <f>IF($K605="","",IF($C$4="",0,COUNTIFS(Assignments!$B$6:$B$1000,$K605,Assignments!$F$6:$F$1000,$C$4,Assignments!$D$6:$D$1000,"&gt;="&amp;Config!$B$3-7,Assignments!$D$6:$D$1000,"&lt;="&amp;Config!$B$3)))</f>
        <v/>
      </c>
      <c r="T605" s="40" t="str">
        <f>IF($K605="","",IFERROR(VLOOKUP($K605,Grinders!$A$4:$N$998,8,FALSE),""))</f>
        <v/>
      </c>
      <c r="U605" s="40" t="str">
        <f>IFERROR(IF($K605="","",IF($M605="Elite",MAX(50,MIN(100,Config!$B$27*MAX(0,MIN(100,(1-IF($R605="",0,$R605))*100)) + Config!$B$28*MAX(0,MIN(100,(1-MIN(1,IF(Config!$B$30=0,1,$S605/Config!$B$30)))*100)) + Config!$B$29*MAX(0,MIN(100,MIN(1,IF($T605="",0,$T605)/Config!$B$23)*100)))),MIN(100,Config!$B$27*MAX(0,MIN(100,(1-IF($R605="",0,$R605))*100)) + Config!$B$28*MAX(0,MIN(100,(1-MIN(1,IF(Config!$B$30=0,1,$S605/Config!$B$30)))*100)) + Config!$B$29*MAX(0,MIN(100,MIN(1,IF($T605="",0,$T605)/Config!$B$23)*100))))),"")
</f>
        <v/>
      </c>
      <c r="V605" s="40" t="str">
        <f>IF(Bids!$D604="","",Bids!$D604)</f>
        <v/>
      </c>
      <c r="W605" s="40" t="str">
        <f>IF(Bids!$F604="","",Bids!$F604)</f>
        <v/>
      </c>
      <c r="X605" s="40" t="str">
        <f t="shared" si="5"/>
        <v/>
      </c>
      <c r="Y605" s="40" t="str">
        <f>IF($X605="","",IF(Config!$B$17=Config!$B$16,IF($X605&gt;=Config!$B$17,100,0),MAX(0,MIN(100,($X605-Config!$B$16)/(Config!$B$17-Config!$B$16)*100))))</f>
        <v/>
      </c>
      <c r="Z605" s="40">
        <f>IF($M605="Elite",Config!$B$21,0)</f>
        <v>0</v>
      </c>
      <c r="AA605" s="40" t="str">
        <f>IFERROR(IF(OR($W605="",$H605=""),"",IF($W605&gt;$H605,
  MAX(0, 60-(($W605-$H605)*24/Config!$B$19)*60),
  MIN(100, 60+(($H605-$W605)*24/Config!$B$20)*40)
)),"")
</f>
        <v/>
      </c>
      <c r="AB605" s="40" t="str">
        <f>IF($K605="","",IFERROR(VLOOKUP($K605,Grinders!$A$4:$N$998,10,FALSE)/5*100,""))</f>
        <v/>
      </c>
      <c r="AC605" s="40" t="str">
        <f>IF($K605="","",IFERROR(VLOOKUP($K605,Grinders!$A$4:$N$998,11,FALSE)*100,""))</f>
        <v/>
      </c>
      <c r="AD605" s="40" t="str">
        <f>IF($K605="","",IFERROR(VLOOKUP($K605,Grinders!$A$4:$N$998,12,FALSE)*100,""))</f>
        <v/>
      </c>
      <c r="AE605" s="40">
        <f>IFERROR(IFS(
    OR($C605="", $K605=""), 0,
    $F605=0, 0,
    $D605&lt;&gt;"Open", 0,
    COUNTIFS(GrinderServices!$B$4:$B$998, $K605, GrinderServices!$C$4:$C$998, $E605, GrinderServices!$E$4:$E$998, "Y")=0, 0,
    $X605&lt;Config!$B$16, 0,
    Config!$B$18=1, IF($O605&gt;=N605, 0, 1),
    TRUE, 1
), "")
</f>
        <v>0</v>
      </c>
      <c r="AF605" s="40" t="str">
        <f>IFERROR(IF($AE605=0,"",((Config!$B$6*$Y605 + Config!$B$7*$U605 + Config!$B$8*$Z605 + Config!$B$9*$AA605 + Config!$B$10*$AB605 + Config!$B$11*$AC605 - Config!$B$12*$AD605)/Config!$B$13)+$AK605+$AL605),"")</f>
        <v/>
      </c>
      <c r="AG605" s="40" t="str">
        <f t="shared" si="6"/>
        <v/>
      </c>
      <c r="AH605" s="40" t="str">
        <f t="shared" si="7"/>
        <v/>
      </c>
      <c r="AI605" s="40" t="str">
        <f t="shared" si="8"/>
        <v/>
      </c>
      <c r="AJ605" s="40" t="str">
        <f>IF($K605="","",COUNTIF(Assignments!$B$6:$B$1000,$K605))</f>
        <v/>
      </c>
      <c r="AK605" s="40" t="str">
        <f>IF($K605="","",IF(AND($AJ605=0,$O605&lt;$N605),Config!$B$43,0))</f>
        <v/>
      </c>
      <c r="AL605" s="40" t="str">
        <f>IF($K605="","",IF(AND($M605="Elite",$G605&gt;=Config!$B$41,$O605&lt;$N605),Config!$B$42,0))</f>
        <v/>
      </c>
      <c r="AM605" s="22"/>
    </row>
    <row r="606" ht="15.75" customHeight="1">
      <c r="A606" s="40" t="str">
        <f t="shared" si="1"/>
        <v/>
      </c>
      <c r="B606" s="40" t="str">
        <f>IF(Bids!$A605="","",Bids!$A605)</f>
        <v/>
      </c>
      <c r="C606" s="40" t="str">
        <f>IF(Bids!$B605="","",Bids!$B605)</f>
        <v/>
      </c>
      <c r="D606" s="40" t="str">
        <f>IF($C606="","",IFERROR(VLOOKUP($C606,Orders!$A$4:$J$998,9,FALSE),""))</f>
        <v/>
      </c>
      <c r="E606" s="40" t="str">
        <f>IF($C606="","",IFERROR(VLOOKUP($C606,Orders!$A$4:$J$998,3,FALSE),""))</f>
        <v/>
      </c>
      <c r="F606" s="40">
        <f t="shared" si="2"/>
        <v>1</v>
      </c>
      <c r="G606" s="40" t="str">
        <f>IF($C606="","",IFERROR(VLOOKUP($C606,Orders!$A$4:$J$998,4,FALSE),""))</f>
        <v/>
      </c>
      <c r="H606" s="40" t="str">
        <f>IF($C606="","",IFERROR(VLOOKUP($C606,Orders!$A$4:$J$998,5,FALSE),""))</f>
        <v/>
      </c>
      <c r="I606" s="40" t="str">
        <f>IF($C606="","",IFERROR(VLOOKUP($C606,Orders!$A$4:$J$998,6,FALSE),""))</f>
        <v/>
      </c>
      <c r="J606" s="40" t="str">
        <f>IF($C606="","",IFERROR(VLOOKUP($C606,Orders!$A$4:$J$998,7,FALSE),""))</f>
        <v/>
      </c>
      <c r="K606" s="40" t="str">
        <f>IF(Bids!$C605="","",Bids!$C605)</f>
        <v/>
      </c>
      <c r="L606" s="40" t="str">
        <f>IF($K606="","",IFERROR(VLOOKUP($K606,Grinders!$A$4:$N$998,2,FALSE),""))</f>
        <v/>
      </c>
      <c r="M606" s="40" t="str">
        <f>IF($K606="","",IFERROR(VLOOKUP($K606,Grinders!$A$4:$N$998,3,FALSE),""))</f>
        <v/>
      </c>
      <c r="N606" s="40" t="str">
        <f>IF($K606="","",IFERROR(VLOOKUP($K606,Grinders!$A$4:$N$998,4,FALSE),""))</f>
        <v/>
      </c>
      <c r="O606" s="40" t="str">
        <f>IF($K606="","",IFERROR(VLOOKUP($K606,Grinders!$A$4:$N$998,5,FALSE),""))</f>
        <v/>
      </c>
      <c r="P606" s="40" t="str">
        <f>IF($K606="","",IF($C$4="",0,COUNTIFS(Assignments!$B$6:$B$1000,$K606,Assignments!$F$6:$F$1000,$C$4,Assignments!$E$6:$E$1000,"Active")))</f>
        <v/>
      </c>
      <c r="Q606" s="40" t="str">
        <f t="shared" si="3"/>
        <v/>
      </c>
      <c r="R606" s="40" t="str">
        <f t="shared" si="4"/>
        <v/>
      </c>
      <c r="S606" s="40" t="str">
        <f>IF($K606="","",IF($C$4="",0,COUNTIFS(Assignments!$B$6:$B$1000,$K606,Assignments!$F$6:$F$1000,$C$4,Assignments!$D$6:$D$1000,"&gt;="&amp;Config!$B$3-7,Assignments!$D$6:$D$1000,"&lt;="&amp;Config!$B$3)))</f>
        <v/>
      </c>
      <c r="T606" s="40" t="str">
        <f>IF($K606="","",IFERROR(VLOOKUP($K606,Grinders!$A$4:$N$998,8,FALSE),""))</f>
        <v/>
      </c>
      <c r="U606" s="40" t="str">
        <f>IFERROR(IF($K606="","",IF($M606="Elite",MAX(50,MIN(100,Config!$B$27*MAX(0,MIN(100,(1-IF($R606="",0,$R606))*100)) + Config!$B$28*MAX(0,MIN(100,(1-MIN(1,IF(Config!$B$30=0,1,$S606/Config!$B$30)))*100)) + Config!$B$29*MAX(0,MIN(100,MIN(1,IF($T606="",0,$T606)/Config!$B$23)*100)))),MIN(100,Config!$B$27*MAX(0,MIN(100,(1-IF($R606="",0,$R606))*100)) + Config!$B$28*MAX(0,MIN(100,(1-MIN(1,IF(Config!$B$30=0,1,$S606/Config!$B$30)))*100)) + Config!$B$29*MAX(0,MIN(100,MIN(1,IF($T606="",0,$T606)/Config!$B$23)*100))))),"")
</f>
        <v/>
      </c>
      <c r="V606" s="40" t="str">
        <f>IF(Bids!$D605="","",Bids!$D605)</f>
        <v/>
      </c>
      <c r="W606" s="40" t="str">
        <f>IF(Bids!$F605="","",Bids!$F605)</f>
        <v/>
      </c>
      <c r="X606" s="40" t="str">
        <f t="shared" si="5"/>
        <v/>
      </c>
      <c r="Y606" s="40" t="str">
        <f>IF($X606="","",IF(Config!$B$17=Config!$B$16,IF($X606&gt;=Config!$B$17,100,0),MAX(0,MIN(100,($X606-Config!$B$16)/(Config!$B$17-Config!$B$16)*100))))</f>
        <v/>
      </c>
      <c r="Z606" s="40">
        <f>IF($M606="Elite",Config!$B$21,0)</f>
        <v>0</v>
      </c>
      <c r="AA606" s="40" t="str">
        <f>IFERROR(IF(OR($W606="",$H606=""),"",IF($W606&gt;$H606,
  MAX(0, 60-(($W606-$H606)*24/Config!$B$19)*60),
  MIN(100, 60+(($H606-$W606)*24/Config!$B$20)*40)
)),"")
</f>
        <v/>
      </c>
      <c r="AB606" s="40" t="str">
        <f>IF($K606="","",IFERROR(VLOOKUP($K606,Grinders!$A$4:$N$998,10,FALSE)/5*100,""))</f>
        <v/>
      </c>
      <c r="AC606" s="40" t="str">
        <f>IF($K606="","",IFERROR(VLOOKUP($K606,Grinders!$A$4:$N$998,11,FALSE)*100,""))</f>
        <v/>
      </c>
      <c r="AD606" s="40" t="str">
        <f>IF($K606="","",IFERROR(VLOOKUP($K606,Grinders!$A$4:$N$998,12,FALSE)*100,""))</f>
        <v/>
      </c>
      <c r="AE606" s="40">
        <f>IFERROR(IFS(
    OR($C606="", $K606=""), 0,
    $F606=0, 0,
    $D606&lt;&gt;"Open", 0,
    COUNTIFS(GrinderServices!$B$4:$B$998, $K606, GrinderServices!$C$4:$C$998, $E606, GrinderServices!$E$4:$E$998, "Y")=0, 0,
    $X606&lt;Config!$B$16, 0,
    Config!$B$18=1, IF($O606&gt;=N606, 0, 1),
    TRUE, 1
), "")
</f>
        <v>0</v>
      </c>
      <c r="AF606" s="40" t="str">
        <f>IFERROR(IF($AE606=0,"",((Config!$B$6*$Y606 + Config!$B$7*$U606 + Config!$B$8*$Z606 + Config!$B$9*$AA606 + Config!$B$10*$AB606 + Config!$B$11*$AC606 - Config!$B$12*$AD606)/Config!$B$13)+$AK606+$AL606),"")</f>
        <v/>
      </c>
      <c r="AG606" s="40" t="str">
        <f t="shared" si="6"/>
        <v/>
      </c>
      <c r="AH606" s="40" t="str">
        <f t="shared" si="7"/>
        <v/>
      </c>
      <c r="AI606" s="40" t="str">
        <f t="shared" si="8"/>
        <v/>
      </c>
      <c r="AJ606" s="40" t="str">
        <f>IF($K606="","",COUNTIF(Assignments!$B$6:$B$1000,$K606))</f>
        <v/>
      </c>
      <c r="AK606" s="40" t="str">
        <f>IF($K606="","",IF(AND($AJ606=0,$O606&lt;$N606),Config!$B$43,0))</f>
        <v/>
      </c>
      <c r="AL606" s="40" t="str">
        <f>IF($K606="","",IF(AND($M606="Elite",$G606&gt;=Config!$B$41,$O606&lt;$N606),Config!$B$42,0))</f>
        <v/>
      </c>
      <c r="AM606" s="22"/>
    </row>
    <row r="607" ht="15.75" customHeight="1">
      <c r="A607" s="40" t="str">
        <f t="shared" si="1"/>
        <v/>
      </c>
      <c r="B607" s="40" t="str">
        <f>IF(Bids!$A606="","",Bids!$A606)</f>
        <v/>
      </c>
      <c r="C607" s="40" t="str">
        <f>IF(Bids!$B606="","",Bids!$B606)</f>
        <v/>
      </c>
      <c r="D607" s="40" t="str">
        <f>IF($C607="","",IFERROR(VLOOKUP($C607,Orders!$A$4:$J$998,9,FALSE),""))</f>
        <v/>
      </c>
      <c r="E607" s="40" t="str">
        <f>IF($C607="","",IFERROR(VLOOKUP($C607,Orders!$A$4:$J$998,3,FALSE),""))</f>
        <v/>
      </c>
      <c r="F607" s="40">
        <f t="shared" si="2"/>
        <v>1</v>
      </c>
      <c r="G607" s="40" t="str">
        <f>IF($C607="","",IFERROR(VLOOKUP($C607,Orders!$A$4:$J$998,4,FALSE),""))</f>
        <v/>
      </c>
      <c r="H607" s="40" t="str">
        <f>IF($C607="","",IFERROR(VLOOKUP($C607,Orders!$A$4:$J$998,5,FALSE),""))</f>
        <v/>
      </c>
      <c r="I607" s="40" t="str">
        <f>IF($C607="","",IFERROR(VLOOKUP($C607,Orders!$A$4:$J$998,6,FALSE),""))</f>
        <v/>
      </c>
      <c r="J607" s="40" t="str">
        <f>IF($C607="","",IFERROR(VLOOKUP($C607,Orders!$A$4:$J$998,7,FALSE),""))</f>
        <v/>
      </c>
      <c r="K607" s="40" t="str">
        <f>IF(Bids!$C606="","",Bids!$C606)</f>
        <v/>
      </c>
      <c r="L607" s="40" t="str">
        <f>IF($K607="","",IFERROR(VLOOKUP($K607,Grinders!$A$4:$N$998,2,FALSE),""))</f>
        <v/>
      </c>
      <c r="M607" s="40" t="str">
        <f>IF($K607="","",IFERROR(VLOOKUP($K607,Grinders!$A$4:$N$998,3,FALSE),""))</f>
        <v/>
      </c>
      <c r="N607" s="40" t="str">
        <f>IF($K607="","",IFERROR(VLOOKUP($K607,Grinders!$A$4:$N$998,4,FALSE),""))</f>
        <v/>
      </c>
      <c r="O607" s="40" t="str">
        <f>IF($K607="","",IFERROR(VLOOKUP($K607,Grinders!$A$4:$N$998,5,FALSE),""))</f>
        <v/>
      </c>
      <c r="P607" s="40" t="str">
        <f>IF($K607="","",IF($C$4="",0,COUNTIFS(Assignments!$B$6:$B$1000,$K607,Assignments!$F$6:$F$1000,$C$4,Assignments!$E$6:$E$1000,"Active")))</f>
        <v/>
      </c>
      <c r="Q607" s="40" t="str">
        <f t="shared" si="3"/>
        <v/>
      </c>
      <c r="R607" s="40" t="str">
        <f t="shared" si="4"/>
        <v/>
      </c>
      <c r="S607" s="40" t="str">
        <f>IF($K607="","",IF($C$4="",0,COUNTIFS(Assignments!$B$6:$B$1000,$K607,Assignments!$F$6:$F$1000,$C$4,Assignments!$D$6:$D$1000,"&gt;="&amp;Config!$B$3-7,Assignments!$D$6:$D$1000,"&lt;="&amp;Config!$B$3)))</f>
        <v/>
      </c>
      <c r="T607" s="40" t="str">
        <f>IF($K607="","",IFERROR(VLOOKUP($K607,Grinders!$A$4:$N$998,8,FALSE),""))</f>
        <v/>
      </c>
      <c r="U607" s="40" t="str">
        <f>IFERROR(IF($K607="","",IF($M607="Elite",MAX(50,MIN(100,Config!$B$27*MAX(0,MIN(100,(1-IF($R607="",0,$R607))*100)) + Config!$B$28*MAX(0,MIN(100,(1-MIN(1,IF(Config!$B$30=0,1,$S607/Config!$B$30)))*100)) + Config!$B$29*MAX(0,MIN(100,MIN(1,IF($T607="",0,$T607)/Config!$B$23)*100)))),MIN(100,Config!$B$27*MAX(0,MIN(100,(1-IF($R607="",0,$R607))*100)) + Config!$B$28*MAX(0,MIN(100,(1-MIN(1,IF(Config!$B$30=0,1,$S607/Config!$B$30)))*100)) + Config!$B$29*MAX(0,MIN(100,MIN(1,IF($T607="",0,$T607)/Config!$B$23)*100))))),"")
</f>
        <v/>
      </c>
      <c r="V607" s="40" t="str">
        <f>IF(Bids!$D606="","",Bids!$D606)</f>
        <v/>
      </c>
      <c r="W607" s="40" t="str">
        <f>IF(Bids!$F606="","",Bids!$F606)</f>
        <v/>
      </c>
      <c r="X607" s="40" t="str">
        <f t="shared" si="5"/>
        <v/>
      </c>
      <c r="Y607" s="40" t="str">
        <f>IF($X607="","",IF(Config!$B$17=Config!$B$16,IF($X607&gt;=Config!$B$17,100,0),MAX(0,MIN(100,($X607-Config!$B$16)/(Config!$B$17-Config!$B$16)*100))))</f>
        <v/>
      </c>
      <c r="Z607" s="40">
        <f>IF($M607="Elite",Config!$B$21,0)</f>
        <v>0</v>
      </c>
      <c r="AA607" s="40" t="str">
        <f>IFERROR(IF(OR($W607="",$H607=""),"",IF($W607&gt;$H607,
  MAX(0, 60-(($W607-$H607)*24/Config!$B$19)*60),
  MIN(100, 60+(($H607-$W607)*24/Config!$B$20)*40)
)),"")
</f>
        <v/>
      </c>
      <c r="AB607" s="40" t="str">
        <f>IF($K607="","",IFERROR(VLOOKUP($K607,Grinders!$A$4:$N$998,10,FALSE)/5*100,""))</f>
        <v/>
      </c>
      <c r="AC607" s="40" t="str">
        <f>IF($K607="","",IFERROR(VLOOKUP($K607,Grinders!$A$4:$N$998,11,FALSE)*100,""))</f>
        <v/>
      </c>
      <c r="AD607" s="40" t="str">
        <f>IF($K607="","",IFERROR(VLOOKUP($K607,Grinders!$A$4:$N$998,12,FALSE)*100,""))</f>
        <v/>
      </c>
      <c r="AE607" s="40">
        <f>IFERROR(IFS(
    OR($C607="", $K607=""), 0,
    $F607=0, 0,
    $D607&lt;&gt;"Open", 0,
    COUNTIFS(GrinderServices!$B$4:$B$998, $K607, GrinderServices!$C$4:$C$998, $E607, GrinderServices!$E$4:$E$998, "Y")=0, 0,
    $X607&lt;Config!$B$16, 0,
    Config!$B$18=1, IF($O607&gt;=N607, 0, 1),
    TRUE, 1
), "")
</f>
        <v>0</v>
      </c>
      <c r="AF607" s="40" t="str">
        <f>IFERROR(IF($AE607=0,"",((Config!$B$6*$Y607 + Config!$B$7*$U607 + Config!$B$8*$Z607 + Config!$B$9*$AA607 + Config!$B$10*$AB607 + Config!$B$11*$AC607 - Config!$B$12*$AD607)/Config!$B$13)+$AK607+$AL607),"")</f>
        <v/>
      </c>
      <c r="AG607" s="40" t="str">
        <f t="shared" si="6"/>
        <v/>
      </c>
      <c r="AH607" s="40" t="str">
        <f t="shared" si="7"/>
        <v/>
      </c>
      <c r="AI607" s="40" t="str">
        <f t="shared" si="8"/>
        <v/>
      </c>
      <c r="AJ607" s="40" t="str">
        <f>IF($K607="","",COUNTIF(Assignments!$B$6:$B$1000,$K607))</f>
        <v/>
      </c>
      <c r="AK607" s="40" t="str">
        <f>IF($K607="","",IF(AND($AJ607=0,$O607&lt;$N607),Config!$B$43,0))</f>
        <v/>
      </c>
      <c r="AL607" s="40" t="str">
        <f>IF($K607="","",IF(AND($M607="Elite",$G607&gt;=Config!$B$41,$O607&lt;$N607),Config!$B$42,0))</f>
        <v/>
      </c>
      <c r="AM607" s="22"/>
    </row>
    <row r="608" ht="15.75" customHeight="1">
      <c r="A608" s="40" t="str">
        <f t="shared" si="1"/>
        <v/>
      </c>
      <c r="B608" s="40" t="str">
        <f>IF(Bids!$A607="","",Bids!$A607)</f>
        <v/>
      </c>
      <c r="C608" s="40" t="str">
        <f>IF(Bids!$B607="","",Bids!$B607)</f>
        <v/>
      </c>
      <c r="D608" s="40" t="str">
        <f>IF($C608="","",IFERROR(VLOOKUP($C608,Orders!$A$4:$J$998,9,FALSE),""))</f>
        <v/>
      </c>
      <c r="E608" s="40" t="str">
        <f>IF($C608="","",IFERROR(VLOOKUP($C608,Orders!$A$4:$J$998,3,FALSE),""))</f>
        <v/>
      </c>
      <c r="F608" s="40">
        <f t="shared" si="2"/>
        <v>1</v>
      </c>
      <c r="G608" s="40" t="str">
        <f>IF($C608="","",IFERROR(VLOOKUP($C608,Orders!$A$4:$J$998,4,FALSE),""))</f>
        <v/>
      </c>
      <c r="H608" s="40" t="str">
        <f>IF($C608="","",IFERROR(VLOOKUP($C608,Orders!$A$4:$J$998,5,FALSE),""))</f>
        <v/>
      </c>
      <c r="I608" s="40" t="str">
        <f>IF($C608="","",IFERROR(VLOOKUP($C608,Orders!$A$4:$J$998,6,FALSE),""))</f>
        <v/>
      </c>
      <c r="J608" s="40" t="str">
        <f>IF($C608="","",IFERROR(VLOOKUP($C608,Orders!$A$4:$J$998,7,FALSE),""))</f>
        <v/>
      </c>
      <c r="K608" s="40" t="str">
        <f>IF(Bids!$C607="","",Bids!$C607)</f>
        <v/>
      </c>
      <c r="L608" s="40" t="str">
        <f>IF($K608="","",IFERROR(VLOOKUP($K608,Grinders!$A$4:$N$998,2,FALSE),""))</f>
        <v/>
      </c>
      <c r="M608" s="40" t="str">
        <f>IF($K608="","",IFERROR(VLOOKUP($K608,Grinders!$A$4:$N$998,3,FALSE),""))</f>
        <v/>
      </c>
      <c r="N608" s="40" t="str">
        <f>IF($K608="","",IFERROR(VLOOKUP($K608,Grinders!$A$4:$N$998,4,FALSE),""))</f>
        <v/>
      </c>
      <c r="O608" s="40" t="str">
        <f>IF($K608="","",IFERROR(VLOOKUP($K608,Grinders!$A$4:$N$998,5,FALSE),""))</f>
        <v/>
      </c>
      <c r="P608" s="40" t="str">
        <f>IF($K608="","",IF($C$4="",0,COUNTIFS(Assignments!$B$6:$B$1000,$K608,Assignments!$F$6:$F$1000,$C$4,Assignments!$E$6:$E$1000,"Active")))</f>
        <v/>
      </c>
      <c r="Q608" s="40" t="str">
        <f t="shared" si="3"/>
        <v/>
      </c>
      <c r="R608" s="40" t="str">
        <f t="shared" si="4"/>
        <v/>
      </c>
      <c r="S608" s="40" t="str">
        <f>IF($K608="","",IF($C$4="",0,COUNTIFS(Assignments!$B$6:$B$1000,$K608,Assignments!$F$6:$F$1000,$C$4,Assignments!$D$6:$D$1000,"&gt;="&amp;Config!$B$3-7,Assignments!$D$6:$D$1000,"&lt;="&amp;Config!$B$3)))</f>
        <v/>
      </c>
      <c r="T608" s="40" t="str">
        <f>IF($K608="","",IFERROR(VLOOKUP($K608,Grinders!$A$4:$N$998,8,FALSE),""))</f>
        <v/>
      </c>
      <c r="U608" s="40" t="str">
        <f>IFERROR(IF($K608="","",IF($M608="Elite",MAX(50,MIN(100,Config!$B$27*MAX(0,MIN(100,(1-IF($R608="",0,$R608))*100)) + Config!$B$28*MAX(0,MIN(100,(1-MIN(1,IF(Config!$B$30=0,1,$S608/Config!$B$30)))*100)) + Config!$B$29*MAX(0,MIN(100,MIN(1,IF($T608="",0,$T608)/Config!$B$23)*100)))),MIN(100,Config!$B$27*MAX(0,MIN(100,(1-IF($R608="",0,$R608))*100)) + Config!$B$28*MAX(0,MIN(100,(1-MIN(1,IF(Config!$B$30=0,1,$S608/Config!$B$30)))*100)) + Config!$B$29*MAX(0,MIN(100,MIN(1,IF($T608="",0,$T608)/Config!$B$23)*100))))),"")
</f>
        <v/>
      </c>
      <c r="V608" s="40" t="str">
        <f>IF(Bids!$D607="","",Bids!$D607)</f>
        <v/>
      </c>
      <c r="W608" s="40" t="str">
        <f>IF(Bids!$F607="","",Bids!$F607)</f>
        <v/>
      </c>
      <c r="X608" s="40" t="str">
        <f t="shared" si="5"/>
        <v/>
      </c>
      <c r="Y608" s="40" t="str">
        <f>IF($X608="","",IF(Config!$B$17=Config!$B$16,IF($X608&gt;=Config!$B$17,100,0),MAX(0,MIN(100,($X608-Config!$B$16)/(Config!$B$17-Config!$B$16)*100))))</f>
        <v/>
      </c>
      <c r="Z608" s="40">
        <f>IF($M608="Elite",Config!$B$21,0)</f>
        <v>0</v>
      </c>
      <c r="AA608" s="40" t="str">
        <f>IFERROR(IF(OR($W608="",$H608=""),"",IF($W608&gt;$H608,
  MAX(0, 60-(($W608-$H608)*24/Config!$B$19)*60),
  MIN(100, 60+(($H608-$W608)*24/Config!$B$20)*40)
)),"")
</f>
        <v/>
      </c>
      <c r="AB608" s="40" t="str">
        <f>IF($K608="","",IFERROR(VLOOKUP($K608,Grinders!$A$4:$N$998,10,FALSE)/5*100,""))</f>
        <v/>
      </c>
      <c r="AC608" s="40" t="str">
        <f>IF($K608="","",IFERROR(VLOOKUP($K608,Grinders!$A$4:$N$998,11,FALSE)*100,""))</f>
        <v/>
      </c>
      <c r="AD608" s="40" t="str">
        <f>IF($K608="","",IFERROR(VLOOKUP($K608,Grinders!$A$4:$N$998,12,FALSE)*100,""))</f>
        <v/>
      </c>
      <c r="AE608" s="40">
        <f>IFERROR(IFS(
    OR($C608="", $K608=""), 0,
    $F608=0, 0,
    $D608&lt;&gt;"Open", 0,
    COUNTIFS(GrinderServices!$B$4:$B$998, $K608, GrinderServices!$C$4:$C$998, $E608, GrinderServices!$E$4:$E$998, "Y")=0, 0,
    $X608&lt;Config!$B$16, 0,
    Config!$B$18=1, IF($O608&gt;=N608, 0, 1),
    TRUE, 1
), "")
</f>
        <v>0</v>
      </c>
      <c r="AF608" s="40" t="str">
        <f>IFERROR(IF($AE608=0,"",((Config!$B$6*$Y608 + Config!$B$7*$U608 + Config!$B$8*$Z608 + Config!$B$9*$AA608 + Config!$B$10*$AB608 + Config!$B$11*$AC608 - Config!$B$12*$AD608)/Config!$B$13)+$AK608+$AL608),"")</f>
        <v/>
      </c>
      <c r="AG608" s="40" t="str">
        <f t="shared" si="6"/>
        <v/>
      </c>
      <c r="AH608" s="40" t="str">
        <f t="shared" si="7"/>
        <v/>
      </c>
      <c r="AI608" s="40" t="str">
        <f t="shared" si="8"/>
        <v/>
      </c>
      <c r="AJ608" s="40" t="str">
        <f>IF($K608="","",COUNTIF(Assignments!$B$6:$B$1000,$K608))</f>
        <v/>
      </c>
      <c r="AK608" s="40" t="str">
        <f>IF($K608="","",IF(AND($AJ608=0,$O608&lt;$N608),Config!$B$43,0))</f>
        <v/>
      </c>
      <c r="AL608" s="40" t="str">
        <f>IF($K608="","",IF(AND($M608="Elite",$G608&gt;=Config!$B$41,$O608&lt;$N608),Config!$B$42,0))</f>
        <v/>
      </c>
      <c r="AM608" s="22"/>
    </row>
    <row r="609" ht="15.75" customHeight="1">
      <c r="A609" s="40" t="str">
        <f t="shared" si="1"/>
        <v/>
      </c>
      <c r="B609" s="40" t="str">
        <f>IF(Bids!$A608="","",Bids!$A608)</f>
        <v/>
      </c>
      <c r="C609" s="40" t="str">
        <f>IF(Bids!$B608="","",Bids!$B608)</f>
        <v/>
      </c>
      <c r="D609" s="40" t="str">
        <f>IF($C609="","",IFERROR(VLOOKUP($C609,Orders!$A$4:$J$998,9,FALSE),""))</f>
        <v/>
      </c>
      <c r="E609" s="40" t="str">
        <f>IF($C609="","",IFERROR(VLOOKUP($C609,Orders!$A$4:$J$998,3,FALSE),""))</f>
        <v/>
      </c>
      <c r="F609" s="40">
        <f t="shared" si="2"/>
        <v>1</v>
      </c>
      <c r="G609" s="40" t="str">
        <f>IF($C609="","",IFERROR(VLOOKUP($C609,Orders!$A$4:$J$998,4,FALSE),""))</f>
        <v/>
      </c>
      <c r="H609" s="40" t="str">
        <f>IF($C609="","",IFERROR(VLOOKUP($C609,Orders!$A$4:$J$998,5,FALSE),""))</f>
        <v/>
      </c>
      <c r="I609" s="40" t="str">
        <f>IF($C609="","",IFERROR(VLOOKUP($C609,Orders!$A$4:$J$998,6,FALSE),""))</f>
        <v/>
      </c>
      <c r="J609" s="40" t="str">
        <f>IF($C609="","",IFERROR(VLOOKUP($C609,Orders!$A$4:$J$998,7,FALSE),""))</f>
        <v/>
      </c>
      <c r="K609" s="40" t="str">
        <f>IF(Bids!$C608="","",Bids!$C608)</f>
        <v/>
      </c>
      <c r="L609" s="40" t="str">
        <f>IF($K609="","",IFERROR(VLOOKUP($K609,Grinders!$A$4:$N$998,2,FALSE),""))</f>
        <v/>
      </c>
      <c r="M609" s="40" t="str">
        <f>IF($K609="","",IFERROR(VLOOKUP($K609,Grinders!$A$4:$N$998,3,FALSE),""))</f>
        <v/>
      </c>
      <c r="N609" s="40" t="str">
        <f>IF($K609="","",IFERROR(VLOOKUP($K609,Grinders!$A$4:$N$998,4,FALSE),""))</f>
        <v/>
      </c>
      <c r="O609" s="40" t="str">
        <f>IF($K609="","",IFERROR(VLOOKUP($K609,Grinders!$A$4:$N$998,5,FALSE),""))</f>
        <v/>
      </c>
      <c r="P609" s="40" t="str">
        <f>IF($K609="","",IF($C$4="",0,COUNTIFS(Assignments!$B$6:$B$1000,$K609,Assignments!$F$6:$F$1000,$C$4,Assignments!$E$6:$E$1000,"Active")))</f>
        <v/>
      </c>
      <c r="Q609" s="40" t="str">
        <f t="shared" si="3"/>
        <v/>
      </c>
      <c r="R609" s="40" t="str">
        <f t="shared" si="4"/>
        <v/>
      </c>
      <c r="S609" s="40" t="str">
        <f>IF($K609="","",IF($C$4="",0,COUNTIFS(Assignments!$B$6:$B$1000,$K609,Assignments!$F$6:$F$1000,$C$4,Assignments!$D$6:$D$1000,"&gt;="&amp;Config!$B$3-7,Assignments!$D$6:$D$1000,"&lt;="&amp;Config!$B$3)))</f>
        <v/>
      </c>
      <c r="T609" s="40" t="str">
        <f>IF($K609="","",IFERROR(VLOOKUP($K609,Grinders!$A$4:$N$998,8,FALSE),""))</f>
        <v/>
      </c>
      <c r="U609" s="40" t="str">
        <f>IFERROR(IF($K609="","",IF($M609="Elite",MAX(50,MIN(100,Config!$B$27*MAX(0,MIN(100,(1-IF($R609="",0,$R609))*100)) + Config!$B$28*MAX(0,MIN(100,(1-MIN(1,IF(Config!$B$30=0,1,$S609/Config!$B$30)))*100)) + Config!$B$29*MAX(0,MIN(100,MIN(1,IF($T609="",0,$T609)/Config!$B$23)*100)))),MIN(100,Config!$B$27*MAX(0,MIN(100,(1-IF($R609="",0,$R609))*100)) + Config!$B$28*MAX(0,MIN(100,(1-MIN(1,IF(Config!$B$30=0,1,$S609/Config!$B$30)))*100)) + Config!$B$29*MAX(0,MIN(100,MIN(1,IF($T609="",0,$T609)/Config!$B$23)*100))))),"")
</f>
        <v/>
      </c>
      <c r="V609" s="40" t="str">
        <f>IF(Bids!$D608="","",Bids!$D608)</f>
        <v/>
      </c>
      <c r="W609" s="40" t="str">
        <f>IF(Bids!$F608="","",Bids!$F608)</f>
        <v/>
      </c>
      <c r="X609" s="40" t="str">
        <f t="shared" si="5"/>
        <v/>
      </c>
      <c r="Y609" s="40" t="str">
        <f>IF($X609="","",IF(Config!$B$17=Config!$B$16,IF($X609&gt;=Config!$B$17,100,0),MAX(0,MIN(100,($X609-Config!$B$16)/(Config!$B$17-Config!$B$16)*100))))</f>
        <v/>
      </c>
      <c r="Z609" s="40">
        <f>IF($M609="Elite",Config!$B$21,0)</f>
        <v>0</v>
      </c>
      <c r="AA609" s="40" t="str">
        <f>IFERROR(IF(OR($W609="",$H609=""),"",IF($W609&gt;$H609,
  MAX(0, 60-(($W609-$H609)*24/Config!$B$19)*60),
  MIN(100, 60+(($H609-$W609)*24/Config!$B$20)*40)
)),"")
</f>
        <v/>
      </c>
      <c r="AB609" s="40" t="str">
        <f>IF($K609="","",IFERROR(VLOOKUP($K609,Grinders!$A$4:$N$998,10,FALSE)/5*100,""))</f>
        <v/>
      </c>
      <c r="AC609" s="40" t="str">
        <f>IF($K609="","",IFERROR(VLOOKUP($K609,Grinders!$A$4:$N$998,11,FALSE)*100,""))</f>
        <v/>
      </c>
      <c r="AD609" s="40" t="str">
        <f>IF($K609="","",IFERROR(VLOOKUP($K609,Grinders!$A$4:$N$998,12,FALSE)*100,""))</f>
        <v/>
      </c>
      <c r="AE609" s="40">
        <f>IFERROR(IFS(
    OR($C609="", $K609=""), 0,
    $F609=0, 0,
    $D609&lt;&gt;"Open", 0,
    COUNTIFS(GrinderServices!$B$4:$B$998, $K609, GrinderServices!$C$4:$C$998, $E609, GrinderServices!$E$4:$E$998, "Y")=0, 0,
    $X609&lt;Config!$B$16, 0,
    Config!$B$18=1, IF($O609&gt;=N609, 0, 1),
    TRUE, 1
), "")
</f>
        <v>0</v>
      </c>
      <c r="AF609" s="40" t="str">
        <f>IFERROR(IF($AE609=0,"",((Config!$B$6*$Y609 + Config!$B$7*$U609 + Config!$B$8*$Z609 + Config!$B$9*$AA609 + Config!$B$10*$AB609 + Config!$B$11*$AC609 - Config!$B$12*$AD609)/Config!$B$13)+$AK609+$AL609),"")</f>
        <v/>
      </c>
      <c r="AG609" s="40" t="str">
        <f t="shared" si="6"/>
        <v/>
      </c>
      <c r="AH609" s="40" t="str">
        <f t="shared" si="7"/>
        <v/>
      </c>
      <c r="AI609" s="40" t="str">
        <f t="shared" si="8"/>
        <v/>
      </c>
      <c r="AJ609" s="40" t="str">
        <f>IF($K609="","",COUNTIF(Assignments!$B$6:$B$1000,$K609))</f>
        <v/>
      </c>
      <c r="AK609" s="40" t="str">
        <f>IF($K609="","",IF(AND($AJ609=0,$O609&lt;$N609),Config!$B$43,0))</f>
        <v/>
      </c>
      <c r="AL609" s="40" t="str">
        <f>IF($K609="","",IF(AND($M609="Elite",$G609&gt;=Config!$B$41,$O609&lt;$N609),Config!$B$42,0))</f>
        <v/>
      </c>
      <c r="AM609" s="22"/>
    </row>
    <row r="610" ht="15.75" customHeight="1">
      <c r="A610" s="40" t="str">
        <f t="shared" si="1"/>
        <v/>
      </c>
      <c r="B610" s="40" t="str">
        <f>IF(Bids!$A609="","",Bids!$A609)</f>
        <v/>
      </c>
      <c r="C610" s="40" t="str">
        <f>IF(Bids!$B609="","",Bids!$B609)</f>
        <v/>
      </c>
      <c r="D610" s="40" t="str">
        <f>IF($C610="","",IFERROR(VLOOKUP($C610,Orders!$A$4:$J$998,9,FALSE),""))</f>
        <v/>
      </c>
      <c r="E610" s="40" t="str">
        <f>IF($C610="","",IFERROR(VLOOKUP($C610,Orders!$A$4:$J$998,3,FALSE),""))</f>
        <v/>
      </c>
      <c r="F610" s="40">
        <f t="shared" si="2"/>
        <v>1</v>
      </c>
      <c r="G610" s="40" t="str">
        <f>IF($C610="","",IFERROR(VLOOKUP($C610,Orders!$A$4:$J$998,4,FALSE),""))</f>
        <v/>
      </c>
      <c r="H610" s="40" t="str">
        <f>IF($C610="","",IFERROR(VLOOKUP($C610,Orders!$A$4:$J$998,5,FALSE),""))</f>
        <v/>
      </c>
      <c r="I610" s="40" t="str">
        <f>IF($C610="","",IFERROR(VLOOKUP($C610,Orders!$A$4:$J$998,6,FALSE),""))</f>
        <v/>
      </c>
      <c r="J610" s="40" t="str">
        <f>IF($C610="","",IFERROR(VLOOKUP($C610,Orders!$A$4:$J$998,7,FALSE),""))</f>
        <v/>
      </c>
      <c r="K610" s="40" t="str">
        <f>IF(Bids!$C609="","",Bids!$C609)</f>
        <v/>
      </c>
      <c r="L610" s="40" t="str">
        <f>IF($K610="","",IFERROR(VLOOKUP($K610,Grinders!$A$4:$N$998,2,FALSE),""))</f>
        <v/>
      </c>
      <c r="M610" s="40" t="str">
        <f>IF($K610="","",IFERROR(VLOOKUP($K610,Grinders!$A$4:$N$998,3,FALSE),""))</f>
        <v/>
      </c>
      <c r="N610" s="40" t="str">
        <f>IF($K610="","",IFERROR(VLOOKUP($K610,Grinders!$A$4:$N$998,4,FALSE),""))</f>
        <v/>
      </c>
      <c r="O610" s="40" t="str">
        <f>IF($K610="","",IFERROR(VLOOKUP($K610,Grinders!$A$4:$N$998,5,FALSE),""))</f>
        <v/>
      </c>
      <c r="P610" s="40" t="str">
        <f>IF($K610="","",IF($C$4="",0,COUNTIFS(Assignments!$B$6:$B$1000,$K610,Assignments!$F$6:$F$1000,$C$4,Assignments!$E$6:$E$1000,"Active")))</f>
        <v/>
      </c>
      <c r="Q610" s="40" t="str">
        <f t="shared" si="3"/>
        <v/>
      </c>
      <c r="R610" s="40" t="str">
        <f t="shared" si="4"/>
        <v/>
      </c>
      <c r="S610" s="40" t="str">
        <f>IF($K610="","",IF($C$4="",0,COUNTIFS(Assignments!$B$6:$B$1000,$K610,Assignments!$F$6:$F$1000,$C$4,Assignments!$D$6:$D$1000,"&gt;="&amp;Config!$B$3-7,Assignments!$D$6:$D$1000,"&lt;="&amp;Config!$B$3)))</f>
        <v/>
      </c>
      <c r="T610" s="40" t="str">
        <f>IF($K610="","",IFERROR(VLOOKUP($K610,Grinders!$A$4:$N$998,8,FALSE),""))</f>
        <v/>
      </c>
      <c r="U610" s="40" t="str">
        <f>IFERROR(IF($K610="","",IF($M610="Elite",MAX(50,MIN(100,Config!$B$27*MAX(0,MIN(100,(1-IF($R610="",0,$R610))*100)) + Config!$B$28*MAX(0,MIN(100,(1-MIN(1,IF(Config!$B$30=0,1,$S610/Config!$B$30)))*100)) + Config!$B$29*MAX(0,MIN(100,MIN(1,IF($T610="",0,$T610)/Config!$B$23)*100)))),MIN(100,Config!$B$27*MAX(0,MIN(100,(1-IF($R610="",0,$R610))*100)) + Config!$B$28*MAX(0,MIN(100,(1-MIN(1,IF(Config!$B$30=0,1,$S610/Config!$B$30)))*100)) + Config!$B$29*MAX(0,MIN(100,MIN(1,IF($T610="",0,$T610)/Config!$B$23)*100))))),"")
</f>
        <v/>
      </c>
      <c r="V610" s="40" t="str">
        <f>IF(Bids!$D609="","",Bids!$D609)</f>
        <v/>
      </c>
      <c r="W610" s="40" t="str">
        <f>IF(Bids!$F609="","",Bids!$F609)</f>
        <v/>
      </c>
      <c r="X610" s="40" t="str">
        <f t="shared" si="5"/>
        <v/>
      </c>
      <c r="Y610" s="40" t="str">
        <f>IF($X610="","",IF(Config!$B$17=Config!$B$16,IF($X610&gt;=Config!$B$17,100,0),MAX(0,MIN(100,($X610-Config!$B$16)/(Config!$B$17-Config!$B$16)*100))))</f>
        <v/>
      </c>
      <c r="Z610" s="40">
        <f>IF($M610="Elite",Config!$B$21,0)</f>
        <v>0</v>
      </c>
      <c r="AA610" s="40" t="str">
        <f>IFERROR(IF(OR($W610="",$H610=""),"",IF($W610&gt;$H610,
  MAX(0, 60-(($W610-$H610)*24/Config!$B$19)*60),
  MIN(100, 60+(($H610-$W610)*24/Config!$B$20)*40)
)),"")
</f>
        <v/>
      </c>
      <c r="AB610" s="40" t="str">
        <f>IF($K610="","",IFERROR(VLOOKUP($K610,Grinders!$A$4:$N$998,10,FALSE)/5*100,""))</f>
        <v/>
      </c>
      <c r="AC610" s="40" t="str">
        <f>IF($K610="","",IFERROR(VLOOKUP($K610,Grinders!$A$4:$N$998,11,FALSE)*100,""))</f>
        <v/>
      </c>
      <c r="AD610" s="40" t="str">
        <f>IF($K610="","",IFERROR(VLOOKUP($K610,Grinders!$A$4:$N$998,12,FALSE)*100,""))</f>
        <v/>
      </c>
      <c r="AE610" s="40">
        <f>IFERROR(IFS(
    OR($C610="", $K610=""), 0,
    $F610=0, 0,
    $D610&lt;&gt;"Open", 0,
    COUNTIFS(GrinderServices!$B$4:$B$998, $K610, GrinderServices!$C$4:$C$998, $E610, GrinderServices!$E$4:$E$998, "Y")=0, 0,
    $X610&lt;Config!$B$16, 0,
    Config!$B$18=1, IF($O610&gt;=N610, 0, 1),
    TRUE, 1
), "")
</f>
        <v>0</v>
      </c>
      <c r="AF610" s="40" t="str">
        <f>IFERROR(IF($AE610=0,"",((Config!$B$6*$Y610 + Config!$B$7*$U610 + Config!$B$8*$Z610 + Config!$B$9*$AA610 + Config!$B$10*$AB610 + Config!$B$11*$AC610 - Config!$B$12*$AD610)/Config!$B$13)+$AK610+$AL610),"")</f>
        <v/>
      </c>
      <c r="AG610" s="40" t="str">
        <f t="shared" si="6"/>
        <v/>
      </c>
      <c r="AH610" s="40" t="str">
        <f t="shared" si="7"/>
        <v/>
      </c>
      <c r="AI610" s="40" t="str">
        <f t="shared" si="8"/>
        <v/>
      </c>
      <c r="AJ610" s="40" t="str">
        <f>IF($K610="","",COUNTIF(Assignments!$B$6:$B$1000,$K610))</f>
        <v/>
      </c>
      <c r="AK610" s="40" t="str">
        <f>IF($K610="","",IF(AND($AJ610=0,$O610&lt;$N610),Config!$B$43,0))</f>
        <v/>
      </c>
      <c r="AL610" s="40" t="str">
        <f>IF($K610="","",IF(AND($M610="Elite",$G610&gt;=Config!$B$41,$O610&lt;$N610),Config!$B$42,0))</f>
        <v/>
      </c>
      <c r="AM610" s="22"/>
    </row>
    <row r="611" ht="15.75" customHeight="1">
      <c r="A611" s="40" t="str">
        <f t="shared" si="1"/>
        <v/>
      </c>
      <c r="B611" s="40" t="str">
        <f>IF(Bids!$A610="","",Bids!$A610)</f>
        <v/>
      </c>
      <c r="C611" s="40" t="str">
        <f>IF(Bids!$B610="","",Bids!$B610)</f>
        <v/>
      </c>
      <c r="D611" s="40" t="str">
        <f>IF($C611="","",IFERROR(VLOOKUP($C611,Orders!$A$4:$J$998,9,FALSE),""))</f>
        <v/>
      </c>
      <c r="E611" s="40" t="str">
        <f>IF($C611="","",IFERROR(VLOOKUP($C611,Orders!$A$4:$J$998,3,FALSE),""))</f>
        <v/>
      </c>
      <c r="F611" s="40">
        <f t="shared" si="2"/>
        <v>1</v>
      </c>
      <c r="G611" s="40" t="str">
        <f>IF($C611="","",IFERROR(VLOOKUP($C611,Orders!$A$4:$J$998,4,FALSE),""))</f>
        <v/>
      </c>
      <c r="H611" s="40" t="str">
        <f>IF($C611="","",IFERROR(VLOOKUP($C611,Orders!$A$4:$J$998,5,FALSE),""))</f>
        <v/>
      </c>
      <c r="I611" s="40" t="str">
        <f>IF($C611="","",IFERROR(VLOOKUP($C611,Orders!$A$4:$J$998,6,FALSE),""))</f>
        <v/>
      </c>
      <c r="J611" s="40" t="str">
        <f>IF($C611="","",IFERROR(VLOOKUP($C611,Orders!$A$4:$J$998,7,FALSE),""))</f>
        <v/>
      </c>
      <c r="K611" s="40" t="str">
        <f>IF(Bids!$C610="","",Bids!$C610)</f>
        <v/>
      </c>
      <c r="L611" s="40" t="str">
        <f>IF($K611="","",IFERROR(VLOOKUP($K611,Grinders!$A$4:$N$998,2,FALSE),""))</f>
        <v/>
      </c>
      <c r="M611" s="40" t="str">
        <f>IF($K611="","",IFERROR(VLOOKUP($K611,Grinders!$A$4:$N$998,3,FALSE),""))</f>
        <v/>
      </c>
      <c r="N611" s="40" t="str">
        <f>IF($K611="","",IFERROR(VLOOKUP($K611,Grinders!$A$4:$N$998,4,FALSE),""))</f>
        <v/>
      </c>
      <c r="O611" s="40" t="str">
        <f>IF($K611="","",IFERROR(VLOOKUP($K611,Grinders!$A$4:$N$998,5,FALSE),""))</f>
        <v/>
      </c>
      <c r="P611" s="40" t="str">
        <f>IF($K611="","",IF($C$4="",0,COUNTIFS(Assignments!$B$6:$B$1000,$K611,Assignments!$F$6:$F$1000,$C$4,Assignments!$E$6:$E$1000,"Active")))</f>
        <v/>
      </c>
      <c r="Q611" s="40" t="str">
        <f t="shared" si="3"/>
        <v/>
      </c>
      <c r="R611" s="40" t="str">
        <f t="shared" si="4"/>
        <v/>
      </c>
      <c r="S611" s="40" t="str">
        <f>IF($K611="","",IF($C$4="",0,COUNTIFS(Assignments!$B$6:$B$1000,$K611,Assignments!$F$6:$F$1000,$C$4,Assignments!$D$6:$D$1000,"&gt;="&amp;Config!$B$3-7,Assignments!$D$6:$D$1000,"&lt;="&amp;Config!$B$3)))</f>
        <v/>
      </c>
      <c r="T611" s="40" t="str">
        <f>IF($K611="","",IFERROR(VLOOKUP($K611,Grinders!$A$4:$N$998,8,FALSE),""))</f>
        <v/>
      </c>
      <c r="U611" s="40" t="str">
        <f>IFERROR(IF($K611="","",IF($M611="Elite",MAX(50,MIN(100,Config!$B$27*MAX(0,MIN(100,(1-IF($R611="",0,$R611))*100)) + Config!$B$28*MAX(0,MIN(100,(1-MIN(1,IF(Config!$B$30=0,1,$S611/Config!$B$30)))*100)) + Config!$B$29*MAX(0,MIN(100,MIN(1,IF($T611="",0,$T611)/Config!$B$23)*100)))),MIN(100,Config!$B$27*MAX(0,MIN(100,(1-IF($R611="",0,$R611))*100)) + Config!$B$28*MAX(0,MIN(100,(1-MIN(1,IF(Config!$B$30=0,1,$S611/Config!$B$30)))*100)) + Config!$B$29*MAX(0,MIN(100,MIN(1,IF($T611="",0,$T611)/Config!$B$23)*100))))),"")
</f>
        <v/>
      </c>
      <c r="V611" s="40" t="str">
        <f>IF(Bids!$D610="","",Bids!$D610)</f>
        <v/>
      </c>
      <c r="W611" s="40" t="str">
        <f>IF(Bids!$F610="","",Bids!$F610)</f>
        <v/>
      </c>
      <c r="X611" s="40" t="str">
        <f t="shared" si="5"/>
        <v/>
      </c>
      <c r="Y611" s="40" t="str">
        <f>IF($X611="","",IF(Config!$B$17=Config!$B$16,IF($X611&gt;=Config!$B$17,100,0),MAX(0,MIN(100,($X611-Config!$B$16)/(Config!$B$17-Config!$B$16)*100))))</f>
        <v/>
      </c>
      <c r="Z611" s="40">
        <f>IF($M611="Elite",Config!$B$21,0)</f>
        <v>0</v>
      </c>
      <c r="AA611" s="40" t="str">
        <f>IFERROR(IF(OR($W611="",$H611=""),"",IF($W611&gt;$H611,
  MAX(0, 60-(($W611-$H611)*24/Config!$B$19)*60),
  MIN(100, 60+(($H611-$W611)*24/Config!$B$20)*40)
)),"")
</f>
        <v/>
      </c>
      <c r="AB611" s="40" t="str">
        <f>IF($K611="","",IFERROR(VLOOKUP($K611,Grinders!$A$4:$N$998,10,FALSE)/5*100,""))</f>
        <v/>
      </c>
      <c r="AC611" s="40" t="str">
        <f>IF($K611="","",IFERROR(VLOOKUP($K611,Grinders!$A$4:$N$998,11,FALSE)*100,""))</f>
        <v/>
      </c>
      <c r="AD611" s="40" t="str">
        <f>IF($K611="","",IFERROR(VLOOKUP($K611,Grinders!$A$4:$N$998,12,FALSE)*100,""))</f>
        <v/>
      </c>
      <c r="AE611" s="40">
        <f>IFERROR(IFS(
    OR($C611="", $K611=""), 0,
    $F611=0, 0,
    $D611&lt;&gt;"Open", 0,
    COUNTIFS(GrinderServices!$B$4:$B$998, $K611, GrinderServices!$C$4:$C$998, $E611, GrinderServices!$E$4:$E$998, "Y")=0, 0,
    $X611&lt;Config!$B$16, 0,
    Config!$B$18=1, IF($O611&gt;=N611, 0, 1),
    TRUE, 1
), "")
</f>
        <v>0</v>
      </c>
      <c r="AF611" s="40" t="str">
        <f>IFERROR(IF($AE611=0,"",((Config!$B$6*$Y611 + Config!$B$7*$U611 + Config!$B$8*$Z611 + Config!$B$9*$AA611 + Config!$B$10*$AB611 + Config!$B$11*$AC611 - Config!$B$12*$AD611)/Config!$B$13)+$AK611+$AL611),"")</f>
        <v/>
      </c>
      <c r="AG611" s="40" t="str">
        <f t="shared" si="6"/>
        <v/>
      </c>
      <c r="AH611" s="40" t="str">
        <f t="shared" si="7"/>
        <v/>
      </c>
      <c r="AI611" s="40" t="str">
        <f t="shared" si="8"/>
        <v/>
      </c>
      <c r="AJ611" s="40" t="str">
        <f>IF($K611="","",COUNTIF(Assignments!$B$6:$B$1000,$K611))</f>
        <v/>
      </c>
      <c r="AK611" s="40" t="str">
        <f>IF($K611="","",IF(AND($AJ611=0,$O611&lt;$N611),Config!$B$43,0))</f>
        <v/>
      </c>
      <c r="AL611" s="40" t="str">
        <f>IF($K611="","",IF(AND($M611="Elite",$G611&gt;=Config!$B$41,$O611&lt;$N611),Config!$B$42,0))</f>
        <v/>
      </c>
      <c r="AM611" s="22"/>
    </row>
    <row r="612" ht="15.75" customHeight="1">
      <c r="A612" s="40" t="str">
        <f t="shared" si="1"/>
        <v/>
      </c>
      <c r="B612" s="40" t="str">
        <f>IF(Bids!$A611="","",Bids!$A611)</f>
        <v/>
      </c>
      <c r="C612" s="40" t="str">
        <f>IF(Bids!$B611="","",Bids!$B611)</f>
        <v/>
      </c>
      <c r="D612" s="40" t="str">
        <f>IF($C612="","",IFERROR(VLOOKUP($C612,Orders!$A$4:$J$998,9,FALSE),""))</f>
        <v/>
      </c>
      <c r="E612" s="40" t="str">
        <f>IF($C612="","",IFERROR(VLOOKUP($C612,Orders!$A$4:$J$998,3,FALSE),""))</f>
        <v/>
      </c>
      <c r="F612" s="40">
        <f t="shared" si="2"/>
        <v>1</v>
      </c>
      <c r="G612" s="40" t="str">
        <f>IF($C612="","",IFERROR(VLOOKUP($C612,Orders!$A$4:$J$998,4,FALSE),""))</f>
        <v/>
      </c>
      <c r="H612" s="40" t="str">
        <f>IF($C612="","",IFERROR(VLOOKUP($C612,Orders!$A$4:$J$998,5,FALSE),""))</f>
        <v/>
      </c>
      <c r="I612" s="40" t="str">
        <f>IF($C612="","",IFERROR(VLOOKUP($C612,Orders!$A$4:$J$998,6,FALSE),""))</f>
        <v/>
      </c>
      <c r="J612" s="40" t="str">
        <f>IF($C612="","",IFERROR(VLOOKUP($C612,Orders!$A$4:$J$998,7,FALSE),""))</f>
        <v/>
      </c>
      <c r="K612" s="40" t="str">
        <f>IF(Bids!$C611="","",Bids!$C611)</f>
        <v/>
      </c>
      <c r="L612" s="40" t="str">
        <f>IF($K612="","",IFERROR(VLOOKUP($K612,Grinders!$A$4:$N$998,2,FALSE),""))</f>
        <v/>
      </c>
      <c r="M612" s="40" t="str">
        <f>IF($K612="","",IFERROR(VLOOKUP($K612,Grinders!$A$4:$N$998,3,FALSE),""))</f>
        <v/>
      </c>
      <c r="N612" s="40" t="str">
        <f>IF($K612="","",IFERROR(VLOOKUP($K612,Grinders!$A$4:$N$998,4,FALSE),""))</f>
        <v/>
      </c>
      <c r="O612" s="40" t="str">
        <f>IF($K612="","",IFERROR(VLOOKUP($K612,Grinders!$A$4:$N$998,5,FALSE),""))</f>
        <v/>
      </c>
      <c r="P612" s="40" t="str">
        <f>IF($K612="","",IF($C$4="",0,COUNTIFS(Assignments!$B$6:$B$1000,$K612,Assignments!$F$6:$F$1000,$C$4,Assignments!$E$6:$E$1000,"Active")))</f>
        <v/>
      </c>
      <c r="Q612" s="40" t="str">
        <f t="shared" si="3"/>
        <v/>
      </c>
      <c r="R612" s="40" t="str">
        <f t="shared" si="4"/>
        <v/>
      </c>
      <c r="S612" s="40" t="str">
        <f>IF($K612="","",IF($C$4="",0,COUNTIFS(Assignments!$B$6:$B$1000,$K612,Assignments!$F$6:$F$1000,$C$4,Assignments!$D$6:$D$1000,"&gt;="&amp;Config!$B$3-7,Assignments!$D$6:$D$1000,"&lt;="&amp;Config!$B$3)))</f>
        <v/>
      </c>
      <c r="T612" s="40" t="str">
        <f>IF($K612="","",IFERROR(VLOOKUP($K612,Grinders!$A$4:$N$998,8,FALSE),""))</f>
        <v/>
      </c>
      <c r="U612" s="40" t="str">
        <f>IFERROR(IF($K612="","",IF($M612="Elite",MAX(50,MIN(100,Config!$B$27*MAX(0,MIN(100,(1-IF($R612="",0,$R612))*100)) + Config!$B$28*MAX(0,MIN(100,(1-MIN(1,IF(Config!$B$30=0,1,$S612/Config!$B$30)))*100)) + Config!$B$29*MAX(0,MIN(100,MIN(1,IF($T612="",0,$T612)/Config!$B$23)*100)))),MIN(100,Config!$B$27*MAX(0,MIN(100,(1-IF($R612="",0,$R612))*100)) + Config!$B$28*MAX(0,MIN(100,(1-MIN(1,IF(Config!$B$30=0,1,$S612/Config!$B$30)))*100)) + Config!$B$29*MAX(0,MIN(100,MIN(1,IF($T612="",0,$T612)/Config!$B$23)*100))))),"")
</f>
        <v/>
      </c>
      <c r="V612" s="40" t="str">
        <f>IF(Bids!$D611="","",Bids!$D611)</f>
        <v/>
      </c>
      <c r="W612" s="40" t="str">
        <f>IF(Bids!$F611="","",Bids!$F611)</f>
        <v/>
      </c>
      <c r="X612" s="40" t="str">
        <f t="shared" si="5"/>
        <v/>
      </c>
      <c r="Y612" s="40" t="str">
        <f>IF($X612="","",IF(Config!$B$17=Config!$B$16,IF($X612&gt;=Config!$B$17,100,0),MAX(0,MIN(100,($X612-Config!$B$16)/(Config!$B$17-Config!$B$16)*100))))</f>
        <v/>
      </c>
      <c r="Z612" s="40">
        <f>IF($M612="Elite",Config!$B$21,0)</f>
        <v>0</v>
      </c>
      <c r="AA612" s="40" t="str">
        <f>IFERROR(IF(OR($W612="",$H612=""),"",IF($W612&gt;$H612,
  MAX(0, 60-(($W612-$H612)*24/Config!$B$19)*60),
  MIN(100, 60+(($H612-$W612)*24/Config!$B$20)*40)
)),"")
</f>
        <v/>
      </c>
      <c r="AB612" s="40" t="str">
        <f>IF($K612="","",IFERROR(VLOOKUP($K612,Grinders!$A$4:$N$998,10,FALSE)/5*100,""))</f>
        <v/>
      </c>
      <c r="AC612" s="40" t="str">
        <f>IF($K612="","",IFERROR(VLOOKUP($K612,Grinders!$A$4:$N$998,11,FALSE)*100,""))</f>
        <v/>
      </c>
      <c r="AD612" s="40" t="str">
        <f>IF($K612="","",IFERROR(VLOOKUP($K612,Grinders!$A$4:$N$998,12,FALSE)*100,""))</f>
        <v/>
      </c>
      <c r="AE612" s="40">
        <f>IFERROR(IFS(
    OR($C612="", $K612=""), 0,
    $F612=0, 0,
    $D612&lt;&gt;"Open", 0,
    COUNTIFS(GrinderServices!$B$4:$B$998, $K612, GrinderServices!$C$4:$C$998, $E612, GrinderServices!$E$4:$E$998, "Y")=0, 0,
    $X612&lt;Config!$B$16, 0,
    Config!$B$18=1, IF($O612&gt;=N612, 0, 1),
    TRUE, 1
), "")
</f>
        <v>0</v>
      </c>
      <c r="AF612" s="40" t="str">
        <f>IFERROR(IF($AE612=0,"",((Config!$B$6*$Y612 + Config!$B$7*$U612 + Config!$B$8*$Z612 + Config!$B$9*$AA612 + Config!$B$10*$AB612 + Config!$B$11*$AC612 - Config!$B$12*$AD612)/Config!$B$13)+$AK612+$AL612),"")</f>
        <v/>
      </c>
      <c r="AG612" s="40" t="str">
        <f t="shared" si="6"/>
        <v/>
      </c>
      <c r="AH612" s="40" t="str">
        <f t="shared" si="7"/>
        <v/>
      </c>
      <c r="AI612" s="40" t="str">
        <f t="shared" si="8"/>
        <v/>
      </c>
      <c r="AJ612" s="40" t="str">
        <f>IF($K612="","",COUNTIF(Assignments!$B$6:$B$1000,$K612))</f>
        <v/>
      </c>
      <c r="AK612" s="40" t="str">
        <f>IF($K612="","",IF(AND($AJ612=0,$O612&lt;$N612),Config!$B$43,0))</f>
        <v/>
      </c>
      <c r="AL612" s="40" t="str">
        <f>IF($K612="","",IF(AND($M612="Elite",$G612&gt;=Config!$B$41,$O612&lt;$N612),Config!$B$42,0))</f>
        <v/>
      </c>
      <c r="AM612" s="22"/>
    </row>
    <row r="613" ht="15.75" customHeight="1">
      <c r="A613" s="40" t="str">
        <f t="shared" si="1"/>
        <v/>
      </c>
      <c r="B613" s="40" t="str">
        <f>IF(Bids!$A612="","",Bids!$A612)</f>
        <v/>
      </c>
      <c r="C613" s="40" t="str">
        <f>IF(Bids!$B612="","",Bids!$B612)</f>
        <v/>
      </c>
      <c r="D613" s="40" t="str">
        <f>IF($C613="","",IFERROR(VLOOKUP($C613,Orders!$A$4:$J$998,9,FALSE),""))</f>
        <v/>
      </c>
      <c r="E613" s="40" t="str">
        <f>IF($C613="","",IFERROR(VLOOKUP($C613,Orders!$A$4:$J$998,3,FALSE),""))</f>
        <v/>
      </c>
      <c r="F613" s="40">
        <f t="shared" si="2"/>
        <v>1</v>
      </c>
      <c r="G613" s="40" t="str">
        <f>IF($C613="","",IFERROR(VLOOKUP($C613,Orders!$A$4:$J$998,4,FALSE),""))</f>
        <v/>
      </c>
      <c r="H613" s="40" t="str">
        <f>IF($C613="","",IFERROR(VLOOKUP($C613,Orders!$A$4:$J$998,5,FALSE),""))</f>
        <v/>
      </c>
      <c r="I613" s="40" t="str">
        <f>IF($C613="","",IFERROR(VLOOKUP($C613,Orders!$A$4:$J$998,6,FALSE),""))</f>
        <v/>
      </c>
      <c r="J613" s="40" t="str">
        <f>IF($C613="","",IFERROR(VLOOKUP($C613,Orders!$A$4:$J$998,7,FALSE),""))</f>
        <v/>
      </c>
      <c r="K613" s="40" t="str">
        <f>IF(Bids!$C612="","",Bids!$C612)</f>
        <v/>
      </c>
      <c r="L613" s="40" t="str">
        <f>IF($K613="","",IFERROR(VLOOKUP($K613,Grinders!$A$4:$N$998,2,FALSE),""))</f>
        <v/>
      </c>
      <c r="M613" s="40" t="str">
        <f>IF($K613="","",IFERROR(VLOOKUP($K613,Grinders!$A$4:$N$998,3,FALSE),""))</f>
        <v/>
      </c>
      <c r="N613" s="40" t="str">
        <f>IF($K613="","",IFERROR(VLOOKUP($K613,Grinders!$A$4:$N$998,4,FALSE),""))</f>
        <v/>
      </c>
      <c r="O613" s="40" t="str">
        <f>IF($K613="","",IFERROR(VLOOKUP($K613,Grinders!$A$4:$N$998,5,FALSE),""))</f>
        <v/>
      </c>
      <c r="P613" s="40" t="str">
        <f>IF($K613="","",IF($C$4="",0,COUNTIFS(Assignments!$B$6:$B$1000,$K613,Assignments!$F$6:$F$1000,$C$4,Assignments!$E$6:$E$1000,"Active")))</f>
        <v/>
      </c>
      <c r="Q613" s="40" t="str">
        <f t="shared" si="3"/>
        <v/>
      </c>
      <c r="R613" s="40" t="str">
        <f t="shared" si="4"/>
        <v/>
      </c>
      <c r="S613" s="40" t="str">
        <f>IF($K613="","",IF($C$4="",0,COUNTIFS(Assignments!$B$6:$B$1000,$K613,Assignments!$F$6:$F$1000,$C$4,Assignments!$D$6:$D$1000,"&gt;="&amp;Config!$B$3-7,Assignments!$D$6:$D$1000,"&lt;="&amp;Config!$B$3)))</f>
        <v/>
      </c>
      <c r="T613" s="40" t="str">
        <f>IF($K613="","",IFERROR(VLOOKUP($K613,Grinders!$A$4:$N$998,8,FALSE),""))</f>
        <v/>
      </c>
      <c r="U613" s="40" t="str">
        <f>IFERROR(IF($K613="","",IF($M613="Elite",MAX(50,MIN(100,Config!$B$27*MAX(0,MIN(100,(1-IF($R613="",0,$R613))*100)) + Config!$B$28*MAX(0,MIN(100,(1-MIN(1,IF(Config!$B$30=0,1,$S613/Config!$B$30)))*100)) + Config!$B$29*MAX(0,MIN(100,MIN(1,IF($T613="",0,$T613)/Config!$B$23)*100)))),MIN(100,Config!$B$27*MAX(0,MIN(100,(1-IF($R613="",0,$R613))*100)) + Config!$B$28*MAX(0,MIN(100,(1-MIN(1,IF(Config!$B$30=0,1,$S613/Config!$B$30)))*100)) + Config!$B$29*MAX(0,MIN(100,MIN(1,IF($T613="",0,$T613)/Config!$B$23)*100))))),"")
</f>
        <v/>
      </c>
      <c r="V613" s="40" t="str">
        <f>IF(Bids!$D612="","",Bids!$D612)</f>
        <v/>
      </c>
      <c r="W613" s="40" t="str">
        <f>IF(Bids!$F612="","",Bids!$F612)</f>
        <v/>
      </c>
      <c r="X613" s="40" t="str">
        <f t="shared" si="5"/>
        <v/>
      </c>
      <c r="Y613" s="40" t="str">
        <f>IF($X613="","",IF(Config!$B$17=Config!$B$16,IF($X613&gt;=Config!$B$17,100,0),MAX(0,MIN(100,($X613-Config!$B$16)/(Config!$B$17-Config!$B$16)*100))))</f>
        <v/>
      </c>
      <c r="Z613" s="40">
        <f>IF($M613="Elite",Config!$B$21,0)</f>
        <v>0</v>
      </c>
      <c r="AA613" s="40" t="str">
        <f>IFERROR(IF(OR($W613="",$H613=""),"",IF($W613&gt;$H613,
  MAX(0, 60-(($W613-$H613)*24/Config!$B$19)*60),
  MIN(100, 60+(($H613-$W613)*24/Config!$B$20)*40)
)),"")
</f>
        <v/>
      </c>
      <c r="AB613" s="40" t="str">
        <f>IF($K613="","",IFERROR(VLOOKUP($K613,Grinders!$A$4:$N$998,10,FALSE)/5*100,""))</f>
        <v/>
      </c>
      <c r="AC613" s="40" t="str">
        <f>IF($K613="","",IFERROR(VLOOKUP($K613,Grinders!$A$4:$N$998,11,FALSE)*100,""))</f>
        <v/>
      </c>
      <c r="AD613" s="40" t="str">
        <f>IF($K613="","",IFERROR(VLOOKUP($K613,Grinders!$A$4:$N$998,12,FALSE)*100,""))</f>
        <v/>
      </c>
      <c r="AE613" s="40">
        <f>IFERROR(IFS(
    OR($C613="", $K613=""), 0,
    $F613=0, 0,
    $D613&lt;&gt;"Open", 0,
    COUNTIFS(GrinderServices!$B$4:$B$998, $K613, GrinderServices!$C$4:$C$998, $E613, GrinderServices!$E$4:$E$998, "Y")=0, 0,
    $X613&lt;Config!$B$16, 0,
    Config!$B$18=1, IF($O613&gt;=N613, 0, 1),
    TRUE, 1
), "")
</f>
        <v>0</v>
      </c>
      <c r="AF613" s="40" t="str">
        <f>IFERROR(IF($AE613=0,"",((Config!$B$6*$Y613 + Config!$B$7*$U613 + Config!$B$8*$Z613 + Config!$B$9*$AA613 + Config!$B$10*$AB613 + Config!$B$11*$AC613 - Config!$B$12*$AD613)/Config!$B$13)+$AK613+$AL613),"")</f>
        <v/>
      </c>
      <c r="AG613" s="40" t="str">
        <f t="shared" si="6"/>
        <v/>
      </c>
      <c r="AH613" s="40" t="str">
        <f t="shared" si="7"/>
        <v/>
      </c>
      <c r="AI613" s="40" t="str">
        <f t="shared" si="8"/>
        <v/>
      </c>
      <c r="AJ613" s="40" t="str">
        <f>IF($K613="","",COUNTIF(Assignments!$B$6:$B$1000,$K613))</f>
        <v/>
      </c>
      <c r="AK613" s="40" t="str">
        <f>IF($K613="","",IF(AND($AJ613=0,$O613&lt;$N613),Config!$B$43,0))</f>
        <v/>
      </c>
      <c r="AL613" s="40" t="str">
        <f>IF($K613="","",IF(AND($M613="Elite",$G613&gt;=Config!$B$41,$O613&lt;$N613),Config!$B$42,0))</f>
        <v/>
      </c>
      <c r="AM613" s="22"/>
    </row>
    <row r="614" ht="15.75" customHeight="1">
      <c r="A614" s="40" t="str">
        <f t="shared" si="1"/>
        <v/>
      </c>
      <c r="B614" s="40" t="str">
        <f>IF(Bids!$A613="","",Bids!$A613)</f>
        <v/>
      </c>
      <c r="C614" s="40" t="str">
        <f>IF(Bids!$B613="","",Bids!$B613)</f>
        <v/>
      </c>
      <c r="D614" s="40" t="str">
        <f>IF($C614="","",IFERROR(VLOOKUP($C614,Orders!$A$4:$J$998,9,FALSE),""))</f>
        <v/>
      </c>
      <c r="E614" s="40" t="str">
        <f>IF($C614="","",IFERROR(VLOOKUP($C614,Orders!$A$4:$J$998,3,FALSE),""))</f>
        <v/>
      </c>
      <c r="F614" s="40">
        <f t="shared" si="2"/>
        <v>1</v>
      </c>
      <c r="G614" s="40" t="str">
        <f>IF($C614="","",IFERROR(VLOOKUP($C614,Orders!$A$4:$J$998,4,FALSE),""))</f>
        <v/>
      </c>
      <c r="H614" s="40" t="str">
        <f>IF($C614="","",IFERROR(VLOOKUP($C614,Orders!$A$4:$J$998,5,FALSE),""))</f>
        <v/>
      </c>
      <c r="I614" s="40" t="str">
        <f>IF($C614="","",IFERROR(VLOOKUP($C614,Orders!$A$4:$J$998,6,FALSE),""))</f>
        <v/>
      </c>
      <c r="J614" s="40" t="str">
        <f>IF($C614="","",IFERROR(VLOOKUP($C614,Orders!$A$4:$J$998,7,FALSE),""))</f>
        <v/>
      </c>
      <c r="K614" s="40" t="str">
        <f>IF(Bids!$C613="","",Bids!$C613)</f>
        <v/>
      </c>
      <c r="L614" s="40" t="str">
        <f>IF($K614="","",IFERROR(VLOOKUP($K614,Grinders!$A$4:$N$998,2,FALSE),""))</f>
        <v/>
      </c>
      <c r="M614" s="40" t="str">
        <f>IF($K614="","",IFERROR(VLOOKUP($K614,Grinders!$A$4:$N$998,3,FALSE),""))</f>
        <v/>
      </c>
      <c r="N614" s="40" t="str">
        <f>IF($K614="","",IFERROR(VLOOKUP($K614,Grinders!$A$4:$N$998,4,FALSE),""))</f>
        <v/>
      </c>
      <c r="O614" s="40" t="str">
        <f>IF($K614="","",IFERROR(VLOOKUP($K614,Grinders!$A$4:$N$998,5,FALSE),""))</f>
        <v/>
      </c>
      <c r="P614" s="40" t="str">
        <f>IF($K614="","",IF($C$4="",0,COUNTIFS(Assignments!$B$6:$B$1000,$K614,Assignments!$F$6:$F$1000,$C$4,Assignments!$E$6:$E$1000,"Active")))</f>
        <v/>
      </c>
      <c r="Q614" s="40" t="str">
        <f t="shared" si="3"/>
        <v/>
      </c>
      <c r="R614" s="40" t="str">
        <f t="shared" si="4"/>
        <v/>
      </c>
      <c r="S614" s="40" t="str">
        <f>IF($K614="","",IF($C$4="",0,COUNTIFS(Assignments!$B$6:$B$1000,$K614,Assignments!$F$6:$F$1000,$C$4,Assignments!$D$6:$D$1000,"&gt;="&amp;Config!$B$3-7,Assignments!$D$6:$D$1000,"&lt;="&amp;Config!$B$3)))</f>
        <v/>
      </c>
      <c r="T614" s="40" t="str">
        <f>IF($K614="","",IFERROR(VLOOKUP($K614,Grinders!$A$4:$N$998,8,FALSE),""))</f>
        <v/>
      </c>
      <c r="U614" s="40" t="str">
        <f>IFERROR(IF($K614="","",IF($M614="Elite",MAX(50,MIN(100,Config!$B$27*MAX(0,MIN(100,(1-IF($R614="",0,$R614))*100)) + Config!$B$28*MAX(0,MIN(100,(1-MIN(1,IF(Config!$B$30=0,1,$S614/Config!$B$30)))*100)) + Config!$B$29*MAX(0,MIN(100,MIN(1,IF($T614="",0,$T614)/Config!$B$23)*100)))),MIN(100,Config!$B$27*MAX(0,MIN(100,(1-IF($R614="",0,$R614))*100)) + Config!$B$28*MAX(0,MIN(100,(1-MIN(1,IF(Config!$B$30=0,1,$S614/Config!$B$30)))*100)) + Config!$B$29*MAX(0,MIN(100,MIN(1,IF($T614="",0,$T614)/Config!$B$23)*100))))),"")
</f>
        <v/>
      </c>
      <c r="V614" s="40" t="str">
        <f>IF(Bids!$D613="","",Bids!$D613)</f>
        <v/>
      </c>
      <c r="W614" s="40" t="str">
        <f>IF(Bids!$F613="","",Bids!$F613)</f>
        <v/>
      </c>
      <c r="X614" s="40" t="str">
        <f t="shared" si="5"/>
        <v/>
      </c>
      <c r="Y614" s="40" t="str">
        <f>IF($X614="","",IF(Config!$B$17=Config!$B$16,IF($X614&gt;=Config!$B$17,100,0),MAX(0,MIN(100,($X614-Config!$B$16)/(Config!$B$17-Config!$B$16)*100))))</f>
        <v/>
      </c>
      <c r="Z614" s="40">
        <f>IF($M614="Elite",Config!$B$21,0)</f>
        <v>0</v>
      </c>
      <c r="AA614" s="40" t="str">
        <f>IFERROR(IF(OR($W614="",$H614=""),"",IF($W614&gt;$H614,
  MAX(0, 60-(($W614-$H614)*24/Config!$B$19)*60),
  MIN(100, 60+(($H614-$W614)*24/Config!$B$20)*40)
)),"")
</f>
        <v/>
      </c>
      <c r="AB614" s="40" t="str">
        <f>IF($K614="","",IFERROR(VLOOKUP($K614,Grinders!$A$4:$N$998,10,FALSE)/5*100,""))</f>
        <v/>
      </c>
      <c r="AC614" s="40" t="str">
        <f>IF($K614="","",IFERROR(VLOOKUP($K614,Grinders!$A$4:$N$998,11,FALSE)*100,""))</f>
        <v/>
      </c>
      <c r="AD614" s="40" t="str">
        <f>IF($K614="","",IFERROR(VLOOKUP($K614,Grinders!$A$4:$N$998,12,FALSE)*100,""))</f>
        <v/>
      </c>
      <c r="AE614" s="40">
        <f>IFERROR(IFS(
    OR($C614="", $K614=""), 0,
    $F614=0, 0,
    $D614&lt;&gt;"Open", 0,
    COUNTIFS(GrinderServices!$B$4:$B$998, $K614, GrinderServices!$C$4:$C$998, $E614, GrinderServices!$E$4:$E$998, "Y")=0, 0,
    $X614&lt;Config!$B$16, 0,
    Config!$B$18=1, IF($O614&gt;=N614, 0, 1),
    TRUE, 1
), "")
</f>
        <v>0</v>
      </c>
      <c r="AF614" s="40" t="str">
        <f>IFERROR(IF($AE614=0,"",((Config!$B$6*$Y614 + Config!$B$7*$U614 + Config!$B$8*$Z614 + Config!$B$9*$AA614 + Config!$B$10*$AB614 + Config!$B$11*$AC614 - Config!$B$12*$AD614)/Config!$B$13)+$AK614+$AL614),"")</f>
        <v/>
      </c>
      <c r="AG614" s="40" t="str">
        <f t="shared" si="6"/>
        <v/>
      </c>
      <c r="AH614" s="40" t="str">
        <f t="shared" si="7"/>
        <v/>
      </c>
      <c r="AI614" s="40" t="str">
        <f t="shared" si="8"/>
        <v/>
      </c>
      <c r="AJ614" s="40" t="str">
        <f>IF($K614="","",COUNTIF(Assignments!$B$6:$B$1000,$K614))</f>
        <v/>
      </c>
      <c r="AK614" s="40" t="str">
        <f>IF($K614="","",IF(AND($AJ614=0,$O614&lt;$N614),Config!$B$43,0))</f>
        <v/>
      </c>
      <c r="AL614" s="40" t="str">
        <f>IF($K614="","",IF(AND($M614="Elite",$G614&gt;=Config!$B$41,$O614&lt;$N614),Config!$B$42,0))</f>
        <v/>
      </c>
      <c r="AM614" s="22"/>
    </row>
    <row r="615" ht="15.75" customHeight="1">
      <c r="A615" s="40" t="str">
        <f t="shared" si="1"/>
        <v/>
      </c>
      <c r="B615" s="40" t="str">
        <f>IF(Bids!$A614="","",Bids!$A614)</f>
        <v/>
      </c>
      <c r="C615" s="40" t="str">
        <f>IF(Bids!$B614="","",Bids!$B614)</f>
        <v/>
      </c>
      <c r="D615" s="40" t="str">
        <f>IF($C615="","",IFERROR(VLOOKUP($C615,Orders!$A$4:$J$998,9,FALSE),""))</f>
        <v/>
      </c>
      <c r="E615" s="40" t="str">
        <f>IF($C615="","",IFERROR(VLOOKUP($C615,Orders!$A$4:$J$998,3,FALSE),""))</f>
        <v/>
      </c>
      <c r="F615" s="40">
        <f t="shared" si="2"/>
        <v>1</v>
      </c>
      <c r="G615" s="40" t="str">
        <f>IF($C615="","",IFERROR(VLOOKUP($C615,Orders!$A$4:$J$998,4,FALSE),""))</f>
        <v/>
      </c>
      <c r="H615" s="40" t="str">
        <f>IF($C615="","",IFERROR(VLOOKUP($C615,Orders!$A$4:$J$998,5,FALSE),""))</f>
        <v/>
      </c>
      <c r="I615" s="40" t="str">
        <f>IF($C615="","",IFERROR(VLOOKUP($C615,Orders!$A$4:$J$998,6,FALSE),""))</f>
        <v/>
      </c>
      <c r="J615" s="40" t="str">
        <f>IF($C615="","",IFERROR(VLOOKUP($C615,Orders!$A$4:$J$998,7,FALSE),""))</f>
        <v/>
      </c>
      <c r="K615" s="40" t="str">
        <f>IF(Bids!$C614="","",Bids!$C614)</f>
        <v/>
      </c>
      <c r="L615" s="40" t="str">
        <f>IF($K615="","",IFERROR(VLOOKUP($K615,Grinders!$A$4:$N$998,2,FALSE),""))</f>
        <v/>
      </c>
      <c r="M615" s="40" t="str">
        <f>IF($K615="","",IFERROR(VLOOKUP($K615,Grinders!$A$4:$N$998,3,FALSE),""))</f>
        <v/>
      </c>
      <c r="N615" s="40" t="str">
        <f>IF($K615="","",IFERROR(VLOOKUP($K615,Grinders!$A$4:$N$998,4,FALSE),""))</f>
        <v/>
      </c>
      <c r="O615" s="40" t="str">
        <f>IF($K615="","",IFERROR(VLOOKUP($K615,Grinders!$A$4:$N$998,5,FALSE),""))</f>
        <v/>
      </c>
      <c r="P615" s="40" t="str">
        <f>IF($K615="","",IF($C$4="",0,COUNTIFS(Assignments!$B$6:$B$1000,$K615,Assignments!$F$6:$F$1000,$C$4,Assignments!$E$6:$E$1000,"Active")))</f>
        <v/>
      </c>
      <c r="Q615" s="40" t="str">
        <f t="shared" si="3"/>
        <v/>
      </c>
      <c r="R615" s="40" t="str">
        <f t="shared" si="4"/>
        <v/>
      </c>
      <c r="S615" s="40" t="str">
        <f>IF($K615="","",IF($C$4="",0,COUNTIFS(Assignments!$B$6:$B$1000,$K615,Assignments!$F$6:$F$1000,$C$4,Assignments!$D$6:$D$1000,"&gt;="&amp;Config!$B$3-7,Assignments!$D$6:$D$1000,"&lt;="&amp;Config!$B$3)))</f>
        <v/>
      </c>
      <c r="T615" s="40" t="str">
        <f>IF($K615="","",IFERROR(VLOOKUP($K615,Grinders!$A$4:$N$998,8,FALSE),""))</f>
        <v/>
      </c>
      <c r="U615" s="40" t="str">
        <f>IFERROR(IF($K615="","",IF($M615="Elite",MAX(50,MIN(100,Config!$B$27*MAX(0,MIN(100,(1-IF($R615="",0,$R615))*100)) + Config!$B$28*MAX(0,MIN(100,(1-MIN(1,IF(Config!$B$30=0,1,$S615/Config!$B$30)))*100)) + Config!$B$29*MAX(0,MIN(100,MIN(1,IF($T615="",0,$T615)/Config!$B$23)*100)))),MIN(100,Config!$B$27*MAX(0,MIN(100,(1-IF($R615="",0,$R615))*100)) + Config!$B$28*MAX(0,MIN(100,(1-MIN(1,IF(Config!$B$30=0,1,$S615/Config!$B$30)))*100)) + Config!$B$29*MAX(0,MIN(100,MIN(1,IF($T615="",0,$T615)/Config!$B$23)*100))))),"")
</f>
        <v/>
      </c>
      <c r="V615" s="40" t="str">
        <f>IF(Bids!$D614="","",Bids!$D614)</f>
        <v/>
      </c>
      <c r="W615" s="40" t="str">
        <f>IF(Bids!$F614="","",Bids!$F614)</f>
        <v/>
      </c>
      <c r="X615" s="40" t="str">
        <f t="shared" si="5"/>
        <v/>
      </c>
      <c r="Y615" s="40" t="str">
        <f>IF($X615="","",IF(Config!$B$17=Config!$B$16,IF($X615&gt;=Config!$B$17,100,0),MAX(0,MIN(100,($X615-Config!$B$16)/(Config!$B$17-Config!$B$16)*100))))</f>
        <v/>
      </c>
      <c r="Z615" s="40">
        <f>IF($M615="Elite",Config!$B$21,0)</f>
        <v>0</v>
      </c>
      <c r="AA615" s="40" t="str">
        <f>IFERROR(IF(OR($W615="",$H615=""),"",IF($W615&gt;$H615,
  MAX(0, 60-(($W615-$H615)*24/Config!$B$19)*60),
  MIN(100, 60+(($H615-$W615)*24/Config!$B$20)*40)
)),"")
</f>
        <v/>
      </c>
      <c r="AB615" s="40" t="str">
        <f>IF($K615="","",IFERROR(VLOOKUP($K615,Grinders!$A$4:$N$998,10,FALSE)/5*100,""))</f>
        <v/>
      </c>
      <c r="AC615" s="40" t="str">
        <f>IF($K615="","",IFERROR(VLOOKUP($K615,Grinders!$A$4:$N$998,11,FALSE)*100,""))</f>
        <v/>
      </c>
      <c r="AD615" s="40" t="str">
        <f>IF($K615="","",IFERROR(VLOOKUP($K615,Grinders!$A$4:$N$998,12,FALSE)*100,""))</f>
        <v/>
      </c>
      <c r="AE615" s="40">
        <f>IFERROR(IFS(
    OR($C615="", $K615=""), 0,
    $F615=0, 0,
    $D615&lt;&gt;"Open", 0,
    COUNTIFS(GrinderServices!$B$4:$B$998, $K615, GrinderServices!$C$4:$C$998, $E615, GrinderServices!$E$4:$E$998, "Y")=0, 0,
    $X615&lt;Config!$B$16, 0,
    Config!$B$18=1, IF($O615&gt;=N615, 0, 1),
    TRUE, 1
), "")
</f>
        <v>0</v>
      </c>
      <c r="AF615" s="40" t="str">
        <f>IFERROR(IF($AE615=0,"",((Config!$B$6*$Y615 + Config!$B$7*$U615 + Config!$B$8*$Z615 + Config!$B$9*$AA615 + Config!$B$10*$AB615 + Config!$B$11*$AC615 - Config!$B$12*$AD615)/Config!$B$13)+$AK615+$AL615),"")</f>
        <v/>
      </c>
      <c r="AG615" s="40" t="str">
        <f t="shared" si="6"/>
        <v/>
      </c>
      <c r="AH615" s="40" t="str">
        <f t="shared" si="7"/>
        <v/>
      </c>
      <c r="AI615" s="40" t="str">
        <f t="shared" si="8"/>
        <v/>
      </c>
      <c r="AJ615" s="40" t="str">
        <f>IF($K615="","",COUNTIF(Assignments!$B$6:$B$1000,$K615))</f>
        <v/>
      </c>
      <c r="AK615" s="40" t="str">
        <f>IF($K615="","",IF(AND($AJ615=0,$O615&lt;$N615),Config!$B$43,0))</f>
        <v/>
      </c>
      <c r="AL615" s="40" t="str">
        <f>IF($K615="","",IF(AND($M615="Elite",$G615&gt;=Config!$B$41,$O615&lt;$N615),Config!$B$42,0))</f>
        <v/>
      </c>
      <c r="AM615" s="22"/>
    </row>
    <row r="616" ht="15.75" customHeight="1">
      <c r="A616" s="40" t="str">
        <f t="shared" si="1"/>
        <v/>
      </c>
      <c r="B616" s="40" t="str">
        <f>IF(Bids!$A615="","",Bids!$A615)</f>
        <v/>
      </c>
      <c r="C616" s="40" t="str">
        <f>IF(Bids!$B615="","",Bids!$B615)</f>
        <v/>
      </c>
      <c r="D616" s="40" t="str">
        <f>IF($C616="","",IFERROR(VLOOKUP($C616,Orders!$A$4:$J$998,9,FALSE),""))</f>
        <v/>
      </c>
      <c r="E616" s="40" t="str">
        <f>IF($C616="","",IFERROR(VLOOKUP($C616,Orders!$A$4:$J$998,3,FALSE),""))</f>
        <v/>
      </c>
      <c r="F616" s="40">
        <f t="shared" si="2"/>
        <v>1</v>
      </c>
      <c r="G616" s="40" t="str">
        <f>IF($C616="","",IFERROR(VLOOKUP($C616,Orders!$A$4:$J$998,4,FALSE),""))</f>
        <v/>
      </c>
      <c r="H616" s="40" t="str">
        <f>IF($C616="","",IFERROR(VLOOKUP($C616,Orders!$A$4:$J$998,5,FALSE),""))</f>
        <v/>
      </c>
      <c r="I616" s="40" t="str">
        <f>IF($C616="","",IFERROR(VLOOKUP($C616,Orders!$A$4:$J$998,6,FALSE),""))</f>
        <v/>
      </c>
      <c r="J616" s="40" t="str">
        <f>IF($C616="","",IFERROR(VLOOKUP($C616,Orders!$A$4:$J$998,7,FALSE),""))</f>
        <v/>
      </c>
      <c r="K616" s="40" t="str">
        <f>IF(Bids!$C615="","",Bids!$C615)</f>
        <v/>
      </c>
      <c r="L616" s="40" t="str">
        <f>IF($K616="","",IFERROR(VLOOKUP($K616,Grinders!$A$4:$N$998,2,FALSE),""))</f>
        <v/>
      </c>
      <c r="M616" s="40" t="str">
        <f>IF($K616="","",IFERROR(VLOOKUP($K616,Grinders!$A$4:$N$998,3,FALSE),""))</f>
        <v/>
      </c>
      <c r="N616" s="40" t="str">
        <f>IF($K616="","",IFERROR(VLOOKUP($K616,Grinders!$A$4:$N$998,4,FALSE),""))</f>
        <v/>
      </c>
      <c r="O616" s="40" t="str">
        <f>IF($K616="","",IFERROR(VLOOKUP($K616,Grinders!$A$4:$N$998,5,FALSE),""))</f>
        <v/>
      </c>
      <c r="P616" s="40" t="str">
        <f>IF($K616="","",IF($C$4="",0,COUNTIFS(Assignments!$B$6:$B$1000,$K616,Assignments!$F$6:$F$1000,$C$4,Assignments!$E$6:$E$1000,"Active")))</f>
        <v/>
      </c>
      <c r="Q616" s="40" t="str">
        <f t="shared" si="3"/>
        <v/>
      </c>
      <c r="R616" s="40" t="str">
        <f t="shared" si="4"/>
        <v/>
      </c>
      <c r="S616" s="40" t="str">
        <f>IF($K616="","",IF($C$4="",0,COUNTIFS(Assignments!$B$6:$B$1000,$K616,Assignments!$F$6:$F$1000,$C$4,Assignments!$D$6:$D$1000,"&gt;="&amp;Config!$B$3-7,Assignments!$D$6:$D$1000,"&lt;="&amp;Config!$B$3)))</f>
        <v/>
      </c>
      <c r="T616" s="40" t="str">
        <f>IF($K616="","",IFERROR(VLOOKUP($K616,Grinders!$A$4:$N$998,8,FALSE),""))</f>
        <v/>
      </c>
      <c r="U616" s="40" t="str">
        <f>IFERROR(IF($K616="","",IF($M616="Elite",MAX(50,MIN(100,Config!$B$27*MAX(0,MIN(100,(1-IF($R616="",0,$R616))*100)) + Config!$B$28*MAX(0,MIN(100,(1-MIN(1,IF(Config!$B$30=0,1,$S616/Config!$B$30)))*100)) + Config!$B$29*MAX(0,MIN(100,MIN(1,IF($T616="",0,$T616)/Config!$B$23)*100)))),MIN(100,Config!$B$27*MAX(0,MIN(100,(1-IF($R616="",0,$R616))*100)) + Config!$B$28*MAX(0,MIN(100,(1-MIN(1,IF(Config!$B$30=0,1,$S616/Config!$B$30)))*100)) + Config!$B$29*MAX(0,MIN(100,MIN(1,IF($T616="",0,$T616)/Config!$B$23)*100))))),"")
</f>
        <v/>
      </c>
      <c r="V616" s="40" t="str">
        <f>IF(Bids!$D615="","",Bids!$D615)</f>
        <v/>
      </c>
      <c r="W616" s="40" t="str">
        <f>IF(Bids!$F615="","",Bids!$F615)</f>
        <v/>
      </c>
      <c r="X616" s="40" t="str">
        <f t="shared" si="5"/>
        <v/>
      </c>
      <c r="Y616" s="40" t="str">
        <f>IF($X616="","",IF(Config!$B$17=Config!$B$16,IF($X616&gt;=Config!$B$17,100,0),MAX(0,MIN(100,($X616-Config!$B$16)/(Config!$B$17-Config!$B$16)*100))))</f>
        <v/>
      </c>
      <c r="Z616" s="40">
        <f>IF($M616="Elite",Config!$B$21,0)</f>
        <v>0</v>
      </c>
      <c r="AA616" s="40" t="str">
        <f>IFERROR(IF(OR($W616="",$H616=""),"",IF($W616&gt;$H616,
  MAX(0, 60-(($W616-$H616)*24/Config!$B$19)*60),
  MIN(100, 60+(($H616-$W616)*24/Config!$B$20)*40)
)),"")
</f>
        <v/>
      </c>
      <c r="AB616" s="40" t="str">
        <f>IF($K616="","",IFERROR(VLOOKUP($K616,Grinders!$A$4:$N$998,10,FALSE)/5*100,""))</f>
        <v/>
      </c>
      <c r="AC616" s="40" t="str">
        <f>IF($K616="","",IFERROR(VLOOKUP($K616,Grinders!$A$4:$N$998,11,FALSE)*100,""))</f>
        <v/>
      </c>
      <c r="AD616" s="40" t="str">
        <f>IF($K616="","",IFERROR(VLOOKUP($K616,Grinders!$A$4:$N$998,12,FALSE)*100,""))</f>
        <v/>
      </c>
      <c r="AE616" s="40">
        <f>IFERROR(IFS(
    OR($C616="", $K616=""), 0,
    $F616=0, 0,
    $D616&lt;&gt;"Open", 0,
    COUNTIFS(GrinderServices!$B$4:$B$998, $K616, GrinderServices!$C$4:$C$998, $E616, GrinderServices!$E$4:$E$998, "Y")=0, 0,
    $X616&lt;Config!$B$16, 0,
    Config!$B$18=1, IF($O616&gt;=N616, 0, 1),
    TRUE, 1
), "")
</f>
        <v>0</v>
      </c>
      <c r="AF616" s="40" t="str">
        <f>IFERROR(IF($AE616=0,"",((Config!$B$6*$Y616 + Config!$B$7*$U616 + Config!$B$8*$Z616 + Config!$B$9*$AA616 + Config!$B$10*$AB616 + Config!$B$11*$AC616 - Config!$B$12*$AD616)/Config!$B$13)+$AK616+$AL616),"")</f>
        <v/>
      </c>
      <c r="AG616" s="40" t="str">
        <f t="shared" si="6"/>
        <v/>
      </c>
      <c r="AH616" s="40" t="str">
        <f t="shared" si="7"/>
        <v/>
      </c>
      <c r="AI616" s="40" t="str">
        <f t="shared" si="8"/>
        <v/>
      </c>
      <c r="AJ616" s="40" t="str">
        <f>IF($K616="","",COUNTIF(Assignments!$B$6:$B$1000,$K616))</f>
        <v/>
      </c>
      <c r="AK616" s="40" t="str">
        <f>IF($K616="","",IF(AND($AJ616=0,$O616&lt;$N616),Config!$B$43,0))</f>
        <v/>
      </c>
      <c r="AL616" s="40" t="str">
        <f>IF($K616="","",IF(AND($M616="Elite",$G616&gt;=Config!$B$41,$O616&lt;$N616),Config!$B$42,0))</f>
        <v/>
      </c>
      <c r="AM616" s="22"/>
    </row>
    <row r="617" ht="15.75" customHeight="1">
      <c r="A617" s="40" t="str">
        <f t="shared" si="1"/>
        <v/>
      </c>
      <c r="B617" s="40" t="str">
        <f>IF(Bids!$A616="","",Bids!$A616)</f>
        <v/>
      </c>
      <c r="C617" s="40" t="str">
        <f>IF(Bids!$B616="","",Bids!$B616)</f>
        <v/>
      </c>
      <c r="D617" s="40" t="str">
        <f>IF($C617="","",IFERROR(VLOOKUP($C617,Orders!$A$4:$J$998,9,FALSE),""))</f>
        <v/>
      </c>
      <c r="E617" s="40" t="str">
        <f>IF($C617="","",IFERROR(VLOOKUP($C617,Orders!$A$4:$J$998,3,FALSE),""))</f>
        <v/>
      </c>
      <c r="F617" s="40">
        <f t="shared" si="2"/>
        <v>1</v>
      </c>
      <c r="G617" s="40" t="str">
        <f>IF($C617="","",IFERROR(VLOOKUP($C617,Orders!$A$4:$J$998,4,FALSE),""))</f>
        <v/>
      </c>
      <c r="H617" s="40" t="str">
        <f>IF($C617="","",IFERROR(VLOOKUP($C617,Orders!$A$4:$J$998,5,FALSE),""))</f>
        <v/>
      </c>
      <c r="I617" s="40" t="str">
        <f>IF($C617="","",IFERROR(VLOOKUP($C617,Orders!$A$4:$J$998,6,FALSE),""))</f>
        <v/>
      </c>
      <c r="J617" s="40" t="str">
        <f>IF($C617="","",IFERROR(VLOOKUP($C617,Orders!$A$4:$J$998,7,FALSE),""))</f>
        <v/>
      </c>
      <c r="K617" s="40" t="str">
        <f>IF(Bids!$C616="","",Bids!$C616)</f>
        <v/>
      </c>
      <c r="L617" s="40" t="str">
        <f>IF($K617="","",IFERROR(VLOOKUP($K617,Grinders!$A$4:$N$998,2,FALSE),""))</f>
        <v/>
      </c>
      <c r="M617" s="40" t="str">
        <f>IF($K617="","",IFERROR(VLOOKUP($K617,Grinders!$A$4:$N$998,3,FALSE),""))</f>
        <v/>
      </c>
      <c r="N617" s="40" t="str">
        <f>IF($K617="","",IFERROR(VLOOKUP($K617,Grinders!$A$4:$N$998,4,FALSE),""))</f>
        <v/>
      </c>
      <c r="O617" s="40" t="str">
        <f>IF($K617="","",IFERROR(VLOOKUP($K617,Grinders!$A$4:$N$998,5,FALSE),""))</f>
        <v/>
      </c>
      <c r="P617" s="40" t="str">
        <f>IF($K617="","",IF($C$4="",0,COUNTIFS(Assignments!$B$6:$B$1000,$K617,Assignments!$F$6:$F$1000,$C$4,Assignments!$E$6:$E$1000,"Active")))</f>
        <v/>
      </c>
      <c r="Q617" s="40" t="str">
        <f t="shared" si="3"/>
        <v/>
      </c>
      <c r="R617" s="40" t="str">
        <f t="shared" si="4"/>
        <v/>
      </c>
      <c r="S617" s="40" t="str">
        <f>IF($K617="","",IF($C$4="",0,COUNTIFS(Assignments!$B$6:$B$1000,$K617,Assignments!$F$6:$F$1000,$C$4,Assignments!$D$6:$D$1000,"&gt;="&amp;Config!$B$3-7,Assignments!$D$6:$D$1000,"&lt;="&amp;Config!$B$3)))</f>
        <v/>
      </c>
      <c r="T617" s="40" t="str">
        <f>IF($K617="","",IFERROR(VLOOKUP($K617,Grinders!$A$4:$N$998,8,FALSE),""))</f>
        <v/>
      </c>
      <c r="U617" s="40" t="str">
        <f>IFERROR(IF($K617="","",IF($M617="Elite",MAX(50,MIN(100,Config!$B$27*MAX(0,MIN(100,(1-IF($R617="",0,$R617))*100)) + Config!$B$28*MAX(0,MIN(100,(1-MIN(1,IF(Config!$B$30=0,1,$S617/Config!$B$30)))*100)) + Config!$B$29*MAX(0,MIN(100,MIN(1,IF($T617="",0,$T617)/Config!$B$23)*100)))),MIN(100,Config!$B$27*MAX(0,MIN(100,(1-IF($R617="",0,$R617))*100)) + Config!$B$28*MAX(0,MIN(100,(1-MIN(1,IF(Config!$B$30=0,1,$S617/Config!$B$30)))*100)) + Config!$B$29*MAX(0,MIN(100,MIN(1,IF($T617="",0,$T617)/Config!$B$23)*100))))),"")
</f>
        <v/>
      </c>
      <c r="V617" s="40" t="str">
        <f>IF(Bids!$D616="","",Bids!$D616)</f>
        <v/>
      </c>
      <c r="W617" s="40" t="str">
        <f>IF(Bids!$F616="","",Bids!$F616)</f>
        <v/>
      </c>
      <c r="X617" s="40" t="str">
        <f t="shared" si="5"/>
        <v/>
      </c>
      <c r="Y617" s="40" t="str">
        <f>IF($X617="","",IF(Config!$B$17=Config!$B$16,IF($X617&gt;=Config!$B$17,100,0),MAX(0,MIN(100,($X617-Config!$B$16)/(Config!$B$17-Config!$B$16)*100))))</f>
        <v/>
      </c>
      <c r="Z617" s="40">
        <f>IF($M617="Elite",Config!$B$21,0)</f>
        <v>0</v>
      </c>
      <c r="AA617" s="40" t="str">
        <f>IFERROR(IF(OR($W617="",$H617=""),"",IF($W617&gt;$H617,
  MAX(0, 60-(($W617-$H617)*24/Config!$B$19)*60),
  MIN(100, 60+(($H617-$W617)*24/Config!$B$20)*40)
)),"")
</f>
        <v/>
      </c>
      <c r="AB617" s="40" t="str">
        <f>IF($K617="","",IFERROR(VLOOKUP($K617,Grinders!$A$4:$N$998,10,FALSE)/5*100,""))</f>
        <v/>
      </c>
      <c r="AC617" s="40" t="str">
        <f>IF($K617="","",IFERROR(VLOOKUP($K617,Grinders!$A$4:$N$998,11,FALSE)*100,""))</f>
        <v/>
      </c>
      <c r="AD617" s="40" t="str">
        <f>IF($K617="","",IFERROR(VLOOKUP($K617,Grinders!$A$4:$N$998,12,FALSE)*100,""))</f>
        <v/>
      </c>
      <c r="AE617" s="40">
        <f>IFERROR(IFS(
    OR($C617="", $K617=""), 0,
    $F617=0, 0,
    $D617&lt;&gt;"Open", 0,
    COUNTIFS(GrinderServices!$B$4:$B$998, $K617, GrinderServices!$C$4:$C$998, $E617, GrinderServices!$E$4:$E$998, "Y")=0, 0,
    $X617&lt;Config!$B$16, 0,
    Config!$B$18=1, IF($O617&gt;=N617, 0, 1),
    TRUE, 1
), "")
</f>
        <v>0</v>
      </c>
      <c r="AF617" s="40" t="str">
        <f>IFERROR(IF($AE617=0,"",((Config!$B$6*$Y617 + Config!$B$7*$U617 + Config!$B$8*$Z617 + Config!$B$9*$AA617 + Config!$B$10*$AB617 + Config!$B$11*$AC617 - Config!$B$12*$AD617)/Config!$B$13)+$AK617+$AL617),"")</f>
        <v/>
      </c>
      <c r="AG617" s="40" t="str">
        <f t="shared" si="6"/>
        <v/>
      </c>
      <c r="AH617" s="40" t="str">
        <f t="shared" si="7"/>
        <v/>
      </c>
      <c r="AI617" s="40" t="str">
        <f t="shared" si="8"/>
        <v/>
      </c>
      <c r="AJ617" s="40" t="str">
        <f>IF($K617="","",COUNTIF(Assignments!$B$6:$B$1000,$K617))</f>
        <v/>
      </c>
      <c r="AK617" s="40" t="str">
        <f>IF($K617="","",IF(AND($AJ617=0,$O617&lt;$N617),Config!$B$43,0))</f>
        <v/>
      </c>
      <c r="AL617" s="40" t="str">
        <f>IF($K617="","",IF(AND($M617="Elite",$G617&gt;=Config!$B$41,$O617&lt;$N617),Config!$B$42,0))</f>
        <v/>
      </c>
      <c r="AM617" s="22"/>
    </row>
    <row r="618" ht="15.75" customHeight="1">
      <c r="A618" s="40" t="str">
        <f t="shared" si="1"/>
        <v/>
      </c>
      <c r="B618" s="40" t="str">
        <f>IF(Bids!$A617="","",Bids!$A617)</f>
        <v/>
      </c>
      <c r="C618" s="40" t="str">
        <f>IF(Bids!$B617="","",Bids!$B617)</f>
        <v/>
      </c>
      <c r="D618" s="40" t="str">
        <f>IF($C618="","",IFERROR(VLOOKUP($C618,Orders!$A$4:$J$998,9,FALSE),""))</f>
        <v/>
      </c>
      <c r="E618" s="40" t="str">
        <f>IF($C618="","",IFERROR(VLOOKUP($C618,Orders!$A$4:$J$998,3,FALSE),""))</f>
        <v/>
      </c>
      <c r="F618" s="40">
        <f t="shared" si="2"/>
        <v>1</v>
      </c>
      <c r="G618" s="40" t="str">
        <f>IF($C618="","",IFERROR(VLOOKUP($C618,Orders!$A$4:$J$998,4,FALSE),""))</f>
        <v/>
      </c>
      <c r="H618" s="40" t="str">
        <f>IF($C618="","",IFERROR(VLOOKUP($C618,Orders!$A$4:$J$998,5,FALSE),""))</f>
        <v/>
      </c>
      <c r="I618" s="40" t="str">
        <f>IF($C618="","",IFERROR(VLOOKUP($C618,Orders!$A$4:$J$998,6,FALSE),""))</f>
        <v/>
      </c>
      <c r="J618" s="40" t="str">
        <f>IF($C618="","",IFERROR(VLOOKUP($C618,Orders!$A$4:$J$998,7,FALSE),""))</f>
        <v/>
      </c>
      <c r="K618" s="40" t="str">
        <f>IF(Bids!$C617="","",Bids!$C617)</f>
        <v/>
      </c>
      <c r="L618" s="40" t="str">
        <f>IF($K618="","",IFERROR(VLOOKUP($K618,Grinders!$A$4:$N$998,2,FALSE),""))</f>
        <v/>
      </c>
      <c r="M618" s="40" t="str">
        <f>IF($K618="","",IFERROR(VLOOKUP($K618,Grinders!$A$4:$N$998,3,FALSE),""))</f>
        <v/>
      </c>
      <c r="N618" s="40" t="str">
        <f>IF($K618="","",IFERROR(VLOOKUP($K618,Grinders!$A$4:$N$998,4,FALSE),""))</f>
        <v/>
      </c>
      <c r="O618" s="40" t="str">
        <f>IF($K618="","",IFERROR(VLOOKUP($K618,Grinders!$A$4:$N$998,5,FALSE),""))</f>
        <v/>
      </c>
      <c r="P618" s="40" t="str">
        <f>IF($K618="","",IF($C$4="",0,COUNTIFS(Assignments!$B$6:$B$1000,$K618,Assignments!$F$6:$F$1000,$C$4,Assignments!$E$6:$E$1000,"Active")))</f>
        <v/>
      </c>
      <c r="Q618" s="40" t="str">
        <f t="shared" si="3"/>
        <v/>
      </c>
      <c r="R618" s="40" t="str">
        <f t="shared" si="4"/>
        <v/>
      </c>
      <c r="S618" s="40" t="str">
        <f>IF($K618="","",IF($C$4="",0,COUNTIFS(Assignments!$B$6:$B$1000,$K618,Assignments!$F$6:$F$1000,$C$4,Assignments!$D$6:$D$1000,"&gt;="&amp;Config!$B$3-7,Assignments!$D$6:$D$1000,"&lt;="&amp;Config!$B$3)))</f>
        <v/>
      </c>
      <c r="T618" s="40" t="str">
        <f>IF($K618="","",IFERROR(VLOOKUP($K618,Grinders!$A$4:$N$998,8,FALSE),""))</f>
        <v/>
      </c>
      <c r="U618" s="40" t="str">
        <f>IFERROR(IF($K618="","",IF($M618="Elite",MAX(50,MIN(100,Config!$B$27*MAX(0,MIN(100,(1-IF($R618="",0,$R618))*100)) + Config!$B$28*MAX(0,MIN(100,(1-MIN(1,IF(Config!$B$30=0,1,$S618/Config!$B$30)))*100)) + Config!$B$29*MAX(0,MIN(100,MIN(1,IF($T618="",0,$T618)/Config!$B$23)*100)))),MIN(100,Config!$B$27*MAX(0,MIN(100,(1-IF($R618="",0,$R618))*100)) + Config!$B$28*MAX(0,MIN(100,(1-MIN(1,IF(Config!$B$30=0,1,$S618/Config!$B$30)))*100)) + Config!$B$29*MAX(0,MIN(100,MIN(1,IF($T618="",0,$T618)/Config!$B$23)*100))))),"")
</f>
        <v/>
      </c>
      <c r="V618" s="40" t="str">
        <f>IF(Bids!$D617="","",Bids!$D617)</f>
        <v/>
      </c>
      <c r="W618" s="40" t="str">
        <f>IF(Bids!$F617="","",Bids!$F617)</f>
        <v/>
      </c>
      <c r="X618" s="40" t="str">
        <f t="shared" si="5"/>
        <v/>
      </c>
      <c r="Y618" s="40" t="str">
        <f>IF($X618="","",IF(Config!$B$17=Config!$B$16,IF($X618&gt;=Config!$B$17,100,0),MAX(0,MIN(100,($X618-Config!$B$16)/(Config!$B$17-Config!$B$16)*100))))</f>
        <v/>
      </c>
      <c r="Z618" s="40">
        <f>IF($M618="Elite",Config!$B$21,0)</f>
        <v>0</v>
      </c>
      <c r="AA618" s="40" t="str">
        <f>IFERROR(IF(OR($W618="",$H618=""),"",IF($W618&gt;$H618,
  MAX(0, 60-(($W618-$H618)*24/Config!$B$19)*60),
  MIN(100, 60+(($H618-$W618)*24/Config!$B$20)*40)
)),"")
</f>
        <v/>
      </c>
      <c r="AB618" s="40" t="str">
        <f>IF($K618="","",IFERROR(VLOOKUP($K618,Grinders!$A$4:$N$998,10,FALSE)/5*100,""))</f>
        <v/>
      </c>
      <c r="AC618" s="40" t="str">
        <f>IF($K618="","",IFERROR(VLOOKUP($K618,Grinders!$A$4:$N$998,11,FALSE)*100,""))</f>
        <v/>
      </c>
      <c r="AD618" s="40" t="str">
        <f>IF($K618="","",IFERROR(VLOOKUP($K618,Grinders!$A$4:$N$998,12,FALSE)*100,""))</f>
        <v/>
      </c>
      <c r="AE618" s="40">
        <f>IFERROR(IFS(
    OR($C618="", $K618=""), 0,
    $F618=0, 0,
    $D618&lt;&gt;"Open", 0,
    COUNTIFS(GrinderServices!$B$4:$B$998, $K618, GrinderServices!$C$4:$C$998, $E618, GrinderServices!$E$4:$E$998, "Y")=0, 0,
    $X618&lt;Config!$B$16, 0,
    Config!$B$18=1, IF($O618&gt;=N618, 0, 1),
    TRUE, 1
), "")
</f>
        <v>0</v>
      </c>
      <c r="AF618" s="40" t="str">
        <f>IFERROR(IF($AE618=0,"",((Config!$B$6*$Y618 + Config!$B$7*$U618 + Config!$B$8*$Z618 + Config!$B$9*$AA618 + Config!$B$10*$AB618 + Config!$B$11*$AC618 - Config!$B$12*$AD618)/Config!$B$13)+$AK618+$AL618),"")</f>
        <v/>
      </c>
      <c r="AG618" s="40" t="str">
        <f t="shared" si="6"/>
        <v/>
      </c>
      <c r="AH618" s="40" t="str">
        <f t="shared" si="7"/>
        <v/>
      </c>
      <c r="AI618" s="40" t="str">
        <f t="shared" si="8"/>
        <v/>
      </c>
      <c r="AJ618" s="40" t="str">
        <f>IF($K618="","",COUNTIF(Assignments!$B$6:$B$1000,$K618))</f>
        <v/>
      </c>
      <c r="AK618" s="40" t="str">
        <f>IF($K618="","",IF(AND($AJ618=0,$O618&lt;$N618),Config!$B$43,0))</f>
        <v/>
      </c>
      <c r="AL618" s="40" t="str">
        <f>IF($K618="","",IF(AND($M618="Elite",$G618&gt;=Config!$B$41,$O618&lt;$N618),Config!$B$42,0))</f>
        <v/>
      </c>
      <c r="AM618" s="22"/>
    </row>
    <row r="619" ht="15.75" customHeight="1">
      <c r="A619" s="40" t="str">
        <f t="shared" si="1"/>
        <v/>
      </c>
      <c r="B619" s="40" t="str">
        <f>IF(Bids!$A618="","",Bids!$A618)</f>
        <v/>
      </c>
      <c r="C619" s="40" t="str">
        <f>IF(Bids!$B618="","",Bids!$B618)</f>
        <v/>
      </c>
      <c r="D619" s="40" t="str">
        <f>IF($C619="","",IFERROR(VLOOKUP($C619,Orders!$A$4:$J$998,9,FALSE),""))</f>
        <v/>
      </c>
      <c r="E619" s="40" t="str">
        <f>IF($C619="","",IFERROR(VLOOKUP($C619,Orders!$A$4:$J$998,3,FALSE),""))</f>
        <v/>
      </c>
      <c r="F619" s="40">
        <f t="shared" si="2"/>
        <v>1</v>
      </c>
      <c r="G619" s="40" t="str">
        <f>IF($C619="","",IFERROR(VLOOKUP($C619,Orders!$A$4:$J$998,4,FALSE),""))</f>
        <v/>
      </c>
      <c r="H619" s="40" t="str">
        <f>IF($C619="","",IFERROR(VLOOKUP($C619,Orders!$A$4:$J$998,5,FALSE),""))</f>
        <v/>
      </c>
      <c r="I619" s="40" t="str">
        <f>IF($C619="","",IFERROR(VLOOKUP($C619,Orders!$A$4:$J$998,6,FALSE),""))</f>
        <v/>
      </c>
      <c r="J619" s="40" t="str">
        <f>IF($C619="","",IFERROR(VLOOKUP($C619,Orders!$A$4:$J$998,7,FALSE),""))</f>
        <v/>
      </c>
      <c r="K619" s="40" t="str">
        <f>IF(Bids!$C618="","",Bids!$C618)</f>
        <v/>
      </c>
      <c r="L619" s="40" t="str">
        <f>IF($K619="","",IFERROR(VLOOKUP($K619,Grinders!$A$4:$N$998,2,FALSE),""))</f>
        <v/>
      </c>
      <c r="M619" s="40" t="str">
        <f>IF($K619="","",IFERROR(VLOOKUP($K619,Grinders!$A$4:$N$998,3,FALSE),""))</f>
        <v/>
      </c>
      <c r="N619" s="40" t="str">
        <f>IF($K619="","",IFERROR(VLOOKUP($K619,Grinders!$A$4:$N$998,4,FALSE),""))</f>
        <v/>
      </c>
      <c r="O619" s="40" t="str">
        <f>IF($K619="","",IFERROR(VLOOKUP($K619,Grinders!$A$4:$N$998,5,FALSE),""))</f>
        <v/>
      </c>
      <c r="P619" s="40" t="str">
        <f>IF($K619="","",IF($C$4="",0,COUNTIFS(Assignments!$B$6:$B$1000,$K619,Assignments!$F$6:$F$1000,$C$4,Assignments!$E$6:$E$1000,"Active")))</f>
        <v/>
      </c>
      <c r="Q619" s="40" t="str">
        <f t="shared" si="3"/>
        <v/>
      </c>
      <c r="R619" s="40" t="str">
        <f t="shared" si="4"/>
        <v/>
      </c>
      <c r="S619" s="40" t="str">
        <f>IF($K619="","",IF($C$4="",0,COUNTIFS(Assignments!$B$6:$B$1000,$K619,Assignments!$F$6:$F$1000,$C$4,Assignments!$D$6:$D$1000,"&gt;="&amp;Config!$B$3-7,Assignments!$D$6:$D$1000,"&lt;="&amp;Config!$B$3)))</f>
        <v/>
      </c>
      <c r="T619" s="40" t="str">
        <f>IF($K619="","",IFERROR(VLOOKUP($K619,Grinders!$A$4:$N$998,8,FALSE),""))</f>
        <v/>
      </c>
      <c r="U619" s="40" t="str">
        <f>IFERROR(IF($K619="","",IF($M619="Elite",MAX(50,MIN(100,Config!$B$27*MAX(0,MIN(100,(1-IF($R619="",0,$R619))*100)) + Config!$B$28*MAX(0,MIN(100,(1-MIN(1,IF(Config!$B$30=0,1,$S619/Config!$B$30)))*100)) + Config!$B$29*MAX(0,MIN(100,MIN(1,IF($T619="",0,$T619)/Config!$B$23)*100)))),MIN(100,Config!$B$27*MAX(0,MIN(100,(1-IF($R619="",0,$R619))*100)) + Config!$B$28*MAX(0,MIN(100,(1-MIN(1,IF(Config!$B$30=0,1,$S619/Config!$B$30)))*100)) + Config!$B$29*MAX(0,MIN(100,MIN(1,IF($T619="",0,$T619)/Config!$B$23)*100))))),"")
</f>
        <v/>
      </c>
      <c r="V619" s="40" t="str">
        <f>IF(Bids!$D618="","",Bids!$D618)</f>
        <v/>
      </c>
      <c r="W619" s="40" t="str">
        <f>IF(Bids!$F618="","",Bids!$F618)</f>
        <v/>
      </c>
      <c r="X619" s="40" t="str">
        <f t="shared" si="5"/>
        <v/>
      </c>
      <c r="Y619" s="40" t="str">
        <f>IF($X619="","",IF(Config!$B$17=Config!$B$16,IF($X619&gt;=Config!$B$17,100,0),MAX(0,MIN(100,($X619-Config!$B$16)/(Config!$B$17-Config!$B$16)*100))))</f>
        <v/>
      </c>
      <c r="Z619" s="40">
        <f>IF($M619="Elite",Config!$B$21,0)</f>
        <v>0</v>
      </c>
      <c r="AA619" s="40" t="str">
        <f>IFERROR(IF(OR($W619="",$H619=""),"",IF($W619&gt;$H619,
  MAX(0, 60-(($W619-$H619)*24/Config!$B$19)*60),
  MIN(100, 60+(($H619-$W619)*24/Config!$B$20)*40)
)),"")
</f>
        <v/>
      </c>
      <c r="AB619" s="40" t="str">
        <f>IF($K619="","",IFERROR(VLOOKUP($K619,Grinders!$A$4:$N$998,10,FALSE)/5*100,""))</f>
        <v/>
      </c>
      <c r="AC619" s="40" t="str">
        <f>IF($K619="","",IFERROR(VLOOKUP($K619,Grinders!$A$4:$N$998,11,FALSE)*100,""))</f>
        <v/>
      </c>
      <c r="AD619" s="40" t="str">
        <f>IF($K619="","",IFERROR(VLOOKUP($K619,Grinders!$A$4:$N$998,12,FALSE)*100,""))</f>
        <v/>
      </c>
      <c r="AE619" s="40">
        <f>IFERROR(IFS(
    OR($C619="", $K619=""), 0,
    $F619=0, 0,
    $D619&lt;&gt;"Open", 0,
    COUNTIFS(GrinderServices!$B$4:$B$998, $K619, GrinderServices!$C$4:$C$998, $E619, GrinderServices!$E$4:$E$998, "Y")=0, 0,
    $X619&lt;Config!$B$16, 0,
    Config!$B$18=1, IF($O619&gt;=N619, 0, 1),
    TRUE, 1
), "")
</f>
        <v>0</v>
      </c>
      <c r="AF619" s="40" t="str">
        <f>IFERROR(IF($AE619=0,"",((Config!$B$6*$Y619 + Config!$B$7*$U619 + Config!$B$8*$Z619 + Config!$B$9*$AA619 + Config!$B$10*$AB619 + Config!$B$11*$AC619 - Config!$B$12*$AD619)/Config!$B$13)+$AK619+$AL619),"")</f>
        <v/>
      </c>
      <c r="AG619" s="40" t="str">
        <f t="shared" si="6"/>
        <v/>
      </c>
      <c r="AH619" s="40" t="str">
        <f t="shared" si="7"/>
        <v/>
      </c>
      <c r="AI619" s="40" t="str">
        <f t="shared" si="8"/>
        <v/>
      </c>
      <c r="AJ619" s="40" t="str">
        <f>IF($K619="","",COUNTIF(Assignments!$B$6:$B$1000,$K619))</f>
        <v/>
      </c>
      <c r="AK619" s="40" t="str">
        <f>IF($K619="","",IF(AND($AJ619=0,$O619&lt;$N619),Config!$B$43,0))</f>
        <v/>
      </c>
      <c r="AL619" s="40" t="str">
        <f>IF($K619="","",IF(AND($M619="Elite",$G619&gt;=Config!$B$41,$O619&lt;$N619),Config!$B$42,0))</f>
        <v/>
      </c>
      <c r="AM619" s="22"/>
    </row>
    <row r="620" ht="15.75" customHeight="1">
      <c r="A620" s="40" t="str">
        <f t="shared" si="1"/>
        <v/>
      </c>
      <c r="B620" s="40" t="str">
        <f>IF(Bids!$A619="","",Bids!$A619)</f>
        <v/>
      </c>
      <c r="C620" s="40" t="str">
        <f>IF(Bids!$B619="","",Bids!$B619)</f>
        <v/>
      </c>
      <c r="D620" s="40" t="str">
        <f>IF($C620="","",IFERROR(VLOOKUP($C620,Orders!$A$4:$J$998,9,FALSE),""))</f>
        <v/>
      </c>
      <c r="E620" s="40" t="str">
        <f>IF($C620="","",IFERROR(VLOOKUP($C620,Orders!$A$4:$J$998,3,FALSE),""))</f>
        <v/>
      </c>
      <c r="F620" s="40">
        <f t="shared" si="2"/>
        <v>1</v>
      </c>
      <c r="G620" s="40" t="str">
        <f>IF($C620="","",IFERROR(VLOOKUP($C620,Orders!$A$4:$J$998,4,FALSE),""))</f>
        <v/>
      </c>
      <c r="H620" s="40" t="str">
        <f>IF($C620="","",IFERROR(VLOOKUP($C620,Orders!$A$4:$J$998,5,FALSE),""))</f>
        <v/>
      </c>
      <c r="I620" s="40" t="str">
        <f>IF($C620="","",IFERROR(VLOOKUP($C620,Orders!$A$4:$J$998,6,FALSE),""))</f>
        <v/>
      </c>
      <c r="J620" s="40" t="str">
        <f>IF($C620="","",IFERROR(VLOOKUP($C620,Orders!$A$4:$J$998,7,FALSE),""))</f>
        <v/>
      </c>
      <c r="K620" s="40" t="str">
        <f>IF(Bids!$C619="","",Bids!$C619)</f>
        <v/>
      </c>
      <c r="L620" s="40" t="str">
        <f>IF($K620="","",IFERROR(VLOOKUP($K620,Grinders!$A$4:$N$998,2,FALSE),""))</f>
        <v/>
      </c>
      <c r="M620" s="40" t="str">
        <f>IF($K620="","",IFERROR(VLOOKUP($K620,Grinders!$A$4:$N$998,3,FALSE),""))</f>
        <v/>
      </c>
      <c r="N620" s="40" t="str">
        <f>IF($K620="","",IFERROR(VLOOKUP($K620,Grinders!$A$4:$N$998,4,FALSE),""))</f>
        <v/>
      </c>
      <c r="O620" s="40" t="str">
        <f>IF($K620="","",IFERROR(VLOOKUP($K620,Grinders!$A$4:$N$998,5,FALSE),""))</f>
        <v/>
      </c>
      <c r="P620" s="40" t="str">
        <f>IF($K620="","",IF($C$4="",0,COUNTIFS(Assignments!$B$6:$B$1000,$K620,Assignments!$F$6:$F$1000,$C$4,Assignments!$E$6:$E$1000,"Active")))</f>
        <v/>
      </c>
      <c r="Q620" s="40" t="str">
        <f t="shared" si="3"/>
        <v/>
      </c>
      <c r="R620" s="40" t="str">
        <f t="shared" si="4"/>
        <v/>
      </c>
      <c r="S620" s="40" t="str">
        <f>IF($K620="","",IF($C$4="",0,COUNTIFS(Assignments!$B$6:$B$1000,$K620,Assignments!$F$6:$F$1000,$C$4,Assignments!$D$6:$D$1000,"&gt;="&amp;Config!$B$3-7,Assignments!$D$6:$D$1000,"&lt;="&amp;Config!$B$3)))</f>
        <v/>
      </c>
      <c r="T620" s="40" t="str">
        <f>IF($K620="","",IFERROR(VLOOKUP($K620,Grinders!$A$4:$N$998,8,FALSE),""))</f>
        <v/>
      </c>
      <c r="U620" s="40" t="str">
        <f>IFERROR(IF($K620="","",IF($M620="Elite",MAX(50,MIN(100,Config!$B$27*MAX(0,MIN(100,(1-IF($R620="",0,$R620))*100)) + Config!$B$28*MAX(0,MIN(100,(1-MIN(1,IF(Config!$B$30=0,1,$S620/Config!$B$30)))*100)) + Config!$B$29*MAX(0,MIN(100,MIN(1,IF($T620="",0,$T620)/Config!$B$23)*100)))),MIN(100,Config!$B$27*MAX(0,MIN(100,(1-IF($R620="",0,$R620))*100)) + Config!$B$28*MAX(0,MIN(100,(1-MIN(1,IF(Config!$B$30=0,1,$S620/Config!$B$30)))*100)) + Config!$B$29*MAX(0,MIN(100,MIN(1,IF($T620="",0,$T620)/Config!$B$23)*100))))),"")
</f>
        <v/>
      </c>
      <c r="V620" s="40" t="str">
        <f>IF(Bids!$D619="","",Bids!$D619)</f>
        <v/>
      </c>
      <c r="W620" s="40" t="str">
        <f>IF(Bids!$F619="","",Bids!$F619)</f>
        <v/>
      </c>
      <c r="X620" s="40" t="str">
        <f t="shared" si="5"/>
        <v/>
      </c>
      <c r="Y620" s="40" t="str">
        <f>IF($X620="","",IF(Config!$B$17=Config!$B$16,IF($X620&gt;=Config!$B$17,100,0),MAX(0,MIN(100,($X620-Config!$B$16)/(Config!$B$17-Config!$B$16)*100))))</f>
        <v/>
      </c>
      <c r="Z620" s="40">
        <f>IF($M620="Elite",Config!$B$21,0)</f>
        <v>0</v>
      </c>
      <c r="AA620" s="40" t="str">
        <f>IFERROR(IF(OR($W620="",$H620=""),"",IF($W620&gt;$H620,
  MAX(0, 60-(($W620-$H620)*24/Config!$B$19)*60),
  MIN(100, 60+(($H620-$W620)*24/Config!$B$20)*40)
)),"")
</f>
        <v/>
      </c>
      <c r="AB620" s="40" t="str">
        <f>IF($K620="","",IFERROR(VLOOKUP($K620,Grinders!$A$4:$N$998,10,FALSE)/5*100,""))</f>
        <v/>
      </c>
      <c r="AC620" s="40" t="str">
        <f>IF($K620="","",IFERROR(VLOOKUP($K620,Grinders!$A$4:$N$998,11,FALSE)*100,""))</f>
        <v/>
      </c>
      <c r="AD620" s="40" t="str">
        <f>IF($K620="","",IFERROR(VLOOKUP($K620,Grinders!$A$4:$N$998,12,FALSE)*100,""))</f>
        <v/>
      </c>
      <c r="AE620" s="40">
        <f>IFERROR(IFS(
    OR($C620="", $K620=""), 0,
    $F620=0, 0,
    $D620&lt;&gt;"Open", 0,
    COUNTIFS(GrinderServices!$B$4:$B$998, $K620, GrinderServices!$C$4:$C$998, $E620, GrinderServices!$E$4:$E$998, "Y")=0, 0,
    $X620&lt;Config!$B$16, 0,
    Config!$B$18=1, IF($O620&gt;=N620, 0, 1),
    TRUE, 1
), "")
</f>
        <v>0</v>
      </c>
      <c r="AF620" s="40" t="str">
        <f>IFERROR(IF($AE620=0,"",((Config!$B$6*$Y620 + Config!$B$7*$U620 + Config!$B$8*$Z620 + Config!$B$9*$AA620 + Config!$B$10*$AB620 + Config!$B$11*$AC620 - Config!$B$12*$AD620)/Config!$B$13)+$AK620+$AL620),"")</f>
        <v/>
      </c>
      <c r="AG620" s="40" t="str">
        <f t="shared" si="6"/>
        <v/>
      </c>
      <c r="AH620" s="40" t="str">
        <f t="shared" si="7"/>
        <v/>
      </c>
      <c r="AI620" s="40" t="str">
        <f t="shared" si="8"/>
        <v/>
      </c>
      <c r="AJ620" s="40" t="str">
        <f>IF($K620="","",COUNTIF(Assignments!$B$6:$B$1000,$K620))</f>
        <v/>
      </c>
      <c r="AK620" s="40" t="str">
        <f>IF($K620="","",IF(AND($AJ620=0,$O620&lt;$N620),Config!$B$43,0))</f>
        <v/>
      </c>
      <c r="AL620" s="40" t="str">
        <f>IF($K620="","",IF(AND($M620="Elite",$G620&gt;=Config!$B$41,$O620&lt;$N620),Config!$B$42,0))</f>
        <v/>
      </c>
      <c r="AM620" s="22"/>
    </row>
    <row r="621" ht="15.75" customHeight="1">
      <c r="A621" s="40" t="str">
        <f t="shared" si="1"/>
        <v/>
      </c>
      <c r="B621" s="40" t="str">
        <f>IF(Bids!$A620="","",Bids!$A620)</f>
        <v/>
      </c>
      <c r="C621" s="40" t="str">
        <f>IF(Bids!$B620="","",Bids!$B620)</f>
        <v/>
      </c>
      <c r="D621" s="40" t="str">
        <f>IF($C621="","",IFERROR(VLOOKUP($C621,Orders!$A$4:$J$998,9,FALSE),""))</f>
        <v/>
      </c>
      <c r="E621" s="40" t="str">
        <f>IF($C621="","",IFERROR(VLOOKUP($C621,Orders!$A$4:$J$998,3,FALSE),""))</f>
        <v/>
      </c>
      <c r="F621" s="40">
        <f t="shared" si="2"/>
        <v>1</v>
      </c>
      <c r="G621" s="40" t="str">
        <f>IF($C621="","",IFERROR(VLOOKUP($C621,Orders!$A$4:$J$998,4,FALSE),""))</f>
        <v/>
      </c>
      <c r="H621" s="40" t="str">
        <f>IF($C621="","",IFERROR(VLOOKUP($C621,Orders!$A$4:$J$998,5,FALSE),""))</f>
        <v/>
      </c>
      <c r="I621" s="40" t="str">
        <f>IF($C621="","",IFERROR(VLOOKUP($C621,Orders!$A$4:$J$998,6,FALSE),""))</f>
        <v/>
      </c>
      <c r="J621" s="40" t="str">
        <f>IF($C621="","",IFERROR(VLOOKUP($C621,Orders!$A$4:$J$998,7,FALSE),""))</f>
        <v/>
      </c>
      <c r="K621" s="40" t="str">
        <f>IF(Bids!$C620="","",Bids!$C620)</f>
        <v/>
      </c>
      <c r="L621" s="40" t="str">
        <f>IF($K621="","",IFERROR(VLOOKUP($K621,Grinders!$A$4:$N$998,2,FALSE),""))</f>
        <v/>
      </c>
      <c r="M621" s="40" t="str">
        <f>IF($K621="","",IFERROR(VLOOKUP($K621,Grinders!$A$4:$N$998,3,FALSE),""))</f>
        <v/>
      </c>
      <c r="N621" s="40" t="str">
        <f>IF($K621="","",IFERROR(VLOOKUP($K621,Grinders!$A$4:$N$998,4,FALSE),""))</f>
        <v/>
      </c>
      <c r="O621" s="40" t="str">
        <f>IF($K621="","",IFERROR(VLOOKUP($K621,Grinders!$A$4:$N$998,5,FALSE),""))</f>
        <v/>
      </c>
      <c r="P621" s="40" t="str">
        <f>IF($K621="","",IF($C$4="",0,COUNTIFS(Assignments!$B$6:$B$1000,$K621,Assignments!$F$6:$F$1000,$C$4,Assignments!$E$6:$E$1000,"Active")))</f>
        <v/>
      </c>
      <c r="Q621" s="40" t="str">
        <f t="shared" si="3"/>
        <v/>
      </c>
      <c r="R621" s="40" t="str">
        <f t="shared" si="4"/>
        <v/>
      </c>
      <c r="S621" s="40" t="str">
        <f>IF($K621="","",IF($C$4="",0,COUNTIFS(Assignments!$B$6:$B$1000,$K621,Assignments!$F$6:$F$1000,$C$4,Assignments!$D$6:$D$1000,"&gt;="&amp;Config!$B$3-7,Assignments!$D$6:$D$1000,"&lt;="&amp;Config!$B$3)))</f>
        <v/>
      </c>
      <c r="T621" s="40" t="str">
        <f>IF($K621="","",IFERROR(VLOOKUP($K621,Grinders!$A$4:$N$998,8,FALSE),""))</f>
        <v/>
      </c>
      <c r="U621" s="40" t="str">
        <f>IFERROR(IF($K621="","",IF($M621="Elite",MAX(50,MIN(100,Config!$B$27*MAX(0,MIN(100,(1-IF($R621="",0,$R621))*100)) + Config!$B$28*MAX(0,MIN(100,(1-MIN(1,IF(Config!$B$30=0,1,$S621/Config!$B$30)))*100)) + Config!$B$29*MAX(0,MIN(100,MIN(1,IF($T621="",0,$T621)/Config!$B$23)*100)))),MIN(100,Config!$B$27*MAX(0,MIN(100,(1-IF($R621="",0,$R621))*100)) + Config!$B$28*MAX(0,MIN(100,(1-MIN(1,IF(Config!$B$30=0,1,$S621/Config!$B$30)))*100)) + Config!$B$29*MAX(0,MIN(100,MIN(1,IF($T621="",0,$T621)/Config!$B$23)*100))))),"")
</f>
        <v/>
      </c>
      <c r="V621" s="40" t="str">
        <f>IF(Bids!$D620="","",Bids!$D620)</f>
        <v/>
      </c>
      <c r="W621" s="40" t="str">
        <f>IF(Bids!$F620="","",Bids!$F620)</f>
        <v/>
      </c>
      <c r="X621" s="40" t="str">
        <f t="shared" si="5"/>
        <v/>
      </c>
      <c r="Y621" s="40" t="str">
        <f>IF($X621="","",IF(Config!$B$17=Config!$B$16,IF($X621&gt;=Config!$B$17,100,0),MAX(0,MIN(100,($X621-Config!$B$16)/(Config!$B$17-Config!$B$16)*100))))</f>
        <v/>
      </c>
      <c r="Z621" s="40">
        <f>IF($M621="Elite",Config!$B$21,0)</f>
        <v>0</v>
      </c>
      <c r="AA621" s="40" t="str">
        <f>IFERROR(IF(OR($W621="",$H621=""),"",IF($W621&gt;$H621,
  MAX(0, 60-(($W621-$H621)*24/Config!$B$19)*60),
  MIN(100, 60+(($H621-$W621)*24/Config!$B$20)*40)
)),"")
</f>
        <v/>
      </c>
      <c r="AB621" s="40" t="str">
        <f>IF($K621="","",IFERROR(VLOOKUP($K621,Grinders!$A$4:$N$998,10,FALSE)/5*100,""))</f>
        <v/>
      </c>
      <c r="AC621" s="40" t="str">
        <f>IF($K621="","",IFERROR(VLOOKUP($K621,Grinders!$A$4:$N$998,11,FALSE)*100,""))</f>
        <v/>
      </c>
      <c r="AD621" s="40" t="str">
        <f>IF($K621="","",IFERROR(VLOOKUP($K621,Grinders!$A$4:$N$998,12,FALSE)*100,""))</f>
        <v/>
      </c>
      <c r="AE621" s="40">
        <f>IFERROR(IFS(
    OR($C621="", $K621=""), 0,
    $F621=0, 0,
    $D621&lt;&gt;"Open", 0,
    COUNTIFS(GrinderServices!$B$4:$B$998, $K621, GrinderServices!$C$4:$C$998, $E621, GrinderServices!$E$4:$E$998, "Y")=0, 0,
    $X621&lt;Config!$B$16, 0,
    Config!$B$18=1, IF($O621&gt;=N621, 0, 1),
    TRUE, 1
), "")
</f>
        <v>0</v>
      </c>
      <c r="AF621" s="40" t="str">
        <f>IFERROR(IF($AE621=0,"",((Config!$B$6*$Y621 + Config!$B$7*$U621 + Config!$B$8*$Z621 + Config!$B$9*$AA621 + Config!$B$10*$AB621 + Config!$B$11*$AC621 - Config!$B$12*$AD621)/Config!$B$13)+$AK621+$AL621),"")</f>
        <v/>
      </c>
      <c r="AG621" s="40" t="str">
        <f t="shared" si="6"/>
        <v/>
      </c>
      <c r="AH621" s="40" t="str">
        <f t="shared" si="7"/>
        <v/>
      </c>
      <c r="AI621" s="40" t="str">
        <f t="shared" si="8"/>
        <v/>
      </c>
      <c r="AJ621" s="40" t="str">
        <f>IF($K621="","",COUNTIF(Assignments!$B$6:$B$1000,$K621))</f>
        <v/>
      </c>
      <c r="AK621" s="40" t="str">
        <f>IF($K621="","",IF(AND($AJ621=0,$O621&lt;$N621),Config!$B$43,0))</f>
        <v/>
      </c>
      <c r="AL621" s="40" t="str">
        <f>IF($K621="","",IF(AND($M621="Elite",$G621&gt;=Config!$B$41,$O621&lt;$N621),Config!$B$42,0))</f>
        <v/>
      </c>
      <c r="AM621" s="22"/>
    </row>
    <row r="622" ht="15.75" customHeight="1">
      <c r="A622" s="40" t="str">
        <f t="shared" si="1"/>
        <v/>
      </c>
      <c r="B622" s="40" t="str">
        <f>IF(Bids!$A621="","",Bids!$A621)</f>
        <v/>
      </c>
      <c r="C622" s="40" t="str">
        <f>IF(Bids!$B621="","",Bids!$B621)</f>
        <v/>
      </c>
      <c r="D622" s="40" t="str">
        <f>IF($C622="","",IFERROR(VLOOKUP($C622,Orders!$A$4:$J$998,9,FALSE),""))</f>
        <v/>
      </c>
      <c r="E622" s="40" t="str">
        <f>IF($C622="","",IFERROR(VLOOKUP($C622,Orders!$A$4:$J$998,3,FALSE),""))</f>
        <v/>
      </c>
      <c r="F622" s="40">
        <f t="shared" si="2"/>
        <v>1</v>
      </c>
      <c r="G622" s="40" t="str">
        <f>IF($C622="","",IFERROR(VLOOKUP($C622,Orders!$A$4:$J$998,4,FALSE),""))</f>
        <v/>
      </c>
      <c r="H622" s="40" t="str">
        <f>IF($C622="","",IFERROR(VLOOKUP($C622,Orders!$A$4:$J$998,5,FALSE),""))</f>
        <v/>
      </c>
      <c r="I622" s="40" t="str">
        <f>IF($C622="","",IFERROR(VLOOKUP($C622,Orders!$A$4:$J$998,6,FALSE),""))</f>
        <v/>
      </c>
      <c r="J622" s="40" t="str">
        <f>IF($C622="","",IFERROR(VLOOKUP($C622,Orders!$A$4:$J$998,7,FALSE),""))</f>
        <v/>
      </c>
      <c r="K622" s="40" t="str">
        <f>IF(Bids!$C621="","",Bids!$C621)</f>
        <v/>
      </c>
      <c r="L622" s="40" t="str">
        <f>IF($K622="","",IFERROR(VLOOKUP($K622,Grinders!$A$4:$N$998,2,FALSE),""))</f>
        <v/>
      </c>
      <c r="M622" s="40" t="str">
        <f>IF($K622="","",IFERROR(VLOOKUP($K622,Grinders!$A$4:$N$998,3,FALSE),""))</f>
        <v/>
      </c>
      <c r="N622" s="40" t="str">
        <f>IF($K622="","",IFERROR(VLOOKUP($K622,Grinders!$A$4:$N$998,4,FALSE),""))</f>
        <v/>
      </c>
      <c r="O622" s="40" t="str">
        <f>IF($K622="","",IFERROR(VLOOKUP($K622,Grinders!$A$4:$N$998,5,FALSE),""))</f>
        <v/>
      </c>
      <c r="P622" s="40" t="str">
        <f>IF($K622="","",IF($C$4="",0,COUNTIFS(Assignments!$B$6:$B$1000,$K622,Assignments!$F$6:$F$1000,$C$4,Assignments!$E$6:$E$1000,"Active")))</f>
        <v/>
      </c>
      <c r="Q622" s="40" t="str">
        <f t="shared" si="3"/>
        <v/>
      </c>
      <c r="R622" s="40" t="str">
        <f t="shared" si="4"/>
        <v/>
      </c>
      <c r="S622" s="40" t="str">
        <f>IF($K622="","",IF($C$4="",0,COUNTIFS(Assignments!$B$6:$B$1000,$K622,Assignments!$F$6:$F$1000,$C$4,Assignments!$D$6:$D$1000,"&gt;="&amp;Config!$B$3-7,Assignments!$D$6:$D$1000,"&lt;="&amp;Config!$B$3)))</f>
        <v/>
      </c>
      <c r="T622" s="40" t="str">
        <f>IF($K622="","",IFERROR(VLOOKUP($K622,Grinders!$A$4:$N$998,8,FALSE),""))</f>
        <v/>
      </c>
      <c r="U622" s="40" t="str">
        <f>IFERROR(IF($K622="","",IF($M622="Elite",MAX(50,MIN(100,Config!$B$27*MAX(0,MIN(100,(1-IF($R622="",0,$R622))*100)) + Config!$B$28*MAX(0,MIN(100,(1-MIN(1,IF(Config!$B$30=0,1,$S622/Config!$B$30)))*100)) + Config!$B$29*MAX(0,MIN(100,MIN(1,IF($T622="",0,$T622)/Config!$B$23)*100)))),MIN(100,Config!$B$27*MAX(0,MIN(100,(1-IF($R622="",0,$R622))*100)) + Config!$B$28*MAX(0,MIN(100,(1-MIN(1,IF(Config!$B$30=0,1,$S622/Config!$B$30)))*100)) + Config!$B$29*MAX(0,MIN(100,MIN(1,IF($T622="",0,$T622)/Config!$B$23)*100))))),"")
</f>
        <v/>
      </c>
      <c r="V622" s="40" t="str">
        <f>IF(Bids!$D621="","",Bids!$D621)</f>
        <v/>
      </c>
      <c r="W622" s="40" t="str">
        <f>IF(Bids!$F621="","",Bids!$F621)</f>
        <v/>
      </c>
      <c r="X622" s="40" t="str">
        <f t="shared" si="5"/>
        <v/>
      </c>
      <c r="Y622" s="40" t="str">
        <f>IF($X622="","",IF(Config!$B$17=Config!$B$16,IF($X622&gt;=Config!$B$17,100,0),MAX(0,MIN(100,($X622-Config!$B$16)/(Config!$B$17-Config!$B$16)*100))))</f>
        <v/>
      </c>
      <c r="Z622" s="40">
        <f>IF($M622="Elite",Config!$B$21,0)</f>
        <v>0</v>
      </c>
      <c r="AA622" s="40" t="str">
        <f>IFERROR(IF(OR($W622="",$H622=""),"",IF($W622&gt;$H622,
  MAX(0, 60-(($W622-$H622)*24/Config!$B$19)*60),
  MIN(100, 60+(($H622-$W622)*24/Config!$B$20)*40)
)),"")
</f>
        <v/>
      </c>
      <c r="AB622" s="40" t="str">
        <f>IF($K622="","",IFERROR(VLOOKUP($K622,Grinders!$A$4:$N$998,10,FALSE)/5*100,""))</f>
        <v/>
      </c>
      <c r="AC622" s="40" t="str">
        <f>IF($K622="","",IFERROR(VLOOKUP($K622,Grinders!$A$4:$N$998,11,FALSE)*100,""))</f>
        <v/>
      </c>
      <c r="AD622" s="40" t="str">
        <f>IF($K622="","",IFERROR(VLOOKUP($K622,Grinders!$A$4:$N$998,12,FALSE)*100,""))</f>
        <v/>
      </c>
      <c r="AE622" s="40">
        <f>IFERROR(IFS(
    OR($C622="", $K622=""), 0,
    $F622=0, 0,
    $D622&lt;&gt;"Open", 0,
    COUNTIFS(GrinderServices!$B$4:$B$998, $K622, GrinderServices!$C$4:$C$998, $E622, GrinderServices!$E$4:$E$998, "Y")=0, 0,
    $X622&lt;Config!$B$16, 0,
    Config!$B$18=1, IF($O622&gt;=N622, 0, 1),
    TRUE, 1
), "")
</f>
        <v>0</v>
      </c>
      <c r="AF622" s="40" t="str">
        <f>IFERROR(IF($AE622=0,"",((Config!$B$6*$Y622 + Config!$B$7*$U622 + Config!$B$8*$Z622 + Config!$B$9*$AA622 + Config!$B$10*$AB622 + Config!$B$11*$AC622 - Config!$B$12*$AD622)/Config!$B$13)+$AK622+$AL622),"")</f>
        <v/>
      </c>
      <c r="AG622" s="40" t="str">
        <f t="shared" si="6"/>
        <v/>
      </c>
      <c r="AH622" s="40" t="str">
        <f t="shared" si="7"/>
        <v/>
      </c>
      <c r="AI622" s="40" t="str">
        <f t="shared" si="8"/>
        <v/>
      </c>
      <c r="AJ622" s="40" t="str">
        <f>IF($K622="","",COUNTIF(Assignments!$B$6:$B$1000,$K622))</f>
        <v/>
      </c>
      <c r="AK622" s="40" t="str">
        <f>IF($K622="","",IF(AND($AJ622=0,$O622&lt;$N622),Config!$B$43,0))</f>
        <v/>
      </c>
      <c r="AL622" s="40" t="str">
        <f>IF($K622="","",IF(AND($M622="Elite",$G622&gt;=Config!$B$41,$O622&lt;$N622),Config!$B$42,0))</f>
        <v/>
      </c>
      <c r="AM622" s="22"/>
    </row>
    <row r="623" ht="15.75" customHeight="1">
      <c r="A623" s="40" t="str">
        <f t="shared" si="1"/>
        <v/>
      </c>
      <c r="B623" s="40" t="str">
        <f>IF(Bids!$A622="","",Bids!$A622)</f>
        <v/>
      </c>
      <c r="C623" s="40" t="str">
        <f>IF(Bids!$B622="","",Bids!$B622)</f>
        <v/>
      </c>
      <c r="D623" s="40" t="str">
        <f>IF($C623="","",IFERROR(VLOOKUP($C623,Orders!$A$4:$J$998,9,FALSE),""))</f>
        <v/>
      </c>
      <c r="E623" s="40" t="str">
        <f>IF($C623="","",IFERROR(VLOOKUP($C623,Orders!$A$4:$J$998,3,FALSE),""))</f>
        <v/>
      </c>
      <c r="F623" s="40">
        <f t="shared" si="2"/>
        <v>1</v>
      </c>
      <c r="G623" s="40" t="str">
        <f>IF($C623="","",IFERROR(VLOOKUP($C623,Orders!$A$4:$J$998,4,FALSE),""))</f>
        <v/>
      </c>
      <c r="H623" s="40" t="str">
        <f>IF($C623="","",IFERROR(VLOOKUP($C623,Orders!$A$4:$J$998,5,FALSE),""))</f>
        <v/>
      </c>
      <c r="I623" s="40" t="str">
        <f>IF($C623="","",IFERROR(VLOOKUP($C623,Orders!$A$4:$J$998,6,FALSE),""))</f>
        <v/>
      </c>
      <c r="J623" s="40" t="str">
        <f>IF($C623="","",IFERROR(VLOOKUP($C623,Orders!$A$4:$J$998,7,FALSE),""))</f>
        <v/>
      </c>
      <c r="K623" s="40" t="str">
        <f>IF(Bids!$C622="","",Bids!$C622)</f>
        <v/>
      </c>
      <c r="L623" s="40" t="str">
        <f>IF($K623="","",IFERROR(VLOOKUP($K623,Grinders!$A$4:$N$998,2,FALSE),""))</f>
        <v/>
      </c>
      <c r="M623" s="40" t="str">
        <f>IF($K623="","",IFERROR(VLOOKUP($K623,Grinders!$A$4:$N$998,3,FALSE),""))</f>
        <v/>
      </c>
      <c r="N623" s="40" t="str">
        <f>IF($K623="","",IFERROR(VLOOKUP($K623,Grinders!$A$4:$N$998,4,FALSE),""))</f>
        <v/>
      </c>
      <c r="O623" s="40" t="str">
        <f>IF($K623="","",IFERROR(VLOOKUP($K623,Grinders!$A$4:$N$998,5,FALSE),""))</f>
        <v/>
      </c>
      <c r="P623" s="40" t="str">
        <f>IF($K623="","",IF($C$4="",0,COUNTIFS(Assignments!$B$6:$B$1000,$K623,Assignments!$F$6:$F$1000,$C$4,Assignments!$E$6:$E$1000,"Active")))</f>
        <v/>
      </c>
      <c r="Q623" s="40" t="str">
        <f t="shared" si="3"/>
        <v/>
      </c>
      <c r="R623" s="40" t="str">
        <f t="shared" si="4"/>
        <v/>
      </c>
      <c r="S623" s="40" t="str">
        <f>IF($K623="","",IF($C$4="",0,COUNTIFS(Assignments!$B$6:$B$1000,$K623,Assignments!$F$6:$F$1000,$C$4,Assignments!$D$6:$D$1000,"&gt;="&amp;Config!$B$3-7,Assignments!$D$6:$D$1000,"&lt;="&amp;Config!$B$3)))</f>
        <v/>
      </c>
      <c r="T623" s="40" t="str">
        <f>IF($K623="","",IFERROR(VLOOKUP($K623,Grinders!$A$4:$N$998,8,FALSE),""))</f>
        <v/>
      </c>
      <c r="U623" s="40" t="str">
        <f>IFERROR(IF($K623="","",IF($M623="Elite",MAX(50,MIN(100,Config!$B$27*MAX(0,MIN(100,(1-IF($R623="",0,$R623))*100)) + Config!$B$28*MAX(0,MIN(100,(1-MIN(1,IF(Config!$B$30=0,1,$S623/Config!$B$30)))*100)) + Config!$B$29*MAX(0,MIN(100,MIN(1,IF($T623="",0,$T623)/Config!$B$23)*100)))),MIN(100,Config!$B$27*MAX(0,MIN(100,(1-IF($R623="",0,$R623))*100)) + Config!$B$28*MAX(0,MIN(100,(1-MIN(1,IF(Config!$B$30=0,1,$S623/Config!$B$30)))*100)) + Config!$B$29*MAX(0,MIN(100,MIN(1,IF($T623="",0,$T623)/Config!$B$23)*100))))),"")
</f>
        <v/>
      </c>
      <c r="V623" s="40" t="str">
        <f>IF(Bids!$D622="","",Bids!$D622)</f>
        <v/>
      </c>
      <c r="W623" s="40" t="str">
        <f>IF(Bids!$F622="","",Bids!$F622)</f>
        <v/>
      </c>
      <c r="X623" s="40" t="str">
        <f t="shared" si="5"/>
        <v/>
      </c>
      <c r="Y623" s="40" t="str">
        <f>IF($X623="","",IF(Config!$B$17=Config!$B$16,IF($X623&gt;=Config!$B$17,100,0),MAX(0,MIN(100,($X623-Config!$B$16)/(Config!$B$17-Config!$B$16)*100))))</f>
        <v/>
      </c>
      <c r="Z623" s="40">
        <f>IF($M623="Elite",Config!$B$21,0)</f>
        <v>0</v>
      </c>
      <c r="AA623" s="40" t="str">
        <f>IFERROR(IF(OR($W623="",$H623=""),"",IF($W623&gt;$H623,
  MAX(0, 60-(($W623-$H623)*24/Config!$B$19)*60),
  MIN(100, 60+(($H623-$W623)*24/Config!$B$20)*40)
)),"")
</f>
        <v/>
      </c>
      <c r="AB623" s="40" t="str">
        <f>IF($K623="","",IFERROR(VLOOKUP($K623,Grinders!$A$4:$N$998,10,FALSE)/5*100,""))</f>
        <v/>
      </c>
      <c r="AC623" s="40" t="str">
        <f>IF($K623="","",IFERROR(VLOOKUP($K623,Grinders!$A$4:$N$998,11,FALSE)*100,""))</f>
        <v/>
      </c>
      <c r="AD623" s="40" t="str">
        <f>IF($K623="","",IFERROR(VLOOKUP($K623,Grinders!$A$4:$N$998,12,FALSE)*100,""))</f>
        <v/>
      </c>
      <c r="AE623" s="40">
        <f>IFERROR(IFS(
    OR($C623="", $K623=""), 0,
    $F623=0, 0,
    $D623&lt;&gt;"Open", 0,
    COUNTIFS(GrinderServices!$B$4:$B$998, $K623, GrinderServices!$C$4:$C$998, $E623, GrinderServices!$E$4:$E$998, "Y")=0, 0,
    $X623&lt;Config!$B$16, 0,
    Config!$B$18=1, IF($O623&gt;=N623, 0, 1),
    TRUE, 1
), "")
</f>
        <v>0</v>
      </c>
      <c r="AF623" s="40" t="str">
        <f>IFERROR(IF($AE623=0,"",((Config!$B$6*$Y623 + Config!$B$7*$U623 + Config!$B$8*$Z623 + Config!$B$9*$AA623 + Config!$B$10*$AB623 + Config!$B$11*$AC623 - Config!$B$12*$AD623)/Config!$B$13)+$AK623+$AL623),"")</f>
        <v/>
      </c>
      <c r="AG623" s="40" t="str">
        <f t="shared" si="6"/>
        <v/>
      </c>
      <c r="AH623" s="40" t="str">
        <f t="shared" si="7"/>
        <v/>
      </c>
      <c r="AI623" s="40" t="str">
        <f t="shared" si="8"/>
        <v/>
      </c>
      <c r="AJ623" s="40" t="str">
        <f>IF($K623="","",COUNTIF(Assignments!$B$6:$B$1000,$K623))</f>
        <v/>
      </c>
      <c r="AK623" s="40" t="str">
        <f>IF($K623="","",IF(AND($AJ623=0,$O623&lt;$N623),Config!$B$43,0))</f>
        <v/>
      </c>
      <c r="AL623" s="40" t="str">
        <f>IF($K623="","",IF(AND($M623="Elite",$G623&gt;=Config!$B$41,$O623&lt;$N623),Config!$B$42,0))</f>
        <v/>
      </c>
      <c r="AM623" s="22"/>
    </row>
    <row r="624" ht="15.75" customHeight="1">
      <c r="A624" s="40" t="str">
        <f t="shared" si="1"/>
        <v/>
      </c>
      <c r="B624" s="40" t="str">
        <f>IF(Bids!$A623="","",Bids!$A623)</f>
        <v/>
      </c>
      <c r="C624" s="40" t="str">
        <f>IF(Bids!$B623="","",Bids!$B623)</f>
        <v/>
      </c>
      <c r="D624" s="40" t="str">
        <f>IF($C624="","",IFERROR(VLOOKUP($C624,Orders!$A$4:$J$998,9,FALSE),""))</f>
        <v/>
      </c>
      <c r="E624" s="40" t="str">
        <f>IF($C624="","",IFERROR(VLOOKUP($C624,Orders!$A$4:$J$998,3,FALSE),""))</f>
        <v/>
      </c>
      <c r="F624" s="40">
        <f t="shared" si="2"/>
        <v>1</v>
      </c>
      <c r="G624" s="40" t="str">
        <f>IF($C624="","",IFERROR(VLOOKUP($C624,Orders!$A$4:$J$998,4,FALSE),""))</f>
        <v/>
      </c>
      <c r="H624" s="40" t="str">
        <f>IF($C624="","",IFERROR(VLOOKUP($C624,Orders!$A$4:$J$998,5,FALSE),""))</f>
        <v/>
      </c>
      <c r="I624" s="40" t="str">
        <f>IF($C624="","",IFERROR(VLOOKUP($C624,Orders!$A$4:$J$998,6,FALSE),""))</f>
        <v/>
      </c>
      <c r="J624" s="40" t="str">
        <f>IF($C624="","",IFERROR(VLOOKUP($C624,Orders!$A$4:$J$998,7,FALSE),""))</f>
        <v/>
      </c>
      <c r="K624" s="40" t="str">
        <f>IF(Bids!$C623="","",Bids!$C623)</f>
        <v/>
      </c>
      <c r="L624" s="40" t="str">
        <f>IF($K624="","",IFERROR(VLOOKUP($K624,Grinders!$A$4:$N$998,2,FALSE),""))</f>
        <v/>
      </c>
      <c r="M624" s="40" t="str">
        <f>IF($K624="","",IFERROR(VLOOKUP($K624,Grinders!$A$4:$N$998,3,FALSE),""))</f>
        <v/>
      </c>
      <c r="N624" s="40" t="str">
        <f>IF($K624="","",IFERROR(VLOOKUP($K624,Grinders!$A$4:$N$998,4,FALSE),""))</f>
        <v/>
      </c>
      <c r="O624" s="40" t="str">
        <f>IF($K624="","",IFERROR(VLOOKUP($K624,Grinders!$A$4:$N$998,5,FALSE),""))</f>
        <v/>
      </c>
      <c r="P624" s="40" t="str">
        <f>IF($K624="","",IF($C$4="",0,COUNTIFS(Assignments!$B$6:$B$1000,$K624,Assignments!$F$6:$F$1000,$C$4,Assignments!$E$6:$E$1000,"Active")))</f>
        <v/>
      </c>
      <c r="Q624" s="40" t="str">
        <f t="shared" si="3"/>
        <v/>
      </c>
      <c r="R624" s="40" t="str">
        <f t="shared" si="4"/>
        <v/>
      </c>
      <c r="S624" s="40" t="str">
        <f>IF($K624="","",IF($C$4="",0,COUNTIFS(Assignments!$B$6:$B$1000,$K624,Assignments!$F$6:$F$1000,$C$4,Assignments!$D$6:$D$1000,"&gt;="&amp;Config!$B$3-7,Assignments!$D$6:$D$1000,"&lt;="&amp;Config!$B$3)))</f>
        <v/>
      </c>
      <c r="T624" s="40" t="str">
        <f>IF($K624="","",IFERROR(VLOOKUP($K624,Grinders!$A$4:$N$998,8,FALSE),""))</f>
        <v/>
      </c>
      <c r="U624" s="40" t="str">
        <f>IFERROR(IF($K624="","",IF($M624="Elite",MAX(50,MIN(100,Config!$B$27*MAX(0,MIN(100,(1-IF($R624="",0,$R624))*100)) + Config!$B$28*MAX(0,MIN(100,(1-MIN(1,IF(Config!$B$30=0,1,$S624/Config!$B$30)))*100)) + Config!$B$29*MAX(0,MIN(100,MIN(1,IF($T624="",0,$T624)/Config!$B$23)*100)))),MIN(100,Config!$B$27*MAX(0,MIN(100,(1-IF($R624="",0,$R624))*100)) + Config!$B$28*MAX(0,MIN(100,(1-MIN(1,IF(Config!$B$30=0,1,$S624/Config!$B$30)))*100)) + Config!$B$29*MAX(0,MIN(100,MIN(1,IF($T624="",0,$T624)/Config!$B$23)*100))))),"")
</f>
        <v/>
      </c>
      <c r="V624" s="40" t="str">
        <f>IF(Bids!$D623="","",Bids!$D623)</f>
        <v/>
      </c>
      <c r="W624" s="40" t="str">
        <f>IF(Bids!$F623="","",Bids!$F623)</f>
        <v/>
      </c>
      <c r="X624" s="40" t="str">
        <f t="shared" si="5"/>
        <v/>
      </c>
      <c r="Y624" s="40" t="str">
        <f>IF($X624="","",IF(Config!$B$17=Config!$B$16,IF($X624&gt;=Config!$B$17,100,0),MAX(0,MIN(100,($X624-Config!$B$16)/(Config!$B$17-Config!$B$16)*100))))</f>
        <v/>
      </c>
      <c r="Z624" s="40">
        <f>IF($M624="Elite",Config!$B$21,0)</f>
        <v>0</v>
      </c>
      <c r="AA624" s="40" t="str">
        <f>IFERROR(IF(OR($W624="",$H624=""),"",IF($W624&gt;$H624,
  MAX(0, 60-(($W624-$H624)*24/Config!$B$19)*60),
  MIN(100, 60+(($H624-$W624)*24/Config!$B$20)*40)
)),"")
</f>
        <v/>
      </c>
      <c r="AB624" s="40" t="str">
        <f>IF($K624="","",IFERROR(VLOOKUP($K624,Grinders!$A$4:$N$998,10,FALSE)/5*100,""))</f>
        <v/>
      </c>
      <c r="AC624" s="40" t="str">
        <f>IF($K624="","",IFERROR(VLOOKUP($K624,Grinders!$A$4:$N$998,11,FALSE)*100,""))</f>
        <v/>
      </c>
      <c r="AD624" s="40" t="str">
        <f>IF($K624="","",IFERROR(VLOOKUP($K624,Grinders!$A$4:$N$998,12,FALSE)*100,""))</f>
        <v/>
      </c>
      <c r="AE624" s="40">
        <f>IFERROR(IFS(
    OR($C624="", $K624=""), 0,
    $F624=0, 0,
    $D624&lt;&gt;"Open", 0,
    COUNTIFS(GrinderServices!$B$4:$B$998, $K624, GrinderServices!$C$4:$C$998, $E624, GrinderServices!$E$4:$E$998, "Y")=0, 0,
    $X624&lt;Config!$B$16, 0,
    Config!$B$18=1, IF($O624&gt;=N624, 0, 1),
    TRUE, 1
), "")
</f>
        <v>0</v>
      </c>
      <c r="AF624" s="40" t="str">
        <f>IFERROR(IF($AE624=0,"",((Config!$B$6*$Y624 + Config!$B$7*$U624 + Config!$B$8*$Z624 + Config!$B$9*$AA624 + Config!$B$10*$AB624 + Config!$B$11*$AC624 - Config!$B$12*$AD624)/Config!$B$13)+$AK624+$AL624),"")</f>
        <v/>
      </c>
      <c r="AG624" s="40" t="str">
        <f t="shared" si="6"/>
        <v/>
      </c>
      <c r="AH624" s="40" t="str">
        <f t="shared" si="7"/>
        <v/>
      </c>
      <c r="AI624" s="40" t="str">
        <f t="shared" si="8"/>
        <v/>
      </c>
      <c r="AJ624" s="40" t="str">
        <f>IF($K624="","",COUNTIF(Assignments!$B$6:$B$1000,$K624))</f>
        <v/>
      </c>
      <c r="AK624" s="40" t="str">
        <f>IF($K624="","",IF(AND($AJ624=0,$O624&lt;$N624),Config!$B$43,0))</f>
        <v/>
      </c>
      <c r="AL624" s="40" t="str">
        <f>IF($K624="","",IF(AND($M624="Elite",$G624&gt;=Config!$B$41,$O624&lt;$N624),Config!$B$42,0))</f>
        <v/>
      </c>
      <c r="AM624" s="22"/>
    </row>
    <row r="625" ht="15.75" customHeight="1">
      <c r="A625" s="40" t="str">
        <f t="shared" si="1"/>
        <v/>
      </c>
      <c r="B625" s="40" t="str">
        <f>IF(Bids!$A624="","",Bids!$A624)</f>
        <v/>
      </c>
      <c r="C625" s="40" t="str">
        <f>IF(Bids!$B624="","",Bids!$B624)</f>
        <v/>
      </c>
      <c r="D625" s="40" t="str">
        <f>IF($C625="","",IFERROR(VLOOKUP($C625,Orders!$A$4:$J$998,9,FALSE),""))</f>
        <v/>
      </c>
      <c r="E625" s="40" t="str">
        <f>IF($C625="","",IFERROR(VLOOKUP($C625,Orders!$A$4:$J$998,3,FALSE),""))</f>
        <v/>
      </c>
      <c r="F625" s="40">
        <f t="shared" si="2"/>
        <v>1</v>
      </c>
      <c r="G625" s="40" t="str">
        <f>IF($C625="","",IFERROR(VLOOKUP($C625,Orders!$A$4:$J$998,4,FALSE),""))</f>
        <v/>
      </c>
      <c r="H625" s="40" t="str">
        <f>IF($C625="","",IFERROR(VLOOKUP($C625,Orders!$A$4:$J$998,5,FALSE),""))</f>
        <v/>
      </c>
      <c r="I625" s="40" t="str">
        <f>IF($C625="","",IFERROR(VLOOKUP($C625,Orders!$A$4:$J$998,6,FALSE),""))</f>
        <v/>
      </c>
      <c r="J625" s="40" t="str">
        <f>IF($C625="","",IFERROR(VLOOKUP($C625,Orders!$A$4:$J$998,7,FALSE),""))</f>
        <v/>
      </c>
      <c r="K625" s="40" t="str">
        <f>IF(Bids!$C624="","",Bids!$C624)</f>
        <v/>
      </c>
      <c r="L625" s="40" t="str">
        <f>IF($K625="","",IFERROR(VLOOKUP($K625,Grinders!$A$4:$N$998,2,FALSE),""))</f>
        <v/>
      </c>
      <c r="M625" s="40" t="str">
        <f>IF($K625="","",IFERROR(VLOOKUP($K625,Grinders!$A$4:$N$998,3,FALSE),""))</f>
        <v/>
      </c>
      <c r="N625" s="40" t="str">
        <f>IF($K625="","",IFERROR(VLOOKUP($K625,Grinders!$A$4:$N$998,4,FALSE),""))</f>
        <v/>
      </c>
      <c r="O625" s="40" t="str">
        <f>IF($K625="","",IFERROR(VLOOKUP($K625,Grinders!$A$4:$N$998,5,FALSE),""))</f>
        <v/>
      </c>
      <c r="P625" s="40" t="str">
        <f>IF($K625="","",IF($C$4="",0,COUNTIFS(Assignments!$B$6:$B$1000,$K625,Assignments!$F$6:$F$1000,$C$4,Assignments!$E$6:$E$1000,"Active")))</f>
        <v/>
      </c>
      <c r="Q625" s="40" t="str">
        <f t="shared" si="3"/>
        <v/>
      </c>
      <c r="R625" s="40" t="str">
        <f t="shared" si="4"/>
        <v/>
      </c>
      <c r="S625" s="40" t="str">
        <f>IF($K625="","",IF($C$4="",0,COUNTIFS(Assignments!$B$6:$B$1000,$K625,Assignments!$F$6:$F$1000,$C$4,Assignments!$D$6:$D$1000,"&gt;="&amp;Config!$B$3-7,Assignments!$D$6:$D$1000,"&lt;="&amp;Config!$B$3)))</f>
        <v/>
      </c>
      <c r="T625" s="40" t="str">
        <f>IF($K625="","",IFERROR(VLOOKUP($K625,Grinders!$A$4:$N$998,8,FALSE),""))</f>
        <v/>
      </c>
      <c r="U625" s="40" t="str">
        <f>IFERROR(IF($K625="","",IF($M625="Elite",MAX(50,MIN(100,Config!$B$27*MAX(0,MIN(100,(1-IF($R625="",0,$R625))*100)) + Config!$B$28*MAX(0,MIN(100,(1-MIN(1,IF(Config!$B$30=0,1,$S625/Config!$B$30)))*100)) + Config!$B$29*MAX(0,MIN(100,MIN(1,IF($T625="",0,$T625)/Config!$B$23)*100)))),MIN(100,Config!$B$27*MAX(0,MIN(100,(1-IF($R625="",0,$R625))*100)) + Config!$B$28*MAX(0,MIN(100,(1-MIN(1,IF(Config!$B$30=0,1,$S625/Config!$B$30)))*100)) + Config!$B$29*MAX(0,MIN(100,MIN(1,IF($T625="",0,$T625)/Config!$B$23)*100))))),"")
</f>
        <v/>
      </c>
      <c r="V625" s="40" t="str">
        <f>IF(Bids!$D624="","",Bids!$D624)</f>
        <v/>
      </c>
      <c r="W625" s="40" t="str">
        <f>IF(Bids!$F624="","",Bids!$F624)</f>
        <v/>
      </c>
      <c r="X625" s="40" t="str">
        <f t="shared" si="5"/>
        <v/>
      </c>
      <c r="Y625" s="40" t="str">
        <f>IF($X625="","",IF(Config!$B$17=Config!$B$16,IF($X625&gt;=Config!$B$17,100,0),MAX(0,MIN(100,($X625-Config!$B$16)/(Config!$B$17-Config!$B$16)*100))))</f>
        <v/>
      </c>
      <c r="Z625" s="40">
        <f>IF($M625="Elite",Config!$B$21,0)</f>
        <v>0</v>
      </c>
      <c r="AA625" s="40" t="str">
        <f>IFERROR(IF(OR($W625="",$H625=""),"",IF($W625&gt;$H625,
  MAX(0, 60-(($W625-$H625)*24/Config!$B$19)*60),
  MIN(100, 60+(($H625-$W625)*24/Config!$B$20)*40)
)),"")
</f>
        <v/>
      </c>
      <c r="AB625" s="40" t="str">
        <f>IF($K625="","",IFERROR(VLOOKUP($K625,Grinders!$A$4:$N$998,10,FALSE)/5*100,""))</f>
        <v/>
      </c>
      <c r="AC625" s="40" t="str">
        <f>IF($K625="","",IFERROR(VLOOKUP($K625,Grinders!$A$4:$N$998,11,FALSE)*100,""))</f>
        <v/>
      </c>
      <c r="AD625" s="40" t="str">
        <f>IF($K625="","",IFERROR(VLOOKUP($K625,Grinders!$A$4:$N$998,12,FALSE)*100,""))</f>
        <v/>
      </c>
      <c r="AE625" s="40">
        <f>IFERROR(IFS(
    OR($C625="", $K625=""), 0,
    $F625=0, 0,
    $D625&lt;&gt;"Open", 0,
    COUNTIFS(GrinderServices!$B$4:$B$998, $K625, GrinderServices!$C$4:$C$998, $E625, GrinderServices!$E$4:$E$998, "Y")=0, 0,
    $X625&lt;Config!$B$16, 0,
    Config!$B$18=1, IF($O625&gt;=N625, 0, 1),
    TRUE, 1
), "")
</f>
        <v>0</v>
      </c>
      <c r="AF625" s="40" t="str">
        <f>IFERROR(IF($AE625=0,"",((Config!$B$6*$Y625 + Config!$B$7*$U625 + Config!$B$8*$Z625 + Config!$B$9*$AA625 + Config!$B$10*$AB625 + Config!$B$11*$AC625 - Config!$B$12*$AD625)/Config!$B$13)+$AK625+$AL625),"")</f>
        <v/>
      </c>
      <c r="AG625" s="40" t="str">
        <f t="shared" si="6"/>
        <v/>
      </c>
      <c r="AH625" s="40" t="str">
        <f t="shared" si="7"/>
        <v/>
      </c>
      <c r="AI625" s="40" t="str">
        <f t="shared" si="8"/>
        <v/>
      </c>
      <c r="AJ625" s="40" t="str">
        <f>IF($K625="","",COUNTIF(Assignments!$B$6:$B$1000,$K625))</f>
        <v/>
      </c>
      <c r="AK625" s="40" t="str">
        <f>IF($K625="","",IF(AND($AJ625=0,$O625&lt;$N625),Config!$B$43,0))</f>
        <v/>
      </c>
      <c r="AL625" s="40" t="str">
        <f>IF($K625="","",IF(AND($M625="Elite",$G625&gt;=Config!$B$41,$O625&lt;$N625),Config!$B$42,0))</f>
        <v/>
      </c>
      <c r="AM625" s="22"/>
    </row>
    <row r="626" ht="15.75" customHeight="1">
      <c r="A626" s="40" t="str">
        <f t="shared" si="1"/>
        <v/>
      </c>
      <c r="B626" s="40" t="str">
        <f>IF(Bids!$A625="","",Bids!$A625)</f>
        <v/>
      </c>
      <c r="C626" s="40" t="str">
        <f>IF(Bids!$B625="","",Bids!$B625)</f>
        <v/>
      </c>
      <c r="D626" s="40" t="str">
        <f>IF($C626="","",IFERROR(VLOOKUP($C626,Orders!$A$4:$J$998,9,FALSE),""))</f>
        <v/>
      </c>
      <c r="E626" s="40" t="str">
        <f>IF($C626="","",IFERROR(VLOOKUP($C626,Orders!$A$4:$J$998,3,FALSE),""))</f>
        <v/>
      </c>
      <c r="F626" s="40">
        <f t="shared" si="2"/>
        <v>1</v>
      </c>
      <c r="G626" s="40" t="str">
        <f>IF($C626="","",IFERROR(VLOOKUP($C626,Orders!$A$4:$J$998,4,FALSE),""))</f>
        <v/>
      </c>
      <c r="H626" s="40" t="str">
        <f>IF($C626="","",IFERROR(VLOOKUP($C626,Orders!$A$4:$J$998,5,FALSE),""))</f>
        <v/>
      </c>
      <c r="I626" s="40" t="str">
        <f>IF($C626="","",IFERROR(VLOOKUP($C626,Orders!$A$4:$J$998,6,FALSE),""))</f>
        <v/>
      </c>
      <c r="J626" s="40" t="str">
        <f>IF($C626="","",IFERROR(VLOOKUP($C626,Orders!$A$4:$J$998,7,FALSE),""))</f>
        <v/>
      </c>
      <c r="K626" s="40" t="str">
        <f>IF(Bids!$C625="","",Bids!$C625)</f>
        <v/>
      </c>
      <c r="L626" s="40" t="str">
        <f>IF($K626="","",IFERROR(VLOOKUP($K626,Grinders!$A$4:$N$998,2,FALSE),""))</f>
        <v/>
      </c>
      <c r="M626" s="40" t="str">
        <f>IF($K626="","",IFERROR(VLOOKUP($K626,Grinders!$A$4:$N$998,3,FALSE),""))</f>
        <v/>
      </c>
      <c r="N626" s="40" t="str">
        <f>IF($K626="","",IFERROR(VLOOKUP($K626,Grinders!$A$4:$N$998,4,FALSE),""))</f>
        <v/>
      </c>
      <c r="O626" s="40" t="str">
        <f>IF($K626="","",IFERROR(VLOOKUP($K626,Grinders!$A$4:$N$998,5,FALSE),""))</f>
        <v/>
      </c>
      <c r="P626" s="40" t="str">
        <f>IF($K626="","",IF($C$4="",0,COUNTIFS(Assignments!$B$6:$B$1000,$K626,Assignments!$F$6:$F$1000,$C$4,Assignments!$E$6:$E$1000,"Active")))</f>
        <v/>
      </c>
      <c r="Q626" s="40" t="str">
        <f t="shared" si="3"/>
        <v/>
      </c>
      <c r="R626" s="40" t="str">
        <f t="shared" si="4"/>
        <v/>
      </c>
      <c r="S626" s="40" t="str">
        <f>IF($K626="","",IF($C$4="",0,COUNTIFS(Assignments!$B$6:$B$1000,$K626,Assignments!$F$6:$F$1000,$C$4,Assignments!$D$6:$D$1000,"&gt;="&amp;Config!$B$3-7,Assignments!$D$6:$D$1000,"&lt;="&amp;Config!$B$3)))</f>
        <v/>
      </c>
      <c r="T626" s="40" t="str">
        <f>IF($K626="","",IFERROR(VLOOKUP($K626,Grinders!$A$4:$N$998,8,FALSE),""))</f>
        <v/>
      </c>
      <c r="U626" s="40" t="str">
        <f>IFERROR(IF($K626="","",IF($M626="Elite",MAX(50,MIN(100,Config!$B$27*MAX(0,MIN(100,(1-IF($R626="",0,$R626))*100)) + Config!$B$28*MAX(0,MIN(100,(1-MIN(1,IF(Config!$B$30=0,1,$S626/Config!$B$30)))*100)) + Config!$B$29*MAX(0,MIN(100,MIN(1,IF($T626="",0,$T626)/Config!$B$23)*100)))),MIN(100,Config!$B$27*MAX(0,MIN(100,(1-IF($R626="",0,$R626))*100)) + Config!$B$28*MAX(0,MIN(100,(1-MIN(1,IF(Config!$B$30=0,1,$S626/Config!$B$30)))*100)) + Config!$B$29*MAX(0,MIN(100,MIN(1,IF($T626="",0,$T626)/Config!$B$23)*100))))),"")
</f>
        <v/>
      </c>
      <c r="V626" s="40" t="str">
        <f>IF(Bids!$D625="","",Bids!$D625)</f>
        <v/>
      </c>
      <c r="W626" s="40" t="str">
        <f>IF(Bids!$F625="","",Bids!$F625)</f>
        <v/>
      </c>
      <c r="X626" s="40" t="str">
        <f t="shared" si="5"/>
        <v/>
      </c>
      <c r="Y626" s="40" t="str">
        <f>IF($X626="","",IF(Config!$B$17=Config!$B$16,IF($X626&gt;=Config!$B$17,100,0),MAX(0,MIN(100,($X626-Config!$B$16)/(Config!$B$17-Config!$B$16)*100))))</f>
        <v/>
      </c>
      <c r="Z626" s="40">
        <f>IF($M626="Elite",Config!$B$21,0)</f>
        <v>0</v>
      </c>
      <c r="AA626" s="40" t="str">
        <f>IFERROR(IF(OR($W626="",$H626=""),"",IF($W626&gt;$H626,
  MAX(0, 60-(($W626-$H626)*24/Config!$B$19)*60),
  MIN(100, 60+(($H626-$W626)*24/Config!$B$20)*40)
)),"")
</f>
        <v/>
      </c>
      <c r="AB626" s="40" t="str">
        <f>IF($K626="","",IFERROR(VLOOKUP($K626,Grinders!$A$4:$N$998,10,FALSE)/5*100,""))</f>
        <v/>
      </c>
      <c r="AC626" s="40" t="str">
        <f>IF($K626="","",IFERROR(VLOOKUP($K626,Grinders!$A$4:$N$998,11,FALSE)*100,""))</f>
        <v/>
      </c>
      <c r="AD626" s="40" t="str">
        <f>IF($K626="","",IFERROR(VLOOKUP($K626,Grinders!$A$4:$N$998,12,FALSE)*100,""))</f>
        <v/>
      </c>
      <c r="AE626" s="40">
        <f>IFERROR(IFS(
    OR($C626="", $K626=""), 0,
    $F626=0, 0,
    $D626&lt;&gt;"Open", 0,
    COUNTIFS(GrinderServices!$B$4:$B$998, $K626, GrinderServices!$C$4:$C$998, $E626, GrinderServices!$E$4:$E$998, "Y")=0, 0,
    $X626&lt;Config!$B$16, 0,
    Config!$B$18=1, IF($O626&gt;=N626, 0, 1),
    TRUE, 1
), "")
</f>
        <v>0</v>
      </c>
      <c r="AF626" s="40" t="str">
        <f>IFERROR(IF($AE626=0,"",((Config!$B$6*$Y626 + Config!$B$7*$U626 + Config!$B$8*$Z626 + Config!$B$9*$AA626 + Config!$B$10*$AB626 + Config!$B$11*$AC626 - Config!$B$12*$AD626)/Config!$B$13)+$AK626+$AL626),"")</f>
        <v/>
      </c>
      <c r="AG626" s="40" t="str">
        <f t="shared" si="6"/>
        <v/>
      </c>
      <c r="AH626" s="40" t="str">
        <f t="shared" si="7"/>
        <v/>
      </c>
      <c r="AI626" s="40" t="str">
        <f t="shared" si="8"/>
        <v/>
      </c>
      <c r="AJ626" s="40" t="str">
        <f>IF($K626="","",COUNTIF(Assignments!$B$6:$B$1000,$K626))</f>
        <v/>
      </c>
      <c r="AK626" s="40" t="str">
        <f>IF($K626="","",IF(AND($AJ626=0,$O626&lt;$N626),Config!$B$43,0))</f>
        <v/>
      </c>
      <c r="AL626" s="40" t="str">
        <f>IF($K626="","",IF(AND($M626="Elite",$G626&gt;=Config!$B$41,$O626&lt;$N626),Config!$B$42,0))</f>
        <v/>
      </c>
      <c r="AM626" s="22"/>
    </row>
    <row r="627" ht="15.75" customHeight="1">
      <c r="A627" s="40" t="str">
        <f t="shared" si="1"/>
        <v/>
      </c>
      <c r="B627" s="40" t="str">
        <f>IF(Bids!$A626="","",Bids!$A626)</f>
        <v/>
      </c>
      <c r="C627" s="40" t="str">
        <f>IF(Bids!$B626="","",Bids!$B626)</f>
        <v/>
      </c>
      <c r="D627" s="40" t="str">
        <f>IF($C627="","",IFERROR(VLOOKUP($C627,Orders!$A$4:$J$998,9,FALSE),""))</f>
        <v/>
      </c>
      <c r="E627" s="40" t="str">
        <f>IF($C627="","",IFERROR(VLOOKUP($C627,Orders!$A$4:$J$998,3,FALSE),""))</f>
        <v/>
      </c>
      <c r="F627" s="40">
        <f t="shared" si="2"/>
        <v>1</v>
      </c>
      <c r="G627" s="40" t="str">
        <f>IF($C627="","",IFERROR(VLOOKUP($C627,Orders!$A$4:$J$998,4,FALSE),""))</f>
        <v/>
      </c>
      <c r="H627" s="40" t="str">
        <f>IF($C627="","",IFERROR(VLOOKUP($C627,Orders!$A$4:$J$998,5,FALSE),""))</f>
        <v/>
      </c>
      <c r="I627" s="40" t="str">
        <f>IF($C627="","",IFERROR(VLOOKUP($C627,Orders!$A$4:$J$998,6,FALSE),""))</f>
        <v/>
      </c>
      <c r="J627" s="40" t="str">
        <f>IF($C627="","",IFERROR(VLOOKUP($C627,Orders!$A$4:$J$998,7,FALSE),""))</f>
        <v/>
      </c>
      <c r="K627" s="40" t="str">
        <f>IF(Bids!$C626="","",Bids!$C626)</f>
        <v/>
      </c>
      <c r="L627" s="40" t="str">
        <f>IF($K627="","",IFERROR(VLOOKUP($K627,Grinders!$A$4:$N$998,2,FALSE),""))</f>
        <v/>
      </c>
      <c r="M627" s="40" t="str">
        <f>IF($K627="","",IFERROR(VLOOKUP($K627,Grinders!$A$4:$N$998,3,FALSE),""))</f>
        <v/>
      </c>
      <c r="N627" s="40" t="str">
        <f>IF($K627="","",IFERROR(VLOOKUP($K627,Grinders!$A$4:$N$998,4,FALSE),""))</f>
        <v/>
      </c>
      <c r="O627" s="40" t="str">
        <f>IF($K627="","",IFERROR(VLOOKUP($K627,Grinders!$A$4:$N$998,5,FALSE),""))</f>
        <v/>
      </c>
      <c r="P627" s="40" t="str">
        <f>IF($K627="","",IF($C$4="",0,COUNTIFS(Assignments!$B$6:$B$1000,$K627,Assignments!$F$6:$F$1000,$C$4,Assignments!$E$6:$E$1000,"Active")))</f>
        <v/>
      </c>
      <c r="Q627" s="40" t="str">
        <f t="shared" si="3"/>
        <v/>
      </c>
      <c r="R627" s="40" t="str">
        <f t="shared" si="4"/>
        <v/>
      </c>
      <c r="S627" s="40" t="str">
        <f>IF($K627="","",IF($C$4="",0,COUNTIFS(Assignments!$B$6:$B$1000,$K627,Assignments!$F$6:$F$1000,$C$4,Assignments!$D$6:$D$1000,"&gt;="&amp;Config!$B$3-7,Assignments!$D$6:$D$1000,"&lt;="&amp;Config!$B$3)))</f>
        <v/>
      </c>
      <c r="T627" s="40" t="str">
        <f>IF($K627="","",IFERROR(VLOOKUP($K627,Grinders!$A$4:$N$998,8,FALSE),""))</f>
        <v/>
      </c>
      <c r="U627" s="40" t="str">
        <f>IFERROR(IF($K627="","",IF($M627="Elite",MAX(50,MIN(100,Config!$B$27*MAX(0,MIN(100,(1-IF($R627="",0,$R627))*100)) + Config!$B$28*MAX(0,MIN(100,(1-MIN(1,IF(Config!$B$30=0,1,$S627/Config!$B$30)))*100)) + Config!$B$29*MAX(0,MIN(100,MIN(1,IF($T627="",0,$T627)/Config!$B$23)*100)))),MIN(100,Config!$B$27*MAX(0,MIN(100,(1-IF($R627="",0,$R627))*100)) + Config!$B$28*MAX(0,MIN(100,(1-MIN(1,IF(Config!$B$30=0,1,$S627/Config!$B$30)))*100)) + Config!$B$29*MAX(0,MIN(100,MIN(1,IF($T627="",0,$T627)/Config!$B$23)*100))))),"")
</f>
        <v/>
      </c>
      <c r="V627" s="40" t="str">
        <f>IF(Bids!$D626="","",Bids!$D626)</f>
        <v/>
      </c>
      <c r="W627" s="40" t="str">
        <f>IF(Bids!$F626="","",Bids!$F626)</f>
        <v/>
      </c>
      <c r="X627" s="40" t="str">
        <f t="shared" si="5"/>
        <v/>
      </c>
      <c r="Y627" s="40" t="str">
        <f>IF($X627="","",IF(Config!$B$17=Config!$B$16,IF($X627&gt;=Config!$B$17,100,0),MAX(0,MIN(100,($X627-Config!$B$16)/(Config!$B$17-Config!$B$16)*100))))</f>
        <v/>
      </c>
      <c r="Z627" s="40">
        <f>IF($M627="Elite",Config!$B$21,0)</f>
        <v>0</v>
      </c>
      <c r="AA627" s="40" t="str">
        <f>IFERROR(IF(OR($W627="",$H627=""),"",IF($W627&gt;$H627,
  MAX(0, 60-(($W627-$H627)*24/Config!$B$19)*60),
  MIN(100, 60+(($H627-$W627)*24/Config!$B$20)*40)
)),"")
</f>
        <v/>
      </c>
      <c r="AB627" s="40" t="str">
        <f>IF($K627="","",IFERROR(VLOOKUP($K627,Grinders!$A$4:$N$998,10,FALSE)/5*100,""))</f>
        <v/>
      </c>
      <c r="AC627" s="40" t="str">
        <f>IF($K627="","",IFERROR(VLOOKUP($K627,Grinders!$A$4:$N$998,11,FALSE)*100,""))</f>
        <v/>
      </c>
      <c r="AD627" s="40" t="str">
        <f>IF($K627="","",IFERROR(VLOOKUP($K627,Grinders!$A$4:$N$998,12,FALSE)*100,""))</f>
        <v/>
      </c>
      <c r="AE627" s="40">
        <f>IFERROR(IFS(
    OR($C627="", $K627=""), 0,
    $F627=0, 0,
    $D627&lt;&gt;"Open", 0,
    COUNTIFS(GrinderServices!$B$4:$B$998, $K627, GrinderServices!$C$4:$C$998, $E627, GrinderServices!$E$4:$E$998, "Y")=0, 0,
    $X627&lt;Config!$B$16, 0,
    Config!$B$18=1, IF($O627&gt;=N627, 0, 1),
    TRUE, 1
), "")
</f>
        <v>0</v>
      </c>
      <c r="AF627" s="40" t="str">
        <f>IFERROR(IF($AE627=0,"",((Config!$B$6*$Y627 + Config!$B$7*$U627 + Config!$B$8*$Z627 + Config!$B$9*$AA627 + Config!$B$10*$AB627 + Config!$B$11*$AC627 - Config!$B$12*$AD627)/Config!$B$13)+$AK627+$AL627),"")</f>
        <v/>
      </c>
      <c r="AG627" s="40" t="str">
        <f t="shared" si="6"/>
        <v/>
      </c>
      <c r="AH627" s="40" t="str">
        <f t="shared" si="7"/>
        <v/>
      </c>
      <c r="AI627" s="40" t="str">
        <f t="shared" si="8"/>
        <v/>
      </c>
      <c r="AJ627" s="40" t="str">
        <f>IF($K627="","",COUNTIF(Assignments!$B$6:$B$1000,$K627))</f>
        <v/>
      </c>
      <c r="AK627" s="40" t="str">
        <f>IF($K627="","",IF(AND($AJ627=0,$O627&lt;$N627),Config!$B$43,0))</f>
        <v/>
      </c>
      <c r="AL627" s="40" t="str">
        <f>IF($K627="","",IF(AND($M627="Elite",$G627&gt;=Config!$B$41,$O627&lt;$N627),Config!$B$42,0))</f>
        <v/>
      </c>
      <c r="AM627" s="22"/>
    </row>
    <row r="628" ht="15.75" customHeight="1">
      <c r="A628" s="40" t="str">
        <f t="shared" si="1"/>
        <v/>
      </c>
      <c r="B628" s="40" t="str">
        <f>IF(Bids!$A627="","",Bids!$A627)</f>
        <v/>
      </c>
      <c r="C628" s="40" t="str">
        <f>IF(Bids!$B627="","",Bids!$B627)</f>
        <v/>
      </c>
      <c r="D628" s="40" t="str">
        <f>IF($C628="","",IFERROR(VLOOKUP($C628,Orders!$A$4:$J$998,9,FALSE),""))</f>
        <v/>
      </c>
      <c r="E628" s="40" t="str">
        <f>IF($C628="","",IFERROR(VLOOKUP($C628,Orders!$A$4:$J$998,3,FALSE),""))</f>
        <v/>
      </c>
      <c r="F628" s="40">
        <f t="shared" si="2"/>
        <v>1</v>
      </c>
      <c r="G628" s="40" t="str">
        <f>IF($C628="","",IFERROR(VLOOKUP($C628,Orders!$A$4:$J$998,4,FALSE),""))</f>
        <v/>
      </c>
      <c r="H628" s="40" t="str">
        <f>IF($C628="","",IFERROR(VLOOKUP($C628,Orders!$A$4:$J$998,5,FALSE),""))</f>
        <v/>
      </c>
      <c r="I628" s="40" t="str">
        <f>IF($C628="","",IFERROR(VLOOKUP($C628,Orders!$A$4:$J$998,6,FALSE),""))</f>
        <v/>
      </c>
      <c r="J628" s="40" t="str">
        <f>IF($C628="","",IFERROR(VLOOKUP($C628,Orders!$A$4:$J$998,7,FALSE),""))</f>
        <v/>
      </c>
      <c r="K628" s="40" t="str">
        <f>IF(Bids!$C627="","",Bids!$C627)</f>
        <v/>
      </c>
      <c r="L628" s="40" t="str">
        <f>IF($K628="","",IFERROR(VLOOKUP($K628,Grinders!$A$4:$N$998,2,FALSE),""))</f>
        <v/>
      </c>
      <c r="M628" s="40" t="str">
        <f>IF($K628="","",IFERROR(VLOOKUP($K628,Grinders!$A$4:$N$998,3,FALSE),""))</f>
        <v/>
      </c>
      <c r="N628" s="40" t="str">
        <f>IF($K628="","",IFERROR(VLOOKUP($K628,Grinders!$A$4:$N$998,4,FALSE),""))</f>
        <v/>
      </c>
      <c r="O628" s="40" t="str">
        <f>IF($K628="","",IFERROR(VLOOKUP($K628,Grinders!$A$4:$N$998,5,FALSE),""))</f>
        <v/>
      </c>
      <c r="P628" s="40" t="str">
        <f>IF($K628="","",IF($C$4="",0,COUNTIFS(Assignments!$B$6:$B$1000,$K628,Assignments!$F$6:$F$1000,$C$4,Assignments!$E$6:$E$1000,"Active")))</f>
        <v/>
      </c>
      <c r="Q628" s="40" t="str">
        <f t="shared" si="3"/>
        <v/>
      </c>
      <c r="R628" s="40" t="str">
        <f t="shared" si="4"/>
        <v/>
      </c>
      <c r="S628" s="40" t="str">
        <f>IF($K628="","",IF($C$4="",0,COUNTIFS(Assignments!$B$6:$B$1000,$K628,Assignments!$F$6:$F$1000,$C$4,Assignments!$D$6:$D$1000,"&gt;="&amp;Config!$B$3-7,Assignments!$D$6:$D$1000,"&lt;="&amp;Config!$B$3)))</f>
        <v/>
      </c>
      <c r="T628" s="40" t="str">
        <f>IF($K628="","",IFERROR(VLOOKUP($K628,Grinders!$A$4:$N$998,8,FALSE),""))</f>
        <v/>
      </c>
      <c r="U628" s="40" t="str">
        <f>IFERROR(IF($K628="","",IF($M628="Elite",MAX(50,MIN(100,Config!$B$27*MAX(0,MIN(100,(1-IF($R628="",0,$R628))*100)) + Config!$B$28*MAX(0,MIN(100,(1-MIN(1,IF(Config!$B$30=0,1,$S628/Config!$B$30)))*100)) + Config!$B$29*MAX(0,MIN(100,MIN(1,IF($T628="",0,$T628)/Config!$B$23)*100)))),MIN(100,Config!$B$27*MAX(0,MIN(100,(1-IF($R628="",0,$R628))*100)) + Config!$B$28*MAX(0,MIN(100,(1-MIN(1,IF(Config!$B$30=0,1,$S628/Config!$B$30)))*100)) + Config!$B$29*MAX(0,MIN(100,MIN(1,IF($T628="",0,$T628)/Config!$B$23)*100))))),"")
</f>
        <v/>
      </c>
      <c r="V628" s="40" t="str">
        <f>IF(Bids!$D627="","",Bids!$D627)</f>
        <v/>
      </c>
      <c r="W628" s="40" t="str">
        <f>IF(Bids!$F627="","",Bids!$F627)</f>
        <v/>
      </c>
      <c r="X628" s="40" t="str">
        <f t="shared" si="5"/>
        <v/>
      </c>
      <c r="Y628" s="40" t="str">
        <f>IF($X628="","",IF(Config!$B$17=Config!$B$16,IF($X628&gt;=Config!$B$17,100,0),MAX(0,MIN(100,($X628-Config!$B$16)/(Config!$B$17-Config!$B$16)*100))))</f>
        <v/>
      </c>
      <c r="Z628" s="40">
        <f>IF($M628="Elite",Config!$B$21,0)</f>
        <v>0</v>
      </c>
      <c r="AA628" s="40" t="str">
        <f>IFERROR(IF(OR($W628="",$H628=""),"",IF($W628&gt;$H628,
  MAX(0, 60-(($W628-$H628)*24/Config!$B$19)*60),
  MIN(100, 60+(($H628-$W628)*24/Config!$B$20)*40)
)),"")
</f>
        <v/>
      </c>
      <c r="AB628" s="40" t="str">
        <f>IF($K628="","",IFERROR(VLOOKUP($K628,Grinders!$A$4:$N$998,10,FALSE)/5*100,""))</f>
        <v/>
      </c>
      <c r="AC628" s="40" t="str">
        <f>IF($K628="","",IFERROR(VLOOKUP($K628,Grinders!$A$4:$N$998,11,FALSE)*100,""))</f>
        <v/>
      </c>
      <c r="AD628" s="40" t="str">
        <f>IF($K628="","",IFERROR(VLOOKUP($K628,Grinders!$A$4:$N$998,12,FALSE)*100,""))</f>
        <v/>
      </c>
      <c r="AE628" s="40">
        <f>IFERROR(IFS(
    OR($C628="", $K628=""), 0,
    $F628=0, 0,
    $D628&lt;&gt;"Open", 0,
    COUNTIFS(GrinderServices!$B$4:$B$998, $K628, GrinderServices!$C$4:$C$998, $E628, GrinderServices!$E$4:$E$998, "Y")=0, 0,
    $X628&lt;Config!$B$16, 0,
    Config!$B$18=1, IF($O628&gt;=N628, 0, 1),
    TRUE, 1
), "")
</f>
        <v>0</v>
      </c>
      <c r="AF628" s="40" t="str">
        <f>IFERROR(IF($AE628=0,"",((Config!$B$6*$Y628 + Config!$B$7*$U628 + Config!$B$8*$Z628 + Config!$B$9*$AA628 + Config!$B$10*$AB628 + Config!$B$11*$AC628 - Config!$B$12*$AD628)/Config!$B$13)+$AK628+$AL628),"")</f>
        <v/>
      </c>
      <c r="AG628" s="40" t="str">
        <f t="shared" si="6"/>
        <v/>
      </c>
      <c r="AH628" s="40" t="str">
        <f t="shared" si="7"/>
        <v/>
      </c>
      <c r="AI628" s="40" t="str">
        <f t="shared" si="8"/>
        <v/>
      </c>
      <c r="AJ628" s="40" t="str">
        <f>IF($K628="","",COUNTIF(Assignments!$B$6:$B$1000,$K628))</f>
        <v/>
      </c>
      <c r="AK628" s="40" t="str">
        <f>IF($K628="","",IF(AND($AJ628=0,$O628&lt;$N628),Config!$B$43,0))</f>
        <v/>
      </c>
      <c r="AL628" s="40" t="str">
        <f>IF($K628="","",IF(AND($M628="Elite",$G628&gt;=Config!$B$41,$O628&lt;$N628),Config!$B$42,0))</f>
        <v/>
      </c>
      <c r="AM628" s="22"/>
    </row>
    <row r="629" ht="15.75" customHeight="1">
      <c r="A629" s="40" t="str">
        <f t="shared" si="1"/>
        <v/>
      </c>
      <c r="B629" s="40" t="str">
        <f>IF(Bids!$A628="","",Bids!$A628)</f>
        <v/>
      </c>
      <c r="C629" s="40" t="str">
        <f>IF(Bids!$B628="","",Bids!$B628)</f>
        <v/>
      </c>
      <c r="D629" s="40" t="str">
        <f>IF($C629="","",IFERROR(VLOOKUP($C629,Orders!$A$4:$J$998,9,FALSE),""))</f>
        <v/>
      </c>
      <c r="E629" s="40" t="str">
        <f>IF($C629="","",IFERROR(VLOOKUP($C629,Orders!$A$4:$J$998,3,FALSE),""))</f>
        <v/>
      </c>
      <c r="F629" s="40">
        <f t="shared" si="2"/>
        <v>1</v>
      </c>
      <c r="G629" s="40" t="str">
        <f>IF($C629="","",IFERROR(VLOOKUP($C629,Orders!$A$4:$J$998,4,FALSE),""))</f>
        <v/>
      </c>
      <c r="H629" s="40" t="str">
        <f>IF($C629="","",IFERROR(VLOOKUP($C629,Orders!$A$4:$J$998,5,FALSE),""))</f>
        <v/>
      </c>
      <c r="I629" s="40" t="str">
        <f>IF($C629="","",IFERROR(VLOOKUP($C629,Orders!$A$4:$J$998,6,FALSE),""))</f>
        <v/>
      </c>
      <c r="J629" s="40" t="str">
        <f>IF($C629="","",IFERROR(VLOOKUP($C629,Orders!$A$4:$J$998,7,FALSE),""))</f>
        <v/>
      </c>
      <c r="K629" s="40" t="str">
        <f>IF(Bids!$C628="","",Bids!$C628)</f>
        <v/>
      </c>
      <c r="L629" s="40" t="str">
        <f>IF($K629="","",IFERROR(VLOOKUP($K629,Grinders!$A$4:$N$998,2,FALSE),""))</f>
        <v/>
      </c>
      <c r="M629" s="40" t="str">
        <f>IF($K629="","",IFERROR(VLOOKUP($K629,Grinders!$A$4:$N$998,3,FALSE),""))</f>
        <v/>
      </c>
      <c r="N629" s="40" t="str">
        <f>IF($K629="","",IFERROR(VLOOKUP($K629,Grinders!$A$4:$N$998,4,FALSE),""))</f>
        <v/>
      </c>
      <c r="O629" s="40" t="str">
        <f>IF($K629="","",IFERROR(VLOOKUP($K629,Grinders!$A$4:$N$998,5,FALSE),""))</f>
        <v/>
      </c>
      <c r="P629" s="40" t="str">
        <f>IF($K629="","",IF($C$4="",0,COUNTIFS(Assignments!$B$6:$B$1000,$K629,Assignments!$F$6:$F$1000,$C$4,Assignments!$E$6:$E$1000,"Active")))</f>
        <v/>
      </c>
      <c r="Q629" s="40" t="str">
        <f t="shared" si="3"/>
        <v/>
      </c>
      <c r="R629" s="40" t="str">
        <f t="shared" si="4"/>
        <v/>
      </c>
      <c r="S629" s="40" t="str">
        <f>IF($K629="","",IF($C$4="",0,COUNTIFS(Assignments!$B$6:$B$1000,$K629,Assignments!$F$6:$F$1000,$C$4,Assignments!$D$6:$D$1000,"&gt;="&amp;Config!$B$3-7,Assignments!$D$6:$D$1000,"&lt;="&amp;Config!$B$3)))</f>
        <v/>
      </c>
      <c r="T629" s="40" t="str">
        <f>IF($K629="","",IFERROR(VLOOKUP($K629,Grinders!$A$4:$N$998,8,FALSE),""))</f>
        <v/>
      </c>
      <c r="U629" s="40" t="str">
        <f>IFERROR(IF($K629="","",IF($M629="Elite",MAX(50,MIN(100,Config!$B$27*MAX(0,MIN(100,(1-IF($R629="",0,$R629))*100)) + Config!$B$28*MAX(0,MIN(100,(1-MIN(1,IF(Config!$B$30=0,1,$S629/Config!$B$30)))*100)) + Config!$B$29*MAX(0,MIN(100,MIN(1,IF($T629="",0,$T629)/Config!$B$23)*100)))),MIN(100,Config!$B$27*MAX(0,MIN(100,(1-IF($R629="",0,$R629))*100)) + Config!$B$28*MAX(0,MIN(100,(1-MIN(1,IF(Config!$B$30=0,1,$S629/Config!$B$30)))*100)) + Config!$B$29*MAX(0,MIN(100,MIN(1,IF($T629="",0,$T629)/Config!$B$23)*100))))),"")
</f>
        <v/>
      </c>
      <c r="V629" s="40" t="str">
        <f>IF(Bids!$D628="","",Bids!$D628)</f>
        <v/>
      </c>
      <c r="W629" s="40" t="str">
        <f>IF(Bids!$F628="","",Bids!$F628)</f>
        <v/>
      </c>
      <c r="X629" s="40" t="str">
        <f t="shared" si="5"/>
        <v/>
      </c>
      <c r="Y629" s="40" t="str">
        <f>IF($X629="","",IF(Config!$B$17=Config!$B$16,IF($X629&gt;=Config!$B$17,100,0),MAX(0,MIN(100,($X629-Config!$B$16)/(Config!$B$17-Config!$B$16)*100))))</f>
        <v/>
      </c>
      <c r="Z629" s="40">
        <f>IF($M629="Elite",Config!$B$21,0)</f>
        <v>0</v>
      </c>
      <c r="AA629" s="40" t="str">
        <f>IFERROR(IF(OR($W629="",$H629=""),"",IF($W629&gt;$H629,
  MAX(0, 60-(($W629-$H629)*24/Config!$B$19)*60),
  MIN(100, 60+(($H629-$W629)*24/Config!$B$20)*40)
)),"")
</f>
        <v/>
      </c>
      <c r="AB629" s="40" t="str">
        <f>IF($K629="","",IFERROR(VLOOKUP($K629,Grinders!$A$4:$N$998,10,FALSE)/5*100,""))</f>
        <v/>
      </c>
      <c r="AC629" s="40" t="str">
        <f>IF($K629="","",IFERROR(VLOOKUP($K629,Grinders!$A$4:$N$998,11,FALSE)*100,""))</f>
        <v/>
      </c>
      <c r="AD629" s="40" t="str">
        <f>IF($K629="","",IFERROR(VLOOKUP($K629,Grinders!$A$4:$N$998,12,FALSE)*100,""))</f>
        <v/>
      </c>
      <c r="AE629" s="40">
        <f>IFERROR(IFS(
    OR($C629="", $K629=""), 0,
    $F629=0, 0,
    $D629&lt;&gt;"Open", 0,
    COUNTIFS(GrinderServices!$B$4:$B$998, $K629, GrinderServices!$C$4:$C$998, $E629, GrinderServices!$E$4:$E$998, "Y")=0, 0,
    $X629&lt;Config!$B$16, 0,
    Config!$B$18=1, IF($O629&gt;=N629, 0, 1),
    TRUE, 1
), "")
</f>
        <v>0</v>
      </c>
      <c r="AF629" s="40" t="str">
        <f>IFERROR(IF($AE629=0,"",((Config!$B$6*$Y629 + Config!$B$7*$U629 + Config!$B$8*$Z629 + Config!$B$9*$AA629 + Config!$B$10*$AB629 + Config!$B$11*$AC629 - Config!$B$12*$AD629)/Config!$B$13)+$AK629+$AL629),"")</f>
        <v/>
      </c>
      <c r="AG629" s="40" t="str">
        <f t="shared" si="6"/>
        <v/>
      </c>
      <c r="AH629" s="40" t="str">
        <f t="shared" si="7"/>
        <v/>
      </c>
      <c r="AI629" s="40" t="str">
        <f t="shared" si="8"/>
        <v/>
      </c>
      <c r="AJ629" s="40" t="str">
        <f>IF($K629="","",COUNTIF(Assignments!$B$6:$B$1000,$K629))</f>
        <v/>
      </c>
      <c r="AK629" s="40" t="str">
        <f>IF($K629="","",IF(AND($AJ629=0,$O629&lt;$N629),Config!$B$43,0))</f>
        <v/>
      </c>
      <c r="AL629" s="40" t="str">
        <f>IF($K629="","",IF(AND($M629="Elite",$G629&gt;=Config!$B$41,$O629&lt;$N629),Config!$B$42,0))</f>
        <v/>
      </c>
      <c r="AM629" s="22"/>
    </row>
    <row r="630" ht="15.75" customHeight="1">
      <c r="A630" s="40" t="str">
        <f t="shared" si="1"/>
        <v/>
      </c>
      <c r="B630" s="40" t="str">
        <f>IF(Bids!$A629="","",Bids!$A629)</f>
        <v/>
      </c>
      <c r="C630" s="40" t="str">
        <f>IF(Bids!$B629="","",Bids!$B629)</f>
        <v/>
      </c>
      <c r="D630" s="40" t="str">
        <f>IF($C630="","",IFERROR(VLOOKUP($C630,Orders!$A$4:$J$998,9,FALSE),""))</f>
        <v/>
      </c>
      <c r="E630" s="40" t="str">
        <f>IF($C630="","",IFERROR(VLOOKUP($C630,Orders!$A$4:$J$998,3,FALSE),""))</f>
        <v/>
      </c>
      <c r="F630" s="40">
        <f t="shared" si="2"/>
        <v>1</v>
      </c>
      <c r="G630" s="40" t="str">
        <f>IF($C630="","",IFERROR(VLOOKUP($C630,Orders!$A$4:$J$998,4,FALSE),""))</f>
        <v/>
      </c>
      <c r="H630" s="40" t="str">
        <f>IF($C630="","",IFERROR(VLOOKUP($C630,Orders!$A$4:$J$998,5,FALSE),""))</f>
        <v/>
      </c>
      <c r="I630" s="40" t="str">
        <f>IF($C630="","",IFERROR(VLOOKUP($C630,Orders!$A$4:$J$998,6,FALSE),""))</f>
        <v/>
      </c>
      <c r="J630" s="40" t="str">
        <f>IF($C630="","",IFERROR(VLOOKUP($C630,Orders!$A$4:$J$998,7,FALSE),""))</f>
        <v/>
      </c>
      <c r="K630" s="40" t="str">
        <f>IF(Bids!$C629="","",Bids!$C629)</f>
        <v/>
      </c>
      <c r="L630" s="40" t="str">
        <f>IF($K630="","",IFERROR(VLOOKUP($K630,Grinders!$A$4:$N$998,2,FALSE),""))</f>
        <v/>
      </c>
      <c r="M630" s="40" t="str">
        <f>IF($K630="","",IFERROR(VLOOKUP($K630,Grinders!$A$4:$N$998,3,FALSE),""))</f>
        <v/>
      </c>
      <c r="N630" s="40" t="str">
        <f>IF($K630="","",IFERROR(VLOOKUP($K630,Grinders!$A$4:$N$998,4,FALSE),""))</f>
        <v/>
      </c>
      <c r="O630" s="40" t="str">
        <f>IF($K630="","",IFERROR(VLOOKUP($K630,Grinders!$A$4:$N$998,5,FALSE),""))</f>
        <v/>
      </c>
      <c r="P630" s="40" t="str">
        <f>IF($K630="","",IF($C$4="",0,COUNTIFS(Assignments!$B$6:$B$1000,$K630,Assignments!$F$6:$F$1000,$C$4,Assignments!$E$6:$E$1000,"Active")))</f>
        <v/>
      </c>
      <c r="Q630" s="40" t="str">
        <f t="shared" si="3"/>
        <v/>
      </c>
      <c r="R630" s="40" t="str">
        <f t="shared" si="4"/>
        <v/>
      </c>
      <c r="S630" s="40" t="str">
        <f>IF($K630="","",IF($C$4="",0,COUNTIFS(Assignments!$B$6:$B$1000,$K630,Assignments!$F$6:$F$1000,$C$4,Assignments!$D$6:$D$1000,"&gt;="&amp;Config!$B$3-7,Assignments!$D$6:$D$1000,"&lt;="&amp;Config!$B$3)))</f>
        <v/>
      </c>
      <c r="T630" s="40" t="str">
        <f>IF($K630="","",IFERROR(VLOOKUP($K630,Grinders!$A$4:$N$998,8,FALSE),""))</f>
        <v/>
      </c>
      <c r="U630" s="40" t="str">
        <f>IFERROR(IF($K630="","",IF($M630="Elite",MAX(50,MIN(100,Config!$B$27*MAX(0,MIN(100,(1-IF($R630="",0,$R630))*100)) + Config!$B$28*MAX(0,MIN(100,(1-MIN(1,IF(Config!$B$30=0,1,$S630/Config!$B$30)))*100)) + Config!$B$29*MAX(0,MIN(100,MIN(1,IF($T630="",0,$T630)/Config!$B$23)*100)))),MIN(100,Config!$B$27*MAX(0,MIN(100,(1-IF($R630="",0,$R630))*100)) + Config!$B$28*MAX(0,MIN(100,(1-MIN(1,IF(Config!$B$30=0,1,$S630/Config!$B$30)))*100)) + Config!$B$29*MAX(0,MIN(100,MIN(1,IF($T630="",0,$T630)/Config!$B$23)*100))))),"")
</f>
        <v/>
      </c>
      <c r="V630" s="40" t="str">
        <f>IF(Bids!$D629="","",Bids!$D629)</f>
        <v/>
      </c>
      <c r="W630" s="40" t="str">
        <f>IF(Bids!$F629="","",Bids!$F629)</f>
        <v/>
      </c>
      <c r="X630" s="40" t="str">
        <f t="shared" si="5"/>
        <v/>
      </c>
      <c r="Y630" s="40" t="str">
        <f>IF($X630="","",IF(Config!$B$17=Config!$B$16,IF($X630&gt;=Config!$B$17,100,0),MAX(0,MIN(100,($X630-Config!$B$16)/(Config!$B$17-Config!$B$16)*100))))</f>
        <v/>
      </c>
      <c r="Z630" s="40">
        <f>IF($M630="Elite",Config!$B$21,0)</f>
        <v>0</v>
      </c>
      <c r="AA630" s="40" t="str">
        <f>IFERROR(IF(OR($W630="",$H630=""),"",IF($W630&gt;$H630,
  MAX(0, 60-(($W630-$H630)*24/Config!$B$19)*60),
  MIN(100, 60+(($H630-$W630)*24/Config!$B$20)*40)
)),"")
</f>
        <v/>
      </c>
      <c r="AB630" s="40" t="str">
        <f>IF($K630="","",IFERROR(VLOOKUP($K630,Grinders!$A$4:$N$998,10,FALSE)/5*100,""))</f>
        <v/>
      </c>
      <c r="AC630" s="40" t="str">
        <f>IF($K630="","",IFERROR(VLOOKUP($K630,Grinders!$A$4:$N$998,11,FALSE)*100,""))</f>
        <v/>
      </c>
      <c r="AD630" s="40" t="str">
        <f>IF($K630="","",IFERROR(VLOOKUP($K630,Grinders!$A$4:$N$998,12,FALSE)*100,""))</f>
        <v/>
      </c>
      <c r="AE630" s="40">
        <f>IFERROR(IFS(
    OR($C630="", $K630=""), 0,
    $F630=0, 0,
    $D630&lt;&gt;"Open", 0,
    COUNTIFS(GrinderServices!$B$4:$B$998, $K630, GrinderServices!$C$4:$C$998, $E630, GrinderServices!$E$4:$E$998, "Y")=0, 0,
    $X630&lt;Config!$B$16, 0,
    Config!$B$18=1, IF($O630&gt;=N630, 0, 1),
    TRUE, 1
), "")
</f>
        <v>0</v>
      </c>
      <c r="AF630" s="40" t="str">
        <f>IFERROR(IF($AE630=0,"",((Config!$B$6*$Y630 + Config!$B$7*$U630 + Config!$B$8*$Z630 + Config!$B$9*$AA630 + Config!$B$10*$AB630 + Config!$B$11*$AC630 - Config!$B$12*$AD630)/Config!$B$13)+$AK630+$AL630),"")</f>
        <v/>
      </c>
      <c r="AG630" s="40" t="str">
        <f t="shared" si="6"/>
        <v/>
      </c>
      <c r="AH630" s="40" t="str">
        <f t="shared" si="7"/>
        <v/>
      </c>
      <c r="AI630" s="40" t="str">
        <f t="shared" si="8"/>
        <v/>
      </c>
      <c r="AJ630" s="40" t="str">
        <f>IF($K630="","",COUNTIF(Assignments!$B$6:$B$1000,$K630))</f>
        <v/>
      </c>
      <c r="AK630" s="40" t="str">
        <f>IF($K630="","",IF(AND($AJ630=0,$O630&lt;$N630),Config!$B$43,0))</f>
        <v/>
      </c>
      <c r="AL630" s="40" t="str">
        <f>IF($K630="","",IF(AND($M630="Elite",$G630&gt;=Config!$B$41,$O630&lt;$N630),Config!$B$42,0))</f>
        <v/>
      </c>
      <c r="AM630" s="22"/>
    </row>
    <row r="631" ht="15.75" customHeight="1">
      <c r="A631" s="40" t="str">
        <f t="shared" si="1"/>
        <v/>
      </c>
      <c r="B631" s="40" t="str">
        <f>IF(Bids!$A630="","",Bids!$A630)</f>
        <v/>
      </c>
      <c r="C631" s="40" t="str">
        <f>IF(Bids!$B630="","",Bids!$B630)</f>
        <v/>
      </c>
      <c r="D631" s="40" t="str">
        <f>IF($C631="","",IFERROR(VLOOKUP($C631,Orders!$A$4:$J$998,9,FALSE),""))</f>
        <v/>
      </c>
      <c r="E631" s="40" t="str">
        <f>IF($C631="","",IFERROR(VLOOKUP($C631,Orders!$A$4:$J$998,3,FALSE),""))</f>
        <v/>
      </c>
      <c r="F631" s="40">
        <f t="shared" si="2"/>
        <v>1</v>
      </c>
      <c r="G631" s="40" t="str">
        <f>IF($C631="","",IFERROR(VLOOKUP($C631,Orders!$A$4:$J$998,4,FALSE),""))</f>
        <v/>
      </c>
      <c r="H631" s="40" t="str">
        <f>IF($C631="","",IFERROR(VLOOKUP($C631,Orders!$A$4:$J$998,5,FALSE),""))</f>
        <v/>
      </c>
      <c r="I631" s="40" t="str">
        <f>IF($C631="","",IFERROR(VLOOKUP($C631,Orders!$A$4:$J$998,6,FALSE),""))</f>
        <v/>
      </c>
      <c r="J631" s="40" t="str">
        <f>IF($C631="","",IFERROR(VLOOKUP($C631,Orders!$A$4:$J$998,7,FALSE),""))</f>
        <v/>
      </c>
      <c r="K631" s="40" t="str">
        <f>IF(Bids!$C630="","",Bids!$C630)</f>
        <v/>
      </c>
      <c r="L631" s="40" t="str">
        <f>IF($K631="","",IFERROR(VLOOKUP($K631,Grinders!$A$4:$N$998,2,FALSE),""))</f>
        <v/>
      </c>
      <c r="M631" s="40" t="str">
        <f>IF($K631="","",IFERROR(VLOOKUP($K631,Grinders!$A$4:$N$998,3,FALSE),""))</f>
        <v/>
      </c>
      <c r="N631" s="40" t="str">
        <f>IF($K631="","",IFERROR(VLOOKUP($K631,Grinders!$A$4:$N$998,4,FALSE),""))</f>
        <v/>
      </c>
      <c r="O631" s="40" t="str">
        <f>IF($K631="","",IFERROR(VLOOKUP($K631,Grinders!$A$4:$N$998,5,FALSE),""))</f>
        <v/>
      </c>
      <c r="P631" s="40" t="str">
        <f>IF($K631="","",IF($C$4="",0,COUNTIFS(Assignments!$B$6:$B$1000,$K631,Assignments!$F$6:$F$1000,$C$4,Assignments!$E$6:$E$1000,"Active")))</f>
        <v/>
      </c>
      <c r="Q631" s="40" t="str">
        <f t="shared" si="3"/>
        <v/>
      </c>
      <c r="R631" s="40" t="str">
        <f t="shared" si="4"/>
        <v/>
      </c>
      <c r="S631" s="40" t="str">
        <f>IF($K631="","",IF($C$4="",0,COUNTIFS(Assignments!$B$6:$B$1000,$K631,Assignments!$F$6:$F$1000,$C$4,Assignments!$D$6:$D$1000,"&gt;="&amp;Config!$B$3-7,Assignments!$D$6:$D$1000,"&lt;="&amp;Config!$B$3)))</f>
        <v/>
      </c>
      <c r="T631" s="40" t="str">
        <f>IF($K631="","",IFERROR(VLOOKUP($K631,Grinders!$A$4:$N$998,8,FALSE),""))</f>
        <v/>
      </c>
      <c r="U631" s="40" t="str">
        <f>IFERROR(IF($K631="","",IF($M631="Elite",MAX(50,MIN(100,Config!$B$27*MAX(0,MIN(100,(1-IF($R631="",0,$R631))*100)) + Config!$B$28*MAX(0,MIN(100,(1-MIN(1,IF(Config!$B$30=0,1,$S631/Config!$B$30)))*100)) + Config!$B$29*MAX(0,MIN(100,MIN(1,IF($T631="",0,$T631)/Config!$B$23)*100)))),MIN(100,Config!$B$27*MAX(0,MIN(100,(1-IF($R631="",0,$R631))*100)) + Config!$B$28*MAX(0,MIN(100,(1-MIN(1,IF(Config!$B$30=0,1,$S631/Config!$B$30)))*100)) + Config!$B$29*MAX(0,MIN(100,MIN(1,IF($T631="",0,$T631)/Config!$B$23)*100))))),"")
</f>
        <v/>
      </c>
      <c r="V631" s="40" t="str">
        <f>IF(Bids!$D630="","",Bids!$D630)</f>
        <v/>
      </c>
      <c r="W631" s="40" t="str">
        <f>IF(Bids!$F630="","",Bids!$F630)</f>
        <v/>
      </c>
      <c r="X631" s="40" t="str">
        <f t="shared" si="5"/>
        <v/>
      </c>
      <c r="Y631" s="40" t="str">
        <f>IF($X631="","",IF(Config!$B$17=Config!$B$16,IF($X631&gt;=Config!$B$17,100,0),MAX(0,MIN(100,($X631-Config!$B$16)/(Config!$B$17-Config!$B$16)*100))))</f>
        <v/>
      </c>
      <c r="Z631" s="40">
        <f>IF($M631="Elite",Config!$B$21,0)</f>
        <v>0</v>
      </c>
      <c r="AA631" s="40" t="str">
        <f>IFERROR(IF(OR($W631="",$H631=""),"",IF($W631&gt;$H631,
  MAX(0, 60-(($W631-$H631)*24/Config!$B$19)*60),
  MIN(100, 60+(($H631-$W631)*24/Config!$B$20)*40)
)),"")
</f>
        <v/>
      </c>
      <c r="AB631" s="40" t="str">
        <f>IF($K631="","",IFERROR(VLOOKUP($K631,Grinders!$A$4:$N$998,10,FALSE)/5*100,""))</f>
        <v/>
      </c>
      <c r="AC631" s="40" t="str">
        <f>IF($K631="","",IFERROR(VLOOKUP($K631,Grinders!$A$4:$N$998,11,FALSE)*100,""))</f>
        <v/>
      </c>
      <c r="AD631" s="40" t="str">
        <f>IF($K631="","",IFERROR(VLOOKUP($K631,Grinders!$A$4:$N$998,12,FALSE)*100,""))</f>
        <v/>
      </c>
      <c r="AE631" s="40">
        <f>IFERROR(IFS(
    OR($C631="", $K631=""), 0,
    $F631=0, 0,
    $D631&lt;&gt;"Open", 0,
    COUNTIFS(GrinderServices!$B$4:$B$998, $K631, GrinderServices!$C$4:$C$998, $E631, GrinderServices!$E$4:$E$998, "Y")=0, 0,
    $X631&lt;Config!$B$16, 0,
    Config!$B$18=1, IF($O631&gt;=N631, 0, 1),
    TRUE, 1
), "")
</f>
        <v>0</v>
      </c>
      <c r="AF631" s="40" t="str">
        <f>IFERROR(IF($AE631=0,"",((Config!$B$6*$Y631 + Config!$B$7*$U631 + Config!$B$8*$Z631 + Config!$B$9*$AA631 + Config!$B$10*$AB631 + Config!$B$11*$AC631 - Config!$B$12*$AD631)/Config!$B$13)+$AK631+$AL631),"")</f>
        <v/>
      </c>
      <c r="AG631" s="40" t="str">
        <f t="shared" si="6"/>
        <v/>
      </c>
      <c r="AH631" s="40" t="str">
        <f t="shared" si="7"/>
        <v/>
      </c>
      <c r="AI631" s="40" t="str">
        <f t="shared" si="8"/>
        <v/>
      </c>
      <c r="AJ631" s="40" t="str">
        <f>IF($K631="","",COUNTIF(Assignments!$B$6:$B$1000,$K631))</f>
        <v/>
      </c>
      <c r="AK631" s="40" t="str">
        <f>IF($K631="","",IF(AND($AJ631=0,$O631&lt;$N631),Config!$B$43,0))</f>
        <v/>
      </c>
      <c r="AL631" s="40" t="str">
        <f>IF($K631="","",IF(AND($M631="Elite",$G631&gt;=Config!$B$41,$O631&lt;$N631),Config!$B$42,0))</f>
        <v/>
      </c>
      <c r="AM631" s="22"/>
    </row>
    <row r="632" ht="15.75" customHeight="1">
      <c r="A632" s="40" t="str">
        <f t="shared" si="1"/>
        <v/>
      </c>
      <c r="B632" s="40" t="str">
        <f>IF(Bids!$A631="","",Bids!$A631)</f>
        <v/>
      </c>
      <c r="C632" s="40" t="str">
        <f>IF(Bids!$B631="","",Bids!$B631)</f>
        <v/>
      </c>
      <c r="D632" s="40" t="str">
        <f>IF($C632="","",IFERROR(VLOOKUP($C632,Orders!$A$4:$J$998,9,FALSE),""))</f>
        <v/>
      </c>
      <c r="E632" s="40" t="str">
        <f>IF($C632="","",IFERROR(VLOOKUP($C632,Orders!$A$4:$J$998,3,FALSE),""))</f>
        <v/>
      </c>
      <c r="F632" s="40">
        <f t="shared" si="2"/>
        <v>1</v>
      </c>
      <c r="G632" s="40" t="str">
        <f>IF($C632="","",IFERROR(VLOOKUP($C632,Orders!$A$4:$J$998,4,FALSE),""))</f>
        <v/>
      </c>
      <c r="H632" s="40" t="str">
        <f>IF($C632="","",IFERROR(VLOOKUP($C632,Orders!$A$4:$J$998,5,FALSE),""))</f>
        <v/>
      </c>
      <c r="I632" s="40" t="str">
        <f>IF($C632="","",IFERROR(VLOOKUP($C632,Orders!$A$4:$J$998,6,FALSE),""))</f>
        <v/>
      </c>
      <c r="J632" s="40" t="str">
        <f>IF($C632="","",IFERROR(VLOOKUP($C632,Orders!$A$4:$J$998,7,FALSE),""))</f>
        <v/>
      </c>
      <c r="K632" s="40" t="str">
        <f>IF(Bids!$C631="","",Bids!$C631)</f>
        <v/>
      </c>
      <c r="L632" s="40" t="str">
        <f>IF($K632="","",IFERROR(VLOOKUP($K632,Grinders!$A$4:$N$998,2,FALSE),""))</f>
        <v/>
      </c>
      <c r="M632" s="40" t="str">
        <f>IF($K632="","",IFERROR(VLOOKUP($K632,Grinders!$A$4:$N$998,3,FALSE),""))</f>
        <v/>
      </c>
      <c r="N632" s="40" t="str">
        <f>IF($K632="","",IFERROR(VLOOKUP($K632,Grinders!$A$4:$N$998,4,FALSE),""))</f>
        <v/>
      </c>
      <c r="O632" s="40" t="str">
        <f>IF($K632="","",IFERROR(VLOOKUP($K632,Grinders!$A$4:$N$998,5,FALSE),""))</f>
        <v/>
      </c>
      <c r="P632" s="40" t="str">
        <f>IF($K632="","",IF($C$4="",0,COUNTIFS(Assignments!$B$6:$B$1000,$K632,Assignments!$F$6:$F$1000,$C$4,Assignments!$E$6:$E$1000,"Active")))</f>
        <v/>
      </c>
      <c r="Q632" s="40" t="str">
        <f t="shared" si="3"/>
        <v/>
      </c>
      <c r="R632" s="40" t="str">
        <f t="shared" si="4"/>
        <v/>
      </c>
      <c r="S632" s="40" t="str">
        <f>IF($K632="","",IF($C$4="",0,COUNTIFS(Assignments!$B$6:$B$1000,$K632,Assignments!$F$6:$F$1000,$C$4,Assignments!$D$6:$D$1000,"&gt;="&amp;Config!$B$3-7,Assignments!$D$6:$D$1000,"&lt;="&amp;Config!$B$3)))</f>
        <v/>
      </c>
      <c r="T632" s="40" t="str">
        <f>IF($K632="","",IFERROR(VLOOKUP($K632,Grinders!$A$4:$N$998,8,FALSE),""))</f>
        <v/>
      </c>
      <c r="U632" s="40" t="str">
        <f>IFERROR(IF($K632="","",IF($M632="Elite",MAX(50,MIN(100,Config!$B$27*MAX(0,MIN(100,(1-IF($R632="",0,$R632))*100)) + Config!$B$28*MAX(0,MIN(100,(1-MIN(1,IF(Config!$B$30=0,1,$S632/Config!$B$30)))*100)) + Config!$B$29*MAX(0,MIN(100,MIN(1,IF($T632="",0,$T632)/Config!$B$23)*100)))),MIN(100,Config!$B$27*MAX(0,MIN(100,(1-IF($R632="",0,$R632))*100)) + Config!$B$28*MAX(0,MIN(100,(1-MIN(1,IF(Config!$B$30=0,1,$S632/Config!$B$30)))*100)) + Config!$B$29*MAX(0,MIN(100,MIN(1,IF($T632="",0,$T632)/Config!$B$23)*100))))),"")
</f>
        <v/>
      </c>
      <c r="V632" s="40" t="str">
        <f>IF(Bids!$D631="","",Bids!$D631)</f>
        <v/>
      </c>
      <c r="W632" s="40" t="str">
        <f>IF(Bids!$F631="","",Bids!$F631)</f>
        <v/>
      </c>
      <c r="X632" s="40" t="str">
        <f t="shared" si="5"/>
        <v/>
      </c>
      <c r="Y632" s="40" t="str">
        <f>IF($X632="","",IF(Config!$B$17=Config!$B$16,IF($X632&gt;=Config!$B$17,100,0),MAX(0,MIN(100,($X632-Config!$B$16)/(Config!$B$17-Config!$B$16)*100))))</f>
        <v/>
      </c>
      <c r="Z632" s="40">
        <f>IF($M632="Elite",Config!$B$21,0)</f>
        <v>0</v>
      </c>
      <c r="AA632" s="40" t="str">
        <f>IFERROR(IF(OR($W632="",$H632=""),"",IF($W632&gt;$H632,
  MAX(0, 60-(($W632-$H632)*24/Config!$B$19)*60),
  MIN(100, 60+(($H632-$W632)*24/Config!$B$20)*40)
)),"")
</f>
        <v/>
      </c>
      <c r="AB632" s="40" t="str">
        <f>IF($K632="","",IFERROR(VLOOKUP($K632,Grinders!$A$4:$N$998,10,FALSE)/5*100,""))</f>
        <v/>
      </c>
      <c r="AC632" s="40" t="str">
        <f>IF($K632="","",IFERROR(VLOOKUP($K632,Grinders!$A$4:$N$998,11,FALSE)*100,""))</f>
        <v/>
      </c>
      <c r="AD632" s="40" t="str">
        <f>IF($K632="","",IFERROR(VLOOKUP($K632,Grinders!$A$4:$N$998,12,FALSE)*100,""))</f>
        <v/>
      </c>
      <c r="AE632" s="40">
        <f>IFERROR(IFS(
    OR($C632="", $K632=""), 0,
    $F632=0, 0,
    $D632&lt;&gt;"Open", 0,
    COUNTIFS(GrinderServices!$B$4:$B$998, $K632, GrinderServices!$C$4:$C$998, $E632, GrinderServices!$E$4:$E$998, "Y")=0, 0,
    $X632&lt;Config!$B$16, 0,
    Config!$B$18=1, IF($O632&gt;=N632, 0, 1),
    TRUE, 1
), "")
</f>
        <v>0</v>
      </c>
      <c r="AF632" s="40" t="str">
        <f>IFERROR(IF($AE632=0,"",((Config!$B$6*$Y632 + Config!$B$7*$U632 + Config!$B$8*$Z632 + Config!$B$9*$AA632 + Config!$B$10*$AB632 + Config!$B$11*$AC632 - Config!$B$12*$AD632)/Config!$B$13)+$AK632+$AL632),"")</f>
        <v/>
      </c>
      <c r="AG632" s="40" t="str">
        <f t="shared" si="6"/>
        <v/>
      </c>
      <c r="AH632" s="40" t="str">
        <f t="shared" si="7"/>
        <v/>
      </c>
      <c r="AI632" s="40" t="str">
        <f t="shared" si="8"/>
        <v/>
      </c>
      <c r="AJ632" s="40" t="str">
        <f>IF($K632="","",COUNTIF(Assignments!$B$6:$B$1000,$K632))</f>
        <v/>
      </c>
      <c r="AK632" s="40" t="str">
        <f>IF($K632="","",IF(AND($AJ632=0,$O632&lt;$N632),Config!$B$43,0))</f>
        <v/>
      </c>
      <c r="AL632" s="40" t="str">
        <f>IF($K632="","",IF(AND($M632="Elite",$G632&gt;=Config!$B$41,$O632&lt;$N632),Config!$B$42,0))</f>
        <v/>
      </c>
      <c r="AM632" s="22"/>
    </row>
    <row r="633" ht="15.75" customHeight="1">
      <c r="A633" s="40" t="str">
        <f t="shared" si="1"/>
        <v/>
      </c>
      <c r="B633" s="40" t="str">
        <f>IF(Bids!$A632="","",Bids!$A632)</f>
        <v/>
      </c>
      <c r="C633" s="40" t="str">
        <f>IF(Bids!$B632="","",Bids!$B632)</f>
        <v/>
      </c>
      <c r="D633" s="40" t="str">
        <f>IF($C633="","",IFERROR(VLOOKUP($C633,Orders!$A$4:$J$998,9,FALSE),""))</f>
        <v/>
      </c>
      <c r="E633" s="40" t="str">
        <f>IF($C633="","",IFERROR(VLOOKUP($C633,Orders!$A$4:$J$998,3,FALSE),""))</f>
        <v/>
      </c>
      <c r="F633" s="40">
        <f t="shared" si="2"/>
        <v>1</v>
      </c>
      <c r="G633" s="40" t="str">
        <f>IF($C633="","",IFERROR(VLOOKUP($C633,Orders!$A$4:$J$998,4,FALSE),""))</f>
        <v/>
      </c>
      <c r="H633" s="40" t="str">
        <f>IF($C633="","",IFERROR(VLOOKUP($C633,Orders!$A$4:$J$998,5,FALSE),""))</f>
        <v/>
      </c>
      <c r="I633" s="40" t="str">
        <f>IF($C633="","",IFERROR(VLOOKUP($C633,Orders!$A$4:$J$998,6,FALSE),""))</f>
        <v/>
      </c>
      <c r="J633" s="40" t="str">
        <f>IF($C633="","",IFERROR(VLOOKUP($C633,Orders!$A$4:$J$998,7,FALSE),""))</f>
        <v/>
      </c>
      <c r="K633" s="40" t="str">
        <f>IF(Bids!$C632="","",Bids!$C632)</f>
        <v/>
      </c>
      <c r="L633" s="40" t="str">
        <f>IF($K633="","",IFERROR(VLOOKUP($K633,Grinders!$A$4:$N$998,2,FALSE),""))</f>
        <v/>
      </c>
      <c r="M633" s="40" t="str">
        <f>IF($K633="","",IFERROR(VLOOKUP($K633,Grinders!$A$4:$N$998,3,FALSE),""))</f>
        <v/>
      </c>
      <c r="N633" s="40" t="str">
        <f>IF($K633="","",IFERROR(VLOOKUP($K633,Grinders!$A$4:$N$998,4,FALSE),""))</f>
        <v/>
      </c>
      <c r="O633" s="40" t="str">
        <f>IF($K633="","",IFERROR(VLOOKUP($K633,Grinders!$A$4:$N$998,5,FALSE),""))</f>
        <v/>
      </c>
      <c r="P633" s="40" t="str">
        <f>IF($K633="","",IF($C$4="",0,COUNTIFS(Assignments!$B$6:$B$1000,$K633,Assignments!$F$6:$F$1000,$C$4,Assignments!$E$6:$E$1000,"Active")))</f>
        <v/>
      </c>
      <c r="Q633" s="40" t="str">
        <f t="shared" si="3"/>
        <v/>
      </c>
      <c r="R633" s="40" t="str">
        <f t="shared" si="4"/>
        <v/>
      </c>
      <c r="S633" s="40" t="str">
        <f>IF($K633="","",IF($C$4="",0,COUNTIFS(Assignments!$B$6:$B$1000,$K633,Assignments!$F$6:$F$1000,$C$4,Assignments!$D$6:$D$1000,"&gt;="&amp;Config!$B$3-7,Assignments!$D$6:$D$1000,"&lt;="&amp;Config!$B$3)))</f>
        <v/>
      </c>
      <c r="T633" s="40" t="str">
        <f>IF($K633="","",IFERROR(VLOOKUP($K633,Grinders!$A$4:$N$998,8,FALSE),""))</f>
        <v/>
      </c>
      <c r="U633" s="40" t="str">
        <f>IFERROR(IF($K633="","",IF($M633="Elite",MAX(50,MIN(100,Config!$B$27*MAX(0,MIN(100,(1-IF($R633="",0,$R633))*100)) + Config!$B$28*MAX(0,MIN(100,(1-MIN(1,IF(Config!$B$30=0,1,$S633/Config!$B$30)))*100)) + Config!$B$29*MAX(0,MIN(100,MIN(1,IF($T633="",0,$T633)/Config!$B$23)*100)))),MIN(100,Config!$B$27*MAX(0,MIN(100,(1-IF($R633="",0,$R633))*100)) + Config!$B$28*MAX(0,MIN(100,(1-MIN(1,IF(Config!$B$30=0,1,$S633/Config!$B$30)))*100)) + Config!$B$29*MAX(0,MIN(100,MIN(1,IF($T633="",0,$T633)/Config!$B$23)*100))))),"")
</f>
        <v/>
      </c>
      <c r="V633" s="40" t="str">
        <f>IF(Bids!$D632="","",Bids!$D632)</f>
        <v/>
      </c>
      <c r="W633" s="40" t="str">
        <f>IF(Bids!$F632="","",Bids!$F632)</f>
        <v/>
      </c>
      <c r="X633" s="40" t="str">
        <f t="shared" si="5"/>
        <v/>
      </c>
      <c r="Y633" s="40" t="str">
        <f>IF($X633="","",IF(Config!$B$17=Config!$B$16,IF($X633&gt;=Config!$B$17,100,0),MAX(0,MIN(100,($X633-Config!$B$16)/(Config!$B$17-Config!$B$16)*100))))</f>
        <v/>
      </c>
      <c r="Z633" s="40">
        <f>IF($M633="Elite",Config!$B$21,0)</f>
        <v>0</v>
      </c>
      <c r="AA633" s="40" t="str">
        <f>IFERROR(IF(OR($W633="",$H633=""),"",IF($W633&gt;$H633,
  MAX(0, 60-(($W633-$H633)*24/Config!$B$19)*60),
  MIN(100, 60+(($H633-$W633)*24/Config!$B$20)*40)
)),"")
</f>
        <v/>
      </c>
      <c r="AB633" s="40" t="str">
        <f>IF($K633="","",IFERROR(VLOOKUP($K633,Grinders!$A$4:$N$998,10,FALSE)/5*100,""))</f>
        <v/>
      </c>
      <c r="AC633" s="40" t="str">
        <f>IF($K633="","",IFERROR(VLOOKUP($K633,Grinders!$A$4:$N$998,11,FALSE)*100,""))</f>
        <v/>
      </c>
      <c r="AD633" s="40" t="str">
        <f>IF($K633="","",IFERROR(VLOOKUP($K633,Grinders!$A$4:$N$998,12,FALSE)*100,""))</f>
        <v/>
      </c>
      <c r="AE633" s="40">
        <f>IFERROR(IFS(
    OR($C633="", $K633=""), 0,
    $F633=0, 0,
    $D633&lt;&gt;"Open", 0,
    COUNTIFS(GrinderServices!$B$4:$B$998, $K633, GrinderServices!$C$4:$C$998, $E633, GrinderServices!$E$4:$E$998, "Y")=0, 0,
    $X633&lt;Config!$B$16, 0,
    Config!$B$18=1, IF($O633&gt;=N633, 0, 1),
    TRUE, 1
), "")
</f>
        <v>0</v>
      </c>
      <c r="AF633" s="40" t="str">
        <f>IFERROR(IF($AE633=0,"",((Config!$B$6*$Y633 + Config!$B$7*$U633 + Config!$B$8*$Z633 + Config!$B$9*$AA633 + Config!$B$10*$AB633 + Config!$B$11*$AC633 - Config!$B$12*$AD633)/Config!$B$13)+$AK633+$AL633),"")</f>
        <v/>
      </c>
      <c r="AG633" s="40" t="str">
        <f t="shared" si="6"/>
        <v/>
      </c>
      <c r="AH633" s="40" t="str">
        <f t="shared" si="7"/>
        <v/>
      </c>
      <c r="AI633" s="40" t="str">
        <f t="shared" si="8"/>
        <v/>
      </c>
      <c r="AJ633" s="40" t="str">
        <f>IF($K633="","",COUNTIF(Assignments!$B$6:$B$1000,$K633))</f>
        <v/>
      </c>
      <c r="AK633" s="40" t="str">
        <f>IF($K633="","",IF(AND($AJ633=0,$O633&lt;$N633),Config!$B$43,0))</f>
        <v/>
      </c>
      <c r="AL633" s="40" t="str">
        <f>IF($K633="","",IF(AND($M633="Elite",$G633&gt;=Config!$B$41,$O633&lt;$N633),Config!$B$42,0))</f>
        <v/>
      </c>
      <c r="AM633" s="22"/>
    </row>
    <row r="634" ht="15.75" customHeight="1">
      <c r="A634" s="40" t="str">
        <f t="shared" si="1"/>
        <v/>
      </c>
      <c r="B634" s="40" t="str">
        <f>IF(Bids!$A633="","",Bids!$A633)</f>
        <v/>
      </c>
      <c r="C634" s="40" t="str">
        <f>IF(Bids!$B633="","",Bids!$B633)</f>
        <v/>
      </c>
      <c r="D634" s="40" t="str">
        <f>IF($C634="","",IFERROR(VLOOKUP($C634,Orders!$A$4:$J$998,9,FALSE),""))</f>
        <v/>
      </c>
      <c r="E634" s="40" t="str">
        <f>IF($C634="","",IFERROR(VLOOKUP($C634,Orders!$A$4:$J$998,3,FALSE),""))</f>
        <v/>
      </c>
      <c r="F634" s="40">
        <f t="shared" si="2"/>
        <v>1</v>
      </c>
      <c r="G634" s="40" t="str">
        <f>IF($C634="","",IFERROR(VLOOKUP($C634,Orders!$A$4:$J$998,4,FALSE),""))</f>
        <v/>
      </c>
      <c r="H634" s="40" t="str">
        <f>IF($C634="","",IFERROR(VLOOKUP($C634,Orders!$A$4:$J$998,5,FALSE),""))</f>
        <v/>
      </c>
      <c r="I634" s="40" t="str">
        <f>IF($C634="","",IFERROR(VLOOKUP($C634,Orders!$A$4:$J$998,6,FALSE),""))</f>
        <v/>
      </c>
      <c r="J634" s="40" t="str">
        <f>IF($C634="","",IFERROR(VLOOKUP($C634,Orders!$A$4:$J$998,7,FALSE),""))</f>
        <v/>
      </c>
      <c r="K634" s="40" t="str">
        <f>IF(Bids!$C633="","",Bids!$C633)</f>
        <v/>
      </c>
      <c r="L634" s="40" t="str">
        <f>IF($K634="","",IFERROR(VLOOKUP($K634,Grinders!$A$4:$N$998,2,FALSE),""))</f>
        <v/>
      </c>
      <c r="M634" s="40" t="str">
        <f>IF($K634="","",IFERROR(VLOOKUP($K634,Grinders!$A$4:$N$998,3,FALSE),""))</f>
        <v/>
      </c>
      <c r="N634" s="40" t="str">
        <f>IF($K634="","",IFERROR(VLOOKUP($K634,Grinders!$A$4:$N$998,4,FALSE),""))</f>
        <v/>
      </c>
      <c r="O634" s="40" t="str">
        <f>IF($K634="","",IFERROR(VLOOKUP($K634,Grinders!$A$4:$N$998,5,FALSE),""))</f>
        <v/>
      </c>
      <c r="P634" s="40" t="str">
        <f>IF($K634="","",IF($C$4="",0,COUNTIFS(Assignments!$B$6:$B$1000,$K634,Assignments!$F$6:$F$1000,$C$4,Assignments!$E$6:$E$1000,"Active")))</f>
        <v/>
      </c>
      <c r="Q634" s="40" t="str">
        <f t="shared" si="3"/>
        <v/>
      </c>
      <c r="R634" s="40" t="str">
        <f t="shared" si="4"/>
        <v/>
      </c>
      <c r="S634" s="40" t="str">
        <f>IF($K634="","",IF($C$4="",0,COUNTIFS(Assignments!$B$6:$B$1000,$K634,Assignments!$F$6:$F$1000,$C$4,Assignments!$D$6:$D$1000,"&gt;="&amp;Config!$B$3-7,Assignments!$D$6:$D$1000,"&lt;="&amp;Config!$B$3)))</f>
        <v/>
      </c>
      <c r="T634" s="40" t="str">
        <f>IF($K634="","",IFERROR(VLOOKUP($K634,Grinders!$A$4:$N$998,8,FALSE),""))</f>
        <v/>
      </c>
      <c r="U634" s="40" t="str">
        <f>IFERROR(IF($K634="","",IF($M634="Elite",MAX(50,MIN(100,Config!$B$27*MAX(0,MIN(100,(1-IF($R634="",0,$R634))*100)) + Config!$B$28*MAX(0,MIN(100,(1-MIN(1,IF(Config!$B$30=0,1,$S634/Config!$B$30)))*100)) + Config!$B$29*MAX(0,MIN(100,MIN(1,IF($T634="",0,$T634)/Config!$B$23)*100)))),MIN(100,Config!$B$27*MAX(0,MIN(100,(1-IF($R634="",0,$R634))*100)) + Config!$B$28*MAX(0,MIN(100,(1-MIN(1,IF(Config!$B$30=0,1,$S634/Config!$B$30)))*100)) + Config!$B$29*MAX(0,MIN(100,MIN(1,IF($T634="",0,$T634)/Config!$B$23)*100))))),"")
</f>
        <v/>
      </c>
      <c r="V634" s="40" t="str">
        <f>IF(Bids!$D633="","",Bids!$D633)</f>
        <v/>
      </c>
      <c r="W634" s="40" t="str">
        <f>IF(Bids!$F633="","",Bids!$F633)</f>
        <v/>
      </c>
      <c r="X634" s="40" t="str">
        <f t="shared" si="5"/>
        <v/>
      </c>
      <c r="Y634" s="40" t="str">
        <f>IF($X634="","",IF(Config!$B$17=Config!$B$16,IF($X634&gt;=Config!$B$17,100,0),MAX(0,MIN(100,($X634-Config!$B$16)/(Config!$B$17-Config!$B$16)*100))))</f>
        <v/>
      </c>
      <c r="Z634" s="40">
        <f>IF($M634="Elite",Config!$B$21,0)</f>
        <v>0</v>
      </c>
      <c r="AA634" s="40" t="str">
        <f>IFERROR(IF(OR($W634="",$H634=""),"",IF($W634&gt;$H634,
  MAX(0, 60-(($W634-$H634)*24/Config!$B$19)*60),
  MIN(100, 60+(($H634-$W634)*24/Config!$B$20)*40)
)),"")
</f>
        <v/>
      </c>
      <c r="AB634" s="40" t="str">
        <f>IF($K634="","",IFERROR(VLOOKUP($K634,Grinders!$A$4:$N$998,10,FALSE)/5*100,""))</f>
        <v/>
      </c>
      <c r="AC634" s="40" t="str">
        <f>IF($K634="","",IFERROR(VLOOKUP($K634,Grinders!$A$4:$N$998,11,FALSE)*100,""))</f>
        <v/>
      </c>
      <c r="AD634" s="40" t="str">
        <f>IF($K634="","",IFERROR(VLOOKUP($K634,Grinders!$A$4:$N$998,12,FALSE)*100,""))</f>
        <v/>
      </c>
      <c r="AE634" s="40">
        <f>IFERROR(IFS(
    OR($C634="", $K634=""), 0,
    $F634=0, 0,
    $D634&lt;&gt;"Open", 0,
    COUNTIFS(GrinderServices!$B$4:$B$998, $K634, GrinderServices!$C$4:$C$998, $E634, GrinderServices!$E$4:$E$998, "Y")=0, 0,
    $X634&lt;Config!$B$16, 0,
    Config!$B$18=1, IF($O634&gt;=N634, 0, 1),
    TRUE, 1
), "")
</f>
        <v>0</v>
      </c>
      <c r="AF634" s="40" t="str">
        <f>IFERROR(IF($AE634=0,"",((Config!$B$6*$Y634 + Config!$B$7*$U634 + Config!$B$8*$Z634 + Config!$B$9*$AA634 + Config!$B$10*$AB634 + Config!$B$11*$AC634 - Config!$B$12*$AD634)/Config!$B$13)+$AK634+$AL634),"")</f>
        <v/>
      </c>
      <c r="AG634" s="40" t="str">
        <f t="shared" si="6"/>
        <v/>
      </c>
      <c r="AH634" s="40" t="str">
        <f t="shared" si="7"/>
        <v/>
      </c>
      <c r="AI634" s="40" t="str">
        <f t="shared" si="8"/>
        <v/>
      </c>
      <c r="AJ634" s="40" t="str">
        <f>IF($K634="","",COUNTIF(Assignments!$B$6:$B$1000,$K634))</f>
        <v/>
      </c>
      <c r="AK634" s="40" t="str">
        <f>IF($K634="","",IF(AND($AJ634=0,$O634&lt;$N634),Config!$B$43,0))</f>
        <v/>
      </c>
      <c r="AL634" s="40" t="str">
        <f>IF($K634="","",IF(AND($M634="Elite",$G634&gt;=Config!$B$41,$O634&lt;$N634),Config!$B$42,0))</f>
        <v/>
      </c>
      <c r="AM634" s="22"/>
    </row>
    <row r="635" ht="15.75" customHeight="1">
      <c r="A635" s="40" t="str">
        <f t="shared" si="1"/>
        <v/>
      </c>
      <c r="B635" s="40" t="str">
        <f>IF(Bids!$A634="","",Bids!$A634)</f>
        <v/>
      </c>
      <c r="C635" s="40" t="str">
        <f>IF(Bids!$B634="","",Bids!$B634)</f>
        <v/>
      </c>
      <c r="D635" s="40" t="str">
        <f>IF($C635="","",IFERROR(VLOOKUP($C635,Orders!$A$4:$J$998,9,FALSE),""))</f>
        <v/>
      </c>
      <c r="E635" s="40" t="str">
        <f>IF($C635="","",IFERROR(VLOOKUP($C635,Orders!$A$4:$J$998,3,FALSE),""))</f>
        <v/>
      </c>
      <c r="F635" s="40">
        <f t="shared" si="2"/>
        <v>1</v>
      </c>
      <c r="G635" s="40" t="str">
        <f>IF($C635="","",IFERROR(VLOOKUP($C635,Orders!$A$4:$J$998,4,FALSE),""))</f>
        <v/>
      </c>
      <c r="H635" s="40" t="str">
        <f>IF($C635="","",IFERROR(VLOOKUP($C635,Orders!$A$4:$J$998,5,FALSE),""))</f>
        <v/>
      </c>
      <c r="I635" s="40" t="str">
        <f>IF($C635="","",IFERROR(VLOOKUP($C635,Orders!$A$4:$J$998,6,FALSE),""))</f>
        <v/>
      </c>
      <c r="J635" s="40" t="str">
        <f>IF($C635="","",IFERROR(VLOOKUP($C635,Orders!$A$4:$J$998,7,FALSE),""))</f>
        <v/>
      </c>
      <c r="K635" s="40" t="str">
        <f>IF(Bids!$C634="","",Bids!$C634)</f>
        <v/>
      </c>
      <c r="L635" s="40" t="str">
        <f>IF($K635="","",IFERROR(VLOOKUP($K635,Grinders!$A$4:$N$998,2,FALSE),""))</f>
        <v/>
      </c>
      <c r="M635" s="40" t="str">
        <f>IF($K635="","",IFERROR(VLOOKUP($K635,Grinders!$A$4:$N$998,3,FALSE),""))</f>
        <v/>
      </c>
      <c r="N635" s="40" t="str">
        <f>IF($K635="","",IFERROR(VLOOKUP($K635,Grinders!$A$4:$N$998,4,FALSE),""))</f>
        <v/>
      </c>
      <c r="O635" s="40" t="str">
        <f>IF($K635="","",IFERROR(VLOOKUP($K635,Grinders!$A$4:$N$998,5,FALSE),""))</f>
        <v/>
      </c>
      <c r="P635" s="40" t="str">
        <f>IF($K635="","",IF($C$4="",0,COUNTIFS(Assignments!$B$6:$B$1000,$K635,Assignments!$F$6:$F$1000,$C$4,Assignments!$E$6:$E$1000,"Active")))</f>
        <v/>
      </c>
      <c r="Q635" s="40" t="str">
        <f t="shared" si="3"/>
        <v/>
      </c>
      <c r="R635" s="40" t="str">
        <f t="shared" si="4"/>
        <v/>
      </c>
      <c r="S635" s="40" t="str">
        <f>IF($K635="","",IF($C$4="",0,COUNTIFS(Assignments!$B$6:$B$1000,$K635,Assignments!$F$6:$F$1000,$C$4,Assignments!$D$6:$D$1000,"&gt;="&amp;Config!$B$3-7,Assignments!$D$6:$D$1000,"&lt;="&amp;Config!$B$3)))</f>
        <v/>
      </c>
      <c r="T635" s="40" t="str">
        <f>IF($K635="","",IFERROR(VLOOKUP($K635,Grinders!$A$4:$N$998,8,FALSE),""))</f>
        <v/>
      </c>
      <c r="U635" s="40" t="str">
        <f>IFERROR(IF($K635="","",IF($M635="Elite",MAX(50,MIN(100,Config!$B$27*MAX(0,MIN(100,(1-IF($R635="",0,$R635))*100)) + Config!$B$28*MAX(0,MIN(100,(1-MIN(1,IF(Config!$B$30=0,1,$S635/Config!$B$30)))*100)) + Config!$B$29*MAX(0,MIN(100,MIN(1,IF($T635="",0,$T635)/Config!$B$23)*100)))),MIN(100,Config!$B$27*MAX(0,MIN(100,(1-IF($R635="",0,$R635))*100)) + Config!$B$28*MAX(0,MIN(100,(1-MIN(1,IF(Config!$B$30=0,1,$S635/Config!$B$30)))*100)) + Config!$B$29*MAX(0,MIN(100,MIN(1,IF($T635="",0,$T635)/Config!$B$23)*100))))),"")
</f>
        <v/>
      </c>
      <c r="V635" s="40" t="str">
        <f>IF(Bids!$D634="","",Bids!$D634)</f>
        <v/>
      </c>
      <c r="W635" s="40" t="str">
        <f>IF(Bids!$F634="","",Bids!$F634)</f>
        <v/>
      </c>
      <c r="X635" s="40" t="str">
        <f t="shared" si="5"/>
        <v/>
      </c>
      <c r="Y635" s="40" t="str">
        <f>IF($X635="","",IF(Config!$B$17=Config!$B$16,IF($X635&gt;=Config!$B$17,100,0),MAX(0,MIN(100,($X635-Config!$B$16)/(Config!$B$17-Config!$B$16)*100))))</f>
        <v/>
      </c>
      <c r="Z635" s="40">
        <f>IF($M635="Elite",Config!$B$21,0)</f>
        <v>0</v>
      </c>
      <c r="AA635" s="40" t="str">
        <f>IFERROR(IF(OR($W635="",$H635=""),"",IF($W635&gt;$H635,
  MAX(0, 60-(($W635-$H635)*24/Config!$B$19)*60),
  MIN(100, 60+(($H635-$W635)*24/Config!$B$20)*40)
)),"")
</f>
        <v/>
      </c>
      <c r="AB635" s="40" t="str">
        <f>IF($K635="","",IFERROR(VLOOKUP($K635,Grinders!$A$4:$N$998,10,FALSE)/5*100,""))</f>
        <v/>
      </c>
      <c r="AC635" s="40" t="str">
        <f>IF($K635="","",IFERROR(VLOOKUP($K635,Grinders!$A$4:$N$998,11,FALSE)*100,""))</f>
        <v/>
      </c>
      <c r="AD635" s="40" t="str">
        <f>IF($K635="","",IFERROR(VLOOKUP($K635,Grinders!$A$4:$N$998,12,FALSE)*100,""))</f>
        <v/>
      </c>
      <c r="AE635" s="40">
        <f>IFERROR(IFS(
    OR($C635="", $K635=""), 0,
    $F635=0, 0,
    $D635&lt;&gt;"Open", 0,
    COUNTIFS(GrinderServices!$B$4:$B$998, $K635, GrinderServices!$C$4:$C$998, $E635, GrinderServices!$E$4:$E$998, "Y")=0, 0,
    $X635&lt;Config!$B$16, 0,
    Config!$B$18=1, IF($O635&gt;=N635, 0, 1),
    TRUE, 1
), "")
</f>
        <v>0</v>
      </c>
      <c r="AF635" s="40" t="str">
        <f>IFERROR(IF($AE635=0,"",((Config!$B$6*$Y635 + Config!$B$7*$U635 + Config!$B$8*$Z635 + Config!$B$9*$AA635 + Config!$B$10*$AB635 + Config!$B$11*$AC635 - Config!$B$12*$AD635)/Config!$B$13)+$AK635+$AL635),"")</f>
        <v/>
      </c>
      <c r="AG635" s="40" t="str">
        <f t="shared" si="6"/>
        <v/>
      </c>
      <c r="AH635" s="40" t="str">
        <f t="shared" si="7"/>
        <v/>
      </c>
      <c r="AI635" s="40" t="str">
        <f t="shared" si="8"/>
        <v/>
      </c>
      <c r="AJ635" s="40" t="str">
        <f>IF($K635="","",COUNTIF(Assignments!$B$6:$B$1000,$K635))</f>
        <v/>
      </c>
      <c r="AK635" s="40" t="str">
        <f>IF($K635="","",IF(AND($AJ635=0,$O635&lt;$N635),Config!$B$43,0))</f>
        <v/>
      </c>
      <c r="AL635" s="40" t="str">
        <f>IF($K635="","",IF(AND($M635="Elite",$G635&gt;=Config!$B$41,$O635&lt;$N635),Config!$B$42,0))</f>
        <v/>
      </c>
      <c r="AM635" s="22"/>
    </row>
    <row r="636" ht="15.75" customHeight="1">
      <c r="A636" s="40" t="str">
        <f t="shared" si="1"/>
        <v/>
      </c>
      <c r="B636" s="40" t="str">
        <f>IF(Bids!$A635="","",Bids!$A635)</f>
        <v/>
      </c>
      <c r="C636" s="40" t="str">
        <f>IF(Bids!$B635="","",Bids!$B635)</f>
        <v/>
      </c>
      <c r="D636" s="40" t="str">
        <f>IF($C636="","",IFERROR(VLOOKUP($C636,Orders!$A$4:$J$998,9,FALSE),""))</f>
        <v/>
      </c>
      <c r="E636" s="40" t="str">
        <f>IF($C636="","",IFERROR(VLOOKUP($C636,Orders!$A$4:$J$998,3,FALSE),""))</f>
        <v/>
      </c>
      <c r="F636" s="40">
        <f t="shared" si="2"/>
        <v>1</v>
      </c>
      <c r="G636" s="40" t="str">
        <f>IF($C636="","",IFERROR(VLOOKUP($C636,Orders!$A$4:$J$998,4,FALSE),""))</f>
        <v/>
      </c>
      <c r="H636" s="40" t="str">
        <f>IF($C636="","",IFERROR(VLOOKUP($C636,Orders!$A$4:$J$998,5,FALSE),""))</f>
        <v/>
      </c>
      <c r="I636" s="40" t="str">
        <f>IF($C636="","",IFERROR(VLOOKUP($C636,Orders!$A$4:$J$998,6,FALSE),""))</f>
        <v/>
      </c>
      <c r="J636" s="40" t="str">
        <f>IF($C636="","",IFERROR(VLOOKUP($C636,Orders!$A$4:$J$998,7,FALSE),""))</f>
        <v/>
      </c>
      <c r="K636" s="40" t="str">
        <f>IF(Bids!$C635="","",Bids!$C635)</f>
        <v/>
      </c>
      <c r="L636" s="40" t="str">
        <f>IF($K636="","",IFERROR(VLOOKUP($K636,Grinders!$A$4:$N$998,2,FALSE),""))</f>
        <v/>
      </c>
      <c r="M636" s="40" t="str">
        <f>IF($K636="","",IFERROR(VLOOKUP($K636,Grinders!$A$4:$N$998,3,FALSE),""))</f>
        <v/>
      </c>
      <c r="N636" s="40" t="str">
        <f>IF($K636="","",IFERROR(VLOOKUP($K636,Grinders!$A$4:$N$998,4,FALSE),""))</f>
        <v/>
      </c>
      <c r="O636" s="40" t="str">
        <f>IF($K636="","",IFERROR(VLOOKUP($K636,Grinders!$A$4:$N$998,5,FALSE),""))</f>
        <v/>
      </c>
      <c r="P636" s="40" t="str">
        <f>IF($K636="","",IF($C$4="",0,COUNTIFS(Assignments!$B$6:$B$1000,$K636,Assignments!$F$6:$F$1000,$C$4,Assignments!$E$6:$E$1000,"Active")))</f>
        <v/>
      </c>
      <c r="Q636" s="40" t="str">
        <f t="shared" si="3"/>
        <v/>
      </c>
      <c r="R636" s="40" t="str">
        <f t="shared" si="4"/>
        <v/>
      </c>
      <c r="S636" s="40" t="str">
        <f>IF($K636="","",IF($C$4="",0,COUNTIFS(Assignments!$B$6:$B$1000,$K636,Assignments!$F$6:$F$1000,$C$4,Assignments!$D$6:$D$1000,"&gt;="&amp;Config!$B$3-7,Assignments!$D$6:$D$1000,"&lt;="&amp;Config!$B$3)))</f>
        <v/>
      </c>
      <c r="T636" s="40" t="str">
        <f>IF($K636="","",IFERROR(VLOOKUP($K636,Grinders!$A$4:$N$998,8,FALSE),""))</f>
        <v/>
      </c>
      <c r="U636" s="40" t="str">
        <f>IFERROR(IF($K636="","",IF($M636="Elite",MAX(50,MIN(100,Config!$B$27*MAX(0,MIN(100,(1-IF($R636="",0,$R636))*100)) + Config!$B$28*MAX(0,MIN(100,(1-MIN(1,IF(Config!$B$30=0,1,$S636/Config!$B$30)))*100)) + Config!$B$29*MAX(0,MIN(100,MIN(1,IF($T636="",0,$T636)/Config!$B$23)*100)))),MIN(100,Config!$B$27*MAX(0,MIN(100,(1-IF($R636="",0,$R636))*100)) + Config!$B$28*MAX(0,MIN(100,(1-MIN(1,IF(Config!$B$30=0,1,$S636/Config!$B$30)))*100)) + Config!$B$29*MAX(0,MIN(100,MIN(1,IF($T636="",0,$T636)/Config!$B$23)*100))))),"")
</f>
        <v/>
      </c>
      <c r="V636" s="40" t="str">
        <f>IF(Bids!$D635="","",Bids!$D635)</f>
        <v/>
      </c>
      <c r="W636" s="40" t="str">
        <f>IF(Bids!$F635="","",Bids!$F635)</f>
        <v/>
      </c>
      <c r="X636" s="40" t="str">
        <f t="shared" si="5"/>
        <v/>
      </c>
      <c r="Y636" s="40" t="str">
        <f>IF($X636="","",IF(Config!$B$17=Config!$B$16,IF($X636&gt;=Config!$B$17,100,0),MAX(0,MIN(100,($X636-Config!$B$16)/(Config!$B$17-Config!$B$16)*100))))</f>
        <v/>
      </c>
      <c r="Z636" s="40">
        <f>IF($M636="Elite",Config!$B$21,0)</f>
        <v>0</v>
      </c>
      <c r="AA636" s="40" t="str">
        <f>IFERROR(IF(OR($W636="",$H636=""),"",IF($W636&gt;$H636,
  MAX(0, 60-(($W636-$H636)*24/Config!$B$19)*60),
  MIN(100, 60+(($H636-$W636)*24/Config!$B$20)*40)
)),"")
</f>
        <v/>
      </c>
      <c r="AB636" s="40" t="str">
        <f>IF($K636="","",IFERROR(VLOOKUP($K636,Grinders!$A$4:$N$998,10,FALSE)/5*100,""))</f>
        <v/>
      </c>
      <c r="AC636" s="40" t="str">
        <f>IF($K636="","",IFERROR(VLOOKUP($K636,Grinders!$A$4:$N$998,11,FALSE)*100,""))</f>
        <v/>
      </c>
      <c r="AD636" s="40" t="str">
        <f>IF($K636="","",IFERROR(VLOOKUP($K636,Grinders!$A$4:$N$998,12,FALSE)*100,""))</f>
        <v/>
      </c>
      <c r="AE636" s="40">
        <f>IFERROR(IFS(
    OR($C636="", $K636=""), 0,
    $F636=0, 0,
    $D636&lt;&gt;"Open", 0,
    COUNTIFS(GrinderServices!$B$4:$B$998, $K636, GrinderServices!$C$4:$C$998, $E636, GrinderServices!$E$4:$E$998, "Y")=0, 0,
    $X636&lt;Config!$B$16, 0,
    Config!$B$18=1, IF($O636&gt;=N636, 0, 1),
    TRUE, 1
), "")
</f>
        <v>0</v>
      </c>
      <c r="AF636" s="40" t="str">
        <f>IFERROR(IF($AE636=0,"",((Config!$B$6*$Y636 + Config!$B$7*$U636 + Config!$B$8*$Z636 + Config!$B$9*$AA636 + Config!$B$10*$AB636 + Config!$B$11*$AC636 - Config!$B$12*$AD636)/Config!$B$13)+$AK636+$AL636),"")</f>
        <v/>
      </c>
      <c r="AG636" s="40" t="str">
        <f t="shared" si="6"/>
        <v/>
      </c>
      <c r="AH636" s="40" t="str">
        <f t="shared" si="7"/>
        <v/>
      </c>
      <c r="AI636" s="40" t="str">
        <f t="shared" si="8"/>
        <v/>
      </c>
      <c r="AJ636" s="40" t="str">
        <f>IF($K636="","",COUNTIF(Assignments!$B$6:$B$1000,$K636))</f>
        <v/>
      </c>
      <c r="AK636" s="40" t="str">
        <f>IF($K636="","",IF(AND($AJ636=0,$O636&lt;$N636),Config!$B$43,0))</f>
        <v/>
      </c>
      <c r="AL636" s="40" t="str">
        <f>IF($K636="","",IF(AND($M636="Elite",$G636&gt;=Config!$B$41,$O636&lt;$N636),Config!$B$42,0))</f>
        <v/>
      </c>
      <c r="AM636" s="22"/>
    </row>
    <row r="637" ht="15.75" customHeight="1">
      <c r="A637" s="40" t="str">
        <f t="shared" si="1"/>
        <v/>
      </c>
      <c r="B637" s="40" t="str">
        <f>IF(Bids!$A636="","",Bids!$A636)</f>
        <v/>
      </c>
      <c r="C637" s="40" t="str">
        <f>IF(Bids!$B636="","",Bids!$B636)</f>
        <v/>
      </c>
      <c r="D637" s="40" t="str">
        <f>IF($C637="","",IFERROR(VLOOKUP($C637,Orders!$A$4:$J$998,9,FALSE),""))</f>
        <v/>
      </c>
      <c r="E637" s="40" t="str">
        <f>IF($C637="","",IFERROR(VLOOKUP($C637,Orders!$A$4:$J$998,3,FALSE),""))</f>
        <v/>
      </c>
      <c r="F637" s="40">
        <f t="shared" si="2"/>
        <v>1</v>
      </c>
      <c r="G637" s="40" t="str">
        <f>IF($C637="","",IFERROR(VLOOKUP($C637,Orders!$A$4:$J$998,4,FALSE),""))</f>
        <v/>
      </c>
      <c r="H637" s="40" t="str">
        <f>IF($C637="","",IFERROR(VLOOKUP($C637,Orders!$A$4:$J$998,5,FALSE),""))</f>
        <v/>
      </c>
      <c r="I637" s="40" t="str">
        <f>IF($C637="","",IFERROR(VLOOKUP($C637,Orders!$A$4:$J$998,6,FALSE),""))</f>
        <v/>
      </c>
      <c r="J637" s="40" t="str">
        <f>IF($C637="","",IFERROR(VLOOKUP($C637,Orders!$A$4:$J$998,7,FALSE),""))</f>
        <v/>
      </c>
      <c r="K637" s="40" t="str">
        <f>IF(Bids!$C636="","",Bids!$C636)</f>
        <v/>
      </c>
      <c r="L637" s="40" t="str">
        <f>IF($K637="","",IFERROR(VLOOKUP($K637,Grinders!$A$4:$N$998,2,FALSE),""))</f>
        <v/>
      </c>
      <c r="M637" s="40" t="str">
        <f>IF($K637="","",IFERROR(VLOOKUP($K637,Grinders!$A$4:$N$998,3,FALSE),""))</f>
        <v/>
      </c>
      <c r="N637" s="40" t="str">
        <f>IF($K637="","",IFERROR(VLOOKUP($K637,Grinders!$A$4:$N$998,4,FALSE),""))</f>
        <v/>
      </c>
      <c r="O637" s="40" t="str">
        <f>IF($K637="","",IFERROR(VLOOKUP($K637,Grinders!$A$4:$N$998,5,FALSE),""))</f>
        <v/>
      </c>
      <c r="P637" s="40" t="str">
        <f>IF($K637="","",IF($C$4="",0,COUNTIFS(Assignments!$B$6:$B$1000,$K637,Assignments!$F$6:$F$1000,$C$4,Assignments!$E$6:$E$1000,"Active")))</f>
        <v/>
      </c>
      <c r="Q637" s="40" t="str">
        <f t="shared" si="3"/>
        <v/>
      </c>
      <c r="R637" s="40" t="str">
        <f t="shared" si="4"/>
        <v/>
      </c>
      <c r="S637" s="40" t="str">
        <f>IF($K637="","",IF($C$4="",0,COUNTIFS(Assignments!$B$6:$B$1000,$K637,Assignments!$F$6:$F$1000,$C$4,Assignments!$D$6:$D$1000,"&gt;="&amp;Config!$B$3-7,Assignments!$D$6:$D$1000,"&lt;="&amp;Config!$B$3)))</f>
        <v/>
      </c>
      <c r="T637" s="40" t="str">
        <f>IF($K637="","",IFERROR(VLOOKUP($K637,Grinders!$A$4:$N$998,8,FALSE),""))</f>
        <v/>
      </c>
      <c r="U637" s="40" t="str">
        <f>IFERROR(IF($K637="","",IF($M637="Elite",MAX(50,MIN(100,Config!$B$27*MAX(0,MIN(100,(1-IF($R637="",0,$R637))*100)) + Config!$B$28*MAX(0,MIN(100,(1-MIN(1,IF(Config!$B$30=0,1,$S637/Config!$B$30)))*100)) + Config!$B$29*MAX(0,MIN(100,MIN(1,IF($T637="",0,$T637)/Config!$B$23)*100)))),MIN(100,Config!$B$27*MAX(0,MIN(100,(1-IF($R637="",0,$R637))*100)) + Config!$B$28*MAX(0,MIN(100,(1-MIN(1,IF(Config!$B$30=0,1,$S637/Config!$B$30)))*100)) + Config!$B$29*MAX(0,MIN(100,MIN(1,IF($T637="",0,$T637)/Config!$B$23)*100))))),"")
</f>
        <v/>
      </c>
      <c r="V637" s="40" t="str">
        <f>IF(Bids!$D636="","",Bids!$D636)</f>
        <v/>
      </c>
      <c r="W637" s="40" t="str">
        <f>IF(Bids!$F636="","",Bids!$F636)</f>
        <v/>
      </c>
      <c r="X637" s="40" t="str">
        <f t="shared" si="5"/>
        <v/>
      </c>
      <c r="Y637" s="40" t="str">
        <f>IF($X637="","",IF(Config!$B$17=Config!$B$16,IF($X637&gt;=Config!$B$17,100,0),MAX(0,MIN(100,($X637-Config!$B$16)/(Config!$B$17-Config!$B$16)*100))))</f>
        <v/>
      </c>
      <c r="Z637" s="40">
        <f>IF($M637="Elite",Config!$B$21,0)</f>
        <v>0</v>
      </c>
      <c r="AA637" s="40" t="str">
        <f>IFERROR(IF(OR($W637="",$H637=""),"",IF($W637&gt;$H637,
  MAX(0, 60-(($W637-$H637)*24/Config!$B$19)*60),
  MIN(100, 60+(($H637-$W637)*24/Config!$B$20)*40)
)),"")
</f>
        <v/>
      </c>
      <c r="AB637" s="40" t="str">
        <f>IF($K637="","",IFERROR(VLOOKUP($K637,Grinders!$A$4:$N$998,10,FALSE)/5*100,""))</f>
        <v/>
      </c>
      <c r="AC637" s="40" t="str">
        <f>IF($K637="","",IFERROR(VLOOKUP($K637,Grinders!$A$4:$N$998,11,FALSE)*100,""))</f>
        <v/>
      </c>
      <c r="AD637" s="40" t="str">
        <f>IF($K637="","",IFERROR(VLOOKUP($K637,Grinders!$A$4:$N$998,12,FALSE)*100,""))</f>
        <v/>
      </c>
      <c r="AE637" s="40">
        <f>IFERROR(IFS(
    OR($C637="", $K637=""), 0,
    $F637=0, 0,
    $D637&lt;&gt;"Open", 0,
    COUNTIFS(GrinderServices!$B$4:$B$998, $K637, GrinderServices!$C$4:$C$998, $E637, GrinderServices!$E$4:$E$998, "Y")=0, 0,
    $X637&lt;Config!$B$16, 0,
    Config!$B$18=1, IF($O637&gt;=N637, 0, 1),
    TRUE, 1
), "")
</f>
        <v>0</v>
      </c>
      <c r="AF637" s="40" t="str">
        <f>IFERROR(IF($AE637=0,"",((Config!$B$6*$Y637 + Config!$B$7*$U637 + Config!$B$8*$Z637 + Config!$B$9*$AA637 + Config!$B$10*$AB637 + Config!$B$11*$AC637 - Config!$B$12*$AD637)/Config!$B$13)+$AK637+$AL637),"")</f>
        <v/>
      </c>
      <c r="AG637" s="40" t="str">
        <f t="shared" si="6"/>
        <v/>
      </c>
      <c r="AH637" s="40" t="str">
        <f t="shared" si="7"/>
        <v/>
      </c>
      <c r="AI637" s="40" t="str">
        <f t="shared" si="8"/>
        <v/>
      </c>
      <c r="AJ637" s="40" t="str">
        <f>IF($K637="","",COUNTIF(Assignments!$B$6:$B$1000,$K637))</f>
        <v/>
      </c>
      <c r="AK637" s="40" t="str">
        <f>IF($K637="","",IF(AND($AJ637=0,$O637&lt;$N637),Config!$B$43,0))</f>
        <v/>
      </c>
      <c r="AL637" s="40" t="str">
        <f>IF($K637="","",IF(AND($M637="Elite",$G637&gt;=Config!$B$41,$O637&lt;$N637),Config!$B$42,0))</f>
        <v/>
      </c>
      <c r="AM637" s="22"/>
    </row>
    <row r="638" ht="15.75" customHeight="1">
      <c r="A638" s="40" t="str">
        <f t="shared" si="1"/>
        <v/>
      </c>
      <c r="B638" s="40" t="str">
        <f>IF(Bids!$A637="","",Bids!$A637)</f>
        <v/>
      </c>
      <c r="C638" s="40" t="str">
        <f>IF(Bids!$B637="","",Bids!$B637)</f>
        <v/>
      </c>
      <c r="D638" s="40" t="str">
        <f>IF($C638="","",IFERROR(VLOOKUP($C638,Orders!$A$4:$J$998,9,FALSE),""))</f>
        <v/>
      </c>
      <c r="E638" s="40" t="str">
        <f>IF($C638="","",IFERROR(VLOOKUP($C638,Orders!$A$4:$J$998,3,FALSE),""))</f>
        <v/>
      </c>
      <c r="F638" s="40">
        <f t="shared" si="2"/>
        <v>1</v>
      </c>
      <c r="G638" s="40" t="str">
        <f>IF($C638="","",IFERROR(VLOOKUP($C638,Orders!$A$4:$J$998,4,FALSE),""))</f>
        <v/>
      </c>
      <c r="H638" s="40" t="str">
        <f>IF($C638="","",IFERROR(VLOOKUP($C638,Orders!$A$4:$J$998,5,FALSE),""))</f>
        <v/>
      </c>
      <c r="I638" s="40" t="str">
        <f>IF($C638="","",IFERROR(VLOOKUP($C638,Orders!$A$4:$J$998,6,FALSE),""))</f>
        <v/>
      </c>
      <c r="J638" s="40" t="str">
        <f>IF($C638="","",IFERROR(VLOOKUP($C638,Orders!$A$4:$J$998,7,FALSE),""))</f>
        <v/>
      </c>
      <c r="K638" s="40" t="str">
        <f>IF(Bids!$C637="","",Bids!$C637)</f>
        <v/>
      </c>
      <c r="L638" s="40" t="str">
        <f>IF($K638="","",IFERROR(VLOOKUP($K638,Grinders!$A$4:$N$998,2,FALSE),""))</f>
        <v/>
      </c>
      <c r="M638" s="40" t="str">
        <f>IF($K638="","",IFERROR(VLOOKUP($K638,Grinders!$A$4:$N$998,3,FALSE),""))</f>
        <v/>
      </c>
      <c r="N638" s="40" t="str">
        <f>IF($K638="","",IFERROR(VLOOKUP($K638,Grinders!$A$4:$N$998,4,FALSE),""))</f>
        <v/>
      </c>
      <c r="O638" s="40" t="str">
        <f>IF($K638="","",IFERROR(VLOOKUP($K638,Grinders!$A$4:$N$998,5,FALSE),""))</f>
        <v/>
      </c>
      <c r="P638" s="40" t="str">
        <f>IF($K638="","",IF($C$4="",0,COUNTIFS(Assignments!$B$6:$B$1000,$K638,Assignments!$F$6:$F$1000,$C$4,Assignments!$E$6:$E$1000,"Active")))</f>
        <v/>
      </c>
      <c r="Q638" s="40" t="str">
        <f t="shared" si="3"/>
        <v/>
      </c>
      <c r="R638" s="40" t="str">
        <f t="shared" si="4"/>
        <v/>
      </c>
      <c r="S638" s="40" t="str">
        <f>IF($K638="","",IF($C$4="",0,COUNTIFS(Assignments!$B$6:$B$1000,$K638,Assignments!$F$6:$F$1000,$C$4,Assignments!$D$6:$D$1000,"&gt;="&amp;Config!$B$3-7,Assignments!$D$6:$D$1000,"&lt;="&amp;Config!$B$3)))</f>
        <v/>
      </c>
      <c r="T638" s="40" t="str">
        <f>IF($K638="","",IFERROR(VLOOKUP($K638,Grinders!$A$4:$N$998,8,FALSE),""))</f>
        <v/>
      </c>
      <c r="U638" s="40" t="str">
        <f>IFERROR(IF($K638="","",IF($M638="Elite",MAX(50,MIN(100,Config!$B$27*MAX(0,MIN(100,(1-IF($R638="",0,$R638))*100)) + Config!$B$28*MAX(0,MIN(100,(1-MIN(1,IF(Config!$B$30=0,1,$S638/Config!$B$30)))*100)) + Config!$B$29*MAX(0,MIN(100,MIN(1,IF($T638="",0,$T638)/Config!$B$23)*100)))),MIN(100,Config!$B$27*MAX(0,MIN(100,(1-IF($R638="",0,$R638))*100)) + Config!$B$28*MAX(0,MIN(100,(1-MIN(1,IF(Config!$B$30=0,1,$S638/Config!$B$30)))*100)) + Config!$B$29*MAX(0,MIN(100,MIN(1,IF($T638="",0,$T638)/Config!$B$23)*100))))),"")
</f>
        <v/>
      </c>
      <c r="V638" s="40" t="str">
        <f>IF(Bids!$D637="","",Bids!$D637)</f>
        <v/>
      </c>
      <c r="W638" s="40" t="str">
        <f>IF(Bids!$F637="","",Bids!$F637)</f>
        <v/>
      </c>
      <c r="X638" s="40" t="str">
        <f t="shared" si="5"/>
        <v/>
      </c>
      <c r="Y638" s="40" t="str">
        <f>IF($X638="","",IF(Config!$B$17=Config!$B$16,IF($X638&gt;=Config!$B$17,100,0),MAX(0,MIN(100,($X638-Config!$B$16)/(Config!$B$17-Config!$B$16)*100))))</f>
        <v/>
      </c>
      <c r="Z638" s="40">
        <f>IF($M638="Elite",Config!$B$21,0)</f>
        <v>0</v>
      </c>
      <c r="AA638" s="40" t="str">
        <f>IFERROR(IF(OR($W638="",$H638=""),"",IF($W638&gt;$H638,
  MAX(0, 60-(($W638-$H638)*24/Config!$B$19)*60),
  MIN(100, 60+(($H638-$W638)*24/Config!$B$20)*40)
)),"")
</f>
        <v/>
      </c>
      <c r="AB638" s="40" t="str">
        <f>IF($K638="","",IFERROR(VLOOKUP($K638,Grinders!$A$4:$N$998,10,FALSE)/5*100,""))</f>
        <v/>
      </c>
      <c r="AC638" s="40" t="str">
        <f>IF($K638="","",IFERROR(VLOOKUP($K638,Grinders!$A$4:$N$998,11,FALSE)*100,""))</f>
        <v/>
      </c>
      <c r="AD638" s="40" t="str">
        <f>IF($K638="","",IFERROR(VLOOKUP($K638,Grinders!$A$4:$N$998,12,FALSE)*100,""))</f>
        <v/>
      </c>
      <c r="AE638" s="40">
        <f>IFERROR(IFS(
    OR($C638="", $K638=""), 0,
    $F638=0, 0,
    $D638&lt;&gt;"Open", 0,
    COUNTIFS(GrinderServices!$B$4:$B$998, $K638, GrinderServices!$C$4:$C$998, $E638, GrinderServices!$E$4:$E$998, "Y")=0, 0,
    $X638&lt;Config!$B$16, 0,
    Config!$B$18=1, IF($O638&gt;=N638, 0, 1),
    TRUE, 1
), "")
</f>
        <v>0</v>
      </c>
      <c r="AF638" s="40" t="str">
        <f>IFERROR(IF($AE638=0,"",((Config!$B$6*$Y638 + Config!$B$7*$U638 + Config!$B$8*$Z638 + Config!$B$9*$AA638 + Config!$B$10*$AB638 + Config!$B$11*$AC638 - Config!$B$12*$AD638)/Config!$B$13)+$AK638+$AL638),"")</f>
        <v/>
      </c>
      <c r="AG638" s="40" t="str">
        <f t="shared" si="6"/>
        <v/>
      </c>
      <c r="AH638" s="40" t="str">
        <f t="shared" si="7"/>
        <v/>
      </c>
      <c r="AI638" s="40" t="str">
        <f t="shared" si="8"/>
        <v/>
      </c>
      <c r="AJ638" s="40" t="str">
        <f>IF($K638="","",COUNTIF(Assignments!$B$6:$B$1000,$K638))</f>
        <v/>
      </c>
      <c r="AK638" s="40" t="str">
        <f>IF($K638="","",IF(AND($AJ638=0,$O638&lt;$N638),Config!$B$43,0))</f>
        <v/>
      </c>
      <c r="AL638" s="40" t="str">
        <f>IF($K638="","",IF(AND($M638="Elite",$G638&gt;=Config!$B$41,$O638&lt;$N638),Config!$B$42,0))</f>
        <v/>
      </c>
      <c r="AM638" s="22"/>
    </row>
    <row r="639" ht="15.75" customHeight="1">
      <c r="A639" s="40" t="str">
        <f t="shared" si="1"/>
        <v/>
      </c>
      <c r="B639" s="40" t="str">
        <f>IF(Bids!$A638="","",Bids!$A638)</f>
        <v/>
      </c>
      <c r="C639" s="40" t="str">
        <f>IF(Bids!$B638="","",Bids!$B638)</f>
        <v/>
      </c>
      <c r="D639" s="40" t="str">
        <f>IF($C639="","",IFERROR(VLOOKUP($C639,Orders!$A$4:$J$998,9,FALSE),""))</f>
        <v/>
      </c>
      <c r="E639" s="40" t="str">
        <f>IF($C639="","",IFERROR(VLOOKUP($C639,Orders!$A$4:$J$998,3,FALSE),""))</f>
        <v/>
      </c>
      <c r="F639" s="40">
        <f t="shared" si="2"/>
        <v>1</v>
      </c>
      <c r="G639" s="40" t="str">
        <f>IF($C639="","",IFERROR(VLOOKUP($C639,Orders!$A$4:$J$998,4,FALSE),""))</f>
        <v/>
      </c>
      <c r="H639" s="40" t="str">
        <f>IF($C639="","",IFERROR(VLOOKUP($C639,Orders!$A$4:$J$998,5,FALSE),""))</f>
        <v/>
      </c>
      <c r="I639" s="40" t="str">
        <f>IF($C639="","",IFERROR(VLOOKUP($C639,Orders!$A$4:$J$998,6,FALSE),""))</f>
        <v/>
      </c>
      <c r="J639" s="40" t="str">
        <f>IF($C639="","",IFERROR(VLOOKUP($C639,Orders!$A$4:$J$998,7,FALSE),""))</f>
        <v/>
      </c>
      <c r="K639" s="40" t="str">
        <f>IF(Bids!$C638="","",Bids!$C638)</f>
        <v/>
      </c>
      <c r="L639" s="40" t="str">
        <f>IF($K639="","",IFERROR(VLOOKUP($K639,Grinders!$A$4:$N$998,2,FALSE),""))</f>
        <v/>
      </c>
      <c r="M639" s="40" t="str">
        <f>IF($K639="","",IFERROR(VLOOKUP($K639,Grinders!$A$4:$N$998,3,FALSE),""))</f>
        <v/>
      </c>
      <c r="N639" s="40" t="str">
        <f>IF($K639="","",IFERROR(VLOOKUP($K639,Grinders!$A$4:$N$998,4,FALSE),""))</f>
        <v/>
      </c>
      <c r="O639" s="40" t="str">
        <f>IF($K639="","",IFERROR(VLOOKUP($K639,Grinders!$A$4:$N$998,5,FALSE),""))</f>
        <v/>
      </c>
      <c r="P639" s="40" t="str">
        <f>IF($K639="","",IF($C$4="",0,COUNTIFS(Assignments!$B$6:$B$1000,$K639,Assignments!$F$6:$F$1000,$C$4,Assignments!$E$6:$E$1000,"Active")))</f>
        <v/>
      </c>
      <c r="Q639" s="40" t="str">
        <f t="shared" si="3"/>
        <v/>
      </c>
      <c r="R639" s="40" t="str">
        <f t="shared" si="4"/>
        <v/>
      </c>
      <c r="S639" s="40" t="str">
        <f>IF($K639="","",IF($C$4="",0,COUNTIFS(Assignments!$B$6:$B$1000,$K639,Assignments!$F$6:$F$1000,$C$4,Assignments!$D$6:$D$1000,"&gt;="&amp;Config!$B$3-7,Assignments!$D$6:$D$1000,"&lt;="&amp;Config!$B$3)))</f>
        <v/>
      </c>
      <c r="T639" s="40" t="str">
        <f>IF($K639="","",IFERROR(VLOOKUP($K639,Grinders!$A$4:$N$998,8,FALSE),""))</f>
        <v/>
      </c>
      <c r="U639" s="40" t="str">
        <f>IFERROR(IF($K639="","",IF($M639="Elite",MAX(50,MIN(100,Config!$B$27*MAX(0,MIN(100,(1-IF($R639="",0,$R639))*100)) + Config!$B$28*MAX(0,MIN(100,(1-MIN(1,IF(Config!$B$30=0,1,$S639/Config!$B$30)))*100)) + Config!$B$29*MAX(0,MIN(100,MIN(1,IF($T639="",0,$T639)/Config!$B$23)*100)))),MIN(100,Config!$B$27*MAX(0,MIN(100,(1-IF($R639="",0,$R639))*100)) + Config!$B$28*MAX(0,MIN(100,(1-MIN(1,IF(Config!$B$30=0,1,$S639/Config!$B$30)))*100)) + Config!$B$29*MAX(0,MIN(100,MIN(1,IF($T639="",0,$T639)/Config!$B$23)*100))))),"")
</f>
        <v/>
      </c>
      <c r="V639" s="40" t="str">
        <f>IF(Bids!$D638="","",Bids!$D638)</f>
        <v/>
      </c>
      <c r="W639" s="40" t="str">
        <f>IF(Bids!$F638="","",Bids!$F638)</f>
        <v/>
      </c>
      <c r="X639" s="40" t="str">
        <f t="shared" si="5"/>
        <v/>
      </c>
      <c r="Y639" s="40" t="str">
        <f>IF($X639="","",IF(Config!$B$17=Config!$B$16,IF($X639&gt;=Config!$B$17,100,0),MAX(0,MIN(100,($X639-Config!$B$16)/(Config!$B$17-Config!$B$16)*100))))</f>
        <v/>
      </c>
      <c r="Z639" s="40">
        <f>IF($M639="Elite",Config!$B$21,0)</f>
        <v>0</v>
      </c>
      <c r="AA639" s="40" t="str">
        <f>IFERROR(IF(OR($W639="",$H639=""),"",IF($W639&gt;$H639,
  MAX(0, 60-(($W639-$H639)*24/Config!$B$19)*60),
  MIN(100, 60+(($H639-$W639)*24/Config!$B$20)*40)
)),"")
</f>
        <v/>
      </c>
      <c r="AB639" s="40" t="str">
        <f>IF($K639="","",IFERROR(VLOOKUP($K639,Grinders!$A$4:$N$998,10,FALSE)/5*100,""))</f>
        <v/>
      </c>
      <c r="AC639" s="40" t="str">
        <f>IF($K639="","",IFERROR(VLOOKUP($K639,Grinders!$A$4:$N$998,11,FALSE)*100,""))</f>
        <v/>
      </c>
      <c r="AD639" s="40" t="str">
        <f>IF($K639="","",IFERROR(VLOOKUP($K639,Grinders!$A$4:$N$998,12,FALSE)*100,""))</f>
        <v/>
      </c>
      <c r="AE639" s="40">
        <f>IFERROR(IFS(
    OR($C639="", $K639=""), 0,
    $F639=0, 0,
    $D639&lt;&gt;"Open", 0,
    COUNTIFS(GrinderServices!$B$4:$B$998, $K639, GrinderServices!$C$4:$C$998, $E639, GrinderServices!$E$4:$E$998, "Y")=0, 0,
    $X639&lt;Config!$B$16, 0,
    Config!$B$18=1, IF($O639&gt;=N639, 0, 1),
    TRUE, 1
), "")
</f>
        <v>0</v>
      </c>
      <c r="AF639" s="40" t="str">
        <f>IFERROR(IF($AE639=0,"",((Config!$B$6*$Y639 + Config!$B$7*$U639 + Config!$B$8*$Z639 + Config!$B$9*$AA639 + Config!$B$10*$AB639 + Config!$B$11*$AC639 - Config!$B$12*$AD639)/Config!$B$13)+$AK639+$AL639),"")</f>
        <v/>
      </c>
      <c r="AG639" s="40" t="str">
        <f t="shared" si="6"/>
        <v/>
      </c>
      <c r="AH639" s="40" t="str">
        <f t="shared" si="7"/>
        <v/>
      </c>
      <c r="AI639" s="40" t="str">
        <f t="shared" si="8"/>
        <v/>
      </c>
      <c r="AJ639" s="40" t="str">
        <f>IF($K639="","",COUNTIF(Assignments!$B$6:$B$1000,$K639))</f>
        <v/>
      </c>
      <c r="AK639" s="40" t="str">
        <f>IF($K639="","",IF(AND($AJ639=0,$O639&lt;$N639),Config!$B$43,0))</f>
        <v/>
      </c>
      <c r="AL639" s="40" t="str">
        <f>IF($K639="","",IF(AND($M639="Elite",$G639&gt;=Config!$B$41,$O639&lt;$N639),Config!$B$42,0))</f>
        <v/>
      </c>
      <c r="AM639" s="22"/>
    </row>
    <row r="640" ht="15.75" customHeight="1">
      <c r="A640" s="40" t="str">
        <f t="shared" si="1"/>
        <v/>
      </c>
      <c r="B640" s="40" t="str">
        <f>IF(Bids!$A639="","",Bids!$A639)</f>
        <v/>
      </c>
      <c r="C640" s="40" t="str">
        <f>IF(Bids!$B639="","",Bids!$B639)</f>
        <v/>
      </c>
      <c r="D640" s="40" t="str">
        <f>IF($C640="","",IFERROR(VLOOKUP($C640,Orders!$A$4:$J$998,9,FALSE),""))</f>
        <v/>
      </c>
      <c r="E640" s="40" t="str">
        <f>IF($C640="","",IFERROR(VLOOKUP($C640,Orders!$A$4:$J$998,3,FALSE),""))</f>
        <v/>
      </c>
      <c r="F640" s="40">
        <f t="shared" si="2"/>
        <v>1</v>
      </c>
      <c r="G640" s="40" t="str">
        <f>IF($C640="","",IFERROR(VLOOKUP($C640,Orders!$A$4:$J$998,4,FALSE),""))</f>
        <v/>
      </c>
      <c r="H640" s="40" t="str">
        <f>IF($C640="","",IFERROR(VLOOKUP($C640,Orders!$A$4:$J$998,5,FALSE),""))</f>
        <v/>
      </c>
      <c r="I640" s="40" t="str">
        <f>IF($C640="","",IFERROR(VLOOKUP($C640,Orders!$A$4:$J$998,6,FALSE),""))</f>
        <v/>
      </c>
      <c r="J640" s="40" t="str">
        <f>IF($C640="","",IFERROR(VLOOKUP($C640,Orders!$A$4:$J$998,7,FALSE),""))</f>
        <v/>
      </c>
      <c r="K640" s="40" t="str">
        <f>IF(Bids!$C639="","",Bids!$C639)</f>
        <v/>
      </c>
      <c r="L640" s="40" t="str">
        <f>IF($K640="","",IFERROR(VLOOKUP($K640,Grinders!$A$4:$N$998,2,FALSE),""))</f>
        <v/>
      </c>
      <c r="M640" s="40" t="str">
        <f>IF($K640="","",IFERROR(VLOOKUP($K640,Grinders!$A$4:$N$998,3,FALSE),""))</f>
        <v/>
      </c>
      <c r="N640" s="40" t="str">
        <f>IF($K640="","",IFERROR(VLOOKUP($K640,Grinders!$A$4:$N$998,4,FALSE),""))</f>
        <v/>
      </c>
      <c r="O640" s="40" t="str">
        <f>IF($K640="","",IFERROR(VLOOKUP($K640,Grinders!$A$4:$N$998,5,FALSE),""))</f>
        <v/>
      </c>
      <c r="P640" s="40" t="str">
        <f>IF($K640="","",IF($C$4="",0,COUNTIFS(Assignments!$B$6:$B$1000,$K640,Assignments!$F$6:$F$1000,$C$4,Assignments!$E$6:$E$1000,"Active")))</f>
        <v/>
      </c>
      <c r="Q640" s="40" t="str">
        <f t="shared" si="3"/>
        <v/>
      </c>
      <c r="R640" s="40" t="str">
        <f t="shared" si="4"/>
        <v/>
      </c>
      <c r="S640" s="40" t="str">
        <f>IF($K640="","",IF($C$4="",0,COUNTIFS(Assignments!$B$6:$B$1000,$K640,Assignments!$F$6:$F$1000,$C$4,Assignments!$D$6:$D$1000,"&gt;="&amp;Config!$B$3-7,Assignments!$D$6:$D$1000,"&lt;="&amp;Config!$B$3)))</f>
        <v/>
      </c>
      <c r="T640" s="40" t="str">
        <f>IF($K640="","",IFERROR(VLOOKUP($K640,Grinders!$A$4:$N$998,8,FALSE),""))</f>
        <v/>
      </c>
      <c r="U640" s="40" t="str">
        <f>IFERROR(IF($K640="","",IF($M640="Elite",MAX(50,MIN(100,Config!$B$27*MAX(0,MIN(100,(1-IF($R640="",0,$R640))*100)) + Config!$B$28*MAX(0,MIN(100,(1-MIN(1,IF(Config!$B$30=0,1,$S640/Config!$B$30)))*100)) + Config!$B$29*MAX(0,MIN(100,MIN(1,IF($T640="",0,$T640)/Config!$B$23)*100)))),MIN(100,Config!$B$27*MAX(0,MIN(100,(1-IF($R640="",0,$R640))*100)) + Config!$B$28*MAX(0,MIN(100,(1-MIN(1,IF(Config!$B$30=0,1,$S640/Config!$B$30)))*100)) + Config!$B$29*MAX(0,MIN(100,MIN(1,IF($T640="",0,$T640)/Config!$B$23)*100))))),"")
</f>
        <v/>
      </c>
      <c r="V640" s="40" t="str">
        <f>IF(Bids!$D639="","",Bids!$D639)</f>
        <v/>
      </c>
      <c r="W640" s="40" t="str">
        <f>IF(Bids!$F639="","",Bids!$F639)</f>
        <v/>
      </c>
      <c r="X640" s="40" t="str">
        <f t="shared" si="5"/>
        <v/>
      </c>
      <c r="Y640" s="40" t="str">
        <f>IF($X640="","",IF(Config!$B$17=Config!$B$16,IF($X640&gt;=Config!$B$17,100,0),MAX(0,MIN(100,($X640-Config!$B$16)/(Config!$B$17-Config!$B$16)*100))))</f>
        <v/>
      </c>
      <c r="Z640" s="40">
        <f>IF($M640="Elite",Config!$B$21,0)</f>
        <v>0</v>
      </c>
      <c r="AA640" s="40" t="str">
        <f>IFERROR(IF(OR($W640="",$H640=""),"",IF($W640&gt;$H640,
  MAX(0, 60-(($W640-$H640)*24/Config!$B$19)*60),
  MIN(100, 60+(($H640-$W640)*24/Config!$B$20)*40)
)),"")
</f>
        <v/>
      </c>
      <c r="AB640" s="40" t="str">
        <f>IF($K640="","",IFERROR(VLOOKUP($K640,Grinders!$A$4:$N$998,10,FALSE)/5*100,""))</f>
        <v/>
      </c>
      <c r="AC640" s="40" t="str">
        <f>IF($K640="","",IFERROR(VLOOKUP($K640,Grinders!$A$4:$N$998,11,FALSE)*100,""))</f>
        <v/>
      </c>
      <c r="AD640" s="40" t="str">
        <f>IF($K640="","",IFERROR(VLOOKUP($K640,Grinders!$A$4:$N$998,12,FALSE)*100,""))</f>
        <v/>
      </c>
      <c r="AE640" s="40">
        <f>IFERROR(IFS(
    OR($C640="", $K640=""), 0,
    $F640=0, 0,
    $D640&lt;&gt;"Open", 0,
    COUNTIFS(GrinderServices!$B$4:$B$998, $K640, GrinderServices!$C$4:$C$998, $E640, GrinderServices!$E$4:$E$998, "Y")=0, 0,
    $X640&lt;Config!$B$16, 0,
    Config!$B$18=1, IF($O640&gt;=N640, 0, 1),
    TRUE, 1
), "")
</f>
        <v>0</v>
      </c>
      <c r="AF640" s="40" t="str">
        <f>IFERROR(IF($AE640=0,"",((Config!$B$6*$Y640 + Config!$B$7*$U640 + Config!$B$8*$Z640 + Config!$B$9*$AA640 + Config!$B$10*$AB640 + Config!$B$11*$AC640 - Config!$B$12*$AD640)/Config!$B$13)+$AK640+$AL640),"")</f>
        <v/>
      </c>
      <c r="AG640" s="40" t="str">
        <f t="shared" si="6"/>
        <v/>
      </c>
      <c r="AH640" s="40" t="str">
        <f t="shared" si="7"/>
        <v/>
      </c>
      <c r="AI640" s="40" t="str">
        <f t="shared" si="8"/>
        <v/>
      </c>
      <c r="AJ640" s="40" t="str">
        <f>IF($K640="","",COUNTIF(Assignments!$B$6:$B$1000,$K640))</f>
        <v/>
      </c>
      <c r="AK640" s="40" t="str">
        <f>IF($K640="","",IF(AND($AJ640=0,$O640&lt;$N640),Config!$B$43,0))</f>
        <v/>
      </c>
      <c r="AL640" s="40" t="str">
        <f>IF($K640="","",IF(AND($M640="Elite",$G640&gt;=Config!$B$41,$O640&lt;$N640),Config!$B$42,0))</f>
        <v/>
      </c>
      <c r="AM640" s="22"/>
    </row>
    <row r="641" ht="15.75" customHeight="1">
      <c r="A641" s="40" t="str">
        <f t="shared" si="1"/>
        <v/>
      </c>
      <c r="B641" s="40" t="str">
        <f>IF(Bids!$A640="","",Bids!$A640)</f>
        <v/>
      </c>
      <c r="C641" s="40" t="str">
        <f>IF(Bids!$B640="","",Bids!$B640)</f>
        <v/>
      </c>
      <c r="D641" s="40" t="str">
        <f>IF($C641="","",IFERROR(VLOOKUP($C641,Orders!$A$4:$J$998,9,FALSE),""))</f>
        <v/>
      </c>
      <c r="E641" s="40" t="str">
        <f>IF($C641="","",IFERROR(VLOOKUP($C641,Orders!$A$4:$J$998,3,FALSE),""))</f>
        <v/>
      </c>
      <c r="F641" s="40">
        <f t="shared" si="2"/>
        <v>1</v>
      </c>
      <c r="G641" s="40" t="str">
        <f>IF($C641="","",IFERROR(VLOOKUP($C641,Orders!$A$4:$J$998,4,FALSE),""))</f>
        <v/>
      </c>
      <c r="H641" s="40" t="str">
        <f>IF($C641="","",IFERROR(VLOOKUP($C641,Orders!$A$4:$J$998,5,FALSE),""))</f>
        <v/>
      </c>
      <c r="I641" s="40" t="str">
        <f>IF($C641="","",IFERROR(VLOOKUP($C641,Orders!$A$4:$J$998,6,FALSE),""))</f>
        <v/>
      </c>
      <c r="J641" s="40" t="str">
        <f>IF($C641="","",IFERROR(VLOOKUP($C641,Orders!$A$4:$J$998,7,FALSE),""))</f>
        <v/>
      </c>
      <c r="K641" s="40" t="str">
        <f>IF(Bids!$C640="","",Bids!$C640)</f>
        <v/>
      </c>
      <c r="L641" s="40" t="str">
        <f>IF($K641="","",IFERROR(VLOOKUP($K641,Grinders!$A$4:$N$998,2,FALSE),""))</f>
        <v/>
      </c>
      <c r="M641" s="40" t="str">
        <f>IF($K641="","",IFERROR(VLOOKUP($K641,Grinders!$A$4:$N$998,3,FALSE),""))</f>
        <v/>
      </c>
      <c r="N641" s="40" t="str">
        <f>IF($K641="","",IFERROR(VLOOKUP($K641,Grinders!$A$4:$N$998,4,FALSE),""))</f>
        <v/>
      </c>
      <c r="O641" s="40" t="str">
        <f>IF($K641="","",IFERROR(VLOOKUP($K641,Grinders!$A$4:$N$998,5,FALSE),""))</f>
        <v/>
      </c>
      <c r="P641" s="40" t="str">
        <f>IF($K641="","",IF($C$4="",0,COUNTIFS(Assignments!$B$6:$B$1000,$K641,Assignments!$F$6:$F$1000,$C$4,Assignments!$E$6:$E$1000,"Active")))</f>
        <v/>
      </c>
      <c r="Q641" s="40" t="str">
        <f t="shared" si="3"/>
        <v/>
      </c>
      <c r="R641" s="40" t="str">
        <f t="shared" si="4"/>
        <v/>
      </c>
      <c r="S641" s="40" t="str">
        <f>IF($K641="","",IF($C$4="",0,COUNTIFS(Assignments!$B$6:$B$1000,$K641,Assignments!$F$6:$F$1000,$C$4,Assignments!$D$6:$D$1000,"&gt;="&amp;Config!$B$3-7,Assignments!$D$6:$D$1000,"&lt;="&amp;Config!$B$3)))</f>
        <v/>
      </c>
      <c r="T641" s="40" t="str">
        <f>IF($K641="","",IFERROR(VLOOKUP($K641,Grinders!$A$4:$N$998,8,FALSE),""))</f>
        <v/>
      </c>
      <c r="U641" s="40" t="str">
        <f>IFERROR(IF($K641="","",IF($M641="Elite",MAX(50,MIN(100,Config!$B$27*MAX(0,MIN(100,(1-IF($R641="",0,$R641))*100)) + Config!$B$28*MAX(0,MIN(100,(1-MIN(1,IF(Config!$B$30=0,1,$S641/Config!$B$30)))*100)) + Config!$B$29*MAX(0,MIN(100,MIN(1,IF($T641="",0,$T641)/Config!$B$23)*100)))),MIN(100,Config!$B$27*MAX(0,MIN(100,(1-IF($R641="",0,$R641))*100)) + Config!$B$28*MAX(0,MIN(100,(1-MIN(1,IF(Config!$B$30=0,1,$S641/Config!$B$30)))*100)) + Config!$B$29*MAX(0,MIN(100,MIN(1,IF($T641="",0,$T641)/Config!$B$23)*100))))),"")
</f>
        <v/>
      </c>
      <c r="V641" s="40" t="str">
        <f>IF(Bids!$D640="","",Bids!$D640)</f>
        <v/>
      </c>
      <c r="W641" s="40" t="str">
        <f>IF(Bids!$F640="","",Bids!$F640)</f>
        <v/>
      </c>
      <c r="X641" s="40" t="str">
        <f t="shared" si="5"/>
        <v/>
      </c>
      <c r="Y641" s="40" t="str">
        <f>IF($X641="","",IF(Config!$B$17=Config!$B$16,IF($X641&gt;=Config!$B$17,100,0),MAX(0,MIN(100,($X641-Config!$B$16)/(Config!$B$17-Config!$B$16)*100))))</f>
        <v/>
      </c>
      <c r="Z641" s="40">
        <f>IF($M641="Elite",Config!$B$21,0)</f>
        <v>0</v>
      </c>
      <c r="AA641" s="40" t="str">
        <f>IFERROR(IF(OR($W641="",$H641=""),"",IF($W641&gt;$H641,
  MAX(0, 60-(($W641-$H641)*24/Config!$B$19)*60),
  MIN(100, 60+(($H641-$W641)*24/Config!$B$20)*40)
)),"")
</f>
        <v/>
      </c>
      <c r="AB641" s="40" t="str">
        <f>IF($K641="","",IFERROR(VLOOKUP($K641,Grinders!$A$4:$N$998,10,FALSE)/5*100,""))</f>
        <v/>
      </c>
      <c r="AC641" s="40" t="str">
        <f>IF($K641="","",IFERROR(VLOOKUP($K641,Grinders!$A$4:$N$998,11,FALSE)*100,""))</f>
        <v/>
      </c>
      <c r="AD641" s="40" t="str">
        <f>IF($K641="","",IFERROR(VLOOKUP($K641,Grinders!$A$4:$N$998,12,FALSE)*100,""))</f>
        <v/>
      </c>
      <c r="AE641" s="40">
        <f>IFERROR(IFS(
    OR($C641="", $K641=""), 0,
    $F641=0, 0,
    $D641&lt;&gt;"Open", 0,
    COUNTIFS(GrinderServices!$B$4:$B$998, $K641, GrinderServices!$C$4:$C$998, $E641, GrinderServices!$E$4:$E$998, "Y")=0, 0,
    $X641&lt;Config!$B$16, 0,
    Config!$B$18=1, IF($O641&gt;=N641, 0, 1),
    TRUE, 1
), "")
</f>
        <v>0</v>
      </c>
      <c r="AF641" s="40" t="str">
        <f>IFERROR(IF($AE641=0,"",((Config!$B$6*$Y641 + Config!$B$7*$U641 + Config!$B$8*$Z641 + Config!$B$9*$AA641 + Config!$B$10*$AB641 + Config!$B$11*$AC641 - Config!$B$12*$AD641)/Config!$B$13)+$AK641+$AL641),"")</f>
        <v/>
      </c>
      <c r="AG641" s="40" t="str">
        <f t="shared" si="6"/>
        <v/>
      </c>
      <c r="AH641" s="40" t="str">
        <f t="shared" si="7"/>
        <v/>
      </c>
      <c r="AI641" s="40" t="str">
        <f t="shared" si="8"/>
        <v/>
      </c>
      <c r="AJ641" s="40" t="str">
        <f>IF($K641="","",COUNTIF(Assignments!$B$6:$B$1000,$K641))</f>
        <v/>
      </c>
      <c r="AK641" s="40" t="str">
        <f>IF($K641="","",IF(AND($AJ641=0,$O641&lt;$N641),Config!$B$43,0))</f>
        <v/>
      </c>
      <c r="AL641" s="40" t="str">
        <f>IF($K641="","",IF(AND($M641="Elite",$G641&gt;=Config!$B$41,$O641&lt;$N641),Config!$B$42,0))</f>
        <v/>
      </c>
      <c r="AM641" s="22"/>
    </row>
    <row r="642" ht="15.75" customHeight="1">
      <c r="A642" s="40" t="str">
        <f t="shared" si="1"/>
        <v/>
      </c>
      <c r="B642" s="40" t="str">
        <f>IF(Bids!$A641="","",Bids!$A641)</f>
        <v/>
      </c>
      <c r="C642" s="40" t="str">
        <f>IF(Bids!$B641="","",Bids!$B641)</f>
        <v/>
      </c>
      <c r="D642" s="40" t="str">
        <f>IF($C642="","",IFERROR(VLOOKUP($C642,Orders!$A$4:$J$998,9,FALSE),""))</f>
        <v/>
      </c>
      <c r="E642" s="40" t="str">
        <f>IF($C642="","",IFERROR(VLOOKUP($C642,Orders!$A$4:$J$998,3,FALSE),""))</f>
        <v/>
      </c>
      <c r="F642" s="40">
        <f t="shared" si="2"/>
        <v>1</v>
      </c>
      <c r="G642" s="40" t="str">
        <f>IF($C642="","",IFERROR(VLOOKUP($C642,Orders!$A$4:$J$998,4,FALSE),""))</f>
        <v/>
      </c>
      <c r="H642" s="40" t="str">
        <f>IF($C642="","",IFERROR(VLOOKUP($C642,Orders!$A$4:$J$998,5,FALSE),""))</f>
        <v/>
      </c>
      <c r="I642" s="40" t="str">
        <f>IF($C642="","",IFERROR(VLOOKUP($C642,Orders!$A$4:$J$998,6,FALSE),""))</f>
        <v/>
      </c>
      <c r="J642" s="40" t="str">
        <f>IF($C642="","",IFERROR(VLOOKUP($C642,Orders!$A$4:$J$998,7,FALSE),""))</f>
        <v/>
      </c>
      <c r="K642" s="40" t="str">
        <f>IF(Bids!$C641="","",Bids!$C641)</f>
        <v/>
      </c>
      <c r="L642" s="40" t="str">
        <f>IF($K642="","",IFERROR(VLOOKUP($K642,Grinders!$A$4:$N$998,2,FALSE),""))</f>
        <v/>
      </c>
      <c r="M642" s="40" t="str">
        <f>IF($K642="","",IFERROR(VLOOKUP($K642,Grinders!$A$4:$N$998,3,FALSE),""))</f>
        <v/>
      </c>
      <c r="N642" s="40" t="str">
        <f>IF($K642="","",IFERROR(VLOOKUP($K642,Grinders!$A$4:$N$998,4,FALSE),""))</f>
        <v/>
      </c>
      <c r="O642" s="40" t="str">
        <f>IF($K642="","",IFERROR(VLOOKUP($K642,Grinders!$A$4:$N$998,5,FALSE),""))</f>
        <v/>
      </c>
      <c r="P642" s="40" t="str">
        <f>IF($K642="","",IF($C$4="",0,COUNTIFS(Assignments!$B$6:$B$1000,$K642,Assignments!$F$6:$F$1000,$C$4,Assignments!$E$6:$E$1000,"Active")))</f>
        <v/>
      </c>
      <c r="Q642" s="40" t="str">
        <f t="shared" si="3"/>
        <v/>
      </c>
      <c r="R642" s="40" t="str">
        <f t="shared" si="4"/>
        <v/>
      </c>
      <c r="S642" s="40" t="str">
        <f>IF($K642="","",IF($C$4="",0,COUNTIFS(Assignments!$B$6:$B$1000,$K642,Assignments!$F$6:$F$1000,$C$4,Assignments!$D$6:$D$1000,"&gt;="&amp;Config!$B$3-7,Assignments!$D$6:$D$1000,"&lt;="&amp;Config!$B$3)))</f>
        <v/>
      </c>
      <c r="T642" s="40" t="str">
        <f>IF($K642="","",IFERROR(VLOOKUP($K642,Grinders!$A$4:$N$998,8,FALSE),""))</f>
        <v/>
      </c>
      <c r="U642" s="40" t="str">
        <f>IFERROR(IF($K642="","",IF($M642="Elite",MAX(50,MIN(100,Config!$B$27*MAX(0,MIN(100,(1-IF($R642="",0,$R642))*100)) + Config!$B$28*MAX(0,MIN(100,(1-MIN(1,IF(Config!$B$30=0,1,$S642/Config!$B$30)))*100)) + Config!$B$29*MAX(0,MIN(100,MIN(1,IF($T642="",0,$T642)/Config!$B$23)*100)))),MIN(100,Config!$B$27*MAX(0,MIN(100,(1-IF($R642="",0,$R642))*100)) + Config!$B$28*MAX(0,MIN(100,(1-MIN(1,IF(Config!$B$30=0,1,$S642/Config!$B$30)))*100)) + Config!$B$29*MAX(0,MIN(100,MIN(1,IF($T642="",0,$T642)/Config!$B$23)*100))))),"")
</f>
        <v/>
      </c>
      <c r="V642" s="40" t="str">
        <f>IF(Bids!$D641="","",Bids!$D641)</f>
        <v/>
      </c>
      <c r="W642" s="40" t="str">
        <f>IF(Bids!$F641="","",Bids!$F641)</f>
        <v/>
      </c>
      <c r="X642" s="40" t="str">
        <f t="shared" si="5"/>
        <v/>
      </c>
      <c r="Y642" s="40" t="str">
        <f>IF($X642="","",IF(Config!$B$17=Config!$B$16,IF($X642&gt;=Config!$B$17,100,0),MAX(0,MIN(100,($X642-Config!$B$16)/(Config!$B$17-Config!$B$16)*100))))</f>
        <v/>
      </c>
      <c r="Z642" s="40">
        <f>IF($M642="Elite",Config!$B$21,0)</f>
        <v>0</v>
      </c>
      <c r="AA642" s="40" t="str">
        <f>IFERROR(IF(OR($W642="",$H642=""),"",IF($W642&gt;$H642,
  MAX(0, 60-(($W642-$H642)*24/Config!$B$19)*60),
  MIN(100, 60+(($H642-$W642)*24/Config!$B$20)*40)
)),"")
</f>
        <v/>
      </c>
      <c r="AB642" s="40" t="str">
        <f>IF($K642="","",IFERROR(VLOOKUP($K642,Grinders!$A$4:$N$998,10,FALSE)/5*100,""))</f>
        <v/>
      </c>
      <c r="AC642" s="40" t="str">
        <f>IF($K642="","",IFERROR(VLOOKUP($K642,Grinders!$A$4:$N$998,11,FALSE)*100,""))</f>
        <v/>
      </c>
      <c r="AD642" s="40" t="str">
        <f>IF($K642="","",IFERROR(VLOOKUP($K642,Grinders!$A$4:$N$998,12,FALSE)*100,""))</f>
        <v/>
      </c>
      <c r="AE642" s="40">
        <f>IFERROR(IFS(
    OR($C642="", $K642=""), 0,
    $F642=0, 0,
    $D642&lt;&gt;"Open", 0,
    COUNTIFS(GrinderServices!$B$4:$B$998, $K642, GrinderServices!$C$4:$C$998, $E642, GrinderServices!$E$4:$E$998, "Y")=0, 0,
    $X642&lt;Config!$B$16, 0,
    Config!$B$18=1, IF($O642&gt;=N642, 0, 1),
    TRUE, 1
), "")
</f>
        <v>0</v>
      </c>
      <c r="AF642" s="40" t="str">
        <f>IFERROR(IF($AE642=0,"",((Config!$B$6*$Y642 + Config!$B$7*$U642 + Config!$B$8*$Z642 + Config!$B$9*$AA642 + Config!$B$10*$AB642 + Config!$B$11*$AC642 - Config!$B$12*$AD642)/Config!$B$13)+$AK642+$AL642),"")</f>
        <v/>
      </c>
      <c r="AG642" s="40" t="str">
        <f t="shared" si="6"/>
        <v/>
      </c>
      <c r="AH642" s="40" t="str">
        <f t="shared" si="7"/>
        <v/>
      </c>
      <c r="AI642" s="40" t="str">
        <f t="shared" si="8"/>
        <v/>
      </c>
      <c r="AJ642" s="40" t="str">
        <f>IF($K642="","",COUNTIF(Assignments!$B$6:$B$1000,$K642))</f>
        <v/>
      </c>
      <c r="AK642" s="40" t="str">
        <f>IF($K642="","",IF(AND($AJ642=0,$O642&lt;$N642),Config!$B$43,0))</f>
        <v/>
      </c>
      <c r="AL642" s="40" t="str">
        <f>IF($K642="","",IF(AND($M642="Elite",$G642&gt;=Config!$B$41,$O642&lt;$N642),Config!$B$42,0))</f>
        <v/>
      </c>
      <c r="AM642" s="22"/>
    </row>
    <row r="643" ht="15.75" customHeight="1">
      <c r="A643" s="40" t="str">
        <f t="shared" si="1"/>
        <v/>
      </c>
      <c r="B643" s="40" t="str">
        <f>IF(Bids!$A642="","",Bids!$A642)</f>
        <v/>
      </c>
      <c r="C643" s="40" t="str">
        <f>IF(Bids!$B642="","",Bids!$B642)</f>
        <v/>
      </c>
      <c r="D643" s="40" t="str">
        <f>IF($C643="","",IFERROR(VLOOKUP($C643,Orders!$A$4:$J$998,9,FALSE),""))</f>
        <v/>
      </c>
      <c r="E643" s="40" t="str">
        <f>IF($C643="","",IFERROR(VLOOKUP($C643,Orders!$A$4:$J$998,3,FALSE),""))</f>
        <v/>
      </c>
      <c r="F643" s="40">
        <f t="shared" si="2"/>
        <v>1</v>
      </c>
      <c r="G643" s="40" t="str">
        <f>IF($C643="","",IFERROR(VLOOKUP($C643,Orders!$A$4:$J$998,4,FALSE),""))</f>
        <v/>
      </c>
      <c r="H643" s="40" t="str">
        <f>IF($C643="","",IFERROR(VLOOKUP($C643,Orders!$A$4:$J$998,5,FALSE),""))</f>
        <v/>
      </c>
      <c r="I643" s="40" t="str">
        <f>IF($C643="","",IFERROR(VLOOKUP($C643,Orders!$A$4:$J$998,6,FALSE),""))</f>
        <v/>
      </c>
      <c r="J643" s="40" t="str">
        <f>IF($C643="","",IFERROR(VLOOKUP($C643,Orders!$A$4:$J$998,7,FALSE),""))</f>
        <v/>
      </c>
      <c r="K643" s="40" t="str">
        <f>IF(Bids!$C642="","",Bids!$C642)</f>
        <v/>
      </c>
      <c r="L643" s="40" t="str">
        <f>IF($K643="","",IFERROR(VLOOKUP($K643,Grinders!$A$4:$N$998,2,FALSE),""))</f>
        <v/>
      </c>
      <c r="M643" s="40" t="str">
        <f>IF($K643="","",IFERROR(VLOOKUP($K643,Grinders!$A$4:$N$998,3,FALSE),""))</f>
        <v/>
      </c>
      <c r="N643" s="40" t="str">
        <f>IF($K643="","",IFERROR(VLOOKUP($K643,Grinders!$A$4:$N$998,4,FALSE),""))</f>
        <v/>
      </c>
      <c r="O643" s="40" t="str">
        <f>IF($K643="","",IFERROR(VLOOKUP($K643,Grinders!$A$4:$N$998,5,FALSE),""))</f>
        <v/>
      </c>
      <c r="P643" s="40" t="str">
        <f>IF($K643="","",IF($C$4="",0,COUNTIFS(Assignments!$B$6:$B$1000,$K643,Assignments!$F$6:$F$1000,$C$4,Assignments!$E$6:$E$1000,"Active")))</f>
        <v/>
      </c>
      <c r="Q643" s="40" t="str">
        <f t="shared" si="3"/>
        <v/>
      </c>
      <c r="R643" s="40" t="str">
        <f t="shared" si="4"/>
        <v/>
      </c>
      <c r="S643" s="40" t="str">
        <f>IF($K643="","",IF($C$4="",0,COUNTIFS(Assignments!$B$6:$B$1000,$K643,Assignments!$F$6:$F$1000,$C$4,Assignments!$D$6:$D$1000,"&gt;="&amp;Config!$B$3-7,Assignments!$D$6:$D$1000,"&lt;="&amp;Config!$B$3)))</f>
        <v/>
      </c>
      <c r="T643" s="40" t="str">
        <f>IF($K643="","",IFERROR(VLOOKUP($K643,Grinders!$A$4:$N$998,8,FALSE),""))</f>
        <v/>
      </c>
      <c r="U643" s="40" t="str">
        <f>IFERROR(IF($K643="","",IF($M643="Elite",MAX(50,MIN(100,Config!$B$27*MAX(0,MIN(100,(1-IF($R643="",0,$R643))*100)) + Config!$B$28*MAX(0,MIN(100,(1-MIN(1,IF(Config!$B$30=0,1,$S643/Config!$B$30)))*100)) + Config!$B$29*MAX(0,MIN(100,MIN(1,IF($T643="",0,$T643)/Config!$B$23)*100)))),MIN(100,Config!$B$27*MAX(0,MIN(100,(1-IF($R643="",0,$R643))*100)) + Config!$B$28*MAX(0,MIN(100,(1-MIN(1,IF(Config!$B$30=0,1,$S643/Config!$B$30)))*100)) + Config!$B$29*MAX(0,MIN(100,MIN(1,IF($T643="",0,$T643)/Config!$B$23)*100))))),"")
</f>
        <v/>
      </c>
      <c r="V643" s="40" t="str">
        <f>IF(Bids!$D642="","",Bids!$D642)</f>
        <v/>
      </c>
      <c r="W643" s="40" t="str">
        <f>IF(Bids!$F642="","",Bids!$F642)</f>
        <v/>
      </c>
      <c r="X643" s="40" t="str">
        <f t="shared" si="5"/>
        <v/>
      </c>
      <c r="Y643" s="40" t="str">
        <f>IF($X643="","",IF(Config!$B$17=Config!$B$16,IF($X643&gt;=Config!$B$17,100,0),MAX(0,MIN(100,($X643-Config!$B$16)/(Config!$B$17-Config!$B$16)*100))))</f>
        <v/>
      </c>
      <c r="Z643" s="40">
        <f>IF($M643="Elite",Config!$B$21,0)</f>
        <v>0</v>
      </c>
      <c r="AA643" s="40" t="str">
        <f>IFERROR(IF(OR($W643="",$H643=""),"",IF($W643&gt;$H643,
  MAX(0, 60-(($W643-$H643)*24/Config!$B$19)*60),
  MIN(100, 60+(($H643-$W643)*24/Config!$B$20)*40)
)),"")
</f>
        <v/>
      </c>
      <c r="AB643" s="40" t="str">
        <f>IF($K643="","",IFERROR(VLOOKUP($K643,Grinders!$A$4:$N$998,10,FALSE)/5*100,""))</f>
        <v/>
      </c>
      <c r="AC643" s="40" t="str">
        <f>IF($K643="","",IFERROR(VLOOKUP($K643,Grinders!$A$4:$N$998,11,FALSE)*100,""))</f>
        <v/>
      </c>
      <c r="AD643" s="40" t="str">
        <f>IF($K643="","",IFERROR(VLOOKUP($K643,Grinders!$A$4:$N$998,12,FALSE)*100,""))</f>
        <v/>
      </c>
      <c r="AE643" s="40">
        <f>IFERROR(IFS(
    OR($C643="", $K643=""), 0,
    $F643=0, 0,
    $D643&lt;&gt;"Open", 0,
    COUNTIFS(GrinderServices!$B$4:$B$998, $K643, GrinderServices!$C$4:$C$998, $E643, GrinderServices!$E$4:$E$998, "Y")=0, 0,
    $X643&lt;Config!$B$16, 0,
    Config!$B$18=1, IF($O643&gt;=N643, 0, 1),
    TRUE, 1
), "")
</f>
        <v>0</v>
      </c>
      <c r="AF643" s="40" t="str">
        <f>IFERROR(IF($AE643=0,"",((Config!$B$6*$Y643 + Config!$B$7*$U643 + Config!$B$8*$Z643 + Config!$B$9*$AA643 + Config!$B$10*$AB643 + Config!$B$11*$AC643 - Config!$B$12*$AD643)/Config!$B$13)+$AK643+$AL643),"")</f>
        <v/>
      </c>
      <c r="AG643" s="40" t="str">
        <f t="shared" si="6"/>
        <v/>
      </c>
      <c r="AH643" s="40" t="str">
        <f t="shared" si="7"/>
        <v/>
      </c>
      <c r="AI643" s="40" t="str">
        <f t="shared" si="8"/>
        <v/>
      </c>
      <c r="AJ643" s="40" t="str">
        <f>IF($K643="","",COUNTIF(Assignments!$B$6:$B$1000,$K643))</f>
        <v/>
      </c>
      <c r="AK643" s="40" t="str">
        <f>IF($K643="","",IF(AND($AJ643=0,$O643&lt;$N643),Config!$B$43,0))</f>
        <v/>
      </c>
      <c r="AL643" s="40" t="str">
        <f>IF($K643="","",IF(AND($M643="Elite",$G643&gt;=Config!$B$41,$O643&lt;$N643),Config!$B$42,0))</f>
        <v/>
      </c>
      <c r="AM643" s="22"/>
    </row>
    <row r="644" ht="15.75" customHeight="1">
      <c r="A644" s="40" t="str">
        <f t="shared" si="1"/>
        <v/>
      </c>
      <c r="B644" s="40" t="str">
        <f>IF(Bids!$A643="","",Bids!$A643)</f>
        <v/>
      </c>
      <c r="C644" s="40" t="str">
        <f>IF(Bids!$B643="","",Bids!$B643)</f>
        <v/>
      </c>
      <c r="D644" s="40" t="str">
        <f>IF($C644="","",IFERROR(VLOOKUP($C644,Orders!$A$4:$J$998,9,FALSE),""))</f>
        <v/>
      </c>
      <c r="E644" s="40" t="str">
        <f>IF($C644="","",IFERROR(VLOOKUP($C644,Orders!$A$4:$J$998,3,FALSE),""))</f>
        <v/>
      </c>
      <c r="F644" s="40">
        <f t="shared" si="2"/>
        <v>1</v>
      </c>
      <c r="G644" s="40" t="str">
        <f>IF($C644="","",IFERROR(VLOOKUP($C644,Orders!$A$4:$J$998,4,FALSE),""))</f>
        <v/>
      </c>
      <c r="H644" s="40" t="str">
        <f>IF($C644="","",IFERROR(VLOOKUP($C644,Orders!$A$4:$J$998,5,FALSE),""))</f>
        <v/>
      </c>
      <c r="I644" s="40" t="str">
        <f>IF($C644="","",IFERROR(VLOOKUP($C644,Orders!$A$4:$J$998,6,FALSE),""))</f>
        <v/>
      </c>
      <c r="J644" s="40" t="str">
        <f>IF($C644="","",IFERROR(VLOOKUP($C644,Orders!$A$4:$J$998,7,FALSE),""))</f>
        <v/>
      </c>
      <c r="K644" s="40" t="str">
        <f>IF(Bids!$C643="","",Bids!$C643)</f>
        <v/>
      </c>
      <c r="L644" s="40" t="str">
        <f>IF($K644="","",IFERROR(VLOOKUP($K644,Grinders!$A$4:$N$998,2,FALSE),""))</f>
        <v/>
      </c>
      <c r="M644" s="40" t="str">
        <f>IF($K644="","",IFERROR(VLOOKUP($K644,Grinders!$A$4:$N$998,3,FALSE),""))</f>
        <v/>
      </c>
      <c r="N644" s="40" t="str">
        <f>IF($K644="","",IFERROR(VLOOKUP($K644,Grinders!$A$4:$N$998,4,FALSE),""))</f>
        <v/>
      </c>
      <c r="O644" s="40" t="str">
        <f>IF($K644="","",IFERROR(VLOOKUP($K644,Grinders!$A$4:$N$998,5,FALSE),""))</f>
        <v/>
      </c>
      <c r="P644" s="40" t="str">
        <f>IF($K644="","",IF($C$4="",0,COUNTIFS(Assignments!$B$6:$B$1000,$K644,Assignments!$F$6:$F$1000,$C$4,Assignments!$E$6:$E$1000,"Active")))</f>
        <v/>
      </c>
      <c r="Q644" s="40" t="str">
        <f t="shared" si="3"/>
        <v/>
      </c>
      <c r="R644" s="40" t="str">
        <f t="shared" si="4"/>
        <v/>
      </c>
      <c r="S644" s="40" t="str">
        <f>IF($K644="","",IF($C$4="",0,COUNTIFS(Assignments!$B$6:$B$1000,$K644,Assignments!$F$6:$F$1000,$C$4,Assignments!$D$6:$D$1000,"&gt;="&amp;Config!$B$3-7,Assignments!$D$6:$D$1000,"&lt;="&amp;Config!$B$3)))</f>
        <v/>
      </c>
      <c r="T644" s="40" t="str">
        <f>IF($K644="","",IFERROR(VLOOKUP($K644,Grinders!$A$4:$N$998,8,FALSE),""))</f>
        <v/>
      </c>
      <c r="U644" s="40" t="str">
        <f>IFERROR(IF($K644="","",IF($M644="Elite",MAX(50,MIN(100,Config!$B$27*MAX(0,MIN(100,(1-IF($R644="",0,$R644))*100)) + Config!$B$28*MAX(0,MIN(100,(1-MIN(1,IF(Config!$B$30=0,1,$S644/Config!$B$30)))*100)) + Config!$B$29*MAX(0,MIN(100,MIN(1,IF($T644="",0,$T644)/Config!$B$23)*100)))),MIN(100,Config!$B$27*MAX(0,MIN(100,(1-IF($R644="",0,$R644))*100)) + Config!$B$28*MAX(0,MIN(100,(1-MIN(1,IF(Config!$B$30=0,1,$S644/Config!$B$30)))*100)) + Config!$B$29*MAX(0,MIN(100,MIN(1,IF($T644="",0,$T644)/Config!$B$23)*100))))),"")
</f>
        <v/>
      </c>
      <c r="V644" s="40" t="str">
        <f>IF(Bids!$D643="","",Bids!$D643)</f>
        <v/>
      </c>
      <c r="W644" s="40" t="str">
        <f>IF(Bids!$F643="","",Bids!$F643)</f>
        <v/>
      </c>
      <c r="X644" s="40" t="str">
        <f t="shared" si="5"/>
        <v/>
      </c>
      <c r="Y644" s="40" t="str">
        <f>IF($X644="","",IF(Config!$B$17=Config!$B$16,IF($X644&gt;=Config!$B$17,100,0),MAX(0,MIN(100,($X644-Config!$B$16)/(Config!$B$17-Config!$B$16)*100))))</f>
        <v/>
      </c>
      <c r="Z644" s="40">
        <f>IF($M644="Elite",Config!$B$21,0)</f>
        <v>0</v>
      </c>
      <c r="AA644" s="40" t="str">
        <f>IFERROR(IF(OR($W644="",$H644=""),"",IF($W644&gt;$H644,
  MAX(0, 60-(($W644-$H644)*24/Config!$B$19)*60),
  MIN(100, 60+(($H644-$W644)*24/Config!$B$20)*40)
)),"")
</f>
        <v/>
      </c>
      <c r="AB644" s="40" t="str">
        <f>IF($K644="","",IFERROR(VLOOKUP($K644,Grinders!$A$4:$N$998,10,FALSE)/5*100,""))</f>
        <v/>
      </c>
      <c r="AC644" s="40" t="str">
        <f>IF($K644="","",IFERROR(VLOOKUP($K644,Grinders!$A$4:$N$998,11,FALSE)*100,""))</f>
        <v/>
      </c>
      <c r="AD644" s="40" t="str">
        <f>IF($K644="","",IFERROR(VLOOKUP($K644,Grinders!$A$4:$N$998,12,FALSE)*100,""))</f>
        <v/>
      </c>
      <c r="AE644" s="40">
        <f>IFERROR(IFS(
    OR($C644="", $K644=""), 0,
    $F644=0, 0,
    $D644&lt;&gt;"Open", 0,
    COUNTIFS(GrinderServices!$B$4:$B$998, $K644, GrinderServices!$C$4:$C$998, $E644, GrinderServices!$E$4:$E$998, "Y")=0, 0,
    $X644&lt;Config!$B$16, 0,
    Config!$B$18=1, IF($O644&gt;=N644, 0, 1),
    TRUE, 1
), "")
</f>
        <v>0</v>
      </c>
      <c r="AF644" s="40" t="str">
        <f>IFERROR(IF($AE644=0,"",((Config!$B$6*$Y644 + Config!$B$7*$U644 + Config!$B$8*$Z644 + Config!$B$9*$AA644 + Config!$B$10*$AB644 + Config!$B$11*$AC644 - Config!$B$12*$AD644)/Config!$B$13)+$AK644+$AL644),"")</f>
        <v/>
      </c>
      <c r="AG644" s="40" t="str">
        <f t="shared" si="6"/>
        <v/>
      </c>
      <c r="AH644" s="40" t="str">
        <f t="shared" si="7"/>
        <v/>
      </c>
      <c r="AI644" s="40" t="str">
        <f t="shared" si="8"/>
        <v/>
      </c>
      <c r="AJ644" s="40" t="str">
        <f>IF($K644="","",COUNTIF(Assignments!$B$6:$B$1000,$K644))</f>
        <v/>
      </c>
      <c r="AK644" s="40" t="str">
        <f>IF($K644="","",IF(AND($AJ644=0,$O644&lt;$N644),Config!$B$43,0))</f>
        <v/>
      </c>
      <c r="AL644" s="40" t="str">
        <f>IF($K644="","",IF(AND($M644="Elite",$G644&gt;=Config!$B$41,$O644&lt;$N644),Config!$B$42,0))</f>
        <v/>
      </c>
      <c r="AM644" s="22"/>
    </row>
    <row r="645" ht="15.75" customHeight="1">
      <c r="A645" s="40" t="str">
        <f t="shared" si="1"/>
        <v/>
      </c>
      <c r="B645" s="40" t="str">
        <f>IF(Bids!$A644="","",Bids!$A644)</f>
        <v/>
      </c>
      <c r="C645" s="40" t="str">
        <f>IF(Bids!$B644="","",Bids!$B644)</f>
        <v/>
      </c>
      <c r="D645" s="40" t="str">
        <f>IF($C645="","",IFERROR(VLOOKUP($C645,Orders!$A$4:$J$998,9,FALSE),""))</f>
        <v/>
      </c>
      <c r="E645" s="40" t="str">
        <f>IF($C645="","",IFERROR(VLOOKUP($C645,Orders!$A$4:$J$998,3,FALSE),""))</f>
        <v/>
      </c>
      <c r="F645" s="40">
        <f t="shared" si="2"/>
        <v>1</v>
      </c>
      <c r="G645" s="40" t="str">
        <f>IF($C645="","",IFERROR(VLOOKUP($C645,Orders!$A$4:$J$998,4,FALSE),""))</f>
        <v/>
      </c>
      <c r="H645" s="40" t="str">
        <f>IF($C645="","",IFERROR(VLOOKUP($C645,Orders!$A$4:$J$998,5,FALSE),""))</f>
        <v/>
      </c>
      <c r="I645" s="40" t="str">
        <f>IF($C645="","",IFERROR(VLOOKUP($C645,Orders!$A$4:$J$998,6,FALSE),""))</f>
        <v/>
      </c>
      <c r="J645" s="40" t="str">
        <f>IF($C645="","",IFERROR(VLOOKUP($C645,Orders!$A$4:$J$998,7,FALSE),""))</f>
        <v/>
      </c>
      <c r="K645" s="40" t="str">
        <f>IF(Bids!$C644="","",Bids!$C644)</f>
        <v/>
      </c>
      <c r="L645" s="40" t="str">
        <f>IF($K645="","",IFERROR(VLOOKUP($K645,Grinders!$A$4:$N$998,2,FALSE),""))</f>
        <v/>
      </c>
      <c r="M645" s="40" t="str">
        <f>IF($K645="","",IFERROR(VLOOKUP($K645,Grinders!$A$4:$N$998,3,FALSE),""))</f>
        <v/>
      </c>
      <c r="N645" s="40" t="str">
        <f>IF($K645="","",IFERROR(VLOOKUP($K645,Grinders!$A$4:$N$998,4,FALSE),""))</f>
        <v/>
      </c>
      <c r="O645" s="40" t="str">
        <f>IF($K645="","",IFERROR(VLOOKUP($K645,Grinders!$A$4:$N$998,5,FALSE),""))</f>
        <v/>
      </c>
      <c r="P645" s="40" t="str">
        <f>IF($K645="","",IF($C$4="",0,COUNTIFS(Assignments!$B$6:$B$1000,$K645,Assignments!$F$6:$F$1000,$C$4,Assignments!$E$6:$E$1000,"Active")))</f>
        <v/>
      </c>
      <c r="Q645" s="40" t="str">
        <f t="shared" si="3"/>
        <v/>
      </c>
      <c r="R645" s="40" t="str">
        <f t="shared" si="4"/>
        <v/>
      </c>
      <c r="S645" s="40" t="str">
        <f>IF($K645="","",IF($C$4="",0,COUNTIFS(Assignments!$B$6:$B$1000,$K645,Assignments!$F$6:$F$1000,$C$4,Assignments!$D$6:$D$1000,"&gt;="&amp;Config!$B$3-7,Assignments!$D$6:$D$1000,"&lt;="&amp;Config!$B$3)))</f>
        <v/>
      </c>
      <c r="T645" s="40" t="str">
        <f>IF($K645="","",IFERROR(VLOOKUP($K645,Grinders!$A$4:$N$998,8,FALSE),""))</f>
        <v/>
      </c>
      <c r="U645" s="40" t="str">
        <f>IFERROR(IF($K645="","",IF($M645="Elite",MAX(50,MIN(100,Config!$B$27*MAX(0,MIN(100,(1-IF($R645="",0,$R645))*100)) + Config!$B$28*MAX(0,MIN(100,(1-MIN(1,IF(Config!$B$30=0,1,$S645/Config!$B$30)))*100)) + Config!$B$29*MAX(0,MIN(100,MIN(1,IF($T645="",0,$T645)/Config!$B$23)*100)))),MIN(100,Config!$B$27*MAX(0,MIN(100,(1-IF($R645="",0,$R645))*100)) + Config!$B$28*MAX(0,MIN(100,(1-MIN(1,IF(Config!$B$30=0,1,$S645/Config!$B$30)))*100)) + Config!$B$29*MAX(0,MIN(100,MIN(1,IF($T645="",0,$T645)/Config!$B$23)*100))))),"")
</f>
        <v/>
      </c>
      <c r="V645" s="40" t="str">
        <f>IF(Bids!$D644="","",Bids!$D644)</f>
        <v/>
      </c>
      <c r="W645" s="40" t="str">
        <f>IF(Bids!$F644="","",Bids!$F644)</f>
        <v/>
      </c>
      <c r="X645" s="40" t="str">
        <f t="shared" si="5"/>
        <v/>
      </c>
      <c r="Y645" s="40" t="str">
        <f>IF($X645="","",IF(Config!$B$17=Config!$B$16,IF($X645&gt;=Config!$B$17,100,0),MAX(0,MIN(100,($X645-Config!$B$16)/(Config!$B$17-Config!$B$16)*100))))</f>
        <v/>
      </c>
      <c r="Z645" s="40">
        <f>IF($M645="Elite",Config!$B$21,0)</f>
        <v>0</v>
      </c>
      <c r="AA645" s="40" t="str">
        <f>IFERROR(IF(OR($W645="",$H645=""),"",IF($W645&gt;$H645,
  MAX(0, 60-(($W645-$H645)*24/Config!$B$19)*60),
  MIN(100, 60+(($H645-$W645)*24/Config!$B$20)*40)
)),"")
</f>
        <v/>
      </c>
      <c r="AB645" s="40" t="str">
        <f>IF($K645="","",IFERROR(VLOOKUP($K645,Grinders!$A$4:$N$998,10,FALSE)/5*100,""))</f>
        <v/>
      </c>
      <c r="AC645" s="40" t="str">
        <f>IF($K645="","",IFERROR(VLOOKUP($K645,Grinders!$A$4:$N$998,11,FALSE)*100,""))</f>
        <v/>
      </c>
      <c r="AD645" s="40" t="str">
        <f>IF($K645="","",IFERROR(VLOOKUP($K645,Grinders!$A$4:$N$998,12,FALSE)*100,""))</f>
        <v/>
      </c>
      <c r="AE645" s="40">
        <f>IFERROR(IFS(
    OR($C645="", $K645=""), 0,
    $F645=0, 0,
    $D645&lt;&gt;"Open", 0,
    COUNTIFS(GrinderServices!$B$4:$B$998, $K645, GrinderServices!$C$4:$C$998, $E645, GrinderServices!$E$4:$E$998, "Y")=0, 0,
    $X645&lt;Config!$B$16, 0,
    Config!$B$18=1, IF($O645&gt;=N645, 0, 1),
    TRUE, 1
), "")
</f>
        <v>0</v>
      </c>
      <c r="AF645" s="40" t="str">
        <f>IFERROR(IF($AE645=0,"",((Config!$B$6*$Y645 + Config!$B$7*$U645 + Config!$B$8*$Z645 + Config!$B$9*$AA645 + Config!$B$10*$AB645 + Config!$B$11*$AC645 - Config!$B$12*$AD645)/Config!$B$13)+$AK645+$AL645),"")</f>
        <v/>
      </c>
      <c r="AG645" s="40" t="str">
        <f t="shared" si="6"/>
        <v/>
      </c>
      <c r="AH645" s="40" t="str">
        <f t="shared" si="7"/>
        <v/>
      </c>
      <c r="AI645" s="40" t="str">
        <f t="shared" si="8"/>
        <v/>
      </c>
      <c r="AJ645" s="40" t="str">
        <f>IF($K645="","",COUNTIF(Assignments!$B$6:$B$1000,$K645))</f>
        <v/>
      </c>
      <c r="AK645" s="40" t="str">
        <f>IF($K645="","",IF(AND($AJ645=0,$O645&lt;$N645),Config!$B$43,0))</f>
        <v/>
      </c>
      <c r="AL645" s="40" t="str">
        <f>IF($K645="","",IF(AND($M645="Elite",$G645&gt;=Config!$B$41,$O645&lt;$N645),Config!$B$42,0))</f>
        <v/>
      </c>
      <c r="AM645" s="22"/>
    </row>
    <row r="646" ht="15.75" customHeight="1">
      <c r="A646" s="40" t="str">
        <f t="shared" si="1"/>
        <v/>
      </c>
      <c r="B646" s="40" t="str">
        <f>IF(Bids!$A645="","",Bids!$A645)</f>
        <v/>
      </c>
      <c r="C646" s="40" t="str">
        <f>IF(Bids!$B645="","",Bids!$B645)</f>
        <v/>
      </c>
      <c r="D646" s="40" t="str">
        <f>IF($C646="","",IFERROR(VLOOKUP($C646,Orders!$A$4:$J$998,9,FALSE),""))</f>
        <v/>
      </c>
      <c r="E646" s="40" t="str">
        <f>IF($C646="","",IFERROR(VLOOKUP($C646,Orders!$A$4:$J$998,3,FALSE),""))</f>
        <v/>
      </c>
      <c r="F646" s="40">
        <f t="shared" si="2"/>
        <v>1</v>
      </c>
      <c r="G646" s="40" t="str">
        <f>IF($C646="","",IFERROR(VLOOKUP($C646,Orders!$A$4:$J$998,4,FALSE),""))</f>
        <v/>
      </c>
      <c r="H646" s="40" t="str">
        <f>IF($C646="","",IFERROR(VLOOKUP($C646,Orders!$A$4:$J$998,5,FALSE),""))</f>
        <v/>
      </c>
      <c r="I646" s="40" t="str">
        <f>IF($C646="","",IFERROR(VLOOKUP($C646,Orders!$A$4:$J$998,6,FALSE),""))</f>
        <v/>
      </c>
      <c r="J646" s="40" t="str">
        <f>IF($C646="","",IFERROR(VLOOKUP($C646,Orders!$A$4:$J$998,7,FALSE),""))</f>
        <v/>
      </c>
      <c r="K646" s="40" t="str">
        <f>IF(Bids!$C645="","",Bids!$C645)</f>
        <v/>
      </c>
      <c r="L646" s="40" t="str">
        <f>IF($K646="","",IFERROR(VLOOKUP($K646,Grinders!$A$4:$N$998,2,FALSE),""))</f>
        <v/>
      </c>
      <c r="M646" s="40" t="str">
        <f>IF($K646="","",IFERROR(VLOOKUP($K646,Grinders!$A$4:$N$998,3,FALSE),""))</f>
        <v/>
      </c>
      <c r="N646" s="40" t="str">
        <f>IF($K646="","",IFERROR(VLOOKUP($K646,Grinders!$A$4:$N$998,4,FALSE),""))</f>
        <v/>
      </c>
      <c r="O646" s="40" t="str">
        <f>IF($K646="","",IFERROR(VLOOKUP($K646,Grinders!$A$4:$N$998,5,FALSE),""))</f>
        <v/>
      </c>
      <c r="P646" s="40" t="str">
        <f>IF($K646="","",IF($C$4="",0,COUNTIFS(Assignments!$B$6:$B$1000,$K646,Assignments!$F$6:$F$1000,$C$4,Assignments!$E$6:$E$1000,"Active")))</f>
        <v/>
      </c>
      <c r="Q646" s="40" t="str">
        <f t="shared" si="3"/>
        <v/>
      </c>
      <c r="R646" s="40" t="str">
        <f t="shared" si="4"/>
        <v/>
      </c>
      <c r="S646" s="40" t="str">
        <f>IF($K646="","",IF($C$4="",0,COUNTIFS(Assignments!$B$6:$B$1000,$K646,Assignments!$F$6:$F$1000,$C$4,Assignments!$D$6:$D$1000,"&gt;="&amp;Config!$B$3-7,Assignments!$D$6:$D$1000,"&lt;="&amp;Config!$B$3)))</f>
        <v/>
      </c>
      <c r="T646" s="40" t="str">
        <f>IF($K646="","",IFERROR(VLOOKUP($K646,Grinders!$A$4:$N$998,8,FALSE),""))</f>
        <v/>
      </c>
      <c r="U646" s="40" t="str">
        <f>IFERROR(IF($K646="","",IF($M646="Elite",MAX(50,MIN(100,Config!$B$27*MAX(0,MIN(100,(1-IF($R646="",0,$R646))*100)) + Config!$B$28*MAX(0,MIN(100,(1-MIN(1,IF(Config!$B$30=0,1,$S646/Config!$B$30)))*100)) + Config!$B$29*MAX(0,MIN(100,MIN(1,IF($T646="",0,$T646)/Config!$B$23)*100)))),MIN(100,Config!$B$27*MAX(0,MIN(100,(1-IF($R646="",0,$R646))*100)) + Config!$B$28*MAX(0,MIN(100,(1-MIN(1,IF(Config!$B$30=0,1,$S646/Config!$B$30)))*100)) + Config!$B$29*MAX(0,MIN(100,MIN(1,IF($T646="",0,$T646)/Config!$B$23)*100))))),"")
</f>
        <v/>
      </c>
      <c r="V646" s="40" t="str">
        <f>IF(Bids!$D645="","",Bids!$D645)</f>
        <v/>
      </c>
      <c r="W646" s="40" t="str">
        <f>IF(Bids!$F645="","",Bids!$F645)</f>
        <v/>
      </c>
      <c r="X646" s="40" t="str">
        <f t="shared" si="5"/>
        <v/>
      </c>
      <c r="Y646" s="40" t="str">
        <f>IF($X646="","",IF(Config!$B$17=Config!$B$16,IF($X646&gt;=Config!$B$17,100,0),MAX(0,MIN(100,($X646-Config!$B$16)/(Config!$B$17-Config!$B$16)*100))))</f>
        <v/>
      </c>
      <c r="Z646" s="40">
        <f>IF($M646="Elite",Config!$B$21,0)</f>
        <v>0</v>
      </c>
      <c r="AA646" s="40" t="str">
        <f>IFERROR(IF(OR($W646="",$H646=""),"",IF($W646&gt;$H646,
  MAX(0, 60-(($W646-$H646)*24/Config!$B$19)*60),
  MIN(100, 60+(($H646-$W646)*24/Config!$B$20)*40)
)),"")
</f>
        <v/>
      </c>
      <c r="AB646" s="40" t="str">
        <f>IF($K646="","",IFERROR(VLOOKUP($K646,Grinders!$A$4:$N$998,10,FALSE)/5*100,""))</f>
        <v/>
      </c>
      <c r="AC646" s="40" t="str">
        <f>IF($K646="","",IFERROR(VLOOKUP($K646,Grinders!$A$4:$N$998,11,FALSE)*100,""))</f>
        <v/>
      </c>
      <c r="AD646" s="40" t="str">
        <f>IF($K646="","",IFERROR(VLOOKUP($K646,Grinders!$A$4:$N$998,12,FALSE)*100,""))</f>
        <v/>
      </c>
      <c r="AE646" s="40">
        <f>IFERROR(IFS(
    OR($C646="", $K646=""), 0,
    $F646=0, 0,
    $D646&lt;&gt;"Open", 0,
    COUNTIFS(GrinderServices!$B$4:$B$998, $K646, GrinderServices!$C$4:$C$998, $E646, GrinderServices!$E$4:$E$998, "Y")=0, 0,
    $X646&lt;Config!$B$16, 0,
    Config!$B$18=1, IF($O646&gt;=N646, 0, 1),
    TRUE, 1
), "")
</f>
        <v>0</v>
      </c>
      <c r="AF646" s="40" t="str">
        <f>IFERROR(IF($AE646=0,"",((Config!$B$6*$Y646 + Config!$B$7*$U646 + Config!$B$8*$Z646 + Config!$B$9*$AA646 + Config!$B$10*$AB646 + Config!$B$11*$AC646 - Config!$B$12*$AD646)/Config!$B$13)+$AK646+$AL646),"")</f>
        <v/>
      </c>
      <c r="AG646" s="40" t="str">
        <f t="shared" si="6"/>
        <v/>
      </c>
      <c r="AH646" s="40" t="str">
        <f t="shared" si="7"/>
        <v/>
      </c>
      <c r="AI646" s="40" t="str">
        <f t="shared" si="8"/>
        <v/>
      </c>
      <c r="AJ646" s="40" t="str">
        <f>IF($K646="","",COUNTIF(Assignments!$B$6:$B$1000,$K646))</f>
        <v/>
      </c>
      <c r="AK646" s="40" t="str">
        <f>IF($K646="","",IF(AND($AJ646=0,$O646&lt;$N646),Config!$B$43,0))</f>
        <v/>
      </c>
      <c r="AL646" s="40" t="str">
        <f>IF($K646="","",IF(AND($M646="Elite",$G646&gt;=Config!$B$41,$O646&lt;$N646),Config!$B$42,0))</f>
        <v/>
      </c>
      <c r="AM646" s="22"/>
    </row>
    <row r="647" ht="15.75" customHeight="1">
      <c r="A647" s="40" t="str">
        <f t="shared" si="1"/>
        <v/>
      </c>
      <c r="B647" s="40" t="str">
        <f>IF(Bids!$A646="","",Bids!$A646)</f>
        <v/>
      </c>
      <c r="C647" s="40" t="str">
        <f>IF(Bids!$B646="","",Bids!$B646)</f>
        <v/>
      </c>
      <c r="D647" s="40" t="str">
        <f>IF($C647="","",IFERROR(VLOOKUP($C647,Orders!$A$4:$J$998,9,FALSE),""))</f>
        <v/>
      </c>
      <c r="E647" s="40" t="str">
        <f>IF($C647="","",IFERROR(VLOOKUP($C647,Orders!$A$4:$J$998,3,FALSE),""))</f>
        <v/>
      </c>
      <c r="F647" s="40">
        <f t="shared" si="2"/>
        <v>1</v>
      </c>
      <c r="G647" s="40" t="str">
        <f>IF($C647="","",IFERROR(VLOOKUP($C647,Orders!$A$4:$J$998,4,FALSE),""))</f>
        <v/>
      </c>
      <c r="H647" s="40" t="str">
        <f>IF($C647="","",IFERROR(VLOOKUP($C647,Orders!$A$4:$J$998,5,FALSE),""))</f>
        <v/>
      </c>
      <c r="I647" s="40" t="str">
        <f>IF($C647="","",IFERROR(VLOOKUP($C647,Orders!$A$4:$J$998,6,FALSE),""))</f>
        <v/>
      </c>
      <c r="J647" s="40" t="str">
        <f>IF($C647="","",IFERROR(VLOOKUP($C647,Orders!$A$4:$J$998,7,FALSE),""))</f>
        <v/>
      </c>
      <c r="K647" s="40" t="str">
        <f>IF(Bids!$C646="","",Bids!$C646)</f>
        <v/>
      </c>
      <c r="L647" s="40" t="str">
        <f>IF($K647="","",IFERROR(VLOOKUP($K647,Grinders!$A$4:$N$998,2,FALSE),""))</f>
        <v/>
      </c>
      <c r="M647" s="40" t="str">
        <f>IF($K647="","",IFERROR(VLOOKUP($K647,Grinders!$A$4:$N$998,3,FALSE),""))</f>
        <v/>
      </c>
      <c r="N647" s="40" t="str">
        <f>IF($K647="","",IFERROR(VLOOKUP($K647,Grinders!$A$4:$N$998,4,FALSE),""))</f>
        <v/>
      </c>
      <c r="O647" s="40" t="str">
        <f>IF($K647="","",IFERROR(VLOOKUP($K647,Grinders!$A$4:$N$998,5,FALSE),""))</f>
        <v/>
      </c>
      <c r="P647" s="40" t="str">
        <f>IF($K647="","",IF($C$4="",0,COUNTIFS(Assignments!$B$6:$B$1000,$K647,Assignments!$F$6:$F$1000,$C$4,Assignments!$E$6:$E$1000,"Active")))</f>
        <v/>
      </c>
      <c r="Q647" s="40" t="str">
        <f t="shared" si="3"/>
        <v/>
      </c>
      <c r="R647" s="40" t="str">
        <f t="shared" si="4"/>
        <v/>
      </c>
      <c r="S647" s="40" t="str">
        <f>IF($K647="","",IF($C$4="",0,COUNTIFS(Assignments!$B$6:$B$1000,$K647,Assignments!$F$6:$F$1000,$C$4,Assignments!$D$6:$D$1000,"&gt;="&amp;Config!$B$3-7,Assignments!$D$6:$D$1000,"&lt;="&amp;Config!$B$3)))</f>
        <v/>
      </c>
      <c r="T647" s="40" t="str">
        <f>IF($K647="","",IFERROR(VLOOKUP($K647,Grinders!$A$4:$N$998,8,FALSE),""))</f>
        <v/>
      </c>
      <c r="U647" s="40" t="str">
        <f>IFERROR(IF($K647="","",IF($M647="Elite",MAX(50,MIN(100,Config!$B$27*MAX(0,MIN(100,(1-IF($R647="",0,$R647))*100)) + Config!$B$28*MAX(0,MIN(100,(1-MIN(1,IF(Config!$B$30=0,1,$S647/Config!$B$30)))*100)) + Config!$B$29*MAX(0,MIN(100,MIN(1,IF($T647="",0,$T647)/Config!$B$23)*100)))),MIN(100,Config!$B$27*MAX(0,MIN(100,(1-IF($R647="",0,$R647))*100)) + Config!$B$28*MAX(0,MIN(100,(1-MIN(1,IF(Config!$B$30=0,1,$S647/Config!$B$30)))*100)) + Config!$B$29*MAX(0,MIN(100,MIN(1,IF($T647="",0,$T647)/Config!$B$23)*100))))),"")
</f>
        <v/>
      </c>
      <c r="V647" s="40" t="str">
        <f>IF(Bids!$D646="","",Bids!$D646)</f>
        <v/>
      </c>
      <c r="W647" s="40" t="str">
        <f>IF(Bids!$F646="","",Bids!$F646)</f>
        <v/>
      </c>
      <c r="X647" s="40" t="str">
        <f t="shared" si="5"/>
        <v/>
      </c>
      <c r="Y647" s="40" t="str">
        <f>IF($X647="","",IF(Config!$B$17=Config!$B$16,IF($X647&gt;=Config!$B$17,100,0),MAX(0,MIN(100,($X647-Config!$B$16)/(Config!$B$17-Config!$B$16)*100))))</f>
        <v/>
      </c>
      <c r="Z647" s="40">
        <f>IF($M647="Elite",Config!$B$21,0)</f>
        <v>0</v>
      </c>
      <c r="AA647" s="40" t="str">
        <f>IFERROR(IF(OR($W647="",$H647=""),"",IF($W647&gt;$H647,
  MAX(0, 60-(($W647-$H647)*24/Config!$B$19)*60),
  MIN(100, 60+(($H647-$W647)*24/Config!$B$20)*40)
)),"")
</f>
        <v/>
      </c>
      <c r="AB647" s="40" t="str">
        <f>IF($K647="","",IFERROR(VLOOKUP($K647,Grinders!$A$4:$N$998,10,FALSE)/5*100,""))</f>
        <v/>
      </c>
      <c r="AC647" s="40" t="str">
        <f>IF($K647="","",IFERROR(VLOOKUP($K647,Grinders!$A$4:$N$998,11,FALSE)*100,""))</f>
        <v/>
      </c>
      <c r="AD647" s="40" t="str">
        <f>IF($K647="","",IFERROR(VLOOKUP($K647,Grinders!$A$4:$N$998,12,FALSE)*100,""))</f>
        <v/>
      </c>
      <c r="AE647" s="40">
        <f>IFERROR(IFS(
    OR($C647="", $K647=""), 0,
    $F647=0, 0,
    $D647&lt;&gt;"Open", 0,
    COUNTIFS(GrinderServices!$B$4:$B$998, $K647, GrinderServices!$C$4:$C$998, $E647, GrinderServices!$E$4:$E$998, "Y")=0, 0,
    $X647&lt;Config!$B$16, 0,
    Config!$B$18=1, IF($O647&gt;=N647, 0, 1),
    TRUE, 1
), "")
</f>
        <v>0</v>
      </c>
      <c r="AF647" s="40" t="str">
        <f>IFERROR(IF($AE647=0,"",((Config!$B$6*$Y647 + Config!$B$7*$U647 + Config!$B$8*$Z647 + Config!$B$9*$AA647 + Config!$B$10*$AB647 + Config!$B$11*$AC647 - Config!$B$12*$AD647)/Config!$B$13)+$AK647+$AL647),"")</f>
        <v/>
      </c>
      <c r="AG647" s="40" t="str">
        <f t="shared" si="6"/>
        <v/>
      </c>
      <c r="AH647" s="40" t="str">
        <f t="shared" si="7"/>
        <v/>
      </c>
      <c r="AI647" s="40" t="str">
        <f t="shared" si="8"/>
        <v/>
      </c>
      <c r="AJ647" s="40" t="str">
        <f>IF($K647="","",COUNTIF(Assignments!$B$6:$B$1000,$K647))</f>
        <v/>
      </c>
      <c r="AK647" s="40" t="str">
        <f>IF($K647="","",IF(AND($AJ647=0,$O647&lt;$N647),Config!$B$43,0))</f>
        <v/>
      </c>
      <c r="AL647" s="40" t="str">
        <f>IF($K647="","",IF(AND($M647="Elite",$G647&gt;=Config!$B$41,$O647&lt;$N647),Config!$B$42,0))</f>
        <v/>
      </c>
      <c r="AM647" s="22"/>
    </row>
    <row r="648" ht="15.75" customHeight="1">
      <c r="A648" s="40" t="str">
        <f t="shared" si="1"/>
        <v/>
      </c>
      <c r="B648" s="40" t="str">
        <f>IF(Bids!$A647="","",Bids!$A647)</f>
        <v/>
      </c>
      <c r="C648" s="40" t="str">
        <f>IF(Bids!$B647="","",Bids!$B647)</f>
        <v/>
      </c>
      <c r="D648" s="40" t="str">
        <f>IF($C648="","",IFERROR(VLOOKUP($C648,Orders!$A$4:$J$998,9,FALSE),""))</f>
        <v/>
      </c>
      <c r="E648" s="40" t="str">
        <f>IF($C648="","",IFERROR(VLOOKUP($C648,Orders!$A$4:$J$998,3,FALSE),""))</f>
        <v/>
      </c>
      <c r="F648" s="40">
        <f t="shared" si="2"/>
        <v>1</v>
      </c>
      <c r="G648" s="40" t="str">
        <f>IF($C648="","",IFERROR(VLOOKUP($C648,Orders!$A$4:$J$998,4,FALSE),""))</f>
        <v/>
      </c>
      <c r="H648" s="40" t="str">
        <f>IF($C648="","",IFERROR(VLOOKUP($C648,Orders!$A$4:$J$998,5,FALSE),""))</f>
        <v/>
      </c>
      <c r="I648" s="40" t="str">
        <f>IF($C648="","",IFERROR(VLOOKUP($C648,Orders!$A$4:$J$998,6,FALSE),""))</f>
        <v/>
      </c>
      <c r="J648" s="40" t="str">
        <f>IF($C648="","",IFERROR(VLOOKUP($C648,Orders!$A$4:$J$998,7,FALSE),""))</f>
        <v/>
      </c>
      <c r="K648" s="40" t="str">
        <f>IF(Bids!$C647="","",Bids!$C647)</f>
        <v/>
      </c>
      <c r="L648" s="40" t="str">
        <f>IF($K648="","",IFERROR(VLOOKUP($K648,Grinders!$A$4:$N$998,2,FALSE),""))</f>
        <v/>
      </c>
      <c r="M648" s="40" t="str">
        <f>IF($K648="","",IFERROR(VLOOKUP($K648,Grinders!$A$4:$N$998,3,FALSE),""))</f>
        <v/>
      </c>
      <c r="N648" s="40" t="str">
        <f>IF($K648="","",IFERROR(VLOOKUP($K648,Grinders!$A$4:$N$998,4,FALSE),""))</f>
        <v/>
      </c>
      <c r="O648" s="40" t="str">
        <f>IF($K648="","",IFERROR(VLOOKUP($K648,Grinders!$A$4:$N$998,5,FALSE),""))</f>
        <v/>
      </c>
      <c r="P648" s="40" t="str">
        <f>IF($K648="","",IF($C$4="",0,COUNTIFS(Assignments!$B$6:$B$1000,$K648,Assignments!$F$6:$F$1000,$C$4,Assignments!$E$6:$E$1000,"Active")))</f>
        <v/>
      </c>
      <c r="Q648" s="40" t="str">
        <f t="shared" si="3"/>
        <v/>
      </c>
      <c r="R648" s="40" t="str">
        <f t="shared" si="4"/>
        <v/>
      </c>
      <c r="S648" s="40" t="str">
        <f>IF($K648="","",IF($C$4="",0,COUNTIFS(Assignments!$B$6:$B$1000,$K648,Assignments!$F$6:$F$1000,$C$4,Assignments!$D$6:$D$1000,"&gt;="&amp;Config!$B$3-7,Assignments!$D$6:$D$1000,"&lt;="&amp;Config!$B$3)))</f>
        <v/>
      </c>
      <c r="T648" s="40" t="str">
        <f>IF($K648="","",IFERROR(VLOOKUP($K648,Grinders!$A$4:$N$998,8,FALSE),""))</f>
        <v/>
      </c>
      <c r="U648" s="40" t="str">
        <f>IFERROR(IF($K648="","",IF($M648="Elite",MAX(50,MIN(100,Config!$B$27*MAX(0,MIN(100,(1-IF($R648="",0,$R648))*100)) + Config!$B$28*MAX(0,MIN(100,(1-MIN(1,IF(Config!$B$30=0,1,$S648/Config!$B$30)))*100)) + Config!$B$29*MAX(0,MIN(100,MIN(1,IF($T648="",0,$T648)/Config!$B$23)*100)))),MIN(100,Config!$B$27*MAX(0,MIN(100,(1-IF($R648="",0,$R648))*100)) + Config!$B$28*MAX(0,MIN(100,(1-MIN(1,IF(Config!$B$30=0,1,$S648/Config!$B$30)))*100)) + Config!$B$29*MAX(0,MIN(100,MIN(1,IF($T648="",0,$T648)/Config!$B$23)*100))))),"")
</f>
        <v/>
      </c>
      <c r="V648" s="40" t="str">
        <f>IF(Bids!$D647="","",Bids!$D647)</f>
        <v/>
      </c>
      <c r="W648" s="40" t="str">
        <f>IF(Bids!$F647="","",Bids!$F647)</f>
        <v/>
      </c>
      <c r="X648" s="40" t="str">
        <f t="shared" si="5"/>
        <v/>
      </c>
      <c r="Y648" s="40" t="str">
        <f>IF($X648="","",IF(Config!$B$17=Config!$B$16,IF($X648&gt;=Config!$B$17,100,0),MAX(0,MIN(100,($X648-Config!$B$16)/(Config!$B$17-Config!$B$16)*100))))</f>
        <v/>
      </c>
      <c r="Z648" s="40">
        <f>IF($M648="Elite",Config!$B$21,0)</f>
        <v>0</v>
      </c>
      <c r="AA648" s="40" t="str">
        <f>IFERROR(IF(OR($W648="",$H648=""),"",IF($W648&gt;$H648,
  MAX(0, 60-(($W648-$H648)*24/Config!$B$19)*60),
  MIN(100, 60+(($H648-$W648)*24/Config!$B$20)*40)
)),"")
</f>
        <v/>
      </c>
      <c r="AB648" s="40" t="str">
        <f>IF($K648="","",IFERROR(VLOOKUP($K648,Grinders!$A$4:$N$998,10,FALSE)/5*100,""))</f>
        <v/>
      </c>
      <c r="AC648" s="40" t="str">
        <f>IF($K648="","",IFERROR(VLOOKUP($K648,Grinders!$A$4:$N$998,11,FALSE)*100,""))</f>
        <v/>
      </c>
      <c r="AD648" s="40" t="str">
        <f>IF($K648="","",IFERROR(VLOOKUP($K648,Grinders!$A$4:$N$998,12,FALSE)*100,""))</f>
        <v/>
      </c>
      <c r="AE648" s="40">
        <f>IFERROR(IFS(
    OR($C648="", $K648=""), 0,
    $F648=0, 0,
    $D648&lt;&gt;"Open", 0,
    COUNTIFS(GrinderServices!$B$4:$B$998, $K648, GrinderServices!$C$4:$C$998, $E648, GrinderServices!$E$4:$E$998, "Y")=0, 0,
    $X648&lt;Config!$B$16, 0,
    Config!$B$18=1, IF($O648&gt;=N648, 0, 1),
    TRUE, 1
), "")
</f>
        <v>0</v>
      </c>
      <c r="AF648" s="40" t="str">
        <f>IFERROR(IF($AE648=0,"",((Config!$B$6*$Y648 + Config!$B$7*$U648 + Config!$B$8*$Z648 + Config!$B$9*$AA648 + Config!$B$10*$AB648 + Config!$B$11*$AC648 - Config!$B$12*$AD648)/Config!$B$13)+$AK648+$AL648),"")</f>
        <v/>
      </c>
      <c r="AG648" s="40" t="str">
        <f t="shared" si="6"/>
        <v/>
      </c>
      <c r="AH648" s="40" t="str">
        <f t="shared" si="7"/>
        <v/>
      </c>
      <c r="AI648" s="40" t="str">
        <f t="shared" si="8"/>
        <v/>
      </c>
      <c r="AJ648" s="40" t="str">
        <f>IF($K648="","",COUNTIF(Assignments!$B$6:$B$1000,$K648))</f>
        <v/>
      </c>
      <c r="AK648" s="40" t="str">
        <f>IF($K648="","",IF(AND($AJ648=0,$O648&lt;$N648),Config!$B$43,0))</f>
        <v/>
      </c>
      <c r="AL648" s="40" t="str">
        <f>IF($K648="","",IF(AND($M648="Elite",$G648&gt;=Config!$B$41,$O648&lt;$N648),Config!$B$42,0))</f>
        <v/>
      </c>
      <c r="AM648" s="22"/>
    </row>
    <row r="649" ht="15.75" customHeight="1">
      <c r="A649" s="40" t="str">
        <f t="shared" si="1"/>
        <v/>
      </c>
      <c r="B649" s="40" t="str">
        <f>IF(Bids!$A648="","",Bids!$A648)</f>
        <v/>
      </c>
      <c r="C649" s="40" t="str">
        <f>IF(Bids!$B648="","",Bids!$B648)</f>
        <v/>
      </c>
      <c r="D649" s="40" t="str">
        <f>IF($C649="","",IFERROR(VLOOKUP($C649,Orders!$A$4:$J$998,9,FALSE),""))</f>
        <v/>
      </c>
      <c r="E649" s="40" t="str">
        <f>IF($C649="","",IFERROR(VLOOKUP($C649,Orders!$A$4:$J$998,3,FALSE),""))</f>
        <v/>
      </c>
      <c r="F649" s="40">
        <f t="shared" si="2"/>
        <v>1</v>
      </c>
      <c r="G649" s="40" t="str">
        <f>IF($C649="","",IFERROR(VLOOKUP($C649,Orders!$A$4:$J$998,4,FALSE),""))</f>
        <v/>
      </c>
      <c r="H649" s="40" t="str">
        <f>IF($C649="","",IFERROR(VLOOKUP($C649,Orders!$A$4:$J$998,5,FALSE),""))</f>
        <v/>
      </c>
      <c r="I649" s="40" t="str">
        <f>IF($C649="","",IFERROR(VLOOKUP($C649,Orders!$A$4:$J$998,6,FALSE),""))</f>
        <v/>
      </c>
      <c r="J649" s="40" t="str">
        <f>IF($C649="","",IFERROR(VLOOKUP($C649,Orders!$A$4:$J$998,7,FALSE),""))</f>
        <v/>
      </c>
      <c r="K649" s="40" t="str">
        <f>IF(Bids!$C648="","",Bids!$C648)</f>
        <v/>
      </c>
      <c r="L649" s="40" t="str">
        <f>IF($K649="","",IFERROR(VLOOKUP($K649,Grinders!$A$4:$N$998,2,FALSE),""))</f>
        <v/>
      </c>
      <c r="M649" s="40" t="str">
        <f>IF($K649="","",IFERROR(VLOOKUP($K649,Grinders!$A$4:$N$998,3,FALSE),""))</f>
        <v/>
      </c>
      <c r="N649" s="40" t="str">
        <f>IF($K649="","",IFERROR(VLOOKUP($K649,Grinders!$A$4:$N$998,4,FALSE),""))</f>
        <v/>
      </c>
      <c r="O649" s="40" t="str">
        <f>IF($K649="","",IFERROR(VLOOKUP($K649,Grinders!$A$4:$N$998,5,FALSE),""))</f>
        <v/>
      </c>
      <c r="P649" s="40" t="str">
        <f>IF($K649="","",IF($C$4="",0,COUNTIFS(Assignments!$B$6:$B$1000,$K649,Assignments!$F$6:$F$1000,$C$4,Assignments!$E$6:$E$1000,"Active")))</f>
        <v/>
      </c>
      <c r="Q649" s="40" t="str">
        <f t="shared" si="3"/>
        <v/>
      </c>
      <c r="R649" s="40" t="str">
        <f t="shared" si="4"/>
        <v/>
      </c>
      <c r="S649" s="40" t="str">
        <f>IF($K649="","",IF($C$4="",0,COUNTIFS(Assignments!$B$6:$B$1000,$K649,Assignments!$F$6:$F$1000,$C$4,Assignments!$D$6:$D$1000,"&gt;="&amp;Config!$B$3-7,Assignments!$D$6:$D$1000,"&lt;="&amp;Config!$B$3)))</f>
        <v/>
      </c>
      <c r="T649" s="40" t="str">
        <f>IF($K649="","",IFERROR(VLOOKUP($K649,Grinders!$A$4:$N$998,8,FALSE),""))</f>
        <v/>
      </c>
      <c r="U649" s="40" t="str">
        <f>IFERROR(IF($K649="","",IF($M649="Elite",MAX(50,MIN(100,Config!$B$27*MAX(0,MIN(100,(1-IF($R649="",0,$R649))*100)) + Config!$B$28*MAX(0,MIN(100,(1-MIN(1,IF(Config!$B$30=0,1,$S649/Config!$B$30)))*100)) + Config!$B$29*MAX(0,MIN(100,MIN(1,IF($T649="",0,$T649)/Config!$B$23)*100)))),MIN(100,Config!$B$27*MAX(0,MIN(100,(1-IF($R649="",0,$R649))*100)) + Config!$B$28*MAX(0,MIN(100,(1-MIN(1,IF(Config!$B$30=0,1,$S649/Config!$B$30)))*100)) + Config!$B$29*MAX(0,MIN(100,MIN(1,IF($T649="",0,$T649)/Config!$B$23)*100))))),"")
</f>
        <v/>
      </c>
      <c r="V649" s="40" t="str">
        <f>IF(Bids!$D648="","",Bids!$D648)</f>
        <v/>
      </c>
      <c r="W649" s="40" t="str">
        <f>IF(Bids!$F648="","",Bids!$F648)</f>
        <v/>
      </c>
      <c r="X649" s="40" t="str">
        <f t="shared" si="5"/>
        <v/>
      </c>
      <c r="Y649" s="40" t="str">
        <f>IF($X649="","",IF(Config!$B$17=Config!$B$16,IF($X649&gt;=Config!$B$17,100,0),MAX(0,MIN(100,($X649-Config!$B$16)/(Config!$B$17-Config!$B$16)*100))))</f>
        <v/>
      </c>
      <c r="Z649" s="40">
        <f>IF($M649="Elite",Config!$B$21,0)</f>
        <v>0</v>
      </c>
      <c r="AA649" s="40" t="str">
        <f>IFERROR(IF(OR($W649="",$H649=""),"",IF($W649&gt;$H649,
  MAX(0, 60-(($W649-$H649)*24/Config!$B$19)*60),
  MIN(100, 60+(($H649-$W649)*24/Config!$B$20)*40)
)),"")
</f>
        <v/>
      </c>
      <c r="AB649" s="40" t="str">
        <f>IF($K649="","",IFERROR(VLOOKUP($K649,Grinders!$A$4:$N$998,10,FALSE)/5*100,""))</f>
        <v/>
      </c>
      <c r="AC649" s="40" t="str">
        <f>IF($K649="","",IFERROR(VLOOKUP($K649,Grinders!$A$4:$N$998,11,FALSE)*100,""))</f>
        <v/>
      </c>
      <c r="AD649" s="40" t="str">
        <f>IF($K649="","",IFERROR(VLOOKUP($K649,Grinders!$A$4:$N$998,12,FALSE)*100,""))</f>
        <v/>
      </c>
      <c r="AE649" s="40">
        <f>IFERROR(IFS(
    OR($C649="", $K649=""), 0,
    $F649=0, 0,
    $D649&lt;&gt;"Open", 0,
    COUNTIFS(GrinderServices!$B$4:$B$998, $K649, GrinderServices!$C$4:$C$998, $E649, GrinderServices!$E$4:$E$998, "Y")=0, 0,
    $X649&lt;Config!$B$16, 0,
    Config!$B$18=1, IF($O649&gt;=N649, 0, 1),
    TRUE, 1
), "")
</f>
        <v>0</v>
      </c>
      <c r="AF649" s="40" t="str">
        <f>IFERROR(IF($AE649=0,"",((Config!$B$6*$Y649 + Config!$B$7*$U649 + Config!$B$8*$Z649 + Config!$B$9*$AA649 + Config!$B$10*$AB649 + Config!$B$11*$AC649 - Config!$B$12*$AD649)/Config!$B$13)+$AK649+$AL649),"")</f>
        <v/>
      </c>
      <c r="AG649" s="40" t="str">
        <f t="shared" si="6"/>
        <v/>
      </c>
      <c r="AH649" s="40" t="str">
        <f t="shared" si="7"/>
        <v/>
      </c>
      <c r="AI649" s="40" t="str">
        <f t="shared" si="8"/>
        <v/>
      </c>
      <c r="AJ649" s="40" t="str">
        <f>IF($K649="","",COUNTIF(Assignments!$B$6:$B$1000,$K649))</f>
        <v/>
      </c>
      <c r="AK649" s="40" t="str">
        <f>IF($K649="","",IF(AND($AJ649=0,$O649&lt;$N649),Config!$B$43,0))</f>
        <v/>
      </c>
      <c r="AL649" s="40" t="str">
        <f>IF($K649="","",IF(AND($M649="Elite",$G649&gt;=Config!$B$41,$O649&lt;$N649),Config!$B$42,0))</f>
        <v/>
      </c>
      <c r="AM649" s="22"/>
    </row>
    <row r="650" ht="15.75" customHeight="1">
      <c r="A650" s="40" t="str">
        <f t="shared" si="1"/>
        <v/>
      </c>
      <c r="B650" s="40" t="str">
        <f>IF(Bids!$A649="","",Bids!$A649)</f>
        <v/>
      </c>
      <c r="C650" s="40" t="str">
        <f>IF(Bids!$B649="","",Bids!$B649)</f>
        <v/>
      </c>
      <c r="D650" s="40" t="str">
        <f>IF($C650="","",IFERROR(VLOOKUP($C650,Orders!$A$4:$J$998,9,FALSE),""))</f>
        <v/>
      </c>
      <c r="E650" s="40" t="str">
        <f>IF($C650="","",IFERROR(VLOOKUP($C650,Orders!$A$4:$J$998,3,FALSE),""))</f>
        <v/>
      </c>
      <c r="F650" s="40">
        <f t="shared" si="2"/>
        <v>1</v>
      </c>
      <c r="G650" s="40" t="str">
        <f>IF($C650="","",IFERROR(VLOOKUP($C650,Orders!$A$4:$J$998,4,FALSE),""))</f>
        <v/>
      </c>
      <c r="H650" s="40" t="str">
        <f>IF($C650="","",IFERROR(VLOOKUP($C650,Orders!$A$4:$J$998,5,FALSE),""))</f>
        <v/>
      </c>
      <c r="I650" s="40" t="str">
        <f>IF($C650="","",IFERROR(VLOOKUP($C650,Orders!$A$4:$J$998,6,FALSE),""))</f>
        <v/>
      </c>
      <c r="J650" s="40" t="str">
        <f>IF($C650="","",IFERROR(VLOOKUP($C650,Orders!$A$4:$J$998,7,FALSE),""))</f>
        <v/>
      </c>
      <c r="K650" s="40" t="str">
        <f>IF(Bids!$C649="","",Bids!$C649)</f>
        <v/>
      </c>
      <c r="L650" s="40" t="str">
        <f>IF($K650="","",IFERROR(VLOOKUP($K650,Grinders!$A$4:$N$998,2,FALSE),""))</f>
        <v/>
      </c>
      <c r="M650" s="40" t="str">
        <f>IF($K650="","",IFERROR(VLOOKUP($K650,Grinders!$A$4:$N$998,3,FALSE),""))</f>
        <v/>
      </c>
      <c r="N650" s="40" t="str">
        <f>IF($K650="","",IFERROR(VLOOKUP($K650,Grinders!$A$4:$N$998,4,FALSE),""))</f>
        <v/>
      </c>
      <c r="O650" s="40" t="str">
        <f>IF($K650="","",IFERROR(VLOOKUP($K650,Grinders!$A$4:$N$998,5,FALSE),""))</f>
        <v/>
      </c>
      <c r="P650" s="40" t="str">
        <f>IF($K650="","",IF($C$4="",0,COUNTIFS(Assignments!$B$6:$B$1000,$K650,Assignments!$F$6:$F$1000,$C$4,Assignments!$E$6:$E$1000,"Active")))</f>
        <v/>
      </c>
      <c r="Q650" s="40" t="str">
        <f t="shared" si="3"/>
        <v/>
      </c>
      <c r="R650" s="40" t="str">
        <f t="shared" si="4"/>
        <v/>
      </c>
      <c r="S650" s="40" t="str">
        <f>IF($K650="","",IF($C$4="",0,COUNTIFS(Assignments!$B$6:$B$1000,$K650,Assignments!$F$6:$F$1000,$C$4,Assignments!$D$6:$D$1000,"&gt;="&amp;Config!$B$3-7,Assignments!$D$6:$D$1000,"&lt;="&amp;Config!$B$3)))</f>
        <v/>
      </c>
      <c r="T650" s="40" t="str">
        <f>IF($K650="","",IFERROR(VLOOKUP($K650,Grinders!$A$4:$N$998,8,FALSE),""))</f>
        <v/>
      </c>
      <c r="U650" s="40" t="str">
        <f>IFERROR(IF($K650="","",IF($M650="Elite",MAX(50,MIN(100,Config!$B$27*MAX(0,MIN(100,(1-IF($R650="",0,$R650))*100)) + Config!$B$28*MAX(0,MIN(100,(1-MIN(1,IF(Config!$B$30=0,1,$S650/Config!$B$30)))*100)) + Config!$B$29*MAX(0,MIN(100,MIN(1,IF($T650="",0,$T650)/Config!$B$23)*100)))),MIN(100,Config!$B$27*MAX(0,MIN(100,(1-IF($R650="",0,$R650))*100)) + Config!$B$28*MAX(0,MIN(100,(1-MIN(1,IF(Config!$B$30=0,1,$S650/Config!$B$30)))*100)) + Config!$B$29*MAX(0,MIN(100,MIN(1,IF($T650="",0,$T650)/Config!$B$23)*100))))),"")
</f>
        <v/>
      </c>
      <c r="V650" s="40" t="str">
        <f>IF(Bids!$D649="","",Bids!$D649)</f>
        <v/>
      </c>
      <c r="W650" s="40" t="str">
        <f>IF(Bids!$F649="","",Bids!$F649)</f>
        <v/>
      </c>
      <c r="X650" s="40" t="str">
        <f t="shared" si="5"/>
        <v/>
      </c>
      <c r="Y650" s="40" t="str">
        <f>IF($X650="","",IF(Config!$B$17=Config!$B$16,IF($X650&gt;=Config!$B$17,100,0),MAX(0,MIN(100,($X650-Config!$B$16)/(Config!$B$17-Config!$B$16)*100))))</f>
        <v/>
      </c>
      <c r="Z650" s="40">
        <f>IF($M650="Elite",Config!$B$21,0)</f>
        <v>0</v>
      </c>
      <c r="AA650" s="40" t="str">
        <f>IFERROR(IF(OR($W650="",$H650=""),"",IF($W650&gt;$H650,
  MAX(0, 60-(($W650-$H650)*24/Config!$B$19)*60),
  MIN(100, 60+(($H650-$W650)*24/Config!$B$20)*40)
)),"")
</f>
        <v/>
      </c>
      <c r="AB650" s="40" t="str">
        <f>IF($K650="","",IFERROR(VLOOKUP($K650,Grinders!$A$4:$N$998,10,FALSE)/5*100,""))</f>
        <v/>
      </c>
      <c r="AC650" s="40" t="str">
        <f>IF($K650="","",IFERROR(VLOOKUP($K650,Grinders!$A$4:$N$998,11,FALSE)*100,""))</f>
        <v/>
      </c>
      <c r="AD650" s="40" t="str">
        <f>IF($K650="","",IFERROR(VLOOKUP($K650,Grinders!$A$4:$N$998,12,FALSE)*100,""))</f>
        <v/>
      </c>
      <c r="AE650" s="40">
        <f>IFERROR(IFS(
    OR($C650="", $K650=""), 0,
    $F650=0, 0,
    $D650&lt;&gt;"Open", 0,
    COUNTIFS(GrinderServices!$B$4:$B$998, $K650, GrinderServices!$C$4:$C$998, $E650, GrinderServices!$E$4:$E$998, "Y")=0, 0,
    $X650&lt;Config!$B$16, 0,
    Config!$B$18=1, IF($O650&gt;=N650, 0, 1),
    TRUE, 1
), "")
</f>
        <v>0</v>
      </c>
      <c r="AF650" s="40" t="str">
        <f>IFERROR(IF($AE650=0,"",((Config!$B$6*$Y650 + Config!$B$7*$U650 + Config!$B$8*$Z650 + Config!$B$9*$AA650 + Config!$B$10*$AB650 + Config!$B$11*$AC650 - Config!$B$12*$AD650)/Config!$B$13)+$AK650+$AL650),"")</f>
        <v/>
      </c>
      <c r="AG650" s="40" t="str">
        <f t="shared" si="6"/>
        <v/>
      </c>
      <c r="AH650" s="40" t="str">
        <f t="shared" si="7"/>
        <v/>
      </c>
      <c r="AI650" s="40" t="str">
        <f t="shared" si="8"/>
        <v/>
      </c>
      <c r="AJ650" s="40" t="str">
        <f>IF($K650="","",COUNTIF(Assignments!$B$6:$B$1000,$K650))</f>
        <v/>
      </c>
      <c r="AK650" s="40" t="str">
        <f>IF($K650="","",IF(AND($AJ650=0,$O650&lt;$N650),Config!$B$43,0))</f>
        <v/>
      </c>
      <c r="AL650" s="40" t="str">
        <f>IF($K650="","",IF(AND($M650="Elite",$G650&gt;=Config!$B$41,$O650&lt;$N650),Config!$B$42,0))</f>
        <v/>
      </c>
      <c r="AM650" s="22"/>
    </row>
    <row r="651" ht="15.75" customHeight="1">
      <c r="A651" s="40" t="str">
        <f t="shared" si="1"/>
        <v/>
      </c>
      <c r="B651" s="40" t="str">
        <f>IF(Bids!$A650="","",Bids!$A650)</f>
        <v/>
      </c>
      <c r="C651" s="40" t="str">
        <f>IF(Bids!$B650="","",Bids!$B650)</f>
        <v/>
      </c>
      <c r="D651" s="40" t="str">
        <f>IF($C651="","",IFERROR(VLOOKUP($C651,Orders!$A$4:$J$998,9,FALSE),""))</f>
        <v/>
      </c>
      <c r="E651" s="40" t="str">
        <f>IF($C651="","",IFERROR(VLOOKUP($C651,Orders!$A$4:$J$998,3,FALSE),""))</f>
        <v/>
      </c>
      <c r="F651" s="40">
        <f t="shared" si="2"/>
        <v>1</v>
      </c>
      <c r="G651" s="40" t="str">
        <f>IF($C651="","",IFERROR(VLOOKUP($C651,Orders!$A$4:$J$998,4,FALSE),""))</f>
        <v/>
      </c>
      <c r="H651" s="40" t="str">
        <f>IF($C651="","",IFERROR(VLOOKUP($C651,Orders!$A$4:$J$998,5,FALSE),""))</f>
        <v/>
      </c>
      <c r="I651" s="40" t="str">
        <f>IF($C651="","",IFERROR(VLOOKUP($C651,Orders!$A$4:$J$998,6,FALSE),""))</f>
        <v/>
      </c>
      <c r="J651" s="40" t="str">
        <f>IF($C651="","",IFERROR(VLOOKUP($C651,Orders!$A$4:$J$998,7,FALSE),""))</f>
        <v/>
      </c>
      <c r="K651" s="40" t="str">
        <f>IF(Bids!$C650="","",Bids!$C650)</f>
        <v/>
      </c>
      <c r="L651" s="40" t="str">
        <f>IF($K651="","",IFERROR(VLOOKUP($K651,Grinders!$A$4:$N$998,2,FALSE),""))</f>
        <v/>
      </c>
      <c r="M651" s="40" t="str">
        <f>IF($K651="","",IFERROR(VLOOKUP($K651,Grinders!$A$4:$N$998,3,FALSE),""))</f>
        <v/>
      </c>
      <c r="N651" s="40" t="str">
        <f>IF($K651="","",IFERROR(VLOOKUP($K651,Grinders!$A$4:$N$998,4,FALSE),""))</f>
        <v/>
      </c>
      <c r="O651" s="40" t="str">
        <f>IF($K651="","",IFERROR(VLOOKUP($K651,Grinders!$A$4:$N$998,5,FALSE),""))</f>
        <v/>
      </c>
      <c r="P651" s="40" t="str">
        <f>IF($K651="","",IF($C$4="",0,COUNTIFS(Assignments!$B$6:$B$1000,$K651,Assignments!$F$6:$F$1000,$C$4,Assignments!$E$6:$E$1000,"Active")))</f>
        <v/>
      </c>
      <c r="Q651" s="40" t="str">
        <f t="shared" si="3"/>
        <v/>
      </c>
      <c r="R651" s="40" t="str">
        <f t="shared" si="4"/>
        <v/>
      </c>
      <c r="S651" s="40" t="str">
        <f>IF($K651="","",IF($C$4="",0,COUNTIFS(Assignments!$B$6:$B$1000,$K651,Assignments!$F$6:$F$1000,$C$4,Assignments!$D$6:$D$1000,"&gt;="&amp;Config!$B$3-7,Assignments!$D$6:$D$1000,"&lt;="&amp;Config!$B$3)))</f>
        <v/>
      </c>
      <c r="T651" s="40" t="str">
        <f>IF($K651="","",IFERROR(VLOOKUP($K651,Grinders!$A$4:$N$998,8,FALSE),""))</f>
        <v/>
      </c>
      <c r="U651" s="40" t="str">
        <f>IFERROR(IF($K651="","",IF($M651="Elite",MAX(50,MIN(100,Config!$B$27*MAX(0,MIN(100,(1-IF($R651="",0,$R651))*100)) + Config!$B$28*MAX(0,MIN(100,(1-MIN(1,IF(Config!$B$30=0,1,$S651/Config!$B$30)))*100)) + Config!$B$29*MAX(0,MIN(100,MIN(1,IF($T651="",0,$T651)/Config!$B$23)*100)))),MIN(100,Config!$B$27*MAX(0,MIN(100,(1-IF($R651="",0,$R651))*100)) + Config!$B$28*MAX(0,MIN(100,(1-MIN(1,IF(Config!$B$30=0,1,$S651/Config!$B$30)))*100)) + Config!$B$29*MAX(0,MIN(100,MIN(1,IF($T651="",0,$T651)/Config!$B$23)*100))))),"")
</f>
        <v/>
      </c>
      <c r="V651" s="40" t="str">
        <f>IF(Bids!$D650="","",Bids!$D650)</f>
        <v/>
      </c>
      <c r="W651" s="40" t="str">
        <f>IF(Bids!$F650="","",Bids!$F650)</f>
        <v/>
      </c>
      <c r="X651" s="40" t="str">
        <f t="shared" si="5"/>
        <v/>
      </c>
      <c r="Y651" s="40" t="str">
        <f>IF($X651="","",IF(Config!$B$17=Config!$B$16,IF($X651&gt;=Config!$B$17,100,0),MAX(0,MIN(100,($X651-Config!$B$16)/(Config!$B$17-Config!$B$16)*100))))</f>
        <v/>
      </c>
      <c r="Z651" s="40">
        <f>IF($M651="Elite",Config!$B$21,0)</f>
        <v>0</v>
      </c>
      <c r="AA651" s="40" t="str">
        <f>IFERROR(IF(OR($W651="",$H651=""),"",IF($W651&gt;$H651,
  MAX(0, 60-(($W651-$H651)*24/Config!$B$19)*60),
  MIN(100, 60+(($H651-$W651)*24/Config!$B$20)*40)
)),"")
</f>
        <v/>
      </c>
      <c r="AB651" s="40" t="str">
        <f>IF($K651="","",IFERROR(VLOOKUP($K651,Grinders!$A$4:$N$998,10,FALSE)/5*100,""))</f>
        <v/>
      </c>
      <c r="AC651" s="40" t="str">
        <f>IF($K651="","",IFERROR(VLOOKUP($K651,Grinders!$A$4:$N$998,11,FALSE)*100,""))</f>
        <v/>
      </c>
      <c r="AD651" s="40" t="str">
        <f>IF($K651="","",IFERROR(VLOOKUP($K651,Grinders!$A$4:$N$998,12,FALSE)*100,""))</f>
        <v/>
      </c>
      <c r="AE651" s="40">
        <f>IFERROR(IFS(
    OR($C651="", $K651=""), 0,
    $F651=0, 0,
    $D651&lt;&gt;"Open", 0,
    COUNTIFS(GrinderServices!$B$4:$B$998, $K651, GrinderServices!$C$4:$C$998, $E651, GrinderServices!$E$4:$E$998, "Y")=0, 0,
    $X651&lt;Config!$B$16, 0,
    Config!$B$18=1, IF($O651&gt;=N651, 0, 1),
    TRUE, 1
), "")
</f>
        <v>0</v>
      </c>
      <c r="AF651" s="40" t="str">
        <f>IFERROR(IF($AE651=0,"",((Config!$B$6*$Y651 + Config!$B$7*$U651 + Config!$B$8*$Z651 + Config!$B$9*$AA651 + Config!$B$10*$AB651 + Config!$B$11*$AC651 - Config!$B$12*$AD651)/Config!$B$13)+$AK651+$AL651),"")</f>
        <v/>
      </c>
      <c r="AG651" s="40" t="str">
        <f t="shared" si="6"/>
        <v/>
      </c>
      <c r="AH651" s="40" t="str">
        <f t="shared" si="7"/>
        <v/>
      </c>
      <c r="AI651" s="40" t="str">
        <f t="shared" si="8"/>
        <v/>
      </c>
      <c r="AJ651" s="40" t="str">
        <f>IF($K651="","",COUNTIF(Assignments!$B$6:$B$1000,$K651))</f>
        <v/>
      </c>
      <c r="AK651" s="40" t="str">
        <f>IF($K651="","",IF(AND($AJ651=0,$O651&lt;$N651),Config!$B$43,0))</f>
        <v/>
      </c>
      <c r="AL651" s="40" t="str">
        <f>IF($K651="","",IF(AND($M651="Elite",$G651&gt;=Config!$B$41,$O651&lt;$N651),Config!$B$42,0))</f>
        <v/>
      </c>
      <c r="AM651" s="22"/>
    </row>
    <row r="652" ht="15.75" customHeight="1">
      <c r="A652" s="40" t="str">
        <f t="shared" si="1"/>
        <v/>
      </c>
      <c r="B652" s="40" t="str">
        <f>IF(Bids!$A651="","",Bids!$A651)</f>
        <v/>
      </c>
      <c r="C652" s="40" t="str">
        <f>IF(Bids!$B651="","",Bids!$B651)</f>
        <v/>
      </c>
      <c r="D652" s="40" t="str">
        <f>IF($C652="","",IFERROR(VLOOKUP($C652,Orders!$A$4:$J$998,9,FALSE),""))</f>
        <v/>
      </c>
      <c r="E652" s="40" t="str">
        <f>IF($C652="","",IFERROR(VLOOKUP($C652,Orders!$A$4:$J$998,3,FALSE),""))</f>
        <v/>
      </c>
      <c r="F652" s="40">
        <f t="shared" si="2"/>
        <v>1</v>
      </c>
      <c r="G652" s="40" t="str">
        <f>IF($C652="","",IFERROR(VLOOKUP($C652,Orders!$A$4:$J$998,4,FALSE),""))</f>
        <v/>
      </c>
      <c r="H652" s="40" t="str">
        <f>IF($C652="","",IFERROR(VLOOKUP($C652,Orders!$A$4:$J$998,5,FALSE),""))</f>
        <v/>
      </c>
      <c r="I652" s="40" t="str">
        <f>IF($C652="","",IFERROR(VLOOKUP($C652,Orders!$A$4:$J$998,6,FALSE),""))</f>
        <v/>
      </c>
      <c r="J652" s="40" t="str">
        <f>IF($C652="","",IFERROR(VLOOKUP($C652,Orders!$A$4:$J$998,7,FALSE),""))</f>
        <v/>
      </c>
      <c r="K652" s="40" t="str">
        <f>IF(Bids!$C651="","",Bids!$C651)</f>
        <v/>
      </c>
      <c r="L652" s="40" t="str">
        <f>IF($K652="","",IFERROR(VLOOKUP($K652,Grinders!$A$4:$N$998,2,FALSE),""))</f>
        <v/>
      </c>
      <c r="M652" s="40" t="str">
        <f>IF($K652="","",IFERROR(VLOOKUP($K652,Grinders!$A$4:$N$998,3,FALSE),""))</f>
        <v/>
      </c>
      <c r="N652" s="40" t="str">
        <f>IF($K652="","",IFERROR(VLOOKUP($K652,Grinders!$A$4:$N$998,4,FALSE),""))</f>
        <v/>
      </c>
      <c r="O652" s="40" t="str">
        <f>IF($K652="","",IFERROR(VLOOKUP($K652,Grinders!$A$4:$N$998,5,FALSE),""))</f>
        <v/>
      </c>
      <c r="P652" s="40" t="str">
        <f>IF($K652="","",IF($C$4="",0,COUNTIFS(Assignments!$B$6:$B$1000,$K652,Assignments!$F$6:$F$1000,$C$4,Assignments!$E$6:$E$1000,"Active")))</f>
        <v/>
      </c>
      <c r="Q652" s="40" t="str">
        <f t="shared" si="3"/>
        <v/>
      </c>
      <c r="R652" s="40" t="str">
        <f t="shared" si="4"/>
        <v/>
      </c>
      <c r="S652" s="40" t="str">
        <f>IF($K652="","",IF($C$4="",0,COUNTIFS(Assignments!$B$6:$B$1000,$K652,Assignments!$F$6:$F$1000,$C$4,Assignments!$D$6:$D$1000,"&gt;="&amp;Config!$B$3-7,Assignments!$D$6:$D$1000,"&lt;="&amp;Config!$B$3)))</f>
        <v/>
      </c>
      <c r="T652" s="40" t="str">
        <f>IF($K652="","",IFERROR(VLOOKUP($K652,Grinders!$A$4:$N$998,8,FALSE),""))</f>
        <v/>
      </c>
      <c r="U652" s="40" t="str">
        <f>IFERROR(IF($K652="","",IF($M652="Elite",MAX(50,MIN(100,Config!$B$27*MAX(0,MIN(100,(1-IF($R652="",0,$R652))*100)) + Config!$B$28*MAX(0,MIN(100,(1-MIN(1,IF(Config!$B$30=0,1,$S652/Config!$B$30)))*100)) + Config!$B$29*MAX(0,MIN(100,MIN(1,IF($T652="",0,$T652)/Config!$B$23)*100)))),MIN(100,Config!$B$27*MAX(0,MIN(100,(1-IF($R652="",0,$R652))*100)) + Config!$B$28*MAX(0,MIN(100,(1-MIN(1,IF(Config!$B$30=0,1,$S652/Config!$B$30)))*100)) + Config!$B$29*MAX(0,MIN(100,MIN(1,IF($T652="",0,$T652)/Config!$B$23)*100))))),"")
</f>
        <v/>
      </c>
      <c r="V652" s="40" t="str">
        <f>IF(Bids!$D651="","",Bids!$D651)</f>
        <v/>
      </c>
      <c r="W652" s="40" t="str">
        <f>IF(Bids!$F651="","",Bids!$F651)</f>
        <v/>
      </c>
      <c r="X652" s="40" t="str">
        <f t="shared" si="5"/>
        <v/>
      </c>
      <c r="Y652" s="40" t="str">
        <f>IF($X652="","",IF(Config!$B$17=Config!$B$16,IF($X652&gt;=Config!$B$17,100,0),MAX(0,MIN(100,($X652-Config!$B$16)/(Config!$B$17-Config!$B$16)*100))))</f>
        <v/>
      </c>
      <c r="Z652" s="40">
        <f>IF($M652="Elite",Config!$B$21,0)</f>
        <v>0</v>
      </c>
      <c r="AA652" s="40" t="str">
        <f>IFERROR(IF(OR($W652="",$H652=""),"",IF($W652&gt;$H652,
  MAX(0, 60-(($W652-$H652)*24/Config!$B$19)*60),
  MIN(100, 60+(($H652-$W652)*24/Config!$B$20)*40)
)),"")
</f>
        <v/>
      </c>
      <c r="AB652" s="40" t="str">
        <f>IF($K652="","",IFERROR(VLOOKUP($K652,Grinders!$A$4:$N$998,10,FALSE)/5*100,""))</f>
        <v/>
      </c>
      <c r="AC652" s="40" t="str">
        <f>IF($K652="","",IFERROR(VLOOKUP($K652,Grinders!$A$4:$N$998,11,FALSE)*100,""))</f>
        <v/>
      </c>
      <c r="AD652" s="40" t="str">
        <f>IF($K652="","",IFERROR(VLOOKUP($K652,Grinders!$A$4:$N$998,12,FALSE)*100,""))</f>
        <v/>
      </c>
      <c r="AE652" s="40">
        <f>IFERROR(IFS(
    OR($C652="", $K652=""), 0,
    $F652=0, 0,
    $D652&lt;&gt;"Open", 0,
    COUNTIFS(GrinderServices!$B$4:$B$998, $K652, GrinderServices!$C$4:$C$998, $E652, GrinderServices!$E$4:$E$998, "Y")=0, 0,
    $X652&lt;Config!$B$16, 0,
    Config!$B$18=1, IF($O652&gt;=N652, 0, 1),
    TRUE, 1
), "")
</f>
        <v>0</v>
      </c>
      <c r="AF652" s="40" t="str">
        <f>IFERROR(IF($AE652=0,"",((Config!$B$6*$Y652 + Config!$B$7*$U652 + Config!$B$8*$Z652 + Config!$B$9*$AA652 + Config!$B$10*$AB652 + Config!$B$11*$AC652 - Config!$B$12*$AD652)/Config!$B$13)+$AK652+$AL652),"")</f>
        <v/>
      </c>
      <c r="AG652" s="40" t="str">
        <f t="shared" si="6"/>
        <v/>
      </c>
      <c r="AH652" s="40" t="str">
        <f t="shared" si="7"/>
        <v/>
      </c>
      <c r="AI652" s="40" t="str">
        <f t="shared" si="8"/>
        <v/>
      </c>
      <c r="AJ652" s="40" t="str">
        <f>IF($K652="","",COUNTIF(Assignments!$B$6:$B$1000,$K652))</f>
        <v/>
      </c>
      <c r="AK652" s="40" t="str">
        <f>IF($K652="","",IF(AND($AJ652=0,$O652&lt;$N652),Config!$B$43,0))</f>
        <v/>
      </c>
      <c r="AL652" s="40" t="str">
        <f>IF($K652="","",IF(AND($M652="Elite",$G652&gt;=Config!$B$41,$O652&lt;$N652),Config!$B$42,0))</f>
        <v/>
      </c>
      <c r="AM652" s="22"/>
    </row>
    <row r="653" ht="15.75" customHeight="1">
      <c r="A653" s="40" t="str">
        <f t="shared" si="1"/>
        <v/>
      </c>
      <c r="B653" s="40" t="str">
        <f>IF(Bids!$A652="","",Bids!$A652)</f>
        <v/>
      </c>
      <c r="C653" s="40" t="str">
        <f>IF(Bids!$B652="","",Bids!$B652)</f>
        <v/>
      </c>
      <c r="D653" s="40" t="str">
        <f>IF($C653="","",IFERROR(VLOOKUP($C653,Orders!$A$4:$J$998,9,FALSE),""))</f>
        <v/>
      </c>
      <c r="E653" s="40" t="str">
        <f>IF($C653="","",IFERROR(VLOOKUP($C653,Orders!$A$4:$J$998,3,FALSE),""))</f>
        <v/>
      </c>
      <c r="F653" s="40">
        <f t="shared" si="2"/>
        <v>1</v>
      </c>
      <c r="G653" s="40" t="str">
        <f>IF($C653="","",IFERROR(VLOOKUP($C653,Orders!$A$4:$J$998,4,FALSE),""))</f>
        <v/>
      </c>
      <c r="H653" s="40" t="str">
        <f>IF($C653="","",IFERROR(VLOOKUP($C653,Orders!$A$4:$J$998,5,FALSE),""))</f>
        <v/>
      </c>
      <c r="I653" s="40" t="str">
        <f>IF($C653="","",IFERROR(VLOOKUP($C653,Orders!$A$4:$J$998,6,FALSE),""))</f>
        <v/>
      </c>
      <c r="J653" s="40" t="str">
        <f>IF($C653="","",IFERROR(VLOOKUP($C653,Orders!$A$4:$J$998,7,FALSE),""))</f>
        <v/>
      </c>
      <c r="K653" s="40" t="str">
        <f>IF(Bids!$C652="","",Bids!$C652)</f>
        <v/>
      </c>
      <c r="L653" s="40" t="str">
        <f>IF($K653="","",IFERROR(VLOOKUP($K653,Grinders!$A$4:$N$998,2,FALSE),""))</f>
        <v/>
      </c>
      <c r="M653" s="40" t="str">
        <f>IF($K653="","",IFERROR(VLOOKUP($K653,Grinders!$A$4:$N$998,3,FALSE),""))</f>
        <v/>
      </c>
      <c r="N653" s="40" t="str">
        <f>IF($K653="","",IFERROR(VLOOKUP($K653,Grinders!$A$4:$N$998,4,FALSE),""))</f>
        <v/>
      </c>
      <c r="O653" s="40" t="str">
        <f>IF($K653="","",IFERROR(VLOOKUP($K653,Grinders!$A$4:$N$998,5,FALSE),""))</f>
        <v/>
      </c>
      <c r="P653" s="40" t="str">
        <f>IF($K653="","",IF($C$4="",0,COUNTIFS(Assignments!$B$6:$B$1000,$K653,Assignments!$F$6:$F$1000,$C$4,Assignments!$E$6:$E$1000,"Active")))</f>
        <v/>
      </c>
      <c r="Q653" s="40" t="str">
        <f t="shared" si="3"/>
        <v/>
      </c>
      <c r="R653" s="40" t="str">
        <f t="shared" si="4"/>
        <v/>
      </c>
      <c r="S653" s="40" t="str">
        <f>IF($K653="","",IF($C$4="",0,COUNTIFS(Assignments!$B$6:$B$1000,$K653,Assignments!$F$6:$F$1000,$C$4,Assignments!$D$6:$D$1000,"&gt;="&amp;Config!$B$3-7,Assignments!$D$6:$D$1000,"&lt;="&amp;Config!$B$3)))</f>
        <v/>
      </c>
      <c r="T653" s="40" t="str">
        <f>IF($K653="","",IFERROR(VLOOKUP($K653,Grinders!$A$4:$N$998,8,FALSE),""))</f>
        <v/>
      </c>
      <c r="U653" s="40" t="str">
        <f>IFERROR(IF($K653="","",IF($M653="Elite",MAX(50,MIN(100,Config!$B$27*MAX(0,MIN(100,(1-IF($R653="",0,$R653))*100)) + Config!$B$28*MAX(0,MIN(100,(1-MIN(1,IF(Config!$B$30=0,1,$S653/Config!$B$30)))*100)) + Config!$B$29*MAX(0,MIN(100,MIN(1,IF($T653="",0,$T653)/Config!$B$23)*100)))),MIN(100,Config!$B$27*MAX(0,MIN(100,(1-IF($R653="",0,$R653))*100)) + Config!$B$28*MAX(0,MIN(100,(1-MIN(1,IF(Config!$B$30=0,1,$S653/Config!$B$30)))*100)) + Config!$B$29*MAX(0,MIN(100,MIN(1,IF($T653="",0,$T653)/Config!$B$23)*100))))),"")
</f>
        <v/>
      </c>
      <c r="V653" s="40" t="str">
        <f>IF(Bids!$D652="","",Bids!$D652)</f>
        <v/>
      </c>
      <c r="W653" s="40" t="str">
        <f>IF(Bids!$F652="","",Bids!$F652)</f>
        <v/>
      </c>
      <c r="X653" s="40" t="str">
        <f t="shared" si="5"/>
        <v/>
      </c>
      <c r="Y653" s="40" t="str">
        <f>IF($X653="","",IF(Config!$B$17=Config!$B$16,IF($X653&gt;=Config!$B$17,100,0),MAX(0,MIN(100,($X653-Config!$B$16)/(Config!$B$17-Config!$B$16)*100))))</f>
        <v/>
      </c>
      <c r="Z653" s="40">
        <f>IF($M653="Elite",Config!$B$21,0)</f>
        <v>0</v>
      </c>
      <c r="AA653" s="40" t="str">
        <f>IFERROR(IF(OR($W653="",$H653=""),"",IF($W653&gt;$H653,
  MAX(0, 60-(($W653-$H653)*24/Config!$B$19)*60),
  MIN(100, 60+(($H653-$W653)*24/Config!$B$20)*40)
)),"")
</f>
        <v/>
      </c>
      <c r="AB653" s="40" t="str">
        <f>IF($K653="","",IFERROR(VLOOKUP($K653,Grinders!$A$4:$N$998,10,FALSE)/5*100,""))</f>
        <v/>
      </c>
      <c r="AC653" s="40" t="str">
        <f>IF($K653="","",IFERROR(VLOOKUP($K653,Grinders!$A$4:$N$998,11,FALSE)*100,""))</f>
        <v/>
      </c>
      <c r="AD653" s="40" t="str">
        <f>IF($K653="","",IFERROR(VLOOKUP($K653,Grinders!$A$4:$N$998,12,FALSE)*100,""))</f>
        <v/>
      </c>
      <c r="AE653" s="40">
        <f>IFERROR(IFS(
    OR($C653="", $K653=""), 0,
    $F653=0, 0,
    $D653&lt;&gt;"Open", 0,
    COUNTIFS(GrinderServices!$B$4:$B$998, $K653, GrinderServices!$C$4:$C$998, $E653, GrinderServices!$E$4:$E$998, "Y")=0, 0,
    $X653&lt;Config!$B$16, 0,
    Config!$B$18=1, IF($O653&gt;=N653, 0, 1),
    TRUE, 1
), "")
</f>
        <v>0</v>
      </c>
      <c r="AF653" s="40" t="str">
        <f>IFERROR(IF($AE653=0,"",((Config!$B$6*$Y653 + Config!$B$7*$U653 + Config!$B$8*$Z653 + Config!$B$9*$AA653 + Config!$B$10*$AB653 + Config!$B$11*$AC653 - Config!$B$12*$AD653)/Config!$B$13)+$AK653+$AL653),"")</f>
        <v/>
      </c>
      <c r="AG653" s="40" t="str">
        <f t="shared" si="6"/>
        <v/>
      </c>
      <c r="AH653" s="40" t="str">
        <f t="shared" si="7"/>
        <v/>
      </c>
      <c r="AI653" s="40" t="str">
        <f t="shared" si="8"/>
        <v/>
      </c>
      <c r="AJ653" s="40" t="str">
        <f>IF($K653="","",COUNTIF(Assignments!$B$6:$B$1000,$K653))</f>
        <v/>
      </c>
      <c r="AK653" s="40" t="str">
        <f>IF($K653="","",IF(AND($AJ653=0,$O653&lt;$N653),Config!$B$43,0))</f>
        <v/>
      </c>
      <c r="AL653" s="40" t="str">
        <f>IF($K653="","",IF(AND($M653="Elite",$G653&gt;=Config!$B$41,$O653&lt;$N653),Config!$B$42,0))</f>
        <v/>
      </c>
      <c r="AM653" s="22"/>
    </row>
    <row r="654" ht="15.75" customHeight="1">
      <c r="A654" s="40" t="str">
        <f t="shared" si="1"/>
        <v/>
      </c>
      <c r="B654" s="40" t="str">
        <f>IF(Bids!$A653="","",Bids!$A653)</f>
        <v/>
      </c>
      <c r="C654" s="40" t="str">
        <f>IF(Bids!$B653="","",Bids!$B653)</f>
        <v/>
      </c>
      <c r="D654" s="40" t="str">
        <f>IF($C654="","",IFERROR(VLOOKUP($C654,Orders!$A$4:$J$998,9,FALSE),""))</f>
        <v/>
      </c>
      <c r="E654" s="40" t="str">
        <f>IF($C654="","",IFERROR(VLOOKUP($C654,Orders!$A$4:$J$998,3,FALSE),""))</f>
        <v/>
      </c>
      <c r="F654" s="40">
        <f t="shared" si="2"/>
        <v>1</v>
      </c>
      <c r="G654" s="40" t="str">
        <f>IF($C654="","",IFERROR(VLOOKUP($C654,Orders!$A$4:$J$998,4,FALSE),""))</f>
        <v/>
      </c>
      <c r="H654" s="40" t="str">
        <f>IF($C654="","",IFERROR(VLOOKUP($C654,Orders!$A$4:$J$998,5,FALSE),""))</f>
        <v/>
      </c>
      <c r="I654" s="40" t="str">
        <f>IF($C654="","",IFERROR(VLOOKUP($C654,Orders!$A$4:$J$998,6,FALSE),""))</f>
        <v/>
      </c>
      <c r="J654" s="40" t="str">
        <f>IF($C654="","",IFERROR(VLOOKUP($C654,Orders!$A$4:$J$998,7,FALSE),""))</f>
        <v/>
      </c>
      <c r="K654" s="40" t="str">
        <f>IF(Bids!$C653="","",Bids!$C653)</f>
        <v/>
      </c>
      <c r="L654" s="40" t="str">
        <f>IF($K654="","",IFERROR(VLOOKUP($K654,Grinders!$A$4:$N$998,2,FALSE),""))</f>
        <v/>
      </c>
      <c r="M654" s="40" t="str">
        <f>IF($K654="","",IFERROR(VLOOKUP($K654,Grinders!$A$4:$N$998,3,FALSE),""))</f>
        <v/>
      </c>
      <c r="N654" s="40" t="str">
        <f>IF($K654="","",IFERROR(VLOOKUP($K654,Grinders!$A$4:$N$998,4,FALSE),""))</f>
        <v/>
      </c>
      <c r="O654" s="40" t="str">
        <f>IF($K654="","",IFERROR(VLOOKUP($K654,Grinders!$A$4:$N$998,5,FALSE),""))</f>
        <v/>
      </c>
      <c r="P654" s="40" t="str">
        <f>IF($K654="","",IF($C$4="",0,COUNTIFS(Assignments!$B$6:$B$1000,$K654,Assignments!$F$6:$F$1000,$C$4,Assignments!$E$6:$E$1000,"Active")))</f>
        <v/>
      </c>
      <c r="Q654" s="40" t="str">
        <f t="shared" si="3"/>
        <v/>
      </c>
      <c r="R654" s="40" t="str">
        <f t="shared" si="4"/>
        <v/>
      </c>
      <c r="S654" s="40" t="str">
        <f>IF($K654="","",IF($C$4="",0,COUNTIFS(Assignments!$B$6:$B$1000,$K654,Assignments!$F$6:$F$1000,$C$4,Assignments!$D$6:$D$1000,"&gt;="&amp;Config!$B$3-7,Assignments!$D$6:$D$1000,"&lt;="&amp;Config!$B$3)))</f>
        <v/>
      </c>
      <c r="T654" s="40" t="str">
        <f>IF($K654="","",IFERROR(VLOOKUP($K654,Grinders!$A$4:$N$998,8,FALSE),""))</f>
        <v/>
      </c>
      <c r="U654" s="40" t="str">
        <f>IFERROR(IF($K654="","",IF($M654="Elite",MAX(50,MIN(100,Config!$B$27*MAX(0,MIN(100,(1-IF($R654="",0,$R654))*100)) + Config!$B$28*MAX(0,MIN(100,(1-MIN(1,IF(Config!$B$30=0,1,$S654/Config!$B$30)))*100)) + Config!$B$29*MAX(0,MIN(100,MIN(1,IF($T654="",0,$T654)/Config!$B$23)*100)))),MIN(100,Config!$B$27*MAX(0,MIN(100,(1-IF($R654="",0,$R654))*100)) + Config!$B$28*MAX(0,MIN(100,(1-MIN(1,IF(Config!$B$30=0,1,$S654/Config!$B$30)))*100)) + Config!$B$29*MAX(0,MIN(100,MIN(1,IF($T654="",0,$T654)/Config!$B$23)*100))))),"")
</f>
        <v/>
      </c>
      <c r="V654" s="40" t="str">
        <f>IF(Bids!$D653="","",Bids!$D653)</f>
        <v/>
      </c>
      <c r="W654" s="40" t="str">
        <f>IF(Bids!$F653="","",Bids!$F653)</f>
        <v/>
      </c>
      <c r="X654" s="40" t="str">
        <f t="shared" si="5"/>
        <v/>
      </c>
      <c r="Y654" s="40" t="str">
        <f>IF($X654="","",IF(Config!$B$17=Config!$B$16,IF($X654&gt;=Config!$B$17,100,0),MAX(0,MIN(100,($X654-Config!$B$16)/(Config!$B$17-Config!$B$16)*100))))</f>
        <v/>
      </c>
      <c r="Z654" s="40">
        <f>IF($M654="Elite",Config!$B$21,0)</f>
        <v>0</v>
      </c>
      <c r="AA654" s="40" t="str">
        <f>IFERROR(IF(OR($W654="",$H654=""),"",IF($W654&gt;$H654,
  MAX(0, 60-(($W654-$H654)*24/Config!$B$19)*60),
  MIN(100, 60+(($H654-$W654)*24/Config!$B$20)*40)
)),"")
</f>
        <v/>
      </c>
      <c r="AB654" s="40" t="str">
        <f>IF($K654="","",IFERROR(VLOOKUP($K654,Grinders!$A$4:$N$998,10,FALSE)/5*100,""))</f>
        <v/>
      </c>
      <c r="AC654" s="40" t="str">
        <f>IF($K654="","",IFERROR(VLOOKUP($K654,Grinders!$A$4:$N$998,11,FALSE)*100,""))</f>
        <v/>
      </c>
      <c r="AD654" s="40" t="str">
        <f>IF($K654="","",IFERROR(VLOOKUP($K654,Grinders!$A$4:$N$998,12,FALSE)*100,""))</f>
        <v/>
      </c>
      <c r="AE654" s="40">
        <f>IFERROR(IFS(
    OR($C654="", $K654=""), 0,
    $F654=0, 0,
    $D654&lt;&gt;"Open", 0,
    COUNTIFS(GrinderServices!$B$4:$B$998, $K654, GrinderServices!$C$4:$C$998, $E654, GrinderServices!$E$4:$E$998, "Y")=0, 0,
    $X654&lt;Config!$B$16, 0,
    Config!$B$18=1, IF($O654&gt;=N654, 0, 1),
    TRUE, 1
), "")
</f>
        <v>0</v>
      </c>
      <c r="AF654" s="40" t="str">
        <f>IFERROR(IF($AE654=0,"",((Config!$B$6*$Y654 + Config!$B$7*$U654 + Config!$B$8*$Z654 + Config!$B$9*$AA654 + Config!$B$10*$AB654 + Config!$B$11*$AC654 - Config!$B$12*$AD654)/Config!$B$13)+$AK654+$AL654),"")</f>
        <v/>
      </c>
      <c r="AG654" s="40" t="str">
        <f t="shared" si="6"/>
        <v/>
      </c>
      <c r="AH654" s="40" t="str">
        <f t="shared" si="7"/>
        <v/>
      </c>
      <c r="AI654" s="40" t="str">
        <f t="shared" si="8"/>
        <v/>
      </c>
      <c r="AJ654" s="40" t="str">
        <f>IF($K654="","",COUNTIF(Assignments!$B$6:$B$1000,$K654))</f>
        <v/>
      </c>
      <c r="AK654" s="40" t="str">
        <f>IF($K654="","",IF(AND($AJ654=0,$O654&lt;$N654),Config!$B$43,0))</f>
        <v/>
      </c>
      <c r="AL654" s="40" t="str">
        <f>IF($K654="","",IF(AND($M654="Elite",$G654&gt;=Config!$B$41,$O654&lt;$N654),Config!$B$42,0))</f>
        <v/>
      </c>
      <c r="AM654" s="22"/>
    </row>
    <row r="655" ht="15.75" customHeight="1">
      <c r="A655" s="40" t="str">
        <f t="shared" si="1"/>
        <v/>
      </c>
      <c r="B655" s="40" t="str">
        <f>IF(Bids!$A654="","",Bids!$A654)</f>
        <v/>
      </c>
      <c r="C655" s="40" t="str">
        <f>IF(Bids!$B654="","",Bids!$B654)</f>
        <v/>
      </c>
      <c r="D655" s="40" t="str">
        <f>IF($C655="","",IFERROR(VLOOKUP($C655,Orders!$A$4:$J$998,9,FALSE),""))</f>
        <v/>
      </c>
      <c r="E655" s="40" t="str">
        <f>IF($C655="","",IFERROR(VLOOKUP($C655,Orders!$A$4:$J$998,3,FALSE),""))</f>
        <v/>
      </c>
      <c r="F655" s="40">
        <f t="shared" si="2"/>
        <v>1</v>
      </c>
      <c r="G655" s="40" t="str">
        <f>IF($C655="","",IFERROR(VLOOKUP($C655,Orders!$A$4:$J$998,4,FALSE),""))</f>
        <v/>
      </c>
      <c r="H655" s="40" t="str">
        <f>IF($C655="","",IFERROR(VLOOKUP($C655,Orders!$A$4:$J$998,5,FALSE),""))</f>
        <v/>
      </c>
      <c r="I655" s="40" t="str">
        <f>IF($C655="","",IFERROR(VLOOKUP($C655,Orders!$A$4:$J$998,6,FALSE),""))</f>
        <v/>
      </c>
      <c r="J655" s="40" t="str">
        <f>IF($C655="","",IFERROR(VLOOKUP($C655,Orders!$A$4:$J$998,7,FALSE),""))</f>
        <v/>
      </c>
      <c r="K655" s="40" t="str">
        <f>IF(Bids!$C654="","",Bids!$C654)</f>
        <v/>
      </c>
      <c r="L655" s="40" t="str">
        <f>IF($K655="","",IFERROR(VLOOKUP($K655,Grinders!$A$4:$N$998,2,FALSE),""))</f>
        <v/>
      </c>
      <c r="M655" s="40" t="str">
        <f>IF($K655="","",IFERROR(VLOOKUP($K655,Grinders!$A$4:$N$998,3,FALSE),""))</f>
        <v/>
      </c>
      <c r="N655" s="40" t="str">
        <f>IF($K655="","",IFERROR(VLOOKUP($K655,Grinders!$A$4:$N$998,4,FALSE),""))</f>
        <v/>
      </c>
      <c r="O655" s="40" t="str">
        <f>IF($K655="","",IFERROR(VLOOKUP($K655,Grinders!$A$4:$N$998,5,FALSE),""))</f>
        <v/>
      </c>
      <c r="P655" s="40" t="str">
        <f>IF($K655="","",IF($C$4="",0,COUNTIFS(Assignments!$B$6:$B$1000,$K655,Assignments!$F$6:$F$1000,$C$4,Assignments!$E$6:$E$1000,"Active")))</f>
        <v/>
      </c>
      <c r="Q655" s="40" t="str">
        <f t="shared" si="3"/>
        <v/>
      </c>
      <c r="R655" s="40" t="str">
        <f t="shared" si="4"/>
        <v/>
      </c>
      <c r="S655" s="40" t="str">
        <f>IF($K655="","",IF($C$4="",0,COUNTIFS(Assignments!$B$6:$B$1000,$K655,Assignments!$F$6:$F$1000,$C$4,Assignments!$D$6:$D$1000,"&gt;="&amp;Config!$B$3-7,Assignments!$D$6:$D$1000,"&lt;="&amp;Config!$B$3)))</f>
        <v/>
      </c>
      <c r="T655" s="40" t="str">
        <f>IF($K655="","",IFERROR(VLOOKUP($K655,Grinders!$A$4:$N$998,8,FALSE),""))</f>
        <v/>
      </c>
      <c r="U655" s="40" t="str">
        <f>IFERROR(IF($K655="","",IF($M655="Elite",MAX(50,MIN(100,Config!$B$27*MAX(0,MIN(100,(1-IF($R655="",0,$R655))*100)) + Config!$B$28*MAX(0,MIN(100,(1-MIN(1,IF(Config!$B$30=0,1,$S655/Config!$B$30)))*100)) + Config!$B$29*MAX(0,MIN(100,MIN(1,IF($T655="",0,$T655)/Config!$B$23)*100)))),MIN(100,Config!$B$27*MAX(0,MIN(100,(1-IF($R655="",0,$R655))*100)) + Config!$B$28*MAX(0,MIN(100,(1-MIN(1,IF(Config!$B$30=0,1,$S655/Config!$B$30)))*100)) + Config!$B$29*MAX(0,MIN(100,MIN(1,IF($T655="",0,$T655)/Config!$B$23)*100))))),"")
</f>
        <v/>
      </c>
      <c r="V655" s="40" t="str">
        <f>IF(Bids!$D654="","",Bids!$D654)</f>
        <v/>
      </c>
      <c r="W655" s="40" t="str">
        <f>IF(Bids!$F654="","",Bids!$F654)</f>
        <v/>
      </c>
      <c r="X655" s="40" t="str">
        <f t="shared" si="5"/>
        <v/>
      </c>
      <c r="Y655" s="40" t="str">
        <f>IF($X655="","",IF(Config!$B$17=Config!$B$16,IF($X655&gt;=Config!$B$17,100,0),MAX(0,MIN(100,($X655-Config!$B$16)/(Config!$B$17-Config!$B$16)*100))))</f>
        <v/>
      </c>
      <c r="Z655" s="40">
        <f>IF($M655="Elite",Config!$B$21,0)</f>
        <v>0</v>
      </c>
      <c r="AA655" s="40" t="str">
        <f>IFERROR(IF(OR($W655="",$H655=""),"",IF($W655&gt;$H655,
  MAX(0, 60-(($W655-$H655)*24/Config!$B$19)*60),
  MIN(100, 60+(($H655-$W655)*24/Config!$B$20)*40)
)),"")
</f>
        <v/>
      </c>
      <c r="AB655" s="40" t="str">
        <f>IF($K655="","",IFERROR(VLOOKUP($K655,Grinders!$A$4:$N$998,10,FALSE)/5*100,""))</f>
        <v/>
      </c>
      <c r="AC655" s="40" t="str">
        <f>IF($K655="","",IFERROR(VLOOKUP($K655,Grinders!$A$4:$N$998,11,FALSE)*100,""))</f>
        <v/>
      </c>
      <c r="AD655" s="40" t="str">
        <f>IF($K655="","",IFERROR(VLOOKUP($K655,Grinders!$A$4:$N$998,12,FALSE)*100,""))</f>
        <v/>
      </c>
      <c r="AE655" s="40">
        <f>IFERROR(IFS(
    OR($C655="", $K655=""), 0,
    $F655=0, 0,
    $D655&lt;&gt;"Open", 0,
    COUNTIFS(GrinderServices!$B$4:$B$998, $K655, GrinderServices!$C$4:$C$998, $E655, GrinderServices!$E$4:$E$998, "Y")=0, 0,
    $X655&lt;Config!$B$16, 0,
    Config!$B$18=1, IF($O655&gt;=N655, 0, 1),
    TRUE, 1
), "")
</f>
        <v>0</v>
      </c>
      <c r="AF655" s="40" t="str">
        <f>IFERROR(IF($AE655=0,"",((Config!$B$6*$Y655 + Config!$B$7*$U655 + Config!$B$8*$Z655 + Config!$B$9*$AA655 + Config!$B$10*$AB655 + Config!$B$11*$AC655 - Config!$B$12*$AD655)/Config!$B$13)+$AK655+$AL655),"")</f>
        <v/>
      </c>
      <c r="AG655" s="40" t="str">
        <f t="shared" si="6"/>
        <v/>
      </c>
      <c r="AH655" s="40" t="str">
        <f t="shared" si="7"/>
        <v/>
      </c>
      <c r="AI655" s="40" t="str">
        <f t="shared" si="8"/>
        <v/>
      </c>
      <c r="AJ655" s="40" t="str">
        <f>IF($K655="","",COUNTIF(Assignments!$B$6:$B$1000,$K655))</f>
        <v/>
      </c>
      <c r="AK655" s="40" t="str">
        <f>IF($K655="","",IF(AND($AJ655=0,$O655&lt;$N655),Config!$B$43,0))</f>
        <v/>
      </c>
      <c r="AL655" s="40" t="str">
        <f>IF($K655="","",IF(AND($M655="Elite",$G655&gt;=Config!$B$41,$O655&lt;$N655),Config!$B$42,0))</f>
        <v/>
      </c>
      <c r="AM655" s="22"/>
    </row>
    <row r="656" ht="15.75" customHeight="1">
      <c r="A656" s="40" t="str">
        <f t="shared" si="1"/>
        <v/>
      </c>
      <c r="B656" s="40" t="str">
        <f>IF(Bids!$A655="","",Bids!$A655)</f>
        <v/>
      </c>
      <c r="C656" s="40" t="str">
        <f>IF(Bids!$B655="","",Bids!$B655)</f>
        <v/>
      </c>
      <c r="D656" s="40" t="str">
        <f>IF($C656="","",IFERROR(VLOOKUP($C656,Orders!$A$4:$J$998,9,FALSE),""))</f>
        <v/>
      </c>
      <c r="E656" s="40" t="str">
        <f>IF($C656="","",IFERROR(VLOOKUP($C656,Orders!$A$4:$J$998,3,FALSE),""))</f>
        <v/>
      </c>
      <c r="F656" s="40">
        <f t="shared" si="2"/>
        <v>1</v>
      </c>
      <c r="G656" s="40" t="str">
        <f>IF($C656="","",IFERROR(VLOOKUP($C656,Orders!$A$4:$J$998,4,FALSE),""))</f>
        <v/>
      </c>
      <c r="H656" s="40" t="str">
        <f>IF($C656="","",IFERROR(VLOOKUP($C656,Orders!$A$4:$J$998,5,FALSE),""))</f>
        <v/>
      </c>
      <c r="I656" s="40" t="str">
        <f>IF($C656="","",IFERROR(VLOOKUP($C656,Orders!$A$4:$J$998,6,FALSE),""))</f>
        <v/>
      </c>
      <c r="J656" s="40" t="str">
        <f>IF($C656="","",IFERROR(VLOOKUP($C656,Orders!$A$4:$J$998,7,FALSE),""))</f>
        <v/>
      </c>
      <c r="K656" s="40" t="str">
        <f>IF(Bids!$C655="","",Bids!$C655)</f>
        <v/>
      </c>
      <c r="L656" s="40" t="str">
        <f>IF($K656="","",IFERROR(VLOOKUP($K656,Grinders!$A$4:$N$998,2,FALSE),""))</f>
        <v/>
      </c>
      <c r="M656" s="40" t="str">
        <f>IF($K656="","",IFERROR(VLOOKUP($K656,Grinders!$A$4:$N$998,3,FALSE),""))</f>
        <v/>
      </c>
      <c r="N656" s="40" t="str">
        <f>IF($K656="","",IFERROR(VLOOKUP($K656,Grinders!$A$4:$N$998,4,FALSE),""))</f>
        <v/>
      </c>
      <c r="O656" s="40" t="str">
        <f>IF($K656="","",IFERROR(VLOOKUP($K656,Grinders!$A$4:$N$998,5,FALSE),""))</f>
        <v/>
      </c>
      <c r="P656" s="40" t="str">
        <f>IF($K656="","",IF($C$4="",0,COUNTIFS(Assignments!$B$6:$B$1000,$K656,Assignments!$F$6:$F$1000,$C$4,Assignments!$E$6:$E$1000,"Active")))</f>
        <v/>
      </c>
      <c r="Q656" s="40" t="str">
        <f t="shared" si="3"/>
        <v/>
      </c>
      <c r="R656" s="40" t="str">
        <f t="shared" si="4"/>
        <v/>
      </c>
      <c r="S656" s="40" t="str">
        <f>IF($K656="","",IF($C$4="",0,COUNTIFS(Assignments!$B$6:$B$1000,$K656,Assignments!$F$6:$F$1000,$C$4,Assignments!$D$6:$D$1000,"&gt;="&amp;Config!$B$3-7,Assignments!$D$6:$D$1000,"&lt;="&amp;Config!$B$3)))</f>
        <v/>
      </c>
      <c r="T656" s="40" t="str">
        <f>IF($K656="","",IFERROR(VLOOKUP($K656,Grinders!$A$4:$N$998,8,FALSE),""))</f>
        <v/>
      </c>
      <c r="U656" s="40" t="str">
        <f>IFERROR(IF($K656="","",IF($M656="Elite",MAX(50,MIN(100,Config!$B$27*MAX(0,MIN(100,(1-IF($R656="",0,$R656))*100)) + Config!$B$28*MAX(0,MIN(100,(1-MIN(1,IF(Config!$B$30=0,1,$S656/Config!$B$30)))*100)) + Config!$B$29*MAX(0,MIN(100,MIN(1,IF($T656="",0,$T656)/Config!$B$23)*100)))),MIN(100,Config!$B$27*MAX(0,MIN(100,(1-IF($R656="",0,$R656))*100)) + Config!$B$28*MAX(0,MIN(100,(1-MIN(1,IF(Config!$B$30=0,1,$S656/Config!$B$30)))*100)) + Config!$B$29*MAX(0,MIN(100,MIN(1,IF($T656="",0,$T656)/Config!$B$23)*100))))),"")
</f>
        <v/>
      </c>
      <c r="V656" s="40" t="str">
        <f>IF(Bids!$D655="","",Bids!$D655)</f>
        <v/>
      </c>
      <c r="W656" s="40" t="str">
        <f>IF(Bids!$F655="","",Bids!$F655)</f>
        <v/>
      </c>
      <c r="X656" s="40" t="str">
        <f t="shared" si="5"/>
        <v/>
      </c>
      <c r="Y656" s="40" t="str">
        <f>IF($X656="","",IF(Config!$B$17=Config!$B$16,IF($X656&gt;=Config!$B$17,100,0),MAX(0,MIN(100,($X656-Config!$B$16)/(Config!$B$17-Config!$B$16)*100))))</f>
        <v/>
      </c>
      <c r="Z656" s="40">
        <f>IF($M656="Elite",Config!$B$21,0)</f>
        <v>0</v>
      </c>
      <c r="AA656" s="40" t="str">
        <f>IFERROR(IF(OR($W656="",$H656=""),"",IF($W656&gt;$H656,
  MAX(0, 60-(($W656-$H656)*24/Config!$B$19)*60),
  MIN(100, 60+(($H656-$W656)*24/Config!$B$20)*40)
)),"")
</f>
        <v/>
      </c>
      <c r="AB656" s="40" t="str">
        <f>IF($K656="","",IFERROR(VLOOKUP($K656,Grinders!$A$4:$N$998,10,FALSE)/5*100,""))</f>
        <v/>
      </c>
      <c r="AC656" s="40" t="str">
        <f>IF($K656="","",IFERROR(VLOOKUP($K656,Grinders!$A$4:$N$998,11,FALSE)*100,""))</f>
        <v/>
      </c>
      <c r="AD656" s="40" t="str">
        <f>IF($K656="","",IFERROR(VLOOKUP($K656,Grinders!$A$4:$N$998,12,FALSE)*100,""))</f>
        <v/>
      </c>
      <c r="AE656" s="40">
        <f>IFERROR(IFS(
    OR($C656="", $K656=""), 0,
    $F656=0, 0,
    $D656&lt;&gt;"Open", 0,
    COUNTIFS(GrinderServices!$B$4:$B$998, $K656, GrinderServices!$C$4:$C$998, $E656, GrinderServices!$E$4:$E$998, "Y")=0, 0,
    $X656&lt;Config!$B$16, 0,
    Config!$B$18=1, IF($O656&gt;=N656, 0, 1),
    TRUE, 1
), "")
</f>
        <v>0</v>
      </c>
      <c r="AF656" s="40" t="str">
        <f>IFERROR(IF($AE656=0,"",((Config!$B$6*$Y656 + Config!$B$7*$U656 + Config!$B$8*$Z656 + Config!$B$9*$AA656 + Config!$B$10*$AB656 + Config!$B$11*$AC656 - Config!$B$12*$AD656)/Config!$B$13)+$AK656+$AL656),"")</f>
        <v/>
      </c>
      <c r="AG656" s="40" t="str">
        <f t="shared" si="6"/>
        <v/>
      </c>
      <c r="AH656" s="40" t="str">
        <f t="shared" si="7"/>
        <v/>
      </c>
      <c r="AI656" s="40" t="str">
        <f t="shared" si="8"/>
        <v/>
      </c>
      <c r="AJ656" s="40" t="str">
        <f>IF($K656="","",COUNTIF(Assignments!$B$6:$B$1000,$K656))</f>
        <v/>
      </c>
      <c r="AK656" s="40" t="str">
        <f>IF($K656="","",IF(AND($AJ656=0,$O656&lt;$N656),Config!$B$43,0))</f>
        <v/>
      </c>
      <c r="AL656" s="40" t="str">
        <f>IF($K656="","",IF(AND($M656="Elite",$G656&gt;=Config!$B$41,$O656&lt;$N656),Config!$B$42,0))</f>
        <v/>
      </c>
      <c r="AM656" s="22"/>
    </row>
    <row r="657" ht="15.75" customHeight="1">
      <c r="A657" s="40" t="str">
        <f t="shared" si="1"/>
        <v/>
      </c>
      <c r="B657" s="40" t="str">
        <f>IF(Bids!$A656="","",Bids!$A656)</f>
        <v/>
      </c>
      <c r="C657" s="40" t="str">
        <f>IF(Bids!$B656="","",Bids!$B656)</f>
        <v/>
      </c>
      <c r="D657" s="40" t="str">
        <f>IF($C657="","",IFERROR(VLOOKUP($C657,Orders!$A$4:$J$998,9,FALSE),""))</f>
        <v/>
      </c>
      <c r="E657" s="40" t="str">
        <f>IF($C657="","",IFERROR(VLOOKUP($C657,Orders!$A$4:$J$998,3,FALSE),""))</f>
        <v/>
      </c>
      <c r="F657" s="40">
        <f t="shared" si="2"/>
        <v>1</v>
      </c>
      <c r="G657" s="40" t="str">
        <f>IF($C657="","",IFERROR(VLOOKUP($C657,Orders!$A$4:$J$998,4,FALSE),""))</f>
        <v/>
      </c>
      <c r="H657" s="40" t="str">
        <f>IF($C657="","",IFERROR(VLOOKUP($C657,Orders!$A$4:$J$998,5,FALSE),""))</f>
        <v/>
      </c>
      <c r="I657" s="40" t="str">
        <f>IF($C657="","",IFERROR(VLOOKUP($C657,Orders!$A$4:$J$998,6,FALSE),""))</f>
        <v/>
      </c>
      <c r="J657" s="40" t="str">
        <f>IF($C657="","",IFERROR(VLOOKUP($C657,Orders!$A$4:$J$998,7,FALSE),""))</f>
        <v/>
      </c>
      <c r="K657" s="40" t="str">
        <f>IF(Bids!$C656="","",Bids!$C656)</f>
        <v/>
      </c>
      <c r="L657" s="40" t="str">
        <f>IF($K657="","",IFERROR(VLOOKUP($K657,Grinders!$A$4:$N$998,2,FALSE),""))</f>
        <v/>
      </c>
      <c r="M657" s="40" t="str">
        <f>IF($K657="","",IFERROR(VLOOKUP($K657,Grinders!$A$4:$N$998,3,FALSE),""))</f>
        <v/>
      </c>
      <c r="N657" s="40" t="str">
        <f>IF($K657="","",IFERROR(VLOOKUP($K657,Grinders!$A$4:$N$998,4,FALSE),""))</f>
        <v/>
      </c>
      <c r="O657" s="40" t="str">
        <f>IF($K657="","",IFERROR(VLOOKUP($K657,Grinders!$A$4:$N$998,5,FALSE),""))</f>
        <v/>
      </c>
      <c r="P657" s="40" t="str">
        <f>IF($K657="","",IF($C$4="",0,COUNTIFS(Assignments!$B$6:$B$1000,$K657,Assignments!$F$6:$F$1000,$C$4,Assignments!$E$6:$E$1000,"Active")))</f>
        <v/>
      </c>
      <c r="Q657" s="40" t="str">
        <f t="shared" si="3"/>
        <v/>
      </c>
      <c r="R657" s="40" t="str">
        <f t="shared" si="4"/>
        <v/>
      </c>
      <c r="S657" s="40" t="str">
        <f>IF($K657="","",IF($C$4="",0,COUNTIFS(Assignments!$B$6:$B$1000,$K657,Assignments!$F$6:$F$1000,$C$4,Assignments!$D$6:$D$1000,"&gt;="&amp;Config!$B$3-7,Assignments!$D$6:$D$1000,"&lt;="&amp;Config!$B$3)))</f>
        <v/>
      </c>
      <c r="T657" s="40" t="str">
        <f>IF($K657="","",IFERROR(VLOOKUP($K657,Grinders!$A$4:$N$998,8,FALSE),""))</f>
        <v/>
      </c>
      <c r="U657" s="40" t="str">
        <f>IFERROR(IF($K657="","",IF($M657="Elite",MAX(50,MIN(100,Config!$B$27*MAX(0,MIN(100,(1-IF($R657="",0,$R657))*100)) + Config!$B$28*MAX(0,MIN(100,(1-MIN(1,IF(Config!$B$30=0,1,$S657/Config!$B$30)))*100)) + Config!$B$29*MAX(0,MIN(100,MIN(1,IF($T657="",0,$T657)/Config!$B$23)*100)))),MIN(100,Config!$B$27*MAX(0,MIN(100,(1-IF($R657="",0,$R657))*100)) + Config!$B$28*MAX(0,MIN(100,(1-MIN(1,IF(Config!$B$30=0,1,$S657/Config!$B$30)))*100)) + Config!$B$29*MAX(0,MIN(100,MIN(1,IF($T657="",0,$T657)/Config!$B$23)*100))))),"")
</f>
        <v/>
      </c>
      <c r="V657" s="40" t="str">
        <f>IF(Bids!$D656="","",Bids!$D656)</f>
        <v/>
      </c>
      <c r="W657" s="40" t="str">
        <f>IF(Bids!$F656="","",Bids!$F656)</f>
        <v/>
      </c>
      <c r="X657" s="40" t="str">
        <f t="shared" si="5"/>
        <v/>
      </c>
      <c r="Y657" s="40" t="str">
        <f>IF($X657="","",IF(Config!$B$17=Config!$B$16,IF($X657&gt;=Config!$B$17,100,0),MAX(0,MIN(100,($X657-Config!$B$16)/(Config!$B$17-Config!$B$16)*100))))</f>
        <v/>
      </c>
      <c r="Z657" s="40">
        <f>IF($M657="Elite",Config!$B$21,0)</f>
        <v>0</v>
      </c>
      <c r="AA657" s="40" t="str">
        <f>IFERROR(IF(OR($W657="",$H657=""),"",IF($W657&gt;$H657,
  MAX(0, 60-(($W657-$H657)*24/Config!$B$19)*60),
  MIN(100, 60+(($H657-$W657)*24/Config!$B$20)*40)
)),"")
</f>
        <v/>
      </c>
      <c r="AB657" s="40" t="str">
        <f>IF($K657="","",IFERROR(VLOOKUP($K657,Grinders!$A$4:$N$998,10,FALSE)/5*100,""))</f>
        <v/>
      </c>
      <c r="AC657" s="40" t="str">
        <f>IF($K657="","",IFERROR(VLOOKUP($K657,Grinders!$A$4:$N$998,11,FALSE)*100,""))</f>
        <v/>
      </c>
      <c r="AD657" s="40" t="str">
        <f>IF($K657="","",IFERROR(VLOOKUP($K657,Grinders!$A$4:$N$998,12,FALSE)*100,""))</f>
        <v/>
      </c>
      <c r="AE657" s="40">
        <f>IFERROR(IFS(
    OR($C657="", $K657=""), 0,
    $F657=0, 0,
    $D657&lt;&gt;"Open", 0,
    COUNTIFS(GrinderServices!$B$4:$B$998, $K657, GrinderServices!$C$4:$C$998, $E657, GrinderServices!$E$4:$E$998, "Y")=0, 0,
    $X657&lt;Config!$B$16, 0,
    Config!$B$18=1, IF($O657&gt;=N657, 0, 1),
    TRUE, 1
), "")
</f>
        <v>0</v>
      </c>
      <c r="AF657" s="40" t="str">
        <f>IFERROR(IF($AE657=0,"",((Config!$B$6*$Y657 + Config!$B$7*$U657 + Config!$B$8*$Z657 + Config!$B$9*$AA657 + Config!$B$10*$AB657 + Config!$B$11*$AC657 - Config!$B$12*$AD657)/Config!$B$13)+$AK657+$AL657),"")</f>
        <v/>
      </c>
      <c r="AG657" s="40" t="str">
        <f t="shared" si="6"/>
        <v/>
      </c>
      <c r="AH657" s="40" t="str">
        <f t="shared" si="7"/>
        <v/>
      </c>
      <c r="AI657" s="40" t="str">
        <f t="shared" si="8"/>
        <v/>
      </c>
      <c r="AJ657" s="40" t="str">
        <f>IF($K657="","",COUNTIF(Assignments!$B$6:$B$1000,$K657))</f>
        <v/>
      </c>
      <c r="AK657" s="40" t="str">
        <f>IF($K657="","",IF(AND($AJ657=0,$O657&lt;$N657),Config!$B$43,0))</f>
        <v/>
      </c>
      <c r="AL657" s="40" t="str">
        <f>IF($K657="","",IF(AND($M657="Elite",$G657&gt;=Config!$B$41,$O657&lt;$N657),Config!$B$42,0))</f>
        <v/>
      </c>
      <c r="AM657" s="22"/>
    </row>
    <row r="658" ht="15.75" customHeight="1">
      <c r="A658" s="40" t="str">
        <f t="shared" si="1"/>
        <v/>
      </c>
      <c r="B658" s="40" t="str">
        <f>IF(Bids!$A657="","",Bids!$A657)</f>
        <v/>
      </c>
      <c r="C658" s="40" t="str">
        <f>IF(Bids!$B657="","",Bids!$B657)</f>
        <v/>
      </c>
      <c r="D658" s="40" t="str">
        <f>IF($C658="","",IFERROR(VLOOKUP($C658,Orders!$A$4:$J$998,9,FALSE),""))</f>
        <v/>
      </c>
      <c r="E658" s="40" t="str">
        <f>IF($C658="","",IFERROR(VLOOKUP($C658,Orders!$A$4:$J$998,3,FALSE),""))</f>
        <v/>
      </c>
      <c r="F658" s="40">
        <f t="shared" si="2"/>
        <v>1</v>
      </c>
      <c r="G658" s="40" t="str">
        <f>IF($C658="","",IFERROR(VLOOKUP($C658,Orders!$A$4:$J$998,4,FALSE),""))</f>
        <v/>
      </c>
      <c r="H658" s="40" t="str">
        <f>IF($C658="","",IFERROR(VLOOKUP($C658,Orders!$A$4:$J$998,5,FALSE),""))</f>
        <v/>
      </c>
      <c r="I658" s="40" t="str">
        <f>IF($C658="","",IFERROR(VLOOKUP($C658,Orders!$A$4:$J$998,6,FALSE),""))</f>
        <v/>
      </c>
      <c r="J658" s="40" t="str">
        <f>IF($C658="","",IFERROR(VLOOKUP($C658,Orders!$A$4:$J$998,7,FALSE),""))</f>
        <v/>
      </c>
      <c r="K658" s="40" t="str">
        <f>IF(Bids!$C657="","",Bids!$C657)</f>
        <v/>
      </c>
      <c r="L658" s="40" t="str">
        <f>IF($K658="","",IFERROR(VLOOKUP($K658,Grinders!$A$4:$N$998,2,FALSE),""))</f>
        <v/>
      </c>
      <c r="M658" s="40" t="str">
        <f>IF($K658="","",IFERROR(VLOOKUP($K658,Grinders!$A$4:$N$998,3,FALSE),""))</f>
        <v/>
      </c>
      <c r="N658" s="40" t="str">
        <f>IF($K658="","",IFERROR(VLOOKUP($K658,Grinders!$A$4:$N$998,4,FALSE),""))</f>
        <v/>
      </c>
      <c r="O658" s="40" t="str">
        <f>IF($K658="","",IFERROR(VLOOKUP($K658,Grinders!$A$4:$N$998,5,FALSE),""))</f>
        <v/>
      </c>
      <c r="P658" s="40" t="str">
        <f>IF($K658="","",IF($C$4="",0,COUNTIFS(Assignments!$B$6:$B$1000,$K658,Assignments!$F$6:$F$1000,$C$4,Assignments!$E$6:$E$1000,"Active")))</f>
        <v/>
      </c>
      <c r="Q658" s="40" t="str">
        <f t="shared" si="3"/>
        <v/>
      </c>
      <c r="R658" s="40" t="str">
        <f t="shared" si="4"/>
        <v/>
      </c>
      <c r="S658" s="40" t="str">
        <f>IF($K658="","",IF($C$4="",0,COUNTIFS(Assignments!$B$6:$B$1000,$K658,Assignments!$F$6:$F$1000,$C$4,Assignments!$D$6:$D$1000,"&gt;="&amp;Config!$B$3-7,Assignments!$D$6:$D$1000,"&lt;="&amp;Config!$B$3)))</f>
        <v/>
      </c>
      <c r="T658" s="40" t="str">
        <f>IF($K658="","",IFERROR(VLOOKUP($K658,Grinders!$A$4:$N$998,8,FALSE),""))</f>
        <v/>
      </c>
      <c r="U658" s="40" t="str">
        <f>IFERROR(IF($K658="","",IF($M658="Elite",MAX(50,MIN(100,Config!$B$27*MAX(0,MIN(100,(1-IF($R658="",0,$R658))*100)) + Config!$B$28*MAX(0,MIN(100,(1-MIN(1,IF(Config!$B$30=0,1,$S658/Config!$B$30)))*100)) + Config!$B$29*MAX(0,MIN(100,MIN(1,IF($T658="",0,$T658)/Config!$B$23)*100)))),MIN(100,Config!$B$27*MAX(0,MIN(100,(1-IF($R658="",0,$R658))*100)) + Config!$B$28*MAX(0,MIN(100,(1-MIN(1,IF(Config!$B$30=0,1,$S658/Config!$B$30)))*100)) + Config!$B$29*MAX(0,MIN(100,MIN(1,IF($T658="",0,$T658)/Config!$B$23)*100))))),"")
</f>
        <v/>
      </c>
      <c r="V658" s="40" t="str">
        <f>IF(Bids!$D657="","",Bids!$D657)</f>
        <v/>
      </c>
      <c r="W658" s="40" t="str">
        <f>IF(Bids!$F657="","",Bids!$F657)</f>
        <v/>
      </c>
      <c r="X658" s="40" t="str">
        <f t="shared" si="5"/>
        <v/>
      </c>
      <c r="Y658" s="40" t="str">
        <f>IF($X658="","",IF(Config!$B$17=Config!$B$16,IF($X658&gt;=Config!$B$17,100,0),MAX(0,MIN(100,($X658-Config!$B$16)/(Config!$B$17-Config!$B$16)*100))))</f>
        <v/>
      </c>
      <c r="Z658" s="40">
        <f>IF($M658="Elite",Config!$B$21,0)</f>
        <v>0</v>
      </c>
      <c r="AA658" s="40" t="str">
        <f>IFERROR(IF(OR($W658="",$H658=""),"",IF($W658&gt;$H658,
  MAX(0, 60-(($W658-$H658)*24/Config!$B$19)*60),
  MIN(100, 60+(($H658-$W658)*24/Config!$B$20)*40)
)),"")
</f>
        <v/>
      </c>
      <c r="AB658" s="40" t="str">
        <f>IF($K658="","",IFERROR(VLOOKUP($K658,Grinders!$A$4:$N$998,10,FALSE)/5*100,""))</f>
        <v/>
      </c>
      <c r="AC658" s="40" t="str">
        <f>IF($K658="","",IFERROR(VLOOKUP($K658,Grinders!$A$4:$N$998,11,FALSE)*100,""))</f>
        <v/>
      </c>
      <c r="AD658" s="40" t="str">
        <f>IF($K658="","",IFERROR(VLOOKUP($K658,Grinders!$A$4:$N$998,12,FALSE)*100,""))</f>
        <v/>
      </c>
      <c r="AE658" s="40">
        <f>IFERROR(IFS(
    OR($C658="", $K658=""), 0,
    $F658=0, 0,
    $D658&lt;&gt;"Open", 0,
    COUNTIFS(GrinderServices!$B$4:$B$998, $K658, GrinderServices!$C$4:$C$998, $E658, GrinderServices!$E$4:$E$998, "Y")=0, 0,
    $X658&lt;Config!$B$16, 0,
    Config!$B$18=1, IF($O658&gt;=N658, 0, 1),
    TRUE, 1
), "")
</f>
        <v>0</v>
      </c>
      <c r="AF658" s="40" t="str">
        <f>IFERROR(IF($AE658=0,"",((Config!$B$6*$Y658 + Config!$B$7*$U658 + Config!$B$8*$Z658 + Config!$B$9*$AA658 + Config!$B$10*$AB658 + Config!$B$11*$AC658 - Config!$B$12*$AD658)/Config!$B$13)+$AK658+$AL658),"")</f>
        <v/>
      </c>
      <c r="AG658" s="40" t="str">
        <f t="shared" si="6"/>
        <v/>
      </c>
      <c r="AH658" s="40" t="str">
        <f t="shared" si="7"/>
        <v/>
      </c>
      <c r="AI658" s="40" t="str">
        <f t="shared" si="8"/>
        <v/>
      </c>
      <c r="AJ658" s="40" t="str">
        <f>IF($K658="","",COUNTIF(Assignments!$B$6:$B$1000,$K658))</f>
        <v/>
      </c>
      <c r="AK658" s="40" t="str">
        <f>IF($K658="","",IF(AND($AJ658=0,$O658&lt;$N658),Config!$B$43,0))</f>
        <v/>
      </c>
      <c r="AL658" s="40" t="str">
        <f>IF($K658="","",IF(AND($M658="Elite",$G658&gt;=Config!$B$41,$O658&lt;$N658),Config!$B$42,0))</f>
        <v/>
      </c>
      <c r="AM658" s="22"/>
    </row>
    <row r="659" ht="15.75" customHeight="1">
      <c r="A659" s="40" t="str">
        <f t="shared" si="1"/>
        <v/>
      </c>
      <c r="B659" s="40" t="str">
        <f>IF(Bids!$A658="","",Bids!$A658)</f>
        <v/>
      </c>
      <c r="C659" s="40" t="str">
        <f>IF(Bids!$B658="","",Bids!$B658)</f>
        <v/>
      </c>
      <c r="D659" s="40" t="str">
        <f>IF($C659="","",IFERROR(VLOOKUP($C659,Orders!$A$4:$J$998,9,FALSE),""))</f>
        <v/>
      </c>
      <c r="E659" s="40" t="str">
        <f>IF($C659="","",IFERROR(VLOOKUP($C659,Orders!$A$4:$J$998,3,FALSE),""))</f>
        <v/>
      </c>
      <c r="F659" s="40">
        <f t="shared" si="2"/>
        <v>1</v>
      </c>
      <c r="G659" s="40" t="str">
        <f>IF($C659="","",IFERROR(VLOOKUP($C659,Orders!$A$4:$J$998,4,FALSE),""))</f>
        <v/>
      </c>
      <c r="H659" s="40" t="str">
        <f>IF($C659="","",IFERROR(VLOOKUP($C659,Orders!$A$4:$J$998,5,FALSE),""))</f>
        <v/>
      </c>
      <c r="I659" s="40" t="str">
        <f>IF($C659="","",IFERROR(VLOOKUP($C659,Orders!$A$4:$J$998,6,FALSE),""))</f>
        <v/>
      </c>
      <c r="J659" s="40" t="str">
        <f>IF($C659="","",IFERROR(VLOOKUP($C659,Orders!$A$4:$J$998,7,FALSE),""))</f>
        <v/>
      </c>
      <c r="K659" s="40" t="str">
        <f>IF(Bids!$C658="","",Bids!$C658)</f>
        <v/>
      </c>
      <c r="L659" s="40" t="str">
        <f>IF($K659="","",IFERROR(VLOOKUP($K659,Grinders!$A$4:$N$998,2,FALSE),""))</f>
        <v/>
      </c>
      <c r="M659" s="40" t="str">
        <f>IF($K659="","",IFERROR(VLOOKUP($K659,Grinders!$A$4:$N$998,3,FALSE),""))</f>
        <v/>
      </c>
      <c r="N659" s="40" t="str">
        <f>IF($K659="","",IFERROR(VLOOKUP($K659,Grinders!$A$4:$N$998,4,FALSE),""))</f>
        <v/>
      </c>
      <c r="O659" s="40" t="str">
        <f>IF($K659="","",IFERROR(VLOOKUP($K659,Grinders!$A$4:$N$998,5,FALSE),""))</f>
        <v/>
      </c>
      <c r="P659" s="40" t="str">
        <f>IF($K659="","",IF($C$4="",0,COUNTIFS(Assignments!$B$6:$B$1000,$K659,Assignments!$F$6:$F$1000,$C$4,Assignments!$E$6:$E$1000,"Active")))</f>
        <v/>
      </c>
      <c r="Q659" s="40" t="str">
        <f t="shared" si="3"/>
        <v/>
      </c>
      <c r="R659" s="40" t="str">
        <f t="shared" si="4"/>
        <v/>
      </c>
      <c r="S659" s="40" t="str">
        <f>IF($K659="","",IF($C$4="",0,COUNTIFS(Assignments!$B$6:$B$1000,$K659,Assignments!$F$6:$F$1000,$C$4,Assignments!$D$6:$D$1000,"&gt;="&amp;Config!$B$3-7,Assignments!$D$6:$D$1000,"&lt;="&amp;Config!$B$3)))</f>
        <v/>
      </c>
      <c r="T659" s="40" t="str">
        <f>IF($K659="","",IFERROR(VLOOKUP($K659,Grinders!$A$4:$N$998,8,FALSE),""))</f>
        <v/>
      </c>
      <c r="U659" s="40" t="str">
        <f>IFERROR(IF($K659="","",IF($M659="Elite",MAX(50,MIN(100,Config!$B$27*MAX(0,MIN(100,(1-IF($R659="",0,$R659))*100)) + Config!$B$28*MAX(0,MIN(100,(1-MIN(1,IF(Config!$B$30=0,1,$S659/Config!$B$30)))*100)) + Config!$B$29*MAX(0,MIN(100,MIN(1,IF($T659="",0,$T659)/Config!$B$23)*100)))),MIN(100,Config!$B$27*MAX(0,MIN(100,(1-IF($R659="",0,$R659))*100)) + Config!$B$28*MAX(0,MIN(100,(1-MIN(1,IF(Config!$B$30=0,1,$S659/Config!$B$30)))*100)) + Config!$B$29*MAX(0,MIN(100,MIN(1,IF($T659="",0,$T659)/Config!$B$23)*100))))),"")
</f>
        <v/>
      </c>
      <c r="V659" s="40" t="str">
        <f>IF(Bids!$D658="","",Bids!$D658)</f>
        <v/>
      </c>
      <c r="W659" s="40" t="str">
        <f>IF(Bids!$F658="","",Bids!$F658)</f>
        <v/>
      </c>
      <c r="X659" s="40" t="str">
        <f t="shared" si="5"/>
        <v/>
      </c>
      <c r="Y659" s="40" t="str">
        <f>IF($X659="","",IF(Config!$B$17=Config!$B$16,IF($X659&gt;=Config!$B$17,100,0),MAX(0,MIN(100,($X659-Config!$B$16)/(Config!$B$17-Config!$B$16)*100))))</f>
        <v/>
      </c>
      <c r="Z659" s="40">
        <f>IF($M659="Elite",Config!$B$21,0)</f>
        <v>0</v>
      </c>
      <c r="AA659" s="40" t="str">
        <f>IFERROR(IF(OR($W659="",$H659=""),"",IF($W659&gt;$H659,
  MAX(0, 60-(($W659-$H659)*24/Config!$B$19)*60),
  MIN(100, 60+(($H659-$W659)*24/Config!$B$20)*40)
)),"")
</f>
        <v/>
      </c>
      <c r="AB659" s="40" t="str">
        <f>IF($K659="","",IFERROR(VLOOKUP($K659,Grinders!$A$4:$N$998,10,FALSE)/5*100,""))</f>
        <v/>
      </c>
      <c r="AC659" s="40" t="str">
        <f>IF($K659="","",IFERROR(VLOOKUP($K659,Grinders!$A$4:$N$998,11,FALSE)*100,""))</f>
        <v/>
      </c>
      <c r="AD659" s="40" t="str">
        <f>IF($K659="","",IFERROR(VLOOKUP($K659,Grinders!$A$4:$N$998,12,FALSE)*100,""))</f>
        <v/>
      </c>
      <c r="AE659" s="40">
        <f>IFERROR(IFS(
    OR($C659="", $K659=""), 0,
    $F659=0, 0,
    $D659&lt;&gt;"Open", 0,
    COUNTIFS(GrinderServices!$B$4:$B$998, $K659, GrinderServices!$C$4:$C$998, $E659, GrinderServices!$E$4:$E$998, "Y")=0, 0,
    $X659&lt;Config!$B$16, 0,
    Config!$B$18=1, IF($O659&gt;=N659, 0, 1),
    TRUE, 1
), "")
</f>
        <v>0</v>
      </c>
      <c r="AF659" s="40" t="str">
        <f>IFERROR(IF($AE659=0,"",((Config!$B$6*$Y659 + Config!$B$7*$U659 + Config!$B$8*$Z659 + Config!$B$9*$AA659 + Config!$B$10*$AB659 + Config!$B$11*$AC659 - Config!$B$12*$AD659)/Config!$B$13)+$AK659+$AL659),"")</f>
        <v/>
      </c>
      <c r="AG659" s="40" t="str">
        <f t="shared" si="6"/>
        <v/>
      </c>
      <c r="AH659" s="40" t="str">
        <f t="shared" si="7"/>
        <v/>
      </c>
      <c r="AI659" s="40" t="str">
        <f t="shared" si="8"/>
        <v/>
      </c>
      <c r="AJ659" s="40" t="str">
        <f>IF($K659="","",COUNTIF(Assignments!$B$6:$B$1000,$K659))</f>
        <v/>
      </c>
      <c r="AK659" s="40" t="str">
        <f>IF($K659="","",IF(AND($AJ659=0,$O659&lt;$N659),Config!$B$43,0))</f>
        <v/>
      </c>
      <c r="AL659" s="40" t="str">
        <f>IF($K659="","",IF(AND($M659="Elite",$G659&gt;=Config!$B$41,$O659&lt;$N659),Config!$B$42,0))</f>
        <v/>
      </c>
      <c r="AM659" s="22"/>
    </row>
    <row r="660" ht="15.75" customHeight="1">
      <c r="A660" s="40" t="str">
        <f t="shared" si="1"/>
        <v/>
      </c>
      <c r="B660" s="40" t="str">
        <f>IF(Bids!$A659="","",Bids!$A659)</f>
        <v/>
      </c>
      <c r="C660" s="40" t="str">
        <f>IF(Bids!$B659="","",Bids!$B659)</f>
        <v/>
      </c>
      <c r="D660" s="40" t="str">
        <f>IF($C660="","",IFERROR(VLOOKUP($C660,Orders!$A$4:$J$998,9,FALSE),""))</f>
        <v/>
      </c>
      <c r="E660" s="40" t="str">
        <f>IF($C660="","",IFERROR(VLOOKUP($C660,Orders!$A$4:$J$998,3,FALSE),""))</f>
        <v/>
      </c>
      <c r="F660" s="40">
        <f t="shared" si="2"/>
        <v>1</v>
      </c>
      <c r="G660" s="40" t="str">
        <f>IF($C660="","",IFERROR(VLOOKUP($C660,Orders!$A$4:$J$998,4,FALSE),""))</f>
        <v/>
      </c>
      <c r="H660" s="40" t="str">
        <f>IF($C660="","",IFERROR(VLOOKUP($C660,Orders!$A$4:$J$998,5,FALSE),""))</f>
        <v/>
      </c>
      <c r="I660" s="40" t="str">
        <f>IF($C660="","",IFERROR(VLOOKUP($C660,Orders!$A$4:$J$998,6,FALSE),""))</f>
        <v/>
      </c>
      <c r="J660" s="40" t="str">
        <f>IF($C660="","",IFERROR(VLOOKUP($C660,Orders!$A$4:$J$998,7,FALSE),""))</f>
        <v/>
      </c>
      <c r="K660" s="40" t="str">
        <f>IF(Bids!$C659="","",Bids!$C659)</f>
        <v/>
      </c>
      <c r="L660" s="40" t="str">
        <f>IF($K660="","",IFERROR(VLOOKUP($K660,Grinders!$A$4:$N$998,2,FALSE),""))</f>
        <v/>
      </c>
      <c r="M660" s="40" t="str">
        <f>IF($K660="","",IFERROR(VLOOKUP($K660,Grinders!$A$4:$N$998,3,FALSE),""))</f>
        <v/>
      </c>
      <c r="N660" s="40" t="str">
        <f>IF($K660="","",IFERROR(VLOOKUP($K660,Grinders!$A$4:$N$998,4,FALSE),""))</f>
        <v/>
      </c>
      <c r="O660" s="40" t="str">
        <f>IF($K660="","",IFERROR(VLOOKUP($K660,Grinders!$A$4:$N$998,5,FALSE),""))</f>
        <v/>
      </c>
      <c r="P660" s="40" t="str">
        <f>IF($K660="","",IF($C$4="",0,COUNTIFS(Assignments!$B$6:$B$1000,$K660,Assignments!$F$6:$F$1000,$C$4,Assignments!$E$6:$E$1000,"Active")))</f>
        <v/>
      </c>
      <c r="Q660" s="40" t="str">
        <f t="shared" si="3"/>
        <v/>
      </c>
      <c r="R660" s="40" t="str">
        <f t="shared" si="4"/>
        <v/>
      </c>
      <c r="S660" s="40" t="str">
        <f>IF($K660="","",IF($C$4="",0,COUNTIFS(Assignments!$B$6:$B$1000,$K660,Assignments!$F$6:$F$1000,$C$4,Assignments!$D$6:$D$1000,"&gt;="&amp;Config!$B$3-7,Assignments!$D$6:$D$1000,"&lt;="&amp;Config!$B$3)))</f>
        <v/>
      </c>
      <c r="T660" s="40" t="str">
        <f>IF($K660="","",IFERROR(VLOOKUP($K660,Grinders!$A$4:$N$998,8,FALSE),""))</f>
        <v/>
      </c>
      <c r="U660" s="40" t="str">
        <f>IFERROR(IF($K660="","",IF($M660="Elite",MAX(50,MIN(100,Config!$B$27*MAX(0,MIN(100,(1-IF($R660="",0,$R660))*100)) + Config!$B$28*MAX(0,MIN(100,(1-MIN(1,IF(Config!$B$30=0,1,$S660/Config!$B$30)))*100)) + Config!$B$29*MAX(0,MIN(100,MIN(1,IF($T660="",0,$T660)/Config!$B$23)*100)))),MIN(100,Config!$B$27*MAX(0,MIN(100,(1-IF($R660="",0,$R660))*100)) + Config!$B$28*MAX(0,MIN(100,(1-MIN(1,IF(Config!$B$30=0,1,$S660/Config!$B$30)))*100)) + Config!$B$29*MAX(0,MIN(100,MIN(1,IF($T660="",0,$T660)/Config!$B$23)*100))))),"")
</f>
        <v/>
      </c>
      <c r="V660" s="40" t="str">
        <f>IF(Bids!$D659="","",Bids!$D659)</f>
        <v/>
      </c>
      <c r="W660" s="40" t="str">
        <f>IF(Bids!$F659="","",Bids!$F659)</f>
        <v/>
      </c>
      <c r="X660" s="40" t="str">
        <f t="shared" si="5"/>
        <v/>
      </c>
      <c r="Y660" s="40" t="str">
        <f>IF($X660="","",IF(Config!$B$17=Config!$B$16,IF($X660&gt;=Config!$B$17,100,0),MAX(0,MIN(100,($X660-Config!$B$16)/(Config!$B$17-Config!$B$16)*100))))</f>
        <v/>
      </c>
      <c r="Z660" s="40">
        <f>IF($M660="Elite",Config!$B$21,0)</f>
        <v>0</v>
      </c>
      <c r="AA660" s="40" t="str">
        <f>IFERROR(IF(OR($W660="",$H660=""),"",IF($W660&gt;$H660,
  MAX(0, 60-(($W660-$H660)*24/Config!$B$19)*60),
  MIN(100, 60+(($H660-$W660)*24/Config!$B$20)*40)
)),"")
</f>
        <v/>
      </c>
      <c r="AB660" s="40" t="str">
        <f>IF($K660="","",IFERROR(VLOOKUP($K660,Grinders!$A$4:$N$998,10,FALSE)/5*100,""))</f>
        <v/>
      </c>
      <c r="AC660" s="40" t="str">
        <f>IF($K660="","",IFERROR(VLOOKUP($K660,Grinders!$A$4:$N$998,11,FALSE)*100,""))</f>
        <v/>
      </c>
      <c r="AD660" s="40" t="str">
        <f>IF($K660="","",IFERROR(VLOOKUP($K660,Grinders!$A$4:$N$998,12,FALSE)*100,""))</f>
        <v/>
      </c>
      <c r="AE660" s="40">
        <f>IFERROR(IFS(
    OR($C660="", $K660=""), 0,
    $F660=0, 0,
    $D660&lt;&gt;"Open", 0,
    COUNTIFS(GrinderServices!$B$4:$B$998, $K660, GrinderServices!$C$4:$C$998, $E660, GrinderServices!$E$4:$E$998, "Y")=0, 0,
    $X660&lt;Config!$B$16, 0,
    Config!$B$18=1, IF($O660&gt;=N660, 0, 1),
    TRUE, 1
), "")
</f>
        <v>0</v>
      </c>
      <c r="AF660" s="40" t="str">
        <f>IFERROR(IF($AE660=0,"",((Config!$B$6*$Y660 + Config!$B$7*$U660 + Config!$B$8*$Z660 + Config!$B$9*$AA660 + Config!$B$10*$AB660 + Config!$B$11*$AC660 - Config!$B$12*$AD660)/Config!$B$13)+$AK660+$AL660),"")</f>
        <v/>
      </c>
      <c r="AG660" s="40" t="str">
        <f t="shared" si="6"/>
        <v/>
      </c>
      <c r="AH660" s="40" t="str">
        <f t="shared" si="7"/>
        <v/>
      </c>
      <c r="AI660" s="40" t="str">
        <f t="shared" si="8"/>
        <v/>
      </c>
      <c r="AJ660" s="40" t="str">
        <f>IF($K660="","",COUNTIF(Assignments!$B$6:$B$1000,$K660))</f>
        <v/>
      </c>
      <c r="AK660" s="40" t="str">
        <f>IF($K660="","",IF(AND($AJ660=0,$O660&lt;$N660),Config!$B$43,0))</f>
        <v/>
      </c>
      <c r="AL660" s="40" t="str">
        <f>IF($K660="","",IF(AND($M660="Elite",$G660&gt;=Config!$B$41,$O660&lt;$N660),Config!$B$42,0))</f>
        <v/>
      </c>
      <c r="AM660" s="22"/>
    </row>
    <row r="661" ht="15.75" customHeight="1">
      <c r="A661" s="40" t="str">
        <f t="shared" si="1"/>
        <v/>
      </c>
      <c r="B661" s="40" t="str">
        <f>IF(Bids!$A660="","",Bids!$A660)</f>
        <v/>
      </c>
      <c r="C661" s="40" t="str">
        <f>IF(Bids!$B660="","",Bids!$B660)</f>
        <v/>
      </c>
      <c r="D661" s="40" t="str">
        <f>IF($C661="","",IFERROR(VLOOKUP($C661,Orders!$A$4:$J$998,9,FALSE),""))</f>
        <v/>
      </c>
      <c r="E661" s="40" t="str">
        <f>IF($C661="","",IFERROR(VLOOKUP($C661,Orders!$A$4:$J$998,3,FALSE),""))</f>
        <v/>
      </c>
      <c r="F661" s="40">
        <f t="shared" si="2"/>
        <v>1</v>
      </c>
      <c r="G661" s="40" t="str">
        <f>IF($C661="","",IFERROR(VLOOKUP($C661,Orders!$A$4:$J$998,4,FALSE),""))</f>
        <v/>
      </c>
      <c r="H661" s="40" t="str">
        <f>IF($C661="","",IFERROR(VLOOKUP($C661,Orders!$A$4:$J$998,5,FALSE),""))</f>
        <v/>
      </c>
      <c r="I661" s="40" t="str">
        <f>IF($C661="","",IFERROR(VLOOKUP($C661,Orders!$A$4:$J$998,6,FALSE),""))</f>
        <v/>
      </c>
      <c r="J661" s="40" t="str">
        <f>IF($C661="","",IFERROR(VLOOKUP($C661,Orders!$A$4:$J$998,7,FALSE),""))</f>
        <v/>
      </c>
      <c r="K661" s="40" t="str">
        <f>IF(Bids!$C660="","",Bids!$C660)</f>
        <v/>
      </c>
      <c r="L661" s="40" t="str">
        <f>IF($K661="","",IFERROR(VLOOKUP($K661,Grinders!$A$4:$N$998,2,FALSE),""))</f>
        <v/>
      </c>
      <c r="M661" s="40" t="str">
        <f>IF($K661="","",IFERROR(VLOOKUP($K661,Grinders!$A$4:$N$998,3,FALSE),""))</f>
        <v/>
      </c>
      <c r="N661" s="40" t="str">
        <f>IF($K661="","",IFERROR(VLOOKUP($K661,Grinders!$A$4:$N$998,4,FALSE),""))</f>
        <v/>
      </c>
      <c r="O661" s="40" t="str">
        <f>IF($K661="","",IFERROR(VLOOKUP($K661,Grinders!$A$4:$N$998,5,FALSE),""))</f>
        <v/>
      </c>
      <c r="P661" s="40" t="str">
        <f>IF($K661="","",IF($C$4="",0,COUNTIFS(Assignments!$B$6:$B$1000,$K661,Assignments!$F$6:$F$1000,$C$4,Assignments!$E$6:$E$1000,"Active")))</f>
        <v/>
      </c>
      <c r="Q661" s="40" t="str">
        <f t="shared" si="3"/>
        <v/>
      </c>
      <c r="R661" s="40" t="str">
        <f t="shared" si="4"/>
        <v/>
      </c>
      <c r="S661" s="40" t="str">
        <f>IF($K661="","",IF($C$4="",0,COUNTIFS(Assignments!$B$6:$B$1000,$K661,Assignments!$F$6:$F$1000,$C$4,Assignments!$D$6:$D$1000,"&gt;="&amp;Config!$B$3-7,Assignments!$D$6:$D$1000,"&lt;="&amp;Config!$B$3)))</f>
        <v/>
      </c>
      <c r="T661" s="40" t="str">
        <f>IF($K661="","",IFERROR(VLOOKUP($K661,Grinders!$A$4:$N$998,8,FALSE),""))</f>
        <v/>
      </c>
      <c r="U661" s="40" t="str">
        <f>IFERROR(IF($K661="","",IF($M661="Elite",MAX(50,MIN(100,Config!$B$27*MAX(0,MIN(100,(1-IF($R661="",0,$R661))*100)) + Config!$B$28*MAX(0,MIN(100,(1-MIN(1,IF(Config!$B$30=0,1,$S661/Config!$B$30)))*100)) + Config!$B$29*MAX(0,MIN(100,MIN(1,IF($T661="",0,$T661)/Config!$B$23)*100)))),MIN(100,Config!$B$27*MAX(0,MIN(100,(1-IF($R661="",0,$R661))*100)) + Config!$B$28*MAX(0,MIN(100,(1-MIN(1,IF(Config!$B$30=0,1,$S661/Config!$B$30)))*100)) + Config!$B$29*MAX(0,MIN(100,MIN(1,IF($T661="",0,$T661)/Config!$B$23)*100))))),"")
</f>
        <v/>
      </c>
      <c r="V661" s="40" t="str">
        <f>IF(Bids!$D660="","",Bids!$D660)</f>
        <v/>
      </c>
      <c r="W661" s="40" t="str">
        <f>IF(Bids!$F660="","",Bids!$F660)</f>
        <v/>
      </c>
      <c r="X661" s="40" t="str">
        <f t="shared" si="5"/>
        <v/>
      </c>
      <c r="Y661" s="40" t="str">
        <f>IF($X661="","",IF(Config!$B$17=Config!$B$16,IF($X661&gt;=Config!$B$17,100,0),MAX(0,MIN(100,($X661-Config!$B$16)/(Config!$B$17-Config!$B$16)*100))))</f>
        <v/>
      </c>
      <c r="Z661" s="40">
        <f>IF($M661="Elite",Config!$B$21,0)</f>
        <v>0</v>
      </c>
      <c r="AA661" s="40" t="str">
        <f>IFERROR(IF(OR($W661="",$H661=""),"",IF($W661&gt;$H661,
  MAX(0, 60-(($W661-$H661)*24/Config!$B$19)*60),
  MIN(100, 60+(($H661-$W661)*24/Config!$B$20)*40)
)),"")
</f>
        <v/>
      </c>
      <c r="AB661" s="40" t="str">
        <f>IF($K661="","",IFERROR(VLOOKUP($K661,Grinders!$A$4:$N$998,10,FALSE)/5*100,""))</f>
        <v/>
      </c>
      <c r="AC661" s="40" t="str">
        <f>IF($K661="","",IFERROR(VLOOKUP($K661,Grinders!$A$4:$N$998,11,FALSE)*100,""))</f>
        <v/>
      </c>
      <c r="AD661" s="40" t="str">
        <f>IF($K661="","",IFERROR(VLOOKUP($K661,Grinders!$A$4:$N$998,12,FALSE)*100,""))</f>
        <v/>
      </c>
      <c r="AE661" s="40">
        <f>IFERROR(IFS(
    OR($C661="", $K661=""), 0,
    $F661=0, 0,
    $D661&lt;&gt;"Open", 0,
    COUNTIFS(GrinderServices!$B$4:$B$998, $K661, GrinderServices!$C$4:$C$998, $E661, GrinderServices!$E$4:$E$998, "Y")=0, 0,
    $X661&lt;Config!$B$16, 0,
    Config!$B$18=1, IF($O661&gt;=N661, 0, 1),
    TRUE, 1
), "")
</f>
        <v>0</v>
      </c>
      <c r="AF661" s="40" t="str">
        <f>IFERROR(IF($AE661=0,"",((Config!$B$6*$Y661 + Config!$B$7*$U661 + Config!$B$8*$Z661 + Config!$B$9*$AA661 + Config!$B$10*$AB661 + Config!$B$11*$AC661 - Config!$B$12*$AD661)/Config!$B$13)+$AK661+$AL661),"")</f>
        <v/>
      </c>
      <c r="AG661" s="40" t="str">
        <f t="shared" si="6"/>
        <v/>
      </c>
      <c r="AH661" s="40" t="str">
        <f t="shared" si="7"/>
        <v/>
      </c>
      <c r="AI661" s="40" t="str">
        <f t="shared" si="8"/>
        <v/>
      </c>
      <c r="AJ661" s="40" t="str">
        <f>IF($K661="","",COUNTIF(Assignments!$B$6:$B$1000,$K661))</f>
        <v/>
      </c>
      <c r="AK661" s="40" t="str">
        <f>IF($K661="","",IF(AND($AJ661=0,$O661&lt;$N661),Config!$B$43,0))</f>
        <v/>
      </c>
      <c r="AL661" s="40" t="str">
        <f>IF($K661="","",IF(AND($M661="Elite",$G661&gt;=Config!$B$41,$O661&lt;$N661),Config!$B$42,0))</f>
        <v/>
      </c>
      <c r="AM661" s="22"/>
    </row>
    <row r="662" ht="15.75" customHeight="1">
      <c r="A662" s="40" t="str">
        <f t="shared" si="1"/>
        <v/>
      </c>
      <c r="B662" s="40" t="str">
        <f>IF(Bids!$A661="","",Bids!$A661)</f>
        <v/>
      </c>
      <c r="C662" s="40" t="str">
        <f>IF(Bids!$B661="","",Bids!$B661)</f>
        <v/>
      </c>
      <c r="D662" s="40" t="str">
        <f>IF($C662="","",IFERROR(VLOOKUP($C662,Orders!$A$4:$J$998,9,FALSE),""))</f>
        <v/>
      </c>
      <c r="E662" s="40" t="str">
        <f>IF($C662="","",IFERROR(VLOOKUP($C662,Orders!$A$4:$J$998,3,FALSE),""))</f>
        <v/>
      </c>
      <c r="F662" s="40">
        <f t="shared" si="2"/>
        <v>1</v>
      </c>
      <c r="G662" s="40" t="str">
        <f>IF($C662="","",IFERROR(VLOOKUP($C662,Orders!$A$4:$J$998,4,FALSE),""))</f>
        <v/>
      </c>
      <c r="H662" s="40" t="str">
        <f>IF($C662="","",IFERROR(VLOOKUP($C662,Orders!$A$4:$J$998,5,FALSE),""))</f>
        <v/>
      </c>
      <c r="I662" s="40" t="str">
        <f>IF($C662="","",IFERROR(VLOOKUP($C662,Orders!$A$4:$J$998,6,FALSE),""))</f>
        <v/>
      </c>
      <c r="J662" s="40" t="str">
        <f>IF($C662="","",IFERROR(VLOOKUP($C662,Orders!$A$4:$J$998,7,FALSE),""))</f>
        <v/>
      </c>
      <c r="K662" s="40" t="str">
        <f>IF(Bids!$C661="","",Bids!$C661)</f>
        <v/>
      </c>
      <c r="L662" s="40" t="str">
        <f>IF($K662="","",IFERROR(VLOOKUP($K662,Grinders!$A$4:$N$998,2,FALSE),""))</f>
        <v/>
      </c>
      <c r="M662" s="40" t="str">
        <f>IF($K662="","",IFERROR(VLOOKUP($K662,Grinders!$A$4:$N$998,3,FALSE),""))</f>
        <v/>
      </c>
      <c r="N662" s="40" t="str">
        <f>IF($K662="","",IFERROR(VLOOKUP($K662,Grinders!$A$4:$N$998,4,FALSE),""))</f>
        <v/>
      </c>
      <c r="O662" s="40" t="str">
        <f>IF($K662="","",IFERROR(VLOOKUP($K662,Grinders!$A$4:$N$998,5,FALSE),""))</f>
        <v/>
      </c>
      <c r="P662" s="40" t="str">
        <f>IF($K662="","",IF($C$4="",0,COUNTIFS(Assignments!$B$6:$B$1000,$K662,Assignments!$F$6:$F$1000,$C$4,Assignments!$E$6:$E$1000,"Active")))</f>
        <v/>
      </c>
      <c r="Q662" s="40" t="str">
        <f t="shared" si="3"/>
        <v/>
      </c>
      <c r="R662" s="40" t="str">
        <f t="shared" si="4"/>
        <v/>
      </c>
      <c r="S662" s="40" t="str">
        <f>IF($K662="","",IF($C$4="",0,COUNTIFS(Assignments!$B$6:$B$1000,$K662,Assignments!$F$6:$F$1000,$C$4,Assignments!$D$6:$D$1000,"&gt;="&amp;Config!$B$3-7,Assignments!$D$6:$D$1000,"&lt;="&amp;Config!$B$3)))</f>
        <v/>
      </c>
      <c r="T662" s="40" t="str">
        <f>IF($K662="","",IFERROR(VLOOKUP($K662,Grinders!$A$4:$N$998,8,FALSE),""))</f>
        <v/>
      </c>
      <c r="U662" s="40" t="str">
        <f>IFERROR(IF($K662="","",IF($M662="Elite",MAX(50,MIN(100,Config!$B$27*MAX(0,MIN(100,(1-IF($R662="",0,$R662))*100)) + Config!$B$28*MAX(0,MIN(100,(1-MIN(1,IF(Config!$B$30=0,1,$S662/Config!$B$30)))*100)) + Config!$B$29*MAX(0,MIN(100,MIN(1,IF($T662="",0,$T662)/Config!$B$23)*100)))),MIN(100,Config!$B$27*MAX(0,MIN(100,(1-IF($R662="",0,$R662))*100)) + Config!$B$28*MAX(0,MIN(100,(1-MIN(1,IF(Config!$B$30=0,1,$S662/Config!$B$30)))*100)) + Config!$B$29*MAX(0,MIN(100,MIN(1,IF($T662="",0,$T662)/Config!$B$23)*100))))),"")
</f>
        <v/>
      </c>
      <c r="V662" s="40" t="str">
        <f>IF(Bids!$D661="","",Bids!$D661)</f>
        <v/>
      </c>
      <c r="W662" s="40" t="str">
        <f>IF(Bids!$F661="","",Bids!$F661)</f>
        <v/>
      </c>
      <c r="X662" s="40" t="str">
        <f t="shared" si="5"/>
        <v/>
      </c>
      <c r="Y662" s="40" t="str">
        <f>IF($X662="","",IF(Config!$B$17=Config!$B$16,IF($X662&gt;=Config!$B$17,100,0),MAX(0,MIN(100,($X662-Config!$B$16)/(Config!$B$17-Config!$B$16)*100))))</f>
        <v/>
      </c>
      <c r="Z662" s="40">
        <f>IF($M662="Elite",Config!$B$21,0)</f>
        <v>0</v>
      </c>
      <c r="AA662" s="40" t="str">
        <f>IFERROR(IF(OR($W662="",$H662=""),"",IF($W662&gt;$H662,
  MAX(0, 60-(($W662-$H662)*24/Config!$B$19)*60),
  MIN(100, 60+(($H662-$W662)*24/Config!$B$20)*40)
)),"")
</f>
        <v/>
      </c>
      <c r="AB662" s="40" t="str">
        <f>IF($K662="","",IFERROR(VLOOKUP($K662,Grinders!$A$4:$N$998,10,FALSE)/5*100,""))</f>
        <v/>
      </c>
      <c r="AC662" s="40" t="str">
        <f>IF($K662="","",IFERROR(VLOOKUP($K662,Grinders!$A$4:$N$998,11,FALSE)*100,""))</f>
        <v/>
      </c>
      <c r="AD662" s="40" t="str">
        <f>IF($K662="","",IFERROR(VLOOKUP($K662,Grinders!$A$4:$N$998,12,FALSE)*100,""))</f>
        <v/>
      </c>
      <c r="AE662" s="40">
        <f>IFERROR(IFS(
    OR($C662="", $K662=""), 0,
    $F662=0, 0,
    $D662&lt;&gt;"Open", 0,
    COUNTIFS(GrinderServices!$B$4:$B$998, $K662, GrinderServices!$C$4:$C$998, $E662, GrinderServices!$E$4:$E$998, "Y")=0, 0,
    $X662&lt;Config!$B$16, 0,
    Config!$B$18=1, IF($O662&gt;=N662, 0, 1),
    TRUE, 1
), "")
</f>
        <v>0</v>
      </c>
      <c r="AF662" s="40" t="str">
        <f>IFERROR(IF($AE662=0,"",((Config!$B$6*$Y662 + Config!$B$7*$U662 + Config!$B$8*$Z662 + Config!$B$9*$AA662 + Config!$B$10*$AB662 + Config!$B$11*$AC662 - Config!$B$12*$AD662)/Config!$B$13)+$AK662+$AL662),"")</f>
        <v/>
      </c>
      <c r="AG662" s="40" t="str">
        <f t="shared" si="6"/>
        <v/>
      </c>
      <c r="AH662" s="40" t="str">
        <f t="shared" si="7"/>
        <v/>
      </c>
      <c r="AI662" s="40" t="str">
        <f t="shared" si="8"/>
        <v/>
      </c>
      <c r="AJ662" s="40" t="str">
        <f>IF($K662="","",COUNTIF(Assignments!$B$6:$B$1000,$K662))</f>
        <v/>
      </c>
      <c r="AK662" s="40" t="str">
        <f>IF($K662="","",IF(AND($AJ662=0,$O662&lt;$N662),Config!$B$43,0))</f>
        <v/>
      </c>
      <c r="AL662" s="40" t="str">
        <f>IF($K662="","",IF(AND($M662="Elite",$G662&gt;=Config!$B$41,$O662&lt;$N662),Config!$B$42,0))</f>
        <v/>
      </c>
      <c r="AM662" s="22"/>
    </row>
    <row r="663" ht="15.75" customHeight="1">
      <c r="A663" s="40" t="str">
        <f t="shared" si="1"/>
        <v/>
      </c>
      <c r="B663" s="40" t="str">
        <f>IF(Bids!$A662="","",Bids!$A662)</f>
        <v/>
      </c>
      <c r="C663" s="40" t="str">
        <f>IF(Bids!$B662="","",Bids!$B662)</f>
        <v/>
      </c>
      <c r="D663" s="40" t="str">
        <f>IF($C663="","",IFERROR(VLOOKUP($C663,Orders!$A$4:$J$998,9,FALSE),""))</f>
        <v/>
      </c>
      <c r="E663" s="40" t="str">
        <f>IF($C663="","",IFERROR(VLOOKUP($C663,Orders!$A$4:$J$998,3,FALSE),""))</f>
        <v/>
      </c>
      <c r="F663" s="40">
        <f t="shared" si="2"/>
        <v>1</v>
      </c>
      <c r="G663" s="40" t="str">
        <f>IF($C663="","",IFERROR(VLOOKUP($C663,Orders!$A$4:$J$998,4,FALSE),""))</f>
        <v/>
      </c>
      <c r="H663" s="40" t="str">
        <f>IF($C663="","",IFERROR(VLOOKUP($C663,Orders!$A$4:$J$998,5,FALSE),""))</f>
        <v/>
      </c>
      <c r="I663" s="40" t="str">
        <f>IF($C663="","",IFERROR(VLOOKUP($C663,Orders!$A$4:$J$998,6,FALSE),""))</f>
        <v/>
      </c>
      <c r="J663" s="40" t="str">
        <f>IF($C663="","",IFERROR(VLOOKUP($C663,Orders!$A$4:$J$998,7,FALSE),""))</f>
        <v/>
      </c>
      <c r="K663" s="40" t="str">
        <f>IF(Bids!$C662="","",Bids!$C662)</f>
        <v/>
      </c>
      <c r="L663" s="40" t="str">
        <f>IF($K663="","",IFERROR(VLOOKUP($K663,Grinders!$A$4:$N$998,2,FALSE),""))</f>
        <v/>
      </c>
      <c r="M663" s="40" t="str">
        <f>IF($K663="","",IFERROR(VLOOKUP($K663,Grinders!$A$4:$N$998,3,FALSE),""))</f>
        <v/>
      </c>
      <c r="N663" s="40" t="str">
        <f>IF($K663="","",IFERROR(VLOOKUP($K663,Grinders!$A$4:$N$998,4,FALSE),""))</f>
        <v/>
      </c>
      <c r="O663" s="40" t="str">
        <f>IF($K663="","",IFERROR(VLOOKUP($K663,Grinders!$A$4:$N$998,5,FALSE),""))</f>
        <v/>
      </c>
      <c r="P663" s="40" t="str">
        <f>IF($K663="","",IF($C$4="",0,COUNTIFS(Assignments!$B$6:$B$1000,$K663,Assignments!$F$6:$F$1000,$C$4,Assignments!$E$6:$E$1000,"Active")))</f>
        <v/>
      </c>
      <c r="Q663" s="40" t="str">
        <f t="shared" si="3"/>
        <v/>
      </c>
      <c r="R663" s="40" t="str">
        <f t="shared" si="4"/>
        <v/>
      </c>
      <c r="S663" s="40" t="str">
        <f>IF($K663="","",IF($C$4="",0,COUNTIFS(Assignments!$B$6:$B$1000,$K663,Assignments!$F$6:$F$1000,$C$4,Assignments!$D$6:$D$1000,"&gt;="&amp;Config!$B$3-7,Assignments!$D$6:$D$1000,"&lt;="&amp;Config!$B$3)))</f>
        <v/>
      </c>
      <c r="T663" s="40" t="str">
        <f>IF($K663="","",IFERROR(VLOOKUP($K663,Grinders!$A$4:$N$998,8,FALSE),""))</f>
        <v/>
      </c>
      <c r="U663" s="40" t="str">
        <f>IFERROR(IF($K663="","",IF($M663="Elite",MAX(50,MIN(100,Config!$B$27*MAX(0,MIN(100,(1-IF($R663="",0,$R663))*100)) + Config!$B$28*MAX(0,MIN(100,(1-MIN(1,IF(Config!$B$30=0,1,$S663/Config!$B$30)))*100)) + Config!$B$29*MAX(0,MIN(100,MIN(1,IF($T663="",0,$T663)/Config!$B$23)*100)))),MIN(100,Config!$B$27*MAX(0,MIN(100,(1-IF($R663="",0,$R663))*100)) + Config!$B$28*MAX(0,MIN(100,(1-MIN(1,IF(Config!$B$30=0,1,$S663/Config!$B$30)))*100)) + Config!$B$29*MAX(0,MIN(100,MIN(1,IF($T663="",0,$T663)/Config!$B$23)*100))))),"")
</f>
        <v/>
      </c>
      <c r="V663" s="40" t="str">
        <f>IF(Bids!$D662="","",Bids!$D662)</f>
        <v/>
      </c>
      <c r="W663" s="40" t="str">
        <f>IF(Bids!$F662="","",Bids!$F662)</f>
        <v/>
      </c>
      <c r="X663" s="40" t="str">
        <f t="shared" si="5"/>
        <v/>
      </c>
      <c r="Y663" s="40" t="str">
        <f>IF($X663="","",IF(Config!$B$17=Config!$B$16,IF($X663&gt;=Config!$B$17,100,0),MAX(0,MIN(100,($X663-Config!$B$16)/(Config!$B$17-Config!$B$16)*100))))</f>
        <v/>
      </c>
      <c r="Z663" s="40">
        <f>IF($M663="Elite",Config!$B$21,0)</f>
        <v>0</v>
      </c>
      <c r="AA663" s="40" t="str">
        <f>IFERROR(IF(OR($W663="",$H663=""),"",IF($W663&gt;$H663,
  MAX(0, 60-(($W663-$H663)*24/Config!$B$19)*60),
  MIN(100, 60+(($H663-$W663)*24/Config!$B$20)*40)
)),"")
</f>
        <v/>
      </c>
      <c r="AB663" s="40" t="str">
        <f>IF($K663="","",IFERROR(VLOOKUP($K663,Grinders!$A$4:$N$998,10,FALSE)/5*100,""))</f>
        <v/>
      </c>
      <c r="AC663" s="40" t="str">
        <f>IF($K663="","",IFERROR(VLOOKUP($K663,Grinders!$A$4:$N$998,11,FALSE)*100,""))</f>
        <v/>
      </c>
      <c r="AD663" s="40" t="str">
        <f>IF($K663="","",IFERROR(VLOOKUP($K663,Grinders!$A$4:$N$998,12,FALSE)*100,""))</f>
        <v/>
      </c>
      <c r="AE663" s="40">
        <f>IFERROR(IFS(
    OR($C663="", $K663=""), 0,
    $F663=0, 0,
    $D663&lt;&gt;"Open", 0,
    COUNTIFS(GrinderServices!$B$4:$B$998, $K663, GrinderServices!$C$4:$C$998, $E663, GrinderServices!$E$4:$E$998, "Y")=0, 0,
    $X663&lt;Config!$B$16, 0,
    Config!$B$18=1, IF($O663&gt;=N663, 0, 1),
    TRUE, 1
), "")
</f>
        <v>0</v>
      </c>
      <c r="AF663" s="40" t="str">
        <f>IFERROR(IF($AE663=0,"",((Config!$B$6*$Y663 + Config!$B$7*$U663 + Config!$B$8*$Z663 + Config!$B$9*$AA663 + Config!$B$10*$AB663 + Config!$B$11*$AC663 - Config!$B$12*$AD663)/Config!$B$13)+$AK663+$AL663),"")</f>
        <v/>
      </c>
      <c r="AG663" s="40" t="str">
        <f t="shared" si="6"/>
        <v/>
      </c>
      <c r="AH663" s="40" t="str">
        <f t="shared" si="7"/>
        <v/>
      </c>
      <c r="AI663" s="40" t="str">
        <f t="shared" si="8"/>
        <v/>
      </c>
      <c r="AJ663" s="40" t="str">
        <f>IF($K663="","",COUNTIF(Assignments!$B$6:$B$1000,$K663))</f>
        <v/>
      </c>
      <c r="AK663" s="40" t="str">
        <f>IF($K663="","",IF(AND($AJ663=0,$O663&lt;$N663),Config!$B$43,0))</f>
        <v/>
      </c>
      <c r="AL663" s="40" t="str">
        <f>IF($K663="","",IF(AND($M663="Elite",$G663&gt;=Config!$B$41,$O663&lt;$N663),Config!$B$42,0))</f>
        <v/>
      </c>
      <c r="AM663" s="22"/>
    </row>
    <row r="664" ht="15.75" customHeight="1">
      <c r="A664" s="40" t="str">
        <f t="shared" si="1"/>
        <v/>
      </c>
      <c r="B664" s="40" t="str">
        <f>IF(Bids!$A663="","",Bids!$A663)</f>
        <v/>
      </c>
      <c r="C664" s="40" t="str">
        <f>IF(Bids!$B663="","",Bids!$B663)</f>
        <v/>
      </c>
      <c r="D664" s="40" t="str">
        <f>IF($C664="","",IFERROR(VLOOKUP($C664,Orders!$A$4:$J$998,9,FALSE),""))</f>
        <v/>
      </c>
      <c r="E664" s="40" t="str">
        <f>IF($C664="","",IFERROR(VLOOKUP($C664,Orders!$A$4:$J$998,3,FALSE),""))</f>
        <v/>
      </c>
      <c r="F664" s="40">
        <f t="shared" si="2"/>
        <v>1</v>
      </c>
      <c r="G664" s="40" t="str">
        <f>IF($C664="","",IFERROR(VLOOKUP($C664,Orders!$A$4:$J$998,4,FALSE),""))</f>
        <v/>
      </c>
      <c r="H664" s="40" t="str">
        <f>IF($C664="","",IFERROR(VLOOKUP($C664,Orders!$A$4:$J$998,5,FALSE),""))</f>
        <v/>
      </c>
      <c r="I664" s="40" t="str">
        <f>IF($C664="","",IFERROR(VLOOKUP($C664,Orders!$A$4:$J$998,6,FALSE),""))</f>
        <v/>
      </c>
      <c r="J664" s="40" t="str">
        <f>IF($C664="","",IFERROR(VLOOKUP($C664,Orders!$A$4:$J$998,7,FALSE),""))</f>
        <v/>
      </c>
      <c r="K664" s="40" t="str">
        <f>IF(Bids!$C663="","",Bids!$C663)</f>
        <v/>
      </c>
      <c r="L664" s="40" t="str">
        <f>IF($K664="","",IFERROR(VLOOKUP($K664,Grinders!$A$4:$N$998,2,FALSE),""))</f>
        <v/>
      </c>
      <c r="M664" s="40" t="str">
        <f>IF($K664="","",IFERROR(VLOOKUP($K664,Grinders!$A$4:$N$998,3,FALSE),""))</f>
        <v/>
      </c>
      <c r="N664" s="40" t="str">
        <f>IF($K664="","",IFERROR(VLOOKUP($K664,Grinders!$A$4:$N$998,4,FALSE),""))</f>
        <v/>
      </c>
      <c r="O664" s="40" t="str">
        <f>IF($K664="","",IFERROR(VLOOKUP($K664,Grinders!$A$4:$N$998,5,FALSE),""))</f>
        <v/>
      </c>
      <c r="P664" s="40" t="str">
        <f>IF($K664="","",IF($C$4="",0,COUNTIFS(Assignments!$B$6:$B$1000,$K664,Assignments!$F$6:$F$1000,$C$4,Assignments!$E$6:$E$1000,"Active")))</f>
        <v/>
      </c>
      <c r="Q664" s="40" t="str">
        <f t="shared" si="3"/>
        <v/>
      </c>
      <c r="R664" s="40" t="str">
        <f t="shared" si="4"/>
        <v/>
      </c>
      <c r="S664" s="40" t="str">
        <f>IF($K664="","",IF($C$4="",0,COUNTIFS(Assignments!$B$6:$B$1000,$K664,Assignments!$F$6:$F$1000,$C$4,Assignments!$D$6:$D$1000,"&gt;="&amp;Config!$B$3-7,Assignments!$D$6:$D$1000,"&lt;="&amp;Config!$B$3)))</f>
        <v/>
      </c>
      <c r="T664" s="40" t="str">
        <f>IF($K664="","",IFERROR(VLOOKUP($K664,Grinders!$A$4:$N$998,8,FALSE),""))</f>
        <v/>
      </c>
      <c r="U664" s="40" t="str">
        <f>IFERROR(IF($K664="","",IF($M664="Elite",MAX(50,MIN(100,Config!$B$27*MAX(0,MIN(100,(1-IF($R664="",0,$R664))*100)) + Config!$B$28*MAX(0,MIN(100,(1-MIN(1,IF(Config!$B$30=0,1,$S664/Config!$B$30)))*100)) + Config!$B$29*MAX(0,MIN(100,MIN(1,IF($T664="",0,$T664)/Config!$B$23)*100)))),MIN(100,Config!$B$27*MAX(0,MIN(100,(1-IF($R664="",0,$R664))*100)) + Config!$B$28*MAX(0,MIN(100,(1-MIN(1,IF(Config!$B$30=0,1,$S664/Config!$B$30)))*100)) + Config!$B$29*MAX(0,MIN(100,MIN(1,IF($T664="",0,$T664)/Config!$B$23)*100))))),"")
</f>
        <v/>
      </c>
      <c r="V664" s="40" t="str">
        <f>IF(Bids!$D663="","",Bids!$D663)</f>
        <v/>
      </c>
      <c r="W664" s="40" t="str">
        <f>IF(Bids!$F663="","",Bids!$F663)</f>
        <v/>
      </c>
      <c r="X664" s="40" t="str">
        <f t="shared" si="5"/>
        <v/>
      </c>
      <c r="Y664" s="40" t="str">
        <f>IF($X664="","",IF(Config!$B$17=Config!$B$16,IF($X664&gt;=Config!$B$17,100,0),MAX(0,MIN(100,($X664-Config!$B$16)/(Config!$B$17-Config!$B$16)*100))))</f>
        <v/>
      </c>
      <c r="Z664" s="40">
        <f>IF($M664="Elite",Config!$B$21,0)</f>
        <v>0</v>
      </c>
      <c r="AA664" s="40" t="str">
        <f>IFERROR(IF(OR($W664="",$H664=""),"",IF($W664&gt;$H664,
  MAX(0, 60-(($W664-$H664)*24/Config!$B$19)*60),
  MIN(100, 60+(($H664-$W664)*24/Config!$B$20)*40)
)),"")
</f>
        <v/>
      </c>
      <c r="AB664" s="40" t="str">
        <f>IF($K664="","",IFERROR(VLOOKUP($K664,Grinders!$A$4:$N$998,10,FALSE)/5*100,""))</f>
        <v/>
      </c>
      <c r="AC664" s="40" t="str">
        <f>IF($K664="","",IFERROR(VLOOKUP($K664,Grinders!$A$4:$N$998,11,FALSE)*100,""))</f>
        <v/>
      </c>
      <c r="AD664" s="40" t="str">
        <f>IF($K664="","",IFERROR(VLOOKUP($K664,Grinders!$A$4:$N$998,12,FALSE)*100,""))</f>
        <v/>
      </c>
      <c r="AE664" s="40">
        <f>IFERROR(IFS(
    OR($C664="", $K664=""), 0,
    $F664=0, 0,
    $D664&lt;&gt;"Open", 0,
    COUNTIFS(GrinderServices!$B$4:$B$998, $K664, GrinderServices!$C$4:$C$998, $E664, GrinderServices!$E$4:$E$998, "Y")=0, 0,
    $X664&lt;Config!$B$16, 0,
    Config!$B$18=1, IF($O664&gt;=N664, 0, 1),
    TRUE, 1
), "")
</f>
        <v>0</v>
      </c>
      <c r="AF664" s="40" t="str">
        <f>IFERROR(IF($AE664=0,"",((Config!$B$6*$Y664 + Config!$B$7*$U664 + Config!$B$8*$Z664 + Config!$B$9*$AA664 + Config!$B$10*$AB664 + Config!$B$11*$AC664 - Config!$B$12*$AD664)/Config!$B$13)+$AK664+$AL664),"")</f>
        <v/>
      </c>
      <c r="AG664" s="40" t="str">
        <f t="shared" si="6"/>
        <v/>
      </c>
      <c r="AH664" s="40" t="str">
        <f t="shared" si="7"/>
        <v/>
      </c>
      <c r="AI664" s="40" t="str">
        <f t="shared" si="8"/>
        <v/>
      </c>
      <c r="AJ664" s="40" t="str">
        <f>IF($K664="","",COUNTIF(Assignments!$B$6:$B$1000,$K664))</f>
        <v/>
      </c>
      <c r="AK664" s="40" t="str">
        <f>IF($K664="","",IF(AND($AJ664=0,$O664&lt;$N664),Config!$B$43,0))</f>
        <v/>
      </c>
      <c r="AL664" s="40" t="str">
        <f>IF($K664="","",IF(AND($M664="Elite",$G664&gt;=Config!$B$41,$O664&lt;$N664),Config!$B$42,0))</f>
        <v/>
      </c>
      <c r="AM664" s="22"/>
    </row>
    <row r="665" ht="15.75" customHeight="1">
      <c r="A665" s="40" t="str">
        <f t="shared" si="1"/>
        <v/>
      </c>
      <c r="B665" s="40" t="str">
        <f>IF(Bids!$A664="","",Bids!$A664)</f>
        <v/>
      </c>
      <c r="C665" s="40" t="str">
        <f>IF(Bids!$B664="","",Bids!$B664)</f>
        <v/>
      </c>
      <c r="D665" s="40" t="str">
        <f>IF($C665="","",IFERROR(VLOOKUP($C665,Orders!$A$4:$J$998,9,FALSE),""))</f>
        <v/>
      </c>
      <c r="E665" s="40" t="str">
        <f>IF($C665="","",IFERROR(VLOOKUP($C665,Orders!$A$4:$J$998,3,FALSE),""))</f>
        <v/>
      </c>
      <c r="F665" s="40">
        <f t="shared" si="2"/>
        <v>1</v>
      </c>
      <c r="G665" s="40" t="str">
        <f>IF($C665="","",IFERROR(VLOOKUP($C665,Orders!$A$4:$J$998,4,FALSE),""))</f>
        <v/>
      </c>
      <c r="H665" s="40" t="str">
        <f>IF($C665="","",IFERROR(VLOOKUP($C665,Orders!$A$4:$J$998,5,FALSE),""))</f>
        <v/>
      </c>
      <c r="I665" s="40" t="str">
        <f>IF($C665="","",IFERROR(VLOOKUP($C665,Orders!$A$4:$J$998,6,FALSE),""))</f>
        <v/>
      </c>
      <c r="J665" s="40" t="str">
        <f>IF($C665="","",IFERROR(VLOOKUP($C665,Orders!$A$4:$J$998,7,FALSE),""))</f>
        <v/>
      </c>
      <c r="K665" s="40" t="str">
        <f>IF(Bids!$C664="","",Bids!$C664)</f>
        <v/>
      </c>
      <c r="L665" s="40" t="str">
        <f>IF($K665="","",IFERROR(VLOOKUP($K665,Grinders!$A$4:$N$998,2,FALSE),""))</f>
        <v/>
      </c>
      <c r="M665" s="40" t="str">
        <f>IF($K665="","",IFERROR(VLOOKUP($K665,Grinders!$A$4:$N$998,3,FALSE),""))</f>
        <v/>
      </c>
      <c r="N665" s="40" t="str">
        <f>IF($K665="","",IFERROR(VLOOKUP($K665,Grinders!$A$4:$N$998,4,FALSE),""))</f>
        <v/>
      </c>
      <c r="O665" s="40" t="str">
        <f>IF($K665="","",IFERROR(VLOOKUP($K665,Grinders!$A$4:$N$998,5,FALSE),""))</f>
        <v/>
      </c>
      <c r="P665" s="40" t="str">
        <f>IF($K665="","",IF($C$4="",0,COUNTIFS(Assignments!$B$6:$B$1000,$K665,Assignments!$F$6:$F$1000,$C$4,Assignments!$E$6:$E$1000,"Active")))</f>
        <v/>
      </c>
      <c r="Q665" s="40" t="str">
        <f t="shared" si="3"/>
        <v/>
      </c>
      <c r="R665" s="40" t="str">
        <f t="shared" si="4"/>
        <v/>
      </c>
      <c r="S665" s="40" t="str">
        <f>IF($K665="","",IF($C$4="",0,COUNTIFS(Assignments!$B$6:$B$1000,$K665,Assignments!$F$6:$F$1000,$C$4,Assignments!$D$6:$D$1000,"&gt;="&amp;Config!$B$3-7,Assignments!$D$6:$D$1000,"&lt;="&amp;Config!$B$3)))</f>
        <v/>
      </c>
      <c r="T665" s="40" t="str">
        <f>IF($K665="","",IFERROR(VLOOKUP($K665,Grinders!$A$4:$N$998,8,FALSE),""))</f>
        <v/>
      </c>
      <c r="U665" s="40" t="str">
        <f>IFERROR(IF($K665="","",IF($M665="Elite",MAX(50,MIN(100,Config!$B$27*MAX(0,MIN(100,(1-IF($R665="",0,$R665))*100)) + Config!$B$28*MAX(0,MIN(100,(1-MIN(1,IF(Config!$B$30=0,1,$S665/Config!$B$30)))*100)) + Config!$B$29*MAX(0,MIN(100,MIN(1,IF($T665="",0,$T665)/Config!$B$23)*100)))),MIN(100,Config!$B$27*MAX(0,MIN(100,(1-IF($R665="",0,$R665))*100)) + Config!$B$28*MAX(0,MIN(100,(1-MIN(1,IF(Config!$B$30=0,1,$S665/Config!$B$30)))*100)) + Config!$B$29*MAX(0,MIN(100,MIN(1,IF($T665="",0,$T665)/Config!$B$23)*100))))),"")
</f>
        <v/>
      </c>
      <c r="V665" s="40" t="str">
        <f>IF(Bids!$D664="","",Bids!$D664)</f>
        <v/>
      </c>
      <c r="W665" s="40" t="str">
        <f>IF(Bids!$F664="","",Bids!$F664)</f>
        <v/>
      </c>
      <c r="X665" s="40" t="str">
        <f t="shared" si="5"/>
        <v/>
      </c>
      <c r="Y665" s="40" t="str">
        <f>IF($X665="","",IF(Config!$B$17=Config!$B$16,IF($X665&gt;=Config!$B$17,100,0),MAX(0,MIN(100,($X665-Config!$B$16)/(Config!$B$17-Config!$B$16)*100))))</f>
        <v/>
      </c>
      <c r="Z665" s="40">
        <f>IF($M665="Elite",Config!$B$21,0)</f>
        <v>0</v>
      </c>
      <c r="AA665" s="40" t="str">
        <f>IFERROR(IF(OR($W665="",$H665=""),"",IF($W665&gt;$H665,
  MAX(0, 60-(($W665-$H665)*24/Config!$B$19)*60),
  MIN(100, 60+(($H665-$W665)*24/Config!$B$20)*40)
)),"")
</f>
        <v/>
      </c>
      <c r="AB665" s="40" t="str">
        <f>IF($K665="","",IFERROR(VLOOKUP($K665,Grinders!$A$4:$N$998,10,FALSE)/5*100,""))</f>
        <v/>
      </c>
      <c r="AC665" s="40" t="str">
        <f>IF($K665="","",IFERROR(VLOOKUP($K665,Grinders!$A$4:$N$998,11,FALSE)*100,""))</f>
        <v/>
      </c>
      <c r="AD665" s="40" t="str">
        <f>IF($K665="","",IFERROR(VLOOKUP($K665,Grinders!$A$4:$N$998,12,FALSE)*100,""))</f>
        <v/>
      </c>
      <c r="AE665" s="40">
        <f>IFERROR(IFS(
    OR($C665="", $K665=""), 0,
    $F665=0, 0,
    $D665&lt;&gt;"Open", 0,
    COUNTIFS(GrinderServices!$B$4:$B$998, $K665, GrinderServices!$C$4:$C$998, $E665, GrinderServices!$E$4:$E$998, "Y")=0, 0,
    $X665&lt;Config!$B$16, 0,
    Config!$B$18=1, IF($O665&gt;=N665, 0, 1),
    TRUE, 1
), "")
</f>
        <v>0</v>
      </c>
      <c r="AF665" s="40" t="str">
        <f>IFERROR(IF($AE665=0,"",((Config!$B$6*$Y665 + Config!$B$7*$U665 + Config!$B$8*$Z665 + Config!$B$9*$AA665 + Config!$B$10*$AB665 + Config!$B$11*$AC665 - Config!$B$12*$AD665)/Config!$B$13)+$AK665+$AL665),"")</f>
        <v/>
      </c>
      <c r="AG665" s="40" t="str">
        <f t="shared" si="6"/>
        <v/>
      </c>
      <c r="AH665" s="40" t="str">
        <f t="shared" si="7"/>
        <v/>
      </c>
      <c r="AI665" s="40" t="str">
        <f t="shared" si="8"/>
        <v/>
      </c>
      <c r="AJ665" s="40" t="str">
        <f>IF($K665="","",COUNTIF(Assignments!$B$6:$B$1000,$K665))</f>
        <v/>
      </c>
      <c r="AK665" s="40" t="str">
        <f>IF($K665="","",IF(AND($AJ665=0,$O665&lt;$N665),Config!$B$43,0))</f>
        <v/>
      </c>
      <c r="AL665" s="40" t="str">
        <f>IF($K665="","",IF(AND($M665="Elite",$G665&gt;=Config!$B$41,$O665&lt;$N665),Config!$B$42,0))</f>
        <v/>
      </c>
      <c r="AM665" s="22"/>
    </row>
    <row r="666" ht="15.75" customHeight="1">
      <c r="A666" s="40" t="str">
        <f t="shared" si="1"/>
        <v/>
      </c>
      <c r="B666" s="40" t="str">
        <f>IF(Bids!$A665="","",Bids!$A665)</f>
        <v/>
      </c>
      <c r="C666" s="40" t="str">
        <f>IF(Bids!$B665="","",Bids!$B665)</f>
        <v/>
      </c>
      <c r="D666" s="40" t="str">
        <f>IF($C666="","",IFERROR(VLOOKUP($C666,Orders!$A$4:$J$998,9,FALSE),""))</f>
        <v/>
      </c>
      <c r="E666" s="40" t="str">
        <f>IF($C666="","",IFERROR(VLOOKUP($C666,Orders!$A$4:$J$998,3,FALSE),""))</f>
        <v/>
      </c>
      <c r="F666" s="40">
        <f t="shared" si="2"/>
        <v>1</v>
      </c>
      <c r="G666" s="40" t="str">
        <f>IF($C666="","",IFERROR(VLOOKUP($C666,Orders!$A$4:$J$998,4,FALSE),""))</f>
        <v/>
      </c>
      <c r="H666" s="40" t="str">
        <f>IF($C666="","",IFERROR(VLOOKUP($C666,Orders!$A$4:$J$998,5,FALSE),""))</f>
        <v/>
      </c>
      <c r="I666" s="40" t="str">
        <f>IF($C666="","",IFERROR(VLOOKUP($C666,Orders!$A$4:$J$998,6,FALSE),""))</f>
        <v/>
      </c>
      <c r="J666" s="40" t="str">
        <f>IF($C666="","",IFERROR(VLOOKUP($C666,Orders!$A$4:$J$998,7,FALSE),""))</f>
        <v/>
      </c>
      <c r="K666" s="40" t="str">
        <f>IF(Bids!$C665="","",Bids!$C665)</f>
        <v/>
      </c>
      <c r="L666" s="40" t="str">
        <f>IF($K666="","",IFERROR(VLOOKUP($K666,Grinders!$A$4:$N$998,2,FALSE),""))</f>
        <v/>
      </c>
      <c r="M666" s="40" t="str">
        <f>IF($K666="","",IFERROR(VLOOKUP($K666,Grinders!$A$4:$N$998,3,FALSE),""))</f>
        <v/>
      </c>
      <c r="N666" s="40" t="str">
        <f>IF($K666="","",IFERROR(VLOOKUP($K666,Grinders!$A$4:$N$998,4,FALSE),""))</f>
        <v/>
      </c>
      <c r="O666" s="40" t="str">
        <f>IF($K666="","",IFERROR(VLOOKUP($K666,Grinders!$A$4:$N$998,5,FALSE),""))</f>
        <v/>
      </c>
      <c r="P666" s="40" t="str">
        <f>IF($K666="","",IF($C$4="",0,COUNTIFS(Assignments!$B$6:$B$1000,$K666,Assignments!$F$6:$F$1000,$C$4,Assignments!$E$6:$E$1000,"Active")))</f>
        <v/>
      </c>
      <c r="Q666" s="40" t="str">
        <f t="shared" si="3"/>
        <v/>
      </c>
      <c r="R666" s="40" t="str">
        <f t="shared" si="4"/>
        <v/>
      </c>
      <c r="S666" s="40" t="str">
        <f>IF($K666="","",IF($C$4="",0,COUNTIFS(Assignments!$B$6:$B$1000,$K666,Assignments!$F$6:$F$1000,$C$4,Assignments!$D$6:$D$1000,"&gt;="&amp;Config!$B$3-7,Assignments!$D$6:$D$1000,"&lt;="&amp;Config!$B$3)))</f>
        <v/>
      </c>
      <c r="T666" s="40" t="str">
        <f>IF($K666="","",IFERROR(VLOOKUP($K666,Grinders!$A$4:$N$998,8,FALSE),""))</f>
        <v/>
      </c>
      <c r="U666" s="40" t="str">
        <f>IFERROR(IF($K666="","",IF($M666="Elite",MAX(50,MIN(100,Config!$B$27*MAX(0,MIN(100,(1-IF($R666="",0,$R666))*100)) + Config!$B$28*MAX(0,MIN(100,(1-MIN(1,IF(Config!$B$30=0,1,$S666/Config!$B$30)))*100)) + Config!$B$29*MAX(0,MIN(100,MIN(1,IF($T666="",0,$T666)/Config!$B$23)*100)))),MIN(100,Config!$B$27*MAX(0,MIN(100,(1-IF($R666="",0,$R666))*100)) + Config!$B$28*MAX(0,MIN(100,(1-MIN(1,IF(Config!$B$30=0,1,$S666/Config!$B$30)))*100)) + Config!$B$29*MAX(0,MIN(100,MIN(1,IF($T666="",0,$T666)/Config!$B$23)*100))))),"")
</f>
        <v/>
      </c>
      <c r="V666" s="40" t="str">
        <f>IF(Bids!$D665="","",Bids!$D665)</f>
        <v/>
      </c>
      <c r="W666" s="40" t="str">
        <f>IF(Bids!$F665="","",Bids!$F665)</f>
        <v/>
      </c>
      <c r="X666" s="40" t="str">
        <f t="shared" si="5"/>
        <v/>
      </c>
      <c r="Y666" s="40" t="str">
        <f>IF($X666="","",IF(Config!$B$17=Config!$B$16,IF($X666&gt;=Config!$B$17,100,0),MAX(0,MIN(100,($X666-Config!$B$16)/(Config!$B$17-Config!$B$16)*100))))</f>
        <v/>
      </c>
      <c r="Z666" s="40">
        <f>IF($M666="Elite",Config!$B$21,0)</f>
        <v>0</v>
      </c>
      <c r="AA666" s="40" t="str">
        <f>IFERROR(IF(OR($W666="",$H666=""),"",IF($W666&gt;$H666,
  MAX(0, 60-(($W666-$H666)*24/Config!$B$19)*60),
  MIN(100, 60+(($H666-$W666)*24/Config!$B$20)*40)
)),"")
</f>
        <v/>
      </c>
      <c r="AB666" s="40" t="str">
        <f>IF($K666="","",IFERROR(VLOOKUP($K666,Grinders!$A$4:$N$998,10,FALSE)/5*100,""))</f>
        <v/>
      </c>
      <c r="AC666" s="40" t="str">
        <f>IF($K666="","",IFERROR(VLOOKUP($K666,Grinders!$A$4:$N$998,11,FALSE)*100,""))</f>
        <v/>
      </c>
      <c r="AD666" s="40" t="str">
        <f>IF($K666="","",IFERROR(VLOOKUP($K666,Grinders!$A$4:$N$998,12,FALSE)*100,""))</f>
        <v/>
      </c>
      <c r="AE666" s="40">
        <f>IFERROR(IFS(
    OR($C666="", $K666=""), 0,
    $F666=0, 0,
    $D666&lt;&gt;"Open", 0,
    COUNTIFS(GrinderServices!$B$4:$B$998, $K666, GrinderServices!$C$4:$C$998, $E666, GrinderServices!$E$4:$E$998, "Y")=0, 0,
    $X666&lt;Config!$B$16, 0,
    Config!$B$18=1, IF($O666&gt;=N666, 0, 1),
    TRUE, 1
), "")
</f>
        <v>0</v>
      </c>
      <c r="AF666" s="40" t="str">
        <f>IFERROR(IF($AE666=0,"",((Config!$B$6*$Y666 + Config!$B$7*$U666 + Config!$B$8*$Z666 + Config!$B$9*$AA666 + Config!$B$10*$AB666 + Config!$B$11*$AC666 - Config!$B$12*$AD666)/Config!$B$13)+$AK666+$AL666),"")</f>
        <v/>
      </c>
      <c r="AG666" s="40" t="str">
        <f t="shared" si="6"/>
        <v/>
      </c>
      <c r="AH666" s="40" t="str">
        <f t="shared" si="7"/>
        <v/>
      </c>
      <c r="AI666" s="40" t="str">
        <f t="shared" si="8"/>
        <v/>
      </c>
      <c r="AJ666" s="40" t="str">
        <f>IF($K666="","",COUNTIF(Assignments!$B$6:$B$1000,$K666))</f>
        <v/>
      </c>
      <c r="AK666" s="40" t="str">
        <f>IF($K666="","",IF(AND($AJ666=0,$O666&lt;$N666),Config!$B$43,0))</f>
        <v/>
      </c>
      <c r="AL666" s="40" t="str">
        <f>IF($K666="","",IF(AND($M666="Elite",$G666&gt;=Config!$B$41,$O666&lt;$N666),Config!$B$42,0))</f>
        <v/>
      </c>
      <c r="AM666" s="22"/>
    </row>
    <row r="667" ht="15.75" customHeight="1">
      <c r="A667" s="40" t="str">
        <f t="shared" si="1"/>
        <v/>
      </c>
      <c r="B667" s="40" t="str">
        <f>IF(Bids!$A666="","",Bids!$A666)</f>
        <v/>
      </c>
      <c r="C667" s="40" t="str">
        <f>IF(Bids!$B666="","",Bids!$B666)</f>
        <v/>
      </c>
      <c r="D667" s="40" t="str">
        <f>IF($C667="","",IFERROR(VLOOKUP($C667,Orders!$A$4:$J$998,9,FALSE),""))</f>
        <v/>
      </c>
      <c r="E667" s="40" t="str">
        <f>IF($C667="","",IFERROR(VLOOKUP($C667,Orders!$A$4:$J$998,3,FALSE),""))</f>
        <v/>
      </c>
      <c r="F667" s="40">
        <f t="shared" si="2"/>
        <v>1</v>
      </c>
      <c r="G667" s="40" t="str">
        <f>IF($C667="","",IFERROR(VLOOKUP($C667,Orders!$A$4:$J$998,4,FALSE),""))</f>
        <v/>
      </c>
      <c r="H667" s="40" t="str">
        <f>IF($C667="","",IFERROR(VLOOKUP($C667,Orders!$A$4:$J$998,5,FALSE),""))</f>
        <v/>
      </c>
      <c r="I667" s="40" t="str">
        <f>IF($C667="","",IFERROR(VLOOKUP($C667,Orders!$A$4:$J$998,6,FALSE),""))</f>
        <v/>
      </c>
      <c r="J667" s="40" t="str">
        <f>IF($C667="","",IFERROR(VLOOKUP($C667,Orders!$A$4:$J$998,7,FALSE),""))</f>
        <v/>
      </c>
      <c r="K667" s="40" t="str">
        <f>IF(Bids!$C666="","",Bids!$C666)</f>
        <v/>
      </c>
      <c r="L667" s="40" t="str">
        <f>IF($K667="","",IFERROR(VLOOKUP($K667,Grinders!$A$4:$N$998,2,FALSE),""))</f>
        <v/>
      </c>
      <c r="M667" s="40" t="str">
        <f>IF($K667="","",IFERROR(VLOOKUP($K667,Grinders!$A$4:$N$998,3,FALSE),""))</f>
        <v/>
      </c>
      <c r="N667" s="40" t="str">
        <f>IF($K667="","",IFERROR(VLOOKUP($K667,Grinders!$A$4:$N$998,4,FALSE),""))</f>
        <v/>
      </c>
      <c r="O667" s="40" t="str">
        <f>IF($K667="","",IFERROR(VLOOKUP($K667,Grinders!$A$4:$N$998,5,FALSE),""))</f>
        <v/>
      </c>
      <c r="P667" s="40" t="str">
        <f>IF($K667="","",IF($C$4="",0,COUNTIFS(Assignments!$B$6:$B$1000,$K667,Assignments!$F$6:$F$1000,$C$4,Assignments!$E$6:$E$1000,"Active")))</f>
        <v/>
      </c>
      <c r="Q667" s="40" t="str">
        <f t="shared" si="3"/>
        <v/>
      </c>
      <c r="R667" s="40" t="str">
        <f t="shared" si="4"/>
        <v/>
      </c>
      <c r="S667" s="40" t="str">
        <f>IF($K667="","",IF($C$4="",0,COUNTIFS(Assignments!$B$6:$B$1000,$K667,Assignments!$F$6:$F$1000,$C$4,Assignments!$D$6:$D$1000,"&gt;="&amp;Config!$B$3-7,Assignments!$D$6:$D$1000,"&lt;="&amp;Config!$B$3)))</f>
        <v/>
      </c>
      <c r="T667" s="40" t="str">
        <f>IF($K667="","",IFERROR(VLOOKUP($K667,Grinders!$A$4:$N$998,8,FALSE),""))</f>
        <v/>
      </c>
      <c r="U667" s="40" t="str">
        <f>IFERROR(IF($K667="","",IF($M667="Elite",MAX(50,MIN(100,Config!$B$27*MAX(0,MIN(100,(1-IF($R667="",0,$R667))*100)) + Config!$B$28*MAX(0,MIN(100,(1-MIN(1,IF(Config!$B$30=0,1,$S667/Config!$B$30)))*100)) + Config!$B$29*MAX(0,MIN(100,MIN(1,IF($T667="",0,$T667)/Config!$B$23)*100)))),MIN(100,Config!$B$27*MAX(0,MIN(100,(1-IF($R667="",0,$R667))*100)) + Config!$B$28*MAX(0,MIN(100,(1-MIN(1,IF(Config!$B$30=0,1,$S667/Config!$B$30)))*100)) + Config!$B$29*MAX(0,MIN(100,MIN(1,IF($T667="",0,$T667)/Config!$B$23)*100))))),"")
</f>
        <v/>
      </c>
      <c r="V667" s="40" t="str">
        <f>IF(Bids!$D666="","",Bids!$D666)</f>
        <v/>
      </c>
      <c r="W667" s="40" t="str">
        <f>IF(Bids!$F666="","",Bids!$F666)</f>
        <v/>
      </c>
      <c r="X667" s="40" t="str">
        <f t="shared" si="5"/>
        <v/>
      </c>
      <c r="Y667" s="40" t="str">
        <f>IF($X667="","",IF(Config!$B$17=Config!$B$16,IF($X667&gt;=Config!$B$17,100,0),MAX(0,MIN(100,($X667-Config!$B$16)/(Config!$B$17-Config!$B$16)*100))))</f>
        <v/>
      </c>
      <c r="Z667" s="40">
        <f>IF($M667="Elite",Config!$B$21,0)</f>
        <v>0</v>
      </c>
      <c r="AA667" s="40" t="str">
        <f>IFERROR(IF(OR($W667="",$H667=""),"",IF($W667&gt;$H667,
  MAX(0, 60-(($W667-$H667)*24/Config!$B$19)*60),
  MIN(100, 60+(($H667-$W667)*24/Config!$B$20)*40)
)),"")
</f>
        <v/>
      </c>
      <c r="AB667" s="40" t="str">
        <f>IF($K667="","",IFERROR(VLOOKUP($K667,Grinders!$A$4:$N$998,10,FALSE)/5*100,""))</f>
        <v/>
      </c>
      <c r="AC667" s="40" t="str">
        <f>IF($K667="","",IFERROR(VLOOKUP($K667,Grinders!$A$4:$N$998,11,FALSE)*100,""))</f>
        <v/>
      </c>
      <c r="AD667" s="40" t="str">
        <f>IF($K667="","",IFERROR(VLOOKUP($K667,Grinders!$A$4:$N$998,12,FALSE)*100,""))</f>
        <v/>
      </c>
      <c r="AE667" s="40">
        <f>IFERROR(IFS(
    OR($C667="", $K667=""), 0,
    $F667=0, 0,
    $D667&lt;&gt;"Open", 0,
    COUNTIFS(GrinderServices!$B$4:$B$998, $K667, GrinderServices!$C$4:$C$998, $E667, GrinderServices!$E$4:$E$998, "Y")=0, 0,
    $X667&lt;Config!$B$16, 0,
    Config!$B$18=1, IF($O667&gt;=N667, 0, 1),
    TRUE, 1
), "")
</f>
        <v>0</v>
      </c>
      <c r="AF667" s="40" t="str">
        <f>IFERROR(IF($AE667=0,"",((Config!$B$6*$Y667 + Config!$B$7*$U667 + Config!$B$8*$Z667 + Config!$B$9*$AA667 + Config!$B$10*$AB667 + Config!$B$11*$AC667 - Config!$B$12*$AD667)/Config!$B$13)+$AK667+$AL667),"")</f>
        <v/>
      </c>
      <c r="AG667" s="40" t="str">
        <f t="shared" si="6"/>
        <v/>
      </c>
      <c r="AH667" s="40" t="str">
        <f t="shared" si="7"/>
        <v/>
      </c>
      <c r="AI667" s="40" t="str">
        <f t="shared" si="8"/>
        <v/>
      </c>
      <c r="AJ667" s="40" t="str">
        <f>IF($K667="","",COUNTIF(Assignments!$B$6:$B$1000,$K667))</f>
        <v/>
      </c>
      <c r="AK667" s="40" t="str">
        <f>IF($K667="","",IF(AND($AJ667=0,$O667&lt;$N667),Config!$B$43,0))</f>
        <v/>
      </c>
      <c r="AL667" s="40" t="str">
        <f>IF($K667="","",IF(AND($M667="Elite",$G667&gt;=Config!$B$41,$O667&lt;$N667),Config!$B$42,0))</f>
        <v/>
      </c>
      <c r="AM667" s="22"/>
    </row>
    <row r="668" ht="15.75" customHeight="1">
      <c r="A668" s="40" t="str">
        <f t="shared" si="1"/>
        <v/>
      </c>
      <c r="B668" s="40" t="str">
        <f>IF(Bids!$A667="","",Bids!$A667)</f>
        <v/>
      </c>
      <c r="C668" s="40" t="str">
        <f>IF(Bids!$B667="","",Bids!$B667)</f>
        <v/>
      </c>
      <c r="D668" s="40" t="str">
        <f>IF($C668="","",IFERROR(VLOOKUP($C668,Orders!$A$4:$J$998,9,FALSE),""))</f>
        <v/>
      </c>
      <c r="E668" s="40" t="str">
        <f>IF($C668="","",IFERROR(VLOOKUP($C668,Orders!$A$4:$J$998,3,FALSE),""))</f>
        <v/>
      </c>
      <c r="F668" s="40">
        <f t="shared" si="2"/>
        <v>1</v>
      </c>
      <c r="G668" s="40" t="str">
        <f>IF($C668="","",IFERROR(VLOOKUP($C668,Orders!$A$4:$J$998,4,FALSE),""))</f>
        <v/>
      </c>
      <c r="H668" s="40" t="str">
        <f>IF($C668="","",IFERROR(VLOOKUP($C668,Orders!$A$4:$J$998,5,FALSE),""))</f>
        <v/>
      </c>
      <c r="I668" s="40" t="str">
        <f>IF($C668="","",IFERROR(VLOOKUP($C668,Orders!$A$4:$J$998,6,FALSE),""))</f>
        <v/>
      </c>
      <c r="J668" s="40" t="str">
        <f>IF($C668="","",IFERROR(VLOOKUP($C668,Orders!$A$4:$J$998,7,FALSE),""))</f>
        <v/>
      </c>
      <c r="K668" s="40" t="str">
        <f>IF(Bids!$C667="","",Bids!$C667)</f>
        <v/>
      </c>
      <c r="L668" s="40" t="str">
        <f>IF($K668="","",IFERROR(VLOOKUP($K668,Grinders!$A$4:$N$998,2,FALSE),""))</f>
        <v/>
      </c>
      <c r="M668" s="40" t="str">
        <f>IF($K668="","",IFERROR(VLOOKUP($K668,Grinders!$A$4:$N$998,3,FALSE),""))</f>
        <v/>
      </c>
      <c r="N668" s="40" t="str">
        <f>IF($K668="","",IFERROR(VLOOKUP($K668,Grinders!$A$4:$N$998,4,FALSE),""))</f>
        <v/>
      </c>
      <c r="O668" s="40" t="str">
        <f>IF($K668="","",IFERROR(VLOOKUP($K668,Grinders!$A$4:$N$998,5,FALSE),""))</f>
        <v/>
      </c>
      <c r="P668" s="40" t="str">
        <f>IF($K668="","",IF($C$4="",0,COUNTIFS(Assignments!$B$6:$B$1000,$K668,Assignments!$F$6:$F$1000,$C$4,Assignments!$E$6:$E$1000,"Active")))</f>
        <v/>
      </c>
      <c r="Q668" s="40" t="str">
        <f t="shared" si="3"/>
        <v/>
      </c>
      <c r="R668" s="40" t="str">
        <f t="shared" si="4"/>
        <v/>
      </c>
      <c r="S668" s="40" t="str">
        <f>IF($K668="","",IF($C$4="",0,COUNTIFS(Assignments!$B$6:$B$1000,$K668,Assignments!$F$6:$F$1000,$C$4,Assignments!$D$6:$D$1000,"&gt;="&amp;Config!$B$3-7,Assignments!$D$6:$D$1000,"&lt;="&amp;Config!$B$3)))</f>
        <v/>
      </c>
      <c r="T668" s="40" t="str">
        <f>IF($K668="","",IFERROR(VLOOKUP($K668,Grinders!$A$4:$N$998,8,FALSE),""))</f>
        <v/>
      </c>
      <c r="U668" s="40" t="str">
        <f>IFERROR(IF($K668="","",IF($M668="Elite",MAX(50,MIN(100,Config!$B$27*MAX(0,MIN(100,(1-IF($R668="",0,$R668))*100)) + Config!$B$28*MAX(0,MIN(100,(1-MIN(1,IF(Config!$B$30=0,1,$S668/Config!$B$30)))*100)) + Config!$B$29*MAX(0,MIN(100,MIN(1,IF($T668="",0,$T668)/Config!$B$23)*100)))),MIN(100,Config!$B$27*MAX(0,MIN(100,(1-IF($R668="",0,$R668))*100)) + Config!$B$28*MAX(0,MIN(100,(1-MIN(1,IF(Config!$B$30=0,1,$S668/Config!$B$30)))*100)) + Config!$B$29*MAX(0,MIN(100,MIN(1,IF($T668="",0,$T668)/Config!$B$23)*100))))),"")
</f>
        <v/>
      </c>
      <c r="V668" s="40" t="str">
        <f>IF(Bids!$D667="","",Bids!$D667)</f>
        <v/>
      </c>
      <c r="W668" s="40" t="str">
        <f>IF(Bids!$F667="","",Bids!$F667)</f>
        <v/>
      </c>
      <c r="X668" s="40" t="str">
        <f t="shared" si="5"/>
        <v/>
      </c>
      <c r="Y668" s="40" t="str">
        <f>IF($X668="","",IF(Config!$B$17=Config!$B$16,IF($X668&gt;=Config!$B$17,100,0),MAX(0,MIN(100,($X668-Config!$B$16)/(Config!$B$17-Config!$B$16)*100))))</f>
        <v/>
      </c>
      <c r="Z668" s="40">
        <f>IF($M668="Elite",Config!$B$21,0)</f>
        <v>0</v>
      </c>
      <c r="AA668" s="40" t="str">
        <f>IFERROR(IF(OR($W668="",$H668=""),"",IF($W668&gt;$H668,
  MAX(0, 60-(($W668-$H668)*24/Config!$B$19)*60),
  MIN(100, 60+(($H668-$W668)*24/Config!$B$20)*40)
)),"")
</f>
        <v/>
      </c>
      <c r="AB668" s="40" t="str">
        <f>IF($K668="","",IFERROR(VLOOKUP($K668,Grinders!$A$4:$N$998,10,FALSE)/5*100,""))</f>
        <v/>
      </c>
      <c r="AC668" s="40" t="str">
        <f>IF($K668="","",IFERROR(VLOOKUP($K668,Grinders!$A$4:$N$998,11,FALSE)*100,""))</f>
        <v/>
      </c>
      <c r="AD668" s="40" t="str">
        <f>IF($K668="","",IFERROR(VLOOKUP($K668,Grinders!$A$4:$N$998,12,FALSE)*100,""))</f>
        <v/>
      </c>
      <c r="AE668" s="40">
        <f>IFERROR(IFS(
    OR($C668="", $K668=""), 0,
    $F668=0, 0,
    $D668&lt;&gt;"Open", 0,
    COUNTIFS(GrinderServices!$B$4:$B$998, $K668, GrinderServices!$C$4:$C$998, $E668, GrinderServices!$E$4:$E$998, "Y")=0, 0,
    $X668&lt;Config!$B$16, 0,
    Config!$B$18=1, IF($O668&gt;=N668, 0, 1),
    TRUE, 1
), "")
</f>
        <v>0</v>
      </c>
      <c r="AF668" s="40" t="str">
        <f>IFERROR(IF($AE668=0,"",((Config!$B$6*$Y668 + Config!$B$7*$U668 + Config!$B$8*$Z668 + Config!$B$9*$AA668 + Config!$B$10*$AB668 + Config!$B$11*$AC668 - Config!$B$12*$AD668)/Config!$B$13)+$AK668+$AL668),"")</f>
        <v/>
      </c>
      <c r="AG668" s="40" t="str">
        <f t="shared" si="6"/>
        <v/>
      </c>
      <c r="AH668" s="40" t="str">
        <f t="shared" si="7"/>
        <v/>
      </c>
      <c r="AI668" s="40" t="str">
        <f t="shared" si="8"/>
        <v/>
      </c>
      <c r="AJ668" s="40" t="str">
        <f>IF($K668="","",COUNTIF(Assignments!$B$6:$B$1000,$K668))</f>
        <v/>
      </c>
      <c r="AK668" s="40" t="str">
        <f>IF($K668="","",IF(AND($AJ668=0,$O668&lt;$N668),Config!$B$43,0))</f>
        <v/>
      </c>
      <c r="AL668" s="40" t="str">
        <f>IF($K668="","",IF(AND($M668="Elite",$G668&gt;=Config!$B$41,$O668&lt;$N668),Config!$B$42,0))</f>
        <v/>
      </c>
      <c r="AM668" s="22"/>
    </row>
    <row r="669" ht="15.75" customHeight="1">
      <c r="A669" s="40" t="str">
        <f t="shared" si="1"/>
        <v/>
      </c>
      <c r="B669" s="40" t="str">
        <f>IF(Bids!$A668="","",Bids!$A668)</f>
        <v/>
      </c>
      <c r="C669" s="40" t="str">
        <f>IF(Bids!$B668="","",Bids!$B668)</f>
        <v/>
      </c>
      <c r="D669" s="40" t="str">
        <f>IF($C669="","",IFERROR(VLOOKUP($C669,Orders!$A$4:$J$998,9,FALSE),""))</f>
        <v/>
      </c>
      <c r="E669" s="40" t="str">
        <f>IF($C669="","",IFERROR(VLOOKUP($C669,Orders!$A$4:$J$998,3,FALSE),""))</f>
        <v/>
      </c>
      <c r="F669" s="40">
        <f t="shared" si="2"/>
        <v>1</v>
      </c>
      <c r="G669" s="40" t="str">
        <f>IF($C669="","",IFERROR(VLOOKUP($C669,Orders!$A$4:$J$998,4,FALSE),""))</f>
        <v/>
      </c>
      <c r="H669" s="40" t="str">
        <f>IF($C669="","",IFERROR(VLOOKUP($C669,Orders!$A$4:$J$998,5,FALSE),""))</f>
        <v/>
      </c>
      <c r="I669" s="40" t="str">
        <f>IF($C669="","",IFERROR(VLOOKUP($C669,Orders!$A$4:$J$998,6,FALSE),""))</f>
        <v/>
      </c>
      <c r="J669" s="40" t="str">
        <f>IF($C669="","",IFERROR(VLOOKUP($C669,Orders!$A$4:$J$998,7,FALSE),""))</f>
        <v/>
      </c>
      <c r="K669" s="40" t="str">
        <f>IF(Bids!$C668="","",Bids!$C668)</f>
        <v/>
      </c>
      <c r="L669" s="40" t="str">
        <f>IF($K669="","",IFERROR(VLOOKUP($K669,Grinders!$A$4:$N$998,2,FALSE),""))</f>
        <v/>
      </c>
      <c r="M669" s="40" t="str">
        <f>IF($K669="","",IFERROR(VLOOKUP($K669,Grinders!$A$4:$N$998,3,FALSE),""))</f>
        <v/>
      </c>
      <c r="N669" s="40" t="str">
        <f>IF($K669="","",IFERROR(VLOOKUP($K669,Grinders!$A$4:$N$998,4,FALSE),""))</f>
        <v/>
      </c>
      <c r="O669" s="40" t="str">
        <f>IF($K669="","",IFERROR(VLOOKUP($K669,Grinders!$A$4:$N$998,5,FALSE),""))</f>
        <v/>
      </c>
      <c r="P669" s="40" t="str">
        <f>IF($K669="","",IF($C$4="",0,COUNTIFS(Assignments!$B$6:$B$1000,$K669,Assignments!$F$6:$F$1000,$C$4,Assignments!$E$6:$E$1000,"Active")))</f>
        <v/>
      </c>
      <c r="Q669" s="40" t="str">
        <f t="shared" si="3"/>
        <v/>
      </c>
      <c r="R669" s="40" t="str">
        <f t="shared" si="4"/>
        <v/>
      </c>
      <c r="S669" s="40" t="str">
        <f>IF($K669="","",IF($C$4="",0,COUNTIFS(Assignments!$B$6:$B$1000,$K669,Assignments!$F$6:$F$1000,$C$4,Assignments!$D$6:$D$1000,"&gt;="&amp;Config!$B$3-7,Assignments!$D$6:$D$1000,"&lt;="&amp;Config!$B$3)))</f>
        <v/>
      </c>
      <c r="T669" s="40" t="str">
        <f>IF($K669="","",IFERROR(VLOOKUP($K669,Grinders!$A$4:$N$998,8,FALSE),""))</f>
        <v/>
      </c>
      <c r="U669" s="40" t="str">
        <f>IFERROR(IF($K669="","",IF($M669="Elite",MAX(50,MIN(100,Config!$B$27*MAX(0,MIN(100,(1-IF($R669="",0,$R669))*100)) + Config!$B$28*MAX(0,MIN(100,(1-MIN(1,IF(Config!$B$30=0,1,$S669/Config!$B$30)))*100)) + Config!$B$29*MAX(0,MIN(100,MIN(1,IF($T669="",0,$T669)/Config!$B$23)*100)))),MIN(100,Config!$B$27*MAX(0,MIN(100,(1-IF($R669="",0,$R669))*100)) + Config!$B$28*MAX(0,MIN(100,(1-MIN(1,IF(Config!$B$30=0,1,$S669/Config!$B$30)))*100)) + Config!$B$29*MAX(0,MIN(100,MIN(1,IF($T669="",0,$T669)/Config!$B$23)*100))))),"")
</f>
        <v/>
      </c>
      <c r="V669" s="40" t="str">
        <f>IF(Bids!$D668="","",Bids!$D668)</f>
        <v/>
      </c>
      <c r="W669" s="40" t="str">
        <f>IF(Bids!$F668="","",Bids!$F668)</f>
        <v/>
      </c>
      <c r="X669" s="40" t="str">
        <f t="shared" si="5"/>
        <v/>
      </c>
      <c r="Y669" s="40" t="str">
        <f>IF($X669="","",IF(Config!$B$17=Config!$B$16,IF($X669&gt;=Config!$B$17,100,0),MAX(0,MIN(100,($X669-Config!$B$16)/(Config!$B$17-Config!$B$16)*100))))</f>
        <v/>
      </c>
      <c r="Z669" s="40">
        <f>IF($M669="Elite",Config!$B$21,0)</f>
        <v>0</v>
      </c>
      <c r="AA669" s="40" t="str">
        <f>IFERROR(IF(OR($W669="",$H669=""),"",IF($W669&gt;$H669,
  MAX(0, 60-(($W669-$H669)*24/Config!$B$19)*60),
  MIN(100, 60+(($H669-$W669)*24/Config!$B$20)*40)
)),"")
</f>
        <v/>
      </c>
      <c r="AB669" s="40" t="str">
        <f>IF($K669="","",IFERROR(VLOOKUP($K669,Grinders!$A$4:$N$998,10,FALSE)/5*100,""))</f>
        <v/>
      </c>
      <c r="AC669" s="40" t="str">
        <f>IF($K669="","",IFERROR(VLOOKUP($K669,Grinders!$A$4:$N$998,11,FALSE)*100,""))</f>
        <v/>
      </c>
      <c r="AD669" s="40" t="str">
        <f>IF($K669="","",IFERROR(VLOOKUP($K669,Grinders!$A$4:$N$998,12,FALSE)*100,""))</f>
        <v/>
      </c>
      <c r="AE669" s="40">
        <f>IFERROR(IFS(
    OR($C669="", $K669=""), 0,
    $F669=0, 0,
    $D669&lt;&gt;"Open", 0,
    COUNTIFS(GrinderServices!$B$4:$B$998, $K669, GrinderServices!$C$4:$C$998, $E669, GrinderServices!$E$4:$E$998, "Y")=0, 0,
    $X669&lt;Config!$B$16, 0,
    Config!$B$18=1, IF($O669&gt;=N669, 0, 1),
    TRUE, 1
), "")
</f>
        <v>0</v>
      </c>
      <c r="AF669" s="40" t="str">
        <f>IFERROR(IF($AE669=0,"",((Config!$B$6*$Y669 + Config!$B$7*$U669 + Config!$B$8*$Z669 + Config!$B$9*$AA669 + Config!$B$10*$AB669 + Config!$B$11*$AC669 - Config!$B$12*$AD669)/Config!$B$13)+$AK669+$AL669),"")</f>
        <v/>
      </c>
      <c r="AG669" s="40" t="str">
        <f t="shared" si="6"/>
        <v/>
      </c>
      <c r="AH669" s="40" t="str">
        <f t="shared" si="7"/>
        <v/>
      </c>
      <c r="AI669" s="40" t="str">
        <f t="shared" si="8"/>
        <v/>
      </c>
      <c r="AJ669" s="40" t="str">
        <f>IF($K669="","",COUNTIF(Assignments!$B$6:$B$1000,$K669))</f>
        <v/>
      </c>
      <c r="AK669" s="40" t="str">
        <f>IF($K669="","",IF(AND($AJ669=0,$O669&lt;$N669),Config!$B$43,0))</f>
        <v/>
      </c>
      <c r="AL669" s="40" t="str">
        <f>IF($K669="","",IF(AND($M669="Elite",$G669&gt;=Config!$B$41,$O669&lt;$N669),Config!$B$42,0))</f>
        <v/>
      </c>
      <c r="AM669" s="22"/>
    </row>
    <row r="670" ht="15.75" customHeight="1">
      <c r="A670" s="40" t="str">
        <f t="shared" si="1"/>
        <v/>
      </c>
      <c r="B670" s="40" t="str">
        <f>IF(Bids!$A669="","",Bids!$A669)</f>
        <v/>
      </c>
      <c r="C670" s="40" t="str">
        <f>IF(Bids!$B669="","",Bids!$B669)</f>
        <v/>
      </c>
      <c r="D670" s="40" t="str">
        <f>IF($C670="","",IFERROR(VLOOKUP($C670,Orders!$A$4:$J$998,9,FALSE),""))</f>
        <v/>
      </c>
      <c r="E670" s="40" t="str">
        <f>IF($C670="","",IFERROR(VLOOKUP($C670,Orders!$A$4:$J$998,3,FALSE),""))</f>
        <v/>
      </c>
      <c r="F670" s="40">
        <f t="shared" si="2"/>
        <v>1</v>
      </c>
      <c r="G670" s="40" t="str">
        <f>IF($C670="","",IFERROR(VLOOKUP($C670,Orders!$A$4:$J$998,4,FALSE),""))</f>
        <v/>
      </c>
      <c r="H670" s="40" t="str">
        <f>IF($C670="","",IFERROR(VLOOKUP($C670,Orders!$A$4:$J$998,5,FALSE),""))</f>
        <v/>
      </c>
      <c r="I670" s="40" t="str">
        <f>IF($C670="","",IFERROR(VLOOKUP($C670,Orders!$A$4:$J$998,6,FALSE),""))</f>
        <v/>
      </c>
      <c r="J670" s="40" t="str">
        <f>IF($C670="","",IFERROR(VLOOKUP($C670,Orders!$A$4:$J$998,7,FALSE),""))</f>
        <v/>
      </c>
      <c r="K670" s="40" t="str">
        <f>IF(Bids!$C669="","",Bids!$C669)</f>
        <v/>
      </c>
      <c r="L670" s="40" t="str">
        <f>IF($K670="","",IFERROR(VLOOKUP($K670,Grinders!$A$4:$N$998,2,FALSE),""))</f>
        <v/>
      </c>
      <c r="M670" s="40" t="str">
        <f>IF($K670="","",IFERROR(VLOOKUP($K670,Grinders!$A$4:$N$998,3,FALSE),""))</f>
        <v/>
      </c>
      <c r="N670" s="40" t="str">
        <f>IF($K670="","",IFERROR(VLOOKUP($K670,Grinders!$A$4:$N$998,4,FALSE),""))</f>
        <v/>
      </c>
      <c r="O670" s="40" t="str">
        <f>IF($K670="","",IFERROR(VLOOKUP($K670,Grinders!$A$4:$N$998,5,FALSE),""))</f>
        <v/>
      </c>
      <c r="P670" s="40" t="str">
        <f>IF($K670="","",IF($C$4="",0,COUNTIFS(Assignments!$B$6:$B$1000,$K670,Assignments!$F$6:$F$1000,$C$4,Assignments!$E$6:$E$1000,"Active")))</f>
        <v/>
      </c>
      <c r="Q670" s="40" t="str">
        <f t="shared" si="3"/>
        <v/>
      </c>
      <c r="R670" s="40" t="str">
        <f t="shared" si="4"/>
        <v/>
      </c>
      <c r="S670" s="40" t="str">
        <f>IF($K670="","",IF($C$4="",0,COUNTIFS(Assignments!$B$6:$B$1000,$K670,Assignments!$F$6:$F$1000,$C$4,Assignments!$D$6:$D$1000,"&gt;="&amp;Config!$B$3-7,Assignments!$D$6:$D$1000,"&lt;="&amp;Config!$B$3)))</f>
        <v/>
      </c>
      <c r="T670" s="40" t="str">
        <f>IF($K670="","",IFERROR(VLOOKUP($K670,Grinders!$A$4:$N$998,8,FALSE),""))</f>
        <v/>
      </c>
      <c r="U670" s="40" t="str">
        <f>IFERROR(IF($K670="","",IF($M670="Elite",MAX(50,MIN(100,Config!$B$27*MAX(0,MIN(100,(1-IF($R670="",0,$R670))*100)) + Config!$B$28*MAX(0,MIN(100,(1-MIN(1,IF(Config!$B$30=0,1,$S670/Config!$B$30)))*100)) + Config!$B$29*MAX(0,MIN(100,MIN(1,IF($T670="",0,$T670)/Config!$B$23)*100)))),MIN(100,Config!$B$27*MAX(0,MIN(100,(1-IF($R670="",0,$R670))*100)) + Config!$B$28*MAX(0,MIN(100,(1-MIN(1,IF(Config!$B$30=0,1,$S670/Config!$B$30)))*100)) + Config!$B$29*MAX(0,MIN(100,MIN(1,IF($T670="",0,$T670)/Config!$B$23)*100))))),"")
</f>
        <v/>
      </c>
      <c r="V670" s="40" t="str">
        <f>IF(Bids!$D669="","",Bids!$D669)</f>
        <v/>
      </c>
      <c r="W670" s="40" t="str">
        <f>IF(Bids!$F669="","",Bids!$F669)</f>
        <v/>
      </c>
      <c r="X670" s="40" t="str">
        <f t="shared" si="5"/>
        <v/>
      </c>
      <c r="Y670" s="40" t="str">
        <f>IF($X670="","",IF(Config!$B$17=Config!$B$16,IF($X670&gt;=Config!$B$17,100,0),MAX(0,MIN(100,($X670-Config!$B$16)/(Config!$B$17-Config!$B$16)*100))))</f>
        <v/>
      </c>
      <c r="Z670" s="40">
        <f>IF($M670="Elite",Config!$B$21,0)</f>
        <v>0</v>
      </c>
      <c r="AA670" s="40" t="str">
        <f>IFERROR(IF(OR($W670="",$H670=""),"",IF($W670&gt;$H670,
  MAX(0, 60-(($W670-$H670)*24/Config!$B$19)*60),
  MIN(100, 60+(($H670-$W670)*24/Config!$B$20)*40)
)),"")
</f>
        <v/>
      </c>
      <c r="AB670" s="40" t="str">
        <f>IF($K670="","",IFERROR(VLOOKUP($K670,Grinders!$A$4:$N$998,10,FALSE)/5*100,""))</f>
        <v/>
      </c>
      <c r="AC670" s="40" t="str">
        <f>IF($K670="","",IFERROR(VLOOKUP($K670,Grinders!$A$4:$N$998,11,FALSE)*100,""))</f>
        <v/>
      </c>
      <c r="AD670" s="40" t="str">
        <f>IF($K670="","",IFERROR(VLOOKUP($K670,Grinders!$A$4:$N$998,12,FALSE)*100,""))</f>
        <v/>
      </c>
      <c r="AE670" s="40">
        <f>IFERROR(IFS(
    OR($C670="", $K670=""), 0,
    $F670=0, 0,
    $D670&lt;&gt;"Open", 0,
    COUNTIFS(GrinderServices!$B$4:$B$998, $K670, GrinderServices!$C$4:$C$998, $E670, GrinderServices!$E$4:$E$998, "Y")=0, 0,
    $X670&lt;Config!$B$16, 0,
    Config!$B$18=1, IF($O670&gt;=N670, 0, 1),
    TRUE, 1
), "")
</f>
        <v>0</v>
      </c>
      <c r="AF670" s="40" t="str">
        <f>IFERROR(IF($AE670=0,"",((Config!$B$6*$Y670 + Config!$B$7*$U670 + Config!$B$8*$Z670 + Config!$B$9*$AA670 + Config!$B$10*$AB670 + Config!$B$11*$AC670 - Config!$B$12*$AD670)/Config!$B$13)+$AK670+$AL670),"")</f>
        <v/>
      </c>
      <c r="AG670" s="40" t="str">
        <f t="shared" si="6"/>
        <v/>
      </c>
      <c r="AH670" s="40" t="str">
        <f t="shared" si="7"/>
        <v/>
      </c>
      <c r="AI670" s="40" t="str">
        <f t="shared" si="8"/>
        <v/>
      </c>
      <c r="AJ670" s="40" t="str">
        <f>IF($K670="","",COUNTIF(Assignments!$B$6:$B$1000,$K670))</f>
        <v/>
      </c>
      <c r="AK670" s="40" t="str">
        <f>IF($K670="","",IF(AND($AJ670=0,$O670&lt;$N670),Config!$B$43,0))</f>
        <v/>
      </c>
      <c r="AL670" s="40" t="str">
        <f>IF($K670="","",IF(AND($M670="Elite",$G670&gt;=Config!$B$41,$O670&lt;$N670),Config!$B$42,0))</f>
        <v/>
      </c>
      <c r="AM670" s="22"/>
    </row>
    <row r="671" ht="15.75" customHeight="1">
      <c r="A671" s="40" t="str">
        <f t="shared" si="1"/>
        <v/>
      </c>
      <c r="B671" s="40" t="str">
        <f>IF(Bids!$A670="","",Bids!$A670)</f>
        <v/>
      </c>
      <c r="C671" s="40" t="str">
        <f>IF(Bids!$B670="","",Bids!$B670)</f>
        <v/>
      </c>
      <c r="D671" s="40" t="str">
        <f>IF($C671="","",IFERROR(VLOOKUP($C671,Orders!$A$4:$J$998,9,FALSE),""))</f>
        <v/>
      </c>
      <c r="E671" s="40" t="str">
        <f>IF($C671="","",IFERROR(VLOOKUP($C671,Orders!$A$4:$J$998,3,FALSE),""))</f>
        <v/>
      </c>
      <c r="F671" s="40">
        <f t="shared" si="2"/>
        <v>1</v>
      </c>
      <c r="G671" s="40" t="str">
        <f>IF($C671="","",IFERROR(VLOOKUP($C671,Orders!$A$4:$J$998,4,FALSE),""))</f>
        <v/>
      </c>
      <c r="H671" s="40" t="str">
        <f>IF($C671="","",IFERROR(VLOOKUP($C671,Orders!$A$4:$J$998,5,FALSE),""))</f>
        <v/>
      </c>
      <c r="I671" s="40" t="str">
        <f>IF($C671="","",IFERROR(VLOOKUP($C671,Orders!$A$4:$J$998,6,FALSE),""))</f>
        <v/>
      </c>
      <c r="J671" s="40" t="str">
        <f>IF($C671="","",IFERROR(VLOOKUP($C671,Orders!$A$4:$J$998,7,FALSE),""))</f>
        <v/>
      </c>
      <c r="K671" s="40" t="str">
        <f>IF(Bids!$C670="","",Bids!$C670)</f>
        <v/>
      </c>
      <c r="L671" s="40" t="str">
        <f>IF($K671="","",IFERROR(VLOOKUP($K671,Grinders!$A$4:$N$998,2,FALSE),""))</f>
        <v/>
      </c>
      <c r="M671" s="40" t="str">
        <f>IF($K671="","",IFERROR(VLOOKUP($K671,Grinders!$A$4:$N$998,3,FALSE),""))</f>
        <v/>
      </c>
      <c r="N671" s="40" t="str">
        <f>IF($K671="","",IFERROR(VLOOKUP($K671,Grinders!$A$4:$N$998,4,FALSE),""))</f>
        <v/>
      </c>
      <c r="O671" s="40" t="str">
        <f>IF($K671="","",IFERROR(VLOOKUP($K671,Grinders!$A$4:$N$998,5,FALSE),""))</f>
        <v/>
      </c>
      <c r="P671" s="40" t="str">
        <f>IF($K671="","",IF($C$4="",0,COUNTIFS(Assignments!$B$6:$B$1000,$K671,Assignments!$F$6:$F$1000,$C$4,Assignments!$E$6:$E$1000,"Active")))</f>
        <v/>
      </c>
      <c r="Q671" s="40" t="str">
        <f t="shared" si="3"/>
        <v/>
      </c>
      <c r="R671" s="40" t="str">
        <f t="shared" si="4"/>
        <v/>
      </c>
      <c r="S671" s="40" t="str">
        <f>IF($K671="","",IF($C$4="",0,COUNTIFS(Assignments!$B$6:$B$1000,$K671,Assignments!$F$6:$F$1000,$C$4,Assignments!$D$6:$D$1000,"&gt;="&amp;Config!$B$3-7,Assignments!$D$6:$D$1000,"&lt;="&amp;Config!$B$3)))</f>
        <v/>
      </c>
      <c r="T671" s="40" t="str">
        <f>IF($K671="","",IFERROR(VLOOKUP($K671,Grinders!$A$4:$N$998,8,FALSE),""))</f>
        <v/>
      </c>
      <c r="U671" s="40" t="str">
        <f>IFERROR(IF($K671="","",IF($M671="Elite",MAX(50,MIN(100,Config!$B$27*MAX(0,MIN(100,(1-IF($R671="",0,$R671))*100)) + Config!$B$28*MAX(0,MIN(100,(1-MIN(1,IF(Config!$B$30=0,1,$S671/Config!$B$30)))*100)) + Config!$B$29*MAX(0,MIN(100,MIN(1,IF($T671="",0,$T671)/Config!$B$23)*100)))),MIN(100,Config!$B$27*MAX(0,MIN(100,(1-IF($R671="",0,$R671))*100)) + Config!$B$28*MAX(0,MIN(100,(1-MIN(1,IF(Config!$B$30=0,1,$S671/Config!$B$30)))*100)) + Config!$B$29*MAX(0,MIN(100,MIN(1,IF($T671="",0,$T671)/Config!$B$23)*100))))),"")
</f>
        <v/>
      </c>
      <c r="V671" s="40" t="str">
        <f>IF(Bids!$D670="","",Bids!$D670)</f>
        <v/>
      </c>
      <c r="W671" s="40" t="str">
        <f>IF(Bids!$F670="","",Bids!$F670)</f>
        <v/>
      </c>
      <c r="X671" s="40" t="str">
        <f t="shared" si="5"/>
        <v/>
      </c>
      <c r="Y671" s="40" t="str">
        <f>IF($X671="","",IF(Config!$B$17=Config!$B$16,IF($X671&gt;=Config!$B$17,100,0),MAX(0,MIN(100,($X671-Config!$B$16)/(Config!$B$17-Config!$B$16)*100))))</f>
        <v/>
      </c>
      <c r="Z671" s="40">
        <f>IF($M671="Elite",Config!$B$21,0)</f>
        <v>0</v>
      </c>
      <c r="AA671" s="40" t="str">
        <f>IFERROR(IF(OR($W671="",$H671=""),"",IF($W671&gt;$H671,
  MAX(0, 60-(($W671-$H671)*24/Config!$B$19)*60),
  MIN(100, 60+(($H671-$W671)*24/Config!$B$20)*40)
)),"")
</f>
        <v/>
      </c>
      <c r="AB671" s="40" t="str">
        <f>IF($K671="","",IFERROR(VLOOKUP($K671,Grinders!$A$4:$N$998,10,FALSE)/5*100,""))</f>
        <v/>
      </c>
      <c r="AC671" s="40" t="str">
        <f>IF($K671="","",IFERROR(VLOOKUP($K671,Grinders!$A$4:$N$998,11,FALSE)*100,""))</f>
        <v/>
      </c>
      <c r="AD671" s="40" t="str">
        <f>IF($K671="","",IFERROR(VLOOKUP($K671,Grinders!$A$4:$N$998,12,FALSE)*100,""))</f>
        <v/>
      </c>
      <c r="AE671" s="40">
        <f>IFERROR(IFS(
    OR($C671="", $K671=""), 0,
    $F671=0, 0,
    $D671&lt;&gt;"Open", 0,
    COUNTIFS(GrinderServices!$B$4:$B$998, $K671, GrinderServices!$C$4:$C$998, $E671, GrinderServices!$E$4:$E$998, "Y")=0, 0,
    $X671&lt;Config!$B$16, 0,
    Config!$B$18=1, IF($O671&gt;=N671, 0, 1),
    TRUE, 1
), "")
</f>
        <v>0</v>
      </c>
      <c r="AF671" s="40" t="str">
        <f>IFERROR(IF($AE671=0,"",((Config!$B$6*$Y671 + Config!$B$7*$U671 + Config!$B$8*$Z671 + Config!$B$9*$AA671 + Config!$B$10*$AB671 + Config!$B$11*$AC671 - Config!$B$12*$AD671)/Config!$B$13)+$AK671+$AL671),"")</f>
        <v/>
      </c>
      <c r="AG671" s="40" t="str">
        <f t="shared" si="6"/>
        <v/>
      </c>
      <c r="AH671" s="40" t="str">
        <f t="shared" si="7"/>
        <v/>
      </c>
      <c r="AI671" s="40" t="str">
        <f t="shared" si="8"/>
        <v/>
      </c>
      <c r="AJ671" s="40" t="str">
        <f>IF($K671="","",COUNTIF(Assignments!$B$6:$B$1000,$K671))</f>
        <v/>
      </c>
      <c r="AK671" s="40" t="str">
        <f>IF($K671="","",IF(AND($AJ671=0,$O671&lt;$N671),Config!$B$43,0))</f>
        <v/>
      </c>
      <c r="AL671" s="40" t="str">
        <f>IF($K671="","",IF(AND($M671="Elite",$G671&gt;=Config!$B$41,$O671&lt;$N671),Config!$B$42,0))</f>
        <v/>
      </c>
      <c r="AM671" s="22"/>
    </row>
    <row r="672" ht="15.75" customHeight="1">
      <c r="A672" s="40" t="str">
        <f t="shared" si="1"/>
        <v/>
      </c>
      <c r="B672" s="40" t="str">
        <f>IF(Bids!$A671="","",Bids!$A671)</f>
        <v/>
      </c>
      <c r="C672" s="40" t="str">
        <f>IF(Bids!$B671="","",Bids!$B671)</f>
        <v/>
      </c>
      <c r="D672" s="40" t="str">
        <f>IF($C672="","",IFERROR(VLOOKUP($C672,Orders!$A$4:$J$998,9,FALSE),""))</f>
        <v/>
      </c>
      <c r="E672" s="40" t="str">
        <f>IF($C672="","",IFERROR(VLOOKUP($C672,Orders!$A$4:$J$998,3,FALSE),""))</f>
        <v/>
      </c>
      <c r="F672" s="40">
        <f t="shared" si="2"/>
        <v>1</v>
      </c>
      <c r="G672" s="40" t="str">
        <f>IF($C672="","",IFERROR(VLOOKUP($C672,Orders!$A$4:$J$998,4,FALSE),""))</f>
        <v/>
      </c>
      <c r="H672" s="40" t="str">
        <f>IF($C672="","",IFERROR(VLOOKUP($C672,Orders!$A$4:$J$998,5,FALSE),""))</f>
        <v/>
      </c>
      <c r="I672" s="40" t="str">
        <f>IF($C672="","",IFERROR(VLOOKUP($C672,Orders!$A$4:$J$998,6,FALSE),""))</f>
        <v/>
      </c>
      <c r="J672" s="40" t="str">
        <f>IF($C672="","",IFERROR(VLOOKUP($C672,Orders!$A$4:$J$998,7,FALSE),""))</f>
        <v/>
      </c>
      <c r="K672" s="40" t="str">
        <f>IF(Bids!$C671="","",Bids!$C671)</f>
        <v/>
      </c>
      <c r="L672" s="40" t="str">
        <f>IF($K672="","",IFERROR(VLOOKUP($K672,Grinders!$A$4:$N$998,2,FALSE),""))</f>
        <v/>
      </c>
      <c r="M672" s="40" t="str">
        <f>IF($K672="","",IFERROR(VLOOKUP($K672,Grinders!$A$4:$N$998,3,FALSE),""))</f>
        <v/>
      </c>
      <c r="N672" s="40" t="str">
        <f>IF($K672="","",IFERROR(VLOOKUP($K672,Grinders!$A$4:$N$998,4,FALSE),""))</f>
        <v/>
      </c>
      <c r="O672" s="40" t="str">
        <f>IF($K672="","",IFERROR(VLOOKUP($K672,Grinders!$A$4:$N$998,5,FALSE),""))</f>
        <v/>
      </c>
      <c r="P672" s="40" t="str">
        <f>IF($K672="","",IF($C$4="",0,COUNTIFS(Assignments!$B$6:$B$1000,$K672,Assignments!$F$6:$F$1000,$C$4,Assignments!$E$6:$E$1000,"Active")))</f>
        <v/>
      </c>
      <c r="Q672" s="40" t="str">
        <f t="shared" si="3"/>
        <v/>
      </c>
      <c r="R672" s="40" t="str">
        <f t="shared" si="4"/>
        <v/>
      </c>
      <c r="S672" s="40" t="str">
        <f>IF($K672="","",IF($C$4="",0,COUNTIFS(Assignments!$B$6:$B$1000,$K672,Assignments!$F$6:$F$1000,$C$4,Assignments!$D$6:$D$1000,"&gt;="&amp;Config!$B$3-7,Assignments!$D$6:$D$1000,"&lt;="&amp;Config!$B$3)))</f>
        <v/>
      </c>
      <c r="T672" s="40" t="str">
        <f>IF($K672="","",IFERROR(VLOOKUP($K672,Grinders!$A$4:$N$998,8,FALSE),""))</f>
        <v/>
      </c>
      <c r="U672" s="40" t="str">
        <f>IFERROR(IF($K672="","",IF($M672="Elite",MAX(50,MIN(100,Config!$B$27*MAX(0,MIN(100,(1-IF($R672="",0,$R672))*100)) + Config!$B$28*MAX(0,MIN(100,(1-MIN(1,IF(Config!$B$30=0,1,$S672/Config!$B$30)))*100)) + Config!$B$29*MAX(0,MIN(100,MIN(1,IF($T672="",0,$T672)/Config!$B$23)*100)))),MIN(100,Config!$B$27*MAX(0,MIN(100,(1-IF($R672="",0,$R672))*100)) + Config!$B$28*MAX(0,MIN(100,(1-MIN(1,IF(Config!$B$30=0,1,$S672/Config!$B$30)))*100)) + Config!$B$29*MAX(0,MIN(100,MIN(1,IF($T672="",0,$T672)/Config!$B$23)*100))))),"")
</f>
        <v/>
      </c>
      <c r="V672" s="40" t="str">
        <f>IF(Bids!$D671="","",Bids!$D671)</f>
        <v/>
      </c>
      <c r="W672" s="40" t="str">
        <f>IF(Bids!$F671="","",Bids!$F671)</f>
        <v/>
      </c>
      <c r="X672" s="40" t="str">
        <f t="shared" si="5"/>
        <v/>
      </c>
      <c r="Y672" s="40" t="str">
        <f>IF($X672="","",IF(Config!$B$17=Config!$B$16,IF($X672&gt;=Config!$B$17,100,0),MAX(0,MIN(100,($X672-Config!$B$16)/(Config!$B$17-Config!$B$16)*100))))</f>
        <v/>
      </c>
      <c r="Z672" s="40">
        <f>IF($M672="Elite",Config!$B$21,0)</f>
        <v>0</v>
      </c>
      <c r="AA672" s="40" t="str">
        <f>IFERROR(IF(OR($W672="",$H672=""),"",IF($W672&gt;$H672,
  MAX(0, 60-(($W672-$H672)*24/Config!$B$19)*60),
  MIN(100, 60+(($H672-$W672)*24/Config!$B$20)*40)
)),"")
</f>
        <v/>
      </c>
      <c r="AB672" s="40" t="str">
        <f>IF($K672="","",IFERROR(VLOOKUP($K672,Grinders!$A$4:$N$998,10,FALSE)/5*100,""))</f>
        <v/>
      </c>
      <c r="AC672" s="40" t="str">
        <f>IF($K672="","",IFERROR(VLOOKUP($K672,Grinders!$A$4:$N$998,11,FALSE)*100,""))</f>
        <v/>
      </c>
      <c r="AD672" s="40" t="str">
        <f>IF($K672="","",IFERROR(VLOOKUP($K672,Grinders!$A$4:$N$998,12,FALSE)*100,""))</f>
        <v/>
      </c>
      <c r="AE672" s="40">
        <f>IFERROR(IFS(
    OR($C672="", $K672=""), 0,
    $F672=0, 0,
    $D672&lt;&gt;"Open", 0,
    COUNTIFS(GrinderServices!$B$4:$B$998, $K672, GrinderServices!$C$4:$C$998, $E672, GrinderServices!$E$4:$E$998, "Y")=0, 0,
    $X672&lt;Config!$B$16, 0,
    Config!$B$18=1, IF($O672&gt;=N672, 0, 1),
    TRUE, 1
), "")
</f>
        <v>0</v>
      </c>
      <c r="AF672" s="40" t="str">
        <f>IFERROR(IF($AE672=0,"",((Config!$B$6*$Y672 + Config!$B$7*$U672 + Config!$B$8*$Z672 + Config!$B$9*$AA672 + Config!$B$10*$AB672 + Config!$B$11*$AC672 - Config!$B$12*$AD672)/Config!$B$13)+$AK672+$AL672),"")</f>
        <v/>
      </c>
      <c r="AG672" s="40" t="str">
        <f t="shared" si="6"/>
        <v/>
      </c>
      <c r="AH672" s="40" t="str">
        <f t="shared" si="7"/>
        <v/>
      </c>
      <c r="AI672" s="40" t="str">
        <f t="shared" si="8"/>
        <v/>
      </c>
      <c r="AJ672" s="40" t="str">
        <f>IF($K672="","",COUNTIF(Assignments!$B$6:$B$1000,$K672))</f>
        <v/>
      </c>
      <c r="AK672" s="40" t="str">
        <f>IF($K672="","",IF(AND($AJ672=0,$O672&lt;$N672),Config!$B$43,0))</f>
        <v/>
      </c>
      <c r="AL672" s="40" t="str">
        <f>IF($K672="","",IF(AND($M672="Elite",$G672&gt;=Config!$B$41,$O672&lt;$N672),Config!$B$42,0))</f>
        <v/>
      </c>
      <c r="AM672" s="22"/>
    </row>
    <row r="673" ht="15.75" customHeight="1">
      <c r="A673" s="40" t="str">
        <f t="shared" si="1"/>
        <v/>
      </c>
      <c r="B673" s="40" t="str">
        <f>IF(Bids!$A672="","",Bids!$A672)</f>
        <v/>
      </c>
      <c r="C673" s="40" t="str">
        <f>IF(Bids!$B672="","",Bids!$B672)</f>
        <v/>
      </c>
      <c r="D673" s="40" t="str">
        <f>IF($C673="","",IFERROR(VLOOKUP($C673,Orders!$A$4:$J$998,9,FALSE),""))</f>
        <v/>
      </c>
      <c r="E673" s="40" t="str">
        <f>IF($C673="","",IFERROR(VLOOKUP($C673,Orders!$A$4:$J$998,3,FALSE),""))</f>
        <v/>
      </c>
      <c r="F673" s="40">
        <f t="shared" si="2"/>
        <v>1</v>
      </c>
      <c r="G673" s="40" t="str">
        <f>IF($C673="","",IFERROR(VLOOKUP($C673,Orders!$A$4:$J$998,4,FALSE),""))</f>
        <v/>
      </c>
      <c r="H673" s="40" t="str">
        <f>IF($C673="","",IFERROR(VLOOKUP($C673,Orders!$A$4:$J$998,5,FALSE),""))</f>
        <v/>
      </c>
      <c r="I673" s="40" t="str">
        <f>IF($C673="","",IFERROR(VLOOKUP($C673,Orders!$A$4:$J$998,6,FALSE),""))</f>
        <v/>
      </c>
      <c r="J673" s="40" t="str">
        <f>IF($C673="","",IFERROR(VLOOKUP($C673,Orders!$A$4:$J$998,7,FALSE),""))</f>
        <v/>
      </c>
      <c r="K673" s="40" t="str">
        <f>IF(Bids!$C672="","",Bids!$C672)</f>
        <v/>
      </c>
      <c r="L673" s="40" t="str">
        <f>IF($K673="","",IFERROR(VLOOKUP($K673,Grinders!$A$4:$N$998,2,FALSE),""))</f>
        <v/>
      </c>
      <c r="M673" s="40" t="str">
        <f>IF($K673="","",IFERROR(VLOOKUP($K673,Grinders!$A$4:$N$998,3,FALSE),""))</f>
        <v/>
      </c>
      <c r="N673" s="40" t="str">
        <f>IF($K673="","",IFERROR(VLOOKUP($K673,Grinders!$A$4:$N$998,4,FALSE),""))</f>
        <v/>
      </c>
      <c r="O673" s="40" t="str">
        <f>IF($K673="","",IFERROR(VLOOKUP($K673,Grinders!$A$4:$N$998,5,FALSE),""))</f>
        <v/>
      </c>
      <c r="P673" s="40" t="str">
        <f>IF($K673="","",IF($C$4="",0,COUNTIFS(Assignments!$B$6:$B$1000,$K673,Assignments!$F$6:$F$1000,$C$4,Assignments!$E$6:$E$1000,"Active")))</f>
        <v/>
      </c>
      <c r="Q673" s="40" t="str">
        <f t="shared" si="3"/>
        <v/>
      </c>
      <c r="R673" s="40" t="str">
        <f t="shared" si="4"/>
        <v/>
      </c>
      <c r="S673" s="40" t="str">
        <f>IF($K673="","",IF($C$4="",0,COUNTIFS(Assignments!$B$6:$B$1000,$K673,Assignments!$F$6:$F$1000,$C$4,Assignments!$D$6:$D$1000,"&gt;="&amp;Config!$B$3-7,Assignments!$D$6:$D$1000,"&lt;="&amp;Config!$B$3)))</f>
        <v/>
      </c>
      <c r="T673" s="40" t="str">
        <f>IF($K673="","",IFERROR(VLOOKUP($K673,Grinders!$A$4:$N$998,8,FALSE),""))</f>
        <v/>
      </c>
      <c r="U673" s="40" t="str">
        <f>IFERROR(IF($K673="","",IF($M673="Elite",MAX(50,MIN(100,Config!$B$27*MAX(0,MIN(100,(1-IF($R673="",0,$R673))*100)) + Config!$B$28*MAX(0,MIN(100,(1-MIN(1,IF(Config!$B$30=0,1,$S673/Config!$B$30)))*100)) + Config!$B$29*MAX(0,MIN(100,MIN(1,IF($T673="",0,$T673)/Config!$B$23)*100)))),MIN(100,Config!$B$27*MAX(0,MIN(100,(1-IF($R673="",0,$R673))*100)) + Config!$B$28*MAX(0,MIN(100,(1-MIN(1,IF(Config!$B$30=0,1,$S673/Config!$B$30)))*100)) + Config!$B$29*MAX(0,MIN(100,MIN(1,IF($T673="",0,$T673)/Config!$B$23)*100))))),"")
</f>
        <v/>
      </c>
      <c r="V673" s="40" t="str">
        <f>IF(Bids!$D672="","",Bids!$D672)</f>
        <v/>
      </c>
      <c r="W673" s="40" t="str">
        <f>IF(Bids!$F672="","",Bids!$F672)</f>
        <v/>
      </c>
      <c r="X673" s="40" t="str">
        <f t="shared" si="5"/>
        <v/>
      </c>
      <c r="Y673" s="40" t="str">
        <f>IF($X673="","",IF(Config!$B$17=Config!$B$16,IF($X673&gt;=Config!$B$17,100,0),MAX(0,MIN(100,($X673-Config!$B$16)/(Config!$B$17-Config!$B$16)*100))))</f>
        <v/>
      </c>
      <c r="Z673" s="40">
        <f>IF($M673="Elite",Config!$B$21,0)</f>
        <v>0</v>
      </c>
      <c r="AA673" s="40" t="str">
        <f>IFERROR(IF(OR($W673="",$H673=""),"",IF($W673&gt;$H673,
  MAX(0, 60-(($W673-$H673)*24/Config!$B$19)*60),
  MIN(100, 60+(($H673-$W673)*24/Config!$B$20)*40)
)),"")
</f>
        <v/>
      </c>
      <c r="AB673" s="40" t="str">
        <f>IF($K673="","",IFERROR(VLOOKUP($K673,Grinders!$A$4:$N$998,10,FALSE)/5*100,""))</f>
        <v/>
      </c>
      <c r="AC673" s="40" t="str">
        <f>IF($K673="","",IFERROR(VLOOKUP($K673,Grinders!$A$4:$N$998,11,FALSE)*100,""))</f>
        <v/>
      </c>
      <c r="AD673" s="40" t="str">
        <f>IF($K673="","",IFERROR(VLOOKUP($K673,Grinders!$A$4:$N$998,12,FALSE)*100,""))</f>
        <v/>
      </c>
      <c r="AE673" s="40">
        <f>IFERROR(IFS(
    OR($C673="", $K673=""), 0,
    $F673=0, 0,
    $D673&lt;&gt;"Open", 0,
    COUNTIFS(GrinderServices!$B$4:$B$998, $K673, GrinderServices!$C$4:$C$998, $E673, GrinderServices!$E$4:$E$998, "Y")=0, 0,
    $X673&lt;Config!$B$16, 0,
    Config!$B$18=1, IF($O673&gt;=N673, 0, 1),
    TRUE, 1
), "")
</f>
        <v>0</v>
      </c>
      <c r="AF673" s="40" t="str">
        <f>IFERROR(IF($AE673=0,"",((Config!$B$6*$Y673 + Config!$B$7*$U673 + Config!$B$8*$Z673 + Config!$B$9*$AA673 + Config!$B$10*$AB673 + Config!$B$11*$AC673 - Config!$B$12*$AD673)/Config!$B$13)+$AK673+$AL673),"")</f>
        <v/>
      </c>
      <c r="AG673" s="40" t="str">
        <f t="shared" si="6"/>
        <v/>
      </c>
      <c r="AH673" s="40" t="str">
        <f t="shared" si="7"/>
        <v/>
      </c>
      <c r="AI673" s="40" t="str">
        <f t="shared" si="8"/>
        <v/>
      </c>
      <c r="AJ673" s="40" t="str">
        <f>IF($K673="","",COUNTIF(Assignments!$B$6:$B$1000,$K673))</f>
        <v/>
      </c>
      <c r="AK673" s="40" t="str">
        <f>IF($K673="","",IF(AND($AJ673=0,$O673&lt;$N673),Config!$B$43,0))</f>
        <v/>
      </c>
      <c r="AL673" s="40" t="str">
        <f>IF($K673="","",IF(AND($M673="Elite",$G673&gt;=Config!$B$41,$O673&lt;$N673),Config!$B$42,0))</f>
        <v/>
      </c>
      <c r="AM673" s="22"/>
    </row>
    <row r="674" ht="15.75" customHeight="1">
      <c r="A674" s="40" t="str">
        <f t="shared" si="1"/>
        <v/>
      </c>
      <c r="B674" s="40" t="str">
        <f>IF(Bids!$A673="","",Bids!$A673)</f>
        <v/>
      </c>
      <c r="C674" s="40" t="str">
        <f>IF(Bids!$B673="","",Bids!$B673)</f>
        <v/>
      </c>
      <c r="D674" s="40" t="str">
        <f>IF($C674="","",IFERROR(VLOOKUP($C674,Orders!$A$4:$J$998,9,FALSE),""))</f>
        <v/>
      </c>
      <c r="E674" s="40" t="str">
        <f>IF($C674="","",IFERROR(VLOOKUP($C674,Orders!$A$4:$J$998,3,FALSE),""))</f>
        <v/>
      </c>
      <c r="F674" s="40">
        <f t="shared" si="2"/>
        <v>1</v>
      </c>
      <c r="G674" s="40" t="str">
        <f>IF($C674="","",IFERROR(VLOOKUP($C674,Orders!$A$4:$J$998,4,FALSE),""))</f>
        <v/>
      </c>
      <c r="H674" s="40" t="str">
        <f>IF($C674="","",IFERROR(VLOOKUP($C674,Orders!$A$4:$J$998,5,FALSE),""))</f>
        <v/>
      </c>
      <c r="I674" s="40" t="str">
        <f>IF($C674="","",IFERROR(VLOOKUP($C674,Orders!$A$4:$J$998,6,FALSE),""))</f>
        <v/>
      </c>
      <c r="J674" s="40" t="str">
        <f>IF($C674="","",IFERROR(VLOOKUP($C674,Orders!$A$4:$J$998,7,FALSE),""))</f>
        <v/>
      </c>
      <c r="K674" s="40" t="str">
        <f>IF(Bids!$C673="","",Bids!$C673)</f>
        <v/>
      </c>
      <c r="L674" s="40" t="str">
        <f>IF($K674="","",IFERROR(VLOOKUP($K674,Grinders!$A$4:$N$998,2,FALSE),""))</f>
        <v/>
      </c>
      <c r="M674" s="40" t="str">
        <f>IF($K674="","",IFERROR(VLOOKUP($K674,Grinders!$A$4:$N$998,3,FALSE),""))</f>
        <v/>
      </c>
      <c r="N674" s="40" t="str">
        <f>IF($K674="","",IFERROR(VLOOKUP($K674,Grinders!$A$4:$N$998,4,FALSE),""))</f>
        <v/>
      </c>
      <c r="O674" s="40" t="str">
        <f>IF($K674="","",IFERROR(VLOOKUP($K674,Grinders!$A$4:$N$998,5,FALSE),""))</f>
        <v/>
      </c>
      <c r="P674" s="40" t="str">
        <f>IF($K674="","",IF($C$4="",0,COUNTIFS(Assignments!$B$6:$B$1000,$K674,Assignments!$F$6:$F$1000,$C$4,Assignments!$E$6:$E$1000,"Active")))</f>
        <v/>
      </c>
      <c r="Q674" s="40" t="str">
        <f t="shared" si="3"/>
        <v/>
      </c>
      <c r="R674" s="40" t="str">
        <f t="shared" si="4"/>
        <v/>
      </c>
      <c r="S674" s="40" t="str">
        <f>IF($K674="","",IF($C$4="",0,COUNTIFS(Assignments!$B$6:$B$1000,$K674,Assignments!$F$6:$F$1000,$C$4,Assignments!$D$6:$D$1000,"&gt;="&amp;Config!$B$3-7,Assignments!$D$6:$D$1000,"&lt;="&amp;Config!$B$3)))</f>
        <v/>
      </c>
      <c r="T674" s="40" t="str">
        <f>IF($K674="","",IFERROR(VLOOKUP($K674,Grinders!$A$4:$N$998,8,FALSE),""))</f>
        <v/>
      </c>
      <c r="U674" s="40" t="str">
        <f>IFERROR(IF($K674="","",IF($M674="Elite",MAX(50,MIN(100,Config!$B$27*MAX(0,MIN(100,(1-IF($R674="",0,$R674))*100)) + Config!$B$28*MAX(0,MIN(100,(1-MIN(1,IF(Config!$B$30=0,1,$S674/Config!$B$30)))*100)) + Config!$B$29*MAX(0,MIN(100,MIN(1,IF($T674="",0,$T674)/Config!$B$23)*100)))),MIN(100,Config!$B$27*MAX(0,MIN(100,(1-IF($R674="",0,$R674))*100)) + Config!$B$28*MAX(0,MIN(100,(1-MIN(1,IF(Config!$B$30=0,1,$S674/Config!$B$30)))*100)) + Config!$B$29*MAX(0,MIN(100,MIN(1,IF($T674="",0,$T674)/Config!$B$23)*100))))),"")
</f>
        <v/>
      </c>
      <c r="V674" s="40" t="str">
        <f>IF(Bids!$D673="","",Bids!$D673)</f>
        <v/>
      </c>
      <c r="W674" s="40" t="str">
        <f>IF(Bids!$F673="","",Bids!$F673)</f>
        <v/>
      </c>
      <c r="X674" s="40" t="str">
        <f t="shared" si="5"/>
        <v/>
      </c>
      <c r="Y674" s="40" t="str">
        <f>IF($X674="","",IF(Config!$B$17=Config!$B$16,IF($X674&gt;=Config!$B$17,100,0),MAX(0,MIN(100,($X674-Config!$B$16)/(Config!$B$17-Config!$B$16)*100))))</f>
        <v/>
      </c>
      <c r="Z674" s="40">
        <f>IF($M674="Elite",Config!$B$21,0)</f>
        <v>0</v>
      </c>
      <c r="AA674" s="40" t="str">
        <f>IFERROR(IF(OR($W674="",$H674=""),"",IF($W674&gt;$H674,
  MAX(0, 60-(($W674-$H674)*24/Config!$B$19)*60),
  MIN(100, 60+(($H674-$W674)*24/Config!$B$20)*40)
)),"")
</f>
        <v/>
      </c>
      <c r="AB674" s="40" t="str">
        <f>IF($K674="","",IFERROR(VLOOKUP($K674,Grinders!$A$4:$N$998,10,FALSE)/5*100,""))</f>
        <v/>
      </c>
      <c r="AC674" s="40" t="str">
        <f>IF($K674="","",IFERROR(VLOOKUP($K674,Grinders!$A$4:$N$998,11,FALSE)*100,""))</f>
        <v/>
      </c>
      <c r="AD674" s="40" t="str">
        <f>IF($K674="","",IFERROR(VLOOKUP($K674,Grinders!$A$4:$N$998,12,FALSE)*100,""))</f>
        <v/>
      </c>
      <c r="AE674" s="40">
        <f>IFERROR(IFS(
    OR($C674="", $K674=""), 0,
    $F674=0, 0,
    $D674&lt;&gt;"Open", 0,
    COUNTIFS(GrinderServices!$B$4:$B$998, $K674, GrinderServices!$C$4:$C$998, $E674, GrinderServices!$E$4:$E$998, "Y")=0, 0,
    $X674&lt;Config!$B$16, 0,
    Config!$B$18=1, IF($O674&gt;=N674, 0, 1),
    TRUE, 1
), "")
</f>
        <v>0</v>
      </c>
      <c r="AF674" s="40" t="str">
        <f>IFERROR(IF($AE674=0,"",((Config!$B$6*$Y674 + Config!$B$7*$U674 + Config!$B$8*$Z674 + Config!$B$9*$AA674 + Config!$B$10*$AB674 + Config!$B$11*$AC674 - Config!$B$12*$AD674)/Config!$B$13)+$AK674+$AL674),"")</f>
        <v/>
      </c>
      <c r="AG674" s="40" t="str">
        <f t="shared" si="6"/>
        <v/>
      </c>
      <c r="AH674" s="40" t="str">
        <f t="shared" si="7"/>
        <v/>
      </c>
      <c r="AI674" s="40" t="str">
        <f t="shared" si="8"/>
        <v/>
      </c>
      <c r="AJ674" s="40" t="str">
        <f>IF($K674="","",COUNTIF(Assignments!$B$6:$B$1000,$K674))</f>
        <v/>
      </c>
      <c r="AK674" s="40" t="str">
        <f>IF($K674="","",IF(AND($AJ674=0,$O674&lt;$N674),Config!$B$43,0))</f>
        <v/>
      </c>
      <c r="AL674" s="40" t="str">
        <f>IF($K674="","",IF(AND($M674="Elite",$G674&gt;=Config!$B$41,$O674&lt;$N674),Config!$B$42,0))</f>
        <v/>
      </c>
      <c r="AM674" s="22"/>
    </row>
    <row r="675" ht="15.75" customHeight="1">
      <c r="A675" s="40" t="str">
        <f t="shared" si="1"/>
        <v/>
      </c>
      <c r="B675" s="40" t="str">
        <f>IF(Bids!$A674="","",Bids!$A674)</f>
        <v/>
      </c>
      <c r="C675" s="40" t="str">
        <f>IF(Bids!$B674="","",Bids!$B674)</f>
        <v/>
      </c>
      <c r="D675" s="40" t="str">
        <f>IF($C675="","",IFERROR(VLOOKUP($C675,Orders!$A$4:$J$998,9,FALSE),""))</f>
        <v/>
      </c>
      <c r="E675" s="40" t="str">
        <f>IF($C675="","",IFERROR(VLOOKUP($C675,Orders!$A$4:$J$998,3,FALSE),""))</f>
        <v/>
      </c>
      <c r="F675" s="40">
        <f t="shared" si="2"/>
        <v>1</v>
      </c>
      <c r="G675" s="40" t="str">
        <f>IF($C675="","",IFERROR(VLOOKUP($C675,Orders!$A$4:$J$998,4,FALSE),""))</f>
        <v/>
      </c>
      <c r="H675" s="40" t="str">
        <f>IF($C675="","",IFERROR(VLOOKUP($C675,Orders!$A$4:$J$998,5,FALSE),""))</f>
        <v/>
      </c>
      <c r="I675" s="40" t="str">
        <f>IF($C675="","",IFERROR(VLOOKUP($C675,Orders!$A$4:$J$998,6,FALSE),""))</f>
        <v/>
      </c>
      <c r="J675" s="40" t="str">
        <f>IF($C675="","",IFERROR(VLOOKUP($C675,Orders!$A$4:$J$998,7,FALSE),""))</f>
        <v/>
      </c>
      <c r="K675" s="40" t="str">
        <f>IF(Bids!$C674="","",Bids!$C674)</f>
        <v/>
      </c>
      <c r="L675" s="40" t="str">
        <f>IF($K675="","",IFERROR(VLOOKUP($K675,Grinders!$A$4:$N$998,2,FALSE),""))</f>
        <v/>
      </c>
      <c r="M675" s="40" t="str">
        <f>IF($K675="","",IFERROR(VLOOKUP($K675,Grinders!$A$4:$N$998,3,FALSE),""))</f>
        <v/>
      </c>
      <c r="N675" s="40" t="str">
        <f>IF($K675="","",IFERROR(VLOOKUP($K675,Grinders!$A$4:$N$998,4,FALSE),""))</f>
        <v/>
      </c>
      <c r="O675" s="40" t="str">
        <f>IF($K675="","",IFERROR(VLOOKUP($K675,Grinders!$A$4:$N$998,5,FALSE),""))</f>
        <v/>
      </c>
      <c r="P675" s="40" t="str">
        <f>IF($K675="","",IF($C$4="",0,COUNTIFS(Assignments!$B$6:$B$1000,$K675,Assignments!$F$6:$F$1000,$C$4,Assignments!$E$6:$E$1000,"Active")))</f>
        <v/>
      </c>
      <c r="Q675" s="40" t="str">
        <f t="shared" si="3"/>
        <v/>
      </c>
      <c r="R675" s="40" t="str">
        <f t="shared" si="4"/>
        <v/>
      </c>
      <c r="S675" s="40" t="str">
        <f>IF($K675="","",IF($C$4="",0,COUNTIFS(Assignments!$B$6:$B$1000,$K675,Assignments!$F$6:$F$1000,$C$4,Assignments!$D$6:$D$1000,"&gt;="&amp;Config!$B$3-7,Assignments!$D$6:$D$1000,"&lt;="&amp;Config!$B$3)))</f>
        <v/>
      </c>
      <c r="T675" s="40" t="str">
        <f>IF($K675="","",IFERROR(VLOOKUP($K675,Grinders!$A$4:$N$998,8,FALSE),""))</f>
        <v/>
      </c>
      <c r="U675" s="40" t="str">
        <f>IFERROR(IF($K675="","",IF($M675="Elite",MAX(50,MIN(100,Config!$B$27*MAX(0,MIN(100,(1-IF($R675="",0,$R675))*100)) + Config!$B$28*MAX(0,MIN(100,(1-MIN(1,IF(Config!$B$30=0,1,$S675/Config!$B$30)))*100)) + Config!$B$29*MAX(0,MIN(100,MIN(1,IF($T675="",0,$T675)/Config!$B$23)*100)))),MIN(100,Config!$B$27*MAX(0,MIN(100,(1-IF($R675="",0,$R675))*100)) + Config!$B$28*MAX(0,MIN(100,(1-MIN(1,IF(Config!$B$30=0,1,$S675/Config!$B$30)))*100)) + Config!$B$29*MAX(0,MIN(100,MIN(1,IF($T675="",0,$T675)/Config!$B$23)*100))))),"")
</f>
        <v/>
      </c>
      <c r="V675" s="40" t="str">
        <f>IF(Bids!$D674="","",Bids!$D674)</f>
        <v/>
      </c>
      <c r="W675" s="40" t="str">
        <f>IF(Bids!$F674="","",Bids!$F674)</f>
        <v/>
      </c>
      <c r="X675" s="40" t="str">
        <f t="shared" si="5"/>
        <v/>
      </c>
      <c r="Y675" s="40" t="str">
        <f>IF($X675="","",IF(Config!$B$17=Config!$B$16,IF($X675&gt;=Config!$B$17,100,0),MAX(0,MIN(100,($X675-Config!$B$16)/(Config!$B$17-Config!$B$16)*100))))</f>
        <v/>
      </c>
      <c r="Z675" s="40">
        <f>IF($M675="Elite",Config!$B$21,0)</f>
        <v>0</v>
      </c>
      <c r="AA675" s="40" t="str">
        <f>IFERROR(IF(OR($W675="",$H675=""),"",IF($W675&gt;$H675,
  MAX(0, 60-(($W675-$H675)*24/Config!$B$19)*60),
  MIN(100, 60+(($H675-$W675)*24/Config!$B$20)*40)
)),"")
</f>
        <v/>
      </c>
      <c r="AB675" s="40" t="str">
        <f>IF($K675="","",IFERROR(VLOOKUP($K675,Grinders!$A$4:$N$998,10,FALSE)/5*100,""))</f>
        <v/>
      </c>
      <c r="AC675" s="40" t="str">
        <f>IF($K675="","",IFERROR(VLOOKUP($K675,Grinders!$A$4:$N$998,11,FALSE)*100,""))</f>
        <v/>
      </c>
      <c r="AD675" s="40" t="str">
        <f>IF($K675="","",IFERROR(VLOOKUP($K675,Grinders!$A$4:$N$998,12,FALSE)*100,""))</f>
        <v/>
      </c>
      <c r="AE675" s="40">
        <f>IFERROR(IFS(
    OR($C675="", $K675=""), 0,
    $F675=0, 0,
    $D675&lt;&gt;"Open", 0,
    COUNTIFS(GrinderServices!$B$4:$B$998, $K675, GrinderServices!$C$4:$C$998, $E675, GrinderServices!$E$4:$E$998, "Y")=0, 0,
    $X675&lt;Config!$B$16, 0,
    Config!$B$18=1, IF($O675&gt;=N675, 0, 1),
    TRUE, 1
), "")
</f>
        <v>0</v>
      </c>
      <c r="AF675" s="40" t="str">
        <f>IFERROR(IF($AE675=0,"",((Config!$B$6*$Y675 + Config!$B$7*$U675 + Config!$B$8*$Z675 + Config!$B$9*$AA675 + Config!$B$10*$AB675 + Config!$B$11*$AC675 - Config!$B$12*$AD675)/Config!$B$13)+$AK675+$AL675),"")</f>
        <v/>
      </c>
      <c r="AG675" s="40" t="str">
        <f t="shared" si="6"/>
        <v/>
      </c>
      <c r="AH675" s="40" t="str">
        <f t="shared" si="7"/>
        <v/>
      </c>
      <c r="AI675" s="40" t="str">
        <f t="shared" si="8"/>
        <v/>
      </c>
      <c r="AJ675" s="40" t="str">
        <f>IF($K675="","",COUNTIF(Assignments!$B$6:$B$1000,$K675))</f>
        <v/>
      </c>
      <c r="AK675" s="40" t="str">
        <f>IF($K675="","",IF(AND($AJ675=0,$O675&lt;$N675),Config!$B$43,0))</f>
        <v/>
      </c>
      <c r="AL675" s="40" t="str">
        <f>IF($K675="","",IF(AND($M675="Elite",$G675&gt;=Config!$B$41,$O675&lt;$N675),Config!$B$42,0))</f>
        <v/>
      </c>
      <c r="AM675" s="22"/>
    </row>
    <row r="676" ht="15.75" customHeight="1">
      <c r="A676" s="40" t="str">
        <f t="shared" si="1"/>
        <v/>
      </c>
      <c r="B676" s="40" t="str">
        <f>IF(Bids!$A675="","",Bids!$A675)</f>
        <v/>
      </c>
      <c r="C676" s="40" t="str">
        <f>IF(Bids!$B675="","",Bids!$B675)</f>
        <v/>
      </c>
      <c r="D676" s="40" t="str">
        <f>IF($C676="","",IFERROR(VLOOKUP($C676,Orders!$A$4:$J$998,9,FALSE),""))</f>
        <v/>
      </c>
      <c r="E676" s="40" t="str">
        <f>IF($C676="","",IFERROR(VLOOKUP($C676,Orders!$A$4:$J$998,3,FALSE),""))</f>
        <v/>
      </c>
      <c r="F676" s="40">
        <f t="shared" si="2"/>
        <v>1</v>
      </c>
      <c r="G676" s="40" t="str">
        <f>IF($C676="","",IFERROR(VLOOKUP($C676,Orders!$A$4:$J$998,4,FALSE),""))</f>
        <v/>
      </c>
      <c r="H676" s="40" t="str">
        <f>IF($C676="","",IFERROR(VLOOKUP($C676,Orders!$A$4:$J$998,5,FALSE),""))</f>
        <v/>
      </c>
      <c r="I676" s="40" t="str">
        <f>IF($C676="","",IFERROR(VLOOKUP($C676,Orders!$A$4:$J$998,6,FALSE),""))</f>
        <v/>
      </c>
      <c r="J676" s="40" t="str">
        <f>IF($C676="","",IFERROR(VLOOKUP($C676,Orders!$A$4:$J$998,7,FALSE),""))</f>
        <v/>
      </c>
      <c r="K676" s="40" t="str">
        <f>IF(Bids!$C675="","",Bids!$C675)</f>
        <v/>
      </c>
      <c r="L676" s="40" t="str">
        <f>IF($K676="","",IFERROR(VLOOKUP($K676,Grinders!$A$4:$N$998,2,FALSE),""))</f>
        <v/>
      </c>
      <c r="M676" s="40" t="str">
        <f>IF($K676="","",IFERROR(VLOOKUP($K676,Grinders!$A$4:$N$998,3,FALSE),""))</f>
        <v/>
      </c>
      <c r="N676" s="40" t="str">
        <f>IF($K676="","",IFERROR(VLOOKUP($K676,Grinders!$A$4:$N$998,4,FALSE),""))</f>
        <v/>
      </c>
      <c r="O676" s="40" t="str">
        <f>IF($K676="","",IFERROR(VLOOKUP($K676,Grinders!$A$4:$N$998,5,FALSE),""))</f>
        <v/>
      </c>
      <c r="P676" s="40" t="str">
        <f>IF($K676="","",IF($C$4="",0,COUNTIFS(Assignments!$B$6:$B$1000,$K676,Assignments!$F$6:$F$1000,$C$4,Assignments!$E$6:$E$1000,"Active")))</f>
        <v/>
      </c>
      <c r="Q676" s="40" t="str">
        <f t="shared" si="3"/>
        <v/>
      </c>
      <c r="R676" s="40" t="str">
        <f t="shared" si="4"/>
        <v/>
      </c>
      <c r="S676" s="40" t="str">
        <f>IF($K676="","",IF($C$4="",0,COUNTIFS(Assignments!$B$6:$B$1000,$K676,Assignments!$F$6:$F$1000,$C$4,Assignments!$D$6:$D$1000,"&gt;="&amp;Config!$B$3-7,Assignments!$D$6:$D$1000,"&lt;="&amp;Config!$B$3)))</f>
        <v/>
      </c>
      <c r="T676" s="40" t="str">
        <f>IF($K676="","",IFERROR(VLOOKUP($K676,Grinders!$A$4:$N$998,8,FALSE),""))</f>
        <v/>
      </c>
      <c r="U676" s="40" t="str">
        <f>IFERROR(IF($K676="","",IF($M676="Elite",MAX(50,MIN(100,Config!$B$27*MAX(0,MIN(100,(1-IF($R676="",0,$R676))*100)) + Config!$B$28*MAX(0,MIN(100,(1-MIN(1,IF(Config!$B$30=0,1,$S676/Config!$B$30)))*100)) + Config!$B$29*MAX(0,MIN(100,MIN(1,IF($T676="",0,$T676)/Config!$B$23)*100)))),MIN(100,Config!$B$27*MAX(0,MIN(100,(1-IF($R676="",0,$R676))*100)) + Config!$B$28*MAX(0,MIN(100,(1-MIN(1,IF(Config!$B$30=0,1,$S676/Config!$B$30)))*100)) + Config!$B$29*MAX(0,MIN(100,MIN(1,IF($T676="",0,$T676)/Config!$B$23)*100))))),"")
</f>
        <v/>
      </c>
      <c r="V676" s="40" t="str">
        <f>IF(Bids!$D675="","",Bids!$D675)</f>
        <v/>
      </c>
      <c r="W676" s="40" t="str">
        <f>IF(Bids!$F675="","",Bids!$F675)</f>
        <v/>
      </c>
      <c r="X676" s="40" t="str">
        <f t="shared" si="5"/>
        <v/>
      </c>
      <c r="Y676" s="40" t="str">
        <f>IF($X676="","",IF(Config!$B$17=Config!$B$16,IF($X676&gt;=Config!$B$17,100,0),MAX(0,MIN(100,($X676-Config!$B$16)/(Config!$B$17-Config!$B$16)*100))))</f>
        <v/>
      </c>
      <c r="Z676" s="40">
        <f>IF($M676="Elite",Config!$B$21,0)</f>
        <v>0</v>
      </c>
      <c r="AA676" s="40" t="str">
        <f>IFERROR(IF(OR($W676="",$H676=""),"",IF($W676&gt;$H676,
  MAX(0, 60-(($W676-$H676)*24/Config!$B$19)*60),
  MIN(100, 60+(($H676-$W676)*24/Config!$B$20)*40)
)),"")
</f>
        <v/>
      </c>
      <c r="AB676" s="40" t="str">
        <f>IF($K676="","",IFERROR(VLOOKUP($K676,Grinders!$A$4:$N$998,10,FALSE)/5*100,""))</f>
        <v/>
      </c>
      <c r="AC676" s="40" t="str">
        <f>IF($K676="","",IFERROR(VLOOKUP($K676,Grinders!$A$4:$N$998,11,FALSE)*100,""))</f>
        <v/>
      </c>
      <c r="AD676" s="40" t="str">
        <f>IF($K676="","",IFERROR(VLOOKUP($K676,Grinders!$A$4:$N$998,12,FALSE)*100,""))</f>
        <v/>
      </c>
      <c r="AE676" s="40">
        <f>IFERROR(IFS(
    OR($C676="", $K676=""), 0,
    $F676=0, 0,
    $D676&lt;&gt;"Open", 0,
    COUNTIFS(GrinderServices!$B$4:$B$998, $K676, GrinderServices!$C$4:$C$998, $E676, GrinderServices!$E$4:$E$998, "Y")=0, 0,
    $X676&lt;Config!$B$16, 0,
    Config!$B$18=1, IF($O676&gt;=N676, 0, 1),
    TRUE, 1
), "")
</f>
        <v>0</v>
      </c>
      <c r="AF676" s="40" t="str">
        <f>IFERROR(IF($AE676=0,"",((Config!$B$6*$Y676 + Config!$B$7*$U676 + Config!$B$8*$Z676 + Config!$B$9*$AA676 + Config!$B$10*$AB676 + Config!$B$11*$AC676 - Config!$B$12*$AD676)/Config!$B$13)+$AK676+$AL676),"")</f>
        <v/>
      </c>
      <c r="AG676" s="40" t="str">
        <f t="shared" si="6"/>
        <v/>
      </c>
      <c r="AH676" s="40" t="str">
        <f t="shared" si="7"/>
        <v/>
      </c>
      <c r="AI676" s="40" t="str">
        <f t="shared" si="8"/>
        <v/>
      </c>
      <c r="AJ676" s="40" t="str">
        <f>IF($K676="","",COUNTIF(Assignments!$B$6:$B$1000,$K676))</f>
        <v/>
      </c>
      <c r="AK676" s="40" t="str">
        <f>IF($K676="","",IF(AND($AJ676=0,$O676&lt;$N676),Config!$B$43,0))</f>
        <v/>
      </c>
      <c r="AL676" s="40" t="str">
        <f>IF($K676="","",IF(AND($M676="Elite",$G676&gt;=Config!$B$41,$O676&lt;$N676),Config!$B$42,0))</f>
        <v/>
      </c>
      <c r="AM676" s="22"/>
    </row>
    <row r="677" ht="15.75" customHeight="1">
      <c r="A677" s="40" t="str">
        <f t="shared" si="1"/>
        <v/>
      </c>
      <c r="B677" s="40" t="str">
        <f>IF(Bids!$A676="","",Bids!$A676)</f>
        <v/>
      </c>
      <c r="C677" s="40" t="str">
        <f>IF(Bids!$B676="","",Bids!$B676)</f>
        <v/>
      </c>
      <c r="D677" s="40" t="str">
        <f>IF($C677="","",IFERROR(VLOOKUP($C677,Orders!$A$4:$J$998,9,FALSE),""))</f>
        <v/>
      </c>
      <c r="E677" s="40" t="str">
        <f>IF($C677="","",IFERROR(VLOOKUP($C677,Orders!$A$4:$J$998,3,FALSE),""))</f>
        <v/>
      </c>
      <c r="F677" s="40">
        <f t="shared" si="2"/>
        <v>1</v>
      </c>
      <c r="G677" s="40" t="str">
        <f>IF($C677="","",IFERROR(VLOOKUP($C677,Orders!$A$4:$J$998,4,FALSE),""))</f>
        <v/>
      </c>
      <c r="H677" s="40" t="str">
        <f>IF($C677="","",IFERROR(VLOOKUP($C677,Orders!$A$4:$J$998,5,FALSE),""))</f>
        <v/>
      </c>
      <c r="I677" s="40" t="str">
        <f>IF($C677="","",IFERROR(VLOOKUP($C677,Orders!$A$4:$J$998,6,FALSE),""))</f>
        <v/>
      </c>
      <c r="J677" s="40" t="str">
        <f>IF($C677="","",IFERROR(VLOOKUP($C677,Orders!$A$4:$J$998,7,FALSE),""))</f>
        <v/>
      </c>
      <c r="K677" s="40" t="str">
        <f>IF(Bids!$C676="","",Bids!$C676)</f>
        <v/>
      </c>
      <c r="L677" s="40" t="str">
        <f>IF($K677="","",IFERROR(VLOOKUP($K677,Grinders!$A$4:$N$998,2,FALSE),""))</f>
        <v/>
      </c>
      <c r="M677" s="40" t="str">
        <f>IF($K677="","",IFERROR(VLOOKUP($K677,Grinders!$A$4:$N$998,3,FALSE),""))</f>
        <v/>
      </c>
      <c r="N677" s="40" t="str">
        <f>IF($K677="","",IFERROR(VLOOKUP($K677,Grinders!$A$4:$N$998,4,FALSE),""))</f>
        <v/>
      </c>
      <c r="O677" s="40" t="str">
        <f>IF($K677="","",IFERROR(VLOOKUP($K677,Grinders!$A$4:$N$998,5,FALSE),""))</f>
        <v/>
      </c>
      <c r="P677" s="40" t="str">
        <f>IF($K677="","",IF($C$4="",0,COUNTIFS(Assignments!$B$6:$B$1000,$K677,Assignments!$F$6:$F$1000,$C$4,Assignments!$E$6:$E$1000,"Active")))</f>
        <v/>
      </c>
      <c r="Q677" s="40" t="str">
        <f t="shared" si="3"/>
        <v/>
      </c>
      <c r="R677" s="40" t="str">
        <f t="shared" si="4"/>
        <v/>
      </c>
      <c r="S677" s="40" t="str">
        <f>IF($K677="","",IF($C$4="",0,COUNTIFS(Assignments!$B$6:$B$1000,$K677,Assignments!$F$6:$F$1000,$C$4,Assignments!$D$6:$D$1000,"&gt;="&amp;Config!$B$3-7,Assignments!$D$6:$D$1000,"&lt;="&amp;Config!$B$3)))</f>
        <v/>
      </c>
      <c r="T677" s="40" t="str">
        <f>IF($K677="","",IFERROR(VLOOKUP($K677,Grinders!$A$4:$N$998,8,FALSE),""))</f>
        <v/>
      </c>
      <c r="U677" s="40" t="str">
        <f>IFERROR(IF($K677="","",IF($M677="Elite",MAX(50,MIN(100,Config!$B$27*MAX(0,MIN(100,(1-IF($R677="",0,$R677))*100)) + Config!$B$28*MAX(0,MIN(100,(1-MIN(1,IF(Config!$B$30=0,1,$S677/Config!$B$30)))*100)) + Config!$B$29*MAX(0,MIN(100,MIN(1,IF($T677="",0,$T677)/Config!$B$23)*100)))),MIN(100,Config!$B$27*MAX(0,MIN(100,(1-IF($R677="",0,$R677))*100)) + Config!$B$28*MAX(0,MIN(100,(1-MIN(1,IF(Config!$B$30=0,1,$S677/Config!$B$30)))*100)) + Config!$B$29*MAX(0,MIN(100,MIN(1,IF($T677="",0,$T677)/Config!$B$23)*100))))),"")
</f>
        <v/>
      </c>
      <c r="V677" s="40" t="str">
        <f>IF(Bids!$D676="","",Bids!$D676)</f>
        <v/>
      </c>
      <c r="W677" s="40" t="str">
        <f>IF(Bids!$F676="","",Bids!$F676)</f>
        <v/>
      </c>
      <c r="X677" s="40" t="str">
        <f t="shared" si="5"/>
        <v/>
      </c>
      <c r="Y677" s="40" t="str">
        <f>IF($X677="","",IF(Config!$B$17=Config!$B$16,IF($X677&gt;=Config!$B$17,100,0),MAX(0,MIN(100,($X677-Config!$B$16)/(Config!$B$17-Config!$B$16)*100))))</f>
        <v/>
      </c>
      <c r="Z677" s="40">
        <f>IF($M677="Elite",Config!$B$21,0)</f>
        <v>0</v>
      </c>
      <c r="AA677" s="40" t="str">
        <f>IFERROR(IF(OR($W677="",$H677=""),"",IF($W677&gt;$H677,
  MAX(0, 60-(($W677-$H677)*24/Config!$B$19)*60),
  MIN(100, 60+(($H677-$W677)*24/Config!$B$20)*40)
)),"")
</f>
        <v/>
      </c>
      <c r="AB677" s="40" t="str">
        <f>IF($K677="","",IFERROR(VLOOKUP($K677,Grinders!$A$4:$N$998,10,FALSE)/5*100,""))</f>
        <v/>
      </c>
      <c r="AC677" s="40" t="str">
        <f>IF($K677="","",IFERROR(VLOOKUP($K677,Grinders!$A$4:$N$998,11,FALSE)*100,""))</f>
        <v/>
      </c>
      <c r="AD677" s="40" t="str">
        <f>IF($K677="","",IFERROR(VLOOKUP($K677,Grinders!$A$4:$N$998,12,FALSE)*100,""))</f>
        <v/>
      </c>
      <c r="AE677" s="40">
        <f>IFERROR(IFS(
    OR($C677="", $K677=""), 0,
    $F677=0, 0,
    $D677&lt;&gt;"Open", 0,
    COUNTIFS(GrinderServices!$B$4:$B$998, $K677, GrinderServices!$C$4:$C$998, $E677, GrinderServices!$E$4:$E$998, "Y")=0, 0,
    $X677&lt;Config!$B$16, 0,
    Config!$B$18=1, IF($O677&gt;=N677, 0, 1),
    TRUE, 1
), "")
</f>
        <v>0</v>
      </c>
      <c r="AF677" s="40" t="str">
        <f>IFERROR(IF($AE677=0,"",((Config!$B$6*$Y677 + Config!$B$7*$U677 + Config!$B$8*$Z677 + Config!$B$9*$AA677 + Config!$B$10*$AB677 + Config!$B$11*$AC677 - Config!$B$12*$AD677)/Config!$B$13)+$AK677+$AL677),"")</f>
        <v/>
      </c>
      <c r="AG677" s="40" t="str">
        <f t="shared" si="6"/>
        <v/>
      </c>
      <c r="AH677" s="40" t="str">
        <f t="shared" si="7"/>
        <v/>
      </c>
      <c r="AI677" s="40" t="str">
        <f t="shared" si="8"/>
        <v/>
      </c>
      <c r="AJ677" s="40" t="str">
        <f>IF($K677="","",COUNTIF(Assignments!$B$6:$B$1000,$K677))</f>
        <v/>
      </c>
      <c r="AK677" s="40" t="str">
        <f>IF($K677="","",IF(AND($AJ677=0,$O677&lt;$N677),Config!$B$43,0))</f>
        <v/>
      </c>
      <c r="AL677" s="40" t="str">
        <f>IF($K677="","",IF(AND($M677="Elite",$G677&gt;=Config!$B$41,$O677&lt;$N677),Config!$B$42,0))</f>
        <v/>
      </c>
      <c r="AM677" s="22"/>
    </row>
    <row r="678" ht="15.75" customHeight="1">
      <c r="A678" s="40" t="str">
        <f t="shared" si="1"/>
        <v/>
      </c>
      <c r="B678" s="40" t="str">
        <f>IF(Bids!$A677="","",Bids!$A677)</f>
        <v/>
      </c>
      <c r="C678" s="40" t="str">
        <f>IF(Bids!$B677="","",Bids!$B677)</f>
        <v/>
      </c>
      <c r="D678" s="40" t="str">
        <f>IF($C678="","",IFERROR(VLOOKUP($C678,Orders!$A$4:$J$998,9,FALSE),""))</f>
        <v/>
      </c>
      <c r="E678" s="40" t="str">
        <f>IF($C678="","",IFERROR(VLOOKUP($C678,Orders!$A$4:$J$998,3,FALSE),""))</f>
        <v/>
      </c>
      <c r="F678" s="40">
        <f t="shared" si="2"/>
        <v>1</v>
      </c>
      <c r="G678" s="40" t="str">
        <f>IF($C678="","",IFERROR(VLOOKUP($C678,Orders!$A$4:$J$998,4,FALSE),""))</f>
        <v/>
      </c>
      <c r="H678" s="40" t="str">
        <f>IF($C678="","",IFERROR(VLOOKUP($C678,Orders!$A$4:$J$998,5,FALSE),""))</f>
        <v/>
      </c>
      <c r="I678" s="40" t="str">
        <f>IF($C678="","",IFERROR(VLOOKUP($C678,Orders!$A$4:$J$998,6,FALSE),""))</f>
        <v/>
      </c>
      <c r="J678" s="40" t="str">
        <f>IF($C678="","",IFERROR(VLOOKUP($C678,Orders!$A$4:$J$998,7,FALSE),""))</f>
        <v/>
      </c>
      <c r="K678" s="40" t="str">
        <f>IF(Bids!$C677="","",Bids!$C677)</f>
        <v/>
      </c>
      <c r="L678" s="40" t="str">
        <f>IF($K678="","",IFERROR(VLOOKUP($K678,Grinders!$A$4:$N$998,2,FALSE),""))</f>
        <v/>
      </c>
      <c r="M678" s="40" t="str">
        <f>IF($K678="","",IFERROR(VLOOKUP($K678,Grinders!$A$4:$N$998,3,FALSE),""))</f>
        <v/>
      </c>
      <c r="N678" s="40" t="str">
        <f>IF($K678="","",IFERROR(VLOOKUP($K678,Grinders!$A$4:$N$998,4,FALSE),""))</f>
        <v/>
      </c>
      <c r="O678" s="40" t="str">
        <f>IF($K678="","",IFERROR(VLOOKUP($K678,Grinders!$A$4:$N$998,5,FALSE),""))</f>
        <v/>
      </c>
      <c r="P678" s="40" t="str">
        <f>IF($K678="","",IF($C$4="",0,COUNTIFS(Assignments!$B$6:$B$1000,$K678,Assignments!$F$6:$F$1000,$C$4,Assignments!$E$6:$E$1000,"Active")))</f>
        <v/>
      </c>
      <c r="Q678" s="40" t="str">
        <f t="shared" si="3"/>
        <v/>
      </c>
      <c r="R678" s="40" t="str">
        <f t="shared" si="4"/>
        <v/>
      </c>
      <c r="S678" s="40" t="str">
        <f>IF($K678="","",IF($C$4="",0,COUNTIFS(Assignments!$B$6:$B$1000,$K678,Assignments!$F$6:$F$1000,$C$4,Assignments!$D$6:$D$1000,"&gt;="&amp;Config!$B$3-7,Assignments!$D$6:$D$1000,"&lt;="&amp;Config!$B$3)))</f>
        <v/>
      </c>
      <c r="T678" s="40" t="str">
        <f>IF($K678="","",IFERROR(VLOOKUP($K678,Grinders!$A$4:$N$998,8,FALSE),""))</f>
        <v/>
      </c>
      <c r="U678" s="40" t="str">
        <f>IFERROR(IF($K678="","",IF($M678="Elite",MAX(50,MIN(100,Config!$B$27*MAX(0,MIN(100,(1-IF($R678="",0,$R678))*100)) + Config!$B$28*MAX(0,MIN(100,(1-MIN(1,IF(Config!$B$30=0,1,$S678/Config!$B$30)))*100)) + Config!$B$29*MAX(0,MIN(100,MIN(1,IF($T678="",0,$T678)/Config!$B$23)*100)))),MIN(100,Config!$B$27*MAX(0,MIN(100,(1-IF($R678="",0,$R678))*100)) + Config!$B$28*MAX(0,MIN(100,(1-MIN(1,IF(Config!$B$30=0,1,$S678/Config!$B$30)))*100)) + Config!$B$29*MAX(0,MIN(100,MIN(1,IF($T678="",0,$T678)/Config!$B$23)*100))))),"")
</f>
        <v/>
      </c>
      <c r="V678" s="40" t="str">
        <f>IF(Bids!$D677="","",Bids!$D677)</f>
        <v/>
      </c>
      <c r="W678" s="40" t="str">
        <f>IF(Bids!$F677="","",Bids!$F677)</f>
        <v/>
      </c>
      <c r="X678" s="40" t="str">
        <f t="shared" si="5"/>
        <v/>
      </c>
      <c r="Y678" s="40" t="str">
        <f>IF($X678="","",IF(Config!$B$17=Config!$B$16,IF($X678&gt;=Config!$B$17,100,0),MAX(0,MIN(100,($X678-Config!$B$16)/(Config!$B$17-Config!$B$16)*100))))</f>
        <v/>
      </c>
      <c r="Z678" s="40">
        <f>IF($M678="Elite",Config!$B$21,0)</f>
        <v>0</v>
      </c>
      <c r="AA678" s="40" t="str">
        <f>IFERROR(IF(OR($W678="",$H678=""),"",IF($W678&gt;$H678,
  MAX(0, 60-(($W678-$H678)*24/Config!$B$19)*60),
  MIN(100, 60+(($H678-$W678)*24/Config!$B$20)*40)
)),"")
</f>
        <v/>
      </c>
      <c r="AB678" s="40" t="str">
        <f>IF($K678="","",IFERROR(VLOOKUP($K678,Grinders!$A$4:$N$998,10,FALSE)/5*100,""))</f>
        <v/>
      </c>
      <c r="AC678" s="40" t="str">
        <f>IF($K678="","",IFERROR(VLOOKUP($K678,Grinders!$A$4:$N$998,11,FALSE)*100,""))</f>
        <v/>
      </c>
      <c r="AD678" s="40" t="str">
        <f>IF($K678="","",IFERROR(VLOOKUP($K678,Grinders!$A$4:$N$998,12,FALSE)*100,""))</f>
        <v/>
      </c>
      <c r="AE678" s="40">
        <f>IFERROR(IFS(
    OR($C678="", $K678=""), 0,
    $F678=0, 0,
    $D678&lt;&gt;"Open", 0,
    COUNTIFS(GrinderServices!$B$4:$B$998, $K678, GrinderServices!$C$4:$C$998, $E678, GrinderServices!$E$4:$E$998, "Y")=0, 0,
    $X678&lt;Config!$B$16, 0,
    Config!$B$18=1, IF($O678&gt;=N678, 0, 1),
    TRUE, 1
), "")
</f>
        <v>0</v>
      </c>
      <c r="AF678" s="40" t="str">
        <f>IFERROR(IF($AE678=0,"",((Config!$B$6*$Y678 + Config!$B$7*$U678 + Config!$B$8*$Z678 + Config!$B$9*$AA678 + Config!$B$10*$AB678 + Config!$B$11*$AC678 - Config!$B$12*$AD678)/Config!$B$13)+$AK678+$AL678),"")</f>
        <v/>
      </c>
      <c r="AG678" s="40" t="str">
        <f t="shared" si="6"/>
        <v/>
      </c>
      <c r="AH678" s="40" t="str">
        <f t="shared" si="7"/>
        <v/>
      </c>
      <c r="AI678" s="40" t="str">
        <f t="shared" si="8"/>
        <v/>
      </c>
      <c r="AJ678" s="40" t="str">
        <f>IF($K678="","",COUNTIF(Assignments!$B$6:$B$1000,$K678))</f>
        <v/>
      </c>
      <c r="AK678" s="40" t="str">
        <f>IF($K678="","",IF(AND($AJ678=0,$O678&lt;$N678),Config!$B$43,0))</f>
        <v/>
      </c>
      <c r="AL678" s="40" t="str">
        <f>IF($K678="","",IF(AND($M678="Elite",$G678&gt;=Config!$B$41,$O678&lt;$N678),Config!$B$42,0))</f>
        <v/>
      </c>
      <c r="AM678" s="22"/>
    </row>
    <row r="679" ht="15.75" customHeight="1">
      <c r="A679" s="40" t="str">
        <f t="shared" si="1"/>
        <v/>
      </c>
      <c r="B679" s="40" t="str">
        <f>IF(Bids!$A678="","",Bids!$A678)</f>
        <v/>
      </c>
      <c r="C679" s="40" t="str">
        <f>IF(Bids!$B678="","",Bids!$B678)</f>
        <v/>
      </c>
      <c r="D679" s="40" t="str">
        <f>IF($C679="","",IFERROR(VLOOKUP($C679,Orders!$A$4:$J$998,9,FALSE),""))</f>
        <v/>
      </c>
      <c r="E679" s="40" t="str">
        <f>IF($C679="","",IFERROR(VLOOKUP($C679,Orders!$A$4:$J$998,3,FALSE),""))</f>
        <v/>
      </c>
      <c r="F679" s="40">
        <f t="shared" si="2"/>
        <v>1</v>
      </c>
      <c r="G679" s="40" t="str">
        <f>IF($C679="","",IFERROR(VLOOKUP($C679,Orders!$A$4:$J$998,4,FALSE),""))</f>
        <v/>
      </c>
      <c r="H679" s="40" t="str">
        <f>IF($C679="","",IFERROR(VLOOKUP($C679,Orders!$A$4:$J$998,5,FALSE),""))</f>
        <v/>
      </c>
      <c r="I679" s="40" t="str">
        <f>IF($C679="","",IFERROR(VLOOKUP($C679,Orders!$A$4:$J$998,6,FALSE),""))</f>
        <v/>
      </c>
      <c r="J679" s="40" t="str">
        <f>IF($C679="","",IFERROR(VLOOKUP($C679,Orders!$A$4:$J$998,7,FALSE),""))</f>
        <v/>
      </c>
      <c r="K679" s="40" t="str">
        <f>IF(Bids!$C678="","",Bids!$C678)</f>
        <v/>
      </c>
      <c r="L679" s="40" t="str">
        <f>IF($K679="","",IFERROR(VLOOKUP($K679,Grinders!$A$4:$N$998,2,FALSE),""))</f>
        <v/>
      </c>
      <c r="M679" s="40" t="str">
        <f>IF($K679="","",IFERROR(VLOOKUP($K679,Grinders!$A$4:$N$998,3,FALSE),""))</f>
        <v/>
      </c>
      <c r="N679" s="40" t="str">
        <f>IF($K679="","",IFERROR(VLOOKUP($K679,Grinders!$A$4:$N$998,4,FALSE),""))</f>
        <v/>
      </c>
      <c r="O679" s="40" t="str">
        <f>IF($K679="","",IFERROR(VLOOKUP($K679,Grinders!$A$4:$N$998,5,FALSE),""))</f>
        <v/>
      </c>
      <c r="P679" s="40" t="str">
        <f>IF($K679="","",IF($C$4="",0,COUNTIFS(Assignments!$B$6:$B$1000,$K679,Assignments!$F$6:$F$1000,$C$4,Assignments!$E$6:$E$1000,"Active")))</f>
        <v/>
      </c>
      <c r="Q679" s="40" t="str">
        <f t="shared" si="3"/>
        <v/>
      </c>
      <c r="R679" s="40" t="str">
        <f t="shared" si="4"/>
        <v/>
      </c>
      <c r="S679" s="40" t="str">
        <f>IF($K679="","",IF($C$4="",0,COUNTIFS(Assignments!$B$6:$B$1000,$K679,Assignments!$F$6:$F$1000,$C$4,Assignments!$D$6:$D$1000,"&gt;="&amp;Config!$B$3-7,Assignments!$D$6:$D$1000,"&lt;="&amp;Config!$B$3)))</f>
        <v/>
      </c>
      <c r="T679" s="40" t="str">
        <f>IF($K679="","",IFERROR(VLOOKUP($K679,Grinders!$A$4:$N$998,8,FALSE),""))</f>
        <v/>
      </c>
      <c r="U679" s="40" t="str">
        <f>IFERROR(IF($K679="","",IF($M679="Elite",MAX(50,MIN(100,Config!$B$27*MAX(0,MIN(100,(1-IF($R679="",0,$R679))*100)) + Config!$B$28*MAX(0,MIN(100,(1-MIN(1,IF(Config!$B$30=0,1,$S679/Config!$B$30)))*100)) + Config!$B$29*MAX(0,MIN(100,MIN(1,IF($T679="",0,$T679)/Config!$B$23)*100)))),MIN(100,Config!$B$27*MAX(0,MIN(100,(1-IF($R679="",0,$R679))*100)) + Config!$B$28*MAX(0,MIN(100,(1-MIN(1,IF(Config!$B$30=0,1,$S679/Config!$B$30)))*100)) + Config!$B$29*MAX(0,MIN(100,MIN(1,IF($T679="",0,$T679)/Config!$B$23)*100))))),"")
</f>
        <v/>
      </c>
      <c r="V679" s="40" t="str">
        <f>IF(Bids!$D678="","",Bids!$D678)</f>
        <v/>
      </c>
      <c r="W679" s="40" t="str">
        <f>IF(Bids!$F678="","",Bids!$F678)</f>
        <v/>
      </c>
      <c r="X679" s="40" t="str">
        <f t="shared" si="5"/>
        <v/>
      </c>
      <c r="Y679" s="40" t="str">
        <f>IF($X679="","",IF(Config!$B$17=Config!$B$16,IF($X679&gt;=Config!$B$17,100,0),MAX(0,MIN(100,($X679-Config!$B$16)/(Config!$B$17-Config!$B$16)*100))))</f>
        <v/>
      </c>
      <c r="Z679" s="40">
        <f>IF($M679="Elite",Config!$B$21,0)</f>
        <v>0</v>
      </c>
      <c r="AA679" s="40" t="str">
        <f>IFERROR(IF(OR($W679="",$H679=""),"",IF($W679&gt;$H679,
  MAX(0, 60-(($W679-$H679)*24/Config!$B$19)*60),
  MIN(100, 60+(($H679-$W679)*24/Config!$B$20)*40)
)),"")
</f>
        <v/>
      </c>
      <c r="AB679" s="40" t="str">
        <f>IF($K679="","",IFERROR(VLOOKUP($K679,Grinders!$A$4:$N$998,10,FALSE)/5*100,""))</f>
        <v/>
      </c>
      <c r="AC679" s="40" t="str">
        <f>IF($K679="","",IFERROR(VLOOKUP($K679,Grinders!$A$4:$N$998,11,FALSE)*100,""))</f>
        <v/>
      </c>
      <c r="AD679" s="40" t="str">
        <f>IF($K679="","",IFERROR(VLOOKUP($K679,Grinders!$A$4:$N$998,12,FALSE)*100,""))</f>
        <v/>
      </c>
      <c r="AE679" s="40">
        <f>IFERROR(IFS(
    OR($C679="", $K679=""), 0,
    $F679=0, 0,
    $D679&lt;&gt;"Open", 0,
    COUNTIFS(GrinderServices!$B$4:$B$998, $K679, GrinderServices!$C$4:$C$998, $E679, GrinderServices!$E$4:$E$998, "Y")=0, 0,
    $X679&lt;Config!$B$16, 0,
    Config!$B$18=1, IF($O679&gt;=N679, 0, 1),
    TRUE, 1
), "")
</f>
        <v>0</v>
      </c>
      <c r="AF679" s="40" t="str">
        <f>IFERROR(IF($AE679=0,"",((Config!$B$6*$Y679 + Config!$B$7*$U679 + Config!$B$8*$Z679 + Config!$B$9*$AA679 + Config!$B$10*$AB679 + Config!$B$11*$AC679 - Config!$B$12*$AD679)/Config!$B$13)+$AK679+$AL679),"")</f>
        <v/>
      </c>
      <c r="AG679" s="40" t="str">
        <f t="shared" si="6"/>
        <v/>
      </c>
      <c r="AH679" s="40" t="str">
        <f t="shared" si="7"/>
        <v/>
      </c>
      <c r="AI679" s="40" t="str">
        <f t="shared" si="8"/>
        <v/>
      </c>
      <c r="AJ679" s="40" t="str">
        <f>IF($K679="","",COUNTIF(Assignments!$B$6:$B$1000,$K679))</f>
        <v/>
      </c>
      <c r="AK679" s="40" t="str">
        <f>IF($K679="","",IF(AND($AJ679=0,$O679&lt;$N679),Config!$B$43,0))</f>
        <v/>
      </c>
      <c r="AL679" s="40" t="str">
        <f>IF($K679="","",IF(AND($M679="Elite",$G679&gt;=Config!$B$41,$O679&lt;$N679),Config!$B$42,0))</f>
        <v/>
      </c>
      <c r="AM679" s="22"/>
    </row>
    <row r="680" ht="15.75" customHeight="1">
      <c r="A680" s="40" t="str">
        <f t="shared" si="1"/>
        <v/>
      </c>
      <c r="B680" s="40" t="str">
        <f>IF(Bids!$A679="","",Bids!$A679)</f>
        <v/>
      </c>
      <c r="C680" s="40" t="str">
        <f>IF(Bids!$B679="","",Bids!$B679)</f>
        <v/>
      </c>
      <c r="D680" s="40" t="str">
        <f>IF($C680="","",IFERROR(VLOOKUP($C680,Orders!$A$4:$J$998,9,FALSE),""))</f>
        <v/>
      </c>
      <c r="E680" s="40" t="str">
        <f>IF($C680="","",IFERROR(VLOOKUP($C680,Orders!$A$4:$J$998,3,FALSE),""))</f>
        <v/>
      </c>
      <c r="F680" s="40">
        <f t="shared" si="2"/>
        <v>1</v>
      </c>
      <c r="G680" s="40" t="str">
        <f>IF($C680="","",IFERROR(VLOOKUP($C680,Orders!$A$4:$J$998,4,FALSE),""))</f>
        <v/>
      </c>
      <c r="H680" s="40" t="str">
        <f>IF($C680="","",IFERROR(VLOOKUP($C680,Orders!$A$4:$J$998,5,FALSE),""))</f>
        <v/>
      </c>
      <c r="I680" s="40" t="str">
        <f>IF($C680="","",IFERROR(VLOOKUP($C680,Orders!$A$4:$J$998,6,FALSE),""))</f>
        <v/>
      </c>
      <c r="J680" s="40" t="str">
        <f>IF($C680="","",IFERROR(VLOOKUP($C680,Orders!$A$4:$J$998,7,FALSE),""))</f>
        <v/>
      </c>
      <c r="K680" s="40" t="str">
        <f>IF(Bids!$C679="","",Bids!$C679)</f>
        <v/>
      </c>
      <c r="L680" s="40" t="str">
        <f>IF($K680="","",IFERROR(VLOOKUP($K680,Grinders!$A$4:$N$998,2,FALSE),""))</f>
        <v/>
      </c>
      <c r="M680" s="40" t="str">
        <f>IF($K680="","",IFERROR(VLOOKUP($K680,Grinders!$A$4:$N$998,3,FALSE),""))</f>
        <v/>
      </c>
      <c r="N680" s="40" t="str">
        <f>IF($K680="","",IFERROR(VLOOKUP($K680,Grinders!$A$4:$N$998,4,FALSE),""))</f>
        <v/>
      </c>
      <c r="O680" s="40" t="str">
        <f>IF($K680="","",IFERROR(VLOOKUP($K680,Grinders!$A$4:$N$998,5,FALSE),""))</f>
        <v/>
      </c>
      <c r="P680" s="40" t="str">
        <f>IF($K680="","",IF($C$4="",0,COUNTIFS(Assignments!$B$6:$B$1000,$K680,Assignments!$F$6:$F$1000,$C$4,Assignments!$E$6:$E$1000,"Active")))</f>
        <v/>
      </c>
      <c r="Q680" s="40" t="str">
        <f t="shared" si="3"/>
        <v/>
      </c>
      <c r="R680" s="40" t="str">
        <f t="shared" si="4"/>
        <v/>
      </c>
      <c r="S680" s="40" t="str">
        <f>IF($K680="","",IF($C$4="",0,COUNTIFS(Assignments!$B$6:$B$1000,$K680,Assignments!$F$6:$F$1000,$C$4,Assignments!$D$6:$D$1000,"&gt;="&amp;Config!$B$3-7,Assignments!$D$6:$D$1000,"&lt;="&amp;Config!$B$3)))</f>
        <v/>
      </c>
      <c r="T680" s="40" t="str">
        <f>IF($K680="","",IFERROR(VLOOKUP($K680,Grinders!$A$4:$N$998,8,FALSE),""))</f>
        <v/>
      </c>
      <c r="U680" s="40" t="str">
        <f>IFERROR(IF($K680="","",IF($M680="Elite",MAX(50,MIN(100,Config!$B$27*MAX(0,MIN(100,(1-IF($R680="",0,$R680))*100)) + Config!$B$28*MAX(0,MIN(100,(1-MIN(1,IF(Config!$B$30=0,1,$S680/Config!$B$30)))*100)) + Config!$B$29*MAX(0,MIN(100,MIN(1,IF($T680="",0,$T680)/Config!$B$23)*100)))),MIN(100,Config!$B$27*MAX(0,MIN(100,(1-IF($R680="",0,$R680))*100)) + Config!$B$28*MAX(0,MIN(100,(1-MIN(1,IF(Config!$B$30=0,1,$S680/Config!$B$30)))*100)) + Config!$B$29*MAX(0,MIN(100,MIN(1,IF($T680="",0,$T680)/Config!$B$23)*100))))),"")
</f>
        <v/>
      </c>
      <c r="V680" s="40" t="str">
        <f>IF(Bids!$D679="","",Bids!$D679)</f>
        <v/>
      </c>
      <c r="W680" s="40" t="str">
        <f>IF(Bids!$F679="","",Bids!$F679)</f>
        <v/>
      </c>
      <c r="X680" s="40" t="str">
        <f t="shared" si="5"/>
        <v/>
      </c>
      <c r="Y680" s="40" t="str">
        <f>IF($X680="","",IF(Config!$B$17=Config!$B$16,IF($X680&gt;=Config!$B$17,100,0),MAX(0,MIN(100,($X680-Config!$B$16)/(Config!$B$17-Config!$B$16)*100))))</f>
        <v/>
      </c>
      <c r="Z680" s="40">
        <f>IF($M680="Elite",Config!$B$21,0)</f>
        <v>0</v>
      </c>
      <c r="AA680" s="40" t="str">
        <f>IFERROR(IF(OR($W680="",$H680=""),"",IF($W680&gt;$H680,
  MAX(0, 60-(($W680-$H680)*24/Config!$B$19)*60),
  MIN(100, 60+(($H680-$W680)*24/Config!$B$20)*40)
)),"")
</f>
        <v/>
      </c>
      <c r="AB680" s="40" t="str">
        <f>IF($K680="","",IFERROR(VLOOKUP($K680,Grinders!$A$4:$N$998,10,FALSE)/5*100,""))</f>
        <v/>
      </c>
      <c r="AC680" s="40" t="str">
        <f>IF($K680="","",IFERROR(VLOOKUP($K680,Grinders!$A$4:$N$998,11,FALSE)*100,""))</f>
        <v/>
      </c>
      <c r="AD680" s="40" t="str">
        <f>IF($K680="","",IFERROR(VLOOKUP($K680,Grinders!$A$4:$N$998,12,FALSE)*100,""))</f>
        <v/>
      </c>
      <c r="AE680" s="40">
        <f>IFERROR(IFS(
    OR($C680="", $K680=""), 0,
    $F680=0, 0,
    $D680&lt;&gt;"Open", 0,
    COUNTIFS(GrinderServices!$B$4:$B$998, $K680, GrinderServices!$C$4:$C$998, $E680, GrinderServices!$E$4:$E$998, "Y")=0, 0,
    $X680&lt;Config!$B$16, 0,
    Config!$B$18=1, IF($O680&gt;=N680, 0, 1),
    TRUE, 1
), "")
</f>
        <v>0</v>
      </c>
      <c r="AF680" s="40" t="str">
        <f>IFERROR(IF($AE680=0,"",((Config!$B$6*$Y680 + Config!$B$7*$U680 + Config!$B$8*$Z680 + Config!$B$9*$AA680 + Config!$B$10*$AB680 + Config!$B$11*$AC680 - Config!$B$12*$AD680)/Config!$B$13)+$AK680+$AL680),"")</f>
        <v/>
      </c>
      <c r="AG680" s="40" t="str">
        <f t="shared" si="6"/>
        <v/>
      </c>
      <c r="AH680" s="40" t="str">
        <f t="shared" si="7"/>
        <v/>
      </c>
      <c r="AI680" s="40" t="str">
        <f t="shared" si="8"/>
        <v/>
      </c>
      <c r="AJ680" s="40" t="str">
        <f>IF($K680="","",COUNTIF(Assignments!$B$6:$B$1000,$K680))</f>
        <v/>
      </c>
      <c r="AK680" s="40" t="str">
        <f>IF($K680="","",IF(AND($AJ680=0,$O680&lt;$N680),Config!$B$43,0))</f>
        <v/>
      </c>
      <c r="AL680" s="40" t="str">
        <f>IF($K680="","",IF(AND($M680="Elite",$G680&gt;=Config!$B$41,$O680&lt;$N680),Config!$B$42,0))</f>
        <v/>
      </c>
      <c r="AM680" s="22"/>
    </row>
    <row r="681" ht="15.75" customHeight="1">
      <c r="A681" s="40" t="str">
        <f t="shared" si="1"/>
        <v/>
      </c>
      <c r="B681" s="40" t="str">
        <f>IF(Bids!$A680="","",Bids!$A680)</f>
        <v/>
      </c>
      <c r="C681" s="40" t="str">
        <f>IF(Bids!$B680="","",Bids!$B680)</f>
        <v/>
      </c>
      <c r="D681" s="40" t="str">
        <f>IF($C681="","",IFERROR(VLOOKUP($C681,Orders!$A$4:$J$998,9,FALSE),""))</f>
        <v/>
      </c>
      <c r="E681" s="40" t="str">
        <f>IF($C681="","",IFERROR(VLOOKUP($C681,Orders!$A$4:$J$998,3,FALSE),""))</f>
        <v/>
      </c>
      <c r="F681" s="40">
        <f t="shared" si="2"/>
        <v>1</v>
      </c>
      <c r="G681" s="40" t="str">
        <f>IF($C681="","",IFERROR(VLOOKUP($C681,Orders!$A$4:$J$998,4,FALSE),""))</f>
        <v/>
      </c>
      <c r="H681" s="40" t="str">
        <f>IF($C681="","",IFERROR(VLOOKUP($C681,Orders!$A$4:$J$998,5,FALSE),""))</f>
        <v/>
      </c>
      <c r="I681" s="40" t="str">
        <f>IF($C681="","",IFERROR(VLOOKUP($C681,Orders!$A$4:$J$998,6,FALSE),""))</f>
        <v/>
      </c>
      <c r="J681" s="40" t="str">
        <f>IF($C681="","",IFERROR(VLOOKUP($C681,Orders!$A$4:$J$998,7,FALSE),""))</f>
        <v/>
      </c>
      <c r="K681" s="40" t="str">
        <f>IF(Bids!$C680="","",Bids!$C680)</f>
        <v/>
      </c>
      <c r="L681" s="40" t="str">
        <f>IF($K681="","",IFERROR(VLOOKUP($K681,Grinders!$A$4:$N$998,2,FALSE),""))</f>
        <v/>
      </c>
      <c r="M681" s="40" t="str">
        <f>IF($K681="","",IFERROR(VLOOKUP($K681,Grinders!$A$4:$N$998,3,FALSE),""))</f>
        <v/>
      </c>
      <c r="N681" s="40" t="str">
        <f>IF($K681="","",IFERROR(VLOOKUP($K681,Grinders!$A$4:$N$998,4,FALSE),""))</f>
        <v/>
      </c>
      <c r="O681" s="40" t="str">
        <f>IF($K681="","",IFERROR(VLOOKUP($K681,Grinders!$A$4:$N$998,5,FALSE),""))</f>
        <v/>
      </c>
      <c r="P681" s="40" t="str">
        <f>IF($K681="","",IF($C$4="",0,COUNTIFS(Assignments!$B$6:$B$1000,$K681,Assignments!$F$6:$F$1000,$C$4,Assignments!$E$6:$E$1000,"Active")))</f>
        <v/>
      </c>
      <c r="Q681" s="40" t="str">
        <f t="shared" si="3"/>
        <v/>
      </c>
      <c r="R681" s="40" t="str">
        <f t="shared" si="4"/>
        <v/>
      </c>
      <c r="S681" s="40" t="str">
        <f>IF($K681="","",IF($C$4="",0,COUNTIFS(Assignments!$B$6:$B$1000,$K681,Assignments!$F$6:$F$1000,$C$4,Assignments!$D$6:$D$1000,"&gt;="&amp;Config!$B$3-7,Assignments!$D$6:$D$1000,"&lt;="&amp;Config!$B$3)))</f>
        <v/>
      </c>
      <c r="T681" s="40" t="str">
        <f>IF($K681="","",IFERROR(VLOOKUP($K681,Grinders!$A$4:$N$998,8,FALSE),""))</f>
        <v/>
      </c>
      <c r="U681" s="40" t="str">
        <f>IFERROR(IF($K681="","",IF($M681="Elite",MAX(50,MIN(100,Config!$B$27*MAX(0,MIN(100,(1-IF($R681="",0,$R681))*100)) + Config!$B$28*MAX(0,MIN(100,(1-MIN(1,IF(Config!$B$30=0,1,$S681/Config!$B$30)))*100)) + Config!$B$29*MAX(0,MIN(100,MIN(1,IF($T681="",0,$T681)/Config!$B$23)*100)))),MIN(100,Config!$B$27*MAX(0,MIN(100,(1-IF($R681="",0,$R681))*100)) + Config!$B$28*MAX(0,MIN(100,(1-MIN(1,IF(Config!$B$30=0,1,$S681/Config!$B$30)))*100)) + Config!$B$29*MAX(0,MIN(100,MIN(1,IF($T681="",0,$T681)/Config!$B$23)*100))))),"")
</f>
        <v/>
      </c>
      <c r="V681" s="40" t="str">
        <f>IF(Bids!$D680="","",Bids!$D680)</f>
        <v/>
      </c>
      <c r="W681" s="40" t="str">
        <f>IF(Bids!$F680="","",Bids!$F680)</f>
        <v/>
      </c>
      <c r="X681" s="40" t="str">
        <f t="shared" si="5"/>
        <v/>
      </c>
      <c r="Y681" s="40" t="str">
        <f>IF($X681="","",IF(Config!$B$17=Config!$B$16,IF($X681&gt;=Config!$B$17,100,0),MAX(0,MIN(100,($X681-Config!$B$16)/(Config!$B$17-Config!$B$16)*100))))</f>
        <v/>
      </c>
      <c r="Z681" s="40">
        <f>IF($M681="Elite",Config!$B$21,0)</f>
        <v>0</v>
      </c>
      <c r="AA681" s="40" t="str">
        <f>IFERROR(IF(OR($W681="",$H681=""),"",IF($W681&gt;$H681,
  MAX(0, 60-(($W681-$H681)*24/Config!$B$19)*60),
  MIN(100, 60+(($H681-$W681)*24/Config!$B$20)*40)
)),"")
</f>
        <v/>
      </c>
      <c r="AB681" s="40" t="str">
        <f>IF($K681="","",IFERROR(VLOOKUP($K681,Grinders!$A$4:$N$998,10,FALSE)/5*100,""))</f>
        <v/>
      </c>
      <c r="AC681" s="40" t="str">
        <f>IF($K681="","",IFERROR(VLOOKUP($K681,Grinders!$A$4:$N$998,11,FALSE)*100,""))</f>
        <v/>
      </c>
      <c r="AD681" s="40" t="str">
        <f>IF($K681="","",IFERROR(VLOOKUP($K681,Grinders!$A$4:$N$998,12,FALSE)*100,""))</f>
        <v/>
      </c>
      <c r="AE681" s="40">
        <f>IFERROR(IFS(
    OR($C681="", $K681=""), 0,
    $F681=0, 0,
    $D681&lt;&gt;"Open", 0,
    COUNTIFS(GrinderServices!$B$4:$B$998, $K681, GrinderServices!$C$4:$C$998, $E681, GrinderServices!$E$4:$E$998, "Y")=0, 0,
    $X681&lt;Config!$B$16, 0,
    Config!$B$18=1, IF($O681&gt;=N681, 0, 1),
    TRUE, 1
), "")
</f>
        <v>0</v>
      </c>
      <c r="AF681" s="40" t="str">
        <f>IFERROR(IF($AE681=0,"",((Config!$B$6*$Y681 + Config!$B$7*$U681 + Config!$B$8*$Z681 + Config!$B$9*$AA681 + Config!$B$10*$AB681 + Config!$B$11*$AC681 - Config!$B$12*$AD681)/Config!$B$13)+$AK681+$AL681),"")</f>
        <v/>
      </c>
      <c r="AG681" s="40" t="str">
        <f t="shared" si="6"/>
        <v/>
      </c>
      <c r="AH681" s="40" t="str">
        <f t="shared" si="7"/>
        <v/>
      </c>
      <c r="AI681" s="40" t="str">
        <f t="shared" si="8"/>
        <v/>
      </c>
      <c r="AJ681" s="40" t="str">
        <f>IF($K681="","",COUNTIF(Assignments!$B$6:$B$1000,$K681))</f>
        <v/>
      </c>
      <c r="AK681" s="40" t="str">
        <f>IF($K681="","",IF(AND($AJ681=0,$O681&lt;$N681),Config!$B$43,0))</f>
        <v/>
      </c>
      <c r="AL681" s="40" t="str">
        <f>IF($K681="","",IF(AND($M681="Elite",$G681&gt;=Config!$B$41,$O681&lt;$N681),Config!$B$42,0))</f>
        <v/>
      </c>
      <c r="AM681" s="22"/>
    </row>
    <row r="682" ht="15.75" customHeight="1">
      <c r="A682" s="40" t="str">
        <f t="shared" si="1"/>
        <v/>
      </c>
      <c r="B682" s="40" t="str">
        <f>IF(Bids!$A681="","",Bids!$A681)</f>
        <v/>
      </c>
      <c r="C682" s="40" t="str">
        <f>IF(Bids!$B681="","",Bids!$B681)</f>
        <v/>
      </c>
      <c r="D682" s="40" t="str">
        <f>IF($C682="","",IFERROR(VLOOKUP($C682,Orders!$A$4:$J$998,9,FALSE),""))</f>
        <v/>
      </c>
      <c r="E682" s="40" t="str">
        <f>IF($C682="","",IFERROR(VLOOKUP($C682,Orders!$A$4:$J$998,3,FALSE),""))</f>
        <v/>
      </c>
      <c r="F682" s="40">
        <f t="shared" si="2"/>
        <v>1</v>
      </c>
      <c r="G682" s="40" t="str">
        <f>IF($C682="","",IFERROR(VLOOKUP($C682,Orders!$A$4:$J$998,4,FALSE),""))</f>
        <v/>
      </c>
      <c r="H682" s="40" t="str">
        <f>IF($C682="","",IFERROR(VLOOKUP($C682,Orders!$A$4:$J$998,5,FALSE),""))</f>
        <v/>
      </c>
      <c r="I682" s="40" t="str">
        <f>IF($C682="","",IFERROR(VLOOKUP($C682,Orders!$A$4:$J$998,6,FALSE),""))</f>
        <v/>
      </c>
      <c r="J682" s="40" t="str">
        <f>IF($C682="","",IFERROR(VLOOKUP($C682,Orders!$A$4:$J$998,7,FALSE),""))</f>
        <v/>
      </c>
      <c r="K682" s="40" t="str">
        <f>IF(Bids!$C681="","",Bids!$C681)</f>
        <v/>
      </c>
      <c r="L682" s="40" t="str">
        <f>IF($K682="","",IFERROR(VLOOKUP($K682,Grinders!$A$4:$N$998,2,FALSE),""))</f>
        <v/>
      </c>
      <c r="M682" s="40" t="str">
        <f>IF($K682="","",IFERROR(VLOOKUP($K682,Grinders!$A$4:$N$998,3,FALSE),""))</f>
        <v/>
      </c>
      <c r="N682" s="40" t="str">
        <f>IF($K682="","",IFERROR(VLOOKUP($K682,Grinders!$A$4:$N$998,4,FALSE),""))</f>
        <v/>
      </c>
      <c r="O682" s="40" t="str">
        <f>IF($K682="","",IFERROR(VLOOKUP($K682,Grinders!$A$4:$N$998,5,FALSE),""))</f>
        <v/>
      </c>
      <c r="P682" s="40" t="str">
        <f>IF($K682="","",IF($C$4="",0,COUNTIFS(Assignments!$B$6:$B$1000,$K682,Assignments!$F$6:$F$1000,$C$4,Assignments!$E$6:$E$1000,"Active")))</f>
        <v/>
      </c>
      <c r="Q682" s="40" t="str">
        <f t="shared" si="3"/>
        <v/>
      </c>
      <c r="R682" s="40" t="str">
        <f t="shared" si="4"/>
        <v/>
      </c>
      <c r="S682" s="40" t="str">
        <f>IF($K682="","",IF($C$4="",0,COUNTIFS(Assignments!$B$6:$B$1000,$K682,Assignments!$F$6:$F$1000,$C$4,Assignments!$D$6:$D$1000,"&gt;="&amp;Config!$B$3-7,Assignments!$D$6:$D$1000,"&lt;="&amp;Config!$B$3)))</f>
        <v/>
      </c>
      <c r="T682" s="40" t="str">
        <f>IF($K682="","",IFERROR(VLOOKUP($K682,Grinders!$A$4:$N$998,8,FALSE),""))</f>
        <v/>
      </c>
      <c r="U682" s="40" t="str">
        <f>IFERROR(IF($K682="","",IF($M682="Elite",MAX(50,MIN(100,Config!$B$27*MAX(0,MIN(100,(1-IF($R682="",0,$R682))*100)) + Config!$B$28*MAX(0,MIN(100,(1-MIN(1,IF(Config!$B$30=0,1,$S682/Config!$B$30)))*100)) + Config!$B$29*MAX(0,MIN(100,MIN(1,IF($T682="",0,$T682)/Config!$B$23)*100)))),MIN(100,Config!$B$27*MAX(0,MIN(100,(1-IF($R682="",0,$R682))*100)) + Config!$B$28*MAX(0,MIN(100,(1-MIN(1,IF(Config!$B$30=0,1,$S682/Config!$B$30)))*100)) + Config!$B$29*MAX(0,MIN(100,MIN(1,IF($T682="",0,$T682)/Config!$B$23)*100))))),"")
</f>
        <v/>
      </c>
      <c r="V682" s="40" t="str">
        <f>IF(Bids!$D681="","",Bids!$D681)</f>
        <v/>
      </c>
      <c r="W682" s="40" t="str">
        <f>IF(Bids!$F681="","",Bids!$F681)</f>
        <v/>
      </c>
      <c r="X682" s="40" t="str">
        <f t="shared" si="5"/>
        <v/>
      </c>
      <c r="Y682" s="40" t="str">
        <f>IF($X682="","",IF(Config!$B$17=Config!$B$16,IF($X682&gt;=Config!$B$17,100,0),MAX(0,MIN(100,($X682-Config!$B$16)/(Config!$B$17-Config!$B$16)*100))))</f>
        <v/>
      </c>
      <c r="Z682" s="40">
        <f>IF($M682="Elite",Config!$B$21,0)</f>
        <v>0</v>
      </c>
      <c r="AA682" s="40" t="str">
        <f>IFERROR(IF(OR($W682="",$H682=""),"",IF($W682&gt;$H682,
  MAX(0, 60-(($W682-$H682)*24/Config!$B$19)*60),
  MIN(100, 60+(($H682-$W682)*24/Config!$B$20)*40)
)),"")
</f>
        <v/>
      </c>
      <c r="AB682" s="40" t="str">
        <f>IF($K682="","",IFERROR(VLOOKUP($K682,Grinders!$A$4:$N$998,10,FALSE)/5*100,""))</f>
        <v/>
      </c>
      <c r="AC682" s="40" t="str">
        <f>IF($K682="","",IFERROR(VLOOKUP($K682,Grinders!$A$4:$N$998,11,FALSE)*100,""))</f>
        <v/>
      </c>
      <c r="AD682" s="40" t="str">
        <f>IF($K682="","",IFERROR(VLOOKUP($K682,Grinders!$A$4:$N$998,12,FALSE)*100,""))</f>
        <v/>
      </c>
      <c r="AE682" s="40">
        <f>IFERROR(IFS(
    OR($C682="", $K682=""), 0,
    $F682=0, 0,
    $D682&lt;&gt;"Open", 0,
    COUNTIFS(GrinderServices!$B$4:$B$998, $K682, GrinderServices!$C$4:$C$998, $E682, GrinderServices!$E$4:$E$998, "Y")=0, 0,
    $X682&lt;Config!$B$16, 0,
    Config!$B$18=1, IF($O682&gt;=N682, 0, 1),
    TRUE, 1
), "")
</f>
        <v>0</v>
      </c>
      <c r="AF682" s="40" t="str">
        <f>IFERROR(IF($AE682=0,"",((Config!$B$6*$Y682 + Config!$B$7*$U682 + Config!$B$8*$Z682 + Config!$B$9*$AA682 + Config!$B$10*$AB682 + Config!$B$11*$AC682 - Config!$B$12*$AD682)/Config!$B$13)+$AK682+$AL682),"")</f>
        <v/>
      </c>
      <c r="AG682" s="40" t="str">
        <f t="shared" si="6"/>
        <v/>
      </c>
      <c r="AH682" s="40" t="str">
        <f t="shared" si="7"/>
        <v/>
      </c>
      <c r="AI682" s="40" t="str">
        <f t="shared" si="8"/>
        <v/>
      </c>
      <c r="AJ682" s="40" t="str">
        <f>IF($K682="","",COUNTIF(Assignments!$B$6:$B$1000,$K682))</f>
        <v/>
      </c>
      <c r="AK682" s="40" t="str">
        <f>IF($K682="","",IF(AND($AJ682=0,$O682&lt;$N682),Config!$B$43,0))</f>
        <v/>
      </c>
      <c r="AL682" s="40" t="str">
        <f>IF($K682="","",IF(AND($M682="Elite",$G682&gt;=Config!$B$41,$O682&lt;$N682),Config!$B$42,0))</f>
        <v/>
      </c>
      <c r="AM682" s="22"/>
    </row>
    <row r="683" ht="15.75" customHeight="1">
      <c r="A683" s="40" t="str">
        <f t="shared" si="1"/>
        <v/>
      </c>
      <c r="B683" s="40" t="str">
        <f>IF(Bids!$A682="","",Bids!$A682)</f>
        <v/>
      </c>
      <c r="C683" s="40" t="str">
        <f>IF(Bids!$B682="","",Bids!$B682)</f>
        <v/>
      </c>
      <c r="D683" s="40" t="str">
        <f>IF($C683="","",IFERROR(VLOOKUP($C683,Orders!$A$4:$J$998,9,FALSE),""))</f>
        <v/>
      </c>
      <c r="E683" s="40" t="str">
        <f>IF($C683="","",IFERROR(VLOOKUP($C683,Orders!$A$4:$J$998,3,FALSE),""))</f>
        <v/>
      </c>
      <c r="F683" s="40">
        <f t="shared" si="2"/>
        <v>1</v>
      </c>
      <c r="G683" s="40" t="str">
        <f>IF($C683="","",IFERROR(VLOOKUP($C683,Orders!$A$4:$J$998,4,FALSE),""))</f>
        <v/>
      </c>
      <c r="H683" s="40" t="str">
        <f>IF($C683="","",IFERROR(VLOOKUP($C683,Orders!$A$4:$J$998,5,FALSE),""))</f>
        <v/>
      </c>
      <c r="I683" s="40" t="str">
        <f>IF($C683="","",IFERROR(VLOOKUP($C683,Orders!$A$4:$J$998,6,FALSE),""))</f>
        <v/>
      </c>
      <c r="J683" s="40" t="str">
        <f>IF($C683="","",IFERROR(VLOOKUP($C683,Orders!$A$4:$J$998,7,FALSE),""))</f>
        <v/>
      </c>
      <c r="K683" s="40" t="str">
        <f>IF(Bids!$C682="","",Bids!$C682)</f>
        <v/>
      </c>
      <c r="L683" s="40" t="str">
        <f>IF($K683="","",IFERROR(VLOOKUP($K683,Grinders!$A$4:$N$998,2,FALSE),""))</f>
        <v/>
      </c>
      <c r="M683" s="40" t="str">
        <f>IF($K683="","",IFERROR(VLOOKUP($K683,Grinders!$A$4:$N$998,3,FALSE),""))</f>
        <v/>
      </c>
      <c r="N683" s="40" t="str">
        <f>IF($K683="","",IFERROR(VLOOKUP($K683,Grinders!$A$4:$N$998,4,FALSE),""))</f>
        <v/>
      </c>
      <c r="O683" s="40" t="str">
        <f>IF($K683="","",IFERROR(VLOOKUP($K683,Grinders!$A$4:$N$998,5,FALSE),""))</f>
        <v/>
      </c>
      <c r="P683" s="40" t="str">
        <f>IF($K683="","",IF($C$4="",0,COUNTIFS(Assignments!$B$6:$B$1000,$K683,Assignments!$F$6:$F$1000,$C$4,Assignments!$E$6:$E$1000,"Active")))</f>
        <v/>
      </c>
      <c r="Q683" s="40" t="str">
        <f t="shared" si="3"/>
        <v/>
      </c>
      <c r="R683" s="40" t="str">
        <f t="shared" si="4"/>
        <v/>
      </c>
      <c r="S683" s="40" t="str">
        <f>IF($K683="","",IF($C$4="",0,COUNTIFS(Assignments!$B$6:$B$1000,$K683,Assignments!$F$6:$F$1000,$C$4,Assignments!$D$6:$D$1000,"&gt;="&amp;Config!$B$3-7,Assignments!$D$6:$D$1000,"&lt;="&amp;Config!$B$3)))</f>
        <v/>
      </c>
      <c r="T683" s="40" t="str">
        <f>IF($K683="","",IFERROR(VLOOKUP($K683,Grinders!$A$4:$N$998,8,FALSE),""))</f>
        <v/>
      </c>
      <c r="U683" s="40" t="str">
        <f>IFERROR(IF($K683="","",IF($M683="Elite",MAX(50,MIN(100,Config!$B$27*MAX(0,MIN(100,(1-IF($R683="",0,$R683))*100)) + Config!$B$28*MAX(0,MIN(100,(1-MIN(1,IF(Config!$B$30=0,1,$S683/Config!$B$30)))*100)) + Config!$B$29*MAX(0,MIN(100,MIN(1,IF($T683="",0,$T683)/Config!$B$23)*100)))),MIN(100,Config!$B$27*MAX(0,MIN(100,(1-IF($R683="",0,$R683))*100)) + Config!$B$28*MAX(0,MIN(100,(1-MIN(1,IF(Config!$B$30=0,1,$S683/Config!$B$30)))*100)) + Config!$B$29*MAX(0,MIN(100,MIN(1,IF($T683="",0,$T683)/Config!$B$23)*100))))),"")
</f>
        <v/>
      </c>
      <c r="V683" s="40" t="str">
        <f>IF(Bids!$D682="","",Bids!$D682)</f>
        <v/>
      </c>
      <c r="W683" s="40" t="str">
        <f>IF(Bids!$F682="","",Bids!$F682)</f>
        <v/>
      </c>
      <c r="X683" s="40" t="str">
        <f t="shared" si="5"/>
        <v/>
      </c>
      <c r="Y683" s="40" t="str">
        <f>IF($X683="","",IF(Config!$B$17=Config!$B$16,IF($X683&gt;=Config!$B$17,100,0),MAX(0,MIN(100,($X683-Config!$B$16)/(Config!$B$17-Config!$B$16)*100))))</f>
        <v/>
      </c>
      <c r="Z683" s="40">
        <f>IF($M683="Elite",Config!$B$21,0)</f>
        <v>0</v>
      </c>
      <c r="AA683" s="40" t="str">
        <f>IFERROR(IF(OR($W683="",$H683=""),"",IF($W683&gt;$H683,
  MAX(0, 60-(($W683-$H683)*24/Config!$B$19)*60),
  MIN(100, 60+(($H683-$W683)*24/Config!$B$20)*40)
)),"")
</f>
        <v/>
      </c>
      <c r="AB683" s="40" t="str">
        <f>IF($K683="","",IFERROR(VLOOKUP($K683,Grinders!$A$4:$N$998,10,FALSE)/5*100,""))</f>
        <v/>
      </c>
      <c r="AC683" s="40" t="str">
        <f>IF($K683="","",IFERROR(VLOOKUP($K683,Grinders!$A$4:$N$998,11,FALSE)*100,""))</f>
        <v/>
      </c>
      <c r="AD683" s="40" t="str">
        <f>IF($K683="","",IFERROR(VLOOKUP($K683,Grinders!$A$4:$N$998,12,FALSE)*100,""))</f>
        <v/>
      </c>
      <c r="AE683" s="40">
        <f>IFERROR(IFS(
    OR($C683="", $K683=""), 0,
    $F683=0, 0,
    $D683&lt;&gt;"Open", 0,
    COUNTIFS(GrinderServices!$B$4:$B$998, $K683, GrinderServices!$C$4:$C$998, $E683, GrinderServices!$E$4:$E$998, "Y")=0, 0,
    $X683&lt;Config!$B$16, 0,
    Config!$B$18=1, IF($O683&gt;=N683, 0, 1),
    TRUE, 1
), "")
</f>
        <v>0</v>
      </c>
      <c r="AF683" s="40" t="str">
        <f>IFERROR(IF($AE683=0,"",((Config!$B$6*$Y683 + Config!$B$7*$U683 + Config!$B$8*$Z683 + Config!$B$9*$AA683 + Config!$B$10*$AB683 + Config!$B$11*$AC683 - Config!$B$12*$AD683)/Config!$B$13)+$AK683+$AL683),"")</f>
        <v/>
      </c>
      <c r="AG683" s="40" t="str">
        <f t="shared" si="6"/>
        <v/>
      </c>
      <c r="AH683" s="40" t="str">
        <f t="shared" si="7"/>
        <v/>
      </c>
      <c r="AI683" s="40" t="str">
        <f t="shared" si="8"/>
        <v/>
      </c>
      <c r="AJ683" s="40" t="str">
        <f>IF($K683="","",COUNTIF(Assignments!$B$6:$B$1000,$K683))</f>
        <v/>
      </c>
      <c r="AK683" s="40" t="str">
        <f>IF($K683="","",IF(AND($AJ683=0,$O683&lt;$N683),Config!$B$43,0))</f>
        <v/>
      </c>
      <c r="AL683" s="40" t="str">
        <f>IF($K683="","",IF(AND($M683="Elite",$G683&gt;=Config!$B$41,$O683&lt;$N683),Config!$B$42,0))</f>
        <v/>
      </c>
      <c r="AM683" s="22"/>
    </row>
    <row r="684" ht="15.75" customHeight="1">
      <c r="A684" s="40" t="str">
        <f t="shared" si="1"/>
        <v/>
      </c>
      <c r="B684" s="40" t="str">
        <f>IF(Bids!$A683="","",Bids!$A683)</f>
        <v/>
      </c>
      <c r="C684" s="40" t="str">
        <f>IF(Bids!$B683="","",Bids!$B683)</f>
        <v/>
      </c>
      <c r="D684" s="40" t="str">
        <f>IF($C684="","",IFERROR(VLOOKUP($C684,Orders!$A$4:$J$998,9,FALSE),""))</f>
        <v/>
      </c>
      <c r="E684" s="40" t="str">
        <f>IF($C684="","",IFERROR(VLOOKUP($C684,Orders!$A$4:$J$998,3,FALSE),""))</f>
        <v/>
      </c>
      <c r="F684" s="40">
        <f t="shared" si="2"/>
        <v>1</v>
      </c>
      <c r="G684" s="40" t="str">
        <f>IF($C684="","",IFERROR(VLOOKUP($C684,Orders!$A$4:$J$998,4,FALSE),""))</f>
        <v/>
      </c>
      <c r="H684" s="40" t="str">
        <f>IF($C684="","",IFERROR(VLOOKUP($C684,Orders!$A$4:$J$998,5,FALSE),""))</f>
        <v/>
      </c>
      <c r="I684" s="40" t="str">
        <f>IF($C684="","",IFERROR(VLOOKUP($C684,Orders!$A$4:$J$998,6,FALSE),""))</f>
        <v/>
      </c>
      <c r="J684" s="40" t="str">
        <f>IF($C684="","",IFERROR(VLOOKUP($C684,Orders!$A$4:$J$998,7,FALSE),""))</f>
        <v/>
      </c>
      <c r="K684" s="40" t="str">
        <f>IF(Bids!$C683="","",Bids!$C683)</f>
        <v/>
      </c>
      <c r="L684" s="40" t="str">
        <f>IF($K684="","",IFERROR(VLOOKUP($K684,Grinders!$A$4:$N$998,2,FALSE),""))</f>
        <v/>
      </c>
      <c r="M684" s="40" t="str">
        <f>IF($K684="","",IFERROR(VLOOKUP($K684,Grinders!$A$4:$N$998,3,FALSE),""))</f>
        <v/>
      </c>
      <c r="N684" s="40" t="str">
        <f>IF($K684="","",IFERROR(VLOOKUP($K684,Grinders!$A$4:$N$998,4,FALSE),""))</f>
        <v/>
      </c>
      <c r="O684" s="40" t="str">
        <f>IF($K684="","",IFERROR(VLOOKUP($K684,Grinders!$A$4:$N$998,5,FALSE),""))</f>
        <v/>
      </c>
      <c r="P684" s="40" t="str">
        <f>IF($K684="","",IF($C$4="",0,COUNTIFS(Assignments!$B$6:$B$1000,$K684,Assignments!$F$6:$F$1000,$C$4,Assignments!$E$6:$E$1000,"Active")))</f>
        <v/>
      </c>
      <c r="Q684" s="40" t="str">
        <f t="shared" si="3"/>
        <v/>
      </c>
      <c r="R684" s="40" t="str">
        <f t="shared" si="4"/>
        <v/>
      </c>
      <c r="S684" s="40" t="str">
        <f>IF($K684="","",IF($C$4="",0,COUNTIFS(Assignments!$B$6:$B$1000,$K684,Assignments!$F$6:$F$1000,$C$4,Assignments!$D$6:$D$1000,"&gt;="&amp;Config!$B$3-7,Assignments!$D$6:$D$1000,"&lt;="&amp;Config!$B$3)))</f>
        <v/>
      </c>
      <c r="T684" s="40" t="str">
        <f>IF($K684="","",IFERROR(VLOOKUP($K684,Grinders!$A$4:$N$998,8,FALSE),""))</f>
        <v/>
      </c>
      <c r="U684" s="40" t="str">
        <f>IFERROR(IF($K684="","",IF($M684="Elite",MAX(50,MIN(100,Config!$B$27*MAX(0,MIN(100,(1-IF($R684="",0,$R684))*100)) + Config!$B$28*MAX(0,MIN(100,(1-MIN(1,IF(Config!$B$30=0,1,$S684/Config!$B$30)))*100)) + Config!$B$29*MAX(0,MIN(100,MIN(1,IF($T684="",0,$T684)/Config!$B$23)*100)))),MIN(100,Config!$B$27*MAX(0,MIN(100,(1-IF($R684="",0,$R684))*100)) + Config!$B$28*MAX(0,MIN(100,(1-MIN(1,IF(Config!$B$30=0,1,$S684/Config!$B$30)))*100)) + Config!$B$29*MAX(0,MIN(100,MIN(1,IF($T684="",0,$T684)/Config!$B$23)*100))))),"")
</f>
        <v/>
      </c>
      <c r="V684" s="40" t="str">
        <f>IF(Bids!$D683="","",Bids!$D683)</f>
        <v/>
      </c>
      <c r="W684" s="40" t="str">
        <f>IF(Bids!$F683="","",Bids!$F683)</f>
        <v/>
      </c>
      <c r="X684" s="40" t="str">
        <f t="shared" si="5"/>
        <v/>
      </c>
      <c r="Y684" s="40" t="str">
        <f>IF($X684="","",IF(Config!$B$17=Config!$B$16,IF($X684&gt;=Config!$B$17,100,0),MAX(0,MIN(100,($X684-Config!$B$16)/(Config!$B$17-Config!$B$16)*100))))</f>
        <v/>
      </c>
      <c r="Z684" s="40">
        <f>IF($M684="Elite",Config!$B$21,0)</f>
        <v>0</v>
      </c>
      <c r="AA684" s="40" t="str">
        <f>IFERROR(IF(OR($W684="",$H684=""),"",IF($W684&gt;$H684,
  MAX(0, 60-(($W684-$H684)*24/Config!$B$19)*60),
  MIN(100, 60+(($H684-$W684)*24/Config!$B$20)*40)
)),"")
</f>
        <v/>
      </c>
      <c r="AB684" s="40" t="str">
        <f>IF($K684="","",IFERROR(VLOOKUP($K684,Grinders!$A$4:$N$998,10,FALSE)/5*100,""))</f>
        <v/>
      </c>
      <c r="AC684" s="40" t="str">
        <f>IF($K684="","",IFERROR(VLOOKUP($K684,Grinders!$A$4:$N$998,11,FALSE)*100,""))</f>
        <v/>
      </c>
      <c r="AD684" s="40" t="str">
        <f>IF($K684="","",IFERROR(VLOOKUP($K684,Grinders!$A$4:$N$998,12,FALSE)*100,""))</f>
        <v/>
      </c>
      <c r="AE684" s="40">
        <f>IFERROR(IFS(
    OR($C684="", $K684=""), 0,
    $F684=0, 0,
    $D684&lt;&gt;"Open", 0,
    COUNTIFS(GrinderServices!$B$4:$B$998, $K684, GrinderServices!$C$4:$C$998, $E684, GrinderServices!$E$4:$E$998, "Y")=0, 0,
    $X684&lt;Config!$B$16, 0,
    Config!$B$18=1, IF($O684&gt;=N684, 0, 1),
    TRUE, 1
), "")
</f>
        <v>0</v>
      </c>
      <c r="AF684" s="40" t="str">
        <f>IFERROR(IF($AE684=0,"",((Config!$B$6*$Y684 + Config!$B$7*$U684 + Config!$B$8*$Z684 + Config!$B$9*$AA684 + Config!$B$10*$AB684 + Config!$B$11*$AC684 - Config!$B$12*$AD684)/Config!$B$13)+$AK684+$AL684),"")</f>
        <v/>
      </c>
      <c r="AG684" s="40" t="str">
        <f t="shared" si="6"/>
        <v/>
      </c>
      <c r="AH684" s="40" t="str">
        <f t="shared" si="7"/>
        <v/>
      </c>
      <c r="AI684" s="40" t="str">
        <f t="shared" si="8"/>
        <v/>
      </c>
      <c r="AJ684" s="40" t="str">
        <f>IF($K684="","",COUNTIF(Assignments!$B$6:$B$1000,$K684))</f>
        <v/>
      </c>
      <c r="AK684" s="40" t="str">
        <f>IF($K684="","",IF(AND($AJ684=0,$O684&lt;$N684),Config!$B$43,0))</f>
        <v/>
      </c>
      <c r="AL684" s="40" t="str">
        <f>IF($K684="","",IF(AND($M684="Elite",$G684&gt;=Config!$B$41,$O684&lt;$N684),Config!$B$42,0))</f>
        <v/>
      </c>
      <c r="AM684" s="22"/>
    </row>
    <row r="685" ht="15.75" customHeight="1">
      <c r="A685" s="40" t="str">
        <f t="shared" si="1"/>
        <v/>
      </c>
      <c r="B685" s="40" t="str">
        <f>IF(Bids!$A684="","",Bids!$A684)</f>
        <v/>
      </c>
      <c r="C685" s="40" t="str">
        <f>IF(Bids!$B684="","",Bids!$B684)</f>
        <v/>
      </c>
      <c r="D685" s="40" t="str">
        <f>IF($C685="","",IFERROR(VLOOKUP($C685,Orders!$A$4:$J$998,9,FALSE),""))</f>
        <v/>
      </c>
      <c r="E685" s="40" t="str">
        <f>IF($C685="","",IFERROR(VLOOKUP($C685,Orders!$A$4:$J$998,3,FALSE),""))</f>
        <v/>
      </c>
      <c r="F685" s="40">
        <f t="shared" si="2"/>
        <v>1</v>
      </c>
      <c r="G685" s="40" t="str">
        <f>IF($C685="","",IFERROR(VLOOKUP($C685,Orders!$A$4:$J$998,4,FALSE),""))</f>
        <v/>
      </c>
      <c r="H685" s="40" t="str">
        <f>IF($C685="","",IFERROR(VLOOKUP($C685,Orders!$A$4:$J$998,5,FALSE),""))</f>
        <v/>
      </c>
      <c r="I685" s="40" t="str">
        <f>IF($C685="","",IFERROR(VLOOKUP($C685,Orders!$A$4:$J$998,6,FALSE),""))</f>
        <v/>
      </c>
      <c r="J685" s="40" t="str">
        <f>IF($C685="","",IFERROR(VLOOKUP($C685,Orders!$A$4:$J$998,7,FALSE),""))</f>
        <v/>
      </c>
      <c r="K685" s="40" t="str">
        <f>IF(Bids!$C684="","",Bids!$C684)</f>
        <v/>
      </c>
      <c r="L685" s="40" t="str">
        <f>IF($K685="","",IFERROR(VLOOKUP($K685,Grinders!$A$4:$N$998,2,FALSE),""))</f>
        <v/>
      </c>
      <c r="M685" s="40" t="str">
        <f>IF($K685="","",IFERROR(VLOOKUP($K685,Grinders!$A$4:$N$998,3,FALSE),""))</f>
        <v/>
      </c>
      <c r="N685" s="40" t="str">
        <f>IF($K685="","",IFERROR(VLOOKUP($K685,Grinders!$A$4:$N$998,4,FALSE),""))</f>
        <v/>
      </c>
      <c r="O685" s="40" t="str">
        <f>IF($K685="","",IFERROR(VLOOKUP($K685,Grinders!$A$4:$N$998,5,FALSE),""))</f>
        <v/>
      </c>
      <c r="P685" s="40" t="str">
        <f>IF($K685="","",IF($C$4="",0,COUNTIFS(Assignments!$B$6:$B$1000,$K685,Assignments!$F$6:$F$1000,$C$4,Assignments!$E$6:$E$1000,"Active")))</f>
        <v/>
      </c>
      <c r="Q685" s="40" t="str">
        <f t="shared" si="3"/>
        <v/>
      </c>
      <c r="R685" s="40" t="str">
        <f t="shared" si="4"/>
        <v/>
      </c>
      <c r="S685" s="40" t="str">
        <f>IF($K685="","",IF($C$4="",0,COUNTIFS(Assignments!$B$6:$B$1000,$K685,Assignments!$F$6:$F$1000,$C$4,Assignments!$D$6:$D$1000,"&gt;="&amp;Config!$B$3-7,Assignments!$D$6:$D$1000,"&lt;="&amp;Config!$B$3)))</f>
        <v/>
      </c>
      <c r="T685" s="40" t="str">
        <f>IF($K685="","",IFERROR(VLOOKUP($K685,Grinders!$A$4:$N$998,8,FALSE),""))</f>
        <v/>
      </c>
      <c r="U685" s="40" t="str">
        <f>IFERROR(IF($K685="","",IF($M685="Elite",MAX(50,MIN(100,Config!$B$27*MAX(0,MIN(100,(1-IF($R685="",0,$R685))*100)) + Config!$B$28*MAX(0,MIN(100,(1-MIN(1,IF(Config!$B$30=0,1,$S685/Config!$B$30)))*100)) + Config!$B$29*MAX(0,MIN(100,MIN(1,IF($T685="",0,$T685)/Config!$B$23)*100)))),MIN(100,Config!$B$27*MAX(0,MIN(100,(1-IF($R685="",0,$R685))*100)) + Config!$B$28*MAX(0,MIN(100,(1-MIN(1,IF(Config!$B$30=0,1,$S685/Config!$B$30)))*100)) + Config!$B$29*MAX(0,MIN(100,MIN(1,IF($T685="",0,$T685)/Config!$B$23)*100))))),"")
</f>
        <v/>
      </c>
      <c r="V685" s="40" t="str">
        <f>IF(Bids!$D684="","",Bids!$D684)</f>
        <v/>
      </c>
      <c r="W685" s="40" t="str">
        <f>IF(Bids!$F684="","",Bids!$F684)</f>
        <v/>
      </c>
      <c r="X685" s="40" t="str">
        <f t="shared" si="5"/>
        <v/>
      </c>
      <c r="Y685" s="40" t="str">
        <f>IF($X685="","",IF(Config!$B$17=Config!$B$16,IF($X685&gt;=Config!$B$17,100,0),MAX(0,MIN(100,($X685-Config!$B$16)/(Config!$B$17-Config!$B$16)*100))))</f>
        <v/>
      </c>
      <c r="Z685" s="40">
        <f>IF($M685="Elite",Config!$B$21,0)</f>
        <v>0</v>
      </c>
      <c r="AA685" s="40" t="str">
        <f>IFERROR(IF(OR($W685="",$H685=""),"",IF($W685&gt;$H685,
  MAX(0, 60-(($W685-$H685)*24/Config!$B$19)*60),
  MIN(100, 60+(($H685-$W685)*24/Config!$B$20)*40)
)),"")
</f>
        <v/>
      </c>
      <c r="AB685" s="40" t="str">
        <f>IF($K685="","",IFERROR(VLOOKUP($K685,Grinders!$A$4:$N$998,10,FALSE)/5*100,""))</f>
        <v/>
      </c>
      <c r="AC685" s="40" t="str">
        <f>IF($K685="","",IFERROR(VLOOKUP($K685,Grinders!$A$4:$N$998,11,FALSE)*100,""))</f>
        <v/>
      </c>
      <c r="AD685" s="40" t="str">
        <f>IF($K685="","",IFERROR(VLOOKUP($K685,Grinders!$A$4:$N$998,12,FALSE)*100,""))</f>
        <v/>
      </c>
      <c r="AE685" s="40">
        <f>IFERROR(IFS(
    OR($C685="", $K685=""), 0,
    $F685=0, 0,
    $D685&lt;&gt;"Open", 0,
    COUNTIFS(GrinderServices!$B$4:$B$998, $K685, GrinderServices!$C$4:$C$998, $E685, GrinderServices!$E$4:$E$998, "Y")=0, 0,
    $X685&lt;Config!$B$16, 0,
    Config!$B$18=1, IF($O685&gt;=N685, 0, 1),
    TRUE, 1
), "")
</f>
        <v>0</v>
      </c>
      <c r="AF685" s="40" t="str">
        <f>IFERROR(IF($AE685=0,"",((Config!$B$6*$Y685 + Config!$B$7*$U685 + Config!$B$8*$Z685 + Config!$B$9*$AA685 + Config!$B$10*$AB685 + Config!$B$11*$AC685 - Config!$B$12*$AD685)/Config!$B$13)+$AK685+$AL685),"")</f>
        <v/>
      </c>
      <c r="AG685" s="40" t="str">
        <f t="shared" si="6"/>
        <v/>
      </c>
      <c r="AH685" s="40" t="str">
        <f t="shared" si="7"/>
        <v/>
      </c>
      <c r="AI685" s="40" t="str">
        <f t="shared" si="8"/>
        <v/>
      </c>
      <c r="AJ685" s="40" t="str">
        <f>IF($K685="","",COUNTIF(Assignments!$B$6:$B$1000,$K685))</f>
        <v/>
      </c>
      <c r="AK685" s="40" t="str">
        <f>IF($K685="","",IF(AND($AJ685=0,$O685&lt;$N685),Config!$B$43,0))</f>
        <v/>
      </c>
      <c r="AL685" s="40" t="str">
        <f>IF($K685="","",IF(AND($M685="Elite",$G685&gt;=Config!$B$41,$O685&lt;$N685),Config!$B$42,0))</f>
        <v/>
      </c>
      <c r="AM685" s="22"/>
    </row>
    <row r="686" ht="15.75" customHeight="1">
      <c r="A686" s="40" t="str">
        <f t="shared" si="1"/>
        <v/>
      </c>
      <c r="B686" s="40" t="str">
        <f>IF(Bids!$A685="","",Bids!$A685)</f>
        <v/>
      </c>
      <c r="C686" s="40" t="str">
        <f>IF(Bids!$B685="","",Bids!$B685)</f>
        <v/>
      </c>
      <c r="D686" s="40" t="str">
        <f>IF($C686="","",IFERROR(VLOOKUP($C686,Orders!$A$4:$J$998,9,FALSE),""))</f>
        <v/>
      </c>
      <c r="E686" s="40" t="str">
        <f>IF($C686="","",IFERROR(VLOOKUP($C686,Orders!$A$4:$J$998,3,FALSE),""))</f>
        <v/>
      </c>
      <c r="F686" s="40">
        <f t="shared" si="2"/>
        <v>1</v>
      </c>
      <c r="G686" s="40" t="str">
        <f>IF($C686="","",IFERROR(VLOOKUP($C686,Orders!$A$4:$J$998,4,FALSE),""))</f>
        <v/>
      </c>
      <c r="H686" s="40" t="str">
        <f>IF($C686="","",IFERROR(VLOOKUP($C686,Orders!$A$4:$J$998,5,FALSE),""))</f>
        <v/>
      </c>
      <c r="I686" s="40" t="str">
        <f>IF($C686="","",IFERROR(VLOOKUP($C686,Orders!$A$4:$J$998,6,FALSE),""))</f>
        <v/>
      </c>
      <c r="J686" s="40" t="str">
        <f>IF($C686="","",IFERROR(VLOOKUP($C686,Orders!$A$4:$J$998,7,FALSE),""))</f>
        <v/>
      </c>
      <c r="K686" s="40" t="str">
        <f>IF(Bids!$C685="","",Bids!$C685)</f>
        <v/>
      </c>
      <c r="L686" s="40" t="str">
        <f>IF($K686="","",IFERROR(VLOOKUP($K686,Grinders!$A$4:$N$998,2,FALSE),""))</f>
        <v/>
      </c>
      <c r="M686" s="40" t="str">
        <f>IF($K686="","",IFERROR(VLOOKUP($K686,Grinders!$A$4:$N$998,3,FALSE),""))</f>
        <v/>
      </c>
      <c r="N686" s="40" t="str">
        <f>IF($K686="","",IFERROR(VLOOKUP($K686,Grinders!$A$4:$N$998,4,FALSE),""))</f>
        <v/>
      </c>
      <c r="O686" s="40" t="str">
        <f>IF($K686="","",IFERROR(VLOOKUP($K686,Grinders!$A$4:$N$998,5,FALSE),""))</f>
        <v/>
      </c>
      <c r="P686" s="40" t="str">
        <f>IF($K686="","",IF($C$4="",0,COUNTIFS(Assignments!$B$6:$B$1000,$K686,Assignments!$F$6:$F$1000,$C$4,Assignments!$E$6:$E$1000,"Active")))</f>
        <v/>
      </c>
      <c r="Q686" s="40" t="str">
        <f t="shared" si="3"/>
        <v/>
      </c>
      <c r="R686" s="40" t="str">
        <f t="shared" si="4"/>
        <v/>
      </c>
      <c r="S686" s="40" t="str">
        <f>IF($K686="","",IF($C$4="",0,COUNTIFS(Assignments!$B$6:$B$1000,$K686,Assignments!$F$6:$F$1000,$C$4,Assignments!$D$6:$D$1000,"&gt;="&amp;Config!$B$3-7,Assignments!$D$6:$D$1000,"&lt;="&amp;Config!$B$3)))</f>
        <v/>
      </c>
      <c r="T686" s="40" t="str">
        <f>IF($K686="","",IFERROR(VLOOKUP($K686,Grinders!$A$4:$N$998,8,FALSE),""))</f>
        <v/>
      </c>
      <c r="U686" s="40" t="str">
        <f>IFERROR(IF($K686="","",IF($M686="Elite",MAX(50,MIN(100,Config!$B$27*MAX(0,MIN(100,(1-IF($R686="",0,$R686))*100)) + Config!$B$28*MAX(0,MIN(100,(1-MIN(1,IF(Config!$B$30=0,1,$S686/Config!$B$30)))*100)) + Config!$B$29*MAX(0,MIN(100,MIN(1,IF($T686="",0,$T686)/Config!$B$23)*100)))),MIN(100,Config!$B$27*MAX(0,MIN(100,(1-IF($R686="",0,$R686))*100)) + Config!$B$28*MAX(0,MIN(100,(1-MIN(1,IF(Config!$B$30=0,1,$S686/Config!$B$30)))*100)) + Config!$B$29*MAX(0,MIN(100,MIN(1,IF($T686="",0,$T686)/Config!$B$23)*100))))),"")
</f>
        <v/>
      </c>
      <c r="V686" s="40" t="str">
        <f>IF(Bids!$D685="","",Bids!$D685)</f>
        <v/>
      </c>
      <c r="W686" s="40" t="str">
        <f>IF(Bids!$F685="","",Bids!$F685)</f>
        <v/>
      </c>
      <c r="X686" s="40" t="str">
        <f t="shared" si="5"/>
        <v/>
      </c>
      <c r="Y686" s="40" t="str">
        <f>IF($X686="","",IF(Config!$B$17=Config!$B$16,IF($X686&gt;=Config!$B$17,100,0),MAX(0,MIN(100,($X686-Config!$B$16)/(Config!$B$17-Config!$B$16)*100))))</f>
        <v/>
      </c>
      <c r="Z686" s="40">
        <f>IF($M686="Elite",Config!$B$21,0)</f>
        <v>0</v>
      </c>
      <c r="AA686" s="40" t="str">
        <f>IFERROR(IF(OR($W686="",$H686=""),"",IF($W686&gt;$H686,
  MAX(0, 60-(($W686-$H686)*24/Config!$B$19)*60),
  MIN(100, 60+(($H686-$W686)*24/Config!$B$20)*40)
)),"")
</f>
        <v/>
      </c>
      <c r="AB686" s="40" t="str">
        <f>IF($K686="","",IFERROR(VLOOKUP($K686,Grinders!$A$4:$N$998,10,FALSE)/5*100,""))</f>
        <v/>
      </c>
      <c r="AC686" s="40" t="str">
        <f>IF($K686="","",IFERROR(VLOOKUP($K686,Grinders!$A$4:$N$998,11,FALSE)*100,""))</f>
        <v/>
      </c>
      <c r="AD686" s="40" t="str">
        <f>IF($K686="","",IFERROR(VLOOKUP($K686,Grinders!$A$4:$N$998,12,FALSE)*100,""))</f>
        <v/>
      </c>
      <c r="AE686" s="40">
        <f>IFERROR(IFS(
    OR($C686="", $K686=""), 0,
    $F686=0, 0,
    $D686&lt;&gt;"Open", 0,
    COUNTIFS(GrinderServices!$B$4:$B$998, $K686, GrinderServices!$C$4:$C$998, $E686, GrinderServices!$E$4:$E$998, "Y")=0, 0,
    $X686&lt;Config!$B$16, 0,
    Config!$B$18=1, IF($O686&gt;=N686, 0, 1),
    TRUE, 1
), "")
</f>
        <v>0</v>
      </c>
      <c r="AF686" s="40" t="str">
        <f>IFERROR(IF($AE686=0,"",((Config!$B$6*$Y686 + Config!$B$7*$U686 + Config!$B$8*$Z686 + Config!$B$9*$AA686 + Config!$B$10*$AB686 + Config!$B$11*$AC686 - Config!$B$12*$AD686)/Config!$B$13)+$AK686+$AL686),"")</f>
        <v/>
      </c>
      <c r="AG686" s="40" t="str">
        <f t="shared" si="6"/>
        <v/>
      </c>
      <c r="AH686" s="40" t="str">
        <f t="shared" si="7"/>
        <v/>
      </c>
      <c r="AI686" s="40" t="str">
        <f t="shared" si="8"/>
        <v/>
      </c>
      <c r="AJ686" s="40" t="str">
        <f>IF($K686="","",COUNTIF(Assignments!$B$6:$B$1000,$K686))</f>
        <v/>
      </c>
      <c r="AK686" s="40" t="str">
        <f>IF($K686="","",IF(AND($AJ686=0,$O686&lt;$N686),Config!$B$43,0))</f>
        <v/>
      </c>
      <c r="AL686" s="40" t="str">
        <f>IF($K686="","",IF(AND($M686="Elite",$G686&gt;=Config!$B$41,$O686&lt;$N686),Config!$B$42,0))</f>
        <v/>
      </c>
      <c r="AM686" s="22"/>
    </row>
    <row r="687" ht="15.75" customHeight="1">
      <c r="A687" s="40" t="str">
        <f t="shared" si="1"/>
        <v/>
      </c>
      <c r="B687" s="40" t="str">
        <f>IF(Bids!$A686="","",Bids!$A686)</f>
        <v/>
      </c>
      <c r="C687" s="40" t="str">
        <f>IF(Bids!$B686="","",Bids!$B686)</f>
        <v/>
      </c>
      <c r="D687" s="40" t="str">
        <f>IF($C687="","",IFERROR(VLOOKUP($C687,Orders!$A$4:$J$998,9,FALSE),""))</f>
        <v/>
      </c>
      <c r="E687" s="40" t="str">
        <f>IF($C687="","",IFERROR(VLOOKUP($C687,Orders!$A$4:$J$998,3,FALSE),""))</f>
        <v/>
      </c>
      <c r="F687" s="40">
        <f t="shared" si="2"/>
        <v>1</v>
      </c>
      <c r="G687" s="40" t="str">
        <f>IF($C687="","",IFERROR(VLOOKUP($C687,Orders!$A$4:$J$998,4,FALSE),""))</f>
        <v/>
      </c>
      <c r="H687" s="40" t="str">
        <f>IF($C687="","",IFERROR(VLOOKUP($C687,Orders!$A$4:$J$998,5,FALSE),""))</f>
        <v/>
      </c>
      <c r="I687" s="40" t="str">
        <f>IF($C687="","",IFERROR(VLOOKUP($C687,Orders!$A$4:$J$998,6,FALSE),""))</f>
        <v/>
      </c>
      <c r="J687" s="40" t="str">
        <f>IF($C687="","",IFERROR(VLOOKUP($C687,Orders!$A$4:$J$998,7,FALSE),""))</f>
        <v/>
      </c>
      <c r="K687" s="40" t="str">
        <f>IF(Bids!$C686="","",Bids!$C686)</f>
        <v/>
      </c>
      <c r="L687" s="40" t="str">
        <f>IF($K687="","",IFERROR(VLOOKUP($K687,Grinders!$A$4:$N$998,2,FALSE),""))</f>
        <v/>
      </c>
      <c r="M687" s="40" t="str">
        <f>IF($K687="","",IFERROR(VLOOKUP($K687,Grinders!$A$4:$N$998,3,FALSE),""))</f>
        <v/>
      </c>
      <c r="N687" s="40" t="str">
        <f>IF($K687="","",IFERROR(VLOOKUP($K687,Grinders!$A$4:$N$998,4,FALSE),""))</f>
        <v/>
      </c>
      <c r="O687" s="40" t="str">
        <f>IF($K687="","",IFERROR(VLOOKUP($K687,Grinders!$A$4:$N$998,5,FALSE),""))</f>
        <v/>
      </c>
      <c r="P687" s="40" t="str">
        <f>IF($K687="","",IF($C$4="",0,COUNTIFS(Assignments!$B$6:$B$1000,$K687,Assignments!$F$6:$F$1000,$C$4,Assignments!$E$6:$E$1000,"Active")))</f>
        <v/>
      </c>
      <c r="Q687" s="40" t="str">
        <f t="shared" si="3"/>
        <v/>
      </c>
      <c r="R687" s="40" t="str">
        <f t="shared" si="4"/>
        <v/>
      </c>
      <c r="S687" s="40" t="str">
        <f>IF($K687="","",IF($C$4="",0,COUNTIFS(Assignments!$B$6:$B$1000,$K687,Assignments!$F$6:$F$1000,$C$4,Assignments!$D$6:$D$1000,"&gt;="&amp;Config!$B$3-7,Assignments!$D$6:$D$1000,"&lt;="&amp;Config!$B$3)))</f>
        <v/>
      </c>
      <c r="T687" s="40" t="str">
        <f>IF($K687="","",IFERROR(VLOOKUP($K687,Grinders!$A$4:$N$998,8,FALSE),""))</f>
        <v/>
      </c>
      <c r="U687" s="40" t="str">
        <f>IFERROR(IF($K687="","",IF($M687="Elite",MAX(50,MIN(100,Config!$B$27*MAX(0,MIN(100,(1-IF($R687="",0,$R687))*100)) + Config!$B$28*MAX(0,MIN(100,(1-MIN(1,IF(Config!$B$30=0,1,$S687/Config!$B$30)))*100)) + Config!$B$29*MAX(0,MIN(100,MIN(1,IF($T687="",0,$T687)/Config!$B$23)*100)))),MIN(100,Config!$B$27*MAX(0,MIN(100,(1-IF($R687="",0,$R687))*100)) + Config!$B$28*MAX(0,MIN(100,(1-MIN(1,IF(Config!$B$30=0,1,$S687/Config!$B$30)))*100)) + Config!$B$29*MAX(0,MIN(100,MIN(1,IF($T687="",0,$T687)/Config!$B$23)*100))))),"")
</f>
        <v/>
      </c>
      <c r="V687" s="40" t="str">
        <f>IF(Bids!$D686="","",Bids!$D686)</f>
        <v/>
      </c>
      <c r="W687" s="40" t="str">
        <f>IF(Bids!$F686="","",Bids!$F686)</f>
        <v/>
      </c>
      <c r="X687" s="40" t="str">
        <f t="shared" si="5"/>
        <v/>
      </c>
      <c r="Y687" s="40" t="str">
        <f>IF($X687="","",IF(Config!$B$17=Config!$B$16,IF($X687&gt;=Config!$B$17,100,0),MAX(0,MIN(100,($X687-Config!$B$16)/(Config!$B$17-Config!$B$16)*100))))</f>
        <v/>
      </c>
      <c r="Z687" s="40">
        <f>IF($M687="Elite",Config!$B$21,0)</f>
        <v>0</v>
      </c>
      <c r="AA687" s="40" t="str">
        <f>IFERROR(IF(OR($W687="",$H687=""),"",IF($W687&gt;$H687,
  MAX(0, 60-(($W687-$H687)*24/Config!$B$19)*60),
  MIN(100, 60+(($H687-$W687)*24/Config!$B$20)*40)
)),"")
</f>
        <v/>
      </c>
      <c r="AB687" s="40" t="str">
        <f>IF($K687="","",IFERROR(VLOOKUP($K687,Grinders!$A$4:$N$998,10,FALSE)/5*100,""))</f>
        <v/>
      </c>
      <c r="AC687" s="40" t="str">
        <f>IF($K687="","",IFERROR(VLOOKUP($K687,Grinders!$A$4:$N$998,11,FALSE)*100,""))</f>
        <v/>
      </c>
      <c r="AD687" s="40" t="str">
        <f>IF($K687="","",IFERROR(VLOOKUP($K687,Grinders!$A$4:$N$998,12,FALSE)*100,""))</f>
        <v/>
      </c>
      <c r="AE687" s="40">
        <f>IFERROR(IFS(
    OR($C687="", $K687=""), 0,
    $F687=0, 0,
    $D687&lt;&gt;"Open", 0,
    COUNTIFS(GrinderServices!$B$4:$B$998, $K687, GrinderServices!$C$4:$C$998, $E687, GrinderServices!$E$4:$E$998, "Y")=0, 0,
    $X687&lt;Config!$B$16, 0,
    Config!$B$18=1, IF($O687&gt;=N687, 0, 1),
    TRUE, 1
), "")
</f>
        <v>0</v>
      </c>
      <c r="AF687" s="40" t="str">
        <f>IFERROR(IF($AE687=0,"",((Config!$B$6*$Y687 + Config!$B$7*$U687 + Config!$B$8*$Z687 + Config!$B$9*$AA687 + Config!$B$10*$AB687 + Config!$B$11*$AC687 - Config!$B$12*$AD687)/Config!$B$13)+$AK687+$AL687),"")</f>
        <v/>
      </c>
      <c r="AG687" s="40" t="str">
        <f t="shared" si="6"/>
        <v/>
      </c>
      <c r="AH687" s="40" t="str">
        <f t="shared" si="7"/>
        <v/>
      </c>
      <c r="AI687" s="40" t="str">
        <f t="shared" si="8"/>
        <v/>
      </c>
      <c r="AJ687" s="40" t="str">
        <f>IF($K687="","",COUNTIF(Assignments!$B$6:$B$1000,$K687))</f>
        <v/>
      </c>
      <c r="AK687" s="40" t="str">
        <f>IF($K687="","",IF(AND($AJ687=0,$O687&lt;$N687),Config!$B$43,0))</f>
        <v/>
      </c>
      <c r="AL687" s="40" t="str">
        <f>IF($K687="","",IF(AND($M687="Elite",$G687&gt;=Config!$B$41,$O687&lt;$N687),Config!$B$42,0))</f>
        <v/>
      </c>
      <c r="AM687" s="22"/>
    </row>
    <row r="688" ht="15.75" customHeight="1">
      <c r="A688" s="40" t="str">
        <f t="shared" si="1"/>
        <v/>
      </c>
      <c r="B688" s="40" t="str">
        <f>IF(Bids!$A687="","",Bids!$A687)</f>
        <v/>
      </c>
      <c r="C688" s="40" t="str">
        <f>IF(Bids!$B687="","",Bids!$B687)</f>
        <v/>
      </c>
      <c r="D688" s="40" t="str">
        <f>IF($C688="","",IFERROR(VLOOKUP($C688,Orders!$A$4:$J$998,9,FALSE),""))</f>
        <v/>
      </c>
      <c r="E688" s="40" t="str">
        <f>IF($C688="","",IFERROR(VLOOKUP($C688,Orders!$A$4:$J$998,3,FALSE),""))</f>
        <v/>
      </c>
      <c r="F688" s="40">
        <f t="shared" si="2"/>
        <v>1</v>
      </c>
      <c r="G688" s="40" t="str">
        <f>IF($C688="","",IFERROR(VLOOKUP($C688,Orders!$A$4:$J$998,4,FALSE),""))</f>
        <v/>
      </c>
      <c r="H688" s="40" t="str">
        <f>IF($C688="","",IFERROR(VLOOKUP($C688,Orders!$A$4:$J$998,5,FALSE),""))</f>
        <v/>
      </c>
      <c r="I688" s="40" t="str">
        <f>IF($C688="","",IFERROR(VLOOKUP($C688,Orders!$A$4:$J$998,6,FALSE),""))</f>
        <v/>
      </c>
      <c r="J688" s="40" t="str">
        <f>IF($C688="","",IFERROR(VLOOKUP($C688,Orders!$A$4:$J$998,7,FALSE),""))</f>
        <v/>
      </c>
      <c r="K688" s="40" t="str">
        <f>IF(Bids!$C687="","",Bids!$C687)</f>
        <v/>
      </c>
      <c r="L688" s="40" t="str">
        <f>IF($K688="","",IFERROR(VLOOKUP($K688,Grinders!$A$4:$N$998,2,FALSE),""))</f>
        <v/>
      </c>
      <c r="M688" s="40" t="str">
        <f>IF($K688="","",IFERROR(VLOOKUP($K688,Grinders!$A$4:$N$998,3,FALSE),""))</f>
        <v/>
      </c>
      <c r="N688" s="40" t="str">
        <f>IF($K688="","",IFERROR(VLOOKUP($K688,Grinders!$A$4:$N$998,4,FALSE),""))</f>
        <v/>
      </c>
      <c r="O688" s="40" t="str">
        <f>IF($K688="","",IFERROR(VLOOKUP($K688,Grinders!$A$4:$N$998,5,FALSE),""))</f>
        <v/>
      </c>
      <c r="P688" s="40" t="str">
        <f>IF($K688="","",IF($C$4="",0,COUNTIFS(Assignments!$B$6:$B$1000,$K688,Assignments!$F$6:$F$1000,$C$4,Assignments!$E$6:$E$1000,"Active")))</f>
        <v/>
      </c>
      <c r="Q688" s="40" t="str">
        <f t="shared" si="3"/>
        <v/>
      </c>
      <c r="R688" s="40" t="str">
        <f t="shared" si="4"/>
        <v/>
      </c>
      <c r="S688" s="40" t="str">
        <f>IF($K688="","",IF($C$4="",0,COUNTIFS(Assignments!$B$6:$B$1000,$K688,Assignments!$F$6:$F$1000,$C$4,Assignments!$D$6:$D$1000,"&gt;="&amp;Config!$B$3-7,Assignments!$D$6:$D$1000,"&lt;="&amp;Config!$B$3)))</f>
        <v/>
      </c>
      <c r="T688" s="40" t="str">
        <f>IF($K688="","",IFERROR(VLOOKUP($K688,Grinders!$A$4:$N$998,8,FALSE),""))</f>
        <v/>
      </c>
      <c r="U688" s="40" t="str">
        <f>IFERROR(IF($K688="","",IF($M688="Elite",MAX(50,MIN(100,Config!$B$27*MAX(0,MIN(100,(1-IF($R688="",0,$R688))*100)) + Config!$B$28*MAX(0,MIN(100,(1-MIN(1,IF(Config!$B$30=0,1,$S688/Config!$B$30)))*100)) + Config!$B$29*MAX(0,MIN(100,MIN(1,IF($T688="",0,$T688)/Config!$B$23)*100)))),MIN(100,Config!$B$27*MAX(0,MIN(100,(1-IF($R688="",0,$R688))*100)) + Config!$B$28*MAX(0,MIN(100,(1-MIN(1,IF(Config!$B$30=0,1,$S688/Config!$B$30)))*100)) + Config!$B$29*MAX(0,MIN(100,MIN(1,IF($T688="",0,$T688)/Config!$B$23)*100))))),"")
</f>
        <v/>
      </c>
      <c r="V688" s="40" t="str">
        <f>IF(Bids!$D687="","",Bids!$D687)</f>
        <v/>
      </c>
      <c r="W688" s="40" t="str">
        <f>IF(Bids!$F687="","",Bids!$F687)</f>
        <v/>
      </c>
      <c r="X688" s="40" t="str">
        <f t="shared" si="5"/>
        <v/>
      </c>
      <c r="Y688" s="40" t="str">
        <f>IF($X688="","",IF(Config!$B$17=Config!$B$16,IF($X688&gt;=Config!$B$17,100,0),MAX(0,MIN(100,($X688-Config!$B$16)/(Config!$B$17-Config!$B$16)*100))))</f>
        <v/>
      </c>
      <c r="Z688" s="40">
        <f>IF($M688="Elite",Config!$B$21,0)</f>
        <v>0</v>
      </c>
      <c r="AA688" s="40" t="str">
        <f>IFERROR(IF(OR($W688="",$H688=""),"",IF($W688&gt;$H688,
  MAX(0, 60-(($W688-$H688)*24/Config!$B$19)*60),
  MIN(100, 60+(($H688-$W688)*24/Config!$B$20)*40)
)),"")
</f>
        <v/>
      </c>
      <c r="AB688" s="40" t="str">
        <f>IF($K688="","",IFERROR(VLOOKUP($K688,Grinders!$A$4:$N$998,10,FALSE)/5*100,""))</f>
        <v/>
      </c>
      <c r="AC688" s="40" t="str">
        <f>IF($K688="","",IFERROR(VLOOKUP($K688,Grinders!$A$4:$N$998,11,FALSE)*100,""))</f>
        <v/>
      </c>
      <c r="AD688" s="40" t="str">
        <f>IF($K688="","",IFERROR(VLOOKUP($K688,Grinders!$A$4:$N$998,12,FALSE)*100,""))</f>
        <v/>
      </c>
      <c r="AE688" s="40">
        <f>IFERROR(IFS(
    OR($C688="", $K688=""), 0,
    $F688=0, 0,
    $D688&lt;&gt;"Open", 0,
    COUNTIFS(GrinderServices!$B$4:$B$998, $K688, GrinderServices!$C$4:$C$998, $E688, GrinderServices!$E$4:$E$998, "Y")=0, 0,
    $X688&lt;Config!$B$16, 0,
    Config!$B$18=1, IF($O688&gt;=N688, 0, 1),
    TRUE, 1
), "")
</f>
        <v>0</v>
      </c>
      <c r="AF688" s="40" t="str">
        <f>IFERROR(IF($AE688=0,"",((Config!$B$6*$Y688 + Config!$B$7*$U688 + Config!$B$8*$Z688 + Config!$B$9*$AA688 + Config!$B$10*$AB688 + Config!$B$11*$AC688 - Config!$B$12*$AD688)/Config!$B$13)+$AK688+$AL688),"")</f>
        <v/>
      </c>
      <c r="AG688" s="40" t="str">
        <f t="shared" si="6"/>
        <v/>
      </c>
      <c r="AH688" s="40" t="str">
        <f t="shared" si="7"/>
        <v/>
      </c>
      <c r="AI688" s="40" t="str">
        <f t="shared" si="8"/>
        <v/>
      </c>
      <c r="AJ688" s="40" t="str">
        <f>IF($K688="","",COUNTIF(Assignments!$B$6:$B$1000,$K688))</f>
        <v/>
      </c>
      <c r="AK688" s="40" t="str">
        <f>IF($K688="","",IF(AND($AJ688=0,$O688&lt;$N688),Config!$B$43,0))</f>
        <v/>
      </c>
      <c r="AL688" s="40" t="str">
        <f>IF($K688="","",IF(AND($M688="Elite",$G688&gt;=Config!$B$41,$O688&lt;$N688),Config!$B$42,0))</f>
        <v/>
      </c>
      <c r="AM688" s="22"/>
    </row>
    <row r="689" ht="15.75" customHeight="1">
      <c r="A689" s="40" t="str">
        <f t="shared" si="1"/>
        <v/>
      </c>
      <c r="B689" s="40" t="str">
        <f>IF(Bids!$A688="","",Bids!$A688)</f>
        <v/>
      </c>
      <c r="C689" s="40" t="str">
        <f>IF(Bids!$B688="","",Bids!$B688)</f>
        <v/>
      </c>
      <c r="D689" s="40" t="str">
        <f>IF($C689="","",IFERROR(VLOOKUP($C689,Orders!$A$4:$J$998,9,FALSE),""))</f>
        <v/>
      </c>
      <c r="E689" s="40" t="str">
        <f>IF($C689="","",IFERROR(VLOOKUP($C689,Orders!$A$4:$J$998,3,FALSE),""))</f>
        <v/>
      </c>
      <c r="F689" s="40">
        <f t="shared" si="2"/>
        <v>1</v>
      </c>
      <c r="G689" s="40" t="str">
        <f>IF($C689="","",IFERROR(VLOOKUP($C689,Orders!$A$4:$J$998,4,FALSE),""))</f>
        <v/>
      </c>
      <c r="H689" s="40" t="str">
        <f>IF($C689="","",IFERROR(VLOOKUP($C689,Orders!$A$4:$J$998,5,FALSE),""))</f>
        <v/>
      </c>
      <c r="I689" s="40" t="str">
        <f>IF($C689="","",IFERROR(VLOOKUP($C689,Orders!$A$4:$J$998,6,FALSE),""))</f>
        <v/>
      </c>
      <c r="J689" s="40" t="str">
        <f>IF($C689="","",IFERROR(VLOOKUP($C689,Orders!$A$4:$J$998,7,FALSE),""))</f>
        <v/>
      </c>
      <c r="K689" s="40" t="str">
        <f>IF(Bids!$C688="","",Bids!$C688)</f>
        <v/>
      </c>
      <c r="L689" s="40" t="str">
        <f>IF($K689="","",IFERROR(VLOOKUP($K689,Grinders!$A$4:$N$998,2,FALSE),""))</f>
        <v/>
      </c>
      <c r="M689" s="40" t="str">
        <f>IF($K689="","",IFERROR(VLOOKUP($K689,Grinders!$A$4:$N$998,3,FALSE),""))</f>
        <v/>
      </c>
      <c r="N689" s="40" t="str">
        <f>IF($K689="","",IFERROR(VLOOKUP($K689,Grinders!$A$4:$N$998,4,FALSE),""))</f>
        <v/>
      </c>
      <c r="O689" s="40" t="str">
        <f>IF($K689="","",IFERROR(VLOOKUP($K689,Grinders!$A$4:$N$998,5,FALSE),""))</f>
        <v/>
      </c>
      <c r="P689" s="40" t="str">
        <f>IF($K689="","",IF($C$4="",0,COUNTIFS(Assignments!$B$6:$B$1000,$K689,Assignments!$F$6:$F$1000,$C$4,Assignments!$E$6:$E$1000,"Active")))</f>
        <v/>
      </c>
      <c r="Q689" s="40" t="str">
        <f t="shared" si="3"/>
        <v/>
      </c>
      <c r="R689" s="40" t="str">
        <f t="shared" si="4"/>
        <v/>
      </c>
      <c r="S689" s="40" t="str">
        <f>IF($K689="","",IF($C$4="",0,COUNTIFS(Assignments!$B$6:$B$1000,$K689,Assignments!$F$6:$F$1000,$C$4,Assignments!$D$6:$D$1000,"&gt;="&amp;Config!$B$3-7,Assignments!$D$6:$D$1000,"&lt;="&amp;Config!$B$3)))</f>
        <v/>
      </c>
      <c r="T689" s="40" t="str">
        <f>IF($K689="","",IFERROR(VLOOKUP($K689,Grinders!$A$4:$N$998,8,FALSE),""))</f>
        <v/>
      </c>
      <c r="U689" s="40" t="str">
        <f>IFERROR(IF($K689="","",IF($M689="Elite",MAX(50,MIN(100,Config!$B$27*MAX(0,MIN(100,(1-IF($R689="",0,$R689))*100)) + Config!$B$28*MAX(0,MIN(100,(1-MIN(1,IF(Config!$B$30=0,1,$S689/Config!$B$30)))*100)) + Config!$B$29*MAX(0,MIN(100,MIN(1,IF($T689="",0,$T689)/Config!$B$23)*100)))),MIN(100,Config!$B$27*MAX(0,MIN(100,(1-IF($R689="",0,$R689))*100)) + Config!$B$28*MAX(0,MIN(100,(1-MIN(1,IF(Config!$B$30=0,1,$S689/Config!$B$30)))*100)) + Config!$B$29*MAX(0,MIN(100,MIN(1,IF($T689="",0,$T689)/Config!$B$23)*100))))),"")
</f>
        <v/>
      </c>
      <c r="V689" s="40" t="str">
        <f>IF(Bids!$D688="","",Bids!$D688)</f>
        <v/>
      </c>
      <c r="W689" s="40" t="str">
        <f>IF(Bids!$F688="","",Bids!$F688)</f>
        <v/>
      </c>
      <c r="X689" s="40" t="str">
        <f t="shared" si="5"/>
        <v/>
      </c>
      <c r="Y689" s="40" t="str">
        <f>IF($X689="","",IF(Config!$B$17=Config!$B$16,IF($X689&gt;=Config!$B$17,100,0),MAX(0,MIN(100,($X689-Config!$B$16)/(Config!$B$17-Config!$B$16)*100))))</f>
        <v/>
      </c>
      <c r="Z689" s="40">
        <f>IF($M689="Elite",Config!$B$21,0)</f>
        <v>0</v>
      </c>
      <c r="AA689" s="40" t="str">
        <f>IFERROR(IF(OR($W689="",$H689=""),"",IF($W689&gt;$H689,
  MAX(0, 60-(($W689-$H689)*24/Config!$B$19)*60),
  MIN(100, 60+(($H689-$W689)*24/Config!$B$20)*40)
)),"")
</f>
        <v/>
      </c>
      <c r="AB689" s="40" t="str">
        <f>IF($K689="","",IFERROR(VLOOKUP($K689,Grinders!$A$4:$N$998,10,FALSE)/5*100,""))</f>
        <v/>
      </c>
      <c r="AC689" s="40" t="str">
        <f>IF($K689="","",IFERROR(VLOOKUP($K689,Grinders!$A$4:$N$998,11,FALSE)*100,""))</f>
        <v/>
      </c>
      <c r="AD689" s="40" t="str">
        <f>IF($K689="","",IFERROR(VLOOKUP($K689,Grinders!$A$4:$N$998,12,FALSE)*100,""))</f>
        <v/>
      </c>
      <c r="AE689" s="40">
        <f>IFERROR(IFS(
    OR($C689="", $K689=""), 0,
    $F689=0, 0,
    $D689&lt;&gt;"Open", 0,
    COUNTIFS(GrinderServices!$B$4:$B$998, $K689, GrinderServices!$C$4:$C$998, $E689, GrinderServices!$E$4:$E$998, "Y")=0, 0,
    $X689&lt;Config!$B$16, 0,
    Config!$B$18=1, IF($O689&gt;=N689, 0, 1),
    TRUE, 1
), "")
</f>
        <v>0</v>
      </c>
      <c r="AF689" s="40" t="str">
        <f>IFERROR(IF($AE689=0,"",((Config!$B$6*$Y689 + Config!$B$7*$U689 + Config!$B$8*$Z689 + Config!$B$9*$AA689 + Config!$B$10*$AB689 + Config!$B$11*$AC689 - Config!$B$12*$AD689)/Config!$B$13)+$AK689+$AL689),"")</f>
        <v/>
      </c>
      <c r="AG689" s="40" t="str">
        <f t="shared" si="6"/>
        <v/>
      </c>
      <c r="AH689" s="40" t="str">
        <f t="shared" si="7"/>
        <v/>
      </c>
      <c r="AI689" s="40" t="str">
        <f t="shared" si="8"/>
        <v/>
      </c>
      <c r="AJ689" s="40" t="str">
        <f>IF($K689="","",COUNTIF(Assignments!$B$6:$B$1000,$K689))</f>
        <v/>
      </c>
      <c r="AK689" s="40" t="str">
        <f>IF($K689="","",IF(AND($AJ689=0,$O689&lt;$N689),Config!$B$43,0))</f>
        <v/>
      </c>
      <c r="AL689" s="40" t="str">
        <f>IF($K689="","",IF(AND($M689="Elite",$G689&gt;=Config!$B$41,$O689&lt;$N689),Config!$B$42,0))</f>
        <v/>
      </c>
      <c r="AM689" s="22"/>
    </row>
    <row r="690" ht="15.75" customHeight="1">
      <c r="A690" s="40" t="str">
        <f t="shared" si="1"/>
        <v/>
      </c>
      <c r="B690" s="40" t="str">
        <f>IF(Bids!$A689="","",Bids!$A689)</f>
        <v/>
      </c>
      <c r="C690" s="40" t="str">
        <f>IF(Bids!$B689="","",Bids!$B689)</f>
        <v/>
      </c>
      <c r="D690" s="40" t="str">
        <f>IF($C690="","",IFERROR(VLOOKUP($C690,Orders!$A$4:$J$998,9,FALSE),""))</f>
        <v/>
      </c>
      <c r="E690" s="40" t="str">
        <f>IF($C690="","",IFERROR(VLOOKUP($C690,Orders!$A$4:$J$998,3,FALSE),""))</f>
        <v/>
      </c>
      <c r="F690" s="40">
        <f t="shared" si="2"/>
        <v>1</v>
      </c>
      <c r="G690" s="40" t="str">
        <f>IF($C690="","",IFERROR(VLOOKUP($C690,Orders!$A$4:$J$998,4,FALSE),""))</f>
        <v/>
      </c>
      <c r="H690" s="40" t="str">
        <f>IF($C690="","",IFERROR(VLOOKUP($C690,Orders!$A$4:$J$998,5,FALSE),""))</f>
        <v/>
      </c>
      <c r="I690" s="40" t="str">
        <f>IF($C690="","",IFERROR(VLOOKUP($C690,Orders!$A$4:$J$998,6,FALSE),""))</f>
        <v/>
      </c>
      <c r="J690" s="40" t="str">
        <f>IF($C690="","",IFERROR(VLOOKUP($C690,Orders!$A$4:$J$998,7,FALSE),""))</f>
        <v/>
      </c>
      <c r="K690" s="40" t="str">
        <f>IF(Bids!$C689="","",Bids!$C689)</f>
        <v/>
      </c>
      <c r="L690" s="40" t="str">
        <f>IF($K690="","",IFERROR(VLOOKUP($K690,Grinders!$A$4:$N$998,2,FALSE),""))</f>
        <v/>
      </c>
      <c r="M690" s="40" t="str">
        <f>IF($K690="","",IFERROR(VLOOKUP($K690,Grinders!$A$4:$N$998,3,FALSE),""))</f>
        <v/>
      </c>
      <c r="N690" s="40" t="str">
        <f>IF($K690="","",IFERROR(VLOOKUP($K690,Grinders!$A$4:$N$998,4,FALSE),""))</f>
        <v/>
      </c>
      <c r="O690" s="40" t="str">
        <f>IF($K690="","",IFERROR(VLOOKUP($K690,Grinders!$A$4:$N$998,5,FALSE),""))</f>
        <v/>
      </c>
      <c r="P690" s="40" t="str">
        <f>IF($K690="","",IF($C$4="",0,COUNTIFS(Assignments!$B$6:$B$1000,$K690,Assignments!$F$6:$F$1000,$C$4,Assignments!$E$6:$E$1000,"Active")))</f>
        <v/>
      </c>
      <c r="Q690" s="40" t="str">
        <f t="shared" si="3"/>
        <v/>
      </c>
      <c r="R690" s="40" t="str">
        <f t="shared" si="4"/>
        <v/>
      </c>
      <c r="S690" s="40" t="str">
        <f>IF($K690="","",IF($C$4="",0,COUNTIFS(Assignments!$B$6:$B$1000,$K690,Assignments!$F$6:$F$1000,$C$4,Assignments!$D$6:$D$1000,"&gt;="&amp;Config!$B$3-7,Assignments!$D$6:$D$1000,"&lt;="&amp;Config!$B$3)))</f>
        <v/>
      </c>
      <c r="T690" s="40" t="str">
        <f>IF($K690="","",IFERROR(VLOOKUP($K690,Grinders!$A$4:$N$998,8,FALSE),""))</f>
        <v/>
      </c>
      <c r="U690" s="40" t="str">
        <f>IFERROR(IF($K690="","",IF($M690="Elite",MAX(50,MIN(100,Config!$B$27*MAX(0,MIN(100,(1-IF($R690="",0,$R690))*100)) + Config!$B$28*MAX(0,MIN(100,(1-MIN(1,IF(Config!$B$30=0,1,$S690/Config!$B$30)))*100)) + Config!$B$29*MAX(0,MIN(100,MIN(1,IF($T690="",0,$T690)/Config!$B$23)*100)))),MIN(100,Config!$B$27*MAX(0,MIN(100,(1-IF($R690="",0,$R690))*100)) + Config!$B$28*MAX(0,MIN(100,(1-MIN(1,IF(Config!$B$30=0,1,$S690/Config!$B$30)))*100)) + Config!$B$29*MAX(0,MIN(100,MIN(1,IF($T690="",0,$T690)/Config!$B$23)*100))))),"")
</f>
        <v/>
      </c>
      <c r="V690" s="40" t="str">
        <f>IF(Bids!$D689="","",Bids!$D689)</f>
        <v/>
      </c>
      <c r="W690" s="40" t="str">
        <f>IF(Bids!$F689="","",Bids!$F689)</f>
        <v/>
      </c>
      <c r="X690" s="40" t="str">
        <f t="shared" si="5"/>
        <v/>
      </c>
      <c r="Y690" s="40" t="str">
        <f>IF($X690="","",IF(Config!$B$17=Config!$B$16,IF($X690&gt;=Config!$B$17,100,0),MAX(0,MIN(100,($X690-Config!$B$16)/(Config!$B$17-Config!$B$16)*100))))</f>
        <v/>
      </c>
      <c r="Z690" s="40">
        <f>IF($M690="Elite",Config!$B$21,0)</f>
        <v>0</v>
      </c>
      <c r="AA690" s="40" t="str">
        <f>IFERROR(IF(OR($W690="",$H690=""),"",IF($W690&gt;$H690,
  MAX(0, 60-(($W690-$H690)*24/Config!$B$19)*60),
  MIN(100, 60+(($H690-$W690)*24/Config!$B$20)*40)
)),"")
</f>
        <v/>
      </c>
      <c r="AB690" s="40" t="str">
        <f>IF($K690="","",IFERROR(VLOOKUP($K690,Grinders!$A$4:$N$998,10,FALSE)/5*100,""))</f>
        <v/>
      </c>
      <c r="AC690" s="40" t="str">
        <f>IF($K690="","",IFERROR(VLOOKUP($K690,Grinders!$A$4:$N$998,11,FALSE)*100,""))</f>
        <v/>
      </c>
      <c r="AD690" s="40" t="str">
        <f>IF($K690="","",IFERROR(VLOOKUP($K690,Grinders!$A$4:$N$998,12,FALSE)*100,""))</f>
        <v/>
      </c>
      <c r="AE690" s="40">
        <f>IFERROR(IFS(
    OR($C690="", $K690=""), 0,
    $F690=0, 0,
    $D690&lt;&gt;"Open", 0,
    COUNTIFS(GrinderServices!$B$4:$B$998, $K690, GrinderServices!$C$4:$C$998, $E690, GrinderServices!$E$4:$E$998, "Y")=0, 0,
    $X690&lt;Config!$B$16, 0,
    Config!$B$18=1, IF($O690&gt;=N690, 0, 1),
    TRUE, 1
), "")
</f>
        <v>0</v>
      </c>
      <c r="AF690" s="40" t="str">
        <f>IFERROR(IF($AE690=0,"",((Config!$B$6*$Y690 + Config!$B$7*$U690 + Config!$B$8*$Z690 + Config!$B$9*$AA690 + Config!$B$10*$AB690 + Config!$B$11*$AC690 - Config!$B$12*$AD690)/Config!$B$13)+$AK690+$AL690),"")</f>
        <v/>
      </c>
      <c r="AG690" s="40" t="str">
        <f t="shared" si="6"/>
        <v/>
      </c>
      <c r="AH690" s="40" t="str">
        <f t="shared" si="7"/>
        <v/>
      </c>
      <c r="AI690" s="40" t="str">
        <f t="shared" si="8"/>
        <v/>
      </c>
      <c r="AJ690" s="40" t="str">
        <f>IF($K690="","",COUNTIF(Assignments!$B$6:$B$1000,$K690))</f>
        <v/>
      </c>
      <c r="AK690" s="40" t="str">
        <f>IF($K690="","",IF(AND($AJ690=0,$O690&lt;$N690),Config!$B$43,0))</f>
        <v/>
      </c>
      <c r="AL690" s="40" t="str">
        <f>IF($K690="","",IF(AND($M690="Elite",$G690&gt;=Config!$B$41,$O690&lt;$N690),Config!$B$42,0))</f>
        <v/>
      </c>
      <c r="AM690" s="22"/>
    </row>
    <row r="691" ht="15.75" customHeight="1">
      <c r="A691" s="40" t="str">
        <f t="shared" si="1"/>
        <v/>
      </c>
      <c r="B691" s="40" t="str">
        <f>IF(Bids!$A690="","",Bids!$A690)</f>
        <v/>
      </c>
      <c r="C691" s="40" t="str">
        <f>IF(Bids!$B690="","",Bids!$B690)</f>
        <v/>
      </c>
      <c r="D691" s="40" t="str">
        <f>IF($C691="","",IFERROR(VLOOKUP($C691,Orders!$A$4:$J$998,9,FALSE),""))</f>
        <v/>
      </c>
      <c r="E691" s="40" t="str">
        <f>IF($C691="","",IFERROR(VLOOKUP($C691,Orders!$A$4:$J$998,3,FALSE),""))</f>
        <v/>
      </c>
      <c r="F691" s="40">
        <f t="shared" si="2"/>
        <v>1</v>
      </c>
      <c r="G691" s="40" t="str">
        <f>IF($C691="","",IFERROR(VLOOKUP($C691,Orders!$A$4:$J$998,4,FALSE),""))</f>
        <v/>
      </c>
      <c r="H691" s="40" t="str">
        <f>IF($C691="","",IFERROR(VLOOKUP($C691,Orders!$A$4:$J$998,5,FALSE),""))</f>
        <v/>
      </c>
      <c r="I691" s="40" t="str">
        <f>IF($C691="","",IFERROR(VLOOKUP($C691,Orders!$A$4:$J$998,6,FALSE),""))</f>
        <v/>
      </c>
      <c r="J691" s="40" t="str">
        <f>IF($C691="","",IFERROR(VLOOKUP($C691,Orders!$A$4:$J$998,7,FALSE),""))</f>
        <v/>
      </c>
      <c r="K691" s="40" t="str">
        <f>IF(Bids!$C690="","",Bids!$C690)</f>
        <v/>
      </c>
      <c r="L691" s="40" t="str">
        <f>IF($K691="","",IFERROR(VLOOKUP($K691,Grinders!$A$4:$N$998,2,FALSE),""))</f>
        <v/>
      </c>
      <c r="M691" s="40" t="str">
        <f>IF($K691="","",IFERROR(VLOOKUP($K691,Grinders!$A$4:$N$998,3,FALSE),""))</f>
        <v/>
      </c>
      <c r="N691" s="40" t="str">
        <f>IF($K691="","",IFERROR(VLOOKUP($K691,Grinders!$A$4:$N$998,4,FALSE),""))</f>
        <v/>
      </c>
      <c r="O691" s="40" t="str">
        <f>IF($K691="","",IFERROR(VLOOKUP($K691,Grinders!$A$4:$N$998,5,FALSE),""))</f>
        <v/>
      </c>
      <c r="P691" s="40" t="str">
        <f>IF($K691="","",IF($C$4="",0,COUNTIFS(Assignments!$B$6:$B$1000,$K691,Assignments!$F$6:$F$1000,$C$4,Assignments!$E$6:$E$1000,"Active")))</f>
        <v/>
      </c>
      <c r="Q691" s="40" t="str">
        <f t="shared" si="3"/>
        <v/>
      </c>
      <c r="R691" s="40" t="str">
        <f t="shared" si="4"/>
        <v/>
      </c>
      <c r="S691" s="40" t="str">
        <f>IF($K691="","",IF($C$4="",0,COUNTIFS(Assignments!$B$6:$B$1000,$K691,Assignments!$F$6:$F$1000,$C$4,Assignments!$D$6:$D$1000,"&gt;="&amp;Config!$B$3-7,Assignments!$D$6:$D$1000,"&lt;="&amp;Config!$B$3)))</f>
        <v/>
      </c>
      <c r="T691" s="40" t="str">
        <f>IF($K691="","",IFERROR(VLOOKUP($K691,Grinders!$A$4:$N$998,8,FALSE),""))</f>
        <v/>
      </c>
      <c r="U691" s="40" t="str">
        <f>IFERROR(IF($K691="","",IF($M691="Elite",MAX(50,MIN(100,Config!$B$27*MAX(0,MIN(100,(1-IF($R691="",0,$R691))*100)) + Config!$B$28*MAX(0,MIN(100,(1-MIN(1,IF(Config!$B$30=0,1,$S691/Config!$B$30)))*100)) + Config!$B$29*MAX(0,MIN(100,MIN(1,IF($T691="",0,$T691)/Config!$B$23)*100)))),MIN(100,Config!$B$27*MAX(0,MIN(100,(1-IF($R691="",0,$R691))*100)) + Config!$B$28*MAX(0,MIN(100,(1-MIN(1,IF(Config!$B$30=0,1,$S691/Config!$B$30)))*100)) + Config!$B$29*MAX(0,MIN(100,MIN(1,IF($T691="",0,$T691)/Config!$B$23)*100))))),"")
</f>
        <v/>
      </c>
      <c r="V691" s="40" t="str">
        <f>IF(Bids!$D690="","",Bids!$D690)</f>
        <v/>
      </c>
      <c r="W691" s="40" t="str">
        <f>IF(Bids!$F690="","",Bids!$F690)</f>
        <v/>
      </c>
      <c r="X691" s="40" t="str">
        <f t="shared" si="5"/>
        <v/>
      </c>
      <c r="Y691" s="40" t="str">
        <f>IF($X691="","",IF(Config!$B$17=Config!$B$16,IF($X691&gt;=Config!$B$17,100,0),MAX(0,MIN(100,($X691-Config!$B$16)/(Config!$B$17-Config!$B$16)*100))))</f>
        <v/>
      </c>
      <c r="Z691" s="40">
        <f>IF($M691="Elite",Config!$B$21,0)</f>
        <v>0</v>
      </c>
      <c r="AA691" s="40" t="str">
        <f>IFERROR(IF(OR($W691="",$H691=""),"",IF($W691&gt;$H691,
  MAX(0, 60-(($W691-$H691)*24/Config!$B$19)*60),
  MIN(100, 60+(($H691-$W691)*24/Config!$B$20)*40)
)),"")
</f>
        <v/>
      </c>
      <c r="AB691" s="40" t="str">
        <f>IF($K691="","",IFERROR(VLOOKUP($K691,Grinders!$A$4:$N$998,10,FALSE)/5*100,""))</f>
        <v/>
      </c>
      <c r="AC691" s="40" t="str">
        <f>IF($K691="","",IFERROR(VLOOKUP($K691,Grinders!$A$4:$N$998,11,FALSE)*100,""))</f>
        <v/>
      </c>
      <c r="AD691" s="40" t="str">
        <f>IF($K691="","",IFERROR(VLOOKUP($K691,Grinders!$A$4:$N$998,12,FALSE)*100,""))</f>
        <v/>
      </c>
      <c r="AE691" s="40">
        <f>IFERROR(IFS(
    OR($C691="", $K691=""), 0,
    $F691=0, 0,
    $D691&lt;&gt;"Open", 0,
    COUNTIFS(GrinderServices!$B$4:$B$998, $K691, GrinderServices!$C$4:$C$998, $E691, GrinderServices!$E$4:$E$998, "Y")=0, 0,
    $X691&lt;Config!$B$16, 0,
    Config!$B$18=1, IF($O691&gt;=N691, 0, 1),
    TRUE, 1
), "")
</f>
        <v>0</v>
      </c>
      <c r="AF691" s="40" t="str">
        <f>IFERROR(IF($AE691=0,"",((Config!$B$6*$Y691 + Config!$B$7*$U691 + Config!$B$8*$Z691 + Config!$B$9*$AA691 + Config!$B$10*$AB691 + Config!$B$11*$AC691 - Config!$B$12*$AD691)/Config!$B$13)+$AK691+$AL691),"")</f>
        <v/>
      </c>
      <c r="AG691" s="40" t="str">
        <f t="shared" si="6"/>
        <v/>
      </c>
      <c r="AH691" s="40" t="str">
        <f t="shared" si="7"/>
        <v/>
      </c>
      <c r="AI691" s="40" t="str">
        <f t="shared" si="8"/>
        <v/>
      </c>
      <c r="AJ691" s="40" t="str">
        <f>IF($K691="","",COUNTIF(Assignments!$B$6:$B$1000,$K691))</f>
        <v/>
      </c>
      <c r="AK691" s="40" t="str">
        <f>IF($K691="","",IF(AND($AJ691=0,$O691&lt;$N691),Config!$B$43,0))</f>
        <v/>
      </c>
      <c r="AL691" s="40" t="str">
        <f>IF($K691="","",IF(AND($M691="Elite",$G691&gt;=Config!$B$41,$O691&lt;$N691),Config!$B$42,0))</f>
        <v/>
      </c>
      <c r="AM691" s="22"/>
    </row>
    <row r="692" ht="15.75" customHeight="1">
      <c r="A692" s="40" t="str">
        <f t="shared" si="1"/>
        <v/>
      </c>
      <c r="B692" s="40" t="str">
        <f>IF(Bids!$A691="","",Bids!$A691)</f>
        <v/>
      </c>
      <c r="C692" s="40" t="str">
        <f>IF(Bids!$B691="","",Bids!$B691)</f>
        <v/>
      </c>
      <c r="D692" s="40" t="str">
        <f>IF($C692="","",IFERROR(VLOOKUP($C692,Orders!$A$4:$J$998,9,FALSE),""))</f>
        <v/>
      </c>
      <c r="E692" s="40" t="str">
        <f>IF($C692="","",IFERROR(VLOOKUP($C692,Orders!$A$4:$J$998,3,FALSE),""))</f>
        <v/>
      </c>
      <c r="F692" s="40">
        <f t="shared" si="2"/>
        <v>1</v>
      </c>
      <c r="G692" s="40" t="str">
        <f>IF($C692="","",IFERROR(VLOOKUP($C692,Orders!$A$4:$J$998,4,FALSE),""))</f>
        <v/>
      </c>
      <c r="H692" s="40" t="str">
        <f>IF($C692="","",IFERROR(VLOOKUP($C692,Orders!$A$4:$J$998,5,FALSE),""))</f>
        <v/>
      </c>
      <c r="I692" s="40" t="str">
        <f>IF($C692="","",IFERROR(VLOOKUP($C692,Orders!$A$4:$J$998,6,FALSE),""))</f>
        <v/>
      </c>
      <c r="J692" s="40" t="str">
        <f>IF($C692="","",IFERROR(VLOOKUP($C692,Orders!$A$4:$J$998,7,FALSE),""))</f>
        <v/>
      </c>
      <c r="K692" s="40" t="str">
        <f>IF(Bids!$C691="","",Bids!$C691)</f>
        <v/>
      </c>
      <c r="L692" s="40" t="str">
        <f>IF($K692="","",IFERROR(VLOOKUP($K692,Grinders!$A$4:$N$998,2,FALSE),""))</f>
        <v/>
      </c>
      <c r="M692" s="40" t="str">
        <f>IF($K692="","",IFERROR(VLOOKUP($K692,Grinders!$A$4:$N$998,3,FALSE),""))</f>
        <v/>
      </c>
      <c r="N692" s="40" t="str">
        <f>IF($K692="","",IFERROR(VLOOKUP($K692,Grinders!$A$4:$N$998,4,FALSE),""))</f>
        <v/>
      </c>
      <c r="O692" s="40" t="str">
        <f>IF($K692="","",IFERROR(VLOOKUP($K692,Grinders!$A$4:$N$998,5,FALSE),""))</f>
        <v/>
      </c>
      <c r="P692" s="40" t="str">
        <f>IF($K692="","",IF($C$4="",0,COUNTIFS(Assignments!$B$6:$B$1000,$K692,Assignments!$F$6:$F$1000,$C$4,Assignments!$E$6:$E$1000,"Active")))</f>
        <v/>
      </c>
      <c r="Q692" s="40" t="str">
        <f t="shared" si="3"/>
        <v/>
      </c>
      <c r="R692" s="40" t="str">
        <f t="shared" si="4"/>
        <v/>
      </c>
      <c r="S692" s="40" t="str">
        <f>IF($K692="","",IF($C$4="",0,COUNTIFS(Assignments!$B$6:$B$1000,$K692,Assignments!$F$6:$F$1000,$C$4,Assignments!$D$6:$D$1000,"&gt;="&amp;Config!$B$3-7,Assignments!$D$6:$D$1000,"&lt;="&amp;Config!$B$3)))</f>
        <v/>
      </c>
      <c r="T692" s="40" t="str">
        <f>IF($K692="","",IFERROR(VLOOKUP($K692,Grinders!$A$4:$N$998,8,FALSE),""))</f>
        <v/>
      </c>
      <c r="U692" s="40" t="str">
        <f>IFERROR(IF($K692="","",IF($M692="Elite",MAX(50,MIN(100,Config!$B$27*MAX(0,MIN(100,(1-IF($R692="",0,$R692))*100)) + Config!$B$28*MAX(0,MIN(100,(1-MIN(1,IF(Config!$B$30=0,1,$S692/Config!$B$30)))*100)) + Config!$B$29*MAX(0,MIN(100,MIN(1,IF($T692="",0,$T692)/Config!$B$23)*100)))),MIN(100,Config!$B$27*MAX(0,MIN(100,(1-IF($R692="",0,$R692))*100)) + Config!$B$28*MAX(0,MIN(100,(1-MIN(1,IF(Config!$B$30=0,1,$S692/Config!$B$30)))*100)) + Config!$B$29*MAX(0,MIN(100,MIN(1,IF($T692="",0,$T692)/Config!$B$23)*100))))),"")
</f>
        <v/>
      </c>
      <c r="V692" s="40" t="str">
        <f>IF(Bids!$D691="","",Bids!$D691)</f>
        <v/>
      </c>
      <c r="W692" s="40" t="str">
        <f>IF(Bids!$F691="","",Bids!$F691)</f>
        <v/>
      </c>
      <c r="X692" s="40" t="str">
        <f t="shared" si="5"/>
        <v/>
      </c>
      <c r="Y692" s="40" t="str">
        <f>IF($X692="","",IF(Config!$B$17=Config!$B$16,IF($X692&gt;=Config!$B$17,100,0),MAX(0,MIN(100,($X692-Config!$B$16)/(Config!$B$17-Config!$B$16)*100))))</f>
        <v/>
      </c>
      <c r="Z692" s="40">
        <f>IF($M692="Elite",Config!$B$21,0)</f>
        <v>0</v>
      </c>
      <c r="AA692" s="40" t="str">
        <f>IFERROR(IF(OR($W692="",$H692=""),"",IF($W692&gt;$H692,
  MAX(0, 60-(($W692-$H692)*24/Config!$B$19)*60),
  MIN(100, 60+(($H692-$W692)*24/Config!$B$20)*40)
)),"")
</f>
        <v/>
      </c>
      <c r="AB692" s="40" t="str">
        <f>IF($K692="","",IFERROR(VLOOKUP($K692,Grinders!$A$4:$N$998,10,FALSE)/5*100,""))</f>
        <v/>
      </c>
      <c r="AC692" s="40" t="str">
        <f>IF($K692="","",IFERROR(VLOOKUP($K692,Grinders!$A$4:$N$998,11,FALSE)*100,""))</f>
        <v/>
      </c>
      <c r="AD692" s="40" t="str">
        <f>IF($K692="","",IFERROR(VLOOKUP($K692,Grinders!$A$4:$N$998,12,FALSE)*100,""))</f>
        <v/>
      </c>
      <c r="AE692" s="40">
        <f>IFERROR(IFS(
    OR($C692="", $K692=""), 0,
    $F692=0, 0,
    $D692&lt;&gt;"Open", 0,
    COUNTIFS(GrinderServices!$B$4:$B$998, $K692, GrinderServices!$C$4:$C$998, $E692, GrinderServices!$E$4:$E$998, "Y")=0, 0,
    $X692&lt;Config!$B$16, 0,
    Config!$B$18=1, IF($O692&gt;=N692, 0, 1),
    TRUE, 1
), "")
</f>
        <v>0</v>
      </c>
      <c r="AF692" s="40" t="str">
        <f>IFERROR(IF($AE692=0,"",((Config!$B$6*$Y692 + Config!$B$7*$U692 + Config!$B$8*$Z692 + Config!$B$9*$AA692 + Config!$B$10*$AB692 + Config!$B$11*$AC692 - Config!$B$12*$AD692)/Config!$B$13)+$AK692+$AL692),"")</f>
        <v/>
      </c>
      <c r="AG692" s="40" t="str">
        <f t="shared" si="6"/>
        <v/>
      </c>
      <c r="AH692" s="40" t="str">
        <f t="shared" si="7"/>
        <v/>
      </c>
      <c r="AI692" s="40" t="str">
        <f t="shared" si="8"/>
        <v/>
      </c>
      <c r="AJ692" s="40" t="str">
        <f>IF($K692="","",COUNTIF(Assignments!$B$6:$B$1000,$K692))</f>
        <v/>
      </c>
      <c r="AK692" s="40" t="str">
        <f>IF($K692="","",IF(AND($AJ692=0,$O692&lt;$N692),Config!$B$43,0))</f>
        <v/>
      </c>
      <c r="AL692" s="40" t="str">
        <f>IF($K692="","",IF(AND($M692="Elite",$G692&gt;=Config!$B$41,$O692&lt;$N692),Config!$B$42,0))</f>
        <v/>
      </c>
      <c r="AM692" s="22"/>
    </row>
    <row r="693" ht="15.75" customHeight="1">
      <c r="A693" s="40" t="str">
        <f t="shared" si="1"/>
        <v/>
      </c>
      <c r="B693" s="40" t="str">
        <f>IF(Bids!$A692="","",Bids!$A692)</f>
        <v/>
      </c>
      <c r="C693" s="40" t="str">
        <f>IF(Bids!$B692="","",Bids!$B692)</f>
        <v/>
      </c>
      <c r="D693" s="40" t="str">
        <f>IF($C693="","",IFERROR(VLOOKUP($C693,Orders!$A$4:$J$998,9,FALSE),""))</f>
        <v/>
      </c>
      <c r="E693" s="40" t="str">
        <f>IF($C693="","",IFERROR(VLOOKUP($C693,Orders!$A$4:$J$998,3,FALSE),""))</f>
        <v/>
      </c>
      <c r="F693" s="40">
        <f t="shared" si="2"/>
        <v>1</v>
      </c>
      <c r="G693" s="40" t="str">
        <f>IF($C693="","",IFERROR(VLOOKUP($C693,Orders!$A$4:$J$998,4,FALSE),""))</f>
        <v/>
      </c>
      <c r="H693" s="40" t="str">
        <f>IF($C693="","",IFERROR(VLOOKUP($C693,Orders!$A$4:$J$998,5,FALSE),""))</f>
        <v/>
      </c>
      <c r="I693" s="40" t="str">
        <f>IF($C693="","",IFERROR(VLOOKUP($C693,Orders!$A$4:$J$998,6,FALSE),""))</f>
        <v/>
      </c>
      <c r="J693" s="40" t="str">
        <f>IF($C693="","",IFERROR(VLOOKUP($C693,Orders!$A$4:$J$998,7,FALSE),""))</f>
        <v/>
      </c>
      <c r="K693" s="40" t="str">
        <f>IF(Bids!$C692="","",Bids!$C692)</f>
        <v/>
      </c>
      <c r="L693" s="40" t="str">
        <f>IF($K693="","",IFERROR(VLOOKUP($K693,Grinders!$A$4:$N$998,2,FALSE),""))</f>
        <v/>
      </c>
      <c r="M693" s="40" t="str">
        <f>IF($K693="","",IFERROR(VLOOKUP($K693,Grinders!$A$4:$N$998,3,FALSE),""))</f>
        <v/>
      </c>
      <c r="N693" s="40" t="str">
        <f>IF($K693="","",IFERROR(VLOOKUP($K693,Grinders!$A$4:$N$998,4,FALSE),""))</f>
        <v/>
      </c>
      <c r="O693" s="40" t="str">
        <f>IF($K693="","",IFERROR(VLOOKUP($K693,Grinders!$A$4:$N$998,5,FALSE),""))</f>
        <v/>
      </c>
      <c r="P693" s="40" t="str">
        <f>IF($K693="","",IF($C$4="",0,COUNTIFS(Assignments!$B$6:$B$1000,$K693,Assignments!$F$6:$F$1000,$C$4,Assignments!$E$6:$E$1000,"Active")))</f>
        <v/>
      </c>
      <c r="Q693" s="40" t="str">
        <f t="shared" si="3"/>
        <v/>
      </c>
      <c r="R693" s="40" t="str">
        <f t="shared" si="4"/>
        <v/>
      </c>
      <c r="S693" s="40" t="str">
        <f>IF($K693="","",IF($C$4="",0,COUNTIFS(Assignments!$B$6:$B$1000,$K693,Assignments!$F$6:$F$1000,$C$4,Assignments!$D$6:$D$1000,"&gt;="&amp;Config!$B$3-7,Assignments!$D$6:$D$1000,"&lt;="&amp;Config!$B$3)))</f>
        <v/>
      </c>
      <c r="T693" s="40" t="str">
        <f>IF($K693="","",IFERROR(VLOOKUP($K693,Grinders!$A$4:$N$998,8,FALSE),""))</f>
        <v/>
      </c>
      <c r="U693" s="40" t="str">
        <f>IFERROR(IF($K693="","",IF($M693="Elite",MAX(50,MIN(100,Config!$B$27*MAX(0,MIN(100,(1-IF($R693="",0,$R693))*100)) + Config!$B$28*MAX(0,MIN(100,(1-MIN(1,IF(Config!$B$30=0,1,$S693/Config!$B$30)))*100)) + Config!$B$29*MAX(0,MIN(100,MIN(1,IF($T693="",0,$T693)/Config!$B$23)*100)))),MIN(100,Config!$B$27*MAX(0,MIN(100,(1-IF($R693="",0,$R693))*100)) + Config!$B$28*MAX(0,MIN(100,(1-MIN(1,IF(Config!$B$30=0,1,$S693/Config!$B$30)))*100)) + Config!$B$29*MAX(0,MIN(100,MIN(1,IF($T693="",0,$T693)/Config!$B$23)*100))))),"")
</f>
        <v/>
      </c>
      <c r="V693" s="40" t="str">
        <f>IF(Bids!$D692="","",Bids!$D692)</f>
        <v/>
      </c>
      <c r="W693" s="40" t="str">
        <f>IF(Bids!$F692="","",Bids!$F692)</f>
        <v/>
      </c>
      <c r="X693" s="40" t="str">
        <f t="shared" si="5"/>
        <v/>
      </c>
      <c r="Y693" s="40" t="str">
        <f>IF($X693="","",IF(Config!$B$17=Config!$B$16,IF($X693&gt;=Config!$B$17,100,0),MAX(0,MIN(100,($X693-Config!$B$16)/(Config!$B$17-Config!$B$16)*100))))</f>
        <v/>
      </c>
      <c r="Z693" s="40">
        <f>IF($M693="Elite",Config!$B$21,0)</f>
        <v>0</v>
      </c>
      <c r="AA693" s="40" t="str">
        <f>IFERROR(IF(OR($W693="",$H693=""),"",IF($W693&gt;$H693,
  MAX(0, 60-(($W693-$H693)*24/Config!$B$19)*60),
  MIN(100, 60+(($H693-$W693)*24/Config!$B$20)*40)
)),"")
</f>
        <v/>
      </c>
      <c r="AB693" s="40" t="str">
        <f>IF($K693="","",IFERROR(VLOOKUP($K693,Grinders!$A$4:$N$998,10,FALSE)/5*100,""))</f>
        <v/>
      </c>
      <c r="AC693" s="40" t="str">
        <f>IF($K693="","",IFERROR(VLOOKUP($K693,Grinders!$A$4:$N$998,11,FALSE)*100,""))</f>
        <v/>
      </c>
      <c r="AD693" s="40" t="str">
        <f>IF($K693="","",IFERROR(VLOOKUP($K693,Grinders!$A$4:$N$998,12,FALSE)*100,""))</f>
        <v/>
      </c>
      <c r="AE693" s="40">
        <f>IFERROR(IFS(
    OR($C693="", $K693=""), 0,
    $F693=0, 0,
    $D693&lt;&gt;"Open", 0,
    COUNTIFS(GrinderServices!$B$4:$B$998, $K693, GrinderServices!$C$4:$C$998, $E693, GrinderServices!$E$4:$E$998, "Y")=0, 0,
    $X693&lt;Config!$B$16, 0,
    Config!$B$18=1, IF($O693&gt;=N693, 0, 1),
    TRUE, 1
), "")
</f>
        <v>0</v>
      </c>
      <c r="AF693" s="40" t="str">
        <f>IFERROR(IF($AE693=0,"",((Config!$B$6*$Y693 + Config!$B$7*$U693 + Config!$B$8*$Z693 + Config!$B$9*$AA693 + Config!$B$10*$AB693 + Config!$B$11*$AC693 - Config!$B$12*$AD693)/Config!$B$13)+$AK693+$AL693),"")</f>
        <v/>
      </c>
      <c r="AG693" s="40" t="str">
        <f t="shared" si="6"/>
        <v/>
      </c>
      <c r="AH693" s="40" t="str">
        <f t="shared" si="7"/>
        <v/>
      </c>
      <c r="AI693" s="40" t="str">
        <f t="shared" si="8"/>
        <v/>
      </c>
      <c r="AJ693" s="40" t="str">
        <f>IF($K693="","",COUNTIF(Assignments!$B$6:$B$1000,$K693))</f>
        <v/>
      </c>
      <c r="AK693" s="40" t="str">
        <f>IF($K693="","",IF(AND($AJ693=0,$O693&lt;$N693),Config!$B$43,0))</f>
        <v/>
      </c>
      <c r="AL693" s="40" t="str">
        <f>IF($K693="","",IF(AND($M693="Elite",$G693&gt;=Config!$B$41,$O693&lt;$N693),Config!$B$42,0))</f>
        <v/>
      </c>
      <c r="AM693" s="22"/>
    </row>
    <row r="694" ht="15.75" customHeight="1">
      <c r="A694" s="40" t="str">
        <f t="shared" si="1"/>
        <v/>
      </c>
      <c r="B694" s="40" t="str">
        <f>IF(Bids!$A693="","",Bids!$A693)</f>
        <v/>
      </c>
      <c r="C694" s="40" t="str">
        <f>IF(Bids!$B693="","",Bids!$B693)</f>
        <v/>
      </c>
      <c r="D694" s="40" t="str">
        <f>IF($C694="","",IFERROR(VLOOKUP($C694,Orders!$A$4:$J$998,9,FALSE),""))</f>
        <v/>
      </c>
      <c r="E694" s="40" t="str">
        <f>IF($C694="","",IFERROR(VLOOKUP($C694,Orders!$A$4:$J$998,3,FALSE),""))</f>
        <v/>
      </c>
      <c r="F694" s="40">
        <f t="shared" si="2"/>
        <v>1</v>
      </c>
      <c r="G694" s="40" t="str">
        <f>IF($C694="","",IFERROR(VLOOKUP($C694,Orders!$A$4:$J$998,4,FALSE),""))</f>
        <v/>
      </c>
      <c r="H694" s="40" t="str">
        <f>IF($C694="","",IFERROR(VLOOKUP($C694,Orders!$A$4:$J$998,5,FALSE),""))</f>
        <v/>
      </c>
      <c r="I694" s="40" t="str">
        <f>IF($C694="","",IFERROR(VLOOKUP($C694,Orders!$A$4:$J$998,6,FALSE),""))</f>
        <v/>
      </c>
      <c r="J694" s="40" t="str">
        <f>IF($C694="","",IFERROR(VLOOKUP($C694,Orders!$A$4:$J$998,7,FALSE),""))</f>
        <v/>
      </c>
      <c r="K694" s="40" t="str">
        <f>IF(Bids!$C693="","",Bids!$C693)</f>
        <v/>
      </c>
      <c r="L694" s="40" t="str">
        <f>IF($K694="","",IFERROR(VLOOKUP($K694,Grinders!$A$4:$N$998,2,FALSE),""))</f>
        <v/>
      </c>
      <c r="M694" s="40" t="str">
        <f>IF($K694="","",IFERROR(VLOOKUP($K694,Grinders!$A$4:$N$998,3,FALSE),""))</f>
        <v/>
      </c>
      <c r="N694" s="40" t="str">
        <f>IF($K694="","",IFERROR(VLOOKUP($K694,Grinders!$A$4:$N$998,4,FALSE),""))</f>
        <v/>
      </c>
      <c r="O694" s="40" t="str">
        <f>IF($K694="","",IFERROR(VLOOKUP($K694,Grinders!$A$4:$N$998,5,FALSE),""))</f>
        <v/>
      </c>
      <c r="P694" s="40" t="str">
        <f>IF($K694="","",IF($C$4="",0,COUNTIFS(Assignments!$B$6:$B$1000,$K694,Assignments!$F$6:$F$1000,$C$4,Assignments!$E$6:$E$1000,"Active")))</f>
        <v/>
      </c>
      <c r="Q694" s="40" t="str">
        <f t="shared" si="3"/>
        <v/>
      </c>
      <c r="R694" s="40" t="str">
        <f t="shared" si="4"/>
        <v/>
      </c>
      <c r="S694" s="40" t="str">
        <f>IF($K694="","",IF($C$4="",0,COUNTIFS(Assignments!$B$6:$B$1000,$K694,Assignments!$F$6:$F$1000,$C$4,Assignments!$D$6:$D$1000,"&gt;="&amp;Config!$B$3-7,Assignments!$D$6:$D$1000,"&lt;="&amp;Config!$B$3)))</f>
        <v/>
      </c>
      <c r="T694" s="40" t="str">
        <f>IF($K694="","",IFERROR(VLOOKUP($K694,Grinders!$A$4:$N$998,8,FALSE),""))</f>
        <v/>
      </c>
      <c r="U694" s="40" t="str">
        <f>IFERROR(IF($K694="","",IF($M694="Elite",MAX(50,MIN(100,Config!$B$27*MAX(0,MIN(100,(1-IF($R694="",0,$R694))*100)) + Config!$B$28*MAX(0,MIN(100,(1-MIN(1,IF(Config!$B$30=0,1,$S694/Config!$B$30)))*100)) + Config!$B$29*MAX(0,MIN(100,MIN(1,IF($T694="",0,$T694)/Config!$B$23)*100)))),MIN(100,Config!$B$27*MAX(0,MIN(100,(1-IF($R694="",0,$R694))*100)) + Config!$B$28*MAX(0,MIN(100,(1-MIN(1,IF(Config!$B$30=0,1,$S694/Config!$B$30)))*100)) + Config!$B$29*MAX(0,MIN(100,MIN(1,IF($T694="",0,$T694)/Config!$B$23)*100))))),"")
</f>
        <v/>
      </c>
      <c r="V694" s="40" t="str">
        <f>IF(Bids!$D693="","",Bids!$D693)</f>
        <v/>
      </c>
      <c r="W694" s="40" t="str">
        <f>IF(Bids!$F693="","",Bids!$F693)</f>
        <v/>
      </c>
      <c r="X694" s="40" t="str">
        <f t="shared" si="5"/>
        <v/>
      </c>
      <c r="Y694" s="40" t="str">
        <f>IF($X694="","",IF(Config!$B$17=Config!$B$16,IF($X694&gt;=Config!$B$17,100,0),MAX(0,MIN(100,($X694-Config!$B$16)/(Config!$B$17-Config!$B$16)*100))))</f>
        <v/>
      </c>
      <c r="Z694" s="40">
        <f>IF($M694="Elite",Config!$B$21,0)</f>
        <v>0</v>
      </c>
      <c r="AA694" s="40" t="str">
        <f>IFERROR(IF(OR($W694="",$H694=""),"",IF($W694&gt;$H694,
  MAX(0, 60-(($W694-$H694)*24/Config!$B$19)*60),
  MIN(100, 60+(($H694-$W694)*24/Config!$B$20)*40)
)),"")
</f>
        <v/>
      </c>
      <c r="AB694" s="40" t="str">
        <f>IF($K694="","",IFERROR(VLOOKUP($K694,Grinders!$A$4:$N$998,10,FALSE)/5*100,""))</f>
        <v/>
      </c>
      <c r="AC694" s="40" t="str">
        <f>IF($K694="","",IFERROR(VLOOKUP($K694,Grinders!$A$4:$N$998,11,FALSE)*100,""))</f>
        <v/>
      </c>
      <c r="AD694" s="40" t="str">
        <f>IF($K694="","",IFERROR(VLOOKUP($K694,Grinders!$A$4:$N$998,12,FALSE)*100,""))</f>
        <v/>
      </c>
      <c r="AE694" s="40">
        <f>IFERROR(IFS(
    OR($C694="", $K694=""), 0,
    $F694=0, 0,
    $D694&lt;&gt;"Open", 0,
    COUNTIFS(GrinderServices!$B$4:$B$998, $K694, GrinderServices!$C$4:$C$998, $E694, GrinderServices!$E$4:$E$998, "Y")=0, 0,
    $X694&lt;Config!$B$16, 0,
    Config!$B$18=1, IF($O694&gt;=N694, 0, 1),
    TRUE, 1
), "")
</f>
        <v>0</v>
      </c>
      <c r="AF694" s="40" t="str">
        <f>IFERROR(IF($AE694=0,"",((Config!$B$6*$Y694 + Config!$B$7*$U694 + Config!$B$8*$Z694 + Config!$B$9*$AA694 + Config!$B$10*$AB694 + Config!$B$11*$AC694 - Config!$B$12*$AD694)/Config!$B$13)+$AK694+$AL694),"")</f>
        <v/>
      </c>
      <c r="AG694" s="40" t="str">
        <f t="shared" si="6"/>
        <v/>
      </c>
      <c r="AH694" s="40" t="str">
        <f t="shared" si="7"/>
        <v/>
      </c>
      <c r="AI694" s="40" t="str">
        <f t="shared" si="8"/>
        <v/>
      </c>
      <c r="AJ694" s="40" t="str">
        <f>IF($K694="","",COUNTIF(Assignments!$B$6:$B$1000,$K694))</f>
        <v/>
      </c>
      <c r="AK694" s="40" t="str">
        <f>IF($K694="","",IF(AND($AJ694=0,$O694&lt;$N694),Config!$B$43,0))</f>
        <v/>
      </c>
      <c r="AL694" s="40" t="str">
        <f>IF($K694="","",IF(AND($M694="Elite",$G694&gt;=Config!$B$41,$O694&lt;$N694),Config!$B$42,0))</f>
        <v/>
      </c>
      <c r="AM694" s="22"/>
    </row>
    <row r="695" ht="15.75" customHeight="1">
      <c r="A695" s="40" t="str">
        <f t="shared" si="1"/>
        <v/>
      </c>
      <c r="B695" s="40" t="str">
        <f>IF(Bids!$A694="","",Bids!$A694)</f>
        <v/>
      </c>
      <c r="C695" s="40" t="str">
        <f>IF(Bids!$B694="","",Bids!$B694)</f>
        <v/>
      </c>
      <c r="D695" s="40" t="str">
        <f>IF($C695="","",IFERROR(VLOOKUP($C695,Orders!$A$4:$J$998,9,FALSE),""))</f>
        <v/>
      </c>
      <c r="E695" s="40" t="str">
        <f>IF($C695="","",IFERROR(VLOOKUP($C695,Orders!$A$4:$J$998,3,FALSE),""))</f>
        <v/>
      </c>
      <c r="F695" s="40">
        <f t="shared" si="2"/>
        <v>1</v>
      </c>
      <c r="G695" s="40" t="str">
        <f>IF($C695="","",IFERROR(VLOOKUP($C695,Orders!$A$4:$J$998,4,FALSE),""))</f>
        <v/>
      </c>
      <c r="H695" s="40" t="str">
        <f>IF($C695="","",IFERROR(VLOOKUP($C695,Orders!$A$4:$J$998,5,FALSE),""))</f>
        <v/>
      </c>
      <c r="I695" s="40" t="str">
        <f>IF($C695="","",IFERROR(VLOOKUP($C695,Orders!$A$4:$J$998,6,FALSE),""))</f>
        <v/>
      </c>
      <c r="J695" s="40" t="str">
        <f>IF($C695="","",IFERROR(VLOOKUP($C695,Orders!$A$4:$J$998,7,FALSE),""))</f>
        <v/>
      </c>
      <c r="K695" s="40" t="str">
        <f>IF(Bids!$C694="","",Bids!$C694)</f>
        <v/>
      </c>
      <c r="L695" s="40" t="str">
        <f>IF($K695="","",IFERROR(VLOOKUP($K695,Grinders!$A$4:$N$998,2,FALSE),""))</f>
        <v/>
      </c>
      <c r="M695" s="40" t="str">
        <f>IF($K695="","",IFERROR(VLOOKUP($K695,Grinders!$A$4:$N$998,3,FALSE),""))</f>
        <v/>
      </c>
      <c r="N695" s="40" t="str">
        <f>IF($K695="","",IFERROR(VLOOKUP($K695,Grinders!$A$4:$N$998,4,FALSE),""))</f>
        <v/>
      </c>
      <c r="O695" s="40" t="str">
        <f>IF($K695="","",IFERROR(VLOOKUP($K695,Grinders!$A$4:$N$998,5,FALSE),""))</f>
        <v/>
      </c>
      <c r="P695" s="40" t="str">
        <f>IF($K695="","",IF($C$4="",0,COUNTIFS(Assignments!$B$6:$B$1000,$K695,Assignments!$F$6:$F$1000,$C$4,Assignments!$E$6:$E$1000,"Active")))</f>
        <v/>
      </c>
      <c r="Q695" s="40" t="str">
        <f t="shared" si="3"/>
        <v/>
      </c>
      <c r="R695" s="40" t="str">
        <f t="shared" si="4"/>
        <v/>
      </c>
      <c r="S695" s="40" t="str">
        <f>IF($K695="","",IF($C$4="",0,COUNTIFS(Assignments!$B$6:$B$1000,$K695,Assignments!$F$6:$F$1000,$C$4,Assignments!$D$6:$D$1000,"&gt;="&amp;Config!$B$3-7,Assignments!$D$6:$D$1000,"&lt;="&amp;Config!$B$3)))</f>
        <v/>
      </c>
      <c r="T695" s="40" t="str">
        <f>IF($K695="","",IFERROR(VLOOKUP($K695,Grinders!$A$4:$N$998,8,FALSE),""))</f>
        <v/>
      </c>
      <c r="U695" s="40" t="str">
        <f>IFERROR(IF($K695="","",IF($M695="Elite",MAX(50,MIN(100,Config!$B$27*MAX(0,MIN(100,(1-IF($R695="",0,$R695))*100)) + Config!$B$28*MAX(0,MIN(100,(1-MIN(1,IF(Config!$B$30=0,1,$S695/Config!$B$30)))*100)) + Config!$B$29*MAX(0,MIN(100,MIN(1,IF($T695="",0,$T695)/Config!$B$23)*100)))),MIN(100,Config!$B$27*MAX(0,MIN(100,(1-IF($R695="",0,$R695))*100)) + Config!$B$28*MAX(0,MIN(100,(1-MIN(1,IF(Config!$B$30=0,1,$S695/Config!$B$30)))*100)) + Config!$B$29*MAX(0,MIN(100,MIN(1,IF($T695="",0,$T695)/Config!$B$23)*100))))),"")
</f>
        <v/>
      </c>
      <c r="V695" s="40" t="str">
        <f>IF(Bids!$D694="","",Bids!$D694)</f>
        <v/>
      </c>
      <c r="W695" s="40" t="str">
        <f>IF(Bids!$F694="","",Bids!$F694)</f>
        <v/>
      </c>
      <c r="X695" s="40" t="str">
        <f t="shared" si="5"/>
        <v/>
      </c>
      <c r="Y695" s="40" t="str">
        <f>IF($X695="","",IF(Config!$B$17=Config!$B$16,IF($X695&gt;=Config!$B$17,100,0),MAX(0,MIN(100,($X695-Config!$B$16)/(Config!$B$17-Config!$B$16)*100))))</f>
        <v/>
      </c>
      <c r="Z695" s="40">
        <f>IF($M695="Elite",Config!$B$21,0)</f>
        <v>0</v>
      </c>
      <c r="AA695" s="40" t="str">
        <f>IFERROR(IF(OR($W695="",$H695=""),"",IF($W695&gt;$H695,
  MAX(0, 60-(($W695-$H695)*24/Config!$B$19)*60),
  MIN(100, 60+(($H695-$W695)*24/Config!$B$20)*40)
)),"")
</f>
        <v/>
      </c>
      <c r="AB695" s="40" t="str">
        <f>IF($K695="","",IFERROR(VLOOKUP($K695,Grinders!$A$4:$N$998,10,FALSE)/5*100,""))</f>
        <v/>
      </c>
      <c r="AC695" s="40" t="str">
        <f>IF($K695="","",IFERROR(VLOOKUP($K695,Grinders!$A$4:$N$998,11,FALSE)*100,""))</f>
        <v/>
      </c>
      <c r="AD695" s="40" t="str">
        <f>IF($K695="","",IFERROR(VLOOKUP($K695,Grinders!$A$4:$N$998,12,FALSE)*100,""))</f>
        <v/>
      </c>
      <c r="AE695" s="40">
        <f>IFERROR(IFS(
    OR($C695="", $K695=""), 0,
    $F695=0, 0,
    $D695&lt;&gt;"Open", 0,
    COUNTIFS(GrinderServices!$B$4:$B$998, $K695, GrinderServices!$C$4:$C$998, $E695, GrinderServices!$E$4:$E$998, "Y")=0, 0,
    $X695&lt;Config!$B$16, 0,
    Config!$B$18=1, IF($O695&gt;=N695, 0, 1),
    TRUE, 1
), "")
</f>
        <v>0</v>
      </c>
      <c r="AF695" s="40" t="str">
        <f>IFERROR(IF($AE695=0,"",((Config!$B$6*$Y695 + Config!$B$7*$U695 + Config!$B$8*$Z695 + Config!$B$9*$AA695 + Config!$B$10*$AB695 + Config!$B$11*$AC695 - Config!$B$12*$AD695)/Config!$B$13)+$AK695+$AL695),"")</f>
        <v/>
      </c>
      <c r="AG695" s="40" t="str">
        <f t="shared" si="6"/>
        <v/>
      </c>
      <c r="AH695" s="40" t="str">
        <f t="shared" si="7"/>
        <v/>
      </c>
      <c r="AI695" s="40" t="str">
        <f t="shared" si="8"/>
        <v/>
      </c>
      <c r="AJ695" s="40" t="str">
        <f>IF($K695="","",COUNTIF(Assignments!$B$6:$B$1000,$K695))</f>
        <v/>
      </c>
      <c r="AK695" s="40" t="str">
        <f>IF($K695="","",IF(AND($AJ695=0,$O695&lt;$N695),Config!$B$43,0))</f>
        <v/>
      </c>
      <c r="AL695" s="40" t="str">
        <f>IF($K695="","",IF(AND($M695="Elite",$G695&gt;=Config!$B$41,$O695&lt;$N695),Config!$B$42,0))</f>
        <v/>
      </c>
      <c r="AM695" s="22"/>
    </row>
    <row r="696" ht="15.75" customHeight="1">
      <c r="A696" s="40" t="str">
        <f t="shared" si="1"/>
        <v/>
      </c>
      <c r="B696" s="40" t="str">
        <f>IF(Bids!$A695="","",Bids!$A695)</f>
        <v/>
      </c>
      <c r="C696" s="40" t="str">
        <f>IF(Bids!$B695="","",Bids!$B695)</f>
        <v/>
      </c>
      <c r="D696" s="40" t="str">
        <f>IF($C696="","",IFERROR(VLOOKUP($C696,Orders!$A$4:$J$998,9,FALSE),""))</f>
        <v/>
      </c>
      <c r="E696" s="40" t="str">
        <f>IF($C696="","",IFERROR(VLOOKUP($C696,Orders!$A$4:$J$998,3,FALSE),""))</f>
        <v/>
      </c>
      <c r="F696" s="40">
        <f t="shared" si="2"/>
        <v>1</v>
      </c>
      <c r="G696" s="40" t="str">
        <f>IF($C696="","",IFERROR(VLOOKUP($C696,Orders!$A$4:$J$998,4,FALSE),""))</f>
        <v/>
      </c>
      <c r="H696" s="40" t="str">
        <f>IF($C696="","",IFERROR(VLOOKUP($C696,Orders!$A$4:$J$998,5,FALSE),""))</f>
        <v/>
      </c>
      <c r="I696" s="40" t="str">
        <f>IF($C696="","",IFERROR(VLOOKUP($C696,Orders!$A$4:$J$998,6,FALSE),""))</f>
        <v/>
      </c>
      <c r="J696" s="40" t="str">
        <f>IF($C696="","",IFERROR(VLOOKUP($C696,Orders!$A$4:$J$998,7,FALSE),""))</f>
        <v/>
      </c>
      <c r="K696" s="40" t="str">
        <f>IF(Bids!$C695="","",Bids!$C695)</f>
        <v/>
      </c>
      <c r="L696" s="40" t="str">
        <f>IF($K696="","",IFERROR(VLOOKUP($K696,Grinders!$A$4:$N$998,2,FALSE),""))</f>
        <v/>
      </c>
      <c r="M696" s="40" t="str">
        <f>IF($K696="","",IFERROR(VLOOKUP($K696,Grinders!$A$4:$N$998,3,FALSE),""))</f>
        <v/>
      </c>
      <c r="N696" s="40" t="str">
        <f>IF($K696="","",IFERROR(VLOOKUP($K696,Grinders!$A$4:$N$998,4,FALSE),""))</f>
        <v/>
      </c>
      <c r="O696" s="40" t="str">
        <f>IF($K696="","",IFERROR(VLOOKUP($K696,Grinders!$A$4:$N$998,5,FALSE),""))</f>
        <v/>
      </c>
      <c r="P696" s="40" t="str">
        <f>IF($K696="","",IF($C$4="",0,COUNTIFS(Assignments!$B$6:$B$1000,$K696,Assignments!$F$6:$F$1000,$C$4,Assignments!$E$6:$E$1000,"Active")))</f>
        <v/>
      </c>
      <c r="Q696" s="40" t="str">
        <f t="shared" si="3"/>
        <v/>
      </c>
      <c r="R696" s="40" t="str">
        <f t="shared" si="4"/>
        <v/>
      </c>
      <c r="S696" s="40" t="str">
        <f>IF($K696="","",IF($C$4="",0,COUNTIFS(Assignments!$B$6:$B$1000,$K696,Assignments!$F$6:$F$1000,$C$4,Assignments!$D$6:$D$1000,"&gt;="&amp;Config!$B$3-7,Assignments!$D$6:$D$1000,"&lt;="&amp;Config!$B$3)))</f>
        <v/>
      </c>
      <c r="T696" s="40" t="str">
        <f>IF($K696="","",IFERROR(VLOOKUP($K696,Grinders!$A$4:$N$998,8,FALSE),""))</f>
        <v/>
      </c>
      <c r="U696" s="40" t="str">
        <f>IFERROR(IF($K696="","",IF($M696="Elite",MAX(50,MIN(100,Config!$B$27*MAX(0,MIN(100,(1-IF($R696="",0,$R696))*100)) + Config!$B$28*MAX(0,MIN(100,(1-MIN(1,IF(Config!$B$30=0,1,$S696/Config!$B$30)))*100)) + Config!$B$29*MAX(0,MIN(100,MIN(1,IF($T696="",0,$T696)/Config!$B$23)*100)))),MIN(100,Config!$B$27*MAX(0,MIN(100,(1-IF($R696="",0,$R696))*100)) + Config!$B$28*MAX(0,MIN(100,(1-MIN(1,IF(Config!$B$30=0,1,$S696/Config!$B$30)))*100)) + Config!$B$29*MAX(0,MIN(100,MIN(1,IF($T696="",0,$T696)/Config!$B$23)*100))))),"")
</f>
        <v/>
      </c>
      <c r="V696" s="40" t="str">
        <f>IF(Bids!$D695="","",Bids!$D695)</f>
        <v/>
      </c>
      <c r="W696" s="40" t="str">
        <f>IF(Bids!$F695="","",Bids!$F695)</f>
        <v/>
      </c>
      <c r="X696" s="40" t="str">
        <f t="shared" si="5"/>
        <v/>
      </c>
      <c r="Y696" s="40" t="str">
        <f>IF($X696="","",IF(Config!$B$17=Config!$B$16,IF($X696&gt;=Config!$B$17,100,0),MAX(0,MIN(100,($X696-Config!$B$16)/(Config!$B$17-Config!$B$16)*100))))</f>
        <v/>
      </c>
      <c r="Z696" s="40">
        <f>IF($M696="Elite",Config!$B$21,0)</f>
        <v>0</v>
      </c>
      <c r="AA696" s="40" t="str">
        <f>IFERROR(IF(OR($W696="",$H696=""),"",IF($W696&gt;$H696,
  MAX(0, 60-(($W696-$H696)*24/Config!$B$19)*60),
  MIN(100, 60+(($H696-$W696)*24/Config!$B$20)*40)
)),"")
</f>
        <v/>
      </c>
      <c r="AB696" s="40" t="str">
        <f>IF($K696="","",IFERROR(VLOOKUP($K696,Grinders!$A$4:$N$998,10,FALSE)/5*100,""))</f>
        <v/>
      </c>
      <c r="AC696" s="40" t="str">
        <f>IF($K696="","",IFERROR(VLOOKUP($K696,Grinders!$A$4:$N$998,11,FALSE)*100,""))</f>
        <v/>
      </c>
      <c r="AD696" s="40" t="str">
        <f>IF($K696="","",IFERROR(VLOOKUP($K696,Grinders!$A$4:$N$998,12,FALSE)*100,""))</f>
        <v/>
      </c>
      <c r="AE696" s="40">
        <f>IFERROR(IFS(
    OR($C696="", $K696=""), 0,
    $F696=0, 0,
    $D696&lt;&gt;"Open", 0,
    COUNTIFS(GrinderServices!$B$4:$B$998, $K696, GrinderServices!$C$4:$C$998, $E696, GrinderServices!$E$4:$E$998, "Y")=0, 0,
    $X696&lt;Config!$B$16, 0,
    Config!$B$18=1, IF($O696&gt;=N696, 0, 1),
    TRUE, 1
), "")
</f>
        <v>0</v>
      </c>
      <c r="AF696" s="40" t="str">
        <f>IFERROR(IF($AE696=0,"",((Config!$B$6*$Y696 + Config!$B$7*$U696 + Config!$B$8*$Z696 + Config!$B$9*$AA696 + Config!$B$10*$AB696 + Config!$B$11*$AC696 - Config!$B$12*$AD696)/Config!$B$13)+$AK696+$AL696),"")</f>
        <v/>
      </c>
      <c r="AG696" s="40" t="str">
        <f t="shared" si="6"/>
        <v/>
      </c>
      <c r="AH696" s="40" t="str">
        <f t="shared" si="7"/>
        <v/>
      </c>
      <c r="AI696" s="40" t="str">
        <f t="shared" si="8"/>
        <v/>
      </c>
      <c r="AJ696" s="40" t="str">
        <f>IF($K696="","",COUNTIF(Assignments!$B$6:$B$1000,$K696))</f>
        <v/>
      </c>
      <c r="AK696" s="40" t="str">
        <f>IF($K696="","",IF(AND($AJ696=0,$O696&lt;$N696),Config!$B$43,0))</f>
        <v/>
      </c>
      <c r="AL696" s="40" t="str">
        <f>IF($K696="","",IF(AND($M696="Elite",$G696&gt;=Config!$B$41,$O696&lt;$N696),Config!$B$42,0))</f>
        <v/>
      </c>
      <c r="AM696" s="22"/>
    </row>
    <row r="697" ht="15.75" customHeight="1">
      <c r="A697" s="40" t="str">
        <f t="shared" si="1"/>
        <v/>
      </c>
      <c r="B697" s="40" t="str">
        <f>IF(Bids!$A696="","",Bids!$A696)</f>
        <v/>
      </c>
      <c r="C697" s="40" t="str">
        <f>IF(Bids!$B696="","",Bids!$B696)</f>
        <v/>
      </c>
      <c r="D697" s="40" t="str">
        <f>IF($C697="","",IFERROR(VLOOKUP($C697,Orders!$A$4:$J$998,9,FALSE),""))</f>
        <v/>
      </c>
      <c r="E697" s="40" t="str">
        <f>IF($C697="","",IFERROR(VLOOKUP($C697,Orders!$A$4:$J$998,3,FALSE),""))</f>
        <v/>
      </c>
      <c r="F697" s="40">
        <f t="shared" si="2"/>
        <v>1</v>
      </c>
      <c r="G697" s="40" t="str">
        <f>IF($C697="","",IFERROR(VLOOKUP($C697,Orders!$A$4:$J$998,4,FALSE),""))</f>
        <v/>
      </c>
      <c r="H697" s="40" t="str">
        <f>IF($C697="","",IFERROR(VLOOKUP($C697,Orders!$A$4:$J$998,5,FALSE),""))</f>
        <v/>
      </c>
      <c r="I697" s="40" t="str">
        <f>IF($C697="","",IFERROR(VLOOKUP($C697,Orders!$A$4:$J$998,6,FALSE),""))</f>
        <v/>
      </c>
      <c r="J697" s="40" t="str">
        <f>IF($C697="","",IFERROR(VLOOKUP($C697,Orders!$A$4:$J$998,7,FALSE),""))</f>
        <v/>
      </c>
      <c r="K697" s="40" t="str">
        <f>IF(Bids!$C696="","",Bids!$C696)</f>
        <v/>
      </c>
      <c r="L697" s="40" t="str">
        <f>IF($K697="","",IFERROR(VLOOKUP($K697,Grinders!$A$4:$N$998,2,FALSE),""))</f>
        <v/>
      </c>
      <c r="M697" s="40" t="str">
        <f>IF($K697="","",IFERROR(VLOOKUP($K697,Grinders!$A$4:$N$998,3,FALSE),""))</f>
        <v/>
      </c>
      <c r="N697" s="40" t="str">
        <f>IF($K697="","",IFERROR(VLOOKUP($K697,Grinders!$A$4:$N$998,4,FALSE),""))</f>
        <v/>
      </c>
      <c r="O697" s="40" t="str">
        <f>IF($K697="","",IFERROR(VLOOKUP($K697,Grinders!$A$4:$N$998,5,FALSE),""))</f>
        <v/>
      </c>
      <c r="P697" s="40" t="str">
        <f>IF($K697="","",IF($C$4="",0,COUNTIFS(Assignments!$B$6:$B$1000,$K697,Assignments!$F$6:$F$1000,$C$4,Assignments!$E$6:$E$1000,"Active")))</f>
        <v/>
      </c>
      <c r="Q697" s="40" t="str">
        <f t="shared" si="3"/>
        <v/>
      </c>
      <c r="R697" s="40" t="str">
        <f t="shared" si="4"/>
        <v/>
      </c>
      <c r="S697" s="40" t="str">
        <f>IF($K697="","",IF($C$4="",0,COUNTIFS(Assignments!$B$6:$B$1000,$K697,Assignments!$F$6:$F$1000,$C$4,Assignments!$D$6:$D$1000,"&gt;="&amp;Config!$B$3-7,Assignments!$D$6:$D$1000,"&lt;="&amp;Config!$B$3)))</f>
        <v/>
      </c>
      <c r="T697" s="40" t="str">
        <f>IF($K697="","",IFERROR(VLOOKUP($K697,Grinders!$A$4:$N$998,8,FALSE),""))</f>
        <v/>
      </c>
      <c r="U697" s="40" t="str">
        <f>IFERROR(IF($K697="","",IF($M697="Elite",MAX(50,MIN(100,Config!$B$27*MAX(0,MIN(100,(1-IF($R697="",0,$R697))*100)) + Config!$B$28*MAX(0,MIN(100,(1-MIN(1,IF(Config!$B$30=0,1,$S697/Config!$B$30)))*100)) + Config!$B$29*MAX(0,MIN(100,MIN(1,IF($T697="",0,$T697)/Config!$B$23)*100)))),MIN(100,Config!$B$27*MAX(0,MIN(100,(1-IF($R697="",0,$R697))*100)) + Config!$B$28*MAX(0,MIN(100,(1-MIN(1,IF(Config!$B$30=0,1,$S697/Config!$B$30)))*100)) + Config!$B$29*MAX(0,MIN(100,MIN(1,IF($T697="",0,$T697)/Config!$B$23)*100))))),"")
</f>
        <v/>
      </c>
      <c r="V697" s="40" t="str">
        <f>IF(Bids!$D696="","",Bids!$D696)</f>
        <v/>
      </c>
      <c r="W697" s="40" t="str">
        <f>IF(Bids!$F696="","",Bids!$F696)</f>
        <v/>
      </c>
      <c r="X697" s="40" t="str">
        <f t="shared" si="5"/>
        <v/>
      </c>
      <c r="Y697" s="40" t="str">
        <f>IF($X697="","",IF(Config!$B$17=Config!$B$16,IF($X697&gt;=Config!$B$17,100,0),MAX(0,MIN(100,($X697-Config!$B$16)/(Config!$B$17-Config!$B$16)*100))))</f>
        <v/>
      </c>
      <c r="Z697" s="40">
        <f>IF($M697="Elite",Config!$B$21,0)</f>
        <v>0</v>
      </c>
      <c r="AA697" s="40" t="str">
        <f>IFERROR(IF(OR($W697="",$H697=""),"",IF($W697&gt;$H697,
  MAX(0, 60-(($W697-$H697)*24/Config!$B$19)*60),
  MIN(100, 60+(($H697-$W697)*24/Config!$B$20)*40)
)),"")
</f>
        <v/>
      </c>
      <c r="AB697" s="40" t="str">
        <f>IF($K697="","",IFERROR(VLOOKUP($K697,Grinders!$A$4:$N$998,10,FALSE)/5*100,""))</f>
        <v/>
      </c>
      <c r="AC697" s="40" t="str">
        <f>IF($K697="","",IFERROR(VLOOKUP($K697,Grinders!$A$4:$N$998,11,FALSE)*100,""))</f>
        <v/>
      </c>
      <c r="AD697" s="40" t="str">
        <f>IF($K697="","",IFERROR(VLOOKUP($K697,Grinders!$A$4:$N$998,12,FALSE)*100,""))</f>
        <v/>
      </c>
      <c r="AE697" s="40">
        <f>IFERROR(IFS(
    OR($C697="", $K697=""), 0,
    $F697=0, 0,
    $D697&lt;&gt;"Open", 0,
    COUNTIFS(GrinderServices!$B$4:$B$998, $K697, GrinderServices!$C$4:$C$998, $E697, GrinderServices!$E$4:$E$998, "Y")=0, 0,
    $X697&lt;Config!$B$16, 0,
    Config!$B$18=1, IF($O697&gt;=N697, 0, 1),
    TRUE, 1
), "")
</f>
        <v>0</v>
      </c>
      <c r="AF697" s="40" t="str">
        <f>IFERROR(IF($AE697=0,"",((Config!$B$6*$Y697 + Config!$B$7*$U697 + Config!$B$8*$Z697 + Config!$B$9*$AA697 + Config!$B$10*$AB697 + Config!$B$11*$AC697 - Config!$B$12*$AD697)/Config!$B$13)+$AK697+$AL697),"")</f>
        <v/>
      </c>
      <c r="AG697" s="40" t="str">
        <f t="shared" si="6"/>
        <v/>
      </c>
      <c r="AH697" s="40" t="str">
        <f t="shared" si="7"/>
        <v/>
      </c>
      <c r="AI697" s="40" t="str">
        <f t="shared" si="8"/>
        <v/>
      </c>
      <c r="AJ697" s="40" t="str">
        <f>IF($K697="","",COUNTIF(Assignments!$B$6:$B$1000,$K697))</f>
        <v/>
      </c>
      <c r="AK697" s="40" t="str">
        <f>IF($K697="","",IF(AND($AJ697=0,$O697&lt;$N697),Config!$B$43,0))</f>
        <v/>
      </c>
      <c r="AL697" s="40" t="str">
        <f>IF($K697="","",IF(AND($M697="Elite",$G697&gt;=Config!$B$41,$O697&lt;$N697),Config!$B$42,0))</f>
        <v/>
      </c>
      <c r="AM697" s="22"/>
    </row>
    <row r="698" ht="15.75" customHeight="1">
      <c r="A698" s="40" t="str">
        <f t="shared" si="1"/>
        <v/>
      </c>
      <c r="B698" s="40" t="str">
        <f>IF(Bids!$A697="","",Bids!$A697)</f>
        <v/>
      </c>
      <c r="C698" s="40" t="str">
        <f>IF(Bids!$B697="","",Bids!$B697)</f>
        <v/>
      </c>
      <c r="D698" s="40" t="str">
        <f>IF($C698="","",IFERROR(VLOOKUP($C698,Orders!$A$4:$J$998,9,FALSE),""))</f>
        <v/>
      </c>
      <c r="E698" s="40" t="str">
        <f>IF($C698="","",IFERROR(VLOOKUP($C698,Orders!$A$4:$J$998,3,FALSE),""))</f>
        <v/>
      </c>
      <c r="F698" s="40">
        <f t="shared" si="2"/>
        <v>1</v>
      </c>
      <c r="G698" s="40" t="str">
        <f>IF($C698="","",IFERROR(VLOOKUP($C698,Orders!$A$4:$J$998,4,FALSE),""))</f>
        <v/>
      </c>
      <c r="H698" s="40" t="str">
        <f>IF($C698="","",IFERROR(VLOOKUP($C698,Orders!$A$4:$J$998,5,FALSE),""))</f>
        <v/>
      </c>
      <c r="I698" s="40" t="str">
        <f>IF($C698="","",IFERROR(VLOOKUP($C698,Orders!$A$4:$J$998,6,FALSE),""))</f>
        <v/>
      </c>
      <c r="J698" s="40" t="str">
        <f>IF($C698="","",IFERROR(VLOOKUP($C698,Orders!$A$4:$J$998,7,FALSE),""))</f>
        <v/>
      </c>
      <c r="K698" s="40" t="str">
        <f>IF(Bids!$C697="","",Bids!$C697)</f>
        <v/>
      </c>
      <c r="L698" s="40" t="str">
        <f>IF($K698="","",IFERROR(VLOOKUP($K698,Grinders!$A$4:$N$998,2,FALSE),""))</f>
        <v/>
      </c>
      <c r="M698" s="40" t="str">
        <f>IF($K698="","",IFERROR(VLOOKUP($K698,Grinders!$A$4:$N$998,3,FALSE),""))</f>
        <v/>
      </c>
      <c r="N698" s="40" t="str">
        <f>IF($K698="","",IFERROR(VLOOKUP($K698,Grinders!$A$4:$N$998,4,FALSE),""))</f>
        <v/>
      </c>
      <c r="O698" s="40" t="str">
        <f>IF($K698="","",IFERROR(VLOOKUP($K698,Grinders!$A$4:$N$998,5,FALSE),""))</f>
        <v/>
      </c>
      <c r="P698" s="40" t="str">
        <f>IF($K698="","",IF($C$4="",0,COUNTIFS(Assignments!$B$6:$B$1000,$K698,Assignments!$F$6:$F$1000,$C$4,Assignments!$E$6:$E$1000,"Active")))</f>
        <v/>
      </c>
      <c r="Q698" s="40" t="str">
        <f t="shared" si="3"/>
        <v/>
      </c>
      <c r="R698" s="40" t="str">
        <f t="shared" si="4"/>
        <v/>
      </c>
      <c r="S698" s="40" t="str">
        <f>IF($K698="","",IF($C$4="",0,COUNTIFS(Assignments!$B$6:$B$1000,$K698,Assignments!$F$6:$F$1000,$C$4,Assignments!$D$6:$D$1000,"&gt;="&amp;Config!$B$3-7,Assignments!$D$6:$D$1000,"&lt;="&amp;Config!$B$3)))</f>
        <v/>
      </c>
      <c r="T698" s="40" t="str">
        <f>IF($K698="","",IFERROR(VLOOKUP($K698,Grinders!$A$4:$N$998,8,FALSE),""))</f>
        <v/>
      </c>
      <c r="U698" s="40" t="str">
        <f>IFERROR(IF($K698="","",IF($M698="Elite",MAX(50,MIN(100,Config!$B$27*MAX(0,MIN(100,(1-IF($R698="",0,$R698))*100)) + Config!$B$28*MAX(0,MIN(100,(1-MIN(1,IF(Config!$B$30=0,1,$S698/Config!$B$30)))*100)) + Config!$B$29*MAX(0,MIN(100,MIN(1,IF($T698="",0,$T698)/Config!$B$23)*100)))),MIN(100,Config!$B$27*MAX(0,MIN(100,(1-IF($R698="",0,$R698))*100)) + Config!$B$28*MAX(0,MIN(100,(1-MIN(1,IF(Config!$B$30=0,1,$S698/Config!$B$30)))*100)) + Config!$B$29*MAX(0,MIN(100,MIN(1,IF($T698="",0,$T698)/Config!$B$23)*100))))),"")
</f>
        <v/>
      </c>
      <c r="V698" s="40" t="str">
        <f>IF(Bids!$D697="","",Bids!$D697)</f>
        <v/>
      </c>
      <c r="W698" s="40" t="str">
        <f>IF(Bids!$F697="","",Bids!$F697)</f>
        <v/>
      </c>
      <c r="X698" s="40" t="str">
        <f t="shared" si="5"/>
        <v/>
      </c>
      <c r="Y698" s="40" t="str">
        <f>IF($X698="","",IF(Config!$B$17=Config!$B$16,IF($X698&gt;=Config!$B$17,100,0),MAX(0,MIN(100,($X698-Config!$B$16)/(Config!$B$17-Config!$B$16)*100))))</f>
        <v/>
      </c>
      <c r="Z698" s="40">
        <f>IF($M698="Elite",Config!$B$21,0)</f>
        <v>0</v>
      </c>
      <c r="AA698" s="40" t="str">
        <f>IFERROR(IF(OR($W698="",$H698=""),"",IF($W698&gt;$H698,
  MAX(0, 60-(($W698-$H698)*24/Config!$B$19)*60),
  MIN(100, 60+(($H698-$W698)*24/Config!$B$20)*40)
)),"")
</f>
        <v/>
      </c>
      <c r="AB698" s="40" t="str">
        <f>IF($K698="","",IFERROR(VLOOKUP($K698,Grinders!$A$4:$N$998,10,FALSE)/5*100,""))</f>
        <v/>
      </c>
      <c r="AC698" s="40" t="str">
        <f>IF($K698="","",IFERROR(VLOOKUP($K698,Grinders!$A$4:$N$998,11,FALSE)*100,""))</f>
        <v/>
      </c>
      <c r="AD698" s="40" t="str">
        <f>IF($K698="","",IFERROR(VLOOKUP($K698,Grinders!$A$4:$N$998,12,FALSE)*100,""))</f>
        <v/>
      </c>
      <c r="AE698" s="40">
        <f>IFERROR(IFS(
    OR($C698="", $K698=""), 0,
    $F698=0, 0,
    $D698&lt;&gt;"Open", 0,
    COUNTIFS(GrinderServices!$B$4:$B$998, $K698, GrinderServices!$C$4:$C$998, $E698, GrinderServices!$E$4:$E$998, "Y")=0, 0,
    $X698&lt;Config!$B$16, 0,
    Config!$B$18=1, IF($O698&gt;=N698, 0, 1),
    TRUE, 1
), "")
</f>
        <v>0</v>
      </c>
      <c r="AF698" s="40" t="str">
        <f>IFERROR(IF($AE698=0,"",((Config!$B$6*$Y698 + Config!$B$7*$U698 + Config!$B$8*$Z698 + Config!$B$9*$AA698 + Config!$B$10*$AB698 + Config!$B$11*$AC698 - Config!$B$12*$AD698)/Config!$B$13)+$AK698+$AL698),"")</f>
        <v/>
      </c>
      <c r="AG698" s="40" t="str">
        <f t="shared" si="6"/>
        <v/>
      </c>
      <c r="AH698" s="40" t="str">
        <f t="shared" si="7"/>
        <v/>
      </c>
      <c r="AI698" s="40" t="str">
        <f t="shared" si="8"/>
        <v/>
      </c>
      <c r="AJ698" s="40" t="str">
        <f>IF($K698="","",COUNTIF(Assignments!$B$6:$B$1000,$K698))</f>
        <v/>
      </c>
      <c r="AK698" s="40" t="str">
        <f>IF($K698="","",IF(AND($AJ698=0,$O698&lt;$N698),Config!$B$43,0))</f>
        <v/>
      </c>
      <c r="AL698" s="40" t="str">
        <f>IF($K698="","",IF(AND($M698="Elite",$G698&gt;=Config!$B$41,$O698&lt;$N698),Config!$B$42,0))</f>
        <v/>
      </c>
      <c r="AM698" s="22"/>
    </row>
    <row r="699" ht="15.75" customHeight="1">
      <c r="A699" s="40" t="str">
        <f t="shared" si="1"/>
        <v/>
      </c>
      <c r="B699" s="40" t="str">
        <f>IF(Bids!$A698="","",Bids!$A698)</f>
        <v/>
      </c>
      <c r="C699" s="40" t="str">
        <f>IF(Bids!$B698="","",Bids!$B698)</f>
        <v/>
      </c>
      <c r="D699" s="40" t="str">
        <f>IF($C699="","",IFERROR(VLOOKUP($C699,Orders!$A$4:$J$998,9,FALSE),""))</f>
        <v/>
      </c>
      <c r="E699" s="40" t="str">
        <f>IF($C699="","",IFERROR(VLOOKUP($C699,Orders!$A$4:$J$998,3,FALSE),""))</f>
        <v/>
      </c>
      <c r="F699" s="40">
        <f t="shared" si="2"/>
        <v>1</v>
      </c>
      <c r="G699" s="40" t="str">
        <f>IF($C699="","",IFERROR(VLOOKUP($C699,Orders!$A$4:$J$998,4,FALSE),""))</f>
        <v/>
      </c>
      <c r="H699" s="40" t="str">
        <f>IF($C699="","",IFERROR(VLOOKUP($C699,Orders!$A$4:$J$998,5,FALSE),""))</f>
        <v/>
      </c>
      <c r="I699" s="40" t="str">
        <f>IF($C699="","",IFERROR(VLOOKUP($C699,Orders!$A$4:$J$998,6,FALSE),""))</f>
        <v/>
      </c>
      <c r="J699" s="40" t="str">
        <f>IF($C699="","",IFERROR(VLOOKUP($C699,Orders!$A$4:$J$998,7,FALSE),""))</f>
        <v/>
      </c>
      <c r="K699" s="40" t="str">
        <f>IF(Bids!$C698="","",Bids!$C698)</f>
        <v/>
      </c>
      <c r="L699" s="40" t="str">
        <f>IF($K699="","",IFERROR(VLOOKUP($K699,Grinders!$A$4:$N$998,2,FALSE),""))</f>
        <v/>
      </c>
      <c r="M699" s="40" t="str">
        <f>IF($K699="","",IFERROR(VLOOKUP($K699,Grinders!$A$4:$N$998,3,FALSE),""))</f>
        <v/>
      </c>
      <c r="N699" s="40" t="str">
        <f>IF($K699="","",IFERROR(VLOOKUP($K699,Grinders!$A$4:$N$998,4,FALSE),""))</f>
        <v/>
      </c>
      <c r="O699" s="40" t="str">
        <f>IF($K699="","",IFERROR(VLOOKUP($K699,Grinders!$A$4:$N$998,5,FALSE),""))</f>
        <v/>
      </c>
      <c r="P699" s="40" t="str">
        <f>IF($K699="","",IF($C$4="",0,COUNTIFS(Assignments!$B$6:$B$1000,$K699,Assignments!$F$6:$F$1000,$C$4,Assignments!$E$6:$E$1000,"Active")))</f>
        <v/>
      </c>
      <c r="Q699" s="40" t="str">
        <f t="shared" si="3"/>
        <v/>
      </c>
      <c r="R699" s="40" t="str">
        <f t="shared" si="4"/>
        <v/>
      </c>
      <c r="S699" s="40" t="str">
        <f>IF($K699="","",IF($C$4="",0,COUNTIFS(Assignments!$B$6:$B$1000,$K699,Assignments!$F$6:$F$1000,$C$4,Assignments!$D$6:$D$1000,"&gt;="&amp;Config!$B$3-7,Assignments!$D$6:$D$1000,"&lt;="&amp;Config!$B$3)))</f>
        <v/>
      </c>
      <c r="T699" s="40" t="str">
        <f>IF($K699="","",IFERROR(VLOOKUP($K699,Grinders!$A$4:$N$998,8,FALSE),""))</f>
        <v/>
      </c>
      <c r="U699" s="40" t="str">
        <f>IFERROR(IF($K699="","",IF($M699="Elite",MAX(50,MIN(100,Config!$B$27*MAX(0,MIN(100,(1-IF($R699="",0,$R699))*100)) + Config!$B$28*MAX(0,MIN(100,(1-MIN(1,IF(Config!$B$30=0,1,$S699/Config!$B$30)))*100)) + Config!$B$29*MAX(0,MIN(100,MIN(1,IF($T699="",0,$T699)/Config!$B$23)*100)))),MIN(100,Config!$B$27*MAX(0,MIN(100,(1-IF($R699="",0,$R699))*100)) + Config!$B$28*MAX(0,MIN(100,(1-MIN(1,IF(Config!$B$30=0,1,$S699/Config!$B$30)))*100)) + Config!$B$29*MAX(0,MIN(100,MIN(1,IF($T699="",0,$T699)/Config!$B$23)*100))))),"")
</f>
        <v/>
      </c>
      <c r="V699" s="40" t="str">
        <f>IF(Bids!$D698="","",Bids!$D698)</f>
        <v/>
      </c>
      <c r="W699" s="40" t="str">
        <f>IF(Bids!$F698="","",Bids!$F698)</f>
        <v/>
      </c>
      <c r="X699" s="40" t="str">
        <f t="shared" si="5"/>
        <v/>
      </c>
      <c r="Y699" s="40" t="str">
        <f>IF($X699="","",IF(Config!$B$17=Config!$B$16,IF($X699&gt;=Config!$B$17,100,0),MAX(0,MIN(100,($X699-Config!$B$16)/(Config!$B$17-Config!$B$16)*100))))</f>
        <v/>
      </c>
      <c r="Z699" s="40">
        <f>IF($M699="Elite",Config!$B$21,0)</f>
        <v>0</v>
      </c>
      <c r="AA699" s="40" t="str">
        <f>IFERROR(IF(OR($W699="",$H699=""),"",IF($W699&gt;$H699,
  MAX(0, 60-(($W699-$H699)*24/Config!$B$19)*60),
  MIN(100, 60+(($H699-$W699)*24/Config!$B$20)*40)
)),"")
</f>
        <v/>
      </c>
      <c r="AB699" s="40" t="str">
        <f>IF($K699="","",IFERROR(VLOOKUP($K699,Grinders!$A$4:$N$998,10,FALSE)/5*100,""))</f>
        <v/>
      </c>
      <c r="AC699" s="40" t="str">
        <f>IF($K699="","",IFERROR(VLOOKUP($K699,Grinders!$A$4:$N$998,11,FALSE)*100,""))</f>
        <v/>
      </c>
      <c r="AD699" s="40" t="str">
        <f>IF($K699="","",IFERROR(VLOOKUP($K699,Grinders!$A$4:$N$998,12,FALSE)*100,""))</f>
        <v/>
      </c>
      <c r="AE699" s="40">
        <f>IFERROR(IFS(
    OR($C699="", $K699=""), 0,
    $F699=0, 0,
    $D699&lt;&gt;"Open", 0,
    COUNTIFS(GrinderServices!$B$4:$B$998, $K699, GrinderServices!$C$4:$C$998, $E699, GrinderServices!$E$4:$E$998, "Y")=0, 0,
    $X699&lt;Config!$B$16, 0,
    Config!$B$18=1, IF($O699&gt;=N699, 0, 1),
    TRUE, 1
), "")
</f>
        <v>0</v>
      </c>
      <c r="AF699" s="40" t="str">
        <f>IFERROR(IF($AE699=0,"",((Config!$B$6*$Y699 + Config!$B$7*$U699 + Config!$B$8*$Z699 + Config!$B$9*$AA699 + Config!$B$10*$AB699 + Config!$B$11*$AC699 - Config!$B$12*$AD699)/Config!$B$13)+$AK699+$AL699),"")</f>
        <v/>
      </c>
      <c r="AG699" s="40" t="str">
        <f t="shared" si="6"/>
        <v/>
      </c>
      <c r="AH699" s="40" t="str">
        <f t="shared" si="7"/>
        <v/>
      </c>
      <c r="AI699" s="40" t="str">
        <f t="shared" si="8"/>
        <v/>
      </c>
      <c r="AJ699" s="40" t="str">
        <f>IF($K699="","",COUNTIF(Assignments!$B$6:$B$1000,$K699))</f>
        <v/>
      </c>
      <c r="AK699" s="40" t="str">
        <f>IF($K699="","",IF(AND($AJ699=0,$O699&lt;$N699),Config!$B$43,0))</f>
        <v/>
      </c>
      <c r="AL699" s="40" t="str">
        <f>IF($K699="","",IF(AND($M699="Elite",$G699&gt;=Config!$B$41,$O699&lt;$N699),Config!$B$42,0))</f>
        <v/>
      </c>
      <c r="AM699" s="22"/>
    </row>
    <row r="700" ht="15.75" customHeight="1">
      <c r="A700" s="40" t="str">
        <f t="shared" si="1"/>
        <v/>
      </c>
      <c r="B700" s="40" t="str">
        <f>IF(Bids!$A699="","",Bids!$A699)</f>
        <v/>
      </c>
      <c r="C700" s="40" t="str">
        <f>IF(Bids!$B699="","",Bids!$B699)</f>
        <v/>
      </c>
      <c r="D700" s="40" t="str">
        <f>IF($C700="","",IFERROR(VLOOKUP($C700,Orders!$A$4:$J$998,9,FALSE),""))</f>
        <v/>
      </c>
      <c r="E700" s="40" t="str">
        <f>IF($C700="","",IFERROR(VLOOKUP($C700,Orders!$A$4:$J$998,3,FALSE),""))</f>
        <v/>
      </c>
      <c r="F700" s="40">
        <f t="shared" si="2"/>
        <v>1</v>
      </c>
      <c r="G700" s="40" t="str">
        <f>IF($C700="","",IFERROR(VLOOKUP($C700,Orders!$A$4:$J$998,4,FALSE),""))</f>
        <v/>
      </c>
      <c r="H700" s="40" t="str">
        <f>IF($C700="","",IFERROR(VLOOKUP($C700,Orders!$A$4:$J$998,5,FALSE),""))</f>
        <v/>
      </c>
      <c r="I700" s="40" t="str">
        <f>IF($C700="","",IFERROR(VLOOKUP($C700,Orders!$A$4:$J$998,6,FALSE),""))</f>
        <v/>
      </c>
      <c r="J700" s="40" t="str">
        <f>IF($C700="","",IFERROR(VLOOKUP($C700,Orders!$A$4:$J$998,7,FALSE),""))</f>
        <v/>
      </c>
      <c r="K700" s="40" t="str">
        <f>IF(Bids!$C699="","",Bids!$C699)</f>
        <v/>
      </c>
      <c r="L700" s="40" t="str">
        <f>IF($K700="","",IFERROR(VLOOKUP($K700,Grinders!$A$4:$N$998,2,FALSE),""))</f>
        <v/>
      </c>
      <c r="M700" s="40" t="str">
        <f>IF($K700="","",IFERROR(VLOOKUP($K700,Grinders!$A$4:$N$998,3,FALSE),""))</f>
        <v/>
      </c>
      <c r="N700" s="40" t="str">
        <f>IF($K700="","",IFERROR(VLOOKUP($K700,Grinders!$A$4:$N$998,4,FALSE),""))</f>
        <v/>
      </c>
      <c r="O700" s="40" t="str">
        <f>IF($K700="","",IFERROR(VLOOKUP($K700,Grinders!$A$4:$N$998,5,FALSE),""))</f>
        <v/>
      </c>
      <c r="P700" s="40" t="str">
        <f>IF($K700="","",IF($C$4="",0,COUNTIFS(Assignments!$B$6:$B$1000,$K700,Assignments!$F$6:$F$1000,$C$4,Assignments!$E$6:$E$1000,"Active")))</f>
        <v/>
      </c>
      <c r="Q700" s="40" t="str">
        <f t="shared" si="3"/>
        <v/>
      </c>
      <c r="R700" s="40" t="str">
        <f t="shared" si="4"/>
        <v/>
      </c>
      <c r="S700" s="40" t="str">
        <f>IF($K700="","",IF($C$4="",0,COUNTIFS(Assignments!$B$6:$B$1000,$K700,Assignments!$F$6:$F$1000,$C$4,Assignments!$D$6:$D$1000,"&gt;="&amp;Config!$B$3-7,Assignments!$D$6:$D$1000,"&lt;="&amp;Config!$B$3)))</f>
        <v/>
      </c>
      <c r="T700" s="40" t="str">
        <f>IF($K700="","",IFERROR(VLOOKUP($K700,Grinders!$A$4:$N$998,8,FALSE),""))</f>
        <v/>
      </c>
      <c r="U700" s="40" t="str">
        <f>IFERROR(IF($K700="","",IF($M700="Elite",MAX(50,MIN(100,Config!$B$27*MAX(0,MIN(100,(1-IF($R700="",0,$R700))*100)) + Config!$B$28*MAX(0,MIN(100,(1-MIN(1,IF(Config!$B$30=0,1,$S700/Config!$B$30)))*100)) + Config!$B$29*MAX(0,MIN(100,MIN(1,IF($T700="",0,$T700)/Config!$B$23)*100)))),MIN(100,Config!$B$27*MAX(0,MIN(100,(1-IF($R700="",0,$R700))*100)) + Config!$B$28*MAX(0,MIN(100,(1-MIN(1,IF(Config!$B$30=0,1,$S700/Config!$B$30)))*100)) + Config!$B$29*MAX(0,MIN(100,MIN(1,IF($T700="",0,$T700)/Config!$B$23)*100))))),"")
</f>
        <v/>
      </c>
      <c r="V700" s="40" t="str">
        <f>IF(Bids!$D699="","",Bids!$D699)</f>
        <v/>
      </c>
      <c r="W700" s="40" t="str">
        <f>IF(Bids!$F699="","",Bids!$F699)</f>
        <v/>
      </c>
      <c r="X700" s="40" t="str">
        <f t="shared" si="5"/>
        <v/>
      </c>
      <c r="Y700" s="40" t="str">
        <f>IF($X700="","",IF(Config!$B$17=Config!$B$16,IF($X700&gt;=Config!$B$17,100,0),MAX(0,MIN(100,($X700-Config!$B$16)/(Config!$B$17-Config!$B$16)*100))))</f>
        <v/>
      </c>
      <c r="Z700" s="40">
        <f>IF($M700="Elite",Config!$B$21,0)</f>
        <v>0</v>
      </c>
      <c r="AA700" s="40" t="str">
        <f>IFERROR(IF(OR($W700="",$H700=""),"",IF($W700&gt;$H700,
  MAX(0, 60-(($W700-$H700)*24/Config!$B$19)*60),
  MIN(100, 60+(($H700-$W700)*24/Config!$B$20)*40)
)),"")
</f>
        <v/>
      </c>
      <c r="AB700" s="40" t="str">
        <f>IF($K700="","",IFERROR(VLOOKUP($K700,Grinders!$A$4:$N$998,10,FALSE)/5*100,""))</f>
        <v/>
      </c>
      <c r="AC700" s="40" t="str">
        <f>IF($K700="","",IFERROR(VLOOKUP($K700,Grinders!$A$4:$N$998,11,FALSE)*100,""))</f>
        <v/>
      </c>
      <c r="AD700" s="40" t="str">
        <f>IF($K700="","",IFERROR(VLOOKUP($K700,Grinders!$A$4:$N$998,12,FALSE)*100,""))</f>
        <v/>
      </c>
      <c r="AE700" s="40">
        <f>IFERROR(IFS(
    OR($C700="", $K700=""), 0,
    $F700=0, 0,
    $D700&lt;&gt;"Open", 0,
    COUNTIFS(GrinderServices!$B$4:$B$998, $K700, GrinderServices!$C$4:$C$998, $E700, GrinderServices!$E$4:$E$998, "Y")=0, 0,
    $X700&lt;Config!$B$16, 0,
    Config!$B$18=1, IF($O700&gt;=N700, 0, 1),
    TRUE, 1
), "")
</f>
        <v>0</v>
      </c>
      <c r="AF700" s="40" t="str">
        <f>IFERROR(IF($AE700=0,"",((Config!$B$6*$Y700 + Config!$B$7*$U700 + Config!$B$8*$Z700 + Config!$B$9*$AA700 + Config!$B$10*$AB700 + Config!$B$11*$AC700 - Config!$B$12*$AD700)/Config!$B$13)+$AK700+$AL700),"")</f>
        <v/>
      </c>
      <c r="AG700" s="40" t="str">
        <f t="shared" si="6"/>
        <v/>
      </c>
      <c r="AH700" s="40" t="str">
        <f t="shared" si="7"/>
        <v/>
      </c>
      <c r="AI700" s="40" t="str">
        <f t="shared" si="8"/>
        <v/>
      </c>
      <c r="AJ700" s="40" t="str">
        <f>IF($K700="","",COUNTIF(Assignments!$B$6:$B$1000,$K700))</f>
        <v/>
      </c>
      <c r="AK700" s="40" t="str">
        <f>IF($K700="","",IF(AND($AJ700=0,$O700&lt;$N700),Config!$B$43,0))</f>
        <v/>
      </c>
      <c r="AL700" s="40" t="str">
        <f>IF($K700="","",IF(AND($M700="Elite",$G700&gt;=Config!$B$41,$O700&lt;$N700),Config!$B$42,0))</f>
        <v/>
      </c>
      <c r="AM700" s="22"/>
    </row>
    <row r="701" ht="15.75" customHeight="1">
      <c r="A701" s="40" t="str">
        <f t="shared" si="1"/>
        <v/>
      </c>
      <c r="B701" s="40" t="str">
        <f>IF(Bids!$A700="","",Bids!$A700)</f>
        <v/>
      </c>
      <c r="C701" s="40" t="str">
        <f>IF(Bids!$B700="","",Bids!$B700)</f>
        <v/>
      </c>
      <c r="D701" s="40" t="str">
        <f>IF($C701="","",IFERROR(VLOOKUP($C701,Orders!$A$4:$J$998,9,FALSE),""))</f>
        <v/>
      </c>
      <c r="E701" s="40" t="str">
        <f>IF($C701="","",IFERROR(VLOOKUP($C701,Orders!$A$4:$J$998,3,FALSE),""))</f>
        <v/>
      </c>
      <c r="F701" s="40">
        <f t="shared" si="2"/>
        <v>1</v>
      </c>
      <c r="G701" s="40" t="str">
        <f>IF($C701="","",IFERROR(VLOOKUP($C701,Orders!$A$4:$J$998,4,FALSE),""))</f>
        <v/>
      </c>
      <c r="H701" s="40" t="str">
        <f>IF($C701="","",IFERROR(VLOOKUP($C701,Orders!$A$4:$J$998,5,FALSE),""))</f>
        <v/>
      </c>
      <c r="I701" s="40" t="str">
        <f>IF($C701="","",IFERROR(VLOOKUP($C701,Orders!$A$4:$J$998,6,FALSE),""))</f>
        <v/>
      </c>
      <c r="J701" s="40" t="str">
        <f>IF($C701="","",IFERROR(VLOOKUP($C701,Orders!$A$4:$J$998,7,FALSE),""))</f>
        <v/>
      </c>
      <c r="K701" s="40" t="str">
        <f>IF(Bids!$C700="","",Bids!$C700)</f>
        <v/>
      </c>
      <c r="L701" s="40" t="str">
        <f>IF($K701="","",IFERROR(VLOOKUP($K701,Grinders!$A$4:$N$998,2,FALSE),""))</f>
        <v/>
      </c>
      <c r="M701" s="40" t="str">
        <f>IF($K701="","",IFERROR(VLOOKUP($K701,Grinders!$A$4:$N$998,3,FALSE),""))</f>
        <v/>
      </c>
      <c r="N701" s="40" t="str">
        <f>IF($K701="","",IFERROR(VLOOKUP($K701,Grinders!$A$4:$N$998,4,FALSE),""))</f>
        <v/>
      </c>
      <c r="O701" s="40" t="str">
        <f>IF($K701="","",IFERROR(VLOOKUP($K701,Grinders!$A$4:$N$998,5,FALSE),""))</f>
        <v/>
      </c>
      <c r="P701" s="40" t="str">
        <f>IF($K701="","",IF($C$4="",0,COUNTIFS(Assignments!$B$6:$B$1000,$K701,Assignments!$F$6:$F$1000,$C$4,Assignments!$E$6:$E$1000,"Active")))</f>
        <v/>
      </c>
      <c r="Q701" s="40" t="str">
        <f t="shared" si="3"/>
        <v/>
      </c>
      <c r="R701" s="40" t="str">
        <f t="shared" si="4"/>
        <v/>
      </c>
      <c r="S701" s="40" t="str">
        <f>IF($K701="","",IF($C$4="",0,COUNTIFS(Assignments!$B$6:$B$1000,$K701,Assignments!$F$6:$F$1000,$C$4,Assignments!$D$6:$D$1000,"&gt;="&amp;Config!$B$3-7,Assignments!$D$6:$D$1000,"&lt;="&amp;Config!$B$3)))</f>
        <v/>
      </c>
      <c r="T701" s="40" t="str">
        <f>IF($K701="","",IFERROR(VLOOKUP($K701,Grinders!$A$4:$N$998,8,FALSE),""))</f>
        <v/>
      </c>
      <c r="U701" s="40" t="str">
        <f>IFERROR(IF($K701="","",IF($M701="Elite",MAX(50,MIN(100,Config!$B$27*MAX(0,MIN(100,(1-IF($R701="",0,$R701))*100)) + Config!$B$28*MAX(0,MIN(100,(1-MIN(1,IF(Config!$B$30=0,1,$S701/Config!$B$30)))*100)) + Config!$B$29*MAX(0,MIN(100,MIN(1,IF($T701="",0,$T701)/Config!$B$23)*100)))),MIN(100,Config!$B$27*MAX(0,MIN(100,(1-IF($R701="",0,$R701))*100)) + Config!$B$28*MAX(0,MIN(100,(1-MIN(1,IF(Config!$B$30=0,1,$S701/Config!$B$30)))*100)) + Config!$B$29*MAX(0,MIN(100,MIN(1,IF($T701="",0,$T701)/Config!$B$23)*100))))),"")
</f>
        <v/>
      </c>
      <c r="V701" s="40" t="str">
        <f>IF(Bids!$D700="","",Bids!$D700)</f>
        <v/>
      </c>
      <c r="W701" s="40" t="str">
        <f>IF(Bids!$F700="","",Bids!$F700)</f>
        <v/>
      </c>
      <c r="X701" s="40" t="str">
        <f t="shared" si="5"/>
        <v/>
      </c>
      <c r="Y701" s="40" t="str">
        <f>IF($X701="","",IF(Config!$B$17=Config!$B$16,IF($X701&gt;=Config!$B$17,100,0),MAX(0,MIN(100,($X701-Config!$B$16)/(Config!$B$17-Config!$B$16)*100))))</f>
        <v/>
      </c>
      <c r="Z701" s="40">
        <f>IF($M701="Elite",Config!$B$21,0)</f>
        <v>0</v>
      </c>
      <c r="AA701" s="40" t="str">
        <f>IFERROR(IF(OR($W701="",$H701=""),"",IF($W701&gt;$H701,
  MAX(0, 60-(($W701-$H701)*24/Config!$B$19)*60),
  MIN(100, 60+(($H701-$W701)*24/Config!$B$20)*40)
)),"")
</f>
        <v/>
      </c>
      <c r="AB701" s="40" t="str">
        <f>IF($K701="","",IFERROR(VLOOKUP($K701,Grinders!$A$4:$N$998,10,FALSE)/5*100,""))</f>
        <v/>
      </c>
      <c r="AC701" s="40" t="str">
        <f>IF($K701="","",IFERROR(VLOOKUP($K701,Grinders!$A$4:$N$998,11,FALSE)*100,""))</f>
        <v/>
      </c>
      <c r="AD701" s="40" t="str">
        <f>IF($K701="","",IFERROR(VLOOKUP($K701,Grinders!$A$4:$N$998,12,FALSE)*100,""))</f>
        <v/>
      </c>
      <c r="AE701" s="40">
        <f>IFERROR(IFS(
    OR($C701="", $K701=""), 0,
    $F701=0, 0,
    $D701&lt;&gt;"Open", 0,
    COUNTIFS(GrinderServices!$B$4:$B$998, $K701, GrinderServices!$C$4:$C$998, $E701, GrinderServices!$E$4:$E$998, "Y")=0, 0,
    $X701&lt;Config!$B$16, 0,
    Config!$B$18=1, IF($O701&gt;=N701, 0, 1),
    TRUE, 1
), "")
</f>
        <v>0</v>
      </c>
      <c r="AF701" s="40" t="str">
        <f>IFERROR(IF($AE701=0,"",((Config!$B$6*$Y701 + Config!$B$7*$U701 + Config!$B$8*$Z701 + Config!$B$9*$AA701 + Config!$B$10*$AB701 + Config!$B$11*$AC701 - Config!$B$12*$AD701)/Config!$B$13)+$AK701+$AL701),"")</f>
        <v/>
      </c>
      <c r="AG701" s="40" t="str">
        <f t="shared" si="6"/>
        <v/>
      </c>
      <c r="AH701" s="40" t="str">
        <f t="shared" si="7"/>
        <v/>
      </c>
      <c r="AI701" s="40" t="str">
        <f t="shared" si="8"/>
        <v/>
      </c>
      <c r="AJ701" s="40" t="str">
        <f>IF($K701="","",COUNTIF(Assignments!$B$6:$B$1000,$K701))</f>
        <v/>
      </c>
      <c r="AK701" s="40" t="str">
        <f>IF($K701="","",IF(AND($AJ701=0,$O701&lt;$N701),Config!$B$43,0))</f>
        <v/>
      </c>
      <c r="AL701" s="40" t="str">
        <f>IF($K701="","",IF(AND($M701="Elite",$G701&gt;=Config!$B$41,$O701&lt;$N701),Config!$B$42,0))</f>
        <v/>
      </c>
      <c r="AM701" s="22"/>
    </row>
    <row r="702" ht="15.75" customHeight="1">
      <c r="A702" s="40" t="str">
        <f t="shared" si="1"/>
        <v/>
      </c>
      <c r="B702" s="40" t="str">
        <f>IF(Bids!$A701="","",Bids!$A701)</f>
        <v/>
      </c>
      <c r="C702" s="40" t="str">
        <f>IF(Bids!$B701="","",Bids!$B701)</f>
        <v/>
      </c>
      <c r="D702" s="40" t="str">
        <f>IF($C702="","",IFERROR(VLOOKUP($C702,Orders!$A$4:$J$998,9,FALSE),""))</f>
        <v/>
      </c>
      <c r="E702" s="40" t="str">
        <f>IF($C702="","",IFERROR(VLOOKUP($C702,Orders!$A$4:$J$998,3,FALSE),""))</f>
        <v/>
      </c>
      <c r="F702" s="40">
        <f t="shared" si="2"/>
        <v>1</v>
      </c>
      <c r="G702" s="40" t="str">
        <f>IF($C702="","",IFERROR(VLOOKUP($C702,Orders!$A$4:$J$998,4,FALSE),""))</f>
        <v/>
      </c>
      <c r="H702" s="40" t="str">
        <f>IF($C702="","",IFERROR(VLOOKUP($C702,Orders!$A$4:$J$998,5,FALSE),""))</f>
        <v/>
      </c>
      <c r="I702" s="40" t="str">
        <f>IF($C702="","",IFERROR(VLOOKUP($C702,Orders!$A$4:$J$998,6,FALSE),""))</f>
        <v/>
      </c>
      <c r="J702" s="40" t="str">
        <f>IF($C702="","",IFERROR(VLOOKUP($C702,Orders!$A$4:$J$998,7,FALSE),""))</f>
        <v/>
      </c>
      <c r="K702" s="40" t="str">
        <f>IF(Bids!$C701="","",Bids!$C701)</f>
        <v/>
      </c>
      <c r="L702" s="40" t="str">
        <f>IF($K702="","",IFERROR(VLOOKUP($K702,Grinders!$A$4:$N$998,2,FALSE),""))</f>
        <v/>
      </c>
      <c r="M702" s="40" t="str">
        <f>IF($K702="","",IFERROR(VLOOKUP($K702,Grinders!$A$4:$N$998,3,FALSE),""))</f>
        <v/>
      </c>
      <c r="N702" s="40" t="str">
        <f>IF($K702="","",IFERROR(VLOOKUP($K702,Grinders!$A$4:$N$998,4,FALSE),""))</f>
        <v/>
      </c>
      <c r="O702" s="40" t="str">
        <f>IF($K702="","",IFERROR(VLOOKUP($K702,Grinders!$A$4:$N$998,5,FALSE),""))</f>
        <v/>
      </c>
      <c r="P702" s="40" t="str">
        <f>IF($K702="","",IF($C$4="",0,COUNTIFS(Assignments!$B$6:$B$1000,$K702,Assignments!$F$6:$F$1000,$C$4,Assignments!$E$6:$E$1000,"Active")))</f>
        <v/>
      </c>
      <c r="Q702" s="40" t="str">
        <f t="shared" si="3"/>
        <v/>
      </c>
      <c r="R702" s="40" t="str">
        <f t="shared" si="4"/>
        <v/>
      </c>
      <c r="S702" s="40" t="str">
        <f>IF($K702="","",IF($C$4="",0,COUNTIFS(Assignments!$B$6:$B$1000,$K702,Assignments!$F$6:$F$1000,$C$4,Assignments!$D$6:$D$1000,"&gt;="&amp;Config!$B$3-7,Assignments!$D$6:$D$1000,"&lt;="&amp;Config!$B$3)))</f>
        <v/>
      </c>
      <c r="T702" s="40" t="str">
        <f>IF($K702="","",IFERROR(VLOOKUP($K702,Grinders!$A$4:$N$998,8,FALSE),""))</f>
        <v/>
      </c>
      <c r="U702" s="40" t="str">
        <f>IFERROR(IF($K702="","",IF($M702="Elite",MAX(50,MIN(100,Config!$B$27*MAX(0,MIN(100,(1-IF($R702="",0,$R702))*100)) + Config!$B$28*MAX(0,MIN(100,(1-MIN(1,IF(Config!$B$30=0,1,$S702/Config!$B$30)))*100)) + Config!$B$29*MAX(0,MIN(100,MIN(1,IF($T702="",0,$T702)/Config!$B$23)*100)))),MIN(100,Config!$B$27*MAX(0,MIN(100,(1-IF($R702="",0,$R702))*100)) + Config!$B$28*MAX(0,MIN(100,(1-MIN(1,IF(Config!$B$30=0,1,$S702/Config!$B$30)))*100)) + Config!$B$29*MAX(0,MIN(100,MIN(1,IF($T702="",0,$T702)/Config!$B$23)*100))))),"")
</f>
        <v/>
      </c>
      <c r="V702" s="40" t="str">
        <f>IF(Bids!$D701="","",Bids!$D701)</f>
        <v/>
      </c>
      <c r="W702" s="40" t="str">
        <f>IF(Bids!$F701="","",Bids!$F701)</f>
        <v/>
      </c>
      <c r="X702" s="40" t="str">
        <f t="shared" si="5"/>
        <v/>
      </c>
      <c r="Y702" s="40" t="str">
        <f>IF($X702="","",IF(Config!$B$17=Config!$B$16,IF($X702&gt;=Config!$B$17,100,0),MAX(0,MIN(100,($X702-Config!$B$16)/(Config!$B$17-Config!$B$16)*100))))</f>
        <v/>
      </c>
      <c r="Z702" s="40">
        <f>IF($M702="Elite",Config!$B$21,0)</f>
        <v>0</v>
      </c>
      <c r="AA702" s="40" t="str">
        <f>IFERROR(IF(OR($W702="",$H702=""),"",IF($W702&gt;$H702,
  MAX(0, 60-(($W702-$H702)*24/Config!$B$19)*60),
  MIN(100, 60+(($H702-$W702)*24/Config!$B$20)*40)
)),"")
</f>
        <v/>
      </c>
      <c r="AB702" s="40" t="str">
        <f>IF($K702="","",IFERROR(VLOOKUP($K702,Grinders!$A$4:$N$998,10,FALSE)/5*100,""))</f>
        <v/>
      </c>
      <c r="AC702" s="40" t="str">
        <f>IF($K702="","",IFERROR(VLOOKUP($K702,Grinders!$A$4:$N$998,11,FALSE)*100,""))</f>
        <v/>
      </c>
      <c r="AD702" s="40" t="str">
        <f>IF($K702="","",IFERROR(VLOOKUP($K702,Grinders!$A$4:$N$998,12,FALSE)*100,""))</f>
        <v/>
      </c>
      <c r="AE702" s="40">
        <f>IFERROR(IFS(
    OR($C702="", $K702=""), 0,
    $F702=0, 0,
    $D702&lt;&gt;"Open", 0,
    COUNTIFS(GrinderServices!$B$4:$B$998, $K702, GrinderServices!$C$4:$C$998, $E702, GrinderServices!$E$4:$E$998, "Y")=0, 0,
    $X702&lt;Config!$B$16, 0,
    Config!$B$18=1, IF($O702&gt;=N702, 0, 1),
    TRUE, 1
), "")
</f>
        <v>0</v>
      </c>
      <c r="AF702" s="40" t="str">
        <f>IFERROR(IF($AE702=0,"",((Config!$B$6*$Y702 + Config!$B$7*$U702 + Config!$B$8*$Z702 + Config!$B$9*$AA702 + Config!$B$10*$AB702 + Config!$B$11*$AC702 - Config!$B$12*$AD702)/Config!$B$13)+$AK702+$AL702),"")</f>
        <v/>
      </c>
      <c r="AG702" s="40" t="str">
        <f t="shared" si="6"/>
        <v/>
      </c>
      <c r="AH702" s="40" t="str">
        <f t="shared" si="7"/>
        <v/>
      </c>
      <c r="AI702" s="40" t="str">
        <f t="shared" si="8"/>
        <v/>
      </c>
      <c r="AJ702" s="40" t="str">
        <f>IF($K702="","",COUNTIF(Assignments!$B$6:$B$1000,$K702))</f>
        <v/>
      </c>
      <c r="AK702" s="40" t="str">
        <f>IF($K702="","",IF(AND($AJ702=0,$O702&lt;$N702),Config!$B$43,0))</f>
        <v/>
      </c>
      <c r="AL702" s="40" t="str">
        <f>IF($K702="","",IF(AND($M702="Elite",$G702&gt;=Config!$B$41,$O702&lt;$N702),Config!$B$42,0))</f>
        <v/>
      </c>
      <c r="AM702" s="22"/>
    </row>
    <row r="703" ht="15.75" customHeight="1">
      <c r="A703" s="40" t="str">
        <f t="shared" si="1"/>
        <v/>
      </c>
      <c r="B703" s="40" t="str">
        <f>IF(Bids!$A702="","",Bids!$A702)</f>
        <v/>
      </c>
      <c r="C703" s="40" t="str">
        <f>IF(Bids!$B702="","",Bids!$B702)</f>
        <v/>
      </c>
      <c r="D703" s="40" t="str">
        <f>IF($C703="","",IFERROR(VLOOKUP($C703,Orders!$A$4:$J$998,9,FALSE),""))</f>
        <v/>
      </c>
      <c r="E703" s="40" t="str">
        <f>IF($C703="","",IFERROR(VLOOKUP($C703,Orders!$A$4:$J$998,3,FALSE),""))</f>
        <v/>
      </c>
      <c r="F703" s="40">
        <f t="shared" si="2"/>
        <v>1</v>
      </c>
      <c r="G703" s="40" t="str">
        <f>IF($C703="","",IFERROR(VLOOKUP($C703,Orders!$A$4:$J$998,4,FALSE),""))</f>
        <v/>
      </c>
      <c r="H703" s="40" t="str">
        <f>IF($C703="","",IFERROR(VLOOKUP($C703,Orders!$A$4:$J$998,5,FALSE),""))</f>
        <v/>
      </c>
      <c r="I703" s="40" t="str">
        <f>IF($C703="","",IFERROR(VLOOKUP($C703,Orders!$A$4:$J$998,6,FALSE),""))</f>
        <v/>
      </c>
      <c r="J703" s="40" t="str">
        <f>IF($C703="","",IFERROR(VLOOKUP($C703,Orders!$A$4:$J$998,7,FALSE),""))</f>
        <v/>
      </c>
      <c r="K703" s="40" t="str">
        <f>IF(Bids!$C702="","",Bids!$C702)</f>
        <v/>
      </c>
      <c r="L703" s="40" t="str">
        <f>IF($K703="","",IFERROR(VLOOKUP($K703,Grinders!$A$4:$N$998,2,FALSE),""))</f>
        <v/>
      </c>
      <c r="M703" s="40" t="str">
        <f>IF($K703="","",IFERROR(VLOOKUP($K703,Grinders!$A$4:$N$998,3,FALSE),""))</f>
        <v/>
      </c>
      <c r="N703" s="40" t="str">
        <f>IF($K703="","",IFERROR(VLOOKUP($K703,Grinders!$A$4:$N$998,4,FALSE),""))</f>
        <v/>
      </c>
      <c r="O703" s="40" t="str">
        <f>IF($K703="","",IFERROR(VLOOKUP($K703,Grinders!$A$4:$N$998,5,FALSE),""))</f>
        <v/>
      </c>
      <c r="P703" s="40" t="str">
        <f>IF($K703="","",IF($C$4="",0,COUNTIFS(Assignments!$B$6:$B$1000,$K703,Assignments!$F$6:$F$1000,$C$4,Assignments!$E$6:$E$1000,"Active")))</f>
        <v/>
      </c>
      <c r="Q703" s="40" t="str">
        <f t="shared" si="3"/>
        <v/>
      </c>
      <c r="R703" s="40" t="str">
        <f t="shared" si="4"/>
        <v/>
      </c>
      <c r="S703" s="40" t="str">
        <f>IF($K703="","",IF($C$4="",0,COUNTIFS(Assignments!$B$6:$B$1000,$K703,Assignments!$F$6:$F$1000,$C$4,Assignments!$D$6:$D$1000,"&gt;="&amp;Config!$B$3-7,Assignments!$D$6:$D$1000,"&lt;="&amp;Config!$B$3)))</f>
        <v/>
      </c>
      <c r="T703" s="40" t="str">
        <f>IF($K703="","",IFERROR(VLOOKUP($K703,Grinders!$A$4:$N$998,8,FALSE),""))</f>
        <v/>
      </c>
      <c r="U703" s="40" t="str">
        <f>IFERROR(IF($K703="","",IF($M703="Elite",MAX(50,MIN(100,Config!$B$27*MAX(0,MIN(100,(1-IF($R703="",0,$R703))*100)) + Config!$B$28*MAX(0,MIN(100,(1-MIN(1,IF(Config!$B$30=0,1,$S703/Config!$B$30)))*100)) + Config!$B$29*MAX(0,MIN(100,MIN(1,IF($T703="",0,$T703)/Config!$B$23)*100)))),MIN(100,Config!$B$27*MAX(0,MIN(100,(1-IF($R703="",0,$R703))*100)) + Config!$B$28*MAX(0,MIN(100,(1-MIN(1,IF(Config!$B$30=0,1,$S703/Config!$B$30)))*100)) + Config!$B$29*MAX(0,MIN(100,MIN(1,IF($T703="",0,$T703)/Config!$B$23)*100))))),"")
</f>
        <v/>
      </c>
      <c r="V703" s="40" t="str">
        <f>IF(Bids!$D702="","",Bids!$D702)</f>
        <v/>
      </c>
      <c r="W703" s="40" t="str">
        <f>IF(Bids!$F702="","",Bids!$F702)</f>
        <v/>
      </c>
      <c r="X703" s="40" t="str">
        <f t="shared" si="5"/>
        <v/>
      </c>
      <c r="Y703" s="40" t="str">
        <f>IF($X703="","",IF(Config!$B$17=Config!$B$16,IF($X703&gt;=Config!$B$17,100,0),MAX(0,MIN(100,($X703-Config!$B$16)/(Config!$B$17-Config!$B$16)*100))))</f>
        <v/>
      </c>
      <c r="Z703" s="40">
        <f>IF($M703="Elite",Config!$B$21,0)</f>
        <v>0</v>
      </c>
      <c r="AA703" s="40" t="str">
        <f>IFERROR(IF(OR($W703="",$H703=""),"",IF($W703&gt;$H703,
  MAX(0, 60-(($W703-$H703)*24/Config!$B$19)*60),
  MIN(100, 60+(($H703-$W703)*24/Config!$B$20)*40)
)),"")
</f>
        <v/>
      </c>
      <c r="AB703" s="40" t="str">
        <f>IF($K703="","",IFERROR(VLOOKUP($K703,Grinders!$A$4:$N$998,10,FALSE)/5*100,""))</f>
        <v/>
      </c>
      <c r="AC703" s="40" t="str">
        <f>IF($K703="","",IFERROR(VLOOKUP($K703,Grinders!$A$4:$N$998,11,FALSE)*100,""))</f>
        <v/>
      </c>
      <c r="AD703" s="40" t="str">
        <f>IF($K703="","",IFERROR(VLOOKUP($K703,Grinders!$A$4:$N$998,12,FALSE)*100,""))</f>
        <v/>
      </c>
      <c r="AE703" s="40">
        <f>IFERROR(IFS(
    OR($C703="", $K703=""), 0,
    $F703=0, 0,
    $D703&lt;&gt;"Open", 0,
    COUNTIFS(GrinderServices!$B$4:$B$998, $K703, GrinderServices!$C$4:$C$998, $E703, GrinderServices!$E$4:$E$998, "Y")=0, 0,
    $X703&lt;Config!$B$16, 0,
    Config!$B$18=1, IF($O703&gt;=N703, 0, 1),
    TRUE, 1
), "")
</f>
        <v>0</v>
      </c>
      <c r="AF703" s="40" t="str">
        <f>IFERROR(IF($AE703=0,"",((Config!$B$6*$Y703 + Config!$B$7*$U703 + Config!$B$8*$Z703 + Config!$B$9*$AA703 + Config!$B$10*$AB703 + Config!$B$11*$AC703 - Config!$B$12*$AD703)/Config!$B$13)+$AK703+$AL703),"")</f>
        <v/>
      </c>
      <c r="AG703" s="40" t="str">
        <f t="shared" si="6"/>
        <v/>
      </c>
      <c r="AH703" s="40" t="str">
        <f t="shared" si="7"/>
        <v/>
      </c>
      <c r="AI703" s="40" t="str">
        <f t="shared" si="8"/>
        <v/>
      </c>
      <c r="AJ703" s="40" t="str">
        <f>IF($K703="","",COUNTIF(Assignments!$B$6:$B$1000,$K703))</f>
        <v/>
      </c>
      <c r="AK703" s="40" t="str">
        <f>IF($K703="","",IF(AND($AJ703=0,$O703&lt;$N703),Config!$B$43,0))</f>
        <v/>
      </c>
      <c r="AL703" s="40" t="str">
        <f>IF($K703="","",IF(AND($M703="Elite",$G703&gt;=Config!$B$41,$O703&lt;$N703),Config!$B$42,0))</f>
        <v/>
      </c>
      <c r="AM703" s="22"/>
    </row>
    <row r="704" ht="15.75" customHeight="1">
      <c r="A704" s="40" t="str">
        <f t="shared" si="1"/>
        <v/>
      </c>
      <c r="B704" s="40" t="str">
        <f>IF(Bids!$A703="","",Bids!$A703)</f>
        <v/>
      </c>
      <c r="C704" s="40" t="str">
        <f>IF(Bids!$B703="","",Bids!$B703)</f>
        <v/>
      </c>
      <c r="D704" s="40" t="str">
        <f>IF($C704="","",IFERROR(VLOOKUP($C704,Orders!$A$4:$J$998,9,FALSE),""))</f>
        <v/>
      </c>
      <c r="E704" s="40" t="str">
        <f>IF($C704="","",IFERROR(VLOOKUP($C704,Orders!$A$4:$J$998,3,FALSE),""))</f>
        <v/>
      </c>
      <c r="F704" s="40">
        <f t="shared" si="2"/>
        <v>1</v>
      </c>
      <c r="G704" s="40" t="str">
        <f>IF($C704="","",IFERROR(VLOOKUP($C704,Orders!$A$4:$J$998,4,FALSE),""))</f>
        <v/>
      </c>
      <c r="H704" s="40" t="str">
        <f>IF($C704="","",IFERROR(VLOOKUP($C704,Orders!$A$4:$J$998,5,FALSE),""))</f>
        <v/>
      </c>
      <c r="I704" s="40" t="str">
        <f>IF($C704="","",IFERROR(VLOOKUP($C704,Orders!$A$4:$J$998,6,FALSE),""))</f>
        <v/>
      </c>
      <c r="J704" s="40" t="str">
        <f>IF($C704="","",IFERROR(VLOOKUP($C704,Orders!$A$4:$J$998,7,FALSE),""))</f>
        <v/>
      </c>
      <c r="K704" s="40" t="str">
        <f>IF(Bids!$C703="","",Bids!$C703)</f>
        <v/>
      </c>
      <c r="L704" s="40" t="str">
        <f>IF($K704="","",IFERROR(VLOOKUP($K704,Grinders!$A$4:$N$998,2,FALSE),""))</f>
        <v/>
      </c>
      <c r="M704" s="40" t="str">
        <f>IF($K704="","",IFERROR(VLOOKUP($K704,Grinders!$A$4:$N$998,3,FALSE),""))</f>
        <v/>
      </c>
      <c r="N704" s="40" t="str">
        <f>IF($K704="","",IFERROR(VLOOKUP($K704,Grinders!$A$4:$N$998,4,FALSE),""))</f>
        <v/>
      </c>
      <c r="O704" s="40" t="str">
        <f>IF($K704="","",IFERROR(VLOOKUP($K704,Grinders!$A$4:$N$998,5,FALSE),""))</f>
        <v/>
      </c>
      <c r="P704" s="40" t="str">
        <f>IF($K704="","",IF($C$4="",0,COUNTIFS(Assignments!$B$6:$B$1000,$K704,Assignments!$F$6:$F$1000,$C$4,Assignments!$E$6:$E$1000,"Active")))</f>
        <v/>
      </c>
      <c r="Q704" s="40" t="str">
        <f t="shared" si="3"/>
        <v/>
      </c>
      <c r="R704" s="40" t="str">
        <f t="shared" si="4"/>
        <v/>
      </c>
      <c r="S704" s="40" t="str">
        <f>IF($K704="","",IF($C$4="",0,COUNTIFS(Assignments!$B$6:$B$1000,$K704,Assignments!$F$6:$F$1000,$C$4,Assignments!$D$6:$D$1000,"&gt;="&amp;Config!$B$3-7,Assignments!$D$6:$D$1000,"&lt;="&amp;Config!$B$3)))</f>
        <v/>
      </c>
      <c r="T704" s="40" t="str">
        <f>IF($K704="","",IFERROR(VLOOKUP($K704,Grinders!$A$4:$N$998,8,FALSE),""))</f>
        <v/>
      </c>
      <c r="U704" s="40" t="str">
        <f>IFERROR(IF($K704="","",IF($M704="Elite",MAX(50,MIN(100,Config!$B$27*MAX(0,MIN(100,(1-IF($R704="",0,$R704))*100)) + Config!$B$28*MAX(0,MIN(100,(1-MIN(1,IF(Config!$B$30=0,1,$S704/Config!$B$30)))*100)) + Config!$B$29*MAX(0,MIN(100,MIN(1,IF($T704="",0,$T704)/Config!$B$23)*100)))),MIN(100,Config!$B$27*MAX(0,MIN(100,(1-IF($R704="",0,$R704))*100)) + Config!$B$28*MAX(0,MIN(100,(1-MIN(1,IF(Config!$B$30=0,1,$S704/Config!$B$30)))*100)) + Config!$B$29*MAX(0,MIN(100,MIN(1,IF($T704="",0,$T704)/Config!$B$23)*100))))),"")
</f>
        <v/>
      </c>
      <c r="V704" s="40" t="str">
        <f>IF(Bids!$D703="","",Bids!$D703)</f>
        <v/>
      </c>
      <c r="W704" s="40" t="str">
        <f>IF(Bids!$F703="","",Bids!$F703)</f>
        <v/>
      </c>
      <c r="X704" s="40" t="str">
        <f t="shared" si="5"/>
        <v/>
      </c>
      <c r="Y704" s="40" t="str">
        <f>IF($X704="","",IF(Config!$B$17=Config!$B$16,IF($X704&gt;=Config!$B$17,100,0),MAX(0,MIN(100,($X704-Config!$B$16)/(Config!$B$17-Config!$B$16)*100))))</f>
        <v/>
      </c>
      <c r="Z704" s="40">
        <f>IF($M704="Elite",Config!$B$21,0)</f>
        <v>0</v>
      </c>
      <c r="AA704" s="40" t="str">
        <f>IFERROR(IF(OR($W704="",$H704=""),"",IF($W704&gt;$H704,
  MAX(0, 60-(($W704-$H704)*24/Config!$B$19)*60),
  MIN(100, 60+(($H704-$W704)*24/Config!$B$20)*40)
)),"")
</f>
        <v/>
      </c>
      <c r="AB704" s="40" t="str">
        <f>IF($K704="","",IFERROR(VLOOKUP($K704,Grinders!$A$4:$N$998,10,FALSE)/5*100,""))</f>
        <v/>
      </c>
      <c r="AC704" s="40" t="str">
        <f>IF($K704="","",IFERROR(VLOOKUP($K704,Grinders!$A$4:$N$998,11,FALSE)*100,""))</f>
        <v/>
      </c>
      <c r="AD704" s="40" t="str">
        <f>IF($K704="","",IFERROR(VLOOKUP($K704,Grinders!$A$4:$N$998,12,FALSE)*100,""))</f>
        <v/>
      </c>
      <c r="AE704" s="40">
        <f>IFERROR(IFS(
    OR($C704="", $K704=""), 0,
    $F704=0, 0,
    $D704&lt;&gt;"Open", 0,
    COUNTIFS(GrinderServices!$B$4:$B$998, $K704, GrinderServices!$C$4:$C$998, $E704, GrinderServices!$E$4:$E$998, "Y")=0, 0,
    $X704&lt;Config!$B$16, 0,
    Config!$B$18=1, IF($O704&gt;=N704, 0, 1),
    TRUE, 1
), "")
</f>
        <v>0</v>
      </c>
      <c r="AF704" s="40" t="str">
        <f>IFERROR(IF($AE704=0,"",((Config!$B$6*$Y704 + Config!$B$7*$U704 + Config!$B$8*$Z704 + Config!$B$9*$AA704 + Config!$B$10*$AB704 + Config!$B$11*$AC704 - Config!$B$12*$AD704)/Config!$B$13)+$AK704+$AL704),"")</f>
        <v/>
      </c>
      <c r="AG704" s="40" t="str">
        <f t="shared" si="6"/>
        <v/>
      </c>
      <c r="AH704" s="40" t="str">
        <f t="shared" si="7"/>
        <v/>
      </c>
      <c r="AI704" s="40" t="str">
        <f t="shared" si="8"/>
        <v/>
      </c>
      <c r="AJ704" s="40" t="str">
        <f>IF($K704="","",COUNTIF(Assignments!$B$6:$B$1000,$K704))</f>
        <v/>
      </c>
      <c r="AK704" s="40" t="str">
        <f>IF($K704="","",IF(AND($AJ704=0,$O704&lt;$N704),Config!$B$43,0))</f>
        <v/>
      </c>
      <c r="AL704" s="40" t="str">
        <f>IF($K704="","",IF(AND($M704="Elite",$G704&gt;=Config!$B$41,$O704&lt;$N704),Config!$B$42,0))</f>
        <v/>
      </c>
      <c r="AM704" s="22"/>
    </row>
    <row r="705" ht="15.75" customHeight="1">
      <c r="A705" s="40" t="str">
        <f t="shared" si="1"/>
        <v/>
      </c>
      <c r="B705" s="40" t="str">
        <f>IF(Bids!$A704="","",Bids!$A704)</f>
        <v/>
      </c>
      <c r="C705" s="40" t="str">
        <f>IF(Bids!$B704="","",Bids!$B704)</f>
        <v/>
      </c>
      <c r="D705" s="40" t="str">
        <f>IF($C705="","",IFERROR(VLOOKUP($C705,Orders!$A$4:$J$998,9,FALSE),""))</f>
        <v/>
      </c>
      <c r="E705" s="40" t="str">
        <f>IF($C705="","",IFERROR(VLOOKUP($C705,Orders!$A$4:$J$998,3,FALSE),""))</f>
        <v/>
      </c>
      <c r="F705" s="40">
        <f t="shared" si="2"/>
        <v>1</v>
      </c>
      <c r="G705" s="40" t="str">
        <f>IF($C705="","",IFERROR(VLOOKUP($C705,Orders!$A$4:$J$998,4,FALSE),""))</f>
        <v/>
      </c>
      <c r="H705" s="40" t="str">
        <f>IF($C705="","",IFERROR(VLOOKUP($C705,Orders!$A$4:$J$998,5,FALSE),""))</f>
        <v/>
      </c>
      <c r="I705" s="40" t="str">
        <f>IF($C705="","",IFERROR(VLOOKUP($C705,Orders!$A$4:$J$998,6,FALSE),""))</f>
        <v/>
      </c>
      <c r="J705" s="40" t="str">
        <f>IF($C705="","",IFERROR(VLOOKUP($C705,Orders!$A$4:$J$998,7,FALSE),""))</f>
        <v/>
      </c>
      <c r="K705" s="40" t="str">
        <f>IF(Bids!$C704="","",Bids!$C704)</f>
        <v/>
      </c>
      <c r="L705" s="40" t="str">
        <f>IF($K705="","",IFERROR(VLOOKUP($K705,Grinders!$A$4:$N$998,2,FALSE),""))</f>
        <v/>
      </c>
      <c r="M705" s="40" t="str">
        <f>IF($K705="","",IFERROR(VLOOKUP($K705,Grinders!$A$4:$N$998,3,FALSE),""))</f>
        <v/>
      </c>
      <c r="N705" s="40" t="str">
        <f>IF($K705="","",IFERROR(VLOOKUP($K705,Grinders!$A$4:$N$998,4,FALSE),""))</f>
        <v/>
      </c>
      <c r="O705" s="40" t="str">
        <f>IF($K705="","",IFERROR(VLOOKUP($K705,Grinders!$A$4:$N$998,5,FALSE),""))</f>
        <v/>
      </c>
      <c r="P705" s="40" t="str">
        <f>IF($K705="","",IF($C$4="",0,COUNTIFS(Assignments!$B$6:$B$1000,$K705,Assignments!$F$6:$F$1000,$C$4,Assignments!$E$6:$E$1000,"Active")))</f>
        <v/>
      </c>
      <c r="Q705" s="40" t="str">
        <f t="shared" si="3"/>
        <v/>
      </c>
      <c r="R705" s="40" t="str">
        <f t="shared" si="4"/>
        <v/>
      </c>
      <c r="S705" s="40" t="str">
        <f>IF($K705="","",IF($C$4="",0,COUNTIFS(Assignments!$B$6:$B$1000,$K705,Assignments!$F$6:$F$1000,$C$4,Assignments!$D$6:$D$1000,"&gt;="&amp;Config!$B$3-7,Assignments!$D$6:$D$1000,"&lt;="&amp;Config!$B$3)))</f>
        <v/>
      </c>
      <c r="T705" s="40" t="str">
        <f>IF($K705="","",IFERROR(VLOOKUP($K705,Grinders!$A$4:$N$998,8,FALSE),""))</f>
        <v/>
      </c>
      <c r="U705" s="40" t="str">
        <f>IFERROR(IF($K705="","",IF($M705="Elite",MAX(50,MIN(100,Config!$B$27*MAX(0,MIN(100,(1-IF($R705="",0,$R705))*100)) + Config!$B$28*MAX(0,MIN(100,(1-MIN(1,IF(Config!$B$30=0,1,$S705/Config!$B$30)))*100)) + Config!$B$29*MAX(0,MIN(100,MIN(1,IF($T705="",0,$T705)/Config!$B$23)*100)))),MIN(100,Config!$B$27*MAX(0,MIN(100,(1-IF($R705="",0,$R705))*100)) + Config!$B$28*MAX(0,MIN(100,(1-MIN(1,IF(Config!$B$30=0,1,$S705/Config!$B$30)))*100)) + Config!$B$29*MAX(0,MIN(100,MIN(1,IF($T705="",0,$T705)/Config!$B$23)*100))))),"")
</f>
        <v/>
      </c>
      <c r="V705" s="40" t="str">
        <f>IF(Bids!$D704="","",Bids!$D704)</f>
        <v/>
      </c>
      <c r="W705" s="40" t="str">
        <f>IF(Bids!$F704="","",Bids!$F704)</f>
        <v/>
      </c>
      <c r="X705" s="40" t="str">
        <f t="shared" si="5"/>
        <v/>
      </c>
      <c r="Y705" s="40" t="str">
        <f>IF($X705="","",IF(Config!$B$17=Config!$B$16,IF($X705&gt;=Config!$B$17,100,0),MAX(0,MIN(100,($X705-Config!$B$16)/(Config!$B$17-Config!$B$16)*100))))</f>
        <v/>
      </c>
      <c r="Z705" s="40">
        <f>IF($M705="Elite",Config!$B$21,0)</f>
        <v>0</v>
      </c>
      <c r="AA705" s="40" t="str">
        <f>IFERROR(IF(OR($W705="",$H705=""),"",IF($W705&gt;$H705,
  MAX(0, 60-(($W705-$H705)*24/Config!$B$19)*60),
  MIN(100, 60+(($H705-$W705)*24/Config!$B$20)*40)
)),"")
</f>
        <v/>
      </c>
      <c r="AB705" s="40" t="str">
        <f>IF($K705="","",IFERROR(VLOOKUP($K705,Grinders!$A$4:$N$998,10,FALSE)/5*100,""))</f>
        <v/>
      </c>
      <c r="AC705" s="40" t="str">
        <f>IF($K705="","",IFERROR(VLOOKUP($K705,Grinders!$A$4:$N$998,11,FALSE)*100,""))</f>
        <v/>
      </c>
      <c r="AD705" s="40" t="str">
        <f>IF($K705="","",IFERROR(VLOOKUP($K705,Grinders!$A$4:$N$998,12,FALSE)*100,""))</f>
        <v/>
      </c>
      <c r="AE705" s="40">
        <f>IFERROR(IFS(
    OR($C705="", $K705=""), 0,
    $F705=0, 0,
    $D705&lt;&gt;"Open", 0,
    COUNTIFS(GrinderServices!$B$4:$B$998, $K705, GrinderServices!$C$4:$C$998, $E705, GrinderServices!$E$4:$E$998, "Y")=0, 0,
    $X705&lt;Config!$B$16, 0,
    Config!$B$18=1, IF($O705&gt;=N705, 0, 1),
    TRUE, 1
), "")
</f>
        <v>0</v>
      </c>
      <c r="AF705" s="40" t="str">
        <f>IFERROR(IF($AE705=0,"",((Config!$B$6*$Y705 + Config!$B$7*$U705 + Config!$B$8*$Z705 + Config!$B$9*$AA705 + Config!$B$10*$AB705 + Config!$B$11*$AC705 - Config!$B$12*$AD705)/Config!$B$13)+$AK705+$AL705),"")</f>
        <v/>
      </c>
      <c r="AG705" s="40" t="str">
        <f t="shared" si="6"/>
        <v/>
      </c>
      <c r="AH705" s="40" t="str">
        <f t="shared" si="7"/>
        <v/>
      </c>
      <c r="AI705" s="40" t="str">
        <f t="shared" si="8"/>
        <v/>
      </c>
      <c r="AJ705" s="40" t="str">
        <f>IF($K705="","",COUNTIF(Assignments!$B$6:$B$1000,$K705))</f>
        <v/>
      </c>
      <c r="AK705" s="40" t="str">
        <f>IF($K705="","",IF(AND($AJ705=0,$O705&lt;$N705),Config!$B$43,0))</f>
        <v/>
      </c>
      <c r="AL705" s="40" t="str">
        <f>IF($K705="","",IF(AND($M705="Elite",$G705&gt;=Config!$B$41,$O705&lt;$N705),Config!$B$42,0))</f>
        <v/>
      </c>
      <c r="AM705" s="22"/>
    </row>
    <row r="706" ht="15.75" customHeight="1">
      <c r="A706" s="40" t="str">
        <f t="shared" si="1"/>
        <v/>
      </c>
      <c r="B706" s="40" t="str">
        <f>IF(Bids!$A705="","",Bids!$A705)</f>
        <v/>
      </c>
      <c r="C706" s="40" t="str">
        <f>IF(Bids!$B705="","",Bids!$B705)</f>
        <v/>
      </c>
      <c r="D706" s="40" t="str">
        <f>IF($C706="","",IFERROR(VLOOKUP($C706,Orders!$A$4:$J$998,9,FALSE),""))</f>
        <v/>
      </c>
      <c r="E706" s="40" t="str">
        <f>IF($C706="","",IFERROR(VLOOKUP($C706,Orders!$A$4:$J$998,3,FALSE),""))</f>
        <v/>
      </c>
      <c r="F706" s="40">
        <f t="shared" si="2"/>
        <v>1</v>
      </c>
      <c r="G706" s="40" t="str">
        <f>IF($C706="","",IFERROR(VLOOKUP($C706,Orders!$A$4:$J$998,4,FALSE),""))</f>
        <v/>
      </c>
      <c r="H706" s="40" t="str">
        <f>IF($C706="","",IFERROR(VLOOKUP($C706,Orders!$A$4:$J$998,5,FALSE),""))</f>
        <v/>
      </c>
      <c r="I706" s="40" t="str">
        <f>IF($C706="","",IFERROR(VLOOKUP($C706,Orders!$A$4:$J$998,6,FALSE),""))</f>
        <v/>
      </c>
      <c r="J706" s="40" t="str">
        <f>IF($C706="","",IFERROR(VLOOKUP($C706,Orders!$A$4:$J$998,7,FALSE),""))</f>
        <v/>
      </c>
      <c r="K706" s="40" t="str">
        <f>IF(Bids!$C705="","",Bids!$C705)</f>
        <v/>
      </c>
      <c r="L706" s="40" t="str">
        <f>IF($K706="","",IFERROR(VLOOKUP($K706,Grinders!$A$4:$N$998,2,FALSE),""))</f>
        <v/>
      </c>
      <c r="M706" s="40" t="str">
        <f>IF($K706="","",IFERROR(VLOOKUP($K706,Grinders!$A$4:$N$998,3,FALSE),""))</f>
        <v/>
      </c>
      <c r="N706" s="40" t="str">
        <f>IF($K706="","",IFERROR(VLOOKUP($K706,Grinders!$A$4:$N$998,4,FALSE),""))</f>
        <v/>
      </c>
      <c r="O706" s="40" t="str">
        <f>IF($K706="","",IFERROR(VLOOKUP($K706,Grinders!$A$4:$N$998,5,FALSE),""))</f>
        <v/>
      </c>
      <c r="P706" s="40" t="str">
        <f>IF($K706="","",IF($C$4="",0,COUNTIFS(Assignments!$B$6:$B$1000,$K706,Assignments!$F$6:$F$1000,$C$4,Assignments!$E$6:$E$1000,"Active")))</f>
        <v/>
      </c>
      <c r="Q706" s="40" t="str">
        <f t="shared" si="3"/>
        <v/>
      </c>
      <c r="R706" s="40" t="str">
        <f t="shared" si="4"/>
        <v/>
      </c>
      <c r="S706" s="40" t="str">
        <f>IF($K706="","",IF($C$4="",0,COUNTIFS(Assignments!$B$6:$B$1000,$K706,Assignments!$F$6:$F$1000,$C$4,Assignments!$D$6:$D$1000,"&gt;="&amp;Config!$B$3-7,Assignments!$D$6:$D$1000,"&lt;="&amp;Config!$B$3)))</f>
        <v/>
      </c>
      <c r="T706" s="40" t="str">
        <f>IF($K706="","",IFERROR(VLOOKUP($K706,Grinders!$A$4:$N$998,8,FALSE),""))</f>
        <v/>
      </c>
      <c r="U706" s="40" t="str">
        <f>IFERROR(IF($K706="","",IF($M706="Elite",MAX(50,MIN(100,Config!$B$27*MAX(0,MIN(100,(1-IF($R706="",0,$R706))*100)) + Config!$B$28*MAX(0,MIN(100,(1-MIN(1,IF(Config!$B$30=0,1,$S706/Config!$B$30)))*100)) + Config!$B$29*MAX(0,MIN(100,MIN(1,IF($T706="",0,$T706)/Config!$B$23)*100)))),MIN(100,Config!$B$27*MAX(0,MIN(100,(1-IF($R706="",0,$R706))*100)) + Config!$B$28*MAX(0,MIN(100,(1-MIN(1,IF(Config!$B$30=0,1,$S706/Config!$B$30)))*100)) + Config!$B$29*MAX(0,MIN(100,MIN(1,IF($T706="",0,$T706)/Config!$B$23)*100))))),"")
</f>
        <v/>
      </c>
      <c r="V706" s="40" t="str">
        <f>IF(Bids!$D705="","",Bids!$D705)</f>
        <v/>
      </c>
      <c r="W706" s="40" t="str">
        <f>IF(Bids!$F705="","",Bids!$F705)</f>
        <v/>
      </c>
      <c r="X706" s="40" t="str">
        <f t="shared" si="5"/>
        <v/>
      </c>
      <c r="Y706" s="40" t="str">
        <f>IF($X706="","",IF(Config!$B$17=Config!$B$16,IF($X706&gt;=Config!$B$17,100,0),MAX(0,MIN(100,($X706-Config!$B$16)/(Config!$B$17-Config!$B$16)*100))))</f>
        <v/>
      </c>
      <c r="Z706" s="40">
        <f>IF($M706="Elite",Config!$B$21,0)</f>
        <v>0</v>
      </c>
      <c r="AA706" s="40" t="str">
        <f>IFERROR(IF(OR($W706="",$H706=""),"",IF($W706&gt;$H706,
  MAX(0, 60-(($W706-$H706)*24/Config!$B$19)*60),
  MIN(100, 60+(($H706-$W706)*24/Config!$B$20)*40)
)),"")
</f>
        <v/>
      </c>
      <c r="AB706" s="40" t="str">
        <f>IF($K706="","",IFERROR(VLOOKUP($K706,Grinders!$A$4:$N$998,10,FALSE)/5*100,""))</f>
        <v/>
      </c>
      <c r="AC706" s="40" t="str">
        <f>IF($K706="","",IFERROR(VLOOKUP($K706,Grinders!$A$4:$N$998,11,FALSE)*100,""))</f>
        <v/>
      </c>
      <c r="AD706" s="40" t="str">
        <f>IF($K706="","",IFERROR(VLOOKUP($K706,Grinders!$A$4:$N$998,12,FALSE)*100,""))</f>
        <v/>
      </c>
      <c r="AE706" s="40">
        <f>IFERROR(IFS(
    OR($C706="", $K706=""), 0,
    $F706=0, 0,
    $D706&lt;&gt;"Open", 0,
    COUNTIFS(GrinderServices!$B$4:$B$998, $K706, GrinderServices!$C$4:$C$998, $E706, GrinderServices!$E$4:$E$998, "Y")=0, 0,
    $X706&lt;Config!$B$16, 0,
    Config!$B$18=1, IF($O706&gt;=N706, 0, 1),
    TRUE, 1
), "")
</f>
        <v>0</v>
      </c>
      <c r="AF706" s="40" t="str">
        <f>IFERROR(IF($AE706=0,"",((Config!$B$6*$Y706 + Config!$B$7*$U706 + Config!$B$8*$Z706 + Config!$B$9*$AA706 + Config!$B$10*$AB706 + Config!$B$11*$AC706 - Config!$B$12*$AD706)/Config!$B$13)+$AK706+$AL706),"")</f>
        <v/>
      </c>
      <c r="AG706" s="40" t="str">
        <f t="shared" si="6"/>
        <v/>
      </c>
      <c r="AH706" s="40" t="str">
        <f t="shared" si="7"/>
        <v/>
      </c>
      <c r="AI706" s="40" t="str">
        <f t="shared" si="8"/>
        <v/>
      </c>
      <c r="AJ706" s="40" t="str">
        <f>IF($K706="","",COUNTIF(Assignments!$B$6:$B$1000,$K706))</f>
        <v/>
      </c>
      <c r="AK706" s="40" t="str">
        <f>IF($K706="","",IF(AND($AJ706=0,$O706&lt;$N706),Config!$B$43,0))</f>
        <v/>
      </c>
      <c r="AL706" s="40" t="str">
        <f>IF($K706="","",IF(AND($M706="Elite",$G706&gt;=Config!$B$41,$O706&lt;$N706),Config!$B$42,0))</f>
        <v/>
      </c>
      <c r="AM706" s="22"/>
    </row>
    <row r="707" ht="15.75" customHeight="1">
      <c r="A707" s="40" t="str">
        <f t="shared" si="1"/>
        <v/>
      </c>
      <c r="B707" s="40" t="str">
        <f>IF(Bids!$A706="","",Bids!$A706)</f>
        <v/>
      </c>
      <c r="C707" s="40" t="str">
        <f>IF(Bids!$B706="","",Bids!$B706)</f>
        <v/>
      </c>
      <c r="D707" s="40" t="str">
        <f>IF($C707="","",IFERROR(VLOOKUP($C707,Orders!$A$4:$J$998,9,FALSE),""))</f>
        <v/>
      </c>
      <c r="E707" s="40" t="str">
        <f>IF($C707="","",IFERROR(VLOOKUP($C707,Orders!$A$4:$J$998,3,FALSE),""))</f>
        <v/>
      </c>
      <c r="F707" s="40">
        <f t="shared" si="2"/>
        <v>1</v>
      </c>
      <c r="G707" s="40" t="str">
        <f>IF($C707="","",IFERROR(VLOOKUP($C707,Orders!$A$4:$J$998,4,FALSE),""))</f>
        <v/>
      </c>
      <c r="H707" s="40" t="str">
        <f>IF($C707="","",IFERROR(VLOOKUP($C707,Orders!$A$4:$J$998,5,FALSE),""))</f>
        <v/>
      </c>
      <c r="I707" s="40" t="str">
        <f>IF($C707="","",IFERROR(VLOOKUP($C707,Orders!$A$4:$J$998,6,FALSE),""))</f>
        <v/>
      </c>
      <c r="J707" s="40" t="str">
        <f>IF($C707="","",IFERROR(VLOOKUP($C707,Orders!$A$4:$J$998,7,FALSE),""))</f>
        <v/>
      </c>
      <c r="K707" s="40" t="str">
        <f>IF(Bids!$C706="","",Bids!$C706)</f>
        <v/>
      </c>
      <c r="L707" s="40" t="str">
        <f>IF($K707="","",IFERROR(VLOOKUP($K707,Grinders!$A$4:$N$998,2,FALSE),""))</f>
        <v/>
      </c>
      <c r="M707" s="40" t="str">
        <f>IF($K707="","",IFERROR(VLOOKUP($K707,Grinders!$A$4:$N$998,3,FALSE),""))</f>
        <v/>
      </c>
      <c r="N707" s="40" t="str">
        <f>IF($K707="","",IFERROR(VLOOKUP($K707,Grinders!$A$4:$N$998,4,FALSE),""))</f>
        <v/>
      </c>
      <c r="O707" s="40" t="str">
        <f>IF($K707="","",IFERROR(VLOOKUP($K707,Grinders!$A$4:$N$998,5,FALSE),""))</f>
        <v/>
      </c>
      <c r="P707" s="40" t="str">
        <f>IF($K707="","",IF($C$4="",0,COUNTIFS(Assignments!$B$6:$B$1000,$K707,Assignments!$F$6:$F$1000,$C$4,Assignments!$E$6:$E$1000,"Active")))</f>
        <v/>
      </c>
      <c r="Q707" s="40" t="str">
        <f t="shared" si="3"/>
        <v/>
      </c>
      <c r="R707" s="40" t="str">
        <f t="shared" si="4"/>
        <v/>
      </c>
      <c r="S707" s="40" t="str">
        <f>IF($K707="","",IF($C$4="",0,COUNTIFS(Assignments!$B$6:$B$1000,$K707,Assignments!$F$6:$F$1000,$C$4,Assignments!$D$6:$D$1000,"&gt;="&amp;Config!$B$3-7,Assignments!$D$6:$D$1000,"&lt;="&amp;Config!$B$3)))</f>
        <v/>
      </c>
      <c r="T707" s="40" t="str">
        <f>IF($K707="","",IFERROR(VLOOKUP($K707,Grinders!$A$4:$N$998,8,FALSE),""))</f>
        <v/>
      </c>
      <c r="U707" s="40" t="str">
        <f>IFERROR(IF($K707="","",IF($M707="Elite",MAX(50,MIN(100,Config!$B$27*MAX(0,MIN(100,(1-IF($R707="",0,$R707))*100)) + Config!$B$28*MAX(0,MIN(100,(1-MIN(1,IF(Config!$B$30=0,1,$S707/Config!$B$30)))*100)) + Config!$B$29*MAX(0,MIN(100,MIN(1,IF($T707="",0,$T707)/Config!$B$23)*100)))),MIN(100,Config!$B$27*MAX(0,MIN(100,(1-IF($R707="",0,$R707))*100)) + Config!$B$28*MAX(0,MIN(100,(1-MIN(1,IF(Config!$B$30=0,1,$S707/Config!$B$30)))*100)) + Config!$B$29*MAX(0,MIN(100,MIN(1,IF($T707="",0,$T707)/Config!$B$23)*100))))),"")
</f>
        <v/>
      </c>
      <c r="V707" s="40" t="str">
        <f>IF(Bids!$D706="","",Bids!$D706)</f>
        <v/>
      </c>
      <c r="W707" s="40" t="str">
        <f>IF(Bids!$F706="","",Bids!$F706)</f>
        <v/>
      </c>
      <c r="X707" s="40" t="str">
        <f t="shared" si="5"/>
        <v/>
      </c>
      <c r="Y707" s="40" t="str">
        <f>IF($X707="","",IF(Config!$B$17=Config!$B$16,IF($X707&gt;=Config!$B$17,100,0),MAX(0,MIN(100,($X707-Config!$B$16)/(Config!$B$17-Config!$B$16)*100))))</f>
        <v/>
      </c>
      <c r="Z707" s="40">
        <f>IF($M707="Elite",Config!$B$21,0)</f>
        <v>0</v>
      </c>
      <c r="AA707" s="40" t="str">
        <f>IFERROR(IF(OR($W707="",$H707=""),"",IF($W707&gt;$H707,
  MAX(0, 60-(($W707-$H707)*24/Config!$B$19)*60),
  MIN(100, 60+(($H707-$W707)*24/Config!$B$20)*40)
)),"")
</f>
        <v/>
      </c>
      <c r="AB707" s="40" t="str">
        <f>IF($K707="","",IFERROR(VLOOKUP($K707,Grinders!$A$4:$N$998,10,FALSE)/5*100,""))</f>
        <v/>
      </c>
      <c r="AC707" s="40" t="str">
        <f>IF($K707="","",IFERROR(VLOOKUP($K707,Grinders!$A$4:$N$998,11,FALSE)*100,""))</f>
        <v/>
      </c>
      <c r="AD707" s="40" t="str">
        <f>IF($K707="","",IFERROR(VLOOKUP($K707,Grinders!$A$4:$N$998,12,FALSE)*100,""))</f>
        <v/>
      </c>
      <c r="AE707" s="40">
        <f>IFERROR(IFS(
    OR($C707="", $K707=""), 0,
    $F707=0, 0,
    $D707&lt;&gt;"Open", 0,
    COUNTIFS(GrinderServices!$B$4:$B$998, $K707, GrinderServices!$C$4:$C$998, $E707, GrinderServices!$E$4:$E$998, "Y")=0, 0,
    $X707&lt;Config!$B$16, 0,
    Config!$B$18=1, IF($O707&gt;=N707, 0, 1),
    TRUE, 1
), "")
</f>
        <v>0</v>
      </c>
      <c r="AF707" s="40" t="str">
        <f>IFERROR(IF($AE707=0,"",((Config!$B$6*$Y707 + Config!$B$7*$U707 + Config!$B$8*$Z707 + Config!$B$9*$AA707 + Config!$B$10*$AB707 + Config!$B$11*$AC707 - Config!$B$12*$AD707)/Config!$B$13)+$AK707+$AL707),"")</f>
        <v/>
      </c>
      <c r="AG707" s="40" t="str">
        <f t="shared" si="6"/>
        <v/>
      </c>
      <c r="AH707" s="40" t="str">
        <f t="shared" si="7"/>
        <v/>
      </c>
      <c r="AI707" s="40" t="str">
        <f t="shared" si="8"/>
        <v/>
      </c>
      <c r="AJ707" s="40" t="str">
        <f>IF($K707="","",COUNTIF(Assignments!$B$6:$B$1000,$K707))</f>
        <v/>
      </c>
      <c r="AK707" s="40" t="str">
        <f>IF($K707="","",IF(AND($AJ707=0,$O707&lt;$N707),Config!$B$43,0))</f>
        <v/>
      </c>
      <c r="AL707" s="40" t="str">
        <f>IF($K707="","",IF(AND($M707="Elite",$G707&gt;=Config!$B$41,$O707&lt;$N707),Config!$B$42,0))</f>
        <v/>
      </c>
      <c r="AM707" s="22"/>
    </row>
    <row r="708" ht="15.75" customHeight="1">
      <c r="A708" s="40" t="str">
        <f t="shared" si="1"/>
        <v/>
      </c>
      <c r="B708" s="40" t="str">
        <f>IF(Bids!$A707="","",Bids!$A707)</f>
        <v/>
      </c>
      <c r="C708" s="40" t="str">
        <f>IF(Bids!$B707="","",Bids!$B707)</f>
        <v/>
      </c>
      <c r="D708" s="40" t="str">
        <f>IF($C708="","",IFERROR(VLOOKUP($C708,Orders!$A$4:$J$998,9,FALSE),""))</f>
        <v/>
      </c>
      <c r="E708" s="40" t="str">
        <f>IF($C708="","",IFERROR(VLOOKUP($C708,Orders!$A$4:$J$998,3,FALSE),""))</f>
        <v/>
      </c>
      <c r="F708" s="40">
        <f t="shared" si="2"/>
        <v>1</v>
      </c>
      <c r="G708" s="40" t="str">
        <f>IF($C708="","",IFERROR(VLOOKUP($C708,Orders!$A$4:$J$998,4,FALSE),""))</f>
        <v/>
      </c>
      <c r="H708" s="40" t="str">
        <f>IF($C708="","",IFERROR(VLOOKUP($C708,Orders!$A$4:$J$998,5,FALSE),""))</f>
        <v/>
      </c>
      <c r="I708" s="40" t="str">
        <f>IF($C708="","",IFERROR(VLOOKUP($C708,Orders!$A$4:$J$998,6,FALSE),""))</f>
        <v/>
      </c>
      <c r="J708" s="40" t="str">
        <f>IF($C708="","",IFERROR(VLOOKUP($C708,Orders!$A$4:$J$998,7,FALSE),""))</f>
        <v/>
      </c>
      <c r="K708" s="40" t="str">
        <f>IF(Bids!$C707="","",Bids!$C707)</f>
        <v/>
      </c>
      <c r="L708" s="40" t="str">
        <f>IF($K708="","",IFERROR(VLOOKUP($K708,Grinders!$A$4:$N$998,2,FALSE),""))</f>
        <v/>
      </c>
      <c r="M708" s="40" t="str">
        <f>IF($K708="","",IFERROR(VLOOKUP($K708,Grinders!$A$4:$N$998,3,FALSE),""))</f>
        <v/>
      </c>
      <c r="N708" s="40" t="str">
        <f>IF($K708="","",IFERROR(VLOOKUP($K708,Grinders!$A$4:$N$998,4,FALSE),""))</f>
        <v/>
      </c>
      <c r="O708" s="40" t="str">
        <f>IF($K708="","",IFERROR(VLOOKUP($K708,Grinders!$A$4:$N$998,5,FALSE),""))</f>
        <v/>
      </c>
      <c r="P708" s="40" t="str">
        <f>IF($K708="","",IF($C$4="",0,COUNTIFS(Assignments!$B$6:$B$1000,$K708,Assignments!$F$6:$F$1000,$C$4,Assignments!$E$6:$E$1000,"Active")))</f>
        <v/>
      </c>
      <c r="Q708" s="40" t="str">
        <f t="shared" si="3"/>
        <v/>
      </c>
      <c r="R708" s="40" t="str">
        <f t="shared" si="4"/>
        <v/>
      </c>
      <c r="S708" s="40" t="str">
        <f>IF($K708="","",IF($C$4="",0,COUNTIFS(Assignments!$B$6:$B$1000,$K708,Assignments!$F$6:$F$1000,$C$4,Assignments!$D$6:$D$1000,"&gt;="&amp;Config!$B$3-7,Assignments!$D$6:$D$1000,"&lt;="&amp;Config!$B$3)))</f>
        <v/>
      </c>
      <c r="T708" s="40" t="str">
        <f>IF($K708="","",IFERROR(VLOOKUP($K708,Grinders!$A$4:$N$998,8,FALSE),""))</f>
        <v/>
      </c>
      <c r="U708" s="40" t="str">
        <f>IFERROR(IF($K708="","",IF($M708="Elite",MAX(50,MIN(100,Config!$B$27*MAX(0,MIN(100,(1-IF($R708="",0,$R708))*100)) + Config!$B$28*MAX(0,MIN(100,(1-MIN(1,IF(Config!$B$30=0,1,$S708/Config!$B$30)))*100)) + Config!$B$29*MAX(0,MIN(100,MIN(1,IF($T708="",0,$T708)/Config!$B$23)*100)))),MIN(100,Config!$B$27*MAX(0,MIN(100,(1-IF($R708="",0,$R708))*100)) + Config!$B$28*MAX(0,MIN(100,(1-MIN(1,IF(Config!$B$30=0,1,$S708/Config!$B$30)))*100)) + Config!$B$29*MAX(0,MIN(100,MIN(1,IF($T708="",0,$T708)/Config!$B$23)*100))))),"")
</f>
        <v/>
      </c>
      <c r="V708" s="40" t="str">
        <f>IF(Bids!$D707="","",Bids!$D707)</f>
        <v/>
      </c>
      <c r="W708" s="40" t="str">
        <f>IF(Bids!$F707="","",Bids!$F707)</f>
        <v/>
      </c>
      <c r="X708" s="40" t="str">
        <f t="shared" si="5"/>
        <v/>
      </c>
      <c r="Y708" s="40" t="str">
        <f>IF($X708="","",IF(Config!$B$17=Config!$B$16,IF($X708&gt;=Config!$B$17,100,0),MAX(0,MIN(100,($X708-Config!$B$16)/(Config!$B$17-Config!$B$16)*100))))</f>
        <v/>
      </c>
      <c r="Z708" s="40">
        <f>IF($M708="Elite",Config!$B$21,0)</f>
        <v>0</v>
      </c>
      <c r="AA708" s="40" t="str">
        <f>IFERROR(IF(OR($W708="",$H708=""),"",IF($W708&gt;$H708,
  MAX(0, 60-(($W708-$H708)*24/Config!$B$19)*60),
  MIN(100, 60+(($H708-$W708)*24/Config!$B$20)*40)
)),"")
</f>
        <v/>
      </c>
      <c r="AB708" s="40" t="str">
        <f>IF($K708="","",IFERROR(VLOOKUP($K708,Grinders!$A$4:$N$998,10,FALSE)/5*100,""))</f>
        <v/>
      </c>
      <c r="AC708" s="40" t="str">
        <f>IF($K708="","",IFERROR(VLOOKUP($K708,Grinders!$A$4:$N$998,11,FALSE)*100,""))</f>
        <v/>
      </c>
      <c r="AD708" s="40" t="str">
        <f>IF($K708="","",IFERROR(VLOOKUP($K708,Grinders!$A$4:$N$998,12,FALSE)*100,""))</f>
        <v/>
      </c>
      <c r="AE708" s="40">
        <f>IFERROR(IFS(
    OR($C708="", $K708=""), 0,
    $F708=0, 0,
    $D708&lt;&gt;"Open", 0,
    COUNTIFS(GrinderServices!$B$4:$B$998, $K708, GrinderServices!$C$4:$C$998, $E708, GrinderServices!$E$4:$E$998, "Y")=0, 0,
    $X708&lt;Config!$B$16, 0,
    Config!$B$18=1, IF($O708&gt;=N708, 0, 1),
    TRUE, 1
), "")
</f>
        <v>0</v>
      </c>
      <c r="AF708" s="40" t="str">
        <f>IFERROR(IF($AE708=0,"",((Config!$B$6*$Y708 + Config!$B$7*$U708 + Config!$B$8*$Z708 + Config!$B$9*$AA708 + Config!$B$10*$AB708 + Config!$B$11*$AC708 - Config!$B$12*$AD708)/Config!$B$13)+$AK708+$AL708),"")</f>
        <v/>
      </c>
      <c r="AG708" s="40" t="str">
        <f t="shared" si="6"/>
        <v/>
      </c>
      <c r="AH708" s="40" t="str">
        <f t="shared" si="7"/>
        <v/>
      </c>
      <c r="AI708" s="40" t="str">
        <f t="shared" si="8"/>
        <v/>
      </c>
      <c r="AJ708" s="40" t="str">
        <f>IF($K708="","",COUNTIF(Assignments!$B$6:$B$1000,$K708))</f>
        <v/>
      </c>
      <c r="AK708" s="40" t="str">
        <f>IF($K708="","",IF(AND($AJ708=0,$O708&lt;$N708),Config!$B$43,0))</f>
        <v/>
      </c>
      <c r="AL708" s="40" t="str">
        <f>IF($K708="","",IF(AND($M708="Elite",$G708&gt;=Config!$B$41,$O708&lt;$N708),Config!$B$42,0))</f>
        <v/>
      </c>
      <c r="AM708" s="22"/>
    </row>
    <row r="709" ht="15.75" customHeight="1">
      <c r="A709" s="40" t="str">
        <f t="shared" si="1"/>
        <v/>
      </c>
      <c r="B709" s="40" t="str">
        <f>IF(Bids!$A708="","",Bids!$A708)</f>
        <v/>
      </c>
      <c r="C709" s="40" t="str">
        <f>IF(Bids!$B708="","",Bids!$B708)</f>
        <v/>
      </c>
      <c r="D709" s="40" t="str">
        <f>IF($C709="","",IFERROR(VLOOKUP($C709,Orders!$A$4:$J$998,9,FALSE),""))</f>
        <v/>
      </c>
      <c r="E709" s="40" t="str">
        <f>IF($C709="","",IFERROR(VLOOKUP($C709,Orders!$A$4:$J$998,3,FALSE),""))</f>
        <v/>
      </c>
      <c r="F709" s="40">
        <f t="shared" si="2"/>
        <v>1</v>
      </c>
      <c r="G709" s="40" t="str">
        <f>IF($C709="","",IFERROR(VLOOKUP($C709,Orders!$A$4:$J$998,4,FALSE),""))</f>
        <v/>
      </c>
      <c r="H709" s="40" t="str">
        <f>IF($C709="","",IFERROR(VLOOKUP($C709,Orders!$A$4:$J$998,5,FALSE),""))</f>
        <v/>
      </c>
      <c r="I709" s="40" t="str">
        <f>IF($C709="","",IFERROR(VLOOKUP($C709,Orders!$A$4:$J$998,6,FALSE),""))</f>
        <v/>
      </c>
      <c r="J709" s="40" t="str">
        <f>IF($C709="","",IFERROR(VLOOKUP($C709,Orders!$A$4:$J$998,7,FALSE),""))</f>
        <v/>
      </c>
      <c r="K709" s="40" t="str">
        <f>IF(Bids!$C708="","",Bids!$C708)</f>
        <v/>
      </c>
      <c r="L709" s="40" t="str">
        <f>IF($K709="","",IFERROR(VLOOKUP($K709,Grinders!$A$4:$N$998,2,FALSE),""))</f>
        <v/>
      </c>
      <c r="M709" s="40" t="str">
        <f>IF($K709="","",IFERROR(VLOOKUP($K709,Grinders!$A$4:$N$998,3,FALSE),""))</f>
        <v/>
      </c>
      <c r="N709" s="40" t="str">
        <f>IF($K709="","",IFERROR(VLOOKUP($K709,Grinders!$A$4:$N$998,4,FALSE),""))</f>
        <v/>
      </c>
      <c r="O709" s="40" t="str">
        <f>IF($K709="","",IFERROR(VLOOKUP($K709,Grinders!$A$4:$N$998,5,FALSE),""))</f>
        <v/>
      </c>
      <c r="P709" s="40" t="str">
        <f>IF($K709="","",IF($C$4="",0,COUNTIFS(Assignments!$B$6:$B$1000,$K709,Assignments!$F$6:$F$1000,$C$4,Assignments!$E$6:$E$1000,"Active")))</f>
        <v/>
      </c>
      <c r="Q709" s="40" t="str">
        <f t="shared" si="3"/>
        <v/>
      </c>
      <c r="R709" s="40" t="str">
        <f t="shared" si="4"/>
        <v/>
      </c>
      <c r="S709" s="40" t="str">
        <f>IF($K709="","",IF($C$4="",0,COUNTIFS(Assignments!$B$6:$B$1000,$K709,Assignments!$F$6:$F$1000,$C$4,Assignments!$D$6:$D$1000,"&gt;="&amp;Config!$B$3-7,Assignments!$D$6:$D$1000,"&lt;="&amp;Config!$B$3)))</f>
        <v/>
      </c>
      <c r="T709" s="40" t="str">
        <f>IF($K709="","",IFERROR(VLOOKUP($K709,Grinders!$A$4:$N$998,8,FALSE),""))</f>
        <v/>
      </c>
      <c r="U709" s="40" t="str">
        <f>IFERROR(IF($K709="","",IF($M709="Elite",MAX(50,MIN(100,Config!$B$27*MAX(0,MIN(100,(1-IF($R709="",0,$R709))*100)) + Config!$B$28*MAX(0,MIN(100,(1-MIN(1,IF(Config!$B$30=0,1,$S709/Config!$B$30)))*100)) + Config!$B$29*MAX(0,MIN(100,MIN(1,IF($T709="",0,$T709)/Config!$B$23)*100)))),MIN(100,Config!$B$27*MAX(0,MIN(100,(1-IF($R709="",0,$R709))*100)) + Config!$B$28*MAX(0,MIN(100,(1-MIN(1,IF(Config!$B$30=0,1,$S709/Config!$B$30)))*100)) + Config!$B$29*MAX(0,MIN(100,MIN(1,IF($T709="",0,$T709)/Config!$B$23)*100))))),"")
</f>
        <v/>
      </c>
      <c r="V709" s="40" t="str">
        <f>IF(Bids!$D708="","",Bids!$D708)</f>
        <v/>
      </c>
      <c r="W709" s="40" t="str">
        <f>IF(Bids!$F708="","",Bids!$F708)</f>
        <v/>
      </c>
      <c r="X709" s="40" t="str">
        <f t="shared" si="5"/>
        <v/>
      </c>
      <c r="Y709" s="40" t="str">
        <f>IF($X709="","",IF(Config!$B$17=Config!$B$16,IF($X709&gt;=Config!$B$17,100,0),MAX(0,MIN(100,($X709-Config!$B$16)/(Config!$B$17-Config!$B$16)*100))))</f>
        <v/>
      </c>
      <c r="Z709" s="40">
        <f>IF($M709="Elite",Config!$B$21,0)</f>
        <v>0</v>
      </c>
      <c r="AA709" s="40" t="str">
        <f>IFERROR(IF(OR($W709="",$H709=""),"",IF($W709&gt;$H709,
  MAX(0, 60-(($W709-$H709)*24/Config!$B$19)*60),
  MIN(100, 60+(($H709-$W709)*24/Config!$B$20)*40)
)),"")
</f>
        <v/>
      </c>
      <c r="AB709" s="40" t="str">
        <f>IF($K709="","",IFERROR(VLOOKUP($K709,Grinders!$A$4:$N$998,10,FALSE)/5*100,""))</f>
        <v/>
      </c>
      <c r="AC709" s="40" t="str">
        <f>IF($K709="","",IFERROR(VLOOKUP($K709,Grinders!$A$4:$N$998,11,FALSE)*100,""))</f>
        <v/>
      </c>
      <c r="AD709" s="40" t="str">
        <f>IF($K709="","",IFERROR(VLOOKUP($K709,Grinders!$A$4:$N$998,12,FALSE)*100,""))</f>
        <v/>
      </c>
      <c r="AE709" s="40">
        <f>IFERROR(IFS(
    OR($C709="", $K709=""), 0,
    $F709=0, 0,
    $D709&lt;&gt;"Open", 0,
    COUNTIFS(GrinderServices!$B$4:$B$998, $K709, GrinderServices!$C$4:$C$998, $E709, GrinderServices!$E$4:$E$998, "Y")=0, 0,
    $X709&lt;Config!$B$16, 0,
    Config!$B$18=1, IF($O709&gt;=N709, 0, 1),
    TRUE, 1
), "")
</f>
        <v>0</v>
      </c>
      <c r="AF709" s="40" t="str">
        <f>IFERROR(IF($AE709=0,"",((Config!$B$6*$Y709 + Config!$B$7*$U709 + Config!$B$8*$Z709 + Config!$B$9*$AA709 + Config!$B$10*$AB709 + Config!$B$11*$AC709 - Config!$B$12*$AD709)/Config!$B$13)+$AK709+$AL709),"")</f>
        <v/>
      </c>
      <c r="AG709" s="40" t="str">
        <f t="shared" si="6"/>
        <v/>
      </c>
      <c r="AH709" s="40" t="str">
        <f t="shared" si="7"/>
        <v/>
      </c>
      <c r="AI709" s="40" t="str">
        <f t="shared" si="8"/>
        <v/>
      </c>
      <c r="AJ709" s="40" t="str">
        <f>IF($K709="","",COUNTIF(Assignments!$B$6:$B$1000,$K709))</f>
        <v/>
      </c>
      <c r="AK709" s="40" t="str">
        <f>IF($K709="","",IF(AND($AJ709=0,$O709&lt;$N709),Config!$B$43,0))</f>
        <v/>
      </c>
      <c r="AL709" s="40" t="str">
        <f>IF($K709="","",IF(AND($M709="Elite",$G709&gt;=Config!$B$41,$O709&lt;$N709),Config!$B$42,0))</f>
        <v/>
      </c>
      <c r="AM709" s="22"/>
    </row>
    <row r="710" ht="15.75" customHeight="1">
      <c r="A710" s="40" t="str">
        <f t="shared" si="1"/>
        <v/>
      </c>
      <c r="B710" s="40" t="str">
        <f>IF(Bids!$A709="","",Bids!$A709)</f>
        <v/>
      </c>
      <c r="C710" s="40" t="str">
        <f>IF(Bids!$B709="","",Bids!$B709)</f>
        <v/>
      </c>
      <c r="D710" s="40" t="str">
        <f>IF($C710="","",IFERROR(VLOOKUP($C710,Orders!$A$4:$J$998,9,FALSE),""))</f>
        <v/>
      </c>
      <c r="E710" s="40" t="str">
        <f>IF($C710="","",IFERROR(VLOOKUP($C710,Orders!$A$4:$J$998,3,FALSE),""))</f>
        <v/>
      </c>
      <c r="F710" s="40">
        <f t="shared" si="2"/>
        <v>1</v>
      </c>
      <c r="G710" s="40" t="str">
        <f>IF($C710="","",IFERROR(VLOOKUP($C710,Orders!$A$4:$J$998,4,FALSE),""))</f>
        <v/>
      </c>
      <c r="H710" s="40" t="str">
        <f>IF($C710="","",IFERROR(VLOOKUP($C710,Orders!$A$4:$J$998,5,FALSE),""))</f>
        <v/>
      </c>
      <c r="I710" s="40" t="str">
        <f>IF($C710="","",IFERROR(VLOOKUP($C710,Orders!$A$4:$J$998,6,FALSE),""))</f>
        <v/>
      </c>
      <c r="J710" s="40" t="str">
        <f>IF($C710="","",IFERROR(VLOOKUP($C710,Orders!$A$4:$J$998,7,FALSE),""))</f>
        <v/>
      </c>
      <c r="K710" s="40" t="str">
        <f>IF(Bids!$C709="","",Bids!$C709)</f>
        <v/>
      </c>
      <c r="L710" s="40" t="str">
        <f>IF($K710="","",IFERROR(VLOOKUP($K710,Grinders!$A$4:$N$998,2,FALSE),""))</f>
        <v/>
      </c>
      <c r="M710" s="40" t="str">
        <f>IF($K710="","",IFERROR(VLOOKUP($K710,Grinders!$A$4:$N$998,3,FALSE),""))</f>
        <v/>
      </c>
      <c r="N710" s="40" t="str">
        <f>IF($K710="","",IFERROR(VLOOKUP($K710,Grinders!$A$4:$N$998,4,FALSE),""))</f>
        <v/>
      </c>
      <c r="O710" s="40" t="str">
        <f>IF($K710="","",IFERROR(VLOOKUP($K710,Grinders!$A$4:$N$998,5,FALSE),""))</f>
        <v/>
      </c>
      <c r="P710" s="40" t="str">
        <f>IF($K710="","",IF($C$4="",0,COUNTIFS(Assignments!$B$6:$B$1000,$K710,Assignments!$F$6:$F$1000,$C$4,Assignments!$E$6:$E$1000,"Active")))</f>
        <v/>
      </c>
      <c r="Q710" s="40" t="str">
        <f t="shared" si="3"/>
        <v/>
      </c>
      <c r="R710" s="40" t="str">
        <f t="shared" si="4"/>
        <v/>
      </c>
      <c r="S710" s="40" t="str">
        <f>IF($K710="","",IF($C$4="",0,COUNTIFS(Assignments!$B$6:$B$1000,$K710,Assignments!$F$6:$F$1000,$C$4,Assignments!$D$6:$D$1000,"&gt;="&amp;Config!$B$3-7,Assignments!$D$6:$D$1000,"&lt;="&amp;Config!$B$3)))</f>
        <v/>
      </c>
      <c r="T710" s="40" t="str">
        <f>IF($K710="","",IFERROR(VLOOKUP($K710,Grinders!$A$4:$N$998,8,FALSE),""))</f>
        <v/>
      </c>
      <c r="U710" s="40" t="str">
        <f>IFERROR(IF($K710="","",IF($M710="Elite",MAX(50,MIN(100,Config!$B$27*MAX(0,MIN(100,(1-IF($R710="",0,$R710))*100)) + Config!$B$28*MAX(0,MIN(100,(1-MIN(1,IF(Config!$B$30=0,1,$S710/Config!$B$30)))*100)) + Config!$B$29*MAX(0,MIN(100,MIN(1,IF($T710="",0,$T710)/Config!$B$23)*100)))),MIN(100,Config!$B$27*MAX(0,MIN(100,(1-IF($R710="",0,$R710))*100)) + Config!$B$28*MAX(0,MIN(100,(1-MIN(1,IF(Config!$B$30=0,1,$S710/Config!$B$30)))*100)) + Config!$B$29*MAX(0,MIN(100,MIN(1,IF($T710="",0,$T710)/Config!$B$23)*100))))),"")
</f>
        <v/>
      </c>
      <c r="V710" s="40" t="str">
        <f>IF(Bids!$D709="","",Bids!$D709)</f>
        <v/>
      </c>
      <c r="W710" s="40" t="str">
        <f>IF(Bids!$F709="","",Bids!$F709)</f>
        <v/>
      </c>
      <c r="X710" s="40" t="str">
        <f t="shared" si="5"/>
        <v/>
      </c>
      <c r="Y710" s="40" t="str">
        <f>IF($X710="","",IF(Config!$B$17=Config!$B$16,IF($X710&gt;=Config!$B$17,100,0),MAX(0,MIN(100,($X710-Config!$B$16)/(Config!$B$17-Config!$B$16)*100))))</f>
        <v/>
      </c>
      <c r="Z710" s="40">
        <f>IF($M710="Elite",Config!$B$21,0)</f>
        <v>0</v>
      </c>
      <c r="AA710" s="40" t="str">
        <f>IFERROR(IF(OR($W710="",$H710=""),"",IF($W710&gt;$H710,
  MAX(0, 60-(($W710-$H710)*24/Config!$B$19)*60),
  MIN(100, 60+(($H710-$W710)*24/Config!$B$20)*40)
)),"")
</f>
        <v/>
      </c>
      <c r="AB710" s="40" t="str">
        <f>IF($K710="","",IFERROR(VLOOKUP($K710,Grinders!$A$4:$N$998,10,FALSE)/5*100,""))</f>
        <v/>
      </c>
      <c r="AC710" s="40" t="str">
        <f>IF($K710="","",IFERROR(VLOOKUP($K710,Grinders!$A$4:$N$998,11,FALSE)*100,""))</f>
        <v/>
      </c>
      <c r="AD710" s="40" t="str">
        <f>IF($K710="","",IFERROR(VLOOKUP($K710,Grinders!$A$4:$N$998,12,FALSE)*100,""))</f>
        <v/>
      </c>
      <c r="AE710" s="40">
        <f>IFERROR(IFS(
    OR($C710="", $K710=""), 0,
    $F710=0, 0,
    $D710&lt;&gt;"Open", 0,
    COUNTIFS(GrinderServices!$B$4:$B$998, $K710, GrinderServices!$C$4:$C$998, $E710, GrinderServices!$E$4:$E$998, "Y")=0, 0,
    $X710&lt;Config!$B$16, 0,
    Config!$B$18=1, IF($O710&gt;=N710, 0, 1),
    TRUE, 1
), "")
</f>
        <v>0</v>
      </c>
      <c r="AF710" s="40" t="str">
        <f>IFERROR(IF($AE710=0,"",((Config!$B$6*$Y710 + Config!$B$7*$U710 + Config!$B$8*$Z710 + Config!$B$9*$AA710 + Config!$B$10*$AB710 + Config!$B$11*$AC710 - Config!$B$12*$AD710)/Config!$B$13)+$AK710+$AL710),"")</f>
        <v/>
      </c>
      <c r="AG710" s="40" t="str">
        <f t="shared" si="6"/>
        <v/>
      </c>
      <c r="AH710" s="40" t="str">
        <f t="shared" si="7"/>
        <v/>
      </c>
      <c r="AI710" s="40" t="str">
        <f t="shared" si="8"/>
        <v/>
      </c>
      <c r="AJ710" s="40" t="str">
        <f>IF($K710="","",COUNTIF(Assignments!$B$6:$B$1000,$K710))</f>
        <v/>
      </c>
      <c r="AK710" s="40" t="str">
        <f>IF($K710="","",IF(AND($AJ710=0,$O710&lt;$N710),Config!$B$43,0))</f>
        <v/>
      </c>
      <c r="AL710" s="40" t="str">
        <f>IF($K710="","",IF(AND($M710="Elite",$G710&gt;=Config!$B$41,$O710&lt;$N710),Config!$B$42,0))</f>
        <v/>
      </c>
      <c r="AM710" s="22"/>
    </row>
    <row r="711" ht="15.75" customHeight="1">
      <c r="A711" s="40" t="str">
        <f t="shared" si="1"/>
        <v/>
      </c>
      <c r="B711" s="40" t="str">
        <f>IF(Bids!$A710="","",Bids!$A710)</f>
        <v/>
      </c>
      <c r="C711" s="40" t="str">
        <f>IF(Bids!$B710="","",Bids!$B710)</f>
        <v/>
      </c>
      <c r="D711" s="40" t="str">
        <f>IF($C711="","",IFERROR(VLOOKUP($C711,Orders!$A$4:$J$998,9,FALSE),""))</f>
        <v/>
      </c>
      <c r="E711" s="40" t="str">
        <f>IF($C711="","",IFERROR(VLOOKUP($C711,Orders!$A$4:$J$998,3,FALSE),""))</f>
        <v/>
      </c>
      <c r="F711" s="40">
        <f t="shared" si="2"/>
        <v>1</v>
      </c>
      <c r="G711" s="40" t="str">
        <f>IF($C711="","",IFERROR(VLOOKUP($C711,Orders!$A$4:$J$998,4,FALSE),""))</f>
        <v/>
      </c>
      <c r="H711" s="40" t="str">
        <f>IF($C711="","",IFERROR(VLOOKUP($C711,Orders!$A$4:$J$998,5,FALSE),""))</f>
        <v/>
      </c>
      <c r="I711" s="40" t="str">
        <f>IF($C711="","",IFERROR(VLOOKUP($C711,Orders!$A$4:$J$998,6,FALSE),""))</f>
        <v/>
      </c>
      <c r="J711" s="40" t="str">
        <f>IF($C711="","",IFERROR(VLOOKUP($C711,Orders!$A$4:$J$998,7,FALSE),""))</f>
        <v/>
      </c>
      <c r="K711" s="40" t="str">
        <f>IF(Bids!$C710="","",Bids!$C710)</f>
        <v/>
      </c>
      <c r="L711" s="40" t="str">
        <f>IF($K711="","",IFERROR(VLOOKUP($K711,Grinders!$A$4:$N$998,2,FALSE),""))</f>
        <v/>
      </c>
      <c r="M711" s="40" t="str">
        <f>IF($K711="","",IFERROR(VLOOKUP($K711,Grinders!$A$4:$N$998,3,FALSE),""))</f>
        <v/>
      </c>
      <c r="N711" s="40" t="str">
        <f>IF($K711="","",IFERROR(VLOOKUP($K711,Grinders!$A$4:$N$998,4,FALSE),""))</f>
        <v/>
      </c>
      <c r="O711" s="40" t="str">
        <f>IF($K711="","",IFERROR(VLOOKUP($K711,Grinders!$A$4:$N$998,5,FALSE),""))</f>
        <v/>
      </c>
      <c r="P711" s="40" t="str">
        <f>IF($K711="","",IF($C$4="",0,COUNTIFS(Assignments!$B$6:$B$1000,$K711,Assignments!$F$6:$F$1000,$C$4,Assignments!$E$6:$E$1000,"Active")))</f>
        <v/>
      </c>
      <c r="Q711" s="40" t="str">
        <f t="shared" si="3"/>
        <v/>
      </c>
      <c r="R711" s="40" t="str">
        <f t="shared" si="4"/>
        <v/>
      </c>
      <c r="S711" s="40" t="str">
        <f>IF($K711="","",IF($C$4="",0,COUNTIFS(Assignments!$B$6:$B$1000,$K711,Assignments!$F$6:$F$1000,$C$4,Assignments!$D$6:$D$1000,"&gt;="&amp;Config!$B$3-7,Assignments!$D$6:$D$1000,"&lt;="&amp;Config!$B$3)))</f>
        <v/>
      </c>
      <c r="T711" s="40" t="str">
        <f>IF($K711="","",IFERROR(VLOOKUP($K711,Grinders!$A$4:$N$998,8,FALSE),""))</f>
        <v/>
      </c>
      <c r="U711" s="40" t="str">
        <f>IFERROR(IF($K711="","",IF($M711="Elite",MAX(50,MIN(100,Config!$B$27*MAX(0,MIN(100,(1-IF($R711="",0,$R711))*100)) + Config!$B$28*MAX(0,MIN(100,(1-MIN(1,IF(Config!$B$30=0,1,$S711/Config!$B$30)))*100)) + Config!$B$29*MAX(0,MIN(100,MIN(1,IF($T711="",0,$T711)/Config!$B$23)*100)))),MIN(100,Config!$B$27*MAX(0,MIN(100,(1-IF($R711="",0,$R711))*100)) + Config!$B$28*MAX(0,MIN(100,(1-MIN(1,IF(Config!$B$30=0,1,$S711/Config!$B$30)))*100)) + Config!$B$29*MAX(0,MIN(100,MIN(1,IF($T711="",0,$T711)/Config!$B$23)*100))))),"")
</f>
        <v/>
      </c>
      <c r="V711" s="40" t="str">
        <f>IF(Bids!$D710="","",Bids!$D710)</f>
        <v/>
      </c>
      <c r="W711" s="40" t="str">
        <f>IF(Bids!$F710="","",Bids!$F710)</f>
        <v/>
      </c>
      <c r="X711" s="40" t="str">
        <f t="shared" si="5"/>
        <v/>
      </c>
      <c r="Y711" s="40" t="str">
        <f>IF($X711="","",IF(Config!$B$17=Config!$B$16,IF($X711&gt;=Config!$B$17,100,0),MAX(0,MIN(100,($X711-Config!$B$16)/(Config!$B$17-Config!$B$16)*100))))</f>
        <v/>
      </c>
      <c r="Z711" s="40">
        <f>IF($M711="Elite",Config!$B$21,0)</f>
        <v>0</v>
      </c>
      <c r="AA711" s="40" t="str">
        <f>IFERROR(IF(OR($W711="",$H711=""),"",IF($W711&gt;$H711,
  MAX(0, 60-(($W711-$H711)*24/Config!$B$19)*60),
  MIN(100, 60+(($H711-$W711)*24/Config!$B$20)*40)
)),"")
</f>
        <v/>
      </c>
      <c r="AB711" s="40" t="str">
        <f>IF($K711="","",IFERROR(VLOOKUP($K711,Grinders!$A$4:$N$998,10,FALSE)/5*100,""))</f>
        <v/>
      </c>
      <c r="AC711" s="40" t="str">
        <f>IF($K711="","",IFERROR(VLOOKUP($K711,Grinders!$A$4:$N$998,11,FALSE)*100,""))</f>
        <v/>
      </c>
      <c r="AD711" s="40" t="str">
        <f>IF($K711="","",IFERROR(VLOOKUP($K711,Grinders!$A$4:$N$998,12,FALSE)*100,""))</f>
        <v/>
      </c>
      <c r="AE711" s="40">
        <f>IFERROR(IFS(
    OR($C711="", $K711=""), 0,
    $F711=0, 0,
    $D711&lt;&gt;"Open", 0,
    COUNTIFS(GrinderServices!$B$4:$B$998, $K711, GrinderServices!$C$4:$C$998, $E711, GrinderServices!$E$4:$E$998, "Y")=0, 0,
    $X711&lt;Config!$B$16, 0,
    Config!$B$18=1, IF($O711&gt;=N711, 0, 1),
    TRUE, 1
), "")
</f>
        <v>0</v>
      </c>
      <c r="AF711" s="40" t="str">
        <f>IFERROR(IF($AE711=0,"",((Config!$B$6*$Y711 + Config!$B$7*$U711 + Config!$B$8*$Z711 + Config!$B$9*$AA711 + Config!$B$10*$AB711 + Config!$B$11*$AC711 - Config!$B$12*$AD711)/Config!$B$13)+$AK711+$AL711),"")</f>
        <v/>
      </c>
      <c r="AG711" s="40" t="str">
        <f t="shared" si="6"/>
        <v/>
      </c>
      <c r="AH711" s="40" t="str">
        <f t="shared" si="7"/>
        <v/>
      </c>
      <c r="AI711" s="40" t="str">
        <f t="shared" si="8"/>
        <v/>
      </c>
      <c r="AJ711" s="40" t="str">
        <f>IF($K711="","",COUNTIF(Assignments!$B$6:$B$1000,$K711))</f>
        <v/>
      </c>
      <c r="AK711" s="40" t="str">
        <f>IF($K711="","",IF(AND($AJ711=0,$O711&lt;$N711),Config!$B$43,0))</f>
        <v/>
      </c>
      <c r="AL711" s="40" t="str">
        <f>IF($K711="","",IF(AND($M711="Elite",$G711&gt;=Config!$B$41,$O711&lt;$N711),Config!$B$42,0))</f>
        <v/>
      </c>
      <c r="AM711" s="22"/>
    </row>
    <row r="712" ht="15.75" customHeight="1">
      <c r="A712" s="40" t="str">
        <f t="shared" si="1"/>
        <v/>
      </c>
      <c r="B712" s="40" t="str">
        <f>IF(Bids!$A711="","",Bids!$A711)</f>
        <v/>
      </c>
      <c r="C712" s="40" t="str">
        <f>IF(Bids!$B711="","",Bids!$B711)</f>
        <v/>
      </c>
      <c r="D712" s="40" t="str">
        <f>IF($C712="","",IFERROR(VLOOKUP($C712,Orders!$A$4:$J$998,9,FALSE),""))</f>
        <v/>
      </c>
      <c r="E712" s="40" t="str">
        <f>IF($C712="","",IFERROR(VLOOKUP($C712,Orders!$A$4:$J$998,3,FALSE),""))</f>
        <v/>
      </c>
      <c r="F712" s="40">
        <f t="shared" si="2"/>
        <v>1</v>
      </c>
      <c r="G712" s="40" t="str">
        <f>IF($C712="","",IFERROR(VLOOKUP($C712,Orders!$A$4:$J$998,4,FALSE),""))</f>
        <v/>
      </c>
      <c r="H712" s="40" t="str">
        <f>IF($C712="","",IFERROR(VLOOKUP($C712,Orders!$A$4:$J$998,5,FALSE),""))</f>
        <v/>
      </c>
      <c r="I712" s="40" t="str">
        <f>IF($C712="","",IFERROR(VLOOKUP($C712,Orders!$A$4:$J$998,6,FALSE),""))</f>
        <v/>
      </c>
      <c r="J712" s="40" t="str">
        <f>IF($C712="","",IFERROR(VLOOKUP($C712,Orders!$A$4:$J$998,7,FALSE),""))</f>
        <v/>
      </c>
      <c r="K712" s="40" t="str">
        <f>IF(Bids!$C711="","",Bids!$C711)</f>
        <v/>
      </c>
      <c r="L712" s="40" t="str">
        <f>IF($K712="","",IFERROR(VLOOKUP($K712,Grinders!$A$4:$N$998,2,FALSE),""))</f>
        <v/>
      </c>
      <c r="M712" s="40" t="str">
        <f>IF($K712="","",IFERROR(VLOOKUP($K712,Grinders!$A$4:$N$998,3,FALSE),""))</f>
        <v/>
      </c>
      <c r="N712" s="40" t="str">
        <f>IF($K712="","",IFERROR(VLOOKUP($K712,Grinders!$A$4:$N$998,4,FALSE),""))</f>
        <v/>
      </c>
      <c r="O712" s="40" t="str">
        <f>IF($K712="","",IFERROR(VLOOKUP($K712,Grinders!$A$4:$N$998,5,FALSE),""))</f>
        <v/>
      </c>
      <c r="P712" s="40" t="str">
        <f>IF($K712="","",IF($C$4="",0,COUNTIFS(Assignments!$B$6:$B$1000,$K712,Assignments!$F$6:$F$1000,$C$4,Assignments!$E$6:$E$1000,"Active")))</f>
        <v/>
      </c>
      <c r="Q712" s="40" t="str">
        <f t="shared" si="3"/>
        <v/>
      </c>
      <c r="R712" s="40" t="str">
        <f t="shared" si="4"/>
        <v/>
      </c>
      <c r="S712" s="40" t="str">
        <f>IF($K712="","",IF($C$4="",0,COUNTIFS(Assignments!$B$6:$B$1000,$K712,Assignments!$F$6:$F$1000,$C$4,Assignments!$D$6:$D$1000,"&gt;="&amp;Config!$B$3-7,Assignments!$D$6:$D$1000,"&lt;="&amp;Config!$B$3)))</f>
        <v/>
      </c>
      <c r="T712" s="40" t="str">
        <f>IF($K712="","",IFERROR(VLOOKUP($K712,Grinders!$A$4:$N$998,8,FALSE),""))</f>
        <v/>
      </c>
      <c r="U712" s="40" t="str">
        <f>IFERROR(IF($K712="","",IF($M712="Elite",MAX(50,MIN(100,Config!$B$27*MAX(0,MIN(100,(1-IF($R712="",0,$R712))*100)) + Config!$B$28*MAX(0,MIN(100,(1-MIN(1,IF(Config!$B$30=0,1,$S712/Config!$B$30)))*100)) + Config!$B$29*MAX(0,MIN(100,MIN(1,IF($T712="",0,$T712)/Config!$B$23)*100)))),MIN(100,Config!$B$27*MAX(0,MIN(100,(1-IF($R712="",0,$R712))*100)) + Config!$B$28*MAX(0,MIN(100,(1-MIN(1,IF(Config!$B$30=0,1,$S712/Config!$B$30)))*100)) + Config!$B$29*MAX(0,MIN(100,MIN(1,IF($T712="",0,$T712)/Config!$B$23)*100))))),"")
</f>
        <v/>
      </c>
      <c r="V712" s="40" t="str">
        <f>IF(Bids!$D711="","",Bids!$D711)</f>
        <v/>
      </c>
      <c r="W712" s="40" t="str">
        <f>IF(Bids!$F711="","",Bids!$F711)</f>
        <v/>
      </c>
      <c r="X712" s="40" t="str">
        <f t="shared" si="5"/>
        <v/>
      </c>
      <c r="Y712" s="40" t="str">
        <f>IF($X712="","",IF(Config!$B$17=Config!$B$16,IF($X712&gt;=Config!$B$17,100,0),MAX(0,MIN(100,($X712-Config!$B$16)/(Config!$B$17-Config!$B$16)*100))))</f>
        <v/>
      </c>
      <c r="Z712" s="40">
        <f>IF($M712="Elite",Config!$B$21,0)</f>
        <v>0</v>
      </c>
      <c r="AA712" s="40" t="str">
        <f>IFERROR(IF(OR($W712="",$H712=""),"",IF($W712&gt;$H712,
  MAX(0, 60-(($W712-$H712)*24/Config!$B$19)*60),
  MIN(100, 60+(($H712-$W712)*24/Config!$B$20)*40)
)),"")
</f>
        <v/>
      </c>
      <c r="AB712" s="40" t="str">
        <f>IF($K712="","",IFERROR(VLOOKUP($K712,Grinders!$A$4:$N$998,10,FALSE)/5*100,""))</f>
        <v/>
      </c>
      <c r="AC712" s="40" t="str">
        <f>IF($K712="","",IFERROR(VLOOKUP($K712,Grinders!$A$4:$N$998,11,FALSE)*100,""))</f>
        <v/>
      </c>
      <c r="AD712" s="40" t="str">
        <f>IF($K712="","",IFERROR(VLOOKUP($K712,Grinders!$A$4:$N$998,12,FALSE)*100,""))</f>
        <v/>
      </c>
      <c r="AE712" s="40">
        <f>IFERROR(IFS(
    OR($C712="", $K712=""), 0,
    $F712=0, 0,
    $D712&lt;&gt;"Open", 0,
    COUNTIFS(GrinderServices!$B$4:$B$998, $K712, GrinderServices!$C$4:$C$998, $E712, GrinderServices!$E$4:$E$998, "Y")=0, 0,
    $X712&lt;Config!$B$16, 0,
    Config!$B$18=1, IF($O712&gt;=N712, 0, 1),
    TRUE, 1
), "")
</f>
        <v>0</v>
      </c>
      <c r="AF712" s="40" t="str">
        <f>IFERROR(IF($AE712=0,"",((Config!$B$6*$Y712 + Config!$B$7*$U712 + Config!$B$8*$Z712 + Config!$B$9*$AA712 + Config!$B$10*$AB712 + Config!$B$11*$AC712 - Config!$B$12*$AD712)/Config!$B$13)+$AK712+$AL712),"")</f>
        <v/>
      </c>
      <c r="AG712" s="40" t="str">
        <f t="shared" si="6"/>
        <v/>
      </c>
      <c r="AH712" s="40" t="str">
        <f t="shared" si="7"/>
        <v/>
      </c>
      <c r="AI712" s="40" t="str">
        <f t="shared" si="8"/>
        <v/>
      </c>
      <c r="AJ712" s="40" t="str">
        <f>IF($K712="","",COUNTIF(Assignments!$B$6:$B$1000,$K712))</f>
        <v/>
      </c>
      <c r="AK712" s="40" t="str">
        <f>IF($K712="","",IF(AND($AJ712=0,$O712&lt;$N712),Config!$B$43,0))</f>
        <v/>
      </c>
      <c r="AL712" s="40" t="str">
        <f>IF($K712="","",IF(AND($M712="Elite",$G712&gt;=Config!$B$41,$O712&lt;$N712),Config!$B$42,0))</f>
        <v/>
      </c>
      <c r="AM712" s="22"/>
    </row>
    <row r="713" ht="15.75" customHeight="1">
      <c r="A713" s="40" t="str">
        <f t="shared" si="1"/>
        <v/>
      </c>
      <c r="B713" s="40" t="str">
        <f>IF(Bids!$A712="","",Bids!$A712)</f>
        <v/>
      </c>
      <c r="C713" s="40" t="str">
        <f>IF(Bids!$B712="","",Bids!$B712)</f>
        <v/>
      </c>
      <c r="D713" s="40" t="str">
        <f>IF($C713="","",IFERROR(VLOOKUP($C713,Orders!$A$4:$J$998,9,FALSE),""))</f>
        <v/>
      </c>
      <c r="E713" s="40" t="str">
        <f>IF($C713="","",IFERROR(VLOOKUP($C713,Orders!$A$4:$J$998,3,FALSE),""))</f>
        <v/>
      </c>
      <c r="F713" s="40">
        <f t="shared" si="2"/>
        <v>1</v>
      </c>
      <c r="G713" s="40" t="str">
        <f>IF($C713="","",IFERROR(VLOOKUP($C713,Orders!$A$4:$J$998,4,FALSE),""))</f>
        <v/>
      </c>
      <c r="H713" s="40" t="str">
        <f>IF($C713="","",IFERROR(VLOOKUP($C713,Orders!$A$4:$J$998,5,FALSE),""))</f>
        <v/>
      </c>
      <c r="I713" s="40" t="str">
        <f>IF($C713="","",IFERROR(VLOOKUP($C713,Orders!$A$4:$J$998,6,FALSE),""))</f>
        <v/>
      </c>
      <c r="J713" s="40" t="str">
        <f>IF($C713="","",IFERROR(VLOOKUP($C713,Orders!$A$4:$J$998,7,FALSE),""))</f>
        <v/>
      </c>
      <c r="K713" s="40" t="str">
        <f>IF(Bids!$C712="","",Bids!$C712)</f>
        <v/>
      </c>
      <c r="L713" s="40" t="str">
        <f>IF($K713="","",IFERROR(VLOOKUP($K713,Grinders!$A$4:$N$998,2,FALSE),""))</f>
        <v/>
      </c>
      <c r="M713" s="40" t="str">
        <f>IF($K713="","",IFERROR(VLOOKUP($K713,Grinders!$A$4:$N$998,3,FALSE),""))</f>
        <v/>
      </c>
      <c r="N713" s="40" t="str">
        <f>IF($K713="","",IFERROR(VLOOKUP($K713,Grinders!$A$4:$N$998,4,FALSE),""))</f>
        <v/>
      </c>
      <c r="O713" s="40" t="str">
        <f>IF($K713="","",IFERROR(VLOOKUP($K713,Grinders!$A$4:$N$998,5,FALSE),""))</f>
        <v/>
      </c>
      <c r="P713" s="40" t="str">
        <f>IF($K713="","",IF($C$4="",0,COUNTIFS(Assignments!$B$6:$B$1000,$K713,Assignments!$F$6:$F$1000,$C$4,Assignments!$E$6:$E$1000,"Active")))</f>
        <v/>
      </c>
      <c r="Q713" s="40" t="str">
        <f t="shared" si="3"/>
        <v/>
      </c>
      <c r="R713" s="40" t="str">
        <f t="shared" si="4"/>
        <v/>
      </c>
      <c r="S713" s="40" t="str">
        <f>IF($K713="","",IF($C$4="",0,COUNTIFS(Assignments!$B$6:$B$1000,$K713,Assignments!$F$6:$F$1000,$C$4,Assignments!$D$6:$D$1000,"&gt;="&amp;Config!$B$3-7,Assignments!$D$6:$D$1000,"&lt;="&amp;Config!$B$3)))</f>
        <v/>
      </c>
      <c r="T713" s="40" t="str">
        <f>IF($K713="","",IFERROR(VLOOKUP($K713,Grinders!$A$4:$N$998,8,FALSE),""))</f>
        <v/>
      </c>
      <c r="U713" s="40" t="str">
        <f>IFERROR(IF($K713="","",IF($M713="Elite",MAX(50,MIN(100,Config!$B$27*MAX(0,MIN(100,(1-IF($R713="",0,$R713))*100)) + Config!$B$28*MAX(0,MIN(100,(1-MIN(1,IF(Config!$B$30=0,1,$S713/Config!$B$30)))*100)) + Config!$B$29*MAX(0,MIN(100,MIN(1,IF($T713="",0,$T713)/Config!$B$23)*100)))),MIN(100,Config!$B$27*MAX(0,MIN(100,(1-IF($R713="",0,$R713))*100)) + Config!$B$28*MAX(0,MIN(100,(1-MIN(1,IF(Config!$B$30=0,1,$S713/Config!$B$30)))*100)) + Config!$B$29*MAX(0,MIN(100,MIN(1,IF($T713="",0,$T713)/Config!$B$23)*100))))),"")
</f>
        <v/>
      </c>
      <c r="V713" s="40" t="str">
        <f>IF(Bids!$D712="","",Bids!$D712)</f>
        <v/>
      </c>
      <c r="W713" s="40" t="str">
        <f>IF(Bids!$F712="","",Bids!$F712)</f>
        <v/>
      </c>
      <c r="X713" s="40" t="str">
        <f t="shared" si="5"/>
        <v/>
      </c>
      <c r="Y713" s="40" t="str">
        <f>IF($X713="","",IF(Config!$B$17=Config!$B$16,IF($X713&gt;=Config!$B$17,100,0),MAX(0,MIN(100,($X713-Config!$B$16)/(Config!$B$17-Config!$B$16)*100))))</f>
        <v/>
      </c>
      <c r="Z713" s="40">
        <f>IF($M713="Elite",Config!$B$21,0)</f>
        <v>0</v>
      </c>
      <c r="AA713" s="40" t="str">
        <f>IFERROR(IF(OR($W713="",$H713=""),"",IF($W713&gt;$H713,
  MAX(0, 60-(($W713-$H713)*24/Config!$B$19)*60),
  MIN(100, 60+(($H713-$W713)*24/Config!$B$20)*40)
)),"")
</f>
        <v/>
      </c>
      <c r="AB713" s="40" t="str">
        <f>IF($K713="","",IFERROR(VLOOKUP($K713,Grinders!$A$4:$N$998,10,FALSE)/5*100,""))</f>
        <v/>
      </c>
      <c r="AC713" s="40" t="str">
        <f>IF($K713="","",IFERROR(VLOOKUP($K713,Grinders!$A$4:$N$998,11,FALSE)*100,""))</f>
        <v/>
      </c>
      <c r="AD713" s="40" t="str">
        <f>IF($K713="","",IFERROR(VLOOKUP($K713,Grinders!$A$4:$N$998,12,FALSE)*100,""))</f>
        <v/>
      </c>
      <c r="AE713" s="40">
        <f>IFERROR(IFS(
    OR($C713="", $K713=""), 0,
    $F713=0, 0,
    $D713&lt;&gt;"Open", 0,
    COUNTIFS(GrinderServices!$B$4:$B$998, $K713, GrinderServices!$C$4:$C$998, $E713, GrinderServices!$E$4:$E$998, "Y")=0, 0,
    $X713&lt;Config!$B$16, 0,
    Config!$B$18=1, IF($O713&gt;=N713, 0, 1),
    TRUE, 1
), "")
</f>
        <v>0</v>
      </c>
      <c r="AF713" s="40" t="str">
        <f>IFERROR(IF($AE713=0,"",((Config!$B$6*$Y713 + Config!$B$7*$U713 + Config!$B$8*$Z713 + Config!$B$9*$AA713 + Config!$B$10*$AB713 + Config!$B$11*$AC713 - Config!$B$12*$AD713)/Config!$B$13)+$AK713+$AL713),"")</f>
        <v/>
      </c>
      <c r="AG713" s="40" t="str">
        <f t="shared" si="6"/>
        <v/>
      </c>
      <c r="AH713" s="40" t="str">
        <f t="shared" si="7"/>
        <v/>
      </c>
      <c r="AI713" s="40" t="str">
        <f t="shared" si="8"/>
        <v/>
      </c>
      <c r="AJ713" s="40" t="str">
        <f>IF($K713="","",COUNTIF(Assignments!$B$6:$B$1000,$K713))</f>
        <v/>
      </c>
      <c r="AK713" s="40" t="str">
        <f>IF($K713="","",IF(AND($AJ713=0,$O713&lt;$N713),Config!$B$43,0))</f>
        <v/>
      </c>
      <c r="AL713" s="40" t="str">
        <f>IF($K713="","",IF(AND($M713="Elite",$G713&gt;=Config!$B$41,$O713&lt;$N713),Config!$B$42,0))</f>
        <v/>
      </c>
      <c r="AM713" s="22"/>
    </row>
    <row r="714" ht="15.75" customHeight="1">
      <c r="A714" s="40" t="str">
        <f t="shared" si="1"/>
        <v/>
      </c>
      <c r="B714" s="40" t="str">
        <f>IF(Bids!$A713="","",Bids!$A713)</f>
        <v/>
      </c>
      <c r="C714" s="40" t="str">
        <f>IF(Bids!$B713="","",Bids!$B713)</f>
        <v/>
      </c>
      <c r="D714" s="40" t="str">
        <f>IF($C714="","",IFERROR(VLOOKUP($C714,Orders!$A$4:$J$998,9,FALSE),""))</f>
        <v/>
      </c>
      <c r="E714" s="40" t="str">
        <f>IF($C714="","",IFERROR(VLOOKUP($C714,Orders!$A$4:$J$998,3,FALSE),""))</f>
        <v/>
      </c>
      <c r="F714" s="40">
        <f t="shared" si="2"/>
        <v>1</v>
      </c>
      <c r="G714" s="40" t="str">
        <f>IF($C714="","",IFERROR(VLOOKUP($C714,Orders!$A$4:$J$998,4,FALSE),""))</f>
        <v/>
      </c>
      <c r="H714" s="40" t="str">
        <f>IF($C714="","",IFERROR(VLOOKUP($C714,Orders!$A$4:$J$998,5,FALSE),""))</f>
        <v/>
      </c>
      <c r="I714" s="40" t="str">
        <f>IF($C714="","",IFERROR(VLOOKUP($C714,Orders!$A$4:$J$998,6,FALSE),""))</f>
        <v/>
      </c>
      <c r="J714" s="40" t="str">
        <f>IF($C714="","",IFERROR(VLOOKUP($C714,Orders!$A$4:$J$998,7,FALSE),""))</f>
        <v/>
      </c>
      <c r="K714" s="40" t="str">
        <f>IF(Bids!$C713="","",Bids!$C713)</f>
        <v/>
      </c>
      <c r="L714" s="40" t="str">
        <f>IF($K714="","",IFERROR(VLOOKUP($K714,Grinders!$A$4:$N$998,2,FALSE),""))</f>
        <v/>
      </c>
      <c r="M714" s="40" t="str">
        <f>IF($K714="","",IFERROR(VLOOKUP($K714,Grinders!$A$4:$N$998,3,FALSE),""))</f>
        <v/>
      </c>
      <c r="N714" s="40" t="str">
        <f>IF($K714="","",IFERROR(VLOOKUP($K714,Grinders!$A$4:$N$998,4,FALSE),""))</f>
        <v/>
      </c>
      <c r="O714" s="40" t="str">
        <f>IF($K714="","",IFERROR(VLOOKUP($K714,Grinders!$A$4:$N$998,5,FALSE),""))</f>
        <v/>
      </c>
      <c r="P714" s="40" t="str">
        <f>IF($K714="","",IF($C$4="",0,COUNTIFS(Assignments!$B$6:$B$1000,$K714,Assignments!$F$6:$F$1000,$C$4,Assignments!$E$6:$E$1000,"Active")))</f>
        <v/>
      </c>
      <c r="Q714" s="40" t="str">
        <f t="shared" si="3"/>
        <v/>
      </c>
      <c r="R714" s="40" t="str">
        <f t="shared" si="4"/>
        <v/>
      </c>
      <c r="S714" s="40" t="str">
        <f>IF($K714="","",IF($C$4="",0,COUNTIFS(Assignments!$B$6:$B$1000,$K714,Assignments!$F$6:$F$1000,$C$4,Assignments!$D$6:$D$1000,"&gt;="&amp;Config!$B$3-7,Assignments!$D$6:$D$1000,"&lt;="&amp;Config!$B$3)))</f>
        <v/>
      </c>
      <c r="T714" s="40" t="str">
        <f>IF($K714="","",IFERROR(VLOOKUP($K714,Grinders!$A$4:$N$998,8,FALSE),""))</f>
        <v/>
      </c>
      <c r="U714" s="40" t="str">
        <f>IFERROR(IF($K714="","",IF($M714="Elite",MAX(50,MIN(100,Config!$B$27*MAX(0,MIN(100,(1-IF($R714="",0,$R714))*100)) + Config!$B$28*MAX(0,MIN(100,(1-MIN(1,IF(Config!$B$30=0,1,$S714/Config!$B$30)))*100)) + Config!$B$29*MAX(0,MIN(100,MIN(1,IF($T714="",0,$T714)/Config!$B$23)*100)))),MIN(100,Config!$B$27*MAX(0,MIN(100,(1-IF($R714="",0,$R714))*100)) + Config!$B$28*MAX(0,MIN(100,(1-MIN(1,IF(Config!$B$30=0,1,$S714/Config!$B$30)))*100)) + Config!$B$29*MAX(0,MIN(100,MIN(1,IF($T714="",0,$T714)/Config!$B$23)*100))))),"")
</f>
        <v/>
      </c>
      <c r="V714" s="40" t="str">
        <f>IF(Bids!$D713="","",Bids!$D713)</f>
        <v/>
      </c>
      <c r="W714" s="40" t="str">
        <f>IF(Bids!$F713="","",Bids!$F713)</f>
        <v/>
      </c>
      <c r="X714" s="40" t="str">
        <f t="shared" si="5"/>
        <v/>
      </c>
      <c r="Y714" s="40" t="str">
        <f>IF($X714="","",IF(Config!$B$17=Config!$B$16,IF($X714&gt;=Config!$B$17,100,0),MAX(0,MIN(100,($X714-Config!$B$16)/(Config!$B$17-Config!$B$16)*100))))</f>
        <v/>
      </c>
      <c r="Z714" s="40">
        <f>IF($M714="Elite",Config!$B$21,0)</f>
        <v>0</v>
      </c>
      <c r="AA714" s="40" t="str">
        <f>IFERROR(IF(OR($W714="",$H714=""),"",IF($W714&gt;$H714,
  MAX(0, 60-(($W714-$H714)*24/Config!$B$19)*60),
  MIN(100, 60+(($H714-$W714)*24/Config!$B$20)*40)
)),"")
</f>
        <v/>
      </c>
      <c r="AB714" s="40" t="str">
        <f>IF($K714="","",IFERROR(VLOOKUP($K714,Grinders!$A$4:$N$998,10,FALSE)/5*100,""))</f>
        <v/>
      </c>
      <c r="AC714" s="40" t="str">
        <f>IF($K714="","",IFERROR(VLOOKUP($K714,Grinders!$A$4:$N$998,11,FALSE)*100,""))</f>
        <v/>
      </c>
      <c r="AD714" s="40" t="str">
        <f>IF($K714="","",IFERROR(VLOOKUP($K714,Grinders!$A$4:$N$998,12,FALSE)*100,""))</f>
        <v/>
      </c>
      <c r="AE714" s="40">
        <f>IFERROR(IFS(
    OR($C714="", $K714=""), 0,
    $F714=0, 0,
    $D714&lt;&gt;"Open", 0,
    COUNTIFS(GrinderServices!$B$4:$B$998, $K714, GrinderServices!$C$4:$C$998, $E714, GrinderServices!$E$4:$E$998, "Y")=0, 0,
    $X714&lt;Config!$B$16, 0,
    Config!$B$18=1, IF($O714&gt;=N714, 0, 1),
    TRUE, 1
), "")
</f>
        <v>0</v>
      </c>
      <c r="AF714" s="40" t="str">
        <f>IFERROR(IF($AE714=0,"",((Config!$B$6*$Y714 + Config!$B$7*$U714 + Config!$B$8*$Z714 + Config!$B$9*$AA714 + Config!$B$10*$AB714 + Config!$B$11*$AC714 - Config!$B$12*$AD714)/Config!$B$13)+$AK714+$AL714),"")</f>
        <v/>
      </c>
      <c r="AG714" s="40" t="str">
        <f t="shared" si="6"/>
        <v/>
      </c>
      <c r="AH714" s="40" t="str">
        <f t="shared" si="7"/>
        <v/>
      </c>
      <c r="AI714" s="40" t="str">
        <f t="shared" si="8"/>
        <v/>
      </c>
      <c r="AJ714" s="40" t="str">
        <f>IF($K714="","",COUNTIF(Assignments!$B$6:$B$1000,$K714))</f>
        <v/>
      </c>
      <c r="AK714" s="40" t="str">
        <f>IF($K714="","",IF(AND($AJ714=0,$O714&lt;$N714),Config!$B$43,0))</f>
        <v/>
      </c>
      <c r="AL714" s="40" t="str">
        <f>IF($K714="","",IF(AND($M714="Elite",$G714&gt;=Config!$B$41,$O714&lt;$N714),Config!$B$42,0))</f>
        <v/>
      </c>
      <c r="AM714" s="22"/>
    </row>
    <row r="715" ht="15.75" customHeight="1">
      <c r="A715" s="40" t="str">
        <f t="shared" si="1"/>
        <v/>
      </c>
      <c r="B715" s="40" t="str">
        <f>IF(Bids!$A714="","",Bids!$A714)</f>
        <v/>
      </c>
      <c r="C715" s="40" t="str">
        <f>IF(Bids!$B714="","",Bids!$B714)</f>
        <v/>
      </c>
      <c r="D715" s="40" t="str">
        <f>IF($C715="","",IFERROR(VLOOKUP($C715,Orders!$A$4:$J$998,9,FALSE),""))</f>
        <v/>
      </c>
      <c r="E715" s="40" t="str">
        <f>IF($C715="","",IFERROR(VLOOKUP($C715,Orders!$A$4:$J$998,3,FALSE),""))</f>
        <v/>
      </c>
      <c r="F715" s="40">
        <f t="shared" si="2"/>
        <v>1</v>
      </c>
      <c r="G715" s="40" t="str">
        <f>IF($C715="","",IFERROR(VLOOKUP($C715,Orders!$A$4:$J$998,4,FALSE),""))</f>
        <v/>
      </c>
      <c r="H715" s="40" t="str">
        <f>IF($C715="","",IFERROR(VLOOKUP($C715,Orders!$A$4:$J$998,5,FALSE),""))</f>
        <v/>
      </c>
      <c r="I715" s="40" t="str">
        <f>IF($C715="","",IFERROR(VLOOKUP($C715,Orders!$A$4:$J$998,6,FALSE),""))</f>
        <v/>
      </c>
      <c r="J715" s="40" t="str">
        <f>IF($C715="","",IFERROR(VLOOKUP($C715,Orders!$A$4:$J$998,7,FALSE),""))</f>
        <v/>
      </c>
      <c r="K715" s="40" t="str">
        <f>IF(Bids!$C714="","",Bids!$C714)</f>
        <v/>
      </c>
      <c r="L715" s="40" t="str">
        <f>IF($K715="","",IFERROR(VLOOKUP($K715,Grinders!$A$4:$N$998,2,FALSE),""))</f>
        <v/>
      </c>
      <c r="M715" s="40" t="str">
        <f>IF($K715="","",IFERROR(VLOOKUP($K715,Grinders!$A$4:$N$998,3,FALSE),""))</f>
        <v/>
      </c>
      <c r="N715" s="40" t="str">
        <f>IF($K715="","",IFERROR(VLOOKUP($K715,Grinders!$A$4:$N$998,4,FALSE),""))</f>
        <v/>
      </c>
      <c r="O715" s="40" t="str">
        <f>IF($K715="","",IFERROR(VLOOKUP($K715,Grinders!$A$4:$N$998,5,FALSE),""))</f>
        <v/>
      </c>
      <c r="P715" s="40" t="str">
        <f>IF($K715="","",IF($C$4="",0,COUNTIFS(Assignments!$B$6:$B$1000,$K715,Assignments!$F$6:$F$1000,$C$4,Assignments!$E$6:$E$1000,"Active")))</f>
        <v/>
      </c>
      <c r="Q715" s="40" t="str">
        <f t="shared" si="3"/>
        <v/>
      </c>
      <c r="R715" s="40" t="str">
        <f t="shared" si="4"/>
        <v/>
      </c>
      <c r="S715" s="40" t="str">
        <f>IF($K715="","",IF($C$4="",0,COUNTIFS(Assignments!$B$6:$B$1000,$K715,Assignments!$F$6:$F$1000,$C$4,Assignments!$D$6:$D$1000,"&gt;="&amp;Config!$B$3-7,Assignments!$D$6:$D$1000,"&lt;="&amp;Config!$B$3)))</f>
        <v/>
      </c>
      <c r="T715" s="40" t="str">
        <f>IF($K715="","",IFERROR(VLOOKUP($K715,Grinders!$A$4:$N$998,8,FALSE),""))</f>
        <v/>
      </c>
      <c r="U715" s="40" t="str">
        <f>IFERROR(IF($K715="","",IF($M715="Elite",MAX(50,MIN(100,Config!$B$27*MAX(0,MIN(100,(1-IF($R715="",0,$R715))*100)) + Config!$B$28*MAX(0,MIN(100,(1-MIN(1,IF(Config!$B$30=0,1,$S715/Config!$B$30)))*100)) + Config!$B$29*MAX(0,MIN(100,MIN(1,IF($T715="",0,$T715)/Config!$B$23)*100)))),MIN(100,Config!$B$27*MAX(0,MIN(100,(1-IF($R715="",0,$R715))*100)) + Config!$B$28*MAX(0,MIN(100,(1-MIN(1,IF(Config!$B$30=0,1,$S715/Config!$B$30)))*100)) + Config!$B$29*MAX(0,MIN(100,MIN(1,IF($T715="",0,$T715)/Config!$B$23)*100))))),"")
</f>
        <v/>
      </c>
      <c r="V715" s="40" t="str">
        <f>IF(Bids!$D714="","",Bids!$D714)</f>
        <v/>
      </c>
      <c r="W715" s="40" t="str">
        <f>IF(Bids!$F714="","",Bids!$F714)</f>
        <v/>
      </c>
      <c r="X715" s="40" t="str">
        <f t="shared" si="5"/>
        <v/>
      </c>
      <c r="Y715" s="40" t="str">
        <f>IF($X715="","",IF(Config!$B$17=Config!$B$16,IF($X715&gt;=Config!$B$17,100,0),MAX(0,MIN(100,($X715-Config!$B$16)/(Config!$B$17-Config!$B$16)*100))))</f>
        <v/>
      </c>
      <c r="Z715" s="40">
        <f>IF($M715="Elite",Config!$B$21,0)</f>
        <v>0</v>
      </c>
      <c r="AA715" s="40" t="str">
        <f>IFERROR(IF(OR($W715="",$H715=""),"",IF($W715&gt;$H715,
  MAX(0, 60-(($W715-$H715)*24/Config!$B$19)*60),
  MIN(100, 60+(($H715-$W715)*24/Config!$B$20)*40)
)),"")
</f>
        <v/>
      </c>
      <c r="AB715" s="40" t="str">
        <f>IF($K715="","",IFERROR(VLOOKUP($K715,Grinders!$A$4:$N$998,10,FALSE)/5*100,""))</f>
        <v/>
      </c>
      <c r="AC715" s="40" t="str">
        <f>IF($K715="","",IFERROR(VLOOKUP($K715,Grinders!$A$4:$N$998,11,FALSE)*100,""))</f>
        <v/>
      </c>
      <c r="AD715" s="40" t="str">
        <f>IF($K715="","",IFERROR(VLOOKUP($K715,Grinders!$A$4:$N$998,12,FALSE)*100,""))</f>
        <v/>
      </c>
      <c r="AE715" s="40">
        <f>IFERROR(IFS(
    OR($C715="", $K715=""), 0,
    $F715=0, 0,
    $D715&lt;&gt;"Open", 0,
    COUNTIFS(GrinderServices!$B$4:$B$998, $K715, GrinderServices!$C$4:$C$998, $E715, GrinderServices!$E$4:$E$998, "Y")=0, 0,
    $X715&lt;Config!$B$16, 0,
    Config!$B$18=1, IF($O715&gt;=N715, 0, 1),
    TRUE, 1
), "")
</f>
        <v>0</v>
      </c>
      <c r="AF715" s="40" t="str">
        <f>IFERROR(IF($AE715=0,"",((Config!$B$6*$Y715 + Config!$B$7*$U715 + Config!$B$8*$Z715 + Config!$B$9*$AA715 + Config!$B$10*$AB715 + Config!$B$11*$AC715 - Config!$B$12*$AD715)/Config!$B$13)+$AK715+$AL715),"")</f>
        <v/>
      </c>
      <c r="AG715" s="40" t="str">
        <f t="shared" si="6"/>
        <v/>
      </c>
      <c r="AH715" s="40" t="str">
        <f t="shared" si="7"/>
        <v/>
      </c>
      <c r="AI715" s="40" t="str">
        <f t="shared" si="8"/>
        <v/>
      </c>
      <c r="AJ715" s="40" t="str">
        <f>IF($K715="","",COUNTIF(Assignments!$B$6:$B$1000,$K715))</f>
        <v/>
      </c>
      <c r="AK715" s="40" t="str">
        <f>IF($K715="","",IF(AND($AJ715=0,$O715&lt;$N715),Config!$B$43,0))</f>
        <v/>
      </c>
      <c r="AL715" s="40" t="str">
        <f>IF($K715="","",IF(AND($M715="Elite",$G715&gt;=Config!$B$41,$O715&lt;$N715),Config!$B$42,0))</f>
        <v/>
      </c>
      <c r="AM715" s="22"/>
    </row>
    <row r="716" ht="15.75" customHeight="1">
      <c r="A716" s="40" t="str">
        <f t="shared" si="1"/>
        <v/>
      </c>
      <c r="B716" s="40" t="str">
        <f>IF(Bids!$A715="","",Bids!$A715)</f>
        <v/>
      </c>
      <c r="C716" s="40" t="str">
        <f>IF(Bids!$B715="","",Bids!$B715)</f>
        <v/>
      </c>
      <c r="D716" s="40" t="str">
        <f>IF($C716="","",IFERROR(VLOOKUP($C716,Orders!$A$4:$J$998,9,FALSE),""))</f>
        <v/>
      </c>
      <c r="E716" s="40" t="str">
        <f>IF($C716="","",IFERROR(VLOOKUP($C716,Orders!$A$4:$J$998,3,FALSE),""))</f>
        <v/>
      </c>
      <c r="F716" s="40">
        <f t="shared" si="2"/>
        <v>1</v>
      </c>
      <c r="G716" s="40" t="str">
        <f>IF($C716="","",IFERROR(VLOOKUP($C716,Orders!$A$4:$J$998,4,FALSE),""))</f>
        <v/>
      </c>
      <c r="H716" s="40" t="str">
        <f>IF($C716="","",IFERROR(VLOOKUP($C716,Orders!$A$4:$J$998,5,FALSE),""))</f>
        <v/>
      </c>
      <c r="I716" s="40" t="str">
        <f>IF($C716="","",IFERROR(VLOOKUP($C716,Orders!$A$4:$J$998,6,FALSE),""))</f>
        <v/>
      </c>
      <c r="J716" s="40" t="str">
        <f>IF($C716="","",IFERROR(VLOOKUP($C716,Orders!$A$4:$J$998,7,FALSE),""))</f>
        <v/>
      </c>
      <c r="K716" s="40" t="str">
        <f>IF(Bids!$C715="","",Bids!$C715)</f>
        <v/>
      </c>
      <c r="L716" s="40" t="str">
        <f>IF($K716="","",IFERROR(VLOOKUP($K716,Grinders!$A$4:$N$998,2,FALSE),""))</f>
        <v/>
      </c>
      <c r="M716" s="40" t="str">
        <f>IF($K716="","",IFERROR(VLOOKUP($K716,Grinders!$A$4:$N$998,3,FALSE),""))</f>
        <v/>
      </c>
      <c r="N716" s="40" t="str">
        <f>IF($K716="","",IFERROR(VLOOKUP($K716,Grinders!$A$4:$N$998,4,FALSE),""))</f>
        <v/>
      </c>
      <c r="O716" s="40" t="str">
        <f>IF($K716="","",IFERROR(VLOOKUP($K716,Grinders!$A$4:$N$998,5,FALSE),""))</f>
        <v/>
      </c>
      <c r="P716" s="40" t="str">
        <f>IF($K716="","",IF($C$4="",0,COUNTIFS(Assignments!$B$6:$B$1000,$K716,Assignments!$F$6:$F$1000,$C$4,Assignments!$E$6:$E$1000,"Active")))</f>
        <v/>
      </c>
      <c r="Q716" s="40" t="str">
        <f t="shared" si="3"/>
        <v/>
      </c>
      <c r="R716" s="40" t="str">
        <f t="shared" si="4"/>
        <v/>
      </c>
      <c r="S716" s="40" t="str">
        <f>IF($K716="","",IF($C$4="",0,COUNTIFS(Assignments!$B$6:$B$1000,$K716,Assignments!$F$6:$F$1000,$C$4,Assignments!$D$6:$D$1000,"&gt;="&amp;Config!$B$3-7,Assignments!$D$6:$D$1000,"&lt;="&amp;Config!$B$3)))</f>
        <v/>
      </c>
      <c r="T716" s="40" t="str">
        <f>IF($K716="","",IFERROR(VLOOKUP($K716,Grinders!$A$4:$N$998,8,FALSE),""))</f>
        <v/>
      </c>
      <c r="U716" s="40" t="str">
        <f>IFERROR(IF($K716="","",IF($M716="Elite",MAX(50,MIN(100,Config!$B$27*MAX(0,MIN(100,(1-IF($R716="",0,$R716))*100)) + Config!$B$28*MAX(0,MIN(100,(1-MIN(1,IF(Config!$B$30=0,1,$S716/Config!$B$30)))*100)) + Config!$B$29*MAX(0,MIN(100,MIN(1,IF($T716="",0,$T716)/Config!$B$23)*100)))),MIN(100,Config!$B$27*MAX(0,MIN(100,(1-IF($R716="",0,$R716))*100)) + Config!$B$28*MAX(0,MIN(100,(1-MIN(1,IF(Config!$B$30=0,1,$S716/Config!$B$30)))*100)) + Config!$B$29*MAX(0,MIN(100,MIN(1,IF($T716="",0,$T716)/Config!$B$23)*100))))),"")
</f>
        <v/>
      </c>
      <c r="V716" s="40" t="str">
        <f>IF(Bids!$D715="","",Bids!$D715)</f>
        <v/>
      </c>
      <c r="W716" s="40" t="str">
        <f>IF(Bids!$F715="","",Bids!$F715)</f>
        <v/>
      </c>
      <c r="X716" s="40" t="str">
        <f t="shared" si="5"/>
        <v/>
      </c>
      <c r="Y716" s="40" t="str">
        <f>IF($X716="","",IF(Config!$B$17=Config!$B$16,IF($X716&gt;=Config!$B$17,100,0),MAX(0,MIN(100,($X716-Config!$B$16)/(Config!$B$17-Config!$B$16)*100))))</f>
        <v/>
      </c>
      <c r="Z716" s="40">
        <f>IF($M716="Elite",Config!$B$21,0)</f>
        <v>0</v>
      </c>
      <c r="AA716" s="40" t="str">
        <f>IFERROR(IF(OR($W716="",$H716=""),"",IF($W716&gt;$H716,
  MAX(0, 60-(($W716-$H716)*24/Config!$B$19)*60),
  MIN(100, 60+(($H716-$W716)*24/Config!$B$20)*40)
)),"")
</f>
        <v/>
      </c>
      <c r="AB716" s="40" t="str">
        <f>IF($K716="","",IFERROR(VLOOKUP($K716,Grinders!$A$4:$N$998,10,FALSE)/5*100,""))</f>
        <v/>
      </c>
      <c r="AC716" s="40" t="str">
        <f>IF($K716="","",IFERROR(VLOOKUP($K716,Grinders!$A$4:$N$998,11,FALSE)*100,""))</f>
        <v/>
      </c>
      <c r="AD716" s="40" t="str">
        <f>IF($K716="","",IFERROR(VLOOKUP($K716,Grinders!$A$4:$N$998,12,FALSE)*100,""))</f>
        <v/>
      </c>
      <c r="AE716" s="40">
        <f>IFERROR(IFS(
    OR($C716="", $K716=""), 0,
    $F716=0, 0,
    $D716&lt;&gt;"Open", 0,
    COUNTIFS(GrinderServices!$B$4:$B$998, $K716, GrinderServices!$C$4:$C$998, $E716, GrinderServices!$E$4:$E$998, "Y")=0, 0,
    $X716&lt;Config!$B$16, 0,
    Config!$B$18=1, IF($O716&gt;=N716, 0, 1),
    TRUE, 1
), "")
</f>
        <v>0</v>
      </c>
      <c r="AF716" s="40" t="str">
        <f>IFERROR(IF($AE716=0,"",((Config!$B$6*$Y716 + Config!$B$7*$U716 + Config!$B$8*$Z716 + Config!$B$9*$AA716 + Config!$B$10*$AB716 + Config!$B$11*$AC716 - Config!$B$12*$AD716)/Config!$B$13)+$AK716+$AL716),"")</f>
        <v/>
      </c>
      <c r="AG716" s="40" t="str">
        <f t="shared" si="6"/>
        <v/>
      </c>
      <c r="AH716" s="40" t="str">
        <f t="shared" si="7"/>
        <v/>
      </c>
      <c r="AI716" s="40" t="str">
        <f t="shared" si="8"/>
        <v/>
      </c>
      <c r="AJ716" s="40" t="str">
        <f>IF($K716="","",COUNTIF(Assignments!$B$6:$B$1000,$K716))</f>
        <v/>
      </c>
      <c r="AK716" s="40" t="str">
        <f>IF($K716="","",IF(AND($AJ716=0,$O716&lt;$N716),Config!$B$43,0))</f>
        <v/>
      </c>
      <c r="AL716" s="40" t="str">
        <f>IF($K716="","",IF(AND($M716="Elite",$G716&gt;=Config!$B$41,$O716&lt;$N716),Config!$B$42,0))</f>
        <v/>
      </c>
      <c r="AM716" s="22"/>
    </row>
    <row r="717" ht="15.75" customHeight="1">
      <c r="A717" s="40" t="str">
        <f t="shared" si="1"/>
        <v/>
      </c>
      <c r="B717" s="40" t="str">
        <f>IF(Bids!$A716="","",Bids!$A716)</f>
        <v/>
      </c>
      <c r="C717" s="40" t="str">
        <f>IF(Bids!$B716="","",Bids!$B716)</f>
        <v/>
      </c>
      <c r="D717" s="40" t="str">
        <f>IF($C717="","",IFERROR(VLOOKUP($C717,Orders!$A$4:$J$998,9,FALSE),""))</f>
        <v/>
      </c>
      <c r="E717" s="40" t="str">
        <f>IF($C717="","",IFERROR(VLOOKUP($C717,Orders!$A$4:$J$998,3,FALSE),""))</f>
        <v/>
      </c>
      <c r="F717" s="40">
        <f t="shared" si="2"/>
        <v>1</v>
      </c>
      <c r="G717" s="40" t="str">
        <f>IF($C717="","",IFERROR(VLOOKUP($C717,Orders!$A$4:$J$998,4,FALSE),""))</f>
        <v/>
      </c>
      <c r="H717" s="40" t="str">
        <f>IF($C717="","",IFERROR(VLOOKUP($C717,Orders!$A$4:$J$998,5,FALSE),""))</f>
        <v/>
      </c>
      <c r="I717" s="40" t="str">
        <f>IF($C717="","",IFERROR(VLOOKUP($C717,Orders!$A$4:$J$998,6,FALSE),""))</f>
        <v/>
      </c>
      <c r="J717" s="40" t="str">
        <f>IF($C717="","",IFERROR(VLOOKUP($C717,Orders!$A$4:$J$998,7,FALSE),""))</f>
        <v/>
      </c>
      <c r="K717" s="40" t="str">
        <f>IF(Bids!$C716="","",Bids!$C716)</f>
        <v/>
      </c>
      <c r="L717" s="40" t="str">
        <f>IF($K717="","",IFERROR(VLOOKUP($K717,Grinders!$A$4:$N$998,2,FALSE),""))</f>
        <v/>
      </c>
      <c r="M717" s="40" t="str">
        <f>IF($K717="","",IFERROR(VLOOKUP($K717,Grinders!$A$4:$N$998,3,FALSE),""))</f>
        <v/>
      </c>
      <c r="N717" s="40" t="str">
        <f>IF($K717="","",IFERROR(VLOOKUP($K717,Grinders!$A$4:$N$998,4,FALSE),""))</f>
        <v/>
      </c>
      <c r="O717" s="40" t="str">
        <f>IF($K717="","",IFERROR(VLOOKUP($K717,Grinders!$A$4:$N$998,5,FALSE),""))</f>
        <v/>
      </c>
      <c r="P717" s="40" t="str">
        <f>IF($K717="","",IF($C$4="",0,COUNTIFS(Assignments!$B$6:$B$1000,$K717,Assignments!$F$6:$F$1000,$C$4,Assignments!$E$6:$E$1000,"Active")))</f>
        <v/>
      </c>
      <c r="Q717" s="40" t="str">
        <f t="shared" si="3"/>
        <v/>
      </c>
      <c r="R717" s="40" t="str">
        <f t="shared" si="4"/>
        <v/>
      </c>
      <c r="S717" s="40" t="str">
        <f>IF($K717="","",IF($C$4="",0,COUNTIFS(Assignments!$B$6:$B$1000,$K717,Assignments!$F$6:$F$1000,$C$4,Assignments!$D$6:$D$1000,"&gt;="&amp;Config!$B$3-7,Assignments!$D$6:$D$1000,"&lt;="&amp;Config!$B$3)))</f>
        <v/>
      </c>
      <c r="T717" s="40" t="str">
        <f>IF($K717="","",IFERROR(VLOOKUP($K717,Grinders!$A$4:$N$998,8,FALSE),""))</f>
        <v/>
      </c>
      <c r="U717" s="40" t="str">
        <f>IFERROR(IF($K717="","",IF($M717="Elite",MAX(50,MIN(100,Config!$B$27*MAX(0,MIN(100,(1-IF($R717="",0,$R717))*100)) + Config!$B$28*MAX(0,MIN(100,(1-MIN(1,IF(Config!$B$30=0,1,$S717/Config!$B$30)))*100)) + Config!$B$29*MAX(0,MIN(100,MIN(1,IF($T717="",0,$T717)/Config!$B$23)*100)))),MIN(100,Config!$B$27*MAX(0,MIN(100,(1-IF($R717="",0,$R717))*100)) + Config!$B$28*MAX(0,MIN(100,(1-MIN(1,IF(Config!$B$30=0,1,$S717/Config!$B$30)))*100)) + Config!$B$29*MAX(0,MIN(100,MIN(1,IF($T717="",0,$T717)/Config!$B$23)*100))))),"")
</f>
        <v/>
      </c>
      <c r="V717" s="40" t="str">
        <f>IF(Bids!$D716="","",Bids!$D716)</f>
        <v/>
      </c>
      <c r="W717" s="40" t="str">
        <f>IF(Bids!$F716="","",Bids!$F716)</f>
        <v/>
      </c>
      <c r="X717" s="40" t="str">
        <f t="shared" si="5"/>
        <v/>
      </c>
      <c r="Y717" s="40" t="str">
        <f>IF($X717="","",IF(Config!$B$17=Config!$B$16,IF($X717&gt;=Config!$B$17,100,0),MAX(0,MIN(100,($X717-Config!$B$16)/(Config!$B$17-Config!$B$16)*100))))</f>
        <v/>
      </c>
      <c r="Z717" s="40">
        <f>IF($M717="Elite",Config!$B$21,0)</f>
        <v>0</v>
      </c>
      <c r="AA717" s="40" t="str">
        <f>IFERROR(IF(OR($W717="",$H717=""),"",IF($W717&gt;$H717,
  MAX(0, 60-(($W717-$H717)*24/Config!$B$19)*60),
  MIN(100, 60+(($H717-$W717)*24/Config!$B$20)*40)
)),"")
</f>
        <v/>
      </c>
      <c r="AB717" s="40" t="str">
        <f>IF($K717="","",IFERROR(VLOOKUP($K717,Grinders!$A$4:$N$998,10,FALSE)/5*100,""))</f>
        <v/>
      </c>
      <c r="AC717" s="40" t="str">
        <f>IF($K717="","",IFERROR(VLOOKUP($K717,Grinders!$A$4:$N$998,11,FALSE)*100,""))</f>
        <v/>
      </c>
      <c r="AD717" s="40" t="str">
        <f>IF($K717="","",IFERROR(VLOOKUP($K717,Grinders!$A$4:$N$998,12,FALSE)*100,""))</f>
        <v/>
      </c>
      <c r="AE717" s="40">
        <f>IFERROR(IFS(
    OR($C717="", $K717=""), 0,
    $F717=0, 0,
    $D717&lt;&gt;"Open", 0,
    COUNTIFS(GrinderServices!$B$4:$B$998, $K717, GrinderServices!$C$4:$C$998, $E717, GrinderServices!$E$4:$E$998, "Y")=0, 0,
    $X717&lt;Config!$B$16, 0,
    Config!$B$18=1, IF($O717&gt;=N717, 0, 1),
    TRUE, 1
), "")
</f>
        <v>0</v>
      </c>
      <c r="AF717" s="40" t="str">
        <f>IFERROR(IF($AE717=0,"",((Config!$B$6*$Y717 + Config!$B$7*$U717 + Config!$B$8*$Z717 + Config!$B$9*$AA717 + Config!$B$10*$AB717 + Config!$B$11*$AC717 - Config!$B$12*$AD717)/Config!$B$13)+$AK717+$AL717),"")</f>
        <v/>
      </c>
      <c r="AG717" s="40" t="str">
        <f t="shared" si="6"/>
        <v/>
      </c>
      <c r="AH717" s="40" t="str">
        <f t="shared" si="7"/>
        <v/>
      </c>
      <c r="AI717" s="40" t="str">
        <f t="shared" si="8"/>
        <v/>
      </c>
      <c r="AJ717" s="40" t="str">
        <f>IF($K717="","",COUNTIF(Assignments!$B$6:$B$1000,$K717))</f>
        <v/>
      </c>
      <c r="AK717" s="40" t="str">
        <f>IF($K717="","",IF(AND($AJ717=0,$O717&lt;$N717),Config!$B$43,0))</f>
        <v/>
      </c>
      <c r="AL717" s="40" t="str">
        <f>IF($K717="","",IF(AND($M717="Elite",$G717&gt;=Config!$B$41,$O717&lt;$N717),Config!$B$42,0))</f>
        <v/>
      </c>
      <c r="AM717" s="22"/>
    </row>
    <row r="718" ht="15.75" customHeight="1">
      <c r="A718" s="40" t="str">
        <f t="shared" si="1"/>
        <v/>
      </c>
      <c r="B718" s="40" t="str">
        <f>IF(Bids!$A717="","",Bids!$A717)</f>
        <v/>
      </c>
      <c r="C718" s="40" t="str">
        <f>IF(Bids!$B717="","",Bids!$B717)</f>
        <v/>
      </c>
      <c r="D718" s="40" t="str">
        <f>IF($C718="","",IFERROR(VLOOKUP($C718,Orders!$A$4:$J$998,9,FALSE),""))</f>
        <v/>
      </c>
      <c r="E718" s="40" t="str">
        <f>IF($C718="","",IFERROR(VLOOKUP($C718,Orders!$A$4:$J$998,3,FALSE),""))</f>
        <v/>
      </c>
      <c r="F718" s="40">
        <f t="shared" si="2"/>
        <v>1</v>
      </c>
      <c r="G718" s="40" t="str">
        <f>IF($C718="","",IFERROR(VLOOKUP($C718,Orders!$A$4:$J$998,4,FALSE),""))</f>
        <v/>
      </c>
      <c r="H718" s="40" t="str">
        <f>IF($C718="","",IFERROR(VLOOKUP($C718,Orders!$A$4:$J$998,5,FALSE),""))</f>
        <v/>
      </c>
      <c r="I718" s="40" t="str">
        <f>IF($C718="","",IFERROR(VLOOKUP($C718,Orders!$A$4:$J$998,6,FALSE),""))</f>
        <v/>
      </c>
      <c r="J718" s="40" t="str">
        <f>IF($C718="","",IFERROR(VLOOKUP($C718,Orders!$A$4:$J$998,7,FALSE),""))</f>
        <v/>
      </c>
      <c r="K718" s="40" t="str">
        <f>IF(Bids!$C717="","",Bids!$C717)</f>
        <v/>
      </c>
      <c r="L718" s="40" t="str">
        <f>IF($K718="","",IFERROR(VLOOKUP($K718,Grinders!$A$4:$N$998,2,FALSE),""))</f>
        <v/>
      </c>
      <c r="M718" s="40" t="str">
        <f>IF($K718="","",IFERROR(VLOOKUP($K718,Grinders!$A$4:$N$998,3,FALSE),""))</f>
        <v/>
      </c>
      <c r="N718" s="40" t="str">
        <f>IF($K718="","",IFERROR(VLOOKUP($K718,Grinders!$A$4:$N$998,4,FALSE),""))</f>
        <v/>
      </c>
      <c r="O718" s="40" t="str">
        <f>IF($K718="","",IFERROR(VLOOKUP($K718,Grinders!$A$4:$N$998,5,FALSE),""))</f>
        <v/>
      </c>
      <c r="P718" s="40" t="str">
        <f>IF($K718="","",IF($C$4="",0,COUNTIFS(Assignments!$B$6:$B$1000,$K718,Assignments!$F$6:$F$1000,$C$4,Assignments!$E$6:$E$1000,"Active")))</f>
        <v/>
      </c>
      <c r="Q718" s="40" t="str">
        <f t="shared" si="3"/>
        <v/>
      </c>
      <c r="R718" s="40" t="str">
        <f t="shared" si="4"/>
        <v/>
      </c>
      <c r="S718" s="40" t="str">
        <f>IF($K718="","",IF($C$4="",0,COUNTIFS(Assignments!$B$6:$B$1000,$K718,Assignments!$F$6:$F$1000,$C$4,Assignments!$D$6:$D$1000,"&gt;="&amp;Config!$B$3-7,Assignments!$D$6:$D$1000,"&lt;="&amp;Config!$B$3)))</f>
        <v/>
      </c>
      <c r="T718" s="40" t="str">
        <f>IF($K718="","",IFERROR(VLOOKUP($K718,Grinders!$A$4:$N$998,8,FALSE),""))</f>
        <v/>
      </c>
      <c r="U718" s="40" t="str">
        <f>IFERROR(IF($K718="","",IF($M718="Elite",MAX(50,MIN(100,Config!$B$27*MAX(0,MIN(100,(1-IF($R718="",0,$R718))*100)) + Config!$B$28*MAX(0,MIN(100,(1-MIN(1,IF(Config!$B$30=0,1,$S718/Config!$B$30)))*100)) + Config!$B$29*MAX(0,MIN(100,MIN(1,IF($T718="",0,$T718)/Config!$B$23)*100)))),MIN(100,Config!$B$27*MAX(0,MIN(100,(1-IF($R718="",0,$R718))*100)) + Config!$B$28*MAX(0,MIN(100,(1-MIN(1,IF(Config!$B$30=0,1,$S718/Config!$B$30)))*100)) + Config!$B$29*MAX(0,MIN(100,MIN(1,IF($T718="",0,$T718)/Config!$B$23)*100))))),"")
</f>
        <v/>
      </c>
      <c r="V718" s="40" t="str">
        <f>IF(Bids!$D717="","",Bids!$D717)</f>
        <v/>
      </c>
      <c r="W718" s="40" t="str">
        <f>IF(Bids!$F717="","",Bids!$F717)</f>
        <v/>
      </c>
      <c r="X718" s="40" t="str">
        <f t="shared" si="5"/>
        <v/>
      </c>
      <c r="Y718" s="40" t="str">
        <f>IF($X718="","",IF(Config!$B$17=Config!$B$16,IF($X718&gt;=Config!$B$17,100,0),MAX(0,MIN(100,($X718-Config!$B$16)/(Config!$B$17-Config!$B$16)*100))))</f>
        <v/>
      </c>
      <c r="Z718" s="40">
        <f>IF($M718="Elite",Config!$B$21,0)</f>
        <v>0</v>
      </c>
      <c r="AA718" s="40" t="str">
        <f>IFERROR(IF(OR($W718="",$H718=""),"",IF($W718&gt;$H718,
  MAX(0, 60-(($W718-$H718)*24/Config!$B$19)*60),
  MIN(100, 60+(($H718-$W718)*24/Config!$B$20)*40)
)),"")
</f>
        <v/>
      </c>
      <c r="AB718" s="40" t="str">
        <f>IF($K718="","",IFERROR(VLOOKUP($K718,Grinders!$A$4:$N$998,10,FALSE)/5*100,""))</f>
        <v/>
      </c>
      <c r="AC718" s="40" t="str">
        <f>IF($K718="","",IFERROR(VLOOKUP($K718,Grinders!$A$4:$N$998,11,FALSE)*100,""))</f>
        <v/>
      </c>
      <c r="AD718" s="40" t="str">
        <f>IF($K718="","",IFERROR(VLOOKUP($K718,Grinders!$A$4:$N$998,12,FALSE)*100,""))</f>
        <v/>
      </c>
      <c r="AE718" s="40">
        <f>IFERROR(IFS(
    OR($C718="", $K718=""), 0,
    $F718=0, 0,
    $D718&lt;&gt;"Open", 0,
    COUNTIFS(GrinderServices!$B$4:$B$998, $K718, GrinderServices!$C$4:$C$998, $E718, GrinderServices!$E$4:$E$998, "Y")=0, 0,
    $X718&lt;Config!$B$16, 0,
    Config!$B$18=1, IF($O718&gt;=N718, 0, 1),
    TRUE, 1
), "")
</f>
        <v>0</v>
      </c>
      <c r="AF718" s="40" t="str">
        <f>IFERROR(IF($AE718=0,"",((Config!$B$6*$Y718 + Config!$B$7*$U718 + Config!$B$8*$Z718 + Config!$B$9*$AA718 + Config!$B$10*$AB718 + Config!$B$11*$AC718 - Config!$B$12*$AD718)/Config!$B$13)+$AK718+$AL718),"")</f>
        <v/>
      </c>
      <c r="AG718" s="40" t="str">
        <f t="shared" si="6"/>
        <v/>
      </c>
      <c r="AH718" s="40" t="str">
        <f t="shared" si="7"/>
        <v/>
      </c>
      <c r="AI718" s="40" t="str">
        <f t="shared" si="8"/>
        <v/>
      </c>
      <c r="AJ718" s="40" t="str">
        <f>IF($K718="","",COUNTIF(Assignments!$B$6:$B$1000,$K718))</f>
        <v/>
      </c>
      <c r="AK718" s="40" t="str">
        <f>IF($K718="","",IF(AND($AJ718=0,$O718&lt;$N718),Config!$B$43,0))</f>
        <v/>
      </c>
      <c r="AL718" s="40" t="str">
        <f>IF($K718="","",IF(AND($M718="Elite",$G718&gt;=Config!$B$41,$O718&lt;$N718),Config!$B$42,0))</f>
        <v/>
      </c>
      <c r="AM718" s="22"/>
    </row>
    <row r="719" ht="15.75" customHeight="1">
      <c r="A719" s="40" t="str">
        <f t="shared" si="1"/>
        <v/>
      </c>
      <c r="B719" s="40" t="str">
        <f>IF(Bids!$A718="","",Bids!$A718)</f>
        <v/>
      </c>
      <c r="C719" s="40" t="str">
        <f>IF(Bids!$B718="","",Bids!$B718)</f>
        <v/>
      </c>
      <c r="D719" s="40" t="str">
        <f>IF($C719="","",IFERROR(VLOOKUP($C719,Orders!$A$4:$J$998,9,FALSE),""))</f>
        <v/>
      </c>
      <c r="E719" s="40" t="str">
        <f>IF($C719="","",IFERROR(VLOOKUP($C719,Orders!$A$4:$J$998,3,FALSE),""))</f>
        <v/>
      </c>
      <c r="F719" s="40">
        <f t="shared" si="2"/>
        <v>1</v>
      </c>
      <c r="G719" s="40" t="str">
        <f>IF($C719="","",IFERROR(VLOOKUP($C719,Orders!$A$4:$J$998,4,FALSE),""))</f>
        <v/>
      </c>
      <c r="H719" s="40" t="str">
        <f>IF($C719="","",IFERROR(VLOOKUP($C719,Orders!$A$4:$J$998,5,FALSE),""))</f>
        <v/>
      </c>
      <c r="I719" s="40" t="str">
        <f>IF($C719="","",IFERROR(VLOOKUP($C719,Orders!$A$4:$J$998,6,FALSE),""))</f>
        <v/>
      </c>
      <c r="J719" s="40" t="str">
        <f>IF($C719="","",IFERROR(VLOOKUP($C719,Orders!$A$4:$J$998,7,FALSE),""))</f>
        <v/>
      </c>
      <c r="K719" s="40" t="str">
        <f>IF(Bids!$C718="","",Bids!$C718)</f>
        <v/>
      </c>
      <c r="L719" s="40" t="str">
        <f>IF($K719="","",IFERROR(VLOOKUP($K719,Grinders!$A$4:$N$998,2,FALSE),""))</f>
        <v/>
      </c>
      <c r="M719" s="40" t="str">
        <f>IF($K719="","",IFERROR(VLOOKUP($K719,Grinders!$A$4:$N$998,3,FALSE),""))</f>
        <v/>
      </c>
      <c r="N719" s="40" t="str">
        <f>IF($K719="","",IFERROR(VLOOKUP($K719,Grinders!$A$4:$N$998,4,FALSE),""))</f>
        <v/>
      </c>
      <c r="O719" s="40" t="str">
        <f>IF($K719="","",IFERROR(VLOOKUP($K719,Grinders!$A$4:$N$998,5,FALSE),""))</f>
        <v/>
      </c>
      <c r="P719" s="40" t="str">
        <f>IF($K719="","",IF($C$4="",0,COUNTIFS(Assignments!$B$6:$B$1000,$K719,Assignments!$F$6:$F$1000,$C$4,Assignments!$E$6:$E$1000,"Active")))</f>
        <v/>
      </c>
      <c r="Q719" s="40" t="str">
        <f t="shared" si="3"/>
        <v/>
      </c>
      <c r="R719" s="40" t="str">
        <f t="shared" si="4"/>
        <v/>
      </c>
      <c r="S719" s="40" t="str">
        <f>IF($K719="","",IF($C$4="",0,COUNTIFS(Assignments!$B$6:$B$1000,$K719,Assignments!$F$6:$F$1000,$C$4,Assignments!$D$6:$D$1000,"&gt;="&amp;Config!$B$3-7,Assignments!$D$6:$D$1000,"&lt;="&amp;Config!$B$3)))</f>
        <v/>
      </c>
      <c r="T719" s="40" t="str">
        <f>IF($K719="","",IFERROR(VLOOKUP($K719,Grinders!$A$4:$N$998,8,FALSE),""))</f>
        <v/>
      </c>
      <c r="U719" s="40" t="str">
        <f>IFERROR(IF($K719="","",IF($M719="Elite",MAX(50,MIN(100,Config!$B$27*MAX(0,MIN(100,(1-IF($R719="",0,$R719))*100)) + Config!$B$28*MAX(0,MIN(100,(1-MIN(1,IF(Config!$B$30=0,1,$S719/Config!$B$30)))*100)) + Config!$B$29*MAX(0,MIN(100,MIN(1,IF($T719="",0,$T719)/Config!$B$23)*100)))),MIN(100,Config!$B$27*MAX(0,MIN(100,(1-IF($R719="",0,$R719))*100)) + Config!$B$28*MAX(0,MIN(100,(1-MIN(1,IF(Config!$B$30=0,1,$S719/Config!$B$30)))*100)) + Config!$B$29*MAX(0,MIN(100,MIN(1,IF($T719="",0,$T719)/Config!$B$23)*100))))),"")
</f>
        <v/>
      </c>
      <c r="V719" s="40" t="str">
        <f>IF(Bids!$D718="","",Bids!$D718)</f>
        <v/>
      </c>
      <c r="W719" s="40" t="str">
        <f>IF(Bids!$F718="","",Bids!$F718)</f>
        <v/>
      </c>
      <c r="X719" s="40" t="str">
        <f t="shared" si="5"/>
        <v/>
      </c>
      <c r="Y719" s="40" t="str">
        <f>IF($X719="","",IF(Config!$B$17=Config!$B$16,IF($X719&gt;=Config!$B$17,100,0),MAX(0,MIN(100,($X719-Config!$B$16)/(Config!$B$17-Config!$B$16)*100))))</f>
        <v/>
      </c>
      <c r="Z719" s="40">
        <f>IF($M719="Elite",Config!$B$21,0)</f>
        <v>0</v>
      </c>
      <c r="AA719" s="40" t="str">
        <f>IFERROR(IF(OR($W719="",$H719=""),"",IF($W719&gt;$H719,
  MAX(0, 60-(($W719-$H719)*24/Config!$B$19)*60),
  MIN(100, 60+(($H719-$W719)*24/Config!$B$20)*40)
)),"")
</f>
        <v/>
      </c>
      <c r="AB719" s="40" t="str">
        <f>IF($K719="","",IFERROR(VLOOKUP($K719,Grinders!$A$4:$N$998,10,FALSE)/5*100,""))</f>
        <v/>
      </c>
      <c r="AC719" s="40" t="str">
        <f>IF($K719="","",IFERROR(VLOOKUP($K719,Grinders!$A$4:$N$998,11,FALSE)*100,""))</f>
        <v/>
      </c>
      <c r="AD719" s="40" t="str">
        <f>IF($K719="","",IFERROR(VLOOKUP($K719,Grinders!$A$4:$N$998,12,FALSE)*100,""))</f>
        <v/>
      </c>
      <c r="AE719" s="40">
        <f>IFERROR(IFS(
    OR($C719="", $K719=""), 0,
    $F719=0, 0,
    $D719&lt;&gt;"Open", 0,
    COUNTIFS(GrinderServices!$B$4:$B$998, $K719, GrinderServices!$C$4:$C$998, $E719, GrinderServices!$E$4:$E$998, "Y")=0, 0,
    $X719&lt;Config!$B$16, 0,
    Config!$B$18=1, IF($O719&gt;=N719, 0, 1),
    TRUE, 1
), "")
</f>
        <v>0</v>
      </c>
      <c r="AF719" s="40" t="str">
        <f>IFERROR(IF($AE719=0,"",((Config!$B$6*$Y719 + Config!$B$7*$U719 + Config!$B$8*$Z719 + Config!$B$9*$AA719 + Config!$B$10*$AB719 + Config!$B$11*$AC719 - Config!$B$12*$AD719)/Config!$B$13)+$AK719+$AL719),"")</f>
        <v/>
      </c>
      <c r="AG719" s="40" t="str">
        <f t="shared" si="6"/>
        <v/>
      </c>
      <c r="AH719" s="40" t="str">
        <f t="shared" si="7"/>
        <v/>
      </c>
      <c r="AI719" s="40" t="str">
        <f t="shared" si="8"/>
        <v/>
      </c>
      <c r="AJ719" s="40" t="str">
        <f>IF($K719="","",COUNTIF(Assignments!$B$6:$B$1000,$K719))</f>
        <v/>
      </c>
      <c r="AK719" s="40" t="str">
        <f>IF($K719="","",IF(AND($AJ719=0,$O719&lt;$N719),Config!$B$43,0))</f>
        <v/>
      </c>
      <c r="AL719" s="40" t="str">
        <f>IF($K719="","",IF(AND($M719="Elite",$G719&gt;=Config!$B$41,$O719&lt;$N719),Config!$B$42,0))</f>
        <v/>
      </c>
      <c r="AM719" s="22"/>
    </row>
    <row r="720" ht="15.75" customHeight="1">
      <c r="A720" s="40" t="str">
        <f t="shared" si="1"/>
        <v/>
      </c>
      <c r="B720" s="40" t="str">
        <f>IF(Bids!$A719="","",Bids!$A719)</f>
        <v/>
      </c>
      <c r="C720" s="40" t="str">
        <f>IF(Bids!$B719="","",Bids!$B719)</f>
        <v/>
      </c>
      <c r="D720" s="40" t="str">
        <f>IF($C720="","",IFERROR(VLOOKUP($C720,Orders!$A$4:$J$998,9,FALSE),""))</f>
        <v/>
      </c>
      <c r="E720" s="40" t="str">
        <f>IF($C720="","",IFERROR(VLOOKUP($C720,Orders!$A$4:$J$998,3,FALSE),""))</f>
        <v/>
      </c>
      <c r="F720" s="40">
        <f t="shared" si="2"/>
        <v>1</v>
      </c>
      <c r="G720" s="40" t="str">
        <f>IF($C720="","",IFERROR(VLOOKUP($C720,Orders!$A$4:$J$998,4,FALSE),""))</f>
        <v/>
      </c>
      <c r="H720" s="40" t="str">
        <f>IF($C720="","",IFERROR(VLOOKUP($C720,Orders!$A$4:$J$998,5,FALSE),""))</f>
        <v/>
      </c>
      <c r="I720" s="40" t="str">
        <f>IF($C720="","",IFERROR(VLOOKUP($C720,Orders!$A$4:$J$998,6,FALSE),""))</f>
        <v/>
      </c>
      <c r="J720" s="40" t="str">
        <f>IF($C720="","",IFERROR(VLOOKUP($C720,Orders!$A$4:$J$998,7,FALSE),""))</f>
        <v/>
      </c>
      <c r="K720" s="40" t="str">
        <f>IF(Bids!$C719="","",Bids!$C719)</f>
        <v/>
      </c>
      <c r="L720" s="40" t="str">
        <f>IF($K720="","",IFERROR(VLOOKUP($K720,Grinders!$A$4:$N$998,2,FALSE),""))</f>
        <v/>
      </c>
      <c r="M720" s="40" t="str">
        <f>IF($K720="","",IFERROR(VLOOKUP($K720,Grinders!$A$4:$N$998,3,FALSE),""))</f>
        <v/>
      </c>
      <c r="N720" s="40" t="str">
        <f>IF($K720="","",IFERROR(VLOOKUP($K720,Grinders!$A$4:$N$998,4,FALSE),""))</f>
        <v/>
      </c>
      <c r="O720" s="40" t="str">
        <f>IF($K720="","",IFERROR(VLOOKUP($K720,Grinders!$A$4:$N$998,5,FALSE),""))</f>
        <v/>
      </c>
      <c r="P720" s="40" t="str">
        <f>IF($K720="","",IF($C$4="",0,COUNTIFS(Assignments!$B$6:$B$1000,$K720,Assignments!$F$6:$F$1000,$C$4,Assignments!$E$6:$E$1000,"Active")))</f>
        <v/>
      </c>
      <c r="Q720" s="40" t="str">
        <f t="shared" si="3"/>
        <v/>
      </c>
      <c r="R720" s="40" t="str">
        <f t="shared" si="4"/>
        <v/>
      </c>
      <c r="S720" s="40" t="str">
        <f>IF($K720="","",IF($C$4="",0,COUNTIFS(Assignments!$B$6:$B$1000,$K720,Assignments!$F$6:$F$1000,$C$4,Assignments!$D$6:$D$1000,"&gt;="&amp;Config!$B$3-7,Assignments!$D$6:$D$1000,"&lt;="&amp;Config!$B$3)))</f>
        <v/>
      </c>
      <c r="T720" s="40" t="str">
        <f>IF($K720="","",IFERROR(VLOOKUP($K720,Grinders!$A$4:$N$998,8,FALSE),""))</f>
        <v/>
      </c>
      <c r="U720" s="40" t="str">
        <f>IFERROR(IF($K720="","",IF($M720="Elite",MAX(50,MIN(100,Config!$B$27*MAX(0,MIN(100,(1-IF($R720="",0,$R720))*100)) + Config!$B$28*MAX(0,MIN(100,(1-MIN(1,IF(Config!$B$30=0,1,$S720/Config!$B$30)))*100)) + Config!$B$29*MAX(0,MIN(100,MIN(1,IF($T720="",0,$T720)/Config!$B$23)*100)))),MIN(100,Config!$B$27*MAX(0,MIN(100,(1-IF($R720="",0,$R720))*100)) + Config!$B$28*MAX(0,MIN(100,(1-MIN(1,IF(Config!$B$30=0,1,$S720/Config!$B$30)))*100)) + Config!$B$29*MAX(0,MIN(100,MIN(1,IF($T720="",0,$T720)/Config!$B$23)*100))))),"")
</f>
        <v/>
      </c>
      <c r="V720" s="40" t="str">
        <f>IF(Bids!$D719="","",Bids!$D719)</f>
        <v/>
      </c>
      <c r="W720" s="40" t="str">
        <f>IF(Bids!$F719="","",Bids!$F719)</f>
        <v/>
      </c>
      <c r="X720" s="40" t="str">
        <f t="shared" si="5"/>
        <v/>
      </c>
      <c r="Y720" s="40" t="str">
        <f>IF($X720="","",IF(Config!$B$17=Config!$B$16,IF($X720&gt;=Config!$B$17,100,0),MAX(0,MIN(100,($X720-Config!$B$16)/(Config!$B$17-Config!$B$16)*100))))</f>
        <v/>
      </c>
      <c r="Z720" s="40">
        <f>IF($M720="Elite",Config!$B$21,0)</f>
        <v>0</v>
      </c>
      <c r="AA720" s="40" t="str">
        <f>IFERROR(IF(OR($W720="",$H720=""),"",IF($W720&gt;$H720,
  MAX(0, 60-(($W720-$H720)*24/Config!$B$19)*60),
  MIN(100, 60+(($H720-$W720)*24/Config!$B$20)*40)
)),"")
</f>
        <v/>
      </c>
      <c r="AB720" s="40" t="str">
        <f>IF($K720="","",IFERROR(VLOOKUP($K720,Grinders!$A$4:$N$998,10,FALSE)/5*100,""))</f>
        <v/>
      </c>
      <c r="AC720" s="40" t="str">
        <f>IF($K720="","",IFERROR(VLOOKUP($K720,Grinders!$A$4:$N$998,11,FALSE)*100,""))</f>
        <v/>
      </c>
      <c r="AD720" s="40" t="str">
        <f>IF($K720="","",IFERROR(VLOOKUP($K720,Grinders!$A$4:$N$998,12,FALSE)*100,""))</f>
        <v/>
      </c>
      <c r="AE720" s="40">
        <f>IFERROR(IFS(
    OR($C720="", $K720=""), 0,
    $F720=0, 0,
    $D720&lt;&gt;"Open", 0,
    COUNTIFS(GrinderServices!$B$4:$B$998, $K720, GrinderServices!$C$4:$C$998, $E720, GrinderServices!$E$4:$E$998, "Y")=0, 0,
    $X720&lt;Config!$B$16, 0,
    Config!$B$18=1, IF($O720&gt;=N720, 0, 1),
    TRUE, 1
), "")
</f>
        <v>0</v>
      </c>
      <c r="AF720" s="40" t="str">
        <f>IFERROR(IF($AE720=0,"",((Config!$B$6*$Y720 + Config!$B$7*$U720 + Config!$B$8*$Z720 + Config!$B$9*$AA720 + Config!$B$10*$AB720 + Config!$B$11*$AC720 - Config!$B$12*$AD720)/Config!$B$13)+$AK720+$AL720),"")</f>
        <v/>
      </c>
      <c r="AG720" s="40" t="str">
        <f t="shared" si="6"/>
        <v/>
      </c>
      <c r="AH720" s="40" t="str">
        <f t="shared" si="7"/>
        <v/>
      </c>
      <c r="AI720" s="40" t="str">
        <f t="shared" si="8"/>
        <v/>
      </c>
      <c r="AJ720" s="40" t="str">
        <f>IF($K720="","",COUNTIF(Assignments!$B$6:$B$1000,$K720))</f>
        <v/>
      </c>
      <c r="AK720" s="40" t="str">
        <f>IF($K720="","",IF(AND($AJ720=0,$O720&lt;$N720),Config!$B$43,0))</f>
        <v/>
      </c>
      <c r="AL720" s="40" t="str">
        <f>IF($K720="","",IF(AND($M720="Elite",$G720&gt;=Config!$B$41,$O720&lt;$N720),Config!$B$42,0))</f>
        <v/>
      </c>
      <c r="AM720" s="22"/>
    </row>
    <row r="721" ht="15.75" customHeight="1">
      <c r="A721" s="40" t="str">
        <f t="shared" si="1"/>
        <v/>
      </c>
      <c r="B721" s="40" t="str">
        <f>IF(Bids!$A720="","",Bids!$A720)</f>
        <v/>
      </c>
      <c r="C721" s="40" t="str">
        <f>IF(Bids!$B720="","",Bids!$B720)</f>
        <v/>
      </c>
      <c r="D721" s="40" t="str">
        <f>IF($C721="","",IFERROR(VLOOKUP($C721,Orders!$A$4:$J$998,9,FALSE),""))</f>
        <v/>
      </c>
      <c r="E721" s="40" t="str">
        <f>IF($C721="","",IFERROR(VLOOKUP($C721,Orders!$A$4:$J$998,3,FALSE),""))</f>
        <v/>
      </c>
      <c r="F721" s="40">
        <f t="shared" si="2"/>
        <v>1</v>
      </c>
      <c r="G721" s="40" t="str">
        <f>IF($C721="","",IFERROR(VLOOKUP($C721,Orders!$A$4:$J$998,4,FALSE),""))</f>
        <v/>
      </c>
      <c r="H721" s="40" t="str">
        <f>IF($C721="","",IFERROR(VLOOKUP($C721,Orders!$A$4:$J$998,5,FALSE),""))</f>
        <v/>
      </c>
      <c r="I721" s="40" t="str">
        <f>IF($C721="","",IFERROR(VLOOKUP($C721,Orders!$A$4:$J$998,6,FALSE),""))</f>
        <v/>
      </c>
      <c r="J721" s="40" t="str">
        <f>IF($C721="","",IFERROR(VLOOKUP($C721,Orders!$A$4:$J$998,7,FALSE),""))</f>
        <v/>
      </c>
      <c r="K721" s="40" t="str">
        <f>IF(Bids!$C720="","",Bids!$C720)</f>
        <v/>
      </c>
      <c r="L721" s="40" t="str">
        <f>IF($K721="","",IFERROR(VLOOKUP($K721,Grinders!$A$4:$N$998,2,FALSE),""))</f>
        <v/>
      </c>
      <c r="M721" s="40" t="str">
        <f>IF($K721="","",IFERROR(VLOOKUP($K721,Grinders!$A$4:$N$998,3,FALSE),""))</f>
        <v/>
      </c>
      <c r="N721" s="40" t="str">
        <f>IF($K721="","",IFERROR(VLOOKUP($K721,Grinders!$A$4:$N$998,4,FALSE),""))</f>
        <v/>
      </c>
      <c r="O721" s="40" t="str">
        <f>IF($K721="","",IFERROR(VLOOKUP($K721,Grinders!$A$4:$N$998,5,FALSE),""))</f>
        <v/>
      </c>
      <c r="P721" s="40" t="str">
        <f>IF($K721="","",IF($C$4="",0,COUNTIFS(Assignments!$B$6:$B$1000,$K721,Assignments!$F$6:$F$1000,$C$4,Assignments!$E$6:$E$1000,"Active")))</f>
        <v/>
      </c>
      <c r="Q721" s="40" t="str">
        <f t="shared" si="3"/>
        <v/>
      </c>
      <c r="R721" s="40" t="str">
        <f t="shared" si="4"/>
        <v/>
      </c>
      <c r="S721" s="40" t="str">
        <f>IF($K721="","",IF($C$4="",0,COUNTIFS(Assignments!$B$6:$B$1000,$K721,Assignments!$F$6:$F$1000,$C$4,Assignments!$D$6:$D$1000,"&gt;="&amp;Config!$B$3-7,Assignments!$D$6:$D$1000,"&lt;="&amp;Config!$B$3)))</f>
        <v/>
      </c>
      <c r="T721" s="40" t="str">
        <f>IF($K721="","",IFERROR(VLOOKUP($K721,Grinders!$A$4:$N$998,8,FALSE),""))</f>
        <v/>
      </c>
      <c r="U721" s="40" t="str">
        <f>IFERROR(IF($K721="","",IF($M721="Elite",MAX(50,MIN(100,Config!$B$27*MAX(0,MIN(100,(1-IF($R721="",0,$R721))*100)) + Config!$B$28*MAX(0,MIN(100,(1-MIN(1,IF(Config!$B$30=0,1,$S721/Config!$B$30)))*100)) + Config!$B$29*MAX(0,MIN(100,MIN(1,IF($T721="",0,$T721)/Config!$B$23)*100)))),MIN(100,Config!$B$27*MAX(0,MIN(100,(1-IF($R721="",0,$R721))*100)) + Config!$B$28*MAX(0,MIN(100,(1-MIN(1,IF(Config!$B$30=0,1,$S721/Config!$B$30)))*100)) + Config!$B$29*MAX(0,MIN(100,MIN(1,IF($T721="",0,$T721)/Config!$B$23)*100))))),"")
</f>
        <v/>
      </c>
      <c r="V721" s="40" t="str">
        <f>IF(Bids!$D720="","",Bids!$D720)</f>
        <v/>
      </c>
      <c r="W721" s="40" t="str">
        <f>IF(Bids!$F720="","",Bids!$F720)</f>
        <v/>
      </c>
      <c r="X721" s="40" t="str">
        <f t="shared" si="5"/>
        <v/>
      </c>
      <c r="Y721" s="40" t="str">
        <f>IF($X721="","",IF(Config!$B$17=Config!$B$16,IF($X721&gt;=Config!$B$17,100,0),MAX(0,MIN(100,($X721-Config!$B$16)/(Config!$B$17-Config!$B$16)*100))))</f>
        <v/>
      </c>
      <c r="Z721" s="40">
        <f>IF($M721="Elite",Config!$B$21,0)</f>
        <v>0</v>
      </c>
      <c r="AA721" s="40" t="str">
        <f>IFERROR(IF(OR($W721="",$H721=""),"",IF($W721&gt;$H721,
  MAX(0, 60-(($W721-$H721)*24/Config!$B$19)*60),
  MIN(100, 60+(($H721-$W721)*24/Config!$B$20)*40)
)),"")
</f>
        <v/>
      </c>
      <c r="AB721" s="40" t="str">
        <f>IF($K721="","",IFERROR(VLOOKUP($K721,Grinders!$A$4:$N$998,10,FALSE)/5*100,""))</f>
        <v/>
      </c>
      <c r="AC721" s="40" t="str">
        <f>IF($K721="","",IFERROR(VLOOKUP($K721,Grinders!$A$4:$N$998,11,FALSE)*100,""))</f>
        <v/>
      </c>
      <c r="AD721" s="40" t="str">
        <f>IF($K721="","",IFERROR(VLOOKUP($K721,Grinders!$A$4:$N$998,12,FALSE)*100,""))</f>
        <v/>
      </c>
      <c r="AE721" s="40">
        <f>IFERROR(IFS(
    OR($C721="", $K721=""), 0,
    $F721=0, 0,
    $D721&lt;&gt;"Open", 0,
    COUNTIFS(GrinderServices!$B$4:$B$998, $K721, GrinderServices!$C$4:$C$998, $E721, GrinderServices!$E$4:$E$998, "Y")=0, 0,
    $X721&lt;Config!$B$16, 0,
    Config!$B$18=1, IF($O721&gt;=N721, 0, 1),
    TRUE, 1
), "")
</f>
        <v>0</v>
      </c>
      <c r="AF721" s="40" t="str">
        <f>IFERROR(IF($AE721=0,"",((Config!$B$6*$Y721 + Config!$B$7*$U721 + Config!$B$8*$Z721 + Config!$B$9*$AA721 + Config!$B$10*$AB721 + Config!$B$11*$AC721 - Config!$B$12*$AD721)/Config!$B$13)+$AK721+$AL721),"")</f>
        <v/>
      </c>
      <c r="AG721" s="40" t="str">
        <f t="shared" si="6"/>
        <v/>
      </c>
      <c r="AH721" s="40" t="str">
        <f t="shared" si="7"/>
        <v/>
      </c>
      <c r="AI721" s="40" t="str">
        <f t="shared" si="8"/>
        <v/>
      </c>
      <c r="AJ721" s="40" t="str">
        <f>IF($K721="","",COUNTIF(Assignments!$B$6:$B$1000,$K721))</f>
        <v/>
      </c>
      <c r="AK721" s="40" t="str">
        <f>IF($K721="","",IF(AND($AJ721=0,$O721&lt;$N721),Config!$B$43,0))</f>
        <v/>
      </c>
      <c r="AL721" s="40" t="str">
        <f>IF($K721="","",IF(AND($M721="Elite",$G721&gt;=Config!$B$41,$O721&lt;$N721),Config!$B$42,0))</f>
        <v/>
      </c>
      <c r="AM721" s="22"/>
    </row>
    <row r="722" ht="15.75" customHeight="1">
      <c r="A722" s="40" t="str">
        <f t="shared" si="1"/>
        <v/>
      </c>
      <c r="B722" s="40" t="str">
        <f>IF(Bids!$A721="","",Bids!$A721)</f>
        <v/>
      </c>
      <c r="C722" s="40" t="str">
        <f>IF(Bids!$B721="","",Bids!$B721)</f>
        <v/>
      </c>
      <c r="D722" s="40" t="str">
        <f>IF($C722="","",IFERROR(VLOOKUP($C722,Orders!$A$4:$J$998,9,FALSE),""))</f>
        <v/>
      </c>
      <c r="E722" s="40" t="str">
        <f>IF($C722="","",IFERROR(VLOOKUP($C722,Orders!$A$4:$J$998,3,FALSE),""))</f>
        <v/>
      </c>
      <c r="F722" s="40">
        <f t="shared" si="2"/>
        <v>1</v>
      </c>
      <c r="G722" s="40" t="str">
        <f>IF($C722="","",IFERROR(VLOOKUP($C722,Orders!$A$4:$J$998,4,FALSE),""))</f>
        <v/>
      </c>
      <c r="H722" s="40" t="str">
        <f>IF($C722="","",IFERROR(VLOOKUP($C722,Orders!$A$4:$J$998,5,FALSE),""))</f>
        <v/>
      </c>
      <c r="I722" s="40" t="str">
        <f>IF($C722="","",IFERROR(VLOOKUP($C722,Orders!$A$4:$J$998,6,FALSE),""))</f>
        <v/>
      </c>
      <c r="J722" s="40" t="str">
        <f>IF($C722="","",IFERROR(VLOOKUP($C722,Orders!$A$4:$J$998,7,FALSE),""))</f>
        <v/>
      </c>
      <c r="K722" s="40" t="str">
        <f>IF(Bids!$C721="","",Bids!$C721)</f>
        <v/>
      </c>
      <c r="L722" s="40" t="str">
        <f>IF($K722="","",IFERROR(VLOOKUP($K722,Grinders!$A$4:$N$998,2,FALSE),""))</f>
        <v/>
      </c>
      <c r="M722" s="40" t="str">
        <f>IF($K722="","",IFERROR(VLOOKUP($K722,Grinders!$A$4:$N$998,3,FALSE),""))</f>
        <v/>
      </c>
      <c r="N722" s="40" t="str">
        <f>IF($K722="","",IFERROR(VLOOKUP($K722,Grinders!$A$4:$N$998,4,FALSE),""))</f>
        <v/>
      </c>
      <c r="O722" s="40" t="str">
        <f>IF($K722="","",IFERROR(VLOOKUP($K722,Grinders!$A$4:$N$998,5,FALSE),""))</f>
        <v/>
      </c>
      <c r="P722" s="40" t="str">
        <f>IF($K722="","",IF($C$4="",0,COUNTIFS(Assignments!$B$6:$B$1000,$K722,Assignments!$F$6:$F$1000,$C$4,Assignments!$E$6:$E$1000,"Active")))</f>
        <v/>
      </c>
      <c r="Q722" s="40" t="str">
        <f t="shared" si="3"/>
        <v/>
      </c>
      <c r="R722" s="40" t="str">
        <f t="shared" si="4"/>
        <v/>
      </c>
      <c r="S722" s="40" t="str">
        <f>IF($K722="","",IF($C$4="",0,COUNTIFS(Assignments!$B$6:$B$1000,$K722,Assignments!$F$6:$F$1000,$C$4,Assignments!$D$6:$D$1000,"&gt;="&amp;Config!$B$3-7,Assignments!$D$6:$D$1000,"&lt;="&amp;Config!$B$3)))</f>
        <v/>
      </c>
      <c r="T722" s="40" t="str">
        <f>IF($K722="","",IFERROR(VLOOKUP($K722,Grinders!$A$4:$N$998,8,FALSE),""))</f>
        <v/>
      </c>
      <c r="U722" s="40" t="str">
        <f>IFERROR(IF($K722="","",IF($M722="Elite",MAX(50,MIN(100,Config!$B$27*MAX(0,MIN(100,(1-IF($R722="",0,$R722))*100)) + Config!$B$28*MAX(0,MIN(100,(1-MIN(1,IF(Config!$B$30=0,1,$S722/Config!$B$30)))*100)) + Config!$B$29*MAX(0,MIN(100,MIN(1,IF($T722="",0,$T722)/Config!$B$23)*100)))),MIN(100,Config!$B$27*MAX(0,MIN(100,(1-IF($R722="",0,$R722))*100)) + Config!$B$28*MAX(0,MIN(100,(1-MIN(1,IF(Config!$B$30=0,1,$S722/Config!$B$30)))*100)) + Config!$B$29*MAX(0,MIN(100,MIN(1,IF($T722="",0,$T722)/Config!$B$23)*100))))),"")
</f>
        <v/>
      </c>
      <c r="V722" s="40" t="str">
        <f>IF(Bids!$D721="","",Bids!$D721)</f>
        <v/>
      </c>
      <c r="W722" s="40" t="str">
        <f>IF(Bids!$F721="","",Bids!$F721)</f>
        <v/>
      </c>
      <c r="X722" s="40" t="str">
        <f t="shared" si="5"/>
        <v/>
      </c>
      <c r="Y722" s="40" t="str">
        <f>IF($X722="","",IF(Config!$B$17=Config!$B$16,IF($X722&gt;=Config!$B$17,100,0),MAX(0,MIN(100,($X722-Config!$B$16)/(Config!$B$17-Config!$B$16)*100))))</f>
        <v/>
      </c>
      <c r="Z722" s="40">
        <f>IF($M722="Elite",Config!$B$21,0)</f>
        <v>0</v>
      </c>
      <c r="AA722" s="40" t="str">
        <f>IFERROR(IF(OR($W722="",$H722=""),"",IF($W722&gt;$H722,
  MAX(0, 60-(($W722-$H722)*24/Config!$B$19)*60),
  MIN(100, 60+(($H722-$W722)*24/Config!$B$20)*40)
)),"")
</f>
        <v/>
      </c>
      <c r="AB722" s="40" t="str">
        <f>IF($K722="","",IFERROR(VLOOKUP($K722,Grinders!$A$4:$N$998,10,FALSE)/5*100,""))</f>
        <v/>
      </c>
      <c r="AC722" s="40" t="str">
        <f>IF($K722="","",IFERROR(VLOOKUP($K722,Grinders!$A$4:$N$998,11,FALSE)*100,""))</f>
        <v/>
      </c>
      <c r="AD722" s="40" t="str">
        <f>IF($K722="","",IFERROR(VLOOKUP($K722,Grinders!$A$4:$N$998,12,FALSE)*100,""))</f>
        <v/>
      </c>
      <c r="AE722" s="40">
        <f>IFERROR(IFS(
    OR($C722="", $K722=""), 0,
    $F722=0, 0,
    $D722&lt;&gt;"Open", 0,
    COUNTIFS(GrinderServices!$B$4:$B$998, $K722, GrinderServices!$C$4:$C$998, $E722, GrinderServices!$E$4:$E$998, "Y")=0, 0,
    $X722&lt;Config!$B$16, 0,
    Config!$B$18=1, IF($O722&gt;=N722, 0, 1),
    TRUE, 1
), "")
</f>
        <v>0</v>
      </c>
      <c r="AF722" s="40" t="str">
        <f>IFERROR(IF($AE722=0,"",((Config!$B$6*$Y722 + Config!$B$7*$U722 + Config!$B$8*$Z722 + Config!$B$9*$AA722 + Config!$B$10*$AB722 + Config!$B$11*$AC722 - Config!$B$12*$AD722)/Config!$B$13)+$AK722+$AL722),"")</f>
        <v/>
      </c>
      <c r="AG722" s="40" t="str">
        <f t="shared" si="6"/>
        <v/>
      </c>
      <c r="AH722" s="40" t="str">
        <f t="shared" si="7"/>
        <v/>
      </c>
      <c r="AI722" s="40" t="str">
        <f t="shared" si="8"/>
        <v/>
      </c>
      <c r="AJ722" s="40" t="str">
        <f>IF($K722="","",COUNTIF(Assignments!$B$6:$B$1000,$K722))</f>
        <v/>
      </c>
      <c r="AK722" s="40" t="str">
        <f>IF($K722="","",IF(AND($AJ722=0,$O722&lt;$N722),Config!$B$43,0))</f>
        <v/>
      </c>
      <c r="AL722" s="40" t="str">
        <f>IF($K722="","",IF(AND($M722="Elite",$G722&gt;=Config!$B$41,$O722&lt;$N722),Config!$B$42,0))</f>
        <v/>
      </c>
      <c r="AM722" s="22"/>
    </row>
    <row r="723" ht="15.75" customHeight="1">
      <c r="A723" s="40" t="str">
        <f t="shared" si="1"/>
        <v/>
      </c>
      <c r="B723" s="40" t="str">
        <f>IF(Bids!$A722="","",Bids!$A722)</f>
        <v/>
      </c>
      <c r="C723" s="40" t="str">
        <f>IF(Bids!$B722="","",Bids!$B722)</f>
        <v/>
      </c>
      <c r="D723" s="40" t="str">
        <f>IF($C723="","",IFERROR(VLOOKUP($C723,Orders!$A$4:$J$998,9,FALSE),""))</f>
        <v/>
      </c>
      <c r="E723" s="40" t="str">
        <f>IF($C723="","",IFERROR(VLOOKUP($C723,Orders!$A$4:$J$998,3,FALSE),""))</f>
        <v/>
      </c>
      <c r="F723" s="40">
        <f t="shared" si="2"/>
        <v>1</v>
      </c>
      <c r="G723" s="40" t="str">
        <f>IF($C723="","",IFERROR(VLOOKUP($C723,Orders!$A$4:$J$998,4,FALSE),""))</f>
        <v/>
      </c>
      <c r="H723" s="40" t="str">
        <f>IF($C723="","",IFERROR(VLOOKUP($C723,Orders!$A$4:$J$998,5,FALSE),""))</f>
        <v/>
      </c>
      <c r="I723" s="40" t="str">
        <f>IF($C723="","",IFERROR(VLOOKUP($C723,Orders!$A$4:$J$998,6,FALSE),""))</f>
        <v/>
      </c>
      <c r="J723" s="40" t="str">
        <f>IF($C723="","",IFERROR(VLOOKUP($C723,Orders!$A$4:$J$998,7,FALSE),""))</f>
        <v/>
      </c>
      <c r="K723" s="40" t="str">
        <f>IF(Bids!$C722="","",Bids!$C722)</f>
        <v/>
      </c>
      <c r="L723" s="40" t="str">
        <f>IF($K723="","",IFERROR(VLOOKUP($K723,Grinders!$A$4:$N$998,2,FALSE),""))</f>
        <v/>
      </c>
      <c r="M723" s="40" t="str">
        <f>IF($K723="","",IFERROR(VLOOKUP($K723,Grinders!$A$4:$N$998,3,FALSE),""))</f>
        <v/>
      </c>
      <c r="N723" s="40" t="str">
        <f>IF($K723="","",IFERROR(VLOOKUP($K723,Grinders!$A$4:$N$998,4,FALSE),""))</f>
        <v/>
      </c>
      <c r="O723" s="40" t="str">
        <f>IF($K723="","",IFERROR(VLOOKUP($K723,Grinders!$A$4:$N$998,5,FALSE),""))</f>
        <v/>
      </c>
      <c r="P723" s="40" t="str">
        <f>IF($K723="","",IF($C$4="",0,COUNTIFS(Assignments!$B$6:$B$1000,$K723,Assignments!$F$6:$F$1000,$C$4,Assignments!$E$6:$E$1000,"Active")))</f>
        <v/>
      </c>
      <c r="Q723" s="40" t="str">
        <f t="shared" si="3"/>
        <v/>
      </c>
      <c r="R723" s="40" t="str">
        <f t="shared" si="4"/>
        <v/>
      </c>
      <c r="S723" s="40" t="str">
        <f>IF($K723="","",IF($C$4="",0,COUNTIFS(Assignments!$B$6:$B$1000,$K723,Assignments!$F$6:$F$1000,$C$4,Assignments!$D$6:$D$1000,"&gt;="&amp;Config!$B$3-7,Assignments!$D$6:$D$1000,"&lt;="&amp;Config!$B$3)))</f>
        <v/>
      </c>
      <c r="T723" s="40" t="str">
        <f>IF($K723="","",IFERROR(VLOOKUP($K723,Grinders!$A$4:$N$998,8,FALSE),""))</f>
        <v/>
      </c>
      <c r="U723" s="40" t="str">
        <f>IFERROR(IF($K723="","",IF($M723="Elite",MAX(50,MIN(100,Config!$B$27*MAX(0,MIN(100,(1-IF($R723="",0,$R723))*100)) + Config!$B$28*MAX(0,MIN(100,(1-MIN(1,IF(Config!$B$30=0,1,$S723/Config!$B$30)))*100)) + Config!$B$29*MAX(0,MIN(100,MIN(1,IF($T723="",0,$T723)/Config!$B$23)*100)))),MIN(100,Config!$B$27*MAX(0,MIN(100,(1-IF($R723="",0,$R723))*100)) + Config!$B$28*MAX(0,MIN(100,(1-MIN(1,IF(Config!$B$30=0,1,$S723/Config!$B$30)))*100)) + Config!$B$29*MAX(0,MIN(100,MIN(1,IF($T723="",0,$T723)/Config!$B$23)*100))))),"")
</f>
        <v/>
      </c>
      <c r="V723" s="40" t="str">
        <f>IF(Bids!$D722="","",Bids!$D722)</f>
        <v/>
      </c>
      <c r="W723" s="40" t="str">
        <f>IF(Bids!$F722="","",Bids!$F722)</f>
        <v/>
      </c>
      <c r="X723" s="40" t="str">
        <f t="shared" si="5"/>
        <v/>
      </c>
      <c r="Y723" s="40" t="str">
        <f>IF($X723="","",IF(Config!$B$17=Config!$B$16,IF($X723&gt;=Config!$B$17,100,0),MAX(0,MIN(100,($X723-Config!$B$16)/(Config!$B$17-Config!$B$16)*100))))</f>
        <v/>
      </c>
      <c r="Z723" s="40">
        <f>IF($M723="Elite",Config!$B$21,0)</f>
        <v>0</v>
      </c>
      <c r="AA723" s="40" t="str">
        <f>IFERROR(IF(OR($W723="",$H723=""),"",IF($W723&gt;$H723,
  MAX(0, 60-(($W723-$H723)*24/Config!$B$19)*60),
  MIN(100, 60+(($H723-$W723)*24/Config!$B$20)*40)
)),"")
</f>
        <v/>
      </c>
      <c r="AB723" s="40" t="str">
        <f>IF($K723="","",IFERROR(VLOOKUP($K723,Grinders!$A$4:$N$998,10,FALSE)/5*100,""))</f>
        <v/>
      </c>
      <c r="AC723" s="40" t="str">
        <f>IF($K723="","",IFERROR(VLOOKUP($K723,Grinders!$A$4:$N$998,11,FALSE)*100,""))</f>
        <v/>
      </c>
      <c r="AD723" s="40" t="str">
        <f>IF($K723="","",IFERROR(VLOOKUP($K723,Grinders!$A$4:$N$998,12,FALSE)*100,""))</f>
        <v/>
      </c>
      <c r="AE723" s="40">
        <f>IFERROR(IFS(
    OR($C723="", $K723=""), 0,
    $F723=0, 0,
    $D723&lt;&gt;"Open", 0,
    COUNTIFS(GrinderServices!$B$4:$B$998, $K723, GrinderServices!$C$4:$C$998, $E723, GrinderServices!$E$4:$E$998, "Y")=0, 0,
    $X723&lt;Config!$B$16, 0,
    Config!$B$18=1, IF($O723&gt;=N723, 0, 1),
    TRUE, 1
), "")
</f>
        <v>0</v>
      </c>
      <c r="AF723" s="40" t="str">
        <f>IFERROR(IF($AE723=0,"",((Config!$B$6*$Y723 + Config!$B$7*$U723 + Config!$B$8*$Z723 + Config!$B$9*$AA723 + Config!$B$10*$AB723 + Config!$B$11*$AC723 - Config!$B$12*$AD723)/Config!$B$13)+$AK723+$AL723),"")</f>
        <v/>
      </c>
      <c r="AG723" s="40" t="str">
        <f t="shared" si="6"/>
        <v/>
      </c>
      <c r="AH723" s="40" t="str">
        <f t="shared" si="7"/>
        <v/>
      </c>
      <c r="AI723" s="40" t="str">
        <f t="shared" si="8"/>
        <v/>
      </c>
      <c r="AJ723" s="40" t="str">
        <f>IF($K723="","",COUNTIF(Assignments!$B$6:$B$1000,$K723))</f>
        <v/>
      </c>
      <c r="AK723" s="40" t="str">
        <f>IF($K723="","",IF(AND($AJ723=0,$O723&lt;$N723),Config!$B$43,0))</f>
        <v/>
      </c>
      <c r="AL723" s="40" t="str">
        <f>IF($K723="","",IF(AND($M723="Elite",$G723&gt;=Config!$B$41,$O723&lt;$N723),Config!$B$42,0))</f>
        <v/>
      </c>
      <c r="AM723" s="22"/>
    </row>
    <row r="724" ht="15.75" customHeight="1">
      <c r="A724" s="40" t="str">
        <f t="shared" si="1"/>
        <v/>
      </c>
      <c r="B724" s="40" t="str">
        <f>IF(Bids!$A723="","",Bids!$A723)</f>
        <v/>
      </c>
      <c r="C724" s="40" t="str">
        <f>IF(Bids!$B723="","",Bids!$B723)</f>
        <v/>
      </c>
      <c r="D724" s="40" t="str">
        <f>IF($C724="","",IFERROR(VLOOKUP($C724,Orders!$A$4:$J$998,9,FALSE),""))</f>
        <v/>
      </c>
      <c r="E724" s="40" t="str">
        <f>IF($C724="","",IFERROR(VLOOKUP($C724,Orders!$A$4:$J$998,3,FALSE),""))</f>
        <v/>
      </c>
      <c r="F724" s="40">
        <f t="shared" si="2"/>
        <v>1</v>
      </c>
      <c r="G724" s="40" t="str">
        <f>IF($C724="","",IFERROR(VLOOKUP($C724,Orders!$A$4:$J$998,4,FALSE),""))</f>
        <v/>
      </c>
      <c r="H724" s="40" t="str">
        <f>IF($C724="","",IFERROR(VLOOKUP($C724,Orders!$A$4:$J$998,5,FALSE),""))</f>
        <v/>
      </c>
      <c r="I724" s="40" t="str">
        <f>IF($C724="","",IFERROR(VLOOKUP($C724,Orders!$A$4:$J$998,6,FALSE),""))</f>
        <v/>
      </c>
      <c r="J724" s="40" t="str">
        <f>IF($C724="","",IFERROR(VLOOKUP($C724,Orders!$A$4:$J$998,7,FALSE),""))</f>
        <v/>
      </c>
      <c r="K724" s="40" t="str">
        <f>IF(Bids!$C723="","",Bids!$C723)</f>
        <v/>
      </c>
      <c r="L724" s="40" t="str">
        <f>IF($K724="","",IFERROR(VLOOKUP($K724,Grinders!$A$4:$N$998,2,FALSE),""))</f>
        <v/>
      </c>
      <c r="M724" s="40" t="str">
        <f>IF($K724="","",IFERROR(VLOOKUP($K724,Grinders!$A$4:$N$998,3,FALSE),""))</f>
        <v/>
      </c>
      <c r="N724" s="40" t="str">
        <f>IF($K724="","",IFERROR(VLOOKUP($K724,Grinders!$A$4:$N$998,4,FALSE),""))</f>
        <v/>
      </c>
      <c r="O724" s="40" t="str">
        <f>IF($K724="","",IFERROR(VLOOKUP($K724,Grinders!$A$4:$N$998,5,FALSE),""))</f>
        <v/>
      </c>
      <c r="P724" s="40" t="str">
        <f>IF($K724="","",IF($C$4="",0,COUNTIFS(Assignments!$B$6:$B$1000,$K724,Assignments!$F$6:$F$1000,$C$4,Assignments!$E$6:$E$1000,"Active")))</f>
        <v/>
      </c>
      <c r="Q724" s="40" t="str">
        <f t="shared" si="3"/>
        <v/>
      </c>
      <c r="R724" s="40" t="str">
        <f t="shared" si="4"/>
        <v/>
      </c>
      <c r="S724" s="40" t="str">
        <f>IF($K724="","",IF($C$4="",0,COUNTIFS(Assignments!$B$6:$B$1000,$K724,Assignments!$F$6:$F$1000,$C$4,Assignments!$D$6:$D$1000,"&gt;="&amp;Config!$B$3-7,Assignments!$D$6:$D$1000,"&lt;="&amp;Config!$B$3)))</f>
        <v/>
      </c>
      <c r="T724" s="40" t="str">
        <f>IF($K724="","",IFERROR(VLOOKUP($K724,Grinders!$A$4:$N$998,8,FALSE),""))</f>
        <v/>
      </c>
      <c r="U724" s="40" t="str">
        <f>IFERROR(IF($K724="","",IF($M724="Elite",MAX(50,MIN(100,Config!$B$27*MAX(0,MIN(100,(1-IF($R724="",0,$R724))*100)) + Config!$B$28*MAX(0,MIN(100,(1-MIN(1,IF(Config!$B$30=0,1,$S724/Config!$B$30)))*100)) + Config!$B$29*MAX(0,MIN(100,MIN(1,IF($T724="",0,$T724)/Config!$B$23)*100)))),MIN(100,Config!$B$27*MAX(0,MIN(100,(1-IF($R724="",0,$R724))*100)) + Config!$B$28*MAX(0,MIN(100,(1-MIN(1,IF(Config!$B$30=0,1,$S724/Config!$B$30)))*100)) + Config!$B$29*MAX(0,MIN(100,MIN(1,IF($T724="",0,$T724)/Config!$B$23)*100))))),"")
</f>
        <v/>
      </c>
      <c r="V724" s="40" t="str">
        <f>IF(Bids!$D723="","",Bids!$D723)</f>
        <v/>
      </c>
      <c r="W724" s="40" t="str">
        <f>IF(Bids!$F723="","",Bids!$F723)</f>
        <v/>
      </c>
      <c r="X724" s="40" t="str">
        <f t="shared" si="5"/>
        <v/>
      </c>
      <c r="Y724" s="40" t="str">
        <f>IF($X724="","",IF(Config!$B$17=Config!$B$16,IF($X724&gt;=Config!$B$17,100,0),MAX(0,MIN(100,($X724-Config!$B$16)/(Config!$B$17-Config!$B$16)*100))))</f>
        <v/>
      </c>
      <c r="Z724" s="40">
        <f>IF($M724="Elite",Config!$B$21,0)</f>
        <v>0</v>
      </c>
      <c r="AA724" s="40" t="str">
        <f>IFERROR(IF(OR($W724="",$H724=""),"",IF($W724&gt;$H724,
  MAX(0, 60-(($W724-$H724)*24/Config!$B$19)*60),
  MIN(100, 60+(($H724-$W724)*24/Config!$B$20)*40)
)),"")
</f>
        <v/>
      </c>
      <c r="AB724" s="40" t="str">
        <f>IF($K724="","",IFERROR(VLOOKUP($K724,Grinders!$A$4:$N$998,10,FALSE)/5*100,""))</f>
        <v/>
      </c>
      <c r="AC724" s="40" t="str">
        <f>IF($K724="","",IFERROR(VLOOKUP($K724,Grinders!$A$4:$N$998,11,FALSE)*100,""))</f>
        <v/>
      </c>
      <c r="AD724" s="40" t="str">
        <f>IF($K724="","",IFERROR(VLOOKUP($K724,Grinders!$A$4:$N$998,12,FALSE)*100,""))</f>
        <v/>
      </c>
      <c r="AE724" s="40">
        <f>IFERROR(IFS(
    OR($C724="", $K724=""), 0,
    $F724=0, 0,
    $D724&lt;&gt;"Open", 0,
    COUNTIFS(GrinderServices!$B$4:$B$998, $K724, GrinderServices!$C$4:$C$998, $E724, GrinderServices!$E$4:$E$998, "Y")=0, 0,
    $X724&lt;Config!$B$16, 0,
    Config!$B$18=1, IF($O724&gt;=N724, 0, 1),
    TRUE, 1
), "")
</f>
        <v>0</v>
      </c>
      <c r="AF724" s="40" t="str">
        <f>IFERROR(IF($AE724=0,"",((Config!$B$6*$Y724 + Config!$B$7*$U724 + Config!$B$8*$Z724 + Config!$B$9*$AA724 + Config!$B$10*$AB724 + Config!$B$11*$AC724 - Config!$B$12*$AD724)/Config!$B$13)+$AK724+$AL724),"")</f>
        <v/>
      </c>
      <c r="AG724" s="40" t="str">
        <f t="shared" si="6"/>
        <v/>
      </c>
      <c r="AH724" s="40" t="str">
        <f t="shared" si="7"/>
        <v/>
      </c>
      <c r="AI724" s="40" t="str">
        <f t="shared" si="8"/>
        <v/>
      </c>
      <c r="AJ724" s="40" t="str">
        <f>IF($K724="","",COUNTIF(Assignments!$B$6:$B$1000,$K724))</f>
        <v/>
      </c>
      <c r="AK724" s="40" t="str">
        <f>IF($K724="","",IF(AND($AJ724=0,$O724&lt;$N724),Config!$B$43,0))</f>
        <v/>
      </c>
      <c r="AL724" s="40" t="str">
        <f>IF($K724="","",IF(AND($M724="Elite",$G724&gt;=Config!$B$41,$O724&lt;$N724),Config!$B$42,0))</f>
        <v/>
      </c>
      <c r="AM724" s="22"/>
    </row>
    <row r="725" ht="15.75" customHeight="1">
      <c r="A725" s="40" t="str">
        <f t="shared" si="1"/>
        <v/>
      </c>
      <c r="B725" s="40" t="str">
        <f>IF(Bids!$A724="","",Bids!$A724)</f>
        <v/>
      </c>
      <c r="C725" s="40" t="str">
        <f>IF(Bids!$B724="","",Bids!$B724)</f>
        <v/>
      </c>
      <c r="D725" s="40" t="str">
        <f>IF($C725="","",IFERROR(VLOOKUP($C725,Orders!$A$4:$J$998,9,FALSE),""))</f>
        <v/>
      </c>
      <c r="E725" s="40" t="str">
        <f>IF($C725="","",IFERROR(VLOOKUP($C725,Orders!$A$4:$J$998,3,FALSE),""))</f>
        <v/>
      </c>
      <c r="F725" s="40">
        <f t="shared" si="2"/>
        <v>1</v>
      </c>
      <c r="G725" s="40" t="str">
        <f>IF($C725="","",IFERROR(VLOOKUP($C725,Orders!$A$4:$J$998,4,FALSE),""))</f>
        <v/>
      </c>
      <c r="H725" s="40" t="str">
        <f>IF($C725="","",IFERROR(VLOOKUP($C725,Orders!$A$4:$J$998,5,FALSE),""))</f>
        <v/>
      </c>
      <c r="I725" s="40" t="str">
        <f>IF($C725="","",IFERROR(VLOOKUP($C725,Orders!$A$4:$J$998,6,FALSE),""))</f>
        <v/>
      </c>
      <c r="J725" s="40" t="str">
        <f>IF($C725="","",IFERROR(VLOOKUP($C725,Orders!$A$4:$J$998,7,FALSE),""))</f>
        <v/>
      </c>
      <c r="K725" s="40" t="str">
        <f>IF(Bids!$C724="","",Bids!$C724)</f>
        <v/>
      </c>
      <c r="L725" s="40" t="str">
        <f>IF($K725="","",IFERROR(VLOOKUP($K725,Grinders!$A$4:$N$998,2,FALSE),""))</f>
        <v/>
      </c>
      <c r="M725" s="40" t="str">
        <f>IF($K725="","",IFERROR(VLOOKUP($K725,Grinders!$A$4:$N$998,3,FALSE),""))</f>
        <v/>
      </c>
      <c r="N725" s="40" t="str">
        <f>IF($K725="","",IFERROR(VLOOKUP($K725,Grinders!$A$4:$N$998,4,FALSE),""))</f>
        <v/>
      </c>
      <c r="O725" s="40" t="str">
        <f>IF($K725="","",IFERROR(VLOOKUP($K725,Grinders!$A$4:$N$998,5,FALSE),""))</f>
        <v/>
      </c>
      <c r="P725" s="40" t="str">
        <f>IF($K725="","",IF($C$4="",0,COUNTIFS(Assignments!$B$6:$B$1000,$K725,Assignments!$F$6:$F$1000,$C$4,Assignments!$E$6:$E$1000,"Active")))</f>
        <v/>
      </c>
      <c r="Q725" s="40" t="str">
        <f t="shared" si="3"/>
        <v/>
      </c>
      <c r="R725" s="40" t="str">
        <f t="shared" si="4"/>
        <v/>
      </c>
      <c r="S725" s="40" t="str">
        <f>IF($K725="","",IF($C$4="",0,COUNTIFS(Assignments!$B$6:$B$1000,$K725,Assignments!$F$6:$F$1000,$C$4,Assignments!$D$6:$D$1000,"&gt;="&amp;Config!$B$3-7,Assignments!$D$6:$D$1000,"&lt;="&amp;Config!$B$3)))</f>
        <v/>
      </c>
      <c r="T725" s="40" t="str">
        <f>IF($K725="","",IFERROR(VLOOKUP($K725,Grinders!$A$4:$N$998,8,FALSE),""))</f>
        <v/>
      </c>
      <c r="U725" s="40" t="str">
        <f>IFERROR(IF($K725="","",IF($M725="Elite",MAX(50,MIN(100,Config!$B$27*MAX(0,MIN(100,(1-IF($R725="",0,$R725))*100)) + Config!$B$28*MAX(0,MIN(100,(1-MIN(1,IF(Config!$B$30=0,1,$S725/Config!$B$30)))*100)) + Config!$B$29*MAX(0,MIN(100,MIN(1,IF($T725="",0,$T725)/Config!$B$23)*100)))),MIN(100,Config!$B$27*MAX(0,MIN(100,(1-IF($R725="",0,$R725))*100)) + Config!$B$28*MAX(0,MIN(100,(1-MIN(1,IF(Config!$B$30=0,1,$S725/Config!$B$30)))*100)) + Config!$B$29*MAX(0,MIN(100,MIN(1,IF($T725="",0,$T725)/Config!$B$23)*100))))),"")
</f>
        <v/>
      </c>
      <c r="V725" s="40" t="str">
        <f>IF(Bids!$D724="","",Bids!$D724)</f>
        <v/>
      </c>
      <c r="W725" s="40" t="str">
        <f>IF(Bids!$F724="","",Bids!$F724)</f>
        <v/>
      </c>
      <c r="X725" s="40" t="str">
        <f t="shared" si="5"/>
        <v/>
      </c>
      <c r="Y725" s="40" t="str">
        <f>IF($X725="","",IF(Config!$B$17=Config!$B$16,IF($X725&gt;=Config!$B$17,100,0),MAX(0,MIN(100,($X725-Config!$B$16)/(Config!$B$17-Config!$B$16)*100))))</f>
        <v/>
      </c>
      <c r="Z725" s="40">
        <f>IF($M725="Elite",Config!$B$21,0)</f>
        <v>0</v>
      </c>
      <c r="AA725" s="40" t="str">
        <f>IFERROR(IF(OR($W725="",$H725=""),"",IF($W725&gt;$H725,
  MAX(0, 60-(($W725-$H725)*24/Config!$B$19)*60),
  MIN(100, 60+(($H725-$W725)*24/Config!$B$20)*40)
)),"")
</f>
        <v/>
      </c>
      <c r="AB725" s="40" t="str">
        <f>IF($K725="","",IFERROR(VLOOKUP($K725,Grinders!$A$4:$N$998,10,FALSE)/5*100,""))</f>
        <v/>
      </c>
      <c r="AC725" s="40" t="str">
        <f>IF($K725="","",IFERROR(VLOOKUP($K725,Grinders!$A$4:$N$998,11,FALSE)*100,""))</f>
        <v/>
      </c>
      <c r="AD725" s="40" t="str">
        <f>IF($K725="","",IFERROR(VLOOKUP($K725,Grinders!$A$4:$N$998,12,FALSE)*100,""))</f>
        <v/>
      </c>
      <c r="AE725" s="40">
        <f>IFERROR(IFS(
    OR($C725="", $K725=""), 0,
    $F725=0, 0,
    $D725&lt;&gt;"Open", 0,
    COUNTIFS(GrinderServices!$B$4:$B$998, $K725, GrinderServices!$C$4:$C$998, $E725, GrinderServices!$E$4:$E$998, "Y")=0, 0,
    $X725&lt;Config!$B$16, 0,
    Config!$B$18=1, IF($O725&gt;=N725, 0, 1),
    TRUE, 1
), "")
</f>
        <v>0</v>
      </c>
      <c r="AF725" s="40" t="str">
        <f>IFERROR(IF($AE725=0,"",((Config!$B$6*$Y725 + Config!$B$7*$U725 + Config!$B$8*$Z725 + Config!$B$9*$AA725 + Config!$B$10*$AB725 + Config!$B$11*$AC725 - Config!$B$12*$AD725)/Config!$B$13)+$AK725+$AL725),"")</f>
        <v/>
      </c>
      <c r="AG725" s="40" t="str">
        <f t="shared" si="6"/>
        <v/>
      </c>
      <c r="AH725" s="40" t="str">
        <f t="shared" si="7"/>
        <v/>
      </c>
      <c r="AI725" s="40" t="str">
        <f t="shared" si="8"/>
        <v/>
      </c>
      <c r="AJ725" s="40" t="str">
        <f>IF($K725="","",COUNTIF(Assignments!$B$6:$B$1000,$K725))</f>
        <v/>
      </c>
      <c r="AK725" s="40" t="str">
        <f>IF($K725="","",IF(AND($AJ725=0,$O725&lt;$N725),Config!$B$43,0))</f>
        <v/>
      </c>
      <c r="AL725" s="40" t="str">
        <f>IF($K725="","",IF(AND($M725="Elite",$G725&gt;=Config!$B$41,$O725&lt;$N725),Config!$B$42,0))</f>
        <v/>
      </c>
      <c r="AM725" s="22"/>
    </row>
    <row r="726" ht="15.75" customHeight="1">
      <c r="A726" s="40" t="str">
        <f t="shared" si="1"/>
        <v/>
      </c>
      <c r="B726" s="40" t="str">
        <f>IF(Bids!$A725="","",Bids!$A725)</f>
        <v/>
      </c>
      <c r="C726" s="40" t="str">
        <f>IF(Bids!$B725="","",Bids!$B725)</f>
        <v/>
      </c>
      <c r="D726" s="40" t="str">
        <f>IF($C726="","",IFERROR(VLOOKUP($C726,Orders!$A$4:$J$998,9,FALSE),""))</f>
        <v/>
      </c>
      <c r="E726" s="40" t="str">
        <f>IF($C726="","",IFERROR(VLOOKUP($C726,Orders!$A$4:$J$998,3,FALSE),""))</f>
        <v/>
      </c>
      <c r="F726" s="40">
        <f t="shared" si="2"/>
        <v>1</v>
      </c>
      <c r="G726" s="40" t="str">
        <f>IF($C726="","",IFERROR(VLOOKUP($C726,Orders!$A$4:$J$998,4,FALSE),""))</f>
        <v/>
      </c>
      <c r="H726" s="40" t="str">
        <f>IF($C726="","",IFERROR(VLOOKUP($C726,Orders!$A$4:$J$998,5,FALSE),""))</f>
        <v/>
      </c>
      <c r="I726" s="40" t="str">
        <f>IF($C726="","",IFERROR(VLOOKUP($C726,Orders!$A$4:$J$998,6,FALSE),""))</f>
        <v/>
      </c>
      <c r="J726" s="40" t="str">
        <f>IF($C726="","",IFERROR(VLOOKUP($C726,Orders!$A$4:$J$998,7,FALSE),""))</f>
        <v/>
      </c>
      <c r="K726" s="40" t="str">
        <f>IF(Bids!$C725="","",Bids!$C725)</f>
        <v/>
      </c>
      <c r="L726" s="40" t="str">
        <f>IF($K726="","",IFERROR(VLOOKUP($K726,Grinders!$A$4:$N$998,2,FALSE),""))</f>
        <v/>
      </c>
      <c r="M726" s="40" t="str">
        <f>IF($K726="","",IFERROR(VLOOKUP($K726,Grinders!$A$4:$N$998,3,FALSE),""))</f>
        <v/>
      </c>
      <c r="N726" s="40" t="str">
        <f>IF($K726="","",IFERROR(VLOOKUP($K726,Grinders!$A$4:$N$998,4,FALSE),""))</f>
        <v/>
      </c>
      <c r="O726" s="40" t="str">
        <f>IF($K726="","",IFERROR(VLOOKUP($K726,Grinders!$A$4:$N$998,5,FALSE),""))</f>
        <v/>
      </c>
      <c r="P726" s="40" t="str">
        <f>IF($K726="","",IF($C$4="",0,COUNTIFS(Assignments!$B$6:$B$1000,$K726,Assignments!$F$6:$F$1000,$C$4,Assignments!$E$6:$E$1000,"Active")))</f>
        <v/>
      </c>
      <c r="Q726" s="40" t="str">
        <f t="shared" si="3"/>
        <v/>
      </c>
      <c r="R726" s="40" t="str">
        <f t="shared" si="4"/>
        <v/>
      </c>
      <c r="S726" s="40" t="str">
        <f>IF($K726="","",IF($C$4="",0,COUNTIFS(Assignments!$B$6:$B$1000,$K726,Assignments!$F$6:$F$1000,$C$4,Assignments!$D$6:$D$1000,"&gt;="&amp;Config!$B$3-7,Assignments!$D$6:$D$1000,"&lt;="&amp;Config!$B$3)))</f>
        <v/>
      </c>
      <c r="T726" s="40" t="str">
        <f>IF($K726="","",IFERROR(VLOOKUP($K726,Grinders!$A$4:$N$998,8,FALSE),""))</f>
        <v/>
      </c>
      <c r="U726" s="40" t="str">
        <f>IFERROR(IF($K726="","",IF($M726="Elite",MAX(50,MIN(100,Config!$B$27*MAX(0,MIN(100,(1-IF($R726="",0,$R726))*100)) + Config!$B$28*MAX(0,MIN(100,(1-MIN(1,IF(Config!$B$30=0,1,$S726/Config!$B$30)))*100)) + Config!$B$29*MAX(0,MIN(100,MIN(1,IF($T726="",0,$T726)/Config!$B$23)*100)))),MIN(100,Config!$B$27*MAX(0,MIN(100,(1-IF($R726="",0,$R726))*100)) + Config!$B$28*MAX(0,MIN(100,(1-MIN(1,IF(Config!$B$30=0,1,$S726/Config!$B$30)))*100)) + Config!$B$29*MAX(0,MIN(100,MIN(1,IF($T726="",0,$T726)/Config!$B$23)*100))))),"")
</f>
        <v/>
      </c>
      <c r="V726" s="40" t="str">
        <f>IF(Bids!$D725="","",Bids!$D725)</f>
        <v/>
      </c>
      <c r="W726" s="40" t="str">
        <f>IF(Bids!$F725="","",Bids!$F725)</f>
        <v/>
      </c>
      <c r="X726" s="40" t="str">
        <f t="shared" si="5"/>
        <v/>
      </c>
      <c r="Y726" s="40" t="str">
        <f>IF($X726="","",IF(Config!$B$17=Config!$B$16,IF($X726&gt;=Config!$B$17,100,0),MAX(0,MIN(100,($X726-Config!$B$16)/(Config!$B$17-Config!$B$16)*100))))</f>
        <v/>
      </c>
      <c r="Z726" s="40">
        <f>IF($M726="Elite",Config!$B$21,0)</f>
        <v>0</v>
      </c>
      <c r="AA726" s="40" t="str">
        <f>IFERROR(IF(OR($W726="",$H726=""),"",IF($W726&gt;$H726,
  MAX(0, 60-(($W726-$H726)*24/Config!$B$19)*60),
  MIN(100, 60+(($H726-$W726)*24/Config!$B$20)*40)
)),"")
</f>
        <v/>
      </c>
      <c r="AB726" s="40" t="str">
        <f>IF($K726="","",IFERROR(VLOOKUP($K726,Grinders!$A$4:$N$998,10,FALSE)/5*100,""))</f>
        <v/>
      </c>
      <c r="AC726" s="40" t="str">
        <f>IF($K726="","",IFERROR(VLOOKUP($K726,Grinders!$A$4:$N$998,11,FALSE)*100,""))</f>
        <v/>
      </c>
      <c r="AD726" s="40" t="str">
        <f>IF($K726="","",IFERROR(VLOOKUP($K726,Grinders!$A$4:$N$998,12,FALSE)*100,""))</f>
        <v/>
      </c>
      <c r="AE726" s="40">
        <f>IFERROR(IFS(
    OR($C726="", $K726=""), 0,
    $F726=0, 0,
    $D726&lt;&gt;"Open", 0,
    COUNTIFS(GrinderServices!$B$4:$B$998, $K726, GrinderServices!$C$4:$C$998, $E726, GrinderServices!$E$4:$E$998, "Y")=0, 0,
    $X726&lt;Config!$B$16, 0,
    Config!$B$18=1, IF($O726&gt;=N726, 0, 1),
    TRUE, 1
), "")
</f>
        <v>0</v>
      </c>
      <c r="AF726" s="40" t="str">
        <f>IFERROR(IF($AE726=0,"",((Config!$B$6*$Y726 + Config!$B$7*$U726 + Config!$B$8*$Z726 + Config!$B$9*$AA726 + Config!$B$10*$AB726 + Config!$B$11*$AC726 - Config!$B$12*$AD726)/Config!$B$13)+$AK726+$AL726),"")</f>
        <v/>
      </c>
      <c r="AG726" s="40" t="str">
        <f t="shared" si="6"/>
        <v/>
      </c>
      <c r="AH726" s="40" t="str">
        <f t="shared" si="7"/>
        <v/>
      </c>
      <c r="AI726" s="40" t="str">
        <f t="shared" si="8"/>
        <v/>
      </c>
      <c r="AJ726" s="40" t="str">
        <f>IF($K726="","",COUNTIF(Assignments!$B$6:$B$1000,$K726))</f>
        <v/>
      </c>
      <c r="AK726" s="40" t="str">
        <f>IF($K726="","",IF(AND($AJ726=0,$O726&lt;$N726),Config!$B$43,0))</f>
        <v/>
      </c>
      <c r="AL726" s="40" t="str">
        <f>IF($K726="","",IF(AND($M726="Elite",$G726&gt;=Config!$B$41,$O726&lt;$N726),Config!$B$42,0))</f>
        <v/>
      </c>
      <c r="AM726" s="22"/>
    </row>
    <row r="727" ht="15.75" customHeight="1">
      <c r="A727" s="40" t="str">
        <f t="shared" si="1"/>
        <v/>
      </c>
      <c r="B727" s="40" t="str">
        <f>IF(Bids!$A726="","",Bids!$A726)</f>
        <v/>
      </c>
      <c r="C727" s="40" t="str">
        <f>IF(Bids!$B726="","",Bids!$B726)</f>
        <v/>
      </c>
      <c r="D727" s="40" t="str">
        <f>IF($C727="","",IFERROR(VLOOKUP($C727,Orders!$A$4:$J$998,9,FALSE),""))</f>
        <v/>
      </c>
      <c r="E727" s="40" t="str">
        <f>IF($C727="","",IFERROR(VLOOKUP($C727,Orders!$A$4:$J$998,3,FALSE),""))</f>
        <v/>
      </c>
      <c r="F727" s="40">
        <f t="shared" si="2"/>
        <v>1</v>
      </c>
      <c r="G727" s="40" t="str">
        <f>IF($C727="","",IFERROR(VLOOKUP($C727,Orders!$A$4:$J$998,4,FALSE),""))</f>
        <v/>
      </c>
      <c r="H727" s="40" t="str">
        <f>IF($C727="","",IFERROR(VLOOKUP($C727,Orders!$A$4:$J$998,5,FALSE),""))</f>
        <v/>
      </c>
      <c r="I727" s="40" t="str">
        <f>IF($C727="","",IFERROR(VLOOKUP($C727,Orders!$A$4:$J$998,6,FALSE),""))</f>
        <v/>
      </c>
      <c r="J727" s="40" t="str">
        <f>IF($C727="","",IFERROR(VLOOKUP($C727,Orders!$A$4:$J$998,7,FALSE),""))</f>
        <v/>
      </c>
      <c r="K727" s="40" t="str">
        <f>IF(Bids!$C726="","",Bids!$C726)</f>
        <v/>
      </c>
      <c r="L727" s="40" t="str">
        <f>IF($K727="","",IFERROR(VLOOKUP($K727,Grinders!$A$4:$N$998,2,FALSE),""))</f>
        <v/>
      </c>
      <c r="M727" s="40" t="str">
        <f>IF($K727="","",IFERROR(VLOOKUP($K727,Grinders!$A$4:$N$998,3,FALSE),""))</f>
        <v/>
      </c>
      <c r="N727" s="40" t="str">
        <f>IF($K727="","",IFERROR(VLOOKUP($K727,Grinders!$A$4:$N$998,4,FALSE),""))</f>
        <v/>
      </c>
      <c r="O727" s="40" t="str">
        <f>IF($K727="","",IFERROR(VLOOKUP($K727,Grinders!$A$4:$N$998,5,FALSE),""))</f>
        <v/>
      </c>
      <c r="P727" s="40" t="str">
        <f>IF($K727="","",IF($C$4="",0,COUNTIFS(Assignments!$B$6:$B$1000,$K727,Assignments!$F$6:$F$1000,$C$4,Assignments!$E$6:$E$1000,"Active")))</f>
        <v/>
      </c>
      <c r="Q727" s="40" t="str">
        <f t="shared" si="3"/>
        <v/>
      </c>
      <c r="R727" s="40" t="str">
        <f t="shared" si="4"/>
        <v/>
      </c>
      <c r="S727" s="40" t="str">
        <f>IF($K727="","",IF($C$4="",0,COUNTIFS(Assignments!$B$6:$B$1000,$K727,Assignments!$F$6:$F$1000,$C$4,Assignments!$D$6:$D$1000,"&gt;="&amp;Config!$B$3-7,Assignments!$D$6:$D$1000,"&lt;="&amp;Config!$B$3)))</f>
        <v/>
      </c>
      <c r="T727" s="40" t="str">
        <f>IF($K727="","",IFERROR(VLOOKUP($K727,Grinders!$A$4:$N$998,8,FALSE),""))</f>
        <v/>
      </c>
      <c r="U727" s="40" t="str">
        <f>IFERROR(IF($K727="","",IF($M727="Elite",MAX(50,MIN(100,Config!$B$27*MAX(0,MIN(100,(1-IF($R727="",0,$R727))*100)) + Config!$B$28*MAX(0,MIN(100,(1-MIN(1,IF(Config!$B$30=0,1,$S727/Config!$B$30)))*100)) + Config!$B$29*MAX(0,MIN(100,MIN(1,IF($T727="",0,$T727)/Config!$B$23)*100)))),MIN(100,Config!$B$27*MAX(0,MIN(100,(1-IF($R727="",0,$R727))*100)) + Config!$B$28*MAX(0,MIN(100,(1-MIN(1,IF(Config!$B$30=0,1,$S727/Config!$B$30)))*100)) + Config!$B$29*MAX(0,MIN(100,MIN(1,IF($T727="",0,$T727)/Config!$B$23)*100))))),"")
</f>
        <v/>
      </c>
      <c r="V727" s="40" t="str">
        <f>IF(Bids!$D726="","",Bids!$D726)</f>
        <v/>
      </c>
      <c r="W727" s="40" t="str">
        <f>IF(Bids!$F726="","",Bids!$F726)</f>
        <v/>
      </c>
      <c r="X727" s="40" t="str">
        <f t="shared" si="5"/>
        <v/>
      </c>
      <c r="Y727" s="40" t="str">
        <f>IF($X727="","",IF(Config!$B$17=Config!$B$16,IF($X727&gt;=Config!$B$17,100,0),MAX(0,MIN(100,($X727-Config!$B$16)/(Config!$B$17-Config!$B$16)*100))))</f>
        <v/>
      </c>
      <c r="Z727" s="40">
        <f>IF($M727="Elite",Config!$B$21,0)</f>
        <v>0</v>
      </c>
      <c r="AA727" s="40" t="str">
        <f>IFERROR(IF(OR($W727="",$H727=""),"",IF($W727&gt;$H727,
  MAX(0, 60-(($W727-$H727)*24/Config!$B$19)*60),
  MIN(100, 60+(($H727-$W727)*24/Config!$B$20)*40)
)),"")
</f>
        <v/>
      </c>
      <c r="AB727" s="40" t="str">
        <f>IF($K727="","",IFERROR(VLOOKUP($K727,Grinders!$A$4:$N$998,10,FALSE)/5*100,""))</f>
        <v/>
      </c>
      <c r="AC727" s="40" t="str">
        <f>IF($K727="","",IFERROR(VLOOKUP($K727,Grinders!$A$4:$N$998,11,FALSE)*100,""))</f>
        <v/>
      </c>
      <c r="AD727" s="40" t="str">
        <f>IF($K727="","",IFERROR(VLOOKUP($K727,Grinders!$A$4:$N$998,12,FALSE)*100,""))</f>
        <v/>
      </c>
      <c r="AE727" s="40">
        <f>IFERROR(IFS(
    OR($C727="", $K727=""), 0,
    $F727=0, 0,
    $D727&lt;&gt;"Open", 0,
    COUNTIFS(GrinderServices!$B$4:$B$998, $K727, GrinderServices!$C$4:$C$998, $E727, GrinderServices!$E$4:$E$998, "Y")=0, 0,
    $X727&lt;Config!$B$16, 0,
    Config!$B$18=1, IF($O727&gt;=N727, 0, 1),
    TRUE, 1
), "")
</f>
        <v>0</v>
      </c>
      <c r="AF727" s="40" t="str">
        <f>IFERROR(IF($AE727=0,"",((Config!$B$6*$Y727 + Config!$B$7*$U727 + Config!$B$8*$Z727 + Config!$B$9*$AA727 + Config!$B$10*$AB727 + Config!$B$11*$AC727 - Config!$B$12*$AD727)/Config!$B$13)+$AK727+$AL727),"")</f>
        <v/>
      </c>
      <c r="AG727" s="40" t="str">
        <f t="shared" si="6"/>
        <v/>
      </c>
      <c r="AH727" s="40" t="str">
        <f t="shared" si="7"/>
        <v/>
      </c>
      <c r="AI727" s="40" t="str">
        <f t="shared" si="8"/>
        <v/>
      </c>
      <c r="AJ727" s="40" t="str">
        <f>IF($K727="","",COUNTIF(Assignments!$B$6:$B$1000,$K727))</f>
        <v/>
      </c>
      <c r="AK727" s="40" t="str">
        <f>IF($K727="","",IF(AND($AJ727=0,$O727&lt;$N727),Config!$B$43,0))</f>
        <v/>
      </c>
      <c r="AL727" s="40" t="str">
        <f>IF($K727="","",IF(AND($M727="Elite",$G727&gt;=Config!$B$41,$O727&lt;$N727),Config!$B$42,0))</f>
        <v/>
      </c>
      <c r="AM727" s="22"/>
    </row>
    <row r="728" ht="15.75" customHeight="1">
      <c r="A728" s="40" t="str">
        <f t="shared" si="1"/>
        <v/>
      </c>
      <c r="B728" s="40" t="str">
        <f>IF(Bids!$A727="","",Bids!$A727)</f>
        <v/>
      </c>
      <c r="C728" s="40" t="str">
        <f>IF(Bids!$B727="","",Bids!$B727)</f>
        <v/>
      </c>
      <c r="D728" s="40" t="str">
        <f>IF($C728="","",IFERROR(VLOOKUP($C728,Orders!$A$4:$J$998,9,FALSE),""))</f>
        <v/>
      </c>
      <c r="E728" s="40" t="str">
        <f>IF($C728="","",IFERROR(VLOOKUP($C728,Orders!$A$4:$J$998,3,FALSE),""))</f>
        <v/>
      </c>
      <c r="F728" s="40">
        <f t="shared" si="2"/>
        <v>1</v>
      </c>
      <c r="G728" s="40" t="str">
        <f>IF($C728="","",IFERROR(VLOOKUP($C728,Orders!$A$4:$J$998,4,FALSE),""))</f>
        <v/>
      </c>
      <c r="H728" s="40" t="str">
        <f>IF($C728="","",IFERROR(VLOOKUP($C728,Orders!$A$4:$J$998,5,FALSE),""))</f>
        <v/>
      </c>
      <c r="I728" s="40" t="str">
        <f>IF($C728="","",IFERROR(VLOOKUP($C728,Orders!$A$4:$J$998,6,FALSE),""))</f>
        <v/>
      </c>
      <c r="J728" s="40" t="str">
        <f>IF($C728="","",IFERROR(VLOOKUP($C728,Orders!$A$4:$J$998,7,FALSE),""))</f>
        <v/>
      </c>
      <c r="K728" s="40" t="str">
        <f>IF(Bids!$C727="","",Bids!$C727)</f>
        <v/>
      </c>
      <c r="L728" s="40" t="str">
        <f>IF($K728="","",IFERROR(VLOOKUP($K728,Grinders!$A$4:$N$998,2,FALSE),""))</f>
        <v/>
      </c>
      <c r="M728" s="40" t="str">
        <f>IF($K728="","",IFERROR(VLOOKUP($K728,Grinders!$A$4:$N$998,3,FALSE),""))</f>
        <v/>
      </c>
      <c r="N728" s="40" t="str">
        <f>IF($K728="","",IFERROR(VLOOKUP($K728,Grinders!$A$4:$N$998,4,FALSE),""))</f>
        <v/>
      </c>
      <c r="O728" s="40" t="str">
        <f>IF($K728="","",IFERROR(VLOOKUP($K728,Grinders!$A$4:$N$998,5,FALSE),""))</f>
        <v/>
      </c>
      <c r="P728" s="40" t="str">
        <f>IF($K728="","",IF($C$4="",0,COUNTIFS(Assignments!$B$6:$B$1000,$K728,Assignments!$F$6:$F$1000,$C$4,Assignments!$E$6:$E$1000,"Active")))</f>
        <v/>
      </c>
      <c r="Q728" s="40" t="str">
        <f t="shared" si="3"/>
        <v/>
      </c>
      <c r="R728" s="40" t="str">
        <f t="shared" si="4"/>
        <v/>
      </c>
      <c r="S728" s="40" t="str">
        <f>IF($K728="","",IF($C$4="",0,COUNTIFS(Assignments!$B$6:$B$1000,$K728,Assignments!$F$6:$F$1000,$C$4,Assignments!$D$6:$D$1000,"&gt;="&amp;Config!$B$3-7,Assignments!$D$6:$D$1000,"&lt;="&amp;Config!$B$3)))</f>
        <v/>
      </c>
      <c r="T728" s="40" t="str">
        <f>IF($K728="","",IFERROR(VLOOKUP($K728,Grinders!$A$4:$N$998,8,FALSE),""))</f>
        <v/>
      </c>
      <c r="U728" s="40" t="str">
        <f>IFERROR(IF($K728="","",IF($M728="Elite",MAX(50,MIN(100,Config!$B$27*MAX(0,MIN(100,(1-IF($R728="",0,$R728))*100)) + Config!$B$28*MAX(0,MIN(100,(1-MIN(1,IF(Config!$B$30=0,1,$S728/Config!$B$30)))*100)) + Config!$B$29*MAX(0,MIN(100,MIN(1,IF($T728="",0,$T728)/Config!$B$23)*100)))),MIN(100,Config!$B$27*MAX(0,MIN(100,(1-IF($R728="",0,$R728))*100)) + Config!$B$28*MAX(0,MIN(100,(1-MIN(1,IF(Config!$B$30=0,1,$S728/Config!$B$30)))*100)) + Config!$B$29*MAX(0,MIN(100,MIN(1,IF($T728="",0,$T728)/Config!$B$23)*100))))),"")
</f>
        <v/>
      </c>
      <c r="V728" s="40" t="str">
        <f>IF(Bids!$D727="","",Bids!$D727)</f>
        <v/>
      </c>
      <c r="W728" s="40" t="str">
        <f>IF(Bids!$F727="","",Bids!$F727)</f>
        <v/>
      </c>
      <c r="X728" s="40" t="str">
        <f t="shared" si="5"/>
        <v/>
      </c>
      <c r="Y728" s="40" t="str">
        <f>IF($X728="","",IF(Config!$B$17=Config!$B$16,IF($X728&gt;=Config!$B$17,100,0),MAX(0,MIN(100,($X728-Config!$B$16)/(Config!$B$17-Config!$B$16)*100))))</f>
        <v/>
      </c>
      <c r="Z728" s="40">
        <f>IF($M728="Elite",Config!$B$21,0)</f>
        <v>0</v>
      </c>
      <c r="AA728" s="40" t="str">
        <f>IFERROR(IF(OR($W728="",$H728=""),"",IF($W728&gt;$H728,
  MAX(0, 60-(($W728-$H728)*24/Config!$B$19)*60),
  MIN(100, 60+(($H728-$W728)*24/Config!$B$20)*40)
)),"")
</f>
        <v/>
      </c>
      <c r="AB728" s="40" t="str">
        <f>IF($K728="","",IFERROR(VLOOKUP($K728,Grinders!$A$4:$N$998,10,FALSE)/5*100,""))</f>
        <v/>
      </c>
      <c r="AC728" s="40" t="str">
        <f>IF($K728="","",IFERROR(VLOOKUP($K728,Grinders!$A$4:$N$998,11,FALSE)*100,""))</f>
        <v/>
      </c>
      <c r="AD728" s="40" t="str">
        <f>IF($K728="","",IFERROR(VLOOKUP($K728,Grinders!$A$4:$N$998,12,FALSE)*100,""))</f>
        <v/>
      </c>
      <c r="AE728" s="40">
        <f>IFERROR(IFS(
    OR($C728="", $K728=""), 0,
    $F728=0, 0,
    $D728&lt;&gt;"Open", 0,
    COUNTIFS(GrinderServices!$B$4:$B$998, $K728, GrinderServices!$C$4:$C$998, $E728, GrinderServices!$E$4:$E$998, "Y")=0, 0,
    $X728&lt;Config!$B$16, 0,
    Config!$B$18=1, IF($O728&gt;=N728, 0, 1),
    TRUE, 1
), "")
</f>
        <v>0</v>
      </c>
      <c r="AF728" s="40" t="str">
        <f>IFERROR(IF($AE728=0,"",((Config!$B$6*$Y728 + Config!$B$7*$U728 + Config!$B$8*$Z728 + Config!$B$9*$AA728 + Config!$B$10*$AB728 + Config!$B$11*$AC728 - Config!$B$12*$AD728)/Config!$B$13)+$AK728+$AL728),"")</f>
        <v/>
      </c>
      <c r="AG728" s="40" t="str">
        <f t="shared" si="6"/>
        <v/>
      </c>
      <c r="AH728" s="40" t="str">
        <f t="shared" si="7"/>
        <v/>
      </c>
      <c r="AI728" s="40" t="str">
        <f t="shared" si="8"/>
        <v/>
      </c>
      <c r="AJ728" s="40" t="str">
        <f>IF($K728="","",COUNTIF(Assignments!$B$6:$B$1000,$K728))</f>
        <v/>
      </c>
      <c r="AK728" s="40" t="str">
        <f>IF($K728="","",IF(AND($AJ728=0,$O728&lt;$N728),Config!$B$43,0))</f>
        <v/>
      </c>
      <c r="AL728" s="40" t="str">
        <f>IF($K728="","",IF(AND($M728="Elite",$G728&gt;=Config!$B$41,$O728&lt;$N728),Config!$B$42,0))</f>
        <v/>
      </c>
      <c r="AM728" s="22"/>
    </row>
    <row r="729" ht="15.75" customHeight="1">
      <c r="A729" s="40" t="str">
        <f t="shared" si="1"/>
        <v/>
      </c>
      <c r="B729" s="40" t="str">
        <f>IF(Bids!$A728="","",Bids!$A728)</f>
        <v/>
      </c>
      <c r="C729" s="40" t="str">
        <f>IF(Bids!$B728="","",Bids!$B728)</f>
        <v/>
      </c>
      <c r="D729" s="40" t="str">
        <f>IF($C729="","",IFERROR(VLOOKUP($C729,Orders!$A$4:$J$998,9,FALSE),""))</f>
        <v/>
      </c>
      <c r="E729" s="40" t="str">
        <f>IF($C729="","",IFERROR(VLOOKUP($C729,Orders!$A$4:$J$998,3,FALSE),""))</f>
        <v/>
      </c>
      <c r="F729" s="40">
        <f t="shared" si="2"/>
        <v>1</v>
      </c>
      <c r="G729" s="40" t="str">
        <f>IF($C729="","",IFERROR(VLOOKUP($C729,Orders!$A$4:$J$998,4,FALSE),""))</f>
        <v/>
      </c>
      <c r="H729" s="40" t="str">
        <f>IF($C729="","",IFERROR(VLOOKUP($C729,Orders!$A$4:$J$998,5,FALSE),""))</f>
        <v/>
      </c>
      <c r="I729" s="40" t="str">
        <f>IF($C729="","",IFERROR(VLOOKUP($C729,Orders!$A$4:$J$998,6,FALSE),""))</f>
        <v/>
      </c>
      <c r="J729" s="40" t="str">
        <f>IF($C729="","",IFERROR(VLOOKUP($C729,Orders!$A$4:$J$998,7,FALSE),""))</f>
        <v/>
      </c>
      <c r="K729" s="40" t="str">
        <f>IF(Bids!$C728="","",Bids!$C728)</f>
        <v/>
      </c>
      <c r="L729" s="40" t="str">
        <f>IF($K729="","",IFERROR(VLOOKUP($K729,Grinders!$A$4:$N$998,2,FALSE),""))</f>
        <v/>
      </c>
      <c r="M729" s="40" t="str">
        <f>IF($K729="","",IFERROR(VLOOKUP($K729,Grinders!$A$4:$N$998,3,FALSE),""))</f>
        <v/>
      </c>
      <c r="N729" s="40" t="str">
        <f>IF($K729="","",IFERROR(VLOOKUP($K729,Grinders!$A$4:$N$998,4,FALSE),""))</f>
        <v/>
      </c>
      <c r="O729" s="40" t="str">
        <f>IF($K729="","",IFERROR(VLOOKUP($K729,Grinders!$A$4:$N$998,5,FALSE),""))</f>
        <v/>
      </c>
      <c r="P729" s="40" t="str">
        <f>IF($K729="","",IF($C$4="",0,COUNTIFS(Assignments!$B$6:$B$1000,$K729,Assignments!$F$6:$F$1000,$C$4,Assignments!$E$6:$E$1000,"Active")))</f>
        <v/>
      </c>
      <c r="Q729" s="40" t="str">
        <f t="shared" si="3"/>
        <v/>
      </c>
      <c r="R729" s="40" t="str">
        <f t="shared" si="4"/>
        <v/>
      </c>
      <c r="S729" s="40" t="str">
        <f>IF($K729="","",IF($C$4="",0,COUNTIFS(Assignments!$B$6:$B$1000,$K729,Assignments!$F$6:$F$1000,$C$4,Assignments!$D$6:$D$1000,"&gt;="&amp;Config!$B$3-7,Assignments!$D$6:$D$1000,"&lt;="&amp;Config!$B$3)))</f>
        <v/>
      </c>
      <c r="T729" s="40" t="str">
        <f>IF($K729="","",IFERROR(VLOOKUP($K729,Grinders!$A$4:$N$998,8,FALSE),""))</f>
        <v/>
      </c>
      <c r="U729" s="40" t="str">
        <f>IFERROR(IF($K729="","",IF($M729="Elite",MAX(50,MIN(100,Config!$B$27*MAX(0,MIN(100,(1-IF($R729="",0,$R729))*100)) + Config!$B$28*MAX(0,MIN(100,(1-MIN(1,IF(Config!$B$30=0,1,$S729/Config!$B$30)))*100)) + Config!$B$29*MAX(0,MIN(100,MIN(1,IF($T729="",0,$T729)/Config!$B$23)*100)))),MIN(100,Config!$B$27*MAX(0,MIN(100,(1-IF($R729="",0,$R729))*100)) + Config!$B$28*MAX(0,MIN(100,(1-MIN(1,IF(Config!$B$30=0,1,$S729/Config!$B$30)))*100)) + Config!$B$29*MAX(0,MIN(100,MIN(1,IF($T729="",0,$T729)/Config!$B$23)*100))))),"")
</f>
        <v/>
      </c>
      <c r="V729" s="40" t="str">
        <f>IF(Bids!$D728="","",Bids!$D728)</f>
        <v/>
      </c>
      <c r="W729" s="40" t="str">
        <f>IF(Bids!$F728="","",Bids!$F728)</f>
        <v/>
      </c>
      <c r="X729" s="40" t="str">
        <f t="shared" si="5"/>
        <v/>
      </c>
      <c r="Y729" s="40" t="str">
        <f>IF($X729="","",IF(Config!$B$17=Config!$B$16,IF($X729&gt;=Config!$B$17,100,0),MAX(0,MIN(100,($X729-Config!$B$16)/(Config!$B$17-Config!$B$16)*100))))</f>
        <v/>
      </c>
      <c r="Z729" s="40">
        <f>IF($M729="Elite",Config!$B$21,0)</f>
        <v>0</v>
      </c>
      <c r="AA729" s="40" t="str">
        <f>IFERROR(IF(OR($W729="",$H729=""),"",IF($W729&gt;$H729,
  MAX(0, 60-(($W729-$H729)*24/Config!$B$19)*60),
  MIN(100, 60+(($H729-$W729)*24/Config!$B$20)*40)
)),"")
</f>
        <v/>
      </c>
      <c r="AB729" s="40" t="str">
        <f>IF($K729="","",IFERROR(VLOOKUP($K729,Grinders!$A$4:$N$998,10,FALSE)/5*100,""))</f>
        <v/>
      </c>
      <c r="AC729" s="40" t="str">
        <f>IF($K729="","",IFERROR(VLOOKUP($K729,Grinders!$A$4:$N$998,11,FALSE)*100,""))</f>
        <v/>
      </c>
      <c r="AD729" s="40" t="str">
        <f>IF($K729="","",IFERROR(VLOOKUP($K729,Grinders!$A$4:$N$998,12,FALSE)*100,""))</f>
        <v/>
      </c>
      <c r="AE729" s="40">
        <f>IFERROR(IFS(
    OR($C729="", $K729=""), 0,
    $F729=0, 0,
    $D729&lt;&gt;"Open", 0,
    COUNTIFS(GrinderServices!$B$4:$B$998, $K729, GrinderServices!$C$4:$C$998, $E729, GrinderServices!$E$4:$E$998, "Y")=0, 0,
    $X729&lt;Config!$B$16, 0,
    Config!$B$18=1, IF($O729&gt;=N729, 0, 1),
    TRUE, 1
), "")
</f>
        <v>0</v>
      </c>
      <c r="AF729" s="40" t="str">
        <f>IFERROR(IF($AE729=0,"",((Config!$B$6*$Y729 + Config!$B$7*$U729 + Config!$B$8*$Z729 + Config!$B$9*$AA729 + Config!$B$10*$AB729 + Config!$B$11*$AC729 - Config!$B$12*$AD729)/Config!$B$13)+$AK729+$AL729),"")</f>
        <v/>
      </c>
      <c r="AG729" s="40" t="str">
        <f t="shared" si="6"/>
        <v/>
      </c>
      <c r="AH729" s="40" t="str">
        <f t="shared" si="7"/>
        <v/>
      </c>
      <c r="AI729" s="40" t="str">
        <f t="shared" si="8"/>
        <v/>
      </c>
      <c r="AJ729" s="40" t="str">
        <f>IF($K729="","",COUNTIF(Assignments!$B$6:$B$1000,$K729))</f>
        <v/>
      </c>
      <c r="AK729" s="40" t="str">
        <f>IF($K729="","",IF(AND($AJ729=0,$O729&lt;$N729),Config!$B$43,0))</f>
        <v/>
      </c>
      <c r="AL729" s="40" t="str">
        <f>IF($K729="","",IF(AND($M729="Elite",$G729&gt;=Config!$B$41,$O729&lt;$N729),Config!$B$42,0))</f>
        <v/>
      </c>
      <c r="AM729" s="22"/>
    </row>
    <row r="730" ht="15.75" customHeight="1">
      <c r="A730" s="40" t="str">
        <f t="shared" si="1"/>
        <v/>
      </c>
      <c r="B730" s="40" t="str">
        <f>IF(Bids!$A729="","",Bids!$A729)</f>
        <v/>
      </c>
      <c r="C730" s="40" t="str">
        <f>IF(Bids!$B729="","",Bids!$B729)</f>
        <v/>
      </c>
      <c r="D730" s="40" t="str">
        <f>IF($C730="","",IFERROR(VLOOKUP($C730,Orders!$A$4:$J$998,9,FALSE),""))</f>
        <v/>
      </c>
      <c r="E730" s="40" t="str">
        <f>IF($C730="","",IFERROR(VLOOKUP($C730,Orders!$A$4:$J$998,3,FALSE),""))</f>
        <v/>
      </c>
      <c r="F730" s="40">
        <f t="shared" si="2"/>
        <v>1</v>
      </c>
      <c r="G730" s="40" t="str">
        <f>IF($C730="","",IFERROR(VLOOKUP($C730,Orders!$A$4:$J$998,4,FALSE),""))</f>
        <v/>
      </c>
      <c r="H730" s="40" t="str">
        <f>IF($C730="","",IFERROR(VLOOKUP($C730,Orders!$A$4:$J$998,5,FALSE),""))</f>
        <v/>
      </c>
      <c r="I730" s="40" t="str">
        <f>IF($C730="","",IFERROR(VLOOKUP($C730,Orders!$A$4:$J$998,6,FALSE),""))</f>
        <v/>
      </c>
      <c r="J730" s="40" t="str">
        <f>IF($C730="","",IFERROR(VLOOKUP($C730,Orders!$A$4:$J$998,7,FALSE),""))</f>
        <v/>
      </c>
      <c r="K730" s="40" t="str">
        <f>IF(Bids!$C729="","",Bids!$C729)</f>
        <v/>
      </c>
      <c r="L730" s="40" t="str">
        <f>IF($K730="","",IFERROR(VLOOKUP($K730,Grinders!$A$4:$N$998,2,FALSE),""))</f>
        <v/>
      </c>
      <c r="M730" s="40" t="str">
        <f>IF($K730="","",IFERROR(VLOOKUP($K730,Grinders!$A$4:$N$998,3,FALSE),""))</f>
        <v/>
      </c>
      <c r="N730" s="40" t="str">
        <f>IF($K730="","",IFERROR(VLOOKUP($K730,Grinders!$A$4:$N$998,4,FALSE),""))</f>
        <v/>
      </c>
      <c r="O730" s="40" t="str">
        <f>IF($K730="","",IFERROR(VLOOKUP($K730,Grinders!$A$4:$N$998,5,FALSE),""))</f>
        <v/>
      </c>
      <c r="P730" s="40" t="str">
        <f>IF($K730="","",IF($C$4="",0,COUNTIFS(Assignments!$B$6:$B$1000,$K730,Assignments!$F$6:$F$1000,$C$4,Assignments!$E$6:$E$1000,"Active")))</f>
        <v/>
      </c>
      <c r="Q730" s="40" t="str">
        <f t="shared" si="3"/>
        <v/>
      </c>
      <c r="R730" s="40" t="str">
        <f t="shared" si="4"/>
        <v/>
      </c>
      <c r="S730" s="40" t="str">
        <f>IF($K730="","",IF($C$4="",0,COUNTIFS(Assignments!$B$6:$B$1000,$K730,Assignments!$F$6:$F$1000,$C$4,Assignments!$D$6:$D$1000,"&gt;="&amp;Config!$B$3-7,Assignments!$D$6:$D$1000,"&lt;="&amp;Config!$B$3)))</f>
        <v/>
      </c>
      <c r="T730" s="40" t="str">
        <f>IF($K730="","",IFERROR(VLOOKUP($K730,Grinders!$A$4:$N$998,8,FALSE),""))</f>
        <v/>
      </c>
      <c r="U730" s="40" t="str">
        <f>IFERROR(IF($K730="","",IF($M730="Elite",MAX(50,MIN(100,Config!$B$27*MAX(0,MIN(100,(1-IF($R730="",0,$R730))*100)) + Config!$B$28*MAX(0,MIN(100,(1-MIN(1,IF(Config!$B$30=0,1,$S730/Config!$B$30)))*100)) + Config!$B$29*MAX(0,MIN(100,MIN(1,IF($T730="",0,$T730)/Config!$B$23)*100)))),MIN(100,Config!$B$27*MAX(0,MIN(100,(1-IF($R730="",0,$R730))*100)) + Config!$B$28*MAX(0,MIN(100,(1-MIN(1,IF(Config!$B$30=0,1,$S730/Config!$B$30)))*100)) + Config!$B$29*MAX(0,MIN(100,MIN(1,IF($T730="",0,$T730)/Config!$B$23)*100))))),"")
</f>
        <v/>
      </c>
      <c r="V730" s="40" t="str">
        <f>IF(Bids!$D729="","",Bids!$D729)</f>
        <v/>
      </c>
      <c r="W730" s="40" t="str">
        <f>IF(Bids!$F729="","",Bids!$F729)</f>
        <v/>
      </c>
      <c r="X730" s="40" t="str">
        <f t="shared" si="5"/>
        <v/>
      </c>
      <c r="Y730" s="40" t="str">
        <f>IF($X730="","",IF(Config!$B$17=Config!$B$16,IF($X730&gt;=Config!$B$17,100,0),MAX(0,MIN(100,($X730-Config!$B$16)/(Config!$B$17-Config!$B$16)*100))))</f>
        <v/>
      </c>
      <c r="Z730" s="40">
        <f>IF($M730="Elite",Config!$B$21,0)</f>
        <v>0</v>
      </c>
      <c r="AA730" s="40" t="str">
        <f>IFERROR(IF(OR($W730="",$H730=""),"",IF($W730&gt;$H730,
  MAX(0, 60-(($W730-$H730)*24/Config!$B$19)*60),
  MIN(100, 60+(($H730-$W730)*24/Config!$B$20)*40)
)),"")
</f>
        <v/>
      </c>
      <c r="AB730" s="40" t="str">
        <f>IF($K730="","",IFERROR(VLOOKUP($K730,Grinders!$A$4:$N$998,10,FALSE)/5*100,""))</f>
        <v/>
      </c>
      <c r="AC730" s="40" t="str">
        <f>IF($K730="","",IFERROR(VLOOKUP($K730,Grinders!$A$4:$N$998,11,FALSE)*100,""))</f>
        <v/>
      </c>
      <c r="AD730" s="40" t="str">
        <f>IF($K730="","",IFERROR(VLOOKUP($K730,Grinders!$A$4:$N$998,12,FALSE)*100,""))</f>
        <v/>
      </c>
      <c r="AE730" s="40">
        <f>IFERROR(IFS(
    OR($C730="", $K730=""), 0,
    $F730=0, 0,
    $D730&lt;&gt;"Open", 0,
    COUNTIFS(GrinderServices!$B$4:$B$998, $K730, GrinderServices!$C$4:$C$998, $E730, GrinderServices!$E$4:$E$998, "Y")=0, 0,
    $X730&lt;Config!$B$16, 0,
    Config!$B$18=1, IF($O730&gt;=N730, 0, 1),
    TRUE, 1
), "")
</f>
        <v>0</v>
      </c>
      <c r="AF730" s="40" t="str">
        <f>IFERROR(IF($AE730=0,"",((Config!$B$6*$Y730 + Config!$B$7*$U730 + Config!$B$8*$Z730 + Config!$B$9*$AA730 + Config!$B$10*$AB730 + Config!$B$11*$AC730 - Config!$B$12*$AD730)/Config!$B$13)+$AK730+$AL730),"")</f>
        <v/>
      </c>
      <c r="AG730" s="40" t="str">
        <f t="shared" si="6"/>
        <v/>
      </c>
      <c r="AH730" s="40" t="str">
        <f t="shared" si="7"/>
        <v/>
      </c>
      <c r="AI730" s="40" t="str">
        <f t="shared" si="8"/>
        <v/>
      </c>
      <c r="AJ730" s="40" t="str">
        <f>IF($K730="","",COUNTIF(Assignments!$B$6:$B$1000,$K730))</f>
        <v/>
      </c>
      <c r="AK730" s="40" t="str">
        <f>IF($K730="","",IF(AND($AJ730=0,$O730&lt;$N730),Config!$B$43,0))</f>
        <v/>
      </c>
      <c r="AL730" s="40" t="str">
        <f>IF($K730="","",IF(AND($M730="Elite",$G730&gt;=Config!$B$41,$O730&lt;$N730),Config!$B$42,0))</f>
        <v/>
      </c>
      <c r="AM730" s="22"/>
    </row>
    <row r="731" ht="15.75" customHeight="1">
      <c r="A731" s="40" t="str">
        <f t="shared" si="1"/>
        <v/>
      </c>
      <c r="B731" s="40" t="str">
        <f>IF(Bids!$A730="","",Bids!$A730)</f>
        <v/>
      </c>
      <c r="C731" s="40" t="str">
        <f>IF(Bids!$B730="","",Bids!$B730)</f>
        <v/>
      </c>
      <c r="D731" s="40" t="str">
        <f>IF($C731="","",IFERROR(VLOOKUP($C731,Orders!$A$4:$J$998,9,FALSE),""))</f>
        <v/>
      </c>
      <c r="E731" s="40" t="str">
        <f>IF($C731="","",IFERROR(VLOOKUP($C731,Orders!$A$4:$J$998,3,FALSE),""))</f>
        <v/>
      </c>
      <c r="F731" s="40">
        <f t="shared" si="2"/>
        <v>1</v>
      </c>
      <c r="G731" s="40" t="str">
        <f>IF($C731="","",IFERROR(VLOOKUP($C731,Orders!$A$4:$J$998,4,FALSE),""))</f>
        <v/>
      </c>
      <c r="H731" s="40" t="str">
        <f>IF($C731="","",IFERROR(VLOOKUP($C731,Orders!$A$4:$J$998,5,FALSE),""))</f>
        <v/>
      </c>
      <c r="I731" s="40" t="str">
        <f>IF($C731="","",IFERROR(VLOOKUP($C731,Orders!$A$4:$J$998,6,FALSE),""))</f>
        <v/>
      </c>
      <c r="J731" s="40" t="str">
        <f>IF($C731="","",IFERROR(VLOOKUP($C731,Orders!$A$4:$J$998,7,FALSE),""))</f>
        <v/>
      </c>
      <c r="K731" s="40" t="str">
        <f>IF(Bids!$C730="","",Bids!$C730)</f>
        <v/>
      </c>
      <c r="L731" s="40" t="str">
        <f>IF($K731="","",IFERROR(VLOOKUP($K731,Grinders!$A$4:$N$998,2,FALSE),""))</f>
        <v/>
      </c>
      <c r="M731" s="40" t="str">
        <f>IF($K731="","",IFERROR(VLOOKUP($K731,Grinders!$A$4:$N$998,3,FALSE),""))</f>
        <v/>
      </c>
      <c r="N731" s="40" t="str">
        <f>IF($K731="","",IFERROR(VLOOKUP($K731,Grinders!$A$4:$N$998,4,FALSE),""))</f>
        <v/>
      </c>
      <c r="O731" s="40" t="str">
        <f>IF($K731="","",IFERROR(VLOOKUP($K731,Grinders!$A$4:$N$998,5,FALSE),""))</f>
        <v/>
      </c>
      <c r="P731" s="40" t="str">
        <f>IF($K731="","",IF($C$4="",0,COUNTIFS(Assignments!$B$6:$B$1000,$K731,Assignments!$F$6:$F$1000,$C$4,Assignments!$E$6:$E$1000,"Active")))</f>
        <v/>
      </c>
      <c r="Q731" s="40" t="str">
        <f t="shared" si="3"/>
        <v/>
      </c>
      <c r="R731" s="40" t="str">
        <f t="shared" si="4"/>
        <v/>
      </c>
      <c r="S731" s="40" t="str">
        <f>IF($K731="","",IF($C$4="",0,COUNTIFS(Assignments!$B$6:$B$1000,$K731,Assignments!$F$6:$F$1000,$C$4,Assignments!$D$6:$D$1000,"&gt;="&amp;Config!$B$3-7,Assignments!$D$6:$D$1000,"&lt;="&amp;Config!$B$3)))</f>
        <v/>
      </c>
      <c r="T731" s="40" t="str">
        <f>IF($K731="","",IFERROR(VLOOKUP($K731,Grinders!$A$4:$N$998,8,FALSE),""))</f>
        <v/>
      </c>
      <c r="U731" s="40" t="str">
        <f>IFERROR(IF($K731="","",IF($M731="Elite",MAX(50,MIN(100,Config!$B$27*MAX(0,MIN(100,(1-IF($R731="",0,$R731))*100)) + Config!$B$28*MAX(0,MIN(100,(1-MIN(1,IF(Config!$B$30=0,1,$S731/Config!$B$30)))*100)) + Config!$B$29*MAX(0,MIN(100,MIN(1,IF($T731="",0,$T731)/Config!$B$23)*100)))),MIN(100,Config!$B$27*MAX(0,MIN(100,(1-IF($R731="",0,$R731))*100)) + Config!$B$28*MAX(0,MIN(100,(1-MIN(1,IF(Config!$B$30=0,1,$S731/Config!$B$30)))*100)) + Config!$B$29*MAX(0,MIN(100,MIN(1,IF($T731="",0,$T731)/Config!$B$23)*100))))),"")
</f>
        <v/>
      </c>
      <c r="V731" s="40" t="str">
        <f>IF(Bids!$D730="","",Bids!$D730)</f>
        <v/>
      </c>
      <c r="W731" s="40" t="str">
        <f>IF(Bids!$F730="","",Bids!$F730)</f>
        <v/>
      </c>
      <c r="X731" s="40" t="str">
        <f t="shared" si="5"/>
        <v/>
      </c>
      <c r="Y731" s="40" t="str">
        <f>IF($X731="","",IF(Config!$B$17=Config!$B$16,IF($X731&gt;=Config!$B$17,100,0),MAX(0,MIN(100,($X731-Config!$B$16)/(Config!$B$17-Config!$B$16)*100))))</f>
        <v/>
      </c>
      <c r="Z731" s="40">
        <f>IF($M731="Elite",Config!$B$21,0)</f>
        <v>0</v>
      </c>
      <c r="AA731" s="40" t="str">
        <f>IFERROR(IF(OR($W731="",$H731=""),"",IF($W731&gt;$H731,
  MAX(0, 60-(($W731-$H731)*24/Config!$B$19)*60),
  MIN(100, 60+(($H731-$W731)*24/Config!$B$20)*40)
)),"")
</f>
        <v/>
      </c>
      <c r="AB731" s="40" t="str">
        <f>IF($K731="","",IFERROR(VLOOKUP($K731,Grinders!$A$4:$N$998,10,FALSE)/5*100,""))</f>
        <v/>
      </c>
      <c r="AC731" s="40" t="str">
        <f>IF($K731="","",IFERROR(VLOOKUP($K731,Grinders!$A$4:$N$998,11,FALSE)*100,""))</f>
        <v/>
      </c>
      <c r="AD731" s="40" t="str">
        <f>IF($K731="","",IFERROR(VLOOKUP($K731,Grinders!$A$4:$N$998,12,FALSE)*100,""))</f>
        <v/>
      </c>
      <c r="AE731" s="40">
        <f>IFERROR(IFS(
    OR($C731="", $K731=""), 0,
    $F731=0, 0,
    $D731&lt;&gt;"Open", 0,
    COUNTIFS(GrinderServices!$B$4:$B$998, $K731, GrinderServices!$C$4:$C$998, $E731, GrinderServices!$E$4:$E$998, "Y")=0, 0,
    $X731&lt;Config!$B$16, 0,
    Config!$B$18=1, IF($O731&gt;=N731, 0, 1),
    TRUE, 1
), "")
</f>
        <v>0</v>
      </c>
      <c r="AF731" s="40" t="str">
        <f>IFERROR(IF($AE731=0,"",((Config!$B$6*$Y731 + Config!$B$7*$U731 + Config!$B$8*$Z731 + Config!$B$9*$AA731 + Config!$B$10*$AB731 + Config!$B$11*$AC731 - Config!$B$12*$AD731)/Config!$B$13)+$AK731+$AL731),"")</f>
        <v/>
      </c>
      <c r="AG731" s="40" t="str">
        <f t="shared" si="6"/>
        <v/>
      </c>
      <c r="AH731" s="40" t="str">
        <f t="shared" si="7"/>
        <v/>
      </c>
      <c r="AI731" s="40" t="str">
        <f t="shared" si="8"/>
        <v/>
      </c>
      <c r="AJ731" s="40" t="str">
        <f>IF($K731="","",COUNTIF(Assignments!$B$6:$B$1000,$K731))</f>
        <v/>
      </c>
      <c r="AK731" s="40" t="str">
        <f>IF($K731="","",IF(AND($AJ731=0,$O731&lt;$N731),Config!$B$43,0))</f>
        <v/>
      </c>
      <c r="AL731" s="40" t="str">
        <f>IF($K731="","",IF(AND($M731="Elite",$G731&gt;=Config!$B$41,$O731&lt;$N731),Config!$B$42,0))</f>
        <v/>
      </c>
      <c r="AM731" s="22"/>
    </row>
    <row r="732" ht="15.75" customHeight="1">
      <c r="A732" s="40" t="str">
        <f t="shared" si="1"/>
        <v/>
      </c>
      <c r="B732" s="40" t="str">
        <f>IF(Bids!$A731="","",Bids!$A731)</f>
        <v/>
      </c>
      <c r="C732" s="40" t="str">
        <f>IF(Bids!$B731="","",Bids!$B731)</f>
        <v/>
      </c>
      <c r="D732" s="40" t="str">
        <f>IF($C732="","",IFERROR(VLOOKUP($C732,Orders!$A$4:$J$998,9,FALSE),""))</f>
        <v/>
      </c>
      <c r="E732" s="40" t="str">
        <f>IF($C732="","",IFERROR(VLOOKUP($C732,Orders!$A$4:$J$998,3,FALSE),""))</f>
        <v/>
      </c>
      <c r="F732" s="40">
        <f t="shared" si="2"/>
        <v>1</v>
      </c>
      <c r="G732" s="40" t="str">
        <f>IF($C732="","",IFERROR(VLOOKUP($C732,Orders!$A$4:$J$998,4,FALSE),""))</f>
        <v/>
      </c>
      <c r="H732" s="40" t="str">
        <f>IF($C732="","",IFERROR(VLOOKUP($C732,Orders!$A$4:$J$998,5,FALSE),""))</f>
        <v/>
      </c>
      <c r="I732" s="40" t="str">
        <f>IF($C732="","",IFERROR(VLOOKUP($C732,Orders!$A$4:$J$998,6,FALSE),""))</f>
        <v/>
      </c>
      <c r="J732" s="40" t="str">
        <f>IF($C732="","",IFERROR(VLOOKUP($C732,Orders!$A$4:$J$998,7,FALSE),""))</f>
        <v/>
      </c>
      <c r="K732" s="40" t="str">
        <f>IF(Bids!$C731="","",Bids!$C731)</f>
        <v/>
      </c>
      <c r="L732" s="40" t="str">
        <f>IF($K732="","",IFERROR(VLOOKUP($K732,Grinders!$A$4:$N$998,2,FALSE),""))</f>
        <v/>
      </c>
      <c r="M732" s="40" t="str">
        <f>IF($K732="","",IFERROR(VLOOKUP($K732,Grinders!$A$4:$N$998,3,FALSE),""))</f>
        <v/>
      </c>
      <c r="N732" s="40" t="str">
        <f>IF($K732="","",IFERROR(VLOOKUP($K732,Grinders!$A$4:$N$998,4,FALSE),""))</f>
        <v/>
      </c>
      <c r="O732" s="40" t="str">
        <f>IF($K732="","",IFERROR(VLOOKUP($K732,Grinders!$A$4:$N$998,5,FALSE),""))</f>
        <v/>
      </c>
      <c r="P732" s="40" t="str">
        <f>IF($K732="","",IF($C$4="",0,COUNTIFS(Assignments!$B$6:$B$1000,$K732,Assignments!$F$6:$F$1000,$C$4,Assignments!$E$6:$E$1000,"Active")))</f>
        <v/>
      </c>
      <c r="Q732" s="40" t="str">
        <f t="shared" si="3"/>
        <v/>
      </c>
      <c r="R732" s="40" t="str">
        <f t="shared" si="4"/>
        <v/>
      </c>
      <c r="S732" s="40" t="str">
        <f>IF($K732="","",IF($C$4="",0,COUNTIFS(Assignments!$B$6:$B$1000,$K732,Assignments!$F$6:$F$1000,$C$4,Assignments!$D$6:$D$1000,"&gt;="&amp;Config!$B$3-7,Assignments!$D$6:$D$1000,"&lt;="&amp;Config!$B$3)))</f>
        <v/>
      </c>
      <c r="T732" s="40" t="str">
        <f>IF($K732="","",IFERROR(VLOOKUP($K732,Grinders!$A$4:$N$998,8,FALSE),""))</f>
        <v/>
      </c>
      <c r="U732" s="40" t="str">
        <f>IFERROR(IF($K732="","",IF($M732="Elite",MAX(50,MIN(100,Config!$B$27*MAX(0,MIN(100,(1-IF($R732="",0,$R732))*100)) + Config!$B$28*MAX(0,MIN(100,(1-MIN(1,IF(Config!$B$30=0,1,$S732/Config!$B$30)))*100)) + Config!$B$29*MAX(0,MIN(100,MIN(1,IF($T732="",0,$T732)/Config!$B$23)*100)))),MIN(100,Config!$B$27*MAX(0,MIN(100,(1-IF($R732="",0,$R732))*100)) + Config!$B$28*MAX(0,MIN(100,(1-MIN(1,IF(Config!$B$30=0,1,$S732/Config!$B$30)))*100)) + Config!$B$29*MAX(0,MIN(100,MIN(1,IF($T732="",0,$T732)/Config!$B$23)*100))))),"")
</f>
        <v/>
      </c>
      <c r="V732" s="40" t="str">
        <f>IF(Bids!$D731="","",Bids!$D731)</f>
        <v/>
      </c>
      <c r="W732" s="40" t="str">
        <f>IF(Bids!$F731="","",Bids!$F731)</f>
        <v/>
      </c>
      <c r="X732" s="40" t="str">
        <f t="shared" si="5"/>
        <v/>
      </c>
      <c r="Y732" s="40" t="str">
        <f>IF($X732="","",IF(Config!$B$17=Config!$B$16,IF($X732&gt;=Config!$B$17,100,0),MAX(0,MIN(100,($X732-Config!$B$16)/(Config!$B$17-Config!$B$16)*100))))</f>
        <v/>
      </c>
      <c r="Z732" s="40">
        <f>IF($M732="Elite",Config!$B$21,0)</f>
        <v>0</v>
      </c>
      <c r="AA732" s="40" t="str">
        <f>IFERROR(IF(OR($W732="",$H732=""),"",IF($W732&gt;$H732,
  MAX(0, 60-(($W732-$H732)*24/Config!$B$19)*60),
  MIN(100, 60+(($H732-$W732)*24/Config!$B$20)*40)
)),"")
</f>
        <v/>
      </c>
      <c r="AB732" s="40" t="str">
        <f>IF($K732="","",IFERROR(VLOOKUP($K732,Grinders!$A$4:$N$998,10,FALSE)/5*100,""))</f>
        <v/>
      </c>
      <c r="AC732" s="40" t="str">
        <f>IF($K732="","",IFERROR(VLOOKUP($K732,Grinders!$A$4:$N$998,11,FALSE)*100,""))</f>
        <v/>
      </c>
      <c r="AD732" s="40" t="str">
        <f>IF($K732="","",IFERROR(VLOOKUP($K732,Grinders!$A$4:$N$998,12,FALSE)*100,""))</f>
        <v/>
      </c>
      <c r="AE732" s="40">
        <f>IFERROR(IFS(
    OR($C732="", $K732=""), 0,
    $F732=0, 0,
    $D732&lt;&gt;"Open", 0,
    COUNTIFS(GrinderServices!$B$4:$B$998, $K732, GrinderServices!$C$4:$C$998, $E732, GrinderServices!$E$4:$E$998, "Y")=0, 0,
    $X732&lt;Config!$B$16, 0,
    Config!$B$18=1, IF($O732&gt;=N732, 0, 1),
    TRUE, 1
), "")
</f>
        <v>0</v>
      </c>
      <c r="AF732" s="40" t="str">
        <f>IFERROR(IF($AE732=0,"",((Config!$B$6*$Y732 + Config!$B$7*$U732 + Config!$B$8*$Z732 + Config!$B$9*$AA732 + Config!$B$10*$AB732 + Config!$B$11*$AC732 - Config!$B$12*$AD732)/Config!$B$13)+$AK732+$AL732),"")</f>
        <v/>
      </c>
      <c r="AG732" s="40" t="str">
        <f t="shared" si="6"/>
        <v/>
      </c>
      <c r="AH732" s="40" t="str">
        <f t="shared" si="7"/>
        <v/>
      </c>
      <c r="AI732" s="40" t="str">
        <f t="shared" si="8"/>
        <v/>
      </c>
      <c r="AJ732" s="40" t="str">
        <f>IF($K732="","",COUNTIF(Assignments!$B$6:$B$1000,$K732))</f>
        <v/>
      </c>
      <c r="AK732" s="40" t="str">
        <f>IF($K732="","",IF(AND($AJ732=0,$O732&lt;$N732),Config!$B$43,0))</f>
        <v/>
      </c>
      <c r="AL732" s="40" t="str">
        <f>IF($K732="","",IF(AND($M732="Elite",$G732&gt;=Config!$B$41,$O732&lt;$N732),Config!$B$42,0))</f>
        <v/>
      </c>
      <c r="AM732" s="22"/>
    </row>
    <row r="733" ht="15.75" customHeight="1">
      <c r="A733" s="40" t="str">
        <f t="shared" si="1"/>
        <v/>
      </c>
      <c r="B733" s="40" t="str">
        <f>IF(Bids!$A732="","",Bids!$A732)</f>
        <v/>
      </c>
      <c r="C733" s="40" t="str">
        <f>IF(Bids!$B732="","",Bids!$B732)</f>
        <v/>
      </c>
      <c r="D733" s="40" t="str">
        <f>IF($C733="","",IFERROR(VLOOKUP($C733,Orders!$A$4:$J$998,9,FALSE),""))</f>
        <v/>
      </c>
      <c r="E733" s="40" t="str">
        <f>IF($C733="","",IFERROR(VLOOKUP($C733,Orders!$A$4:$J$998,3,FALSE),""))</f>
        <v/>
      </c>
      <c r="F733" s="40">
        <f t="shared" si="2"/>
        <v>1</v>
      </c>
      <c r="G733" s="40" t="str">
        <f>IF($C733="","",IFERROR(VLOOKUP($C733,Orders!$A$4:$J$998,4,FALSE),""))</f>
        <v/>
      </c>
      <c r="H733" s="40" t="str">
        <f>IF($C733="","",IFERROR(VLOOKUP($C733,Orders!$A$4:$J$998,5,FALSE),""))</f>
        <v/>
      </c>
      <c r="I733" s="40" t="str">
        <f>IF($C733="","",IFERROR(VLOOKUP($C733,Orders!$A$4:$J$998,6,FALSE),""))</f>
        <v/>
      </c>
      <c r="J733" s="40" t="str">
        <f>IF($C733="","",IFERROR(VLOOKUP($C733,Orders!$A$4:$J$998,7,FALSE),""))</f>
        <v/>
      </c>
      <c r="K733" s="40" t="str">
        <f>IF(Bids!$C732="","",Bids!$C732)</f>
        <v/>
      </c>
      <c r="L733" s="40" t="str">
        <f>IF($K733="","",IFERROR(VLOOKUP($K733,Grinders!$A$4:$N$998,2,FALSE),""))</f>
        <v/>
      </c>
      <c r="M733" s="40" t="str">
        <f>IF($K733="","",IFERROR(VLOOKUP($K733,Grinders!$A$4:$N$998,3,FALSE),""))</f>
        <v/>
      </c>
      <c r="N733" s="40" t="str">
        <f>IF($K733="","",IFERROR(VLOOKUP($K733,Grinders!$A$4:$N$998,4,FALSE),""))</f>
        <v/>
      </c>
      <c r="O733" s="40" t="str">
        <f>IF($K733="","",IFERROR(VLOOKUP($K733,Grinders!$A$4:$N$998,5,FALSE),""))</f>
        <v/>
      </c>
      <c r="P733" s="40" t="str">
        <f>IF($K733="","",IF($C$4="",0,COUNTIFS(Assignments!$B$6:$B$1000,$K733,Assignments!$F$6:$F$1000,$C$4,Assignments!$E$6:$E$1000,"Active")))</f>
        <v/>
      </c>
      <c r="Q733" s="40" t="str">
        <f t="shared" si="3"/>
        <v/>
      </c>
      <c r="R733" s="40" t="str">
        <f t="shared" si="4"/>
        <v/>
      </c>
      <c r="S733" s="40" t="str">
        <f>IF($K733="","",IF($C$4="",0,COUNTIFS(Assignments!$B$6:$B$1000,$K733,Assignments!$F$6:$F$1000,$C$4,Assignments!$D$6:$D$1000,"&gt;="&amp;Config!$B$3-7,Assignments!$D$6:$D$1000,"&lt;="&amp;Config!$B$3)))</f>
        <v/>
      </c>
      <c r="T733" s="40" t="str">
        <f>IF($K733="","",IFERROR(VLOOKUP($K733,Grinders!$A$4:$N$998,8,FALSE),""))</f>
        <v/>
      </c>
      <c r="U733" s="40" t="str">
        <f>IFERROR(IF($K733="","",IF($M733="Elite",MAX(50,MIN(100,Config!$B$27*MAX(0,MIN(100,(1-IF($R733="",0,$R733))*100)) + Config!$B$28*MAX(0,MIN(100,(1-MIN(1,IF(Config!$B$30=0,1,$S733/Config!$B$30)))*100)) + Config!$B$29*MAX(0,MIN(100,MIN(1,IF($T733="",0,$T733)/Config!$B$23)*100)))),MIN(100,Config!$B$27*MAX(0,MIN(100,(1-IF($R733="",0,$R733))*100)) + Config!$B$28*MAX(0,MIN(100,(1-MIN(1,IF(Config!$B$30=0,1,$S733/Config!$B$30)))*100)) + Config!$B$29*MAX(0,MIN(100,MIN(1,IF($T733="",0,$T733)/Config!$B$23)*100))))),"")
</f>
        <v/>
      </c>
      <c r="V733" s="40" t="str">
        <f>IF(Bids!$D732="","",Bids!$D732)</f>
        <v/>
      </c>
      <c r="W733" s="40" t="str">
        <f>IF(Bids!$F732="","",Bids!$F732)</f>
        <v/>
      </c>
      <c r="X733" s="40" t="str">
        <f t="shared" si="5"/>
        <v/>
      </c>
      <c r="Y733" s="40" t="str">
        <f>IF($X733="","",IF(Config!$B$17=Config!$B$16,IF($X733&gt;=Config!$B$17,100,0),MAX(0,MIN(100,($X733-Config!$B$16)/(Config!$B$17-Config!$B$16)*100))))</f>
        <v/>
      </c>
      <c r="Z733" s="40">
        <f>IF($M733="Elite",Config!$B$21,0)</f>
        <v>0</v>
      </c>
      <c r="AA733" s="40" t="str">
        <f>IFERROR(IF(OR($W733="",$H733=""),"",IF($W733&gt;$H733,
  MAX(0, 60-(($W733-$H733)*24/Config!$B$19)*60),
  MIN(100, 60+(($H733-$W733)*24/Config!$B$20)*40)
)),"")
</f>
        <v/>
      </c>
      <c r="AB733" s="40" t="str">
        <f>IF($K733="","",IFERROR(VLOOKUP($K733,Grinders!$A$4:$N$998,10,FALSE)/5*100,""))</f>
        <v/>
      </c>
      <c r="AC733" s="40" t="str">
        <f>IF($K733="","",IFERROR(VLOOKUP($K733,Grinders!$A$4:$N$998,11,FALSE)*100,""))</f>
        <v/>
      </c>
      <c r="AD733" s="40" t="str">
        <f>IF($K733="","",IFERROR(VLOOKUP($K733,Grinders!$A$4:$N$998,12,FALSE)*100,""))</f>
        <v/>
      </c>
      <c r="AE733" s="40">
        <f>IFERROR(IFS(
    OR($C733="", $K733=""), 0,
    $F733=0, 0,
    $D733&lt;&gt;"Open", 0,
    COUNTIFS(GrinderServices!$B$4:$B$998, $K733, GrinderServices!$C$4:$C$998, $E733, GrinderServices!$E$4:$E$998, "Y")=0, 0,
    $X733&lt;Config!$B$16, 0,
    Config!$B$18=1, IF($O733&gt;=N733, 0, 1),
    TRUE, 1
), "")
</f>
        <v>0</v>
      </c>
      <c r="AF733" s="40" t="str">
        <f>IFERROR(IF($AE733=0,"",((Config!$B$6*$Y733 + Config!$B$7*$U733 + Config!$B$8*$Z733 + Config!$B$9*$AA733 + Config!$B$10*$AB733 + Config!$B$11*$AC733 - Config!$B$12*$AD733)/Config!$B$13)+$AK733+$AL733),"")</f>
        <v/>
      </c>
      <c r="AG733" s="40" t="str">
        <f t="shared" si="6"/>
        <v/>
      </c>
      <c r="AH733" s="40" t="str">
        <f t="shared" si="7"/>
        <v/>
      </c>
      <c r="AI733" s="40" t="str">
        <f t="shared" si="8"/>
        <v/>
      </c>
      <c r="AJ733" s="40" t="str">
        <f>IF($K733="","",COUNTIF(Assignments!$B$6:$B$1000,$K733))</f>
        <v/>
      </c>
      <c r="AK733" s="40" t="str">
        <f>IF($K733="","",IF(AND($AJ733=0,$O733&lt;$N733),Config!$B$43,0))</f>
        <v/>
      </c>
      <c r="AL733" s="40" t="str">
        <f>IF($K733="","",IF(AND($M733="Elite",$G733&gt;=Config!$B$41,$O733&lt;$N733),Config!$B$42,0))</f>
        <v/>
      </c>
      <c r="AM733" s="22"/>
    </row>
    <row r="734" ht="15.75" customHeight="1">
      <c r="A734" s="40" t="str">
        <f t="shared" si="1"/>
        <v/>
      </c>
      <c r="B734" s="40" t="str">
        <f>IF(Bids!$A733="","",Bids!$A733)</f>
        <v/>
      </c>
      <c r="C734" s="40" t="str">
        <f>IF(Bids!$B733="","",Bids!$B733)</f>
        <v/>
      </c>
      <c r="D734" s="40" t="str">
        <f>IF($C734="","",IFERROR(VLOOKUP($C734,Orders!$A$4:$J$998,9,FALSE),""))</f>
        <v/>
      </c>
      <c r="E734" s="40" t="str">
        <f>IF($C734="","",IFERROR(VLOOKUP($C734,Orders!$A$4:$J$998,3,FALSE),""))</f>
        <v/>
      </c>
      <c r="F734" s="40">
        <f t="shared" si="2"/>
        <v>1</v>
      </c>
      <c r="G734" s="40" t="str">
        <f>IF($C734="","",IFERROR(VLOOKUP($C734,Orders!$A$4:$J$998,4,FALSE),""))</f>
        <v/>
      </c>
      <c r="H734" s="40" t="str">
        <f>IF($C734="","",IFERROR(VLOOKUP($C734,Orders!$A$4:$J$998,5,FALSE),""))</f>
        <v/>
      </c>
      <c r="I734" s="40" t="str">
        <f>IF($C734="","",IFERROR(VLOOKUP($C734,Orders!$A$4:$J$998,6,FALSE),""))</f>
        <v/>
      </c>
      <c r="J734" s="40" t="str">
        <f>IF($C734="","",IFERROR(VLOOKUP($C734,Orders!$A$4:$J$998,7,FALSE),""))</f>
        <v/>
      </c>
      <c r="K734" s="40" t="str">
        <f>IF(Bids!$C733="","",Bids!$C733)</f>
        <v/>
      </c>
      <c r="L734" s="40" t="str">
        <f>IF($K734="","",IFERROR(VLOOKUP($K734,Grinders!$A$4:$N$998,2,FALSE),""))</f>
        <v/>
      </c>
      <c r="M734" s="40" t="str">
        <f>IF($K734="","",IFERROR(VLOOKUP($K734,Grinders!$A$4:$N$998,3,FALSE),""))</f>
        <v/>
      </c>
      <c r="N734" s="40" t="str">
        <f>IF($K734="","",IFERROR(VLOOKUP($K734,Grinders!$A$4:$N$998,4,FALSE),""))</f>
        <v/>
      </c>
      <c r="O734" s="40" t="str">
        <f>IF($K734="","",IFERROR(VLOOKUP($K734,Grinders!$A$4:$N$998,5,FALSE),""))</f>
        <v/>
      </c>
      <c r="P734" s="40" t="str">
        <f>IF($K734="","",IF($C$4="",0,COUNTIFS(Assignments!$B$6:$B$1000,$K734,Assignments!$F$6:$F$1000,$C$4,Assignments!$E$6:$E$1000,"Active")))</f>
        <v/>
      </c>
      <c r="Q734" s="40" t="str">
        <f t="shared" si="3"/>
        <v/>
      </c>
      <c r="R734" s="40" t="str">
        <f t="shared" si="4"/>
        <v/>
      </c>
      <c r="S734" s="40" t="str">
        <f>IF($K734="","",IF($C$4="",0,COUNTIFS(Assignments!$B$6:$B$1000,$K734,Assignments!$F$6:$F$1000,$C$4,Assignments!$D$6:$D$1000,"&gt;="&amp;Config!$B$3-7,Assignments!$D$6:$D$1000,"&lt;="&amp;Config!$B$3)))</f>
        <v/>
      </c>
      <c r="T734" s="40" t="str">
        <f>IF($K734="","",IFERROR(VLOOKUP($K734,Grinders!$A$4:$N$998,8,FALSE),""))</f>
        <v/>
      </c>
      <c r="U734" s="40" t="str">
        <f>IFERROR(IF($K734="","",IF($M734="Elite",MAX(50,MIN(100,Config!$B$27*MAX(0,MIN(100,(1-IF($R734="",0,$R734))*100)) + Config!$B$28*MAX(0,MIN(100,(1-MIN(1,IF(Config!$B$30=0,1,$S734/Config!$B$30)))*100)) + Config!$B$29*MAX(0,MIN(100,MIN(1,IF($T734="",0,$T734)/Config!$B$23)*100)))),MIN(100,Config!$B$27*MAX(0,MIN(100,(1-IF($R734="",0,$R734))*100)) + Config!$B$28*MAX(0,MIN(100,(1-MIN(1,IF(Config!$B$30=0,1,$S734/Config!$B$30)))*100)) + Config!$B$29*MAX(0,MIN(100,MIN(1,IF($T734="",0,$T734)/Config!$B$23)*100))))),"")
</f>
        <v/>
      </c>
      <c r="V734" s="40" t="str">
        <f>IF(Bids!$D733="","",Bids!$D733)</f>
        <v/>
      </c>
      <c r="W734" s="40" t="str">
        <f>IF(Bids!$F733="","",Bids!$F733)</f>
        <v/>
      </c>
      <c r="X734" s="40" t="str">
        <f t="shared" si="5"/>
        <v/>
      </c>
      <c r="Y734" s="40" t="str">
        <f>IF($X734="","",IF(Config!$B$17=Config!$B$16,IF($X734&gt;=Config!$B$17,100,0),MAX(0,MIN(100,($X734-Config!$B$16)/(Config!$B$17-Config!$B$16)*100))))</f>
        <v/>
      </c>
      <c r="Z734" s="40">
        <f>IF($M734="Elite",Config!$B$21,0)</f>
        <v>0</v>
      </c>
      <c r="AA734" s="40" t="str">
        <f>IFERROR(IF(OR($W734="",$H734=""),"",IF($W734&gt;$H734,
  MAX(0, 60-(($W734-$H734)*24/Config!$B$19)*60),
  MIN(100, 60+(($H734-$W734)*24/Config!$B$20)*40)
)),"")
</f>
        <v/>
      </c>
      <c r="AB734" s="40" t="str">
        <f>IF($K734="","",IFERROR(VLOOKUP($K734,Grinders!$A$4:$N$998,10,FALSE)/5*100,""))</f>
        <v/>
      </c>
      <c r="AC734" s="40" t="str">
        <f>IF($K734="","",IFERROR(VLOOKUP($K734,Grinders!$A$4:$N$998,11,FALSE)*100,""))</f>
        <v/>
      </c>
      <c r="AD734" s="40" t="str">
        <f>IF($K734="","",IFERROR(VLOOKUP($K734,Grinders!$A$4:$N$998,12,FALSE)*100,""))</f>
        <v/>
      </c>
      <c r="AE734" s="40">
        <f>IFERROR(IFS(
    OR($C734="", $K734=""), 0,
    $F734=0, 0,
    $D734&lt;&gt;"Open", 0,
    COUNTIFS(GrinderServices!$B$4:$B$998, $K734, GrinderServices!$C$4:$C$998, $E734, GrinderServices!$E$4:$E$998, "Y")=0, 0,
    $X734&lt;Config!$B$16, 0,
    Config!$B$18=1, IF($O734&gt;=N734, 0, 1),
    TRUE, 1
), "")
</f>
        <v>0</v>
      </c>
      <c r="AF734" s="40" t="str">
        <f>IFERROR(IF($AE734=0,"",((Config!$B$6*$Y734 + Config!$B$7*$U734 + Config!$B$8*$Z734 + Config!$B$9*$AA734 + Config!$B$10*$AB734 + Config!$B$11*$AC734 - Config!$B$12*$AD734)/Config!$B$13)+$AK734+$AL734),"")</f>
        <v/>
      </c>
      <c r="AG734" s="40" t="str">
        <f t="shared" si="6"/>
        <v/>
      </c>
      <c r="AH734" s="40" t="str">
        <f t="shared" si="7"/>
        <v/>
      </c>
      <c r="AI734" s="40" t="str">
        <f t="shared" si="8"/>
        <v/>
      </c>
      <c r="AJ734" s="40" t="str">
        <f>IF($K734="","",COUNTIF(Assignments!$B$6:$B$1000,$K734))</f>
        <v/>
      </c>
      <c r="AK734" s="40" t="str">
        <f>IF($K734="","",IF(AND($AJ734=0,$O734&lt;$N734),Config!$B$43,0))</f>
        <v/>
      </c>
      <c r="AL734" s="40" t="str">
        <f>IF($K734="","",IF(AND($M734="Elite",$G734&gt;=Config!$B$41,$O734&lt;$N734),Config!$B$42,0))</f>
        <v/>
      </c>
      <c r="AM734" s="22"/>
    </row>
    <row r="735" ht="15.75" customHeight="1">
      <c r="A735" s="40" t="str">
        <f t="shared" si="1"/>
        <v/>
      </c>
      <c r="B735" s="40" t="str">
        <f>IF(Bids!$A734="","",Bids!$A734)</f>
        <v/>
      </c>
      <c r="C735" s="40" t="str">
        <f>IF(Bids!$B734="","",Bids!$B734)</f>
        <v/>
      </c>
      <c r="D735" s="40" t="str">
        <f>IF($C735="","",IFERROR(VLOOKUP($C735,Orders!$A$4:$J$998,9,FALSE),""))</f>
        <v/>
      </c>
      <c r="E735" s="40" t="str">
        <f>IF($C735="","",IFERROR(VLOOKUP($C735,Orders!$A$4:$J$998,3,FALSE),""))</f>
        <v/>
      </c>
      <c r="F735" s="40">
        <f t="shared" si="2"/>
        <v>1</v>
      </c>
      <c r="G735" s="40" t="str">
        <f>IF($C735="","",IFERROR(VLOOKUP($C735,Orders!$A$4:$J$998,4,FALSE),""))</f>
        <v/>
      </c>
      <c r="H735" s="40" t="str">
        <f>IF($C735="","",IFERROR(VLOOKUP($C735,Orders!$A$4:$J$998,5,FALSE),""))</f>
        <v/>
      </c>
      <c r="I735" s="40" t="str">
        <f>IF($C735="","",IFERROR(VLOOKUP($C735,Orders!$A$4:$J$998,6,FALSE),""))</f>
        <v/>
      </c>
      <c r="J735" s="40" t="str">
        <f>IF($C735="","",IFERROR(VLOOKUP($C735,Orders!$A$4:$J$998,7,FALSE),""))</f>
        <v/>
      </c>
      <c r="K735" s="40" t="str">
        <f>IF(Bids!$C734="","",Bids!$C734)</f>
        <v/>
      </c>
      <c r="L735" s="40" t="str">
        <f>IF($K735="","",IFERROR(VLOOKUP($K735,Grinders!$A$4:$N$998,2,FALSE),""))</f>
        <v/>
      </c>
      <c r="M735" s="40" t="str">
        <f>IF($K735="","",IFERROR(VLOOKUP($K735,Grinders!$A$4:$N$998,3,FALSE),""))</f>
        <v/>
      </c>
      <c r="N735" s="40" t="str">
        <f>IF($K735="","",IFERROR(VLOOKUP($K735,Grinders!$A$4:$N$998,4,FALSE),""))</f>
        <v/>
      </c>
      <c r="O735" s="40" t="str">
        <f>IF($K735="","",IFERROR(VLOOKUP($K735,Grinders!$A$4:$N$998,5,FALSE),""))</f>
        <v/>
      </c>
      <c r="P735" s="40" t="str">
        <f>IF($K735="","",IF($C$4="",0,COUNTIFS(Assignments!$B$6:$B$1000,$K735,Assignments!$F$6:$F$1000,$C$4,Assignments!$E$6:$E$1000,"Active")))</f>
        <v/>
      </c>
      <c r="Q735" s="40" t="str">
        <f t="shared" si="3"/>
        <v/>
      </c>
      <c r="R735" s="40" t="str">
        <f t="shared" si="4"/>
        <v/>
      </c>
      <c r="S735" s="40" t="str">
        <f>IF($K735="","",IF($C$4="",0,COUNTIFS(Assignments!$B$6:$B$1000,$K735,Assignments!$F$6:$F$1000,$C$4,Assignments!$D$6:$D$1000,"&gt;="&amp;Config!$B$3-7,Assignments!$D$6:$D$1000,"&lt;="&amp;Config!$B$3)))</f>
        <v/>
      </c>
      <c r="T735" s="40" t="str">
        <f>IF($K735="","",IFERROR(VLOOKUP($K735,Grinders!$A$4:$N$998,8,FALSE),""))</f>
        <v/>
      </c>
      <c r="U735" s="40" t="str">
        <f>IFERROR(IF($K735="","",IF($M735="Elite",MAX(50,MIN(100,Config!$B$27*MAX(0,MIN(100,(1-IF($R735="",0,$R735))*100)) + Config!$B$28*MAX(0,MIN(100,(1-MIN(1,IF(Config!$B$30=0,1,$S735/Config!$B$30)))*100)) + Config!$B$29*MAX(0,MIN(100,MIN(1,IF($T735="",0,$T735)/Config!$B$23)*100)))),MIN(100,Config!$B$27*MAX(0,MIN(100,(1-IF($R735="",0,$R735))*100)) + Config!$B$28*MAX(0,MIN(100,(1-MIN(1,IF(Config!$B$30=0,1,$S735/Config!$B$30)))*100)) + Config!$B$29*MAX(0,MIN(100,MIN(1,IF($T735="",0,$T735)/Config!$B$23)*100))))),"")
</f>
        <v/>
      </c>
      <c r="V735" s="40" t="str">
        <f>IF(Bids!$D734="","",Bids!$D734)</f>
        <v/>
      </c>
      <c r="W735" s="40" t="str">
        <f>IF(Bids!$F734="","",Bids!$F734)</f>
        <v/>
      </c>
      <c r="X735" s="40" t="str">
        <f t="shared" si="5"/>
        <v/>
      </c>
      <c r="Y735" s="40" t="str">
        <f>IF($X735="","",IF(Config!$B$17=Config!$B$16,IF($X735&gt;=Config!$B$17,100,0),MAX(0,MIN(100,($X735-Config!$B$16)/(Config!$B$17-Config!$B$16)*100))))</f>
        <v/>
      </c>
      <c r="Z735" s="40">
        <f>IF($M735="Elite",Config!$B$21,0)</f>
        <v>0</v>
      </c>
      <c r="AA735" s="40" t="str">
        <f>IFERROR(IF(OR($W735="",$H735=""),"",IF($W735&gt;$H735,
  MAX(0, 60-(($W735-$H735)*24/Config!$B$19)*60),
  MIN(100, 60+(($H735-$W735)*24/Config!$B$20)*40)
)),"")
</f>
        <v/>
      </c>
      <c r="AB735" s="40" t="str">
        <f>IF($K735="","",IFERROR(VLOOKUP($K735,Grinders!$A$4:$N$998,10,FALSE)/5*100,""))</f>
        <v/>
      </c>
      <c r="AC735" s="40" t="str">
        <f>IF($K735="","",IFERROR(VLOOKUP($K735,Grinders!$A$4:$N$998,11,FALSE)*100,""))</f>
        <v/>
      </c>
      <c r="AD735" s="40" t="str">
        <f>IF($K735="","",IFERROR(VLOOKUP($K735,Grinders!$A$4:$N$998,12,FALSE)*100,""))</f>
        <v/>
      </c>
      <c r="AE735" s="40">
        <f>IFERROR(IFS(
    OR($C735="", $K735=""), 0,
    $F735=0, 0,
    $D735&lt;&gt;"Open", 0,
    COUNTIFS(GrinderServices!$B$4:$B$998, $K735, GrinderServices!$C$4:$C$998, $E735, GrinderServices!$E$4:$E$998, "Y")=0, 0,
    $X735&lt;Config!$B$16, 0,
    Config!$B$18=1, IF($O735&gt;=N735, 0, 1),
    TRUE, 1
), "")
</f>
        <v>0</v>
      </c>
      <c r="AF735" s="40" t="str">
        <f>IFERROR(IF($AE735=0,"",((Config!$B$6*$Y735 + Config!$B$7*$U735 + Config!$B$8*$Z735 + Config!$B$9*$AA735 + Config!$B$10*$AB735 + Config!$B$11*$AC735 - Config!$B$12*$AD735)/Config!$B$13)+$AK735+$AL735),"")</f>
        <v/>
      </c>
      <c r="AG735" s="40" t="str">
        <f t="shared" si="6"/>
        <v/>
      </c>
      <c r="AH735" s="40" t="str">
        <f t="shared" si="7"/>
        <v/>
      </c>
      <c r="AI735" s="40" t="str">
        <f t="shared" si="8"/>
        <v/>
      </c>
      <c r="AJ735" s="40" t="str">
        <f>IF($K735="","",COUNTIF(Assignments!$B$6:$B$1000,$K735))</f>
        <v/>
      </c>
      <c r="AK735" s="40" t="str">
        <f>IF($K735="","",IF(AND($AJ735=0,$O735&lt;$N735),Config!$B$43,0))</f>
        <v/>
      </c>
      <c r="AL735" s="40" t="str">
        <f>IF($K735="","",IF(AND($M735="Elite",$G735&gt;=Config!$B$41,$O735&lt;$N735),Config!$B$42,0))</f>
        <v/>
      </c>
      <c r="AM735" s="22"/>
    </row>
    <row r="736" ht="15.75" customHeight="1">
      <c r="A736" s="40" t="str">
        <f t="shared" si="1"/>
        <v/>
      </c>
      <c r="B736" s="40" t="str">
        <f>IF(Bids!$A735="","",Bids!$A735)</f>
        <v/>
      </c>
      <c r="C736" s="40" t="str">
        <f>IF(Bids!$B735="","",Bids!$B735)</f>
        <v/>
      </c>
      <c r="D736" s="40" t="str">
        <f>IF($C736="","",IFERROR(VLOOKUP($C736,Orders!$A$4:$J$998,9,FALSE),""))</f>
        <v/>
      </c>
      <c r="E736" s="40" t="str">
        <f>IF($C736="","",IFERROR(VLOOKUP($C736,Orders!$A$4:$J$998,3,FALSE),""))</f>
        <v/>
      </c>
      <c r="F736" s="40">
        <f t="shared" si="2"/>
        <v>1</v>
      </c>
      <c r="G736" s="40" t="str">
        <f>IF($C736="","",IFERROR(VLOOKUP($C736,Orders!$A$4:$J$998,4,FALSE),""))</f>
        <v/>
      </c>
      <c r="H736" s="40" t="str">
        <f>IF($C736="","",IFERROR(VLOOKUP($C736,Orders!$A$4:$J$998,5,FALSE),""))</f>
        <v/>
      </c>
      <c r="I736" s="40" t="str">
        <f>IF($C736="","",IFERROR(VLOOKUP($C736,Orders!$A$4:$J$998,6,FALSE),""))</f>
        <v/>
      </c>
      <c r="J736" s="40" t="str">
        <f>IF($C736="","",IFERROR(VLOOKUP($C736,Orders!$A$4:$J$998,7,FALSE),""))</f>
        <v/>
      </c>
      <c r="K736" s="40" t="str">
        <f>IF(Bids!$C735="","",Bids!$C735)</f>
        <v/>
      </c>
      <c r="L736" s="40" t="str">
        <f>IF($K736="","",IFERROR(VLOOKUP($K736,Grinders!$A$4:$N$998,2,FALSE),""))</f>
        <v/>
      </c>
      <c r="M736" s="40" t="str">
        <f>IF($K736="","",IFERROR(VLOOKUP($K736,Grinders!$A$4:$N$998,3,FALSE),""))</f>
        <v/>
      </c>
      <c r="N736" s="40" t="str">
        <f>IF($K736="","",IFERROR(VLOOKUP($K736,Grinders!$A$4:$N$998,4,FALSE),""))</f>
        <v/>
      </c>
      <c r="O736" s="40" t="str">
        <f>IF($K736="","",IFERROR(VLOOKUP($K736,Grinders!$A$4:$N$998,5,FALSE),""))</f>
        <v/>
      </c>
      <c r="P736" s="40" t="str">
        <f>IF($K736="","",IF($C$4="",0,COUNTIFS(Assignments!$B$6:$B$1000,$K736,Assignments!$F$6:$F$1000,$C$4,Assignments!$E$6:$E$1000,"Active")))</f>
        <v/>
      </c>
      <c r="Q736" s="40" t="str">
        <f t="shared" si="3"/>
        <v/>
      </c>
      <c r="R736" s="40" t="str">
        <f t="shared" si="4"/>
        <v/>
      </c>
      <c r="S736" s="40" t="str">
        <f>IF($K736="","",IF($C$4="",0,COUNTIFS(Assignments!$B$6:$B$1000,$K736,Assignments!$F$6:$F$1000,$C$4,Assignments!$D$6:$D$1000,"&gt;="&amp;Config!$B$3-7,Assignments!$D$6:$D$1000,"&lt;="&amp;Config!$B$3)))</f>
        <v/>
      </c>
      <c r="T736" s="40" t="str">
        <f>IF($K736="","",IFERROR(VLOOKUP($K736,Grinders!$A$4:$N$998,8,FALSE),""))</f>
        <v/>
      </c>
      <c r="U736" s="40" t="str">
        <f>IFERROR(IF($K736="","",IF($M736="Elite",MAX(50,MIN(100,Config!$B$27*MAX(0,MIN(100,(1-IF($R736="",0,$R736))*100)) + Config!$B$28*MAX(0,MIN(100,(1-MIN(1,IF(Config!$B$30=0,1,$S736/Config!$B$30)))*100)) + Config!$B$29*MAX(0,MIN(100,MIN(1,IF($T736="",0,$T736)/Config!$B$23)*100)))),MIN(100,Config!$B$27*MAX(0,MIN(100,(1-IF($R736="",0,$R736))*100)) + Config!$B$28*MAX(0,MIN(100,(1-MIN(1,IF(Config!$B$30=0,1,$S736/Config!$B$30)))*100)) + Config!$B$29*MAX(0,MIN(100,MIN(1,IF($T736="",0,$T736)/Config!$B$23)*100))))),"")
</f>
        <v/>
      </c>
      <c r="V736" s="40" t="str">
        <f>IF(Bids!$D735="","",Bids!$D735)</f>
        <v/>
      </c>
      <c r="W736" s="40" t="str">
        <f>IF(Bids!$F735="","",Bids!$F735)</f>
        <v/>
      </c>
      <c r="X736" s="40" t="str">
        <f t="shared" si="5"/>
        <v/>
      </c>
      <c r="Y736" s="40" t="str">
        <f>IF($X736="","",IF(Config!$B$17=Config!$B$16,IF($X736&gt;=Config!$B$17,100,0),MAX(0,MIN(100,($X736-Config!$B$16)/(Config!$B$17-Config!$B$16)*100))))</f>
        <v/>
      </c>
      <c r="Z736" s="40">
        <f>IF($M736="Elite",Config!$B$21,0)</f>
        <v>0</v>
      </c>
      <c r="AA736" s="40" t="str">
        <f>IFERROR(IF(OR($W736="",$H736=""),"",IF($W736&gt;$H736,
  MAX(0, 60-(($W736-$H736)*24/Config!$B$19)*60),
  MIN(100, 60+(($H736-$W736)*24/Config!$B$20)*40)
)),"")
</f>
        <v/>
      </c>
      <c r="AB736" s="40" t="str">
        <f>IF($K736="","",IFERROR(VLOOKUP($K736,Grinders!$A$4:$N$998,10,FALSE)/5*100,""))</f>
        <v/>
      </c>
      <c r="AC736" s="40" t="str">
        <f>IF($K736="","",IFERROR(VLOOKUP($K736,Grinders!$A$4:$N$998,11,FALSE)*100,""))</f>
        <v/>
      </c>
      <c r="AD736" s="40" t="str">
        <f>IF($K736="","",IFERROR(VLOOKUP($K736,Grinders!$A$4:$N$998,12,FALSE)*100,""))</f>
        <v/>
      </c>
      <c r="AE736" s="40">
        <f>IFERROR(IFS(
    OR($C736="", $K736=""), 0,
    $F736=0, 0,
    $D736&lt;&gt;"Open", 0,
    COUNTIFS(GrinderServices!$B$4:$B$998, $K736, GrinderServices!$C$4:$C$998, $E736, GrinderServices!$E$4:$E$998, "Y")=0, 0,
    $X736&lt;Config!$B$16, 0,
    Config!$B$18=1, IF($O736&gt;=N736, 0, 1),
    TRUE, 1
), "")
</f>
        <v>0</v>
      </c>
      <c r="AF736" s="40" t="str">
        <f>IFERROR(IF($AE736=0,"",((Config!$B$6*$Y736 + Config!$B$7*$U736 + Config!$B$8*$Z736 + Config!$B$9*$AA736 + Config!$B$10*$AB736 + Config!$B$11*$AC736 - Config!$B$12*$AD736)/Config!$B$13)+$AK736+$AL736),"")</f>
        <v/>
      </c>
      <c r="AG736" s="40" t="str">
        <f t="shared" si="6"/>
        <v/>
      </c>
      <c r="AH736" s="40" t="str">
        <f t="shared" si="7"/>
        <v/>
      </c>
      <c r="AI736" s="40" t="str">
        <f t="shared" si="8"/>
        <v/>
      </c>
      <c r="AJ736" s="40" t="str">
        <f>IF($K736="","",COUNTIF(Assignments!$B$6:$B$1000,$K736))</f>
        <v/>
      </c>
      <c r="AK736" s="40" t="str">
        <f>IF($K736="","",IF(AND($AJ736=0,$O736&lt;$N736),Config!$B$43,0))</f>
        <v/>
      </c>
      <c r="AL736" s="40" t="str">
        <f>IF($K736="","",IF(AND($M736="Elite",$G736&gt;=Config!$B$41,$O736&lt;$N736),Config!$B$42,0))</f>
        <v/>
      </c>
      <c r="AM736" s="22"/>
    </row>
    <row r="737" ht="15.75" customHeight="1">
      <c r="A737" s="40" t="str">
        <f t="shared" si="1"/>
        <v/>
      </c>
      <c r="B737" s="40" t="str">
        <f>IF(Bids!$A736="","",Bids!$A736)</f>
        <v/>
      </c>
      <c r="C737" s="40" t="str">
        <f>IF(Bids!$B736="","",Bids!$B736)</f>
        <v/>
      </c>
      <c r="D737" s="40" t="str">
        <f>IF($C737="","",IFERROR(VLOOKUP($C737,Orders!$A$4:$J$998,9,FALSE),""))</f>
        <v/>
      </c>
      <c r="E737" s="40" t="str">
        <f>IF($C737="","",IFERROR(VLOOKUP($C737,Orders!$A$4:$J$998,3,FALSE),""))</f>
        <v/>
      </c>
      <c r="F737" s="40">
        <f t="shared" si="2"/>
        <v>1</v>
      </c>
      <c r="G737" s="40" t="str">
        <f>IF($C737="","",IFERROR(VLOOKUP($C737,Orders!$A$4:$J$998,4,FALSE),""))</f>
        <v/>
      </c>
      <c r="H737" s="40" t="str">
        <f>IF($C737="","",IFERROR(VLOOKUP($C737,Orders!$A$4:$J$998,5,FALSE),""))</f>
        <v/>
      </c>
      <c r="I737" s="40" t="str">
        <f>IF($C737="","",IFERROR(VLOOKUP($C737,Orders!$A$4:$J$998,6,FALSE),""))</f>
        <v/>
      </c>
      <c r="J737" s="40" t="str">
        <f>IF($C737="","",IFERROR(VLOOKUP($C737,Orders!$A$4:$J$998,7,FALSE),""))</f>
        <v/>
      </c>
      <c r="K737" s="40" t="str">
        <f>IF(Bids!$C736="","",Bids!$C736)</f>
        <v/>
      </c>
      <c r="L737" s="40" t="str">
        <f>IF($K737="","",IFERROR(VLOOKUP($K737,Grinders!$A$4:$N$998,2,FALSE),""))</f>
        <v/>
      </c>
      <c r="M737" s="40" t="str">
        <f>IF($K737="","",IFERROR(VLOOKUP($K737,Grinders!$A$4:$N$998,3,FALSE),""))</f>
        <v/>
      </c>
      <c r="N737" s="40" t="str">
        <f>IF($K737="","",IFERROR(VLOOKUP($K737,Grinders!$A$4:$N$998,4,FALSE),""))</f>
        <v/>
      </c>
      <c r="O737" s="40" t="str">
        <f>IF($K737="","",IFERROR(VLOOKUP($K737,Grinders!$A$4:$N$998,5,FALSE),""))</f>
        <v/>
      </c>
      <c r="P737" s="40" t="str">
        <f>IF($K737="","",IF($C$4="",0,COUNTIFS(Assignments!$B$6:$B$1000,$K737,Assignments!$F$6:$F$1000,$C$4,Assignments!$E$6:$E$1000,"Active")))</f>
        <v/>
      </c>
      <c r="Q737" s="40" t="str">
        <f t="shared" si="3"/>
        <v/>
      </c>
      <c r="R737" s="40" t="str">
        <f t="shared" si="4"/>
        <v/>
      </c>
      <c r="S737" s="40" t="str">
        <f>IF($K737="","",IF($C$4="",0,COUNTIFS(Assignments!$B$6:$B$1000,$K737,Assignments!$F$6:$F$1000,$C$4,Assignments!$D$6:$D$1000,"&gt;="&amp;Config!$B$3-7,Assignments!$D$6:$D$1000,"&lt;="&amp;Config!$B$3)))</f>
        <v/>
      </c>
      <c r="T737" s="40" t="str">
        <f>IF($K737="","",IFERROR(VLOOKUP($K737,Grinders!$A$4:$N$998,8,FALSE),""))</f>
        <v/>
      </c>
      <c r="U737" s="40" t="str">
        <f>IFERROR(IF($K737="","",IF($M737="Elite",MAX(50,MIN(100,Config!$B$27*MAX(0,MIN(100,(1-IF($R737="",0,$R737))*100)) + Config!$B$28*MAX(0,MIN(100,(1-MIN(1,IF(Config!$B$30=0,1,$S737/Config!$B$30)))*100)) + Config!$B$29*MAX(0,MIN(100,MIN(1,IF($T737="",0,$T737)/Config!$B$23)*100)))),MIN(100,Config!$B$27*MAX(0,MIN(100,(1-IF($R737="",0,$R737))*100)) + Config!$B$28*MAX(0,MIN(100,(1-MIN(1,IF(Config!$B$30=0,1,$S737/Config!$B$30)))*100)) + Config!$B$29*MAX(0,MIN(100,MIN(1,IF($T737="",0,$T737)/Config!$B$23)*100))))),"")
</f>
        <v/>
      </c>
      <c r="V737" s="40" t="str">
        <f>IF(Bids!$D736="","",Bids!$D736)</f>
        <v/>
      </c>
      <c r="W737" s="40" t="str">
        <f>IF(Bids!$F736="","",Bids!$F736)</f>
        <v/>
      </c>
      <c r="X737" s="40" t="str">
        <f t="shared" si="5"/>
        <v/>
      </c>
      <c r="Y737" s="40" t="str">
        <f>IF($X737="","",IF(Config!$B$17=Config!$B$16,IF($X737&gt;=Config!$B$17,100,0),MAX(0,MIN(100,($X737-Config!$B$16)/(Config!$B$17-Config!$B$16)*100))))</f>
        <v/>
      </c>
      <c r="Z737" s="40">
        <f>IF($M737="Elite",Config!$B$21,0)</f>
        <v>0</v>
      </c>
      <c r="AA737" s="40" t="str">
        <f>IFERROR(IF(OR($W737="",$H737=""),"",IF($W737&gt;$H737,
  MAX(0, 60-(($W737-$H737)*24/Config!$B$19)*60),
  MIN(100, 60+(($H737-$W737)*24/Config!$B$20)*40)
)),"")
</f>
        <v/>
      </c>
      <c r="AB737" s="40" t="str">
        <f>IF($K737="","",IFERROR(VLOOKUP($K737,Grinders!$A$4:$N$998,10,FALSE)/5*100,""))</f>
        <v/>
      </c>
      <c r="AC737" s="40" t="str">
        <f>IF($K737="","",IFERROR(VLOOKUP($K737,Grinders!$A$4:$N$998,11,FALSE)*100,""))</f>
        <v/>
      </c>
      <c r="AD737" s="40" t="str">
        <f>IF($K737="","",IFERROR(VLOOKUP($K737,Grinders!$A$4:$N$998,12,FALSE)*100,""))</f>
        <v/>
      </c>
      <c r="AE737" s="40">
        <f>IFERROR(IFS(
    OR($C737="", $K737=""), 0,
    $F737=0, 0,
    $D737&lt;&gt;"Open", 0,
    COUNTIFS(GrinderServices!$B$4:$B$998, $K737, GrinderServices!$C$4:$C$998, $E737, GrinderServices!$E$4:$E$998, "Y")=0, 0,
    $X737&lt;Config!$B$16, 0,
    Config!$B$18=1, IF($O737&gt;=N737, 0, 1),
    TRUE, 1
), "")
</f>
        <v>0</v>
      </c>
      <c r="AF737" s="40" t="str">
        <f>IFERROR(IF($AE737=0,"",((Config!$B$6*$Y737 + Config!$B$7*$U737 + Config!$B$8*$Z737 + Config!$B$9*$AA737 + Config!$B$10*$AB737 + Config!$B$11*$AC737 - Config!$B$12*$AD737)/Config!$B$13)+$AK737+$AL737),"")</f>
        <v/>
      </c>
      <c r="AG737" s="40" t="str">
        <f t="shared" si="6"/>
        <v/>
      </c>
      <c r="AH737" s="40" t="str">
        <f t="shared" si="7"/>
        <v/>
      </c>
      <c r="AI737" s="40" t="str">
        <f t="shared" si="8"/>
        <v/>
      </c>
      <c r="AJ737" s="40" t="str">
        <f>IF($K737="","",COUNTIF(Assignments!$B$6:$B$1000,$K737))</f>
        <v/>
      </c>
      <c r="AK737" s="40" t="str">
        <f>IF($K737="","",IF(AND($AJ737=0,$O737&lt;$N737),Config!$B$43,0))</f>
        <v/>
      </c>
      <c r="AL737" s="40" t="str">
        <f>IF($K737="","",IF(AND($M737="Elite",$G737&gt;=Config!$B$41,$O737&lt;$N737),Config!$B$42,0))</f>
        <v/>
      </c>
      <c r="AM737" s="22"/>
    </row>
    <row r="738" ht="15.75" customHeight="1">
      <c r="A738" s="40" t="str">
        <f t="shared" si="1"/>
        <v/>
      </c>
      <c r="B738" s="40" t="str">
        <f>IF(Bids!$A737="","",Bids!$A737)</f>
        <v/>
      </c>
      <c r="C738" s="40" t="str">
        <f>IF(Bids!$B737="","",Bids!$B737)</f>
        <v/>
      </c>
      <c r="D738" s="40" t="str">
        <f>IF($C738="","",IFERROR(VLOOKUP($C738,Orders!$A$4:$J$998,9,FALSE),""))</f>
        <v/>
      </c>
      <c r="E738" s="40" t="str">
        <f>IF($C738="","",IFERROR(VLOOKUP($C738,Orders!$A$4:$J$998,3,FALSE),""))</f>
        <v/>
      </c>
      <c r="F738" s="40">
        <f t="shared" si="2"/>
        <v>1</v>
      </c>
      <c r="G738" s="40" t="str">
        <f>IF($C738="","",IFERROR(VLOOKUP($C738,Orders!$A$4:$J$998,4,FALSE),""))</f>
        <v/>
      </c>
      <c r="H738" s="40" t="str">
        <f>IF($C738="","",IFERROR(VLOOKUP($C738,Orders!$A$4:$J$998,5,FALSE),""))</f>
        <v/>
      </c>
      <c r="I738" s="40" t="str">
        <f>IF($C738="","",IFERROR(VLOOKUP($C738,Orders!$A$4:$J$998,6,FALSE),""))</f>
        <v/>
      </c>
      <c r="J738" s="40" t="str">
        <f>IF($C738="","",IFERROR(VLOOKUP($C738,Orders!$A$4:$J$998,7,FALSE),""))</f>
        <v/>
      </c>
      <c r="K738" s="40" t="str">
        <f>IF(Bids!$C737="","",Bids!$C737)</f>
        <v/>
      </c>
      <c r="L738" s="40" t="str">
        <f>IF($K738="","",IFERROR(VLOOKUP($K738,Grinders!$A$4:$N$998,2,FALSE),""))</f>
        <v/>
      </c>
      <c r="M738" s="40" t="str">
        <f>IF($K738="","",IFERROR(VLOOKUP($K738,Grinders!$A$4:$N$998,3,FALSE),""))</f>
        <v/>
      </c>
      <c r="N738" s="40" t="str">
        <f>IF($K738="","",IFERROR(VLOOKUP($K738,Grinders!$A$4:$N$998,4,FALSE),""))</f>
        <v/>
      </c>
      <c r="O738" s="40" t="str">
        <f>IF($K738="","",IFERROR(VLOOKUP($K738,Grinders!$A$4:$N$998,5,FALSE),""))</f>
        <v/>
      </c>
      <c r="P738" s="40" t="str">
        <f>IF($K738="","",IF($C$4="",0,COUNTIFS(Assignments!$B$6:$B$1000,$K738,Assignments!$F$6:$F$1000,$C$4,Assignments!$E$6:$E$1000,"Active")))</f>
        <v/>
      </c>
      <c r="Q738" s="40" t="str">
        <f t="shared" si="3"/>
        <v/>
      </c>
      <c r="R738" s="40" t="str">
        <f t="shared" si="4"/>
        <v/>
      </c>
      <c r="S738" s="40" t="str">
        <f>IF($K738="","",IF($C$4="",0,COUNTIFS(Assignments!$B$6:$B$1000,$K738,Assignments!$F$6:$F$1000,$C$4,Assignments!$D$6:$D$1000,"&gt;="&amp;Config!$B$3-7,Assignments!$D$6:$D$1000,"&lt;="&amp;Config!$B$3)))</f>
        <v/>
      </c>
      <c r="T738" s="40" t="str">
        <f>IF($K738="","",IFERROR(VLOOKUP($K738,Grinders!$A$4:$N$998,8,FALSE),""))</f>
        <v/>
      </c>
      <c r="U738" s="40" t="str">
        <f>IFERROR(IF($K738="","",IF($M738="Elite",MAX(50,MIN(100,Config!$B$27*MAX(0,MIN(100,(1-IF($R738="",0,$R738))*100)) + Config!$B$28*MAX(0,MIN(100,(1-MIN(1,IF(Config!$B$30=0,1,$S738/Config!$B$30)))*100)) + Config!$B$29*MAX(0,MIN(100,MIN(1,IF($T738="",0,$T738)/Config!$B$23)*100)))),MIN(100,Config!$B$27*MAX(0,MIN(100,(1-IF($R738="",0,$R738))*100)) + Config!$B$28*MAX(0,MIN(100,(1-MIN(1,IF(Config!$B$30=0,1,$S738/Config!$B$30)))*100)) + Config!$B$29*MAX(0,MIN(100,MIN(1,IF($T738="",0,$T738)/Config!$B$23)*100))))),"")
</f>
        <v/>
      </c>
      <c r="V738" s="40" t="str">
        <f>IF(Bids!$D737="","",Bids!$D737)</f>
        <v/>
      </c>
      <c r="W738" s="40" t="str">
        <f>IF(Bids!$F737="","",Bids!$F737)</f>
        <v/>
      </c>
      <c r="X738" s="40" t="str">
        <f t="shared" si="5"/>
        <v/>
      </c>
      <c r="Y738" s="40" t="str">
        <f>IF($X738="","",IF(Config!$B$17=Config!$B$16,IF($X738&gt;=Config!$B$17,100,0),MAX(0,MIN(100,($X738-Config!$B$16)/(Config!$B$17-Config!$B$16)*100))))</f>
        <v/>
      </c>
      <c r="Z738" s="40">
        <f>IF($M738="Elite",Config!$B$21,0)</f>
        <v>0</v>
      </c>
      <c r="AA738" s="40" t="str">
        <f>IFERROR(IF(OR($W738="",$H738=""),"",IF($W738&gt;$H738,
  MAX(0, 60-(($W738-$H738)*24/Config!$B$19)*60),
  MIN(100, 60+(($H738-$W738)*24/Config!$B$20)*40)
)),"")
</f>
        <v/>
      </c>
      <c r="AB738" s="40" t="str">
        <f>IF($K738="","",IFERROR(VLOOKUP($K738,Grinders!$A$4:$N$998,10,FALSE)/5*100,""))</f>
        <v/>
      </c>
      <c r="AC738" s="40" t="str">
        <f>IF($K738="","",IFERROR(VLOOKUP($K738,Grinders!$A$4:$N$998,11,FALSE)*100,""))</f>
        <v/>
      </c>
      <c r="AD738" s="40" t="str">
        <f>IF($K738="","",IFERROR(VLOOKUP($K738,Grinders!$A$4:$N$998,12,FALSE)*100,""))</f>
        <v/>
      </c>
      <c r="AE738" s="40">
        <f>IFERROR(IFS(
    OR($C738="", $K738=""), 0,
    $F738=0, 0,
    $D738&lt;&gt;"Open", 0,
    COUNTIFS(GrinderServices!$B$4:$B$998, $K738, GrinderServices!$C$4:$C$998, $E738, GrinderServices!$E$4:$E$998, "Y")=0, 0,
    $X738&lt;Config!$B$16, 0,
    Config!$B$18=1, IF($O738&gt;=N738, 0, 1),
    TRUE, 1
), "")
</f>
        <v>0</v>
      </c>
      <c r="AF738" s="40" t="str">
        <f>IFERROR(IF($AE738=0,"",((Config!$B$6*$Y738 + Config!$B$7*$U738 + Config!$B$8*$Z738 + Config!$B$9*$AA738 + Config!$B$10*$AB738 + Config!$B$11*$AC738 - Config!$B$12*$AD738)/Config!$B$13)+$AK738+$AL738),"")</f>
        <v/>
      </c>
      <c r="AG738" s="40" t="str">
        <f t="shared" si="6"/>
        <v/>
      </c>
      <c r="AH738" s="40" t="str">
        <f t="shared" si="7"/>
        <v/>
      </c>
      <c r="AI738" s="40" t="str">
        <f t="shared" si="8"/>
        <v/>
      </c>
      <c r="AJ738" s="40" t="str">
        <f>IF($K738="","",COUNTIF(Assignments!$B$6:$B$1000,$K738))</f>
        <v/>
      </c>
      <c r="AK738" s="40" t="str">
        <f>IF($K738="","",IF(AND($AJ738=0,$O738&lt;$N738),Config!$B$43,0))</f>
        <v/>
      </c>
      <c r="AL738" s="40" t="str">
        <f>IF($K738="","",IF(AND($M738="Elite",$G738&gt;=Config!$B$41,$O738&lt;$N738),Config!$B$42,0))</f>
        <v/>
      </c>
      <c r="AM738" s="22"/>
    </row>
    <row r="739" ht="15.75" customHeight="1">
      <c r="A739" s="40" t="str">
        <f t="shared" si="1"/>
        <v/>
      </c>
      <c r="B739" s="40" t="str">
        <f>IF(Bids!$A738="","",Bids!$A738)</f>
        <v/>
      </c>
      <c r="C739" s="40" t="str">
        <f>IF(Bids!$B738="","",Bids!$B738)</f>
        <v/>
      </c>
      <c r="D739" s="40" t="str">
        <f>IF($C739="","",IFERROR(VLOOKUP($C739,Orders!$A$4:$J$998,9,FALSE),""))</f>
        <v/>
      </c>
      <c r="E739" s="40" t="str">
        <f>IF($C739="","",IFERROR(VLOOKUP($C739,Orders!$A$4:$J$998,3,FALSE),""))</f>
        <v/>
      </c>
      <c r="F739" s="40">
        <f t="shared" si="2"/>
        <v>1</v>
      </c>
      <c r="G739" s="40" t="str">
        <f>IF($C739="","",IFERROR(VLOOKUP($C739,Orders!$A$4:$J$998,4,FALSE),""))</f>
        <v/>
      </c>
      <c r="H739" s="40" t="str">
        <f>IF($C739="","",IFERROR(VLOOKUP($C739,Orders!$A$4:$J$998,5,FALSE),""))</f>
        <v/>
      </c>
      <c r="I739" s="40" t="str">
        <f>IF($C739="","",IFERROR(VLOOKUP($C739,Orders!$A$4:$J$998,6,FALSE),""))</f>
        <v/>
      </c>
      <c r="J739" s="40" t="str">
        <f>IF($C739="","",IFERROR(VLOOKUP($C739,Orders!$A$4:$J$998,7,FALSE),""))</f>
        <v/>
      </c>
      <c r="K739" s="40" t="str">
        <f>IF(Bids!$C738="","",Bids!$C738)</f>
        <v/>
      </c>
      <c r="L739" s="40" t="str">
        <f>IF($K739="","",IFERROR(VLOOKUP($K739,Grinders!$A$4:$N$998,2,FALSE),""))</f>
        <v/>
      </c>
      <c r="M739" s="40" t="str">
        <f>IF($K739="","",IFERROR(VLOOKUP($K739,Grinders!$A$4:$N$998,3,FALSE),""))</f>
        <v/>
      </c>
      <c r="N739" s="40" t="str">
        <f>IF($K739="","",IFERROR(VLOOKUP($K739,Grinders!$A$4:$N$998,4,FALSE),""))</f>
        <v/>
      </c>
      <c r="O739" s="40" t="str">
        <f>IF($K739="","",IFERROR(VLOOKUP($K739,Grinders!$A$4:$N$998,5,FALSE),""))</f>
        <v/>
      </c>
      <c r="P739" s="40" t="str">
        <f>IF($K739="","",IF($C$4="",0,COUNTIFS(Assignments!$B$6:$B$1000,$K739,Assignments!$F$6:$F$1000,$C$4,Assignments!$E$6:$E$1000,"Active")))</f>
        <v/>
      </c>
      <c r="Q739" s="40" t="str">
        <f t="shared" si="3"/>
        <v/>
      </c>
      <c r="R739" s="40" t="str">
        <f t="shared" si="4"/>
        <v/>
      </c>
      <c r="S739" s="40" t="str">
        <f>IF($K739="","",IF($C$4="",0,COUNTIFS(Assignments!$B$6:$B$1000,$K739,Assignments!$F$6:$F$1000,$C$4,Assignments!$D$6:$D$1000,"&gt;="&amp;Config!$B$3-7,Assignments!$D$6:$D$1000,"&lt;="&amp;Config!$B$3)))</f>
        <v/>
      </c>
      <c r="T739" s="40" t="str">
        <f>IF($K739="","",IFERROR(VLOOKUP($K739,Grinders!$A$4:$N$998,8,FALSE),""))</f>
        <v/>
      </c>
      <c r="U739" s="40" t="str">
        <f>IFERROR(IF($K739="","",IF($M739="Elite",MAX(50,MIN(100,Config!$B$27*MAX(0,MIN(100,(1-IF($R739="",0,$R739))*100)) + Config!$B$28*MAX(0,MIN(100,(1-MIN(1,IF(Config!$B$30=0,1,$S739/Config!$B$30)))*100)) + Config!$B$29*MAX(0,MIN(100,MIN(1,IF($T739="",0,$T739)/Config!$B$23)*100)))),MIN(100,Config!$B$27*MAX(0,MIN(100,(1-IF($R739="",0,$R739))*100)) + Config!$B$28*MAX(0,MIN(100,(1-MIN(1,IF(Config!$B$30=0,1,$S739/Config!$B$30)))*100)) + Config!$B$29*MAX(0,MIN(100,MIN(1,IF($T739="",0,$T739)/Config!$B$23)*100))))),"")
</f>
        <v/>
      </c>
      <c r="V739" s="40" t="str">
        <f>IF(Bids!$D738="","",Bids!$D738)</f>
        <v/>
      </c>
      <c r="W739" s="40" t="str">
        <f>IF(Bids!$F738="","",Bids!$F738)</f>
        <v/>
      </c>
      <c r="X739" s="40" t="str">
        <f t="shared" si="5"/>
        <v/>
      </c>
      <c r="Y739" s="40" t="str">
        <f>IF($X739="","",IF(Config!$B$17=Config!$B$16,IF($X739&gt;=Config!$B$17,100,0),MAX(0,MIN(100,($X739-Config!$B$16)/(Config!$B$17-Config!$B$16)*100))))</f>
        <v/>
      </c>
      <c r="Z739" s="40">
        <f>IF($M739="Elite",Config!$B$21,0)</f>
        <v>0</v>
      </c>
      <c r="AA739" s="40" t="str">
        <f>IFERROR(IF(OR($W739="",$H739=""),"",IF($W739&gt;$H739,
  MAX(0, 60-(($W739-$H739)*24/Config!$B$19)*60),
  MIN(100, 60+(($H739-$W739)*24/Config!$B$20)*40)
)),"")
</f>
        <v/>
      </c>
      <c r="AB739" s="40" t="str">
        <f>IF($K739="","",IFERROR(VLOOKUP($K739,Grinders!$A$4:$N$998,10,FALSE)/5*100,""))</f>
        <v/>
      </c>
      <c r="AC739" s="40" t="str">
        <f>IF($K739="","",IFERROR(VLOOKUP($K739,Grinders!$A$4:$N$998,11,FALSE)*100,""))</f>
        <v/>
      </c>
      <c r="AD739" s="40" t="str">
        <f>IF($K739="","",IFERROR(VLOOKUP($K739,Grinders!$A$4:$N$998,12,FALSE)*100,""))</f>
        <v/>
      </c>
      <c r="AE739" s="40">
        <f>IFERROR(IFS(
    OR($C739="", $K739=""), 0,
    $F739=0, 0,
    $D739&lt;&gt;"Open", 0,
    COUNTIFS(GrinderServices!$B$4:$B$998, $K739, GrinderServices!$C$4:$C$998, $E739, GrinderServices!$E$4:$E$998, "Y")=0, 0,
    $X739&lt;Config!$B$16, 0,
    Config!$B$18=1, IF($O739&gt;=N739, 0, 1),
    TRUE, 1
), "")
</f>
        <v>0</v>
      </c>
      <c r="AF739" s="40" t="str">
        <f>IFERROR(IF($AE739=0,"",((Config!$B$6*$Y739 + Config!$B$7*$U739 + Config!$B$8*$Z739 + Config!$B$9*$AA739 + Config!$B$10*$AB739 + Config!$B$11*$AC739 - Config!$B$12*$AD739)/Config!$B$13)+$AK739+$AL739),"")</f>
        <v/>
      </c>
      <c r="AG739" s="40" t="str">
        <f t="shared" si="6"/>
        <v/>
      </c>
      <c r="AH739" s="40" t="str">
        <f t="shared" si="7"/>
        <v/>
      </c>
      <c r="AI739" s="40" t="str">
        <f t="shared" si="8"/>
        <v/>
      </c>
      <c r="AJ739" s="40" t="str">
        <f>IF($K739="","",COUNTIF(Assignments!$B$6:$B$1000,$K739))</f>
        <v/>
      </c>
      <c r="AK739" s="40" t="str">
        <f>IF($K739="","",IF(AND($AJ739=0,$O739&lt;$N739),Config!$B$43,0))</f>
        <v/>
      </c>
      <c r="AL739" s="40" t="str">
        <f>IF($K739="","",IF(AND($M739="Elite",$G739&gt;=Config!$B$41,$O739&lt;$N739),Config!$B$42,0))</f>
        <v/>
      </c>
      <c r="AM739" s="22"/>
    </row>
    <row r="740" ht="15.75" customHeight="1">
      <c r="A740" s="40" t="str">
        <f t="shared" si="1"/>
        <v/>
      </c>
      <c r="B740" s="40" t="str">
        <f>IF(Bids!$A739="","",Bids!$A739)</f>
        <v/>
      </c>
      <c r="C740" s="40" t="str">
        <f>IF(Bids!$B739="","",Bids!$B739)</f>
        <v/>
      </c>
      <c r="D740" s="40" t="str">
        <f>IF($C740="","",IFERROR(VLOOKUP($C740,Orders!$A$4:$J$998,9,FALSE),""))</f>
        <v/>
      </c>
      <c r="E740" s="40" t="str">
        <f>IF($C740="","",IFERROR(VLOOKUP($C740,Orders!$A$4:$J$998,3,FALSE),""))</f>
        <v/>
      </c>
      <c r="F740" s="40">
        <f t="shared" si="2"/>
        <v>1</v>
      </c>
      <c r="G740" s="40" t="str">
        <f>IF($C740="","",IFERROR(VLOOKUP($C740,Orders!$A$4:$J$998,4,FALSE),""))</f>
        <v/>
      </c>
      <c r="H740" s="40" t="str">
        <f>IF($C740="","",IFERROR(VLOOKUP($C740,Orders!$A$4:$J$998,5,FALSE),""))</f>
        <v/>
      </c>
      <c r="I740" s="40" t="str">
        <f>IF($C740="","",IFERROR(VLOOKUP($C740,Orders!$A$4:$J$998,6,FALSE),""))</f>
        <v/>
      </c>
      <c r="J740" s="40" t="str">
        <f>IF($C740="","",IFERROR(VLOOKUP($C740,Orders!$A$4:$J$998,7,FALSE),""))</f>
        <v/>
      </c>
      <c r="K740" s="40" t="str">
        <f>IF(Bids!$C739="","",Bids!$C739)</f>
        <v/>
      </c>
      <c r="L740" s="40" t="str">
        <f>IF($K740="","",IFERROR(VLOOKUP($K740,Grinders!$A$4:$N$998,2,FALSE),""))</f>
        <v/>
      </c>
      <c r="M740" s="40" t="str">
        <f>IF($K740="","",IFERROR(VLOOKUP($K740,Grinders!$A$4:$N$998,3,FALSE),""))</f>
        <v/>
      </c>
      <c r="N740" s="40" t="str">
        <f>IF($K740="","",IFERROR(VLOOKUP($K740,Grinders!$A$4:$N$998,4,FALSE),""))</f>
        <v/>
      </c>
      <c r="O740" s="40" t="str">
        <f>IF($K740="","",IFERROR(VLOOKUP($K740,Grinders!$A$4:$N$998,5,FALSE),""))</f>
        <v/>
      </c>
      <c r="P740" s="40" t="str">
        <f>IF($K740="","",IF($C$4="",0,COUNTIFS(Assignments!$B$6:$B$1000,$K740,Assignments!$F$6:$F$1000,$C$4,Assignments!$E$6:$E$1000,"Active")))</f>
        <v/>
      </c>
      <c r="Q740" s="40" t="str">
        <f t="shared" si="3"/>
        <v/>
      </c>
      <c r="R740" s="40" t="str">
        <f t="shared" si="4"/>
        <v/>
      </c>
      <c r="S740" s="40" t="str">
        <f>IF($K740="","",IF($C$4="",0,COUNTIFS(Assignments!$B$6:$B$1000,$K740,Assignments!$F$6:$F$1000,$C$4,Assignments!$D$6:$D$1000,"&gt;="&amp;Config!$B$3-7,Assignments!$D$6:$D$1000,"&lt;="&amp;Config!$B$3)))</f>
        <v/>
      </c>
      <c r="T740" s="40" t="str">
        <f>IF($K740="","",IFERROR(VLOOKUP($K740,Grinders!$A$4:$N$998,8,FALSE),""))</f>
        <v/>
      </c>
      <c r="U740" s="40" t="str">
        <f>IFERROR(IF($K740="","",IF($M740="Elite",MAX(50,MIN(100,Config!$B$27*MAX(0,MIN(100,(1-IF($R740="",0,$R740))*100)) + Config!$B$28*MAX(0,MIN(100,(1-MIN(1,IF(Config!$B$30=0,1,$S740/Config!$B$30)))*100)) + Config!$B$29*MAX(0,MIN(100,MIN(1,IF($T740="",0,$T740)/Config!$B$23)*100)))),MIN(100,Config!$B$27*MAX(0,MIN(100,(1-IF($R740="",0,$R740))*100)) + Config!$B$28*MAX(0,MIN(100,(1-MIN(1,IF(Config!$B$30=0,1,$S740/Config!$B$30)))*100)) + Config!$B$29*MAX(0,MIN(100,MIN(1,IF($T740="",0,$T740)/Config!$B$23)*100))))),"")
</f>
        <v/>
      </c>
      <c r="V740" s="40" t="str">
        <f>IF(Bids!$D739="","",Bids!$D739)</f>
        <v/>
      </c>
      <c r="W740" s="40" t="str">
        <f>IF(Bids!$F739="","",Bids!$F739)</f>
        <v/>
      </c>
      <c r="X740" s="40" t="str">
        <f t="shared" si="5"/>
        <v/>
      </c>
      <c r="Y740" s="40" t="str">
        <f>IF($X740="","",IF(Config!$B$17=Config!$B$16,IF($X740&gt;=Config!$B$17,100,0),MAX(0,MIN(100,($X740-Config!$B$16)/(Config!$B$17-Config!$B$16)*100))))</f>
        <v/>
      </c>
      <c r="Z740" s="40">
        <f>IF($M740="Elite",Config!$B$21,0)</f>
        <v>0</v>
      </c>
      <c r="AA740" s="40" t="str">
        <f>IFERROR(IF(OR($W740="",$H740=""),"",IF($W740&gt;$H740,
  MAX(0, 60-(($W740-$H740)*24/Config!$B$19)*60),
  MIN(100, 60+(($H740-$W740)*24/Config!$B$20)*40)
)),"")
</f>
        <v/>
      </c>
      <c r="AB740" s="40" t="str">
        <f>IF($K740="","",IFERROR(VLOOKUP($K740,Grinders!$A$4:$N$998,10,FALSE)/5*100,""))</f>
        <v/>
      </c>
      <c r="AC740" s="40" t="str">
        <f>IF($K740="","",IFERROR(VLOOKUP($K740,Grinders!$A$4:$N$998,11,FALSE)*100,""))</f>
        <v/>
      </c>
      <c r="AD740" s="40" t="str">
        <f>IF($K740="","",IFERROR(VLOOKUP($K740,Grinders!$A$4:$N$998,12,FALSE)*100,""))</f>
        <v/>
      </c>
      <c r="AE740" s="40">
        <f>IFERROR(IFS(
    OR($C740="", $K740=""), 0,
    $F740=0, 0,
    $D740&lt;&gt;"Open", 0,
    COUNTIFS(GrinderServices!$B$4:$B$998, $K740, GrinderServices!$C$4:$C$998, $E740, GrinderServices!$E$4:$E$998, "Y")=0, 0,
    $X740&lt;Config!$B$16, 0,
    Config!$B$18=1, IF($O740&gt;=N740, 0, 1),
    TRUE, 1
), "")
</f>
        <v>0</v>
      </c>
      <c r="AF740" s="40" t="str">
        <f>IFERROR(IF($AE740=0,"",((Config!$B$6*$Y740 + Config!$B$7*$U740 + Config!$B$8*$Z740 + Config!$B$9*$AA740 + Config!$B$10*$AB740 + Config!$B$11*$AC740 - Config!$B$12*$AD740)/Config!$B$13)+$AK740+$AL740),"")</f>
        <v/>
      </c>
      <c r="AG740" s="40" t="str">
        <f t="shared" si="6"/>
        <v/>
      </c>
      <c r="AH740" s="40" t="str">
        <f t="shared" si="7"/>
        <v/>
      </c>
      <c r="AI740" s="40" t="str">
        <f t="shared" si="8"/>
        <v/>
      </c>
      <c r="AJ740" s="40" t="str">
        <f>IF($K740="","",COUNTIF(Assignments!$B$6:$B$1000,$K740))</f>
        <v/>
      </c>
      <c r="AK740" s="40" t="str">
        <f>IF($K740="","",IF(AND($AJ740=0,$O740&lt;$N740),Config!$B$43,0))</f>
        <v/>
      </c>
      <c r="AL740" s="40" t="str">
        <f>IF($K740="","",IF(AND($M740="Elite",$G740&gt;=Config!$B$41,$O740&lt;$N740),Config!$B$42,0))</f>
        <v/>
      </c>
      <c r="AM740" s="22"/>
    </row>
    <row r="741" ht="15.75" customHeight="1">
      <c r="A741" s="40" t="str">
        <f t="shared" si="1"/>
        <v/>
      </c>
      <c r="B741" s="40" t="str">
        <f>IF(Bids!$A740="","",Bids!$A740)</f>
        <v/>
      </c>
      <c r="C741" s="40" t="str">
        <f>IF(Bids!$B740="","",Bids!$B740)</f>
        <v/>
      </c>
      <c r="D741" s="40" t="str">
        <f>IF($C741="","",IFERROR(VLOOKUP($C741,Orders!$A$4:$J$998,9,FALSE),""))</f>
        <v/>
      </c>
      <c r="E741" s="40" t="str">
        <f>IF($C741="","",IFERROR(VLOOKUP($C741,Orders!$A$4:$J$998,3,FALSE),""))</f>
        <v/>
      </c>
      <c r="F741" s="40">
        <f t="shared" si="2"/>
        <v>1</v>
      </c>
      <c r="G741" s="40" t="str">
        <f>IF($C741="","",IFERROR(VLOOKUP($C741,Orders!$A$4:$J$998,4,FALSE),""))</f>
        <v/>
      </c>
      <c r="H741" s="40" t="str">
        <f>IF($C741="","",IFERROR(VLOOKUP($C741,Orders!$A$4:$J$998,5,FALSE),""))</f>
        <v/>
      </c>
      <c r="I741" s="40" t="str">
        <f>IF($C741="","",IFERROR(VLOOKUP($C741,Orders!$A$4:$J$998,6,FALSE),""))</f>
        <v/>
      </c>
      <c r="J741" s="40" t="str">
        <f>IF($C741="","",IFERROR(VLOOKUP($C741,Orders!$A$4:$J$998,7,FALSE),""))</f>
        <v/>
      </c>
      <c r="K741" s="40" t="str">
        <f>IF(Bids!$C740="","",Bids!$C740)</f>
        <v/>
      </c>
      <c r="L741" s="40" t="str">
        <f>IF($K741="","",IFERROR(VLOOKUP($K741,Grinders!$A$4:$N$998,2,FALSE),""))</f>
        <v/>
      </c>
      <c r="M741" s="40" t="str">
        <f>IF($K741="","",IFERROR(VLOOKUP($K741,Grinders!$A$4:$N$998,3,FALSE),""))</f>
        <v/>
      </c>
      <c r="N741" s="40" t="str">
        <f>IF($K741="","",IFERROR(VLOOKUP($K741,Grinders!$A$4:$N$998,4,FALSE),""))</f>
        <v/>
      </c>
      <c r="O741" s="40" t="str">
        <f>IF($K741="","",IFERROR(VLOOKUP($K741,Grinders!$A$4:$N$998,5,FALSE),""))</f>
        <v/>
      </c>
      <c r="P741" s="40" t="str">
        <f>IF($K741="","",IF($C$4="",0,COUNTIFS(Assignments!$B$6:$B$1000,$K741,Assignments!$F$6:$F$1000,$C$4,Assignments!$E$6:$E$1000,"Active")))</f>
        <v/>
      </c>
      <c r="Q741" s="40" t="str">
        <f t="shared" si="3"/>
        <v/>
      </c>
      <c r="R741" s="40" t="str">
        <f t="shared" si="4"/>
        <v/>
      </c>
      <c r="S741" s="40" t="str">
        <f>IF($K741="","",IF($C$4="",0,COUNTIFS(Assignments!$B$6:$B$1000,$K741,Assignments!$F$6:$F$1000,$C$4,Assignments!$D$6:$D$1000,"&gt;="&amp;Config!$B$3-7,Assignments!$D$6:$D$1000,"&lt;="&amp;Config!$B$3)))</f>
        <v/>
      </c>
      <c r="T741" s="40" t="str">
        <f>IF($K741="","",IFERROR(VLOOKUP($K741,Grinders!$A$4:$N$998,8,FALSE),""))</f>
        <v/>
      </c>
      <c r="U741" s="40" t="str">
        <f>IFERROR(IF($K741="","",IF($M741="Elite",MAX(50,MIN(100,Config!$B$27*MAX(0,MIN(100,(1-IF($R741="",0,$R741))*100)) + Config!$B$28*MAX(0,MIN(100,(1-MIN(1,IF(Config!$B$30=0,1,$S741/Config!$B$30)))*100)) + Config!$B$29*MAX(0,MIN(100,MIN(1,IF($T741="",0,$T741)/Config!$B$23)*100)))),MIN(100,Config!$B$27*MAX(0,MIN(100,(1-IF($R741="",0,$R741))*100)) + Config!$B$28*MAX(0,MIN(100,(1-MIN(1,IF(Config!$B$30=0,1,$S741/Config!$B$30)))*100)) + Config!$B$29*MAX(0,MIN(100,MIN(1,IF($T741="",0,$T741)/Config!$B$23)*100))))),"")
</f>
        <v/>
      </c>
      <c r="V741" s="40" t="str">
        <f>IF(Bids!$D740="","",Bids!$D740)</f>
        <v/>
      </c>
      <c r="W741" s="40" t="str">
        <f>IF(Bids!$F740="","",Bids!$F740)</f>
        <v/>
      </c>
      <c r="X741" s="40" t="str">
        <f t="shared" si="5"/>
        <v/>
      </c>
      <c r="Y741" s="40" t="str">
        <f>IF($X741="","",IF(Config!$B$17=Config!$B$16,IF($X741&gt;=Config!$B$17,100,0),MAX(0,MIN(100,($X741-Config!$B$16)/(Config!$B$17-Config!$B$16)*100))))</f>
        <v/>
      </c>
      <c r="Z741" s="40">
        <f>IF($M741="Elite",Config!$B$21,0)</f>
        <v>0</v>
      </c>
      <c r="AA741" s="40" t="str">
        <f>IFERROR(IF(OR($W741="",$H741=""),"",IF($W741&gt;$H741,
  MAX(0, 60-(($W741-$H741)*24/Config!$B$19)*60),
  MIN(100, 60+(($H741-$W741)*24/Config!$B$20)*40)
)),"")
</f>
        <v/>
      </c>
      <c r="AB741" s="40" t="str">
        <f>IF($K741="","",IFERROR(VLOOKUP($K741,Grinders!$A$4:$N$998,10,FALSE)/5*100,""))</f>
        <v/>
      </c>
      <c r="AC741" s="40" t="str">
        <f>IF($K741="","",IFERROR(VLOOKUP($K741,Grinders!$A$4:$N$998,11,FALSE)*100,""))</f>
        <v/>
      </c>
      <c r="AD741" s="40" t="str">
        <f>IF($K741="","",IFERROR(VLOOKUP($K741,Grinders!$A$4:$N$998,12,FALSE)*100,""))</f>
        <v/>
      </c>
      <c r="AE741" s="40">
        <f>IFERROR(IFS(
    OR($C741="", $K741=""), 0,
    $F741=0, 0,
    $D741&lt;&gt;"Open", 0,
    COUNTIFS(GrinderServices!$B$4:$B$998, $K741, GrinderServices!$C$4:$C$998, $E741, GrinderServices!$E$4:$E$998, "Y")=0, 0,
    $X741&lt;Config!$B$16, 0,
    Config!$B$18=1, IF($O741&gt;=N741, 0, 1),
    TRUE, 1
), "")
</f>
        <v>0</v>
      </c>
      <c r="AF741" s="40" t="str">
        <f>IFERROR(IF($AE741=0,"",((Config!$B$6*$Y741 + Config!$B$7*$U741 + Config!$B$8*$Z741 + Config!$B$9*$AA741 + Config!$B$10*$AB741 + Config!$B$11*$AC741 - Config!$B$12*$AD741)/Config!$B$13)+$AK741+$AL741),"")</f>
        <v/>
      </c>
      <c r="AG741" s="40" t="str">
        <f t="shared" si="6"/>
        <v/>
      </c>
      <c r="AH741" s="40" t="str">
        <f t="shared" si="7"/>
        <v/>
      </c>
      <c r="AI741" s="40" t="str">
        <f t="shared" si="8"/>
        <v/>
      </c>
      <c r="AJ741" s="40" t="str">
        <f>IF($K741="","",COUNTIF(Assignments!$B$6:$B$1000,$K741))</f>
        <v/>
      </c>
      <c r="AK741" s="40" t="str">
        <f>IF($K741="","",IF(AND($AJ741=0,$O741&lt;$N741),Config!$B$43,0))</f>
        <v/>
      </c>
      <c r="AL741" s="40" t="str">
        <f>IF($K741="","",IF(AND($M741="Elite",$G741&gt;=Config!$B$41,$O741&lt;$N741),Config!$B$42,0))</f>
        <v/>
      </c>
      <c r="AM741" s="22"/>
    </row>
    <row r="742" ht="15.75" customHeight="1">
      <c r="A742" s="40" t="str">
        <f t="shared" si="1"/>
        <v/>
      </c>
      <c r="B742" s="40" t="str">
        <f>IF(Bids!$A741="","",Bids!$A741)</f>
        <v/>
      </c>
      <c r="C742" s="40" t="str">
        <f>IF(Bids!$B741="","",Bids!$B741)</f>
        <v/>
      </c>
      <c r="D742" s="40" t="str">
        <f>IF($C742="","",IFERROR(VLOOKUP($C742,Orders!$A$4:$J$998,9,FALSE),""))</f>
        <v/>
      </c>
      <c r="E742" s="40" t="str">
        <f>IF($C742="","",IFERROR(VLOOKUP($C742,Orders!$A$4:$J$998,3,FALSE),""))</f>
        <v/>
      </c>
      <c r="F742" s="40">
        <f t="shared" si="2"/>
        <v>1</v>
      </c>
      <c r="G742" s="40" t="str">
        <f>IF($C742="","",IFERROR(VLOOKUP($C742,Orders!$A$4:$J$998,4,FALSE),""))</f>
        <v/>
      </c>
      <c r="H742" s="40" t="str">
        <f>IF($C742="","",IFERROR(VLOOKUP($C742,Orders!$A$4:$J$998,5,FALSE),""))</f>
        <v/>
      </c>
      <c r="I742" s="40" t="str">
        <f>IF($C742="","",IFERROR(VLOOKUP($C742,Orders!$A$4:$J$998,6,FALSE),""))</f>
        <v/>
      </c>
      <c r="J742" s="40" t="str">
        <f>IF($C742="","",IFERROR(VLOOKUP($C742,Orders!$A$4:$J$998,7,FALSE),""))</f>
        <v/>
      </c>
      <c r="K742" s="40" t="str">
        <f>IF(Bids!$C741="","",Bids!$C741)</f>
        <v/>
      </c>
      <c r="L742" s="40" t="str">
        <f>IF($K742="","",IFERROR(VLOOKUP($K742,Grinders!$A$4:$N$998,2,FALSE),""))</f>
        <v/>
      </c>
      <c r="M742" s="40" t="str">
        <f>IF($K742="","",IFERROR(VLOOKUP($K742,Grinders!$A$4:$N$998,3,FALSE),""))</f>
        <v/>
      </c>
      <c r="N742" s="40" t="str">
        <f>IF($K742="","",IFERROR(VLOOKUP($K742,Grinders!$A$4:$N$998,4,FALSE),""))</f>
        <v/>
      </c>
      <c r="O742" s="40" t="str">
        <f>IF($K742="","",IFERROR(VLOOKUP($K742,Grinders!$A$4:$N$998,5,FALSE),""))</f>
        <v/>
      </c>
      <c r="P742" s="40" t="str">
        <f>IF($K742="","",IF($C$4="",0,COUNTIFS(Assignments!$B$6:$B$1000,$K742,Assignments!$F$6:$F$1000,$C$4,Assignments!$E$6:$E$1000,"Active")))</f>
        <v/>
      </c>
      <c r="Q742" s="40" t="str">
        <f t="shared" si="3"/>
        <v/>
      </c>
      <c r="R742" s="40" t="str">
        <f t="shared" si="4"/>
        <v/>
      </c>
      <c r="S742" s="40" t="str">
        <f>IF($K742="","",IF($C$4="",0,COUNTIFS(Assignments!$B$6:$B$1000,$K742,Assignments!$F$6:$F$1000,$C$4,Assignments!$D$6:$D$1000,"&gt;="&amp;Config!$B$3-7,Assignments!$D$6:$D$1000,"&lt;="&amp;Config!$B$3)))</f>
        <v/>
      </c>
      <c r="T742" s="40" t="str">
        <f>IF($K742="","",IFERROR(VLOOKUP($K742,Grinders!$A$4:$N$998,8,FALSE),""))</f>
        <v/>
      </c>
      <c r="U742" s="40" t="str">
        <f>IFERROR(IF($K742="","",IF($M742="Elite",MAX(50,MIN(100,Config!$B$27*MAX(0,MIN(100,(1-IF($R742="",0,$R742))*100)) + Config!$B$28*MAX(0,MIN(100,(1-MIN(1,IF(Config!$B$30=0,1,$S742/Config!$B$30)))*100)) + Config!$B$29*MAX(0,MIN(100,MIN(1,IF($T742="",0,$T742)/Config!$B$23)*100)))),MIN(100,Config!$B$27*MAX(0,MIN(100,(1-IF($R742="",0,$R742))*100)) + Config!$B$28*MAX(0,MIN(100,(1-MIN(1,IF(Config!$B$30=0,1,$S742/Config!$B$30)))*100)) + Config!$B$29*MAX(0,MIN(100,MIN(1,IF($T742="",0,$T742)/Config!$B$23)*100))))),"")
</f>
        <v/>
      </c>
      <c r="V742" s="40" t="str">
        <f>IF(Bids!$D741="","",Bids!$D741)</f>
        <v/>
      </c>
      <c r="W742" s="40" t="str">
        <f>IF(Bids!$F741="","",Bids!$F741)</f>
        <v/>
      </c>
      <c r="X742" s="40" t="str">
        <f t="shared" si="5"/>
        <v/>
      </c>
      <c r="Y742" s="40" t="str">
        <f>IF($X742="","",IF(Config!$B$17=Config!$B$16,IF($X742&gt;=Config!$B$17,100,0),MAX(0,MIN(100,($X742-Config!$B$16)/(Config!$B$17-Config!$B$16)*100))))</f>
        <v/>
      </c>
      <c r="Z742" s="40">
        <f>IF($M742="Elite",Config!$B$21,0)</f>
        <v>0</v>
      </c>
      <c r="AA742" s="40" t="str">
        <f>IFERROR(IF(OR($W742="",$H742=""),"",IF($W742&gt;$H742,
  MAX(0, 60-(($W742-$H742)*24/Config!$B$19)*60),
  MIN(100, 60+(($H742-$W742)*24/Config!$B$20)*40)
)),"")
</f>
        <v/>
      </c>
      <c r="AB742" s="40" t="str">
        <f>IF($K742="","",IFERROR(VLOOKUP($K742,Grinders!$A$4:$N$998,10,FALSE)/5*100,""))</f>
        <v/>
      </c>
      <c r="AC742" s="40" t="str">
        <f>IF($K742="","",IFERROR(VLOOKUP($K742,Grinders!$A$4:$N$998,11,FALSE)*100,""))</f>
        <v/>
      </c>
      <c r="AD742" s="40" t="str">
        <f>IF($K742="","",IFERROR(VLOOKUP($K742,Grinders!$A$4:$N$998,12,FALSE)*100,""))</f>
        <v/>
      </c>
      <c r="AE742" s="40">
        <f>IFERROR(IFS(
    OR($C742="", $K742=""), 0,
    $F742=0, 0,
    $D742&lt;&gt;"Open", 0,
    COUNTIFS(GrinderServices!$B$4:$B$998, $K742, GrinderServices!$C$4:$C$998, $E742, GrinderServices!$E$4:$E$998, "Y")=0, 0,
    $X742&lt;Config!$B$16, 0,
    Config!$B$18=1, IF($O742&gt;=N742, 0, 1),
    TRUE, 1
), "")
</f>
        <v>0</v>
      </c>
      <c r="AF742" s="40" t="str">
        <f>IFERROR(IF($AE742=0,"",((Config!$B$6*$Y742 + Config!$B$7*$U742 + Config!$B$8*$Z742 + Config!$B$9*$AA742 + Config!$B$10*$AB742 + Config!$B$11*$AC742 - Config!$B$12*$AD742)/Config!$B$13)+$AK742+$AL742),"")</f>
        <v/>
      </c>
      <c r="AG742" s="40" t="str">
        <f t="shared" si="6"/>
        <v/>
      </c>
      <c r="AH742" s="40" t="str">
        <f t="shared" si="7"/>
        <v/>
      </c>
      <c r="AI742" s="40" t="str">
        <f t="shared" si="8"/>
        <v/>
      </c>
      <c r="AJ742" s="40" t="str">
        <f>IF($K742="","",COUNTIF(Assignments!$B$6:$B$1000,$K742))</f>
        <v/>
      </c>
      <c r="AK742" s="40" t="str">
        <f>IF($K742="","",IF(AND($AJ742=0,$O742&lt;$N742),Config!$B$43,0))</f>
        <v/>
      </c>
      <c r="AL742" s="40" t="str">
        <f>IF($K742="","",IF(AND($M742="Elite",$G742&gt;=Config!$B$41,$O742&lt;$N742),Config!$B$42,0))</f>
        <v/>
      </c>
      <c r="AM742" s="22"/>
    </row>
    <row r="743" ht="15.75" customHeight="1">
      <c r="A743" s="40" t="str">
        <f t="shared" si="1"/>
        <v/>
      </c>
      <c r="B743" s="40" t="str">
        <f>IF(Bids!$A742="","",Bids!$A742)</f>
        <v/>
      </c>
      <c r="C743" s="40" t="str">
        <f>IF(Bids!$B742="","",Bids!$B742)</f>
        <v/>
      </c>
      <c r="D743" s="40" t="str">
        <f>IF($C743="","",IFERROR(VLOOKUP($C743,Orders!$A$4:$J$998,9,FALSE),""))</f>
        <v/>
      </c>
      <c r="E743" s="40" t="str">
        <f>IF($C743="","",IFERROR(VLOOKUP($C743,Orders!$A$4:$J$998,3,FALSE),""))</f>
        <v/>
      </c>
      <c r="F743" s="40">
        <f t="shared" si="2"/>
        <v>1</v>
      </c>
      <c r="G743" s="40" t="str">
        <f>IF($C743="","",IFERROR(VLOOKUP($C743,Orders!$A$4:$J$998,4,FALSE),""))</f>
        <v/>
      </c>
      <c r="H743" s="40" t="str">
        <f>IF($C743="","",IFERROR(VLOOKUP($C743,Orders!$A$4:$J$998,5,FALSE),""))</f>
        <v/>
      </c>
      <c r="I743" s="40" t="str">
        <f>IF($C743="","",IFERROR(VLOOKUP($C743,Orders!$A$4:$J$998,6,FALSE),""))</f>
        <v/>
      </c>
      <c r="J743" s="40" t="str">
        <f>IF($C743="","",IFERROR(VLOOKUP($C743,Orders!$A$4:$J$998,7,FALSE),""))</f>
        <v/>
      </c>
      <c r="K743" s="40" t="str">
        <f>IF(Bids!$C742="","",Bids!$C742)</f>
        <v/>
      </c>
      <c r="L743" s="40" t="str">
        <f>IF($K743="","",IFERROR(VLOOKUP($K743,Grinders!$A$4:$N$998,2,FALSE),""))</f>
        <v/>
      </c>
      <c r="M743" s="40" t="str">
        <f>IF($K743="","",IFERROR(VLOOKUP($K743,Grinders!$A$4:$N$998,3,FALSE),""))</f>
        <v/>
      </c>
      <c r="N743" s="40" t="str">
        <f>IF($K743="","",IFERROR(VLOOKUP($K743,Grinders!$A$4:$N$998,4,FALSE),""))</f>
        <v/>
      </c>
      <c r="O743" s="40" t="str">
        <f>IF($K743="","",IFERROR(VLOOKUP($K743,Grinders!$A$4:$N$998,5,FALSE),""))</f>
        <v/>
      </c>
      <c r="P743" s="40" t="str">
        <f>IF($K743="","",IF($C$4="",0,COUNTIFS(Assignments!$B$6:$B$1000,$K743,Assignments!$F$6:$F$1000,$C$4,Assignments!$E$6:$E$1000,"Active")))</f>
        <v/>
      </c>
      <c r="Q743" s="40" t="str">
        <f t="shared" si="3"/>
        <v/>
      </c>
      <c r="R743" s="40" t="str">
        <f t="shared" si="4"/>
        <v/>
      </c>
      <c r="S743" s="40" t="str">
        <f>IF($K743="","",IF($C$4="",0,COUNTIFS(Assignments!$B$6:$B$1000,$K743,Assignments!$F$6:$F$1000,$C$4,Assignments!$D$6:$D$1000,"&gt;="&amp;Config!$B$3-7,Assignments!$D$6:$D$1000,"&lt;="&amp;Config!$B$3)))</f>
        <v/>
      </c>
      <c r="T743" s="40" t="str">
        <f>IF($K743="","",IFERROR(VLOOKUP($K743,Grinders!$A$4:$N$998,8,FALSE),""))</f>
        <v/>
      </c>
      <c r="U743" s="40" t="str">
        <f>IFERROR(IF($K743="","",IF($M743="Elite",MAX(50,MIN(100,Config!$B$27*MAX(0,MIN(100,(1-IF($R743="",0,$R743))*100)) + Config!$B$28*MAX(0,MIN(100,(1-MIN(1,IF(Config!$B$30=0,1,$S743/Config!$B$30)))*100)) + Config!$B$29*MAX(0,MIN(100,MIN(1,IF($T743="",0,$T743)/Config!$B$23)*100)))),MIN(100,Config!$B$27*MAX(0,MIN(100,(1-IF($R743="",0,$R743))*100)) + Config!$B$28*MAX(0,MIN(100,(1-MIN(1,IF(Config!$B$30=0,1,$S743/Config!$B$30)))*100)) + Config!$B$29*MAX(0,MIN(100,MIN(1,IF($T743="",0,$T743)/Config!$B$23)*100))))),"")
</f>
        <v/>
      </c>
      <c r="V743" s="40" t="str">
        <f>IF(Bids!$D742="","",Bids!$D742)</f>
        <v/>
      </c>
      <c r="W743" s="40" t="str">
        <f>IF(Bids!$F742="","",Bids!$F742)</f>
        <v/>
      </c>
      <c r="X743" s="40" t="str">
        <f t="shared" si="5"/>
        <v/>
      </c>
      <c r="Y743" s="40" t="str">
        <f>IF($X743="","",IF(Config!$B$17=Config!$B$16,IF($X743&gt;=Config!$B$17,100,0),MAX(0,MIN(100,($X743-Config!$B$16)/(Config!$B$17-Config!$B$16)*100))))</f>
        <v/>
      </c>
      <c r="Z743" s="40">
        <f>IF($M743="Elite",Config!$B$21,0)</f>
        <v>0</v>
      </c>
      <c r="AA743" s="40" t="str">
        <f>IFERROR(IF(OR($W743="",$H743=""),"",IF($W743&gt;$H743,
  MAX(0, 60-(($W743-$H743)*24/Config!$B$19)*60),
  MIN(100, 60+(($H743-$W743)*24/Config!$B$20)*40)
)),"")
</f>
        <v/>
      </c>
      <c r="AB743" s="40" t="str">
        <f>IF($K743="","",IFERROR(VLOOKUP($K743,Grinders!$A$4:$N$998,10,FALSE)/5*100,""))</f>
        <v/>
      </c>
      <c r="AC743" s="40" t="str">
        <f>IF($K743="","",IFERROR(VLOOKUP($K743,Grinders!$A$4:$N$998,11,FALSE)*100,""))</f>
        <v/>
      </c>
      <c r="AD743" s="40" t="str">
        <f>IF($K743="","",IFERROR(VLOOKUP($K743,Grinders!$A$4:$N$998,12,FALSE)*100,""))</f>
        <v/>
      </c>
      <c r="AE743" s="40">
        <f>IFERROR(IFS(
    OR($C743="", $K743=""), 0,
    $F743=0, 0,
    $D743&lt;&gt;"Open", 0,
    COUNTIFS(GrinderServices!$B$4:$B$998, $K743, GrinderServices!$C$4:$C$998, $E743, GrinderServices!$E$4:$E$998, "Y")=0, 0,
    $X743&lt;Config!$B$16, 0,
    Config!$B$18=1, IF($O743&gt;=N743, 0, 1),
    TRUE, 1
), "")
</f>
        <v>0</v>
      </c>
      <c r="AF743" s="40" t="str">
        <f>IFERROR(IF($AE743=0,"",((Config!$B$6*$Y743 + Config!$B$7*$U743 + Config!$B$8*$Z743 + Config!$B$9*$AA743 + Config!$B$10*$AB743 + Config!$B$11*$AC743 - Config!$B$12*$AD743)/Config!$B$13)+$AK743+$AL743),"")</f>
        <v/>
      </c>
      <c r="AG743" s="40" t="str">
        <f t="shared" si="6"/>
        <v/>
      </c>
      <c r="AH743" s="40" t="str">
        <f t="shared" si="7"/>
        <v/>
      </c>
      <c r="AI743" s="40" t="str">
        <f t="shared" si="8"/>
        <v/>
      </c>
      <c r="AJ743" s="40" t="str">
        <f>IF($K743="","",COUNTIF(Assignments!$B$6:$B$1000,$K743))</f>
        <v/>
      </c>
      <c r="AK743" s="40" t="str">
        <f>IF($K743="","",IF(AND($AJ743=0,$O743&lt;$N743),Config!$B$43,0))</f>
        <v/>
      </c>
      <c r="AL743" s="40" t="str">
        <f>IF($K743="","",IF(AND($M743="Elite",$G743&gt;=Config!$B$41,$O743&lt;$N743),Config!$B$42,0))</f>
        <v/>
      </c>
      <c r="AM743" s="22"/>
    </row>
    <row r="744" ht="15.75" customHeight="1">
      <c r="A744" s="40" t="str">
        <f t="shared" si="1"/>
        <v/>
      </c>
      <c r="B744" s="40" t="str">
        <f>IF(Bids!$A743="","",Bids!$A743)</f>
        <v/>
      </c>
      <c r="C744" s="40" t="str">
        <f>IF(Bids!$B743="","",Bids!$B743)</f>
        <v/>
      </c>
      <c r="D744" s="40" t="str">
        <f>IF($C744="","",IFERROR(VLOOKUP($C744,Orders!$A$4:$J$998,9,FALSE),""))</f>
        <v/>
      </c>
      <c r="E744" s="40" t="str">
        <f>IF($C744="","",IFERROR(VLOOKUP($C744,Orders!$A$4:$J$998,3,FALSE),""))</f>
        <v/>
      </c>
      <c r="F744" s="40">
        <f t="shared" si="2"/>
        <v>1</v>
      </c>
      <c r="G744" s="40" t="str">
        <f>IF($C744="","",IFERROR(VLOOKUP($C744,Orders!$A$4:$J$998,4,FALSE),""))</f>
        <v/>
      </c>
      <c r="H744" s="40" t="str">
        <f>IF($C744="","",IFERROR(VLOOKUP($C744,Orders!$A$4:$J$998,5,FALSE),""))</f>
        <v/>
      </c>
      <c r="I744" s="40" t="str">
        <f>IF($C744="","",IFERROR(VLOOKUP($C744,Orders!$A$4:$J$998,6,FALSE),""))</f>
        <v/>
      </c>
      <c r="J744" s="40" t="str">
        <f>IF($C744="","",IFERROR(VLOOKUP($C744,Orders!$A$4:$J$998,7,FALSE),""))</f>
        <v/>
      </c>
      <c r="K744" s="40" t="str">
        <f>IF(Bids!$C743="","",Bids!$C743)</f>
        <v/>
      </c>
      <c r="L744" s="40" t="str">
        <f>IF($K744="","",IFERROR(VLOOKUP($K744,Grinders!$A$4:$N$998,2,FALSE),""))</f>
        <v/>
      </c>
      <c r="M744" s="40" t="str">
        <f>IF($K744="","",IFERROR(VLOOKUP($K744,Grinders!$A$4:$N$998,3,FALSE),""))</f>
        <v/>
      </c>
      <c r="N744" s="40" t="str">
        <f>IF($K744="","",IFERROR(VLOOKUP($K744,Grinders!$A$4:$N$998,4,FALSE),""))</f>
        <v/>
      </c>
      <c r="O744" s="40" t="str">
        <f>IF($K744="","",IFERROR(VLOOKUP($K744,Grinders!$A$4:$N$998,5,FALSE),""))</f>
        <v/>
      </c>
      <c r="P744" s="40" t="str">
        <f>IF($K744="","",IF($C$4="",0,COUNTIFS(Assignments!$B$6:$B$1000,$K744,Assignments!$F$6:$F$1000,$C$4,Assignments!$E$6:$E$1000,"Active")))</f>
        <v/>
      </c>
      <c r="Q744" s="40" t="str">
        <f t="shared" si="3"/>
        <v/>
      </c>
      <c r="R744" s="40" t="str">
        <f t="shared" si="4"/>
        <v/>
      </c>
      <c r="S744" s="40" t="str">
        <f>IF($K744="","",IF($C$4="",0,COUNTIFS(Assignments!$B$6:$B$1000,$K744,Assignments!$F$6:$F$1000,$C$4,Assignments!$D$6:$D$1000,"&gt;="&amp;Config!$B$3-7,Assignments!$D$6:$D$1000,"&lt;="&amp;Config!$B$3)))</f>
        <v/>
      </c>
      <c r="T744" s="40" t="str">
        <f>IF($K744="","",IFERROR(VLOOKUP($K744,Grinders!$A$4:$N$998,8,FALSE),""))</f>
        <v/>
      </c>
      <c r="U744" s="40" t="str">
        <f>IFERROR(IF($K744="","",IF($M744="Elite",MAX(50,MIN(100,Config!$B$27*MAX(0,MIN(100,(1-IF($R744="",0,$R744))*100)) + Config!$B$28*MAX(0,MIN(100,(1-MIN(1,IF(Config!$B$30=0,1,$S744/Config!$B$30)))*100)) + Config!$B$29*MAX(0,MIN(100,MIN(1,IF($T744="",0,$T744)/Config!$B$23)*100)))),MIN(100,Config!$B$27*MAX(0,MIN(100,(1-IF($R744="",0,$R744))*100)) + Config!$B$28*MAX(0,MIN(100,(1-MIN(1,IF(Config!$B$30=0,1,$S744/Config!$B$30)))*100)) + Config!$B$29*MAX(0,MIN(100,MIN(1,IF($T744="",0,$T744)/Config!$B$23)*100))))),"")
</f>
        <v/>
      </c>
      <c r="V744" s="40" t="str">
        <f>IF(Bids!$D743="","",Bids!$D743)</f>
        <v/>
      </c>
      <c r="W744" s="40" t="str">
        <f>IF(Bids!$F743="","",Bids!$F743)</f>
        <v/>
      </c>
      <c r="X744" s="40" t="str">
        <f t="shared" si="5"/>
        <v/>
      </c>
      <c r="Y744" s="40" t="str">
        <f>IF($X744="","",IF(Config!$B$17=Config!$B$16,IF($X744&gt;=Config!$B$17,100,0),MAX(0,MIN(100,($X744-Config!$B$16)/(Config!$B$17-Config!$B$16)*100))))</f>
        <v/>
      </c>
      <c r="Z744" s="40">
        <f>IF($M744="Elite",Config!$B$21,0)</f>
        <v>0</v>
      </c>
      <c r="AA744" s="40" t="str">
        <f>IFERROR(IF(OR($W744="",$H744=""),"",IF($W744&gt;$H744,
  MAX(0, 60-(($W744-$H744)*24/Config!$B$19)*60),
  MIN(100, 60+(($H744-$W744)*24/Config!$B$20)*40)
)),"")
</f>
        <v/>
      </c>
      <c r="AB744" s="40" t="str">
        <f>IF($K744="","",IFERROR(VLOOKUP($K744,Grinders!$A$4:$N$998,10,FALSE)/5*100,""))</f>
        <v/>
      </c>
      <c r="AC744" s="40" t="str">
        <f>IF($K744="","",IFERROR(VLOOKUP($K744,Grinders!$A$4:$N$998,11,FALSE)*100,""))</f>
        <v/>
      </c>
      <c r="AD744" s="40" t="str">
        <f>IF($K744="","",IFERROR(VLOOKUP($K744,Grinders!$A$4:$N$998,12,FALSE)*100,""))</f>
        <v/>
      </c>
      <c r="AE744" s="40">
        <f>IFERROR(IFS(
    OR($C744="", $K744=""), 0,
    $F744=0, 0,
    $D744&lt;&gt;"Open", 0,
    COUNTIFS(GrinderServices!$B$4:$B$998, $K744, GrinderServices!$C$4:$C$998, $E744, GrinderServices!$E$4:$E$998, "Y")=0, 0,
    $X744&lt;Config!$B$16, 0,
    Config!$B$18=1, IF($O744&gt;=N744, 0, 1),
    TRUE, 1
), "")
</f>
        <v>0</v>
      </c>
      <c r="AF744" s="40" t="str">
        <f>IFERROR(IF($AE744=0,"",((Config!$B$6*$Y744 + Config!$B$7*$U744 + Config!$B$8*$Z744 + Config!$B$9*$AA744 + Config!$B$10*$AB744 + Config!$B$11*$AC744 - Config!$B$12*$AD744)/Config!$B$13)+$AK744+$AL744),"")</f>
        <v/>
      </c>
      <c r="AG744" s="40" t="str">
        <f t="shared" si="6"/>
        <v/>
      </c>
      <c r="AH744" s="40" t="str">
        <f t="shared" si="7"/>
        <v/>
      </c>
      <c r="AI744" s="40" t="str">
        <f t="shared" si="8"/>
        <v/>
      </c>
      <c r="AJ744" s="40" t="str">
        <f>IF($K744="","",COUNTIF(Assignments!$B$6:$B$1000,$K744))</f>
        <v/>
      </c>
      <c r="AK744" s="40" t="str">
        <f>IF($K744="","",IF(AND($AJ744=0,$O744&lt;$N744),Config!$B$43,0))</f>
        <v/>
      </c>
      <c r="AL744" s="40" t="str">
        <f>IF($K744="","",IF(AND($M744="Elite",$G744&gt;=Config!$B$41,$O744&lt;$N744),Config!$B$42,0))</f>
        <v/>
      </c>
      <c r="AM744" s="22"/>
    </row>
    <row r="745" ht="15.75" customHeight="1">
      <c r="A745" s="40" t="str">
        <f t="shared" si="1"/>
        <v/>
      </c>
      <c r="B745" s="40" t="str">
        <f>IF(Bids!$A744="","",Bids!$A744)</f>
        <v/>
      </c>
      <c r="C745" s="40" t="str">
        <f>IF(Bids!$B744="","",Bids!$B744)</f>
        <v/>
      </c>
      <c r="D745" s="40" t="str">
        <f>IF($C745="","",IFERROR(VLOOKUP($C745,Orders!$A$4:$J$998,9,FALSE),""))</f>
        <v/>
      </c>
      <c r="E745" s="40" t="str">
        <f>IF($C745="","",IFERROR(VLOOKUP($C745,Orders!$A$4:$J$998,3,FALSE),""))</f>
        <v/>
      </c>
      <c r="F745" s="40">
        <f t="shared" si="2"/>
        <v>1</v>
      </c>
      <c r="G745" s="40" t="str">
        <f>IF($C745="","",IFERROR(VLOOKUP($C745,Orders!$A$4:$J$998,4,FALSE),""))</f>
        <v/>
      </c>
      <c r="H745" s="40" t="str">
        <f>IF($C745="","",IFERROR(VLOOKUP($C745,Orders!$A$4:$J$998,5,FALSE),""))</f>
        <v/>
      </c>
      <c r="I745" s="40" t="str">
        <f>IF($C745="","",IFERROR(VLOOKUP($C745,Orders!$A$4:$J$998,6,FALSE),""))</f>
        <v/>
      </c>
      <c r="J745" s="40" t="str">
        <f>IF($C745="","",IFERROR(VLOOKUP($C745,Orders!$A$4:$J$998,7,FALSE),""))</f>
        <v/>
      </c>
      <c r="K745" s="40" t="str">
        <f>IF(Bids!$C744="","",Bids!$C744)</f>
        <v/>
      </c>
      <c r="L745" s="40" t="str">
        <f>IF($K745="","",IFERROR(VLOOKUP($K745,Grinders!$A$4:$N$998,2,FALSE),""))</f>
        <v/>
      </c>
      <c r="M745" s="40" t="str">
        <f>IF($K745="","",IFERROR(VLOOKUP($K745,Grinders!$A$4:$N$998,3,FALSE),""))</f>
        <v/>
      </c>
      <c r="N745" s="40" t="str">
        <f>IF($K745="","",IFERROR(VLOOKUP($K745,Grinders!$A$4:$N$998,4,FALSE),""))</f>
        <v/>
      </c>
      <c r="O745" s="40" t="str">
        <f>IF($K745="","",IFERROR(VLOOKUP($K745,Grinders!$A$4:$N$998,5,FALSE),""))</f>
        <v/>
      </c>
      <c r="P745" s="40" t="str">
        <f>IF($K745="","",IF($C$4="",0,COUNTIFS(Assignments!$B$6:$B$1000,$K745,Assignments!$F$6:$F$1000,$C$4,Assignments!$E$6:$E$1000,"Active")))</f>
        <v/>
      </c>
      <c r="Q745" s="40" t="str">
        <f t="shared" si="3"/>
        <v/>
      </c>
      <c r="R745" s="40" t="str">
        <f t="shared" si="4"/>
        <v/>
      </c>
      <c r="S745" s="40" t="str">
        <f>IF($K745="","",IF($C$4="",0,COUNTIFS(Assignments!$B$6:$B$1000,$K745,Assignments!$F$6:$F$1000,$C$4,Assignments!$D$6:$D$1000,"&gt;="&amp;Config!$B$3-7,Assignments!$D$6:$D$1000,"&lt;="&amp;Config!$B$3)))</f>
        <v/>
      </c>
      <c r="T745" s="40" t="str">
        <f>IF($K745="","",IFERROR(VLOOKUP($K745,Grinders!$A$4:$N$998,8,FALSE),""))</f>
        <v/>
      </c>
      <c r="U745" s="40" t="str">
        <f>IFERROR(IF($K745="","",IF($M745="Elite",MAX(50,MIN(100,Config!$B$27*MAX(0,MIN(100,(1-IF($R745="",0,$R745))*100)) + Config!$B$28*MAX(0,MIN(100,(1-MIN(1,IF(Config!$B$30=0,1,$S745/Config!$B$30)))*100)) + Config!$B$29*MAX(0,MIN(100,MIN(1,IF($T745="",0,$T745)/Config!$B$23)*100)))),MIN(100,Config!$B$27*MAX(0,MIN(100,(1-IF($R745="",0,$R745))*100)) + Config!$B$28*MAX(0,MIN(100,(1-MIN(1,IF(Config!$B$30=0,1,$S745/Config!$B$30)))*100)) + Config!$B$29*MAX(0,MIN(100,MIN(1,IF($T745="",0,$T745)/Config!$B$23)*100))))),"")
</f>
        <v/>
      </c>
      <c r="V745" s="40" t="str">
        <f>IF(Bids!$D744="","",Bids!$D744)</f>
        <v/>
      </c>
      <c r="W745" s="40" t="str">
        <f>IF(Bids!$F744="","",Bids!$F744)</f>
        <v/>
      </c>
      <c r="X745" s="40" t="str">
        <f t="shared" si="5"/>
        <v/>
      </c>
      <c r="Y745" s="40" t="str">
        <f>IF($X745="","",IF(Config!$B$17=Config!$B$16,IF($X745&gt;=Config!$B$17,100,0),MAX(0,MIN(100,($X745-Config!$B$16)/(Config!$B$17-Config!$B$16)*100))))</f>
        <v/>
      </c>
      <c r="Z745" s="40">
        <f>IF($M745="Elite",Config!$B$21,0)</f>
        <v>0</v>
      </c>
      <c r="AA745" s="40" t="str">
        <f>IFERROR(IF(OR($W745="",$H745=""),"",IF($W745&gt;$H745,
  MAX(0, 60-(($W745-$H745)*24/Config!$B$19)*60),
  MIN(100, 60+(($H745-$W745)*24/Config!$B$20)*40)
)),"")
</f>
        <v/>
      </c>
      <c r="AB745" s="40" t="str">
        <f>IF($K745="","",IFERROR(VLOOKUP($K745,Grinders!$A$4:$N$998,10,FALSE)/5*100,""))</f>
        <v/>
      </c>
      <c r="AC745" s="40" t="str">
        <f>IF($K745="","",IFERROR(VLOOKUP($K745,Grinders!$A$4:$N$998,11,FALSE)*100,""))</f>
        <v/>
      </c>
      <c r="AD745" s="40" t="str">
        <f>IF($K745="","",IFERROR(VLOOKUP($K745,Grinders!$A$4:$N$998,12,FALSE)*100,""))</f>
        <v/>
      </c>
      <c r="AE745" s="40">
        <f>IFERROR(IFS(
    OR($C745="", $K745=""), 0,
    $F745=0, 0,
    $D745&lt;&gt;"Open", 0,
    COUNTIFS(GrinderServices!$B$4:$B$998, $K745, GrinderServices!$C$4:$C$998, $E745, GrinderServices!$E$4:$E$998, "Y")=0, 0,
    $X745&lt;Config!$B$16, 0,
    Config!$B$18=1, IF($O745&gt;=N745, 0, 1),
    TRUE, 1
), "")
</f>
        <v>0</v>
      </c>
      <c r="AF745" s="40" t="str">
        <f>IFERROR(IF($AE745=0,"",((Config!$B$6*$Y745 + Config!$B$7*$U745 + Config!$B$8*$Z745 + Config!$B$9*$AA745 + Config!$B$10*$AB745 + Config!$B$11*$AC745 - Config!$B$12*$AD745)/Config!$B$13)+$AK745+$AL745),"")</f>
        <v/>
      </c>
      <c r="AG745" s="40" t="str">
        <f t="shared" si="6"/>
        <v/>
      </c>
      <c r="AH745" s="40" t="str">
        <f t="shared" si="7"/>
        <v/>
      </c>
      <c r="AI745" s="40" t="str">
        <f t="shared" si="8"/>
        <v/>
      </c>
      <c r="AJ745" s="40" t="str">
        <f>IF($K745="","",COUNTIF(Assignments!$B$6:$B$1000,$K745))</f>
        <v/>
      </c>
      <c r="AK745" s="40" t="str">
        <f>IF($K745="","",IF(AND($AJ745=0,$O745&lt;$N745),Config!$B$43,0))</f>
        <v/>
      </c>
      <c r="AL745" s="40" t="str">
        <f>IF($K745="","",IF(AND($M745="Elite",$G745&gt;=Config!$B$41,$O745&lt;$N745),Config!$B$42,0))</f>
        <v/>
      </c>
      <c r="AM745" s="22"/>
    </row>
    <row r="746" ht="15.75" customHeight="1">
      <c r="A746" s="40" t="str">
        <f t="shared" si="1"/>
        <v/>
      </c>
      <c r="B746" s="40" t="str">
        <f>IF(Bids!$A745="","",Bids!$A745)</f>
        <v/>
      </c>
      <c r="C746" s="40" t="str">
        <f>IF(Bids!$B745="","",Bids!$B745)</f>
        <v/>
      </c>
      <c r="D746" s="40" t="str">
        <f>IF($C746="","",IFERROR(VLOOKUP($C746,Orders!$A$4:$J$998,9,FALSE),""))</f>
        <v/>
      </c>
      <c r="E746" s="40" t="str">
        <f>IF($C746="","",IFERROR(VLOOKUP($C746,Orders!$A$4:$J$998,3,FALSE),""))</f>
        <v/>
      </c>
      <c r="F746" s="40">
        <f t="shared" si="2"/>
        <v>1</v>
      </c>
      <c r="G746" s="40" t="str">
        <f>IF($C746="","",IFERROR(VLOOKUP($C746,Orders!$A$4:$J$998,4,FALSE),""))</f>
        <v/>
      </c>
      <c r="H746" s="40" t="str">
        <f>IF($C746="","",IFERROR(VLOOKUP($C746,Orders!$A$4:$J$998,5,FALSE),""))</f>
        <v/>
      </c>
      <c r="I746" s="40" t="str">
        <f>IF($C746="","",IFERROR(VLOOKUP($C746,Orders!$A$4:$J$998,6,FALSE),""))</f>
        <v/>
      </c>
      <c r="J746" s="40" t="str">
        <f>IF($C746="","",IFERROR(VLOOKUP($C746,Orders!$A$4:$J$998,7,FALSE),""))</f>
        <v/>
      </c>
      <c r="K746" s="40" t="str">
        <f>IF(Bids!$C745="","",Bids!$C745)</f>
        <v/>
      </c>
      <c r="L746" s="40" t="str">
        <f>IF($K746="","",IFERROR(VLOOKUP($K746,Grinders!$A$4:$N$998,2,FALSE),""))</f>
        <v/>
      </c>
      <c r="M746" s="40" t="str">
        <f>IF($K746="","",IFERROR(VLOOKUP($K746,Grinders!$A$4:$N$998,3,FALSE),""))</f>
        <v/>
      </c>
      <c r="N746" s="40" t="str">
        <f>IF($K746="","",IFERROR(VLOOKUP($K746,Grinders!$A$4:$N$998,4,FALSE),""))</f>
        <v/>
      </c>
      <c r="O746" s="40" t="str">
        <f>IF($K746="","",IFERROR(VLOOKUP($K746,Grinders!$A$4:$N$998,5,FALSE),""))</f>
        <v/>
      </c>
      <c r="P746" s="40" t="str">
        <f>IF($K746="","",IF($C$4="",0,COUNTIFS(Assignments!$B$6:$B$1000,$K746,Assignments!$F$6:$F$1000,$C$4,Assignments!$E$6:$E$1000,"Active")))</f>
        <v/>
      </c>
      <c r="Q746" s="40" t="str">
        <f t="shared" si="3"/>
        <v/>
      </c>
      <c r="R746" s="40" t="str">
        <f t="shared" si="4"/>
        <v/>
      </c>
      <c r="S746" s="40" t="str">
        <f>IF($K746="","",IF($C$4="",0,COUNTIFS(Assignments!$B$6:$B$1000,$K746,Assignments!$F$6:$F$1000,$C$4,Assignments!$D$6:$D$1000,"&gt;="&amp;Config!$B$3-7,Assignments!$D$6:$D$1000,"&lt;="&amp;Config!$B$3)))</f>
        <v/>
      </c>
      <c r="T746" s="40" t="str">
        <f>IF($K746="","",IFERROR(VLOOKUP($K746,Grinders!$A$4:$N$998,8,FALSE),""))</f>
        <v/>
      </c>
      <c r="U746" s="40" t="str">
        <f>IFERROR(IF($K746="","",IF($M746="Elite",MAX(50,MIN(100,Config!$B$27*MAX(0,MIN(100,(1-IF($R746="",0,$R746))*100)) + Config!$B$28*MAX(0,MIN(100,(1-MIN(1,IF(Config!$B$30=0,1,$S746/Config!$B$30)))*100)) + Config!$B$29*MAX(0,MIN(100,MIN(1,IF($T746="",0,$T746)/Config!$B$23)*100)))),MIN(100,Config!$B$27*MAX(0,MIN(100,(1-IF($R746="",0,$R746))*100)) + Config!$B$28*MAX(0,MIN(100,(1-MIN(1,IF(Config!$B$30=0,1,$S746/Config!$B$30)))*100)) + Config!$B$29*MAX(0,MIN(100,MIN(1,IF($T746="",0,$T746)/Config!$B$23)*100))))),"")
</f>
        <v/>
      </c>
      <c r="V746" s="40" t="str">
        <f>IF(Bids!$D745="","",Bids!$D745)</f>
        <v/>
      </c>
      <c r="W746" s="40" t="str">
        <f>IF(Bids!$F745="","",Bids!$F745)</f>
        <v/>
      </c>
      <c r="X746" s="40" t="str">
        <f t="shared" si="5"/>
        <v/>
      </c>
      <c r="Y746" s="40" t="str">
        <f>IF($X746="","",IF(Config!$B$17=Config!$B$16,IF($X746&gt;=Config!$B$17,100,0),MAX(0,MIN(100,($X746-Config!$B$16)/(Config!$B$17-Config!$B$16)*100))))</f>
        <v/>
      </c>
      <c r="Z746" s="40">
        <f>IF($M746="Elite",Config!$B$21,0)</f>
        <v>0</v>
      </c>
      <c r="AA746" s="40" t="str">
        <f>IFERROR(IF(OR($W746="",$H746=""),"",IF($W746&gt;$H746,
  MAX(0, 60-(($W746-$H746)*24/Config!$B$19)*60),
  MIN(100, 60+(($H746-$W746)*24/Config!$B$20)*40)
)),"")
</f>
        <v/>
      </c>
      <c r="AB746" s="40" t="str">
        <f>IF($K746="","",IFERROR(VLOOKUP($K746,Grinders!$A$4:$N$998,10,FALSE)/5*100,""))</f>
        <v/>
      </c>
      <c r="AC746" s="40" t="str">
        <f>IF($K746="","",IFERROR(VLOOKUP($K746,Grinders!$A$4:$N$998,11,FALSE)*100,""))</f>
        <v/>
      </c>
      <c r="AD746" s="40" t="str">
        <f>IF($K746="","",IFERROR(VLOOKUP($K746,Grinders!$A$4:$N$998,12,FALSE)*100,""))</f>
        <v/>
      </c>
      <c r="AE746" s="40">
        <f>IFERROR(IFS(
    OR($C746="", $K746=""), 0,
    $F746=0, 0,
    $D746&lt;&gt;"Open", 0,
    COUNTIFS(GrinderServices!$B$4:$B$998, $K746, GrinderServices!$C$4:$C$998, $E746, GrinderServices!$E$4:$E$998, "Y")=0, 0,
    $X746&lt;Config!$B$16, 0,
    Config!$B$18=1, IF($O746&gt;=N746, 0, 1),
    TRUE, 1
), "")
</f>
        <v>0</v>
      </c>
      <c r="AF746" s="40" t="str">
        <f>IFERROR(IF($AE746=0,"",((Config!$B$6*$Y746 + Config!$B$7*$U746 + Config!$B$8*$Z746 + Config!$B$9*$AA746 + Config!$B$10*$AB746 + Config!$B$11*$AC746 - Config!$B$12*$AD746)/Config!$B$13)+$AK746+$AL746),"")</f>
        <v/>
      </c>
      <c r="AG746" s="40" t="str">
        <f t="shared" si="6"/>
        <v/>
      </c>
      <c r="AH746" s="40" t="str">
        <f t="shared" si="7"/>
        <v/>
      </c>
      <c r="AI746" s="40" t="str">
        <f t="shared" si="8"/>
        <v/>
      </c>
      <c r="AJ746" s="40" t="str">
        <f>IF($K746="","",COUNTIF(Assignments!$B$6:$B$1000,$K746))</f>
        <v/>
      </c>
      <c r="AK746" s="40" t="str">
        <f>IF($K746="","",IF(AND($AJ746=0,$O746&lt;$N746),Config!$B$43,0))</f>
        <v/>
      </c>
      <c r="AL746" s="40" t="str">
        <f>IF($K746="","",IF(AND($M746="Elite",$G746&gt;=Config!$B$41,$O746&lt;$N746),Config!$B$42,0))</f>
        <v/>
      </c>
      <c r="AM746" s="22"/>
    </row>
    <row r="747" ht="15.75" customHeight="1">
      <c r="A747" s="40" t="str">
        <f t="shared" si="1"/>
        <v/>
      </c>
      <c r="B747" s="40" t="str">
        <f>IF(Bids!$A746="","",Bids!$A746)</f>
        <v/>
      </c>
      <c r="C747" s="40" t="str">
        <f>IF(Bids!$B746="","",Bids!$B746)</f>
        <v/>
      </c>
      <c r="D747" s="40" t="str">
        <f>IF($C747="","",IFERROR(VLOOKUP($C747,Orders!$A$4:$J$998,9,FALSE),""))</f>
        <v/>
      </c>
      <c r="E747" s="40" t="str">
        <f>IF($C747="","",IFERROR(VLOOKUP($C747,Orders!$A$4:$J$998,3,FALSE),""))</f>
        <v/>
      </c>
      <c r="F747" s="40">
        <f t="shared" si="2"/>
        <v>1</v>
      </c>
      <c r="G747" s="40" t="str">
        <f>IF($C747="","",IFERROR(VLOOKUP($C747,Orders!$A$4:$J$998,4,FALSE),""))</f>
        <v/>
      </c>
      <c r="H747" s="40" t="str">
        <f>IF($C747="","",IFERROR(VLOOKUP($C747,Orders!$A$4:$J$998,5,FALSE),""))</f>
        <v/>
      </c>
      <c r="I747" s="40" t="str">
        <f>IF($C747="","",IFERROR(VLOOKUP($C747,Orders!$A$4:$J$998,6,FALSE),""))</f>
        <v/>
      </c>
      <c r="J747" s="40" t="str">
        <f>IF($C747="","",IFERROR(VLOOKUP($C747,Orders!$A$4:$J$998,7,FALSE),""))</f>
        <v/>
      </c>
      <c r="K747" s="40" t="str">
        <f>IF(Bids!$C746="","",Bids!$C746)</f>
        <v/>
      </c>
      <c r="L747" s="40" t="str">
        <f>IF($K747="","",IFERROR(VLOOKUP($K747,Grinders!$A$4:$N$998,2,FALSE),""))</f>
        <v/>
      </c>
      <c r="M747" s="40" t="str">
        <f>IF($K747="","",IFERROR(VLOOKUP($K747,Grinders!$A$4:$N$998,3,FALSE),""))</f>
        <v/>
      </c>
      <c r="N747" s="40" t="str">
        <f>IF($K747="","",IFERROR(VLOOKUP($K747,Grinders!$A$4:$N$998,4,FALSE),""))</f>
        <v/>
      </c>
      <c r="O747" s="40" t="str">
        <f>IF($K747="","",IFERROR(VLOOKUP($K747,Grinders!$A$4:$N$998,5,FALSE),""))</f>
        <v/>
      </c>
      <c r="P747" s="40" t="str">
        <f>IF($K747="","",IF($C$4="",0,COUNTIFS(Assignments!$B$6:$B$1000,$K747,Assignments!$F$6:$F$1000,$C$4,Assignments!$E$6:$E$1000,"Active")))</f>
        <v/>
      </c>
      <c r="Q747" s="40" t="str">
        <f t="shared" si="3"/>
        <v/>
      </c>
      <c r="R747" s="40" t="str">
        <f t="shared" si="4"/>
        <v/>
      </c>
      <c r="S747" s="40" t="str">
        <f>IF($K747="","",IF($C$4="",0,COUNTIFS(Assignments!$B$6:$B$1000,$K747,Assignments!$F$6:$F$1000,$C$4,Assignments!$D$6:$D$1000,"&gt;="&amp;Config!$B$3-7,Assignments!$D$6:$D$1000,"&lt;="&amp;Config!$B$3)))</f>
        <v/>
      </c>
      <c r="T747" s="40" t="str">
        <f>IF($K747="","",IFERROR(VLOOKUP($K747,Grinders!$A$4:$N$998,8,FALSE),""))</f>
        <v/>
      </c>
      <c r="U747" s="40" t="str">
        <f>IFERROR(IF($K747="","",IF($M747="Elite",MAX(50,MIN(100,Config!$B$27*MAX(0,MIN(100,(1-IF($R747="",0,$R747))*100)) + Config!$B$28*MAX(0,MIN(100,(1-MIN(1,IF(Config!$B$30=0,1,$S747/Config!$B$30)))*100)) + Config!$B$29*MAX(0,MIN(100,MIN(1,IF($T747="",0,$T747)/Config!$B$23)*100)))),MIN(100,Config!$B$27*MAX(0,MIN(100,(1-IF($R747="",0,$R747))*100)) + Config!$B$28*MAX(0,MIN(100,(1-MIN(1,IF(Config!$B$30=0,1,$S747/Config!$B$30)))*100)) + Config!$B$29*MAX(0,MIN(100,MIN(1,IF($T747="",0,$T747)/Config!$B$23)*100))))),"")
</f>
        <v/>
      </c>
      <c r="V747" s="40" t="str">
        <f>IF(Bids!$D746="","",Bids!$D746)</f>
        <v/>
      </c>
      <c r="W747" s="40" t="str">
        <f>IF(Bids!$F746="","",Bids!$F746)</f>
        <v/>
      </c>
      <c r="X747" s="40" t="str">
        <f t="shared" si="5"/>
        <v/>
      </c>
      <c r="Y747" s="40" t="str">
        <f>IF($X747="","",IF(Config!$B$17=Config!$B$16,IF($X747&gt;=Config!$B$17,100,0),MAX(0,MIN(100,($X747-Config!$B$16)/(Config!$B$17-Config!$B$16)*100))))</f>
        <v/>
      </c>
      <c r="Z747" s="40">
        <f>IF($M747="Elite",Config!$B$21,0)</f>
        <v>0</v>
      </c>
      <c r="AA747" s="40" t="str">
        <f>IFERROR(IF(OR($W747="",$H747=""),"",IF($W747&gt;$H747,
  MAX(0, 60-(($W747-$H747)*24/Config!$B$19)*60),
  MIN(100, 60+(($H747-$W747)*24/Config!$B$20)*40)
)),"")
</f>
        <v/>
      </c>
      <c r="AB747" s="40" t="str">
        <f>IF($K747="","",IFERROR(VLOOKUP($K747,Grinders!$A$4:$N$998,10,FALSE)/5*100,""))</f>
        <v/>
      </c>
      <c r="AC747" s="40" t="str">
        <f>IF($K747="","",IFERROR(VLOOKUP($K747,Grinders!$A$4:$N$998,11,FALSE)*100,""))</f>
        <v/>
      </c>
      <c r="AD747" s="40" t="str">
        <f>IF($K747="","",IFERROR(VLOOKUP($K747,Grinders!$A$4:$N$998,12,FALSE)*100,""))</f>
        <v/>
      </c>
      <c r="AE747" s="40">
        <f>IFERROR(IFS(
    OR($C747="", $K747=""), 0,
    $F747=0, 0,
    $D747&lt;&gt;"Open", 0,
    COUNTIFS(GrinderServices!$B$4:$B$998, $K747, GrinderServices!$C$4:$C$998, $E747, GrinderServices!$E$4:$E$998, "Y")=0, 0,
    $X747&lt;Config!$B$16, 0,
    Config!$B$18=1, IF($O747&gt;=N747, 0, 1),
    TRUE, 1
), "")
</f>
        <v>0</v>
      </c>
      <c r="AF747" s="40" t="str">
        <f>IFERROR(IF($AE747=0,"",((Config!$B$6*$Y747 + Config!$B$7*$U747 + Config!$B$8*$Z747 + Config!$B$9*$AA747 + Config!$B$10*$AB747 + Config!$B$11*$AC747 - Config!$B$12*$AD747)/Config!$B$13)+$AK747+$AL747),"")</f>
        <v/>
      </c>
      <c r="AG747" s="40" t="str">
        <f t="shared" si="6"/>
        <v/>
      </c>
      <c r="AH747" s="40" t="str">
        <f t="shared" si="7"/>
        <v/>
      </c>
      <c r="AI747" s="40" t="str">
        <f t="shared" si="8"/>
        <v/>
      </c>
      <c r="AJ747" s="40" t="str">
        <f>IF($K747="","",COUNTIF(Assignments!$B$6:$B$1000,$K747))</f>
        <v/>
      </c>
      <c r="AK747" s="40" t="str">
        <f>IF($K747="","",IF(AND($AJ747=0,$O747&lt;$N747),Config!$B$43,0))</f>
        <v/>
      </c>
      <c r="AL747" s="40" t="str">
        <f>IF($K747="","",IF(AND($M747="Elite",$G747&gt;=Config!$B$41,$O747&lt;$N747),Config!$B$42,0))</f>
        <v/>
      </c>
      <c r="AM747" s="22"/>
    </row>
    <row r="748" ht="15.75" customHeight="1">
      <c r="A748" s="40" t="str">
        <f t="shared" si="1"/>
        <v/>
      </c>
      <c r="B748" s="40" t="str">
        <f>IF(Bids!$A747="","",Bids!$A747)</f>
        <v/>
      </c>
      <c r="C748" s="40" t="str">
        <f>IF(Bids!$B747="","",Bids!$B747)</f>
        <v/>
      </c>
      <c r="D748" s="40" t="str">
        <f>IF($C748="","",IFERROR(VLOOKUP($C748,Orders!$A$4:$J$998,9,FALSE),""))</f>
        <v/>
      </c>
      <c r="E748" s="40" t="str">
        <f>IF($C748="","",IFERROR(VLOOKUP($C748,Orders!$A$4:$J$998,3,FALSE),""))</f>
        <v/>
      </c>
      <c r="F748" s="40">
        <f t="shared" si="2"/>
        <v>1</v>
      </c>
      <c r="G748" s="40" t="str">
        <f>IF($C748="","",IFERROR(VLOOKUP($C748,Orders!$A$4:$J$998,4,FALSE),""))</f>
        <v/>
      </c>
      <c r="H748" s="40" t="str">
        <f>IF($C748="","",IFERROR(VLOOKUP($C748,Orders!$A$4:$J$998,5,FALSE),""))</f>
        <v/>
      </c>
      <c r="I748" s="40" t="str">
        <f>IF($C748="","",IFERROR(VLOOKUP($C748,Orders!$A$4:$J$998,6,FALSE),""))</f>
        <v/>
      </c>
      <c r="J748" s="40" t="str">
        <f>IF($C748="","",IFERROR(VLOOKUP($C748,Orders!$A$4:$J$998,7,FALSE),""))</f>
        <v/>
      </c>
      <c r="K748" s="40" t="str">
        <f>IF(Bids!$C747="","",Bids!$C747)</f>
        <v/>
      </c>
      <c r="L748" s="40" t="str">
        <f>IF($K748="","",IFERROR(VLOOKUP($K748,Grinders!$A$4:$N$998,2,FALSE),""))</f>
        <v/>
      </c>
      <c r="M748" s="40" t="str">
        <f>IF($K748="","",IFERROR(VLOOKUP($K748,Grinders!$A$4:$N$998,3,FALSE),""))</f>
        <v/>
      </c>
      <c r="N748" s="40" t="str">
        <f>IF($K748="","",IFERROR(VLOOKUP($K748,Grinders!$A$4:$N$998,4,FALSE),""))</f>
        <v/>
      </c>
      <c r="O748" s="40" t="str">
        <f>IF($K748="","",IFERROR(VLOOKUP($K748,Grinders!$A$4:$N$998,5,FALSE),""))</f>
        <v/>
      </c>
      <c r="P748" s="40" t="str">
        <f>IF($K748="","",IF($C$4="",0,COUNTIFS(Assignments!$B$6:$B$1000,$K748,Assignments!$F$6:$F$1000,$C$4,Assignments!$E$6:$E$1000,"Active")))</f>
        <v/>
      </c>
      <c r="Q748" s="40" t="str">
        <f t="shared" si="3"/>
        <v/>
      </c>
      <c r="R748" s="40" t="str">
        <f t="shared" si="4"/>
        <v/>
      </c>
      <c r="S748" s="40" t="str">
        <f>IF($K748="","",IF($C$4="",0,COUNTIFS(Assignments!$B$6:$B$1000,$K748,Assignments!$F$6:$F$1000,$C$4,Assignments!$D$6:$D$1000,"&gt;="&amp;Config!$B$3-7,Assignments!$D$6:$D$1000,"&lt;="&amp;Config!$B$3)))</f>
        <v/>
      </c>
      <c r="T748" s="40" t="str">
        <f>IF($K748="","",IFERROR(VLOOKUP($K748,Grinders!$A$4:$N$998,8,FALSE),""))</f>
        <v/>
      </c>
      <c r="U748" s="40" t="str">
        <f>IFERROR(IF($K748="","",IF($M748="Elite",MAX(50,MIN(100,Config!$B$27*MAX(0,MIN(100,(1-IF($R748="",0,$R748))*100)) + Config!$B$28*MAX(0,MIN(100,(1-MIN(1,IF(Config!$B$30=0,1,$S748/Config!$B$30)))*100)) + Config!$B$29*MAX(0,MIN(100,MIN(1,IF($T748="",0,$T748)/Config!$B$23)*100)))),MIN(100,Config!$B$27*MAX(0,MIN(100,(1-IF($R748="",0,$R748))*100)) + Config!$B$28*MAX(0,MIN(100,(1-MIN(1,IF(Config!$B$30=0,1,$S748/Config!$B$30)))*100)) + Config!$B$29*MAX(0,MIN(100,MIN(1,IF($T748="",0,$T748)/Config!$B$23)*100))))),"")
</f>
        <v/>
      </c>
      <c r="V748" s="40" t="str">
        <f>IF(Bids!$D747="","",Bids!$D747)</f>
        <v/>
      </c>
      <c r="W748" s="40" t="str">
        <f>IF(Bids!$F747="","",Bids!$F747)</f>
        <v/>
      </c>
      <c r="X748" s="40" t="str">
        <f t="shared" si="5"/>
        <v/>
      </c>
      <c r="Y748" s="40" t="str">
        <f>IF($X748="","",IF(Config!$B$17=Config!$B$16,IF($X748&gt;=Config!$B$17,100,0),MAX(0,MIN(100,($X748-Config!$B$16)/(Config!$B$17-Config!$B$16)*100))))</f>
        <v/>
      </c>
      <c r="Z748" s="40">
        <f>IF($M748="Elite",Config!$B$21,0)</f>
        <v>0</v>
      </c>
      <c r="AA748" s="40" t="str">
        <f>IFERROR(IF(OR($W748="",$H748=""),"",IF($W748&gt;$H748,
  MAX(0, 60-(($W748-$H748)*24/Config!$B$19)*60),
  MIN(100, 60+(($H748-$W748)*24/Config!$B$20)*40)
)),"")
</f>
        <v/>
      </c>
      <c r="AB748" s="40" t="str">
        <f>IF($K748="","",IFERROR(VLOOKUP($K748,Grinders!$A$4:$N$998,10,FALSE)/5*100,""))</f>
        <v/>
      </c>
      <c r="AC748" s="40" t="str">
        <f>IF($K748="","",IFERROR(VLOOKUP($K748,Grinders!$A$4:$N$998,11,FALSE)*100,""))</f>
        <v/>
      </c>
      <c r="AD748" s="40" t="str">
        <f>IF($K748="","",IFERROR(VLOOKUP($K748,Grinders!$A$4:$N$998,12,FALSE)*100,""))</f>
        <v/>
      </c>
      <c r="AE748" s="40">
        <f>IFERROR(IFS(
    OR($C748="", $K748=""), 0,
    $F748=0, 0,
    $D748&lt;&gt;"Open", 0,
    COUNTIFS(GrinderServices!$B$4:$B$998, $K748, GrinderServices!$C$4:$C$998, $E748, GrinderServices!$E$4:$E$998, "Y")=0, 0,
    $X748&lt;Config!$B$16, 0,
    Config!$B$18=1, IF($O748&gt;=N748, 0, 1),
    TRUE, 1
), "")
</f>
        <v>0</v>
      </c>
      <c r="AF748" s="40" t="str">
        <f>IFERROR(IF($AE748=0,"",((Config!$B$6*$Y748 + Config!$B$7*$U748 + Config!$B$8*$Z748 + Config!$B$9*$AA748 + Config!$B$10*$AB748 + Config!$B$11*$AC748 - Config!$B$12*$AD748)/Config!$B$13)+$AK748+$AL748),"")</f>
        <v/>
      </c>
      <c r="AG748" s="40" t="str">
        <f t="shared" si="6"/>
        <v/>
      </c>
      <c r="AH748" s="40" t="str">
        <f t="shared" si="7"/>
        <v/>
      </c>
      <c r="AI748" s="40" t="str">
        <f t="shared" si="8"/>
        <v/>
      </c>
      <c r="AJ748" s="40" t="str">
        <f>IF($K748="","",COUNTIF(Assignments!$B$6:$B$1000,$K748))</f>
        <v/>
      </c>
      <c r="AK748" s="40" t="str">
        <f>IF($K748="","",IF(AND($AJ748=0,$O748&lt;$N748),Config!$B$43,0))</f>
        <v/>
      </c>
      <c r="AL748" s="40" t="str">
        <f>IF($K748="","",IF(AND($M748="Elite",$G748&gt;=Config!$B$41,$O748&lt;$N748),Config!$B$42,0))</f>
        <v/>
      </c>
      <c r="AM748" s="22"/>
    </row>
    <row r="749" ht="15.75" customHeight="1">
      <c r="A749" s="40" t="str">
        <f t="shared" si="1"/>
        <v/>
      </c>
      <c r="B749" s="40" t="str">
        <f>IF(Bids!$A748="","",Bids!$A748)</f>
        <v/>
      </c>
      <c r="C749" s="40" t="str">
        <f>IF(Bids!$B748="","",Bids!$B748)</f>
        <v/>
      </c>
      <c r="D749" s="40" t="str">
        <f>IF($C749="","",IFERROR(VLOOKUP($C749,Orders!$A$4:$J$998,9,FALSE),""))</f>
        <v/>
      </c>
      <c r="E749" s="40" t="str">
        <f>IF($C749="","",IFERROR(VLOOKUP($C749,Orders!$A$4:$J$998,3,FALSE),""))</f>
        <v/>
      </c>
      <c r="F749" s="40">
        <f t="shared" si="2"/>
        <v>1</v>
      </c>
      <c r="G749" s="40" t="str">
        <f>IF($C749="","",IFERROR(VLOOKUP($C749,Orders!$A$4:$J$998,4,FALSE),""))</f>
        <v/>
      </c>
      <c r="H749" s="40" t="str">
        <f>IF($C749="","",IFERROR(VLOOKUP($C749,Orders!$A$4:$J$998,5,FALSE),""))</f>
        <v/>
      </c>
      <c r="I749" s="40" t="str">
        <f>IF($C749="","",IFERROR(VLOOKUP($C749,Orders!$A$4:$J$998,6,FALSE),""))</f>
        <v/>
      </c>
      <c r="J749" s="40" t="str">
        <f>IF($C749="","",IFERROR(VLOOKUP($C749,Orders!$A$4:$J$998,7,FALSE),""))</f>
        <v/>
      </c>
      <c r="K749" s="40" t="str">
        <f>IF(Bids!$C748="","",Bids!$C748)</f>
        <v/>
      </c>
      <c r="L749" s="40" t="str">
        <f>IF($K749="","",IFERROR(VLOOKUP($K749,Grinders!$A$4:$N$998,2,FALSE),""))</f>
        <v/>
      </c>
      <c r="M749" s="40" t="str">
        <f>IF($K749="","",IFERROR(VLOOKUP($K749,Grinders!$A$4:$N$998,3,FALSE),""))</f>
        <v/>
      </c>
      <c r="N749" s="40" t="str">
        <f>IF($K749="","",IFERROR(VLOOKUP($K749,Grinders!$A$4:$N$998,4,FALSE),""))</f>
        <v/>
      </c>
      <c r="O749" s="40" t="str">
        <f>IF($K749="","",IFERROR(VLOOKUP($K749,Grinders!$A$4:$N$998,5,FALSE),""))</f>
        <v/>
      </c>
      <c r="P749" s="40" t="str">
        <f>IF($K749="","",IF($C$4="",0,COUNTIFS(Assignments!$B$6:$B$1000,$K749,Assignments!$F$6:$F$1000,$C$4,Assignments!$E$6:$E$1000,"Active")))</f>
        <v/>
      </c>
      <c r="Q749" s="40" t="str">
        <f t="shared" si="3"/>
        <v/>
      </c>
      <c r="R749" s="40" t="str">
        <f t="shared" si="4"/>
        <v/>
      </c>
      <c r="S749" s="40" t="str">
        <f>IF($K749="","",IF($C$4="",0,COUNTIFS(Assignments!$B$6:$B$1000,$K749,Assignments!$F$6:$F$1000,$C$4,Assignments!$D$6:$D$1000,"&gt;="&amp;Config!$B$3-7,Assignments!$D$6:$D$1000,"&lt;="&amp;Config!$B$3)))</f>
        <v/>
      </c>
      <c r="T749" s="40" t="str">
        <f>IF($K749="","",IFERROR(VLOOKUP($K749,Grinders!$A$4:$N$998,8,FALSE),""))</f>
        <v/>
      </c>
      <c r="U749" s="40" t="str">
        <f>IFERROR(IF($K749="","",IF($M749="Elite",MAX(50,MIN(100,Config!$B$27*MAX(0,MIN(100,(1-IF($R749="",0,$R749))*100)) + Config!$B$28*MAX(0,MIN(100,(1-MIN(1,IF(Config!$B$30=0,1,$S749/Config!$B$30)))*100)) + Config!$B$29*MAX(0,MIN(100,MIN(1,IF($T749="",0,$T749)/Config!$B$23)*100)))),MIN(100,Config!$B$27*MAX(0,MIN(100,(1-IF($R749="",0,$R749))*100)) + Config!$B$28*MAX(0,MIN(100,(1-MIN(1,IF(Config!$B$30=0,1,$S749/Config!$B$30)))*100)) + Config!$B$29*MAX(0,MIN(100,MIN(1,IF($T749="",0,$T749)/Config!$B$23)*100))))),"")
</f>
        <v/>
      </c>
      <c r="V749" s="40" t="str">
        <f>IF(Bids!$D748="","",Bids!$D748)</f>
        <v/>
      </c>
      <c r="W749" s="40" t="str">
        <f>IF(Bids!$F748="","",Bids!$F748)</f>
        <v/>
      </c>
      <c r="X749" s="40" t="str">
        <f t="shared" si="5"/>
        <v/>
      </c>
      <c r="Y749" s="40" t="str">
        <f>IF($X749="","",IF(Config!$B$17=Config!$B$16,IF($X749&gt;=Config!$B$17,100,0),MAX(0,MIN(100,($X749-Config!$B$16)/(Config!$B$17-Config!$B$16)*100))))</f>
        <v/>
      </c>
      <c r="Z749" s="40">
        <f>IF($M749="Elite",Config!$B$21,0)</f>
        <v>0</v>
      </c>
      <c r="AA749" s="40" t="str">
        <f>IFERROR(IF(OR($W749="",$H749=""),"",IF($W749&gt;$H749,
  MAX(0, 60-(($W749-$H749)*24/Config!$B$19)*60),
  MIN(100, 60+(($H749-$W749)*24/Config!$B$20)*40)
)),"")
</f>
        <v/>
      </c>
      <c r="AB749" s="40" t="str">
        <f>IF($K749="","",IFERROR(VLOOKUP($K749,Grinders!$A$4:$N$998,10,FALSE)/5*100,""))</f>
        <v/>
      </c>
      <c r="AC749" s="40" t="str">
        <f>IF($K749="","",IFERROR(VLOOKUP($K749,Grinders!$A$4:$N$998,11,FALSE)*100,""))</f>
        <v/>
      </c>
      <c r="AD749" s="40" t="str">
        <f>IF($K749="","",IFERROR(VLOOKUP($K749,Grinders!$A$4:$N$998,12,FALSE)*100,""))</f>
        <v/>
      </c>
      <c r="AE749" s="40">
        <f>IFERROR(IFS(
    OR($C749="", $K749=""), 0,
    $F749=0, 0,
    $D749&lt;&gt;"Open", 0,
    COUNTIFS(GrinderServices!$B$4:$B$998, $K749, GrinderServices!$C$4:$C$998, $E749, GrinderServices!$E$4:$E$998, "Y")=0, 0,
    $X749&lt;Config!$B$16, 0,
    Config!$B$18=1, IF($O749&gt;=N749, 0, 1),
    TRUE, 1
), "")
</f>
        <v>0</v>
      </c>
      <c r="AF749" s="40" t="str">
        <f>IFERROR(IF($AE749=0,"",((Config!$B$6*$Y749 + Config!$B$7*$U749 + Config!$B$8*$Z749 + Config!$B$9*$AA749 + Config!$B$10*$AB749 + Config!$B$11*$AC749 - Config!$B$12*$AD749)/Config!$B$13)+$AK749+$AL749),"")</f>
        <v/>
      </c>
      <c r="AG749" s="40" t="str">
        <f t="shared" si="6"/>
        <v/>
      </c>
      <c r="AH749" s="40" t="str">
        <f t="shared" si="7"/>
        <v/>
      </c>
      <c r="AI749" s="40" t="str">
        <f t="shared" si="8"/>
        <v/>
      </c>
      <c r="AJ749" s="40" t="str">
        <f>IF($K749="","",COUNTIF(Assignments!$B$6:$B$1000,$K749))</f>
        <v/>
      </c>
      <c r="AK749" s="40" t="str">
        <f>IF($K749="","",IF(AND($AJ749=0,$O749&lt;$N749),Config!$B$43,0))</f>
        <v/>
      </c>
      <c r="AL749" s="40" t="str">
        <f>IF($K749="","",IF(AND($M749="Elite",$G749&gt;=Config!$B$41,$O749&lt;$N749),Config!$B$42,0))</f>
        <v/>
      </c>
      <c r="AM749" s="22"/>
    </row>
    <row r="750" ht="15.75" customHeight="1">
      <c r="A750" s="40" t="str">
        <f t="shared" si="1"/>
        <v/>
      </c>
      <c r="B750" s="40" t="str">
        <f>IF(Bids!$A749="","",Bids!$A749)</f>
        <v/>
      </c>
      <c r="C750" s="40" t="str">
        <f>IF(Bids!$B749="","",Bids!$B749)</f>
        <v/>
      </c>
      <c r="D750" s="40" t="str">
        <f>IF($C750="","",IFERROR(VLOOKUP($C750,Orders!$A$4:$J$998,9,FALSE),""))</f>
        <v/>
      </c>
      <c r="E750" s="40" t="str">
        <f>IF($C750="","",IFERROR(VLOOKUP($C750,Orders!$A$4:$J$998,3,FALSE),""))</f>
        <v/>
      </c>
      <c r="F750" s="40">
        <f t="shared" si="2"/>
        <v>1</v>
      </c>
      <c r="G750" s="40" t="str">
        <f>IF($C750="","",IFERROR(VLOOKUP($C750,Orders!$A$4:$J$998,4,FALSE),""))</f>
        <v/>
      </c>
      <c r="H750" s="40" t="str">
        <f>IF($C750="","",IFERROR(VLOOKUP($C750,Orders!$A$4:$J$998,5,FALSE),""))</f>
        <v/>
      </c>
      <c r="I750" s="40" t="str">
        <f>IF($C750="","",IFERROR(VLOOKUP($C750,Orders!$A$4:$J$998,6,FALSE),""))</f>
        <v/>
      </c>
      <c r="J750" s="40" t="str">
        <f>IF($C750="","",IFERROR(VLOOKUP($C750,Orders!$A$4:$J$998,7,FALSE),""))</f>
        <v/>
      </c>
      <c r="K750" s="40" t="str">
        <f>IF(Bids!$C749="","",Bids!$C749)</f>
        <v/>
      </c>
      <c r="L750" s="40" t="str">
        <f>IF($K750="","",IFERROR(VLOOKUP($K750,Grinders!$A$4:$N$998,2,FALSE),""))</f>
        <v/>
      </c>
      <c r="M750" s="40" t="str">
        <f>IF($K750="","",IFERROR(VLOOKUP($K750,Grinders!$A$4:$N$998,3,FALSE),""))</f>
        <v/>
      </c>
      <c r="N750" s="40" t="str">
        <f>IF($K750="","",IFERROR(VLOOKUP($K750,Grinders!$A$4:$N$998,4,FALSE),""))</f>
        <v/>
      </c>
      <c r="O750" s="40" t="str">
        <f>IF($K750="","",IFERROR(VLOOKUP($K750,Grinders!$A$4:$N$998,5,FALSE),""))</f>
        <v/>
      </c>
      <c r="P750" s="40" t="str">
        <f>IF($K750="","",IF($C$4="",0,COUNTIFS(Assignments!$B$6:$B$1000,$K750,Assignments!$F$6:$F$1000,$C$4,Assignments!$E$6:$E$1000,"Active")))</f>
        <v/>
      </c>
      <c r="Q750" s="40" t="str">
        <f t="shared" si="3"/>
        <v/>
      </c>
      <c r="R750" s="40" t="str">
        <f t="shared" si="4"/>
        <v/>
      </c>
      <c r="S750" s="40" t="str">
        <f>IF($K750="","",IF($C$4="",0,COUNTIFS(Assignments!$B$6:$B$1000,$K750,Assignments!$F$6:$F$1000,$C$4,Assignments!$D$6:$D$1000,"&gt;="&amp;Config!$B$3-7,Assignments!$D$6:$D$1000,"&lt;="&amp;Config!$B$3)))</f>
        <v/>
      </c>
      <c r="T750" s="40" t="str">
        <f>IF($K750="","",IFERROR(VLOOKUP($K750,Grinders!$A$4:$N$998,8,FALSE),""))</f>
        <v/>
      </c>
      <c r="U750" s="40" t="str">
        <f>IFERROR(IF($K750="","",IF($M750="Elite",MAX(50,MIN(100,Config!$B$27*MAX(0,MIN(100,(1-IF($R750="",0,$R750))*100)) + Config!$B$28*MAX(0,MIN(100,(1-MIN(1,IF(Config!$B$30=0,1,$S750/Config!$B$30)))*100)) + Config!$B$29*MAX(0,MIN(100,MIN(1,IF($T750="",0,$T750)/Config!$B$23)*100)))),MIN(100,Config!$B$27*MAX(0,MIN(100,(1-IF($R750="",0,$R750))*100)) + Config!$B$28*MAX(0,MIN(100,(1-MIN(1,IF(Config!$B$30=0,1,$S750/Config!$B$30)))*100)) + Config!$B$29*MAX(0,MIN(100,MIN(1,IF($T750="",0,$T750)/Config!$B$23)*100))))),"")
</f>
        <v/>
      </c>
      <c r="V750" s="40" t="str">
        <f>IF(Bids!$D749="","",Bids!$D749)</f>
        <v/>
      </c>
      <c r="W750" s="40" t="str">
        <f>IF(Bids!$F749="","",Bids!$F749)</f>
        <v/>
      </c>
      <c r="X750" s="40" t="str">
        <f t="shared" si="5"/>
        <v/>
      </c>
      <c r="Y750" s="40" t="str">
        <f>IF($X750="","",IF(Config!$B$17=Config!$B$16,IF($X750&gt;=Config!$B$17,100,0),MAX(0,MIN(100,($X750-Config!$B$16)/(Config!$B$17-Config!$B$16)*100))))</f>
        <v/>
      </c>
      <c r="Z750" s="40">
        <f>IF($M750="Elite",Config!$B$21,0)</f>
        <v>0</v>
      </c>
      <c r="AA750" s="40" t="str">
        <f>IFERROR(IF(OR($W750="",$H750=""),"",IF($W750&gt;$H750,
  MAX(0, 60-(($W750-$H750)*24/Config!$B$19)*60),
  MIN(100, 60+(($H750-$W750)*24/Config!$B$20)*40)
)),"")
</f>
        <v/>
      </c>
      <c r="AB750" s="40" t="str">
        <f>IF($K750="","",IFERROR(VLOOKUP($K750,Grinders!$A$4:$N$998,10,FALSE)/5*100,""))</f>
        <v/>
      </c>
      <c r="AC750" s="40" t="str">
        <f>IF($K750="","",IFERROR(VLOOKUP($K750,Grinders!$A$4:$N$998,11,FALSE)*100,""))</f>
        <v/>
      </c>
      <c r="AD750" s="40" t="str">
        <f>IF($K750="","",IFERROR(VLOOKUP($K750,Grinders!$A$4:$N$998,12,FALSE)*100,""))</f>
        <v/>
      </c>
      <c r="AE750" s="40">
        <f>IFERROR(IFS(
    OR($C750="", $K750=""), 0,
    $F750=0, 0,
    $D750&lt;&gt;"Open", 0,
    COUNTIFS(GrinderServices!$B$4:$B$998, $K750, GrinderServices!$C$4:$C$998, $E750, GrinderServices!$E$4:$E$998, "Y")=0, 0,
    $X750&lt;Config!$B$16, 0,
    Config!$B$18=1, IF($O750&gt;=N750, 0, 1),
    TRUE, 1
), "")
</f>
        <v>0</v>
      </c>
      <c r="AF750" s="40" t="str">
        <f>IFERROR(IF($AE750=0,"",((Config!$B$6*$Y750 + Config!$B$7*$U750 + Config!$B$8*$Z750 + Config!$B$9*$AA750 + Config!$B$10*$AB750 + Config!$B$11*$AC750 - Config!$B$12*$AD750)/Config!$B$13)+$AK750+$AL750),"")</f>
        <v/>
      </c>
      <c r="AG750" s="40" t="str">
        <f t="shared" si="6"/>
        <v/>
      </c>
      <c r="AH750" s="40" t="str">
        <f t="shared" si="7"/>
        <v/>
      </c>
      <c r="AI750" s="40" t="str">
        <f t="shared" si="8"/>
        <v/>
      </c>
      <c r="AJ750" s="40" t="str">
        <f>IF($K750="","",COUNTIF(Assignments!$B$6:$B$1000,$K750))</f>
        <v/>
      </c>
      <c r="AK750" s="40" t="str">
        <f>IF($K750="","",IF(AND($AJ750=0,$O750&lt;$N750),Config!$B$43,0))</f>
        <v/>
      </c>
      <c r="AL750" s="40" t="str">
        <f>IF($K750="","",IF(AND($M750="Elite",$G750&gt;=Config!$B$41,$O750&lt;$N750),Config!$B$42,0))</f>
        <v/>
      </c>
      <c r="AM750" s="22"/>
    </row>
    <row r="751" ht="15.75" customHeight="1">
      <c r="A751" s="40" t="str">
        <f t="shared" si="1"/>
        <v/>
      </c>
      <c r="B751" s="40" t="str">
        <f>IF(Bids!$A750="","",Bids!$A750)</f>
        <v/>
      </c>
      <c r="C751" s="40" t="str">
        <f>IF(Bids!$B750="","",Bids!$B750)</f>
        <v/>
      </c>
      <c r="D751" s="40" t="str">
        <f>IF($C751="","",IFERROR(VLOOKUP($C751,Orders!$A$4:$J$998,9,FALSE),""))</f>
        <v/>
      </c>
      <c r="E751" s="40" t="str">
        <f>IF($C751="","",IFERROR(VLOOKUP($C751,Orders!$A$4:$J$998,3,FALSE),""))</f>
        <v/>
      </c>
      <c r="F751" s="40">
        <f t="shared" si="2"/>
        <v>1</v>
      </c>
      <c r="G751" s="40" t="str">
        <f>IF($C751="","",IFERROR(VLOOKUP($C751,Orders!$A$4:$J$998,4,FALSE),""))</f>
        <v/>
      </c>
      <c r="H751" s="40" t="str">
        <f>IF($C751="","",IFERROR(VLOOKUP($C751,Orders!$A$4:$J$998,5,FALSE),""))</f>
        <v/>
      </c>
      <c r="I751" s="40" t="str">
        <f>IF($C751="","",IFERROR(VLOOKUP($C751,Orders!$A$4:$J$998,6,FALSE),""))</f>
        <v/>
      </c>
      <c r="J751" s="40" t="str">
        <f>IF($C751="","",IFERROR(VLOOKUP($C751,Orders!$A$4:$J$998,7,FALSE),""))</f>
        <v/>
      </c>
      <c r="K751" s="40" t="str">
        <f>IF(Bids!$C750="","",Bids!$C750)</f>
        <v/>
      </c>
      <c r="L751" s="40" t="str">
        <f>IF($K751="","",IFERROR(VLOOKUP($K751,Grinders!$A$4:$N$998,2,FALSE),""))</f>
        <v/>
      </c>
      <c r="M751" s="40" t="str">
        <f>IF($K751="","",IFERROR(VLOOKUP($K751,Grinders!$A$4:$N$998,3,FALSE),""))</f>
        <v/>
      </c>
      <c r="N751" s="40" t="str">
        <f>IF($K751="","",IFERROR(VLOOKUP($K751,Grinders!$A$4:$N$998,4,FALSE),""))</f>
        <v/>
      </c>
      <c r="O751" s="40" t="str">
        <f>IF($K751="","",IFERROR(VLOOKUP($K751,Grinders!$A$4:$N$998,5,FALSE),""))</f>
        <v/>
      </c>
      <c r="P751" s="40" t="str">
        <f>IF($K751="","",IF($C$4="",0,COUNTIFS(Assignments!$B$6:$B$1000,$K751,Assignments!$F$6:$F$1000,$C$4,Assignments!$E$6:$E$1000,"Active")))</f>
        <v/>
      </c>
      <c r="Q751" s="40" t="str">
        <f t="shared" si="3"/>
        <v/>
      </c>
      <c r="R751" s="40" t="str">
        <f t="shared" si="4"/>
        <v/>
      </c>
      <c r="S751" s="40" t="str">
        <f>IF($K751="","",IF($C$4="",0,COUNTIFS(Assignments!$B$6:$B$1000,$K751,Assignments!$F$6:$F$1000,$C$4,Assignments!$D$6:$D$1000,"&gt;="&amp;Config!$B$3-7,Assignments!$D$6:$D$1000,"&lt;="&amp;Config!$B$3)))</f>
        <v/>
      </c>
      <c r="T751" s="40" t="str">
        <f>IF($K751="","",IFERROR(VLOOKUP($K751,Grinders!$A$4:$N$998,8,FALSE),""))</f>
        <v/>
      </c>
      <c r="U751" s="40" t="str">
        <f>IFERROR(IF($K751="","",IF($M751="Elite",MAX(50,MIN(100,Config!$B$27*MAX(0,MIN(100,(1-IF($R751="",0,$R751))*100)) + Config!$B$28*MAX(0,MIN(100,(1-MIN(1,IF(Config!$B$30=0,1,$S751/Config!$B$30)))*100)) + Config!$B$29*MAX(0,MIN(100,MIN(1,IF($T751="",0,$T751)/Config!$B$23)*100)))),MIN(100,Config!$B$27*MAX(0,MIN(100,(1-IF($R751="",0,$R751))*100)) + Config!$B$28*MAX(0,MIN(100,(1-MIN(1,IF(Config!$B$30=0,1,$S751/Config!$B$30)))*100)) + Config!$B$29*MAX(0,MIN(100,MIN(1,IF($T751="",0,$T751)/Config!$B$23)*100))))),"")
</f>
        <v/>
      </c>
      <c r="V751" s="40" t="str">
        <f>IF(Bids!$D750="","",Bids!$D750)</f>
        <v/>
      </c>
      <c r="W751" s="40" t="str">
        <f>IF(Bids!$F750="","",Bids!$F750)</f>
        <v/>
      </c>
      <c r="X751" s="40" t="str">
        <f t="shared" si="5"/>
        <v/>
      </c>
      <c r="Y751" s="40" t="str">
        <f>IF($X751="","",IF(Config!$B$17=Config!$B$16,IF($X751&gt;=Config!$B$17,100,0),MAX(0,MIN(100,($X751-Config!$B$16)/(Config!$B$17-Config!$B$16)*100))))</f>
        <v/>
      </c>
      <c r="Z751" s="40">
        <f>IF($M751="Elite",Config!$B$21,0)</f>
        <v>0</v>
      </c>
      <c r="AA751" s="40" t="str">
        <f>IFERROR(IF(OR($W751="",$H751=""),"",IF($W751&gt;$H751,
  MAX(0, 60-(($W751-$H751)*24/Config!$B$19)*60),
  MIN(100, 60+(($H751-$W751)*24/Config!$B$20)*40)
)),"")
</f>
        <v/>
      </c>
      <c r="AB751" s="40" t="str">
        <f>IF($K751="","",IFERROR(VLOOKUP($K751,Grinders!$A$4:$N$998,10,FALSE)/5*100,""))</f>
        <v/>
      </c>
      <c r="AC751" s="40" t="str">
        <f>IF($K751="","",IFERROR(VLOOKUP($K751,Grinders!$A$4:$N$998,11,FALSE)*100,""))</f>
        <v/>
      </c>
      <c r="AD751" s="40" t="str">
        <f>IF($K751="","",IFERROR(VLOOKUP($K751,Grinders!$A$4:$N$998,12,FALSE)*100,""))</f>
        <v/>
      </c>
      <c r="AE751" s="40">
        <f>IFERROR(IFS(
    OR($C751="", $K751=""), 0,
    $F751=0, 0,
    $D751&lt;&gt;"Open", 0,
    COUNTIFS(GrinderServices!$B$4:$B$998, $K751, GrinderServices!$C$4:$C$998, $E751, GrinderServices!$E$4:$E$998, "Y")=0, 0,
    $X751&lt;Config!$B$16, 0,
    Config!$B$18=1, IF($O751&gt;=N751, 0, 1),
    TRUE, 1
), "")
</f>
        <v>0</v>
      </c>
      <c r="AF751" s="40" t="str">
        <f>IFERROR(IF($AE751=0,"",((Config!$B$6*$Y751 + Config!$B$7*$U751 + Config!$B$8*$Z751 + Config!$B$9*$AA751 + Config!$B$10*$AB751 + Config!$B$11*$AC751 - Config!$B$12*$AD751)/Config!$B$13)+$AK751+$AL751),"")</f>
        <v/>
      </c>
      <c r="AG751" s="40" t="str">
        <f t="shared" si="6"/>
        <v/>
      </c>
      <c r="AH751" s="40" t="str">
        <f t="shared" si="7"/>
        <v/>
      </c>
      <c r="AI751" s="40" t="str">
        <f t="shared" si="8"/>
        <v/>
      </c>
      <c r="AJ751" s="40" t="str">
        <f>IF($K751="","",COUNTIF(Assignments!$B$6:$B$1000,$K751))</f>
        <v/>
      </c>
      <c r="AK751" s="40" t="str">
        <f>IF($K751="","",IF(AND($AJ751=0,$O751&lt;$N751),Config!$B$43,0))</f>
        <v/>
      </c>
      <c r="AL751" s="40" t="str">
        <f>IF($K751="","",IF(AND($M751="Elite",$G751&gt;=Config!$B$41,$O751&lt;$N751),Config!$B$42,0))</f>
        <v/>
      </c>
      <c r="AM751" s="22"/>
    </row>
    <row r="752" ht="15.75" customHeight="1">
      <c r="A752" s="40" t="str">
        <f t="shared" si="1"/>
        <v/>
      </c>
      <c r="B752" s="40" t="str">
        <f>IF(Bids!$A751="","",Bids!$A751)</f>
        <v/>
      </c>
      <c r="C752" s="40" t="str">
        <f>IF(Bids!$B751="","",Bids!$B751)</f>
        <v/>
      </c>
      <c r="D752" s="40" t="str">
        <f>IF($C752="","",IFERROR(VLOOKUP($C752,Orders!$A$4:$J$998,9,FALSE),""))</f>
        <v/>
      </c>
      <c r="E752" s="40" t="str">
        <f>IF($C752="","",IFERROR(VLOOKUP($C752,Orders!$A$4:$J$998,3,FALSE),""))</f>
        <v/>
      </c>
      <c r="F752" s="40">
        <f t="shared" si="2"/>
        <v>1</v>
      </c>
      <c r="G752" s="40" t="str">
        <f>IF($C752="","",IFERROR(VLOOKUP($C752,Orders!$A$4:$J$998,4,FALSE),""))</f>
        <v/>
      </c>
      <c r="H752" s="40" t="str">
        <f>IF($C752="","",IFERROR(VLOOKUP($C752,Orders!$A$4:$J$998,5,FALSE),""))</f>
        <v/>
      </c>
      <c r="I752" s="40" t="str">
        <f>IF($C752="","",IFERROR(VLOOKUP($C752,Orders!$A$4:$J$998,6,FALSE),""))</f>
        <v/>
      </c>
      <c r="J752" s="40" t="str">
        <f>IF($C752="","",IFERROR(VLOOKUP($C752,Orders!$A$4:$J$998,7,FALSE),""))</f>
        <v/>
      </c>
      <c r="K752" s="40" t="str">
        <f>IF(Bids!$C751="","",Bids!$C751)</f>
        <v/>
      </c>
      <c r="L752" s="40" t="str">
        <f>IF($K752="","",IFERROR(VLOOKUP($K752,Grinders!$A$4:$N$998,2,FALSE),""))</f>
        <v/>
      </c>
      <c r="M752" s="40" t="str">
        <f>IF($K752="","",IFERROR(VLOOKUP($K752,Grinders!$A$4:$N$998,3,FALSE),""))</f>
        <v/>
      </c>
      <c r="N752" s="40" t="str">
        <f>IF($K752="","",IFERROR(VLOOKUP($K752,Grinders!$A$4:$N$998,4,FALSE),""))</f>
        <v/>
      </c>
      <c r="O752" s="40" t="str">
        <f>IF($K752="","",IFERROR(VLOOKUP($K752,Grinders!$A$4:$N$998,5,FALSE),""))</f>
        <v/>
      </c>
      <c r="P752" s="40" t="str">
        <f>IF($K752="","",IF($C$4="",0,COUNTIFS(Assignments!$B$6:$B$1000,$K752,Assignments!$F$6:$F$1000,$C$4,Assignments!$E$6:$E$1000,"Active")))</f>
        <v/>
      </c>
      <c r="Q752" s="40" t="str">
        <f t="shared" si="3"/>
        <v/>
      </c>
      <c r="R752" s="40" t="str">
        <f t="shared" si="4"/>
        <v/>
      </c>
      <c r="S752" s="40" t="str">
        <f>IF($K752="","",IF($C$4="",0,COUNTIFS(Assignments!$B$6:$B$1000,$K752,Assignments!$F$6:$F$1000,$C$4,Assignments!$D$6:$D$1000,"&gt;="&amp;Config!$B$3-7,Assignments!$D$6:$D$1000,"&lt;="&amp;Config!$B$3)))</f>
        <v/>
      </c>
      <c r="T752" s="40" t="str">
        <f>IF($K752="","",IFERROR(VLOOKUP($K752,Grinders!$A$4:$N$998,8,FALSE),""))</f>
        <v/>
      </c>
      <c r="U752" s="40" t="str">
        <f>IFERROR(IF($K752="","",IF($M752="Elite",MAX(50,MIN(100,Config!$B$27*MAX(0,MIN(100,(1-IF($R752="",0,$R752))*100)) + Config!$B$28*MAX(0,MIN(100,(1-MIN(1,IF(Config!$B$30=0,1,$S752/Config!$B$30)))*100)) + Config!$B$29*MAX(0,MIN(100,MIN(1,IF($T752="",0,$T752)/Config!$B$23)*100)))),MIN(100,Config!$B$27*MAX(0,MIN(100,(1-IF($R752="",0,$R752))*100)) + Config!$B$28*MAX(0,MIN(100,(1-MIN(1,IF(Config!$B$30=0,1,$S752/Config!$B$30)))*100)) + Config!$B$29*MAX(0,MIN(100,MIN(1,IF($T752="",0,$T752)/Config!$B$23)*100))))),"")
</f>
        <v/>
      </c>
      <c r="V752" s="40" t="str">
        <f>IF(Bids!$D751="","",Bids!$D751)</f>
        <v/>
      </c>
      <c r="W752" s="40" t="str">
        <f>IF(Bids!$F751="","",Bids!$F751)</f>
        <v/>
      </c>
      <c r="X752" s="40" t="str">
        <f t="shared" si="5"/>
        <v/>
      </c>
      <c r="Y752" s="40" t="str">
        <f>IF($X752="","",IF(Config!$B$17=Config!$B$16,IF($X752&gt;=Config!$B$17,100,0),MAX(0,MIN(100,($X752-Config!$B$16)/(Config!$B$17-Config!$B$16)*100))))</f>
        <v/>
      </c>
      <c r="Z752" s="40">
        <f>IF($M752="Elite",Config!$B$21,0)</f>
        <v>0</v>
      </c>
      <c r="AA752" s="40" t="str">
        <f>IFERROR(IF(OR($W752="",$H752=""),"",IF($W752&gt;$H752,
  MAX(0, 60-(($W752-$H752)*24/Config!$B$19)*60),
  MIN(100, 60+(($H752-$W752)*24/Config!$B$20)*40)
)),"")
</f>
        <v/>
      </c>
      <c r="AB752" s="40" t="str">
        <f>IF($K752="","",IFERROR(VLOOKUP($K752,Grinders!$A$4:$N$998,10,FALSE)/5*100,""))</f>
        <v/>
      </c>
      <c r="AC752" s="40" t="str">
        <f>IF($K752="","",IFERROR(VLOOKUP($K752,Grinders!$A$4:$N$998,11,FALSE)*100,""))</f>
        <v/>
      </c>
      <c r="AD752" s="40" t="str">
        <f>IF($K752="","",IFERROR(VLOOKUP($K752,Grinders!$A$4:$N$998,12,FALSE)*100,""))</f>
        <v/>
      </c>
      <c r="AE752" s="40">
        <f>IFERROR(IFS(
    OR($C752="", $K752=""), 0,
    $F752=0, 0,
    $D752&lt;&gt;"Open", 0,
    COUNTIFS(GrinderServices!$B$4:$B$998, $K752, GrinderServices!$C$4:$C$998, $E752, GrinderServices!$E$4:$E$998, "Y")=0, 0,
    $X752&lt;Config!$B$16, 0,
    Config!$B$18=1, IF($O752&gt;=N752, 0, 1),
    TRUE, 1
), "")
</f>
        <v>0</v>
      </c>
      <c r="AF752" s="40" t="str">
        <f>IFERROR(IF($AE752=0,"",((Config!$B$6*$Y752 + Config!$B$7*$U752 + Config!$B$8*$Z752 + Config!$B$9*$AA752 + Config!$B$10*$AB752 + Config!$B$11*$AC752 - Config!$B$12*$AD752)/Config!$B$13)+$AK752+$AL752),"")</f>
        <v/>
      </c>
      <c r="AG752" s="40" t="str">
        <f t="shared" si="6"/>
        <v/>
      </c>
      <c r="AH752" s="40" t="str">
        <f t="shared" si="7"/>
        <v/>
      </c>
      <c r="AI752" s="40" t="str">
        <f t="shared" si="8"/>
        <v/>
      </c>
      <c r="AJ752" s="40" t="str">
        <f>IF($K752="","",COUNTIF(Assignments!$B$6:$B$1000,$K752))</f>
        <v/>
      </c>
      <c r="AK752" s="40" t="str">
        <f>IF($K752="","",IF(AND($AJ752=0,$O752&lt;$N752),Config!$B$43,0))</f>
        <v/>
      </c>
      <c r="AL752" s="40" t="str">
        <f>IF($K752="","",IF(AND($M752="Elite",$G752&gt;=Config!$B$41,$O752&lt;$N752),Config!$B$42,0))</f>
        <v/>
      </c>
      <c r="AM752" s="22"/>
    </row>
    <row r="753" ht="15.75" customHeight="1">
      <c r="A753" s="40" t="str">
        <f t="shared" si="1"/>
        <v/>
      </c>
      <c r="B753" s="40" t="str">
        <f>IF(Bids!$A752="","",Bids!$A752)</f>
        <v/>
      </c>
      <c r="C753" s="40" t="str">
        <f>IF(Bids!$B752="","",Bids!$B752)</f>
        <v/>
      </c>
      <c r="D753" s="40" t="str">
        <f>IF($C753="","",IFERROR(VLOOKUP($C753,Orders!$A$4:$J$998,9,FALSE),""))</f>
        <v/>
      </c>
      <c r="E753" s="40" t="str">
        <f>IF($C753="","",IFERROR(VLOOKUP($C753,Orders!$A$4:$J$998,3,FALSE),""))</f>
        <v/>
      </c>
      <c r="F753" s="40">
        <f t="shared" si="2"/>
        <v>1</v>
      </c>
      <c r="G753" s="40" t="str">
        <f>IF($C753="","",IFERROR(VLOOKUP($C753,Orders!$A$4:$J$998,4,FALSE),""))</f>
        <v/>
      </c>
      <c r="H753" s="40" t="str">
        <f>IF($C753="","",IFERROR(VLOOKUP($C753,Orders!$A$4:$J$998,5,FALSE),""))</f>
        <v/>
      </c>
      <c r="I753" s="40" t="str">
        <f>IF($C753="","",IFERROR(VLOOKUP($C753,Orders!$A$4:$J$998,6,FALSE),""))</f>
        <v/>
      </c>
      <c r="J753" s="40" t="str">
        <f>IF($C753="","",IFERROR(VLOOKUP($C753,Orders!$A$4:$J$998,7,FALSE),""))</f>
        <v/>
      </c>
      <c r="K753" s="40" t="str">
        <f>IF(Bids!$C752="","",Bids!$C752)</f>
        <v/>
      </c>
      <c r="L753" s="40" t="str">
        <f>IF($K753="","",IFERROR(VLOOKUP($K753,Grinders!$A$4:$N$998,2,FALSE),""))</f>
        <v/>
      </c>
      <c r="M753" s="40" t="str">
        <f>IF($K753="","",IFERROR(VLOOKUP($K753,Grinders!$A$4:$N$998,3,FALSE),""))</f>
        <v/>
      </c>
      <c r="N753" s="40" t="str">
        <f>IF($K753="","",IFERROR(VLOOKUP($K753,Grinders!$A$4:$N$998,4,FALSE),""))</f>
        <v/>
      </c>
      <c r="O753" s="40" t="str">
        <f>IF($K753="","",IFERROR(VLOOKUP($K753,Grinders!$A$4:$N$998,5,FALSE),""))</f>
        <v/>
      </c>
      <c r="P753" s="40" t="str">
        <f>IF($K753="","",IF($C$4="",0,COUNTIFS(Assignments!$B$6:$B$1000,$K753,Assignments!$F$6:$F$1000,$C$4,Assignments!$E$6:$E$1000,"Active")))</f>
        <v/>
      </c>
      <c r="Q753" s="40" t="str">
        <f t="shared" si="3"/>
        <v/>
      </c>
      <c r="R753" s="40" t="str">
        <f t="shared" si="4"/>
        <v/>
      </c>
      <c r="S753" s="40" t="str">
        <f>IF($K753="","",IF($C$4="",0,COUNTIFS(Assignments!$B$6:$B$1000,$K753,Assignments!$F$6:$F$1000,$C$4,Assignments!$D$6:$D$1000,"&gt;="&amp;Config!$B$3-7,Assignments!$D$6:$D$1000,"&lt;="&amp;Config!$B$3)))</f>
        <v/>
      </c>
      <c r="T753" s="40" t="str">
        <f>IF($K753="","",IFERROR(VLOOKUP($K753,Grinders!$A$4:$N$998,8,FALSE),""))</f>
        <v/>
      </c>
      <c r="U753" s="40" t="str">
        <f>IFERROR(IF($K753="","",IF($M753="Elite",MAX(50,MIN(100,Config!$B$27*MAX(0,MIN(100,(1-IF($R753="",0,$R753))*100)) + Config!$B$28*MAX(0,MIN(100,(1-MIN(1,IF(Config!$B$30=0,1,$S753/Config!$B$30)))*100)) + Config!$B$29*MAX(0,MIN(100,MIN(1,IF($T753="",0,$T753)/Config!$B$23)*100)))),MIN(100,Config!$B$27*MAX(0,MIN(100,(1-IF($R753="",0,$R753))*100)) + Config!$B$28*MAX(0,MIN(100,(1-MIN(1,IF(Config!$B$30=0,1,$S753/Config!$B$30)))*100)) + Config!$B$29*MAX(0,MIN(100,MIN(1,IF($T753="",0,$T753)/Config!$B$23)*100))))),"")
</f>
        <v/>
      </c>
      <c r="V753" s="40" t="str">
        <f>IF(Bids!$D752="","",Bids!$D752)</f>
        <v/>
      </c>
      <c r="W753" s="40" t="str">
        <f>IF(Bids!$F752="","",Bids!$F752)</f>
        <v/>
      </c>
      <c r="X753" s="40" t="str">
        <f t="shared" si="5"/>
        <v/>
      </c>
      <c r="Y753" s="40" t="str">
        <f>IF($X753="","",IF(Config!$B$17=Config!$B$16,IF($X753&gt;=Config!$B$17,100,0),MAX(0,MIN(100,($X753-Config!$B$16)/(Config!$B$17-Config!$B$16)*100))))</f>
        <v/>
      </c>
      <c r="Z753" s="40">
        <f>IF($M753="Elite",Config!$B$21,0)</f>
        <v>0</v>
      </c>
      <c r="AA753" s="40" t="str">
        <f>IFERROR(IF(OR($W753="",$H753=""),"",IF($W753&gt;$H753,
  MAX(0, 60-(($W753-$H753)*24/Config!$B$19)*60),
  MIN(100, 60+(($H753-$W753)*24/Config!$B$20)*40)
)),"")
</f>
        <v/>
      </c>
      <c r="AB753" s="40" t="str">
        <f>IF($K753="","",IFERROR(VLOOKUP($K753,Grinders!$A$4:$N$998,10,FALSE)/5*100,""))</f>
        <v/>
      </c>
      <c r="AC753" s="40" t="str">
        <f>IF($K753="","",IFERROR(VLOOKUP($K753,Grinders!$A$4:$N$998,11,FALSE)*100,""))</f>
        <v/>
      </c>
      <c r="AD753" s="40" t="str">
        <f>IF($K753="","",IFERROR(VLOOKUP($K753,Grinders!$A$4:$N$998,12,FALSE)*100,""))</f>
        <v/>
      </c>
      <c r="AE753" s="40">
        <f>IFERROR(IFS(
    OR($C753="", $K753=""), 0,
    $F753=0, 0,
    $D753&lt;&gt;"Open", 0,
    COUNTIFS(GrinderServices!$B$4:$B$998, $K753, GrinderServices!$C$4:$C$998, $E753, GrinderServices!$E$4:$E$998, "Y")=0, 0,
    $X753&lt;Config!$B$16, 0,
    Config!$B$18=1, IF($O753&gt;=N753, 0, 1),
    TRUE, 1
), "")
</f>
        <v>0</v>
      </c>
      <c r="AF753" s="40" t="str">
        <f>IFERROR(IF($AE753=0,"",((Config!$B$6*$Y753 + Config!$B$7*$U753 + Config!$B$8*$Z753 + Config!$B$9*$AA753 + Config!$B$10*$AB753 + Config!$B$11*$AC753 - Config!$B$12*$AD753)/Config!$B$13)+$AK753+$AL753),"")</f>
        <v/>
      </c>
      <c r="AG753" s="40" t="str">
        <f t="shared" si="6"/>
        <v/>
      </c>
      <c r="AH753" s="40" t="str">
        <f t="shared" si="7"/>
        <v/>
      </c>
      <c r="AI753" s="40" t="str">
        <f t="shared" si="8"/>
        <v/>
      </c>
      <c r="AJ753" s="40" t="str">
        <f>IF($K753="","",COUNTIF(Assignments!$B$6:$B$1000,$K753))</f>
        <v/>
      </c>
      <c r="AK753" s="40" t="str">
        <f>IF($K753="","",IF(AND($AJ753=0,$O753&lt;$N753),Config!$B$43,0))</f>
        <v/>
      </c>
      <c r="AL753" s="40" t="str">
        <f>IF($K753="","",IF(AND($M753="Elite",$G753&gt;=Config!$B$41,$O753&lt;$N753),Config!$B$42,0))</f>
        <v/>
      </c>
      <c r="AM753" s="22"/>
    </row>
    <row r="754" ht="15.75" customHeight="1">
      <c r="A754" s="40" t="str">
        <f t="shared" si="1"/>
        <v/>
      </c>
      <c r="B754" s="40" t="str">
        <f>IF(Bids!$A753="","",Bids!$A753)</f>
        <v/>
      </c>
      <c r="C754" s="40" t="str">
        <f>IF(Bids!$B753="","",Bids!$B753)</f>
        <v/>
      </c>
      <c r="D754" s="40" t="str">
        <f>IF($C754="","",IFERROR(VLOOKUP($C754,Orders!$A$4:$J$998,9,FALSE),""))</f>
        <v/>
      </c>
      <c r="E754" s="40" t="str">
        <f>IF($C754="","",IFERROR(VLOOKUP($C754,Orders!$A$4:$J$998,3,FALSE),""))</f>
        <v/>
      </c>
      <c r="F754" s="40">
        <f t="shared" si="2"/>
        <v>1</v>
      </c>
      <c r="G754" s="40" t="str">
        <f>IF($C754="","",IFERROR(VLOOKUP($C754,Orders!$A$4:$J$998,4,FALSE),""))</f>
        <v/>
      </c>
      <c r="H754" s="40" t="str">
        <f>IF($C754="","",IFERROR(VLOOKUP($C754,Orders!$A$4:$J$998,5,FALSE),""))</f>
        <v/>
      </c>
      <c r="I754" s="40" t="str">
        <f>IF($C754="","",IFERROR(VLOOKUP($C754,Orders!$A$4:$J$998,6,FALSE),""))</f>
        <v/>
      </c>
      <c r="J754" s="40" t="str">
        <f>IF($C754="","",IFERROR(VLOOKUP($C754,Orders!$A$4:$J$998,7,FALSE),""))</f>
        <v/>
      </c>
      <c r="K754" s="40" t="str">
        <f>IF(Bids!$C753="","",Bids!$C753)</f>
        <v/>
      </c>
      <c r="L754" s="40" t="str">
        <f>IF($K754="","",IFERROR(VLOOKUP($K754,Grinders!$A$4:$N$998,2,FALSE),""))</f>
        <v/>
      </c>
      <c r="M754" s="40" t="str">
        <f>IF($K754="","",IFERROR(VLOOKUP($K754,Grinders!$A$4:$N$998,3,FALSE),""))</f>
        <v/>
      </c>
      <c r="N754" s="40" t="str">
        <f>IF($K754="","",IFERROR(VLOOKUP($K754,Grinders!$A$4:$N$998,4,FALSE),""))</f>
        <v/>
      </c>
      <c r="O754" s="40" t="str">
        <f>IF($K754="","",IFERROR(VLOOKUP($K754,Grinders!$A$4:$N$998,5,FALSE),""))</f>
        <v/>
      </c>
      <c r="P754" s="40" t="str">
        <f>IF($K754="","",IF($C$4="",0,COUNTIFS(Assignments!$B$6:$B$1000,$K754,Assignments!$F$6:$F$1000,$C$4,Assignments!$E$6:$E$1000,"Active")))</f>
        <v/>
      </c>
      <c r="Q754" s="40" t="str">
        <f t="shared" si="3"/>
        <v/>
      </c>
      <c r="R754" s="40" t="str">
        <f t="shared" si="4"/>
        <v/>
      </c>
      <c r="S754" s="40" t="str">
        <f>IF($K754="","",IF($C$4="",0,COUNTIFS(Assignments!$B$6:$B$1000,$K754,Assignments!$F$6:$F$1000,$C$4,Assignments!$D$6:$D$1000,"&gt;="&amp;Config!$B$3-7,Assignments!$D$6:$D$1000,"&lt;="&amp;Config!$B$3)))</f>
        <v/>
      </c>
      <c r="T754" s="40" t="str">
        <f>IF($K754="","",IFERROR(VLOOKUP($K754,Grinders!$A$4:$N$998,8,FALSE),""))</f>
        <v/>
      </c>
      <c r="U754" s="40" t="str">
        <f>IFERROR(IF($K754="","",IF($M754="Elite",MAX(50,MIN(100,Config!$B$27*MAX(0,MIN(100,(1-IF($R754="",0,$R754))*100)) + Config!$B$28*MAX(0,MIN(100,(1-MIN(1,IF(Config!$B$30=0,1,$S754/Config!$B$30)))*100)) + Config!$B$29*MAX(0,MIN(100,MIN(1,IF($T754="",0,$T754)/Config!$B$23)*100)))),MIN(100,Config!$B$27*MAX(0,MIN(100,(1-IF($R754="",0,$R754))*100)) + Config!$B$28*MAX(0,MIN(100,(1-MIN(1,IF(Config!$B$30=0,1,$S754/Config!$B$30)))*100)) + Config!$B$29*MAX(0,MIN(100,MIN(1,IF($T754="",0,$T754)/Config!$B$23)*100))))),"")
</f>
        <v/>
      </c>
      <c r="V754" s="40" t="str">
        <f>IF(Bids!$D753="","",Bids!$D753)</f>
        <v/>
      </c>
      <c r="W754" s="40" t="str">
        <f>IF(Bids!$F753="","",Bids!$F753)</f>
        <v/>
      </c>
      <c r="X754" s="40" t="str">
        <f t="shared" si="5"/>
        <v/>
      </c>
      <c r="Y754" s="40" t="str">
        <f>IF($X754="","",IF(Config!$B$17=Config!$B$16,IF($X754&gt;=Config!$B$17,100,0),MAX(0,MIN(100,($X754-Config!$B$16)/(Config!$B$17-Config!$B$16)*100))))</f>
        <v/>
      </c>
      <c r="Z754" s="40">
        <f>IF($M754="Elite",Config!$B$21,0)</f>
        <v>0</v>
      </c>
      <c r="AA754" s="40" t="str">
        <f>IFERROR(IF(OR($W754="",$H754=""),"",IF($W754&gt;$H754,
  MAX(0, 60-(($W754-$H754)*24/Config!$B$19)*60),
  MIN(100, 60+(($H754-$W754)*24/Config!$B$20)*40)
)),"")
</f>
        <v/>
      </c>
      <c r="AB754" s="40" t="str">
        <f>IF($K754="","",IFERROR(VLOOKUP($K754,Grinders!$A$4:$N$998,10,FALSE)/5*100,""))</f>
        <v/>
      </c>
      <c r="AC754" s="40" t="str">
        <f>IF($K754="","",IFERROR(VLOOKUP($K754,Grinders!$A$4:$N$998,11,FALSE)*100,""))</f>
        <v/>
      </c>
      <c r="AD754" s="40" t="str">
        <f>IF($K754="","",IFERROR(VLOOKUP($K754,Grinders!$A$4:$N$998,12,FALSE)*100,""))</f>
        <v/>
      </c>
      <c r="AE754" s="40">
        <f>IFERROR(IFS(
    OR($C754="", $K754=""), 0,
    $F754=0, 0,
    $D754&lt;&gt;"Open", 0,
    COUNTIFS(GrinderServices!$B$4:$B$998, $K754, GrinderServices!$C$4:$C$998, $E754, GrinderServices!$E$4:$E$998, "Y")=0, 0,
    $X754&lt;Config!$B$16, 0,
    Config!$B$18=1, IF($O754&gt;=N754, 0, 1),
    TRUE, 1
), "")
</f>
        <v>0</v>
      </c>
      <c r="AF754" s="40" t="str">
        <f>IFERROR(IF($AE754=0,"",((Config!$B$6*$Y754 + Config!$B$7*$U754 + Config!$B$8*$Z754 + Config!$B$9*$AA754 + Config!$B$10*$AB754 + Config!$B$11*$AC754 - Config!$B$12*$AD754)/Config!$B$13)+$AK754+$AL754),"")</f>
        <v/>
      </c>
      <c r="AG754" s="40" t="str">
        <f t="shared" si="6"/>
        <v/>
      </c>
      <c r="AH754" s="40" t="str">
        <f t="shared" si="7"/>
        <v/>
      </c>
      <c r="AI754" s="40" t="str">
        <f t="shared" si="8"/>
        <v/>
      </c>
      <c r="AJ754" s="40" t="str">
        <f>IF($K754="","",COUNTIF(Assignments!$B$6:$B$1000,$K754))</f>
        <v/>
      </c>
      <c r="AK754" s="40" t="str">
        <f>IF($K754="","",IF(AND($AJ754=0,$O754&lt;$N754),Config!$B$43,0))</f>
        <v/>
      </c>
      <c r="AL754" s="40" t="str">
        <f>IF($K754="","",IF(AND($M754="Elite",$G754&gt;=Config!$B$41,$O754&lt;$N754),Config!$B$42,0))</f>
        <v/>
      </c>
      <c r="AM754" s="22"/>
    </row>
    <row r="755" ht="15.75" customHeight="1">
      <c r="A755" s="40" t="str">
        <f t="shared" si="1"/>
        <v/>
      </c>
      <c r="B755" s="40" t="str">
        <f>IF(Bids!$A754="","",Bids!$A754)</f>
        <v/>
      </c>
      <c r="C755" s="40" t="str">
        <f>IF(Bids!$B754="","",Bids!$B754)</f>
        <v/>
      </c>
      <c r="D755" s="40" t="str">
        <f>IF($C755="","",IFERROR(VLOOKUP($C755,Orders!$A$4:$J$998,9,FALSE),""))</f>
        <v/>
      </c>
      <c r="E755" s="40" t="str">
        <f>IF($C755="","",IFERROR(VLOOKUP($C755,Orders!$A$4:$J$998,3,FALSE),""))</f>
        <v/>
      </c>
      <c r="F755" s="40">
        <f t="shared" si="2"/>
        <v>1</v>
      </c>
      <c r="G755" s="40" t="str">
        <f>IF($C755="","",IFERROR(VLOOKUP($C755,Orders!$A$4:$J$998,4,FALSE),""))</f>
        <v/>
      </c>
      <c r="H755" s="40" t="str">
        <f>IF($C755="","",IFERROR(VLOOKUP($C755,Orders!$A$4:$J$998,5,FALSE),""))</f>
        <v/>
      </c>
      <c r="I755" s="40" t="str">
        <f>IF($C755="","",IFERROR(VLOOKUP($C755,Orders!$A$4:$J$998,6,FALSE),""))</f>
        <v/>
      </c>
      <c r="J755" s="40" t="str">
        <f>IF($C755="","",IFERROR(VLOOKUP($C755,Orders!$A$4:$J$998,7,FALSE),""))</f>
        <v/>
      </c>
      <c r="K755" s="40" t="str">
        <f>IF(Bids!$C754="","",Bids!$C754)</f>
        <v/>
      </c>
      <c r="L755" s="40" t="str">
        <f>IF($K755="","",IFERROR(VLOOKUP($K755,Grinders!$A$4:$N$998,2,FALSE),""))</f>
        <v/>
      </c>
      <c r="M755" s="40" t="str">
        <f>IF($K755="","",IFERROR(VLOOKUP($K755,Grinders!$A$4:$N$998,3,FALSE),""))</f>
        <v/>
      </c>
      <c r="N755" s="40" t="str">
        <f>IF($K755="","",IFERROR(VLOOKUP($K755,Grinders!$A$4:$N$998,4,FALSE),""))</f>
        <v/>
      </c>
      <c r="O755" s="40" t="str">
        <f>IF($K755="","",IFERROR(VLOOKUP($K755,Grinders!$A$4:$N$998,5,FALSE),""))</f>
        <v/>
      </c>
      <c r="P755" s="40" t="str">
        <f>IF($K755="","",IF($C$4="",0,COUNTIFS(Assignments!$B$6:$B$1000,$K755,Assignments!$F$6:$F$1000,$C$4,Assignments!$E$6:$E$1000,"Active")))</f>
        <v/>
      </c>
      <c r="Q755" s="40" t="str">
        <f t="shared" si="3"/>
        <v/>
      </c>
      <c r="R755" s="40" t="str">
        <f t="shared" si="4"/>
        <v/>
      </c>
      <c r="S755" s="40" t="str">
        <f>IF($K755="","",IF($C$4="",0,COUNTIFS(Assignments!$B$6:$B$1000,$K755,Assignments!$F$6:$F$1000,$C$4,Assignments!$D$6:$D$1000,"&gt;="&amp;Config!$B$3-7,Assignments!$D$6:$D$1000,"&lt;="&amp;Config!$B$3)))</f>
        <v/>
      </c>
      <c r="T755" s="40" t="str">
        <f>IF($K755="","",IFERROR(VLOOKUP($K755,Grinders!$A$4:$N$998,8,FALSE),""))</f>
        <v/>
      </c>
      <c r="U755" s="40" t="str">
        <f>IFERROR(IF($K755="","",IF($M755="Elite",MAX(50,MIN(100,Config!$B$27*MAX(0,MIN(100,(1-IF($R755="",0,$R755))*100)) + Config!$B$28*MAX(0,MIN(100,(1-MIN(1,IF(Config!$B$30=0,1,$S755/Config!$B$30)))*100)) + Config!$B$29*MAX(0,MIN(100,MIN(1,IF($T755="",0,$T755)/Config!$B$23)*100)))),MIN(100,Config!$B$27*MAX(0,MIN(100,(1-IF($R755="",0,$R755))*100)) + Config!$B$28*MAX(0,MIN(100,(1-MIN(1,IF(Config!$B$30=0,1,$S755/Config!$B$30)))*100)) + Config!$B$29*MAX(0,MIN(100,MIN(1,IF($T755="",0,$T755)/Config!$B$23)*100))))),"")
</f>
        <v/>
      </c>
      <c r="V755" s="40" t="str">
        <f>IF(Bids!$D754="","",Bids!$D754)</f>
        <v/>
      </c>
      <c r="W755" s="40" t="str">
        <f>IF(Bids!$F754="","",Bids!$F754)</f>
        <v/>
      </c>
      <c r="X755" s="40" t="str">
        <f t="shared" si="5"/>
        <v/>
      </c>
      <c r="Y755" s="40" t="str">
        <f>IF($X755="","",IF(Config!$B$17=Config!$B$16,IF($X755&gt;=Config!$B$17,100,0),MAX(0,MIN(100,($X755-Config!$B$16)/(Config!$B$17-Config!$B$16)*100))))</f>
        <v/>
      </c>
      <c r="Z755" s="40">
        <f>IF($M755="Elite",Config!$B$21,0)</f>
        <v>0</v>
      </c>
      <c r="AA755" s="40" t="str">
        <f>IFERROR(IF(OR($W755="",$H755=""),"",IF($W755&gt;$H755,
  MAX(0, 60-(($W755-$H755)*24/Config!$B$19)*60),
  MIN(100, 60+(($H755-$W755)*24/Config!$B$20)*40)
)),"")
</f>
        <v/>
      </c>
      <c r="AB755" s="40" t="str">
        <f>IF($K755="","",IFERROR(VLOOKUP($K755,Grinders!$A$4:$N$998,10,FALSE)/5*100,""))</f>
        <v/>
      </c>
      <c r="AC755" s="40" t="str">
        <f>IF($K755="","",IFERROR(VLOOKUP($K755,Grinders!$A$4:$N$998,11,FALSE)*100,""))</f>
        <v/>
      </c>
      <c r="AD755" s="40" t="str">
        <f>IF($K755="","",IFERROR(VLOOKUP($K755,Grinders!$A$4:$N$998,12,FALSE)*100,""))</f>
        <v/>
      </c>
      <c r="AE755" s="40">
        <f>IFERROR(IFS(
    OR($C755="", $K755=""), 0,
    $F755=0, 0,
    $D755&lt;&gt;"Open", 0,
    COUNTIFS(GrinderServices!$B$4:$B$998, $K755, GrinderServices!$C$4:$C$998, $E755, GrinderServices!$E$4:$E$998, "Y")=0, 0,
    $X755&lt;Config!$B$16, 0,
    Config!$B$18=1, IF($O755&gt;=N755, 0, 1),
    TRUE, 1
), "")
</f>
        <v>0</v>
      </c>
      <c r="AF755" s="40" t="str">
        <f>IFERROR(IF($AE755=0,"",((Config!$B$6*$Y755 + Config!$B$7*$U755 + Config!$B$8*$Z755 + Config!$B$9*$AA755 + Config!$B$10*$AB755 + Config!$B$11*$AC755 - Config!$B$12*$AD755)/Config!$B$13)+$AK755+$AL755),"")</f>
        <v/>
      </c>
      <c r="AG755" s="40" t="str">
        <f t="shared" si="6"/>
        <v/>
      </c>
      <c r="AH755" s="40" t="str">
        <f t="shared" si="7"/>
        <v/>
      </c>
      <c r="AI755" s="40" t="str">
        <f t="shared" si="8"/>
        <v/>
      </c>
      <c r="AJ755" s="40" t="str">
        <f>IF($K755="","",COUNTIF(Assignments!$B$6:$B$1000,$K755))</f>
        <v/>
      </c>
      <c r="AK755" s="40" t="str">
        <f>IF($K755="","",IF(AND($AJ755=0,$O755&lt;$N755),Config!$B$43,0))</f>
        <v/>
      </c>
      <c r="AL755" s="40" t="str">
        <f>IF($K755="","",IF(AND($M755="Elite",$G755&gt;=Config!$B$41,$O755&lt;$N755),Config!$B$42,0))</f>
        <v/>
      </c>
      <c r="AM755" s="22"/>
    </row>
    <row r="756" ht="15.75" customHeight="1">
      <c r="A756" s="40" t="str">
        <f t="shared" si="1"/>
        <v/>
      </c>
      <c r="B756" s="40" t="str">
        <f>IF(Bids!$A755="","",Bids!$A755)</f>
        <v/>
      </c>
      <c r="C756" s="40" t="str">
        <f>IF(Bids!$B755="","",Bids!$B755)</f>
        <v/>
      </c>
      <c r="D756" s="40" t="str">
        <f>IF($C756="","",IFERROR(VLOOKUP($C756,Orders!$A$4:$J$998,9,FALSE),""))</f>
        <v/>
      </c>
      <c r="E756" s="40" t="str">
        <f>IF($C756="","",IFERROR(VLOOKUP($C756,Orders!$A$4:$J$998,3,FALSE),""))</f>
        <v/>
      </c>
      <c r="F756" s="40">
        <f t="shared" si="2"/>
        <v>1</v>
      </c>
      <c r="G756" s="40" t="str">
        <f>IF($C756="","",IFERROR(VLOOKUP($C756,Orders!$A$4:$J$998,4,FALSE),""))</f>
        <v/>
      </c>
      <c r="H756" s="40" t="str">
        <f>IF($C756="","",IFERROR(VLOOKUP($C756,Orders!$A$4:$J$998,5,FALSE),""))</f>
        <v/>
      </c>
      <c r="I756" s="40" t="str">
        <f>IF($C756="","",IFERROR(VLOOKUP($C756,Orders!$A$4:$J$998,6,FALSE),""))</f>
        <v/>
      </c>
      <c r="J756" s="40" t="str">
        <f>IF($C756="","",IFERROR(VLOOKUP($C756,Orders!$A$4:$J$998,7,FALSE),""))</f>
        <v/>
      </c>
      <c r="K756" s="40" t="str">
        <f>IF(Bids!$C755="","",Bids!$C755)</f>
        <v/>
      </c>
      <c r="L756" s="40" t="str">
        <f>IF($K756="","",IFERROR(VLOOKUP($K756,Grinders!$A$4:$N$998,2,FALSE),""))</f>
        <v/>
      </c>
      <c r="M756" s="40" t="str">
        <f>IF($K756="","",IFERROR(VLOOKUP($K756,Grinders!$A$4:$N$998,3,FALSE),""))</f>
        <v/>
      </c>
      <c r="N756" s="40" t="str">
        <f>IF($K756="","",IFERROR(VLOOKUP($K756,Grinders!$A$4:$N$998,4,FALSE),""))</f>
        <v/>
      </c>
      <c r="O756" s="40" t="str">
        <f>IF($K756="","",IFERROR(VLOOKUP($K756,Grinders!$A$4:$N$998,5,FALSE),""))</f>
        <v/>
      </c>
      <c r="P756" s="40" t="str">
        <f>IF($K756="","",IF($C$4="",0,COUNTIFS(Assignments!$B$6:$B$1000,$K756,Assignments!$F$6:$F$1000,$C$4,Assignments!$E$6:$E$1000,"Active")))</f>
        <v/>
      </c>
      <c r="Q756" s="40" t="str">
        <f t="shared" si="3"/>
        <v/>
      </c>
      <c r="R756" s="40" t="str">
        <f t="shared" si="4"/>
        <v/>
      </c>
      <c r="S756" s="40" t="str">
        <f>IF($K756="","",IF($C$4="",0,COUNTIFS(Assignments!$B$6:$B$1000,$K756,Assignments!$F$6:$F$1000,$C$4,Assignments!$D$6:$D$1000,"&gt;="&amp;Config!$B$3-7,Assignments!$D$6:$D$1000,"&lt;="&amp;Config!$B$3)))</f>
        <v/>
      </c>
      <c r="T756" s="40" t="str">
        <f>IF($K756="","",IFERROR(VLOOKUP($K756,Grinders!$A$4:$N$998,8,FALSE),""))</f>
        <v/>
      </c>
      <c r="U756" s="40" t="str">
        <f>IFERROR(IF($K756="","",IF($M756="Elite",MAX(50,MIN(100,Config!$B$27*MAX(0,MIN(100,(1-IF($R756="",0,$R756))*100)) + Config!$B$28*MAX(0,MIN(100,(1-MIN(1,IF(Config!$B$30=0,1,$S756/Config!$B$30)))*100)) + Config!$B$29*MAX(0,MIN(100,MIN(1,IF($T756="",0,$T756)/Config!$B$23)*100)))),MIN(100,Config!$B$27*MAX(0,MIN(100,(1-IF($R756="",0,$R756))*100)) + Config!$B$28*MAX(0,MIN(100,(1-MIN(1,IF(Config!$B$30=0,1,$S756/Config!$B$30)))*100)) + Config!$B$29*MAX(0,MIN(100,MIN(1,IF($T756="",0,$T756)/Config!$B$23)*100))))),"")
</f>
        <v/>
      </c>
      <c r="V756" s="40" t="str">
        <f>IF(Bids!$D755="","",Bids!$D755)</f>
        <v/>
      </c>
      <c r="W756" s="40" t="str">
        <f>IF(Bids!$F755="","",Bids!$F755)</f>
        <v/>
      </c>
      <c r="X756" s="40" t="str">
        <f t="shared" si="5"/>
        <v/>
      </c>
      <c r="Y756" s="40" t="str">
        <f>IF($X756="","",IF(Config!$B$17=Config!$B$16,IF($X756&gt;=Config!$B$17,100,0),MAX(0,MIN(100,($X756-Config!$B$16)/(Config!$B$17-Config!$B$16)*100))))</f>
        <v/>
      </c>
      <c r="Z756" s="40">
        <f>IF($M756="Elite",Config!$B$21,0)</f>
        <v>0</v>
      </c>
      <c r="AA756" s="40" t="str">
        <f>IFERROR(IF(OR($W756="",$H756=""),"",IF($W756&gt;$H756,
  MAX(0, 60-(($W756-$H756)*24/Config!$B$19)*60),
  MIN(100, 60+(($H756-$W756)*24/Config!$B$20)*40)
)),"")
</f>
        <v/>
      </c>
      <c r="AB756" s="40" t="str">
        <f>IF($K756="","",IFERROR(VLOOKUP($K756,Grinders!$A$4:$N$998,10,FALSE)/5*100,""))</f>
        <v/>
      </c>
      <c r="AC756" s="40" t="str">
        <f>IF($K756="","",IFERROR(VLOOKUP($K756,Grinders!$A$4:$N$998,11,FALSE)*100,""))</f>
        <v/>
      </c>
      <c r="AD756" s="40" t="str">
        <f>IF($K756="","",IFERROR(VLOOKUP($K756,Grinders!$A$4:$N$998,12,FALSE)*100,""))</f>
        <v/>
      </c>
      <c r="AE756" s="40">
        <f>IFERROR(IFS(
    OR($C756="", $K756=""), 0,
    $F756=0, 0,
    $D756&lt;&gt;"Open", 0,
    COUNTIFS(GrinderServices!$B$4:$B$998, $K756, GrinderServices!$C$4:$C$998, $E756, GrinderServices!$E$4:$E$998, "Y")=0, 0,
    $X756&lt;Config!$B$16, 0,
    Config!$B$18=1, IF($O756&gt;=N756, 0, 1),
    TRUE, 1
), "")
</f>
        <v>0</v>
      </c>
      <c r="AF756" s="40" t="str">
        <f>IFERROR(IF($AE756=0,"",((Config!$B$6*$Y756 + Config!$B$7*$U756 + Config!$B$8*$Z756 + Config!$B$9*$AA756 + Config!$B$10*$AB756 + Config!$B$11*$AC756 - Config!$B$12*$AD756)/Config!$B$13)+$AK756+$AL756),"")</f>
        <v/>
      </c>
      <c r="AG756" s="40" t="str">
        <f t="shared" si="6"/>
        <v/>
      </c>
      <c r="AH756" s="40" t="str">
        <f t="shared" si="7"/>
        <v/>
      </c>
      <c r="AI756" s="40" t="str">
        <f t="shared" si="8"/>
        <v/>
      </c>
      <c r="AJ756" s="40" t="str">
        <f>IF($K756="","",COUNTIF(Assignments!$B$6:$B$1000,$K756))</f>
        <v/>
      </c>
      <c r="AK756" s="40" t="str">
        <f>IF($K756="","",IF(AND($AJ756=0,$O756&lt;$N756),Config!$B$43,0))</f>
        <v/>
      </c>
      <c r="AL756" s="40" t="str">
        <f>IF($K756="","",IF(AND($M756="Elite",$G756&gt;=Config!$B$41,$O756&lt;$N756),Config!$B$42,0))</f>
        <v/>
      </c>
      <c r="AM756" s="22"/>
    </row>
    <row r="757" ht="15.75" customHeight="1">
      <c r="A757" s="40" t="str">
        <f t="shared" si="1"/>
        <v/>
      </c>
      <c r="B757" s="40" t="str">
        <f>IF(Bids!$A756="","",Bids!$A756)</f>
        <v/>
      </c>
      <c r="C757" s="40" t="str">
        <f>IF(Bids!$B756="","",Bids!$B756)</f>
        <v/>
      </c>
      <c r="D757" s="40" t="str">
        <f>IF($C757="","",IFERROR(VLOOKUP($C757,Orders!$A$4:$J$998,9,FALSE),""))</f>
        <v/>
      </c>
      <c r="E757" s="40" t="str">
        <f>IF($C757="","",IFERROR(VLOOKUP($C757,Orders!$A$4:$J$998,3,FALSE),""))</f>
        <v/>
      </c>
      <c r="F757" s="40">
        <f t="shared" si="2"/>
        <v>1</v>
      </c>
      <c r="G757" s="40" t="str">
        <f>IF($C757="","",IFERROR(VLOOKUP($C757,Orders!$A$4:$J$998,4,FALSE),""))</f>
        <v/>
      </c>
      <c r="H757" s="40" t="str">
        <f>IF($C757="","",IFERROR(VLOOKUP($C757,Orders!$A$4:$J$998,5,FALSE),""))</f>
        <v/>
      </c>
      <c r="I757" s="40" t="str">
        <f>IF($C757="","",IFERROR(VLOOKUP($C757,Orders!$A$4:$J$998,6,FALSE),""))</f>
        <v/>
      </c>
      <c r="J757" s="40" t="str">
        <f>IF($C757="","",IFERROR(VLOOKUP($C757,Orders!$A$4:$J$998,7,FALSE),""))</f>
        <v/>
      </c>
      <c r="K757" s="40" t="str">
        <f>IF(Bids!$C756="","",Bids!$C756)</f>
        <v/>
      </c>
      <c r="L757" s="40" t="str">
        <f>IF($K757="","",IFERROR(VLOOKUP($K757,Grinders!$A$4:$N$998,2,FALSE),""))</f>
        <v/>
      </c>
      <c r="M757" s="40" t="str">
        <f>IF($K757="","",IFERROR(VLOOKUP($K757,Grinders!$A$4:$N$998,3,FALSE),""))</f>
        <v/>
      </c>
      <c r="N757" s="40" t="str">
        <f>IF($K757="","",IFERROR(VLOOKUP($K757,Grinders!$A$4:$N$998,4,FALSE),""))</f>
        <v/>
      </c>
      <c r="O757" s="40" t="str">
        <f>IF($K757="","",IFERROR(VLOOKUP($K757,Grinders!$A$4:$N$998,5,FALSE),""))</f>
        <v/>
      </c>
      <c r="P757" s="40" t="str">
        <f>IF($K757="","",IF($C$4="",0,COUNTIFS(Assignments!$B$6:$B$1000,$K757,Assignments!$F$6:$F$1000,$C$4,Assignments!$E$6:$E$1000,"Active")))</f>
        <v/>
      </c>
      <c r="Q757" s="40" t="str">
        <f t="shared" si="3"/>
        <v/>
      </c>
      <c r="R757" s="40" t="str">
        <f t="shared" si="4"/>
        <v/>
      </c>
      <c r="S757" s="40" t="str">
        <f>IF($K757="","",IF($C$4="",0,COUNTIFS(Assignments!$B$6:$B$1000,$K757,Assignments!$F$6:$F$1000,$C$4,Assignments!$D$6:$D$1000,"&gt;="&amp;Config!$B$3-7,Assignments!$D$6:$D$1000,"&lt;="&amp;Config!$B$3)))</f>
        <v/>
      </c>
      <c r="T757" s="40" t="str">
        <f>IF($K757="","",IFERROR(VLOOKUP($K757,Grinders!$A$4:$N$998,8,FALSE),""))</f>
        <v/>
      </c>
      <c r="U757" s="40" t="str">
        <f>IFERROR(IF($K757="","",IF($M757="Elite",MAX(50,MIN(100,Config!$B$27*MAX(0,MIN(100,(1-IF($R757="",0,$R757))*100)) + Config!$B$28*MAX(0,MIN(100,(1-MIN(1,IF(Config!$B$30=0,1,$S757/Config!$B$30)))*100)) + Config!$B$29*MAX(0,MIN(100,MIN(1,IF($T757="",0,$T757)/Config!$B$23)*100)))),MIN(100,Config!$B$27*MAX(0,MIN(100,(1-IF($R757="",0,$R757))*100)) + Config!$B$28*MAX(0,MIN(100,(1-MIN(1,IF(Config!$B$30=0,1,$S757/Config!$B$30)))*100)) + Config!$B$29*MAX(0,MIN(100,MIN(1,IF($T757="",0,$T757)/Config!$B$23)*100))))),"")
</f>
        <v/>
      </c>
      <c r="V757" s="40" t="str">
        <f>IF(Bids!$D756="","",Bids!$D756)</f>
        <v/>
      </c>
      <c r="W757" s="40" t="str">
        <f>IF(Bids!$F756="","",Bids!$F756)</f>
        <v/>
      </c>
      <c r="X757" s="40" t="str">
        <f t="shared" si="5"/>
        <v/>
      </c>
      <c r="Y757" s="40" t="str">
        <f>IF($X757="","",IF(Config!$B$17=Config!$B$16,IF($X757&gt;=Config!$B$17,100,0),MAX(0,MIN(100,($X757-Config!$B$16)/(Config!$B$17-Config!$B$16)*100))))</f>
        <v/>
      </c>
      <c r="Z757" s="40">
        <f>IF($M757="Elite",Config!$B$21,0)</f>
        <v>0</v>
      </c>
      <c r="AA757" s="40" t="str">
        <f>IFERROR(IF(OR($W757="",$H757=""),"",IF($W757&gt;$H757,
  MAX(0, 60-(($W757-$H757)*24/Config!$B$19)*60),
  MIN(100, 60+(($H757-$W757)*24/Config!$B$20)*40)
)),"")
</f>
        <v/>
      </c>
      <c r="AB757" s="40" t="str">
        <f>IF($K757="","",IFERROR(VLOOKUP($K757,Grinders!$A$4:$N$998,10,FALSE)/5*100,""))</f>
        <v/>
      </c>
      <c r="AC757" s="40" t="str">
        <f>IF($K757="","",IFERROR(VLOOKUP($K757,Grinders!$A$4:$N$998,11,FALSE)*100,""))</f>
        <v/>
      </c>
      <c r="AD757" s="40" t="str">
        <f>IF($K757="","",IFERROR(VLOOKUP($K757,Grinders!$A$4:$N$998,12,FALSE)*100,""))</f>
        <v/>
      </c>
      <c r="AE757" s="40">
        <f>IFERROR(IFS(
    OR($C757="", $K757=""), 0,
    $F757=0, 0,
    $D757&lt;&gt;"Open", 0,
    COUNTIFS(GrinderServices!$B$4:$B$998, $K757, GrinderServices!$C$4:$C$998, $E757, GrinderServices!$E$4:$E$998, "Y")=0, 0,
    $X757&lt;Config!$B$16, 0,
    Config!$B$18=1, IF($O757&gt;=N757, 0, 1),
    TRUE, 1
), "")
</f>
        <v>0</v>
      </c>
      <c r="AF757" s="40" t="str">
        <f>IFERROR(IF($AE757=0,"",((Config!$B$6*$Y757 + Config!$B$7*$U757 + Config!$B$8*$Z757 + Config!$B$9*$AA757 + Config!$B$10*$AB757 + Config!$B$11*$AC757 - Config!$B$12*$AD757)/Config!$B$13)+$AK757+$AL757),"")</f>
        <v/>
      </c>
      <c r="AG757" s="40" t="str">
        <f t="shared" si="6"/>
        <v/>
      </c>
      <c r="AH757" s="40" t="str">
        <f t="shared" si="7"/>
        <v/>
      </c>
      <c r="AI757" s="40" t="str">
        <f t="shared" si="8"/>
        <v/>
      </c>
      <c r="AJ757" s="40" t="str">
        <f>IF($K757="","",COUNTIF(Assignments!$B$6:$B$1000,$K757))</f>
        <v/>
      </c>
      <c r="AK757" s="40" t="str">
        <f>IF($K757="","",IF(AND($AJ757=0,$O757&lt;$N757),Config!$B$43,0))</f>
        <v/>
      </c>
      <c r="AL757" s="40" t="str">
        <f>IF($K757="","",IF(AND($M757="Elite",$G757&gt;=Config!$B$41,$O757&lt;$N757),Config!$B$42,0))</f>
        <v/>
      </c>
      <c r="AM757" s="22"/>
    </row>
    <row r="758" ht="15.75" customHeight="1">
      <c r="A758" s="40" t="str">
        <f t="shared" si="1"/>
        <v/>
      </c>
      <c r="B758" s="40" t="str">
        <f>IF(Bids!$A757="","",Bids!$A757)</f>
        <v/>
      </c>
      <c r="C758" s="40" t="str">
        <f>IF(Bids!$B757="","",Bids!$B757)</f>
        <v/>
      </c>
      <c r="D758" s="40" t="str">
        <f>IF($C758="","",IFERROR(VLOOKUP($C758,Orders!$A$4:$J$998,9,FALSE),""))</f>
        <v/>
      </c>
      <c r="E758" s="40" t="str">
        <f>IF($C758="","",IFERROR(VLOOKUP($C758,Orders!$A$4:$J$998,3,FALSE),""))</f>
        <v/>
      </c>
      <c r="F758" s="40">
        <f t="shared" si="2"/>
        <v>1</v>
      </c>
      <c r="G758" s="40" t="str">
        <f>IF($C758="","",IFERROR(VLOOKUP($C758,Orders!$A$4:$J$998,4,FALSE),""))</f>
        <v/>
      </c>
      <c r="H758" s="40" t="str">
        <f>IF($C758="","",IFERROR(VLOOKUP($C758,Orders!$A$4:$J$998,5,FALSE),""))</f>
        <v/>
      </c>
      <c r="I758" s="40" t="str">
        <f>IF($C758="","",IFERROR(VLOOKUP($C758,Orders!$A$4:$J$998,6,FALSE),""))</f>
        <v/>
      </c>
      <c r="J758" s="40" t="str">
        <f>IF($C758="","",IFERROR(VLOOKUP($C758,Orders!$A$4:$J$998,7,FALSE),""))</f>
        <v/>
      </c>
      <c r="K758" s="40" t="str">
        <f>IF(Bids!$C757="","",Bids!$C757)</f>
        <v/>
      </c>
      <c r="L758" s="40" t="str">
        <f>IF($K758="","",IFERROR(VLOOKUP($K758,Grinders!$A$4:$N$998,2,FALSE),""))</f>
        <v/>
      </c>
      <c r="M758" s="40" t="str">
        <f>IF($K758="","",IFERROR(VLOOKUP($K758,Grinders!$A$4:$N$998,3,FALSE),""))</f>
        <v/>
      </c>
      <c r="N758" s="40" t="str">
        <f>IF($K758="","",IFERROR(VLOOKUP($K758,Grinders!$A$4:$N$998,4,FALSE),""))</f>
        <v/>
      </c>
      <c r="O758" s="40" t="str">
        <f>IF($K758="","",IFERROR(VLOOKUP($K758,Grinders!$A$4:$N$998,5,FALSE),""))</f>
        <v/>
      </c>
      <c r="P758" s="40" t="str">
        <f>IF($K758="","",IF($C$4="",0,COUNTIFS(Assignments!$B$6:$B$1000,$K758,Assignments!$F$6:$F$1000,$C$4,Assignments!$E$6:$E$1000,"Active")))</f>
        <v/>
      </c>
      <c r="Q758" s="40" t="str">
        <f t="shared" si="3"/>
        <v/>
      </c>
      <c r="R758" s="40" t="str">
        <f t="shared" si="4"/>
        <v/>
      </c>
      <c r="S758" s="40" t="str">
        <f>IF($K758="","",IF($C$4="",0,COUNTIFS(Assignments!$B$6:$B$1000,$K758,Assignments!$F$6:$F$1000,$C$4,Assignments!$D$6:$D$1000,"&gt;="&amp;Config!$B$3-7,Assignments!$D$6:$D$1000,"&lt;="&amp;Config!$B$3)))</f>
        <v/>
      </c>
      <c r="T758" s="40" t="str">
        <f>IF($K758="","",IFERROR(VLOOKUP($K758,Grinders!$A$4:$N$998,8,FALSE),""))</f>
        <v/>
      </c>
      <c r="U758" s="40" t="str">
        <f>IFERROR(IF($K758="","",IF($M758="Elite",MAX(50,MIN(100,Config!$B$27*MAX(0,MIN(100,(1-IF($R758="",0,$R758))*100)) + Config!$B$28*MAX(0,MIN(100,(1-MIN(1,IF(Config!$B$30=0,1,$S758/Config!$B$30)))*100)) + Config!$B$29*MAX(0,MIN(100,MIN(1,IF($T758="",0,$T758)/Config!$B$23)*100)))),MIN(100,Config!$B$27*MAX(0,MIN(100,(1-IF($R758="",0,$R758))*100)) + Config!$B$28*MAX(0,MIN(100,(1-MIN(1,IF(Config!$B$30=0,1,$S758/Config!$B$30)))*100)) + Config!$B$29*MAX(0,MIN(100,MIN(1,IF($T758="",0,$T758)/Config!$B$23)*100))))),"")
</f>
        <v/>
      </c>
      <c r="V758" s="40" t="str">
        <f>IF(Bids!$D757="","",Bids!$D757)</f>
        <v/>
      </c>
      <c r="W758" s="40" t="str">
        <f>IF(Bids!$F757="","",Bids!$F757)</f>
        <v/>
      </c>
      <c r="X758" s="40" t="str">
        <f t="shared" si="5"/>
        <v/>
      </c>
      <c r="Y758" s="40" t="str">
        <f>IF($X758="","",IF(Config!$B$17=Config!$B$16,IF($X758&gt;=Config!$B$17,100,0),MAX(0,MIN(100,($X758-Config!$B$16)/(Config!$B$17-Config!$B$16)*100))))</f>
        <v/>
      </c>
      <c r="Z758" s="40">
        <f>IF($M758="Elite",Config!$B$21,0)</f>
        <v>0</v>
      </c>
      <c r="AA758" s="40" t="str">
        <f>IFERROR(IF(OR($W758="",$H758=""),"",IF($W758&gt;$H758,
  MAX(0, 60-(($W758-$H758)*24/Config!$B$19)*60),
  MIN(100, 60+(($H758-$W758)*24/Config!$B$20)*40)
)),"")
</f>
        <v/>
      </c>
      <c r="AB758" s="40" t="str">
        <f>IF($K758="","",IFERROR(VLOOKUP($K758,Grinders!$A$4:$N$998,10,FALSE)/5*100,""))</f>
        <v/>
      </c>
      <c r="AC758" s="40" t="str">
        <f>IF($K758="","",IFERROR(VLOOKUP($K758,Grinders!$A$4:$N$998,11,FALSE)*100,""))</f>
        <v/>
      </c>
      <c r="AD758" s="40" t="str">
        <f>IF($K758="","",IFERROR(VLOOKUP($K758,Grinders!$A$4:$N$998,12,FALSE)*100,""))</f>
        <v/>
      </c>
      <c r="AE758" s="40">
        <f>IFERROR(IFS(
    OR($C758="", $K758=""), 0,
    $F758=0, 0,
    $D758&lt;&gt;"Open", 0,
    COUNTIFS(GrinderServices!$B$4:$B$998, $K758, GrinderServices!$C$4:$C$998, $E758, GrinderServices!$E$4:$E$998, "Y")=0, 0,
    $X758&lt;Config!$B$16, 0,
    Config!$B$18=1, IF($O758&gt;=N758, 0, 1),
    TRUE, 1
), "")
</f>
        <v>0</v>
      </c>
      <c r="AF758" s="40" t="str">
        <f>IFERROR(IF($AE758=0,"",((Config!$B$6*$Y758 + Config!$B$7*$U758 + Config!$B$8*$Z758 + Config!$B$9*$AA758 + Config!$B$10*$AB758 + Config!$B$11*$AC758 - Config!$B$12*$AD758)/Config!$B$13)+$AK758+$AL758),"")</f>
        <v/>
      </c>
      <c r="AG758" s="40" t="str">
        <f t="shared" si="6"/>
        <v/>
      </c>
      <c r="AH758" s="40" t="str">
        <f t="shared" si="7"/>
        <v/>
      </c>
      <c r="AI758" s="40" t="str">
        <f t="shared" si="8"/>
        <v/>
      </c>
      <c r="AJ758" s="40" t="str">
        <f>IF($K758="","",COUNTIF(Assignments!$B$6:$B$1000,$K758))</f>
        <v/>
      </c>
      <c r="AK758" s="40" t="str">
        <f>IF($K758="","",IF(AND($AJ758=0,$O758&lt;$N758),Config!$B$43,0))</f>
        <v/>
      </c>
      <c r="AL758" s="40" t="str">
        <f>IF($K758="","",IF(AND($M758="Elite",$G758&gt;=Config!$B$41,$O758&lt;$N758),Config!$B$42,0))</f>
        <v/>
      </c>
      <c r="AM758" s="22"/>
    </row>
    <row r="759" ht="15.75" customHeight="1">
      <c r="A759" s="40" t="str">
        <f t="shared" si="1"/>
        <v/>
      </c>
      <c r="B759" s="40" t="str">
        <f>IF(Bids!$A758="","",Bids!$A758)</f>
        <v/>
      </c>
      <c r="C759" s="40" t="str">
        <f>IF(Bids!$B758="","",Bids!$B758)</f>
        <v/>
      </c>
      <c r="D759" s="40" t="str">
        <f>IF($C759="","",IFERROR(VLOOKUP($C759,Orders!$A$4:$J$998,9,FALSE),""))</f>
        <v/>
      </c>
      <c r="E759" s="40" t="str">
        <f>IF($C759="","",IFERROR(VLOOKUP($C759,Orders!$A$4:$J$998,3,FALSE),""))</f>
        <v/>
      </c>
      <c r="F759" s="40">
        <f t="shared" si="2"/>
        <v>1</v>
      </c>
      <c r="G759" s="40" t="str">
        <f>IF($C759="","",IFERROR(VLOOKUP($C759,Orders!$A$4:$J$998,4,FALSE),""))</f>
        <v/>
      </c>
      <c r="H759" s="40" t="str">
        <f>IF($C759="","",IFERROR(VLOOKUP($C759,Orders!$A$4:$J$998,5,FALSE),""))</f>
        <v/>
      </c>
      <c r="I759" s="40" t="str">
        <f>IF($C759="","",IFERROR(VLOOKUP($C759,Orders!$A$4:$J$998,6,FALSE),""))</f>
        <v/>
      </c>
      <c r="J759" s="40" t="str">
        <f>IF($C759="","",IFERROR(VLOOKUP($C759,Orders!$A$4:$J$998,7,FALSE),""))</f>
        <v/>
      </c>
      <c r="K759" s="40" t="str">
        <f>IF(Bids!$C758="","",Bids!$C758)</f>
        <v/>
      </c>
      <c r="L759" s="40" t="str">
        <f>IF($K759="","",IFERROR(VLOOKUP($K759,Grinders!$A$4:$N$998,2,FALSE),""))</f>
        <v/>
      </c>
      <c r="M759" s="40" t="str">
        <f>IF($K759="","",IFERROR(VLOOKUP($K759,Grinders!$A$4:$N$998,3,FALSE),""))</f>
        <v/>
      </c>
      <c r="N759" s="40" t="str">
        <f>IF($K759="","",IFERROR(VLOOKUP($K759,Grinders!$A$4:$N$998,4,FALSE),""))</f>
        <v/>
      </c>
      <c r="O759" s="40" t="str">
        <f>IF($K759="","",IFERROR(VLOOKUP($K759,Grinders!$A$4:$N$998,5,FALSE),""))</f>
        <v/>
      </c>
      <c r="P759" s="40" t="str">
        <f>IF($K759="","",IF($C$4="",0,COUNTIFS(Assignments!$B$6:$B$1000,$K759,Assignments!$F$6:$F$1000,$C$4,Assignments!$E$6:$E$1000,"Active")))</f>
        <v/>
      </c>
      <c r="Q759" s="40" t="str">
        <f t="shared" si="3"/>
        <v/>
      </c>
      <c r="R759" s="40" t="str">
        <f t="shared" si="4"/>
        <v/>
      </c>
      <c r="S759" s="40" t="str">
        <f>IF($K759="","",IF($C$4="",0,COUNTIFS(Assignments!$B$6:$B$1000,$K759,Assignments!$F$6:$F$1000,$C$4,Assignments!$D$6:$D$1000,"&gt;="&amp;Config!$B$3-7,Assignments!$D$6:$D$1000,"&lt;="&amp;Config!$B$3)))</f>
        <v/>
      </c>
      <c r="T759" s="40" t="str">
        <f>IF($K759="","",IFERROR(VLOOKUP($K759,Grinders!$A$4:$N$998,8,FALSE),""))</f>
        <v/>
      </c>
      <c r="U759" s="40" t="str">
        <f>IFERROR(IF($K759="","",IF($M759="Elite",MAX(50,MIN(100,Config!$B$27*MAX(0,MIN(100,(1-IF($R759="",0,$R759))*100)) + Config!$B$28*MAX(0,MIN(100,(1-MIN(1,IF(Config!$B$30=0,1,$S759/Config!$B$30)))*100)) + Config!$B$29*MAX(0,MIN(100,MIN(1,IF($T759="",0,$T759)/Config!$B$23)*100)))),MIN(100,Config!$B$27*MAX(0,MIN(100,(1-IF($R759="",0,$R759))*100)) + Config!$B$28*MAX(0,MIN(100,(1-MIN(1,IF(Config!$B$30=0,1,$S759/Config!$B$30)))*100)) + Config!$B$29*MAX(0,MIN(100,MIN(1,IF($T759="",0,$T759)/Config!$B$23)*100))))),"")
</f>
        <v/>
      </c>
      <c r="V759" s="40" t="str">
        <f>IF(Bids!$D758="","",Bids!$D758)</f>
        <v/>
      </c>
      <c r="W759" s="40" t="str">
        <f>IF(Bids!$F758="","",Bids!$F758)</f>
        <v/>
      </c>
      <c r="X759" s="40" t="str">
        <f t="shared" si="5"/>
        <v/>
      </c>
      <c r="Y759" s="40" t="str">
        <f>IF($X759="","",IF(Config!$B$17=Config!$B$16,IF($X759&gt;=Config!$B$17,100,0),MAX(0,MIN(100,($X759-Config!$B$16)/(Config!$B$17-Config!$B$16)*100))))</f>
        <v/>
      </c>
      <c r="Z759" s="40">
        <f>IF($M759="Elite",Config!$B$21,0)</f>
        <v>0</v>
      </c>
      <c r="AA759" s="40" t="str">
        <f>IFERROR(IF(OR($W759="",$H759=""),"",IF($W759&gt;$H759,
  MAX(0, 60-(($W759-$H759)*24/Config!$B$19)*60),
  MIN(100, 60+(($H759-$W759)*24/Config!$B$20)*40)
)),"")
</f>
        <v/>
      </c>
      <c r="AB759" s="40" t="str">
        <f>IF($K759="","",IFERROR(VLOOKUP($K759,Grinders!$A$4:$N$998,10,FALSE)/5*100,""))</f>
        <v/>
      </c>
      <c r="AC759" s="40" t="str">
        <f>IF($K759="","",IFERROR(VLOOKUP($K759,Grinders!$A$4:$N$998,11,FALSE)*100,""))</f>
        <v/>
      </c>
      <c r="AD759" s="40" t="str">
        <f>IF($K759="","",IFERROR(VLOOKUP($K759,Grinders!$A$4:$N$998,12,FALSE)*100,""))</f>
        <v/>
      </c>
      <c r="AE759" s="40">
        <f>IFERROR(IFS(
    OR($C759="", $K759=""), 0,
    $F759=0, 0,
    $D759&lt;&gt;"Open", 0,
    COUNTIFS(GrinderServices!$B$4:$B$998, $K759, GrinderServices!$C$4:$C$998, $E759, GrinderServices!$E$4:$E$998, "Y")=0, 0,
    $X759&lt;Config!$B$16, 0,
    Config!$B$18=1, IF($O759&gt;=N759, 0, 1),
    TRUE, 1
), "")
</f>
        <v>0</v>
      </c>
      <c r="AF759" s="40" t="str">
        <f>IFERROR(IF($AE759=0,"",((Config!$B$6*$Y759 + Config!$B$7*$U759 + Config!$B$8*$Z759 + Config!$B$9*$AA759 + Config!$B$10*$AB759 + Config!$B$11*$AC759 - Config!$B$12*$AD759)/Config!$B$13)+$AK759+$AL759),"")</f>
        <v/>
      </c>
      <c r="AG759" s="40" t="str">
        <f t="shared" si="6"/>
        <v/>
      </c>
      <c r="AH759" s="40" t="str">
        <f t="shared" si="7"/>
        <v/>
      </c>
      <c r="AI759" s="40" t="str">
        <f t="shared" si="8"/>
        <v/>
      </c>
      <c r="AJ759" s="40" t="str">
        <f>IF($K759="","",COUNTIF(Assignments!$B$6:$B$1000,$K759))</f>
        <v/>
      </c>
      <c r="AK759" s="40" t="str">
        <f>IF($K759="","",IF(AND($AJ759=0,$O759&lt;$N759),Config!$B$43,0))</f>
        <v/>
      </c>
      <c r="AL759" s="40" t="str">
        <f>IF($K759="","",IF(AND($M759="Elite",$G759&gt;=Config!$B$41,$O759&lt;$N759),Config!$B$42,0))</f>
        <v/>
      </c>
      <c r="AM759" s="22"/>
    </row>
    <row r="760" ht="15.75" customHeight="1">
      <c r="A760" s="40" t="str">
        <f t="shared" si="1"/>
        <v/>
      </c>
      <c r="B760" s="40" t="str">
        <f>IF(Bids!$A759="","",Bids!$A759)</f>
        <v/>
      </c>
      <c r="C760" s="40" t="str">
        <f>IF(Bids!$B759="","",Bids!$B759)</f>
        <v/>
      </c>
      <c r="D760" s="40" t="str">
        <f>IF($C760="","",IFERROR(VLOOKUP($C760,Orders!$A$4:$J$998,9,FALSE),""))</f>
        <v/>
      </c>
      <c r="E760" s="40" t="str">
        <f>IF($C760="","",IFERROR(VLOOKUP($C760,Orders!$A$4:$J$998,3,FALSE),""))</f>
        <v/>
      </c>
      <c r="F760" s="40">
        <f t="shared" si="2"/>
        <v>1</v>
      </c>
      <c r="G760" s="40" t="str">
        <f>IF($C760="","",IFERROR(VLOOKUP($C760,Orders!$A$4:$J$998,4,FALSE),""))</f>
        <v/>
      </c>
      <c r="H760" s="40" t="str">
        <f>IF($C760="","",IFERROR(VLOOKUP($C760,Orders!$A$4:$J$998,5,FALSE),""))</f>
        <v/>
      </c>
      <c r="I760" s="40" t="str">
        <f>IF($C760="","",IFERROR(VLOOKUP($C760,Orders!$A$4:$J$998,6,FALSE),""))</f>
        <v/>
      </c>
      <c r="J760" s="40" t="str">
        <f>IF($C760="","",IFERROR(VLOOKUP($C760,Orders!$A$4:$J$998,7,FALSE),""))</f>
        <v/>
      </c>
      <c r="K760" s="40" t="str">
        <f>IF(Bids!$C759="","",Bids!$C759)</f>
        <v/>
      </c>
      <c r="L760" s="40" t="str">
        <f>IF($K760="","",IFERROR(VLOOKUP($K760,Grinders!$A$4:$N$998,2,FALSE),""))</f>
        <v/>
      </c>
      <c r="M760" s="40" t="str">
        <f>IF($K760="","",IFERROR(VLOOKUP($K760,Grinders!$A$4:$N$998,3,FALSE),""))</f>
        <v/>
      </c>
      <c r="N760" s="40" t="str">
        <f>IF($K760="","",IFERROR(VLOOKUP($K760,Grinders!$A$4:$N$998,4,FALSE),""))</f>
        <v/>
      </c>
      <c r="O760" s="40" t="str">
        <f>IF($K760="","",IFERROR(VLOOKUP($K760,Grinders!$A$4:$N$998,5,FALSE),""))</f>
        <v/>
      </c>
      <c r="P760" s="40" t="str">
        <f>IF($K760="","",IF($C$4="",0,COUNTIFS(Assignments!$B$6:$B$1000,$K760,Assignments!$F$6:$F$1000,$C$4,Assignments!$E$6:$E$1000,"Active")))</f>
        <v/>
      </c>
      <c r="Q760" s="40" t="str">
        <f t="shared" si="3"/>
        <v/>
      </c>
      <c r="R760" s="40" t="str">
        <f t="shared" si="4"/>
        <v/>
      </c>
      <c r="S760" s="40" t="str">
        <f>IF($K760="","",IF($C$4="",0,COUNTIFS(Assignments!$B$6:$B$1000,$K760,Assignments!$F$6:$F$1000,$C$4,Assignments!$D$6:$D$1000,"&gt;="&amp;Config!$B$3-7,Assignments!$D$6:$D$1000,"&lt;="&amp;Config!$B$3)))</f>
        <v/>
      </c>
      <c r="T760" s="40" t="str">
        <f>IF($K760="","",IFERROR(VLOOKUP($K760,Grinders!$A$4:$N$998,8,FALSE),""))</f>
        <v/>
      </c>
      <c r="U760" s="40" t="str">
        <f>IFERROR(IF($K760="","",IF($M760="Elite",MAX(50,MIN(100,Config!$B$27*MAX(0,MIN(100,(1-IF($R760="",0,$R760))*100)) + Config!$B$28*MAX(0,MIN(100,(1-MIN(1,IF(Config!$B$30=0,1,$S760/Config!$B$30)))*100)) + Config!$B$29*MAX(0,MIN(100,MIN(1,IF($T760="",0,$T760)/Config!$B$23)*100)))),MIN(100,Config!$B$27*MAX(0,MIN(100,(1-IF($R760="",0,$R760))*100)) + Config!$B$28*MAX(0,MIN(100,(1-MIN(1,IF(Config!$B$30=0,1,$S760/Config!$B$30)))*100)) + Config!$B$29*MAX(0,MIN(100,MIN(1,IF($T760="",0,$T760)/Config!$B$23)*100))))),"")
</f>
        <v/>
      </c>
      <c r="V760" s="40" t="str">
        <f>IF(Bids!$D759="","",Bids!$D759)</f>
        <v/>
      </c>
      <c r="W760" s="40" t="str">
        <f>IF(Bids!$F759="","",Bids!$F759)</f>
        <v/>
      </c>
      <c r="X760" s="40" t="str">
        <f t="shared" si="5"/>
        <v/>
      </c>
      <c r="Y760" s="40" t="str">
        <f>IF($X760="","",IF(Config!$B$17=Config!$B$16,IF($X760&gt;=Config!$B$17,100,0),MAX(0,MIN(100,($X760-Config!$B$16)/(Config!$B$17-Config!$B$16)*100))))</f>
        <v/>
      </c>
      <c r="Z760" s="40">
        <f>IF($M760="Elite",Config!$B$21,0)</f>
        <v>0</v>
      </c>
      <c r="AA760" s="40" t="str">
        <f>IFERROR(IF(OR($W760="",$H760=""),"",IF($W760&gt;$H760,
  MAX(0, 60-(($W760-$H760)*24/Config!$B$19)*60),
  MIN(100, 60+(($H760-$W760)*24/Config!$B$20)*40)
)),"")
</f>
        <v/>
      </c>
      <c r="AB760" s="40" t="str">
        <f>IF($K760="","",IFERROR(VLOOKUP($K760,Grinders!$A$4:$N$998,10,FALSE)/5*100,""))</f>
        <v/>
      </c>
      <c r="AC760" s="40" t="str">
        <f>IF($K760="","",IFERROR(VLOOKUP($K760,Grinders!$A$4:$N$998,11,FALSE)*100,""))</f>
        <v/>
      </c>
      <c r="AD760" s="40" t="str">
        <f>IF($K760="","",IFERROR(VLOOKUP($K760,Grinders!$A$4:$N$998,12,FALSE)*100,""))</f>
        <v/>
      </c>
      <c r="AE760" s="40">
        <f>IFERROR(IFS(
    OR($C760="", $K760=""), 0,
    $F760=0, 0,
    $D760&lt;&gt;"Open", 0,
    COUNTIFS(GrinderServices!$B$4:$B$998, $K760, GrinderServices!$C$4:$C$998, $E760, GrinderServices!$E$4:$E$998, "Y")=0, 0,
    $X760&lt;Config!$B$16, 0,
    Config!$B$18=1, IF($O760&gt;=N760, 0, 1),
    TRUE, 1
), "")
</f>
        <v>0</v>
      </c>
      <c r="AF760" s="40" t="str">
        <f>IFERROR(IF($AE760=0,"",((Config!$B$6*$Y760 + Config!$B$7*$U760 + Config!$B$8*$Z760 + Config!$B$9*$AA760 + Config!$B$10*$AB760 + Config!$B$11*$AC760 - Config!$B$12*$AD760)/Config!$B$13)+$AK760+$AL760),"")</f>
        <v/>
      </c>
      <c r="AG760" s="40" t="str">
        <f t="shared" si="6"/>
        <v/>
      </c>
      <c r="AH760" s="40" t="str">
        <f t="shared" si="7"/>
        <v/>
      </c>
      <c r="AI760" s="40" t="str">
        <f t="shared" si="8"/>
        <v/>
      </c>
      <c r="AJ760" s="40" t="str">
        <f>IF($K760="","",COUNTIF(Assignments!$B$6:$B$1000,$K760))</f>
        <v/>
      </c>
      <c r="AK760" s="40" t="str">
        <f>IF($K760="","",IF(AND($AJ760=0,$O760&lt;$N760),Config!$B$43,0))</f>
        <v/>
      </c>
      <c r="AL760" s="40" t="str">
        <f>IF($K760="","",IF(AND($M760="Elite",$G760&gt;=Config!$B$41,$O760&lt;$N760),Config!$B$42,0))</f>
        <v/>
      </c>
      <c r="AM760" s="22"/>
    </row>
    <row r="761" ht="15.75" customHeight="1">
      <c r="A761" s="40" t="str">
        <f t="shared" si="1"/>
        <v/>
      </c>
      <c r="B761" s="40" t="str">
        <f>IF(Bids!$A760="","",Bids!$A760)</f>
        <v/>
      </c>
      <c r="C761" s="40" t="str">
        <f>IF(Bids!$B760="","",Bids!$B760)</f>
        <v/>
      </c>
      <c r="D761" s="40" t="str">
        <f>IF($C761="","",IFERROR(VLOOKUP($C761,Orders!$A$4:$J$998,9,FALSE),""))</f>
        <v/>
      </c>
      <c r="E761" s="40" t="str">
        <f>IF($C761="","",IFERROR(VLOOKUP($C761,Orders!$A$4:$J$998,3,FALSE),""))</f>
        <v/>
      </c>
      <c r="F761" s="40">
        <f t="shared" si="2"/>
        <v>1</v>
      </c>
      <c r="G761" s="40" t="str">
        <f>IF($C761="","",IFERROR(VLOOKUP($C761,Orders!$A$4:$J$998,4,FALSE),""))</f>
        <v/>
      </c>
      <c r="H761" s="40" t="str">
        <f>IF($C761="","",IFERROR(VLOOKUP($C761,Orders!$A$4:$J$998,5,FALSE),""))</f>
        <v/>
      </c>
      <c r="I761" s="40" t="str">
        <f>IF($C761="","",IFERROR(VLOOKUP($C761,Orders!$A$4:$J$998,6,FALSE),""))</f>
        <v/>
      </c>
      <c r="J761" s="40" t="str">
        <f>IF($C761="","",IFERROR(VLOOKUP($C761,Orders!$A$4:$J$998,7,FALSE),""))</f>
        <v/>
      </c>
      <c r="K761" s="40" t="str">
        <f>IF(Bids!$C760="","",Bids!$C760)</f>
        <v/>
      </c>
      <c r="L761" s="40" t="str">
        <f>IF($K761="","",IFERROR(VLOOKUP($K761,Grinders!$A$4:$N$998,2,FALSE),""))</f>
        <v/>
      </c>
      <c r="M761" s="40" t="str">
        <f>IF($K761="","",IFERROR(VLOOKUP($K761,Grinders!$A$4:$N$998,3,FALSE),""))</f>
        <v/>
      </c>
      <c r="N761" s="40" t="str">
        <f>IF($K761="","",IFERROR(VLOOKUP($K761,Grinders!$A$4:$N$998,4,FALSE),""))</f>
        <v/>
      </c>
      <c r="O761" s="40" t="str">
        <f>IF($K761="","",IFERROR(VLOOKUP($K761,Grinders!$A$4:$N$998,5,FALSE),""))</f>
        <v/>
      </c>
      <c r="P761" s="40" t="str">
        <f>IF($K761="","",IF($C$4="",0,COUNTIFS(Assignments!$B$6:$B$1000,$K761,Assignments!$F$6:$F$1000,$C$4,Assignments!$E$6:$E$1000,"Active")))</f>
        <v/>
      </c>
      <c r="Q761" s="40" t="str">
        <f t="shared" si="3"/>
        <v/>
      </c>
      <c r="R761" s="40" t="str">
        <f t="shared" si="4"/>
        <v/>
      </c>
      <c r="S761" s="40" t="str">
        <f>IF($K761="","",IF($C$4="",0,COUNTIFS(Assignments!$B$6:$B$1000,$K761,Assignments!$F$6:$F$1000,$C$4,Assignments!$D$6:$D$1000,"&gt;="&amp;Config!$B$3-7,Assignments!$D$6:$D$1000,"&lt;="&amp;Config!$B$3)))</f>
        <v/>
      </c>
      <c r="T761" s="40" t="str">
        <f>IF($K761="","",IFERROR(VLOOKUP($K761,Grinders!$A$4:$N$998,8,FALSE),""))</f>
        <v/>
      </c>
      <c r="U761" s="40" t="str">
        <f>IFERROR(IF($K761="","",IF($M761="Elite",MAX(50,MIN(100,Config!$B$27*MAX(0,MIN(100,(1-IF($R761="",0,$R761))*100)) + Config!$B$28*MAX(0,MIN(100,(1-MIN(1,IF(Config!$B$30=0,1,$S761/Config!$B$30)))*100)) + Config!$B$29*MAX(0,MIN(100,MIN(1,IF($T761="",0,$T761)/Config!$B$23)*100)))),MIN(100,Config!$B$27*MAX(0,MIN(100,(1-IF($R761="",0,$R761))*100)) + Config!$B$28*MAX(0,MIN(100,(1-MIN(1,IF(Config!$B$30=0,1,$S761/Config!$B$30)))*100)) + Config!$B$29*MAX(0,MIN(100,MIN(1,IF($T761="",0,$T761)/Config!$B$23)*100))))),"")
</f>
        <v/>
      </c>
      <c r="V761" s="40" t="str">
        <f>IF(Bids!$D760="","",Bids!$D760)</f>
        <v/>
      </c>
      <c r="W761" s="40" t="str">
        <f>IF(Bids!$F760="","",Bids!$F760)</f>
        <v/>
      </c>
      <c r="X761" s="40" t="str">
        <f t="shared" si="5"/>
        <v/>
      </c>
      <c r="Y761" s="40" t="str">
        <f>IF($X761="","",IF(Config!$B$17=Config!$B$16,IF($X761&gt;=Config!$B$17,100,0),MAX(0,MIN(100,($X761-Config!$B$16)/(Config!$B$17-Config!$B$16)*100))))</f>
        <v/>
      </c>
      <c r="Z761" s="40">
        <f>IF($M761="Elite",Config!$B$21,0)</f>
        <v>0</v>
      </c>
      <c r="AA761" s="40" t="str">
        <f>IFERROR(IF(OR($W761="",$H761=""),"",IF($W761&gt;$H761,
  MAX(0, 60-(($W761-$H761)*24/Config!$B$19)*60),
  MIN(100, 60+(($H761-$W761)*24/Config!$B$20)*40)
)),"")
</f>
        <v/>
      </c>
      <c r="AB761" s="40" t="str">
        <f>IF($K761="","",IFERROR(VLOOKUP($K761,Grinders!$A$4:$N$998,10,FALSE)/5*100,""))</f>
        <v/>
      </c>
      <c r="AC761" s="40" t="str">
        <f>IF($K761="","",IFERROR(VLOOKUP($K761,Grinders!$A$4:$N$998,11,FALSE)*100,""))</f>
        <v/>
      </c>
      <c r="AD761" s="40" t="str">
        <f>IF($K761="","",IFERROR(VLOOKUP($K761,Grinders!$A$4:$N$998,12,FALSE)*100,""))</f>
        <v/>
      </c>
      <c r="AE761" s="40">
        <f>IFERROR(IFS(
    OR($C761="", $K761=""), 0,
    $F761=0, 0,
    $D761&lt;&gt;"Open", 0,
    COUNTIFS(GrinderServices!$B$4:$B$998, $K761, GrinderServices!$C$4:$C$998, $E761, GrinderServices!$E$4:$E$998, "Y")=0, 0,
    $X761&lt;Config!$B$16, 0,
    Config!$B$18=1, IF($O761&gt;=N761, 0, 1),
    TRUE, 1
), "")
</f>
        <v>0</v>
      </c>
      <c r="AF761" s="40" t="str">
        <f>IFERROR(IF($AE761=0,"",((Config!$B$6*$Y761 + Config!$B$7*$U761 + Config!$B$8*$Z761 + Config!$B$9*$AA761 + Config!$B$10*$AB761 + Config!$B$11*$AC761 - Config!$B$12*$AD761)/Config!$B$13)+$AK761+$AL761),"")</f>
        <v/>
      </c>
      <c r="AG761" s="40" t="str">
        <f t="shared" si="6"/>
        <v/>
      </c>
      <c r="AH761" s="40" t="str">
        <f t="shared" si="7"/>
        <v/>
      </c>
      <c r="AI761" s="40" t="str">
        <f t="shared" si="8"/>
        <v/>
      </c>
      <c r="AJ761" s="40" t="str">
        <f>IF($K761="","",COUNTIF(Assignments!$B$6:$B$1000,$K761))</f>
        <v/>
      </c>
      <c r="AK761" s="40" t="str">
        <f>IF($K761="","",IF(AND($AJ761=0,$O761&lt;$N761),Config!$B$43,0))</f>
        <v/>
      </c>
      <c r="AL761" s="40" t="str">
        <f>IF($K761="","",IF(AND($M761="Elite",$G761&gt;=Config!$B$41,$O761&lt;$N761),Config!$B$42,0))</f>
        <v/>
      </c>
      <c r="AM761" s="22"/>
    </row>
    <row r="762" ht="15.75" customHeight="1">
      <c r="A762" s="40" t="str">
        <f t="shared" si="1"/>
        <v/>
      </c>
      <c r="B762" s="40" t="str">
        <f>IF(Bids!$A761="","",Bids!$A761)</f>
        <v/>
      </c>
      <c r="C762" s="40" t="str">
        <f>IF(Bids!$B761="","",Bids!$B761)</f>
        <v/>
      </c>
      <c r="D762" s="40" t="str">
        <f>IF($C762="","",IFERROR(VLOOKUP($C762,Orders!$A$4:$J$998,9,FALSE),""))</f>
        <v/>
      </c>
      <c r="E762" s="40" t="str">
        <f>IF($C762="","",IFERROR(VLOOKUP($C762,Orders!$A$4:$J$998,3,FALSE),""))</f>
        <v/>
      </c>
      <c r="F762" s="40">
        <f t="shared" si="2"/>
        <v>1</v>
      </c>
      <c r="G762" s="40" t="str">
        <f>IF($C762="","",IFERROR(VLOOKUP($C762,Orders!$A$4:$J$998,4,FALSE),""))</f>
        <v/>
      </c>
      <c r="H762" s="40" t="str">
        <f>IF($C762="","",IFERROR(VLOOKUP($C762,Orders!$A$4:$J$998,5,FALSE),""))</f>
        <v/>
      </c>
      <c r="I762" s="40" t="str">
        <f>IF($C762="","",IFERROR(VLOOKUP($C762,Orders!$A$4:$J$998,6,FALSE),""))</f>
        <v/>
      </c>
      <c r="J762" s="40" t="str">
        <f>IF($C762="","",IFERROR(VLOOKUP($C762,Orders!$A$4:$J$998,7,FALSE),""))</f>
        <v/>
      </c>
      <c r="K762" s="40" t="str">
        <f>IF(Bids!$C761="","",Bids!$C761)</f>
        <v/>
      </c>
      <c r="L762" s="40" t="str">
        <f>IF($K762="","",IFERROR(VLOOKUP($K762,Grinders!$A$4:$N$998,2,FALSE),""))</f>
        <v/>
      </c>
      <c r="M762" s="40" t="str">
        <f>IF($K762="","",IFERROR(VLOOKUP($K762,Grinders!$A$4:$N$998,3,FALSE),""))</f>
        <v/>
      </c>
      <c r="N762" s="40" t="str">
        <f>IF($K762="","",IFERROR(VLOOKUP($K762,Grinders!$A$4:$N$998,4,FALSE),""))</f>
        <v/>
      </c>
      <c r="O762" s="40" t="str">
        <f>IF($K762="","",IFERROR(VLOOKUP($K762,Grinders!$A$4:$N$998,5,FALSE),""))</f>
        <v/>
      </c>
      <c r="P762" s="40" t="str">
        <f>IF($K762="","",IF($C$4="",0,COUNTIFS(Assignments!$B$6:$B$1000,$K762,Assignments!$F$6:$F$1000,$C$4,Assignments!$E$6:$E$1000,"Active")))</f>
        <v/>
      </c>
      <c r="Q762" s="40" t="str">
        <f t="shared" si="3"/>
        <v/>
      </c>
      <c r="R762" s="40" t="str">
        <f t="shared" si="4"/>
        <v/>
      </c>
      <c r="S762" s="40" t="str">
        <f>IF($K762="","",IF($C$4="",0,COUNTIFS(Assignments!$B$6:$B$1000,$K762,Assignments!$F$6:$F$1000,$C$4,Assignments!$D$6:$D$1000,"&gt;="&amp;Config!$B$3-7,Assignments!$D$6:$D$1000,"&lt;="&amp;Config!$B$3)))</f>
        <v/>
      </c>
      <c r="T762" s="40" t="str">
        <f>IF($K762="","",IFERROR(VLOOKUP($K762,Grinders!$A$4:$N$998,8,FALSE),""))</f>
        <v/>
      </c>
      <c r="U762" s="40" t="str">
        <f>IFERROR(IF($K762="","",IF($M762="Elite",MAX(50,MIN(100,Config!$B$27*MAX(0,MIN(100,(1-IF($R762="",0,$R762))*100)) + Config!$B$28*MAX(0,MIN(100,(1-MIN(1,IF(Config!$B$30=0,1,$S762/Config!$B$30)))*100)) + Config!$B$29*MAX(0,MIN(100,MIN(1,IF($T762="",0,$T762)/Config!$B$23)*100)))),MIN(100,Config!$B$27*MAX(0,MIN(100,(1-IF($R762="",0,$R762))*100)) + Config!$B$28*MAX(0,MIN(100,(1-MIN(1,IF(Config!$B$30=0,1,$S762/Config!$B$30)))*100)) + Config!$B$29*MAX(0,MIN(100,MIN(1,IF($T762="",0,$T762)/Config!$B$23)*100))))),"")
</f>
        <v/>
      </c>
      <c r="V762" s="40" t="str">
        <f>IF(Bids!$D761="","",Bids!$D761)</f>
        <v/>
      </c>
      <c r="W762" s="40" t="str">
        <f>IF(Bids!$F761="","",Bids!$F761)</f>
        <v/>
      </c>
      <c r="X762" s="40" t="str">
        <f t="shared" si="5"/>
        <v/>
      </c>
      <c r="Y762" s="40" t="str">
        <f>IF($X762="","",IF(Config!$B$17=Config!$B$16,IF($X762&gt;=Config!$B$17,100,0),MAX(0,MIN(100,($X762-Config!$B$16)/(Config!$B$17-Config!$B$16)*100))))</f>
        <v/>
      </c>
      <c r="Z762" s="40">
        <f>IF($M762="Elite",Config!$B$21,0)</f>
        <v>0</v>
      </c>
      <c r="AA762" s="40" t="str">
        <f>IFERROR(IF(OR($W762="",$H762=""),"",IF($W762&gt;$H762,
  MAX(0, 60-(($W762-$H762)*24/Config!$B$19)*60),
  MIN(100, 60+(($H762-$W762)*24/Config!$B$20)*40)
)),"")
</f>
        <v/>
      </c>
      <c r="AB762" s="40" t="str">
        <f>IF($K762="","",IFERROR(VLOOKUP($K762,Grinders!$A$4:$N$998,10,FALSE)/5*100,""))</f>
        <v/>
      </c>
      <c r="AC762" s="40" t="str">
        <f>IF($K762="","",IFERROR(VLOOKUP($K762,Grinders!$A$4:$N$998,11,FALSE)*100,""))</f>
        <v/>
      </c>
      <c r="AD762" s="40" t="str">
        <f>IF($K762="","",IFERROR(VLOOKUP($K762,Grinders!$A$4:$N$998,12,FALSE)*100,""))</f>
        <v/>
      </c>
      <c r="AE762" s="40">
        <f>IFERROR(IFS(
    OR($C762="", $K762=""), 0,
    $F762=0, 0,
    $D762&lt;&gt;"Open", 0,
    COUNTIFS(GrinderServices!$B$4:$B$998, $K762, GrinderServices!$C$4:$C$998, $E762, GrinderServices!$E$4:$E$998, "Y")=0, 0,
    $X762&lt;Config!$B$16, 0,
    Config!$B$18=1, IF($O762&gt;=N762, 0, 1),
    TRUE, 1
), "")
</f>
        <v>0</v>
      </c>
      <c r="AF762" s="40" t="str">
        <f>IFERROR(IF($AE762=0,"",((Config!$B$6*$Y762 + Config!$B$7*$U762 + Config!$B$8*$Z762 + Config!$B$9*$AA762 + Config!$B$10*$AB762 + Config!$B$11*$AC762 - Config!$B$12*$AD762)/Config!$B$13)+$AK762+$AL762),"")</f>
        <v/>
      </c>
      <c r="AG762" s="40" t="str">
        <f t="shared" si="6"/>
        <v/>
      </c>
      <c r="AH762" s="40" t="str">
        <f t="shared" si="7"/>
        <v/>
      </c>
      <c r="AI762" s="40" t="str">
        <f t="shared" si="8"/>
        <v/>
      </c>
      <c r="AJ762" s="40" t="str">
        <f>IF($K762="","",COUNTIF(Assignments!$B$6:$B$1000,$K762))</f>
        <v/>
      </c>
      <c r="AK762" s="40" t="str">
        <f>IF($K762="","",IF(AND($AJ762=0,$O762&lt;$N762),Config!$B$43,0))</f>
        <v/>
      </c>
      <c r="AL762" s="40" t="str">
        <f>IF($K762="","",IF(AND($M762="Elite",$G762&gt;=Config!$B$41,$O762&lt;$N762),Config!$B$42,0))</f>
        <v/>
      </c>
      <c r="AM762" s="22"/>
    </row>
    <row r="763" ht="15.75" customHeight="1">
      <c r="A763" s="40" t="str">
        <f t="shared" si="1"/>
        <v/>
      </c>
      <c r="B763" s="40" t="str">
        <f>IF(Bids!$A762="","",Bids!$A762)</f>
        <v/>
      </c>
      <c r="C763" s="40" t="str">
        <f>IF(Bids!$B762="","",Bids!$B762)</f>
        <v/>
      </c>
      <c r="D763" s="40" t="str">
        <f>IF($C763="","",IFERROR(VLOOKUP($C763,Orders!$A$4:$J$998,9,FALSE),""))</f>
        <v/>
      </c>
      <c r="E763" s="40" t="str">
        <f>IF($C763="","",IFERROR(VLOOKUP($C763,Orders!$A$4:$J$998,3,FALSE),""))</f>
        <v/>
      </c>
      <c r="F763" s="40">
        <f t="shared" si="2"/>
        <v>1</v>
      </c>
      <c r="G763" s="40" t="str">
        <f>IF($C763="","",IFERROR(VLOOKUP($C763,Orders!$A$4:$J$998,4,FALSE),""))</f>
        <v/>
      </c>
      <c r="H763" s="40" t="str">
        <f>IF($C763="","",IFERROR(VLOOKUP($C763,Orders!$A$4:$J$998,5,FALSE),""))</f>
        <v/>
      </c>
      <c r="I763" s="40" t="str">
        <f>IF($C763="","",IFERROR(VLOOKUP($C763,Orders!$A$4:$J$998,6,FALSE),""))</f>
        <v/>
      </c>
      <c r="J763" s="40" t="str">
        <f>IF($C763="","",IFERROR(VLOOKUP($C763,Orders!$A$4:$J$998,7,FALSE),""))</f>
        <v/>
      </c>
      <c r="K763" s="40" t="str">
        <f>IF(Bids!$C762="","",Bids!$C762)</f>
        <v/>
      </c>
      <c r="L763" s="40" t="str">
        <f>IF($K763="","",IFERROR(VLOOKUP($K763,Grinders!$A$4:$N$998,2,FALSE),""))</f>
        <v/>
      </c>
      <c r="M763" s="40" t="str">
        <f>IF($K763="","",IFERROR(VLOOKUP($K763,Grinders!$A$4:$N$998,3,FALSE),""))</f>
        <v/>
      </c>
      <c r="N763" s="40" t="str">
        <f>IF($K763="","",IFERROR(VLOOKUP($K763,Grinders!$A$4:$N$998,4,FALSE),""))</f>
        <v/>
      </c>
      <c r="O763" s="40" t="str">
        <f>IF($K763="","",IFERROR(VLOOKUP($K763,Grinders!$A$4:$N$998,5,FALSE),""))</f>
        <v/>
      </c>
      <c r="P763" s="40" t="str">
        <f>IF($K763="","",IF($C$4="",0,COUNTIFS(Assignments!$B$6:$B$1000,$K763,Assignments!$F$6:$F$1000,$C$4,Assignments!$E$6:$E$1000,"Active")))</f>
        <v/>
      </c>
      <c r="Q763" s="40" t="str">
        <f t="shared" si="3"/>
        <v/>
      </c>
      <c r="R763" s="40" t="str">
        <f t="shared" si="4"/>
        <v/>
      </c>
      <c r="S763" s="40" t="str">
        <f>IF($K763="","",IF($C$4="",0,COUNTIFS(Assignments!$B$6:$B$1000,$K763,Assignments!$F$6:$F$1000,$C$4,Assignments!$D$6:$D$1000,"&gt;="&amp;Config!$B$3-7,Assignments!$D$6:$D$1000,"&lt;="&amp;Config!$B$3)))</f>
        <v/>
      </c>
      <c r="T763" s="40" t="str">
        <f>IF($K763="","",IFERROR(VLOOKUP($K763,Grinders!$A$4:$N$998,8,FALSE),""))</f>
        <v/>
      </c>
      <c r="U763" s="40" t="str">
        <f>IFERROR(IF($K763="","",IF($M763="Elite",MAX(50,MIN(100,Config!$B$27*MAX(0,MIN(100,(1-IF($R763="",0,$R763))*100)) + Config!$B$28*MAX(0,MIN(100,(1-MIN(1,IF(Config!$B$30=0,1,$S763/Config!$B$30)))*100)) + Config!$B$29*MAX(0,MIN(100,MIN(1,IF($T763="",0,$T763)/Config!$B$23)*100)))),MIN(100,Config!$B$27*MAX(0,MIN(100,(1-IF($R763="",0,$R763))*100)) + Config!$B$28*MAX(0,MIN(100,(1-MIN(1,IF(Config!$B$30=0,1,$S763/Config!$B$30)))*100)) + Config!$B$29*MAX(0,MIN(100,MIN(1,IF($T763="",0,$T763)/Config!$B$23)*100))))),"")
</f>
        <v/>
      </c>
      <c r="V763" s="40" t="str">
        <f>IF(Bids!$D762="","",Bids!$D762)</f>
        <v/>
      </c>
      <c r="W763" s="40" t="str">
        <f>IF(Bids!$F762="","",Bids!$F762)</f>
        <v/>
      </c>
      <c r="X763" s="40" t="str">
        <f t="shared" si="5"/>
        <v/>
      </c>
      <c r="Y763" s="40" t="str">
        <f>IF($X763="","",IF(Config!$B$17=Config!$B$16,IF($X763&gt;=Config!$B$17,100,0),MAX(0,MIN(100,($X763-Config!$B$16)/(Config!$B$17-Config!$B$16)*100))))</f>
        <v/>
      </c>
      <c r="Z763" s="40">
        <f>IF($M763="Elite",Config!$B$21,0)</f>
        <v>0</v>
      </c>
      <c r="AA763" s="40" t="str">
        <f>IFERROR(IF(OR($W763="",$H763=""),"",IF($W763&gt;$H763,
  MAX(0, 60-(($W763-$H763)*24/Config!$B$19)*60),
  MIN(100, 60+(($H763-$W763)*24/Config!$B$20)*40)
)),"")
</f>
        <v/>
      </c>
      <c r="AB763" s="40" t="str">
        <f>IF($K763="","",IFERROR(VLOOKUP($K763,Grinders!$A$4:$N$998,10,FALSE)/5*100,""))</f>
        <v/>
      </c>
      <c r="AC763" s="40" t="str">
        <f>IF($K763="","",IFERROR(VLOOKUP($K763,Grinders!$A$4:$N$998,11,FALSE)*100,""))</f>
        <v/>
      </c>
      <c r="AD763" s="40" t="str">
        <f>IF($K763="","",IFERROR(VLOOKUP($K763,Grinders!$A$4:$N$998,12,FALSE)*100,""))</f>
        <v/>
      </c>
      <c r="AE763" s="40">
        <f>IFERROR(IFS(
    OR($C763="", $K763=""), 0,
    $F763=0, 0,
    $D763&lt;&gt;"Open", 0,
    COUNTIFS(GrinderServices!$B$4:$B$998, $K763, GrinderServices!$C$4:$C$998, $E763, GrinderServices!$E$4:$E$998, "Y")=0, 0,
    $X763&lt;Config!$B$16, 0,
    Config!$B$18=1, IF($O763&gt;=N763, 0, 1),
    TRUE, 1
), "")
</f>
        <v>0</v>
      </c>
      <c r="AF763" s="40" t="str">
        <f>IFERROR(IF($AE763=0,"",((Config!$B$6*$Y763 + Config!$B$7*$U763 + Config!$B$8*$Z763 + Config!$B$9*$AA763 + Config!$B$10*$AB763 + Config!$B$11*$AC763 - Config!$B$12*$AD763)/Config!$B$13)+$AK763+$AL763),"")</f>
        <v/>
      </c>
      <c r="AG763" s="40" t="str">
        <f t="shared" si="6"/>
        <v/>
      </c>
      <c r="AH763" s="40" t="str">
        <f t="shared" si="7"/>
        <v/>
      </c>
      <c r="AI763" s="40" t="str">
        <f t="shared" si="8"/>
        <v/>
      </c>
      <c r="AJ763" s="40" t="str">
        <f>IF($K763="","",COUNTIF(Assignments!$B$6:$B$1000,$K763))</f>
        <v/>
      </c>
      <c r="AK763" s="40" t="str">
        <f>IF($K763="","",IF(AND($AJ763=0,$O763&lt;$N763),Config!$B$43,0))</f>
        <v/>
      </c>
      <c r="AL763" s="40" t="str">
        <f>IF($K763="","",IF(AND($M763="Elite",$G763&gt;=Config!$B$41,$O763&lt;$N763),Config!$B$42,0))</f>
        <v/>
      </c>
      <c r="AM763" s="22"/>
    </row>
    <row r="764" ht="15.75" customHeight="1">
      <c r="A764" s="40" t="str">
        <f t="shared" si="1"/>
        <v/>
      </c>
      <c r="B764" s="40" t="str">
        <f>IF(Bids!$A763="","",Bids!$A763)</f>
        <v/>
      </c>
      <c r="C764" s="40" t="str">
        <f>IF(Bids!$B763="","",Bids!$B763)</f>
        <v/>
      </c>
      <c r="D764" s="40" t="str">
        <f>IF($C764="","",IFERROR(VLOOKUP($C764,Orders!$A$4:$J$998,9,FALSE),""))</f>
        <v/>
      </c>
      <c r="E764" s="40" t="str">
        <f>IF($C764="","",IFERROR(VLOOKUP($C764,Orders!$A$4:$J$998,3,FALSE),""))</f>
        <v/>
      </c>
      <c r="F764" s="40">
        <f t="shared" si="2"/>
        <v>1</v>
      </c>
      <c r="G764" s="40" t="str">
        <f>IF($C764="","",IFERROR(VLOOKUP($C764,Orders!$A$4:$J$998,4,FALSE),""))</f>
        <v/>
      </c>
      <c r="H764" s="40" t="str">
        <f>IF($C764="","",IFERROR(VLOOKUP($C764,Orders!$A$4:$J$998,5,FALSE),""))</f>
        <v/>
      </c>
      <c r="I764" s="40" t="str">
        <f>IF($C764="","",IFERROR(VLOOKUP($C764,Orders!$A$4:$J$998,6,FALSE),""))</f>
        <v/>
      </c>
      <c r="J764" s="40" t="str">
        <f>IF($C764="","",IFERROR(VLOOKUP($C764,Orders!$A$4:$J$998,7,FALSE),""))</f>
        <v/>
      </c>
      <c r="K764" s="40" t="str">
        <f>IF(Bids!$C763="","",Bids!$C763)</f>
        <v/>
      </c>
      <c r="L764" s="40" t="str">
        <f>IF($K764="","",IFERROR(VLOOKUP($K764,Grinders!$A$4:$N$998,2,FALSE),""))</f>
        <v/>
      </c>
      <c r="M764" s="40" t="str">
        <f>IF($K764="","",IFERROR(VLOOKUP($K764,Grinders!$A$4:$N$998,3,FALSE),""))</f>
        <v/>
      </c>
      <c r="N764" s="40" t="str">
        <f>IF($K764="","",IFERROR(VLOOKUP($K764,Grinders!$A$4:$N$998,4,FALSE),""))</f>
        <v/>
      </c>
      <c r="O764" s="40" t="str">
        <f>IF($K764="","",IFERROR(VLOOKUP($K764,Grinders!$A$4:$N$998,5,FALSE),""))</f>
        <v/>
      </c>
      <c r="P764" s="40" t="str">
        <f>IF($K764="","",IF($C$4="",0,COUNTIFS(Assignments!$B$6:$B$1000,$K764,Assignments!$F$6:$F$1000,$C$4,Assignments!$E$6:$E$1000,"Active")))</f>
        <v/>
      </c>
      <c r="Q764" s="40" t="str">
        <f t="shared" si="3"/>
        <v/>
      </c>
      <c r="R764" s="40" t="str">
        <f t="shared" si="4"/>
        <v/>
      </c>
      <c r="S764" s="40" t="str">
        <f>IF($K764="","",IF($C$4="",0,COUNTIFS(Assignments!$B$6:$B$1000,$K764,Assignments!$F$6:$F$1000,$C$4,Assignments!$D$6:$D$1000,"&gt;="&amp;Config!$B$3-7,Assignments!$D$6:$D$1000,"&lt;="&amp;Config!$B$3)))</f>
        <v/>
      </c>
      <c r="T764" s="40" t="str">
        <f>IF($K764="","",IFERROR(VLOOKUP($K764,Grinders!$A$4:$N$998,8,FALSE),""))</f>
        <v/>
      </c>
      <c r="U764" s="40" t="str">
        <f>IFERROR(IF($K764="","",IF($M764="Elite",MAX(50,MIN(100,Config!$B$27*MAX(0,MIN(100,(1-IF($R764="",0,$R764))*100)) + Config!$B$28*MAX(0,MIN(100,(1-MIN(1,IF(Config!$B$30=0,1,$S764/Config!$B$30)))*100)) + Config!$B$29*MAX(0,MIN(100,MIN(1,IF($T764="",0,$T764)/Config!$B$23)*100)))),MIN(100,Config!$B$27*MAX(0,MIN(100,(1-IF($R764="",0,$R764))*100)) + Config!$B$28*MAX(0,MIN(100,(1-MIN(1,IF(Config!$B$30=0,1,$S764/Config!$B$30)))*100)) + Config!$B$29*MAX(0,MIN(100,MIN(1,IF($T764="",0,$T764)/Config!$B$23)*100))))),"")
</f>
        <v/>
      </c>
      <c r="V764" s="40" t="str">
        <f>IF(Bids!$D763="","",Bids!$D763)</f>
        <v/>
      </c>
      <c r="W764" s="40" t="str">
        <f>IF(Bids!$F763="","",Bids!$F763)</f>
        <v/>
      </c>
      <c r="X764" s="40" t="str">
        <f t="shared" si="5"/>
        <v/>
      </c>
      <c r="Y764" s="40" t="str">
        <f>IF($X764="","",IF(Config!$B$17=Config!$B$16,IF($X764&gt;=Config!$B$17,100,0),MAX(0,MIN(100,($X764-Config!$B$16)/(Config!$B$17-Config!$B$16)*100))))</f>
        <v/>
      </c>
      <c r="Z764" s="40">
        <f>IF($M764="Elite",Config!$B$21,0)</f>
        <v>0</v>
      </c>
      <c r="AA764" s="40" t="str">
        <f>IFERROR(IF(OR($W764="",$H764=""),"",IF($W764&gt;$H764,
  MAX(0, 60-(($W764-$H764)*24/Config!$B$19)*60),
  MIN(100, 60+(($H764-$W764)*24/Config!$B$20)*40)
)),"")
</f>
        <v/>
      </c>
      <c r="AB764" s="40" t="str">
        <f>IF($K764="","",IFERROR(VLOOKUP($K764,Grinders!$A$4:$N$998,10,FALSE)/5*100,""))</f>
        <v/>
      </c>
      <c r="AC764" s="40" t="str">
        <f>IF($K764="","",IFERROR(VLOOKUP($K764,Grinders!$A$4:$N$998,11,FALSE)*100,""))</f>
        <v/>
      </c>
      <c r="AD764" s="40" t="str">
        <f>IF($K764="","",IFERROR(VLOOKUP($K764,Grinders!$A$4:$N$998,12,FALSE)*100,""))</f>
        <v/>
      </c>
      <c r="AE764" s="40">
        <f>IFERROR(IFS(
    OR($C764="", $K764=""), 0,
    $F764=0, 0,
    $D764&lt;&gt;"Open", 0,
    COUNTIFS(GrinderServices!$B$4:$B$998, $K764, GrinderServices!$C$4:$C$998, $E764, GrinderServices!$E$4:$E$998, "Y")=0, 0,
    $X764&lt;Config!$B$16, 0,
    Config!$B$18=1, IF($O764&gt;=N764, 0, 1),
    TRUE, 1
), "")
</f>
        <v>0</v>
      </c>
      <c r="AF764" s="40" t="str">
        <f>IFERROR(IF($AE764=0,"",((Config!$B$6*$Y764 + Config!$B$7*$U764 + Config!$B$8*$Z764 + Config!$B$9*$AA764 + Config!$B$10*$AB764 + Config!$B$11*$AC764 - Config!$B$12*$AD764)/Config!$B$13)+$AK764+$AL764),"")</f>
        <v/>
      </c>
      <c r="AG764" s="40" t="str">
        <f t="shared" si="6"/>
        <v/>
      </c>
      <c r="AH764" s="40" t="str">
        <f t="shared" si="7"/>
        <v/>
      </c>
      <c r="AI764" s="40" t="str">
        <f t="shared" si="8"/>
        <v/>
      </c>
      <c r="AJ764" s="40" t="str">
        <f>IF($K764="","",COUNTIF(Assignments!$B$6:$B$1000,$K764))</f>
        <v/>
      </c>
      <c r="AK764" s="40" t="str">
        <f>IF($K764="","",IF(AND($AJ764=0,$O764&lt;$N764),Config!$B$43,0))</f>
        <v/>
      </c>
      <c r="AL764" s="40" t="str">
        <f>IF($K764="","",IF(AND($M764="Elite",$G764&gt;=Config!$B$41,$O764&lt;$N764),Config!$B$42,0))</f>
        <v/>
      </c>
      <c r="AM764" s="22"/>
    </row>
    <row r="765" ht="15.75" customHeight="1">
      <c r="A765" s="40" t="str">
        <f t="shared" si="1"/>
        <v/>
      </c>
      <c r="B765" s="40" t="str">
        <f>IF(Bids!$A764="","",Bids!$A764)</f>
        <v/>
      </c>
      <c r="C765" s="40" t="str">
        <f>IF(Bids!$B764="","",Bids!$B764)</f>
        <v/>
      </c>
      <c r="D765" s="40" t="str">
        <f>IF($C765="","",IFERROR(VLOOKUP($C765,Orders!$A$4:$J$998,9,FALSE),""))</f>
        <v/>
      </c>
      <c r="E765" s="40" t="str">
        <f>IF($C765="","",IFERROR(VLOOKUP($C765,Orders!$A$4:$J$998,3,FALSE),""))</f>
        <v/>
      </c>
      <c r="F765" s="40">
        <f t="shared" si="2"/>
        <v>1</v>
      </c>
      <c r="G765" s="40" t="str">
        <f>IF($C765="","",IFERROR(VLOOKUP($C765,Orders!$A$4:$J$998,4,FALSE),""))</f>
        <v/>
      </c>
      <c r="H765" s="40" t="str">
        <f>IF($C765="","",IFERROR(VLOOKUP($C765,Orders!$A$4:$J$998,5,FALSE),""))</f>
        <v/>
      </c>
      <c r="I765" s="40" t="str">
        <f>IF($C765="","",IFERROR(VLOOKUP($C765,Orders!$A$4:$J$998,6,FALSE),""))</f>
        <v/>
      </c>
      <c r="J765" s="40" t="str">
        <f>IF($C765="","",IFERROR(VLOOKUP($C765,Orders!$A$4:$J$998,7,FALSE),""))</f>
        <v/>
      </c>
      <c r="K765" s="40" t="str">
        <f>IF(Bids!$C764="","",Bids!$C764)</f>
        <v/>
      </c>
      <c r="L765" s="40" t="str">
        <f>IF($K765="","",IFERROR(VLOOKUP($K765,Grinders!$A$4:$N$998,2,FALSE),""))</f>
        <v/>
      </c>
      <c r="M765" s="40" t="str">
        <f>IF($K765="","",IFERROR(VLOOKUP($K765,Grinders!$A$4:$N$998,3,FALSE),""))</f>
        <v/>
      </c>
      <c r="N765" s="40" t="str">
        <f>IF($K765="","",IFERROR(VLOOKUP($K765,Grinders!$A$4:$N$998,4,FALSE),""))</f>
        <v/>
      </c>
      <c r="O765" s="40" t="str">
        <f>IF($K765="","",IFERROR(VLOOKUP($K765,Grinders!$A$4:$N$998,5,FALSE),""))</f>
        <v/>
      </c>
      <c r="P765" s="40" t="str">
        <f>IF($K765="","",IF($C$4="",0,COUNTIFS(Assignments!$B$6:$B$1000,$K765,Assignments!$F$6:$F$1000,$C$4,Assignments!$E$6:$E$1000,"Active")))</f>
        <v/>
      </c>
      <c r="Q765" s="40" t="str">
        <f t="shared" si="3"/>
        <v/>
      </c>
      <c r="R765" s="40" t="str">
        <f t="shared" si="4"/>
        <v/>
      </c>
      <c r="S765" s="40" t="str">
        <f>IF($K765="","",IF($C$4="",0,COUNTIFS(Assignments!$B$6:$B$1000,$K765,Assignments!$F$6:$F$1000,$C$4,Assignments!$D$6:$D$1000,"&gt;="&amp;Config!$B$3-7,Assignments!$D$6:$D$1000,"&lt;="&amp;Config!$B$3)))</f>
        <v/>
      </c>
      <c r="T765" s="40" t="str">
        <f>IF($K765="","",IFERROR(VLOOKUP($K765,Grinders!$A$4:$N$998,8,FALSE),""))</f>
        <v/>
      </c>
      <c r="U765" s="40" t="str">
        <f>IFERROR(IF($K765="","",IF($M765="Elite",MAX(50,MIN(100,Config!$B$27*MAX(0,MIN(100,(1-IF($R765="",0,$R765))*100)) + Config!$B$28*MAX(0,MIN(100,(1-MIN(1,IF(Config!$B$30=0,1,$S765/Config!$B$30)))*100)) + Config!$B$29*MAX(0,MIN(100,MIN(1,IF($T765="",0,$T765)/Config!$B$23)*100)))),MIN(100,Config!$B$27*MAX(0,MIN(100,(1-IF($R765="",0,$R765))*100)) + Config!$B$28*MAX(0,MIN(100,(1-MIN(1,IF(Config!$B$30=0,1,$S765/Config!$B$30)))*100)) + Config!$B$29*MAX(0,MIN(100,MIN(1,IF($T765="",0,$T765)/Config!$B$23)*100))))),"")
</f>
        <v/>
      </c>
      <c r="V765" s="40" t="str">
        <f>IF(Bids!$D764="","",Bids!$D764)</f>
        <v/>
      </c>
      <c r="W765" s="40" t="str">
        <f>IF(Bids!$F764="","",Bids!$F764)</f>
        <v/>
      </c>
      <c r="X765" s="40" t="str">
        <f t="shared" si="5"/>
        <v/>
      </c>
      <c r="Y765" s="40" t="str">
        <f>IF($X765="","",IF(Config!$B$17=Config!$B$16,IF($X765&gt;=Config!$B$17,100,0),MAX(0,MIN(100,($X765-Config!$B$16)/(Config!$B$17-Config!$B$16)*100))))</f>
        <v/>
      </c>
      <c r="Z765" s="40">
        <f>IF($M765="Elite",Config!$B$21,0)</f>
        <v>0</v>
      </c>
      <c r="AA765" s="40" t="str">
        <f>IFERROR(IF(OR($W765="",$H765=""),"",IF($W765&gt;$H765,
  MAX(0, 60-(($W765-$H765)*24/Config!$B$19)*60),
  MIN(100, 60+(($H765-$W765)*24/Config!$B$20)*40)
)),"")
</f>
        <v/>
      </c>
      <c r="AB765" s="40" t="str">
        <f>IF($K765="","",IFERROR(VLOOKUP($K765,Grinders!$A$4:$N$998,10,FALSE)/5*100,""))</f>
        <v/>
      </c>
      <c r="AC765" s="40" t="str">
        <f>IF($K765="","",IFERROR(VLOOKUP($K765,Grinders!$A$4:$N$998,11,FALSE)*100,""))</f>
        <v/>
      </c>
      <c r="AD765" s="40" t="str">
        <f>IF($K765="","",IFERROR(VLOOKUP($K765,Grinders!$A$4:$N$998,12,FALSE)*100,""))</f>
        <v/>
      </c>
      <c r="AE765" s="40">
        <f>IFERROR(IFS(
    OR($C765="", $K765=""), 0,
    $F765=0, 0,
    $D765&lt;&gt;"Open", 0,
    COUNTIFS(GrinderServices!$B$4:$B$998, $K765, GrinderServices!$C$4:$C$998, $E765, GrinderServices!$E$4:$E$998, "Y")=0, 0,
    $X765&lt;Config!$B$16, 0,
    Config!$B$18=1, IF($O765&gt;=N765, 0, 1),
    TRUE, 1
), "")
</f>
        <v>0</v>
      </c>
      <c r="AF765" s="40" t="str">
        <f>IFERROR(IF($AE765=0,"",((Config!$B$6*$Y765 + Config!$B$7*$U765 + Config!$B$8*$Z765 + Config!$B$9*$AA765 + Config!$B$10*$AB765 + Config!$B$11*$AC765 - Config!$B$12*$AD765)/Config!$B$13)+$AK765+$AL765),"")</f>
        <v/>
      </c>
      <c r="AG765" s="40" t="str">
        <f t="shared" si="6"/>
        <v/>
      </c>
      <c r="AH765" s="40" t="str">
        <f t="shared" si="7"/>
        <v/>
      </c>
      <c r="AI765" s="40" t="str">
        <f t="shared" si="8"/>
        <v/>
      </c>
      <c r="AJ765" s="40" t="str">
        <f>IF($K765="","",COUNTIF(Assignments!$B$6:$B$1000,$K765))</f>
        <v/>
      </c>
      <c r="AK765" s="40" t="str">
        <f>IF($K765="","",IF(AND($AJ765=0,$O765&lt;$N765),Config!$B$43,0))</f>
        <v/>
      </c>
      <c r="AL765" s="40" t="str">
        <f>IF($K765="","",IF(AND($M765="Elite",$G765&gt;=Config!$B$41,$O765&lt;$N765),Config!$B$42,0))</f>
        <v/>
      </c>
      <c r="AM765" s="22"/>
    </row>
    <row r="766" ht="15.75" customHeight="1">
      <c r="A766" s="40" t="str">
        <f t="shared" si="1"/>
        <v/>
      </c>
      <c r="B766" s="40" t="str">
        <f>IF(Bids!$A765="","",Bids!$A765)</f>
        <v/>
      </c>
      <c r="C766" s="40" t="str">
        <f>IF(Bids!$B765="","",Bids!$B765)</f>
        <v/>
      </c>
      <c r="D766" s="40" t="str">
        <f>IF($C766="","",IFERROR(VLOOKUP($C766,Orders!$A$4:$J$998,9,FALSE),""))</f>
        <v/>
      </c>
      <c r="E766" s="40" t="str">
        <f>IF($C766="","",IFERROR(VLOOKUP($C766,Orders!$A$4:$J$998,3,FALSE),""))</f>
        <v/>
      </c>
      <c r="F766" s="40">
        <f t="shared" si="2"/>
        <v>1</v>
      </c>
      <c r="G766" s="40" t="str">
        <f>IF($C766="","",IFERROR(VLOOKUP($C766,Orders!$A$4:$J$998,4,FALSE),""))</f>
        <v/>
      </c>
      <c r="H766" s="40" t="str">
        <f>IF($C766="","",IFERROR(VLOOKUP($C766,Orders!$A$4:$J$998,5,FALSE),""))</f>
        <v/>
      </c>
      <c r="I766" s="40" t="str">
        <f>IF($C766="","",IFERROR(VLOOKUP($C766,Orders!$A$4:$J$998,6,FALSE),""))</f>
        <v/>
      </c>
      <c r="J766" s="40" t="str">
        <f>IF($C766="","",IFERROR(VLOOKUP($C766,Orders!$A$4:$J$998,7,FALSE),""))</f>
        <v/>
      </c>
      <c r="K766" s="40" t="str">
        <f>IF(Bids!$C765="","",Bids!$C765)</f>
        <v/>
      </c>
      <c r="L766" s="40" t="str">
        <f>IF($K766="","",IFERROR(VLOOKUP($K766,Grinders!$A$4:$N$998,2,FALSE),""))</f>
        <v/>
      </c>
      <c r="M766" s="40" t="str">
        <f>IF($K766="","",IFERROR(VLOOKUP($K766,Grinders!$A$4:$N$998,3,FALSE),""))</f>
        <v/>
      </c>
      <c r="N766" s="40" t="str">
        <f>IF($K766="","",IFERROR(VLOOKUP($K766,Grinders!$A$4:$N$998,4,FALSE),""))</f>
        <v/>
      </c>
      <c r="O766" s="40" t="str">
        <f>IF($K766="","",IFERROR(VLOOKUP($K766,Grinders!$A$4:$N$998,5,FALSE),""))</f>
        <v/>
      </c>
      <c r="P766" s="40" t="str">
        <f>IF($K766="","",IF($C$4="",0,COUNTIFS(Assignments!$B$6:$B$1000,$K766,Assignments!$F$6:$F$1000,$C$4,Assignments!$E$6:$E$1000,"Active")))</f>
        <v/>
      </c>
      <c r="Q766" s="40" t="str">
        <f t="shared" si="3"/>
        <v/>
      </c>
      <c r="R766" s="40" t="str">
        <f t="shared" si="4"/>
        <v/>
      </c>
      <c r="S766" s="40" t="str">
        <f>IF($K766="","",IF($C$4="",0,COUNTIFS(Assignments!$B$6:$B$1000,$K766,Assignments!$F$6:$F$1000,$C$4,Assignments!$D$6:$D$1000,"&gt;="&amp;Config!$B$3-7,Assignments!$D$6:$D$1000,"&lt;="&amp;Config!$B$3)))</f>
        <v/>
      </c>
      <c r="T766" s="40" t="str">
        <f>IF($K766="","",IFERROR(VLOOKUP($K766,Grinders!$A$4:$N$998,8,FALSE),""))</f>
        <v/>
      </c>
      <c r="U766" s="40" t="str">
        <f>IFERROR(IF($K766="","",IF($M766="Elite",MAX(50,MIN(100,Config!$B$27*MAX(0,MIN(100,(1-IF($R766="",0,$R766))*100)) + Config!$B$28*MAX(0,MIN(100,(1-MIN(1,IF(Config!$B$30=0,1,$S766/Config!$B$30)))*100)) + Config!$B$29*MAX(0,MIN(100,MIN(1,IF($T766="",0,$T766)/Config!$B$23)*100)))),MIN(100,Config!$B$27*MAX(0,MIN(100,(1-IF($R766="",0,$R766))*100)) + Config!$B$28*MAX(0,MIN(100,(1-MIN(1,IF(Config!$B$30=0,1,$S766/Config!$B$30)))*100)) + Config!$B$29*MAX(0,MIN(100,MIN(1,IF($T766="",0,$T766)/Config!$B$23)*100))))),"")
</f>
        <v/>
      </c>
      <c r="V766" s="40" t="str">
        <f>IF(Bids!$D765="","",Bids!$D765)</f>
        <v/>
      </c>
      <c r="W766" s="40" t="str">
        <f>IF(Bids!$F765="","",Bids!$F765)</f>
        <v/>
      </c>
      <c r="X766" s="40" t="str">
        <f t="shared" si="5"/>
        <v/>
      </c>
      <c r="Y766" s="40" t="str">
        <f>IF($X766="","",IF(Config!$B$17=Config!$B$16,IF($X766&gt;=Config!$B$17,100,0),MAX(0,MIN(100,($X766-Config!$B$16)/(Config!$B$17-Config!$B$16)*100))))</f>
        <v/>
      </c>
      <c r="Z766" s="40">
        <f>IF($M766="Elite",Config!$B$21,0)</f>
        <v>0</v>
      </c>
      <c r="AA766" s="40" t="str">
        <f>IFERROR(IF(OR($W766="",$H766=""),"",IF($W766&gt;$H766,
  MAX(0, 60-(($W766-$H766)*24/Config!$B$19)*60),
  MIN(100, 60+(($H766-$W766)*24/Config!$B$20)*40)
)),"")
</f>
        <v/>
      </c>
      <c r="AB766" s="40" t="str">
        <f>IF($K766="","",IFERROR(VLOOKUP($K766,Grinders!$A$4:$N$998,10,FALSE)/5*100,""))</f>
        <v/>
      </c>
      <c r="AC766" s="40" t="str">
        <f>IF($K766="","",IFERROR(VLOOKUP($K766,Grinders!$A$4:$N$998,11,FALSE)*100,""))</f>
        <v/>
      </c>
      <c r="AD766" s="40" t="str">
        <f>IF($K766="","",IFERROR(VLOOKUP($K766,Grinders!$A$4:$N$998,12,FALSE)*100,""))</f>
        <v/>
      </c>
      <c r="AE766" s="40">
        <f>IFERROR(IFS(
    OR($C766="", $K766=""), 0,
    $F766=0, 0,
    $D766&lt;&gt;"Open", 0,
    COUNTIFS(GrinderServices!$B$4:$B$998, $K766, GrinderServices!$C$4:$C$998, $E766, GrinderServices!$E$4:$E$998, "Y")=0, 0,
    $X766&lt;Config!$B$16, 0,
    Config!$B$18=1, IF($O766&gt;=N766, 0, 1),
    TRUE, 1
), "")
</f>
        <v>0</v>
      </c>
      <c r="AF766" s="40" t="str">
        <f>IFERROR(IF($AE766=0,"",((Config!$B$6*$Y766 + Config!$B$7*$U766 + Config!$B$8*$Z766 + Config!$B$9*$AA766 + Config!$B$10*$AB766 + Config!$B$11*$AC766 - Config!$B$12*$AD766)/Config!$B$13)+$AK766+$AL766),"")</f>
        <v/>
      </c>
      <c r="AG766" s="40" t="str">
        <f t="shared" si="6"/>
        <v/>
      </c>
      <c r="AH766" s="40" t="str">
        <f t="shared" si="7"/>
        <v/>
      </c>
      <c r="AI766" s="40" t="str">
        <f t="shared" si="8"/>
        <v/>
      </c>
      <c r="AJ766" s="40" t="str">
        <f>IF($K766="","",COUNTIF(Assignments!$B$6:$B$1000,$K766))</f>
        <v/>
      </c>
      <c r="AK766" s="40" t="str">
        <f>IF($K766="","",IF(AND($AJ766=0,$O766&lt;$N766),Config!$B$43,0))</f>
        <v/>
      </c>
      <c r="AL766" s="40" t="str">
        <f>IF($K766="","",IF(AND($M766="Elite",$G766&gt;=Config!$B$41,$O766&lt;$N766),Config!$B$42,0))</f>
        <v/>
      </c>
      <c r="AM766" s="22"/>
    </row>
    <row r="767" ht="15.75" customHeight="1">
      <c r="A767" s="40" t="str">
        <f t="shared" si="1"/>
        <v/>
      </c>
      <c r="B767" s="40" t="str">
        <f>IF(Bids!$A766="","",Bids!$A766)</f>
        <v/>
      </c>
      <c r="C767" s="40" t="str">
        <f>IF(Bids!$B766="","",Bids!$B766)</f>
        <v/>
      </c>
      <c r="D767" s="40" t="str">
        <f>IF($C767="","",IFERROR(VLOOKUP($C767,Orders!$A$4:$J$998,9,FALSE),""))</f>
        <v/>
      </c>
      <c r="E767" s="40" t="str">
        <f>IF($C767="","",IFERROR(VLOOKUP($C767,Orders!$A$4:$J$998,3,FALSE),""))</f>
        <v/>
      </c>
      <c r="F767" s="40">
        <f t="shared" si="2"/>
        <v>1</v>
      </c>
      <c r="G767" s="40" t="str">
        <f>IF($C767="","",IFERROR(VLOOKUP($C767,Orders!$A$4:$J$998,4,FALSE),""))</f>
        <v/>
      </c>
      <c r="H767" s="40" t="str">
        <f>IF($C767="","",IFERROR(VLOOKUP($C767,Orders!$A$4:$J$998,5,FALSE),""))</f>
        <v/>
      </c>
      <c r="I767" s="40" t="str">
        <f>IF($C767="","",IFERROR(VLOOKUP($C767,Orders!$A$4:$J$998,6,FALSE),""))</f>
        <v/>
      </c>
      <c r="J767" s="40" t="str">
        <f>IF($C767="","",IFERROR(VLOOKUP($C767,Orders!$A$4:$J$998,7,FALSE),""))</f>
        <v/>
      </c>
      <c r="K767" s="40" t="str">
        <f>IF(Bids!$C766="","",Bids!$C766)</f>
        <v/>
      </c>
      <c r="L767" s="40" t="str">
        <f>IF($K767="","",IFERROR(VLOOKUP($K767,Grinders!$A$4:$N$998,2,FALSE),""))</f>
        <v/>
      </c>
      <c r="M767" s="40" t="str">
        <f>IF($K767="","",IFERROR(VLOOKUP($K767,Grinders!$A$4:$N$998,3,FALSE),""))</f>
        <v/>
      </c>
      <c r="N767" s="40" t="str">
        <f>IF($K767="","",IFERROR(VLOOKUP($K767,Grinders!$A$4:$N$998,4,FALSE),""))</f>
        <v/>
      </c>
      <c r="O767" s="40" t="str">
        <f>IF($K767="","",IFERROR(VLOOKUP($K767,Grinders!$A$4:$N$998,5,FALSE),""))</f>
        <v/>
      </c>
      <c r="P767" s="40" t="str">
        <f>IF($K767="","",IF($C$4="",0,COUNTIFS(Assignments!$B$6:$B$1000,$K767,Assignments!$F$6:$F$1000,$C$4,Assignments!$E$6:$E$1000,"Active")))</f>
        <v/>
      </c>
      <c r="Q767" s="40" t="str">
        <f t="shared" si="3"/>
        <v/>
      </c>
      <c r="R767" s="40" t="str">
        <f t="shared" si="4"/>
        <v/>
      </c>
      <c r="S767" s="40" t="str">
        <f>IF($K767="","",IF($C$4="",0,COUNTIFS(Assignments!$B$6:$B$1000,$K767,Assignments!$F$6:$F$1000,$C$4,Assignments!$D$6:$D$1000,"&gt;="&amp;Config!$B$3-7,Assignments!$D$6:$D$1000,"&lt;="&amp;Config!$B$3)))</f>
        <v/>
      </c>
      <c r="T767" s="40" t="str">
        <f>IF($K767="","",IFERROR(VLOOKUP($K767,Grinders!$A$4:$N$998,8,FALSE),""))</f>
        <v/>
      </c>
      <c r="U767" s="40" t="str">
        <f>IFERROR(IF($K767="","",IF($M767="Elite",MAX(50,MIN(100,Config!$B$27*MAX(0,MIN(100,(1-IF($R767="",0,$R767))*100)) + Config!$B$28*MAX(0,MIN(100,(1-MIN(1,IF(Config!$B$30=0,1,$S767/Config!$B$30)))*100)) + Config!$B$29*MAX(0,MIN(100,MIN(1,IF($T767="",0,$T767)/Config!$B$23)*100)))),MIN(100,Config!$B$27*MAX(0,MIN(100,(1-IF($R767="",0,$R767))*100)) + Config!$B$28*MAX(0,MIN(100,(1-MIN(1,IF(Config!$B$30=0,1,$S767/Config!$B$30)))*100)) + Config!$B$29*MAX(0,MIN(100,MIN(1,IF($T767="",0,$T767)/Config!$B$23)*100))))),"")
</f>
        <v/>
      </c>
      <c r="V767" s="40" t="str">
        <f>IF(Bids!$D766="","",Bids!$D766)</f>
        <v/>
      </c>
      <c r="W767" s="40" t="str">
        <f>IF(Bids!$F766="","",Bids!$F766)</f>
        <v/>
      </c>
      <c r="X767" s="40" t="str">
        <f t="shared" si="5"/>
        <v/>
      </c>
      <c r="Y767" s="40" t="str">
        <f>IF($X767="","",IF(Config!$B$17=Config!$B$16,IF($X767&gt;=Config!$B$17,100,0),MAX(0,MIN(100,($X767-Config!$B$16)/(Config!$B$17-Config!$B$16)*100))))</f>
        <v/>
      </c>
      <c r="Z767" s="40">
        <f>IF($M767="Elite",Config!$B$21,0)</f>
        <v>0</v>
      </c>
      <c r="AA767" s="40" t="str">
        <f>IFERROR(IF(OR($W767="",$H767=""),"",IF($W767&gt;$H767,
  MAX(0, 60-(($W767-$H767)*24/Config!$B$19)*60),
  MIN(100, 60+(($H767-$W767)*24/Config!$B$20)*40)
)),"")
</f>
        <v/>
      </c>
      <c r="AB767" s="40" t="str">
        <f>IF($K767="","",IFERROR(VLOOKUP($K767,Grinders!$A$4:$N$998,10,FALSE)/5*100,""))</f>
        <v/>
      </c>
      <c r="AC767" s="40" t="str">
        <f>IF($K767="","",IFERROR(VLOOKUP($K767,Grinders!$A$4:$N$998,11,FALSE)*100,""))</f>
        <v/>
      </c>
      <c r="AD767" s="40" t="str">
        <f>IF($K767="","",IFERROR(VLOOKUP($K767,Grinders!$A$4:$N$998,12,FALSE)*100,""))</f>
        <v/>
      </c>
      <c r="AE767" s="40">
        <f>IFERROR(IFS(
    OR($C767="", $K767=""), 0,
    $F767=0, 0,
    $D767&lt;&gt;"Open", 0,
    COUNTIFS(GrinderServices!$B$4:$B$998, $K767, GrinderServices!$C$4:$C$998, $E767, GrinderServices!$E$4:$E$998, "Y")=0, 0,
    $X767&lt;Config!$B$16, 0,
    Config!$B$18=1, IF($O767&gt;=N767, 0, 1),
    TRUE, 1
), "")
</f>
        <v>0</v>
      </c>
      <c r="AF767" s="40" t="str">
        <f>IFERROR(IF($AE767=0,"",((Config!$B$6*$Y767 + Config!$B$7*$U767 + Config!$B$8*$Z767 + Config!$B$9*$AA767 + Config!$B$10*$AB767 + Config!$B$11*$AC767 - Config!$B$12*$AD767)/Config!$B$13)+$AK767+$AL767),"")</f>
        <v/>
      </c>
      <c r="AG767" s="40" t="str">
        <f t="shared" si="6"/>
        <v/>
      </c>
      <c r="AH767" s="40" t="str">
        <f t="shared" si="7"/>
        <v/>
      </c>
      <c r="AI767" s="40" t="str">
        <f t="shared" si="8"/>
        <v/>
      </c>
      <c r="AJ767" s="40" t="str">
        <f>IF($K767="","",COUNTIF(Assignments!$B$6:$B$1000,$K767))</f>
        <v/>
      </c>
      <c r="AK767" s="40" t="str">
        <f>IF($K767="","",IF(AND($AJ767=0,$O767&lt;$N767),Config!$B$43,0))</f>
        <v/>
      </c>
      <c r="AL767" s="40" t="str">
        <f>IF($K767="","",IF(AND($M767="Elite",$G767&gt;=Config!$B$41,$O767&lt;$N767),Config!$B$42,0))</f>
        <v/>
      </c>
      <c r="AM767" s="22"/>
    </row>
    <row r="768" ht="15.75" customHeight="1">
      <c r="A768" s="40" t="str">
        <f t="shared" si="1"/>
        <v/>
      </c>
      <c r="B768" s="40" t="str">
        <f>IF(Bids!$A767="","",Bids!$A767)</f>
        <v/>
      </c>
      <c r="C768" s="40" t="str">
        <f>IF(Bids!$B767="","",Bids!$B767)</f>
        <v/>
      </c>
      <c r="D768" s="40" t="str">
        <f>IF($C768="","",IFERROR(VLOOKUP($C768,Orders!$A$4:$J$998,9,FALSE),""))</f>
        <v/>
      </c>
      <c r="E768" s="40" t="str">
        <f>IF($C768="","",IFERROR(VLOOKUP($C768,Orders!$A$4:$J$998,3,FALSE),""))</f>
        <v/>
      </c>
      <c r="F768" s="40">
        <f t="shared" si="2"/>
        <v>1</v>
      </c>
      <c r="G768" s="40" t="str">
        <f>IF($C768="","",IFERROR(VLOOKUP($C768,Orders!$A$4:$J$998,4,FALSE),""))</f>
        <v/>
      </c>
      <c r="H768" s="40" t="str">
        <f>IF($C768="","",IFERROR(VLOOKUP($C768,Orders!$A$4:$J$998,5,FALSE),""))</f>
        <v/>
      </c>
      <c r="I768" s="40" t="str">
        <f>IF($C768="","",IFERROR(VLOOKUP($C768,Orders!$A$4:$J$998,6,FALSE),""))</f>
        <v/>
      </c>
      <c r="J768" s="40" t="str">
        <f>IF($C768="","",IFERROR(VLOOKUP($C768,Orders!$A$4:$J$998,7,FALSE),""))</f>
        <v/>
      </c>
      <c r="K768" s="40" t="str">
        <f>IF(Bids!$C767="","",Bids!$C767)</f>
        <v/>
      </c>
      <c r="L768" s="40" t="str">
        <f>IF($K768="","",IFERROR(VLOOKUP($K768,Grinders!$A$4:$N$998,2,FALSE),""))</f>
        <v/>
      </c>
      <c r="M768" s="40" t="str">
        <f>IF($K768="","",IFERROR(VLOOKUP($K768,Grinders!$A$4:$N$998,3,FALSE),""))</f>
        <v/>
      </c>
      <c r="N768" s="40" t="str">
        <f>IF($K768="","",IFERROR(VLOOKUP($K768,Grinders!$A$4:$N$998,4,FALSE),""))</f>
        <v/>
      </c>
      <c r="O768" s="40" t="str">
        <f>IF($K768="","",IFERROR(VLOOKUP($K768,Grinders!$A$4:$N$998,5,FALSE),""))</f>
        <v/>
      </c>
      <c r="P768" s="40" t="str">
        <f>IF($K768="","",IF($C$4="",0,COUNTIFS(Assignments!$B$6:$B$1000,$K768,Assignments!$F$6:$F$1000,$C$4,Assignments!$E$6:$E$1000,"Active")))</f>
        <v/>
      </c>
      <c r="Q768" s="40" t="str">
        <f t="shared" si="3"/>
        <v/>
      </c>
      <c r="R768" s="40" t="str">
        <f t="shared" si="4"/>
        <v/>
      </c>
      <c r="S768" s="40" t="str">
        <f>IF($K768="","",IF($C$4="",0,COUNTIFS(Assignments!$B$6:$B$1000,$K768,Assignments!$F$6:$F$1000,$C$4,Assignments!$D$6:$D$1000,"&gt;="&amp;Config!$B$3-7,Assignments!$D$6:$D$1000,"&lt;="&amp;Config!$B$3)))</f>
        <v/>
      </c>
      <c r="T768" s="40" t="str">
        <f>IF($K768="","",IFERROR(VLOOKUP($K768,Grinders!$A$4:$N$998,8,FALSE),""))</f>
        <v/>
      </c>
      <c r="U768" s="40" t="str">
        <f>IFERROR(IF($K768="","",IF($M768="Elite",MAX(50,MIN(100,Config!$B$27*MAX(0,MIN(100,(1-IF($R768="",0,$R768))*100)) + Config!$B$28*MAX(0,MIN(100,(1-MIN(1,IF(Config!$B$30=0,1,$S768/Config!$B$30)))*100)) + Config!$B$29*MAX(0,MIN(100,MIN(1,IF($T768="",0,$T768)/Config!$B$23)*100)))),MIN(100,Config!$B$27*MAX(0,MIN(100,(1-IF($R768="",0,$R768))*100)) + Config!$B$28*MAX(0,MIN(100,(1-MIN(1,IF(Config!$B$30=0,1,$S768/Config!$B$30)))*100)) + Config!$B$29*MAX(0,MIN(100,MIN(1,IF($T768="",0,$T768)/Config!$B$23)*100))))),"")
</f>
        <v/>
      </c>
      <c r="V768" s="40" t="str">
        <f>IF(Bids!$D767="","",Bids!$D767)</f>
        <v/>
      </c>
      <c r="W768" s="40" t="str">
        <f>IF(Bids!$F767="","",Bids!$F767)</f>
        <v/>
      </c>
      <c r="X768" s="40" t="str">
        <f t="shared" si="5"/>
        <v/>
      </c>
      <c r="Y768" s="40" t="str">
        <f>IF($X768="","",IF(Config!$B$17=Config!$B$16,IF($X768&gt;=Config!$B$17,100,0),MAX(0,MIN(100,($X768-Config!$B$16)/(Config!$B$17-Config!$B$16)*100))))</f>
        <v/>
      </c>
      <c r="Z768" s="40">
        <f>IF($M768="Elite",Config!$B$21,0)</f>
        <v>0</v>
      </c>
      <c r="AA768" s="40" t="str">
        <f>IFERROR(IF(OR($W768="",$H768=""),"",IF($W768&gt;$H768,
  MAX(0, 60-(($W768-$H768)*24/Config!$B$19)*60),
  MIN(100, 60+(($H768-$W768)*24/Config!$B$20)*40)
)),"")
</f>
        <v/>
      </c>
      <c r="AB768" s="40" t="str">
        <f>IF($K768="","",IFERROR(VLOOKUP($K768,Grinders!$A$4:$N$998,10,FALSE)/5*100,""))</f>
        <v/>
      </c>
      <c r="AC768" s="40" t="str">
        <f>IF($K768="","",IFERROR(VLOOKUP($K768,Grinders!$A$4:$N$998,11,FALSE)*100,""))</f>
        <v/>
      </c>
      <c r="AD768" s="40" t="str">
        <f>IF($K768="","",IFERROR(VLOOKUP($K768,Grinders!$A$4:$N$998,12,FALSE)*100,""))</f>
        <v/>
      </c>
      <c r="AE768" s="40">
        <f>IFERROR(IFS(
    OR($C768="", $K768=""), 0,
    $F768=0, 0,
    $D768&lt;&gt;"Open", 0,
    COUNTIFS(GrinderServices!$B$4:$B$998, $K768, GrinderServices!$C$4:$C$998, $E768, GrinderServices!$E$4:$E$998, "Y")=0, 0,
    $X768&lt;Config!$B$16, 0,
    Config!$B$18=1, IF($O768&gt;=N768, 0, 1),
    TRUE, 1
), "")
</f>
        <v>0</v>
      </c>
      <c r="AF768" s="40" t="str">
        <f>IFERROR(IF($AE768=0,"",((Config!$B$6*$Y768 + Config!$B$7*$U768 + Config!$B$8*$Z768 + Config!$B$9*$AA768 + Config!$B$10*$AB768 + Config!$B$11*$AC768 - Config!$B$12*$AD768)/Config!$B$13)+$AK768+$AL768),"")</f>
        <v/>
      </c>
      <c r="AG768" s="40" t="str">
        <f t="shared" si="6"/>
        <v/>
      </c>
      <c r="AH768" s="40" t="str">
        <f t="shared" si="7"/>
        <v/>
      </c>
      <c r="AI768" s="40" t="str">
        <f t="shared" si="8"/>
        <v/>
      </c>
      <c r="AJ768" s="40" t="str">
        <f>IF($K768="","",COUNTIF(Assignments!$B$6:$B$1000,$K768))</f>
        <v/>
      </c>
      <c r="AK768" s="40" t="str">
        <f>IF($K768="","",IF(AND($AJ768=0,$O768&lt;$N768),Config!$B$43,0))</f>
        <v/>
      </c>
      <c r="AL768" s="40" t="str">
        <f>IF($K768="","",IF(AND($M768="Elite",$G768&gt;=Config!$B$41,$O768&lt;$N768),Config!$B$42,0))</f>
        <v/>
      </c>
      <c r="AM768" s="22"/>
    </row>
    <row r="769" ht="15.75" customHeight="1">
      <c r="A769" s="40" t="str">
        <f t="shared" si="1"/>
        <v/>
      </c>
      <c r="B769" s="40" t="str">
        <f>IF(Bids!$A768="","",Bids!$A768)</f>
        <v/>
      </c>
      <c r="C769" s="40" t="str">
        <f>IF(Bids!$B768="","",Bids!$B768)</f>
        <v/>
      </c>
      <c r="D769" s="40" t="str">
        <f>IF($C769="","",IFERROR(VLOOKUP($C769,Orders!$A$4:$J$998,9,FALSE),""))</f>
        <v/>
      </c>
      <c r="E769" s="40" t="str">
        <f>IF($C769="","",IFERROR(VLOOKUP($C769,Orders!$A$4:$J$998,3,FALSE),""))</f>
        <v/>
      </c>
      <c r="F769" s="40">
        <f t="shared" si="2"/>
        <v>1</v>
      </c>
      <c r="G769" s="40" t="str">
        <f>IF($C769="","",IFERROR(VLOOKUP($C769,Orders!$A$4:$J$998,4,FALSE),""))</f>
        <v/>
      </c>
      <c r="H769" s="40" t="str">
        <f>IF($C769="","",IFERROR(VLOOKUP($C769,Orders!$A$4:$J$998,5,FALSE),""))</f>
        <v/>
      </c>
      <c r="I769" s="40" t="str">
        <f>IF($C769="","",IFERROR(VLOOKUP($C769,Orders!$A$4:$J$998,6,FALSE),""))</f>
        <v/>
      </c>
      <c r="J769" s="40" t="str">
        <f>IF($C769="","",IFERROR(VLOOKUP($C769,Orders!$A$4:$J$998,7,FALSE),""))</f>
        <v/>
      </c>
      <c r="K769" s="40" t="str">
        <f>IF(Bids!$C768="","",Bids!$C768)</f>
        <v/>
      </c>
      <c r="L769" s="40" t="str">
        <f>IF($K769="","",IFERROR(VLOOKUP($K769,Grinders!$A$4:$N$998,2,FALSE),""))</f>
        <v/>
      </c>
      <c r="M769" s="40" t="str">
        <f>IF($K769="","",IFERROR(VLOOKUP($K769,Grinders!$A$4:$N$998,3,FALSE),""))</f>
        <v/>
      </c>
      <c r="N769" s="40" t="str">
        <f>IF($K769="","",IFERROR(VLOOKUP($K769,Grinders!$A$4:$N$998,4,FALSE),""))</f>
        <v/>
      </c>
      <c r="O769" s="40" t="str">
        <f>IF($K769="","",IFERROR(VLOOKUP($K769,Grinders!$A$4:$N$998,5,FALSE),""))</f>
        <v/>
      </c>
      <c r="P769" s="40" t="str">
        <f>IF($K769="","",IF($C$4="",0,COUNTIFS(Assignments!$B$6:$B$1000,$K769,Assignments!$F$6:$F$1000,$C$4,Assignments!$E$6:$E$1000,"Active")))</f>
        <v/>
      </c>
      <c r="Q769" s="40" t="str">
        <f t="shared" si="3"/>
        <v/>
      </c>
      <c r="R769" s="40" t="str">
        <f t="shared" si="4"/>
        <v/>
      </c>
      <c r="S769" s="40" t="str">
        <f>IF($K769="","",IF($C$4="",0,COUNTIFS(Assignments!$B$6:$B$1000,$K769,Assignments!$F$6:$F$1000,$C$4,Assignments!$D$6:$D$1000,"&gt;="&amp;Config!$B$3-7,Assignments!$D$6:$D$1000,"&lt;="&amp;Config!$B$3)))</f>
        <v/>
      </c>
      <c r="T769" s="40" t="str">
        <f>IF($K769="","",IFERROR(VLOOKUP($K769,Grinders!$A$4:$N$998,8,FALSE),""))</f>
        <v/>
      </c>
      <c r="U769" s="40" t="str">
        <f>IFERROR(IF($K769="","",IF($M769="Elite",MAX(50,MIN(100,Config!$B$27*MAX(0,MIN(100,(1-IF($R769="",0,$R769))*100)) + Config!$B$28*MAX(0,MIN(100,(1-MIN(1,IF(Config!$B$30=0,1,$S769/Config!$B$30)))*100)) + Config!$B$29*MAX(0,MIN(100,MIN(1,IF($T769="",0,$T769)/Config!$B$23)*100)))),MIN(100,Config!$B$27*MAX(0,MIN(100,(1-IF($R769="",0,$R769))*100)) + Config!$B$28*MAX(0,MIN(100,(1-MIN(1,IF(Config!$B$30=0,1,$S769/Config!$B$30)))*100)) + Config!$B$29*MAX(0,MIN(100,MIN(1,IF($T769="",0,$T769)/Config!$B$23)*100))))),"")
</f>
        <v/>
      </c>
      <c r="V769" s="40" t="str">
        <f>IF(Bids!$D768="","",Bids!$D768)</f>
        <v/>
      </c>
      <c r="W769" s="40" t="str">
        <f>IF(Bids!$F768="","",Bids!$F768)</f>
        <v/>
      </c>
      <c r="X769" s="40" t="str">
        <f t="shared" si="5"/>
        <v/>
      </c>
      <c r="Y769" s="40" t="str">
        <f>IF($X769="","",IF(Config!$B$17=Config!$B$16,IF($X769&gt;=Config!$B$17,100,0),MAX(0,MIN(100,($X769-Config!$B$16)/(Config!$B$17-Config!$B$16)*100))))</f>
        <v/>
      </c>
      <c r="Z769" s="40">
        <f>IF($M769="Elite",Config!$B$21,0)</f>
        <v>0</v>
      </c>
      <c r="AA769" s="40" t="str">
        <f>IFERROR(IF(OR($W769="",$H769=""),"",IF($W769&gt;$H769,
  MAX(0, 60-(($W769-$H769)*24/Config!$B$19)*60),
  MIN(100, 60+(($H769-$W769)*24/Config!$B$20)*40)
)),"")
</f>
        <v/>
      </c>
      <c r="AB769" s="40" t="str">
        <f>IF($K769="","",IFERROR(VLOOKUP($K769,Grinders!$A$4:$N$998,10,FALSE)/5*100,""))</f>
        <v/>
      </c>
      <c r="AC769" s="40" t="str">
        <f>IF($K769="","",IFERROR(VLOOKUP($K769,Grinders!$A$4:$N$998,11,FALSE)*100,""))</f>
        <v/>
      </c>
      <c r="AD769" s="40" t="str">
        <f>IF($K769="","",IFERROR(VLOOKUP($K769,Grinders!$A$4:$N$998,12,FALSE)*100,""))</f>
        <v/>
      </c>
      <c r="AE769" s="40">
        <f>IFERROR(IFS(
    OR($C769="", $K769=""), 0,
    $F769=0, 0,
    $D769&lt;&gt;"Open", 0,
    COUNTIFS(GrinderServices!$B$4:$B$998, $K769, GrinderServices!$C$4:$C$998, $E769, GrinderServices!$E$4:$E$998, "Y")=0, 0,
    $X769&lt;Config!$B$16, 0,
    Config!$B$18=1, IF($O769&gt;=N769, 0, 1),
    TRUE, 1
), "")
</f>
        <v>0</v>
      </c>
      <c r="AF769" s="40" t="str">
        <f>IFERROR(IF($AE769=0,"",((Config!$B$6*$Y769 + Config!$B$7*$U769 + Config!$B$8*$Z769 + Config!$B$9*$AA769 + Config!$B$10*$AB769 + Config!$B$11*$AC769 - Config!$B$12*$AD769)/Config!$B$13)+$AK769+$AL769),"")</f>
        <v/>
      </c>
      <c r="AG769" s="40" t="str">
        <f t="shared" si="6"/>
        <v/>
      </c>
      <c r="AH769" s="40" t="str">
        <f t="shared" si="7"/>
        <v/>
      </c>
      <c r="AI769" s="40" t="str">
        <f t="shared" si="8"/>
        <v/>
      </c>
      <c r="AJ769" s="40" t="str">
        <f>IF($K769="","",COUNTIF(Assignments!$B$6:$B$1000,$K769))</f>
        <v/>
      </c>
      <c r="AK769" s="40" t="str">
        <f>IF($K769="","",IF(AND($AJ769=0,$O769&lt;$N769),Config!$B$43,0))</f>
        <v/>
      </c>
      <c r="AL769" s="40" t="str">
        <f>IF($K769="","",IF(AND($M769="Elite",$G769&gt;=Config!$B$41,$O769&lt;$N769),Config!$B$42,0))</f>
        <v/>
      </c>
      <c r="AM769" s="22"/>
    </row>
    <row r="770" ht="15.75" customHeight="1">
      <c r="A770" s="40" t="str">
        <f t="shared" si="1"/>
        <v/>
      </c>
      <c r="B770" s="40" t="str">
        <f>IF(Bids!$A769="","",Bids!$A769)</f>
        <v/>
      </c>
      <c r="C770" s="40" t="str">
        <f>IF(Bids!$B769="","",Bids!$B769)</f>
        <v/>
      </c>
      <c r="D770" s="40" t="str">
        <f>IF($C770="","",IFERROR(VLOOKUP($C770,Orders!$A$4:$J$998,9,FALSE),""))</f>
        <v/>
      </c>
      <c r="E770" s="40" t="str">
        <f>IF($C770="","",IFERROR(VLOOKUP($C770,Orders!$A$4:$J$998,3,FALSE),""))</f>
        <v/>
      </c>
      <c r="F770" s="40">
        <f t="shared" si="2"/>
        <v>1</v>
      </c>
      <c r="G770" s="40" t="str">
        <f>IF($C770="","",IFERROR(VLOOKUP($C770,Orders!$A$4:$J$998,4,FALSE),""))</f>
        <v/>
      </c>
      <c r="H770" s="40" t="str">
        <f>IF($C770="","",IFERROR(VLOOKUP($C770,Orders!$A$4:$J$998,5,FALSE),""))</f>
        <v/>
      </c>
      <c r="I770" s="40" t="str">
        <f>IF($C770="","",IFERROR(VLOOKUP($C770,Orders!$A$4:$J$998,6,FALSE),""))</f>
        <v/>
      </c>
      <c r="J770" s="40" t="str">
        <f>IF($C770="","",IFERROR(VLOOKUP($C770,Orders!$A$4:$J$998,7,FALSE),""))</f>
        <v/>
      </c>
      <c r="K770" s="40" t="str">
        <f>IF(Bids!$C769="","",Bids!$C769)</f>
        <v/>
      </c>
      <c r="L770" s="40" t="str">
        <f>IF($K770="","",IFERROR(VLOOKUP($K770,Grinders!$A$4:$N$998,2,FALSE),""))</f>
        <v/>
      </c>
      <c r="M770" s="40" t="str">
        <f>IF($K770="","",IFERROR(VLOOKUP($K770,Grinders!$A$4:$N$998,3,FALSE),""))</f>
        <v/>
      </c>
      <c r="N770" s="40" t="str">
        <f>IF($K770="","",IFERROR(VLOOKUP($K770,Grinders!$A$4:$N$998,4,FALSE),""))</f>
        <v/>
      </c>
      <c r="O770" s="40" t="str">
        <f>IF($K770="","",IFERROR(VLOOKUP($K770,Grinders!$A$4:$N$998,5,FALSE),""))</f>
        <v/>
      </c>
      <c r="P770" s="40" t="str">
        <f>IF($K770="","",IF($C$4="",0,COUNTIFS(Assignments!$B$6:$B$1000,$K770,Assignments!$F$6:$F$1000,$C$4,Assignments!$E$6:$E$1000,"Active")))</f>
        <v/>
      </c>
      <c r="Q770" s="40" t="str">
        <f t="shared" si="3"/>
        <v/>
      </c>
      <c r="R770" s="40" t="str">
        <f t="shared" si="4"/>
        <v/>
      </c>
      <c r="S770" s="40" t="str">
        <f>IF($K770="","",IF($C$4="",0,COUNTIFS(Assignments!$B$6:$B$1000,$K770,Assignments!$F$6:$F$1000,$C$4,Assignments!$D$6:$D$1000,"&gt;="&amp;Config!$B$3-7,Assignments!$D$6:$D$1000,"&lt;="&amp;Config!$B$3)))</f>
        <v/>
      </c>
      <c r="T770" s="40" t="str">
        <f>IF($K770="","",IFERROR(VLOOKUP($K770,Grinders!$A$4:$N$998,8,FALSE),""))</f>
        <v/>
      </c>
      <c r="U770" s="40" t="str">
        <f>IFERROR(IF($K770="","",IF($M770="Elite",MAX(50,MIN(100,Config!$B$27*MAX(0,MIN(100,(1-IF($R770="",0,$R770))*100)) + Config!$B$28*MAX(0,MIN(100,(1-MIN(1,IF(Config!$B$30=0,1,$S770/Config!$B$30)))*100)) + Config!$B$29*MAX(0,MIN(100,MIN(1,IF($T770="",0,$T770)/Config!$B$23)*100)))),MIN(100,Config!$B$27*MAX(0,MIN(100,(1-IF($R770="",0,$R770))*100)) + Config!$B$28*MAX(0,MIN(100,(1-MIN(1,IF(Config!$B$30=0,1,$S770/Config!$B$30)))*100)) + Config!$B$29*MAX(0,MIN(100,MIN(1,IF($T770="",0,$T770)/Config!$B$23)*100))))),"")
</f>
        <v/>
      </c>
      <c r="V770" s="40" t="str">
        <f>IF(Bids!$D769="","",Bids!$D769)</f>
        <v/>
      </c>
      <c r="W770" s="40" t="str">
        <f>IF(Bids!$F769="","",Bids!$F769)</f>
        <v/>
      </c>
      <c r="X770" s="40" t="str">
        <f t="shared" si="5"/>
        <v/>
      </c>
      <c r="Y770" s="40" t="str">
        <f>IF($X770="","",IF(Config!$B$17=Config!$B$16,IF($X770&gt;=Config!$B$17,100,0),MAX(0,MIN(100,($X770-Config!$B$16)/(Config!$B$17-Config!$B$16)*100))))</f>
        <v/>
      </c>
      <c r="Z770" s="40">
        <f>IF($M770="Elite",Config!$B$21,0)</f>
        <v>0</v>
      </c>
      <c r="AA770" s="40" t="str">
        <f>IFERROR(IF(OR($W770="",$H770=""),"",IF($W770&gt;$H770,
  MAX(0, 60-(($W770-$H770)*24/Config!$B$19)*60),
  MIN(100, 60+(($H770-$W770)*24/Config!$B$20)*40)
)),"")
</f>
        <v/>
      </c>
      <c r="AB770" s="40" t="str">
        <f>IF($K770="","",IFERROR(VLOOKUP($K770,Grinders!$A$4:$N$998,10,FALSE)/5*100,""))</f>
        <v/>
      </c>
      <c r="AC770" s="40" t="str">
        <f>IF($K770="","",IFERROR(VLOOKUP($K770,Grinders!$A$4:$N$998,11,FALSE)*100,""))</f>
        <v/>
      </c>
      <c r="AD770" s="40" t="str">
        <f>IF($K770="","",IFERROR(VLOOKUP($K770,Grinders!$A$4:$N$998,12,FALSE)*100,""))</f>
        <v/>
      </c>
      <c r="AE770" s="40">
        <f>IFERROR(IFS(
    OR($C770="", $K770=""), 0,
    $F770=0, 0,
    $D770&lt;&gt;"Open", 0,
    COUNTIFS(GrinderServices!$B$4:$B$998, $K770, GrinderServices!$C$4:$C$998, $E770, GrinderServices!$E$4:$E$998, "Y")=0, 0,
    $X770&lt;Config!$B$16, 0,
    Config!$B$18=1, IF($O770&gt;=N770, 0, 1),
    TRUE, 1
), "")
</f>
        <v>0</v>
      </c>
      <c r="AF770" s="40" t="str">
        <f>IFERROR(IF($AE770=0,"",((Config!$B$6*$Y770 + Config!$B$7*$U770 + Config!$B$8*$Z770 + Config!$B$9*$AA770 + Config!$B$10*$AB770 + Config!$B$11*$AC770 - Config!$B$12*$AD770)/Config!$B$13)+$AK770+$AL770),"")</f>
        <v/>
      </c>
      <c r="AG770" s="40" t="str">
        <f t="shared" si="6"/>
        <v/>
      </c>
      <c r="AH770" s="40" t="str">
        <f t="shared" si="7"/>
        <v/>
      </c>
      <c r="AI770" s="40" t="str">
        <f t="shared" si="8"/>
        <v/>
      </c>
      <c r="AJ770" s="40" t="str">
        <f>IF($K770="","",COUNTIF(Assignments!$B$6:$B$1000,$K770))</f>
        <v/>
      </c>
      <c r="AK770" s="40" t="str">
        <f>IF($K770="","",IF(AND($AJ770=0,$O770&lt;$N770),Config!$B$43,0))</f>
        <v/>
      </c>
      <c r="AL770" s="40" t="str">
        <f>IF($K770="","",IF(AND($M770="Elite",$G770&gt;=Config!$B$41,$O770&lt;$N770),Config!$B$42,0))</f>
        <v/>
      </c>
      <c r="AM770" s="22"/>
    </row>
    <row r="771" ht="15.75" customHeight="1">
      <c r="A771" s="40" t="str">
        <f t="shared" si="1"/>
        <v/>
      </c>
      <c r="B771" s="40" t="str">
        <f>IF(Bids!$A770="","",Bids!$A770)</f>
        <v/>
      </c>
      <c r="C771" s="40" t="str">
        <f>IF(Bids!$B770="","",Bids!$B770)</f>
        <v/>
      </c>
      <c r="D771" s="40" t="str">
        <f>IF($C771="","",IFERROR(VLOOKUP($C771,Orders!$A$4:$J$998,9,FALSE),""))</f>
        <v/>
      </c>
      <c r="E771" s="40" t="str">
        <f>IF($C771="","",IFERROR(VLOOKUP($C771,Orders!$A$4:$J$998,3,FALSE),""))</f>
        <v/>
      </c>
      <c r="F771" s="40">
        <f t="shared" si="2"/>
        <v>1</v>
      </c>
      <c r="G771" s="40" t="str">
        <f>IF($C771="","",IFERROR(VLOOKUP($C771,Orders!$A$4:$J$998,4,FALSE),""))</f>
        <v/>
      </c>
      <c r="H771" s="40" t="str">
        <f>IF($C771="","",IFERROR(VLOOKUP($C771,Orders!$A$4:$J$998,5,FALSE),""))</f>
        <v/>
      </c>
      <c r="I771" s="40" t="str">
        <f>IF($C771="","",IFERROR(VLOOKUP($C771,Orders!$A$4:$J$998,6,FALSE),""))</f>
        <v/>
      </c>
      <c r="J771" s="40" t="str">
        <f>IF($C771="","",IFERROR(VLOOKUP($C771,Orders!$A$4:$J$998,7,FALSE),""))</f>
        <v/>
      </c>
      <c r="K771" s="40" t="str">
        <f>IF(Bids!$C770="","",Bids!$C770)</f>
        <v/>
      </c>
      <c r="L771" s="40" t="str">
        <f>IF($K771="","",IFERROR(VLOOKUP($K771,Grinders!$A$4:$N$998,2,FALSE),""))</f>
        <v/>
      </c>
      <c r="M771" s="40" t="str">
        <f>IF($K771="","",IFERROR(VLOOKUP($K771,Grinders!$A$4:$N$998,3,FALSE),""))</f>
        <v/>
      </c>
      <c r="N771" s="40" t="str">
        <f>IF($K771="","",IFERROR(VLOOKUP($K771,Grinders!$A$4:$N$998,4,FALSE),""))</f>
        <v/>
      </c>
      <c r="O771" s="40" t="str">
        <f>IF($K771="","",IFERROR(VLOOKUP($K771,Grinders!$A$4:$N$998,5,FALSE),""))</f>
        <v/>
      </c>
      <c r="P771" s="40" t="str">
        <f>IF($K771="","",IF($C$4="",0,COUNTIFS(Assignments!$B$6:$B$1000,$K771,Assignments!$F$6:$F$1000,$C$4,Assignments!$E$6:$E$1000,"Active")))</f>
        <v/>
      </c>
      <c r="Q771" s="40" t="str">
        <f t="shared" si="3"/>
        <v/>
      </c>
      <c r="R771" s="40" t="str">
        <f t="shared" si="4"/>
        <v/>
      </c>
      <c r="S771" s="40" t="str">
        <f>IF($K771="","",IF($C$4="",0,COUNTIFS(Assignments!$B$6:$B$1000,$K771,Assignments!$F$6:$F$1000,$C$4,Assignments!$D$6:$D$1000,"&gt;="&amp;Config!$B$3-7,Assignments!$D$6:$D$1000,"&lt;="&amp;Config!$B$3)))</f>
        <v/>
      </c>
      <c r="T771" s="40" t="str">
        <f>IF($K771="","",IFERROR(VLOOKUP($K771,Grinders!$A$4:$N$998,8,FALSE),""))</f>
        <v/>
      </c>
      <c r="U771" s="40" t="str">
        <f>IFERROR(IF($K771="","",IF($M771="Elite",MAX(50,MIN(100,Config!$B$27*MAX(0,MIN(100,(1-IF($R771="",0,$R771))*100)) + Config!$B$28*MAX(0,MIN(100,(1-MIN(1,IF(Config!$B$30=0,1,$S771/Config!$B$30)))*100)) + Config!$B$29*MAX(0,MIN(100,MIN(1,IF($T771="",0,$T771)/Config!$B$23)*100)))),MIN(100,Config!$B$27*MAX(0,MIN(100,(1-IF($R771="",0,$R771))*100)) + Config!$B$28*MAX(0,MIN(100,(1-MIN(1,IF(Config!$B$30=0,1,$S771/Config!$B$30)))*100)) + Config!$B$29*MAX(0,MIN(100,MIN(1,IF($T771="",0,$T771)/Config!$B$23)*100))))),"")
</f>
        <v/>
      </c>
      <c r="V771" s="40" t="str">
        <f>IF(Bids!$D770="","",Bids!$D770)</f>
        <v/>
      </c>
      <c r="W771" s="40" t="str">
        <f>IF(Bids!$F770="","",Bids!$F770)</f>
        <v/>
      </c>
      <c r="X771" s="40" t="str">
        <f t="shared" si="5"/>
        <v/>
      </c>
      <c r="Y771" s="40" t="str">
        <f>IF($X771="","",IF(Config!$B$17=Config!$B$16,IF($X771&gt;=Config!$B$17,100,0),MAX(0,MIN(100,($X771-Config!$B$16)/(Config!$B$17-Config!$B$16)*100))))</f>
        <v/>
      </c>
      <c r="Z771" s="40">
        <f>IF($M771="Elite",Config!$B$21,0)</f>
        <v>0</v>
      </c>
      <c r="AA771" s="40" t="str">
        <f>IFERROR(IF(OR($W771="",$H771=""),"",IF($W771&gt;$H771,
  MAX(0, 60-(($W771-$H771)*24/Config!$B$19)*60),
  MIN(100, 60+(($H771-$W771)*24/Config!$B$20)*40)
)),"")
</f>
        <v/>
      </c>
      <c r="AB771" s="40" t="str">
        <f>IF($K771="","",IFERROR(VLOOKUP($K771,Grinders!$A$4:$N$998,10,FALSE)/5*100,""))</f>
        <v/>
      </c>
      <c r="AC771" s="40" t="str">
        <f>IF($K771="","",IFERROR(VLOOKUP($K771,Grinders!$A$4:$N$998,11,FALSE)*100,""))</f>
        <v/>
      </c>
      <c r="AD771" s="40" t="str">
        <f>IF($K771="","",IFERROR(VLOOKUP($K771,Grinders!$A$4:$N$998,12,FALSE)*100,""))</f>
        <v/>
      </c>
      <c r="AE771" s="40">
        <f>IFERROR(IFS(
    OR($C771="", $K771=""), 0,
    $F771=0, 0,
    $D771&lt;&gt;"Open", 0,
    COUNTIFS(GrinderServices!$B$4:$B$998, $K771, GrinderServices!$C$4:$C$998, $E771, GrinderServices!$E$4:$E$998, "Y")=0, 0,
    $X771&lt;Config!$B$16, 0,
    Config!$B$18=1, IF($O771&gt;=N771, 0, 1),
    TRUE, 1
), "")
</f>
        <v>0</v>
      </c>
      <c r="AF771" s="40" t="str">
        <f>IFERROR(IF($AE771=0,"",((Config!$B$6*$Y771 + Config!$B$7*$U771 + Config!$B$8*$Z771 + Config!$B$9*$AA771 + Config!$B$10*$AB771 + Config!$B$11*$AC771 - Config!$B$12*$AD771)/Config!$B$13)+$AK771+$AL771),"")</f>
        <v/>
      </c>
      <c r="AG771" s="40" t="str">
        <f t="shared" si="6"/>
        <v/>
      </c>
      <c r="AH771" s="40" t="str">
        <f t="shared" si="7"/>
        <v/>
      </c>
      <c r="AI771" s="40" t="str">
        <f t="shared" si="8"/>
        <v/>
      </c>
      <c r="AJ771" s="40" t="str">
        <f>IF($K771="","",COUNTIF(Assignments!$B$6:$B$1000,$K771))</f>
        <v/>
      </c>
      <c r="AK771" s="40" t="str">
        <f>IF($K771="","",IF(AND($AJ771=0,$O771&lt;$N771),Config!$B$43,0))</f>
        <v/>
      </c>
      <c r="AL771" s="40" t="str">
        <f>IF($K771="","",IF(AND($M771="Elite",$G771&gt;=Config!$B$41,$O771&lt;$N771),Config!$B$42,0))</f>
        <v/>
      </c>
      <c r="AM771" s="22"/>
    </row>
    <row r="772" ht="15.75" customHeight="1">
      <c r="A772" s="40" t="str">
        <f t="shared" si="1"/>
        <v/>
      </c>
      <c r="B772" s="40" t="str">
        <f>IF(Bids!$A771="","",Bids!$A771)</f>
        <v/>
      </c>
      <c r="C772" s="40" t="str">
        <f>IF(Bids!$B771="","",Bids!$B771)</f>
        <v/>
      </c>
      <c r="D772" s="40" t="str">
        <f>IF($C772="","",IFERROR(VLOOKUP($C772,Orders!$A$4:$J$998,9,FALSE),""))</f>
        <v/>
      </c>
      <c r="E772" s="40" t="str">
        <f>IF($C772="","",IFERROR(VLOOKUP($C772,Orders!$A$4:$J$998,3,FALSE),""))</f>
        <v/>
      </c>
      <c r="F772" s="40">
        <f t="shared" si="2"/>
        <v>1</v>
      </c>
      <c r="G772" s="40" t="str">
        <f>IF($C772="","",IFERROR(VLOOKUP($C772,Orders!$A$4:$J$998,4,FALSE),""))</f>
        <v/>
      </c>
      <c r="H772" s="40" t="str">
        <f>IF($C772="","",IFERROR(VLOOKUP($C772,Orders!$A$4:$J$998,5,FALSE),""))</f>
        <v/>
      </c>
      <c r="I772" s="40" t="str">
        <f>IF($C772="","",IFERROR(VLOOKUP($C772,Orders!$A$4:$J$998,6,FALSE),""))</f>
        <v/>
      </c>
      <c r="J772" s="40" t="str">
        <f>IF($C772="","",IFERROR(VLOOKUP($C772,Orders!$A$4:$J$998,7,FALSE),""))</f>
        <v/>
      </c>
      <c r="K772" s="40" t="str">
        <f>IF(Bids!$C771="","",Bids!$C771)</f>
        <v/>
      </c>
      <c r="L772" s="40" t="str">
        <f>IF($K772="","",IFERROR(VLOOKUP($K772,Grinders!$A$4:$N$998,2,FALSE),""))</f>
        <v/>
      </c>
      <c r="M772" s="40" t="str">
        <f>IF($K772="","",IFERROR(VLOOKUP($K772,Grinders!$A$4:$N$998,3,FALSE),""))</f>
        <v/>
      </c>
      <c r="N772" s="40" t="str">
        <f>IF($K772="","",IFERROR(VLOOKUP($K772,Grinders!$A$4:$N$998,4,FALSE),""))</f>
        <v/>
      </c>
      <c r="O772" s="40" t="str">
        <f>IF($K772="","",IFERROR(VLOOKUP($K772,Grinders!$A$4:$N$998,5,FALSE),""))</f>
        <v/>
      </c>
      <c r="P772" s="40" t="str">
        <f>IF($K772="","",IF($C$4="",0,COUNTIFS(Assignments!$B$6:$B$1000,$K772,Assignments!$F$6:$F$1000,$C$4,Assignments!$E$6:$E$1000,"Active")))</f>
        <v/>
      </c>
      <c r="Q772" s="40" t="str">
        <f t="shared" si="3"/>
        <v/>
      </c>
      <c r="R772" s="40" t="str">
        <f t="shared" si="4"/>
        <v/>
      </c>
      <c r="S772" s="40" t="str">
        <f>IF($K772="","",IF($C$4="",0,COUNTIFS(Assignments!$B$6:$B$1000,$K772,Assignments!$F$6:$F$1000,$C$4,Assignments!$D$6:$D$1000,"&gt;="&amp;Config!$B$3-7,Assignments!$D$6:$D$1000,"&lt;="&amp;Config!$B$3)))</f>
        <v/>
      </c>
      <c r="T772" s="40" t="str">
        <f>IF($K772="","",IFERROR(VLOOKUP($K772,Grinders!$A$4:$N$998,8,FALSE),""))</f>
        <v/>
      </c>
      <c r="U772" s="40" t="str">
        <f>IFERROR(IF($K772="","",IF($M772="Elite",MAX(50,MIN(100,Config!$B$27*MAX(0,MIN(100,(1-IF($R772="",0,$R772))*100)) + Config!$B$28*MAX(0,MIN(100,(1-MIN(1,IF(Config!$B$30=0,1,$S772/Config!$B$30)))*100)) + Config!$B$29*MAX(0,MIN(100,MIN(1,IF($T772="",0,$T772)/Config!$B$23)*100)))),MIN(100,Config!$B$27*MAX(0,MIN(100,(1-IF($R772="",0,$R772))*100)) + Config!$B$28*MAX(0,MIN(100,(1-MIN(1,IF(Config!$B$30=0,1,$S772/Config!$B$30)))*100)) + Config!$B$29*MAX(0,MIN(100,MIN(1,IF($T772="",0,$T772)/Config!$B$23)*100))))),"")
</f>
        <v/>
      </c>
      <c r="V772" s="40" t="str">
        <f>IF(Bids!$D771="","",Bids!$D771)</f>
        <v/>
      </c>
      <c r="W772" s="40" t="str">
        <f>IF(Bids!$F771="","",Bids!$F771)</f>
        <v/>
      </c>
      <c r="X772" s="40" t="str">
        <f t="shared" si="5"/>
        <v/>
      </c>
      <c r="Y772" s="40" t="str">
        <f>IF($X772="","",IF(Config!$B$17=Config!$B$16,IF($X772&gt;=Config!$B$17,100,0),MAX(0,MIN(100,($X772-Config!$B$16)/(Config!$B$17-Config!$B$16)*100))))</f>
        <v/>
      </c>
      <c r="Z772" s="40">
        <f>IF($M772="Elite",Config!$B$21,0)</f>
        <v>0</v>
      </c>
      <c r="AA772" s="40" t="str">
        <f>IFERROR(IF(OR($W772="",$H772=""),"",IF($W772&gt;$H772,
  MAX(0, 60-(($W772-$H772)*24/Config!$B$19)*60),
  MIN(100, 60+(($H772-$W772)*24/Config!$B$20)*40)
)),"")
</f>
        <v/>
      </c>
      <c r="AB772" s="40" t="str">
        <f>IF($K772="","",IFERROR(VLOOKUP($K772,Grinders!$A$4:$N$998,10,FALSE)/5*100,""))</f>
        <v/>
      </c>
      <c r="AC772" s="40" t="str">
        <f>IF($K772="","",IFERROR(VLOOKUP($K772,Grinders!$A$4:$N$998,11,FALSE)*100,""))</f>
        <v/>
      </c>
      <c r="AD772" s="40" t="str">
        <f>IF($K772="","",IFERROR(VLOOKUP($K772,Grinders!$A$4:$N$998,12,FALSE)*100,""))</f>
        <v/>
      </c>
      <c r="AE772" s="40">
        <f>IFERROR(IFS(
    OR($C772="", $K772=""), 0,
    $F772=0, 0,
    $D772&lt;&gt;"Open", 0,
    COUNTIFS(GrinderServices!$B$4:$B$998, $K772, GrinderServices!$C$4:$C$998, $E772, GrinderServices!$E$4:$E$998, "Y")=0, 0,
    $X772&lt;Config!$B$16, 0,
    Config!$B$18=1, IF($O772&gt;=N772, 0, 1),
    TRUE, 1
), "")
</f>
        <v>0</v>
      </c>
      <c r="AF772" s="40" t="str">
        <f>IFERROR(IF($AE772=0,"",((Config!$B$6*$Y772 + Config!$B$7*$U772 + Config!$B$8*$Z772 + Config!$B$9*$AA772 + Config!$B$10*$AB772 + Config!$B$11*$AC772 - Config!$B$12*$AD772)/Config!$B$13)+$AK772+$AL772),"")</f>
        <v/>
      </c>
      <c r="AG772" s="40" t="str">
        <f t="shared" si="6"/>
        <v/>
      </c>
      <c r="AH772" s="40" t="str">
        <f t="shared" si="7"/>
        <v/>
      </c>
      <c r="AI772" s="40" t="str">
        <f t="shared" si="8"/>
        <v/>
      </c>
      <c r="AJ772" s="40" t="str">
        <f>IF($K772="","",COUNTIF(Assignments!$B$6:$B$1000,$K772))</f>
        <v/>
      </c>
      <c r="AK772" s="40" t="str">
        <f>IF($K772="","",IF(AND($AJ772=0,$O772&lt;$N772),Config!$B$43,0))</f>
        <v/>
      </c>
      <c r="AL772" s="40" t="str">
        <f>IF($K772="","",IF(AND($M772="Elite",$G772&gt;=Config!$B$41,$O772&lt;$N772),Config!$B$42,0))</f>
        <v/>
      </c>
      <c r="AM772" s="22"/>
    </row>
    <row r="773" ht="15.75" customHeight="1">
      <c r="A773" s="40" t="str">
        <f t="shared" si="1"/>
        <v/>
      </c>
      <c r="B773" s="40" t="str">
        <f>IF(Bids!$A772="","",Bids!$A772)</f>
        <v/>
      </c>
      <c r="C773" s="40" t="str">
        <f>IF(Bids!$B772="","",Bids!$B772)</f>
        <v/>
      </c>
      <c r="D773" s="40" t="str">
        <f>IF($C773="","",IFERROR(VLOOKUP($C773,Orders!$A$4:$J$998,9,FALSE),""))</f>
        <v/>
      </c>
      <c r="E773" s="40" t="str">
        <f>IF($C773="","",IFERROR(VLOOKUP($C773,Orders!$A$4:$J$998,3,FALSE),""))</f>
        <v/>
      </c>
      <c r="F773" s="40">
        <f t="shared" si="2"/>
        <v>1</v>
      </c>
      <c r="G773" s="40" t="str">
        <f>IF($C773="","",IFERROR(VLOOKUP($C773,Orders!$A$4:$J$998,4,FALSE),""))</f>
        <v/>
      </c>
      <c r="H773" s="40" t="str">
        <f>IF($C773="","",IFERROR(VLOOKUP($C773,Orders!$A$4:$J$998,5,FALSE),""))</f>
        <v/>
      </c>
      <c r="I773" s="40" t="str">
        <f>IF($C773="","",IFERROR(VLOOKUP($C773,Orders!$A$4:$J$998,6,FALSE),""))</f>
        <v/>
      </c>
      <c r="J773" s="40" t="str">
        <f>IF($C773="","",IFERROR(VLOOKUP($C773,Orders!$A$4:$J$998,7,FALSE),""))</f>
        <v/>
      </c>
      <c r="K773" s="40" t="str">
        <f>IF(Bids!$C772="","",Bids!$C772)</f>
        <v/>
      </c>
      <c r="L773" s="40" t="str">
        <f>IF($K773="","",IFERROR(VLOOKUP($K773,Grinders!$A$4:$N$998,2,FALSE),""))</f>
        <v/>
      </c>
      <c r="M773" s="40" t="str">
        <f>IF($K773="","",IFERROR(VLOOKUP($K773,Grinders!$A$4:$N$998,3,FALSE),""))</f>
        <v/>
      </c>
      <c r="N773" s="40" t="str">
        <f>IF($K773="","",IFERROR(VLOOKUP($K773,Grinders!$A$4:$N$998,4,FALSE),""))</f>
        <v/>
      </c>
      <c r="O773" s="40" t="str">
        <f>IF($K773="","",IFERROR(VLOOKUP($K773,Grinders!$A$4:$N$998,5,FALSE),""))</f>
        <v/>
      </c>
      <c r="P773" s="40" t="str">
        <f>IF($K773="","",IF($C$4="",0,COUNTIFS(Assignments!$B$6:$B$1000,$K773,Assignments!$F$6:$F$1000,$C$4,Assignments!$E$6:$E$1000,"Active")))</f>
        <v/>
      </c>
      <c r="Q773" s="40" t="str">
        <f t="shared" si="3"/>
        <v/>
      </c>
      <c r="R773" s="40" t="str">
        <f t="shared" si="4"/>
        <v/>
      </c>
      <c r="S773" s="40" t="str">
        <f>IF($K773="","",IF($C$4="",0,COUNTIFS(Assignments!$B$6:$B$1000,$K773,Assignments!$F$6:$F$1000,$C$4,Assignments!$D$6:$D$1000,"&gt;="&amp;Config!$B$3-7,Assignments!$D$6:$D$1000,"&lt;="&amp;Config!$B$3)))</f>
        <v/>
      </c>
      <c r="T773" s="40" t="str">
        <f>IF($K773="","",IFERROR(VLOOKUP($K773,Grinders!$A$4:$N$998,8,FALSE),""))</f>
        <v/>
      </c>
      <c r="U773" s="40" t="str">
        <f>IFERROR(IF($K773="","",IF($M773="Elite",MAX(50,MIN(100,Config!$B$27*MAX(0,MIN(100,(1-IF($R773="",0,$R773))*100)) + Config!$B$28*MAX(0,MIN(100,(1-MIN(1,IF(Config!$B$30=0,1,$S773/Config!$B$30)))*100)) + Config!$B$29*MAX(0,MIN(100,MIN(1,IF($T773="",0,$T773)/Config!$B$23)*100)))),MIN(100,Config!$B$27*MAX(0,MIN(100,(1-IF($R773="",0,$R773))*100)) + Config!$B$28*MAX(0,MIN(100,(1-MIN(1,IF(Config!$B$30=0,1,$S773/Config!$B$30)))*100)) + Config!$B$29*MAX(0,MIN(100,MIN(1,IF($T773="",0,$T773)/Config!$B$23)*100))))),"")
</f>
        <v/>
      </c>
      <c r="V773" s="40" t="str">
        <f>IF(Bids!$D772="","",Bids!$D772)</f>
        <v/>
      </c>
      <c r="W773" s="40" t="str">
        <f>IF(Bids!$F772="","",Bids!$F772)</f>
        <v/>
      </c>
      <c r="X773" s="40" t="str">
        <f t="shared" si="5"/>
        <v/>
      </c>
      <c r="Y773" s="40" t="str">
        <f>IF($X773="","",IF(Config!$B$17=Config!$B$16,IF($X773&gt;=Config!$B$17,100,0),MAX(0,MIN(100,($X773-Config!$B$16)/(Config!$B$17-Config!$B$16)*100))))</f>
        <v/>
      </c>
      <c r="Z773" s="40">
        <f>IF($M773="Elite",Config!$B$21,0)</f>
        <v>0</v>
      </c>
      <c r="AA773" s="40" t="str">
        <f>IFERROR(IF(OR($W773="",$H773=""),"",IF($W773&gt;$H773,
  MAX(0, 60-(($W773-$H773)*24/Config!$B$19)*60),
  MIN(100, 60+(($H773-$W773)*24/Config!$B$20)*40)
)),"")
</f>
        <v/>
      </c>
      <c r="AB773" s="40" t="str">
        <f>IF($K773="","",IFERROR(VLOOKUP($K773,Grinders!$A$4:$N$998,10,FALSE)/5*100,""))</f>
        <v/>
      </c>
      <c r="AC773" s="40" t="str">
        <f>IF($K773="","",IFERROR(VLOOKUP($K773,Grinders!$A$4:$N$998,11,FALSE)*100,""))</f>
        <v/>
      </c>
      <c r="AD773" s="40" t="str">
        <f>IF($K773="","",IFERROR(VLOOKUP($K773,Grinders!$A$4:$N$998,12,FALSE)*100,""))</f>
        <v/>
      </c>
      <c r="AE773" s="40">
        <f>IFERROR(IFS(
    OR($C773="", $K773=""), 0,
    $F773=0, 0,
    $D773&lt;&gt;"Open", 0,
    COUNTIFS(GrinderServices!$B$4:$B$998, $K773, GrinderServices!$C$4:$C$998, $E773, GrinderServices!$E$4:$E$998, "Y")=0, 0,
    $X773&lt;Config!$B$16, 0,
    Config!$B$18=1, IF($O773&gt;=N773, 0, 1),
    TRUE, 1
), "")
</f>
        <v>0</v>
      </c>
      <c r="AF773" s="40" t="str">
        <f>IFERROR(IF($AE773=0,"",((Config!$B$6*$Y773 + Config!$B$7*$U773 + Config!$B$8*$Z773 + Config!$B$9*$AA773 + Config!$B$10*$AB773 + Config!$B$11*$AC773 - Config!$B$12*$AD773)/Config!$B$13)+$AK773+$AL773),"")</f>
        <v/>
      </c>
      <c r="AG773" s="40" t="str">
        <f t="shared" si="6"/>
        <v/>
      </c>
      <c r="AH773" s="40" t="str">
        <f t="shared" si="7"/>
        <v/>
      </c>
      <c r="AI773" s="40" t="str">
        <f t="shared" si="8"/>
        <v/>
      </c>
      <c r="AJ773" s="40" t="str">
        <f>IF($K773="","",COUNTIF(Assignments!$B$6:$B$1000,$K773))</f>
        <v/>
      </c>
      <c r="AK773" s="40" t="str">
        <f>IF($K773="","",IF(AND($AJ773=0,$O773&lt;$N773),Config!$B$43,0))</f>
        <v/>
      </c>
      <c r="AL773" s="40" t="str">
        <f>IF($K773="","",IF(AND($M773="Elite",$G773&gt;=Config!$B$41,$O773&lt;$N773),Config!$B$42,0))</f>
        <v/>
      </c>
      <c r="AM773" s="22"/>
    </row>
    <row r="774" ht="15.75" customHeight="1">
      <c r="A774" s="40" t="str">
        <f t="shared" si="1"/>
        <v/>
      </c>
      <c r="B774" s="40" t="str">
        <f>IF(Bids!$A773="","",Bids!$A773)</f>
        <v/>
      </c>
      <c r="C774" s="40" t="str">
        <f>IF(Bids!$B773="","",Bids!$B773)</f>
        <v/>
      </c>
      <c r="D774" s="40" t="str">
        <f>IF($C774="","",IFERROR(VLOOKUP($C774,Orders!$A$4:$J$998,9,FALSE),""))</f>
        <v/>
      </c>
      <c r="E774" s="40" t="str">
        <f>IF($C774="","",IFERROR(VLOOKUP($C774,Orders!$A$4:$J$998,3,FALSE),""))</f>
        <v/>
      </c>
      <c r="F774" s="40">
        <f t="shared" si="2"/>
        <v>1</v>
      </c>
      <c r="G774" s="40" t="str">
        <f>IF($C774="","",IFERROR(VLOOKUP($C774,Orders!$A$4:$J$998,4,FALSE),""))</f>
        <v/>
      </c>
      <c r="H774" s="40" t="str">
        <f>IF($C774="","",IFERROR(VLOOKUP($C774,Orders!$A$4:$J$998,5,FALSE),""))</f>
        <v/>
      </c>
      <c r="I774" s="40" t="str">
        <f>IF($C774="","",IFERROR(VLOOKUP($C774,Orders!$A$4:$J$998,6,FALSE),""))</f>
        <v/>
      </c>
      <c r="J774" s="40" t="str">
        <f>IF($C774="","",IFERROR(VLOOKUP($C774,Orders!$A$4:$J$998,7,FALSE),""))</f>
        <v/>
      </c>
      <c r="K774" s="40" t="str">
        <f>IF(Bids!$C773="","",Bids!$C773)</f>
        <v/>
      </c>
      <c r="L774" s="40" t="str">
        <f>IF($K774="","",IFERROR(VLOOKUP($K774,Grinders!$A$4:$N$998,2,FALSE),""))</f>
        <v/>
      </c>
      <c r="M774" s="40" t="str">
        <f>IF($K774="","",IFERROR(VLOOKUP($K774,Grinders!$A$4:$N$998,3,FALSE),""))</f>
        <v/>
      </c>
      <c r="N774" s="40" t="str">
        <f>IF($K774="","",IFERROR(VLOOKUP($K774,Grinders!$A$4:$N$998,4,FALSE),""))</f>
        <v/>
      </c>
      <c r="O774" s="40" t="str">
        <f>IF($K774="","",IFERROR(VLOOKUP($K774,Grinders!$A$4:$N$998,5,FALSE),""))</f>
        <v/>
      </c>
      <c r="P774" s="40" t="str">
        <f>IF($K774="","",IF($C$4="",0,COUNTIFS(Assignments!$B$6:$B$1000,$K774,Assignments!$F$6:$F$1000,$C$4,Assignments!$E$6:$E$1000,"Active")))</f>
        <v/>
      </c>
      <c r="Q774" s="40" t="str">
        <f t="shared" si="3"/>
        <v/>
      </c>
      <c r="R774" s="40" t="str">
        <f t="shared" si="4"/>
        <v/>
      </c>
      <c r="S774" s="40" t="str">
        <f>IF($K774="","",IF($C$4="",0,COUNTIFS(Assignments!$B$6:$B$1000,$K774,Assignments!$F$6:$F$1000,$C$4,Assignments!$D$6:$D$1000,"&gt;="&amp;Config!$B$3-7,Assignments!$D$6:$D$1000,"&lt;="&amp;Config!$B$3)))</f>
        <v/>
      </c>
      <c r="T774" s="40" t="str">
        <f>IF($K774="","",IFERROR(VLOOKUP($K774,Grinders!$A$4:$N$998,8,FALSE),""))</f>
        <v/>
      </c>
      <c r="U774" s="40" t="str">
        <f>IFERROR(IF($K774="","",IF($M774="Elite",MAX(50,MIN(100,Config!$B$27*MAX(0,MIN(100,(1-IF($R774="",0,$R774))*100)) + Config!$B$28*MAX(0,MIN(100,(1-MIN(1,IF(Config!$B$30=0,1,$S774/Config!$B$30)))*100)) + Config!$B$29*MAX(0,MIN(100,MIN(1,IF($T774="",0,$T774)/Config!$B$23)*100)))),MIN(100,Config!$B$27*MAX(0,MIN(100,(1-IF($R774="",0,$R774))*100)) + Config!$B$28*MAX(0,MIN(100,(1-MIN(1,IF(Config!$B$30=0,1,$S774/Config!$B$30)))*100)) + Config!$B$29*MAX(0,MIN(100,MIN(1,IF($T774="",0,$T774)/Config!$B$23)*100))))),"")
</f>
        <v/>
      </c>
      <c r="V774" s="40" t="str">
        <f>IF(Bids!$D773="","",Bids!$D773)</f>
        <v/>
      </c>
      <c r="W774" s="40" t="str">
        <f>IF(Bids!$F773="","",Bids!$F773)</f>
        <v/>
      </c>
      <c r="X774" s="40" t="str">
        <f t="shared" si="5"/>
        <v/>
      </c>
      <c r="Y774" s="40" t="str">
        <f>IF($X774="","",IF(Config!$B$17=Config!$B$16,IF($X774&gt;=Config!$B$17,100,0),MAX(0,MIN(100,($X774-Config!$B$16)/(Config!$B$17-Config!$B$16)*100))))</f>
        <v/>
      </c>
      <c r="Z774" s="40">
        <f>IF($M774="Elite",Config!$B$21,0)</f>
        <v>0</v>
      </c>
      <c r="AA774" s="40" t="str">
        <f>IFERROR(IF(OR($W774="",$H774=""),"",IF($W774&gt;$H774,
  MAX(0, 60-(($W774-$H774)*24/Config!$B$19)*60),
  MIN(100, 60+(($H774-$W774)*24/Config!$B$20)*40)
)),"")
</f>
        <v/>
      </c>
      <c r="AB774" s="40" t="str">
        <f>IF($K774="","",IFERROR(VLOOKUP($K774,Grinders!$A$4:$N$998,10,FALSE)/5*100,""))</f>
        <v/>
      </c>
      <c r="AC774" s="40" t="str">
        <f>IF($K774="","",IFERROR(VLOOKUP($K774,Grinders!$A$4:$N$998,11,FALSE)*100,""))</f>
        <v/>
      </c>
      <c r="AD774" s="40" t="str">
        <f>IF($K774="","",IFERROR(VLOOKUP($K774,Grinders!$A$4:$N$998,12,FALSE)*100,""))</f>
        <v/>
      </c>
      <c r="AE774" s="40">
        <f>IFERROR(IFS(
    OR($C774="", $K774=""), 0,
    $F774=0, 0,
    $D774&lt;&gt;"Open", 0,
    COUNTIFS(GrinderServices!$B$4:$B$998, $K774, GrinderServices!$C$4:$C$998, $E774, GrinderServices!$E$4:$E$998, "Y")=0, 0,
    $X774&lt;Config!$B$16, 0,
    Config!$B$18=1, IF($O774&gt;=N774, 0, 1),
    TRUE, 1
), "")
</f>
        <v>0</v>
      </c>
      <c r="AF774" s="40" t="str">
        <f>IFERROR(IF($AE774=0,"",((Config!$B$6*$Y774 + Config!$B$7*$U774 + Config!$B$8*$Z774 + Config!$B$9*$AA774 + Config!$B$10*$AB774 + Config!$B$11*$AC774 - Config!$B$12*$AD774)/Config!$B$13)+$AK774+$AL774),"")</f>
        <v/>
      </c>
      <c r="AG774" s="40" t="str">
        <f t="shared" si="6"/>
        <v/>
      </c>
      <c r="AH774" s="40" t="str">
        <f t="shared" si="7"/>
        <v/>
      </c>
      <c r="AI774" s="40" t="str">
        <f t="shared" si="8"/>
        <v/>
      </c>
      <c r="AJ774" s="40" t="str">
        <f>IF($K774="","",COUNTIF(Assignments!$B$6:$B$1000,$K774))</f>
        <v/>
      </c>
      <c r="AK774" s="40" t="str">
        <f>IF($K774="","",IF(AND($AJ774=0,$O774&lt;$N774),Config!$B$43,0))</f>
        <v/>
      </c>
      <c r="AL774" s="40" t="str">
        <f>IF($K774="","",IF(AND($M774="Elite",$G774&gt;=Config!$B$41,$O774&lt;$N774),Config!$B$42,0))</f>
        <v/>
      </c>
      <c r="AM774" s="22"/>
    </row>
    <row r="775" ht="15.75" customHeight="1">
      <c r="A775" s="40" t="str">
        <f t="shared" si="1"/>
        <v/>
      </c>
      <c r="B775" s="40" t="str">
        <f>IF(Bids!$A774="","",Bids!$A774)</f>
        <v/>
      </c>
      <c r="C775" s="40" t="str">
        <f>IF(Bids!$B774="","",Bids!$B774)</f>
        <v/>
      </c>
      <c r="D775" s="40" t="str">
        <f>IF($C775="","",IFERROR(VLOOKUP($C775,Orders!$A$4:$J$998,9,FALSE),""))</f>
        <v/>
      </c>
      <c r="E775" s="40" t="str">
        <f>IF($C775="","",IFERROR(VLOOKUP($C775,Orders!$A$4:$J$998,3,FALSE),""))</f>
        <v/>
      </c>
      <c r="F775" s="40">
        <f t="shared" si="2"/>
        <v>1</v>
      </c>
      <c r="G775" s="40" t="str">
        <f>IF($C775="","",IFERROR(VLOOKUP($C775,Orders!$A$4:$J$998,4,FALSE),""))</f>
        <v/>
      </c>
      <c r="H775" s="40" t="str">
        <f>IF($C775="","",IFERROR(VLOOKUP($C775,Orders!$A$4:$J$998,5,FALSE),""))</f>
        <v/>
      </c>
      <c r="I775" s="40" t="str">
        <f>IF($C775="","",IFERROR(VLOOKUP($C775,Orders!$A$4:$J$998,6,FALSE),""))</f>
        <v/>
      </c>
      <c r="J775" s="40" t="str">
        <f>IF($C775="","",IFERROR(VLOOKUP($C775,Orders!$A$4:$J$998,7,FALSE),""))</f>
        <v/>
      </c>
      <c r="K775" s="40" t="str">
        <f>IF(Bids!$C774="","",Bids!$C774)</f>
        <v/>
      </c>
      <c r="L775" s="40" t="str">
        <f>IF($K775="","",IFERROR(VLOOKUP($K775,Grinders!$A$4:$N$998,2,FALSE),""))</f>
        <v/>
      </c>
      <c r="M775" s="40" t="str">
        <f>IF($K775="","",IFERROR(VLOOKUP($K775,Grinders!$A$4:$N$998,3,FALSE),""))</f>
        <v/>
      </c>
      <c r="N775" s="40" t="str">
        <f>IF($K775="","",IFERROR(VLOOKUP($K775,Grinders!$A$4:$N$998,4,FALSE),""))</f>
        <v/>
      </c>
      <c r="O775" s="40" t="str">
        <f>IF($K775="","",IFERROR(VLOOKUP($K775,Grinders!$A$4:$N$998,5,FALSE),""))</f>
        <v/>
      </c>
      <c r="P775" s="40" t="str">
        <f>IF($K775="","",IF($C$4="",0,COUNTIFS(Assignments!$B$6:$B$1000,$K775,Assignments!$F$6:$F$1000,$C$4,Assignments!$E$6:$E$1000,"Active")))</f>
        <v/>
      </c>
      <c r="Q775" s="40" t="str">
        <f t="shared" si="3"/>
        <v/>
      </c>
      <c r="R775" s="40" t="str">
        <f t="shared" si="4"/>
        <v/>
      </c>
      <c r="S775" s="40" t="str">
        <f>IF($K775="","",IF($C$4="",0,COUNTIFS(Assignments!$B$6:$B$1000,$K775,Assignments!$F$6:$F$1000,$C$4,Assignments!$D$6:$D$1000,"&gt;="&amp;Config!$B$3-7,Assignments!$D$6:$D$1000,"&lt;="&amp;Config!$B$3)))</f>
        <v/>
      </c>
      <c r="T775" s="40" t="str">
        <f>IF($K775="","",IFERROR(VLOOKUP($K775,Grinders!$A$4:$N$998,8,FALSE),""))</f>
        <v/>
      </c>
      <c r="U775" s="40" t="str">
        <f>IFERROR(IF($K775="","",IF($M775="Elite",MAX(50,MIN(100,Config!$B$27*MAX(0,MIN(100,(1-IF($R775="",0,$R775))*100)) + Config!$B$28*MAX(0,MIN(100,(1-MIN(1,IF(Config!$B$30=0,1,$S775/Config!$B$30)))*100)) + Config!$B$29*MAX(0,MIN(100,MIN(1,IF($T775="",0,$T775)/Config!$B$23)*100)))),MIN(100,Config!$B$27*MAX(0,MIN(100,(1-IF($R775="",0,$R775))*100)) + Config!$B$28*MAX(0,MIN(100,(1-MIN(1,IF(Config!$B$30=0,1,$S775/Config!$B$30)))*100)) + Config!$B$29*MAX(0,MIN(100,MIN(1,IF($T775="",0,$T775)/Config!$B$23)*100))))),"")
</f>
        <v/>
      </c>
      <c r="V775" s="40" t="str">
        <f>IF(Bids!$D774="","",Bids!$D774)</f>
        <v/>
      </c>
      <c r="W775" s="40" t="str">
        <f>IF(Bids!$F774="","",Bids!$F774)</f>
        <v/>
      </c>
      <c r="X775" s="40" t="str">
        <f t="shared" si="5"/>
        <v/>
      </c>
      <c r="Y775" s="40" t="str">
        <f>IF($X775="","",IF(Config!$B$17=Config!$B$16,IF($X775&gt;=Config!$B$17,100,0),MAX(0,MIN(100,($X775-Config!$B$16)/(Config!$B$17-Config!$B$16)*100))))</f>
        <v/>
      </c>
      <c r="Z775" s="40">
        <f>IF($M775="Elite",Config!$B$21,0)</f>
        <v>0</v>
      </c>
      <c r="AA775" s="40" t="str">
        <f>IFERROR(IF(OR($W775="",$H775=""),"",IF($W775&gt;$H775,
  MAX(0, 60-(($W775-$H775)*24/Config!$B$19)*60),
  MIN(100, 60+(($H775-$W775)*24/Config!$B$20)*40)
)),"")
</f>
        <v/>
      </c>
      <c r="AB775" s="40" t="str">
        <f>IF($K775="","",IFERROR(VLOOKUP($K775,Grinders!$A$4:$N$998,10,FALSE)/5*100,""))</f>
        <v/>
      </c>
      <c r="AC775" s="40" t="str">
        <f>IF($K775="","",IFERROR(VLOOKUP($K775,Grinders!$A$4:$N$998,11,FALSE)*100,""))</f>
        <v/>
      </c>
      <c r="AD775" s="40" t="str">
        <f>IF($K775="","",IFERROR(VLOOKUP($K775,Grinders!$A$4:$N$998,12,FALSE)*100,""))</f>
        <v/>
      </c>
      <c r="AE775" s="40">
        <f>IFERROR(IFS(
    OR($C775="", $K775=""), 0,
    $F775=0, 0,
    $D775&lt;&gt;"Open", 0,
    COUNTIFS(GrinderServices!$B$4:$B$998, $K775, GrinderServices!$C$4:$C$998, $E775, GrinderServices!$E$4:$E$998, "Y")=0, 0,
    $X775&lt;Config!$B$16, 0,
    Config!$B$18=1, IF($O775&gt;=N775, 0, 1),
    TRUE, 1
), "")
</f>
        <v>0</v>
      </c>
      <c r="AF775" s="40" t="str">
        <f>IFERROR(IF($AE775=0,"",((Config!$B$6*$Y775 + Config!$B$7*$U775 + Config!$B$8*$Z775 + Config!$B$9*$AA775 + Config!$B$10*$AB775 + Config!$B$11*$AC775 - Config!$B$12*$AD775)/Config!$B$13)+$AK775+$AL775),"")</f>
        <v/>
      </c>
      <c r="AG775" s="40" t="str">
        <f t="shared" si="6"/>
        <v/>
      </c>
      <c r="AH775" s="40" t="str">
        <f t="shared" si="7"/>
        <v/>
      </c>
      <c r="AI775" s="40" t="str">
        <f t="shared" si="8"/>
        <v/>
      </c>
      <c r="AJ775" s="40" t="str">
        <f>IF($K775="","",COUNTIF(Assignments!$B$6:$B$1000,$K775))</f>
        <v/>
      </c>
      <c r="AK775" s="40" t="str">
        <f>IF($K775="","",IF(AND($AJ775=0,$O775&lt;$N775),Config!$B$43,0))</f>
        <v/>
      </c>
      <c r="AL775" s="40" t="str">
        <f>IF($K775="","",IF(AND($M775="Elite",$G775&gt;=Config!$B$41,$O775&lt;$N775),Config!$B$42,0))</f>
        <v/>
      </c>
      <c r="AM775" s="22"/>
    </row>
    <row r="776" ht="15.75" customHeight="1">
      <c r="A776" s="40" t="str">
        <f t="shared" si="1"/>
        <v/>
      </c>
      <c r="B776" s="40" t="str">
        <f>IF(Bids!$A775="","",Bids!$A775)</f>
        <v/>
      </c>
      <c r="C776" s="40" t="str">
        <f>IF(Bids!$B775="","",Bids!$B775)</f>
        <v/>
      </c>
      <c r="D776" s="40" t="str">
        <f>IF($C776="","",IFERROR(VLOOKUP($C776,Orders!$A$4:$J$998,9,FALSE),""))</f>
        <v/>
      </c>
      <c r="E776" s="40" t="str">
        <f>IF($C776="","",IFERROR(VLOOKUP($C776,Orders!$A$4:$J$998,3,FALSE),""))</f>
        <v/>
      </c>
      <c r="F776" s="40">
        <f t="shared" si="2"/>
        <v>1</v>
      </c>
      <c r="G776" s="40" t="str">
        <f>IF($C776="","",IFERROR(VLOOKUP($C776,Orders!$A$4:$J$998,4,FALSE),""))</f>
        <v/>
      </c>
      <c r="H776" s="40" t="str">
        <f>IF($C776="","",IFERROR(VLOOKUP($C776,Orders!$A$4:$J$998,5,FALSE),""))</f>
        <v/>
      </c>
      <c r="I776" s="40" t="str">
        <f>IF($C776="","",IFERROR(VLOOKUP($C776,Orders!$A$4:$J$998,6,FALSE),""))</f>
        <v/>
      </c>
      <c r="J776" s="40" t="str">
        <f>IF($C776="","",IFERROR(VLOOKUP($C776,Orders!$A$4:$J$998,7,FALSE),""))</f>
        <v/>
      </c>
      <c r="K776" s="40" t="str">
        <f>IF(Bids!$C775="","",Bids!$C775)</f>
        <v/>
      </c>
      <c r="L776" s="40" t="str">
        <f>IF($K776="","",IFERROR(VLOOKUP($K776,Grinders!$A$4:$N$998,2,FALSE),""))</f>
        <v/>
      </c>
      <c r="M776" s="40" t="str">
        <f>IF($K776="","",IFERROR(VLOOKUP($K776,Grinders!$A$4:$N$998,3,FALSE),""))</f>
        <v/>
      </c>
      <c r="N776" s="40" t="str">
        <f>IF($K776="","",IFERROR(VLOOKUP($K776,Grinders!$A$4:$N$998,4,FALSE),""))</f>
        <v/>
      </c>
      <c r="O776" s="40" t="str">
        <f>IF($K776="","",IFERROR(VLOOKUP($K776,Grinders!$A$4:$N$998,5,FALSE),""))</f>
        <v/>
      </c>
      <c r="P776" s="40" t="str">
        <f>IF($K776="","",IF($C$4="",0,COUNTIFS(Assignments!$B$6:$B$1000,$K776,Assignments!$F$6:$F$1000,$C$4,Assignments!$E$6:$E$1000,"Active")))</f>
        <v/>
      </c>
      <c r="Q776" s="40" t="str">
        <f t="shared" si="3"/>
        <v/>
      </c>
      <c r="R776" s="40" t="str">
        <f t="shared" si="4"/>
        <v/>
      </c>
      <c r="S776" s="40" t="str">
        <f>IF($K776="","",IF($C$4="",0,COUNTIFS(Assignments!$B$6:$B$1000,$K776,Assignments!$F$6:$F$1000,$C$4,Assignments!$D$6:$D$1000,"&gt;="&amp;Config!$B$3-7,Assignments!$D$6:$D$1000,"&lt;="&amp;Config!$B$3)))</f>
        <v/>
      </c>
      <c r="T776" s="40" t="str">
        <f>IF($K776="","",IFERROR(VLOOKUP($K776,Grinders!$A$4:$N$998,8,FALSE),""))</f>
        <v/>
      </c>
      <c r="U776" s="40" t="str">
        <f>IFERROR(IF($K776="","",IF($M776="Elite",MAX(50,MIN(100,Config!$B$27*MAX(0,MIN(100,(1-IF($R776="",0,$R776))*100)) + Config!$B$28*MAX(0,MIN(100,(1-MIN(1,IF(Config!$B$30=0,1,$S776/Config!$B$30)))*100)) + Config!$B$29*MAX(0,MIN(100,MIN(1,IF($T776="",0,$T776)/Config!$B$23)*100)))),MIN(100,Config!$B$27*MAX(0,MIN(100,(1-IF($R776="",0,$R776))*100)) + Config!$B$28*MAX(0,MIN(100,(1-MIN(1,IF(Config!$B$30=0,1,$S776/Config!$B$30)))*100)) + Config!$B$29*MAX(0,MIN(100,MIN(1,IF($T776="",0,$T776)/Config!$B$23)*100))))),"")
</f>
        <v/>
      </c>
      <c r="V776" s="40" t="str">
        <f>IF(Bids!$D775="","",Bids!$D775)</f>
        <v/>
      </c>
      <c r="W776" s="40" t="str">
        <f>IF(Bids!$F775="","",Bids!$F775)</f>
        <v/>
      </c>
      <c r="X776" s="40" t="str">
        <f t="shared" si="5"/>
        <v/>
      </c>
      <c r="Y776" s="40" t="str">
        <f>IF($X776="","",IF(Config!$B$17=Config!$B$16,IF($X776&gt;=Config!$B$17,100,0),MAX(0,MIN(100,($X776-Config!$B$16)/(Config!$B$17-Config!$B$16)*100))))</f>
        <v/>
      </c>
      <c r="Z776" s="40">
        <f>IF($M776="Elite",Config!$B$21,0)</f>
        <v>0</v>
      </c>
      <c r="AA776" s="40" t="str">
        <f>IFERROR(IF(OR($W776="",$H776=""),"",IF($W776&gt;$H776,
  MAX(0, 60-(($W776-$H776)*24/Config!$B$19)*60),
  MIN(100, 60+(($H776-$W776)*24/Config!$B$20)*40)
)),"")
</f>
        <v/>
      </c>
      <c r="AB776" s="40" t="str">
        <f>IF($K776="","",IFERROR(VLOOKUP($K776,Grinders!$A$4:$N$998,10,FALSE)/5*100,""))</f>
        <v/>
      </c>
      <c r="AC776" s="40" t="str">
        <f>IF($K776="","",IFERROR(VLOOKUP($K776,Grinders!$A$4:$N$998,11,FALSE)*100,""))</f>
        <v/>
      </c>
      <c r="AD776" s="40" t="str">
        <f>IF($K776="","",IFERROR(VLOOKUP($K776,Grinders!$A$4:$N$998,12,FALSE)*100,""))</f>
        <v/>
      </c>
      <c r="AE776" s="40">
        <f>IFERROR(IFS(
    OR($C776="", $K776=""), 0,
    $F776=0, 0,
    $D776&lt;&gt;"Open", 0,
    COUNTIFS(GrinderServices!$B$4:$B$998, $K776, GrinderServices!$C$4:$C$998, $E776, GrinderServices!$E$4:$E$998, "Y")=0, 0,
    $X776&lt;Config!$B$16, 0,
    Config!$B$18=1, IF($O776&gt;=N776, 0, 1),
    TRUE, 1
), "")
</f>
        <v>0</v>
      </c>
      <c r="AF776" s="40" t="str">
        <f>IFERROR(IF($AE776=0,"",((Config!$B$6*$Y776 + Config!$B$7*$U776 + Config!$B$8*$Z776 + Config!$B$9*$AA776 + Config!$B$10*$AB776 + Config!$B$11*$AC776 - Config!$B$12*$AD776)/Config!$B$13)+$AK776+$AL776),"")</f>
        <v/>
      </c>
      <c r="AG776" s="40" t="str">
        <f t="shared" si="6"/>
        <v/>
      </c>
      <c r="AH776" s="40" t="str">
        <f t="shared" si="7"/>
        <v/>
      </c>
      <c r="AI776" s="40" t="str">
        <f t="shared" si="8"/>
        <v/>
      </c>
      <c r="AJ776" s="40" t="str">
        <f>IF($K776="","",COUNTIF(Assignments!$B$6:$B$1000,$K776))</f>
        <v/>
      </c>
      <c r="AK776" s="40" t="str">
        <f>IF($K776="","",IF(AND($AJ776=0,$O776&lt;$N776),Config!$B$43,0))</f>
        <v/>
      </c>
      <c r="AL776" s="40" t="str">
        <f>IF($K776="","",IF(AND($M776="Elite",$G776&gt;=Config!$B$41,$O776&lt;$N776),Config!$B$42,0))</f>
        <v/>
      </c>
      <c r="AM776" s="22"/>
    </row>
    <row r="777" ht="15.75" customHeight="1">
      <c r="A777" s="40" t="str">
        <f t="shared" si="1"/>
        <v/>
      </c>
      <c r="B777" s="40" t="str">
        <f>IF(Bids!$A776="","",Bids!$A776)</f>
        <v/>
      </c>
      <c r="C777" s="40" t="str">
        <f>IF(Bids!$B776="","",Bids!$B776)</f>
        <v/>
      </c>
      <c r="D777" s="40" t="str">
        <f>IF($C777="","",IFERROR(VLOOKUP($C777,Orders!$A$4:$J$998,9,FALSE),""))</f>
        <v/>
      </c>
      <c r="E777" s="40" t="str">
        <f>IF($C777="","",IFERROR(VLOOKUP($C777,Orders!$A$4:$J$998,3,FALSE),""))</f>
        <v/>
      </c>
      <c r="F777" s="40">
        <f t="shared" si="2"/>
        <v>1</v>
      </c>
      <c r="G777" s="40" t="str">
        <f>IF($C777="","",IFERROR(VLOOKUP($C777,Orders!$A$4:$J$998,4,FALSE),""))</f>
        <v/>
      </c>
      <c r="H777" s="40" t="str">
        <f>IF($C777="","",IFERROR(VLOOKUP($C777,Orders!$A$4:$J$998,5,FALSE),""))</f>
        <v/>
      </c>
      <c r="I777" s="40" t="str">
        <f>IF($C777="","",IFERROR(VLOOKUP($C777,Orders!$A$4:$J$998,6,FALSE),""))</f>
        <v/>
      </c>
      <c r="J777" s="40" t="str">
        <f>IF($C777="","",IFERROR(VLOOKUP($C777,Orders!$A$4:$J$998,7,FALSE),""))</f>
        <v/>
      </c>
      <c r="K777" s="40" t="str">
        <f>IF(Bids!$C776="","",Bids!$C776)</f>
        <v/>
      </c>
      <c r="L777" s="40" t="str">
        <f>IF($K777="","",IFERROR(VLOOKUP($K777,Grinders!$A$4:$N$998,2,FALSE),""))</f>
        <v/>
      </c>
      <c r="M777" s="40" t="str">
        <f>IF($K777="","",IFERROR(VLOOKUP($K777,Grinders!$A$4:$N$998,3,FALSE),""))</f>
        <v/>
      </c>
      <c r="N777" s="40" t="str">
        <f>IF($K777="","",IFERROR(VLOOKUP($K777,Grinders!$A$4:$N$998,4,FALSE),""))</f>
        <v/>
      </c>
      <c r="O777" s="40" t="str">
        <f>IF($K777="","",IFERROR(VLOOKUP($K777,Grinders!$A$4:$N$998,5,FALSE),""))</f>
        <v/>
      </c>
      <c r="P777" s="40" t="str">
        <f>IF($K777="","",IF($C$4="",0,COUNTIFS(Assignments!$B$6:$B$1000,$K777,Assignments!$F$6:$F$1000,$C$4,Assignments!$E$6:$E$1000,"Active")))</f>
        <v/>
      </c>
      <c r="Q777" s="40" t="str">
        <f t="shared" si="3"/>
        <v/>
      </c>
      <c r="R777" s="40" t="str">
        <f t="shared" si="4"/>
        <v/>
      </c>
      <c r="S777" s="40" t="str">
        <f>IF($K777="","",IF($C$4="",0,COUNTIFS(Assignments!$B$6:$B$1000,$K777,Assignments!$F$6:$F$1000,$C$4,Assignments!$D$6:$D$1000,"&gt;="&amp;Config!$B$3-7,Assignments!$D$6:$D$1000,"&lt;="&amp;Config!$B$3)))</f>
        <v/>
      </c>
      <c r="T777" s="40" t="str">
        <f>IF($K777="","",IFERROR(VLOOKUP($K777,Grinders!$A$4:$N$998,8,FALSE),""))</f>
        <v/>
      </c>
      <c r="U777" s="40" t="str">
        <f>IFERROR(IF($K777="","",IF($M777="Elite",MAX(50,MIN(100,Config!$B$27*MAX(0,MIN(100,(1-IF($R777="",0,$R777))*100)) + Config!$B$28*MAX(0,MIN(100,(1-MIN(1,IF(Config!$B$30=0,1,$S777/Config!$B$30)))*100)) + Config!$B$29*MAX(0,MIN(100,MIN(1,IF($T777="",0,$T777)/Config!$B$23)*100)))),MIN(100,Config!$B$27*MAX(0,MIN(100,(1-IF($R777="",0,$R777))*100)) + Config!$B$28*MAX(0,MIN(100,(1-MIN(1,IF(Config!$B$30=0,1,$S777/Config!$B$30)))*100)) + Config!$B$29*MAX(0,MIN(100,MIN(1,IF($T777="",0,$T777)/Config!$B$23)*100))))),"")
</f>
        <v/>
      </c>
      <c r="V777" s="40" t="str">
        <f>IF(Bids!$D776="","",Bids!$D776)</f>
        <v/>
      </c>
      <c r="W777" s="40" t="str">
        <f>IF(Bids!$F776="","",Bids!$F776)</f>
        <v/>
      </c>
      <c r="X777" s="40" t="str">
        <f t="shared" si="5"/>
        <v/>
      </c>
      <c r="Y777" s="40" t="str">
        <f>IF($X777="","",IF(Config!$B$17=Config!$B$16,IF($X777&gt;=Config!$B$17,100,0),MAX(0,MIN(100,($X777-Config!$B$16)/(Config!$B$17-Config!$B$16)*100))))</f>
        <v/>
      </c>
      <c r="Z777" s="40">
        <f>IF($M777="Elite",Config!$B$21,0)</f>
        <v>0</v>
      </c>
      <c r="AA777" s="40" t="str">
        <f>IFERROR(IF(OR($W777="",$H777=""),"",IF($W777&gt;$H777,
  MAX(0, 60-(($W777-$H777)*24/Config!$B$19)*60),
  MIN(100, 60+(($H777-$W777)*24/Config!$B$20)*40)
)),"")
</f>
        <v/>
      </c>
      <c r="AB777" s="40" t="str">
        <f>IF($K777="","",IFERROR(VLOOKUP($K777,Grinders!$A$4:$N$998,10,FALSE)/5*100,""))</f>
        <v/>
      </c>
      <c r="AC777" s="40" t="str">
        <f>IF($K777="","",IFERROR(VLOOKUP($K777,Grinders!$A$4:$N$998,11,FALSE)*100,""))</f>
        <v/>
      </c>
      <c r="AD777" s="40" t="str">
        <f>IF($K777="","",IFERROR(VLOOKUP($K777,Grinders!$A$4:$N$998,12,FALSE)*100,""))</f>
        <v/>
      </c>
      <c r="AE777" s="40">
        <f>IFERROR(IFS(
    OR($C777="", $K777=""), 0,
    $F777=0, 0,
    $D777&lt;&gt;"Open", 0,
    COUNTIFS(GrinderServices!$B$4:$B$998, $K777, GrinderServices!$C$4:$C$998, $E777, GrinderServices!$E$4:$E$998, "Y")=0, 0,
    $X777&lt;Config!$B$16, 0,
    Config!$B$18=1, IF($O777&gt;=N777, 0, 1),
    TRUE, 1
), "")
</f>
        <v>0</v>
      </c>
      <c r="AF777" s="40" t="str">
        <f>IFERROR(IF($AE777=0,"",((Config!$B$6*$Y777 + Config!$B$7*$U777 + Config!$B$8*$Z777 + Config!$B$9*$AA777 + Config!$B$10*$AB777 + Config!$B$11*$AC777 - Config!$B$12*$AD777)/Config!$B$13)+$AK777+$AL777),"")</f>
        <v/>
      </c>
      <c r="AG777" s="40" t="str">
        <f t="shared" si="6"/>
        <v/>
      </c>
      <c r="AH777" s="40" t="str">
        <f t="shared" si="7"/>
        <v/>
      </c>
      <c r="AI777" s="40" t="str">
        <f t="shared" si="8"/>
        <v/>
      </c>
      <c r="AJ777" s="40" t="str">
        <f>IF($K777="","",COUNTIF(Assignments!$B$6:$B$1000,$K777))</f>
        <v/>
      </c>
      <c r="AK777" s="40" t="str">
        <f>IF($K777="","",IF(AND($AJ777=0,$O777&lt;$N777),Config!$B$43,0))</f>
        <v/>
      </c>
      <c r="AL777" s="40" t="str">
        <f>IF($K777="","",IF(AND($M777="Elite",$G777&gt;=Config!$B$41,$O777&lt;$N777),Config!$B$42,0))</f>
        <v/>
      </c>
      <c r="AM777" s="22"/>
    </row>
    <row r="778" ht="15.75" customHeight="1">
      <c r="A778" s="40" t="str">
        <f t="shared" si="1"/>
        <v/>
      </c>
      <c r="B778" s="40" t="str">
        <f>IF(Bids!$A777="","",Bids!$A777)</f>
        <v/>
      </c>
      <c r="C778" s="40" t="str">
        <f>IF(Bids!$B777="","",Bids!$B777)</f>
        <v/>
      </c>
      <c r="D778" s="40" t="str">
        <f>IF($C778="","",IFERROR(VLOOKUP($C778,Orders!$A$4:$J$998,9,FALSE),""))</f>
        <v/>
      </c>
      <c r="E778" s="40" t="str">
        <f>IF($C778="","",IFERROR(VLOOKUP($C778,Orders!$A$4:$J$998,3,FALSE),""))</f>
        <v/>
      </c>
      <c r="F778" s="40">
        <f t="shared" si="2"/>
        <v>1</v>
      </c>
      <c r="G778" s="40" t="str">
        <f>IF($C778="","",IFERROR(VLOOKUP($C778,Orders!$A$4:$J$998,4,FALSE),""))</f>
        <v/>
      </c>
      <c r="H778" s="40" t="str">
        <f>IF($C778="","",IFERROR(VLOOKUP($C778,Orders!$A$4:$J$998,5,FALSE),""))</f>
        <v/>
      </c>
      <c r="I778" s="40" t="str">
        <f>IF($C778="","",IFERROR(VLOOKUP($C778,Orders!$A$4:$J$998,6,FALSE),""))</f>
        <v/>
      </c>
      <c r="J778" s="40" t="str">
        <f>IF($C778="","",IFERROR(VLOOKUP($C778,Orders!$A$4:$J$998,7,FALSE),""))</f>
        <v/>
      </c>
      <c r="K778" s="40" t="str">
        <f>IF(Bids!$C777="","",Bids!$C777)</f>
        <v/>
      </c>
      <c r="L778" s="40" t="str">
        <f>IF($K778="","",IFERROR(VLOOKUP($K778,Grinders!$A$4:$N$998,2,FALSE),""))</f>
        <v/>
      </c>
      <c r="M778" s="40" t="str">
        <f>IF($K778="","",IFERROR(VLOOKUP($K778,Grinders!$A$4:$N$998,3,FALSE),""))</f>
        <v/>
      </c>
      <c r="N778" s="40" t="str">
        <f>IF($K778="","",IFERROR(VLOOKUP($K778,Grinders!$A$4:$N$998,4,FALSE),""))</f>
        <v/>
      </c>
      <c r="O778" s="40" t="str">
        <f>IF($K778="","",IFERROR(VLOOKUP($K778,Grinders!$A$4:$N$998,5,FALSE),""))</f>
        <v/>
      </c>
      <c r="P778" s="40" t="str">
        <f>IF($K778="","",IF($C$4="",0,COUNTIFS(Assignments!$B$6:$B$1000,$K778,Assignments!$F$6:$F$1000,$C$4,Assignments!$E$6:$E$1000,"Active")))</f>
        <v/>
      </c>
      <c r="Q778" s="40" t="str">
        <f t="shared" si="3"/>
        <v/>
      </c>
      <c r="R778" s="40" t="str">
        <f t="shared" si="4"/>
        <v/>
      </c>
      <c r="S778" s="40" t="str">
        <f>IF($K778="","",IF($C$4="",0,COUNTIFS(Assignments!$B$6:$B$1000,$K778,Assignments!$F$6:$F$1000,$C$4,Assignments!$D$6:$D$1000,"&gt;="&amp;Config!$B$3-7,Assignments!$D$6:$D$1000,"&lt;="&amp;Config!$B$3)))</f>
        <v/>
      </c>
      <c r="T778" s="40" t="str">
        <f>IF($K778="","",IFERROR(VLOOKUP($K778,Grinders!$A$4:$N$998,8,FALSE),""))</f>
        <v/>
      </c>
      <c r="U778" s="40" t="str">
        <f>IFERROR(IF($K778="","",IF($M778="Elite",MAX(50,MIN(100,Config!$B$27*MAX(0,MIN(100,(1-IF($R778="",0,$R778))*100)) + Config!$B$28*MAX(0,MIN(100,(1-MIN(1,IF(Config!$B$30=0,1,$S778/Config!$B$30)))*100)) + Config!$B$29*MAX(0,MIN(100,MIN(1,IF($T778="",0,$T778)/Config!$B$23)*100)))),MIN(100,Config!$B$27*MAX(0,MIN(100,(1-IF($R778="",0,$R778))*100)) + Config!$B$28*MAX(0,MIN(100,(1-MIN(1,IF(Config!$B$30=0,1,$S778/Config!$B$30)))*100)) + Config!$B$29*MAX(0,MIN(100,MIN(1,IF($T778="",0,$T778)/Config!$B$23)*100))))),"")
</f>
        <v/>
      </c>
      <c r="V778" s="40" t="str">
        <f>IF(Bids!$D777="","",Bids!$D777)</f>
        <v/>
      </c>
      <c r="W778" s="40" t="str">
        <f>IF(Bids!$F777="","",Bids!$F777)</f>
        <v/>
      </c>
      <c r="X778" s="40" t="str">
        <f t="shared" si="5"/>
        <v/>
      </c>
      <c r="Y778" s="40" t="str">
        <f>IF($X778="","",IF(Config!$B$17=Config!$B$16,IF($X778&gt;=Config!$B$17,100,0),MAX(0,MIN(100,($X778-Config!$B$16)/(Config!$B$17-Config!$B$16)*100))))</f>
        <v/>
      </c>
      <c r="Z778" s="40">
        <f>IF($M778="Elite",Config!$B$21,0)</f>
        <v>0</v>
      </c>
      <c r="AA778" s="40" t="str">
        <f>IFERROR(IF(OR($W778="",$H778=""),"",IF($W778&gt;$H778,
  MAX(0, 60-(($W778-$H778)*24/Config!$B$19)*60),
  MIN(100, 60+(($H778-$W778)*24/Config!$B$20)*40)
)),"")
</f>
        <v/>
      </c>
      <c r="AB778" s="40" t="str">
        <f>IF($K778="","",IFERROR(VLOOKUP($K778,Grinders!$A$4:$N$998,10,FALSE)/5*100,""))</f>
        <v/>
      </c>
      <c r="AC778" s="40" t="str">
        <f>IF($K778="","",IFERROR(VLOOKUP($K778,Grinders!$A$4:$N$998,11,FALSE)*100,""))</f>
        <v/>
      </c>
      <c r="AD778" s="40" t="str">
        <f>IF($K778="","",IFERROR(VLOOKUP($K778,Grinders!$A$4:$N$998,12,FALSE)*100,""))</f>
        <v/>
      </c>
      <c r="AE778" s="40">
        <f>IFERROR(IFS(
    OR($C778="", $K778=""), 0,
    $F778=0, 0,
    $D778&lt;&gt;"Open", 0,
    COUNTIFS(GrinderServices!$B$4:$B$998, $K778, GrinderServices!$C$4:$C$998, $E778, GrinderServices!$E$4:$E$998, "Y")=0, 0,
    $X778&lt;Config!$B$16, 0,
    Config!$B$18=1, IF($O778&gt;=N778, 0, 1),
    TRUE, 1
), "")
</f>
        <v>0</v>
      </c>
      <c r="AF778" s="40" t="str">
        <f>IFERROR(IF($AE778=0,"",((Config!$B$6*$Y778 + Config!$B$7*$U778 + Config!$B$8*$Z778 + Config!$B$9*$AA778 + Config!$B$10*$AB778 + Config!$B$11*$AC778 - Config!$B$12*$AD778)/Config!$B$13)+$AK778+$AL778),"")</f>
        <v/>
      </c>
      <c r="AG778" s="40" t="str">
        <f t="shared" si="6"/>
        <v/>
      </c>
      <c r="AH778" s="40" t="str">
        <f t="shared" si="7"/>
        <v/>
      </c>
      <c r="AI778" s="40" t="str">
        <f t="shared" si="8"/>
        <v/>
      </c>
      <c r="AJ778" s="40" t="str">
        <f>IF($K778="","",COUNTIF(Assignments!$B$6:$B$1000,$K778))</f>
        <v/>
      </c>
      <c r="AK778" s="40" t="str">
        <f>IF($K778="","",IF(AND($AJ778=0,$O778&lt;$N778),Config!$B$43,0))</f>
        <v/>
      </c>
      <c r="AL778" s="40" t="str">
        <f>IF($K778="","",IF(AND($M778="Elite",$G778&gt;=Config!$B$41,$O778&lt;$N778),Config!$B$42,0))</f>
        <v/>
      </c>
      <c r="AM778" s="22"/>
    </row>
    <row r="779" ht="15.75" customHeight="1">
      <c r="A779" s="40" t="str">
        <f t="shared" si="1"/>
        <v/>
      </c>
      <c r="B779" s="40" t="str">
        <f>IF(Bids!$A778="","",Bids!$A778)</f>
        <v/>
      </c>
      <c r="C779" s="40" t="str">
        <f>IF(Bids!$B778="","",Bids!$B778)</f>
        <v/>
      </c>
      <c r="D779" s="40" t="str">
        <f>IF($C779="","",IFERROR(VLOOKUP($C779,Orders!$A$4:$J$998,9,FALSE),""))</f>
        <v/>
      </c>
      <c r="E779" s="40" t="str">
        <f>IF($C779="","",IFERROR(VLOOKUP($C779,Orders!$A$4:$J$998,3,FALSE),""))</f>
        <v/>
      </c>
      <c r="F779" s="40">
        <f t="shared" si="2"/>
        <v>1</v>
      </c>
      <c r="G779" s="40" t="str">
        <f>IF($C779="","",IFERROR(VLOOKUP($C779,Orders!$A$4:$J$998,4,FALSE),""))</f>
        <v/>
      </c>
      <c r="H779" s="40" t="str">
        <f>IF($C779="","",IFERROR(VLOOKUP($C779,Orders!$A$4:$J$998,5,FALSE),""))</f>
        <v/>
      </c>
      <c r="I779" s="40" t="str">
        <f>IF($C779="","",IFERROR(VLOOKUP($C779,Orders!$A$4:$J$998,6,FALSE),""))</f>
        <v/>
      </c>
      <c r="J779" s="40" t="str">
        <f>IF($C779="","",IFERROR(VLOOKUP($C779,Orders!$A$4:$J$998,7,FALSE),""))</f>
        <v/>
      </c>
      <c r="K779" s="40" t="str">
        <f>IF(Bids!$C778="","",Bids!$C778)</f>
        <v/>
      </c>
      <c r="L779" s="40" t="str">
        <f>IF($K779="","",IFERROR(VLOOKUP($K779,Grinders!$A$4:$N$998,2,FALSE),""))</f>
        <v/>
      </c>
      <c r="M779" s="40" t="str">
        <f>IF($K779="","",IFERROR(VLOOKUP($K779,Grinders!$A$4:$N$998,3,FALSE),""))</f>
        <v/>
      </c>
      <c r="N779" s="40" t="str">
        <f>IF($K779="","",IFERROR(VLOOKUP($K779,Grinders!$A$4:$N$998,4,FALSE),""))</f>
        <v/>
      </c>
      <c r="O779" s="40" t="str">
        <f>IF($K779="","",IFERROR(VLOOKUP($K779,Grinders!$A$4:$N$998,5,FALSE),""))</f>
        <v/>
      </c>
      <c r="P779" s="40" t="str">
        <f>IF($K779="","",IF($C$4="",0,COUNTIFS(Assignments!$B$6:$B$1000,$K779,Assignments!$F$6:$F$1000,$C$4,Assignments!$E$6:$E$1000,"Active")))</f>
        <v/>
      </c>
      <c r="Q779" s="40" t="str">
        <f t="shared" si="3"/>
        <v/>
      </c>
      <c r="R779" s="40" t="str">
        <f t="shared" si="4"/>
        <v/>
      </c>
      <c r="S779" s="40" t="str">
        <f>IF($K779="","",IF($C$4="",0,COUNTIFS(Assignments!$B$6:$B$1000,$K779,Assignments!$F$6:$F$1000,$C$4,Assignments!$D$6:$D$1000,"&gt;="&amp;Config!$B$3-7,Assignments!$D$6:$D$1000,"&lt;="&amp;Config!$B$3)))</f>
        <v/>
      </c>
      <c r="T779" s="40" t="str">
        <f>IF($K779="","",IFERROR(VLOOKUP($K779,Grinders!$A$4:$N$998,8,FALSE),""))</f>
        <v/>
      </c>
      <c r="U779" s="40" t="str">
        <f>IFERROR(IF($K779="","",IF($M779="Elite",MAX(50,MIN(100,Config!$B$27*MAX(0,MIN(100,(1-IF($R779="",0,$R779))*100)) + Config!$B$28*MAX(0,MIN(100,(1-MIN(1,IF(Config!$B$30=0,1,$S779/Config!$B$30)))*100)) + Config!$B$29*MAX(0,MIN(100,MIN(1,IF($T779="",0,$T779)/Config!$B$23)*100)))),MIN(100,Config!$B$27*MAX(0,MIN(100,(1-IF($R779="",0,$R779))*100)) + Config!$B$28*MAX(0,MIN(100,(1-MIN(1,IF(Config!$B$30=0,1,$S779/Config!$B$30)))*100)) + Config!$B$29*MAX(0,MIN(100,MIN(1,IF($T779="",0,$T779)/Config!$B$23)*100))))),"")
</f>
        <v/>
      </c>
      <c r="V779" s="40" t="str">
        <f>IF(Bids!$D778="","",Bids!$D778)</f>
        <v/>
      </c>
      <c r="W779" s="40" t="str">
        <f>IF(Bids!$F778="","",Bids!$F778)</f>
        <v/>
      </c>
      <c r="X779" s="40" t="str">
        <f t="shared" si="5"/>
        <v/>
      </c>
      <c r="Y779" s="40" t="str">
        <f>IF($X779="","",IF(Config!$B$17=Config!$B$16,IF($X779&gt;=Config!$B$17,100,0),MAX(0,MIN(100,($X779-Config!$B$16)/(Config!$B$17-Config!$B$16)*100))))</f>
        <v/>
      </c>
      <c r="Z779" s="40">
        <f>IF($M779="Elite",Config!$B$21,0)</f>
        <v>0</v>
      </c>
      <c r="AA779" s="40" t="str">
        <f>IFERROR(IF(OR($W779="",$H779=""),"",IF($W779&gt;$H779,
  MAX(0, 60-(($W779-$H779)*24/Config!$B$19)*60),
  MIN(100, 60+(($H779-$W779)*24/Config!$B$20)*40)
)),"")
</f>
        <v/>
      </c>
      <c r="AB779" s="40" t="str">
        <f>IF($K779="","",IFERROR(VLOOKUP($K779,Grinders!$A$4:$N$998,10,FALSE)/5*100,""))</f>
        <v/>
      </c>
      <c r="AC779" s="40" t="str">
        <f>IF($K779="","",IFERROR(VLOOKUP($K779,Grinders!$A$4:$N$998,11,FALSE)*100,""))</f>
        <v/>
      </c>
      <c r="AD779" s="40" t="str">
        <f>IF($K779="","",IFERROR(VLOOKUP($K779,Grinders!$A$4:$N$998,12,FALSE)*100,""))</f>
        <v/>
      </c>
      <c r="AE779" s="40">
        <f>IFERROR(IFS(
    OR($C779="", $K779=""), 0,
    $F779=0, 0,
    $D779&lt;&gt;"Open", 0,
    COUNTIFS(GrinderServices!$B$4:$B$998, $K779, GrinderServices!$C$4:$C$998, $E779, GrinderServices!$E$4:$E$998, "Y")=0, 0,
    $X779&lt;Config!$B$16, 0,
    Config!$B$18=1, IF($O779&gt;=N779, 0, 1),
    TRUE, 1
), "")
</f>
        <v>0</v>
      </c>
      <c r="AF779" s="40" t="str">
        <f>IFERROR(IF($AE779=0,"",((Config!$B$6*$Y779 + Config!$B$7*$U779 + Config!$B$8*$Z779 + Config!$B$9*$AA779 + Config!$B$10*$AB779 + Config!$B$11*$AC779 - Config!$B$12*$AD779)/Config!$B$13)+$AK779+$AL779),"")</f>
        <v/>
      </c>
      <c r="AG779" s="40" t="str">
        <f t="shared" si="6"/>
        <v/>
      </c>
      <c r="AH779" s="40" t="str">
        <f t="shared" si="7"/>
        <v/>
      </c>
      <c r="AI779" s="40" t="str">
        <f t="shared" si="8"/>
        <v/>
      </c>
      <c r="AJ779" s="40" t="str">
        <f>IF($K779="","",COUNTIF(Assignments!$B$6:$B$1000,$K779))</f>
        <v/>
      </c>
      <c r="AK779" s="40" t="str">
        <f>IF($K779="","",IF(AND($AJ779=0,$O779&lt;$N779),Config!$B$43,0))</f>
        <v/>
      </c>
      <c r="AL779" s="40" t="str">
        <f>IF($K779="","",IF(AND($M779="Elite",$G779&gt;=Config!$B$41,$O779&lt;$N779),Config!$B$42,0))</f>
        <v/>
      </c>
      <c r="AM779" s="22"/>
    </row>
    <row r="780" ht="15.75" customHeight="1">
      <c r="A780" s="40" t="str">
        <f t="shared" si="1"/>
        <v/>
      </c>
      <c r="B780" s="40" t="str">
        <f>IF(Bids!$A779="","",Bids!$A779)</f>
        <v/>
      </c>
      <c r="C780" s="40" t="str">
        <f>IF(Bids!$B779="","",Bids!$B779)</f>
        <v/>
      </c>
      <c r="D780" s="40" t="str">
        <f>IF($C780="","",IFERROR(VLOOKUP($C780,Orders!$A$4:$J$998,9,FALSE),""))</f>
        <v/>
      </c>
      <c r="E780" s="40" t="str">
        <f>IF($C780="","",IFERROR(VLOOKUP($C780,Orders!$A$4:$J$998,3,FALSE),""))</f>
        <v/>
      </c>
      <c r="F780" s="40">
        <f t="shared" si="2"/>
        <v>1</v>
      </c>
      <c r="G780" s="40" t="str">
        <f>IF($C780="","",IFERROR(VLOOKUP($C780,Orders!$A$4:$J$998,4,FALSE),""))</f>
        <v/>
      </c>
      <c r="H780" s="40" t="str">
        <f>IF($C780="","",IFERROR(VLOOKUP($C780,Orders!$A$4:$J$998,5,FALSE),""))</f>
        <v/>
      </c>
      <c r="I780" s="40" t="str">
        <f>IF($C780="","",IFERROR(VLOOKUP($C780,Orders!$A$4:$J$998,6,FALSE),""))</f>
        <v/>
      </c>
      <c r="J780" s="40" t="str">
        <f>IF($C780="","",IFERROR(VLOOKUP($C780,Orders!$A$4:$J$998,7,FALSE),""))</f>
        <v/>
      </c>
      <c r="K780" s="40" t="str">
        <f>IF(Bids!$C779="","",Bids!$C779)</f>
        <v/>
      </c>
      <c r="L780" s="40" t="str">
        <f>IF($K780="","",IFERROR(VLOOKUP($K780,Grinders!$A$4:$N$998,2,FALSE),""))</f>
        <v/>
      </c>
      <c r="M780" s="40" t="str">
        <f>IF($K780="","",IFERROR(VLOOKUP($K780,Grinders!$A$4:$N$998,3,FALSE),""))</f>
        <v/>
      </c>
      <c r="N780" s="40" t="str">
        <f>IF($K780="","",IFERROR(VLOOKUP($K780,Grinders!$A$4:$N$998,4,FALSE),""))</f>
        <v/>
      </c>
      <c r="O780" s="40" t="str">
        <f>IF($K780="","",IFERROR(VLOOKUP($K780,Grinders!$A$4:$N$998,5,FALSE),""))</f>
        <v/>
      </c>
      <c r="P780" s="40" t="str">
        <f>IF($K780="","",IF($C$4="",0,COUNTIFS(Assignments!$B$6:$B$1000,$K780,Assignments!$F$6:$F$1000,$C$4,Assignments!$E$6:$E$1000,"Active")))</f>
        <v/>
      </c>
      <c r="Q780" s="40" t="str">
        <f t="shared" si="3"/>
        <v/>
      </c>
      <c r="R780" s="40" t="str">
        <f t="shared" si="4"/>
        <v/>
      </c>
      <c r="S780" s="40" t="str">
        <f>IF($K780="","",IF($C$4="",0,COUNTIFS(Assignments!$B$6:$B$1000,$K780,Assignments!$F$6:$F$1000,$C$4,Assignments!$D$6:$D$1000,"&gt;="&amp;Config!$B$3-7,Assignments!$D$6:$D$1000,"&lt;="&amp;Config!$B$3)))</f>
        <v/>
      </c>
      <c r="T780" s="40" t="str">
        <f>IF($K780="","",IFERROR(VLOOKUP($K780,Grinders!$A$4:$N$998,8,FALSE),""))</f>
        <v/>
      </c>
      <c r="U780" s="40" t="str">
        <f>IFERROR(IF($K780="","",IF($M780="Elite",MAX(50,MIN(100,Config!$B$27*MAX(0,MIN(100,(1-IF($R780="",0,$R780))*100)) + Config!$B$28*MAX(0,MIN(100,(1-MIN(1,IF(Config!$B$30=0,1,$S780/Config!$B$30)))*100)) + Config!$B$29*MAX(0,MIN(100,MIN(1,IF($T780="",0,$T780)/Config!$B$23)*100)))),MIN(100,Config!$B$27*MAX(0,MIN(100,(1-IF($R780="",0,$R780))*100)) + Config!$B$28*MAX(0,MIN(100,(1-MIN(1,IF(Config!$B$30=0,1,$S780/Config!$B$30)))*100)) + Config!$B$29*MAX(0,MIN(100,MIN(1,IF($T780="",0,$T780)/Config!$B$23)*100))))),"")
</f>
        <v/>
      </c>
      <c r="V780" s="40" t="str">
        <f>IF(Bids!$D779="","",Bids!$D779)</f>
        <v/>
      </c>
      <c r="W780" s="40" t="str">
        <f>IF(Bids!$F779="","",Bids!$F779)</f>
        <v/>
      </c>
      <c r="X780" s="40" t="str">
        <f t="shared" si="5"/>
        <v/>
      </c>
      <c r="Y780" s="40" t="str">
        <f>IF($X780="","",IF(Config!$B$17=Config!$B$16,IF($X780&gt;=Config!$B$17,100,0),MAX(0,MIN(100,($X780-Config!$B$16)/(Config!$B$17-Config!$B$16)*100))))</f>
        <v/>
      </c>
      <c r="Z780" s="40">
        <f>IF($M780="Elite",Config!$B$21,0)</f>
        <v>0</v>
      </c>
      <c r="AA780" s="40" t="str">
        <f>IFERROR(IF(OR($W780="",$H780=""),"",IF($W780&gt;$H780,
  MAX(0, 60-(($W780-$H780)*24/Config!$B$19)*60),
  MIN(100, 60+(($H780-$W780)*24/Config!$B$20)*40)
)),"")
</f>
        <v/>
      </c>
      <c r="AB780" s="40" t="str">
        <f>IF($K780="","",IFERROR(VLOOKUP($K780,Grinders!$A$4:$N$998,10,FALSE)/5*100,""))</f>
        <v/>
      </c>
      <c r="AC780" s="40" t="str">
        <f>IF($K780="","",IFERROR(VLOOKUP($K780,Grinders!$A$4:$N$998,11,FALSE)*100,""))</f>
        <v/>
      </c>
      <c r="AD780" s="40" t="str">
        <f>IF($K780="","",IFERROR(VLOOKUP($K780,Grinders!$A$4:$N$998,12,FALSE)*100,""))</f>
        <v/>
      </c>
      <c r="AE780" s="40">
        <f>IFERROR(IFS(
    OR($C780="", $K780=""), 0,
    $F780=0, 0,
    $D780&lt;&gt;"Open", 0,
    COUNTIFS(GrinderServices!$B$4:$B$998, $K780, GrinderServices!$C$4:$C$998, $E780, GrinderServices!$E$4:$E$998, "Y")=0, 0,
    $X780&lt;Config!$B$16, 0,
    Config!$B$18=1, IF($O780&gt;=N780, 0, 1),
    TRUE, 1
), "")
</f>
        <v>0</v>
      </c>
      <c r="AF780" s="40" t="str">
        <f>IFERROR(IF($AE780=0,"",((Config!$B$6*$Y780 + Config!$B$7*$U780 + Config!$B$8*$Z780 + Config!$B$9*$AA780 + Config!$B$10*$AB780 + Config!$B$11*$AC780 - Config!$B$12*$AD780)/Config!$B$13)+$AK780+$AL780),"")</f>
        <v/>
      </c>
      <c r="AG780" s="40" t="str">
        <f t="shared" si="6"/>
        <v/>
      </c>
      <c r="AH780" s="40" t="str">
        <f t="shared" si="7"/>
        <v/>
      </c>
      <c r="AI780" s="40" t="str">
        <f t="shared" si="8"/>
        <v/>
      </c>
      <c r="AJ780" s="40" t="str">
        <f>IF($K780="","",COUNTIF(Assignments!$B$6:$B$1000,$K780))</f>
        <v/>
      </c>
      <c r="AK780" s="40" t="str">
        <f>IF($K780="","",IF(AND($AJ780=0,$O780&lt;$N780),Config!$B$43,0))</f>
        <v/>
      </c>
      <c r="AL780" s="40" t="str">
        <f>IF($K780="","",IF(AND($M780="Elite",$G780&gt;=Config!$B$41,$O780&lt;$N780),Config!$B$42,0))</f>
        <v/>
      </c>
      <c r="AM780" s="22"/>
    </row>
    <row r="781" ht="15.75" customHeight="1">
      <c r="A781" s="40" t="str">
        <f t="shared" si="1"/>
        <v/>
      </c>
      <c r="B781" s="40" t="str">
        <f>IF(Bids!$A780="","",Bids!$A780)</f>
        <v/>
      </c>
      <c r="C781" s="40" t="str">
        <f>IF(Bids!$B780="","",Bids!$B780)</f>
        <v/>
      </c>
      <c r="D781" s="40" t="str">
        <f>IF($C781="","",IFERROR(VLOOKUP($C781,Orders!$A$4:$J$998,9,FALSE),""))</f>
        <v/>
      </c>
      <c r="E781" s="40" t="str">
        <f>IF($C781="","",IFERROR(VLOOKUP($C781,Orders!$A$4:$J$998,3,FALSE),""))</f>
        <v/>
      </c>
      <c r="F781" s="40">
        <f t="shared" si="2"/>
        <v>1</v>
      </c>
      <c r="G781" s="40" t="str">
        <f>IF($C781="","",IFERROR(VLOOKUP($C781,Orders!$A$4:$J$998,4,FALSE),""))</f>
        <v/>
      </c>
      <c r="H781" s="40" t="str">
        <f>IF($C781="","",IFERROR(VLOOKUP($C781,Orders!$A$4:$J$998,5,FALSE),""))</f>
        <v/>
      </c>
      <c r="I781" s="40" t="str">
        <f>IF($C781="","",IFERROR(VLOOKUP($C781,Orders!$A$4:$J$998,6,FALSE),""))</f>
        <v/>
      </c>
      <c r="J781" s="40" t="str">
        <f>IF($C781="","",IFERROR(VLOOKUP($C781,Orders!$A$4:$J$998,7,FALSE),""))</f>
        <v/>
      </c>
      <c r="K781" s="40" t="str">
        <f>IF(Bids!$C780="","",Bids!$C780)</f>
        <v/>
      </c>
      <c r="L781" s="40" t="str">
        <f>IF($K781="","",IFERROR(VLOOKUP($K781,Grinders!$A$4:$N$998,2,FALSE),""))</f>
        <v/>
      </c>
      <c r="M781" s="40" t="str">
        <f>IF($K781="","",IFERROR(VLOOKUP($K781,Grinders!$A$4:$N$998,3,FALSE),""))</f>
        <v/>
      </c>
      <c r="N781" s="40" t="str">
        <f>IF($K781="","",IFERROR(VLOOKUP($K781,Grinders!$A$4:$N$998,4,FALSE),""))</f>
        <v/>
      </c>
      <c r="O781" s="40" t="str">
        <f>IF($K781="","",IFERROR(VLOOKUP($K781,Grinders!$A$4:$N$998,5,FALSE),""))</f>
        <v/>
      </c>
      <c r="P781" s="40" t="str">
        <f>IF($K781="","",IF($C$4="",0,COUNTIFS(Assignments!$B$6:$B$1000,$K781,Assignments!$F$6:$F$1000,$C$4,Assignments!$E$6:$E$1000,"Active")))</f>
        <v/>
      </c>
      <c r="Q781" s="40" t="str">
        <f t="shared" si="3"/>
        <v/>
      </c>
      <c r="R781" s="40" t="str">
        <f t="shared" si="4"/>
        <v/>
      </c>
      <c r="S781" s="40" t="str">
        <f>IF($K781="","",IF($C$4="",0,COUNTIFS(Assignments!$B$6:$B$1000,$K781,Assignments!$F$6:$F$1000,$C$4,Assignments!$D$6:$D$1000,"&gt;="&amp;Config!$B$3-7,Assignments!$D$6:$D$1000,"&lt;="&amp;Config!$B$3)))</f>
        <v/>
      </c>
      <c r="T781" s="40" t="str">
        <f>IF($K781="","",IFERROR(VLOOKUP($K781,Grinders!$A$4:$N$998,8,FALSE),""))</f>
        <v/>
      </c>
      <c r="U781" s="40" t="str">
        <f>IFERROR(IF($K781="","",IF($M781="Elite",MAX(50,MIN(100,Config!$B$27*MAX(0,MIN(100,(1-IF($R781="",0,$R781))*100)) + Config!$B$28*MAX(0,MIN(100,(1-MIN(1,IF(Config!$B$30=0,1,$S781/Config!$B$30)))*100)) + Config!$B$29*MAX(0,MIN(100,MIN(1,IF($T781="",0,$T781)/Config!$B$23)*100)))),MIN(100,Config!$B$27*MAX(0,MIN(100,(1-IF($R781="",0,$R781))*100)) + Config!$B$28*MAX(0,MIN(100,(1-MIN(1,IF(Config!$B$30=0,1,$S781/Config!$B$30)))*100)) + Config!$B$29*MAX(0,MIN(100,MIN(1,IF($T781="",0,$T781)/Config!$B$23)*100))))),"")
</f>
        <v/>
      </c>
      <c r="V781" s="40" t="str">
        <f>IF(Bids!$D780="","",Bids!$D780)</f>
        <v/>
      </c>
      <c r="W781" s="40" t="str">
        <f>IF(Bids!$F780="","",Bids!$F780)</f>
        <v/>
      </c>
      <c r="X781" s="40" t="str">
        <f t="shared" si="5"/>
        <v/>
      </c>
      <c r="Y781" s="40" t="str">
        <f>IF($X781="","",IF(Config!$B$17=Config!$B$16,IF($X781&gt;=Config!$B$17,100,0),MAX(0,MIN(100,($X781-Config!$B$16)/(Config!$B$17-Config!$B$16)*100))))</f>
        <v/>
      </c>
      <c r="Z781" s="40">
        <f>IF($M781="Elite",Config!$B$21,0)</f>
        <v>0</v>
      </c>
      <c r="AA781" s="40" t="str">
        <f>IFERROR(IF(OR($W781="",$H781=""),"",IF($W781&gt;$H781,
  MAX(0, 60-(($W781-$H781)*24/Config!$B$19)*60),
  MIN(100, 60+(($H781-$W781)*24/Config!$B$20)*40)
)),"")
</f>
        <v/>
      </c>
      <c r="AB781" s="40" t="str">
        <f>IF($K781="","",IFERROR(VLOOKUP($K781,Grinders!$A$4:$N$998,10,FALSE)/5*100,""))</f>
        <v/>
      </c>
      <c r="AC781" s="40" t="str">
        <f>IF($K781="","",IFERROR(VLOOKUP($K781,Grinders!$A$4:$N$998,11,FALSE)*100,""))</f>
        <v/>
      </c>
      <c r="AD781" s="40" t="str">
        <f>IF($K781="","",IFERROR(VLOOKUP($K781,Grinders!$A$4:$N$998,12,FALSE)*100,""))</f>
        <v/>
      </c>
      <c r="AE781" s="40">
        <f>IFERROR(IFS(
    OR($C781="", $K781=""), 0,
    $F781=0, 0,
    $D781&lt;&gt;"Open", 0,
    COUNTIFS(GrinderServices!$B$4:$B$998, $K781, GrinderServices!$C$4:$C$998, $E781, GrinderServices!$E$4:$E$998, "Y")=0, 0,
    $X781&lt;Config!$B$16, 0,
    Config!$B$18=1, IF($O781&gt;=N781, 0, 1),
    TRUE, 1
), "")
</f>
        <v>0</v>
      </c>
      <c r="AF781" s="40" t="str">
        <f>IFERROR(IF($AE781=0,"",((Config!$B$6*$Y781 + Config!$B$7*$U781 + Config!$B$8*$Z781 + Config!$B$9*$AA781 + Config!$B$10*$AB781 + Config!$B$11*$AC781 - Config!$B$12*$AD781)/Config!$B$13)+$AK781+$AL781),"")</f>
        <v/>
      </c>
      <c r="AG781" s="40" t="str">
        <f t="shared" si="6"/>
        <v/>
      </c>
      <c r="AH781" s="40" t="str">
        <f t="shared" si="7"/>
        <v/>
      </c>
      <c r="AI781" s="40" t="str">
        <f t="shared" si="8"/>
        <v/>
      </c>
      <c r="AJ781" s="40" t="str">
        <f>IF($K781="","",COUNTIF(Assignments!$B$6:$B$1000,$K781))</f>
        <v/>
      </c>
      <c r="AK781" s="40" t="str">
        <f>IF($K781="","",IF(AND($AJ781=0,$O781&lt;$N781),Config!$B$43,0))</f>
        <v/>
      </c>
      <c r="AL781" s="40" t="str">
        <f>IF($K781="","",IF(AND($M781="Elite",$G781&gt;=Config!$B$41,$O781&lt;$N781),Config!$B$42,0))</f>
        <v/>
      </c>
      <c r="AM781" s="22"/>
    </row>
    <row r="782" ht="15.75" customHeight="1">
      <c r="A782" s="40" t="str">
        <f t="shared" si="1"/>
        <v/>
      </c>
      <c r="B782" s="40" t="str">
        <f>IF(Bids!$A781="","",Bids!$A781)</f>
        <v/>
      </c>
      <c r="C782" s="40" t="str">
        <f>IF(Bids!$B781="","",Bids!$B781)</f>
        <v/>
      </c>
      <c r="D782" s="40" t="str">
        <f>IF($C782="","",IFERROR(VLOOKUP($C782,Orders!$A$4:$J$998,9,FALSE),""))</f>
        <v/>
      </c>
      <c r="E782" s="40" t="str">
        <f>IF($C782="","",IFERROR(VLOOKUP($C782,Orders!$A$4:$J$998,3,FALSE),""))</f>
        <v/>
      </c>
      <c r="F782" s="40">
        <f t="shared" si="2"/>
        <v>1</v>
      </c>
      <c r="G782" s="40" t="str">
        <f>IF($C782="","",IFERROR(VLOOKUP($C782,Orders!$A$4:$J$998,4,FALSE),""))</f>
        <v/>
      </c>
      <c r="H782" s="40" t="str">
        <f>IF($C782="","",IFERROR(VLOOKUP($C782,Orders!$A$4:$J$998,5,FALSE),""))</f>
        <v/>
      </c>
      <c r="I782" s="40" t="str">
        <f>IF($C782="","",IFERROR(VLOOKUP($C782,Orders!$A$4:$J$998,6,FALSE),""))</f>
        <v/>
      </c>
      <c r="J782" s="40" t="str">
        <f>IF($C782="","",IFERROR(VLOOKUP($C782,Orders!$A$4:$J$998,7,FALSE),""))</f>
        <v/>
      </c>
      <c r="K782" s="40" t="str">
        <f>IF(Bids!$C781="","",Bids!$C781)</f>
        <v/>
      </c>
      <c r="L782" s="40" t="str">
        <f>IF($K782="","",IFERROR(VLOOKUP($K782,Grinders!$A$4:$N$998,2,FALSE),""))</f>
        <v/>
      </c>
      <c r="M782" s="40" t="str">
        <f>IF($K782="","",IFERROR(VLOOKUP($K782,Grinders!$A$4:$N$998,3,FALSE),""))</f>
        <v/>
      </c>
      <c r="N782" s="40" t="str">
        <f>IF($K782="","",IFERROR(VLOOKUP($K782,Grinders!$A$4:$N$998,4,FALSE),""))</f>
        <v/>
      </c>
      <c r="O782" s="40" t="str">
        <f>IF($K782="","",IFERROR(VLOOKUP($K782,Grinders!$A$4:$N$998,5,FALSE),""))</f>
        <v/>
      </c>
      <c r="P782" s="40" t="str">
        <f>IF($K782="","",IF($C$4="",0,COUNTIFS(Assignments!$B$6:$B$1000,$K782,Assignments!$F$6:$F$1000,$C$4,Assignments!$E$6:$E$1000,"Active")))</f>
        <v/>
      </c>
      <c r="Q782" s="40" t="str">
        <f t="shared" si="3"/>
        <v/>
      </c>
      <c r="R782" s="40" t="str">
        <f t="shared" si="4"/>
        <v/>
      </c>
      <c r="S782" s="40" t="str">
        <f>IF($K782="","",IF($C$4="",0,COUNTIFS(Assignments!$B$6:$B$1000,$K782,Assignments!$F$6:$F$1000,$C$4,Assignments!$D$6:$D$1000,"&gt;="&amp;Config!$B$3-7,Assignments!$D$6:$D$1000,"&lt;="&amp;Config!$B$3)))</f>
        <v/>
      </c>
      <c r="T782" s="40" t="str">
        <f>IF($K782="","",IFERROR(VLOOKUP($K782,Grinders!$A$4:$N$998,8,FALSE),""))</f>
        <v/>
      </c>
      <c r="U782" s="40" t="str">
        <f>IFERROR(IF($K782="","",IF($M782="Elite",MAX(50,MIN(100,Config!$B$27*MAX(0,MIN(100,(1-IF($R782="",0,$R782))*100)) + Config!$B$28*MAX(0,MIN(100,(1-MIN(1,IF(Config!$B$30=0,1,$S782/Config!$B$30)))*100)) + Config!$B$29*MAX(0,MIN(100,MIN(1,IF($T782="",0,$T782)/Config!$B$23)*100)))),MIN(100,Config!$B$27*MAX(0,MIN(100,(1-IF($R782="",0,$R782))*100)) + Config!$B$28*MAX(0,MIN(100,(1-MIN(1,IF(Config!$B$30=0,1,$S782/Config!$B$30)))*100)) + Config!$B$29*MAX(0,MIN(100,MIN(1,IF($T782="",0,$T782)/Config!$B$23)*100))))),"")
</f>
        <v/>
      </c>
      <c r="V782" s="40" t="str">
        <f>IF(Bids!$D781="","",Bids!$D781)</f>
        <v/>
      </c>
      <c r="W782" s="40" t="str">
        <f>IF(Bids!$F781="","",Bids!$F781)</f>
        <v/>
      </c>
      <c r="X782" s="40" t="str">
        <f t="shared" si="5"/>
        <v/>
      </c>
      <c r="Y782" s="40" t="str">
        <f>IF($X782="","",IF(Config!$B$17=Config!$B$16,IF($X782&gt;=Config!$B$17,100,0),MAX(0,MIN(100,($X782-Config!$B$16)/(Config!$B$17-Config!$B$16)*100))))</f>
        <v/>
      </c>
      <c r="Z782" s="40">
        <f>IF($M782="Elite",Config!$B$21,0)</f>
        <v>0</v>
      </c>
      <c r="AA782" s="40" t="str">
        <f>IFERROR(IF(OR($W782="",$H782=""),"",IF($W782&gt;$H782,
  MAX(0, 60-(($W782-$H782)*24/Config!$B$19)*60),
  MIN(100, 60+(($H782-$W782)*24/Config!$B$20)*40)
)),"")
</f>
        <v/>
      </c>
      <c r="AB782" s="40" t="str">
        <f>IF($K782="","",IFERROR(VLOOKUP($K782,Grinders!$A$4:$N$998,10,FALSE)/5*100,""))</f>
        <v/>
      </c>
      <c r="AC782" s="40" t="str">
        <f>IF($K782="","",IFERROR(VLOOKUP($K782,Grinders!$A$4:$N$998,11,FALSE)*100,""))</f>
        <v/>
      </c>
      <c r="AD782" s="40" t="str">
        <f>IF($K782="","",IFERROR(VLOOKUP($K782,Grinders!$A$4:$N$998,12,FALSE)*100,""))</f>
        <v/>
      </c>
      <c r="AE782" s="40">
        <f>IFERROR(IFS(
    OR($C782="", $K782=""), 0,
    $F782=0, 0,
    $D782&lt;&gt;"Open", 0,
    COUNTIFS(GrinderServices!$B$4:$B$998, $K782, GrinderServices!$C$4:$C$998, $E782, GrinderServices!$E$4:$E$998, "Y")=0, 0,
    $X782&lt;Config!$B$16, 0,
    Config!$B$18=1, IF($O782&gt;=N782, 0, 1),
    TRUE, 1
), "")
</f>
        <v>0</v>
      </c>
      <c r="AF782" s="40" t="str">
        <f>IFERROR(IF($AE782=0,"",((Config!$B$6*$Y782 + Config!$B$7*$U782 + Config!$B$8*$Z782 + Config!$B$9*$AA782 + Config!$B$10*$AB782 + Config!$B$11*$AC782 - Config!$B$12*$AD782)/Config!$B$13)+$AK782+$AL782),"")</f>
        <v/>
      </c>
      <c r="AG782" s="40" t="str">
        <f t="shared" si="6"/>
        <v/>
      </c>
      <c r="AH782" s="40" t="str">
        <f t="shared" si="7"/>
        <v/>
      </c>
      <c r="AI782" s="40" t="str">
        <f t="shared" si="8"/>
        <v/>
      </c>
      <c r="AJ782" s="40" t="str">
        <f>IF($K782="","",COUNTIF(Assignments!$B$6:$B$1000,$K782))</f>
        <v/>
      </c>
      <c r="AK782" s="40" t="str">
        <f>IF($K782="","",IF(AND($AJ782=0,$O782&lt;$N782),Config!$B$43,0))</f>
        <v/>
      </c>
      <c r="AL782" s="40" t="str">
        <f>IF($K782="","",IF(AND($M782="Elite",$G782&gt;=Config!$B$41,$O782&lt;$N782),Config!$B$42,0))</f>
        <v/>
      </c>
      <c r="AM782" s="22"/>
    </row>
    <row r="783" ht="15.75" customHeight="1">
      <c r="A783" s="40" t="str">
        <f t="shared" si="1"/>
        <v/>
      </c>
      <c r="B783" s="40" t="str">
        <f>IF(Bids!$A782="","",Bids!$A782)</f>
        <v/>
      </c>
      <c r="C783" s="40" t="str">
        <f>IF(Bids!$B782="","",Bids!$B782)</f>
        <v/>
      </c>
      <c r="D783" s="40" t="str">
        <f>IF($C783="","",IFERROR(VLOOKUP($C783,Orders!$A$4:$J$998,9,FALSE),""))</f>
        <v/>
      </c>
      <c r="E783" s="40" t="str">
        <f>IF($C783="","",IFERROR(VLOOKUP($C783,Orders!$A$4:$J$998,3,FALSE),""))</f>
        <v/>
      </c>
      <c r="F783" s="40">
        <f t="shared" si="2"/>
        <v>1</v>
      </c>
      <c r="G783" s="40" t="str">
        <f>IF($C783="","",IFERROR(VLOOKUP($C783,Orders!$A$4:$J$998,4,FALSE),""))</f>
        <v/>
      </c>
      <c r="H783" s="40" t="str">
        <f>IF($C783="","",IFERROR(VLOOKUP($C783,Orders!$A$4:$J$998,5,FALSE),""))</f>
        <v/>
      </c>
      <c r="I783" s="40" t="str">
        <f>IF($C783="","",IFERROR(VLOOKUP($C783,Orders!$A$4:$J$998,6,FALSE),""))</f>
        <v/>
      </c>
      <c r="J783" s="40" t="str">
        <f>IF($C783="","",IFERROR(VLOOKUP($C783,Orders!$A$4:$J$998,7,FALSE),""))</f>
        <v/>
      </c>
      <c r="K783" s="40" t="str">
        <f>IF(Bids!$C782="","",Bids!$C782)</f>
        <v/>
      </c>
      <c r="L783" s="40" t="str">
        <f>IF($K783="","",IFERROR(VLOOKUP($K783,Grinders!$A$4:$N$998,2,FALSE),""))</f>
        <v/>
      </c>
      <c r="M783" s="40" t="str">
        <f>IF($K783="","",IFERROR(VLOOKUP($K783,Grinders!$A$4:$N$998,3,FALSE),""))</f>
        <v/>
      </c>
      <c r="N783" s="40" t="str">
        <f>IF($K783="","",IFERROR(VLOOKUP($K783,Grinders!$A$4:$N$998,4,FALSE),""))</f>
        <v/>
      </c>
      <c r="O783" s="40" t="str">
        <f>IF($K783="","",IFERROR(VLOOKUP($K783,Grinders!$A$4:$N$998,5,FALSE),""))</f>
        <v/>
      </c>
      <c r="P783" s="40" t="str">
        <f>IF($K783="","",IF($C$4="",0,COUNTIFS(Assignments!$B$6:$B$1000,$K783,Assignments!$F$6:$F$1000,$C$4,Assignments!$E$6:$E$1000,"Active")))</f>
        <v/>
      </c>
      <c r="Q783" s="40" t="str">
        <f t="shared" si="3"/>
        <v/>
      </c>
      <c r="R783" s="40" t="str">
        <f t="shared" si="4"/>
        <v/>
      </c>
      <c r="S783" s="40" t="str">
        <f>IF($K783="","",IF($C$4="",0,COUNTIFS(Assignments!$B$6:$B$1000,$K783,Assignments!$F$6:$F$1000,$C$4,Assignments!$D$6:$D$1000,"&gt;="&amp;Config!$B$3-7,Assignments!$D$6:$D$1000,"&lt;="&amp;Config!$B$3)))</f>
        <v/>
      </c>
      <c r="T783" s="40" t="str">
        <f>IF($K783="","",IFERROR(VLOOKUP($K783,Grinders!$A$4:$N$998,8,FALSE),""))</f>
        <v/>
      </c>
      <c r="U783" s="40" t="str">
        <f>IFERROR(IF($K783="","",IF($M783="Elite",MAX(50,MIN(100,Config!$B$27*MAX(0,MIN(100,(1-IF($R783="",0,$R783))*100)) + Config!$B$28*MAX(0,MIN(100,(1-MIN(1,IF(Config!$B$30=0,1,$S783/Config!$B$30)))*100)) + Config!$B$29*MAX(0,MIN(100,MIN(1,IF($T783="",0,$T783)/Config!$B$23)*100)))),MIN(100,Config!$B$27*MAX(0,MIN(100,(1-IF($R783="",0,$R783))*100)) + Config!$B$28*MAX(0,MIN(100,(1-MIN(1,IF(Config!$B$30=0,1,$S783/Config!$B$30)))*100)) + Config!$B$29*MAX(0,MIN(100,MIN(1,IF($T783="",0,$T783)/Config!$B$23)*100))))),"")
</f>
        <v/>
      </c>
      <c r="V783" s="40" t="str">
        <f>IF(Bids!$D782="","",Bids!$D782)</f>
        <v/>
      </c>
      <c r="W783" s="40" t="str">
        <f>IF(Bids!$F782="","",Bids!$F782)</f>
        <v/>
      </c>
      <c r="X783" s="40" t="str">
        <f t="shared" si="5"/>
        <v/>
      </c>
      <c r="Y783" s="40" t="str">
        <f>IF($X783="","",IF(Config!$B$17=Config!$B$16,IF($X783&gt;=Config!$B$17,100,0),MAX(0,MIN(100,($X783-Config!$B$16)/(Config!$B$17-Config!$B$16)*100))))</f>
        <v/>
      </c>
      <c r="Z783" s="40">
        <f>IF($M783="Elite",Config!$B$21,0)</f>
        <v>0</v>
      </c>
      <c r="AA783" s="40" t="str">
        <f>IFERROR(IF(OR($W783="",$H783=""),"",IF($W783&gt;$H783,
  MAX(0, 60-(($W783-$H783)*24/Config!$B$19)*60),
  MIN(100, 60+(($H783-$W783)*24/Config!$B$20)*40)
)),"")
</f>
        <v/>
      </c>
      <c r="AB783" s="40" t="str">
        <f>IF($K783="","",IFERROR(VLOOKUP($K783,Grinders!$A$4:$N$998,10,FALSE)/5*100,""))</f>
        <v/>
      </c>
      <c r="AC783" s="40" t="str">
        <f>IF($K783="","",IFERROR(VLOOKUP($K783,Grinders!$A$4:$N$998,11,FALSE)*100,""))</f>
        <v/>
      </c>
      <c r="AD783" s="40" t="str">
        <f>IF($K783="","",IFERROR(VLOOKUP($K783,Grinders!$A$4:$N$998,12,FALSE)*100,""))</f>
        <v/>
      </c>
      <c r="AE783" s="40">
        <f>IFERROR(IFS(
    OR($C783="", $K783=""), 0,
    $F783=0, 0,
    $D783&lt;&gt;"Open", 0,
    COUNTIFS(GrinderServices!$B$4:$B$998, $K783, GrinderServices!$C$4:$C$998, $E783, GrinderServices!$E$4:$E$998, "Y")=0, 0,
    $X783&lt;Config!$B$16, 0,
    Config!$B$18=1, IF($O783&gt;=N783, 0, 1),
    TRUE, 1
), "")
</f>
        <v>0</v>
      </c>
      <c r="AF783" s="40" t="str">
        <f>IFERROR(IF($AE783=0,"",((Config!$B$6*$Y783 + Config!$B$7*$U783 + Config!$B$8*$Z783 + Config!$B$9*$AA783 + Config!$B$10*$AB783 + Config!$B$11*$AC783 - Config!$B$12*$AD783)/Config!$B$13)+$AK783+$AL783),"")</f>
        <v/>
      </c>
      <c r="AG783" s="40" t="str">
        <f t="shared" si="6"/>
        <v/>
      </c>
      <c r="AH783" s="40" t="str">
        <f t="shared" si="7"/>
        <v/>
      </c>
      <c r="AI783" s="40" t="str">
        <f t="shared" si="8"/>
        <v/>
      </c>
      <c r="AJ783" s="40" t="str">
        <f>IF($K783="","",COUNTIF(Assignments!$B$6:$B$1000,$K783))</f>
        <v/>
      </c>
      <c r="AK783" s="40" t="str">
        <f>IF($K783="","",IF(AND($AJ783=0,$O783&lt;$N783),Config!$B$43,0))</f>
        <v/>
      </c>
      <c r="AL783" s="40" t="str">
        <f>IF($K783="","",IF(AND($M783="Elite",$G783&gt;=Config!$B$41,$O783&lt;$N783),Config!$B$42,0))</f>
        <v/>
      </c>
      <c r="AM783" s="22"/>
    </row>
    <row r="784" ht="15.75" customHeight="1">
      <c r="A784" s="40" t="str">
        <f t="shared" si="1"/>
        <v/>
      </c>
      <c r="B784" s="40" t="str">
        <f>IF(Bids!$A783="","",Bids!$A783)</f>
        <v/>
      </c>
      <c r="C784" s="40" t="str">
        <f>IF(Bids!$B783="","",Bids!$B783)</f>
        <v/>
      </c>
      <c r="D784" s="40" t="str">
        <f>IF($C784="","",IFERROR(VLOOKUP($C784,Orders!$A$4:$J$998,9,FALSE),""))</f>
        <v/>
      </c>
      <c r="E784" s="40" t="str">
        <f>IF($C784="","",IFERROR(VLOOKUP($C784,Orders!$A$4:$J$998,3,FALSE),""))</f>
        <v/>
      </c>
      <c r="F784" s="40">
        <f t="shared" si="2"/>
        <v>1</v>
      </c>
      <c r="G784" s="40" t="str">
        <f>IF($C784="","",IFERROR(VLOOKUP($C784,Orders!$A$4:$J$998,4,FALSE),""))</f>
        <v/>
      </c>
      <c r="H784" s="40" t="str">
        <f>IF($C784="","",IFERROR(VLOOKUP($C784,Orders!$A$4:$J$998,5,FALSE),""))</f>
        <v/>
      </c>
      <c r="I784" s="40" t="str">
        <f>IF($C784="","",IFERROR(VLOOKUP($C784,Orders!$A$4:$J$998,6,FALSE),""))</f>
        <v/>
      </c>
      <c r="J784" s="40" t="str">
        <f>IF($C784="","",IFERROR(VLOOKUP($C784,Orders!$A$4:$J$998,7,FALSE),""))</f>
        <v/>
      </c>
      <c r="K784" s="40" t="str">
        <f>IF(Bids!$C783="","",Bids!$C783)</f>
        <v/>
      </c>
      <c r="L784" s="40" t="str">
        <f>IF($K784="","",IFERROR(VLOOKUP($K784,Grinders!$A$4:$N$998,2,FALSE),""))</f>
        <v/>
      </c>
      <c r="M784" s="40" t="str">
        <f>IF($K784="","",IFERROR(VLOOKUP($K784,Grinders!$A$4:$N$998,3,FALSE),""))</f>
        <v/>
      </c>
      <c r="N784" s="40" t="str">
        <f>IF($K784="","",IFERROR(VLOOKUP($K784,Grinders!$A$4:$N$998,4,FALSE),""))</f>
        <v/>
      </c>
      <c r="O784" s="40" t="str">
        <f>IF($K784="","",IFERROR(VLOOKUP($K784,Grinders!$A$4:$N$998,5,FALSE),""))</f>
        <v/>
      </c>
      <c r="P784" s="40" t="str">
        <f>IF($K784="","",IF($C$4="",0,COUNTIFS(Assignments!$B$6:$B$1000,$K784,Assignments!$F$6:$F$1000,$C$4,Assignments!$E$6:$E$1000,"Active")))</f>
        <v/>
      </c>
      <c r="Q784" s="40" t="str">
        <f t="shared" si="3"/>
        <v/>
      </c>
      <c r="R784" s="40" t="str">
        <f t="shared" si="4"/>
        <v/>
      </c>
      <c r="S784" s="40" t="str">
        <f>IF($K784="","",IF($C$4="",0,COUNTIFS(Assignments!$B$6:$B$1000,$K784,Assignments!$F$6:$F$1000,$C$4,Assignments!$D$6:$D$1000,"&gt;="&amp;Config!$B$3-7,Assignments!$D$6:$D$1000,"&lt;="&amp;Config!$B$3)))</f>
        <v/>
      </c>
      <c r="T784" s="40" t="str">
        <f>IF($K784="","",IFERROR(VLOOKUP($K784,Grinders!$A$4:$N$998,8,FALSE),""))</f>
        <v/>
      </c>
      <c r="U784" s="40" t="str">
        <f>IFERROR(IF($K784="","",IF($M784="Elite",MAX(50,MIN(100,Config!$B$27*MAX(0,MIN(100,(1-IF($R784="",0,$R784))*100)) + Config!$B$28*MAX(0,MIN(100,(1-MIN(1,IF(Config!$B$30=0,1,$S784/Config!$B$30)))*100)) + Config!$B$29*MAX(0,MIN(100,MIN(1,IF($T784="",0,$T784)/Config!$B$23)*100)))),MIN(100,Config!$B$27*MAX(0,MIN(100,(1-IF($R784="",0,$R784))*100)) + Config!$B$28*MAX(0,MIN(100,(1-MIN(1,IF(Config!$B$30=0,1,$S784/Config!$B$30)))*100)) + Config!$B$29*MAX(0,MIN(100,MIN(1,IF($T784="",0,$T784)/Config!$B$23)*100))))),"")
</f>
        <v/>
      </c>
      <c r="V784" s="40" t="str">
        <f>IF(Bids!$D783="","",Bids!$D783)</f>
        <v/>
      </c>
      <c r="W784" s="40" t="str">
        <f>IF(Bids!$F783="","",Bids!$F783)</f>
        <v/>
      </c>
      <c r="X784" s="40" t="str">
        <f t="shared" si="5"/>
        <v/>
      </c>
      <c r="Y784" s="40" t="str">
        <f>IF($X784="","",IF(Config!$B$17=Config!$B$16,IF($X784&gt;=Config!$B$17,100,0),MAX(0,MIN(100,($X784-Config!$B$16)/(Config!$B$17-Config!$B$16)*100))))</f>
        <v/>
      </c>
      <c r="Z784" s="40">
        <f>IF($M784="Elite",Config!$B$21,0)</f>
        <v>0</v>
      </c>
      <c r="AA784" s="40" t="str">
        <f>IFERROR(IF(OR($W784="",$H784=""),"",IF($W784&gt;$H784,
  MAX(0, 60-(($W784-$H784)*24/Config!$B$19)*60),
  MIN(100, 60+(($H784-$W784)*24/Config!$B$20)*40)
)),"")
</f>
        <v/>
      </c>
      <c r="AB784" s="40" t="str">
        <f>IF($K784="","",IFERROR(VLOOKUP($K784,Grinders!$A$4:$N$998,10,FALSE)/5*100,""))</f>
        <v/>
      </c>
      <c r="AC784" s="40" t="str">
        <f>IF($K784="","",IFERROR(VLOOKUP($K784,Grinders!$A$4:$N$998,11,FALSE)*100,""))</f>
        <v/>
      </c>
      <c r="AD784" s="40" t="str">
        <f>IF($K784="","",IFERROR(VLOOKUP($K784,Grinders!$A$4:$N$998,12,FALSE)*100,""))</f>
        <v/>
      </c>
      <c r="AE784" s="40">
        <f>IFERROR(IFS(
    OR($C784="", $K784=""), 0,
    $F784=0, 0,
    $D784&lt;&gt;"Open", 0,
    COUNTIFS(GrinderServices!$B$4:$B$998, $K784, GrinderServices!$C$4:$C$998, $E784, GrinderServices!$E$4:$E$998, "Y")=0, 0,
    $X784&lt;Config!$B$16, 0,
    Config!$B$18=1, IF($O784&gt;=N784, 0, 1),
    TRUE, 1
), "")
</f>
        <v>0</v>
      </c>
      <c r="AF784" s="40" t="str">
        <f>IFERROR(IF($AE784=0,"",((Config!$B$6*$Y784 + Config!$B$7*$U784 + Config!$B$8*$Z784 + Config!$B$9*$AA784 + Config!$B$10*$AB784 + Config!$B$11*$AC784 - Config!$B$12*$AD784)/Config!$B$13)+$AK784+$AL784),"")</f>
        <v/>
      </c>
      <c r="AG784" s="40" t="str">
        <f t="shared" si="6"/>
        <v/>
      </c>
      <c r="AH784" s="40" t="str">
        <f t="shared" si="7"/>
        <v/>
      </c>
      <c r="AI784" s="40" t="str">
        <f t="shared" si="8"/>
        <v/>
      </c>
      <c r="AJ784" s="40" t="str">
        <f>IF($K784="","",COUNTIF(Assignments!$B$6:$B$1000,$K784))</f>
        <v/>
      </c>
      <c r="AK784" s="40" t="str">
        <f>IF($K784="","",IF(AND($AJ784=0,$O784&lt;$N784),Config!$B$43,0))</f>
        <v/>
      </c>
      <c r="AL784" s="40" t="str">
        <f>IF($K784="","",IF(AND($M784="Elite",$G784&gt;=Config!$B$41,$O784&lt;$N784),Config!$B$42,0))</f>
        <v/>
      </c>
      <c r="AM784" s="22"/>
    </row>
    <row r="785" ht="15.75" customHeight="1">
      <c r="A785" s="40" t="str">
        <f t="shared" si="1"/>
        <v/>
      </c>
      <c r="B785" s="40" t="str">
        <f>IF(Bids!$A784="","",Bids!$A784)</f>
        <v/>
      </c>
      <c r="C785" s="40" t="str">
        <f>IF(Bids!$B784="","",Bids!$B784)</f>
        <v/>
      </c>
      <c r="D785" s="40" t="str">
        <f>IF($C785="","",IFERROR(VLOOKUP($C785,Orders!$A$4:$J$998,9,FALSE),""))</f>
        <v/>
      </c>
      <c r="E785" s="40" t="str">
        <f>IF($C785="","",IFERROR(VLOOKUP($C785,Orders!$A$4:$J$998,3,FALSE),""))</f>
        <v/>
      </c>
      <c r="F785" s="40">
        <f t="shared" si="2"/>
        <v>1</v>
      </c>
      <c r="G785" s="40" t="str">
        <f>IF($C785="","",IFERROR(VLOOKUP($C785,Orders!$A$4:$J$998,4,FALSE),""))</f>
        <v/>
      </c>
      <c r="H785" s="40" t="str">
        <f>IF($C785="","",IFERROR(VLOOKUP($C785,Orders!$A$4:$J$998,5,FALSE),""))</f>
        <v/>
      </c>
      <c r="I785" s="40" t="str">
        <f>IF($C785="","",IFERROR(VLOOKUP($C785,Orders!$A$4:$J$998,6,FALSE),""))</f>
        <v/>
      </c>
      <c r="J785" s="40" t="str">
        <f>IF($C785="","",IFERROR(VLOOKUP($C785,Orders!$A$4:$J$998,7,FALSE),""))</f>
        <v/>
      </c>
      <c r="K785" s="40" t="str">
        <f>IF(Bids!$C784="","",Bids!$C784)</f>
        <v/>
      </c>
      <c r="L785" s="40" t="str">
        <f>IF($K785="","",IFERROR(VLOOKUP($K785,Grinders!$A$4:$N$998,2,FALSE),""))</f>
        <v/>
      </c>
      <c r="M785" s="40" t="str">
        <f>IF($K785="","",IFERROR(VLOOKUP($K785,Grinders!$A$4:$N$998,3,FALSE),""))</f>
        <v/>
      </c>
      <c r="N785" s="40" t="str">
        <f>IF($K785="","",IFERROR(VLOOKUP($K785,Grinders!$A$4:$N$998,4,FALSE),""))</f>
        <v/>
      </c>
      <c r="O785" s="40" t="str">
        <f>IF($K785="","",IFERROR(VLOOKUP($K785,Grinders!$A$4:$N$998,5,FALSE),""))</f>
        <v/>
      </c>
      <c r="P785" s="40" t="str">
        <f>IF($K785="","",IF($C$4="",0,COUNTIFS(Assignments!$B$6:$B$1000,$K785,Assignments!$F$6:$F$1000,$C$4,Assignments!$E$6:$E$1000,"Active")))</f>
        <v/>
      </c>
      <c r="Q785" s="40" t="str">
        <f t="shared" si="3"/>
        <v/>
      </c>
      <c r="R785" s="40" t="str">
        <f t="shared" si="4"/>
        <v/>
      </c>
      <c r="S785" s="40" t="str">
        <f>IF($K785="","",IF($C$4="",0,COUNTIFS(Assignments!$B$6:$B$1000,$K785,Assignments!$F$6:$F$1000,$C$4,Assignments!$D$6:$D$1000,"&gt;="&amp;Config!$B$3-7,Assignments!$D$6:$D$1000,"&lt;="&amp;Config!$B$3)))</f>
        <v/>
      </c>
      <c r="T785" s="40" t="str">
        <f>IF($K785="","",IFERROR(VLOOKUP($K785,Grinders!$A$4:$N$998,8,FALSE),""))</f>
        <v/>
      </c>
      <c r="U785" s="40" t="str">
        <f>IFERROR(IF($K785="","",IF($M785="Elite",MAX(50,MIN(100,Config!$B$27*MAX(0,MIN(100,(1-IF($R785="",0,$R785))*100)) + Config!$B$28*MAX(0,MIN(100,(1-MIN(1,IF(Config!$B$30=0,1,$S785/Config!$B$30)))*100)) + Config!$B$29*MAX(0,MIN(100,MIN(1,IF($T785="",0,$T785)/Config!$B$23)*100)))),MIN(100,Config!$B$27*MAX(0,MIN(100,(1-IF($R785="",0,$R785))*100)) + Config!$B$28*MAX(0,MIN(100,(1-MIN(1,IF(Config!$B$30=0,1,$S785/Config!$B$30)))*100)) + Config!$B$29*MAX(0,MIN(100,MIN(1,IF($T785="",0,$T785)/Config!$B$23)*100))))),"")
</f>
        <v/>
      </c>
      <c r="V785" s="40" t="str">
        <f>IF(Bids!$D784="","",Bids!$D784)</f>
        <v/>
      </c>
      <c r="W785" s="40" t="str">
        <f>IF(Bids!$F784="","",Bids!$F784)</f>
        <v/>
      </c>
      <c r="X785" s="40" t="str">
        <f t="shared" si="5"/>
        <v/>
      </c>
      <c r="Y785" s="40" t="str">
        <f>IF($X785="","",IF(Config!$B$17=Config!$B$16,IF($X785&gt;=Config!$B$17,100,0),MAX(0,MIN(100,($X785-Config!$B$16)/(Config!$B$17-Config!$B$16)*100))))</f>
        <v/>
      </c>
      <c r="Z785" s="40">
        <f>IF($M785="Elite",Config!$B$21,0)</f>
        <v>0</v>
      </c>
      <c r="AA785" s="40" t="str">
        <f>IFERROR(IF(OR($W785="",$H785=""),"",IF($W785&gt;$H785,
  MAX(0, 60-(($W785-$H785)*24/Config!$B$19)*60),
  MIN(100, 60+(($H785-$W785)*24/Config!$B$20)*40)
)),"")
</f>
        <v/>
      </c>
      <c r="AB785" s="40" t="str">
        <f>IF($K785="","",IFERROR(VLOOKUP($K785,Grinders!$A$4:$N$998,10,FALSE)/5*100,""))</f>
        <v/>
      </c>
      <c r="AC785" s="40" t="str">
        <f>IF($K785="","",IFERROR(VLOOKUP($K785,Grinders!$A$4:$N$998,11,FALSE)*100,""))</f>
        <v/>
      </c>
      <c r="AD785" s="40" t="str">
        <f>IF($K785="","",IFERROR(VLOOKUP($K785,Grinders!$A$4:$N$998,12,FALSE)*100,""))</f>
        <v/>
      </c>
      <c r="AE785" s="40">
        <f>IFERROR(IFS(
    OR($C785="", $K785=""), 0,
    $F785=0, 0,
    $D785&lt;&gt;"Open", 0,
    COUNTIFS(GrinderServices!$B$4:$B$998, $K785, GrinderServices!$C$4:$C$998, $E785, GrinderServices!$E$4:$E$998, "Y")=0, 0,
    $X785&lt;Config!$B$16, 0,
    Config!$B$18=1, IF($O785&gt;=N785, 0, 1),
    TRUE, 1
), "")
</f>
        <v>0</v>
      </c>
      <c r="AF785" s="40" t="str">
        <f>IFERROR(IF($AE785=0,"",((Config!$B$6*$Y785 + Config!$B$7*$U785 + Config!$B$8*$Z785 + Config!$B$9*$AA785 + Config!$B$10*$AB785 + Config!$B$11*$AC785 - Config!$B$12*$AD785)/Config!$B$13)+$AK785+$AL785),"")</f>
        <v/>
      </c>
      <c r="AG785" s="40" t="str">
        <f t="shared" si="6"/>
        <v/>
      </c>
      <c r="AH785" s="40" t="str">
        <f t="shared" si="7"/>
        <v/>
      </c>
      <c r="AI785" s="40" t="str">
        <f t="shared" si="8"/>
        <v/>
      </c>
      <c r="AJ785" s="40" t="str">
        <f>IF($K785="","",COUNTIF(Assignments!$B$6:$B$1000,$K785))</f>
        <v/>
      </c>
      <c r="AK785" s="40" t="str">
        <f>IF($K785="","",IF(AND($AJ785=0,$O785&lt;$N785),Config!$B$43,0))</f>
        <v/>
      </c>
      <c r="AL785" s="40" t="str">
        <f>IF($K785="","",IF(AND($M785="Elite",$G785&gt;=Config!$B$41,$O785&lt;$N785),Config!$B$42,0))</f>
        <v/>
      </c>
      <c r="AM785" s="22"/>
    </row>
    <row r="786" ht="15.75" customHeight="1">
      <c r="A786" s="40" t="str">
        <f t="shared" si="1"/>
        <v/>
      </c>
      <c r="B786" s="40" t="str">
        <f>IF(Bids!$A785="","",Bids!$A785)</f>
        <v/>
      </c>
      <c r="C786" s="40" t="str">
        <f>IF(Bids!$B785="","",Bids!$B785)</f>
        <v/>
      </c>
      <c r="D786" s="40" t="str">
        <f>IF($C786="","",IFERROR(VLOOKUP($C786,Orders!$A$4:$J$998,9,FALSE),""))</f>
        <v/>
      </c>
      <c r="E786" s="40" t="str">
        <f>IF($C786="","",IFERROR(VLOOKUP($C786,Orders!$A$4:$J$998,3,FALSE),""))</f>
        <v/>
      </c>
      <c r="F786" s="40">
        <f t="shared" si="2"/>
        <v>1</v>
      </c>
      <c r="G786" s="40" t="str">
        <f>IF($C786="","",IFERROR(VLOOKUP($C786,Orders!$A$4:$J$998,4,FALSE),""))</f>
        <v/>
      </c>
      <c r="H786" s="40" t="str">
        <f>IF($C786="","",IFERROR(VLOOKUP($C786,Orders!$A$4:$J$998,5,FALSE),""))</f>
        <v/>
      </c>
      <c r="I786" s="40" t="str">
        <f>IF($C786="","",IFERROR(VLOOKUP($C786,Orders!$A$4:$J$998,6,FALSE),""))</f>
        <v/>
      </c>
      <c r="J786" s="40" t="str">
        <f>IF($C786="","",IFERROR(VLOOKUP($C786,Orders!$A$4:$J$998,7,FALSE),""))</f>
        <v/>
      </c>
      <c r="K786" s="40" t="str">
        <f>IF(Bids!$C785="","",Bids!$C785)</f>
        <v/>
      </c>
      <c r="L786" s="40" t="str">
        <f>IF($K786="","",IFERROR(VLOOKUP($K786,Grinders!$A$4:$N$998,2,FALSE),""))</f>
        <v/>
      </c>
      <c r="M786" s="40" t="str">
        <f>IF($K786="","",IFERROR(VLOOKUP($K786,Grinders!$A$4:$N$998,3,FALSE),""))</f>
        <v/>
      </c>
      <c r="N786" s="40" t="str">
        <f>IF($K786="","",IFERROR(VLOOKUP($K786,Grinders!$A$4:$N$998,4,FALSE),""))</f>
        <v/>
      </c>
      <c r="O786" s="40" t="str">
        <f>IF($K786="","",IFERROR(VLOOKUP($K786,Grinders!$A$4:$N$998,5,FALSE),""))</f>
        <v/>
      </c>
      <c r="P786" s="40" t="str">
        <f>IF($K786="","",IF($C$4="",0,COUNTIFS(Assignments!$B$6:$B$1000,$K786,Assignments!$F$6:$F$1000,$C$4,Assignments!$E$6:$E$1000,"Active")))</f>
        <v/>
      </c>
      <c r="Q786" s="40" t="str">
        <f t="shared" si="3"/>
        <v/>
      </c>
      <c r="R786" s="40" t="str">
        <f t="shared" si="4"/>
        <v/>
      </c>
      <c r="S786" s="40" t="str">
        <f>IF($K786="","",IF($C$4="",0,COUNTIFS(Assignments!$B$6:$B$1000,$K786,Assignments!$F$6:$F$1000,$C$4,Assignments!$D$6:$D$1000,"&gt;="&amp;Config!$B$3-7,Assignments!$D$6:$D$1000,"&lt;="&amp;Config!$B$3)))</f>
        <v/>
      </c>
      <c r="T786" s="40" t="str">
        <f>IF($K786="","",IFERROR(VLOOKUP($K786,Grinders!$A$4:$N$998,8,FALSE),""))</f>
        <v/>
      </c>
      <c r="U786" s="40" t="str">
        <f>IFERROR(IF($K786="","",IF($M786="Elite",MAX(50,MIN(100,Config!$B$27*MAX(0,MIN(100,(1-IF($R786="",0,$R786))*100)) + Config!$B$28*MAX(0,MIN(100,(1-MIN(1,IF(Config!$B$30=0,1,$S786/Config!$B$30)))*100)) + Config!$B$29*MAX(0,MIN(100,MIN(1,IF($T786="",0,$T786)/Config!$B$23)*100)))),MIN(100,Config!$B$27*MAX(0,MIN(100,(1-IF($R786="",0,$R786))*100)) + Config!$B$28*MAX(0,MIN(100,(1-MIN(1,IF(Config!$B$30=0,1,$S786/Config!$B$30)))*100)) + Config!$B$29*MAX(0,MIN(100,MIN(1,IF($T786="",0,$T786)/Config!$B$23)*100))))),"")
</f>
        <v/>
      </c>
      <c r="V786" s="40" t="str">
        <f>IF(Bids!$D785="","",Bids!$D785)</f>
        <v/>
      </c>
      <c r="W786" s="40" t="str">
        <f>IF(Bids!$F785="","",Bids!$F785)</f>
        <v/>
      </c>
      <c r="X786" s="40" t="str">
        <f t="shared" si="5"/>
        <v/>
      </c>
      <c r="Y786" s="40" t="str">
        <f>IF($X786="","",IF(Config!$B$17=Config!$B$16,IF($X786&gt;=Config!$B$17,100,0),MAX(0,MIN(100,($X786-Config!$B$16)/(Config!$B$17-Config!$B$16)*100))))</f>
        <v/>
      </c>
      <c r="Z786" s="40">
        <f>IF($M786="Elite",Config!$B$21,0)</f>
        <v>0</v>
      </c>
      <c r="AA786" s="40" t="str">
        <f>IFERROR(IF(OR($W786="",$H786=""),"",IF($W786&gt;$H786,
  MAX(0, 60-(($W786-$H786)*24/Config!$B$19)*60),
  MIN(100, 60+(($H786-$W786)*24/Config!$B$20)*40)
)),"")
</f>
        <v/>
      </c>
      <c r="AB786" s="40" t="str">
        <f>IF($K786="","",IFERROR(VLOOKUP($K786,Grinders!$A$4:$N$998,10,FALSE)/5*100,""))</f>
        <v/>
      </c>
      <c r="AC786" s="40" t="str">
        <f>IF($K786="","",IFERROR(VLOOKUP($K786,Grinders!$A$4:$N$998,11,FALSE)*100,""))</f>
        <v/>
      </c>
      <c r="AD786" s="40" t="str">
        <f>IF($K786="","",IFERROR(VLOOKUP($K786,Grinders!$A$4:$N$998,12,FALSE)*100,""))</f>
        <v/>
      </c>
      <c r="AE786" s="40">
        <f>IFERROR(IFS(
    OR($C786="", $K786=""), 0,
    $F786=0, 0,
    $D786&lt;&gt;"Open", 0,
    COUNTIFS(GrinderServices!$B$4:$B$998, $K786, GrinderServices!$C$4:$C$998, $E786, GrinderServices!$E$4:$E$998, "Y")=0, 0,
    $X786&lt;Config!$B$16, 0,
    Config!$B$18=1, IF($O786&gt;=N786, 0, 1),
    TRUE, 1
), "")
</f>
        <v>0</v>
      </c>
      <c r="AF786" s="40" t="str">
        <f>IFERROR(IF($AE786=0,"",((Config!$B$6*$Y786 + Config!$B$7*$U786 + Config!$B$8*$Z786 + Config!$B$9*$AA786 + Config!$B$10*$AB786 + Config!$B$11*$AC786 - Config!$B$12*$AD786)/Config!$B$13)+$AK786+$AL786),"")</f>
        <v/>
      </c>
      <c r="AG786" s="40" t="str">
        <f t="shared" si="6"/>
        <v/>
      </c>
      <c r="AH786" s="40" t="str">
        <f t="shared" si="7"/>
        <v/>
      </c>
      <c r="AI786" s="40" t="str">
        <f t="shared" si="8"/>
        <v/>
      </c>
      <c r="AJ786" s="40" t="str">
        <f>IF($K786="","",COUNTIF(Assignments!$B$6:$B$1000,$K786))</f>
        <v/>
      </c>
      <c r="AK786" s="40" t="str">
        <f>IF($K786="","",IF(AND($AJ786=0,$O786&lt;$N786),Config!$B$43,0))</f>
        <v/>
      </c>
      <c r="AL786" s="40" t="str">
        <f>IF($K786="","",IF(AND($M786="Elite",$G786&gt;=Config!$B$41,$O786&lt;$N786),Config!$B$42,0))</f>
        <v/>
      </c>
      <c r="AM786" s="22"/>
    </row>
    <row r="787" ht="15.75" customHeight="1">
      <c r="A787" s="40" t="str">
        <f t="shared" si="1"/>
        <v/>
      </c>
      <c r="B787" s="40" t="str">
        <f>IF(Bids!$A786="","",Bids!$A786)</f>
        <v/>
      </c>
      <c r="C787" s="40" t="str">
        <f>IF(Bids!$B786="","",Bids!$B786)</f>
        <v/>
      </c>
      <c r="D787" s="40" t="str">
        <f>IF($C787="","",IFERROR(VLOOKUP($C787,Orders!$A$4:$J$998,9,FALSE),""))</f>
        <v/>
      </c>
      <c r="E787" s="40" t="str">
        <f>IF($C787="","",IFERROR(VLOOKUP($C787,Orders!$A$4:$J$998,3,FALSE),""))</f>
        <v/>
      </c>
      <c r="F787" s="40">
        <f t="shared" si="2"/>
        <v>1</v>
      </c>
      <c r="G787" s="40" t="str">
        <f>IF($C787="","",IFERROR(VLOOKUP($C787,Orders!$A$4:$J$998,4,FALSE),""))</f>
        <v/>
      </c>
      <c r="H787" s="40" t="str">
        <f>IF($C787="","",IFERROR(VLOOKUP($C787,Orders!$A$4:$J$998,5,FALSE),""))</f>
        <v/>
      </c>
      <c r="I787" s="40" t="str">
        <f>IF($C787="","",IFERROR(VLOOKUP($C787,Orders!$A$4:$J$998,6,FALSE),""))</f>
        <v/>
      </c>
      <c r="J787" s="40" t="str">
        <f>IF($C787="","",IFERROR(VLOOKUP($C787,Orders!$A$4:$J$998,7,FALSE),""))</f>
        <v/>
      </c>
      <c r="K787" s="40" t="str">
        <f>IF(Bids!$C786="","",Bids!$C786)</f>
        <v/>
      </c>
      <c r="L787" s="40" t="str">
        <f>IF($K787="","",IFERROR(VLOOKUP($K787,Grinders!$A$4:$N$998,2,FALSE),""))</f>
        <v/>
      </c>
      <c r="M787" s="40" t="str">
        <f>IF($K787="","",IFERROR(VLOOKUP($K787,Grinders!$A$4:$N$998,3,FALSE),""))</f>
        <v/>
      </c>
      <c r="N787" s="40" t="str">
        <f>IF($K787="","",IFERROR(VLOOKUP($K787,Grinders!$A$4:$N$998,4,FALSE),""))</f>
        <v/>
      </c>
      <c r="O787" s="40" t="str">
        <f>IF($K787="","",IFERROR(VLOOKUP($K787,Grinders!$A$4:$N$998,5,FALSE),""))</f>
        <v/>
      </c>
      <c r="P787" s="40" t="str">
        <f>IF($K787="","",IF($C$4="",0,COUNTIFS(Assignments!$B$6:$B$1000,$K787,Assignments!$F$6:$F$1000,$C$4,Assignments!$E$6:$E$1000,"Active")))</f>
        <v/>
      </c>
      <c r="Q787" s="40" t="str">
        <f t="shared" si="3"/>
        <v/>
      </c>
      <c r="R787" s="40" t="str">
        <f t="shared" si="4"/>
        <v/>
      </c>
      <c r="S787" s="40" t="str">
        <f>IF($K787="","",IF($C$4="",0,COUNTIFS(Assignments!$B$6:$B$1000,$K787,Assignments!$F$6:$F$1000,$C$4,Assignments!$D$6:$D$1000,"&gt;="&amp;Config!$B$3-7,Assignments!$D$6:$D$1000,"&lt;="&amp;Config!$B$3)))</f>
        <v/>
      </c>
      <c r="T787" s="40" t="str">
        <f>IF($K787="","",IFERROR(VLOOKUP($K787,Grinders!$A$4:$N$998,8,FALSE),""))</f>
        <v/>
      </c>
      <c r="U787" s="40" t="str">
        <f>IFERROR(IF($K787="","",IF($M787="Elite",MAX(50,MIN(100,Config!$B$27*MAX(0,MIN(100,(1-IF($R787="",0,$R787))*100)) + Config!$B$28*MAX(0,MIN(100,(1-MIN(1,IF(Config!$B$30=0,1,$S787/Config!$B$30)))*100)) + Config!$B$29*MAX(0,MIN(100,MIN(1,IF($T787="",0,$T787)/Config!$B$23)*100)))),MIN(100,Config!$B$27*MAX(0,MIN(100,(1-IF($R787="",0,$R787))*100)) + Config!$B$28*MAX(0,MIN(100,(1-MIN(1,IF(Config!$B$30=0,1,$S787/Config!$B$30)))*100)) + Config!$B$29*MAX(0,MIN(100,MIN(1,IF($T787="",0,$T787)/Config!$B$23)*100))))),"")
</f>
        <v/>
      </c>
      <c r="V787" s="40" t="str">
        <f>IF(Bids!$D786="","",Bids!$D786)</f>
        <v/>
      </c>
      <c r="W787" s="40" t="str">
        <f>IF(Bids!$F786="","",Bids!$F786)</f>
        <v/>
      </c>
      <c r="X787" s="40" t="str">
        <f t="shared" si="5"/>
        <v/>
      </c>
      <c r="Y787" s="40" t="str">
        <f>IF($X787="","",IF(Config!$B$17=Config!$B$16,IF($X787&gt;=Config!$B$17,100,0),MAX(0,MIN(100,($X787-Config!$B$16)/(Config!$B$17-Config!$B$16)*100))))</f>
        <v/>
      </c>
      <c r="Z787" s="40">
        <f>IF($M787="Elite",Config!$B$21,0)</f>
        <v>0</v>
      </c>
      <c r="AA787" s="40" t="str">
        <f>IFERROR(IF(OR($W787="",$H787=""),"",IF($W787&gt;$H787,
  MAX(0, 60-(($W787-$H787)*24/Config!$B$19)*60),
  MIN(100, 60+(($H787-$W787)*24/Config!$B$20)*40)
)),"")
</f>
        <v/>
      </c>
      <c r="AB787" s="40" t="str">
        <f>IF($K787="","",IFERROR(VLOOKUP($K787,Grinders!$A$4:$N$998,10,FALSE)/5*100,""))</f>
        <v/>
      </c>
      <c r="AC787" s="40" t="str">
        <f>IF($K787="","",IFERROR(VLOOKUP($K787,Grinders!$A$4:$N$998,11,FALSE)*100,""))</f>
        <v/>
      </c>
      <c r="AD787" s="40" t="str">
        <f>IF($K787="","",IFERROR(VLOOKUP($K787,Grinders!$A$4:$N$998,12,FALSE)*100,""))</f>
        <v/>
      </c>
      <c r="AE787" s="40">
        <f>IFERROR(IFS(
    OR($C787="", $K787=""), 0,
    $F787=0, 0,
    $D787&lt;&gt;"Open", 0,
    COUNTIFS(GrinderServices!$B$4:$B$998, $K787, GrinderServices!$C$4:$C$998, $E787, GrinderServices!$E$4:$E$998, "Y")=0, 0,
    $X787&lt;Config!$B$16, 0,
    Config!$B$18=1, IF($O787&gt;=N787, 0, 1),
    TRUE, 1
), "")
</f>
        <v>0</v>
      </c>
      <c r="AF787" s="40" t="str">
        <f>IFERROR(IF($AE787=0,"",((Config!$B$6*$Y787 + Config!$B$7*$U787 + Config!$B$8*$Z787 + Config!$B$9*$AA787 + Config!$B$10*$AB787 + Config!$B$11*$AC787 - Config!$B$12*$AD787)/Config!$B$13)+$AK787+$AL787),"")</f>
        <v/>
      </c>
      <c r="AG787" s="40" t="str">
        <f t="shared" si="6"/>
        <v/>
      </c>
      <c r="AH787" s="40" t="str">
        <f t="shared" si="7"/>
        <v/>
      </c>
      <c r="AI787" s="40" t="str">
        <f t="shared" si="8"/>
        <v/>
      </c>
      <c r="AJ787" s="40" t="str">
        <f>IF($K787="","",COUNTIF(Assignments!$B$6:$B$1000,$K787))</f>
        <v/>
      </c>
      <c r="AK787" s="40" t="str">
        <f>IF($K787="","",IF(AND($AJ787=0,$O787&lt;$N787),Config!$B$43,0))</f>
        <v/>
      </c>
      <c r="AL787" s="40" t="str">
        <f>IF($K787="","",IF(AND($M787="Elite",$G787&gt;=Config!$B$41,$O787&lt;$N787),Config!$B$42,0))</f>
        <v/>
      </c>
      <c r="AM787" s="22"/>
    </row>
    <row r="788" ht="15.75" customHeight="1">
      <c r="A788" s="40" t="str">
        <f t="shared" si="1"/>
        <v/>
      </c>
      <c r="B788" s="40" t="str">
        <f>IF(Bids!$A787="","",Bids!$A787)</f>
        <v/>
      </c>
      <c r="C788" s="40" t="str">
        <f>IF(Bids!$B787="","",Bids!$B787)</f>
        <v/>
      </c>
      <c r="D788" s="40" t="str">
        <f>IF($C788="","",IFERROR(VLOOKUP($C788,Orders!$A$4:$J$998,9,FALSE),""))</f>
        <v/>
      </c>
      <c r="E788" s="40" t="str">
        <f>IF($C788="","",IFERROR(VLOOKUP($C788,Orders!$A$4:$J$998,3,FALSE),""))</f>
        <v/>
      </c>
      <c r="F788" s="40">
        <f t="shared" si="2"/>
        <v>1</v>
      </c>
      <c r="G788" s="40" t="str">
        <f>IF($C788="","",IFERROR(VLOOKUP($C788,Orders!$A$4:$J$998,4,FALSE),""))</f>
        <v/>
      </c>
      <c r="H788" s="40" t="str">
        <f>IF($C788="","",IFERROR(VLOOKUP($C788,Orders!$A$4:$J$998,5,FALSE),""))</f>
        <v/>
      </c>
      <c r="I788" s="40" t="str">
        <f>IF($C788="","",IFERROR(VLOOKUP($C788,Orders!$A$4:$J$998,6,FALSE),""))</f>
        <v/>
      </c>
      <c r="J788" s="40" t="str">
        <f>IF($C788="","",IFERROR(VLOOKUP($C788,Orders!$A$4:$J$998,7,FALSE),""))</f>
        <v/>
      </c>
      <c r="K788" s="40" t="str">
        <f>IF(Bids!$C787="","",Bids!$C787)</f>
        <v/>
      </c>
      <c r="L788" s="40" t="str">
        <f>IF($K788="","",IFERROR(VLOOKUP($K788,Grinders!$A$4:$N$998,2,FALSE),""))</f>
        <v/>
      </c>
      <c r="M788" s="40" t="str">
        <f>IF($K788="","",IFERROR(VLOOKUP($K788,Grinders!$A$4:$N$998,3,FALSE),""))</f>
        <v/>
      </c>
      <c r="N788" s="40" t="str">
        <f>IF($K788="","",IFERROR(VLOOKUP($K788,Grinders!$A$4:$N$998,4,FALSE),""))</f>
        <v/>
      </c>
      <c r="O788" s="40" t="str">
        <f>IF($K788="","",IFERROR(VLOOKUP($K788,Grinders!$A$4:$N$998,5,FALSE),""))</f>
        <v/>
      </c>
      <c r="P788" s="40" t="str">
        <f>IF($K788="","",IF($C$4="",0,COUNTIFS(Assignments!$B$6:$B$1000,$K788,Assignments!$F$6:$F$1000,$C$4,Assignments!$E$6:$E$1000,"Active")))</f>
        <v/>
      </c>
      <c r="Q788" s="40" t="str">
        <f t="shared" si="3"/>
        <v/>
      </c>
      <c r="R788" s="40" t="str">
        <f t="shared" si="4"/>
        <v/>
      </c>
      <c r="S788" s="40" t="str">
        <f>IF($K788="","",IF($C$4="",0,COUNTIFS(Assignments!$B$6:$B$1000,$K788,Assignments!$F$6:$F$1000,$C$4,Assignments!$D$6:$D$1000,"&gt;="&amp;Config!$B$3-7,Assignments!$D$6:$D$1000,"&lt;="&amp;Config!$B$3)))</f>
        <v/>
      </c>
      <c r="T788" s="40" t="str">
        <f>IF($K788="","",IFERROR(VLOOKUP($K788,Grinders!$A$4:$N$998,8,FALSE),""))</f>
        <v/>
      </c>
      <c r="U788" s="40" t="str">
        <f>IFERROR(IF($K788="","",IF($M788="Elite",MAX(50,MIN(100,Config!$B$27*MAX(0,MIN(100,(1-IF($R788="",0,$R788))*100)) + Config!$B$28*MAX(0,MIN(100,(1-MIN(1,IF(Config!$B$30=0,1,$S788/Config!$B$30)))*100)) + Config!$B$29*MAX(0,MIN(100,MIN(1,IF($T788="",0,$T788)/Config!$B$23)*100)))),MIN(100,Config!$B$27*MAX(0,MIN(100,(1-IF($R788="",0,$R788))*100)) + Config!$B$28*MAX(0,MIN(100,(1-MIN(1,IF(Config!$B$30=0,1,$S788/Config!$B$30)))*100)) + Config!$B$29*MAX(0,MIN(100,MIN(1,IF($T788="",0,$T788)/Config!$B$23)*100))))),"")
</f>
        <v/>
      </c>
      <c r="V788" s="40" t="str">
        <f>IF(Bids!$D787="","",Bids!$D787)</f>
        <v/>
      </c>
      <c r="W788" s="40" t="str">
        <f>IF(Bids!$F787="","",Bids!$F787)</f>
        <v/>
      </c>
      <c r="X788" s="40" t="str">
        <f t="shared" si="5"/>
        <v/>
      </c>
      <c r="Y788" s="40" t="str">
        <f>IF($X788="","",IF(Config!$B$17=Config!$B$16,IF($X788&gt;=Config!$B$17,100,0),MAX(0,MIN(100,($X788-Config!$B$16)/(Config!$B$17-Config!$B$16)*100))))</f>
        <v/>
      </c>
      <c r="Z788" s="40">
        <f>IF($M788="Elite",Config!$B$21,0)</f>
        <v>0</v>
      </c>
      <c r="AA788" s="40" t="str">
        <f>IFERROR(IF(OR($W788="",$H788=""),"",IF($W788&gt;$H788,
  MAX(0, 60-(($W788-$H788)*24/Config!$B$19)*60),
  MIN(100, 60+(($H788-$W788)*24/Config!$B$20)*40)
)),"")
</f>
        <v/>
      </c>
      <c r="AB788" s="40" t="str">
        <f>IF($K788="","",IFERROR(VLOOKUP($K788,Grinders!$A$4:$N$998,10,FALSE)/5*100,""))</f>
        <v/>
      </c>
      <c r="AC788" s="40" t="str">
        <f>IF($K788="","",IFERROR(VLOOKUP($K788,Grinders!$A$4:$N$998,11,FALSE)*100,""))</f>
        <v/>
      </c>
      <c r="AD788" s="40" t="str">
        <f>IF($K788="","",IFERROR(VLOOKUP($K788,Grinders!$A$4:$N$998,12,FALSE)*100,""))</f>
        <v/>
      </c>
      <c r="AE788" s="40">
        <f>IFERROR(IFS(
    OR($C788="", $K788=""), 0,
    $F788=0, 0,
    $D788&lt;&gt;"Open", 0,
    COUNTIFS(GrinderServices!$B$4:$B$998, $K788, GrinderServices!$C$4:$C$998, $E788, GrinderServices!$E$4:$E$998, "Y")=0, 0,
    $X788&lt;Config!$B$16, 0,
    Config!$B$18=1, IF($O788&gt;=N788, 0, 1),
    TRUE, 1
), "")
</f>
        <v>0</v>
      </c>
      <c r="AF788" s="40" t="str">
        <f>IFERROR(IF($AE788=0,"",((Config!$B$6*$Y788 + Config!$B$7*$U788 + Config!$B$8*$Z788 + Config!$B$9*$AA788 + Config!$B$10*$AB788 + Config!$B$11*$AC788 - Config!$B$12*$AD788)/Config!$B$13)+$AK788+$AL788),"")</f>
        <v/>
      </c>
      <c r="AG788" s="40" t="str">
        <f t="shared" si="6"/>
        <v/>
      </c>
      <c r="AH788" s="40" t="str">
        <f t="shared" si="7"/>
        <v/>
      </c>
      <c r="AI788" s="40" t="str">
        <f t="shared" si="8"/>
        <v/>
      </c>
      <c r="AJ788" s="40" t="str">
        <f>IF($K788="","",COUNTIF(Assignments!$B$6:$B$1000,$K788))</f>
        <v/>
      </c>
      <c r="AK788" s="40" t="str">
        <f>IF($K788="","",IF(AND($AJ788=0,$O788&lt;$N788),Config!$B$43,0))</f>
        <v/>
      </c>
      <c r="AL788" s="40" t="str">
        <f>IF($K788="","",IF(AND($M788="Elite",$G788&gt;=Config!$B$41,$O788&lt;$N788),Config!$B$42,0))</f>
        <v/>
      </c>
      <c r="AM788" s="22"/>
    </row>
    <row r="789" ht="15.75" customHeight="1">
      <c r="A789" s="40" t="str">
        <f t="shared" si="1"/>
        <v/>
      </c>
      <c r="B789" s="40" t="str">
        <f>IF(Bids!$A788="","",Bids!$A788)</f>
        <v/>
      </c>
      <c r="C789" s="40" t="str">
        <f>IF(Bids!$B788="","",Bids!$B788)</f>
        <v/>
      </c>
      <c r="D789" s="40" t="str">
        <f>IF($C789="","",IFERROR(VLOOKUP($C789,Orders!$A$4:$J$998,9,FALSE),""))</f>
        <v/>
      </c>
      <c r="E789" s="40" t="str">
        <f>IF($C789="","",IFERROR(VLOOKUP($C789,Orders!$A$4:$J$998,3,FALSE),""))</f>
        <v/>
      </c>
      <c r="F789" s="40">
        <f t="shared" si="2"/>
        <v>1</v>
      </c>
      <c r="G789" s="40" t="str">
        <f>IF($C789="","",IFERROR(VLOOKUP($C789,Orders!$A$4:$J$998,4,FALSE),""))</f>
        <v/>
      </c>
      <c r="H789" s="40" t="str">
        <f>IF($C789="","",IFERROR(VLOOKUP($C789,Orders!$A$4:$J$998,5,FALSE),""))</f>
        <v/>
      </c>
      <c r="I789" s="40" t="str">
        <f>IF($C789="","",IFERROR(VLOOKUP($C789,Orders!$A$4:$J$998,6,FALSE),""))</f>
        <v/>
      </c>
      <c r="J789" s="40" t="str">
        <f>IF($C789="","",IFERROR(VLOOKUP($C789,Orders!$A$4:$J$998,7,FALSE),""))</f>
        <v/>
      </c>
      <c r="K789" s="40" t="str">
        <f>IF(Bids!$C788="","",Bids!$C788)</f>
        <v/>
      </c>
      <c r="L789" s="40" t="str">
        <f>IF($K789="","",IFERROR(VLOOKUP($K789,Grinders!$A$4:$N$998,2,FALSE),""))</f>
        <v/>
      </c>
      <c r="M789" s="40" t="str">
        <f>IF($K789="","",IFERROR(VLOOKUP($K789,Grinders!$A$4:$N$998,3,FALSE),""))</f>
        <v/>
      </c>
      <c r="N789" s="40" t="str">
        <f>IF($K789="","",IFERROR(VLOOKUP($K789,Grinders!$A$4:$N$998,4,FALSE),""))</f>
        <v/>
      </c>
      <c r="O789" s="40" t="str">
        <f>IF($K789="","",IFERROR(VLOOKUP($K789,Grinders!$A$4:$N$998,5,FALSE),""))</f>
        <v/>
      </c>
      <c r="P789" s="40" t="str">
        <f>IF($K789="","",IF($C$4="",0,COUNTIFS(Assignments!$B$6:$B$1000,$K789,Assignments!$F$6:$F$1000,$C$4,Assignments!$E$6:$E$1000,"Active")))</f>
        <v/>
      </c>
      <c r="Q789" s="40" t="str">
        <f t="shared" si="3"/>
        <v/>
      </c>
      <c r="R789" s="40" t="str">
        <f t="shared" si="4"/>
        <v/>
      </c>
      <c r="S789" s="40" t="str">
        <f>IF($K789="","",IF($C$4="",0,COUNTIFS(Assignments!$B$6:$B$1000,$K789,Assignments!$F$6:$F$1000,$C$4,Assignments!$D$6:$D$1000,"&gt;="&amp;Config!$B$3-7,Assignments!$D$6:$D$1000,"&lt;="&amp;Config!$B$3)))</f>
        <v/>
      </c>
      <c r="T789" s="40" t="str">
        <f>IF($K789="","",IFERROR(VLOOKUP($K789,Grinders!$A$4:$N$998,8,FALSE),""))</f>
        <v/>
      </c>
      <c r="U789" s="40" t="str">
        <f>IFERROR(IF($K789="","",IF($M789="Elite",MAX(50,MIN(100,Config!$B$27*MAX(0,MIN(100,(1-IF($R789="",0,$R789))*100)) + Config!$B$28*MAX(0,MIN(100,(1-MIN(1,IF(Config!$B$30=0,1,$S789/Config!$B$30)))*100)) + Config!$B$29*MAX(0,MIN(100,MIN(1,IF($T789="",0,$T789)/Config!$B$23)*100)))),MIN(100,Config!$B$27*MAX(0,MIN(100,(1-IF($R789="",0,$R789))*100)) + Config!$B$28*MAX(0,MIN(100,(1-MIN(1,IF(Config!$B$30=0,1,$S789/Config!$B$30)))*100)) + Config!$B$29*MAX(0,MIN(100,MIN(1,IF($T789="",0,$T789)/Config!$B$23)*100))))),"")
</f>
        <v/>
      </c>
      <c r="V789" s="40" t="str">
        <f>IF(Bids!$D788="","",Bids!$D788)</f>
        <v/>
      </c>
      <c r="W789" s="40" t="str">
        <f>IF(Bids!$F788="","",Bids!$F788)</f>
        <v/>
      </c>
      <c r="X789" s="40" t="str">
        <f t="shared" si="5"/>
        <v/>
      </c>
      <c r="Y789" s="40" t="str">
        <f>IF($X789="","",IF(Config!$B$17=Config!$B$16,IF($X789&gt;=Config!$B$17,100,0),MAX(0,MIN(100,($X789-Config!$B$16)/(Config!$B$17-Config!$B$16)*100))))</f>
        <v/>
      </c>
      <c r="Z789" s="40">
        <f>IF($M789="Elite",Config!$B$21,0)</f>
        <v>0</v>
      </c>
      <c r="AA789" s="40" t="str">
        <f>IFERROR(IF(OR($W789="",$H789=""),"",IF($W789&gt;$H789,
  MAX(0, 60-(($W789-$H789)*24/Config!$B$19)*60),
  MIN(100, 60+(($H789-$W789)*24/Config!$B$20)*40)
)),"")
</f>
        <v/>
      </c>
      <c r="AB789" s="40" t="str">
        <f>IF($K789="","",IFERROR(VLOOKUP($K789,Grinders!$A$4:$N$998,10,FALSE)/5*100,""))</f>
        <v/>
      </c>
      <c r="AC789" s="40" t="str">
        <f>IF($K789="","",IFERROR(VLOOKUP($K789,Grinders!$A$4:$N$998,11,FALSE)*100,""))</f>
        <v/>
      </c>
      <c r="AD789" s="40" t="str">
        <f>IF($K789="","",IFERROR(VLOOKUP($K789,Grinders!$A$4:$N$998,12,FALSE)*100,""))</f>
        <v/>
      </c>
      <c r="AE789" s="40">
        <f>IFERROR(IFS(
    OR($C789="", $K789=""), 0,
    $F789=0, 0,
    $D789&lt;&gt;"Open", 0,
    COUNTIFS(GrinderServices!$B$4:$B$998, $K789, GrinderServices!$C$4:$C$998, $E789, GrinderServices!$E$4:$E$998, "Y")=0, 0,
    $X789&lt;Config!$B$16, 0,
    Config!$B$18=1, IF($O789&gt;=N789, 0, 1),
    TRUE, 1
), "")
</f>
        <v>0</v>
      </c>
      <c r="AF789" s="40" t="str">
        <f>IFERROR(IF($AE789=0,"",((Config!$B$6*$Y789 + Config!$B$7*$U789 + Config!$B$8*$Z789 + Config!$B$9*$AA789 + Config!$B$10*$AB789 + Config!$B$11*$AC789 - Config!$B$12*$AD789)/Config!$B$13)+$AK789+$AL789),"")</f>
        <v/>
      </c>
      <c r="AG789" s="40" t="str">
        <f t="shared" si="6"/>
        <v/>
      </c>
      <c r="AH789" s="40" t="str">
        <f t="shared" si="7"/>
        <v/>
      </c>
      <c r="AI789" s="40" t="str">
        <f t="shared" si="8"/>
        <v/>
      </c>
      <c r="AJ789" s="40" t="str">
        <f>IF($K789="","",COUNTIF(Assignments!$B$6:$B$1000,$K789))</f>
        <v/>
      </c>
      <c r="AK789" s="40" t="str">
        <f>IF($K789="","",IF(AND($AJ789=0,$O789&lt;$N789),Config!$B$43,0))</f>
        <v/>
      </c>
      <c r="AL789" s="40" t="str">
        <f>IF($K789="","",IF(AND($M789="Elite",$G789&gt;=Config!$B$41,$O789&lt;$N789),Config!$B$42,0))</f>
        <v/>
      </c>
      <c r="AM789" s="22"/>
    </row>
    <row r="790" ht="15.75" customHeight="1">
      <c r="A790" s="40" t="str">
        <f t="shared" si="1"/>
        <v/>
      </c>
      <c r="B790" s="40" t="str">
        <f>IF(Bids!$A789="","",Bids!$A789)</f>
        <v/>
      </c>
      <c r="C790" s="40" t="str">
        <f>IF(Bids!$B789="","",Bids!$B789)</f>
        <v/>
      </c>
      <c r="D790" s="40" t="str">
        <f>IF($C790="","",IFERROR(VLOOKUP($C790,Orders!$A$4:$J$998,9,FALSE),""))</f>
        <v/>
      </c>
      <c r="E790" s="40" t="str">
        <f>IF($C790="","",IFERROR(VLOOKUP($C790,Orders!$A$4:$J$998,3,FALSE),""))</f>
        <v/>
      </c>
      <c r="F790" s="40">
        <f t="shared" si="2"/>
        <v>1</v>
      </c>
      <c r="G790" s="40" t="str">
        <f>IF($C790="","",IFERROR(VLOOKUP($C790,Orders!$A$4:$J$998,4,FALSE),""))</f>
        <v/>
      </c>
      <c r="H790" s="40" t="str">
        <f>IF($C790="","",IFERROR(VLOOKUP($C790,Orders!$A$4:$J$998,5,FALSE),""))</f>
        <v/>
      </c>
      <c r="I790" s="40" t="str">
        <f>IF($C790="","",IFERROR(VLOOKUP($C790,Orders!$A$4:$J$998,6,FALSE),""))</f>
        <v/>
      </c>
      <c r="J790" s="40" t="str">
        <f>IF($C790="","",IFERROR(VLOOKUP($C790,Orders!$A$4:$J$998,7,FALSE),""))</f>
        <v/>
      </c>
      <c r="K790" s="40" t="str">
        <f>IF(Bids!$C789="","",Bids!$C789)</f>
        <v/>
      </c>
      <c r="L790" s="40" t="str">
        <f>IF($K790="","",IFERROR(VLOOKUP($K790,Grinders!$A$4:$N$998,2,FALSE),""))</f>
        <v/>
      </c>
      <c r="M790" s="40" t="str">
        <f>IF($K790="","",IFERROR(VLOOKUP($K790,Grinders!$A$4:$N$998,3,FALSE),""))</f>
        <v/>
      </c>
      <c r="N790" s="40" t="str">
        <f>IF($K790="","",IFERROR(VLOOKUP($K790,Grinders!$A$4:$N$998,4,FALSE),""))</f>
        <v/>
      </c>
      <c r="O790" s="40" t="str">
        <f>IF($K790="","",IFERROR(VLOOKUP($K790,Grinders!$A$4:$N$998,5,FALSE),""))</f>
        <v/>
      </c>
      <c r="P790" s="40" t="str">
        <f>IF($K790="","",IF($C$4="",0,COUNTIFS(Assignments!$B$6:$B$1000,$K790,Assignments!$F$6:$F$1000,$C$4,Assignments!$E$6:$E$1000,"Active")))</f>
        <v/>
      </c>
      <c r="Q790" s="40" t="str">
        <f t="shared" si="3"/>
        <v/>
      </c>
      <c r="R790" s="40" t="str">
        <f t="shared" si="4"/>
        <v/>
      </c>
      <c r="S790" s="40" t="str">
        <f>IF($K790="","",IF($C$4="",0,COUNTIFS(Assignments!$B$6:$B$1000,$K790,Assignments!$F$6:$F$1000,$C$4,Assignments!$D$6:$D$1000,"&gt;="&amp;Config!$B$3-7,Assignments!$D$6:$D$1000,"&lt;="&amp;Config!$B$3)))</f>
        <v/>
      </c>
      <c r="T790" s="40" t="str">
        <f>IF($K790="","",IFERROR(VLOOKUP($K790,Grinders!$A$4:$N$998,8,FALSE),""))</f>
        <v/>
      </c>
      <c r="U790" s="40" t="str">
        <f>IFERROR(IF($K790="","",IF($M790="Elite",MAX(50,MIN(100,Config!$B$27*MAX(0,MIN(100,(1-IF($R790="",0,$R790))*100)) + Config!$B$28*MAX(0,MIN(100,(1-MIN(1,IF(Config!$B$30=0,1,$S790/Config!$B$30)))*100)) + Config!$B$29*MAX(0,MIN(100,MIN(1,IF($T790="",0,$T790)/Config!$B$23)*100)))),MIN(100,Config!$B$27*MAX(0,MIN(100,(1-IF($R790="",0,$R790))*100)) + Config!$B$28*MAX(0,MIN(100,(1-MIN(1,IF(Config!$B$30=0,1,$S790/Config!$B$30)))*100)) + Config!$B$29*MAX(0,MIN(100,MIN(1,IF($T790="",0,$T790)/Config!$B$23)*100))))),"")
</f>
        <v/>
      </c>
      <c r="V790" s="40" t="str">
        <f>IF(Bids!$D789="","",Bids!$D789)</f>
        <v/>
      </c>
      <c r="W790" s="40" t="str">
        <f>IF(Bids!$F789="","",Bids!$F789)</f>
        <v/>
      </c>
      <c r="X790" s="40" t="str">
        <f t="shared" si="5"/>
        <v/>
      </c>
      <c r="Y790" s="40" t="str">
        <f>IF($X790="","",IF(Config!$B$17=Config!$B$16,IF($X790&gt;=Config!$B$17,100,0),MAX(0,MIN(100,($X790-Config!$B$16)/(Config!$B$17-Config!$B$16)*100))))</f>
        <v/>
      </c>
      <c r="Z790" s="40">
        <f>IF($M790="Elite",Config!$B$21,0)</f>
        <v>0</v>
      </c>
      <c r="AA790" s="40" t="str">
        <f>IFERROR(IF(OR($W790="",$H790=""),"",IF($W790&gt;$H790,
  MAX(0, 60-(($W790-$H790)*24/Config!$B$19)*60),
  MIN(100, 60+(($H790-$W790)*24/Config!$B$20)*40)
)),"")
</f>
        <v/>
      </c>
      <c r="AB790" s="40" t="str">
        <f>IF($K790="","",IFERROR(VLOOKUP($K790,Grinders!$A$4:$N$998,10,FALSE)/5*100,""))</f>
        <v/>
      </c>
      <c r="AC790" s="40" t="str">
        <f>IF($K790="","",IFERROR(VLOOKUP($K790,Grinders!$A$4:$N$998,11,FALSE)*100,""))</f>
        <v/>
      </c>
      <c r="AD790" s="40" t="str">
        <f>IF($K790="","",IFERROR(VLOOKUP($K790,Grinders!$A$4:$N$998,12,FALSE)*100,""))</f>
        <v/>
      </c>
      <c r="AE790" s="40">
        <f>IFERROR(IFS(
    OR($C790="", $K790=""), 0,
    $F790=0, 0,
    $D790&lt;&gt;"Open", 0,
    COUNTIFS(GrinderServices!$B$4:$B$998, $K790, GrinderServices!$C$4:$C$998, $E790, GrinderServices!$E$4:$E$998, "Y")=0, 0,
    $X790&lt;Config!$B$16, 0,
    Config!$B$18=1, IF($O790&gt;=N790, 0, 1),
    TRUE, 1
), "")
</f>
        <v>0</v>
      </c>
      <c r="AF790" s="40" t="str">
        <f>IFERROR(IF($AE790=0,"",((Config!$B$6*$Y790 + Config!$B$7*$U790 + Config!$B$8*$Z790 + Config!$B$9*$AA790 + Config!$B$10*$AB790 + Config!$B$11*$AC790 - Config!$B$12*$AD790)/Config!$B$13)+$AK790+$AL790),"")</f>
        <v/>
      </c>
      <c r="AG790" s="40" t="str">
        <f t="shared" si="6"/>
        <v/>
      </c>
      <c r="AH790" s="40" t="str">
        <f t="shared" si="7"/>
        <v/>
      </c>
      <c r="AI790" s="40" t="str">
        <f t="shared" si="8"/>
        <v/>
      </c>
      <c r="AJ790" s="40" t="str">
        <f>IF($K790="","",COUNTIF(Assignments!$B$6:$B$1000,$K790))</f>
        <v/>
      </c>
      <c r="AK790" s="40" t="str">
        <f>IF($K790="","",IF(AND($AJ790=0,$O790&lt;$N790),Config!$B$43,0))</f>
        <v/>
      </c>
      <c r="AL790" s="40" t="str">
        <f>IF($K790="","",IF(AND($M790="Elite",$G790&gt;=Config!$B$41,$O790&lt;$N790),Config!$B$42,0))</f>
        <v/>
      </c>
      <c r="AM790" s="22"/>
    </row>
    <row r="791" ht="15.75" customHeight="1">
      <c r="A791" s="40" t="str">
        <f t="shared" si="1"/>
        <v/>
      </c>
      <c r="B791" s="40" t="str">
        <f>IF(Bids!$A790="","",Bids!$A790)</f>
        <v/>
      </c>
      <c r="C791" s="40" t="str">
        <f>IF(Bids!$B790="","",Bids!$B790)</f>
        <v/>
      </c>
      <c r="D791" s="40" t="str">
        <f>IF($C791="","",IFERROR(VLOOKUP($C791,Orders!$A$4:$J$998,9,FALSE),""))</f>
        <v/>
      </c>
      <c r="E791" s="40" t="str">
        <f>IF($C791="","",IFERROR(VLOOKUP($C791,Orders!$A$4:$J$998,3,FALSE),""))</f>
        <v/>
      </c>
      <c r="F791" s="40">
        <f t="shared" si="2"/>
        <v>1</v>
      </c>
      <c r="G791" s="40" t="str">
        <f>IF($C791="","",IFERROR(VLOOKUP($C791,Orders!$A$4:$J$998,4,FALSE),""))</f>
        <v/>
      </c>
      <c r="H791" s="40" t="str">
        <f>IF($C791="","",IFERROR(VLOOKUP($C791,Orders!$A$4:$J$998,5,FALSE),""))</f>
        <v/>
      </c>
      <c r="I791" s="40" t="str">
        <f>IF($C791="","",IFERROR(VLOOKUP($C791,Orders!$A$4:$J$998,6,FALSE),""))</f>
        <v/>
      </c>
      <c r="J791" s="40" t="str">
        <f>IF($C791="","",IFERROR(VLOOKUP($C791,Orders!$A$4:$J$998,7,FALSE),""))</f>
        <v/>
      </c>
      <c r="K791" s="40" t="str">
        <f>IF(Bids!$C790="","",Bids!$C790)</f>
        <v/>
      </c>
      <c r="L791" s="40" t="str">
        <f>IF($K791="","",IFERROR(VLOOKUP($K791,Grinders!$A$4:$N$998,2,FALSE),""))</f>
        <v/>
      </c>
      <c r="M791" s="40" t="str">
        <f>IF($K791="","",IFERROR(VLOOKUP($K791,Grinders!$A$4:$N$998,3,FALSE),""))</f>
        <v/>
      </c>
      <c r="N791" s="40" t="str">
        <f>IF($K791="","",IFERROR(VLOOKUP($K791,Grinders!$A$4:$N$998,4,FALSE),""))</f>
        <v/>
      </c>
      <c r="O791" s="40" t="str">
        <f>IF($K791="","",IFERROR(VLOOKUP($K791,Grinders!$A$4:$N$998,5,FALSE),""))</f>
        <v/>
      </c>
      <c r="P791" s="40" t="str">
        <f>IF($K791="","",IF($C$4="",0,COUNTIFS(Assignments!$B$6:$B$1000,$K791,Assignments!$F$6:$F$1000,$C$4,Assignments!$E$6:$E$1000,"Active")))</f>
        <v/>
      </c>
      <c r="Q791" s="40" t="str">
        <f t="shared" si="3"/>
        <v/>
      </c>
      <c r="R791" s="40" t="str">
        <f t="shared" si="4"/>
        <v/>
      </c>
      <c r="S791" s="40" t="str">
        <f>IF($K791="","",IF($C$4="",0,COUNTIFS(Assignments!$B$6:$B$1000,$K791,Assignments!$F$6:$F$1000,$C$4,Assignments!$D$6:$D$1000,"&gt;="&amp;Config!$B$3-7,Assignments!$D$6:$D$1000,"&lt;="&amp;Config!$B$3)))</f>
        <v/>
      </c>
      <c r="T791" s="40" t="str">
        <f>IF($K791="","",IFERROR(VLOOKUP($K791,Grinders!$A$4:$N$998,8,FALSE),""))</f>
        <v/>
      </c>
      <c r="U791" s="40" t="str">
        <f>IFERROR(IF($K791="","",IF($M791="Elite",MAX(50,MIN(100,Config!$B$27*MAX(0,MIN(100,(1-IF($R791="",0,$R791))*100)) + Config!$B$28*MAX(0,MIN(100,(1-MIN(1,IF(Config!$B$30=0,1,$S791/Config!$B$30)))*100)) + Config!$B$29*MAX(0,MIN(100,MIN(1,IF($T791="",0,$T791)/Config!$B$23)*100)))),MIN(100,Config!$B$27*MAX(0,MIN(100,(1-IF($R791="",0,$R791))*100)) + Config!$B$28*MAX(0,MIN(100,(1-MIN(1,IF(Config!$B$30=0,1,$S791/Config!$B$30)))*100)) + Config!$B$29*MAX(0,MIN(100,MIN(1,IF($T791="",0,$T791)/Config!$B$23)*100))))),"")
</f>
        <v/>
      </c>
      <c r="V791" s="40" t="str">
        <f>IF(Bids!$D790="","",Bids!$D790)</f>
        <v/>
      </c>
      <c r="W791" s="40" t="str">
        <f>IF(Bids!$F790="","",Bids!$F790)</f>
        <v/>
      </c>
      <c r="X791" s="40" t="str">
        <f t="shared" si="5"/>
        <v/>
      </c>
      <c r="Y791" s="40" t="str">
        <f>IF($X791="","",IF(Config!$B$17=Config!$B$16,IF($X791&gt;=Config!$B$17,100,0),MAX(0,MIN(100,($X791-Config!$B$16)/(Config!$B$17-Config!$B$16)*100))))</f>
        <v/>
      </c>
      <c r="Z791" s="40">
        <f>IF($M791="Elite",Config!$B$21,0)</f>
        <v>0</v>
      </c>
      <c r="AA791" s="40" t="str">
        <f>IFERROR(IF(OR($W791="",$H791=""),"",IF($W791&gt;$H791,
  MAX(0, 60-(($W791-$H791)*24/Config!$B$19)*60),
  MIN(100, 60+(($H791-$W791)*24/Config!$B$20)*40)
)),"")
</f>
        <v/>
      </c>
      <c r="AB791" s="40" t="str">
        <f>IF($K791="","",IFERROR(VLOOKUP($K791,Grinders!$A$4:$N$998,10,FALSE)/5*100,""))</f>
        <v/>
      </c>
      <c r="AC791" s="40" t="str">
        <f>IF($K791="","",IFERROR(VLOOKUP($K791,Grinders!$A$4:$N$998,11,FALSE)*100,""))</f>
        <v/>
      </c>
      <c r="AD791" s="40" t="str">
        <f>IF($K791="","",IFERROR(VLOOKUP($K791,Grinders!$A$4:$N$998,12,FALSE)*100,""))</f>
        <v/>
      </c>
      <c r="AE791" s="40">
        <f>IFERROR(IFS(
    OR($C791="", $K791=""), 0,
    $F791=0, 0,
    $D791&lt;&gt;"Open", 0,
    COUNTIFS(GrinderServices!$B$4:$B$998, $K791, GrinderServices!$C$4:$C$998, $E791, GrinderServices!$E$4:$E$998, "Y")=0, 0,
    $X791&lt;Config!$B$16, 0,
    Config!$B$18=1, IF($O791&gt;=N791, 0, 1),
    TRUE, 1
), "")
</f>
        <v>0</v>
      </c>
      <c r="AF791" s="40" t="str">
        <f>IFERROR(IF($AE791=0,"",((Config!$B$6*$Y791 + Config!$B$7*$U791 + Config!$B$8*$Z791 + Config!$B$9*$AA791 + Config!$B$10*$AB791 + Config!$B$11*$AC791 - Config!$B$12*$AD791)/Config!$B$13)+$AK791+$AL791),"")</f>
        <v/>
      </c>
      <c r="AG791" s="40" t="str">
        <f t="shared" si="6"/>
        <v/>
      </c>
      <c r="AH791" s="40" t="str">
        <f t="shared" si="7"/>
        <v/>
      </c>
      <c r="AI791" s="40" t="str">
        <f t="shared" si="8"/>
        <v/>
      </c>
      <c r="AJ791" s="40" t="str">
        <f>IF($K791="","",COUNTIF(Assignments!$B$6:$B$1000,$K791))</f>
        <v/>
      </c>
      <c r="AK791" s="40" t="str">
        <f>IF($K791="","",IF(AND($AJ791=0,$O791&lt;$N791),Config!$B$43,0))</f>
        <v/>
      </c>
      <c r="AL791" s="40" t="str">
        <f>IF($K791="","",IF(AND($M791="Elite",$G791&gt;=Config!$B$41,$O791&lt;$N791),Config!$B$42,0))</f>
        <v/>
      </c>
      <c r="AM791" s="22"/>
    </row>
    <row r="792" ht="15.75" customHeight="1">
      <c r="A792" s="40" t="str">
        <f t="shared" si="1"/>
        <v/>
      </c>
      <c r="B792" s="40" t="str">
        <f>IF(Bids!$A791="","",Bids!$A791)</f>
        <v/>
      </c>
      <c r="C792" s="40" t="str">
        <f>IF(Bids!$B791="","",Bids!$B791)</f>
        <v/>
      </c>
      <c r="D792" s="40" t="str">
        <f>IF($C792="","",IFERROR(VLOOKUP($C792,Orders!$A$4:$J$998,9,FALSE),""))</f>
        <v/>
      </c>
      <c r="E792" s="40" t="str">
        <f>IF($C792="","",IFERROR(VLOOKUP($C792,Orders!$A$4:$J$998,3,FALSE),""))</f>
        <v/>
      </c>
      <c r="F792" s="40">
        <f t="shared" si="2"/>
        <v>1</v>
      </c>
      <c r="G792" s="40" t="str">
        <f>IF($C792="","",IFERROR(VLOOKUP($C792,Orders!$A$4:$J$998,4,FALSE),""))</f>
        <v/>
      </c>
      <c r="H792" s="40" t="str">
        <f>IF($C792="","",IFERROR(VLOOKUP($C792,Orders!$A$4:$J$998,5,FALSE),""))</f>
        <v/>
      </c>
      <c r="I792" s="40" t="str">
        <f>IF($C792="","",IFERROR(VLOOKUP($C792,Orders!$A$4:$J$998,6,FALSE),""))</f>
        <v/>
      </c>
      <c r="J792" s="40" t="str">
        <f>IF($C792="","",IFERROR(VLOOKUP($C792,Orders!$A$4:$J$998,7,FALSE),""))</f>
        <v/>
      </c>
      <c r="K792" s="40" t="str">
        <f>IF(Bids!$C791="","",Bids!$C791)</f>
        <v/>
      </c>
      <c r="L792" s="40" t="str">
        <f>IF($K792="","",IFERROR(VLOOKUP($K792,Grinders!$A$4:$N$998,2,FALSE),""))</f>
        <v/>
      </c>
      <c r="M792" s="40" t="str">
        <f>IF($K792="","",IFERROR(VLOOKUP($K792,Grinders!$A$4:$N$998,3,FALSE),""))</f>
        <v/>
      </c>
      <c r="N792" s="40" t="str">
        <f>IF($K792="","",IFERROR(VLOOKUP($K792,Grinders!$A$4:$N$998,4,FALSE),""))</f>
        <v/>
      </c>
      <c r="O792" s="40" t="str">
        <f>IF($K792="","",IFERROR(VLOOKUP($K792,Grinders!$A$4:$N$998,5,FALSE),""))</f>
        <v/>
      </c>
      <c r="P792" s="40" t="str">
        <f>IF($K792="","",IF($C$4="",0,COUNTIFS(Assignments!$B$6:$B$1000,$K792,Assignments!$F$6:$F$1000,$C$4,Assignments!$E$6:$E$1000,"Active")))</f>
        <v/>
      </c>
      <c r="Q792" s="40" t="str">
        <f t="shared" si="3"/>
        <v/>
      </c>
      <c r="R792" s="40" t="str">
        <f t="shared" si="4"/>
        <v/>
      </c>
      <c r="S792" s="40" t="str">
        <f>IF($K792="","",IF($C$4="",0,COUNTIFS(Assignments!$B$6:$B$1000,$K792,Assignments!$F$6:$F$1000,$C$4,Assignments!$D$6:$D$1000,"&gt;="&amp;Config!$B$3-7,Assignments!$D$6:$D$1000,"&lt;="&amp;Config!$B$3)))</f>
        <v/>
      </c>
      <c r="T792" s="40" t="str">
        <f>IF($K792="","",IFERROR(VLOOKUP($K792,Grinders!$A$4:$N$998,8,FALSE),""))</f>
        <v/>
      </c>
      <c r="U792" s="40" t="str">
        <f>IFERROR(IF($K792="","",IF($M792="Elite",MAX(50,MIN(100,Config!$B$27*MAX(0,MIN(100,(1-IF($R792="",0,$R792))*100)) + Config!$B$28*MAX(0,MIN(100,(1-MIN(1,IF(Config!$B$30=0,1,$S792/Config!$B$30)))*100)) + Config!$B$29*MAX(0,MIN(100,MIN(1,IF($T792="",0,$T792)/Config!$B$23)*100)))),MIN(100,Config!$B$27*MAX(0,MIN(100,(1-IF($R792="",0,$R792))*100)) + Config!$B$28*MAX(0,MIN(100,(1-MIN(1,IF(Config!$B$30=0,1,$S792/Config!$B$30)))*100)) + Config!$B$29*MAX(0,MIN(100,MIN(1,IF($T792="",0,$T792)/Config!$B$23)*100))))),"")
</f>
        <v/>
      </c>
      <c r="V792" s="40" t="str">
        <f>IF(Bids!$D791="","",Bids!$D791)</f>
        <v/>
      </c>
      <c r="W792" s="40" t="str">
        <f>IF(Bids!$F791="","",Bids!$F791)</f>
        <v/>
      </c>
      <c r="X792" s="40" t="str">
        <f t="shared" si="5"/>
        <v/>
      </c>
      <c r="Y792" s="40" t="str">
        <f>IF($X792="","",IF(Config!$B$17=Config!$B$16,IF($X792&gt;=Config!$B$17,100,0),MAX(0,MIN(100,($X792-Config!$B$16)/(Config!$B$17-Config!$B$16)*100))))</f>
        <v/>
      </c>
      <c r="Z792" s="40">
        <f>IF($M792="Elite",Config!$B$21,0)</f>
        <v>0</v>
      </c>
      <c r="AA792" s="40" t="str">
        <f>IFERROR(IF(OR($W792="",$H792=""),"",IF($W792&gt;$H792,
  MAX(0, 60-(($W792-$H792)*24/Config!$B$19)*60),
  MIN(100, 60+(($H792-$W792)*24/Config!$B$20)*40)
)),"")
</f>
        <v/>
      </c>
      <c r="AB792" s="40" t="str">
        <f>IF($K792="","",IFERROR(VLOOKUP($K792,Grinders!$A$4:$N$998,10,FALSE)/5*100,""))</f>
        <v/>
      </c>
      <c r="AC792" s="40" t="str">
        <f>IF($K792="","",IFERROR(VLOOKUP($K792,Grinders!$A$4:$N$998,11,FALSE)*100,""))</f>
        <v/>
      </c>
      <c r="AD792" s="40" t="str">
        <f>IF($K792="","",IFERROR(VLOOKUP($K792,Grinders!$A$4:$N$998,12,FALSE)*100,""))</f>
        <v/>
      </c>
      <c r="AE792" s="40">
        <f>IFERROR(IFS(
    OR($C792="", $K792=""), 0,
    $F792=0, 0,
    $D792&lt;&gt;"Open", 0,
    COUNTIFS(GrinderServices!$B$4:$B$998, $K792, GrinderServices!$C$4:$C$998, $E792, GrinderServices!$E$4:$E$998, "Y")=0, 0,
    $X792&lt;Config!$B$16, 0,
    Config!$B$18=1, IF($O792&gt;=N792, 0, 1),
    TRUE, 1
), "")
</f>
        <v>0</v>
      </c>
      <c r="AF792" s="40" t="str">
        <f>IFERROR(IF($AE792=0,"",((Config!$B$6*$Y792 + Config!$B$7*$U792 + Config!$B$8*$Z792 + Config!$B$9*$AA792 + Config!$B$10*$AB792 + Config!$B$11*$AC792 - Config!$B$12*$AD792)/Config!$B$13)+$AK792+$AL792),"")</f>
        <v/>
      </c>
      <c r="AG792" s="40" t="str">
        <f t="shared" si="6"/>
        <v/>
      </c>
      <c r="AH792" s="40" t="str">
        <f t="shared" si="7"/>
        <v/>
      </c>
      <c r="AI792" s="40" t="str">
        <f t="shared" si="8"/>
        <v/>
      </c>
      <c r="AJ792" s="40" t="str">
        <f>IF($K792="","",COUNTIF(Assignments!$B$6:$B$1000,$K792))</f>
        <v/>
      </c>
      <c r="AK792" s="40" t="str">
        <f>IF($K792="","",IF(AND($AJ792=0,$O792&lt;$N792),Config!$B$43,0))</f>
        <v/>
      </c>
      <c r="AL792" s="40" t="str">
        <f>IF($K792="","",IF(AND($M792="Elite",$G792&gt;=Config!$B$41,$O792&lt;$N792),Config!$B$42,0))</f>
        <v/>
      </c>
      <c r="AM792" s="22"/>
    </row>
    <row r="793" ht="15.75" customHeight="1">
      <c r="A793" s="40" t="str">
        <f t="shared" si="1"/>
        <v/>
      </c>
      <c r="B793" s="40" t="str">
        <f>IF(Bids!$A792="","",Bids!$A792)</f>
        <v/>
      </c>
      <c r="C793" s="40" t="str">
        <f>IF(Bids!$B792="","",Bids!$B792)</f>
        <v/>
      </c>
      <c r="D793" s="40" t="str">
        <f>IF($C793="","",IFERROR(VLOOKUP($C793,Orders!$A$4:$J$998,9,FALSE),""))</f>
        <v/>
      </c>
      <c r="E793" s="40" t="str">
        <f>IF($C793="","",IFERROR(VLOOKUP($C793,Orders!$A$4:$J$998,3,FALSE),""))</f>
        <v/>
      </c>
      <c r="F793" s="40">
        <f t="shared" si="2"/>
        <v>1</v>
      </c>
      <c r="G793" s="40" t="str">
        <f>IF($C793="","",IFERROR(VLOOKUP($C793,Orders!$A$4:$J$998,4,FALSE),""))</f>
        <v/>
      </c>
      <c r="H793" s="40" t="str">
        <f>IF($C793="","",IFERROR(VLOOKUP($C793,Orders!$A$4:$J$998,5,FALSE),""))</f>
        <v/>
      </c>
      <c r="I793" s="40" t="str">
        <f>IF($C793="","",IFERROR(VLOOKUP($C793,Orders!$A$4:$J$998,6,FALSE),""))</f>
        <v/>
      </c>
      <c r="J793" s="40" t="str">
        <f>IF($C793="","",IFERROR(VLOOKUP($C793,Orders!$A$4:$J$998,7,FALSE),""))</f>
        <v/>
      </c>
      <c r="K793" s="40" t="str">
        <f>IF(Bids!$C792="","",Bids!$C792)</f>
        <v/>
      </c>
      <c r="L793" s="40" t="str">
        <f>IF($K793="","",IFERROR(VLOOKUP($K793,Grinders!$A$4:$N$998,2,FALSE),""))</f>
        <v/>
      </c>
      <c r="M793" s="40" t="str">
        <f>IF($K793="","",IFERROR(VLOOKUP($K793,Grinders!$A$4:$N$998,3,FALSE),""))</f>
        <v/>
      </c>
      <c r="N793" s="40" t="str">
        <f>IF($K793="","",IFERROR(VLOOKUP($K793,Grinders!$A$4:$N$998,4,FALSE),""))</f>
        <v/>
      </c>
      <c r="O793" s="40" t="str">
        <f>IF($K793="","",IFERROR(VLOOKUP($K793,Grinders!$A$4:$N$998,5,FALSE),""))</f>
        <v/>
      </c>
      <c r="P793" s="40" t="str">
        <f>IF($K793="","",IF($C$4="",0,COUNTIFS(Assignments!$B$6:$B$1000,$K793,Assignments!$F$6:$F$1000,$C$4,Assignments!$E$6:$E$1000,"Active")))</f>
        <v/>
      </c>
      <c r="Q793" s="40" t="str">
        <f t="shared" si="3"/>
        <v/>
      </c>
      <c r="R793" s="40" t="str">
        <f t="shared" si="4"/>
        <v/>
      </c>
      <c r="S793" s="40" t="str">
        <f>IF($K793="","",IF($C$4="",0,COUNTIFS(Assignments!$B$6:$B$1000,$K793,Assignments!$F$6:$F$1000,$C$4,Assignments!$D$6:$D$1000,"&gt;="&amp;Config!$B$3-7,Assignments!$D$6:$D$1000,"&lt;="&amp;Config!$B$3)))</f>
        <v/>
      </c>
      <c r="T793" s="40" t="str">
        <f>IF($K793="","",IFERROR(VLOOKUP($K793,Grinders!$A$4:$N$998,8,FALSE),""))</f>
        <v/>
      </c>
      <c r="U793" s="40" t="str">
        <f>IFERROR(IF($K793="","",IF($M793="Elite",MAX(50,MIN(100,Config!$B$27*MAX(0,MIN(100,(1-IF($R793="",0,$R793))*100)) + Config!$B$28*MAX(0,MIN(100,(1-MIN(1,IF(Config!$B$30=0,1,$S793/Config!$B$30)))*100)) + Config!$B$29*MAX(0,MIN(100,MIN(1,IF($T793="",0,$T793)/Config!$B$23)*100)))),MIN(100,Config!$B$27*MAX(0,MIN(100,(1-IF($R793="",0,$R793))*100)) + Config!$B$28*MAX(0,MIN(100,(1-MIN(1,IF(Config!$B$30=0,1,$S793/Config!$B$30)))*100)) + Config!$B$29*MAX(0,MIN(100,MIN(1,IF($T793="",0,$T793)/Config!$B$23)*100))))),"")
</f>
        <v/>
      </c>
      <c r="V793" s="40" t="str">
        <f>IF(Bids!$D792="","",Bids!$D792)</f>
        <v/>
      </c>
      <c r="W793" s="40" t="str">
        <f>IF(Bids!$F792="","",Bids!$F792)</f>
        <v/>
      </c>
      <c r="X793" s="40" t="str">
        <f t="shared" si="5"/>
        <v/>
      </c>
      <c r="Y793" s="40" t="str">
        <f>IF($X793="","",IF(Config!$B$17=Config!$B$16,IF($X793&gt;=Config!$B$17,100,0),MAX(0,MIN(100,($X793-Config!$B$16)/(Config!$B$17-Config!$B$16)*100))))</f>
        <v/>
      </c>
      <c r="Z793" s="40">
        <f>IF($M793="Elite",Config!$B$21,0)</f>
        <v>0</v>
      </c>
      <c r="AA793" s="40" t="str">
        <f>IFERROR(IF(OR($W793="",$H793=""),"",IF($W793&gt;$H793,
  MAX(0, 60-(($W793-$H793)*24/Config!$B$19)*60),
  MIN(100, 60+(($H793-$W793)*24/Config!$B$20)*40)
)),"")
</f>
        <v/>
      </c>
      <c r="AB793" s="40" t="str">
        <f>IF($K793="","",IFERROR(VLOOKUP($K793,Grinders!$A$4:$N$998,10,FALSE)/5*100,""))</f>
        <v/>
      </c>
      <c r="AC793" s="40" t="str">
        <f>IF($K793="","",IFERROR(VLOOKUP($K793,Grinders!$A$4:$N$998,11,FALSE)*100,""))</f>
        <v/>
      </c>
      <c r="AD793" s="40" t="str">
        <f>IF($K793="","",IFERROR(VLOOKUP($K793,Grinders!$A$4:$N$998,12,FALSE)*100,""))</f>
        <v/>
      </c>
      <c r="AE793" s="40">
        <f>IFERROR(IFS(
    OR($C793="", $K793=""), 0,
    $F793=0, 0,
    $D793&lt;&gt;"Open", 0,
    COUNTIFS(GrinderServices!$B$4:$B$998, $K793, GrinderServices!$C$4:$C$998, $E793, GrinderServices!$E$4:$E$998, "Y")=0, 0,
    $X793&lt;Config!$B$16, 0,
    Config!$B$18=1, IF($O793&gt;=N793, 0, 1),
    TRUE, 1
), "")
</f>
        <v>0</v>
      </c>
      <c r="AF793" s="40" t="str">
        <f>IFERROR(IF($AE793=0,"",((Config!$B$6*$Y793 + Config!$B$7*$U793 + Config!$B$8*$Z793 + Config!$B$9*$AA793 + Config!$B$10*$AB793 + Config!$B$11*$AC793 - Config!$B$12*$AD793)/Config!$B$13)+$AK793+$AL793),"")</f>
        <v/>
      </c>
      <c r="AG793" s="40" t="str">
        <f t="shared" si="6"/>
        <v/>
      </c>
      <c r="AH793" s="40" t="str">
        <f t="shared" si="7"/>
        <v/>
      </c>
      <c r="AI793" s="40" t="str">
        <f t="shared" si="8"/>
        <v/>
      </c>
      <c r="AJ793" s="40" t="str">
        <f>IF($K793="","",COUNTIF(Assignments!$B$6:$B$1000,$K793))</f>
        <v/>
      </c>
      <c r="AK793" s="40" t="str">
        <f>IF($K793="","",IF(AND($AJ793=0,$O793&lt;$N793),Config!$B$43,0))</f>
        <v/>
      </c>
      <c r="AL793" s="40" t="str">
        <f>IF($K793="","",IF(AND($M793="Elite",$G793&gt;=Config!$B$41,$O793&lt;$N793),Config!$B$42,0))</f>
        <v/>
      </c>
      <c r="AM793" s="22"/>
    </row>
    <row r="794" ht="15.75" customHeight="1">
      <c r="A794" s="40" t="str">
        <f t="shared" si="1"/>
        <v/>
      </c>
      <c r="B794" s="40" t="str">
        <f>IF(Bids!$A793="","",Bids!$A793)</f>
        <v/>
      </c>
      <c r="C794" s="40" t="str">
        <f>IF(Bids!$B793="","",Bids!$B793)</f>
        <v/>
      </c>
      <c r="D794" s="40" t="str">
        <f>IF($C794="","",IFERROR(VLOOKUP($C794,Orders!$A$4:$J$998,9,FALSE),""))</f>
        <v/>
      </c>
      <c r="E794" s="40" t="str">
        <f>IF($C794="","",IFERROR(VLOOKUP($C794,Orders!$A$4:$J$998,3,FALSE),""))</f>
        <v/>
      </c>
      <c r="F794" s="40">
        <f t="shared" si="2"/>
        <v>1</v>
      </c>
      <c r="G794" s="40" t="str">
        <f>IF($C794="","",IFERROR(VLOOKUP($C794,Orders!$A$4:$J$998,4,FALSE),""))</f>
        <v/>
      </c>
      <c r="H794" s="40" t="str">
        <f>IF($C794="","",IFERROR(VLOOKUP($C794,Orders!$A$4:$J$998,5,FALSE),""))</f>
        <v/>
      </c>
      <c r="I794" s="40" t="str">
        <f>IF($C794="","",IFERROR(VLOOKUP($C794,Orders!$A$4:$J$998,6,FALSE),""))</f>
        <v/>
      </c>
      <c r="J794" s="40" t="str">
        <f>IF($C794="","",IFERROR(VLOOKUP($C794,Orders!$A$4:$J$998,7,FALSE),""))</f>
        <v/>
      </c>
      <c r="K794" s="40" t="str">
        <f>IF(Bids!$C793="","",Bids!$C793)</f>
        <v/>
      </c>
      <c r="L794" s="40" t="str">
        <f>IF($K794="","",IFERROR(VLOOKUP($K794,Grinders!$A$4:$N$998,2,FALSE),""))</f>
        <v/>
      </c>
      <c r="M794" s="40" t="str">
        <f>IF($K794="","",IFERROR(VLOOKUP($K794,Grinders!$A$4:$N$998,3,FALSE),""))</f>
        <v/>
      </c>
      <c r="N794" s="40" t="str">
        <f>IF($K794="","",IFERROR(VLOOKUP($K794,Grinders!$A$4:$N$998,4,FALSE),""))</f>
        <v/>
      </c>
      <c r="O794" s="40" t="str">
        <f>IF($K794="","",IFERROR(VLOOKUP($K794,Grinders!$A$4:$N$998,5,FALSE),""))</f>
        <v/>
      </c>
      <c r="P794" s="40" t="str">
        <f>IF($K794="","",IF($C$4="",0,COUNTIFS(Assignments!$B$6:$B$1000,$K794,Assignments!$F$6:$F$1000,$C$4,Assignments!$E$6:$E$1000,"Active")))</f>
        <v/>
      </c>
      <c r="Q794" s="40" t="str">
        <f t="shared" si="3"/>
        <v/>
      </c>
      <c r="R794" s="40" t="str">
        <f t="shared" si="4"/>
        <v/>
      </c>
      <c r="S794" s="40" t="str">
        <f>IF($K794="","",IF($C$4="",0,COUNTIFS(Assignments!$B$6:$B$1000,$K794,Assignments!$F$6:$F$1000,$C$4,Assignments!$D$6:$D$1000,"&gt;="&amp;Config!$B$3-7,Assignments!$D$6:$D$1000,"&lt;="&amp;Config!$B$3)))</f>
        <v/>
      </c>
      <c r="T794" s="40" t="str">
        <f>IF($K794="","",IFERROR(VLOOKUP($K794,Grinders!$A$4:$N$998,8,FALSE),""))</f>
        <v/>
      </c>
      <c r="U794" s="40" t="str">
        <f>IFERROR(IF($K794="","",IF($M794="Elite",MAX(50,MIN(100,Config!$B$27*MAX(0,MIN(100,(1-IF($R794="",0,$R794))*100)) + Config!$B$28*MAX(0,MIN(100,(1-MIN(1,IF(Config!$B$30=0,1,$S794/Config!$B$30)))*100)) + Config!$B$29*MAX(0,MIN(100,MIN(1,IF($T794="",0,$T794)/Config!$B$23)*100)))),MIN(100,Config!$B$27*MAX(0,MIN(100,(1-IF($R794="",0,$R794))*100)) + Config!$B$28*MAX(0,MIN(100,(1-MIN(1,IF(Config!$B$30=0,1,$S794/Config!$B$30)))*100)) + Config!$B$29*MAX(0,MIN(100,MIN(1,IF($T794="",0,$T794)/Config!$B$23)*100))))),"")
</f>
        <v/>
      </c>
      <c r="V794" s="40" t="str">
        <f>IF(Bids!$D793="","",Bids!$D793)</f>
        <v/>
      </c>
      <c r="W794" s="40" t="str">
        <f>IF(Bids!$F793="","",Bids!$F793)</f>
        <v/>
      </c>
      <c r="X794" s="40" t="str">
        <f t="shared" si="5"/>
        <v/>
      </c>
      <c r="Y794" s="40" t="str">
        <f>IF($X794="","",IF(Config!$B$17=Config!$B$16,IF($X794&gt;=Config!$B$17,100,0),MAX(0,MIN(100,($X794-Config!$B$16)/(Config!$B$17-Config!$B$16)*100))))</f>
        <v/>
      </c>
      <c r="Z794" s="40">
        <f>IF($M794="Elite",Config!$B$21,0)</f>
        <v>0</v>
      </c>
      <c r="AA794" s="40" t="str">
        <f>IFERROR(IF(OR($W794="",$H794=""),"",IF($W794&gt;$H794,
  MAX(0, 60-(($W794-$H794)*24/Config!$B$19)*60),
  MIN(100, 60+(($H794-$W794)*24/Config!$B$20)*40)
)),"")
</f>
        <v/>
      </c>
      <c r="AB794" s="40" t="str">
        <f>IF($K794="","",IFERROR(VLOOKUP($K794,Grinders!$A$4:$N$998,10,FALSE)/5*100,""))</f>
        <v/>
      </c>
      <c r="AC794" s="40" t="str">
        <f>IF($K794="","",IFERROR(VLOOKUP($K794,Grinders!$A$4:$N$998,11,FALSE)*100,""))</f>
        <v/>
      </c>
      <c r="AD794" s="40" t="str">
        <f>IF($K794="","",IFERROR(VLOOKUP($K794,Grinders!$A$4:$N$998,12,FALSE)*100,""))</f>
        <v/>
      </c>
      <c r="AE794" s="40">
        <f>IFERROR(IFS(
    OR($C794="", $K794=""), 0,
    $F794=0, 0,
    $D794&lt;&gt;"Open", 0,
    COUNTIFS(GrinderServices!$B$4:$B$998, $K794, GrinderServices!$C$4:$C$998, $E794, GrinderServices!$E$4:$E$998, "Y")=0, 0,
    $X794&lt;Config!$B$16, 0,
    Config!$B$18=1, IF($O794&gt;=N794, 0, 1),
    TRUE, 1
), "")
</f>
        <v>0</v>
      </c>
      <c r="AF794" s="40" t="str">
        <f>IFERROR(IF($AE794=0,"",((Config!$B$6*$Y794 + Config!$B$7*$U794 + Config!$B$8*$Z794 + Config!$B$9*$AA794 + Config!$B$10*$AB794 + Config!$B$11*$AC794 - Config!$B$12*$AD794)/Config!$B$13)+$AK794+$AL794),"")</f>
        <v/>
      </c>
      <c r="AG794" s="40" t="str">
        <f t="shared" si="6"/>
        <v/>
      </c>
      <c r="AH794" s="40" t="str">
        <f t="shared" si="7"/>
        <v/>
      </c>
      <c r="AI794" s="40" t="str">
        <f t="shared" si="8"/>
        <v/>
      </c>
      <c r="AJ794" s="40" t="str">
        <f>IF($K794="","",COUNTIF(Assignments!$B$6:$B$1000,$K794))</f>
        <v/>
      </c>
      <c r="AK794" s="40" t="str">
        <f>IF($K794="","",IF(AND($AJ794=0,$O794&lt;$N794),Config!$B$43,0))</f>
        <v/>
      </c>
      <c r="AL794" s="40" t="str">
        <f>IF($K794="","",IF(AND($M794="Elite",$G794&gt;=Config!$B$41,$O794&lt;$N794),Config!$B$42,0))</f>
        <v/>
      </c>
      <c r="AM794" s="22"/>
    </row>
    <row r="795" ht="15.75" customHeight="1">
      <c r="A795" s="40" t="str">
        <f t="shared" si="1"/>
        <v/>
      </c>
      <c r="B795" s="40" t="str">
        <f>IF(Bids!$A794="","",Bids!$A794)</f>
        <v/>
      </c>
      <c r="C795" s="40" t="str">
        <f>IF(Bids!$B794="","",Bids!$B794)</f>
        <v/>
      </c>
      <c r="D795" s="40" t="str">
        <f>IF($C795="","",IFERROR(VLOOKUP($C795,Orders!$A$4:$J$998,9,FALSE),""))</f>
        <v/>
      </c>
      <c r="E795" s="40" t="str">
        <f>IF($C795="","",IFERROR(VLOOKUP($C795,Orders!$A$4:$J$998,3,FALSE),""))</f>
        <v/>
      </c>
      <c r="F795" s="40">
        <f t="shared" si="2"/>
        <v>1</v>
      </c>
      <c r="G795" s="40" t="str">
        <f>IF($C795="","",IFERROR(VLOOKUP($C795,Orders!$A$4:$J$998,4,FALSE),""))</f>
        <v/>
      </c>
      <c r="H795" s="40" t="str">
        <f>IF($C795="","",IFERROR(VLOOKUP($C795,Orders!$A$4:$J$998,5,FALSE),""))</f>
        <v/>
      </c>
      <c r="I795" s="40" t="str">
        <f>IF($C795="","",IFERROR(VLOOKUP($C795,Orders!$A$4:$J$998,6,FALSE),""))</f>
        <v/>
      </c>
      <c r="J795" s="40" t="str">
        <f>IF($C795="","",IFERROR(VLOOKUP($C795,Orders!$A$4:$J$998,7,FALSE),""))</f>
        <v/>
      </c>
      <c r="K795" s="40" t="str">
        <f>IF(Bids!$C794="","",Bids!$C794)</f>
        <v/>
      </c>
      <c r="L795" s="40" t="str">
        <f>IF($K795="","",IFERROR(VLOOKUP($K795,Grinders!$A$4:$N$998,2,FALSE),""))</f>
        <v/>
      </c>
      <c r="M795" s="40" t="str">
        <f>IF($K795="","",IFERROR(VLOOKUP($K795,Grinders!$A$4:$N$998,3,FALSE),""))</f>
        <v/>
      </c>
      <c r="N795" s="40" t="str">
        <f>IF($K795="","",IFERROR(VLOOKUP($K795,Grinders!$A$4:$N$998,4,FALSE),""))</f>
        <v/>
      </c>
      <c r="O795" s="40" t="str">
        <f>IF($K795="","",IFERROR(VLOOKUP($K795,Grinders!$A$4:$N$998,5,FALSE),""))</f>
        <v/>
      </c>
      <c r="P795" s="40" t="str">
        <f>IF($K795="","",IF($C$4="",0,COUNTIFS(Assignments!$B$6:$B$1000,$K795,Assignments!$F$6:$F$1000,$C$4,Assignments!$E$6:$E$1000,"Active")))</f>
        <v/>
      </c>
      <c r="Q795" s="40" t="str">
        <f t="shared" si="3"/>
        <v/>
      </c>
      <c r="R795" s="40" t="str">
        <f t="shared" si="4"/>
        <v/>
      </c>
      <c r="S795" s="40" t="str">
        <f>IF($K795="","",IF($C$4="",0,COUNTIFS(Assignments!$B$6:$B$1000,$K795,Assignments!$F$6:$F$1000,$C$4,Assignments!$D$6:$D$1000,"&gt;="&amp;Config!$B$3-7,Assignments!$D$6:$D$1000,"&lt;="&amp;Config!$B$3)))</f>
        <v/>
      </c>
      <c r="T795" s="40" t="str">
        <f>IF($K795="","",IFERROR(VLOOKUP($K795,Grinders!$A$4:$N$998,8,FALSE),""))</f>
        <v/>
      </c>
      <c r="U795" s="40" t="str">
        <f>IFERROR(IF($K795="","",IF($M795="Elite",MAX(50,MIN(100,Config!$B$27*MAX(0,MIN(100,(1-IF($R795="",0,$R795))*100)) + Config!$B$28*MAX(0,MIN(100,(1-MIN(1,IF(Config!$B$30=0,1,$S795/Config!$B$30)))*100)) + Config!$B$29*MAX(0,MIN(100,MIN(1,IF($T795="",0,$T795)/Config!$B$23)*100)))),MIN(100,Config!$B$27*MAX(0,MIN(100,(1-IF($R795="",0,$R795))*100)) + Config!$B$28*MAX(0,MIN(100,(1-MIN(1,IF(Config!$B$30=0,1,$S795/Config!$B$30)))*100)) + Config!$B$29*MAX(0,MIN(100,MIN(1,IF($T795="",0,$T795)/Config!$B$23)*100))))),"")
</f>
        <v/>
      </c>
      <c r="V795" s="40" t="str">
        <f>IF(Bids!$D794="","",Bids!$D794)</f>
        <v/>
      </c>
      <c r="W795" s="40" t="str">
        <f>IF(Bids!$F794="","",Bids!$F794)</f>
        <v/>
      </c>
      <c r="X795" s="40" t="str">
        <f t="shared" si="5"/>
        <v/>
      </c>
      <c r="Y795" s="40" t="str">
        <f>IF($X795="","",IF(Config!$B$17=Config!$B$16,IF($X795&gt;=Config!$B$17,100,0),MAX(0,MIN(100,($X795-Config!$B$16)/(Config!$B$17-Config!$B$16)*100))))</f>
        <v/>
      </c>
      <c r="Z795" s="40">
        <f>IF($M795="Elite",Config!$B$21,0)</f>
        <v>0</v>
      </c>
      <c r="AA795" s="40" t="str">
        <f>IFERROR(IF(OR($W795="",$H795=""),"",IF($W795&gt;$H795,
  MAX(0, 60-(($W795-$H795)*24/Config!$B$19)*60),
  MIN(100, 60+(($H795-$W795)*24/Config!$B$20)*40)
)),"")
</f>
        <v/>
      </c>
      <c r="AB795" s="40" t="str">
        <f>IF($K795="","",IFERROR(VLOOKUP($K795,Grinders!$A$4:$N$998,10,FALSE)/5*100,""))</f>
        <v/>
      </c>
      <c r="AC795" s="40" t="str">
        <f>IF($K795="","",IFERROR(VLOOKUP($K795,Grinders!$A$4:$N$998,11,FALSE)*100,""))</f>
        <v/>
      </c>
      <c r="AD795" s="40" t="str">
        <f>IF($K795="","",IFERROR(VLOOKUP($K795,Grinders!$A$4:$N$998,12,FALSE)*100,""))</f>
        <v/>
      </c>
      <c r="AE795" s="40">
        <f>IFERROR(IFS(
    OR($C795="", $K795=""), 0,
    $F795=0, 0,
    $D795&lt;&gt;"Open", 0,
    COUNTIFS(GrinderServices!$B$4:$B$998, $K795, GrinderServices!$C$4:$C$998, $E795, GrinderServices!$E$4:$E$998, "Y")=0, 0,
    $X795&lt;Config!$B$16, 0,
    Config!$B$18=1, IF($O795&gt;=N795, 0, 1),
    TRUE, 1
), "")
</f>
        <v>0</v>
      </c>
      <c r="AF795" s="40" t="str">
        <f>IFERROR(IF($AE795=0,"",((Config!$B$6*$Y795 + Config!$B$7*$U795 + Config!$B$8*$Z795 + Config!$B$9*$AA795 + Config!$B$10*$AB795 + Config!$B$11*$AC795 - Config!$B$12*$AD795)/Config!$B$13)+$AK795+$AL795),"")</f>
        <v/>
      </c>
      <c r="AG795" s="40" t="str">
        <f t="shared" si="6"/>
        <v/>
      </c>
      <c r="AH795" s="40" t="str">
        <f t="shared" si="7"/>
        <v/>
      </c>
      <c r="AI795" s="40" t="str">
        <f t="shared" si="8"/>
        <v/>
      </c>
      <c r="AJ795" s="40" t="str">
        <f>IF($K795="","",COUNTIF(Assignments!$B$6:$B$1000,$K795))</f>
        <v/>
      </c>
      <c r="AK795" s="40" t="str">
        <f>IF($K795="","",IF(AND($AJ795=0,$O795&lt;$N795),Config!$B$43,0))</f>
        <v/>
      </c>
      <c r="AL795" s="40" t="str">
        <f>IF($K795="","",IF(AND($M795="Elite",$G795&gt;=Config!$B$41,$O795&lt;$N795),Config!$B$42,0))</f>
        <v/>
      </c>
      <c r="AM795" s="22"/>
    </row>
    <row r="796" ht="15.75" customHeight="1">
      <c r="A796" s="40" t="str">
        <f t="shared" si="1"/>
        <v/>
      </c>
      <c r="B796" s="40" t="str">
        <f>IF(Bids!$A795="","",Bids!$A795)</f>
        <v/>
      </c>
      <c r="C796" s="40" t="str">
        <f>IF(Bids!$B795="","",Bids!$B795)</f>
        <v/>
      </c>
      <c r="D796" s="40" t="str">
        <f>IF($C796="","",IFERROR(VLOOKUP($C796,Orders!$A$4:$J$998,9,FALSE),""))</f>
        <v/>
      </c>
      <c r="E796" s="40" t="str">
        <f>IF($C796="","",IFERROR(VLOOKUP($C796,Orders!$A$4:$J$998,3,FALSE),""))</f>
        <v/>
      </c>
      <c r="F796" s="40">
        <f t="shared" si="2"/>
        <v>1</v>
      </c>
      <c r="G796" s="40" t="str">
        <f>IF($C796="","",IFERROR(VLOOKUP($C796,Orders!$A$4:$J$998,4,FALSE),""))</f>
        <v/>
      </c>
      <c r="H796" s="40" t="str">
        <f>IF($C796="","",IFERROR(VLOOKUP($C796,Orders!$A$4:$J$998,5,FALSE),""))</f>
        <v/>
      </c>
      <c r="I796" s="40" t="str">
        <f>IF($C796="","",IFERROR(VLOOKUP($C796,Orders!$A$4:$J$998,6,FALSE),""))</f>
        <v/>
      </c>
      <c r="J796" s="40" t="str">
        <f>IF($C796="","",IFERROR(VLOOKUP($C796,Orders!$A$4:$J$998,7,FALSE),""))</f>
        <v/>
      </c>
      <c r="K796" s="40" t="str">
        <f>IF(Bids!$C795="","",Bids!$C795)</f>
        <v/>
      </c>
      <c r="L796" s="40" t="str">
        <f>IF($K796="","",IFERROR(VLOOKUP($K796,Grinders!$A$4:$N$998,2,FALSE),""))</f>
        <v/>
      </c>
      <c r="M796" s="40" t="str">
        <f>IF($K796="","",IFERROR(VLOOKUP($K796,Grinders!$A$4:$N$998,3,FALSE),""))</f>
        <v/>
      </c>
      <c r="N796" s="40" t="str">
        <f>IF($K796="","",IFERROR(VLOOKUP($K796,Grinders!$A$4:$N$998,4,FALSE),""))</f>
        <v/>
      </c>
      <c r="O796" s="40" t="str">
        <f>IF($K796="","",IFERROR(VLOOKUP($K796,Grinders!$A$4:$N$998,5,FALSE),""))</f>
        <v/>
      </c>
      <c r="P796" s="40" t="str">
        <f>IF($K796="","",IF($C$4="",0,COUNTIFS(Assignments!$B$6:$B$1000,$K796,Assignments!$F$6:$F$1000,$C$4,Assignments!$E$6:$E$1000,"Active")))</f>
        <v/>
      </c>
      <c r="Q796" s="40" t="str">
        <f t="shared" si="3"/>
        <v/>
      </c>
      <c r="R796" s="40" t="str">
        <f t="shared" si="4"/>
        <v/>
      </c>
      <c r="S796" s="40" t="str">
        <f>IF($K796="","",IF($C$4="",0,COUNTIFS(Assignments!$B$6:$B$1000,$K796,Assignments!$F$6:$F$1000,$C$4,Assignments!$D$6:$D$1000,"&gt;="&amp;Config!$B$3-7,Assignments!$D$6:$D$1000,"&lt;="&amp;Config!$B$3)))</f>
        <v/>
      </c>
      <c r="T796" s="40" t="str">
        <f>IF($K796="","",IFERROR(VLOOKUP($K796,Grinders!$A$4:$N$998,8,FALSE),""))</f>
        <v/>
      </c>
      <c r="U796" s="40" t="str">
        <f>IFERROR(IF($K796="","",IF($M796="Elite",MAX(50,MIN(100,Config!$B$27*MAX(0,MIN(100,(1-IF($R796="",0,$R796))*100)) + Config!$B$28*MAX(0,MIN(100,(1-MIN(1,IF(Config!$B$30=0,1,$S796/Config!$B$30)))*100)) + Config!$B$29*MAX(0,MIN(100,MIN(1,IF($T796="",0,$T796)/Config!$B$23)*100)))),MIN(100,Config!$B$27*MAX(0,MIN(100,(1-IF($R796="",0,$R796))*100)) + Config!$B$28*MAX(0,MIN(100,(1-MIN(1,IF(Config!$B$30=0,1,$S796/Config!$B$30)))*100)) + Config!$B$29*MAX(0,MIN(100,MIN(1,IF($T796="",0,$T796)/Config!$B$23)*100))))),"")
</f>
        <v/>
      </c>
      <c r="V796" s="40" t="str">
        <f>IF(Bids!$D795="","",Bids!$D795)</f>
        <v/>
      </c>
      <c r="W796" s="40" t="str">
        <f>IF(Bids!$F795="","",Bids!$F795)</f>
        <v/>
      </c>
      <c r="X796" s="40" t="str">
        <f t="shared" si="5"/>
        <v/>
      </c>
      <c r="Y796" s="40" t="str">
        <f>IF($X796="","",IF(Config!$B$17=Config!$B$16,IF($X796&gt;=Config!$B$17,100,0),MAX(0,MIN(100,($X796-Config!$B$16)/(Config!$B$17-Config!$B$16)*100))))</f>
        <v/>
      </c>
      <c r="Z796" s="40">
        <f>IF($M796="Elite",Config!$B$21,0)</f>
        <v>0</v>
      </c>
      <c r="AA796" s="40" t="str">
        <f>IFERROR(IF(OR($W796="",$H796=""),"",IF($W796&gt;$H796,
  MAX(0, 60-(($W796-$H796)*24/Config!$B$19)*60),
  MIN(100, 60+(($H796-$W796)*24/Config!$B$20)*40)
)),"")
</f>
        <v/>
      </c>
      <c r="AB796" s="40" t="str">
        <f>IF($K796="","",IFERROR(VLOOKUP($K796,Grinders!$A$4:$N$998,10,FALSE)/5*100,""))</f>
        <v/>
      </c>
      <c r="AC796" s="40" t="str">
        <f>IF($K796="","",IFERROR(VLOOKUP($K796,Grinders!$A$4:$N$998,11,FALSE)*100,""))</f>
        <v/>
      </c>
      <c r="AD796" s="40" t="str">
        <f>IF($K796="","",IFERROR(VLOOKUP($K796,Grinders!$A$4:$N$998,12,FALSE)*100,""))</f>
        <v/>
      </c>
      <c r="AE796" s="40">
        <f>IFERROR(IFS(
    OR($C796="", $K796=""), 0,
    $F796=0, 0,
    $D796&lt;&gt;"Open", 0,
    COUNTIFS(GrinderServices!$B$4:$B$998, $K796, GrinderServices!$C$4:$C$998, $E796, GrinderServices!$E$4:$E$998, "Y")=0, 0,
    $X796&lt;Config!$B$16, 0,
    Config!$B$18=1, IF($O796&gt;=N796, 0, 1),
    TRUE, 1
), "")
</f>
        <v>0</v>
      </c>
      <c r="AF796" s="40" t="str">
        <f>IFERROR(IF($AE796=0,"",((Config!$B$6*$Y796 + Config!$B$7*$U796 + Config!$B$8*$Z796 + Config!$B$9*$AA796 + Config!$B$10*$AB796 + Config!$B$11*$AC796 - Config!$B$12*$AD796)/Config!$B$13)+$AK796+$AL796),"")</f>
        <v/>
      </c>
      <c r="AG796" s="40" t="str">
        <f t="shared" si="6"/>
        <v/>
      </c>
      <c r="AH796" s="40" t="str">
        <f t="shared" si="7"/>
        <v/>
      </c>
      <c r="AI796" s="40" t="str">
        <f t="shared" si="8"/>
        <v/>
      </c>
      <c r="AJ796" s="40" t="str">
        <f>IF($K796="","",COUNTIF(Assignments!$B$6:$B$1000,$K796))</f>
        <v/>
      </c>
      <c r="AK796" s="40" t="str">
        <f>IF($K796="","",IF(AND($AJ796=0,$O796&lt;$N796),Config!$B$43,0))</f>
        <v/>
      </c>
      <c r="AL796" s="40" t="str">
        <f>IF($K796="","",IF(AND($M796="Elite",$G796&gt;=Config!$B$41,$O796&lt;$N796),Config!$B$42,0))</f>
        <v/>
      </c>
      <c r="AM796" s="22"/>
    </row>
    <row r="797" ht="15.75" customHeight="1">
      <c r="A797" s="40" t="str">
        <f t="shared" si="1"/>
        <v/>
      </c>
      <c r="B797" s="40" t="str">
        <f>IF(Bids!$A796="","",Bids!$A796)</f>
        <v/>
      </c>
      <c r="C797" s="40" t="str">
        <f>IF(Bids!$B796="","",Bids!$B796)</f>
        <v/>
      </c>
      <c r="D797" s="40" t="str">
        <f>IF($C797="","",IFERROR(VLOOKUP($C797,Orders!$A$4:$J$998,9,FALSE),""))</f>
        <v/>
      </c>
      <c r="E797" s="40" t="str">
        <f>IF($C797="","",IFERROR(VLOOKUP($C797,Orders!$A$4:$J$998,3,FALSE),""))</f>
        <v/>
      </c>
      <c r="F797" s="40">
        <f t="shared" si="2"/>
        <v>1</v>
      </c>
      <c r="G797" s="40" t="str">
        <f>IF($C797="","",IFERROR(VLOOKUP($C797,Orders!$A$4:$J$998,4,FALSE),""))</f>
        <v/>
      </c>
      <c r="H797" s="40" t="str">
        <f>IF($C797="","",IFERROR(VLOOKUP($C797,Orders!$A$4:$J$998,5,FALSE),""))</f>
        <v/>
      </c>
      <c r="I797" s="40" t="str">
        <f>IF($C797="","",IFERROR(VLOOKUP($C797,Orders!$A$4:$J$998,6,FALSE),""))</f>
        <v/>
      </c>
      <c r="J797" s="40" t="str">
        <f>IF($C797="","",IFERROR(VLOOKUP($C797,Orders!$A$4:$J$998,7,FALSE),""))</f>
        <v/>
      </c>
      <c r="K797" s="40" t="str">
        <f>IF(Bids!$C796="","",Bids!$C796)</f>
        <v/>
      </c>
      <c r="L797" s="40" t="str">
        <f>IF($K797="","",IFERROR(VLOOKUP($K797,Grinders!$A$4:$N$998,2,FALSE),""))</f>
        <v/>
      </c>
      <c r="M797" s="40" t="str">
        <f>IF($K797="","",IFERROR(VLOOKUP($K797,Grinders!$A$4:$N$998,3,FALSE),""))</f>
        <v/>
      </c>
      <c r="N797" s="40" t="str">
        <f>IF($K797="","",IFERROR(VLOOKUP($K797,Grinders!$A$4:$N$998,4,FALSE),""))</f>
        <v/>
      </c>
      <c r="O797" s="40" t="str">
        <f>IF($K797="","",IFERROR(VLOOKUP($K797,Grinders!$A$4:$N$998,5,FALSE),""))</f>
        <v/>
      </c>
      <c r="P797" s="40" t="str">
        <f>IF($K797="","",IF($C$4="",0,COUNTIFS(Assignments!$B$6:$B$1000,$K797,Assignments!$F$6:$F$1000,$C$4,Assignments!$E$6:$E$1000,"Active")))</f>
        <v/>
      </c>
      <c r="Q797" s="40" t="str">
        <f t="shared" si="3"/>
        <v/>
      </c>
      <c r="R797" s="40" t="str">
        <f t="shared" si="4"/>
        <v/>
      </c>
      <c r="S797" s="40" t="str">
        <f>IF($K797="","",IF($C$4="",0,COUNTIFS(Assignments!$B$6:$B$1000,$K797,Assignments!$F$6:$F$1000,$C$4,Assignments!$D$6:$D$1000,"&gt;="&amp;Config!$B$3-7,Assignments!$D$6:$D$1000,"&lt;="&amp;Config!$B$3)))</f>
        <v/>
      </c>
      <c r="T797" s="40" t="str">
        <f>IF($K797="","",IFERROR(VLOOKUP($K797,Grinders!$A$4:$N$998,8,FALSE),""))</f>
        <v/>
      </c>
      <c r="U797" s="40" t="str">
        <f>IFERROR(IF($K797="","",IF($M797="Elite",MAX(50,MIN(100,Config!$B$27*MAX(0,MIN(100,(1-IF($R797="",0,$R797))*100)) + Config!$B$28*MAX(0,MIN(100,(1-MIN(1,IF(Config!$B$30=0,1,$S797/Config!$B$30)))*100)) + Config!$B$29*MAX(0,MIN(100,MIN(1,IF($T797="",0,$T797)/Config!$B$23)*100)))),MIN(100,Config!$B$27*MAX(0,MIN(100,(1-IF($R797="",0,$R797))*100)) + Config!$B$28*MAX(0,MIN(100,(1-MIN(1,IF(Config!$B$30=0,1,$S797/Config!$B$30)))*100)) + Config!$B$29*MAX(0,MIN(100,MIN(1,IF($T797="",0,$T797)/Config!$B$23)*100))))),"")
</f>
        <v/>
      </c>
      <c r="V797" s="40" t="str">
        <f>IF(Bids!$D796="","",Bids!$D796)</f>
        <v/>
      </c>
      <c r="W797" s="40" t="str">
        <f>IF(Bids!$F796="","",Bids!$F796)</f>
        <v/>
      </c>
      <c r="X797" s="40" t="str">
        <f t="shared" si="5"/>
        <v/>
      </c>
      <c r="Y797" s="40" t="str">
        <f>IF($X797="","",IF(Config!$B$17=Config!$B$16,IF($X797&gt;=Config!$B$17,100,0),MAX(0,MIN(100,($X797-Config!$B$16)/(Config!$B$17-Config!$B$16)*100))))</f>
        <v/>
      </c>
      <c r="Z797" s="40">
        <f>IF($M797="Elite",Config!$B$21,0)</f>
        <v>0</v>
      </c>
      <c r="AA797" s="40" t="str">
        <f>IFERROR(IF(OR($W797="",$H797=""),"",IF($W797&gt;$H797,
  MAX(0, 60-(($W797-$H797)*24/Config!$B$19)*60),
  MIN(100, 60+(($H797-$W797)*24/Config!$B$20)*40)
)),"")
</f>
        <v/>
      </c>
      <c r="AB797" s="40" t="str">
        <f>IF($K797="","",IFERROR(VLOOKUP($K797,Grinders!$A$4:$N$998,10,FALSE)/5*100,""))</f>
        <v/>
      </c>
      <c r="AC797" s="40" t="str">
        <f>IF($K797="","",IFERROR(VLOOKUP($K797,Grinders!$A$4:$N$998,11,FALSE)*100,""))</f>
        <v/>
      </c>
      <c r="AD797" s="40" t="str">
        <f>IF($K797="","",IFERROR(VLOOKUP($K797,Grinders!$A$4:$N$998,12,FALSE)*100,""))</f>
        <v/>
      </c>
      <c r="AE797" s="40">
        <f>IFERROR(IFS(
    OR($C797="", $K797=""), 0,
    $F797=0, 0,
    $D797&lt;&gt;"Open", 0,
    COUNTIFS(GrinderServices!$B$4:$B$998, $K797, GrinderServices!$C$4:$C$998, $E797, GrinderServices!$E$4:$E$998, "Y")=0, 0,
    $X797&lt;Config!$B$16, 0,
    Config!$B$18=1, IF($O797&gt;=N797, 0, 1),
    TRUE, 1
), "")
</f>
        <v>0</v>
      </c>
      <c r="AF797" s="40" t="str">
        <f>IFERROR(IF($AE797=0,"",((Config!$B$6*$Y797 + Config!$B$7*$U797 + Config!$B$8*$Z797 + Config!$B$9*$AA797 + Config!$B$10*$AB797 + Config!$B$11*$AC797 - Config!$B$12*$AD797)/Config!$B$13)+$AK797+$AL797),"")</f>
        <v/>
      </c>
      <c r="AG797" s="40" t="str">
        <f t="shared" si="6"/>
        <v/>
      </c>
      <c r="AH797" s="40" t="str">
        <f t="shared" si="7"/>
        <v/>
      </c>
      <c r="AI797" s="40" t="str">
        <f t="shared" si="8"/>
        <v/>
      </c>
      <c r="AJ797" s="40" t="str">
        <f>IF($K797="","",COUNTIF(Assignments!$B$6:$B$1000,$K797))</f>
        <v/>
      </c>
      <c r="AK797" s="40" t="str">
        <f>IF($K797="","",IF(AND($AJ797=0,$O797&lt;$N797),Config!$B$43,0))</f>
        <v/>
      </c>
      <c r="AL797" s="40" t="str">
        <f>IF($K797="","",IF(AND($M797="Elite",$G797&gt;=Config!$B$41,$O797&lt;$N797),Config!$B$42,0))</f>
        <v/>
      </c>
      <c r="AM797" s="22"/>
    </row>
    <row r="798" ht="15.75" customHeight="1">
      <c r="A798" s="40" t="str">
        <f t="shared" si="1"/>
        <v/>
      </c>
      <c r="B798" s="40" t="str">
        <f>IF(Bids!$A797="","",Bids!$A797)</f>
        <v/>
      </c>
      <c r="C798" s="40" t="str">
        <f>IF(Bids!$B797="","",Bids!$B797)</f>
        <v/>
      </c>
      <c r="D798" s="40" t="str">
        <f>IF($C798="","",IFERROR(VLOOKUP($C798,Orders!$A$4:$J$998,9,FALSE),""))</f>
        <v/>
      </c>
      <c r="E798" s="40" t="str">
        <f>IF($C798="","",IFERROR(VLOOKUP($C798,Orders!$A$4:$J$998,3,FALSE),""))</f>
        <v/>
      </c>
      <c r="F798" s="40">
        <f t="shared" si="2"/>
        <v>1</v>
      </c>
      <c r="G798" s="40" t="str">
        <f>IF($C798="","",IFERROR(VLOOKUP($C798,Orders!$A$4:$J$998,4,FALSE),""))</f>
        <v/>
      </c>
      <c r="H798" s="40" t="str">
        <f>IF($C798="","",IFERROR(VLOOKUP($C798,Orders!$A$4:$J$998,5,FALSE),""))</f>
        <v/>
      </c>
      <c r="I798" s="40" t="str">
        <f>IF($C798="","",IFERROR(VLOOKUP($C798,Orders!$A$4:$J$998,6,FALSE),""))</f>
        <v/>
      </c>
      <c r="J798" s="40" t="str">
        <f>IF($C798="","",IFERROR(VLOOKUP($C798,Orders!$A$4:$J$998,7,FALSE),""))</f>
        <v/>
      </c>
      <c r="K798" s="40" t="str">
        <f>IF(Bids!$C797="","",Bids!$C797)</f>
        <v/>
      </c>
      <c r="L798" s="40" t="str">
        <f>IF($K798="","",IFERROR(VLOOKUP($K798,Grinders!$A$4:$N$998,2,FALSE),""))</f>
        <v/>
      </c>
      <c r="M798" s="40" t="str">
        <f>IF($K798="","",IFERROR(VLOOKUP($K798,Grinders!$A$4:$N$998,3,FALSE),""))</f>
        <v/>
      </c>
      <c r="N798" s="40" t="str">
        <f>IF($K798="","",IFERROR(VLOOKUP($K798,Grinders!$A$4:$N$998,4,FALSE),""))</f>
        <v/>
      </c>
      <c r="O798" s="40" t="str">
        <f>IF($K798="","",IFERROR(VLOOKUP($K798,Grinders!$A$4:$N$998,5,FALSE),""))</f>
        <v/>
      </c>
      <c r="P798" s="40" t="str">
        <f>IF($K798="","",IF($C$4="",0,COUNTIFS(Assignments!$B$6:$B$1000,$K798,Assignments!$F$6:$F$1000,$C$4,Assignments!$E$6:$E$1000,"Active")))</f>
        <v/>
      </c>
      <c r="Q798" s="40" t="str">
        <f t="shared" si="3"/>
        <v/>
      </c>
      <c r="R798" s="40" t="str">
        <f t="shared" si="4"/>
        <v/>
      </c>
      <c r="S798" s="40" t="str">
        <f>IF($K798="","",IF($C$4="",0,COUNTIFS(Assignments!$B$6:$B$1000,$K798,Assignments!$F$6:$F$1000,$C$4,Assignments!$D$6:$D$1000,"&gt;="&amp;Config!$B$3-7,Assignments!$D$6:$D$1000,"&lt;="&amp;Config!$B$3)))</f>
        <v/>
      </c>
      <c r="T798" s="40" t="str">
        <f>IF($K798="","",IFERROR(VLOOKUP($K798,Grinders!$A$4:$N$998,8,FALSE),""))</f>
        <v/>
      </c>
      <c r="U798" s="40" t="str">
        <f>IFERROR(IF($K798="","",IF($M798="Elite",MAX(50,MIN(100,Config!$B$27*MAX(0,MIN(100,(1-IF($R798="",0,$R798))*100)) + Config!$B$28*MAX(0,MIN(100,(1-MIN(1,IF(Config!$B$30=0,1,$S798/Config!$B$30)))*100)) + Config!$B$29*MAX(0,MIN(100,MIN(1,IF($T798="",0,$T798)/Config!$B$23)*100)))),MIN(100,Config!$B$27*MAX(0,MIN(100,(1-IF($R798="",0,$R798))*100)) + Config!$B$28*MAX(0,MIN(100,(1-MIN(1,IF(Config!$B$30=0,1,$S798/Config!$B$30)))*100)) + Config!$B$29*MAX(0,MIN(100,MIN(1,IF($T798="",0,$T798)/Config!$B$23)*100))))),"")
</f>
        <v/>
      </c>
      <c r="V798" s="40" t="str">
        <f>IF(Bids!$D797="","",Bids!$D797)</f>
        <v/>
      </c>
      <c r="W798" s="40" t="str">
        <f>IF(Bids!$F797="","",Bids!$F797)</f>
        <v/>
      </c>
      <c r="X798" s="40" t="str">
        <f t="shared" si="5"/>
        <v/>
      </c>
      <c r="Y798" s="40" t="str">
        <f>IF($X798="","",IF(Config!$B$17=Config!$B$16,IF($X798&gt;=Config!$B$17,100,0),MAX(0,MIN(100,($X798-Config!$B$16)/(Config!$B$17-Config!$B$16)*100))))</f>
        <v/>
      </c>
      <c r="Z798" s="40">
        <f>IF($M798="Elite",Config!$B$21,0)</f>
        <v>0</v>
      </c>
      <c r="AA798" s="40" t="str">
        <f>IFERROR(IF(OR($W798="",$H798=""),"",IF($W798&gt;$H798,
  MAX(0, 60-(($W798-$H798)*24/Config!$B$19)*60),
  MIN(100, 60+(($H798-$W798)*24/Config!$B$20)*40)
)),"")
</f>
        <v/>
      </c>
      <c r="AB798" s="40" t="str">
        <f>IF($K798="","",IFERROR(VLOOKUP($K798,Grinders!$A$4:$N$998,10,FALSE)/5*100,""))</f>
        <v/>
      </c>
      <c r="AC798" s="40" t="str">
        <f>IF($K798="","",IFERROR(VLOOKUP($K798,Grinders!$A$4:$N$998,11,FALSE)*100,""))</f>
        <v/>
      </c>
      <c r="AD798" s="40" t="str">
        <f>IF($K798="","",IFERROR(VLOOKUP($K798,Grinders!$A$4:$N$998,12,FALSE)*100,""))</f>
        <v/>
      </c>
      <c r="AE798" s="40">
        <f>IFERROR(IFS(
    OR($C798="", $K798=""), 0,
    $F798=0, 0,
    $D798&lt;&gt;"Open", 0,
    COUNTIFS(GrinderServices!$B$4:$B$998, $K798, GrinderServices!$C$4:$C$998, $E798, GrinderServices!$E$4:$E$998, "Y")=0, 0,
    $X798&lt;Config!$B$16, 0,
    Config!$B$18=1, IF($O798&gt;=N798, 0, 1),
    TRUE, 1
), "")
</f>
        <v>0</v>
      </c>
      <c r="AF798" s="40" t="str">
        <f>IFERROR(IF($AE798=0,"",((Config!$B$6*$Y798 + Config!$B$7*$U798 + Config!$B$8*$Z798 + Config!$B$9*$AA798 + Config!$B$10*$AB798 + Config!$B$11*$AC798 - Config!$B$12*$AD798)/Config!$B$13)+$AK798+$AL798),"")</f>
        <v/>
      </c>
      <c r="AG798" s="40" t="str">
        <f t="shared" si="6"/>
        <v/>
      </c>
      <c r="AH798" s="40" t="str">
        <f t="shared" si="7"/>
        <v/>
      </c>
      <c r="AI798" s="40" t="str">
        <f t="shared" si="8"/>
        <v/>
      </c>
      <c r="AJ798" s="40" t="str">
        <f>IF($K798="","",COUNTIF(Assignments!$B$6:$B$1000,$K798))</f>
        <v/>
      </c>
      <c r="AK798" s="40" t="str">
        <f>IF($K798="","",IF(AND($AJ798=0,$O798&lt;$N798),Config!$B$43,0))</f>
        <v/>
      </c>
      <c r="AL798" s="40" t="str">
        <f>IF($K798="","",IF(AND($M798="Elite",$G798&gt;=Config!$B$41,$O798&lt;$N798),Config!$B$42,0))</f>
        <v/>
      </c>
      <c r="AM798" s="22"/>
    </row>
    <row r="799" ht="15.75" customHeight="1">
      <c r="A799" s="40" t="str">
        <f t="shared" si="1"/>
        <v/>
      </c>
      <c r="B799" s="40" t="str">
        <f>IF(Bids!$A798="","",Bids!$A798)</f>
        <v/>
      </c>
      <c r="C799" s="40" t="str">
        <f>IF(Bids!$B798="","",Bids!$B798)</f>
        <v/>
      </c>
      <c r="D799" s="40" t="str">
        <f>IF($C799="","",IFERROR(VLOOKUP($C799,Orders!$A$4:$J$998,9,FALSE),""))</f>
        <v/>
      </c>
      <c r="E799" s="40" t="str">
        <f>IF($C799="","",IFERROR(VLOOKUP($C799,Orders!$A$4:$J$998,3,FALSE),""))</f>
        <v/>
      </c>
      <c r="F799" s="40">
        <f t="shared" si="2"/>
        <v>1</v>
      </c>
      <c r="G799" s="40" t="str">
        <f>IF($C799="","",IFERROR(VLOOKUP($C799,Orders!$A$4:$J$998,4,FALSE),""))</f>
        <v/>
      </c>
      <c r="H799" s="40" t="str">
        <f>IF($C799="","",IFERROR(VLOOKUP($C799,Orders!$A$4:$J$998,5,FALSE),""))</f>
        <v/>
      </c>
      <c r="I799" s="40" t="str">
        <f>IF($C799="","",IFERROR(VLOOKUP($C799,Orders!$A$4:$J$998,6,FALSE),""))</f>
        <v/>
      </c>
      <c r="J799" s="40" t="str">
        <f>IF($C799="","",IFERROR(VLOOKUP($C799,Orders!$A$4:$J$998,7,FALSE),""))</f>
        <v/>
      </c>
      <c r="K799" s="40" t="str">
        <f>IF(Bids!$C798="","",Bids!$C798)</f>
        <v/>
      </c>
      <c r="L799" s="40" t="str">
        <f>IF($K799="","",IFERROR(VLOOKUP($K799,Grinders!$A$4:$N$998,2,FALSE),""))</f>
        <v/>
      </c>
      <c r="M799" s="40" t="str">
        <f>IF($K799="","",IFERROR(VLOOKUP($K799,Grinders!$A$4:$N$998,3,FALSE),""))</f>
        <v/>
      </c>
      <c r="N799" s="40" t="str">
        <f>IF($K799="","",IFERROR(VLOOKUP($K799,Grinders!$A$4:$N$998,4,FALSE),""))</f>
        <v/>
      </c>
      <c r="O799" s="40" t="str">
        <f>IF($K799="","",IFERROR(VLOOKUP($K799,Grinders!$A$4:$N$998,5,FALSE),""))</f>
        <v/>
      </c>
      <c r="P799" s="40" t="str">
        <f>IF($K799="","",IF($C$4="",0,COUNTIFS(Assignments!$B$6:$B$1000,$K799,Assignments!$F$6:$F$1000,$C$4,Assignments!$E$6:$E$1000,"Active")))</f>
        <v/>
      </c>
      <c r="Q799" s="40" t="str">
        <f t="shared" si="3"/>
        <v/>
      </c>
      <c r="R799" s="40" t="str">
        <f t="shared" si="4"/>
        <v/>
      </c>
      <c r="S799" s="40" t="str">
        <f>IF($K799="","",IF($C$4="",0,COUNTIFS(Assignments!$B$6:$B$1000,$K799,Assignments!$F$6:$F$1000,$C$4,Assignments!$D$6:$D$1000,"&gt;="&amp;Config!$B$3-7,Assignments!$D$6:$D$1000,"&lt;="&amp;Config!$B$3)))</f>
        <v/>
      </c>
      <c r="T799" s="40" t="str">
        <f>IF($K799="","",IFERROR(VLOOKUP($K799,Grinders!$A$4:$N$998,8,FALSE),""))</f>
        <v/>
      </c>
      <c r="U799" s="40" t="str">
        <f>IFERROR(IF($K799="","",IF($M799="Elite",MAX(50,MIN(100,Config!$B$27*MAX(0,MIN(100,(1-IF($R799="",0,$R799))*100)) + Config!$B$28*MAX(0,MIN(100,(1-MIN(1,IF(Config!$B$30=0,1,$S799/Config!$B$30)))*100)) + Config!$B$29*MAX(0,MIN(100,MIN(1,IF($T799="",0,$T799)/Config!$B$23)*100)))),MIN(100,Config!$B$27*MAX(0,MIN(100,(1-IF($R799="",0,$R799))*100)) + Config!$B$28*MAX(0,MIN(100,(1-MIN(1,IF(Config!$B$30=0,1,$S799/Config!$B$30)))*100)) + Config!$B$29*MAX(0,MIN(100,MIN(1,IF($T799="",0,$T799)/Config!$B$23)*100))))),"")
</f>
        <v/>
      </c>
      <c r="V799" s="40" t="str">
        <f>IF(Bids!$D798="","",Bids!$D798)</f>
        <v/>
      </c>
      <c r="W799" s="40" t="str">
        <f>IF(Bids!$F798="","",Bids!$F798)</f>
        <v/>
      </c>
      <c r="X799" s="40" t="str">
        <f t="shared" si="5"/>
        <v/>
      </c>
      <c r="Y799" s="40" t="str">
        <f>IF($X799="","",IF(Config!$B$17=Config!$B$16,IF($X799&gt;=Config!$B$17,100,0),MAX(0,MIN(100,($X799-Config!$B$16)/(Config!$B$17-Config!$B$16)*100))))</f>
        <v/>
      </c>
      <c r="Z799" s="40">
        <f>IF($M799="Elite",Config!$B$21,0)</f>
        <v>0</v>
      </c>
      <c r="AA799" s="40" t="str">
        <f>IFERROR(IF(OR($W799="",$H799=""),"",IF($W799&gt;$H799,
  MAX(0, 60-(($W799-$H799)*24/Config!$B$19)*60),
  MIN(100, 60+(($H799-$W799)*24/Config!$B$20)*40)
)),"")
</f>
        <v/>
      </c>
      <c r="AB799" s="40" t="str">
        <f>IF($K799="","",IFERROR(VLOOKUP($K799,Grinders!$A$4:$N$998,10,FALSE)/5*100,""))</f>
        <v/>
      </c>
      <c r="AC799" s="40" t="str">
        <f>IF($K799="","",IFERROR(VLOOKUP($K799,Grinders!$A$4:$N$998,11,FALSE)*100,""))</f>
        <v/>
      </c>
      <c r="AD799" s="40" t="str">
        <f>IF($K799="","",IFERROR(VLOOKUP($K799,Grinders!$A$4:$N$998,12,FALSE)*100,""))</f>
        <v/>
      </c>
      <c r="AE799" s="40">
        <f>IFERROR(IFS(
    OR($C799="", $K799=""), 0,
    $F799=0, 0,
    $D799&lt;&gt;"Open", 0,
    COUNTIFS(GrinderServices!$B$4:$B$998, $K799, GrinderServices!$C$4:$C$998, $E799, GrinderServices!$E$4:$E$998, "Y")=0, 0,
    $X799&lt;Config!$B$16, 0,
    Config!$B$18=1, IF($O799&gt;=N799, 0, 1),
    TRUE, 1
), "")
</f>
        <v>0</v>
      </c>
      <c r="AF799" s="40" t="str">
        <f>IFERROR(IF($AE799=0,"",((Config!$B$6*$Y799 + Config!$B$7*$U799 + Config!$B$8*$Z799 + Config!$B$9*$AA799 + Config!$B$10*$AB799 + Config!$B$11*$AC799 - Config!$B$12*$AD799)/Config!$B$13)+$AK799+$AL799),"")</f>
        <v/>
      </c>
      <c r="AG799" s="40" t="str">
        <f t="shared" si="6"/>
        <v/>
      </c>
      <c r="AH799" s="40" t="str">
        <f t="shared" si="7"/>
        <v/>
      </c>
      <c r="AI799" s="40" t="str">
        <f t="shared" si="8"/>
        <v/>
      </c>
      <c r="AJ799" s="40" t="str">
        <f>IF($K799="","",COUNTIF(Assignments!$B$6:$B$1000,$K799))</f>
        <v/>
      </c>
      <c r="AK799" s="40" t="str">
        <f>IF($K799="","",IF(AND($AJ799=0,$O799&lt;$N799),Config!$B$43,0))</f>
        <v/>
      </c>
      <c r="AL799" s="40" t="str">
        <f>IF($K799="","",IF(AND($M799="Elite",$G799&gt;=Config!$B$41,$O799&lt;$N799),Config!$B$42,0))</f>
        <v/>
      </c>
      <c r="AM799" s="22"/>
    </row>
    <row r="800" ht="15.75" customHeight="1">
      <c r="A800" s="40" t="str">
        <f t="shared" si="1"/>
        <v/>
      </c>
      <c r="B800" s="40" t="str">
        <f>IF(Bids!$A799="","",Bids!$A799)</f>
        <v/>
      </c>
      <c r="C800" s="40" t="str">
        <f>IF(Bids!$B799="","",Bids!$B799)</f>
        <v/>
      </c>
      <c r="D800" s="40" t="str">
        <f>IF($C800="","",IFERROR(VLOOKUP($C800,Orders!$A$4:$J$998,9,FALSE),""))</f>
        <v/>
      </c>
      <c r="E800" s="40" t="str">
        <f>IF($C800="","",IFERROR(VLOOKUP($C800,Orders!$A$4:$J$998,3,FALSE),""))</f>
        <v/>
      </c>
      <c r="F800" s="40">
        <f t="shared" si="2"/>
        <v>1</v>
      </c>
      <c r="G800" s="40" t="str">
        <f>IF($C800="","",IFERROR(VLOOKUP($C800,Orders!$A$4:$J$998,4,FALSE),""))</f>
        <v/>
      </c>
      <c r="H800" s="40" t="str">
        <f>IF($C800="","",IFERROR(VLOOKUP($C800,Orders!$A$4:$J$998,5,FALSE),""))</f>
        <v/>
      </c>
      <c r="I800" s="40" t="str">
        <f>IF($C800="","",IFERROR(VLOOKUP($C800,Orders!$A$4:$J$998,6,FALSE),""))</f>
        <v/>
      </c>
      <c r="J800" s="40" t="str">
        <f>IF($C800="","",IFERROR(VLOOKUP($C800,Orders!$A$4:$J$998,7,FALSE),""))</f>
        <v/>
      </c>
      <c r="K800" s="40" t="str">
        <f>IF(Bids!$C799="","",Bids!$C799)</f>
        <v/>
      </c>
      <c r="L800" s="40" t="str">
        <f>IF($K800="","",IFERROR(VLOOKUP($K800,Grinders!$A$4:$N$998,2,FALSE),""))</f>
        <v/>
      </c>
      <c r="M800" s="40" t="str">
        <f>IF($K800="","",IFERROR(VLOOKUP($K800,Grinders!$A$4:$N$998,3,FALSE),""))</f>
        <v/>
      </c>
      <c r="N800" s="40" t="str">
        <f>IF($K800="","",IFERROR(VLOOKUP($K800,Grinders!$A$4:$N$998,4,FALSE),""))</f>
        <v/>
      </c>
      <c r="O800" s="40" t="str">
        <f>IF($K800="","",IFERROR(VLOOKUP($K800,Grinders!$A$4:$N$998,5,FALSE),""))</f>
        <v/>
      </c>
      <c r="P800" s="40" t="str">
        <f>IF($K800="","",IF($C$4="",0,COUNTIFS(Assignments!$B$6:$B$1000,$K800,Assignments!$F$6:$F$1000,$C$4,Assignments!$E$6:$E$1000,"Active")))</f>
        <v/>
      </c>
      <c r="Q800" s="40" t="str">
        <f t="shared" si="3"/>
        <v/>
      </c>
      <c r="R800" s="40" t="str">
        <f t="shared" si="4"/>
        <v/>
      </c>
      <c r="S800" s="40" t="str">
        <f>IF($K800="","",IF($C$4="",0,COUNTIFS(Assignments!$B$6:$B$1000,$K800,Assignments!$F$6:$F$1000,$C$4,Assignments!$D$6:$D$1000,"&gt;="&amp;Config!$B$3-7,Assignments!$D$6:$D$1000,"&lt;="&amp;Config!$B$3)))</f>
        <v/>
      </c>
      <c r="T800" s="40" t="str">
        <f>IF($K800="","",IFERROR(VLOOKUP($K800,Grinders!$A$4:$N$998,8,FALSE),""))</f>
        <v/>
      </c>
      <c r="U800" s="40" t="str">
        <f>IFERROR(IF($K800="","",IF($M800="Elite",MAX(50,MIN(100,Config!$B$27*MAX(0,MIN(100,(1-IF($R800="",0,$R800))*100)) + Config!$B$28*MAX(0,MIN(100,(1-MIN(1,IF(Config!$B$30=0,1,$S800/Config!$B$30)))*100)) + Config!$B$29*MAX(0,MIN(100,MIN(1,IF($T800="",0,$T800)/Config!$B$23)*100)))),MIN(100,Config!$B$27*MAX(0,MIN(100,(1-IF($R800="",0,$R800))*100)) + Config!$B$28*MAX(0,MIN(100,(1-MIN(1,IF(Config!$B$30=0,1,$S800/Config!$B$30)))*100)) + Config!$B$29*MAX(0,MIN(100,MIN(1,IF($T800="",0,$T800)/Config!$B$23)*100))))),"")
</f>
        <v/>
      </c>
      <c r="V800" s="40" t="str">
        <f>IF(Bids!$D799="","",Bids!$D799)</f>
        <v/>
      </c>
      <c r="W800" s="40" t="str">
        <f>IF(Bids!$F799="","",Bids!$F799)</f>
        <v/>
      </c>
      <c r="X800" s="40" t="str">
        <f t="shared" si="5"/>
        <v/>
      </c>
      <c r="Y800" s="40" t="str">
        <f>IF($X800="","",IF(Config!$B$17=Config!$B$16,IF($X800&gt;=Config!$B$17,100,0),MAX(0,MIN(100,($X800-Config!$B$16)/(Config!$B$17-Config!$B$16)*100))))</f>
        <v/>
      </c>
      <c r="Z800" s="40">
        <f>IF($M800="Elite",Config!$B$21,0)</f>
        <v>0</v>
      </c>
      <c r="AA800" s="40" t="str">
        <f>IFERROR(IF(OR($W800="",$H800=""),"",IF($W800&gt;$H800,
  MAX(0, 60-(($W800-$H800)*24/Config!$B$19)*60),
  MIN(100, 60+(($H800-$W800)*24/Config!$B$20)*40)
)),"")
</f>
        <v/>
      </c>
      <c r="AB800" s="40" t="str">
        <f>IF($K800="","",IFERROR(VLOOKUP($K800,Grinders!$A$4:$N$998,10,FALSE)/5*100,""))</f>
        <v/>
      </c>
      <c r="AC800" s="40" t="str">
        <f>IF($K800="","",IFERROR(VLOOKUP($K800,Grinders!$A$4:$N$998,11,FALSE)*100,""))</f>
        <v/>
      </c>
      <c r="AD800" s="40" t="str">
        <f>IF($K800="","",IFERROR(VLOOKUP($K800,Grinders!$A$4:$N$998,12,FALSE)*100,""))</f>
        <v/>
      </c>
      <c r="AE800" s="40">
        <f>IFERROR(IFS(
    OR($C800="", $K800=""), 0,
    $F800=0, 0,
    $D800&lt;&gt;"Open", 0,
    COUNTIFS(GrinderServices!$B$4:$B$998, $K800, GrinderServices!$C$4:$C$998, $E800, GrinderServices!$E$4:$E$998, "Y")=0, 0,
    $X800&lt;Config!$B$16, 0,
    Config!$B$18=1, IF($O800&gt;=N800, 0, 1),
    TRUE, 1
), "")
</f>
        <v>0</v>
      </c>
      <c r="AF800" s="40" t="str">
        <f>IFERROR(IF($AE800=0,"",((Config!$B$6*$Y800 + Config!$B$7*$U800 + Config!$B$8*$Z800 + Config!$B$9*$AA800 + Config!$B$10*$AB800 + Config!$B$11*$AC800 - Config!$B$12*$AD800)/Config!$B$13)+$AK800+$AL800),"")</f>
        <v/>
      </c>
      <c r="AG800" s="40" t="str">
        <f t="shared" si="6"/>
        <v/>
      </c>
      <c r="AH800" s="40" t="str">
        <f t="shared" si="7"/>
        <v/>
      </c>
      <c r="AI800" s="40" t="str">
        <f t="shared" si="8"/>
        <v/>
      </c>
      <c r="AJ800" s="40" t="str">
        <f>IF($K800="","",COUNTIF(Assignments!$B$6:$B$1000,$K800))</f>
        <v/>
      </c>
      <c r="AK800" s="40" t="str">
        <f>IF($K800="","",IF(AND($AJ800=0,$O800&lt;$N800),Config!$B$43,0))</f>
        <v/>
      </c>
      <c r="AL800" s="40" t="str">
        <f>IF($K800="","",IF(AND($M800="Elite",$G800&gt;=Config!$B$41,$O800&lt;$N800),Config!$B$42,0))</f>
        <v/>
      </c>
      <c r="AM800" s="22"/>
    </row>
    <row r="801" ht="15.75" customHeight="1">
      <c r="A801" s="40" t="str">
        <f t="shared" si="1"/>
        <v/>
      </c>
      <c r="B801" s="40" t="str">
        <f>IF(Bids!$A800="","",Bids!$A800)</f>
        <v/>
      </c>
      <c r="C801" s="40" t="str">
        <f>IF(Bids!$B800="","",Bids!$B800)</f>
        <v/>
      </c>
      <c r="D801" s="40" t="str">
        <f>IF($C801="","",IFERROR(VLOOKUP($C801,Orders!$A$4:$J$998,9,FALSE),""))</f>
        <v/>
      </c>
      <c r="E801" s="40" t="str">
        <f>IF($C801="","",IFERROR(VLOOKUP($C801,Orders!$A$4:$J$998,3,FALSE),""))</f>
        <v/>
      </c>
      <c r="F801" s="40">
        <f t="shared" si="2"/>
        <v>1</v>
      </c>
      <c r="G801" s="40" t="str">
        <f>IF($C801="","",IFERROR(VLOOKUP($C801,Orders!$A$4:$J$998,4,FALSE),""))</f>
        <v/>
      </c>
      <c r="H801" s="40" t="str">
        <f>IF($C801="","",IFERROR(VLOOKUP($C801,Orders!$A$4:$J$998,5,FALSE),""))</f>
        <v/>
      </c>
      <c r="I801" s="40" t="str">
        <f>IF($C801="","",IFERROR(VLOOKUP($C801,Orders!$A$4:$J$998,6,FALSE),""))</f>
        <v/>
      </c>
      <c r="J801" s="40" t="str">
        <f>IF($C801="","",IFERROR(VLOOKUP($C801,Orders!$A$4:$J$998,7,FALSE),""))</f>
        <v/>
      </c>
      <c r="K801" s="40" t="str">
        <f>IF(Bids!$C800="","",Bids!$C800)</f>
        <v/>
      </c>
      <c r="L801" s="40" t="str">
        <f>IF($K801="","",IFERROR(VLOOKUP($K801,Grinders!$A$4:$N$998,2,FALSE),""))</f>
        <v/>
      </c>
      <c r="M801" s="40" t="str">
        <f>IF($K801="","",IFERROR(VLOOKUP($K801,Grinders!$A$4:$N$998,3,FALSE),""))</f>
        <v/>
      </c>
      <c r="N801" s="40" t="str">
        <f>IF($K801="","",IFERROR(VLOOKUP($K801,Grinders!$A$4:$N$998,4,FALSE),""))</f>
        <v/>
      </c>
      <c r="O801" s="40" t="str">
        <f>IF($K801="","",IFERROR(VLOOKUP($K801,Grinders!$A$4:$N$998,5,FALSE),""))</f>
        <v/>
      </c>
      <c r="P801" s="40" t="str">
        <f>IF($K801="","",IF($C$4="",0,COUNTIFS(Assignments!$B$6:$B$1000,$K801,Assignments!$F$6:$F$1000,$C$4,Assignments!$E$6:$E$1000,"Active")))</f>
        <v/>
      </c>
      <c r="Q801" s="40" t="str">
        <f t="shared" si="3"/>
        <v/>
      </c>
      <c r="R801" s="40" t="str">
        <f t="shared" si="4"/>
        <v/>
      </c>
      <c r="S801" s="40" t="str">
        <f>IF($K801="","",IF($C$4="",0,COUNTIFS(Assignments!$B$6:$B$1000,$K801,Assignments!$F$6:$F$1000,$C$4,Assignments!$D$6:$D$1000,"&gt;="&amp;Config!$B$3-7,Assignments!$D$6:$D$1000,"&lt;="&amp;Config!$B$3)))</f>
        <v/>
      </c>
      <c r="T801" s="40" t="str">
        <f>IF($K801="","",IFERROR(VLOOKUP($K801,Grinders!$A$4:$N$998,8,FALSE),""))</f>
        <v/>
      </c>
      <c r="U801" s="40" t="str">
        <f>IFERROR(IF($K801="","",IF($M801="Elite",MAX(50,MIN(100,Config!$B$27*MAX(0,MIN(100,(1-IF($R801="",0,$R801))*100)) + Config!$B$28*MAX(0,MIN(100,(1-MIN(1,IF(Config!$B$30=0,1,$S801/Config!$B$30)))*100)) + Config!$B$29*MAX(0,MIN(100,MIN(1,IF($T801="",0,$T801)/Config!$B$23)*100)))),MIN(100,Config!$B$27*MAX(0,MIN(100,(1-IF($R801="",0,$R801))*100)) + Config!$B$28*MAX(0,MIN(100,(1-MIN(1,IF(Config!$B$30=0,1,$S801/Config!$B$30)))*100)) + Config!$B$29*MAX(0,MIN(100,MIN(1,IF($T801="",0,$T801)/Config!$B$23)*100))))),"")
</f>
        <v/>
      </c>
      <c r="V801" s="40" t="str">
        <f>IF(Bids!$D800="","",Bids!$D800)</f>
        <v/>
      </c>
      <c r="W801" s="40" t="str">
        <f>IF(Bids!$F800="","",Bids!$F800)</f>
        <v/>
      </c>
      <c r="X801" s="40" t="str">
        <f t="shared" si="5"/>
        <v/>
      </c>
      <c r="Y801" s="40" t="str">
        <f>IF($X801="","",IF(Config!$B$17=Config!$B$16,IF($X801&gt;=Config!$B$17,100,0),MAX(0,MIN(100,($X801-Config!$B$16)/(Config!$B$17-Config!$B$16)*100))))</f>
        <v/>
      </c>
      <c r="Z801" s="40">
        <f>IF($M801="Elite",Config!$B$21,0)</f>
        <v>0</v>
      </c>
      <c r="AA801" s="40" t="str">
        <f>IFERROR(IF(OR($W801="",$H801=""),"",IF($W801&gt;$H801,
  MAX(0, 60-(($W801-$H801)*24/Config!$B$19)*60),
  MIN(100, 60+(($H801-$W801)*24/Config!$B$20)*40)
)),"")
</f>
        <v/>
      </c>
      <c r="AB801" s="40" t="str">
        <f>IF($K801="","",IFERROR(VLOOKUP($K801,Grinders!$A$4:$N$998,10,FALSE)/5*100,""))</f>
        <v/>
      </c>
      <c r="AC801" s="40" t="str">
        <f>IF($K801="","",IFERROR(VLOOKUP($K801,Grinders!$A$4:$N$998,11,FALSE)*100,""))</f>
        <v/>
      </c>
      <c r="AD801" s="40" t="str">
        <f>IF($K801="","",IFERROR(VLOOKUP($K801,Grinders!$A$4:$N$998,12,FALSE)*100,""))</f>
        <v/>
      </c>
      <c r="AE801" s="40">
        <f>IFERROR(IFS(
    OR($C801="", $K801=""), 0,
    $F801=0, 0,
    $D801&lt;&gt;"Open", 0,
    COUNTIFS(GrinderServices!$B$4:$B$998, $K801, GrinderServices!$C$4:$C$998, $E801, GrinderServices!$E$4:$E$998, "Y")=0, 0,
    $X801&lt;Config!$B$16, 0,
    Config!$B$18=1, IF($O801&gt;=N801, 0, 1),
    TRUE, 1
), "")
</f>
        <v>0</v>
      </c>
      <c r="AF801" s="40" t="str">
        <f>IFERROR(IF($AE801=0,"",((Config!$B$6*$Y801 + Config!$B$7*$U801 + Config!$B$8*$Z801 + Config!$B$9*$AA801 + Config!$B$10*$AB801 + Config!$B$11*$AC801 - Config!$B$12*$AD801)/Config!$B$13)+$AK801+$AL801),"")</f>
        <v/>
      </c>
      <c r="AG801" s="40" t="str">
        <f t="shared" si="6"/>
        <v/>
      </c>
      <c r="AH801" s="40" t="str">
        <f t="shared" si="7"/>
        <v/>
      </c>
      <c r="AI801" s="40" t="str">
        <f t="shared" si="8"/>
        <v/>
      </c>
      <c r="AJ801" s="40" t="str">
        <f>IF($K801="","",COUNTIF(Assignments!$B$6:$B$1000,$K801))</f>
        <v/>
      </c>
      <c r="AK801" s="40" t="str">
        <f>IF($K801="","",IF(AND($AJ801=0,$O801&lt;$N801),Config!$B$43,0))</f>
        <v/>
      </c>
      <c r="AL801" s="40" t="str">
        <f>IF($K801="","",IF(AND($M801="Elite",$G801&gt;=Config!$B$41,$O801&lt;$N801),Config!$B$42,0))</f>
        <v/>
      </c>
      <c r="AM801" s="22"/>
    </row>
    <row r="802" ht="15.75" customHeight="1">
      <c r="A802" s="40" t="str">
        <f t="shared" si="1"/>
        <v/>
      </c>
      <c r="B802" s="40" t="str">
        <f>IF(Bids!$A801="","",Bids!$A801)</f>
        <v/>
      </c>
      <c r="C802" s="40" t="str">
        <f>IF(Bids!$B801="","",Bids!$B801)</f>
        <v/>
      </c>
      <c r="D802" s="40" t="str">
        <f>IF($C802="","",IFERROR(VLOOKUP($C802,Orders!$A$4:$J$998,9,FALSE),""))</f>
        <v/>
      </c>
      <c r="E802" s="40" t="str">
        <f>IF($C802="","",IFERROR(VLOOKUP($C802,Orders!$A$4:$J$998,3,FALSE),""))</f>
        <v/>
      </c>
      <c r="F802" s="40">
        <f t="shared" si="2"/>
        <v>1</v>
      </c>
      <c r="G802" s="40" t="str">
        <f>IF($C802="","",IFERROR(VLOOKUP($C802,Orders!$A$4:$J$998,4,FALSE),""))</f>
        <v/>
      </c>
      <c r="H802" s="40" t="str">
        <f>IF($C802="","",IFERROR(VLOOKUP($C802,Orders!$A$4:$J$998,5,FALSE),""))</f>
        <v/>
      </c>
      <c r="I802" s="40" t="str">
        <f>IF($C802="","",IFERROR(VLOOKUP($C802,Orders!$A$4:$J$998,6,FALSE),""))</f>
        <v/>
      </c>
      <c r="J802" s="40" t="str">
        <f>IF($C802="","",IFERROR(VLOOKUP($C802,Orders!$A$4:$J$998,7,FALSE),""))</f>
        <v/>
      </c>
      <c r="K802" s="40" t="str">
        <f>IF(Bids!$C801="","",Bids!$C801)</f>
        <v/>
      </c>
      <c r="L802" s="40" t="str">
        <f>IF($K802="","",IFERROR(VLOOKUP($K802,Grinders!$A$4:$N$998,2,FALSE),""))</f>
        <v/>
      </c>
      <c r="M802" s="40" t="str">
        <f>IF($K802="","",IFERROR(VLOOKUP($K802,Grinders!$A$4:$N$998,3,FALSE),""))</f>
        <v/>
      </c>
      <c r="N802" s="40" t="str">
        <f>IF($K802="","",IFERROR(VLOOKUP($K802,Grinders!$A$4:$N$998,4,FALSE),""))</f>
        <v/>
      </c>
      <c r="O802" s="40" t="str">
        <f>IF($K802="","",IFERROR(VLOOKUP($K802,Grinders!$A$4:$N$998,5,FALSE),""))</f>
        <v/>
      </c>
      <c r="P802" s="40" t="str">
        <f>IF($K802="","",IF($C$4="",0,COUNTIFS(Assignments!$B$6:$B$1000,$K802,Assignments!$F$6:$F$1000,$C$4,Assignments!$E$6:$E$1000,"Active")))</f>
        <v/>
      </c>
      <c r="Q802" s="40" t="str">
        <f t="shared" si="3"/>
        <v/>
      </c>
      <c r="R802" s="40" t="str">
        <f t="shared" si="4"/>
        <v/>
      </c>
      <c r="S802" s="40" t="str">
        <f>IF($K802="","",IF($C$4="",0,COUNTIFS(Assignments!$B$6:$B$1000,$K802,Assignments!$F$6:$F$1000,$C$4,Assignments!$D$6:$D$1000,"&gt;="&amp;Config!$B$3-7,Assignments!$D$6:$D$1000,"&lt;="&amp;Config!$B$3)))</f>
        <v/>
      </c>
      <c r="T802" s="40" t="str">
        <f>IF($K802="","",IFERROR(VLOOKUP($K802,Grinders!$A$4:$N$998,8,FALSE),""))</f>
        <v/>
      </c>
      <c r="U802" s="40" t="str">
        <f>IFERROR(IF($K802="","",IF($M802="Elite",MAX(50,MIN(100,Config!$B$27*MAX(0,MIN(100,(1-IF($R802="",0,$R802))*100)) + Config!$B$28*MAX(0,MIN(100,(1-MIN(1,IF(Config!$B$30=0,1,$S802/Config!$B$30)))*100)) + Config!$B$29*MAX(0,MIN(100,MIN(1,IF($T802="",0,$T802)/Config!$B$23)*100)))),MIN(100,Config!$B$27*MAX(0,MIN(100,(1-IF($R802="",0,$R802))*100)) + Config!$B$28*MAX(0,MIN(100,(1-MIN(1,IF(Config!$B$30=0,1,$S802/Config!$B$30)))*100)) + Config!$B$29*MAX(0,MIN(100,MIN(1,IF($T802="",0,$T802)/Config!$B$23)*100))))),"")
</f>
        <v/>
      </c>
      <c r="V802" s="40" t="str">
        <f>IF(Bids!$D801="","",Bids!$D801)</f>
        <v/>
      </c>
      <c r="W802" s="40" t="str">
        <f>IF(Bids!$F801="","",Bids!$F801)</f>
        <v/>
      </c>
      <c r="X802" s="40" t="str">
        <f t="shared" si="5"/>
        <v/>
      </c>
      <c r="Y802" s="40" t="str">
        <f>IF($X802="","",IF(Config!$B$17=Config!$B$16,IF($X802&gt;=Config!$B$17,100,0),MAX(0,MIN(100,($X802-Config!$B$16)/(Config!$B$17-Config!$B$16)*100))))</f>
        <v/>
      </c>
      <c r="Z802" s="40">
        <f>IF($M802="Elite",Config!$B$21,0)</f>
        <v>0</v>
      </c>
      <c r="AA802" s="40" t="str">
        <f>IFERROR(IF(OR($W802="",$H802=""),"",IF($W802&gt;$H802,
  MAX(0, 60-(($W802-$H802)*24/Config!$B$19)*60),
  MIN(100, 60+(($H802-$W802)*24/Config!$B$20)*40)
)),"")
</f>
        <v/>
      </c>
      <c r="AB802" s="40" t="str">
        <f>IF($K802="","",IFERROR(VLOOKUP($K802,Grinders!$A$4:$N$998,10,FALSE)/5*100,""))</f>
        <v/>
      </c>
      <c r="AC802" s="40" t="str">
        <f>IF($K802="","",IFERROR(VLOOKUP($K802,Grinders!$A$4:$N$998,11,FALSE)*100,""))</f>
        <v/>
      </c>
      <c r="AD802" s="40" t="str">
        <f>IF($K802="","",IFERROR(VLOOKUP($K802,Grinders!$A$4:$N$998,12,FALSE)*100,""))</f>
        <v/>
      </c>
      <c r="AE802" s="40">
        <f>IFERROR(IFS(
    OR($C802="", $K802=""), 0,
    $F802=0, 0,
    $D802&lt;&gt;"Open", 0,
    COUNTIFS(GrinderServices!$B$4:$B$998, $K802, GrinderServices!$C$4:$C$998, $E802, GrinderServices!$E$4:$E$998, "Y")=0, 0,
    $X802&lt;Config!$B$16, 0,
    Config!$B$18=1, IF($O802&gt;=N802, 0, 1),
    TRUE, 1
), "")
</f>
        <v>0</v>
      </c>
      <c r="AF802" s="40" t="str">
        <f>IFERROR(IF($AE802=0,"",((Config!$B$6*$Y802 + Config!$B$7*$U802 + Config!$B$8*$Z802 + Config!$B$9*$AA802 + Config!$B$10*$AB802 + Config!$B$11*$AC802 - Config!$B$12*$AD802)/Config!$B$13)+$AK802+$AL802),"")</f>
        <v/>
      </c>
      <c r="AG802" s="40" t="str">
        <f t="shared" si="6"/>
        <v/>
      </c>
      <c r="AH802" s="40" t="str">
        <f t="shared" si="7"/>
        <v/>
      </c>
      <c r="AI802" s="40" t="str">
        <f t="shared" si="8"/>
        <v/>
      </c>
      <c r="AJ802" s="40" t="str">
        <f>IF($K802="","",COUNTIF(Assignments!$B$6:$B$1000,$K802))</f>
        <v/>
      </c>
      <c r="AK802" s="40" t="str">
        <f>IF($K802="","",IF(AND($AJ802=0,$O802&lt;$N802),Config!$B$43,0))</f>
        <v/>
      </c>
      <c r="AL802" s="40" t="str">
        <f>IF($K802="","",IF(AND($M802="Elite",$G802&gt;=Config!$B$41,$O802&lt;$N802),Config!$B$42,0))</f>
        <v/>
      </c>
      <c r="AM802" s="22"/>
    </row>
    <row r="803" ht="15.75" customHeight="1">
      <c r="A803" s="40" t="str">
        <f t="shared" si="1"/>
        <v/>
      </c>
      <c r="B803" s="40" t="str">
        <f>IF(Bids!$A802="","",Bids!$A802)</f>
        <v/>
      </c>
      <c r="C803" s="40" t="str">
        <f>IF(Bids!$B802="","",Bids!$B802)</f>
        <v/>
      </c>
      <c r="D803" s="40" t="str">
        <f>IF($C803="","",IFERROR(VLOOKUP($C803,Orders!$A$4:$J$998,9,FALSE),""))</f>
        <v/>
      </c>
      <c r="E803" s="40" t="str">
        <f>IF($C803="","",IFERROR(VLOOKUP($C803,Orders!$A$4:$J$998,3,FALSE),""))</f>
        <v/>
      </c>
      <c r="F803" s="40">
        <f t="shared" si="2"/>
        <v>1</v>
      </c>
      <c r="G803" s="40" t="str">
        <f>IF($C803="","",IFERROR(VLOOKUP($C803,Orders!$A$4:$J$998,4,FALSE),""))</f>
        <v/>
      </c>
      <c r="H803" s="40" t="str">
        <f>IF($C803="","",IFERROR(VLOOKUP($C803,Orders!$A$4:$J$998,5,FALSE),""))</f>
        <v/>
      </c>
      <c r="I803" s="40" t="str">
        <f>IF($C803="","",IFERROR(VLOOKUP($C803,Orders!$A$4:$J$998,6,FALSE),""))</f>
        <v/>
      </c>
      <c r="J803" s="40" t="str">
        <f>IF($C803="","",IFERROR(VLOOKUP($C803,Orders!$A$4:$J$998,7,FALSE),""))</f>
        <v/>
      </c>
      <c r="K803" s="40" t="str">
        <f>IF(Bids!$C802="","",Bids!$C802)</f>
        <v/>
      </c>
      <c r="L803" s="40" t="str">
        <f>IF($K803="","",IFERROR(VLOOKUP($K803,Grinders!$A$4:$N$998,2,FALSE),""))</f>
        <v/>
      </c>
      <c r="M803" s="40" t="str">
        <f>IF($K803="","",IFERROR(VLOOKUP($K803,Grinders!$A$4:$N$998,3,FALSE),""))</f>
        <v/>
      </c>
      <c r="N803" s="40" t="str">
        <f>IF($K803="","",IFERROR(VLOOKUP($K803,Grinders!$A$4:$N$998,4,FALSE),""))</f>
        <v/>
      </c>
      <c r="O803" s="40" t="str">
        <f>IF($K803="","",IFERROR(VLOOKUP($K803,Grinders!$A$4:$N$998,5,FALSE),""))</f>
        <v/>
      </c>
      <c r="P803" s="40" t="str">
        <f>IF($K803="","",IF($C$4="",0,COUNTIFS(Assignments!$B$6:$B$1000,$K803,Assignments!$F$6:$F$1000,$C$4,Assignments!$E$6:$E$1000,"Active")))</f>
        <v/>
      </c>
      <c r="Q803" s="40" t="str">
        <f t="shared" si="3"/>
        <v/>
      </c>
      <c r="R803" s="40" t="str">
        <f t="shared" si="4"/>
        <v/>
      </c>
      <c r="S803" s="40" t="str">
        <f>IF($K803="","",IF($C$4="",0,COUNTIFS(Assignments!$B$6:$B$1000,$K803,Assignments!$F$6:$F$1000,$C$4,Assignments!$D$6:$D$1000,"&gt;="&amp;Config!$B$3-7,Assignments!$D$6:$D$1000,"&lt;="&amp;Config!$B$3)))</f>
        <v/>
      </c>
      <c r="T803" s="40" t="str">
        <f>IF($K803="","",IFERROR(VLOOKUP($K803,Grinders!$A$4:$N$998,8,FALSE),""))</f>
        <v/>
      </c>
      <c r="U803" s="40" t="str">
        <f>IFERROR(IF($K803="","",IF($M803="Elite",MAX(50,MIN(100,Config!$B$27*MAX(0,MIN(100,(1-IF($R803="",0,$R803))*100)) + Config!$B$28*MAX(0,MIN(100,(1-MIN(1,IF(Config!$B$30=0,1,$S803/Config!$B$30)))*100)) + Config!$B$29*MAX(0,MIN(100,MIN(1,IF($T803="",0,$T803)/Config!$B$23)*100)))),MIN(100,Config!$B$27*MAX(0,MIN(100,(1-IF($R803="",0,$R803))*100)) + Config!$B$28*MAX(0,MIN(100,(1-MIN(1,IF(Config!$B$30=0,1,$S803/Config!$B$30)))*100)) + Config!$B$29*MAX(0,MIN(100,MIN(1,IF($T803="",0,$T803)/Config!$B$23)*100))))),"")
</f>
        <v/>
      </c>
      <c r="V803" s="40" t="str">
        <f>IF(Bids!$D802="","",Bids!$D802)</f>
        <v/>
      </c>
      <c r="W803" s="40" t="str">
        <f>IF(Bids!$F802="","",Bids!$F802)</f>
        <v/>
      </c>
      <c r="X803" s="40" t="str">
        <f t="shared" si="5"/>
        <v/>
      </c>
      <c r="Y803" s="40" t="str">
        <f>IF($X803="","",IF(Config!$B$17=Config!$B$16,IF($X803&gt;=Config!$B$17,100,0),MAX(0,MIN(100,($X803-Config!$B$16)/(Config!$B$17-Config!$B$16)*100))))</f>
        <v/>
      </c>
      <c r="Z803" s="40">
        <f>IF($M803="Elite",Config!$B$21,0)</f>
        <v>0</v>
      </c>
      <c r="AA803" s="40" t="str">
        <f>IFERROR(IF(OR($W803="",$H803=""),"",IF($W803&gt;$H803,
  MAX(0, 60-(($W803-$H803)*24/Config!$B$19)*60),
  MIN(100, 60+(($H803-$W803)*24/Config!$B$20)*40)
)),"")
</f>
        <v/>
      </c>
      <c r="AB803" s="40" t="str">
        <f>IF($K803="","",IFERROR(VLOOKUP($K803,Grinders!$A$4:$N$998,10,FALSE)/5*100,""))</f>
        <v/>
      </c>
      <c r="AC803" s="40" t="str">
        <f>IF($K803="","",IFERROR(VLOOKUP($K803,Grinders!$A$4:$N$998,11,FALSE)*100,""))</f>
        <v/>
      </c>
      <c r="AD803" s="40" t="str">
        <f>IF($K803="","",IFERROR(VLOOKUP($K803,Grinders!$A$4:$N$998,12,FALSE)*100,""))</f>
        <v/>
      </c>
      <c r="AE803" s="40">
        <f>IFERROR(IFS(
    OR($C803="", $K803=""), 0,
    $F803=0, 0,
    $D803&lt;&gt;"Open", 0,
    COUNTIFS(GrinderServices!$B$4:$B$998, $K803, GrinderServices!$C$4:$C$998, $E803, GrinderServices!$E$4:$E$998, "Y")=0, 0,
    $X803&lt;Config!$B$16, 0,
    Config!$B$18=1, IF($O803&gt;=N803, 0, 1),
    TRUE, 1
), "")
</f>
        <v>0</v>
      </c>
      <c r="AF803" s="40" t="str">
        <f>IFERROR(IF($AE803=0,"",((Config!$B$6*$Y803 + Config!$B$7*$U803 + Config!$B$8*$Z803 + Config!$B$9*$AA803 + Config!$B$10*$AB803 + Config!$B$11*$AC803 - Config!$B$12*$AD803)/Config!$B$13)+$AK803+$AL803),"")</f>
        <v/>
      </c>
      <c r="AG803" s="40" t="str">
        <f t="shared" si="6"/>
        <v/>
      </c>
      <c r="AH803" s="40" t="str">
        <f t="shared" si="7"/>
        <v/>
      </c>
      <c r="AI803" s="40" t="str">
        <f t="shared" si="8"/>
        <v/>
      </c>
      <c r="AJ803" s="40" t="str">
        <f>IF($K803="","",COUNTIF(Assignments!$B$6:$B$1000,$K803))</f>
        <v/>
      </c>
      <c r="AK803" s="40" t="str">
        <f>IF($K803="","",IF(AND($AJ803=0,$O803&lt;$N803),Config!$B$43,0))</f>
        <v/>
      </c>
      <c r="AL803" s="40" t="str">
        <f>IF($K803="","",IF(AND($M803="Elite",$G803&gt;=Config!$B$41,$O803&lt;$N803),Config!$B$42,0))</f>
        <v/>
      </c>
      <c r="AM803" s="22"/>
    </row>
    <row r="804" ht="15.75" customHeight="1">
      <c r="A804" s="40" t="str">
        <f t="shared" si="1"/>
        <v/>
      </c>
      <c r="B804" s="40" t="str">
        <f>IF(Bids!$A803="","",Bids!$A803)</f>
        <v/>
      </c>
      <c r="C804" s="40" t="str">
        <f>IF(Bids!$B803="","",Bids!$B803)</f>
        <v/>
      </c>
      <c r="D804" s="40" t="str">
        <f>IF($C804="","",IFERROR(VLOOKUP($C804,Orders!$A$4:$J$998,9,FALSE),""))</f>
        <v/>
      </c>
      <c r="E804" s="40" t="str">
        <f>IF($C804="","",IFERROR(VLOOKUP($C804,Orders!$A$4:$J$998,3,FALSE),""))</f>
        <v/>
      </c>
      <c r="F804" s="40">
        <f t="shared" si="2"/>
        <v>1</v>
      </c>
      <c r="G804" s="40" t="str">
        <f>IF($C804="","",IFERROR(VLOOKUP($C804,Orders!$A$4:$J$998,4,FALSE),""))</f>
        <v/>
      </c>
      <c r="H804" s="40" t="str">
        <f>IF($C804="","",IFERROR(VLOOKUP($C804,Orders!$A$4:$J$998,5,FALSE),""))</f>
        <v/>
      </c>
      <c r="I804" s="40" t="str">
        <f>IF($C804="","",IFERROR(VLOOKUP($C804,Orders!$A$4:$J$998,6,FALSE),""))</f>
        <v/>
      </c>
      <c r="J804" s="40" t="str">
        <f>IF($C804="","",IFERROR(VLOOKUP($C804,Orders!$A$4:$J$998,7,FALSE),""))</f>
        <v/>
      </c>
      <c r="K804" s="40" t="str">
        <f>IF(Bids!$C803="","",Bids!$C803)</f>
        <v/>
      </c>
      <c r="L804" s="40" t="str">
        <f>IF($K804="","",IFERROR(VLOOKUP($K804,Grinders!$A$4:$N$998,2,FALSE),""))</f>
        <v/>
      </c>
      <c r="M804" s="40" t="str">
        <f>IF($K804="","",IFERROR(VLOOKUP($K804,Grinders!$A$4:$N$998,3,FALSE),""))</f>
        <v/>
      </c>
      <c r="N804" s="40" t="str">
        <f>IF($K804="","",IFERROR(VLOOKUP($K804,Grinders!$A$4:$N$998,4,FALSE),""))</f>
        <v/>
      </c>
      <c r="O804" s="40" t="str">
        <f>IF($K804="","",IFERROR(VLOOKUP($K804,Grinders!$A$4:$N$998,5,FALSE),""))</f>
        <v/>
      </c>
      <c r="P804" s="40" t="str">
        <f>IF($K804="","",IF($C$4="",0,COUNTIFS(Assignments!$B$6:$B$1000,$K804,Assignments!$F$6:$F$1000,$C$4,Assignments!$E$6:$E$1000,"Active")))</f>
        <v/>
      </c>
      <c r="Q804" s="40" t="str">
        <f t="shared" si="3"/>
        <v/>
      </c>
      <c r="R804" s="40" t="str">
        <f t="shared" si="4"/>
        <v/>
      </c>
      <c r="S804" s="40" t="str">
        <f>IF($K804="","",IF($C$4="",0,COUNTIFS(Assignments!$B$6:$B$1000,$K804,Assignments!$F$6:$F$1000,$C$4,Assignments!$D$6:$D$1000,"&gt;="&amp;Config!$B$3-7,Assignments!$D$6:$D$1000,"&lt;="&amp;Config!$B$3)))</f>
        <v/>
      </c>
      <c r="T804" s="40" t="str">
        <f>IF($K804="","",IFERROR(VLOOKUP($K804,Grinders!$A$4:$N$998,8,FALSE),""))</f>
        <v/>
      </c>
      <c r="U804" s="40" t="str">
        <f>IFERROR(IF($K804="","",IF($M804="Elite",MAX(50,MIN(100,Config!$B$27*MAX(0,MIN(100,(1-IF($R804="",0,$R804))*100)) + Config!$B$28*MAX(0,MIN(100,(1-MIN(1,IF(Config!$B$30=0,1,$S804/Config!$B$30)))*100)) + Config!$B$29*MAX(0,MIN(100,MIN(1,IF($T804="",0,$T804)/Config!$B$23)*100)))),MIN(100,Config!$B$27*MAX(0,MIN(100,(1-IF($R804="",0,$R804))*100)) + Config!$B$28*MAX(0,MIN(100,(1-MIN(1,IF(Config!$B$30=0,1,$S804/Config!$B$30)))*100)) + Config!$B$29*MAX(0,MIN(100,MIN(1,IF($T804="",0,$T804)/Config!$B$23)*100))))),"")
</f>
        <v/>
      </c>
      <c r="V804" s="40" t="str">
        <f>IF(Bids!$D803="","",Bids!$D803)</f>
        <v/>
      </c>
      <c r="W804" s="40" t="str">
        <f>IF(Bids!$F803="","",Bids!$F803)</f>
        <v/>
      </c>
      <c r="X804" s="40" t="str">
        <f t="shared" si="5"/>
        <v/>
      </c>
      <c r="Y804" s="40" t="str">
        <f>IF($X804="","",IF(Config!$B$17=Config!$B$16,IF($X804&gt;=Config!$B$17,100,0),MAX(0,MIN(100,($X804-Config!$B$16)/(Config!$B$17-Config!$B$16)*100))))</f>
        <v/>
      </c>
      <c r="Z804" s="40">
        <f>IF($M804="Elite",Config!$B$21,0)</f>
        <v>0</v>
      </c>
      <c r="AA804" s="40" t="str">
        <f>IFERROR(IF(OR($W804="",$H804=""),"",IF($W804&gt;$H804,
  MAX(0, 60-(($W804-$H804)*24/Config!$B$19)*60),
  MIN(100, 60+(($H804-$W804)*24/Config!$B$20)*40)
)),"")
</f>
        <v/>
      </c>
      <c r="AB804" s="40" t="str">
        <f>IF($K804="","",IFERROR(VLOOKUP($K804,Grinders!$A$4:$N$998,10,FALSE)/5*100,""))</f>
        <v/>
      </c>
      <c r="AC804" s="40" t="str">
        <f>IF($K804="","",IFERROR(VLOOKUP($K804,Grinders!$A$4:$N$998,11,FALSE)*100,""))</f>
        <v/>
      </c>
      <c r="AD804" s="40" t="str">
        <f>IF($K804="","",IFERROR(VLOOKUP($K804,Grinders!$A$4:$N$998,12,FALSE)*100,""))</f>
        <v/>
      </c>
      <c r="AE804" s="40">
        <f>IFERROR(IFS(
    OR($C804="", $K804=""), 0,
    $F804=0, 0,
    $D804&lt;&gt;"Open", 0,
    COUNTIFS(GrinderServices!$B$4:$B$998, $K804, GrinderServices!$C$4:$C$998, $E804, GrinderServices!$E$4:$E$998, "Y")=0, 0,
    $X804&lt;Config!$B$16, 0,
    Config!$B$18=1, IF($O804&gt;=N804, 0, 1),
    TRUE, 1
), "")
</f>
        <v>0</v>
      </c>
      <c r="AF804" s="40" t="str">
        <f>IFERROR(IF($AE804=0,"",((Config!$B$6*$Y804 + Config!$B$7*$U804 + Config!$B$8*$Z804 + Config!$B$9*$AA804 + Config!$B$10*$AB804 + Config!$B$11*$AC804 - Config!$B$12*$AD804)/Config!$B$13)+$AK804+$AL804),"")</f>
        <v/>
      </c>
      <c r="AG804" s="40" t="str">
        <f t="shared" si="6"/>
        <v/>
      </c>
      <c r="AH804" s="40" t="str">
        <f t="shared" si="7"/>
        <v/>
      </c>
      <c r="AI804" s="40" t="str">
        <f t="shared" si="8"/>
        <v/>
      </c>
      <c r="AJ804" s="40" t="str">
        <f>IF($K804="","",COUNTIF(Assignments!$B$6:$B$1000,$K804))</f>
        <v/>
      </c>
      <c r="AK804" s="40" t="str">
        <f>IF($K804="","",IF(AND($AJ804=0,$O804&lt;$N804),Config!$B$43,0))</f>
        <v/>
      </c>
      <c r="AL804" s="40" t="str">
        <f>IF($K804="","",IF(AND($M804="Elite",$G804&gt;=Config!$B$41,$O804&lt;$N804),Config!$B$42,0))</f>
        <v/>
      </c>
      <c r="AM804" s="22"/>
    </row>
    <row r="805" ht="15.75" customHeight="1">
      <c r="A805" s="40" t="str">
        <f t="shared" si="1"/>
        <v/>
      </c>
      <c r="B805" s="40" t="str">
        <f>IF(Bids!$A804="","",Bids!$A804)</f>
        <v/>
      </c>
      <c r="C805" s="40" t="str">
        <f>IF(Bids!$B804="","",Bids!$B804)</f>
        <v/>
      </c>
      <c r="D805" s="40" t="str">
        <f>IF($C805="","",IFERROR(VLOOKUP($C805,Orders!$A$4:$J$998,9,FALSE),""))</f>
        <v/>
      </c>
      <c r="E805" s="40" t="str">
        <f>IF($C805="","",IFERROR(VLOOKUP($C805,Orders!$A$4:$J$998,3,FALSE),""))</f>
        <v/>
      </c>
      <c r="F805" s="40">
        <f t="shared" si="2"/>
        <v>1</v>
      </c>
      <c r="G805" s="40" t="str">
        <f>IF($C805="","",IFERROR(VLOOKUP($C805,Orders!$A$4:$J$998,4,FALSE),""))</f>
        <v/>
      </c>
      <c r="H805" s="40" t="str">
        <f>IF($C805="","",IFERROR(VLOOKUP($C805,Orders!$A$4:$J$998,5,FALSE),""))</f>
        <v/>
      </c>
      <c r="I805" s="40" t="str">
        <f>IF($C805="","",IFERROR(VLOOKUP($C805,Orders!$A$4:$J$998,6,FALSE),""))</f>
        <v/>
      </c>
      <c r="J805" s="40" t="str">
        <f>IF($C805="","",IFERROR(VLOOKUP($C805,Orders!$A$4:$J$998,7,FALSE),""))</f>
        <v/>
      </c>
      <c r="K805" s="40" t="str">
        <f>IF(Bids!$C804="","",Bids!$C804)</f>
        <v/>
      </c>
      <c r="L805" s="40" t="str">
        <f>IF($K805="","",IFERROR(VLOOKUP($K805,Grinders!$A$4:$N$998,2,FALSE),""))</f>
        <v/>
      </c>
      <c r="M805" s="40" t="str">
        <f>IF($K805="","",IFERROR(VLOOKUP($K805,Grinders!$A$4:$N$998,3,FALSE),""))</f>
        <v/>
      </c>
      <c r="N805" s="40" t="str">
        <f>IF($K805="","",IFERROR(VLOOKUP($K805,Grinders!$A$4:$N$998,4,FALSE),""))</f>
        <v/>
      </c>
      <c r="O805" s="40" t="str">
        <f>IF($K805="","",IFERROR(VLOOKUP($K805,Grinders!$A$4:$N$998,5,FALSE),""))</f>
        <v/>
      </c>
      <c r="P805" s="40" t="str">
        <f>IF($K805="","",IF($C$4="",0,COUNTIFS(Assignments!$B$6:$B$1000,$K805,Assignments!$F$6:$F$1000,$C$4,Assignments!$E$6:$E$1000,"Active")))</f>
        <v/>
      </c>
      <c r="Q805" s="40" t="str">
        <f t="shared" si="3"/>
        <v/>
      </c>
      <c r="R805" s="40" t="str">
        <f t="shared" si="4"/>
        <v/>
      </c>
      <c r="S805" s="40" t="str">
        <f>IF($K805="","",IF($C$4="",0,COUNTIFS(Assignments!$B$6:$B$1000,$K805,Assignments!$F$6:$F$1000,$C$4,Assignments!$D$6:$D$1000,"&gt;="&amp;Config!$B$3-7,Assignments!$D$6:$D$1000,"&lt;="&amp;Config!$B$3)))</f>
        <v/>
      </c>
      <c r="T805" s="40" t="str">
        <f>IF($K805="","",IFERROR(VLOOKUP($K805,Grinders!$A$4:$N$998,8,FALSE),""))</f>
        <v/>
      </c>
      <c r="U805" s="40" t="str">
        <f>IFERROR(IF($K805="","",IF($M805="Elite",MAX(50,MIN(100,Config!$B$27*MAX(0,MIN(100,(1-IF($R805="",0,$R805))*100)) + Config!$B$28*MAX(0,MIN(100,(1-MIN(1,IF(Config!$B$30=0,1,$S805/Config!$B$30)))*100)) + Config!$B$29*MAX(0,MIN(100,MIN(1,IF($T805="",0,$T805)/Config!$B$23)*100)))),MIN(100,Config!$B$27*MAX(0,MIN(100,(1-IF($R805="",0,$R805))*100)) + Config!$B$28*MAX(0,MIN(100,(1-MIN(1,IF(Config!$B$30=0,1,$S805/Config!$B$30)))*100)) + Config!$B$29*MAX(0,MIN(100,MIN(1,IF($T805="",0,$T805)/Config!$B$23)*100))))),"")
</f>
        <v/>
      </c>
      <c r="V805" s="40" t="str">
        <f>IF(Bids!$D804="","",Bids!$D804)</f>
        <v/>
      </c>
      <c r="W805" s="40" t="str">
        <f>IF(Bids!$F804="","",Bids!$F804)</f>
        <v/>
      </c>
      <c r="X805" s="40" t="str">
        <f t="shared" si="5"/>
        <v/>
      </c>
      <c r="Y805" s="40" t="str">
        <f>IF($X805="","",IF(Config!$B$17=Config!$B$16,IF($X805&gt;=Config!$B$17,100,0),MAX(0,MIN(100,($X805-Config!$B$16)/(Config!$B$17-Config!$B$16)*100))))</f>
        <v/>
      </c>
      <c r="Z805" s="40">
        <f>IF($M805="Elite",Config!$B$21,0)</f>
        <v>0</v>
      </c>
      <c r="AA805" s="40" t="str">
        <f>IFERROR(IF(OR($W805="",$H805=""),"",IF($W805&gt;$H805,
  MAX(0, 60-(($W805-$H805)*24/Config!$B$19)*60),
  MIN(100, 60+(($H805-$W805)*24/Config!$B$20)*40)
)),"")
</f>
        <v/>
      </c>
      <c r="AB805" s="40" t="str">
        <f>IF($K805="","",IFERROR(VLOOKUP($K805,Grinders!$A$4:$N$998,10,FALSE)/5*100,""))</f>
        <v/>
      </c>
      <c r="AC805" s="40" t="str">
        <f>IF($K805="","",IFERROR(VLOOKUP($K805,Grinders!$A$4:$N$998,11,FALSE)*100,""))</f>
        <v/>
      </c>
      <c r="AD805" s="40" t="str">
        <f>IF($K805="","",IFERROR(VLOOKUP($K805,Grinders!$A$4:$N$998,12,FALSE)*100,""))</f>
        <v/>
      </c>
      <c r="AE805" s="40">
        <f>IFERROR(IFS(
    OR($C805="", $K805=""), 0,
    $F805=0, 0,
    $D805&lt;&gt;"Open", 0,
    COUNTIFS(GrinderServices!$B$4:$B$998, $K805, GrinderServices!$C$4:$C$998, $E805, GrinderServices!$E$4:$E$998, "Y")=0, 0,
    $X805&lt;Config!$B$16, 0,
    Config!$B$18=1, IF($O805&gt;=N805, 0, 1),
    TRUE, 1
), "")
</f>
        <v>0</v>
      </c>
      <c r="AF805" s="40" t="str">
        <f>IFERROR(IF($AE805=0,"",((Config!$B$6*$Y805 + Config!$B$7*$U805 + Config!$B$8*$Z805 + Config!$B$9*$AA805 + Config!$B$10*$AB805 + Config!$B$11*$AC805 - Config!$B$12*$AD805)/Config!$B$13)+$AK805+$AL805),"")</f>
        <v/>
      </c>
      <c r="AG805" s="40" t="str">
        <f t="shared" si="6"/>
        <v/>
      </c>
      <c r="AH805" s="40" t="str">
        <f t="shared" si="7"/>
        <v/>
      </c>
      <c r="AI805" s="40" t="str">
        <f t="shared" si="8"/>
        <v/>
      </c>
      <c r="AJ805" s="40" t="str">
        <f>IF($K805="","",COUNTIF(Assignments!$B$6:$B$1000,$K805))</f>
        <v/>
      </c>
      <c r="AK805" s="40" t="str">
        <f>IF($K805="","",IF(AND($AJ805=0,$O805&lt;$N805),Config!$B$43,0))</f>
        <v/>
      </c>
      <c r="AL805" s="40" t="str">
        <f>IF($K805="","",IF(AND($M805="Elite",$G805&gt;=Config!$B$41,$O805&lt;$N805),Config!$B$42,0))</f>
        <v/>
      </c>
      <c r="AM805" s="22"/>
    </row>
    <row r="806" ht="15.75" customHeight="1">
      <c r="A806" s="40" t="str">
        <f t="shared" si="1"/>
        <v/>
      </c>
      <c r="B806" s="40" t="str">
        <f>IF(Bids!$A805="","",Bids!$A805)</f>
        <v/>
      </c>
      <c r="C806" s="40" t="str">
        <f>IF(Bids!$B805="","",Bids!$B805)</f>
        <v/>
      </c>
      <c r="D806" s="40" t="str">
        <f>IF($C806="","",IFERROR(VLOOKUP($C806,Orders!$A$4:$J$998,9,FALSE),""))</f>
        <v/>
      </c>
      <c r="E806" s="40" t="str">
        <f>IF($C806="","",IFERROR(VLOOKUP($C806,Orders!$A$4:$J$998,3,FALSE),""))</f>
        <v/>
      </c>
      <c r="F806" s="40">
        <f t="shared" si="2"/>
        <v>1</v>
      </c>
      <c r="G806" s="40" t="str">
        <f>IF($C806="","",IFERROR(VLOOKUP($C806,Orders!$A$4:$J$998,4,FALSE),""))</f>
        <v/>
      </c>
      <c r="H806" s="40" t="str">
        <f>IF($C806="","",IFERROR(VLOOKUP($C806,Orders!$A$4:$J$998,5,FALSE),""))</f>
        <v/>
      </c>
      <c r="I806" s="40" t="str">
        <f>IF($C806="","",IFERROR(VLOOKUP($C806,Orders!$A$4:$J$998,6,FALSE),""))</f>
        <v/>
      </c>
      <c r="J806" s="40" t="str">
        <f>IF($C806="","",IFERROR(VLOOKUP($C806,Orders!$A$4:$J$998,7,FALSE),""))</f>
        <v/>
      </c>
      <c r="K806" s="40" t="str">
        <f>IF(Bids!$C805="","",Bids!$C805)</f>
        <v/>
      </c>
      <c r="L806" s="40" t="str">
        <f>IF($K806="","",IFERROR(VLOOKUP($K806,Grinders!$A$4:$N$998,2,FALSE),""))</f>
        <v/>
      </c>
      <c r="M806" s="40" t="str">
        <f>IF($K806="","",IFERROR(VLOOKUP($K806,Grinders!$A$4:$N$998,3,FALSE),""))</f>
        <v/>
      </c>
      <c r="N806" s="40" t="str">
        <f>IF($K806="","",IFERROR(VLOOKUP($K806,Grinders!$A$4:$N$998,4,FALSE),""))</f>
        <v/>
      </c>
      <c r="O806" s="40" t="str">
        <f>IF($K806="","",IFERROR(VLOOKUP($K806,Grinders!$A$4:$N$998,5,FALSE),""))</f>
        <v/>
      </c>
      <c r="P806" s="40" t="str">
        <f>IF($K806="","",IF($C$4="",0,COUNTIFS(Assignments!$B$6:$B$1000,$K806,Assignments!$F$6:$F$1000,$C$4,Assignments!$E$6:$E$1000,"Active")))</f>
        <v/>
      </c>
      <c r="Q806" s="40" t="str">
        <f t="shared" si="3"/>
        <v/>
      </c>
      <c r="R806" s="40" t="str">
        <f t="shared" si="4"/>
        <v/>
      </c>
      <c r="S806" s="40" t="str">
        <f>IF($K806="","",IF($C$4="",0,COUNTIFS(Assignments!$B$6:$B$1000,$K806,Assignments!$F$6:$F$1000,$C$4,Assignments!$D$6:$D$1000,"&gt;="&amp;Config!$B$3-7,Assignments!$D$6:$D$1000,"&lt;="&amp;Config!$B$3)))</f>
        <v/>
      </c>
      <c r="T806" s="40" t="str">
        <f>IF($K806="","",IFERROR(VLOOKUP($K806,Grinders!$A$4:$N$998,8,FALSE),""))</f>
        <v/>
      </c>
      <c r="U806" s="40" t="str">
        <f>IFERROR(IF($K806="","",IF($M806="Elite",MAX(50,MIN(100,Config!$B$27*MAX(0,MIN(100,(1-IF($R806="",0,$R806))*100)) + Config!$B$28*MAX(0,MIN(100,(1-MIN(1,IF(Config!$B$30=0,1,$S806/Config!$B$30)))*100)) + Config!$B$29*MAX(0,MIN(100,MIN(1,IF($T806="",0,$T806)/Config!$B$23)*100)))),MIN(100,Config!$B$27*MAX(0,MIN(100,(1-IF($R806="",0,$R806))*100)) + Config!$B$28*MAX(0,MIN(100,(1-MIN(1,IF(Config!$B$30=0,1,$S806/Config!$B$30)))*100)) + Config!$B$29*MAX(0,MIN(100,MIN(1,IF($T806="",0,$T806)/Config!$B$23)*100))))),"")
</f>
        <v/>
      </c>
      <c r="V806" s="40" t="str">
        <f>IF(Bids!$D805="","",Bids!$D805)</f>
        <v/>
      </c>
      <c r="W806" s="40" t="str">
        <f>IF(Bids!$F805="","",Bids!$F805)</f>
        <v/>
      </c>
      <c r="X806" s="40" t="str">
        <f t="shared" si="5"/>
        <v/>
      </c>
      <c r="Y806" s="40" t="str">
        <f>IF($X806="","",IF(Config!$B$17=Config!$B$16,IF($X806&gt;=Config!$B$17,100,0),MAX(0,MIN(100,($X806-Config!$B$16)/(Config!$B$17-Config!$B$16)*100))))</f>
        <v/>
      </c>
      <c r="Z806" s="40">
        <f>IF($M806="Elite",Config!$B$21,0)</f>
        <v>0</v>
      </c>
      <c r="AA806" s="40" t="str">
        <f>IFERROR(IF(OR($W806="",$H806=""),"",IF($W806&gt;$H806,
  MAX(0, 60-(($W806-$H806)*24/Config!$B$19)*60),
  MIN(100, 60+(($H806-$W806)*24/Config!$B$20)*40)
)),"")
</f>
        <v/>
      </c>
      <c r="AB806" s="40" t="str">
        <f>IF($K806="","",IFERROR(VLOOKUP($K806,Grinders!$A$4:$N$998,10,FALSE)/5*100,""))</f>
        <v/>
      </c>
      <c r="AC806" s="40" t="str">
        <f>IF($K806="","",IFERROR(VLOOKUP($K806,Grinders!$A$4:$N$998,11,FALSE)*100,""))</f>
        <v/>
      </c>
      <c r="AD806" s="40" t="str">
        <f>IF($K806="","",IFERROR(VLOOKUP($K806,Grinders!$A$4:$N$998,12,FALSE)*100,""))</f>
        <v/>
      </c>
      <c r="AE806" s="40">
        <f>IFERROR(IFS(
    OR($C806="", $K806=""), 0,
    $F806=0, 0,
    $D806&lt;&gt;"Open", 0,
    COUNTIFS(GrinderServices!$B$4:$B$998, $K806, GrinderServices!$C$4:$C$998, $E806, GrinderServices!$E$4:$E$998, "Y")=0, 0,
    $X806&lt;Config!$B$16, 0,
    Config!$B$18=1, IF($O806&gt;=N806, 0, 1),
    TRUE, 1
), "")
</f>
        <v>0</v>
      </c>
      <c r="AF806" s="40" t="str">
        <f>IFERROR(IF($AE806=0,"",((Config!$B$6*$Y806 + Config!$B$7*$U806 + Config!$B$8*$Z806 + Config!$B$9*$AA806 + Config!$B$10*$AB806 + Config!$B$11*$AC806 - Config!$B$12*$AD806)/Config!$B$13)+$AK806+$AL806),"")</f>
        <v/>
      </c>
      <c r="AG806" s="40" t="str">
        <f t="shared" si="6"/>
        <v/>
      </c>
      <c r="AH806" s="40" t="str">
        <f t="shared" si="7"/>
        <v/>
      </c>
      <c r="AI806" s="40" t="str">
        <f t="shared" si="8"/>
        <v/>
      </c>
      <c r="AJ806" s="40" t="str">
        <f>IF($K806="","",COUNTIF(Assignments!$B$6:$B$1000,$K806))</f>
        <v/>
      </c>
      <c r="AK806" s="40" t="str">
        <f>IF($K806="","",IF(AND($AJ806=0,$O806&lt;$N806),Config!$B$43,0))</f>
        <v/>
      </c>
      <c r="AL806" s="40" t="str">
        <f>IF($K806="","",IF(AND($M806="Elite",$G806&gt;=Config!$B$41,$O806&lt;$N806),Config!$B$42,0))</f>
        <v/>
      </c>
      <c r="AM806" s="22"/>
    </row>
    <row r="807" ht="15.75" customHeight="1">
      <c r="A807" s="40" t="str">
        <f t="shared" si="1"/>
        <v/>
      </c>
      <c r="B807" s="40" t="str">
        <f>IF(Bids!$A806="","",Bids!$A806)</f>
        <v/>
      </c>
      <c r="C807" s="40" t="str">
        <f>IF(Bids!$B806="","",Bids!$B806)</f>
        <v/>
      </c>
      <c r="D807" s="40" t="str">
        <f>IF($C807="","",IFERROR(VLOOKUP($C807,Orders!$A$4:$J$998,9,FALSE),""))</f>
        <v/>
      </c>
      <c r="E807" s="40" t="str">
        <f>IF($C807="","",IFERROR(VLOOKUP($C807,Orders!$A$4:$J$998,3,FALSE),""))</f>
        <v/>
      </c>
      <c r="F807" s="40">
        <f t="shared" si="2"/>
        <v>1</v>
      </c>
      <c r="G807" s="40" t="str">
        <f>IF($C807="","",IFERROR(VLOOKUP($C807,Orders!$A$4:$J$998,4,FALSE),""))</f>
        <v/>
      </c>
      <c r="H807" s="40" t="str">
        <f>IF($C807="","",IFERROR(VLOOKUP($C807,Orders!$A$4:$J$998,5,FALSE),""))</f>
        <v/>
      </c>
      <c r="I807" s="40" t="str">
        <f>IF($C807="","",IFERROR(VLOOKUP($C807,Orders!$A$4:$J$998,6,FALSE),""))</f>
        <v/>
      </c>
      <c r="J807" s="40" t="str">
        <f>IF($C807="","",IFERROR(VLOOKUP($C807,Orders!$A$4:$J$998,7,FALSE),""))</f>
        <v/>
      </c>
      <c r="K807" s="40" t="str">
        <f>IF(Bids!$C806="","",Bids!$C806)</f>
        <v/>
      </c>
      <c r="L807" s="40" t="str">
        <f>IF($K807="","",IFERROR(VLOOKUP($K807,Grinders!$A$4:$N$998,2,FALSE),""))</f>
        <v/>
      </c>
      <c r="M807" s="40" t="str">
        <f>IF($K807="","",IFERROR(VLOOKUP($K807,Grinders!$A$4:$N$998,3,FALSE),""))</f>
        <v/>
      </c>
      <c r="N807" s="40" t="str">
        <f>IF($K807="","",IFERROR(VLOOKUP($K807,Grinders!$A$4:$N$998,4,FALSE),""))</f>
        <v/>
      </c>
      <c r="O807" s="40" t="str">
        <f>IF($K807="","",IFERROR(VLOOKUP($K807,Grinders!$A$4:$N$998,5,FALSE),""))</f>
        <v/>
      </c>
      <c r="P807" s="40" t="str">
        <f>IF($K807="","",IF($C$4="",0,COUNTIFS(Assignments!$B$6:$B$1000,$K807,Assignments!$F$6:$F$1000,$C$4,Assignments!$E$6:$E$1000,"Active")))</f>
        <v/>
      </c>
      <c r="Q807" s="40" t="str">
        <f t="shared" si="3"/>
        <v/>
      </c>
      <c r="R807" s="40" t="str">
        <f t="shared" si="4"/>
        <v/>
      </c>
      <c r="S807" s="40" t="str">
        <f>IF($K807="","",IF($C$4="",0,COUNTIFS(Assignments!$B$6:$B$1000,$K807,Assignments!$F$6:$F$1000,$C$4,Assignments!$D$6:$D$1000,"&gt;="&amp;Config!$B$3-7,Assignments!$D$6:$D$1000,"&lt;="&amp;Config!$B$3)))</f>
        <v/>
      </c>
      <c r="T807" s="40" t="str">
        <f>IF($K807="","",IFERROR(VLOOKUP($K807,Grinders!$A$4:$N$998,8,FALSE),""))</f>
        <v/>
      </c>
      <c r="U807" s="40" t="str">
        <f>IFERROR(IF($K807="","",IF($M807="Elite",MAX(50,MIN(100,Config!$B$27*MAX(0,MIN(100,(1-IF($R807="",0,$R807))*100)) + Config!$B$28*MAX(0,MIN(100,(1-MIN(1,IF(Config!$B$30=0,1,$S807/Config!$B$30)))*100)) + Config!$B$29*MAX(0,MIN(100,MIN(1,IF($T807="",0,$T807)/Config!$B$23)*100)))),MIN(100,Config!$B$27*MAX(0,MIN(100,(1-IF($R807="",0,$R807))*100)) + Config!$B$28*MAX(0,MIN(100,(1-MIN(1,IF(Config!$B$30=0,1,$S807/Config!$B$30)))*100)) + Config!$B$29*MAX(0,MIN(100,MIN(1,IF($T807="",0,$T807)/Config!$B$23)*100))))),"")
</f>
        <v/>
      </c>
      <c r="V807" s="40" t="str">
        <f>IF(Bids!$D806="","",Bids!$D806)</f>
        <v/>
      </c>
      <c r="W807" s="40" t="str">
        <f>IF(Bids!$F806="","",Bids!$F806)</f>
        <v/>
      </c>
      <c r="X807" s="40" t="str">
        <f t="shared" si="5"/>
        <v/>
      </c>
      <c r="Y807" s="40" t="str">
        <f>IF($X807="","",IF(Config!$B$17=Config!$B$16,IF($X807&gt;=Config!$B$17,100,0),MAX(0,MIN(100,($X807-Config!$B$16)/(Config!$B$17-Config!$B$16)*100))))</f>
        <v/>
      </c>
      <c r="Z807" s="40">
        <f>IF($M807="Elite",Config!$B$21,0)</f>
        <v>0</v>
      </c>
      <c r="AA807" s="40" t="str">
        <f>IFERROR(IF(OR($W807="",$H807=""),"",IF($W807&gt;$H807,
  MAX(0, 60-(($W807-$H807)*24/Config!$B$19)*60),
  MIN(100, 60+(($H807-$W807)*24/Config!$B$20)*40)
)),"")
</f>
        <v/>
      </c>
      <c r="AB807" s="40" t="str">
        <f>IF($K807="","",IFERROR(VLOOKUP($K807,Grinders!$A$4:$N$998,10,FALSE)/5*100,""))</f>
        <v/>
      </c>
      <c r="AC807" s="40" t="str">
        <f>IF($K807="","",IFERROR(VLOOKUP($K807,Grinders!$A$4:$N$998,11,FALSE)*100,""))</f>
        <v/>
      </c>
      <c r="AD807" s="40" t="str">
        <f>IF($K807="","",IFERROR(VLOOKUP($K807,Grinders!$A$4:$N$998,12,FALSE)*100,""))</f>
        <v/>
      </c>
      <c r="AE807" s="40">
        <f>IFERROR(IFS(
    OR($C807="", $K807=""), 0,
    $F807=0, 0,
    $D807&lt;&gt;"Open", 0,
    COUNTIFS(GrinderServices!$B$4:$B$998, $K807, GrinderServices!$C$4:$C$998, $E807, GrinderServices!$E$4:$E$998, "Y")=0, 0,
    $X807&lt;Config!$B$16, 0,
    Config!$B$18=1, IF($O807&gt;=N807, 0, 1),
    TRUE, 1
), "")
</f>
        <v>0</v>
      </c>
      <c r="AF807" s="40" t="str">
        <f>IFERROR(IF($AE807=0,"",((Config!$B$6*$Y807 + Config!$B$7*$U807 + Config!$B$8*$Z807 + Config!$B$9*$AA807 + Config!$B$10*$AB807 + Config!$B$11*$AC807 - Config!$B$12*$AD807)/Config!$B$13)+$AK807+$AL807),"")</f>
        <v/>
      </c>
      <c r="AG807" s="40" t="str">
        <f t="shared" si="6"/>
        <v/>
      </c>
      <c r="AH807" s="40" t="str">
        <f t="shared" si="7"/>
        <v/>
      </c>
      <c r="AI807" s="40" t="str">
        <f t="shared" si="8"/>
        <v/>
      </c>
      <c r="AJ807" s="40" t="str">
        <f>IF($K807="","",COUNTIF(Assignments!$B$6:$B$1000,$K807))</f>
        <v/>
      </c>
      <c r="AK807" s="40" t="str">
        <f>IF($K807="","",IF(AND($AJ807=0,$O807&lt;$N807),Config!$B$43,0))</f>
        <v/>
      </c>
      <c r="AL807" s="40" t="str">
        <f>IF($K807="","",IF(AND($M807="Elite",$G807&gt;=Config!$B$41,$O807&lt;$N807),Config!$B$42,0))</f>
        <v/>
      </c>
      <c r="AM807" s="22"/>
    </row>
    <row r="808" ht="15.75" customHeight="1">
      <c r="A808" s="40" t="str">
        <f t="shared" si="1"/>
        <v/>
      </c>
      <c r="B808" s="40" t="str">
        <f>IF(Bids!$A807="","",Bids!$A807)</f>
        <v/>
      </c>
      <c r="C808" s="40" t="str">
        <f>IF(Bids!$B807="","",Bids!$B807)</f>
        <v/>
      </c>
      <c r="D808" s="40" t="str">
        <f>IF($C808="","",IFERROR(VLOOKUP($C808,Orders!$A$4:$J$998,9,FALSE),""))</f>
        <v/>
      </c>
      <c r="E808" s="40" t="str">
        <f>IF($C808="","",IFERROR(VLOOKUP($C808,Orders!$A$4:$J$998,3,FALSE),""))</f>
        <v/>
      </c>
      <c r="F808" s="40">
        <f t="shared" si="2"/>
        <v>1</v>
      </c>
      <c r="G808" s="40" t="str">
        <f>IF($C808="","",IFERROR(VLOOKUP($C808,Orders!$A$4:$J$998,4,FALSE),""))</f>
        <v/>
      </c>
      <c r="H808" s="40" t="str">
        <f>IF($C808="","",IFERROR(VLOOKUP($C808,Orders!$A$4:$J$998,5,FALSE),""))</f>
        <v/>
      </c>
      <c r="I808" s="40" t="str">
        <f>IF($C808="","",IFERROR(VLOOKUP($C808,Orders!$A$4:$J$998,6,FALSE),""))</f>
        <v/>
      </c>
      <c r="J808" s="40" t="str">
        <f>IF($C808="","",IFERROR(VLOOKUP($C808,Orders!$A$4:$J$998,7,FALSE),""))</f>
        <v/>
      </c>
      <c r="K808" s="40" t="str">
        <f>IF(Bids!$C807="","",Bids!$C807)</f>
        <v/>
      </c>
      <c r="L808" s="40" t="str">
        <f>IF($K808="","",IFERROR(VLOOKUP($K808,Grinders!$A$4:$N$998,2,FALSE),""))</f>
        <v/>
      </c>
      <c r="M808" s="40" t="str">
        <f>IF($K808="","",IFERROR(VLOOKUP($K808,Grinders!$A$4:$N$998,3,FALSE),""))</f>
        <v/>
      </c>
      <c r="N808" s="40" t="str">
        <f>IF($K808="","",IFERROR(VLOOKUP($K808,Grinders!$A$4:$N$998,4,FALSE),""))</f>
        <v/>
      </c>
      <c r="O808" s="40" t="str">
        <f>IF($K808="","",IFERROR(VLOOKUP($K808,Grinders!$A$4:$N$998,5,FALSE),""))</f>
        <v/>
      </c>
      <c r="P808" s="40" t="str">
        <f>IF($K808="","",IF($C$4="",0,COUNTIFS(Assignments!$B$6:$B$1000,$K808,Assignments!$F$6:$F$1000,$C$4,Assignments!$E$6:$E$1000,"Active")))</f>
        <v/>
      </c>
      <c r="Q808" s="40" t="str">
        <f t="shared" si="3"/>
        <v/>
      </c>
      <c r="R808" s="40" t="str">
        <f t="shared" si="4"/>
        <v/>
      </c>
      <c r="S808" s="40" t="str">
        <f>IF($K808="","",IF($C$4="",0,COUNTIFS(Assignments!$B$6:$B$1000,$K808,Assignments!$F$6:$F$1000,$C$4,Assignments!$D$6:$D$1000,"&gt;="&amp;Config!$B$3-7,Assignments!$D$6:$D$1000,"&lt;="&amp;Config!$B$3)))</f>
        <v/>
      </c>
      <c r="T808" s="40" t="str">
        <f>IF($K808="","",IFERROR(VLOOKUP($K808,Grinders!$A$4:$N$998,8,FALSE),""))</f>
        <v/>
      </c>
      <c r="U808" s="40" t="str">
        <f>IFERROR(IF($K808="","",IF($M808="Elite",MAX(50,MIN(100,Config!$B$27*MAX(0,MIN(100,(1-IF($R808="",0,$R808))*100)) + Config!$B$28*MAX(0,MIN(100,(1-MIN(1,IF(Config!$B$30=0,1,$S808/Config!$B$30)))*100)) + Config!$B$29*MAX(0,MIN(100,MIN(1,IF($T808="",0,$T808)/Config!$B$23)*100)))),MIN(100,Config!$B$27*MAX(0,MIN(100,(1-IF($R808="",0,$R808))*100)) + Config!$B$28*MAX(0,MIN(100,(1-MIN(1,IF(Config!$B$30=0,1,$S808/Config!$B$30)))*100)) + Config!$B$29*MAX(0,MIN(100,MIN(1,IF($T808="",0,$T808)/Config!$B$23)*100))))),"")
</f>
        <v/>
      </c>
      <c r="V808" s="40" t="str">
        <f>IF(Bids!$D807="","",Bids!$D807)</f>
        <v/>
      </c>
      <c r="W808" s="40" t="str">
        <f>IF(Bids!$F807="","",Bids!$F807)</f>
        <v/>
      </c>
      <c r="X808" s="40" t="str">
        <f t="shared" si="5"/>
        <v/>
      </c>
      <c r="Y808" s="40" t="str">
        <f>IF($X808="","",IF(Config!$B$17=Config!$B$16,IF($X808&gt;=Config!$B$17,100,0),MAX(0,MIN(100,($X808-Config!$B$16)/(Config!$B$17-Config!$B$16)*100))))</f>
        <v/>
      </c>
      <c r="Z808" s="40">
        <f>IF($M808="Elite",Config!$B$21,0)</f>
        <v>0</v>
      </c>
      <c r="AA808" s="40" t="str">
        <f>IFERROR(IF(OR($W808="",$H808=""),"",IF($W808&gt;$H808,
  MAX(0, 60-(($W808-$H808)*24/Config!$B$19)*60),
  MIN(100, 60+(($H808-$W808)*24/Config!$B$20)*40)
)),"")
</f>
        <v/>
      </c>
      <c r="AB808" s="40" t="str">
        <f>IF($K808="","",IFERROR(VLOOKUP($K808,Grinders!$A$4:$N$998,10,FALSE)/5*100,""))</f>
        <v/>
      </c>
      <c r="AC808" s="40" t="str">
        <f>IF($K808="","",IFERROR(VLOOKUP($K808,Grinders!$A$4:$N$998,11,FALSE)*100,""))</f>
        <v/>
      </c>
      <c r="AD808" s="40" t="str">
        <f>IF($K808="","",IFERROR(VLOOKUP($K808,Grinders!$A$4:$N$998,12,FALSE)*100,""))</f>
        <v/>
      </c>
      <c r="AE808" s="40">
        <f>IFERROR(IFS(
    OR($C808="", $K808=""), 0,
    $F808=0, 0,
    $D808&lt;&gt;"Open", 0,
    COUNTIFS(GrinderServices!$B$4:$B$998, $K808, GrinderServices!$C$4:$C$998, $E808, GrinderServices!$E$4:$E$998, "Y")=0, 0,
    $X808&lt;Config!$B$16, 0,
    Config!$B$18=1, IF($O808&gt;=N808, 0, 1),
    TRUE, 1
), "")
</f>
        <v>0</v>
      </c>
      <c r="AF808" s="40" t="str">
        <f>IFERROR(IF($AE808=0,"",((Config!$B$6*$Y808 + Config!$B$7*$U808 + Config!$B$8*$Z808 + Config!$B$9*$AA808 + Config!$B$10*$AB808 + Config!$B$11*$AC808 - Config!$B$12*$AD808)/Config!$B$13)+$AK808+$AL808),"")</f>
        <v/>
      </c>
      <c r="AG808" s="40" t="str">
        <f t="shared" si="6"/>
        <v/>
      </c>
      <c r="AH808" s="40" t="str">
        <f t="shared" si="7"/>
        <v/>
      </c>
      <c r="AI808" s="40" t="str">
        <f t="shared" si="8"/>
        <v/>
      </c>
      <c r="AJ808" s="40" t="str">
        <f>IF($K808="","",COUNTIF(Assignments!$B$6:$B$1000,$K808))</f>
        <v/>
      </c>
      <c r="AK808" s="40" t="str">
        <f>IF($K808="","",IF(AND($AJ808=0,$O808&lt;$N808),Config!$B$43,0))</f>
        <v/>
      </c>
      <c r="AL808" s="40" t="str">
        <f>IF($K808="","",IF(AND($M808="Elite",$G808&gt;=Config!$B$41,$O808&lt;$N808),Config!$B$42,0))</f>
        <v/>
      </c>
      <c r="AM808" s="22"/>
    </row>
    <row r="809" ht="15.75" customHeight="1">
      <c r="A809" s="40" t="str">
        <f t="shared" si="1"/>
        <v/>
      </c>
      <c r="B809" s="40" t="str">
        <f>IF(Bids!$A808="","",Bids!$A808)</f>
        <v/>
      </c>
      <c r="C809" s="40" t="str">
        <f>IF(Bids!$B808="","",Bids!$B808)</f>
        <v/>
      </c>
      <c r="D809" s="40" t="str">
        <f>IF($C809="","",IFERROR(VLOOKUP($C809,Orders!$A$4:$J$998,9,FALSE),""))</f>
        <v/>
      </c>
      <c r="E809" s="40" t="str">
        <f>IF($C809="","",IFERROR(VLOOKUP($C809,Orders!$A$4:$J$998,3,FALSE),""))</f>
        <v/>
      </c>
      <c r="F809" s="40">
        <f t="shared" si="2"/>
        <v>1</v>
      </c>
      <c r="G809" s="40" t="str">
        <f>IF($C809="","",IFERROR(VLOOKUP($C809,Orders!$A$4:$J$998,4,FALSE),""))</f>
        <v/>
      </c>
      <c r="H809" s="40" t="str">
        <f>IF($C809="","",IFERROR(VLOOKUP($C809,Orders!$A$4:$J$998,5,FALSE),""))</f>
        <v/>
      </c>
      <c r="I809" s="40" t="str">
        <f>IF($C809="","",IFERROR(VLOOKUP($C809,Orders!$A$4:$J$998,6,FALSE),""))</f>
        <v/>
      </c>
      <c r="J809" s="40" t="str">
        <f>IF($C809="","",IFERROR(VLOOKUP($C809,Orders!$A$4:$J$998,7,FALSE),""))</f>
        <v/>
      </c>
      <c r="K809" s="40" t="str">
        <f>IF(Bids!$C808="","",Bids!$C808)</f>
        <v/>
      </c>
      <c r="L809" s="40" t="str">
        <f>IF($K809="","",IFERROR(VLOOKUP($K809,Grinders!$A$4:$N$998,2,FALSE),""))</f>
        <v/>
      </c>
      <c r="M809" s="40" t="str">
        <f>IF($K809="","",IFERROR(VLOOKUP($K809,Grinders!$A$4:$N$998,3,FALSE),""))</f>
        <v/>
      </c>
      <c r="N809" s="40" t="str">
        <f>IF($K809="","",IFERROR(VLOOKUP($K809,Grinders!$A$4:$N$998,4,FALSE),""))</f>
        <v/>
      </c>
      <c r="O809" s="40" t="str">
        <f>IF($K809="","",IFERROR(VLOOKUP($K809,Grinders!$A$4:$N$998,5,FALSE),""))</f>
        <v/>
      </c>
      <c r="P809" s="40" t="str">
        <f>IF($K809="","",IF($C$4="",0,COUNTIFS(Assignments!$B$6:$B$1000,$K809,Assignments!$F$6:$F$1000,$C$4,Assignments!$E$6:$E$1000,"Active")))</f>
        <v/>
      </c>
      <c r="Q809" s="40" t="str">
        <f t="shared" si="3"/>
        <v/>
      </c>
      <c r="R809" s="40" t="str">
        <f t="shared" si="4"/>
        <v/>
      </c>
      <c r="S809" s="40" t="str">
        <f>IF($K809="","",IF($C$4="",0,COUNTIFS(Assignments!$B$6:$B$1000,$K809,Assignments!$F$6:$F$1000,$C$4,Assignments!$D$6:$D$1000,"&gt;="&amp;Config!$B$3-7,Assignments!$D$6:$D$1000,"&lt;="&amp;Config!$B$3)))</f>
        <v/>
      </c>
      <c r="T809" s="40" t="str">
        <f>IF($K809="","",IFERROR(VLOOKUP($K809,Grinders!$A$4:$N$998,8,FALSE),""))</f>
        <v/>
      </c>
      <c r="U809" s="40" t="str">
        <f>IFERROR(IF($K809="","",IF($M809="Elite",MAX(50,MIN(100,Config!$B$27*MAX(0,MIN(100,(1-IF($R809="",0,$R809))*100)) + Config!$B$28*MAX(0,MIN(100,(1-MIN(1,IF(Config!$B$30=0,1,$S809/Config!$B$30)))*100)) + Config!$B$29*MAX(0,MIN(100,MIN(1,IF($T809="",0,$T809)/Config!$B$23)*100)))),MIN(100,Config!$B$27*MAX(0,MIN(100,(1-IF($R809="",0,$R809))*100)) + Config!$B$28*MAX(0,MIN(100,(1-MIN(1,IF(Config!$B$30=0,1,$S809/Config!$B$30)))*100)) + Config!$B$29*MAX(0,MIN(100,MIN(1,IF($T809="",0,$T809)/Config!$B$23)*100))))),"")
</f>
        <v/>
      </c>
      <c r="V809" s="40" t="str">
        <f>IF(Bids!$D808="","",Bids!$D808)</f>
        <v/>
      </c>
      <c r="W809" s="40" t="str">
        <f>IF(Bids!$F808="","",Bids!$F808)</f>
        <v/>
      </c>
      <c r="X809" s="40" t="str">
        <f t="shared" si="5"/>
        <v/>
      </c>
      <c r="Y809" s="40" t="str">
        <f>IF($X809="","",IF(Config!$B$17=Config!$B$16,IF($X809&gt;=Config!$B$17,100,0),MAX(0,MIN(100,($X809-Config!$B$16)/(Config!$B$17-Config!$B$16)*100))))</f>
        <v/>
      </c>
      <c r="Z809" s="40">
        <f>IF($M809="Elite",Config!$B$21,0)</f>
        <v>0</v>
      </c>
      <c r="AA809" s="40" t="str">
        <f>IFERROR(IF(OR($W809="",$H809=""),"",IF($W809&gt;$H809,
  MAX(0, 60-(($W809-$H809)*24/Config!$B$19)*60),
  MIN(100, 60+(($H809-$W809)*24/Config!$B$20)*40)
)),"")
</f>
        <v/>
      </c>
      <c r="AB809" s="40" t="str">
        <f>IF($K809="","",IFERROR(VLOOKUP($K809,Grinders!$A$4:$N$998,10,FALSE)/5*100,""))</f>
        <v/>
      </c>
      <c r="AC809" s="40" t="str">
        <f>IF($K809="","",IFERROR(VLOOKUP($K809,Grinders!$A$4:$N$998,11,FALSE)*100,""))</f>
        <v/>
      </c>
      <c r="AD809" s="40" t="str">
        <f>IF($K809="","",IFERROR(VLOOKUP($K809,Grinders!$A$4:$N$998,12,FALSE)*100,""))</f>
        <v/>
      </c>
      <c r="AE809" s="40">
        <f>IFERROR(IFS(
    OR($C809="", $K809=""), 0,
    $F809=0, 0,
    $D809&lt;&gt;"Open", 0,
    COUNTIFS(GrinderServices!$B$4:$B$998, $K809, GrinderServices!$C$4:$C$998, $E809, GrinderServices!$E$4:$E$998, "Y")=0, 0,
    $X809&lt;Config!$B$16, 0,
    Config!$B$18=1, IF($O809&gt;=N809, 0, 1),
    TRUE, 1
), "")
</f>
        <v>0</v>
      </c>
      <c r="AF809" s="40" t="str">
        <f>IFERROR(IF($AE809=0,"",((Config!$B$6*$Y809 + Config!$B$7*$U809 + Config!$B$8*$Z809 + Config!$B$9*$AA809 + Config!$B$10*$AB809 + Config!$B$11*$AC809 - Config!$B$12*$AD809)/Config!$B$13)+$AK809+$AL809),"")</f>
        <v/>
      </c>
      <c r="AG809" s="40" t="str">
        <f t="shared" si="6"/>
        <v/>
      </c>
      <c r="AH809" s="40" t="str">
        <f t="shared" si="7"/>
        <v/>
      </c>
      <c r="AI809" s="40" t="str">
        <f t="shared" si="8"/>
        <v/>
      </c>
      <c r="AJ809" s="40" t="str">
        <f>IF($K809="","",COUNTIF(Assignments!$B$6:$B$1000,$K809))</f>
        <v/>
      </c>
      <c r="AK809" s="40" t="str">
        <f>IF($K809="","",IF(AND($AJ809=0,$O809&lt;$N809),Config!$B$43,0))</f>
        <v/>
      </c>
      <c r="AL809" s="40" t="str">
        <f>IF($K809="","",IF(AND($M809="Elite",$G809&gt;=Config!$B$41,$O809&lt;$N809),Config!$B$42,0))</f>
        <v/>
      </c>
      <c r="AM809" s="22"/>
    </row>
    <row r="810" ht="15.75" customHeight="1">
      <c r="A810" s="40" t="str">
        <f t="shared" si="1"/>
        <v/>
      </c>
      <c r="B810" s="40" t="str">
        <f>IF(Bids!$A809="","",Bids!$A809)</f>
        <v/>
      </c>
      <c r="C810" s="40" t="str">
        <f>IF(Bids!$B809="","",Bids!$B809)</f>
        <v/>
      </c>
      <c r="D810" s="40" t="str">
        <f>IF($C810="","",IFERROR(VLOOKUP($C810,Orders!$A$4:$J$998,9,FALSE),""))</f>
        <v/>
      </c>
      <c r="E810" s="40" t="str">
        <f>IF($C810="","",IFERROR(VLOOKUP($C810,Orders!$A$4:$J$998,3,FALSE),""))</f>
        <v/>
      </c>
      <c r="F810" s="40">
        <f t="shared" si="2"/>
        <v>1</v>
      </c>
      <c r="G810" s="40" t="str">
        <f>IF($C810="","",IFERROR(VLOOKUP($C810,Orders!$A$4:$J$998,4,FALSE),""))</f>
        <v/>
      </c>
      <c r="H810" s="40" t="str">
        <f>IF($C810="","",IFERROR(VLOOKUP($C810,Orders!$A$4:$J$998,5,FALSE),""))</f>
        <v/>
      </c>
      <c r="I810" s="40" t="str">
        <f>IF($C810="","",IFERROR(VLOOKUP($C810,Orders!$A$4:$J$998,6,FALSE),""))</f>
        <v/>
      </c>
      <c r="J810" s="40" t="str">
        <f>IF($C810="","",IFERROR(VLOOKUP($C810,Orders!$A$4:$J$998,7,FALSE),""))</f>
        <v/>
      </c>
      <c r="K810" s="40" t="str">
        <f>IF(Bids!$C809="","",Bids!$C809)</f>
        <v/>
      </c>
      <c r="L810" s="40" t="str">
        <f>IF($K810="","",IFERROR(VLOOKUP($K810,Grinders!$A$4:$N$998,2,FALSE),""))</f>
        <v/>
      </c>
      <c r="M810" s="40" t="str">
        <f>IF($K810="","",IFERROR(VLOOKUP($K810,Grinders!$A$4:$N$998,3,FALSE),""))</f>
        <v/>
      </c>
      <c r="N810" s="40" t="str">
        <f>IF($K810="","",IFERROR(VLOOKUP($K810,Grinders!$A$4:$N$998,4,FALSE),""))</f>
        <v/>
      </c>
      <c r="O810" s="40" t="str">
        <f>IF($K810="","",IFERROR(VLOOKUP($K810,Grinders!$A$4:$N$998,5,FALSE),""))</f>
        <v/>
      </c>
      <c r="P810" s="40" t="str">
        <f>IF($K810="","",IF($C$4="",0,COUNTIFS(Assignments!$B$6:$B$1000,$K810,Assignments!$F$6:$F$1000,$C$4,Assignments!$E$6:$E$1000,"Active")))</f>
        <v/>
      </c>
      <c r="Q810" s="40" t="str">
        <f t="shared" si="3"/>
        <v/>
      </c>
      <c r="R810" s="40" t="str">
        <f t="shared" si="4"/>
        <v/>
      </c>
      <c r="S810" s="40" t="str">
        <f>IF($K810="","",IF($C$4="",0,COUNTIFS(Assignments!$B$6:$B$1000,$K810,Assignments!$F$6:$F$1000,$C$4,Assignments!$D$6:$D$1000,"&gt;="&amp;Config!$B$3-7,Assignments!$D$6:$D$1000,"&lt;="&amp;Config!$B$3)))</f>
        <v/>
      </c>
      <c r="T810" s="40" t="str">
        <f>IF($K810="","",IFERROR(VLOOKUP($K810,Grinders!$A$4:$N$998,8,FALSE),""))</f>
        <v/>
      </c>
      <c r="U810" s="40" t="str">
        <f>IFERROR(IF($K810="","",IF($M810="Elite",MAX(50,MIN(100,Config!$B$27*MAX(0,MIN(100,(1-IF($R810="",0,$R810))*100)) + Config!$B$28*MAX(0,MIN(100,(1-MIN(1,IF(Config!$B$30=0,1,$S810/Config!$B$30)))*100)) + Config!$B$29*MAX(0,MIN(100,MIN(1,IF($T810="",0,$T810)/Config!$B$23)*100)))),MIN(100,Config!$B$27*MAX(0,MIN(100,(1-IF($R810="",0,$R810))*100)) + Config!$B$28*MAX(0,MIN(100,(1-MIN(1,IF(Config!$B$30=0,1,$S810/Config!$B$30)))*100)) + Config!$B$29*MAX(0,MIN(100,MIN(1,IF($T810="",0,$T810)/Config!$B$23)*100))))),"")
</f>
        <v/>
      </c>
      <c r="V810" s="40" t="str">
        <f>IF(Bids!$D809="","",Bids!$D809)</f>
        <v/>
      </c>
      <c r="W810" s="40" t="str">
        <f>IF(Bids!$F809="","",Bids!$F809)</f>
        <v/>
      </c>
      <c r="X810" s="40" t="str">
        <f t="shared" si="5"/>
        <v/>
      </c>
      <c r="Y810" s="40" t="str">
        <f>IF($X810="","",IF(Config!$B$17=Config!$B$16,IF($X810&gt;=Config!$B$17,100,0),MAX(0,MIN(100,($X810-Config!$B$16)/(Config!$B$17-Config!$B$16)*100))))</f>
        <v/>
      </c>
      <c r="Z810" s="40">
        <f>IF($M810="Elite",Config!$B$21,0)</f>
        <v>0</v>
      </c>
      <c r="AA810" s="40" t="str">
        <f>IFERROR(IF(OR($W810="",$H810=""),"",IF($W810&gt;$H810,
  MAX(0, 60-(($W810-$H810)*24/Config!$B$19)*60),
  MIN(100, 60+(($H810-$W810)*24/Config!$B$20)*40)
)),"")
</f>
        <v/>
      </c>
      <c r="AB810" s="40" t="str">
        <f>IF($K810="","",IFERROR(VLOOKUP($K810,Grinders!$A$4:$N$998,10,FALSE)/5*100,""))</f>
        <v/>
      </c>
      <c r="AC810" s="40" t="str">
        <f>IF($K810="","",IFERROR(VLOOKUP($K810,Grinders!$A$4:$N$998,11,FALSE)*100,""))</f>
        <v/>
      </c>
      <c r="AD810" s="40" t="str">
        <f>IF($K810="","",IFERROR(VLOOKUP($K810,Grinders!$A$4:$N$998,12,FALSE)*100,""))</f>
        <v/>
      </c>
      <c r="AE810" s="40">
        <f>IFERROR(IFS(
    OR($C810="", $K810=""), 0,
    $F810=0, 0,
    $D810&lt;&gt;"Open", 0,
    COUNTIFS(GrinderServices!$B$4:$B$998, $K810, GrinderServices!$C$4:$C$998, $E810, GrinderServices!$E$4:$E$998, "Y")=0, 0,
    $X810&lt;Config!$B$16, 0,
    Config!$B$18=1, IF($O810&gt;=N810, 0, 1),
    TRUE, 1
), "")
</f>
        <v>0</v>
      </c>
      <c r="AF810" s="40" t="str">
        <f>IFERROR(IF($AE810=0,"",((Config!$B$6*$Y810 + Config!$B$7*$U810 + Config!$B$8*$Z810 + Config!$B$9*$AA810 + Config!$B$10*$AB810 + Config!$B$11*$AC810 - Config!$B$12*$AD810)/Config!$B$13)+$AK810+$AL810),"")</f>
        <v/>
      </c>
      <c r="AG810" s="40" t="str">
        <f t="shared" si="6"/>
        <v/>
      </c>
      <c r="AH810" s="40" t="str">
        <f t="shared" si="7"/>
        <v/>
      </c>
      <c r="AI810" s="40" t="str">
        <f t="shared" si="8"/>
        <v/>
      </c>
      <c r="AJ810" s="40" t="str">
        <f>IF($K810="","",COUNTIF(Assignments!$B$6:$B$1000,$K810))</f>
        <v/>
      </c>
      <c r="AK810" s="40" t="str">
        <f>IF($K810="","",IF(AND($AJ810=0,$O810&lt;$N810),Config!$B$43,0))</f>
        <v/>
      </c>
      <c r="AL810" s="40" t="str">
        <f>IF($K810="","",IF(AND($M810="Elite",$G810&gt;=Config!$B$41,$O810&lt;$N810),Config!$B$42,0))</f>
        <v/>
      </c>
      <c r="AM810" s="22"/>
    </row>
    <row r="811" ht="15.75" customHeight="1">
      <c r="A811" s="40" t="str">
        <f t="shared" si="1"/>
        <v/>
      </c>
      <c r="B811" s="40" t="str">
        <f>IF(Bids!$A810="","",Bids!$A810)</f>
        <v/>
      </c>
      <c r="C811" s="40" t="str">
        <f>IF(Bids!$B810="","",Bids!$B810)</f>
        <v/>
      </c>
      <c r="D811" s="40" t="str">
        <f>IF($C811="","",IFERROR(VLOOKUP($C811,Orders!$A$4:$J$998,9,FALSE),""))</f>
        <v/>
      </c>
      <c r="E811" s="40" t="str">
        <f>IF($C811="","",IFERROR(VLOOKUP($C811,Orders!$A$4:$J$998,3,FALSE),""))</f>
        <v/>
      </c>
      <c r="F811" s="40">
        <f t="shared" si="2"/>
        <v>1</v>
      </c>
      <c r="G811" s="40" t="str">
        <f>IF($C811="","",IFERROR(VLOOKUP($C811,Orders!$A$4:$J$998,4,FALSE),""))</f>
        <v/>
      </c>
      <c r="H811" s="40" t="str">
        <f>IF($C811="","",IFERROR(VLOOKUP($C811,Orders!$A$4:$J$998,5,FALSE),""))</f>
        <v/>
      </c>
      <c r="I811" s="40" t="str">
        <f>IF($C811="","",IFERROR(VLOOKUP($C811,Orders!$A$4:$J$998,6,FALSE),""))</f>
        <v/>
      </c>
      <c r="J811" s="40" t="str">
        <f>IF($C811="","",IFERROR(VLOOKUP($C811,Orders!$A$4:$J$998,7,FALSE),""))</f>
        <v/>
      </c>
      <c r="K811" s="40" t="str">
        <f>IF(Bids!$C810="","",Bids!$C810)</f>
        <v/>
      </c>
      <c r="L811" s="40" t="str">
        <f>IF($K811="","",IFERROR(VLOOKUP($K811,Grinders!$A$4:$N$998,2,FALSE),""))</f>
        <v/>
      </c>
      <c r="M811" s="40" t="str">
        <f>IF($K811="","",IFERROR(VLOOKUP($K811,Grinders!$A$4:$N$998,3,FALSE),""))</f>
        <v/>
      </c>
      <c r="N811" s="40" t="str">
        <f>IF($K811="","",IFERROR(VLOOKUP($K811,Grinders!$A$4:$N$998,4,FALSE),""))</f>
        <v/>
      </c>
      <c r="O811" s="40" t="str">
        <f>IF($K811="","",IFERROR(VLOOKUP($K811,Grinders!$A$4:$N$998,5,FALSE),""))</f>
        <v/>
      </c>
      <c r="P811" s="40" t="str">
        <f>IF($K811="","",IF($C$4="",0,COUNTIFS(Assignments!$B$6:$B$1000,$K811,Assignments!$F$6:$F$1000,$C$4,Assignments!$E$6:$E$1000,"Active")))</f>
        <v/>
      </c>
      <c r="Q811" s="40" t="str">
        <f t="shared" si="3"/>
        <v/>
      </c>
      <c r="R811" s="40" t="str">
        <f t="shared" si="4"/>
        <v/>
      </c>
      <c r="S811" s="40" t="str">
        <f>IF($K811="","",IF($C$4="",0,COUNTIFS(Assignments!$B$6:$B$1000,$K811,Assignments!$F$6:$F$1000,$C$4,Assignments!$D$6:$D$1000,"&gt;="&amp;Config!$B$3-7,Assignments!$D$6:$D$1000,"&lt;="&amp;Config!$B$3)))</f>
        <v/>
      </c>
      <c r="T811" s="40" t="str">
        <f>IF($K811="","",IFERROR(VLOOKUP($K811,Grinders!$A$4:$N$998,8,FALSE),""))</f>
        <v/>
      </c>
      <c r="U811" s="40" t="str">
        <f>IFERROR(IF($K811="","",IF($M811="Elite",MAX(50,MIN(100,Config!$B$27*MAX(0,MIN(100,(1-IF($R811="",0,$R811))*100)) + Config!$B$28*MAX(0,MIN(100,(1-MIN(1,IF(Config!$B$30=0,1,$S811/Config!$B$30)))*100)) + Config!$B$29*MAX(0,MIN(100,MIN(1,IF($T811="",0,$T811)/Config!$B$23)*100)))),MIN(100,Config!$B$27*MAX(0,MIN(100,(1-IF($R811="",0,$R811))*100)) + Config!$B$28*MAX(0,MIN(100,(1-MIN(1,IF(Config!$B$30=0,1,$S811/Config!$B$30)))*100)) + Config!$B$29*MAX(0,MIN(100,MIN(1,IF($T811="",0,$T811)/Config!$B$23)*100))))),"")
</f>
        <v/>
      </c>
      <c r="V811" s="40" t="str">
        <f>IF(Bids!$D810="","",Bids!$D810)</f>
        <v/>
      </c>
      <c r="W811" s="40" t="str">
        <f>IF(Bids!$F810="","",Bids!$F810)</f>
        <v/>
      </c>
      <c r="X811" s="40" t="str">
        <f t="shared" si="5"/>
        <v/>
      </c>
      <c r="Y811" s="40" t="str">
        <f>IF($X811="","",IF(Config!$B$17=Config!$B$16,IF($X811&gt;=Config!$B$17,100,0),MAX(0,MIN(100,($X811-Config!$B$16)/(Config!$B$17-Config!$B$16)*100))))</f>
        <v/>
      </c>
      <c r="Z811" s="40">
        <f>IF($M811="Elite",Config!$B$21,0)</f>
        <v>0</v>
      </c>
      <c r="AA811" s="40" t="str">
        <f>IFERROR(IF(OR($W811="",$H811=""),"",IF($W811&gt;$H811,
  MAX(0, 60-(($W811-$H811)*24/Config!$B$19)*60),
  MIN(100, 60+(($H811-$W811)*24/Config!$B$20)*40)
)),"")
</f>
        <v/>
      </c>
      <c r="AB811" s="40" t="str">
        <f>IF($K811="","",IFERROR(VLOOKUP($K811,Grinders!$A$4:$N$998,10,FALSE)/5*100,""))</f>
        <v/>
      </c>
      <c r="AC811" s="40" t="str">
        <f>IF($K811="","",IFERROR(VLOOKUP($K811,Grinders!$A$4:$N$998,11,FALSE)*100,""))</f>
        <v/>
      </c>
      <c r="AD811" s="40" t="str">
        <f>IF($K811="","",IFERROR(VLOOKUP($K811,Grinders!$A$4:$N$998,12,FALSE)*100,""))</f>
        <v/>
      </c>
      <c r="AE811" s="40">
        <f>IFERROR(IFS(
    OR($C811="", $K811=""), 0,
    $F811=0, 0,
    $D811&lt;&gt;"Open", 0,
    COUNTIFS(GrinderServices!$B$4:$B$998, $K811, GrinderServices!$C$4:$C$998, $E811, GrinderServices!$E$4:$E$998, "Y")=0, 0,
    $X811&lt;Config!$B$16, 0,
    Config!$B$18=1, IF($O811&gt;=N811, 0, 1),
    TRUE, 1
), "")
</f>
        <v>0</v>
      </c>
      <c r="AF811" s="40" t="str">
        <f>IFERROR(IF($AE811=0,"",((Config!$B$6*$Y811 + Config!$B$7*$U811 + Config!$B$8*$Z811 + Config!$B$9*$AA811 + Config!$B$10*$AB811 + Config!$B$11*$AC811 - Config!$B$12*$AD811)/Config!$B$13)+$AK811+$AL811),"")</f>
        <v/>
      </c>
      <c r="AG811" s="40" t="str">
        <f t="shared" si="6"/>
        <v/>
      </c>
      <c r="AH811" s="40" t="str">
        <f t="shared" si="7"/>
        <v/>
      </c>
      <c r="AI811" s="40" t="str">
        <f t="shared" si="8"/>
        <v/>
      </c>
      <c r="AJ811" s="40" t="str">
        <f>IF($K811="","",COUNTIF(Assignments!$B$6:$B$1000,$K811))</f>
        <v/>
      </c>
      <c r="AK811" s="40" t="str">
        <f>IF($K811="","",IF(AND($AJ811=0,$O811&lt;$N811),Config!$B$43,0))</f>
        <v/>
      </c>
      <c r="AL811" s="40" t="str">
        <f>IF($K811="","",IF(AND($M811="Elite",$G811&gt;=Config!$B$41,$O811&lt;$N811),Config!$B$42,0))</f>
        <v/>
      </c>
      <c r="AM811" s="22"/>
    </row>
    <row r="812" ht="15.75" customHeight="1">
      <c r="A812" s="40" t="str">
        <f t="shared" si="1"/>
        <v/>
      </c>
      <c r="B812" s="40" t="str">
        <f>IF(Bids!$A811="","",Bids!$A811)</f>
        <v/>
      </c>
      <c r="C812" s="40" t="str">
        <f>IF(Bids!$B811="","",Bids!$B811)</f>
        <v/>
      </c>
      <c r="D812" s="40" t="str">
        <f>IF($C812="","",IFERROR(VLOOKUP($C812,Orders!$A$4:$J$998,9,FALSE),""))</f>
        <v/>
      </c>
      <c r="E812" s="40" t="str">
        <f>IF($C812="","",IFERROR(VLOOKUP($C812,Orders!$A$4:$J$998,3,FALSE),""))</f>
        <v/>
      </c>
      <c r="F812" s="40">
        <f t="shared" si="2"/>
        <v>1</v>
      </c>
      <c r="G812" s="40" t="str">
        <f>IF($C812="","",IFERROR(VLOOKUP($C812,Orders!$A$4:$J$998,4,FALSE),""))</f>
        <v/>
      </c>
      <c r="H812" s="40" t="str">
        <f>IF($C812="","",IFERROR(VLOOKUP($C812,Orders!$A$4:$J$998,5,FALSE),""))</f>
        <v/>
      </c>
      <c r="I812" s="40" t="str">
        <f>IF($C812="","",IFERROR(VLOOKUP($C812,Orders!$A$4:$J$998,6,FALSE),""))</f>
        <v/>
      </c>
      <c r="J812" s="40" t="str">
        <f>IF($C812="","",IFERROR(VLOOKUP($C812,Orders!$A$4:$J$998,7,FALSE),""))</f>
        <v/>
      </c>
      <c r="K812" s="40" t="str">
        <f>IF(Bids!$C811="","",Bids!$C811)</f>
        <v/>
      </c>
      <c r="L812" s="40" t="str">
        <f>IF($K812="","",IFERROR(VLOOKUP($K812,Grinders!$A$4:$N$998,2,FALSE),""))</f>
        <v/>
      </c>
      <c r="M812" s="40" t="str">
        <f>IF($K812="","",IFERROR(VLOOKUP($K812,Grinders!$A$4:$N$998,3,FALSE),""))</f>
        <v/>
      </c>
      <c r="N812" s="40" t="str">
        <f>IF($K812="","",IFERROR(VLOOKUP($K812,Grinders!$A$4:$N$998,4,FALSE),""))</f>
        <v/>
      </c>
      <c r="O812" s="40" t="str">
        <f>IF($K812="","",IFERROR(VLOOKUP($K812,Grinders!$A$4:$N$998,5,FALSE),""))</f>
        <v/>
      </c>
      <c r="P812" s="40" t="str">
        <f>IF($K812="","",IF($C$4="",0,COUNTIFS(Assignments!$B$6:$B$1000,$K812,Assignments!$F$6:$F$1000,$C$4,Assignments!$E$6:$E$1000,"Active")))</f>
        <v/>
      </c>
      <c r="Q812" s="40" t="str">
        <f t="shared" si="3"/>
        <v/>
      </c>
      <c r="R812" s="40" t="str">
        <f t="shared" si="4"/>
        <v/>
      </c>
      <c r="S812" s="40" t="str">
        <f>IF($K812="","",IF($C$4="",0,COUNTIFS(Assignments!$B$6:$B$1000,$K812,Assignments!$F$6:$F$1000,$C$4,Assignments!$D$6:$D$1000,"&gt;="&amp;Config!$B$3-7,Assignments!$D$6:$D$1000,"&lt;="&amp;Config!$B$3)))</f>
        <v/>
      </c>
      <c r="T812" s="40" t="str">
        <f>IF($K812="","",IFERROR(VLOOKUP($K812,Grinders!$A$4:$N$998,8,FALSE),""))</f>
        <v/>
      </c>
      <c r="U812" s="40" t="str">
        <f>IFERROR(IF($K812="","",IF($M812="Elite",MAX(50,MIN(100,Config!$B$27*MAX(0,MIN(100,(1-IF($R812="",0,$R812))*100)) + Config!$B$28*MAX(0,MIN(100,(1-MIN(1,IF(Config!$B$30=0,1,$S812/Config!$B$30)))*100)) + Config!$B$29*MAX(0,MIN(100,MIN(1,IF($T812="",0,$T812)/Config!$B$23)*100)))),MIN(100,Config!$B$27*MAX(0,MIN(100,(1-IF($R812="",0,$R812))*100)) + Config!$B$28*MAX(0,MIN(100,(1-MIN(1,IF(Config!$B$30=0,1,$S812/Config!$B$30)))*100)) + Config!$B$29*MAX(0,MIN(100,MIN(1,IF($T812="",0,$T812)/Config!$B$23)*100))))),"")
</f>
        <v/>
      </c>
      <c r="V812" s="40" t="str">
        <f>IF(Bids!$D811="","",Bids!$D811)</f>
        <v/>
      </c>
      <c r="W812" s="40" t="str">
        <f>IF(Bids!$F811="","",Bids!$F811)</f>
        <v/>
      </c>
      <c r="X812" s="40" t="str">
        <f t="shared" si="5"/>
        <v/>
      </c>
      <c r="Y812" s="40" t="str">
        <f>IF($X812="","",IF(Config!$B$17=Config!$B$16,IF($X812&gt;=Config!$B$17,100,0),MAX(0,MIN(100,($X812-Config!$B$16)/(Config!$B$17-Config!$B$16)*100))))</f>
        <v/>
      </c>
      <c r="Z812" s="40">
        <f>IF($M812="Elite",Config!$B$21,0)</f>
        <v>0</v>
      </c>
      <c r="AA812" s="40" t="str">
        <f>IFERROR(IF(OR($W812="",$H812=""),"",IF($W812&gt;$H812,
  MAX(0, 60-(($W812-$H812)*24/Config!$B$19)*60),
  MIN(100, 60+(($H812-$W812)*24/Config!$B$20)*40)
)),"")
</f>
        <v/>
      </c>
      <c r="AB812" s="40" t="str">
        <f>IF($K812="","",IFERROR(VLOOKUP($K812,Grinders!$A$4:$N$998,10,FALSE)/5*100,""))</f>
        <v/>
      </c>
      <c r="AC812" s="40" t="str">
        <f>IF($K812="","",IFERROR(VLOOKUP($K812,Grinders!$A$4:$N$998,11,FALSE)*100,""))</f>
        <v/>
      </c>
      <c r="AD812" s="40" t="str">
        <f>IF($K812="","",IFERROR(VLOOKUP($K812,Grinders!$A$4:$N$998,12,FALSE)*100,""))</f>
        <v/>
      </c>
      <c r="AE812" s="40">
        <f>IFERROR(IFS(
    OR($C812="", $K812=""), 0,
    $F812=0, 0,
    $D812&lt;&gt;"Open", 0,
    COUNTIFS(GrinderServices!$B$4:$B$998, $K812, GrinderServices!$C$4:$C$998, $E812, GrinderServices!$E$4:$E$998, "Y")=0, 0,
    $X812&lt;Config!$B$16, 0,
    Config!$B$18=1, IF($O812&gt;=N812, 0, 1),
    TRUE, 1
), "")
</f>
        <v>0</v>
      </c>
      <c r="AF812" s="40" t="str">
        <f>IFERROR(IF($AE812=0,"",((Config!$B$6*$Y812 + Config!$B$7*$U812 + Config!$B$8*$Z812 + Config!$B$9*$AA812 + Config!$B$10*$AB812 + Config!$B$11*$AC812 - Config!$B$12*$AD812)/Config!$B$13)+$AK812+$AL812),"")</f>
        <v/>
      </c>
      <c r="AG812" s="40" t="str">
        <f t="shared" si="6"/>
        <v/>
      </c>
      <c r="AH812" s="40" t="str">
        <f t="shared" si="7"/>
        <v/>
      </c>
      <c r="AI812" s="40" t="str">
        <f t="shared" si="8"/>
        <v/>
      </c>
      <c r="AJ812" s="40" t="str">
        <f>IF($K812="","",COUNTIF(Assignments!$B$6:$B$1000,$K812))</f>
        <v/>
      </c>
      <c r="AK812" s="40" t="str">
        <f>IF($K812="","",IF(AND($AJ812=0,$O812&lt;$N812),Config!$B$43,0))</f>
        <v/>
      </c>
      <c r="AL812" s="40" t="str">
        <f>IF($K812="","",IF(AND($M812="Elite",$G812&gt;=Config!$B$41,$O812&lt;$N812),Config!$B$42,0))</f>
        <v/>
      </c>
      <c r="AM812" s="22"/>
    </row>
    <row r="813" ht="15.75" customHeight="1">
      <c r="A813" s="40" t="str">
        <f t="shared" si="1"/>
        <v/>
      </c>
      <c r="B813" s="40" t="str">
        <f>IF(Bids!$A812="","",Bids!$A812)</f>
        <v/>
      </c>
      <c r="C813" s="40" t="str">
        <f>IF(Bids!$B812="","",Bids!$B812)</f>
        <v/>
      </c>
      <c r="D813" s="40" t="str">
        <f>IF($C813="","",IFERROR(VLOOKUP($C813,Orders!$A$4:$J$998,9,FALSE),""))</f>
        <v/>
      </c>
      <c r="E813" s="40" t="str">
        <f>IF($C813="","",IFERROR(VLOOKUP($C813,Orders!$A$4:$J$998,3,FALSE),""))</f>
        <v/>
      </c>
      <c r="F813" s="40">
        <f t="shared" si="2"/>
        <v>1</v>
      </c>
      <c r="G813" s="40" t="str">
        <f>IF($C813="","",IFERROR(VLOOKUP($C813,Orders!$A$4:$J$998,4,FALSE),""))</f>
        <v/>
      </c>
      <c r="H813" s="40" t="str">
        <f>IF($C813="","",IFERROR(VLOOKUP($C813,Orders!$A$4:$J$998,5,FALSE),""))</f>
        <v/>
      </c>
      <c r="I813" s="40" t="str">
        <f>IF($C813="","",IFERROR(VLOOKUP($C813,Orders!$A$4:$J$998,6,FALSE),""))</f>
        <v/>
      </c>
      <c r="J813" s="40" t="str">
        <f>IF($C813="","",IFERROR(VLOOKUP($C813,Orders!$A$4:$J$998,7,FALSE),""))</f>
        <v/>
      </c>
      <c r="K813" s="40" t="str">
        <f>IF(Bids!$C812="","",Bids!$C812)</f>
        <v/>
      </c>
      <c r="L813" s="40" t="str">
        <f>IF($K813="","",IFERROR(VLOOKUP($K813,Grinders!$A$4:$N$998,2,FALSE),""))</f>
        <v/>
      </c>
      <c r="M813" s="40" t="str">
        <f>IF($K813="","",IFERROR(VLOOKUP($K813,Grinders!$A$4:$N$998,3,FALSE),""))</f>
        <v/>
      </c>
      <c r="N813" s="40" t="str">
        <f>IF($K813="","",IFERROR(VLOOKUP($K813,Grinders!$A$4:$N$998,4,FALSE),""))</f>
        <v/>
      </c>
      <c r="O813" s="40" t="str">
        <f>IF($K813="","",IFERROR(VLOOKUP($K813,Grinders!$A$4:$N$998,5,FALSE),""))</f>
        <v/>
      </c>
      <c r="P813" s="40" t="str">
        <f>IF($K813="","",IF($C$4="",0,COUNTIFS(Assignments!$B$6:$B$1000,$K813,Assignments!$F$6:$F$1000,$C$4,Assignments!$E$6:$E$1000,"Active")))</f>
        <v/>
      </c>
      <c r="Q813" s="40" t="str">
        <f t="shared" si="3"/>
        <v/>
      </c>
      <c r="R813" s="40" t="str">
        <f t="shared" si="4"/>
        <v/>
      </c>
      <c r="S813" s="40" t="str">
        <f>IF($K813="","",IF($C$4="",0,COUNTIFS(Assignments!$B$6:$B$1000,$K813,Assignments!$F$6:$F$1000,$C$4,Assignments!$D$6:$D$1000,"&gt;="&amp;Config!$B$3-7,Assignments!$D$6:$D$1000,"&lt;="&amp;Config!$B$3)))</f>
        <v/>
      </c>
      <c r="T813" s="40" t="str">
        <f>IF($K813="","",IFERROR(VLOOKUP($K813,Grinders!$A$4:$N$998,8,FALSE),""))</f>
        <v/>
      </c>
      <c r="U813" s="40" t="str">
        <f>IFERROR(IF($K813="","",IF($M813="Elite",MAX(50,MIN(100,Config!$B$27*MAX(0,MIN(100,(1-IF($R813="",0,$R813))*100)) + Config!$B$28*MAX(0,MIN(100,(1-MIN(1,IF(Config!$B$30=0,1,$S813/Config!$B$30)))*100)) + Config!$B$29*MAX(0,MIN(100,MIN(1,IF($T813="",0,$T813)/Config!$B$23)*100)))),MIN(100,Config!$B$27*MAX(0,MIN(100,(1-IF($R813="",0,$R813))*100)) + Config!$B$28*MAX(0,MIN(100,(1-MIN(1,IF(Config!$B$30=0,1,$S813/Config!$B$30)))*100)) + Config!$B$29*MAX(0,MIN(100,MIN(1,IF($T813="",0,$T813)/Config!$B$23)*100))))),"")
</f>
        <v/>
      </c>
      <c r="V813" s="40" t="str">
        <f>IF(Bids!$D812="","",Bids!$D812)</f>
        <v/>
      </c>
      <c r="W813" s="40" t="str">
        <f>IF(Bids!$F812="","",Bids!$F812)</f>
        <v/>
      </c>
      <c r="X813" s="40" t="str">
        <f t="shared" si="5"/>
        <v/>
      </c>
      <c r="Y813" s="40" t="str">
        <f>IF($X813="","",IF(Config!$B$17=Config!$B$16,IF($X813&gt;=Config!$B$17,100,0),MAX(0,MIN(100,($X813-Config!$B$16)/(Config!$B$17-Config!$B$16)*100))))</f>
        <v/>
      </c>
      <c r="Z813" s="40">
        <f>IF($M813="Elite",Config!$B$21,0)</f>
        <v>0</v>
      </c>
      <c r="AA813" s="40" t="str">
        <f>IFERROR(IF(OR($W813="",$H813=""),"",IF($W813&gt;$H813,
  MAX(0, 60-(($W813-$H813)*24/Config!$B$19)*60),
  MIN(100, 60+(($H813-$W813)*24/Config!$B$20)*40)
)),"")
</f>
        <v/>
      </c>
      <c r="AB813" s="40" t="str">
        <f>IF($K813="","",IFERROR(VLOOKUP($K813,Grinders!$A$4:$N$998,10,FALSE)/5*100,""))</f>
        <v/>
      </c>
      <c r="AC813" s="40" t="str">
        <f>IF($K813="","",IFERROR(VLOOKUP($K813,Grinders!$A$4:$N$998,11,FALSE)*100,""))</f>
        <v/>
      </c>
      <c r="AD813" s="40" t="str">
        <f>IF($K813="","",IFERROR(VLOOKUP($K813,Grinders!$A$4:$N$998,12,FALSE)*100,""))</f>
        <v/>
      </c>
      <c r="AE813" s="40">
        <f>IFERROR(IFS(
    OR($C813="", $K813=""), 0,
    $F813=0, 0,
    $D813&lt;&gt;"Open", 0,
    COUNTIFS(GrinderServices!$B$4:$B$998, $K813, GrinderServices!$C$4:$C$998, $E813, GrinderServices!$E$4:$E$998, "Y")=0, 0,
    $X813&lt;Config!$B$16, 0,
    Config!$B$18=1, IF($O813&gt;=N813, 0, 1),
    TRUE, 1
), "")
</f>
        <v>0</v>
      </c>
      <c r="AF813" s="40" t="str">
        <f>IFERROR(IF($AE813=0,"",((Config!$B$6*$Y813 + Config!$B$7*$U813 + Config!$B$8*$Z813 + Config!$B$9*$AA813 + Config!$B$10*$AB813 + Config!$B$11*$AC813 - Config!$B$12*$AD813)/Config!$B$13)+$AK813+$AL813),"")</f>
        <v/>
      </c>
      <c r="AG813" s="40" t="str">
        <f t="shared" si="6"/>
        <v/>
      </c>
      <c r="AH813" s="40" t="str">
        <f t="shared" si="7"/>
        <v/>
      </c>
      <c r="AI813" s="40" t="str">
        <f t="shared" si="8"/>
        <v/>
      </c>
      <c r="AJ813" s="40" t="str">
        <f>IF($K813="","",COUNTIF(Assignments!$B$6:$B$1000,$K813))</f>
        <v/>
      </c>
      <c r="AK813" s="40" t="str">
        <f>IF($K813="","",IF(AND($AJ813=0,$O813&lt;$N813),Config!$B$43,0))</f>
        <v/>
      </c>
      <c r="AL813" s="40" t="str">
        <f>IF($K813="","",IF(AND($M813="Elite",$G813&gt;=Config!$B$41,$O813&lt;$N813),Config!$B$42,0))</f>
        <v/>
      </c>
      <c r="AM813" s="22"/>
    </row>
    <row r="814" ht="15.75" customHeight="1">
      <c r="A814" s="40" t="str">
        <f t="shared" si="1"/>
        <v/>
      </c>
      <c r="B814" s="40" t="str">
        <f>IF(Bids!$A813="","",Bids!$A813)</f>
        <v/>
      </c>
      <c r="C814" s="40" t="str">
        <f>IF(Bids!$B813="","",Bids!$B813)</f>
        <v/>
      </c>
      <c r="D814" s="40" t="str">
        <f>IF($C814="","",IFERROR(VLOOKUP($C814,Orders!$A$4:$J$998,9,FALSE),""))</f>
        <v/>
      </c>
      <c r="E814" s="40" t="str">
        <f>IF($C814="","",IFERROR(VLOOKUP($C814,Orders!$A$4:$J$998,3,FALSE),""))</f>
        <v/>
      </c>
      <c r="F814" s="40">
        <f t="shared" si="2"/>
        <v>1</v>
      </c>
      <c r="G814" s="40" t="str">
        <f>IF($C814="","",IFERROR(VLOOKUP($C814,Orders!$A$4:$J$998,4,FALSE),""))</f>
        <v/>
      </c>
      <c r="H814" s="40" t="str">
        <f>IF($C814="","",IFERROR(VLOOKUP($C814,Orders!$A$4:$J$998,5,FALSE),""))</f>
        <v/>
      </c>
      <c r="I814" s="40" t="str">
        <f>IF($C814="","",IFERROR(VLOOKUP($C814,Orders!$A$4:$J$998,6,FALSE),""))</f>
        <v/>
      </c>
      <c r="J814" s="40" t="str">
        <f>IF($C814="","",IFERROR(VLOOKUP($C814,Orders!$A$4:$J$998,7,FALSE),""))</f>
        <v/>
      </c>
      <c r="K814" s="40" t="str">
        <f>IF(Bids!$C813="","",Bids!$C813)</f>
        <v/>
      </c>
      <c r="L814" s="40" t="str">
        <f>IF($K814="","",IFERROR(VLOOKUP($K814,Grinders!$A$4:$N$998,2,FALSE),""))</f>
        <v/>
      </c>
      <c r="M814" s="40" t="str">
        <f>IF($K814="","",IFERROR(VLOOKUP($K814,Grinders!$A$4:$N$998,3,FALSE),""))</f>
        <v/>
      </c>
      <c r="N814" s="40" t="str">
        <f>IF($K814="","",IFERROR(VLOOKUP($K814,Grinders!$A$4:$N$998,4,FALSE),""))</f>
        <v/>
      </c>
      <c r="O814" s="40" t="str">
        <f>IF($K814="","",IFERROR(VLOOKUP($K814,Grinders!$A$4:$N$998,5,FALSE),""))</f>
        <v/>
      </c>
      <c r="P814" s="40" t="str">
        <f>IF($K814="","",IF($C$4="",0,COUNTIFS(Assignments!$B$6:$B$1000,$K814,Assignments!$F$6:$F$1000,$C$4,Assignments!$E$6:$E$1000,"Active")))</f>
        <v/>
      </c>
      <c r="Q814" s="40" t="str">
        <f t="shared" si="3"/>
        <v/>
      </c>
      <c r="R814" s="40" t="str">
        <f t="shared" si="4"/>
        <v/>
      </c>
      <c r="S814" s="40" t="str">
        <f>IF($K814="","",IF($C$4="",0,COUNTIFS(Assignments!$B$6:$B$1000,$K814,Assignments!$F$6:$F$1000,$C$4,Assignments!$D$6:$D$1000,"&gt;="&amp;Config!$B$3-7,Assignments!$D$6:$D$1000,"&lt;="&amp;Config!$B$3)))</f>
        <v/>
      </c>
      <c r="T814" s="40" t="str">
        <f>IF($K814="","",IFERROR(VLOOKUP($K814,Grinders!$A$4:$N$998,8,FALSE),""))</f>
        <v/>
      </c>
      <c r="U814" s="40" t="str">
        <f>IFERROR(IF($K814="","",IF($M814="Elite",MAX(50,MIN(100,Config!$B$27*MAX(0,MIN(100,(1-IF($R814="",0,$R814))*100)) + Config!$B$28*MAX(0,MIN(100,(1-MIN(1,IF(Config!$B$30=0,1,$S814/Config!$B$30)))*100)) + Config!$B$29*MAX(0,MIN(100,MIN(1,IF($T814="",0,$T814)/Config!$B$23)*100)))),MIN(100,Config!$B$27*MAX(0,MIN(100,(1-IF($R814="",0,$R814))*100)) + Config!$B$28*MAX(0,MIN(100,(1-MIN(1,IF(Config!$B$30=0,1,$S814/Config!$B$30)))*100)) + Config!$B$29*MAX(0,MIN(100,MIN(1,IF($T814="",0,$T814)/Config!$B$23)*100))))),"")
</f>
        <v/>
      </c>
      <c r="V814" s="40" t="str">
        <f>IF(Bids!$D813="","",Bids!$D813)</f>
        <v/>
      </c>
      <c r="W814" s="40" t="str">
        <f>IF(Bids!$F813="","",Bids!$F813)</f>
        <v/>
      </c>
      <c r="X814" s="40" t="str">
        <f t="shared" si="5"/>
        <v/>
      </c>
      <c r="Y814" s="40" t="str">
        <f>IF($X814="","",IF(Config!$B$17=Config!$B$16,IF($X814&gt;=Config!$B$17,100,0),MAX(0,MIN(100,($X814-Config!$B$16)/(Config!$B$17-Config!$B$16)*100))))</f>
        <v/>
      </c>
      <c r="Z814" s="40">
        <f>IF($M814="Elite",Config!$B$21,0)</f>
        <v>0</v>
      </c>
      <c r="AA814" s="40" t="str">
        <f>IFERROR(IF(OR($W814="",$H814=""),"",IF($W814&gt;$H814,
  MAX(0, 60-(($W814-$H814)*24/Config!$B$19)*60),
  MIN(100, 60+(($H814-$W814)*24/Config!$B$20)*40)
)),"")
</f>
        <v/>
      </c>
      <c r="AB814" s="40" t="str">
        <f>IF($K814="","",IFERROR(VLOOKUP($K814,Grinders!$A$4:$N$998,10,FALSE)/5*100,""))</f>
        <v/>
      </c>
      <c r="AC814" s="40" t="str">
        <f>IF($K814="","",IFERROR(VLOOKUP($K814,Grinders!$A$4:$N$998,11,FALSE)*100,""))</f>
        <v/>
      </c>
      <c r="AD814" s="40" t="str">
        <f>IF($K814="","",IFERROR(VLOOKUP($K814,Grinders!$A$4:$N$998,12,FALSE)*100,""))</f>
        <v/>
      </c>
      <c r="AE814" s="40">
        <f>IFERROR(IFS(
    OR($C814="", $K814=""), 0,
    $F814=0, 0,
    $D814&lt;&gt;"Open", 0,
    COUNTIFS(GrinderServices!$B$4:$B$998, $K814, GrinderServices!$C$4:$C$998, $E814, GrinderServices!$E$4:$E$998, "Y")=0, 0,
    $X814&lt;Config!$B$16, 0,
    Config!$B$18=1, IF($O814&gt;=N814, 0, 1),
    TRUE, 1
), "")
</f>
        <v>0</v>
      </c>
      <c r="AF814" s="40" t="str">
        <f>IFERROR(IF($AE814=0,"",((Config!$B$6*$Y814 + Config!$B$7*$U814 + Config!$B$8*$Z814 + Config!$B$9*$AA814 + Config!$B$10*$AB814 + Config!$B$11*$AC814 - Config!$B$12*$AD814)/Config!$B$13)+$AK814+$AL814),"")</f>
        <v/>
      </c>
      <c r="AG814" s="40" t="str">
        <f t="shared" si="6"/>
        <v/>
      </c>
      <c r="AH814" s="40" t="str">
        <f t="shared" si="7"/>
        <v/>
      </c>
      <c r="AI814" s="40" t="str">
        <f t="shared" si="8"/>
        <v/>
      </c>
      <c r="AJ814" s="40" t="str">
        <f>IF($K814="","",COUNTIF(Assignments!$B$6:$B$1000,$K814))</f>
        <v/>
      </c>
      <c r="AK814" s="40" t="str">
        <f>IF($K814="","",IF(AND($AJ814=0,$O814&lt;$N814),Config!$B$43,0))</f>
        <v/>
      </c>
      <c r="AL814" s="40" t="str">
        <f>IF($K814="","",IF(AND($M814="Elite",$G814&gt;=Config!$B$41,$O814&lt;$N814),Config!$B$42,0))</f>
        <v/>
      </c>
      <c r="AM814" s="22"/>
    </row>
    <row r="815" ht="15.75" customHeight="1">
      <c r="A815" s="40" t="str">
        <f t="shared" si="1"/>
        <v/>
      </c>
      <c r="B815" s="40" t="str">
        <f>IF(Bids!$A814="","",Bids!$A814)</f>
        <v/>
      </c>
      <c r="C815" s="40" t="str">
        <f>IF(Bids!$B814="","",Bids!$B814)</f>
        <v/>
      </c>
      <c r="D815" s="40" t="str">
        <f>IF($C815="","",IFERROR(VLOOKUP($C815,Orders!$A$4:$J$998,9,FALSE),""))</f>
        <v/>
      </c>
      <c r="E815" s="40" t="str">
        <f>IF($C815="","",IFERROR(VLOOKUP($C815,Orders!$A$4:$J$998,3,FALSE),""))</f>
        <v/>
      </c>
      <c r="F815" s="40">
        <f t="shared" si="2"/>
        <v>1</v>
      </c>
      <c r="G815" s="40" t="str">
        <f>IF($C815="","",IFERROR(VLOOKUP($C815,Orders!$A$4:$J$998,4,FALSE),""))</f>
        <v/>
      </c>
      <c r="H815" s="40" t="str">
        <f>IF($C815="","",IFERROR(VLOOKUP($C815,Orders!$A$4:$J$998,5,FALSE),""))</f>
        <v/>
      </c>
      <c r="I815" s="40" t="str">
        <f>IF($C815="","",IFERROR(VLOOKUP($C815,Orders!$A$4:$J$998,6,FALSE),""))</f>
        <v/>
      </c>
      <c r="J815" s="40" t="str">
        <f>IF($C815="","",IFERROR(VLOOKUP($C815,Orders!$A$4:$J$998,7,FALSE),""))</f>
        <v/>
      </c>
      <c r="K815" s="40" t="str">
        <f>IF(Bids!$C814="","",Bids!$C814)</f>
        <v/>
      </c>
      <c r="L815" s="40" t="str">
        <f>IF($K815="","",IFERROR(VLOOKUP($K815,Grinders!$A$4:$N$998,2,FALSE),""))</f>
        <v/>
      </c>
      <c r="M815" s="40" t="str">
        <f>IF($K815="","",IFERROR(VLOOKUP($K815,Grinders!$A$4:$N$998,3,FALSE),""))</f>
        <v/>
      </c>
      <c r="N815" s="40" t="str">
        <f>IF($K815="","",IFERROR(VLOOKUP($K815,Grinders!$A$4:$N$998,4,FALSE),""))</f>
        <v/>
      </c>
      <c r="O815" s="40" t="str">
        <f>IF($K815="","",IFERROR(VLOOKUP($K815,Grinders!$A$4:$N$998,5,FALSE),""))</f>
        <v/>
      </c>
      <c r="P815" s="40" t="str">
        <f>IF($K815="","",IF($C$4="",0,COUNTIFS(Assignments!$B$6:$B$1000,$K815,Assignments!$F$6:$F$1000,$C$4,Assignments!$E$6:$E$1000,"Active")))</f>
        <v/>
      </c>
      <c r="Q815" s="40" t="str">
        <f t="shared" si="3"/>
        <v/>
      </c>
      <c r="R815" s="40" t="str">
        <f t="shared" si="4"/>
        <v/>
      </c>
      <c r="S815" s="40" t="str">
        <f>IF($K815="","",IF($C$4="",0,COUNTIFS(Assignments!$B$6:$B$1000,$K815,Assignments!$F$6:$F$1000,$C$4,Assignments!$D$6:$D$1000,"&gt;="&amp;Config!$B$3-7,Assignments!$D$6:$D$1000,"&lt;="&amp;Config!$B$3)))</f>
        <v/>
      </c>
      <c r="T815" s="40" t="str">
        <f>IF($K815="","",IFERROR(VLOOKUP($K815,Grinders!$A$4:$N$998,8,FALSE),""))</f>
        <v/>
      </c>
      <c r="U815" s="40" t="str">
        <f>IFERROR(IF($K815="","",IF($M815="Elite",MAX(50,MIN(100,Config!$B$27*MAX(0,MIN(100,(1-IF($R815="",0,$R815))*100)) + Config!$B$28*MAX(0,MIN(100,(1-MIN(1,IF(Config!$B$30=0,1,$S815/Config!$B$30)))*100)) + Config!$B$29*MAX(0,MIN(100,MIN(1,IF($T815="",0,$T815)/Config!$B$23)*100)))),MIN(100,Config!$B$27*MAX(0,MIN(100,(1-IF($R815="",0,$R815))*100)) + Config!$B$28*MAX(0,MIN(100,(1-MIN(1,IF(Config!$B$30=0,1,$S815/Config!$B$30)))*100)) + Config!$B$29*MAX(0,MIN(100,MIN(1,IF($T815="",0,$T815)/Config!$B$23)*100))))),"")
</f>
        <v/>
      </c>
      <c r="V815" s="40" t="str">
        <f>IF(Bids!$D814="","",Bids!$D814)</f>
        <v/>
      </c>
      <c r="W815" s="40" t="str">
        <f>IF(Bids!$F814="","",Bids!$F814)</f>
        <v/>
      </c>
      <c r="X815" s="40" t="str">
        <f t="shared" si="5"/>
        <v/>
      </c>
      <c r="Y815" s="40" t="str">
        <f>IF($X815="","",IF(Config!$B$17=Config!$B$16,IF($X815&gt;=Config!$B$17,100,0),MAX(0,MIN(100,($X815-Config!$B$16)/(Config!$B$17-Config!$B$16)*100))))</f>
        <v/>
      </c>
      <c r="Z815" s="40">
        <f>IF($M815="Elite",Config!$B$21,0)</f>
        <v>0</v>
      </c>
      <c r="AA815" s="40" t="str">
        <f>IFERROR(IF(OR($W815="",$H815=""),"",IF($W815&gt;$H815,
  MAX(0, 60-(($W815-$H815)*24/Config!$B$19)*60),
  MIN(100, 60+(($H815-$W815)*24/Config!$B$20)*40)
)),"")
</f>
        <v/>
      </c>
      <c r="AB815" s="40" t="str">
        <f>IF($K815="","",IFERROR(VLOOKUP($K815,Grinders!$A$4:$N$998,10,FALSE)/5*100,""))</f>
        <v/>
      </c>
      <c r="AC815" s="40" t="str">
        <f>IF($K815="","",IFERROR(VLOOKUP($K815,Grinders!$A$4:$N$998,11,FALSE)*100,""))</f>
        <v/>
      </c>
      <c r="AD815" s="40" t="str">
        <f>IF($K815="","",IFERROR(VLOOKUP($K815,Grinders!$A$4:$N$998,12,FALSE)*100,""))</f>
        <v/>
      </c>
      <c r="AE815" s="40">
        <f>IFERROR(IFS(
    OR($C815="", $K815=""), 0,
    $F815=0, 0,
    $D815&lt;&gt;"Open", 0,
    COUNTIFS(GrinderServices!$B$4:$B$998, $K815, GrinderServices!$C$4:$C$998, $E815, GrinderServices!$E$4:$E$998, "Y")=0, 0,
    $X815&lt;Config!$B$16, 0,
    Config!$B$18=1, IF($O815&gt;=N815, 0, 1),
    TRUE, 1
), "")
</f>
        <v>0</v>
      </c>
      <c r="AF815" s="40" t="str">
        <f>IFERROR(IF($AE815=0,"",((Config!$B$6*$Y815 + Config!$B$7*$U815 + Config!$B$8*$Z815 + Config!$B$9*$AA815 + Config!$B$10*$AB815 + Config!$B$11*$AC815 - Config!$B$12*$AD815)/Config!$B$13)+$AK815+$AL815),"")</f>
        <v/>
      </c>
      <c r="AG815" s="40" t="str">
        <f t="shared" si="6"/>
        <v/>
      </c>
      <c r="AH815" s="40" t="str">
        <f t="shared" si="7"/>
        <v/>
      </c>
      <c r="AI815" s="40" t="str">
        <f t="shared" si="8"/>
        <v/>
      </c>
      <c r="AJ815" s="40" t="str">
        <f>IF($K815="","",COUNTIF(Assignments!$B$6:$B$1000,$K815))</f>
        <v/>
      </c>
      <c r="AK815" s="40" t="str">
        <f>IF($K815="","",IF(AND($AJ815=0,$O815&lt;$N815),Config!$B$43,0))</f>
        <v/>
      </c>
      <c r="AL815" s="40" t="str">
        <f>IF($K815="","",IF(AND($M815="Elite",$G815&gt;=Config!$B$41,$O815&lt;$N815),Config!$B$42,0))</f>
        <v/>
      </c>
      <c r="AM815" s="22"/>
    </row>
    <row r="816" ht="15.75" customHeight="1">
      <c r="A816" s="40" t="str">
        <f t="shared" si="1"/>
        <v/>
      </c>
      <c r="B816" s="40" t="str">
        <f>IF(Bids!$A815="","",Bids!$A815)</f>
        <v/>
      </c>
      <c r="C816" s="40" t="str">
        <f>IF(Bids!$B815="","",Bids!$B815)</f>
        <v/>
      </c>
      <c r="D816" s="40" t="str">
        <f>IF($C816="","",IFERROR(VLOOKUP($C816,Orders!$A$4:$J$998,9,FALSE),""))</f>
        <v/>
      </c>
      <c r="E816" s="40" t="str">
        <f>IF($C816="","",IFERROR(VLOOKUP($C816,Orders!$A$4:$J$998,3,FALSE),""))</f>
        <v/>
      </c>
      <c r="F816" s="40">
        <f t="shared" si="2"/>
        <v>1</v>
      </c>
      <c r="G816" s="40" t="str">
        <f>IF($C816="","",IFERROR(VLOOKUP($C816,Orders!$A$4:$J$998,4,FALSE),""))</f>
        <v/>
      </c>
      <c r="H816" s="40" t="str">
        <f>IF($C816="","",IFERROR(VLOOKUP($C816,Orders!$A$4:$J$998,5,FALSE),""))</f>
        <v/>
      </c>
      <c r="I816" s="40" t="str">
        <f>IF($C816="","",IFERROR(VLOOKUP($C816,Orders!$A$4:$J$998,6,FALSE),""))</f>
        <v/>
      </c>
      <c r="J816" s="40" t="str">
        <f>IF($C816="","",IFERROR(VLOOKUP($C816,Orders!$A$4:$J$998,7,FALSE),""))</f>
        <v/>
      </c>
      <c r="K816" s="40" t="str">
        <f>IF(Bids!$C815="","",Bids!$C815)</f>
        <v/>
      </c>
      <c r="L816" s="40" t="str">
        <f>IF($K816="","",IFERROR(VLOOKUP($K816,Grinders!$A$4:$N$998,2,FALSE),""))</f>
        <v/>
      </c>
      <c r="M816" s="40" t="str">
        <f>IF($K816="","",IFERROR(VLOOKUP($K816,Grinders!$A$4:$N$998,3,FALSE),""))</f>
        <v/>
      </c>
      <c r="N816" s="40" t="str">
        <f>IF($K816="","",IFERROR(VLOOKUP($K816,Grinders!$A$4:$N$998,4,FALSE),""))</f>
        <v/>
      </c>
      <c r="O816" s="40" t="str">
        <f>IF($K816="","",IFERROR(VLOOKUP($K816,Grinders!$A$4:$N$998,5,FALSE),""))</f>
        <v/>
      </c>
      <c r="P816" s="40" t="str">
        <f>IF($K816="","",IF($C$4="",0,COUNTIFS(Assignments!$B$6:$B$1000,$K816,Assignments!$F$6:$F$1000,$C$4,Assignments!$E$6:$E$1000,"Active")))</f>
        <v/>
      </c>
      <c r="Q816" s="40" t="str">
        <f t="shared" si="3"/>
        <v/>
      </c>
      <c r="R816" s="40" t="str">
        <f t="shared" si="4"/>
        <v/>
      </c>
      <c r="S816" s="40" t="str">
        <f>IF($K816="","",IF($C$4="",0,COUNTIFS(Assignments!$B$6:$B$1000,$K816,Assignments!$F$6:$F$1000,$C$4,Assignments!$D$6:$D$1000,"&gt;="&amp;Config!$B$3-7,Assignments!$D$6:$D$1000,"&lt;="&amp;Config!$B$3)))</f>
        <v/>
      </c>
      <c r="T816" s="40" t="str">
        <f>IF($K816="","",IFERROR(VLOOKUP($K816,Grinders!$A$4:$N$998,8,FALSE),""))</f>
        <v/>
      </c>
      <c r="U816" s="40" t="str">
        <f>IFERROR(IF($K816="","",IF($M816="Elite",MAX(50,MIN(100,Config!$B$27*MAX(0,MIN(100,(1-IF($R816="",0,$R816))*100)) + Config!$B$28*MAX(0,MIN(100,(1-MIN(1,IF(Config!$B$30=0,1,$S816/Config!$B$30)))*100)) + Config!$B$29*MAX(0,MIN(100,MIN(1,IF($T816="",0,$T816)/Config!$B$23)*100)))),MIN(100,Config!$B$27*MAX(0,MIN(100,(1-IF($R816="",0,$R816))*100)) + Config!$B$28*MAX(0,MIN(100,(1-MIN(1,IF(Config!$B$30=0,1,$S816/Config!$B$30)))*100)) + Config!$B$29*MAX(0,MIN(100,MIN(1,IF($T816="",0,$T816)/Config!$B$23)*100))))),"")
</f>
        <v/>
      </c>
      <c r="V816" s="40" t="str">
        <f>IF(Bids!$D815="","",Bids!$D815)</f>
        <v/>
      </c>
      <c r="W816" s="40" t="str">
        <f>IF(Bids!$F815="","",Bids!$F815)</f>
        <v/>
      </c>
      <c r="X816" s="40" t="str">
        <f t="shared" si="5"/>
        <v/>
      </c>
      <c r="Y816" s="40" t="str">
        <f>IF($X816="","",IF(Config!$B$17=Config!$B$16,IF($X816&gt;=Config!$B$17,100,0),MAX(0,MIN(100,($X816-Config!$B$16)/(Config!$B$17-Config!$B$16)*100))))</f>
        <v/>
      </c>
      <c r="Z816" s="40">
        <f>IF($M816="Elite",Config!$B$21,0)</f>
        <v>0</v>
      </c>
      <c r="AA816" s="40" t="str">
        <f>IFERROR(IF(OR($W816="",$H816=""),"",IF($W816&gt;$H816,
  MAX(0, 60-(($W816-$H816)*24/Config!$B$19)*60),
  MIN(100, 60+(($H816-$W816)*24/Config!$B$20)*40)
)),"")
</f>
        <v/>
      </c>
      <c r="AB816" s="40" t="str">
        <f>IF($K816="","",IFERROR(VLOOKUP($K816,Grinders!$A$4:$N$998,10,FALSE)/5*100,""))</f>
        <v/>
      </c>
      <c r="AC816" s="40" t="str">
        <f>IF($K816="","",IFERROR(VLOOKUP($K816,Grinders!$A$4:$N$998,11,FALSE)*100,""))</f>
        <v/>
      </c>
      <c r="AD816" s="40" t="str">
        <f>IF($K816="","",IFERROR(VLOOKUP($K816,Grinders!$A$4:$N$998,12,FALSE)*100,""))</f>
        <v/>
      </c>
      <c r="AE816" s="40">
        <f>IFERROR(IFS(
    OR($C816="", $K816=""), 0,
    $F816=0, 0,
    $D816&lt;&gt;"Open", 0,
    COUNTIFS(GrinderServices!$B$4:$B$998, $K816, GrinderServices!$C$4:$C$998, $E816, GrinderServices!$E$4:$E$998, "Y")=0, 0,
    $X816&lt;Config!$B$16, 0,
    Config!$B$18=1, IF($O816&gt;=N816, 0, 1),
    TRUE, 1
), "")
</f>
        <v>0</v>
      </c>
      <c r="AF816" s="40" t="str">
        <f>IFERROR(IF($AE816=0,"",((Config!$B$6*$Y816 + Config!$B$7*$U816 + Config!$B$8*$Z816 + Config!$B$9*$AA816 + Config!$B$10*$AB816 + Config!$B$11*$AC816 - Config!$B$12*$AD816)/Config!$B$13)+$AK816+$AL816),"")</f>
        <v/>
      </c>
      <c r="AG816" s="40" t="str">
        <f t="shared" si="6"/>
        <v/>
      </c>
      <c r="AH816" s="40" t="str">
        <f t="shared" si="7"/>
        <v/>
      </c>
      <c r="AI816" s="40" t="str">
        <f t="shared" si="8"/>
        <v/>
      </c>
      <c r="AJ816" s="40" t="str">
        <f>IF($K816="","",COUNTIF(Assignments!$B$6:$B$1000,$K816))</f>
        <v/>
      </c>
      <c r="AK816" s="40" t="str">
        <f>IF($K816="","",IF(AND($AJ816=0,$O816&lt;$N816),Config!$B$43,0))</f>
        <v/>
      </c>
      <c r="AL816" s="40" t="str">
        <f>IF($K816="","",IF(AND($M816="Elite",$G816&gt;=Config!$B$41,$O816&lt;$N816),Config!$B$42,0))</f>
        <v/>
      </c>
      <c r="AM816" s="22"/>
    </row>
    <row r="817" ht="15.75" customHeight="1">
      <c r="A817" s="40" t="str">
        <f t="shared" si="1"/>
        <v/>
      </c>
      <c r="B817" s="40" t="str">
        <f>IF(Bids!$A816="","",Bids!$A816)</f>
        <v/>
      </c>
      <c r="C817" s="40" t="str">
        <f>IF(Bids!$B816="","",Bids!$B816)</f>
        <v/>
      </c>
      <c r="D817" s="40" t="str">
        <f>IF($C817="","",IFERROR(VLOOKUP($C817,Orders!$A$4:$J$998,9,FALSE),""))</f>
        <v/>
      </c>
      <c r="E817" s="40" t="str">
        <f>IF($C817="","",IFERROR(VLOOKUP($C817,Orders!$A$4:$J$998,3,FALSE),""))</f>
        <v/>
      </c>
      <c r="F817" s="40">
        <f t="shared" si="2"/>
        <v>1</v>
      </c>
      <c r="G817" s="40" t="str">
        <f>IF($C817="","",IFERROR(VLOOKUP($C817,Orders!$A$4:$J$998,4,FALSE),""))</f>
        <v/>
      </c>
      <c r="H817" s="40" t="str">
        <f>IF($C817="","",IFERROR(VLOOKUP($C817,Orders!$A$4:$J$998,5,FALSE),""))</f>
        <v/>
      </c>
      <c r="I817" s="40" t="str">
        <f>IF($C817="","",IFERROR(VLOOKUP($C817,Orders!$A$4:$J$998,6,FALSE),""))</f>
        <v/>
      </c>
      <c r="J817" s="40" t="str">
        <f>IF($C817="","",IFERROR(VLOOKUP($C817,Orders!$A$4:$J$998,7,FALSE),""))</f>
        <v/>
      </c>
      <c r="K817" s="40" t="str">
        <f>IF(Bids!$C816="","",Bids!$C816)</f>
        <v/>
      </c>
      <c r="L817" s="40" t="str">
        <f>IF($K817="","",IFERROR(VLOOKUP($K817,Grinders!$A$4:$N$998,2,FALSE),""))</f>
        <v/>
      </c>
      <c r="M817" s="40" t="str">
        <f>IF($K817="","",IFERROR(VLOOKUP($K817,Grinders!$A$4:$N$998,3,FALSE),""))</f>
        <v/>
      </c>
      <c r="N817" s="40" t="str">
        <f>IF($K817="","",IFERROR(VLOOKUP($K817,Grinders!$A$4:$N$998,4,FALSE),""))</f>
        <v/>
      </c>
      <c r="O817" s="40" t="str">
        <f>IF($K817="","",IFERROR(VLOOKUP($K817,Grinders!$A$4:$N$998,5,FALSE),""))</f>
        <v/>
      </c>
      <c r="P817" s="40" t="str">
        <f>IF($K817="","",IF($C$4="",0,COUNTIFS(Assignments!$B$6:$B$1000,$K817,Assignments!$F$6:$F$1000,$C$4,Assignments!$E$6:$E$1000,"Active")))</f>
        <v/>
      </c>
      <c r="Q817" s="40" t="str">
        <f t="shared" si="3"/>
        <v/>
      </c>
      <c r="R817" s="40" t="str">
        <f t="shared" si="4"/>
        <v/>
      </c>
      <c r="S817" s="40" t="str">
        <f>IF($K817="","",IF($C$4="",0,COUNTIFS(Assignments!$B$6:$B$1000,$K817,Assignments!$F$6:$F$1000,$C$4,Assignments!$D$6:$D$1000,"&gt;="&amp;Config!$B$3-7,Assignments!$D$6:$D$1000,"&lt;="&amp;Config!$B$3)))</f>
        <v/>
      </c>
      <c r="T817" s="40" t="str">
        <f>IF($K817="","",IFERROR(VLOOKUP($K817,Grinders!$A$4:$N$998,8,FALSE),""))</f>
        <v/>
      </c>
      <c r="U817" s="40" t="str">
        <f>IFERROR(IF($K817="","",IF($M817="Elite",MAX(50,MIN(100,Config!$B$27*MAX(0,MIN(100,(1-IF($R817="",0,$R817))*100)) + Config!$B$28*MAX(0,MIN(100,(1-MIN(1,IF(Config!$B$30=0,1,$S817/Config!$B$30)))*100)) + Config!$B$29*MAX(0,MIN(100,MIN(1,IF($T817="",0,$T817)/Config!$B$23)*100)))),MIN(100,Config!$B$27*MAX(0,MIN(100,(1-IF($R817="",0,$R817))*100)) + Config!$B$28*MAX(0,MIN(100,(1-MIN(1,IF(Config!$B$30=0,1,$S817/Config!$B$30)))*100)) + Config!$B$29*MAX(0,MIN(100,MIN(1,IF($T817="",0,$T817)/Config!$B$23)*100))))),"")
</f>
        <v/>
      </c>
      <c r="V817" s="40" t="str">
        <f>IF(Bids!$D816="","",Bids!$D816)</f>
        <v/>
      </c>
      <c r="W817" s="40" t="str">
        <f>IF(Bids!$F816="","",Bids!$F816)</f>
        <v/>
      </c>
      <c r="X817" s="40" t="str">
        <f t="shared" si="5"/>
        <v/>
      </c>
      <c r="Y817" s="40" t="str">
        <f>IF($X817="","",IF(Config!$B$17=Config!$B$16,IF($X817&gt;=Config!$B$17,100,0),MAX(0,MIN(100,($X817-Config!$B$16)/(Config!$B$17-Config!$B$16)*100))))</f>
        <v/>
      </c>
      <c r="Z817" s="40">
        <f>IF($M817="Elite",Config!$B$21,0)</f>
        <v>0</v>
      </c>
      <c r="AA817" s="40" t="str">
        <f>IFERROR(IF(OR($W817="",$H817=""),"",IF($W817&gt;$H817,
  MAX(0, 60-(($W817-$H817)*24/Config!$B$19)*60),
  MIN(100, 60+(($H817-$W817)*24/Config!$B$20)*40)
)),"")
</f>
        <v/>
      </c>
      <c r="AB817" s="40" t="str">
        <f>IF($K817="","",IFERROR(VLOOKUP($K817,Grinders!$A$4:$N$998,10,FALSE)/5*100,""))</f>
        <v/>
      </c>
      <c r="AC817" s="40" t="str">
        <f>IF($K817="","",IFERROR(VLOOKUP($K817,Grinders!$A$4:$N$998,11,FALSE)*100,""))</f>
        <v/>
      </c>
      <c r="AD817" s="40" t="str">
        <f>IF($K817="","",IFERROR(VLOOKUP($K817,Grinders!$A$4:$N$998,12,FALSE)*100,""))</f>
        <v/>
      </c>
      <c r="AE817" s="40">
        <f>IFERROR(IFS(
    OR($C817="", $K817=""), 0,
    $F817=0, 0,
    $D817&lt;&gt;"Open", 0,
    COUNTIFS(GrinderServices!$B$4:$B$998, $K817, GrinderServices!$C$4:$C$998, $E817, GrinderServices!$E$4:$E$998, "Y")=0, 0,
    $X817&lt;Config!$B$16, 0,
    Config!$B$18=1, IF($O817&gt;=N817, 0, 1),
    TRUE, 1
), "")
</f>
        <v>0</v>
      </c>
      <c r="AF817" s="40" t="str">
        <f>IFERROR(IF($AE817=0,"",((Config!$B$6*$Y817 + Config!$B$7*$U817 + Config!$B$8*$Z817 + Config!$B$9*$AA817 + Config!$B$10*$AB817 + Config!$B$11*$AC817 - Config!$B$12*$AD817)/Config!$B$13)+$AK817+$AL817),"")</f>
        <v/>
      </c>
      <c r="AG817" s="40" t="str">
        <f t="shared" si="6"/>
        <v/>
      </c>
      <c r="AH817" s="40" t="str">
        <f t="shared" si="7"/>
        <v/>
      </c>
      <c r="AI817" s="40" t="str">
        <f t="shared" si="8"/>
        <v/>
      </c>
      <c r="AJ817" s="40" t="str">
        <f>IF($K817="","",COUNTIF(Assignments!$B$6:$B$1000,$K817))</f>
        <v/>
      </c>
      <c r="AK817" s="40" t="str">
        <f>IF($K817="","",IF(AND($AJ817=0,$O817&lt;$N817),Config!$B$43,0))</f>
        <v/>
      </c>
      <c r="AL817" s="40" t="str">
        <f>IF($K817="","",IF(AND($M817="Elite",$G817&gt;=Config!$B$41,$O817&lt;$N817),Config!$B$42,0))</f>
        <v/>
      </c>
      <c r="AM817" s="22"/>
    </row>
    <row r="818" ht="15.75" customHeight="1">
      <c r="A818" s="40" t="str">
        <f t="shared" si="1"/>
        <v/>
      </c>
      <c r="B818" s="40" t="str">
        <f>IF(Bids!$A817="","",Bids!$A817)</f>
        <v/>
      </c>
      <c r="C818" s="40" t="str">
        <f>IF(Bids!$B817="","",Bids!$B817)</f>
        <v/>
      </c>
      <c r="D818" s="40" t="str">
        <f>IF($C818="","",IFERROR(VLOOKUP($C818,Orders!$A$4:$J$998,9,FALSE),""))</f>
        <v/>
      </c>
      <c r="E818" s="40" t="str">
        <f>IF($C818="","",IFERROR(VLOOKUP($C818,Orders!$A$4:$J$998,3,FALSE),""))</f>
        <v/>
      </c>
      <c r="F818" s="40">
        <f t="shared" si="2"/>
        <v>1</v>
      </c>
      <c r="G818" s="40" t="str">
        <f>IF($C818="","",IFERROR(VLOOKUP($C818,Orders!$A$4:$J$998,4,FALSE),""))</f>
        <v/>
      </c>
      <c r="H818" s="40" t="str">
        <f>IF($C818="","",IFERROR(VLOOKUP($C818,Orders!$A$4:$J$998,5,FALSE),""))</f>
        <v/>
      </c>
      <c r="I818" s="40" t="str">
        <f>IF($C818="","",IFERROR(VLOOKUP($C818,Orders!$A$4:$J$998,6,FALSE),""))</f>
        <v/>
      </c>
      <c r="J818" s="40" t="str">
        <f>IF($C818="","",IFERROR(VLOOKUP($C818,Orders!$A$4:$J$998,7,FALSE),""))</f>
        <v/>
      </c>
      <c r="K818" s="40" t="str">
        <f>IF(Bids!$C817="","",Bids!$C817)</f>
        <v/>
      </c>
      <c r="L818" s="40" t="str">
        <f>IF($K818="","",IFERROR(VLOOKUP($K818,Grinders!$A$4:$N$998,2,FALSE),""))</f>
        <v/>
      </c>
      <c r="M818" s="40" t="str">
        <f>IF($K818="","",IFERROR(VLOOKUP($K818,Grinders!$A$4:$N$998,3,FALSE),""))</f>
        <v/>
      </c>
      <c r="N818" s="40" t="str">
        <f>IF($K818="","",IFERROR(VLOOKUP($K818,Grinders!$A$4:$N$998,4,FALSE),""))</f>
        <v/>
      </c>
      <c r="O818" s="40" t="str">
        <f>IF($K818="","",IFERROR(VLOOKUP($K818,Grinders!$A$4:$N$998,5,FALSE),""))</f>
        <v/>
      </c>
      <c r="P818" s="40" t="str">
        <f>IF($K818="","",IF($C$4="",0,COUNTIFS(Assignments!$B$6:$B$1000,$K818,Assignments!$F$6:$F$1000,$C$4,Assignments!$E$6:$E$1000,"Active")))</f>
        <v/>
      </c>
      <c r="Q818" s="40" t="str">
        <f t="shared" si="3"/>
        <v/>
      </c>
      <c r="R818" s="40" t="str">
        <f t="shared" si="4"/>
        <v/>
      </c>
      <c r="S818" s="40" t="str">
        <f>IF($K818="","",IF($C$4="",0,COUNTIFS(Assignments!$B$6:$B$1000,$K818,Assignments!$F$6:$F$1000,$C$4,Assignments!$D$6:$D$1000,"&gt;="&amp;Config!$B$3-7,Assignments!$D$6:$D$1000,"&lt;="&amp;Config!$B$3)))</f>
        <v/>
      </c>
      <c r="T818" s="40" t="str">
        <f>IF($K818="","",IFERROR(VLOOKUP($K818,Grinders!$A$4:$N$998,8,FALSE),""))</f>
        <v/>
      </c>
      <c r="U818" s="40" t="str">
        <f>IFERROR(IF($K818="","",IF($M818="Elite",MAX(50,MIN(100,Config!$B$27*MAX(0,MIN(100,(1-IF($R818="",0,$R818))*100)) + Config!$B$28*MAX(0,MIN(100,(1-MIN(1,IF(Config!$B$30=0,1,$S818/Config!$B$30)))*100)) + Config!$B$29*MAX(0,MIN(100,MIN(1,IF($T818="",0,$T818)/Config!$B$23)*100)))),MIN(100,Config!$B$27*MAX(0,MIN(100,(1-IF($R818="",0,$R818))*100)) + Config!$B$28*MAX(0,MIN(100,(1-MIN(1,IF(Config!$B$30=0,1,$S818/Config!$B$30)))*100)) + Config!$B$29*MAX(0,MIN(100,MIN(1,IF($T818="",0,$T818)/Config!$B$23)*100))))),"")
</f>
        <v/>
      </c>
      <c r="V818" s="40" t="str">
        <f>IF(Bids!$D817="","",Bids!$D817)</f>
        <v/>
      </c>
      <c r="W818" s="40" t="str">
        <f>IF(Bids!$F817="","",Bids!$F817)</f>
        <v/>
      </c>
      <c r="X818" s="40" t="str">
        <f t="shared" si="5"/>
        <v/>
      </c>
      <c r="Y818" s="40" t="str">
        <f>IF($X818="","",IF(Config!$B$17=Config!$B$16,IF($X818&gt;=Config!$B$17,100,0),MAX(0,MIN(100,($X818-Config!$B$16)/(Config!$B$17-Config!$B$16)*100))))</f>
        <v/>
      </c>
      <c r="Z818" s="40">
        <f>IF($M818="Elite",Config!$B$21,0)</f>
        <v>0</v>
      </c>
      <c r="AA818" s="40" t="str">
        <f>IFERROR(IF(OR($W818="",$H818=""),"",IF($W818&gt;$H818,
  MAX(0, 60-(($W818-$H818)*24/Config!$B$19)*60),
  MIN(100, 60+(($H818-$W818)*24/Config!$B$20)*40)
)),"")
</f>
        <v/>
      </c>
      <c r="AB818" s="40" t="str">
        <f>IF($K818="","",IFERROR(VLOOKUP($K818,Grinders!$A$4:$N$998,10,FALSE)/5*100,""))</f>
        <v/>
      </c>
      <c r="AC818" s="40" t="str">
        <f>IF($K818="","",IFERROR(VLOOKUP($K818,Grinders!$A$4:$N$998,11,FALSE)*100,""))</f>
        <v/>
      </c>
      <c r="AD818" s="40" t="str">
        <f>IF($K818="","",IFERROR(VLOOKUP($K818,Grinders!$A$4:$N$998,12,FALSE)*100,""))</f>
        <v/>
      </c>
      <c r="AE818" s="40">
        <f>IFERROR(IFS(
    OR($C818="", $K818=""), 0,
    $F818=0, 0,
    $D818&lt;&gt;"Open", 0,
    COUNTIFS(GrinderServices!$B$4:$B$998, $K818, GrinderServices!$C$4:$C$998, $E818, GrinderServices!$E$4:$E$998, "Y")=0, 0,
    $X818&lt;Config!$B$16, 0,
    Config!$B$18=1, IF($O818&gt;=N818, 0, 1),
    TRUE, 1
), "")
</f>
        <v>0</v>
      </c>
      <c r="AF818" s="40" t="str">
        <f>IFERROR(IF($AE818=0,"",((Config!$B$6*$Y818 + Config!$B$7*$U818 + Config!$B$8*$Z818 + Config!$B$9*$AA818 + Config!$B$10*$AB818 + Config!$B$11*$AC818 - Config!$B$12*$AD818)/Config!$B$13)+$AK818+$AL818),"")</f>
        <v/>
      </c>
      <c r="AG818" s="40" t="str">
        <f t="shared" si="6"/>
        <v/>
      </c>
      <c r="AH818" s="40" t="str">
        <f t="shared" si="7"/>
        <v/>
      </c>
      <c r="AI818" s="40" t="str">
        <f t="shared" si="8"/>
        <v/>
      </c>
      <c r="AJ818" s="40" t="str">
        <f>IF($K818="","",COUNTIF(Assignments!$B$6:$B$1000,$K818))</f>
        <v/>
      </c>
      <c r="AK818" s="40" t="str">
        <f>IF($K818="","",IF(AND($AJ818=0,$O818&lt;$N818),Config!$B$43,0))</f>
        <v/>
      </c>
      <c r="AL818" s="40" t="str">
        <f>IF($K818="","",IF(AND($M818="Elite",$G818&gt;=Config!$B$41,$O818&lt;$N818),Config!$B$42,0))</f>
        <v/>
      </c>
      <c r="AM818" s="22"/>
    </row>
    <row r="819" ht="15.75" customHeight="1">
      <c r="A819" s="40" t="str">
        <f t="shared" si="1"/>
        <v/>
      </c>
      <c r="B819" s="40" t="str">
        <f>IF(Bids!$A818="","",Bids!$A818)</f>
        <v/>
      </c>
      <c r="C819" s="40" t="str">
        <f>IF(Bids!$B818="","",Bids!$B818)</f>
        <v/>
      </c>
      <c r="D819" s="40" t="str">
        <f>IF($C819="","",IFERROR(VLOOKUP($C819,Orders!$A$4:$J$998,9,FALSE),""))</f>
        <v/>
      </c>
      <c r="E819" s="40" t="str">
        <f>IF($C819="","",IFERROR(VLOOKUP($C819,Orders!$A$4:$J$998,3,FALSE),""))</f>
        <v/>
      </c>
      <c r="F819" s="40">
        <f t="shared" si="2"/>
        <v>1</v>
      </c>
      <c r="G819" s="40" t="str">
        <f>IF($C819="","",IFERROR(VLOOKUP($C819,Orders!$A$4:$J$998,4,FALSE),""))</f>
        <v/>
      </c>
      <c r="H819" s="40" t="str">
        <f>IF($C819="","",IFERROR(VLOOKUP($C819,Orders!$A$4:$J$998,5,FALSE),""))</f>
        <v/>
      </c>
      <c r="I819" s="40" t="str">
        <f>IF($C819="","",IFERROR(VLOOKUP($C819,Orders!$A$4:$J$998,6,FALSE),""))</f>
        <v/>
      </c>
      <c r="J819" s="40" t="str">
        <f>IF($C819="","",IFERROR(VLOOKUP($C819,Orders!$A$4:$J$998,7,FALSE),""))</f>
        <v/>
      </c>
      <c r="K819" s="40" t="str">
        <f>IF(Bids!$C818="","",Bids!$C818)</f>
        <v/>
      </c>
      <c r="L819" s="40" t="str">
        <f>IF($K819="","",IFERROR(VLOOKUP($K819,Grinders!$A$4:$N$998,2,FALSE),""))</f>
        <v/>
      </c>
      <c r="M819" s="40" t="str">
        <f>IF($K819="","",IFERROR(VLOOKUP($K819,Grinders!$A$4:$N$998,3,FALSE),""))</f>
        <v/>
      </c>
      <c r="N819" s="40" t="str">
        <f>IF($K819="","",IFERROR(VLOOKUP($K819,Grinders!$A$4:$N$998,4,FALSE),""))</f>
        <v/>
      </c>
      <c r="O819" s="40" t="str">
        <f>IF($K819="","",IFERROR(VLOOKUP($K819,Grinders!$A$4:$N$998,5,FALSE),""))</f>
        <v/>
      </c>
      <c r="P819" s="40" t="str">
        <f>IF($K819="","",IF($C$4="",0,COUNTIFS(Assignments!$B$6:$B$1000,$K819,Assignments!$F$6:$F$1000,$C$4,Assignments!$E$6:$E$1000,"Active")))</f>
        <v/>
      </c>
      <c r="Q819" s="40" t="str">
        <f t="shared" si="3"/>
        <v/>
      </c>
      <c r="R819" s="40" t="str">
        <f t="shared" si="4"/>
        <v/>
      </c>
      <c r="S819" s="40" t="str">
        <f>IF($K819="","",IF($C$4="",0,COUNTIFS(Assignments!$B$6:$B$1000,$K819,Assignments!$F$6:$F$1000,$C$4,Assignments!$D$6:$D$1000,"&gt;="&amp;Config!$B$3-7,Assignments!$D$6:$D$1000,"&lt;="&amp;Config!$B$3)))</f>
        <v/>
      </c>
      <c r="T819" s="40" t="str">
        <f>IF($K819="","",IFERROR(VLOOKUP($K819,Grinders!$A$4:$N$998,8,FALSE),""))</f>
        <v/>
      </c>
      <c r="U819" s="40" t="str">
        <f>IFERROR(IF($K819="","",IF($M819="Elite",MAX(50,MIN(100,Config!$B$27*MAX(0,MIN(100,(1-IF($R819="",0,$R819))*100)) + Config!$B$28*MAX(0,MIN(100,(1-MIN(1,IF(Config!$B$30=0,1,$S819/Config!$B$30)))*100)) + Config!$B$29*MAX(0,MIN(100,MIN(1,IF($T819="",0,$T819)/Config!$B$23)*100)))),MIN(100,Config!$B$27*MAX(0,MIN(100,(1-IF($R819="",0,$R819))*100)) + Config!$B$28*MAX(0,MIN(100,(1-MIN(1,IF(Config!$B$30=0,1,$S819/Config!$B$30)))*100)) + Config!$B$29*MAX(0,MIN(100,MIN(1,IF($T819="",0,$T819)/Config!$B$23)*100))))),"")
</f>
        <v/>
      </c>
      <c r="V819" s="40" t="str">
        <f>IF(Bids!$D818="","",Bids!$D818)</f>
        <v/>
      </c>
      <c r="W819" s="40" t="str">
        <f>IF(Bids!$F818="","",Bids!$F818)</f>
        <v/>
      </c>
      <c r="X819" s="40" t="str">
        <f t="shared" si="5"/>
        <v/>
      </c>
      <c r="Y819" s="40" t="str">
        <f>IF($X819="","",IF(Config!$B$17=Config!$B$16,IF($X819&gt;=Config!$B$17,100,0),MAX(0,MIN(100,($X819-Config!$B$16)/(Config!$B$17-Config!$B$16)*100))))</f>
        <v/>
      </c>
      <c r="Z819" s="40">
        <f>IF($M819="Elite",Config!$B$21,0)</f>
        <v>0</v>
      </c>
      <c r="AA819" s="40" t="str">
        <f>IFERROR(IF(OR($W819="",$H819=""),"",IF($W819&gt;$H819,
  MAX(0, 60-(($W819-$H819)*24/Config!$B$19)*60),
  MIN(100, 60+(($H819-$W819)*24/Config!$B$20)*40)
)),"")
</f>
        <v/>
      </c>
      <c r="AB819" s="40" t="str">
        <f>IF($K819="","",IFERROR(VLOOKUP($K819,Grinders!$A$4:$N$998,10,FALSE)/5*100,""))</f>
        <v/>
      </c>
      <c r="AC819" s="40" t="str">
        <f>IF($K819="","",IFERROR(VLOOKUP($K819,Grinders!$A$4:$N$998,11,FALSE)*100,""))</f>
        <v/>
      </c>
      <c r="AD819" s="40" t="str">
        <f>IF($K819="","",IFERROR(VLOOKUP($K819,Grinders!$A$4:$N$998,12,FALSE)*100,""))</f>
        <v/>
      </c>
      <c r="AE819" s="40">
        <f>IFERROR(IFS(
    OR($C819="", $K819=""), 0,
    $F819=0, 0,
    $D819&lt;&gt;"Open", 0,
    COUNTIFS(GrinderServices!$B$4:$B$998, $K819, GrinderServices!$C$4:$C$998, $E819, GrinderServices!$E$4:$E$998, "Y")=0, 0,
    $X819&lt;Config!$B$16, 0,
    Config!$B$18=1, IF($O819&gt;=N819, 0, 1),
    TRUE, 1
), "")
</f>
        <v>0</v>
      </c>
      <c r="AF819" s="40" t="str">
        <f>IFERROR(IF($AE819=0,"",((Config!$B$6*$Y819 + Config!$B$7*$U819 + Config!$B$8*$Z819 + Config!$B$9*$AA819 + Config!$B$10*$AB819 + Config!$B$11*$AC819 - Config!$B$12*$AD819)/Config!$B$13)+$AK819+$AL819),"")</f>
        <v/>
      </c>
      <c r="AG819" s="40" t="str">
        <f t="shared" si="6"/>
        <v/>
      </c>
      <c r="AH819" s="40" t="str">
        <f t="shared" si="7"/>
        <v/>
      </c>
      <c r="AI819" s="40" t="str">
        <f t="shared" si="8"/>
        <v/>
      </c>
      <c r="AJ819" s="40" t="str">
        <f>IF($K819="","",COUNTIF(Assignments!$B$6:$B$1000,$K819))</f>
        <v/>
      </c>
      <c r="AK819" s="40" t="str">
        <f>IF($K819="","",IF(AND($AJ819=0,$O819&lt;$N819),Config!$B$43,0))</f>
        <v/>
      </c>
      <c r="AL819" s="40" t="str">
        <f>IF($K819="","",IF(AND($M819="Elite",$G819&gt;=Config!$B$41,$O819&lt;$N819),Config!$B$42,0))</f>
        <v/>
      </c>
      <c r="AM819" s="22"/>
    </row>
    <row r="820" ht="15.75" customHeight="1">
      <c r="A820" s="40" t="str">
        <f t="shared" si="1"/>
        <v/>
      </c>
      <c r="B820" s="40" t="str">
        <f>IF(Bids!$A819="","",Bids!$A819)</f>
        <v/>
      </c>
      <c r="C820" s="40" t="str">
        <f>IF(Bids!$B819="","",Bids!$B819)</f>
        <v/>
      </c>
      <c r="D820" s="40" t="str">
        <f>IF($C820="","",IFERROR(VLOOKUP($C820,Orders!$A$4:$J$998,9,FALSE),""))</f>
        <v/>
      </c>
      <c r="E820" s="40" t="str">
        <f>IF($C820="","",IFERROR(VLOOKUP($C820,Orders!$A$4:$J$998,3,FALSE),""))</f>
        <v/>
      </c>
      <c r="F820" s="40">
        <f t="shared" si="2"/>
        <v>1</v>
      </c>
      <c r="G820" s="40" t="str">
        <f>IF($C820="","",IFERROR(VLOOKUP($C820,Orders!$A$4:$J$998,4,FALSE),""))</f>
        <v/>
      </c>
      <c r="H820" s="40" t="str">
        <f>IF($C820="","",IFERROR(VLOOKUP($C820,Orders!$A$4:$J$998,5,FALSE),""))</f>
        <v/>
      </c>
      <c r="I820" s="40" t="str">
        <f>IF($C820="","",IFERROR(VLOOKUP($C820,Orders!$A$4:$J$998,6,FALSE),""))</f>
        <v/>
      </c>
      <c r="J820" s="40" t="str">
        <f>IF($C820="","",IFERROR(VLOOKUP($C820,Orders!$A$4:$J$998,7,FALSE),""))</f>
        <v/>
      </c>
      <c r="K820" s="40" t="str">
        <f>IF(Bids!$C819="","",Bids!$C819)</f>
        <v/>
      </c>
      <c r="L820" s="40" t="str">
        <f>IF($K820="","",IFERROR(VLOOKUP($K820,Grinders!$A$4:$N$998,2,FALSE),""))</f>
        <v/>
      </c>
      <c r="M820" s="40" t="str">
        <f>IF($K820="","",IFERROR(VLOOKUP($K820,Grinders!$A$4:$N$998,3,FALSE),""))</f>
        <v/>
      </c>
      <c r="N820" s="40" t="str">
        <f>IF($K820="","",IFERROR(VLOOKUP($K820,Grinders!$A$4:$N$998,4,FALSE),""))</f>
        <v/>
      </c>
      <c r="O820" s="40" t="str">
        <f>IF($K820="","",IFERROR(VLOOKUP($K820,Grinders!$A$4:$N$998,5,FALSE),""))</f>
        <v/>
      </c>
      <c r="P820" s="40" t="str">
        <f>IF($K820="","",IF($C$4="",0,COUNTIFS(Assignments!$B$6:$B$1000,$K820,Assignments!$F$6:$F$1000,$C$4,Assignments!$E$6:$E$1000,"Active")))</f>
        <v/>
      </c>
      <c r="Q820" s="40" t="str">
        <f t="shared" si="3"/>
        <v/>
      </c>
      <c r="R820" s="40" t="str">
        <f t="shared" si="4"/>
        <v/>
      </c>
      <c r="S820" s="40" t="str">
        <f>IF($K820="","",IF($C$4="",0,COUNTIFS(Assignments!$B$6:$B$1000,$K820,Assignments!$F$6:$F$1000,$C$4,Assignments!$D$6:$D$1000,"&gt;="&amp;Config!$B$3-7,Assignments!$D$6:$D$1000,"&lt;="&amp;Config!$B$3)))</f>
        <v/>
      </c>
      <c r="T820" s="40" t="str">
        <f>IF($K820="","",IFERROR(VLOOKUP($K820,Grinders!$A$4:$N$998,8,FALSE),""))</f>
        <v/>
      </c>
      <c r="U820" s="40" t="str">
        <f>IFERROR(IF($K820="","",IF($M820="Elite",MAX(50,MIN(100,Config!$B$27*MAX(0,MIN(100,(1-IF($R820="",0,$R820))*100)) + Config!$B$28*MAX(0,MIN(100,(1-MIN(1,IF(Config!$B$30=0,1,$S820/Config!$B$30)))*100)) + Config!$B$29*MAX(0,MIN(100,MIN(1,IF($T820="",0,$T820)/Config!$B$23)*100)))),MIN(100,Config!$B$27*MAX(0,MIN(100,(1-IF($R820="",0,$R820))*100)) + Config!$B$28*MAX(0,MIN(100,(1-MIN(1,IF(Config!$B$30=0,1,$S820/Config!$B$30)))*100)) + Config!$B$29*MAX(0,MIN(100,MIN(1,IF($T820="",0,$T820)/Config!$B$23)*100))))),"")
</f>
        <v/>
      </c>
      <c r="V820" s="40" t="str">
        <f>IF(Bids!$D819="","",Bids!$D819)</f>
        <v/>
      </c>
      <c r="W820" s="40" t="str">
        <f>IF(Bids!$F819="","",Bids!$F819)</f>
        <v/>
      </c>
      <c r="X820" s="40" t="str">
        <f t="shared" si="5"/>
        <v/>
      </c>
      <c r="Y820" s="40" t="str">
        <f>IF($X820="","",IF(Config!$B$17=Config!$B$16,IF($X820&gt;=Config!$B$17,100,0),MAX(0,MIN(100,($X820-Config!$B$16)/(Config!$B$17-Config!$B$16)*100))))</f>
        <v/>
      </c>
      <c r="Z820" s="40">
        <f>IF($M820="Elite",Config!$B$21,0)</f>
        <v>0</v>
      </c>
      <c r="AA820" s="40" t="str">
        <f>IFERROR(IF(OR($W820="",$H820=""),"",IF($W820&gt;$H820,
  MAX(0, 60-(($W820-$H820)*24/Config!$B$19)*60),
  MIN(100, 60+(($H820-$W820)*24/Config!$B$20)*40)
)),"")
</f>
        <v/>
      </c>
      <c r="AB820" s="40" t="str">
        <f>IF($K820="","",IFERROR(VLOOKUP($K820,Grinders!$A$4:$N$998,10,FALSE)/5*100,""))</f>
        <v/>
      </c>
      <c r="AC820" s="40" t="str">
        <f>IF($K820="","",IFERROR(VLOOKUP($K820,Grinders!$A$4:$N$998,11,FALSE)*100,""))</f>
        <v/>
      </c>
      <c r="AD820" s="40" t="str">
        <f>IF($K820="","",IFERROR(VLOOKUP($K820,Grinders!$A$4:$N$998,12,FALSE)*100,""))</f>
        <v/>
      </c>
      <c r="AE820" s="40">
        <f>IFERROR(IFS(
    OR($C820="", $K820=""), 0,
    $F820=0, 0,
    $D820&lt;&gt;"Open", 0,
    COUNTIFS(GrinderServices!$B$4:$B$998, $K820, GrinderServices!$C$4:$C$998, $E820, GrinderServices!$E$4:$E$998, "Y")=0, 0,
    $X820&lt;Config!$B$16, 0,
    Config!$B$18=1, IF($O820&gt;=N820, 0, 1),
    TRUE, 1
), "")
</f>
        <v>0</v>
      </c>
      <c r="AF820" s="40" t="str">
        <f>IFERROR(IF($AE820=0,"",((Config!$B$6*$Y820 + Config!$B$7*$U820 + Config!$B$8*$Z820 + Config!$B$9*$AA820 + Config!$B$10*$AB820 + Config!$B$11*$AC820 - Config!$B$12*$AD820)/Config!$B$13)+$AK820+$AL820),"")</f>
        <v/>
      </c>
      <c r="AG820" s="40" t="str">
        <f t="shared" si="6"/>
        <v/>
      </c>
      <c r="AH820" s="40" t="str">
        <f t="shared" si="7"/>
        <v/>
      </c>
      <c r="AI820" s="40" t="str">
        <f t="shared" si="8"/>
        <v/>
      </c>
      <c r="AJ820" s="40" t="str">
        <f>IF($K820="","",COUNTIF(Assignments!$B$6:$B$1000,$K820))</f>
        <v/>
      </c>
      <c r="AK820" s="40" t="str">
        <f>IF($K820="","",IF(AND($AJ820=0,$O820&lt;$N820),Config!$B$43,0))</f>
        <v/>
      </c>
      <c r="AL820" s="40" t="str">
        <f>IF($K820="","",IF(AND($M820="Elite",$G820&gt;=Config!$B$41,$O820&lt;$N820),Config!$B$42,0))</f>
        <v/>
      </c>
      <c r="AM820" s="22"/>
    </row>
    <row r="821" ht="15.75" customHeight="1">
      <c r="A821" s="40" t="str">
        <f t="shared" si="1"/>
        <v/>
      </c>
      <c r="B821" s="40" t="str">
        <f>IF(Bids!$A820="","",Bids!$A820)</f>
        <v/>
      </c>
      <c r="C821" s="40" t="str">
        <f>IF(Bids!$B820="","",Bids!$B820)</f>
        <v/>
      </c>
      <c r="D821" s="40" t="str">
        <f>IF($C821="","",IFERROR(VLOOKUP($C821,Orders!$A$4:$J$998,9,FALSE),""))</f>
        <v/>
      </c>
      <c r="E821" s="40" t="str">
        <f>IF($C821="","",IFERROR(VLOOKUP($C821,Orders!$A$4:$J$998,3,FALSE),""))</f>
        <v/>
      </c>
      <c r="F821" s="40">
        <f t="shared" si="2"/>
        <v>1</v>
      </c>
      <c r="G821" s="40" t="str">
        <f>IF($C821="","",IFERROR(VLOOKUP($C821,Orders!$A$4:$J$998,4,FALSE),""))</f>
        <v/>
      </c>
      <c r="H821" s="40" t="str">
        <f>IF($C821="","",IFERROR(VLOOKUP($C821,Orders!$A$4:$J$998,5,FALSE),""))</f>
        <v/>
      </c>
      <c r="I821" s="40" t="str">
        <f>IF($C821="","",IFERROR(VLOOKUP($C821,Orders!$A$4:$J$998,6,FALSE),""))</f>
        <v/>
      </c>
      <c r="J821" s="40" t="str">
        <f>IF($C821="","",IFERROR(VLOOKUP($C821,Orders!$A$4:$J$998,7,FALSE),""))</f>
        <v/>
      </c>
      <c r="K821" s="40" t="str">
        <f>IF(Bids!$C820="","",Bids!$C820)</f>
        <v/>
      </c>
      <c r="L821" s="40" t="str">
        <f>IF($K821="","",IFERROR(VLOOKUP($K821,Grinders!$A$4:$N$998,2,FALSE),""))</f>
        <v/>
      </c>
      <c r="M821" s="40" t="str">
        <f>IF($K821="","",IFERROR(VLOOKUP($K821,Grinders!$A$4:$N$998,3,FALSE),""))</f>
        <v/>
      </c>
      <c r="N821" s="40" t="str">
        <f>IF($K821="","",IFERROR(VLOOKUP($K821,Grinders!$A$4:$N$998,4,FALSE),""))</f>
        <v/>
      </c>
      <c r="O821" s="40" t="str">
        <f>IF($K821="","",IFERROR(VLOOKUP($K821,Grinders!$A$4:$N$998,5,FALSE),""))</f>
        <v/>
      </c>
      <c r="P821" s="40" t="str">
        <f>IF($K821="","",IF($C$4="",0,COUNTIFS(Assignments!$B$6:$B$1000,$K821,Assignments!$F$6:$F$1000,$C$4,Assignments!$E$6:$E$1000,"Active")))</f>
        <v/>
      </c>
      <c r="Q821" s="40" t="str">
        <f t="shared" si="3"/>
        <v/>
      </c>
      <c r="R821" s="40" t="str">
        <f t="shared" si="4"/>
        <v/>
      </c>
      <c r="S821" s="40" t="str">
        <f>IF($K821="","",IF($C$4="",0,COUNTIFS(Assignments!$B$6:$B$1000,$K821,Assignments!$F$6:$F$1000,$C$4,Assignments!$D$6:$D$1000,"&gt;="&amp;Config!$B$3-7,Assignments!$D$6:$D$1000,"&lt;="&amp;Config!$B$3)))</f>
        <v/>
      </c>
      <c r="T821" s="40" t="str">
        <f>IF($K821="","",IFERROR(VLOOKUP($K821,Grinders!$A$4:$N$998,8,FALSE),""))</f>
        <v/>
      </c>
      <c r="U821" s="40" t="str">
        <f>IFERROR(IF($K821="","",IF($M821="Elite",MAX(50,MIN(100,Config!$B$27*MAX(0,MIN(100,(1-IF($R821="",0,$R821))*100)) + Config!$B$28*MAX(0,MIN(100,(1-MIN(1,IF(Config!$B$30=0,1,$S821/Config!$B$30)))*100)) + Config!$B$29*MAX(0,MIN(100,MIN(1,IF($T821="",0,$T821)/Config!$B$23)*100)))),MIN(100,Config!$B$27*MAX(0,MIN(100,(1-IF($R821="",0,$R821))*100)) + Config!$B$28*MAX(0,MIN(100,(1-MIN(1,IF(Config!$B$30=0,1,$S821/Config!$B$30)))*100)) + Config!$B$29*MAX(0,MIN(100,MIN(1,IF($T821="",0,$T821)/Config!$B$23)*100))))),"")
</f>
        <v/>
      </c>
      <c r="V821" s="40" t="str">
        <f>IF(Bids!$D820="","",Bids!$D820)</f>
        <v/>
      </c>
      <c r="W821" s="40" t="str">
        <f>IF(Bids!$F820="","",Bids!$F820)</f>
        <v/>
      </c>
      <c r="X821" s="40" t="str">
        <f t="shared" si="5"/>
        <v/>
      </c>
      <c r="Y821" s="40" t="str">
        <f>IF($X821="","",IF(Config!$B$17=Config!$B$16,IF($X821&gt;=Config!$B$17,100,0),MAX(0,MIN(100,($X821-Config!$B$16)/(Config!$B$17-Config!$B$16)*100))))</f>
        <v/>
      </c>
      <c r="Z821" s="40">
        <f>IF($M821="Elite",Config!$B$21,0)</f>
        <v>0</v>
      </c>
      <c r="AA821" s="40" t="str">
        <f>IFERROR(IF(OR($W821="",$H821=""),"",IF($W821&gt;$H821,
  MAX(0, 60-(($W821-$H821)*24/Config!$B$19)*60),
  MIN(100, 60+(($H821-$W821)*24/Config!$B$20)*40)
)),"")
</f>
        <v/>
      </c>
      <c r="AB821" s="40" t="str">
        <f>IF($K821="","",IFERROR(VLOOKUP($K821,Grinders!$A$4:$N$998,10,FALSE)/5*100,""))</f>
        <v/>
      </c>
      <c r="AC821" s="40" t="str">
        <f>IF($K821="","",IFERROR(VLOOKUP($K821,Grinders!$A$4:$N$998,11,FALSE)*100,""))</f>
        <v/>
      </c>
      <c r="AD821" s="40" t="str">
        <f>IF($K821="","",IFERROR(VLOOKUP($K821,Grinders!$A$4:$N$998,12,FALSE)*100,""))</f>
        <v/>
      </c>
      <c r="AE821" s="40">
        <f>IFERROR(IFS(
    OR($C821="", $K821=""), 0,
    $F821=0, 0,
    $D821&lt;&gt;"Open", 0,
    COUNTIFS(GrinderServices!$B$4:$B$998, $K821, GrinderServices!$C$4:$C$998, $E821, GrinderServices!$E$4:$E$998, "Y")=0, 0,
    $X821&lt;Config!$B$16, 0,
    Config!$B$18=1, IF($O821&gt;=N821, 0, 1),
    TRUE, 1
), "")
</f>
        <v>0</v>
      </c>
      <c r="AF821" s="40" t="str">
        <f>IFERROR(IF($AE821=0,"",((Config!$B$6*$Y821 + Config!$B$7*$U821 + Config!$B$8*$Z821 + Config!$B$9*$AA821 + Config!$B$10*$AB821 + Config!$B$11*$AC821 - Config!$B$12*$AD821)/Config!$B$13)+$AK821+$AL821),"")</f>
        <v/>
      </c>
      <c r="AG821" s="40" t="str">
        <f t="shared" si="6"/>
        <v/>
      </c>
      <c r="AH821" s="40" t="str">
        <f t="shared" si="7"/>
        <v/>
      </c>
      <c r="AI821" s="40" t="str">
        <f t="shared" si="8"/>
        <v/>
      </c>
      <c r="AJ821" s="40" t="str">
        <f>IF($K821="","",COUNTIF(Assignments!$B$6:$B$1000,$K821))</f>
        <v/>
      </c>
      <c r="AK821" s="40" t="str">
        <f>IF($K821="","",IF(AND($AJ821=0,$O821&lt;$N821),Config!$B$43,0))</f>
        <v/>
      </c>
      <c r="AL821" s="40" t="str">
        <f>IF($K821="","",IF(AND($M821="Elite",$G821&gt;=Config!$B$41,$O821&lt;$N821),Config!$B$42,0))</f>
        <v/>
      </c>
      <c r="AM821" s="22"/>
    </row>
    <row r="822" ht="15.75" customHeight="1">
      <c r="A822" s="40" t="str">
        <f t="shared" si="1"/>
        <v/>
      </c>
      <c r="B822" s="40" t="str">
        <f>IF(Bids!$A821="","",Bids!$A821)</f>
        <v/>
      </c>
      <c r="C822" s="40" t="str">
        <f>IF(Bids!$B821="","",Bids!$B821)</f>
        <v/>
      </c>
      <c r="D822" s="40" t="str">
        <f>IF($C822="","",IFERROR(VLOOKUP($C822,Orders!$A$4:$J$998,9,FALSE),""))</f>
        <v/>
      </c>
      <c r="E822" s="40" t="str">
        <f>IF($C822="","",IFERROR(VLOOKUP($C822,Orders!$A$4:$J$998,3,FALSE),""))</f>
        <v/>
      </c>
      <c r="F822" s="40">
        <f t="shared" si="2"/>
        <v>1</v>
      </c>
      <c r="G822" s="40" t="str">
        <f>IF($C822="","",IFERROR(VLOOKUP($C822,Orders!$A$4:$J$998,4,FALSE),""))</f>
        <v/>
      </c>
      <c r="H822" s="40" t="str">
        <f>IF($C822="","",IFERROR(VLOOKUP($C822,Orders!$A$4:$J$998,5,FALSE),""))</f>
        <v/>
      </c>
      <c r="I822" s="40" t="str">
        <f>IF($C822="","",IFERROR(VLOOKUP($C822,Orders!$A$4:$J$998,6,FALSE),""))</f>
        <v/>
      </c>
      <c r="J822" s="40" t="str">
        <f>IF($C822="","",IFERROR(VLOOKUP($C822,Orders!$A$4:$J$998,7,FALSE),""))</f>
        <v/>
      </c>
      <c r="K822" s="40" t="str">
        <f>IF(Bids!$C821="","",Bids!$C821)</f>
        <v/>
      </c>
      <c r="L822" s="40" t="str">
        <f>IF($K822="","",IFERROR(VLOOKUP($K822,Grinders!$A$4:$N$998,2,FALSE),""))</f>
        <v/>
      </c>
      <c r="M822" s="40" t="str">
        <f>IF($K822="","",IFERROR(VLOOKUP($K822,Grinders!$A$4:$N$998,3,FALSE),""))</f>
        <v/>
      </c>
      <c r="N822" s="40" t="str">
        <f>IF($K822="","",IFERROR(VLOOKUP($K822,Grinders!$A$4:$N$998,4,FALSE),""))</f>
        <v/>
      </c>
      <c r="O822" s="40" t="str">
        <f>IF($K822="","",IFERROR(VLOOKUP($K822,Grinders!$A$4:$N$998,5,FALSE),""))</f>
        <v/>
      </c>
      <c r="P822" s="40" t="str">
        <f>IF($K822="","",IF($C$4="",0,COUNTIFS(Assignments!$B$6:$B$1000,$K822,Assignments!$F$6:$F$1000,$C$4,Assignments!$E$6:$E$1000,"Active")))</f>
        <v/>
      </c>
      <c r="Q822" s="40" t="str">
        <f t="shared" si="3"/>
        <v/>
      </c>
      <c r="R822" s="40" t="str">
        <f t="shared" si="4"/>
        <v/>
      </c>
      <c r="S822" s="40" t="str">
        <f>IF($K822="","",IF($C$4="",0,COUNTIFS(Assignments!$B$6:$B$1000,$K822,Assignments!$F$6:$F$1000,$C$4,Assignments!$D$6:$D$1000,"&gt;="&amp;Config!$B$3-7,Assignments!$D$6:$D$1000,"&lt;="&amp;Config!$B$3)))</f>
        <v/>
      </c>
      <c r="T822" s="40" t="str">
        <f>IF($K822="","",IFERROR(VLOOKUP($K822,Grinders!$A$4:$N$998,8,FALSE),""))</f>
        <v/>
      </c>
      <c r="U822" s="40" t="str">
        <f>IFERROR(IF($K822="","",IF($M822="Elite",MAX(50,MIN(100,Config!$B$27*MAX(0,MIN(100,(1-IF($R822="",0,$R822))*100)) + Config!$B$28*MAX(0,MIN(100,(1-MIN(1,IF(Config!$B$30=0,1,$S822/Config!$B$30)))*100)) + Config!$B$29*MAX(0,MIN(100,MIN(1,IF($T822="",0,$T822)/Config!$B$23)*100)))),MIN(100,Config!$B$27*MAX(0,MIN(100,(1-IF($R822="",0,$R822))*100)) + Config!$B$28*MAX(0,MIN(100,(1-MIN(1,IF(Config!$B$30=0,1,$S822/Config!$B$30)))*100)) + Config!$B$29*MAX(0,MIN(100,MIN(1,IF($T822="",0,$T822)/Config!$B$23)*100))))),"")
</f>
        <v/>
      </c>
      <c r="V822" s="40" t="str">
        <f>IF(Bids!$D821="","",Bids!$D821)</f>
        <v/>
      </c>
      <c r="W822" s="40" t="str">
        <f>IF(Bids!$F821="","",Bids!$F821)</f>
        <v/>
      </c>
      <c r="X822" s="40" t="str">
        <f t="shared" si="5"/>
        <v/>
      </c>
      <c r="Y822" s="40" t="str">
        <f>IF($X822="","",IF(Config!$B$17=Config!$B$16,IF($X822&gt;=Config!$B$17,100,0),MAX(0,MIN(100,($X822-Config!$B$16)/(Config!$B$17-Config!$B$16)*100))))</f>
        <v/>
      </c>
      <c r="Z822" s="40">
        <f>IF($M822="Elite",Config!$B$21,0)</f>
        <v>0</v>
      </c>
      <c r="AA822" s="40" t="str">
        <f>IFERROR(IF(OR($W822="",$H822=""),"",IF($W822&gt;$H822,
  MAX(0, 60-(($W822-$H822)*24/Config!$B$19)*60),
  MIN(100, 60+(($H822-$W822)*24/Config!$B$20)*40)
)),"")
</f>
        <v/>
      </c>
      <c r="AB822" s="40" t="str">
        <f>IF($K822="","",IFERROR(VLOOKUP($K822,Grinders!$A$4:$N$998,10,FALSE)/5*100,""))</f>
        <v/>
      </c>
      <c r="AC822" s="40" t="str">
        <f>IF($K822="","",IFERROR(VLOOKUP($K822,Grinders!$A$4:$N$998,11,FALSE)*100,""))</f>
        <v/>
      </c>
      <c r="AD822" s="40" t="str">
        <f>IF($K822="","",IFERROR(VLOOKUP($K822,Grinders!$A$4:$N$998,12,FALSE)*100,""))</f>
        <v/>
      </c>
      <c r="AE822" s="40">
        <f>IFERROR(IFS(
    OR($C822="", $K822=""), 0,
    $F822=0, 0,
    $D822&lt;&gt;"Open", 0,
    COUNTIFS(GrinderServices!$B$4:$B$998, $K822, GrinderServices!$C$4:$C$998, $E822, GrinderServices!$E$4:$E$998, "Y")=0, 0,
    $X822&lt;Config!$B$16, 0,
    Config!$B$18=1, IF($O822&gt;=N822, 0, 1),
    TRUE, 1
), "")
</f>
        <v>0</v>
      </c>
      <c r="AF822" s="40" t="str">
        <f>IFERROR(IF($AE822=0,"",((Config!$B$6*$Y822 + Config!$B$7*$U822 + Config!$B$8*$Z822 + Config!$B$9*$AA822 + Config!$B$10*$AB822 + Config!$B$11*$AC822 - Config!$B$12*$AD822)/Config!$B$13)+$AK822+$AL822),"")</f>
        <v/>
      </c>
      <c r="AG822" s="40" t="str">
        <f t="shared" si="6"/>
        <v/>
      </c>
      <c r="AH822" s="40" t="str">
        <f t="shared" si="7"/>
        <v/>
      </c>
      <c r="AI822" s="40" t="str">
        <f t="shared" si="8"/>
        <v/>
      </c>
      <c r="AJ822" s="40" t="str">
        <f>IF($K822="","",COUNTIF(Assignments!$B$6:$B$1000,$K822))</f>
        <v/>
      </c>
      <c r="AK822" s="40" t="str">
        <f>IF($K822="","",IF(AND($AJ822=0,$O822&lt;$N822),Config!$B$43,0))</f>
        <v/>
      </c>
      <c r="AL822" s="40" t="str">
        <f>IF($K822="","",IF(AND($M822="Elite",$G822&gt;=Config!$B$41,$O822&lt;$N822),Config!$B$42,0))</f>
        <v/>
      </c>
      <c r="AM822" s="22"/>
    </row>
    <row r="823" ht="15.75" customHeight="1">
      <c r="A823" s="40" t="str">
        <f t="shared" si="1"/>
        <v/>
      </c>
      <c r="B823" s="40" t="str">
        <f>IF(Bids!$A822="","",Bids!$A822)</f>
        <v/>
      </c>
      <c r="C823" s="40" t="str">
        <f>IF(Bids!$B822="","",Bids!$B822)</f>
        <v/>
      </c>
      <c r="D823" s="40" t="str">
        <f>IF($C823="","",IFERROR(VLOOKUP($C823,Orders!$A$4:$J$998,9,FALSE),""))</f>
        <v/>
      </c>
      <c r="E823" s="40" t="str">
        <f>IF($C823="","",IFERROR(VLOOKUP($C823,Orders!$A$4:$J$998,3,FALSE),""))</f>
        <v/>
      </c>
      <c r="F823" s="40">
        <f t="shared" si="2"/>
        <v>1</v>
      </c>
      <c r="G823" s="40" t="str">
        <f>IF($C823="","",IFERROR(VLOOKUP($C823,Orders!$A$4:$J$998,4,FALSE),""))</f>
        <v/>
      </c>
      <c r="H823" s="40" t="str">
        <f>IF($C823="","",IFERROR(VLOOKUP($C823,Orders!$A$4:$J$998,5,FALSE),""))</f>
        <v/>
      </c>
      <c r="I823" s="40" t="str">
        <f>IF($C823="","",IFERROR(VLOOKUP($C823,Orders!$A$4:$J$998,6,FALSE),""))</f>
        <v/>
      </c>
      <c r="J823" s="40" t="str">
        <f>IF($C823="","",IFERROR(VLOOKUP($C823,Orders!$A$4:$J$998,7,FALSE),""))</f>
        <v/>
      </c>
      <c r="K823" s="40" t="str">
        <f>IF(Bids!$C822="","",Bids!$C822)</f>
        <v/>
      </c>
      <c r="L823" s="40" t="str">
        <f>IF($K823="","",IFERROR(VLOOKUP($K823,Grinders!$A$4:$N$998,2,FALSE),""))</f>
        <v/>
      </c>
      <c r="M823" s="40" t="str">
        <f>IF($K823="","",IFERROR(VLOOKUP($K823,Grinders!$A$4:$N$998,3,FALSE),""))</f>
        <v/>
      </c>
      <c r="N823" s="40" t="str">
        <f>IF($K823="","",IFERROR(VLOOKUP($K823,Grinders!$A$4:$N$998,4,FALSE),""))</f>
        <v/>
      </c>
      <c r="O823" s="40" t="str">
        <f>IF($K823="","",IFERROR(VLOOKUP($K823,Grinders!$A$4:$N$998,5,FALSE),""))</f>
        <v/>
      </c>
      <c r="P823" s="40" t="str">
        <f>IF($K823="","",IF($C$4="",0,COUNTIFS(Assignments!$B$6:$B$1000,$K823,Assignments!$F$6:$F$1000,$C$4,Assignments!$E$6:$E$1000,"Active")))</f>
        <v/>
      </c>
      <c r="Q823" s="40" t="str">
        <f t="shared" si="3"/>
        <v/>
      </c>
      <c r="R823" s="40" t="str">
        <f t="shared" si="4"/>
        <v/>
      </c>
      <c r="S823" s="40" t="str">
        <f>IF($K823="","",IF($C$4="",0,COUNTIFS(Assignments!$B$6:$B$1000,$K823,Assignments!$F$6:$F$1000,$C$4,Assignments!$D$6:$D$1000,"&gt;="&amp;Config!$B$3-7,Assignments!$D$6:$D$1000,"&lt;="&amp;Config!$B$3)))</f>
        <v/>
      </c>
      <c r="T823" s="40" t="str">
        <f>IF($K823="","",IFERROR(VLOOKUP($K823,Grinders!$A$4:$N$998,8,FALSE),""))</f>
        <v/>
      </c>
      <c r="U823" s="40" t="str">
        <f>IFERROR(IF($K823="","",IF($M823="Elite",MAX(50,MIN(100,Config!$B$27*MAX(0,MIN(100,(1-IF($R823="",0,$R823))*100)) + Config!$B$28*MAX(0,MIN(100,(1-MIN(1,IF(Config!$B$30=0,1,$S823/Config!$B$30)))*100)) + Config!$B$29*MAX(0,MIN(100,MIN(1,IF($T823="",0,$T823)/Config!$B$23)*100)))),MIN(100,Config!$B$27*MAX(0,MIN(100,(1-IF($R823="",0,$R823))*100)) + Config!$B$28*MAX(0,MIN(100,(1-MIN(1,IF(Config!$B$30=0,1,$S823/Config!$B$30)))*100)) + Config!$B$29*MAX(0,MIN(100,MIN(1,IF($T823="",0,$T823)/Config!$B$23)*100))))),"")
</f>
        <v/>
      </c>
      <c r="V823" s="40" t="str">
        <f>IF(Bids!$D822="","",Bids!$D822)</f>
        <v/>
      </c>
      <c r="W823" s="40" t="str">
        <f>IF(Bids!$F822="","",Bids!$F822)</f>
        <v/>
      </c>
      <c r="X823" s="40" t="str">
        <f t="shared" si="5"/>
        <v/>
      </c>
      <c r="Y823" s="40" t="str">
        <f>IF($X823="","",IF(Config!$B$17=Config!$B$16,IF($X823&gt;=Config!$B$17,100,0),MAX(0,MIN(100,($X823-Config!$B$16)/(Config!$B$17-Config!$B$16)*100))))</f>
        <v/>
      </c>
      <c r="Z823" s="40">
        <f>IF($M823="Elite",Config!$B$21,0)</f>
        <v>0</v>
      </c>
      <c r="AA823" s="40" t="str">
        <f>IFERROR(IF(OR($W823="",$H823=""),"",IF($W823&gt;$H823,
  MAX(0, 60-(($W823-$H823)*24/Config!$B$19)*60),
  MIN(100, 60+(($H823-$W823)*24/Config!$B$20)*40)
)),"")
</f>
        <v/>
      </c>
      <c r="AB823" s="40" t="str">
        <f>IF($K823="","",IFERROR(VLOOKUP($K823,Grinders!$A$4:$N$998,10,FALSE)/5*100,""))</f>
        <v/>
      </c>
      <c r="AC823" s="40" t="str">
        <f>IF($K823="","",IFERROR(VLOOKUP($K823,Grinders!$A$4:$N$998,11,FALSE)*100,""))</f>
        <v/>
      </c>
      <c r="AD823" s="40" t="str">
        <f>IF($K823="","",IFERROR(VLOOKUP($K823,Grinders!$A$4:$N$998,12,FALSE)*100,""))</f>
        <v/>
      </c>
      <c r="AE823" s="40">
        <f>IFERROR(IFS(
    OR($C823="", $K823=""), 0,
    $F823=0, 0,
    $D823&lt;&gt;"Open", 0,
    COUNTIFS(GrinderServices!$B$4:$B$998, $K823, GrinderServices!$C$4:$C$998, $E823, GrinderServices!$E$4:$E$998, "Y")=0, 0,
    $X823&lt;Config!$B$16, 0,
    Config!$B$18=1, IF($O823&gt;=N823, 0, 1),
    TRUE, 1
), "")
</f>
        <v>0</v>
      </c>
      <c r="AF823" s="40" t="str">
        <f>IFERROR(IF($AE823=0,"",((Config!$B$6*$Y823 + Config!$B$7*$U823 + Config!$B$8*$Z823 + Config!$B$9*$AA823 + Config!$B$10*$AB823 + Config!$B$11*$AC823 - Config!$B$12*$AD823)/Config!$B$13)+$AK823+$AL823),"")</f>
        <v/>
      </c>
      <c r="AG823" s="40" t="str">
        <f t="shared" si="6"/>
        <v/>
      </c>
      <c r="AH823" s="40" t="str">
        <f t="shared" si="7"/>
        <v/>
      </c>
      <c r="AI823" s="40" t="str">
        <f t="shared" si="8"/>
        <v/>
      </c>
      <c r="AJ823" s="40" t="str">
        <f>IF($K823="","",COUNTIF(Assignments!$B$6:$B$1000,$K823))</f>
        <v/>
      </c>
      <c r="AK823" s="40" t="str">
        <f>IF($K823="","",IF(AND($AJ823=0,$O823&lt;$N823),Config!$B$43,0))</f>
        <v/>
      </c>
      <c r="AL823" s="40" t="str">
        <f>IF($K823="","",IF(AND($M823="Elite",$G823&gt;=Config!$B$41,$O823&lt;$N823),Config!$B$42,0))</f>
        <v/>
      </c>
      <c r="AM823" s="22"/>
    </row>
    <row r="824" ht="15.75" customHeight="1">
      <c r="A824" s="40" t="str">
        <f t="shared" si="1"/>
        <v/>
      </c>
      <c r="B824" s="40" t="str">
        <f>IF(Bids!$A823="","",Bids!$A823)</f>
        <v/>
      </c>
      <c r="C824" s="40" t="str">
        <f>IF(Bids!$B823="","",Bids!$B823)</f>
        <v/>
      </c>
      <c r="D824" s="40" t="str">
        <f>IF($C824="","",IFERROR(VLOOKUP($C824,Orders!$A$4:$J$998,9,FALSE),""))</f>
        <v/>
      </c>
      <c r="E824" s="40" t="str">
        <f>IF($C824="","",IFERROR(VLOOKUP($C824,Orders!$A$4:$J$998,3,FALSE),""))</f>
        <v/>
      </c>
      <c r="F824" s="40">
        <f t="shared" si="2"/>
        <v>1</v>
      </c>
      <c r="G824" s="40" t="str">
        <f>IF($C824="","",IFERROR(VLOOKUP($C824,Orders!$A$4:$J$998,4,FALSE),""))</f>
        <v/>
      </c>
      <c r="H824" s="40" t="str">
        <f>IF($C824="","",IFERROR(VLOOKUP($C824,Orders!$A$4:$J$998,5,FALSE),""))</f>
        <v/>
      </c>
      <c r="I824" s="40" t="str">
        <f>IF($C824="","",IFERROR(VLOOKUP($C824,Orders!$A$4:$J$998,6,FALSE),""))</f>
        <v/>
      </c>
      <c r="J824" s="40" t="str">
        <f>IF($C824="","",IFERROR(VLOOKUP($C824,Orders!$A$4:$J$998,7,FALSE),""))</f>
        <v/>
      </c>
      <c r="K824" s="40" t="str">
        <f>IF(Bids!$C823="","",Bids!$C823)</f>
        <v/>
      </c>
      <c r="L824" s="40" t="str">
        <f>IF($K824="","",IFERROR(VLOOKUP($K824,Grinders!$A$4:$N$998,2,FALSE),""))</f>
        <v/>
      </c>
      <c r="M824" s="40" t="str">
        <f>IF($K824="","",IFERROR(VLOOKUP($K824,Grinders!$A$4:$N$998,3,FALSE),""))</f>
        <v/>
      </c>
      <c r="N824" s="40" t="str">
        <f>IF($K824="","",IFERROR(VLOOKUP($K824,Grinders!$A$4:$N$998,4,FALSE),""))</f>
        <v/>
      </c>
      <c r="O824" s="40" t="str">
        <f>IF($K824="","",IFERROR(VLOOKUP($K824,Grinders!$A$4:$N$998,5,FALSE),""))</f>
        <v/>
      </c>
      <c r="P824" s="40" t="str">
        <f>IF($K824="","",IF($C$4="",0,COUNTIFS(Assignments!$B$6:$B$1000,$K824,Assignments!$F$6:$F$1000,$C$4,Assignments!$E$6:$E$1000,"Active")))</f>
        <v/>
      </c>
      <c r="Q824" s="40" t="str">
        <f t="shared" si="3"/>
        <v/>
      </c>
      <c r="R824" s="40" t="str">
        <f t="shared" si="4"/>
        <v/>
      </c>
      <c r="S824" s="40" t="str">
        <f>IF($K824="","",IF($C$4="",0,COUNTIFS(Assignments!$B$6:$B$1000,$K824,Assignments!$F$6:$F$1000,$C$4,Assignments!$D$6:$D$1000,"&gt;="&amp;Config!$B$3-7,Assignments!$D$6:$D$1000,"&lt;="&amp;Config!$B$3)))</f>
        <v/>
      </c>
      <c r="T824" s="40" t="str">
        <f>IF($K824="","",IFERROR(VLOOKUP($K824,Grinders!$A$4:$N$998,8,FALSE),""))</f>
        <v/>
      </c>
      <c r="U824" s="40" t="str">
        <f>IFERROR(IF($K824="","",IF($M824="Elite",MAX(50,MIN(100,Config!$B$27*MAX(0,MIN(100,(1-IF($R824="",0,$R824))*100)) + Config!$B$28*MAX(0,MIN(100,(1-MIN(1,IF(Config!$B$30=0,1,$S824/Config!$B$30)))*100)) + Config!$B$29*MAX(0,MIN(100,MIN(1,IF($T824="",0,$T824)/Config!$B$23)*100)))),MIN(100,Config!$B$27*MAX(0,MIN(100,(1-IF($R824="",0,$R824))*100)) + Config!$B$28*MAX(0,MIN(100,(1-MIN(1,IF(Config!$B$30=0,1,$S824/Config!$B$30)))*100)) + Config!$B$29*MAX(0,MIN(100,MIN(1,IF($T824="",0,$T824)/Config!$B$23)*100))))),"")
</f>
        <v/>
      </c>
      <c r="V824" s="40" t="str">
        <f>IF(Bids!$D823="","",Bids!$D823)</f>
        <v/>
      </c>
      <c r="W824" s="40" t="str">
        <f>IF(Bids!$F823="","",Bids!$F823)</f>
        <v/>
      </c>
      <c r="X824" s="40" t="str">
        <f t="shared" si="5"/>
        <v/>
      </c>
      <c r="Y824" s="40" t="str">
        <f>IF($X824="","",IF(Config!$B$17=Config!$B$16,IF($X824&gt;=Config!$B$17,100,0),MAX(0,MIN(100,($X824-Config!$B$16)/(Config!$B$17-Config!$B$16)*100))))</f>
        <v/>
      </c>
      <c r="Z824" s="40">
        <f>IF($M824="Elite",Config!$B$21,0)</f>
        <v>0</v>
      </c>
      <c r="AA824" s="40" t="str">
        <f>IFERROR(IF(OR($W824="",$H824=""),"",IF($W824&gt;$H824,
  MAX(0, 60-(($W824-$H824)*24/Config!$B$19)*60),
  MIN(100, 60+(($H824-$W824)*24/Config!$B$20)*40)
)),"")
</f>
        <v/>
      </c>
      <c r="AB824" s="40" t="str">
        <f>IF($K824="","",IFERROR(VLOOKUP($K824,Grinders!$A$4:$N$998,10,FALSE)/5*100,""))</f>
        <v/>
      </c>
      <c r="AC824" s="40" t="str">
        <f>IF($K824="","",IFERROR(VLOOKUP($K824,Grinders!$A$4:$N$998,11,FALSE)*100,""))</f>
        <v/>
      </c>
      <c r="AD824" s="40" t="str">
        <f>IF($K824="","",IFERROR(VLOOKUP($K824,Grinders!$A$4:$N$998,12,FALSE)*100,""))</f>
        <v/>
      </c>
      <c r="AE824" s="40">
        <f>IFERROR(IFS(
    OR($C824="", $K824=""), 0,
    $F824=0, 0,
    $D824&lt;&gt;"Open", 0,
    COUNTIFS(GrinderServices!$B$4:$B$998, $K824, GrinderServices!$C$4:$C$998, $E824, GrinderServices!$E$4:$E$998, "Y")=0, 0,
    $X824&lt;Config!$B$16, 0,
    Config!$B$18=1, IF($O824&gt;=N824, 0, 1),
    TRUE, 1
), "")
</f>
        <v>0</v>
      </c>
      <c r="AF824" s="40" t="str">
        <f>IFERROR(IF($AE824=0,"",((Config!$B$6*$Y824 + Config!$B$7*$U824 + Config!$B$8*$Z824 + Config!$B$9*$AA824 + Config!$B$10*$AB824 + Config!$B$11*$AC824 - Config!$B$12*$AD824)/Config!$B$13)+$AK824+$AL824),"")</f>
        <v/>
      </c>
      <c r="AG824" s="40" t="str">
        <f t="shared" si="6"/>
        <v/>
      </c>
      <c r="AH824" s="40" t="str">
        <f t="shared" si="7"/>
        <v/>
      </c>
      <c r="AI824" s="40" t="str">
        <f t="shared" si="8"/>
        <v/>
      </c>
      <c r="AJ824" s="40" t="str">
        <f>IF($K824="","",COUNTIF(Assignments!$B$6:$B$1000,$K824))</f>
        <v/>
      </c>
      <c r="AK824" s="40" t="str">
        <f>IF($K824="","",IF(AND($AJ824=0,$O824&lt;$N824),Config!$B$43,0))</f>
        <v/>
      </c>
      <c r="AL824" s="40" t="str">
        <f>IF($K824="","",IF(AND($M824="Elite",$G824&gt;=Config!$B$41,$O824&lt;$N824),Config!$B$42,0))</f>
        <v/>
      </c>
      <c r="AM824" s="22"/>
    </row>
    <row r="825" ht="15.75" customHeight="1">
      <c r="A825" s="40" t="str">
        <f t="shared" si="1"/>
        <v/>
      </c>
      <c r="B825" s="40" t="str">
        <f>IF(Bids!$A824="","",Bids!$A824)</f>
        <v/>
      </c>
      <c r="C825" s="40" t="str">
        <f>IF(Bids!$B824="","",Bids!$B824)</f>
        <v/>
      </c>
      <c r="D825" s="40" t="str">
        <f>IF($C825="","",IFERROR(VLOOKUP($C825,Orders!$A$4:$J$998,9,FALSE),""))</f>
        <v/>
      </c>
      <c r="E825" s="40" t="str">
        <f>IF($C825="","",IFERROR(VLOOKUP($C825,Orders!$A$4:$J$998,3,FALSE),""))</f>
        <v/>
      </c>
      <c r="F825" s="40">
        <f t="shared" si="2"/>
        <v>1</v>
      </c>
      <c r="G825" s="40" t="str">
        <f>IF($C825="","",IFERROR(VLOOKUP($C825,Orders!$A$4:$J$998,4,FALSE),""))</f>
        <v/>
      </c>
      <c r="H825" s="40" t="str">
        <f>IF($C825="","",IFERROR(VLOOKUP($C825,Orders!$A$4:$J$998,5,FALSE),""))</f>
        <v/>
      </c>
      <c r="I825" s="40" t="str">
        <f>IF($C825="","",IFERROR(VLOOKUP($C825,Orders!$A$4:$J$998,6,FALSE),""))</f>
        <v/>
      </c>
      <c r="J825" s="40" t="str">
        <f>IF($C825="","",IFERROR(VLOOKUP($C825,Orders!$A$4:$J$998,7,FALSE),""))</f>
        <v/>
      </c>
      <c r="K825" s="40" t="str">
        <f>IF(Bids!$C824="","",Bids!$C824)</f>
        <v/>
      </c>
      <c r="L825" s="40" t="str">
        <f>IF($K825="","",IFERROR(VLOOKUP($K825,Grinders!$A$4:$N$998,2,FALSE),""))</f>
        <v/>
      </c>
      <c r="M825" s="40" t="str">
        <f>IF($K825="","",IFERROR(VLOOKUP($K825,Grinders!$A$4:$N$998,3,FALSE),""))</f>
        <v/>
      </c>
      <c r="N825" s="40" t="str">
        <f>IF($K825="","",IFERROR(VLOOKUP($K825,Grinders!$A$4:$N$998,4,FALSE),""))</f>
        <v/>
      </c>
      <c r="O825" s="40" t="str">
        <f>IF($K825="","",IFERROR(VLOOKUP($K825,Grinders!$A$4:$N$998,5,FALSE),""))</f>
        <v/>
      </c>
      <c r="P825" s="40" t="str">
        <f>IF($K825="","",IF($C$4="",0,COUNTIFS(Assignments!$B$6:$B$1000,$K825,Assignments!$F$6:$F$1000,$C$4,Assignments!$E$6:$E$1000,"Active")))</f>
        <v/>
      </c>
      <c r="Q825" s="40" t="str">
        <f t="shared" si="3"/>
        <v/>
      </c>
      <c r="R825" s="40" t="str">
        <f t="shared" si="4"/>
        <v/>
      </c>
      <c r="S825" s="40" t="str">
        <f>IF($K825="","",IF($C$4="",0,COUNTIFS(Assignments!$B$6:$B$1000,$K825,Assignments!$F$6:$F$1000,$C$4,Assignments!$D$6:$D$1000,"&gt;="&amp;Config!$B$3-7,Assignments!$D$6:$D$1000,"&lt;="&amp;Config!$B$3)))</f>
        <v/>
      </c>
      <c r="T825" s="40" t="str">
        <f>IF($K825="","",IFERROR(VLOOKUP($K825,Grinders!$A$4:$N$998,8,FALSE),""))</f>
        <v/>
      </c>
      <c r="U825" s="40" t="str">
        <f>IFERROR(IF($K825="","",IF($M825="Elite",MAX(50,MIN(100,Config!$B$27*MAX(0,MIN(100,(1-IF($R825="",0,$R825))*100)) + Config!$B$28*MAX(0,MIN(100,(1-MIN(1,IF(Config!$B$30=0,1,$S825/Config!$B$30)))*100)) + Config!$B$29*MAX(0,MIN(100,MIN(1,IF($T825="",0,$T825)/Config!$B$23)*100)))),MIN(100,Config!$B$27*MAX(0,MIN(100,(1-IF($R825="",0,$R825))*100)) + Config!$B$28*MAX(0,MIN(100,(1-MIN(1,IF(Config!$B$30=0,1,$S825/Config!$B$30)))*100)) + Config!$B$29*MAX(0,MIN(100,MIN(1,IF($T825="",0,$T825)/Config!$B$23)*100))))),"")
</f>
        <v/>
      </c>
      <c r="V825" s="40" t="str">
        <f>IF(Bids!$D824="","",Bids!$D824)</f>
        <v/>
      </c>
      <c r="W825" s="40" t="str">
        <f>IF(Bids!$F824="","",Bids!$F824)</f>
        <v/>
      </c>
      <c r="X825" s="40" t="str">
        <f t="shared" si="5"/>
        <v/>
      </c>
      <c r="Y825" s="40" t="str">
        <f>IF($X825="","",IF(Config!$B$17=Config!$B$16,IF($X825&gt;=Config!$B$17,100,0),MAX(0,MIN(100,($X825-Config!$B$16)/(Config!$B$17-Config!$B$16)*100))))</f>
        <v/>
      </c>
      <c r="Z825" s="40">
        <f>IF($M825="Elite",Config!$B$21,0)</f>
        <v>0</v>
      </c>
      <c r="AA825" s="40" t="str">
        <f>IFERROR(IF(OR($W825="",$H825=""),"",IF($W825&gt;$H825,
  MAX(0, 60-(($W825-$H825)*24/Config!$B$19)*60),
  MIN(100, 60+(($H825-$W825)*24/Config!$B$20)*40)
)),"")
</f>
        <v/>
      </c>
      <c r="AB825" s="40" t="str">
        <f>IF($K825="","",IFERROR(VLOOKUP($K825,Grinders!$A$4:$N$998,10,FALSE)/5*100,""))</f>
        <v/>
      </c>
      <c r="AC825" s="40" t="str">
        <f>IF($K825="","",IFERROR(VLOOKUP($K825,Grinders!$A$4:$N$998,11,FALSE)*100,""))</f>
        <v/>
      </c>
      <c r="AD825" s="40" t="str">
        <f>IF($K825="","",IFERROR(VLOOKUP($K825,Grinders!$A$4:$N$998,12,FALSE)*100,""))</f>
        <v/>
      </c>
      <c r="AE825" s="40">
        <f>IFERROR(IFS(
    OR($C825="", $K825=""), 0,
    $F825=0, 0,
    $D825&lt;&gt;"Open", 0,
    COUNTIFS(GrinderServices!$B$4:$B$998, $K825, GrinderServices!$C$4:$C$998, $E825, GrinderServices!$E$4:$E$998, "Y")=0, 0,
    $X825&lt;Config!$B$16, 0,
    Config!$B$18=1, IF($O825&gt;=N825, 0, 1),
    TRUE, 1
), "")
</f>
        <v>0</v>
      </c>
      <c r="AF825" s="40" t="str">
        <f>IFERROR(IF($AE825=0,"",((Config!$B$6*$Y825 + Config!$B$7*$U825 + Config!$B$8*$Z825 + Config!$B$9*$AA825 + Config!$B$10*$AB825 + Config!$B$11*$AC825 - Config!$B$12*$AD825)/Config!$B$13)+$AK825+$AL825),"")</f>
        <v/>
      </c>
      <c r="AG825" s="40" t="str">
        <f t="shared" si="6"/>
        <v/>
      </c>
      <c r="AH825" s="40" t="str">
        <f t="shared" si="7"/>
        <v/>
      </c>
      <c r="AI825" s="40" t="str">
        <f t="shared" si="8"/>
        <v/>
      </c>
      <c r="AJ825" s="40" t="str">
        <f>IF($K825="","",COUNTIF(Assignments!$B$6:$B$1000,$K825))</f>
        <v/>
      </c>
      <c r="AK825" s="40" t="str">
        <f>IF($K825="","",IF(AND($AJ825=0,$O825&lt;$N825),Config!$B$43,0))</f>
        <v/>
      </c>
      <c r="AL825" s="40" t="str">
        <f>IF($K825="","",IF(AND($M825="Elite",$G825&gt;=Config!$B$41,$O825&lt;$N825),Config!$B$42,0))</f>
        <v/>
      </c>
      <c r="AM825" s="22"/>
    </row>
    <row r="826" ht="15.75" customHeight="1">
      <c r="A826" s="40" t="str">
        <f t="shared" si="1"/>
        <v/>
      </c>
      <c r="B826" s="40" t="str">
        <f>IF(Bids!$A825="","",Bids!$A825)</f>
        <v/>
      </c>
      <c r="C826" s="40" t="str">
        <f>IF(Bids!$B825="","",Bids!$B825)</f>
        <v/>
      </c>
      <c r="D826" s="40" t="str">
        <f>IF($C826="","",IFERROR(VLOOKUP($C826,Orders!$A$4:$J$998,9,FALSE),""))</f>
        <v/>
      </c>
      <c r="E826" s="40" t="str">
        <f>IF($C826="","",IFERROR(VLOOKUP($C826,Orders!$A$4:$J$998,3,FALSE),""))</f>
        <v/>
      </c>
      <c r="F826" s="40">
        <f t="shared" si="2"/>
        <v>1</v>
      </c>
      <c r="G826" s="40" t="str">
        <f>IF($C826="","",IFERROR(VLOOKUP($C826,Orders!$A$4:$J$998,4,FALSE),""))</f>
        <v/>
      </c>
      <c r="H826" s="40" t="str">
        <f>IF($C826="","",IFERROR(VLOOKUP($C826,Orders!$A$4:$J$998,5,FALSE),""))</f>
        <v/>
      </c>
      <c r="I826" s="40" t="str">
        <f>IF($C826="","",IFERROR(VLOOKUP($C826,Orders!$A$4:$J$998,6,FALSE),""))</f>
        <v/>
      </c>
      <c r="J826" s="40" t="str">
        <f>IF($C826="","",IFERROR(VLOOKUP($C826,Orders!$A$4:$J$998,7,FALSE),""))</f>
        <v/>
      </c>
      <c r="K826" s="40" t="str">
        <f>IF(Bids!$C825="","",Bids!$C825)</f>
        <v/>
      </c>
      <c r="L826" s="40" t="str">
        <f>IF($K826="","",IFERROR(VLOOKUP($K826,Grinders!$A$4:$N$998,2,FALSE),""))</f>
        <v/>
      </c>
      <c r="M826" s="40" t="str">
        <f>IF($K826="","",IFERROR(VLOOKUP($K826,Grinders!$A$4:$N$998,3,FALSE),""))</f>
        <v/>
      </c>
      <c r="N826" s="40" t="str">
        <f>IF($K826="","",IFERROR(VLOOKUP($K826,Grinders!$A$4:$N$998,4,FALSE),""))</f>
        <v/>
      </c>
      <c r="O826" s="40" t="str">
        <f>IF($K826="","",IFERROR(VLOOKUP($K826,Grinders!$A$4:$N$998,5,FALSE),""))</f>
        <v/>
      </c>
      <c r="P826" s="40" t="str">
        <f>IF($K826="","",IF($C$4="",0,COUNTIFS(Assignments!$B$6:$B$1000,$K826,Assignments!$F$6:$F$1000,$C$4,Assignments!$E$6:$E$1000,"Active")))</f>
        <v/>
      </c>
      <c r="Q826" s="40" t="str">
        <f t="shared" si="3"/>
        <v/>
      </c>
      <c r="R826" s="40" t="str">
        <f t="shared" si="4"/>
        <v/>
      </c>
      <c r="S826" s="40" t="str">
        <f>IF($K826="","",IF($C$4="",0,COUNTIFS(Assignments!$B$6:$B$1000,$K826,Assignments!$F$6:$F$1000,$C$4,Assignments!$D$6:$D$1000,"&gt;="&amp;Config!$B$3-7,Assignments!$D$6:$D$1000,"&lt;="&amp;Config!$B$3)))</f>
        <v/>
      </c>
      <c r="T826" s="40" t="str">
        <f>IF($K826="","",IFERROR(VLOOKUP($K826,Grinders!$A$4:$N$998,8,FALSE),""))</f>
        <v/>
      </c>
      <c r="U826" s="40" t="str">
        <f>IFERROR(IF($K826="","",IF($M826="Elite",MAX(50,MIN(100,Config!$B$27*MAX(0,MIN(100,(1-IF($R826="",0,$R826))*100)) + Config!$B$28*MAX(0,MIN(100,(1-MIN(1,IF(Config!$B$30=0,1,$S826/Config!$B$30)))*100)) + Config!$B$29*MAX(0,MIN(100,MIN(1,IF($T826="",0,$T826)/Config!$B$23)*100)))),MIN(100,Config!$B$27*MAX(0,MIN(100,(1-IF($R826="",0,$R826))*100)) + Config!$B$28*MAX(0,MIN(100,(1-MIN(1,IF(Config!$B$30=0,1,$S826/Config!$B$30)))*100)) + Config!$B$29*MAX(0,MIN(100,MIN(1,IF($T826="",0,$T826)/Config!$B$23)*100))))),"")
</f>
        <v/>
      </c>
      <c r="V826" s="40" t="str">
        <f>IF(Bids!$D825="","",Bids!$D825)</f>
        <v/>
      </c>
      <c r="W826" s="40" t="str">
        <f>IF(Bids!$F825="","",Bids!$F825)</f>
        <v/>
      </c>
      <c r="X826" s="40" t="str">
        <f t="shared" si="5"/>
        <v/>
      </c>
      <c r="Y826" s="40" t="str">
        <f>IF($X826="","",IF(Config!$B$17=Config!$B$16,IF($X826&gt;=Config!$B$17,100,0),MAX(0,MIN(100,($X826-Config!$B$16)/(Config!$B$17-Config!$B$16)*100))))</f>
        <v/>
      </c>
      <c r="Z826" s="40">
        <f>IF($M826="Elite",Config!$B$21,0)</f>
        <v>0</v>
      </c>
      <c r="AA826" s="40" t="str">
        <f>IFERROR(IF(OR($W826="",$H826=""),"",IF($W826&gt;$H826,
  MAX(0, 60-(($W826-$H826)*24/Config!$B$19)*60),
  MIN(100, 60+(($H826-$W826)*24/Config!$B$20)*40)
)),"")
</f>
        <v/>
      </c>
      <c r="AB826" s="40" t="str">
        <f>IF($K826="","",IFERROR(VLOOKUP($K826,Grinders!$A$4:$N$998,10,FALSE)/5*100,""))</f>
        <v/>
      </c>
      <c r="AC826" s="40" t="str">
        <f>IF($K826="","",IFERROR(VLOOKUP($K826,Grinders!$A$4:$N$998,11,FALSE)*100,""))</f>
        <v/>
      </c>
      <c r="AD826" s="40" t="str">
        <f>IF($K826="","",IFERROR(VLOOKUP($K826,Grinders!$A$4:$N$998,12,FALSE)*100,""))</f>
        <v/>
      </c>
      <c r="AE826" s="40">
        <f>IFERROR(IFS(
    OR($C826="", $K826=""), 0,
    $F826=0, 0,
    $D826&lt;&gt;"Open", 0,
    COUNTIFS(GrinderServices!$B$4:$B$998, $K826, GrinderServices!$C$4:$C$998, $E826, GrinderServices!$E$4:$E$998, "Y")=0, 0,
    $X826&lt;Config!$B$16, 0,
    Config!$B$18=1, IF($O826&gt;=N826, 0, 1),
    TRUE, 1
), "")
</f>
        <v>0</v>
      </c>
      <c r="AF826" s="40" t="str">
        <f>IFERROR(IF($AE826=0,"",((Config!$B$6*$Y826 + Config!$B$7*$U826 + Config!$B$8*$Z826 + Config!$B$9*$AA826 + Config!$B$10*$AB826 + Config!$B$11*$AC826 - Config!$B$12*$AD826)/Config!$B$13)+$AK826+$AL826),"")</f>
        <v/>
      </c>
      <c r="AG826" s="40" t="str">
        <f t="shared" si="6"/>
        <v/>
      </c>
      <c r="AH826" s="40" t="str">
        <f t="shared" si="7"/>
        <v/>
      </c>
      <c r="AI826" s="40" t="str">
        <f t="shared" si="8"/>
        <v/>
      </c>
      <c r="AJ826" s="40" t="str">
        <f>IF($K826="","",COUNTIF(Assignments!$B$6:$B$1000,$K826))</f>
        <v/>
      </c>
      <c r="AK826" s="40" t="str">
        <f>IF($K826="","",IF(AND($AJ826=0,$O826&lt;$N826),Config!$B$43,0))</f>
        <v/>
      </c>
      <c r="AL826" s="40" t="str">
        <f>IF($K826="","",IF(AND($M826="Elite",$G826&gt;=Config!$B$41,$O826&lt;$N826),Config!$B$42,0))</f>
        <v/>
      </c>
      <c r="AM826" s="22"/>
    </row>
    <row r="827" ht="15.75" customHeight="1">
      <c r="A827" s="40" t="str">
        <f t="shared" si="1"/>
        <v/>
      </c>
      <c r="B827" s="40" t="str">
        <f>IF(Bids!$A826="","",Bids!$A826)</f>
        <v/>
      </c>
      <c r="C827" s="40" t="str">
        <f>IF(Bids!$B826="","",Bids!$B826)</f>
        <v/>
      </c>
      <c r="D827" s="40" t="str">
        <f>IF($C827="","",IFERROR(VLOOKUP($C827,Orders!$A$4:$J$998,9,FALSE),""))</f>
        <v/>
      </c>
      <c r="E827" s="40" t="str">
        <f>IF($C827="","",IFERROR(VLOOKUP($C827,Orders!$A$4:$J$998,3,FALSE),""))</f>
        <v/>
      </c>
      <c r="F827" s="40">
        <f t="shared" si="2"/>
        <v>1</v>
      </c>
      <c r="G827" s="40" t="str">
        <f>IF($C827="","",IFERROR(VLOOKUP($C827,Orders!$A$4:$J$998,4,FALSE),""))</f>
        <v/>
      </c>
      <c r="H827" s="40" t="str">
        <f>IF($C827="","",IFERROR(VLOOKUP($C827,Orders!$A$4:$J$998,5,FALSE),""))</f>
        <v/>
      </c>
      <c r="I827" s="40" t="str">
        <f>IF($C827="","",IFERROR(VLOOKUP($C827,Orders!$A$4:$J$998,6,FALSE),""))</f>
        <v/>
      </c>
      <c r="J827" s="40" t="str">
        <f>IF($C827="","",IFERROR(VLOOKUP($C827,Orders!$A$4:$J$998,7,FALSE),""))</f>
        <v/>
      </c>
      <c r="K827" s="40" t="str">
        <f>IF(Bids!$C826="","",Bids!$C826)</f>
        <v/>
      </c>
      <c r="L827" s="40" t="str">
        <f>IF($K827="","",IFERROR(VLOOKUP($K827,Grinders!$A$4:$N$998,2,FALSE),""))</f>
        <v/>
      </c>
      <c r="M827" s="40" t="str">
        <f>IF($K827="","",IFERROR(VLOOKUP($K827,Grinders!$A$4:$N$998,3,FALSE),""))</f>
        <v/>
      </c>
      <c r="N827" s="40" t="str">
        <f>IF($K827="","",IFERROR(VLOOKUP($K827,Grinders!$A$4:$N$998,4,FALSE),""))</f>
        <v/>
      </c>
      <c r="O827" s="40" t="str">
        <f>IF($K827="","",IFERROR(VLOOKUP($K827,Grinders!$A$4:$N$998,5,FALSE),""))</f>
        <v/>
      </c>
      <c r="P827" s="40" t="str">
        <f>IF($K827="","",IF($C$4="",0,COUNTIFS(Assignments!$B$6:$B$1000,$K827,Assignments!$F$6:$F$1000,$C$4,Assignments!$E$6:$E$1000,"Active")))</f>
        <v/>
      </c>
      <c r="Q827" s="40" t="str">
        <f t="shared" si="3"/>
        <v/>
      </c>
      <c r="R827" s="40" t="str">
        <f t="shared" si="4"/>
        <v/>
      </c>
      <c r="S827" s="40" t="str">
        <f>IF($K827="","",IF($C$4="",0,COUNTIFS(Assignments!$B$6:$B$1000,$K827,Assignments!$F$6:$F$1000,$C$4,Assignments!$D$6:$D$1000,"&gt;="&amp;Config!$B$3-7,Assignments!$D$6:$D$1000,"&lt;="&amp;Config!$B$3)))</f>
        <v/>
      </c>
      <c r="T827" s="40" t="str">
        <f>IF($K827="","",IFERROR(VLOOKUP($K827,Grinders!$A$4:$N$998,8,FALSE),""))</f>
        <v/>
      </c>
      <c r="U827" s="40" t="str">
        <f>IFERROR(IF($K827="","",IF($M827="Elite",MAX(50,MIN(100,Config!$B$27*MAX(0,MIN(100,(1-IF($R827="",0,$R827))*100)) + Config!$B$28*MAX(0,MIN(100,(1-MIN(1,IF(Config!$B$30=0,1,$S827/Config!$B$30)))*100)) + Config!$B$29*MAX(0,MIN(100,MIN(1,IF($T827="",0,$T827)/Config!$B$23)*100)))),MIN(100,Config!$B$27*MAX(0,MIN(100,(1-IF($R827="",0,$R827))*100)) + Config!$B$28*MAX(0,MIN(100,(1-MIN(1,IF(Config!$B$30=0,1,$S827/Config!$B$30)))*100)) + Config!$B$29*MAX(0,MIN(100,MIN(1,IF($T827="",0,$T827)/Config!$B$23)*100))))),"")
</f>
        <v/>
      </c>
      <c r="V827" s="40" t="str">
        <f>IF(Bids!$D826="","",Bids!$D826)</f>
        <v/>
      </c>
      <c r="W827" s="40" t="str">
        <f>IF(Bids!$F826="","",Bids!$F826)</f>
        <v/>
      </c>
      <c r="X827" s="40" t="str">
        <f t="shared" si="5"/>
        <v/>
      </c>
      <c r="Y827" s="40" t="str">
        <f>IF($X827="","",IF(Config!$B$17=Config!$B$16,IF($X827&gt;=Config!$B$17,100,0),MAX(0,MIN(100,($X827-Config!$B$16)/(Config!$B$17-Config!$B$16)*100))))</f>
        <v/>
      </c>
      <c r="Z827" s="40">
        <f>IF($M827="Elite",Config!$B$21,0)</f>
        <v>0</v>
      </c>
      <c r="AA827" s="40" t="str">
        <f>IFERROR(IF(OR($W827="",$H827=""),"",IF($W827&gt;$H827,
  MAX(0, 60-(($W827-$H827)*24/Config!$B$19)*60),
  MIN(100, 60+(($H827-$W827)*24/Config!$B$20)*40)
)),"")
</f>
        <v/>
      </c>
      <c r="AB827" s="40" t="str">
        <f>IF($K827="","",IFERROR(VLOOKUP($K827,Grinders!$A$4:$N$998,10,FALSE)/5*100,""))</f>
        <v/>
      </c>
      <c r="AC827" s="40" t="str">
        <f>IF($K827="","",IFERROR(VLOOKUP($K827,Grinders!$A$4:$N$998,11,FALSE)*100,""))</f>
        <v/>
      </c>
      <c r="AD827" s="40" t="str">
        <f>IF($K827="","",IFERROR(VLOOKUP($K827,Grinders!$A$4:$N$998,12,FALSE)*100,""))</f>
        <v/>
      </c>
      <c r="AE827" s="40">
        <f>IFERROR(IFS(
    OR($C827="", $K827=""), 0,
    $F827=0, 0,
    $D827&lt;&gt;"Open", 0,
    COUNTIFS(GrinderServices!$B$4:$B$998, $K827, GrinderServices!$C$4:$C$998, $E827, GrinderServices!$E$4:$E$998, "Y")=0, 0,
    $X827&lt;Config!$B$16, 0,
    Config!$B$18=1, IF($O827&gt;=N827, 0, 1),
    TRUE, 1
), "")
</f>
        <v>0</v>
      </c>
      <c r="AF827" s="40" t="str">
        <f>IFERROR(IF($AE827=0,"",((Config!$B$6*$Y827 + Config!$B$7*$U827 + Config!$B$8*$Z827 + Config!$B$9*$AA827 + Config!$B$10*$AB827 + Config!$B$11*$AC827 - Config!$B$12*$AD827)/Config!$B$13)+$AK827+$AL827),"")</f>
        <v/>
      </c>
      <c r="AG827" s="40" t="str">
        <f t="shared" si="6"/>
        <v/>
      </c>
      <c r="AH827" s="40" t="str">
        <f t="shared" si="7"/>
        <v/>
      </c>
      <c r="AI827" s="40" t="str">
        <f t="shared" si="8"/>
        <v/>
      </c>
      <c r="AJ827" s="40" t="str">
        <f>IF($K827="","",COUNTIF(Assignments!$B$6:$B$1000,$K827))</f>
        <v/>
      </c>
      <c r="AK827" s="40" t="str">
        <f>IF($K827="","",IF(AND($AJ827=0,$O827&lt;$N827),Config!$B$43,0))</f>
        <v/>
      </c>
      <c r="AL827" s="40" t="str">
        <f>IF($K827="","",IF(AND($M827="Elite",$G827&gt;=Config!$B$41,$O827&lt;$N827),Config!$B$42,0))</f>
        <v/>
      </c>
      <c r="AM827" s="22"/>
    </row>
    <row r="828" ht="15.75" customHeight="1">
      <c r="A828" s="40" t="str">
        <f t="shared" si="1"/>
        <v/>
      </c>
      <c r="B828" s="40" t="str">
        <f>IF(Bids!$A827="","",Bids!$A827)</f>
        <v/>
      </c>
      <c r="C828" s="40" t="str">
        <f>IF(Bids!$B827="","",Bids!$B827)</f>
        <v/>
      </c>
      <c r="D828" s="40" t="str">
        <f>IF($C828="","",IFERROR(VLOOKUP($C828,Orders!$A$4:$J$998,9,FALSE),""))</f>
        <v/>
      </c>
      <c r="E828" s="40" t="str">
        <f>IF($C828="","",IFERROR(VLOOKUP($C828,Orders!$A$4:$J$998,3,FALSE),""))</f>
        <v/>
      </c>
      <c r="F828" s="40">
        <f t="shared" si="2"/>
        <v>1</v>
      </c>
      <c r="G828" s="40" t="str">
        <f>IF($C828="","",IFERROR(VLOOKUP($C828,Orders!$A$4:$J$998,4,FALSE),""))</f>
        <v/>
      </c>
      <c r="H828" s="40" t="str">
        <f>IF($C828="","",IFERROR(VLOOKUP($C828,Orders!$A$4:$J$998,5,FALSE),""))</f>
        <v/>
      </c>
      <c r="I828" s="40" t="str">
        <f>IF($C828="","",IFERROR(VLOOKUP($C828,Orders!$A$4:$J$998,6,FALSE),""))</f>
        <v/>
      </c>
      <c r="J828" s="40" t="str">
        <f>IF($C828="","",IFERROR(VLOOKUP($C828,Orders!$A$4:$J$998,7,FALSE),""))</f>
        <v/>
      </c>
      <c r="K828" s="40" t="str">
        <f>IF(Bids!$C827="","",Bids!$C827)</f>
        <v/>
      </c>
      <c r="L828" s="40" t="str">
        <f>IF($K828="","",IFERROR(VLOOKUP($K828,Grinders!$A$4:$N$998,2,FALSE),""))</f>
        <v/>
      </c>
      <c r="M828" s="40" t="str">
        <f>IF($K828="","",IFERROR(VLOOKUP($K828,Grinders!$A$4:$N$998,3,FALSE),""))</f>
        <v/>
      </c>
      <c r="N828" s="40" t="str">
        <f>IF($K828="","",IFERROR(VLOOKUP($K828,Grinders!$A$4:$N$998,4,FALSE),""))</f>
        <v/>
      </c>
      <c r="O828" s="40" t="str">
        <f>IF($K828="","",IFERROR(VLOOKUP($K828,Grinders!$A$4:$N$998,5,FALSE),""))</f>
        <v/>
      </c>
      <c r="P828" s="40" t="str">
        <f>IF($K828="","",IF($C$4="",0,COUNTIFS(Assignments!$B$6:$B$1000,$K828,Assignments!$F$6:$F$1000,$C$4,Assignments!$E$6:$E$1000,"Active")))</f>
        <v/>
      </c>
      <c r="Q828" s="40" t="str">
        <f t="shared" si="3"/>
        <v/>
      </c>
      <c r="R828" s="40" t="str">
        <f t="shared" si="4"/>
        <v/>
      </c>
      <c r="S828" s="40" t="str">
        <f>IF($K828="","",IF($C$4="",0,COUNTIFS(Assignments!$B$6:$B$1000,$K828,Assignments!$F$6:$F$1000,$C$4,Assignments!$D$6:$D$1000,"&gt;="&amp;Config!$B$3-7,Assignments!$D$6:$D$1000,"&lt;="&amp;Config!$B$3)))</f>
        <v/>
      </c>
      <c r="T828" s="40" t="str">
        <f>IF($K828="","",IFERROR(VLOOKUP($K828,Grinders!$A$4:$N$998,8,FALSE),""))</f>
        <v/>
      </c>
      <c r="U828" s="40" t="str">
        <f>IFERROR(IF($K828="","",IF($M828="Elite",MAX(50,MIN(100,Config!$B$27*MAX(0,MIN(100,(1-IF($R828="",0,$R828))*100)) + Config!$B$28*MAX(0,MIN(100,(1-MIN(1,IF(Config!$B$30=0,1,$S828/Config!$B$30)))*100)) + Config!$B$29*MAX(0,MIN(100,MIN(1,IF($T828="",0,$T828)/Config!$B$23)*100)))),MIN(100,Config!$B$27*MAX(0,MIN(100,(1-IF($R828="",0,$R828))*100)) + Config!$B$28*MAX(0,MIN(100,(1-MIN(1,IF(Config!$B$30=0,1,$S828/Config!$B$30)))*100)) + Config!$B$29*MAX(0,MIN(100,MIN(1,IF($T828="",0,$T828)/Config!$B$23)*100))))),"")
</f>
        <v/>
      </c>
      <c r="V828" s="40" t="str">
        <f>IF(Bids!$D827="","",Bids!$D827)</f>
        <v/>
      </c>
      <c r="W828" s="40" t="str">
        <f>IF(Bids!$F827="","",Bids!$F827)</f>
        <v/>
      </c>
      <c r="X828" s="40" t="str">
        <f t="shared" si="5"/>
        <v/>
      </c>
      <c r="Y828" s="40" t="str">
        <f>IF($X828="","",IF(Config!$B$17=Config!$B$16,IF($X828&gt;=Config!$B$17,100,0),MAX(0,MIN(100,($X828-Config!$B$16)/(Config!$B$17-Config!$B$16)*100))))</f>
        <v/>
      </c>
      <c r="Z828" s="40">
        <f>IF($M828="Elite",Config!$B$21,0)</f>
        <v>0</v>
      </c>
      <c r="AA828" s="40" t="str">
        <f>IFERROR(IF(OR($W828="",$H828=""),"",IF($W828&gt;$H828,
  MAX(0, 60-(($W828-$H828)*24/Config!$B$19)*60),
  MIN(100, 60+(($H828-$W828)*24/Config!$B$20)*40)
)),"")
</f>
        <v/>
      </c>
      <c r="AB828" s="40" t="str">
        <f>IF($K828="","",IFERROR(VLOOKUP($K828,Grinders!$A$4:$N$998,10,FALSE)/5*100,""))</f>
        <v/>
      </c>
      <c r="AC828" s="40" t="str">
        <f>IF($K828="","",IFERROR(VLOOKUP($K828,Grinders!$A$4:$N$998,11,FALSE)*100,""))</f>
        <v/>
      </c>
      <c r="AD828" s="40" t="str">
        <f>IF($K828="","",IFERROR(VLOOKUP($K828,Grinders!$A$4:$N$998,12,FALSE)*100,""))</f>
        <v/>
      </c>
      <c r="AE828" s="40">
        <f>IFERROR(IFS(
    OR($C828="", $K828=""), 0,
    $F828=0, 0,
    $D828&lt;&gt;"Open", 0,
    COUNTIFS(GrinderServices!$B$4:$B$998, $K828, GrinderServices!$C$4:$C$998, $E828, GrinderServices!$E$4:$E$998, "Y")=0, 0,
    $X828&lt;Config!$B$16, 0,
    Config!$B$18=1, IF($O828&gt;=N828, 0, 1),
    TRUE, 1
), "")
</f>
        <v>0</v>
      </c>
      <c r="AF828" s="40" t="str">
        <f>IFERROR(IF($AE828=0,"",((Config!$B$6*$Y828 + Config!$B$7*$U828 + Config!$B$8*$Z828 + Config!$B$9*$AA828 + Config!$B$10*$AB828 + Config!$B$11*$AC828 - Config!$B$12*$AD828)/Config!$B$13)+$AK828+$AL828),"")</f>
        <v/>
      </c>
      <c r="AG828" s="40" t="str">
        <f t="shared" si="6"/>
        <v/>
      </c>
      <c r="AH828" s="40" t="str">
        <f t="shared" si="7"/>
        <v/>
      </c>
      <c r="AI828" s="40" t="str">
        <f t="shared" si="8"/>
        <v/>
      </c>
      <c r="AJ828" s="40" t="str">
        <f>IF($K828="","",COUNTIF(Assignments!$B$6:$B$1000,$K828))</f>
        <v/>
      </c>
      <c r="AK828" s="40" t="str">
        <f>IF($K828="","",IF(AND($AJ828=0,$O828&lt;$N828),Config!$B$43,0))</f>
        <v/>
      </c>
      <c r="AL828" s="40" t="str">
        <f>IF($K828="","",IF(AND($M828="Elite",$G828&gt;=Config!$B$41,$O828&lt;$N828),Config!$B$42,0))</f>
        <v/>
      </c>
      <c r="AM828" s="22"/>
    </row>
    <row r="829" ht="15.75" customHeight="1">
      <c r="A829" s="40" t="str">
        <f t="shared" si="1"/>
        <v/>
      </c>
      <c r="B829" s="40" t="str">
        <f>IF(Bids!$A828="","",Bids!$A828)</f>
        <v/>
      </c>
      <c r="C829" s="40" t="str">
        <f>IF(Bids!$B828="","",Bids!$B828)</f>
        <v/>
      </c>
      <c r="D829" s="40" t="str">
        <f>IF($C829="","",IFERROR(VLOOKUP($C829,Orders!$A$4:$J$998,9,FALSE),""))</f>
        <v/>
      </c>
      <c r="E829" s="40" t="str">
        <f>IF($C829="","",IFERROR(VLOOKUP($C829,Orders!$A$4:$J$998,3,FALSE),""))</f>
        <v/>
      </c>
      <c r="F829" s="40">
        <f t="shared" si="2"/>
        <v>1</v>
      </c>
      <c r="G829" s="40" t="str">
        <f>IF($C829="","",IFERROR(VLOOKUP($C829,Orders!$A$4:$J$998,4,FALSE),""))</f>
        <v/>
      </c>
      <c r="H829" s="40" t="str">
        <f>IF($C829="","",IFERROR(VLOOKUP($C829,Orders!$A$4:$J$998,5,FALSE),""))</f>
        <v/>
      </c>
      <c r="I829" s="40" t="str">
        <f>IF($C829="","",IFERROR(VLOOKUP($C829,Orders!$A$4:$J$998,6,FALSE),""))</f>
        <v/>
      </c>
      <c r="J829" s="40" t="str">
        <f>IF($C829="","",IFERROR(VLOOKUP($C829,Orders!$A$4:$J$998,7,FALSE),""))</f>
        <v/>
      </c>
      <c r="K829" s="40" t="str">
        <f>IF(Bids!$C828="","",Bids!$C828)</f>
        <v/>
      </c>
      <c r="L829" s="40" t="str">
        <f>IF($K829="","",IFERROR(VLOOKUP($K829,Grinders!$A$4:$N$998,2,FALSE),""))</f>
        <v/>
      </c>
      <c r="M829" s="40" t="str">
        <f>IF($K829="","",IFERROR(VLOOKUP($K829,Grinders!$A$4:$N$998,3,FALSE),""))</f>
        <v/>
      </c>
      <c r="N829" s="40" t="str">
        <f>IF($K829="","",IFERROR(VLOOKUP($K829,Grinders!$A$4:$N$998,4,FALSE),""))</f>
        <v/>
      </c>
      <c r="O829" s="40" t="str">
        <f>IF($K829="","",IFERROR(VLOOKUP($K829,Grinders!$A$4:$N$998,5,FALSE),""))</f>
        <v/>
      </c>
      <c r="P829" s="40" t="str">
        <f>IF($K829="","",IF($C$4="",0,COUNTIFS(Assignments!$B$6:$B$1000,$K829,Assignments!$F$6:$F$1000,$C$4,Assignments!$E$6:$E$1000,"Active")))</f>
        <v/>
      </c>
      <c r="Q829" s="40" t="str">
        <f t="shared" si="3"/>
        <v/>
      </c>
      <c r="R829" s="40" t="str">
        <f t="shared" si="4"/>
        <v/>
      </c>
      <c r="S829" s="40" t="str">
        <f>IF($K829="","",IF($C$4="",0,COUNTIFS(Assignments!$B$6:$B$1000,$K829,Assignments!$F$6:$F$1000,$C$4,Assignments!$D$6:$D$1000,"&gt;="&amp;Config!$B$3-7,Assignments!$D$6:$D$1000,"&lt;="&amp;Config!$B$3)))</f>
        <v/>
      </c>
      <c r="T829" s="40" t="str">
        <f>IF($K829="","",IFERROR(VLOOKUP($K829,Grinders!$A$4:$N$998,8,FALSE),""))</f>
        <v/>
      </c>
      <c r="U829" s="40" t="str">
        <f>IFERROR(IF($K829="","",IF($M829="Elite",MAX(50,MIN(100,Config!$B$27*MAX(0,MIN(100,(1-IF($R829="",0,$R829))*100)) + Config!$B$28*MAX(0,MIN(100,(1-MIN(1,IF(Config!$B$30=0,1,$S829/Config!$B$30)))*100)) + Config!$B$29*MAX(0,MIN(100,MIN(1,IF($T829="",0,$T829)/Config!$B$23)*100)))),MIN(100,Config!$B$27*MAX(0,MIN(100,(1-IF($R829="",0,$R829))*100)) + Config!$B$28*MAX(0,MIN(100,(1-MIN(1,IF(Config!$B$30=0,1,$S829/Config!$B$30)))*100)) + Config!$B$29*MAX(0,MIN(100,MIN(1,IF($T829="",0,$T829)/Config!$B$23)*100))))),"")
</f>
        <v/>
      </c>
      <c r="V829" s="40" t="str">
        <f>IF(Bids!$D828="","",Bids!$D828)</f>
        <v/>
      </c>
      <c r="W829" s="40" t="str">
        <f>IF(Bids!$F828="","",Bids!$F828)</f>
        <v/>
      </c>
      <c r="X829" s="40" t="str">
        <f t="shared" si="5"/>
        <v/>
      </c>
      <c r="Y829" s="40" t="str">
        <f>IF($X829="","",IF(Config!$B$17=Config!$B$16,IF($X829&gt;=Config!$B$17,100,0),MAX(0,MIN(100,($X829-Config!$B$16)/(Config!$B$17-Config!$B$16)*100))))</f>
        <v/>
      </c>
      <c r="Z829" s="40">
        <f>IF($M829="Elite",Config!$B$21,0)</f>
        <v>0</v>
      </c>
      <c r="AA829" s="40" t="str">
        <f>IFERROR(IF(OR($W829="",$H829=""),"",IF($W829&gt;$H829,
  MAX(0, 60-(($W829-$H829)*24/Config!$B$19)*60),
  MIN(100, 60+(($H829-$W829)*24/Config!$B$20)*40)
)),"")
</f>
        <v/>
      </c>
      <c r="AB829" s="40" t="str">
        <f>IF($K829="","",IFERROR(VLOOKUP($K829,Grinders!$A$4:$N$998,10,FALSE)/5*100,""))</f>
        <v/>
      </c>
      <c r="AC829" s="40" t="str">
        <f>IF($K829="","",IFERROR(VLOOKUP($K829,Grinders!$A$4:$N$998,11,FALSE)*100,""))</f>
        <v/>
      </c>
      <c r="AD829" s="40" t="str">
        <f>IF($K829="","",IFERROR(VLOOKUP($K829,Grinders!$A$4:$N$998,12,FALSE)*100,""))</f>
        <v/>
      </c>
      <c r="AE829" s="40">
        <f>IFERROR(IFS(
    OR($C829="", $K829=""), 0,
    $F829=0, 0,
    $D829&lt;&gt;"Open", 0,
    COUNTIFS(GrinderServices!$B$4:$B$998, $K829, GrinderServices!$C$4:$C$998, $E829, GrinderServices!$E$4:$E$998, "Y")=0, 0,
    $X829&lt;Config!$B$16, 0,
    Config!$B$18=1, IF($O829&gt;=N829, 0, 1),
    TRUE, 1
), "")
</f>
        <v>0</v>
      </c>
      <c r="AF829" s="40" t="str">
        <f>IFERROR(IF($AE829=0,"",((Config!$B$6*$Y829 + Config!$B$7*$U829 + Config!$B$8*$Z829 + Config!$B$9*$AA829 + Config!$B$10*$AB829 + Config!$B$11*$AC829 - Config!$B$12*$AD829)/Config!$B$13)+$AK829+$AL829),"")</f>
        <v/>
      </c>
      <c r="AG829" s="40" t="str">
        <f t="shared" si="6"/>
        <v/>
      </c>
      <c r="AH829" s="40" t="str">
        <f t="shared" si="7"/>
        <v/>
      </c>
      <c r="AI829" s="40" t="str">
        <f t="shared" si="8"/>
        <v/>
      </c>
      <c r="AJ829" s="40" t="str">
        <f>IF($K829="","",COUNTIF(Assignments!$B$6:$B$1000,$K829))</f>
        <v/>
      </c>
      <c r="AK829" s="40" t="str">
        <f>IF($K829="","",IF(AND($AJ829=0,$O829&lt;$N829),Config!$B$43,0))</f>
        <v/>
      </c>
      <c r="AL829" s="40" t="str">
        <f>IF($K829="","",IF(AND($M829="Elite",$G829&gt;=Config!$B$41,$O829&lt;$N829),Config!$B$42,0))</f>
        <v/>
      </c>
      <c r="AM829" s="22"/>
    </row>
    <row r="830" ht="15.75" customHeight="1">
      <c r="A830" s="40" t="str">
        <f t="shared" si="1"/>
        <v/>
      </c>
      <c r="B830" s="40" t="str">
        <f>IF(Bids!$A829="","",Bids!$A829)</f>
        <v/>
      </c>
      <c r="C830" s="40" t="str">
        <f>IF(Bids!$B829="","",Bids!$B829)</f>
        <v/>
      </c>
      <c r="D830" s="40" t="str">
        <f>IF($C830="","",IFERROR(VLOOKUP($C830,Orders!$A$4:$J$998,9,FALSE),""))</f>
        <v/>
      </c>
      <c r="E830" s="40" t="str">
        <f>IF($C830="","",IFERROR(VLOOKUP($C830,Orders!$A$4:$J$998,3,FALSE),""))</f>
        <v/>
      </c>
      <c r="F830" s="40">
        <f t="shared" si="2"/>
        <v>1</v>
      </c>
      <c r="G830" s="40" t="str">
        <f>IF($C830="","",IFERROR(VLOOKUP($C830,Orders!$A$4:$J$998,4,FALSE),""))</f>
        <v/>
      </c>
      <c r="H830" s="40" t="str">
        <f>IF($C830="","",IFERROR(VLOOKUP($C830,Orders!$A$4:$J$998,5,FALSE),""))</f>
        <v/>
      </c>
      <c r="I830" s="40" t="str">
        <f>IF($C830="","",IFERROR(VLOOKUP($C830,Orders!$A$4:$J$998,6,FALSE),""))</f>
        <v/>
      </c>
      <c r="J830" s="40" t="str">
        <f>IF($C830="","",IFERROR(VLOOKUP($C830,Orders!$A$4:$J$998,7,FALSE),""))</f>
        <v/>
      </c>
      <c r="K830" s="40" t="str">
        <f>IF(Bids!$C829="","",Bids!$C829)</f>
        <v/>
      </c>
      <c r="L830" s="40" t="str">
        <f>IF($K830="","",IFERROR(VLOOKUP($K830,Grinders!$A$4:$N$998,2,FALSE),""))</f>
        <v/>
      </c>
      <c r="M830" s="40" t="str">
        <f>IF($K830="","",IFERROR(VLOOKUP($K830,Grinders!$A$4:$N$998,3,FALSE),""))</f>
        <v/>
      </c>
      <c r="N830" s="40" t="str">
        <f>IF($K830="","",IFERROR(VLOOKUP($K830,Grinders!$A$4:$N$998,4,FALSE),""))</f>
        <v/>
      </c>
      <c r="O830" s="40" t="str">
        <f>IF($K830="","",IFERROR(VLOOKUP($K830,Grinders!$A$4:$N$998,5,FALSE),""))</f>
        <v/>
      </c>
      <c r="P830" s="40" t="str">
        <f>IF($K830="","",IF($C$4="",0,COUNTIFS(Assignments!$B$6:$B$1000,$K830,Assignments!$F$6:$F$1000,$C$4,Assignments!$E$6:$E$1000,"Active")))</f>
        <v/>
      </c>
      <c r="Q830" s="40" t="str">
        <f t="shared" si="3"/>
        <v/>
      </c>
      <c r="R830" s="40" t="str">
        <f t="shared" si="4"/>
        <v/>
      </c>
      <c r="S830" s="40" t="str">
        <f>IF($K830="","",IF($C$4="",0,COUNTIFS(Assignments!$B$6:$B$1000,$K830,Assignments!$F$6:$F$1000,$C$4,Assignments!$D$6:$D$1000,"&gt;="&amp;Config!$B$3-7,Assignments!$D$6:$D$1000,"&lt;="&amp;Config!$B$3)))</f>
        <v/>
      </c>
      <c r="T830" s="40" t="str">
        <f>IF($K830="","",IFERROR(VLOOKUP($K830,Grinders!$A$4:$N$998,8,FALSE),""))</f>
        <v/>
      </c>
      <c r="U830" s="40" t="str">
        <f>IFERROR(IF($K830="","",IF($M830="Elite",MAX(50,MIN(100,Config!$B$27*MAX(0,MIN(100,(1-IF($R830="",0,$R830))*100)) + Config!$B$28*MAX(0,MIN(100,(1-MIN(1,IF(Config!$B$30=0,1,$S830/Config!$B$30)))*100)) + Config!$B$29*MAX(0,MIN(100,MIN(1,IF($T830="",0,$T830)/Config!$B$23)*100)))),MIN(100,Config!$B$27*MAX(0,MIN(100,(1-IF($R830="",0,$R830))*100)) + Config!$B$28*MAX(0,MIN(100,(1-MIN(1,IF(Config!$B$30=0,1,$S830/Config!$B$30)))*100)) + Config!$B$29*MAX(0,MIN(100,MIN(1,IF($T830="",0,$T830)/Config!$B$23)*100))))),"")
</f>
        <v/>
      </c>
      <c r="V830" s="40" t="str">
        <f>IF(Bids!$D829="","",Bids!$D829)</f>
        <v/>
      </c>
      <c r="W830" s="40" t="str">
        <f>IF(Bids!$F829="","",Bids!$F829)</f>
        <v/>
      </c>
      <c r="X830" s="40" t="str">
        <f t="shared" si="5"/>
        <v/>
      </c>
      <c r="Y830" s="40" t="str">
        <f>IF($X830="","",IF(Config!$B$17=Config!$B$16,IF($X830&gt;=Config!$B$17,100,0),MAX(0,MIN(100,($X830-Config!$B$16)/(Config!$B$17-Config!$B$16)*100))))</f>
        <v/>
      </c>
      <c r="Z830" s="40">
        <f>IF($M830="Elite",Config!$B$21,0)</f>
        <v>0</v>
      </c>
      <c r="AA830" s="40" t="str">
        <f>IFERROR(IF(OR($W830="",$H830=""),"",IF($W830&gt;$H830,
  MAX(0, 60-(($W830-$H830)*24/Config!$B$19)*60),
  MIN(100, 60+(($H830-$W830)*24/Config!$B$20)*40)
)),"")
</f>
        <v/>
      </c>
      <c r="AB830" s="40" t="str">
        <f>IF($K830="","",IFERROR(VLOOKUP($K830,Grinders!$A$4:$N$998,10,FALSE)/5*100,""))</f>
        <v/>
      </c>
      <c r="AC830" s="40" t="str">
        <f>IF($K830="","",IFERROR(VLOOKUP($K830,Grinders!$A$4:$N$998,11,FALSE)*100,""))</f>
        <v/>
      </c>
      <c r="AD830" s="40" t="str">
        <f>IF($K830="","",IFERROR(VLOOKUP($K830,Grinders!$A$4:$N$998,12,FALSE)*100,""))</f>
        <v/>
      </c>
      <c r="AE830" s="40">
        <f>IFERROR(IFS(
    OR($C830="", $K830=""), 0,
    $F830=0, 0,
    $D830&lt;&gt;"Open", 0,
    COUNTIFS(GrinderServices!$B$4:$B$998, $K830, GrinderServices!$C$4:$C$998, $E830, GrinderServices!$E$4:$E$998, "Y")=0, 0,
    $X830&lt;Config!$B$16, 0,
    Config!$B$18=1, IF($O830&gt;=N830, 0, 1),
    TRUE, 1
), "")
</f>
        <v>0</v>
      </c>
      <c r="AF830" s="40" t="str">
        <f>IFERROR(IF($AE830=0,"",((Config!$B$6*$Y830 + Config!$B$7*$U830 + Config!$B$8*$Z830 + Config!$B$9*$AA830 + Config!$B$10*$AB830 + Config!$B$11*$AC830 - Config!$B$12*$AD830)/Config!$B$13)+$AK830+$AL830),"")</f>
        <v/>
      </c>
      <c r="AG830" s="40" t="str">
        <f t="shared" si="6"/>
        <v/>
      </c>
      <c r="AH830" s="40" t="str">
        <f t="shared" si="7"/>
        <v/>
      </c>
      <c r="AI830" s="40" t="str">
        <f t="shared" si="8"/>
        <v/>
      </c>
      <c r="AJ830" s="40" t="str">
        <f>IF($K830="","",COUNTIF(Assignments!$B$6:$B$1000,$K830))</f>
        <v/>
      </c>
      <c r="AK830" s="40" t="str">
        <f>IF($K830="","",IF(AND($AJ830=0,$O830&lt;$N830),Config!$B$43,0))</f>
        <v/>
      </c>
      <c r="AL830" s="40" t="str">
        <f>IF($K830="","",IF(AND($M830="Elite",$G830&gt;=Config!$B$41,$O830&lt;$N830),Config!$B$42,0))</f>
        <v/>
      </c>
      <c r="AM830" s="22"/>
    </row>
    <row r="831" ht="15.75" customHeight="1">
      <c r="A831" s="40" t="str">
        <f t="shared" si="1"/>
        <v/>
      </c>
      <c r="B831" s="40" t="str">
        <f>IF(Bids!$A830="","",Bids!$A830)</f>
        <v/>
      </c>
      <c r="C831" s="40" t="str">
        <f>IF(Bids!$B830="","",Bids!$B830)</f>
        <v/>
      </c>
      <c r="D831" s="40" t="str">
        <f>IF($C831="","",IFERROR(VLOOKUP($C831,Orders!$A$4:$J$998,9,FALSE),""))</f>
        <v/>
      </c>
      <c r="E831" s="40" t="str">
        <f>IF($C831="","",IFERROR(VLOOKUP($C831,Orders!$A$4:$J$998,3,FALSE),""))</f>
        <v/>
      </c>
      <c r="F831" s="40">
        <f t="shared" si="2"/>
        <v>1</v>
      </c>
      <c r="G831" s="40" t="str">
        <f>IF($C831="","",IFERROR(VLOOKUP($C831,Orders!$A$4:$J$998,4,FALSE),""))</f>
        <v/>
      </c>
      <c r="H831" s="40" t="str">
        <f>IF($C831="","",IFERROR(VLOOKUP($C831,Orders!$A$4:$J$998,5,FALSE),""))</f>
        <v/>
      </c>
      <c r="I831" s="40" t="str">
        <f>IF($C831="","",IFERROR(VLOOKUP($C831,Orders!$A$4:$J$998,6,FALSE),""))</f>
        <v/>
      </c>
      <c r="J831" s="40" t="str">
        <f>IF($C831="","",IFERROR(VLOOKUP($C831,Orders!$A$4:$J$998,7,FALSE),""))</f>
        <v/>
      </c>
      <c r="K831" s="40" t="str">
        <f>IF(Bids!$C830="","",Bids!$C830)</f>
        <v/>
      </c>
      <c r="L831" s="40" t="str">
        <f>IF($K831="","",IFERROR(VLOOKUP($K831,Grinders!$A$4:$N$998,2,FALSE),""))</f>
        <v/>
      </c>
      <c r="M831" s="40" t="str">
        <f>IF($K831="","",IFERROR(VLOOKUP($K831,Grinders!$A$4:$N$998,3,FALSE),""))</f>
        <v/>
      </c>
      <c r="N831" s="40" t="str">
        <f>IF($K831="","",IFERROR(VLOOKUP($K831,Grinders!$A$4:$N$998,4,FALSE),""))</f>
        <v/>
      </c>
      <c r="O831" s="40" t="str">
        <f>IF($K831="","",IFERROR(VLOOKUP($K831,Grinders!$A$4:$N$998,5,FALSE),""))</f>
        <v/>
      </c>
      <c r="P831" s="40" t="str">
        <f>IF($K831="","",IF($C$4="",0,COUNTIFS(Assignments!$B$6:$B$1000,$K831,Assignments!$F$6:$F$1000,$C$4,Assignments!$E$6:$E$1000,"Active")))</f>
        <v/>
      </c>
      <c r="Q831" s="40" t="str">
        <f t="shared" si="3"/>
        <v/>
      </c>
      <c r="R831" s="40" t="str">
        <f t="shared" si="4"/>
        <v/>
      </c>
      <c r="S831" s="40" t="str">
        <f>IF($K831="","",IF($C$4="",0,COUNTIFS(Assignments!$B$6:$B$1000,$K831,Assignments!$F$6:$F$1000,$C$4,Assignments!$D$6:$D$1000,"&gt;="&amp;Config!$B$3-7,Assignments!$D$6:$D$1000,"&lt;="&amp;Config!$B$3)))</f>
        <v/>
      </c>
      <c r="T831" s="40" t="str">
        <f>IF($K831="","",IFERROR(VLOOKUP($K831,Grinders!$A$4:$N$998,8,FALSE),""))</f>
        <v/>
      </c>
      <c r="U831" s="40" t="str">
        <f>IFERROR(IF($K831="","",IF($M831="Elite",MAX(50,MIN(100,Config!$B$27*MAX(0,MIN(100,(1-IF($R831="",0,$R831))*100)) + Config!$B$28*MAX(0,MIN(100,(1-MIN(1,IF(Config!$B$30=0,1,$S831/Config!$B$30)))*100)) + Config!$B$29*MAX(0,MIN(100,MIN(1,IF($T831="",0,$T831)/Config!$B$23)*100)))),MIN(100,Config!$B$27*MAX(0,MIN(100,(1-IF($R831="",0,$R831))*100)) + Config!$B$28*MAX(0,MIN(100,(1-MIN(1,IF(Config!$B$30=0,1,$S831/Config!$B$30)))*100)) + Config!$B$29*MAX(0,MIN(100,MIN(1,IF($T831="",0,$T831)/Config!$B$23)*100))))),"")
</f>
        <v/>
      </c>
      <c r="V831" s="40" t="str">
        <f>IF(Bids!$D830="","",Bids!$D830)</f>
        <v/>
      </c>
      <c r="W831" s="40" t="str">
        <f>IF(Bids!$F830="","",Bids!$F830)</f>
        <v/>
      </c>
      <c r="X831" s="40" t="str">
        <f t="shared" si="5"/>
        <v/>
      </c>
      <c r="Y831" s="40" t="str">
        <f>IF($X831="","",IF(Config!$B$17=Config!$B$16,IF($X831&gt;=Config!$B$17,100,0),MAX(0,MIN(100,($X831-Config!$B$16)/(Config!$B$17-Config!$B$16)*100))))</f>
        <v/>
      </c>
      <c r="Z831" s="40">
        <f>IF($M831="Elite",Config!$B$21,0)</f>
        <v>0</v>
      </c>
      <c r="AA831" s="40" t="str">
        <f>IFERROR(IF(OR($W831="",$H831=""),"",IF($W831&gt;$H831,
  MAX(0, 60-(($W831-$H831)*24/Config!$B$19)*60),
  MIN(100, 60+(($H831-$W831)*24/Config!$B$20)*40)
)),"")
</f>
        <v/>
      </c>
      <c r="AB831" s="40" t="str">
        <f>IF($K831="","",IFERROR(VLOOKUP($K831,Grinders!$A$4:$N$998,10,FALSE)/5*100,""))</f>
        <v/>
      </c>
      <c r="AC831" s="40" t="str">
        <f>IF($K831="","",IFERROR(VLOOKUP($K831,Grinders!$A$4:$N$998,11,FALSE)*100,""))</f>
        <v/>
      </c>
      <c r="AD831" s="40" t="str">
        <f>IF($K831="","",IFERROR(VLOOKUP($K831,Grinders!$A$4:$N$998,12,FALSE)*100,""))</f>
        <v/>
      </c>
      <c r="AE831" s="40">
        <f>IFERROR(IFS(
    OR($C831="", $K831=""), 0,
    $F831=0, 0,
    $D831&lt;&gt;"Open", 0,
    COUNTIFS(GrinderServices!$B$4:$B$998, $K831, GrinderServices!$C$4:$C$998, $E831, GrinderServices!$E$4:$E$998, "Y")=0, 0,
    $X831&lt;Config!$B$16, 0,
    Config!$B$18=1, IF($O831&gt;=N831, 0, 1),
    TRUE, 1
), "")
</f>
        <v>0</v>
      </c>
      <c r="AF831" s="40" t="str">
        <f>IFERROR(IF($AE831=0,"",((Config!$B$6*$Y831 + Config!$B$7*$U831 + Config!$B$8*$Z831 + Config!$B$9*$AA831 + Config!$B$10*$AB831 + Config!$B$11*$AC831 - Config!$B$12*$AD831)/Config!$B$13)+$AK831+$AL831),"")</f>
        <v/>
      </c>
      <c r="AG831" s="40" t="str">
        <f t="shared" si="6"/>
        <v/>
      </c>
      <c r="AH831" s="40" t="str">
        <f t="shared" si="7"/>
        <v/>
      </c>
      <c r="AI831" s="40" t="str">
        <f t="shared" si="8"/>
        <v/>
      </c>
      <c r="AJ831" s="40" t="str">
        <f>IF($K831="","",COUNTIF(Assignments!$B$6:$B$1000,$K831))</f>
        <v/>
      </c>
      <c r="AK831" s="40" t="str">
        <f>IF($K831="","",IF(AND($AJ831=0,$O831&lt;$N831),Config!$B$43,0))</f>
        <v/>
      </c>
      <c r="AL831" s="40" t="str">
        <f>IF($K831="","",IF(AND($M831="Elite",$G831&gt;=Config!$B$41,$O831&lt;$N831),Config!$B$42,0))</f>
        <v/>
      </c>
      <c r="AM831" s="22"/>
    </row>
    <row r="832" ht="15.75" customHeight="1">
      <c r="A832" s="40" t="str">
        <f t="shared" si="1"/>
        <v/>
      </c>
      <c r="B832" s="40" t="str">
        <f>IF(Bids!$A831="","",Bids!$A831)</f>
        <v/>
      </c>
      <c r="C832" s="40" t="str">
        <f>IF(Bids!$B831="","",Bids!$B831)</f>
        <v/>
      </c>
      <c r="D832" s="40" t="str">
        <f>IF($C832="","",IFERROR(VLOOKUP($C832,Orders!$A$4:$J$998,9,FALSE),""))</f>
        <v/>
      </c>
      <c r="E832" s="40" t="str">
        <f>IF($C832="","",IFERROR(VLOOKUP($C832,Orders!$A$4:$J$998,3,FALSE),""))</f>
        <v/>
      </c>
      <c r="F832" s="40">
        <f t="shared" si="2"/>
        <v>1</v>
      </c>
      <c r="G832" s="40" t="str">
        <f>IF($C832="","",IFERROR(VLOOKUP($C832,Orders!$A$4:$J$998,4,FALSE),""))</f>
        <v/>
      </c>
      <c r="H832" s="40" t="str">
        <f>IF($C832="","",IFERROR(VLOOKUP($C832,Orders!$A$4:$J$998,5,FALSE),""))</f>
        <v/>
      </c>
      <c r="I832" s="40" t="str">
        <f>IF($C832="","",IFERROR(VLOOKUP($C832,Orders!$A$4:$J$998,6,FALSE),""))</f>
        <v/>
      </c>
      <c r="J832" s="40" t="str">
        <f>IF($C832="","",IFERROR(VLOOKUP($C832,Orders!$A$4:$J$998,7,FALSE),""))</f>
        <v/>
      </c>
      <c r="K832" s="40" t="str">
        <f>IF(Bids!$C831="","",Bids!$C831)</f>
        <v/>
      </c>
      <c r="L832" s="40" t="str">
        <f>IF($K832="","",IFERROR(VLOOKUP($K832,Grinders!$A$4:$N$998,2,FALSE),""))</f>
        <v/>
      </c>
      <c r="M832" s="40" t="str">
        <f>IF($K832="","",IFERROR(VLOOKUP($K832,Grinders!$A$4:$N$998,3,FALSE),""))</f>
        <v/>
      </c>
      <c r="N832" s="40" t="str">
        <f>IF($K832="","",IFERROR(VLOOKUP($K832,Grinders!$A$4:$N$998,4,FALSE),""))</f>
        <v/>
      </c>
      <c r="O832" s="40" t="str">
        <f>IF($K832="","",IFERROR(VLOOKUP($K832,Grinders!$A$4:$N$998,5,FALSE),""))</f>
        <v/>
      </c>
      <c r="P832" s="40" t="str">
        <f>IF($K832="","",IF($C$4="",0,COUNTIFS(Assignments!$B$6:$B$1000,$K832,Assignments!$F$6:$F$1000,$C$4,Assignments!$E$6:$E$1000,"Active")))</f>
        <v/>
      </c>
      <c r="Q832" s="40" t="str">
        <f t="shared" si="3"/>
        <v/>
      </c>
      <c r="R832" s="40" t="str">
        <f t="shared" si="4"/>
        <v/>
      </c>
      <c r="S832" s="40" t="str">
        <f>IF($K832="","",IF($C$4="",0,COUNTIFS(Assignments!$B$6:$B$1000,$K832,Assignments!$F$6:$F$1000,$C$4,Assignments!$D$6:$D$1000,"&gt;="&amp;Config!$B$3-7,Assignments!$D$6:$D$1000,"&lt;="&amp;Config!$B$3)))</f>
        <v/>
      </c>
      <c r="T832" s="40" t="str">
        <f>IF($K832="","",IFERROR(VLOOKUP($K832,Grinders!$A$4:$N$998,8,FALSE),""))</f>
        <v/>
      </c>
      <c r="U832" s="40" t="str">
        <f>IFERROR(IF($K832="","",IF($M832="Elite",MAX(50,MIN(100,Config!$B$27*MAX(0,MIN(100,(1-IF($R832="",0,$R832))*100)) + Config!$B$28*MAX(0,MIN(100,(1-MIN(1,IF(Config!$B$30=0,1,$S832/Config!$B$30)))*100)) + Config!$B$29*MAX(0,MIN(100,MIN(1,IF($T832="",0,$T832)/Config!$B$23)*100)))),MIN(100,Config!$B$27*MAX(0,MIN(100,(1-IF($R832="",0,$R832))*100)) + Config!$B$28*MAX(0,MIN(100,(1-MIN(1,IF(Config!$B$30=0,1,$S832/Config!$B$30)))*100)) + Config!$B$29*MAX(0,MIN(100,MIN(1,IF($T832="",0,$T832)/Config!$B$23)*100))))),"")
</f>
        <v/>
      </c>
      <c r="V832" s="40" t="str">
        <f>IF(Bids!$D831="","",Bids!$D831)</f>
        <v/>
      </c>
      <c r="W832" s="40" t="str">
        <f>IF(Bids!$F831="","",Bids!$F831)</f>
        <v/>
      </c>
      <c r="X832" s="40" t="str">
        <f t="shared" si="5"/>
        <v/>
      </c>
      <c r="Y832" s="40" t="str">
        <f>IF($X832="","",IF(Config!$B$17=Config!$B$16,IF($X832&gt;=Config!$B$17,100,0),MAX(0,MIN(100,($X832-Config!$B$16)/(Config!$B$17-Config!$B$16)*100))))</f>
        <v/>
      </c>
      <c r="Z832" s="40">
        <f>IF($M832="Elite",Config!$B$21,0)</f>
        <v>0</v>
      </c>
      <c r="AA832" s="40" t="str">
        <f>IFERROR(IF(OR($W832="",$H832=""),"",IF($W832&gt;$H832,
  MAX(0, 60-(($W832-$H832)*24/Config!$B$19)*60),
  MIN(100, 60+(($H832-$W832)*24/Config!$B$20)*40)
)),"")
</f>
        <v/>
      </c>
      <c r="AB832" s="40" t="str">
        <f>IF($K832="","",IFERROR(VLOOKUP($K832,Grinders!$A$4:$N$998,10,FALSE)/5*100,""))</f>
        <v/>
      </c>
      <c r="AC832" s="40" t="str">
        <f>IF($K832="","",IFERROR(VLOOKUP($K832,Grinders!$A$4:$N$998,11,FALSE)*100,""))</f>
        <v/>
      </c>
      <c r="AD832" s="40" t="str">
        <f>IF($K832="","",IFERROR(VLOOKUP($K832,Grinders!$A$4:$N$998,12,FALSE)*100,""))</f>
        <v/>
      </c>
      <c r="AE832" s="40">
        <f>IFERROR(IFS(
    OR($C832="", $K832=""), 0,
    $F832=0, 0,
    $D832&lt;&gt;"Open", 0,
    COUNTIFS(GrinderServices!$B$4:$B$998, $K832, GrinderServices!$C$4:$C$998, $E832, GrinderServices!$E$4:$E$998, "Y")=0, 0,
    $X832&lt;Config!$B$16, 0,
    Config!$B$18=1, IF($O832&gt;=N832, 0, 1),
    TRUE, 1
), "")
</f>
        <v>0</v>
      </c>
      <c r="AF832" s="40" t="str">
        <f>IFERROR(IF($AE832=0,"",((Config!$B$6*$Y832 + Config!$B$7*$U832 + Config!$B$8*$Z832 + Config!$B$9*$AA832 + Config!$B$10*$AB832 + Config!$B$11*$AC832 - Config!$B$12*$AD832)/Config!$B$13)+$AK832+$AL832),"")</f>
        <v/>
      </c>
      <c r="AG832" s="40" t="str">
        <f t="shared" si="6"/>
        <v/>
      </c>
      <c r="AH832" s="40" t="str">
        <f t="shared" si="7"/>
        <v/>
      </c>
      <c r="AI832" s="40" t="str">
        <f t="shared" si="8"/>
        <v/>
      </c>
      <c r="AJ832" s="40" t="str">
        <f>IF($K832="","",COUNTIF(Assignments!$B$6:$B$1000,$K832))</f>
        <v/>
      </c>
      <c r="AK832" s="40" t="str">
        <f>IF($K832="","",IF(AND($AJ832=0,$O832&lt;$N832),Config!$B$43,0))</f>
        <v/>
      </c>
      <c r="AL832" s="40" t="str">
        <f>IF($K832="","",IF(AND($M832="Elite",$G832&gt;=Config!$B$41,$O832&lt;$N832),Config!$B$42,0))</f>
        <v/>
      </c>
      <c r="AM832" s="22"/>
    </row>
    <row r="833" ht="15.75" customHeight="1">
      <c r="A833" s="40" t="str">
        <f t="shared" si="1"/>
        <v/>
      </c>
      <c r="B833" s="40" t="str">
        <f>IF(Bids!$A832="","",Bids!$A832)</f>
        <v/>
      </c>
      <c r="C833" s="40" t="str">
        <f>IF(Bids!$B832="","",Bids!$B832)</f>
        <v/>
      </c>
      <c r="D833" s="40" t="str">
        <f>IF($C833="","",IFERROR(VLOOKUP($C833,Orders!$A$4:$J$998,9,FALSE),""))</f>
        <v/>
      </c>
      <c r="E833" s="40" t="str">
        <f>IF($C833="","",IFERROR(VLOOKUP($C833,Orders!$A$4:$J$998,3,FALSE),""))</f>
        <v/>
      </c>
      <c r="F833" s="40">
        <f t="shared" si="2"/>
        <v>1</v>
      </c>
      <c r="G833" s="40" t="str">
        <f>IF($C833="","",IFERROR(VLOOKUP($C833,Orders!$A$4:$J$998,4,FALSE),""))</f>
        <v/>
      </c>
      <c r="H833" s="40" t="str">
        <f>IF($C833="","",IFERROR(VLOOKUP($C833,Orders!$A$4:$J$998,5,FALSE),""))</f>
        <v/>
      </c>
      <c r="I833" s="40" t="str">
        <f>IF($C833="","",IFERROR(VLOOKUP($C833,Orders!$A$4:$J$998,6,FALSE),""))</f>
        <v/>
      </c>
      <c r="J833" s="40" t="str">
        <f>IF($C833="","",IFERROR(VLOOKUP($C833,Orders!$A$4:$J$998,7,FALSE),""))</f>
        <v/>
      </c>
      <c r="K833" s="40" t="str">
        <f>IF(Bids!$C832="","",Bids!$C832)</f>
        <v/>
      </c>
      <c r="L833" s="40" t="str">
        <f>IF($K833="","",IFERROR(VLOOKUP($K833,Grinders!$A$4:$N$998,2,FALSE),""))</f>
        <v/>
      </c>
      <c r="M833" s="40" t="str">
        <f>IF($K833="","",IFERROR(VLOOKUP($K833,Grinders!$A$4:$N$998,3,FALSE),""))</f>
        <v/>
      </c>
      <c r="N833" s="40" t="str">
        <f>IF($K833="","",IFERROR(VLOOKUP($K833,Grinders!$A$4:$N$998,4,FALSE),""))</f>
        <v/>
      </c>
      <c r="O833" s="40" t="str">
        <f>IF($K833="","",IFERROR(VLOOKUP($K833,Grinders!$A$4:$N$998,5,FALSE),""))</f>
        <v/>
      </c>
      <c r="P833" s="40" t="str">
        <f>IF($K833="","",IF($C$4="",0,COUNTIFS(Assignments!$B$6:$B$1000,$K833,Assignments!$F$6:$F$1000,$C$4,Assignments!$E$6:$E$1000,"Active")))</f>
        <v/>
      </c>
      <c r="Q833" s="40" t="str">
        <f t="shared" si="3"/>
        <v/>
      </c>
      <c r="R833" s="40" t="str">
        <f t="shared" si="4"/>
        <v/>
      </c>
      <c r="S833" s="40" t="str">
        <f>IF($K833="","",IF($C$4="",0,COUNTIFS(Assignments!$B$6:$B$1000,$K833,Assignments!$F$6:$F$1000,$C$4,Assignments!$D$6:$D$1000,"&gt;="&amp;Config!$B$3-7,Assignments!$D$6:$D$1000,"&lt;="&amp;Config!$B$3)))</f>
        <v/>
      </c>
      <c r="T833" s="40" t="str">
        <f>IF($K833="","",IFERROR(VLOOKUP($K833,Grinders!$A$4:$N$998,8,FALSE),""))</f>
        <v/>
      </c>
      <c r="U833" s="40" t="str">
        <f>IFERROR(IF($K833="","",IF($M833="Elite",MAX(50,MIN(100,Config!$B$27*MAX(0,MIN(100,(1-IF($R833="",0,$R833))*100)) + Config!$B$28*MAX(0,MIN(100,(1-MIN(1,IF(Config!$B$30=0,1,$S833/Config!$B$30)))*100)) + Config!$B$29*MAX(0,MIN(100,MIN(1,IF($T833="",0,$T833)/Config!$B$23)*100)))),MIN(100,Config!$B$27*MAX(0,MIN(100,(1-IF($R833="",0,$R833))*100)) + Config!$B$28*MAX(0,MIN(100,(1-MIN(1,IF(Config!$B$30=0,1,$S833/Config!$B$30)))*100)) + Config!$B$29*MAX(0,MIN(100,MIN(1,IF($T833="",0,$T833)/Config!$B$23)*100))))),"")
</f>
        <v/>
      </c>
      <c r="V833" s="40" t="str">
        <f>IF(Bids!$D832="","",Bids!$D832)</f>
        <v/>
      </c>
      <c r="W833" s="40" t="str">
        <f>IF(Bids!$F832="","",Bids!$F832)</f>
        <v/>
      </c>
      <c r="X833" s="40" t="str">
        <f t="shared" si="5"/>
        <v/>
      </c>
      <c r="Y833" s="40" t="str">
        <f>IF($X833="","",IF(Config!$B$17=Config!$B$16,IF($X833&gt;=Config!$B$17,100,0),MAX(0,MIN(100,($X833-Config!$B$16)/(Config!$B$17-Config!$B$16)*100))))</f>
        <v/>
      </c>
      <c r="Z833" s="40">
        <f>IF($M833="Elite",Config!$B$21,0)</f>
        <v>0</v>
      </c>
      <c r="AA833" s="40" t="str">
        <f>IFERROR(IF(OR($W833="",$H833=""),"",IF($W833&gt;$H833,
  MAX(0, 60-(($W833-$H833)*24/Config!$B$19)*60),
  MIN(100, 60+(($H833-$W833)*24/Config!$B$20)*40)
)),"")
</f>
        <v/>
      </c>
      <c r="AB833" s="40" t="str">
        <f>IF($K833="","",IFERROR(VLOOKUP($K833,Grinders!$A$4:$N$998,10,FALSE)/5*100,""))</f>
        <v/>
      </c>
      <c r="AC833" s="40" t="str">
        <f>IF($K833="","",IFERROR(VLOOKUP($K833,Grinders!$A$4:$N$998,11,FALSE)*100,""))</f>
        <v/>
      </c>
      <c r="AD833" s="40" t="str">
        <f>IF($K833="","",IFERROR(VLOOKUP($K833,Grinders!$A$4:$N$998,12,FALSE)*100,""))</f>
        <v/>
      </c>
      <c r="AE833" s="40">
        <f>IFERROR(IFS(
    OR($C833="", $K833=""), 0,
    $F833=0, 0,
    $D833&lt;&gt;"Open", 0,
    COUNTIFS(GrinderServices!$B$4:$B$998, $K833, GrinderServices!$C$4:$C$998, $E833, GrinderServices!$E$4:$E$998, "Y")=0, 0,
    $X833&lt;Config!$B$16, 0,
    Config!$B$18=1, IF($O833&gt;=N833, 0, 1),
    TRUE, 1
), "")
</f>
        <v>0</v>
      </c>
      <c r="AF833" s="40" t="str">
        <f>IFERROR(IF($AE833=0,"",((Config!$B$6*$Y833 + Config!$B$7*$U833 + Config!$B$8*$Z833 + Config!$B$9*$AA833 + Config!$B$10*$AB833 + Config!$B$11*$AC833 - Config!$B$12*$AD833)/Config!$B$13)+$AK833+$AL833),"")</f>
        <v/>
      </c>
      <c r="AG833" s="40" t="str">
        <f t="shared" si="6"/>
        <v/>
      </c>
      <c r="AH833" s="40" t="str">
        <f t="shared" si="7"/>
        <v/>
      </c>
      <c r="AI833" s="40" t="str">
        <f t="shared" si="8"/>
        <v/>
      </c>
      <c r="AJ833" s="40" t="str">
        <f>IF($K833="","",COUNTIF(Assignments!$B$6:$B$1000,$K833))</f>
        <v/>
      </c>
      <c r="AK833" s="40" t="str">
        <f>IF($K833="","",IF(AND($AJ833=0,$O833&lt;$N833),Config!$B$43,0))</f>
        <v/>
      </c>
      <c r="AL833" s="40" t="str">
        <f>IF($K833="","",IF(AND($M833="Elite",$G833&gt;=Config!$B$41,$O833&lt;$N833),Config!$B$42,0))</f>
        <v/>
      </c>
      <c r="AM833" s="22"/>
    </row>
    <row r="834" ht="15.75" customHeight="1">
      <c r="A834" s="40" t="str">
        <f t="shared" si="1"/>
        <v/>
      </c>
      <c r="B834" s="40" t="str">
        <f>IF(Bids!$A833="","",Bids!$A833)</f>
        <v/>
      </c>
      <c r="C834" s="40" t="str">
        <f>IF(Bids!$B833="","",Bids!$B833)</f>
        <v/>
      </c>
      <c r="D834" s="40" t="str">
        <f>IF($C834="","",IFERROR(VLOOKUP($C834,Orders!$A$4:$J$998,9,FALSE),""))</f>
        <v/>
      </c>
      <c r="E834" s="40" t="str">
        <f>IF($C834="","",IFERROR(VLOOKUP($C834,Orders!$A$4:$J$998,3,FALSE),""))</f>
        <v/>
      </c>
      <c r="F834" s="40">
        <f t="shared" si="2"/>
        <v>1</v>
      </c>
      <c r="G834" s="40" t="str">
        <f>IF($C834="","",IFERROR(VLOOKUP($C834,Orders!$A$4:$J$998,4,FALSE),""))</f>
        <v/>
      </c>
      <c r="H834" s="40" t="str">
        <f>IF($C834="","",IFERROR(VLOOKUP($C834,Orders!$A$4:$J$998,5,FALSE),""))</f>
        <v/>
      </c>
      <c r="I834" s="40" t="str">
        <f>IF($C834="","",IFERROR(VLOOKUP($C834,Orders!$A$4:$J$998,6,FALSE),""))</f>
        <v/>
      </c>
      <c r="J834" s="40" t="str">
        <f>IF($C834="","",IFERROR(VLOOKUP($C834,Orders!$A$4:$J$998,7,FALSE),""))</f>
        <v/>
      </c>
      <c r="K834" s="40" t="str">
        <f>IF(Bids!$C833="","",Bids!$C833)</f>
        <v/>
      </c>
      <c r="L834" s="40" t="str">
        <f>IF($K834="","",IFERROR(VLOOKUP($K834,Grinders!$A$4:$N$998,2,FALSE),""))</f>
        <v/>
      </c>
      <c r="M834" s="40" t="str">
        <f>IF($K834="","",IFERROR(VLOOKUP($K834,Grinders!$A$4:$N$998,3,FALSE),""))</f>
        <v/>
      </c>
      <c r="N834" s="40" t="str">
        <f>IF($K834="","",IFERROR(VLOOKUP($K834,Grinders!$A$4:$N$998,4,FALSE),""))</f>
        <v/>
      </c>
      <c r="O834" s="40" t="str">
        <f>IF($K834="","",IFERROR(VLOOKUP($K834,Grinders!$A$4:$N$998,5,FALSE),""))</f>
        <v/>
      </c>
      <c r="P834" s="40" t="str">
        <f>IF($K834="","",IF($C$4="",0,COUNTIFS(Assignments!$B$6:$B$1000,$K834,Assignments!$F$6:$F$1000,$C$4,Assignments!$E$6:$E$1000,"Active")))</f>
        <v/>
      </c>
      <c r="Q834" s="40" t="str">
        <f t="shared" si="3"/>
        <v/>
      </c>
      <c r="R834" s="40" t="str">
        <f t="shared" si="4"/>
        <v/>
      </c>
      <c r="S834" s="40" t="str">
        <f>IF($K834="","",IF($C$4="",0,COUNTIFS(Assignments!$B$6:$B$1000,$K834,Assignments!$F$6:$F$1000,$C$4,Assignments!$D$6:$D$1000,"&gt;="&amp;Config!$B$3-7,Assignments!$D$6:$D$1000,"&lt;="&amp;Config!$B$3)))</f>
        <v/>
      </c>
      <c r="T834" s="40" t="str">
        <f>IF($K834="","",IFERROR(VLOOKUP($K834,Grinders!$A$4:$N$998,8,FALSE),""))</f>
        <v/>
      </c>
      <c r="U834" s="40" t="str">
        <f>IFERROR(IF($K834="","",IF($M834="Elite",MAX(50,MIN(100,Config!$B$27*MAX(0,MIN(100,(1-IF($R834="",0,$R834))*100)) + Config!$B$28*MAX(0,MIN(100,(1-MIN(1,IF(Config!$B$30=0,1,$S834/Config!$B$30)))*100)) + Config!$B$29*MAX(0,MIN(100,MIN(1,IF($T834="",0,$T834)/Config!$B$23)*100)))),MIN(100,Config!$B$27*MAX(0,MIN(100,(1-IF($R834="",0,$R834))*100)) + Config!$B$28*MAX(0,MIN(100,(1-MIN(1,IF(Config!$B$30=0,1,$S834/Config!$B$30)))*100)) + Config!$B$29*MAX(0,MIN(100,MIN(1,IF($T834="",0,$T834)/Config!$B$23)*100))))),"")
</f>
        <v/>
      </c>
      <c r="V834" s="40" t="str">
        <f>IF(Bids!$D833="","",Bids!$D833)</f>
        <v/>
      </c>
      <c r="W834" s="40" t="str">
        <f>IF(Bids!$F833="","",Bids!$F833)</f>
        <v/>
      </c>
      <c r="X834" s="40" t="str">
        <f t="shared" si="5"/>
        <v/>
      </c>
      <c r="Y834" s="40" t="str">
        <f>IF($X834="","",IF(Config!$B$17=Config!$B$16,IF($X834&gt;=Config!$B$17,100,0),MAX(0,MIN(100,($X834-Config!$B$16)/(Config!$B$17-Config!$B$16)*100))))</f>
        <v/>
      </c>
      <c r="Z834" s="40">
        <f>IF($M834="Elite",Config!$B$21,0)</f>
        <v>0</v>
      </c>
      <c r="AA834" s="40" t="str">
        <f>IFERROR(IF(OR($W834="",$H834=""),"",IF($W834&gt;$H834,
  MAX(0, 60-(($W834-$H834)*24/Config!$B$19)*60),
  MIN(100, 60+(($H834-$W834)*24/Config!$B$20)*40)
)),"")
</f>
        <v/>
      </c>
      <c r="AB834" s="40" t="str">
        <f>IF($K834="","",IFERROR(VLOOKUP($K834,Grinders!$A$4:$N$998,10,FALSE)/5*100,""))</f>
        <v/>
      </c>
      <c r="AC834" s="40" t="str">
        <f>IF($K834="","",IFERROR(VLOOKUP($K834,Grinders!$A$4:$N$998,11,FALSE)*100,""))</f>
        <v/>
      </c>
      <c r="AD834" s="40" t="str">
        <f>IF($K834="","",IFERROR(VLOOKUP($K834,Grinders!$A$4:$N$998,12,FALSE)*100,""))</f>
        <v/>
      </c>
      <c r="AE834" s="40">
        <f>IFERROR(IFS(
    OR($C834="", $K834=""), 0,
    $F834=0, 0,
    $D834&lt;&gt;"Open", 0,
    COUNTIFS(GrinderServices!$B$4:$B$998, $K834, GrinderServices!$C$4:$C$998, $E834, GrinderServices!$E$4:$E$998, "Y")=0, 0,
    $X834&lt;Config!$B$16, 0,
    Config!$B$18=1, IF($O834&gt;=N834, 0, 1),
    TRUE, 1
), "")
</f>
        <v>0</v>
      </c>
      <c r="AF834" s="40" t="str">
        <f>IFERROR(IF($AE834=0,"",((Config!$B$6*$Y834 + Config!$B$7*$U834 + Config!$B$8*$Z834 + Config!$B$9*$AA834 + Config!$B$10*$AB834 + Config!$B$11*$AC834 - Config!$B$12*$AD834)/Config!$B$13)+$AK834+$AL834),"")</f>
        <v/>
      </c>
      <c r="AG834" s="40" t="str">
        <f t="shared" si="6"/>
        <v/>
      </c>
      <c r="AH834" s="40" t="str">
        <f t="shared" si="7"/>
        <v/>
      </c>
      <c r="AI834" s="40" t="str">
        <f t="shared" si="8"/>
        <v/>
      </c>
      <c r="AJ834" s="40" t="str">
        <f>IF($K834="","",COUNTIF(Assignments!$B$6:$B$1000,$K834))</f>
        <v/>
      </c>
      <c r="AK834" s="40" t="str">
        <f>IF($K834="","",IF(AND($AJ834=0,$O834&lt;$N834),Config!$B$43,0))</f>
        <v/>
      </c>
      <c r="AL834" s="40" t="str">
        <f>IF($K834="","",IF(AND($M834="Elite",$G834&gt;=Config!$B$41,$O834&lt;$N834),Config!$B$42,0))</f>
        <v/>
      </c>
      <c r="AM834" s="22"/>
    </row>
    <row r="835" ht="15.75" customHeight="1">
      <c r="A835" s="40" t="str">
        <f t="shared" si="1"/>
        <v/>
      </c>
      <c r="B835" s="40" t="str">
        <f>IF(Bids!$A834="","",Bids!$A834)</f>
        <v/>
      </c>
      <c r="C835" s="40" t="str">
        <f>IF(Bids!$B834="","",Bids!$B834)</f>
        <v/>
      </c>
      <c r="D835" s="40" t="str">
        <f>IF($C835="","",IFERROR(VLOOKUP($C835,Orders!$A$4:$J$998,9,FALSE),""))</f>
        <v/>
      </c>
      <c r="E835" s="40" t="str">
        <f>IF($C835="","",IFERROR(VLOOKUP($C835,Orders!$A$4:$J$998,3,FALSE),""))</f>
        <v/>
      </c>
      <c r="F835" s="40">
        <f t="shared" si="2"/>
        <v>1</v>
      </c>
      <c r="G835" s="40" t="str">
        <f>IF($C835="","",IFERROR(VLOOKUP($C835,Orders!$A$4:$J$998,4,FALSE),""))</f>
        <v/>
      </c>
      <c r="H835" s="40" t="str">
        <f>IF($C835="","",IFERROR(VLOOKUP($C835,Orders!$A$4:$J$998,5,FALSE),""))</f>
        <v/>
      </c>
      <c r="I835" s="40" t="str">
        <f>IF($C835="","",IFERROR(VLOOKUP($C835,Orders!$A$4:$J$998,6,FALSE),""))</f>
        <v/>
      </c>
      <c r="J835" s="40" t="str">
        <f>IF($C835="","",IFERROR(VLOOKUP($C835,Orders!$A$4:$J$998,7,FALSE),""))</f>
        <v/>
      </c>
      <c r="K835" s="40" t="str">
        <f>IF(Bids!$C834="","",Bids!$C834)</f>
        <v/>
      </c>
      <c r="L835" s="40" t="str">
        <f>IF($K835="","",IFERROR(VLOOKUP($K835,Grinders!$A$4:$N$998,2,FALSE),""))</f>
        <v/>
      </c>
      <c r="M835" s="40" t="str">
        <f>IF($K835="","",IFERROR(VLOOKUP($K835,Grinders!$A$4:$N$998,3,FALSE),""))</f>
        <v/>
      </c>
      <c r="N835" s="40" t="str">
        <f>IF($K835="","",IFERROR(VLOOKUP($K835,Grinders!$A$4:$N$998,4,FALSE),""))</f>
        <v/>
      </c>
      <c r="O835" s="40" t="str">
        <f>IF($K835="","",IFERROR(VLOOKUP($K835,Grinders!$A$4:$N$998,5,FALSE),""))</f>
        <v/>
      </c>
      <c r="P835" s="40" t="str">
        <f>IF($K835="","",IF($C$4="",0,COUNTIFS(Assignments!$B$6:$B$1000,$K835,Assignments!$F$6:$F$1000,$C$4,Assignments!$E$6:$E$1000,"Active")))</f>
        <v/>
      </c>
      <c r="Q835" s="40" t="str">
        <f t="shared" si="3"/>
        <v/>
      </c>
      <c r="R835" s="40" t="str">
        <f t="shared" si="4"/>
        <v/>
      </c>
      <c r="S835" s="40" t="str">
        <f>IF($K835="","",IF($C$4="",0,COUNTIFS(Assignments!$B$6:$B$1000,$K835,Assignments!$F$6:$F$1000,$C$4,Assignments!$D$6:$D$1000,"&gt;="&amp;Config!$B$3-7,Assignments!$D$6:$D$1000,"&lt;="&amp;Config!$B$3)))</f>
        <v/>
      </c>
      <c r="T835" s="40" t="str">
        <f>IF($K835="","",IFERROR(VLOOKUP($K835,Grinders!$A$4:$N$998,8,FALSE),""))</f>
        <v/>
      </c>
      <c r="U835" s="40" t="str">
        <f>IFERROR(IF($K835="","",IF($M835="Elite",MAX(50,MIN(100,Config!$B$27*MAX(0,MIN(100,(1-IF($R835="",0,$R835))*100)) + Config!$B$28*MAX(0,MIN(100,(1-MIN(1,IF(Config!$B$30=0,1,$S835/Config!$B$30)))*100)) + Config!$B$29*MAX(0,MIN(100,MIN(1,IF($T835="",0,$T835)/Config!$B$23)*100)))),MIN(100,Config!$B$27*MAX(0,MIN(100,(1-IF($R835="",0,$R835))*100)) + Config!$B$28*MAX(0,MIN(100,(1-MIN(1,IF(Config!$B$30=0,1,$S835/Config!$B$30)))*100)) + Config!$B$29*MAX(0,MIN(100,MIN(1,IF($T835="",0,$T835)/Config!$B$23)*100))))),"")
</f>
        <v/>
      </c>
      <c r="V835" s="40" t="str">
        <f>IF(Bids!$D834="","",Bids!$D834)</f>
        <v/>
      </c>
      <c r="W835" s="40" t="str">
        <f>IF(Bids!$F834="","",Bids!$F834)</f>
        <v/>
      </c>
      <c r="X835" s="40" t="str">
        <f t="shared" si="5"/>
        <v/>
      </c>
      <c r="Y835" s="40" t="str">
        <f>IF($X835="","",IF(Config!$B$17=Config!$B$16,IF($X835&gt;=Config!$B$17,100,0),MAX(0,MIN(100,($X835-Config!$B$16)/(Config!$B$17-Config!$B$16)*100))))</f>
        <v/>
      </c>
      <c r="Z835" s="40">
        <f>IF($M835="Elite",Config!$B$21,0)</f>
        <v>0</v>
      </c>
      <c r="AA835" s="40" t="str">
        <f>IFERROR(IF(OR($W835="",$H835=""),"",IF($W835&gt;$H835,
  MAX(0, 60-(($W835-$H835)*24/Config!$B$19)*60),
  MIN(100, 60+(($H835-$W835)*24/Config!$B$20)*40)
)),"")
</f>
        <v/>
      </c>
      <c r="AB835" s="40" t="str">
        <f>IF($K835="","",IFERROR(VLOOKUP($K835,Grinders!$A$4:$N$998,10,FALSE)/5*100,""))</f>
        <v/>
      </c>
      <c r="AC835" s="40" t="str">
        <f>IF($K835="","",IFERROR(VLOOKUP($K835,Grinders!$A$4:$N$998,11,FALSE)*100,""))</f>
        <v/>
      </c>
      <c r="AD835" s="40" t="str">
        <f>IF($K835="","",IFERROR(VLOOKUP($K835,Grinders!$A$4:$N$998,12,FALSE)*100,""))</f>
        <v/>
      </c>
      <c r="AE835" s="40">
        <f>IFERROR(IFS(
    OR($C835="", $K835=""), 0,
    $F835=0, 0,
    $D835&lt;&gt;"Open", 0,
    COUNTIFS(GrinderServices!$B$4:$B$998, $K835, GrinderServices!$C$4:$C$998, $E835, GrinderServices!$E$4:$E$998, "Y")=0, 0,
    $X835&lt;Config!$B$16, 0,
    Config!$B$18=1, IF($O835&gt;=N835, 0, 1),
    TRUE, 1
), "")
</f>
        <v>0</v>
      </c>
      <c r="AF835" s="40" t="str">
        <f>IFERROR(IF($AE835=0,"",((Config!$B$6*$Y835 + Config!$B$7*$U835 + Config!$B$8*$Z835 + Config!$B$9*$AA835 + Config!$B$10*$AB835 + Config!$B$11*$AC835 - Config!$B$12*$AD835)/Config!$B$13)+$AK835+$AL835),"")</f>
        <v/>
      </c>
      <c r="AG835" s="40" t="str">
        <f t="shared" si="6"/>
        <v/>
      </c>
      <c r="AH835" s="40" t="str">
        <f t="shared" si="7"/>
        <v/>
      </c>
      <c r="AI835" s="40" t="str">
        <f t="shared" si="8"/>
        <v/>
      </c>
      <c r="AJ835" s="40" t="str">
        <f>IF($K835="","",COUNTIF(Assignments!$B$6:$B$1000,$K835))</f>
        <v/>
      </c>
      <c r="AK835" s="40" t="str">
        <f>IF($K835="","",IF(AND($AJ835=0,$O835&lt;$N835),Config!$B$43,0))</f>
        <v/>
      </c>
      <c r="AL835" s="40" t="str">
        <f>IF($K835="","",IF(AND($M835="Elite",$G835&gt;=Config!$B$41,$O835&lt;$N835),Config!$B$42,0))</f>
        <v/>
      </c>
      <c r="AM835" s="22"/>
    </row>
    <row r="836" ht="15.75" customHeight="1">
      <c r="A836" s="40" t="str">
        <f t="shared" si="1"/>
        <v/>
      </c>
      <c r="B836" s="40" t="str">
        <f>IF(Bids!$A835="","",Bids!$A835)</f>
        <v/>
      </c>
      <c r="C836" s="40" t="str">
        <f>IF(Bids!$B835="","",Bids!$B835)</f>
        <v/>
      </c>
      <c r="D836" s="40" t="str">
        <f>IF($C836="","",IFERROR(VLOOKUP($C836,Orders!$A$4:$J$998,9,FALSE),""))</f>
        <v/>
      </c>
      <c r="E836" s="40" t="str">
        <f>IF($C836="","",IFERROR(VLOOKUP($C836,Orders!$A$4:$J$998,3,FALSE),""))</f>
        <v/>
      </c>
      <c r="F836" s="40">
        <f t="shared" si="2"/>
        <v>1</v>
      </c>
      <c r="G836" s="40" t="str">
        <f>IF($C836="","",IFERROR(VLOOKUP($C836,Orders!$A$4:$J$998,4,FALSE),""))</f>
        <v/>
      </c>
      <c r="H836" s="40" t="str">
        <f>IF($C836="","",IFERROR(VLOOKUP($C836,Orders!$A$4:$J$998,5,FALSE),""))</f>
        <v/>
      </c>
      <c r="I836" s="40" t="str">
        <f>IF($C836="","",IFERROR(VLOOKUP($C836,Orders!$A$4:$J$998,6,FALSE),""))</f>
        <v/>
      </c>
      <c r="J836" s="40" t="str">
        <f>IF($C836="","",IFERROR(VLOOKUP($C836,Orders!$A$4:$J$998,7,FALSE),""))</f>
        <v/>
      </c>
      <c r="K836" s="40" t="str">
        <f>IF(Bids!$C835="","",Bids!$C835)</f>
        <v/>
      </c>
      <c r="L836" s="40" t="str">
        <f>IF($K836="","",IFERROR(VLOOKUP($K836,Grinders!$A$4:$N$998,2,FALSE),""))</f>
        <v/>
      </c>
      <c r="M836" s="40" t="str">
        <f>IF($K836="","",IFERROR(VLOOKUP($K836,Grinders!$A$4:$N$998,3,FALSE),""))</f>
        <v/>
      </c>
      <c r="N836" s="40" t="str">
        <f>IF($K836="","",IFERROR(VLOOKUP($K836,Grinders!$A$4:$N$998,4,FALSE),""))</f>
        <v/>
      </c>
      <c r="O836" s="40" t="str">
        <f>IF($K836="","",IFERROR(VLOOKUP($K836,Grinders!$A$4:$N$998,5,FALSE),""))</f>
        <v/>
      </c>
      <c r="P836" s="40" t="str">
        <f>IF($K836="","",IF($C$4="",0,COUNTIFS(Assignments!$B$6:$B$1000,$K836,Assignments!$F$6:$F$1000,$C$4,Assignments!$E$6:$E$1000,"Active")))</f>
        <v/>
      </c>
      <c r="Q836" s="40" t="str">
        <f t="shared" si="3"/>
        <v/>
      </c>
      <c r="R836" s="40" t="str">
        <f t="shared" si="4"/>
        <v/>
      </c>
      <c r="S836" s="40" t="str">
        <f>IF($K836="","",IF($C$4="",0,COUNTIFS(Assignments!$B$6:$B$1000,$K836,Assignments!$F$6:$F$1000,$C$4,Assignments!$D$6:$D$1000,"&gt;="&amp;Config!$B$3-7,Assignments!$D$6:$D$1000,"&lt;="&amp;Config!$B$3)))</f>
        <v/>
      </c>
      <c r="T836" s="40" t="str">
        <f>IF($K836="","",IFERROR(VLOOKUP($K836,Grinders!$A$4:$N$998,8,FALSE),""))</f>
        <v/>
      </c>
      <c r="U836" s="40" t="str">
        <f>IFERROR(IF($K836="","",IF($M836="Elite",MAX(50,MIN(100,Config!$B$27*MAX(0,MIN(100,(1-IF($R836="",0,$R836))*100)) + Config!$B$28*MAX(0,MIN(100,(1-MIN(1,IF(Config!$B$30=0,1,$S836/Config!$B$30)))*100)) + Config!$B$29*MAX(0,MIN(100,MIN(1,IF($T836="",0,$T836)/Config!$B$23)*100)))),MIN(100,Config!$B$27*MAX(0,MIN(100,(1-IF($R836="",0,$R836))*100)) + Config!$B$28*MAX(0,MIN(100,(1-MIN(1,IF(Config!$B$30=0,1,$S836/Config!$B$30)))*100)) + Config!$B$29*MAX(0,MIN(100,MIN(1,IF($T836="",0,$T836)/Config!$B$23)*100))))),"")
</f>
        <v/>
      </c>
      <c r="V836" s="40" t="str">
        <f>IF(Bids!$D835="","",Bids!$D835)</f>
        <v/>
      </c>
      <c r="W836" s="40" t="str">
        <f>IF(Bids!$F835="","",Bids!$F835)</f>
        <v/>
      </c>
      <c r="X836" s="40" t="str">
        <f t="shared" si="5"/>
        <v/>
      </c>
      <c r="Y836" s="40" t="str">
        <f>IF($X836="","",IF(Config!$B$17=Config!$B$16,IF($X836&gt;=Config!$B$17,100,0),MAX(0,MIN(100,($X836-Config!$B$16)/(Config!$B$17-Config!$B$16)*100))))</f>
        <v/>
      </c>
      <c r="Z836" s="40">
        <f>IF($M836="Elite",Config!$B$21,0)</f>
        <v>0</v>
      </c>
      <c r="AA836" s="40" t="str">
        <f>IFERROR(IF(OR($W836="",$H836=""),"",IF($W836&gt;$H836,
  MAX(0, 60-(($W836-$H836)*24/Config!$B$19)*60),
  MIN(100, 60+(($H836-$W836)*24/Config!$B$20)*40)
)),"")
</f>
        <v/>
      </c>
      <c r="AB836" s="40" t="str">
        <f>IF($K836="","",IFERROR(VLOOKUP($K836,Grinders!$A$4:$N$998,10,FALSE)/5*100,""))</f>
        <v/>
      </c>
      <c r="AC836" s="40" t="str">
        <f>IF($K836="","",IFERROR(VLOOKUP($K836,Grinders!$A$4:$N$998,11,FALSE)*100,""))</f>
        <v/>
      </c>
      <c r="AD836" s="40" t="str">
        <f>IF($K836="","",IFERROR(VLOOKUP($K836,Grinders!$A$4:$N$998,12,FALSE)*100,""))</f>
        <v/>
      </c>
      <c r="AE836" s="40">
        <f>IFERROR(IFS(
    OR($C836="", $K836=""), 0,
    $F836=0, 0,
    $D836&lt;&gt;"Open", 0,
    COUNTIFS(GrinderServices!$B$4:$B$998, $K836, GrinderServices!$C$4:$C$998, $E836, GrinderServices!$E$4:$E$998, "Y")=0, 0,
    $X836&lt;Config!$B$16, 0,
    Config!$B$18=1, IF($O836&gt;=N836, 0, 1),
    TRUE, 1
), "")
</f>
        <v>0</v>
      </c>
      <c r="AF836" s="40" t="str">
        <f>IFERROR(IF($AE836=0,"",((Config!$B$6*$Y836 + Config!$B$7*$U836 + Config!$B$8*$Z836 + Config!$B$9*$AA836 + Config!$B$10*$AB836 + Config!$B$11*$AC836 - Config!$B$12*$AD836)/Config!$B$13)+$AK836+$AL836),"")</f>
        <v/>
      </c>
      <c r="AG836" s="40" t="str">
        <f t="shared" si="6"/>
        <v/>
      </c>
      <c r="AH836" s="40" t="str">
        <f t="shared" si="7"/>
        <v/>
      </c>
      <c r="AI836" s="40" t="str">
        <f t="shared" si="8"/>
        <v/>
      </c>
      <c r="AJ836" s="40" t="str">
        <f>IF($K836="","",COUNTIF(Assignments!$B$6:$B$1000,$K836))</f>
        <v/>
      </c>
      <c r="AK836" s="40" t="str">
        <f>IF($K836="","",IF(AND($AJ836=0,$O836&lt;$N836),Config!$B$43,0))</f>
        <v/>
      </c>
      <c r="AL836" s="40" t="str">
        <f>IF($K836="","",IF(AND($M836="Elite",$G836&gt;=Config!$B$41,$O836&lt;$N836),Config!$B$42,0))</f>
        <v/>
      </c>
      <c r="AM836" s="22"/>
    </row>
    <row r="837" ht="15.75" customHeight="1">
      <c r="A837" s="40" t="str">
        <f t="shared" si="1"/>
        <v/>
      </c>
      <c r="B837" s="40" t="str">
        <f>IF(Bids!$A836="","",Bids!$A836)</f>
        <v/>
      </c>
      <c r="C837" s="40" t="str">
        <f>IF(Bids!$B836="","",Bids!$B836)</f>
        <v/>
      </c>
      <c r="D837" s="40" t="str">
        <f>IF($C837="","",IFERROR(VLOOKUP($C837,Orders!$A$4:$J$998,9,FALSE),""))</f>
        <v/>
      </c>
      <c r="E837" s="40" t="str">
        <f>IF($C837="","",IFERROR(VLOOKUP($C837,Orders!$A$4:$J$998,3,FALSE),""))</f>
        <v/>
      </c>
      <c r="F837" s="40">
        <f t="shared" si="2"/>
        <v>1</v>
      </c>
      <c r="G837" s="40" t="str">
        <f>IF($C837="","",IFERROR(VLOOKUP($C837,Orders!$A$4:$J$998,4,FALSE),""))</f>
        <v/>
      </c>
      <c r="H837" s="40" t="str">
        <f>IF($C837="","",IFERROR(VLOOKUP($C837,Orders!$A$4:$J$998,5,FALSE),""))</f>
        <v/>
      </c>
      <c r="I837" s="40" t="str">
        <f>IF($C837="","",IFERROR(VLOOKUP($C837,Orders!$A$4:$J$998,6,FALSE),""))</f>
        <v/>
      </c>
      <c r="J837" s="40" t="str">
        <f>IF($C837="","",IFERROR(VLOOKUP($C837,Orders!$A$4:$J$998,7,FALSE),""))</f>
        <v/>
      </c>
      <c r="K837" s="40" t="str">
        <f>IF(Bids!$C836="","",Bids!$C836)</f>
        <v/>
      </c>
      <c r="L837" s="40" t="str">
        <f>IF($K837="","",IFERROR(VLOOKUP($K837,Grinders!$A$4:$N$998,2,FALSE),""))</f>
        <v/>
      </c>
      <c r="M837" s="40" t="str">
        <f>IF($K837="","",IFERROR(VLOOKUP($K837,Grinders!$A$4:$N$998,3,FALSE),""))</f>
        <v/>
      </c>
      <c r="N837" s="40" t="str">
        <f>IF($K837="","",IFERROR(VLOOKUP($K837,Grinders!$A$4:$N$998,4,FALSE),""))</f>
        <v/>
      </c>
      <c r="O837" s="40" t="str">
        <f>IF($K837="","",IFERROR(VLOOKUP($K837,Grinders!$A$4:$N$998,5,FALSE),""))</f>
        <v/>
      </c>
      <c r="P837" s="40" t="str">
        <f>IF($K837="","",IF($C$4="",0,COUNTIFS(Assignments!$B$6:$B$1000,$K837,Assignments!$F$6:$F$1000,$C$4,Assignments!$E$6:$E$1000,"Active")))</f>
        <v/>
      </c>
      <c r="Q837" s="40" t="str">
        <f t="shared" si="3"/>
        <v/>
      </c>
      <c r="R837" s="40" t="str">
        <f t="shared" si="4"/>
        <v/>
      </c>
      <c r="S837" s="40" t="str">
        <f>IF($K837="","",IF($C$4="",0,COUNTIFS(Assignments!$B$6:$B$1000,$K837,Assignments!$F$6:$F$1000,$C$4,Assignments!$D$6:$D$1000,"&gt;="&amp;Config!$B$3-7,Assignments!$D$6:$D$1000,"&lt;="&amp;Config!$B$3)))</f>
        <v/>
      </c>
      <c r="T837" s="40" t="str">
        <f>IF($K837="","",IFERROR(VLOOKUP($K837,Grinders!$A$4:$N$998,8,FALSE),""))</f>
        <v/>
      </c>
      <c r="U837" s="40" t="str">
        <f>IFERROR(IF($K837="","",IF($M837="Elite",MAX(50,MIN(100,Config!$B$27*MAX(0,MIN(100,(1-IF($R837="",0,$R837))*100)) + Config!$B$28*MAX(0,MIN(100,(1-MIN(1,IF(Config!$B$30=0,1,$S837/Config!$B$30)))*100)) + Config!$B$29*MAX(0,MIN(100,MIN(1,IF($T837="",0,$T837)/Config!$B$23)*100)))),MIN(100,Config!$B$27*MAX(0,MIN(100,(1-IF($R837="",0,$R837))*100)) + Config!$B$28*MAX(0,MIN(100,(1-MIN(1,IF(Config!$B$30=0,1,$S837/Config!$B$30)))*100)) + Config!$B$29*MAX(0,MIN(100,MIN(1,IF($T837="",0,$T837)/Config!$B$23)*100))))),"")
</f>
        <v/>
      </c>
      <c r="V837" s="40" t="str">
        <f>IF(Bids!$D836="","",Bids!$D836)</f>
        <v/>
      </c>
      <c r="W837" s="40" t="str">
        <f>IF(Bids!$F836="","",Bids!$F836)</f>
        <v/>
      </c>
      <c r="X837" s="40" t="str">
        <f t="shared" si="5"/>
        <v/>
      </c>
      <c r="Y837" s="40" t="str">
        <f>IF($X837="","",IF(Config!$B$17=Config!$B$16,IF($X837&gt;=Config!$B$17,100,0),MAX(0,MIN(100,($X837-Config!$B$16)/(Config!$B$17-Config!$B$16)*100))))</f>
        <v/>
      </c>
      <c r="Z837" s="40">
        <f>IF($M837="Elite",Config!$B$21,0)</f>
        <v>0</v>
      </c>
      <c r="AA837" s="40" t="str">
        <f>IFERROR(IF(OR($W837="",$H837=""),"",IF($W837&gt;$H837,
  MAX(0, 60-(($W837-$H837)*24/Config!$B$19)*60),
  MIN(100, 60+(($H837-$W837)*24/Config!$B$20)*40)
)),"")
</f>
        <v/>
      </c>
      <c r="AB837" s="40" t="str">
        <f>IF($K837="","",IFERROR(VLOOKUP($K837,Grinders!$A$4:$N$998,10,FALSE)/5*100,""))</f>
        <v/>
      </c>
      <c r="AC837" s="40" t="str">
        <f>IF($K837="","",IFERROR(VLOOKUP($K837,Grinders!$A$4:$N$998,11,FALSE)*100,""))</f>
        <v/>
      </c>
      <c r="AD837" s="40" t="str">
        <f>IF($K837="","",IFERROR(VLOOKUP($K837,Grinders!$A$4:$N$998,12,FALSE)*100,""))</f>
        <v/>
      </c>
      <c r="AE837" s="40">
        <f>IFERROR(IFS(
    OR($C837="", $K837=""), 0,
    $F837=0, 0,
    $D837&lt;&gt;"Open", 0,
    COUNTIFS(GrinderServices!$B$4:$B$998, $K837, GrinderServices!$C$4:$C$998, $E837, GrinderServices!$E$4:$E$998, "Y")=0, 0,
    $X837&lt;Config!$B$16, 0,
    Config!$B$18=1, IF($O837&gt;=N837, 0, 1),
    TRUE, 1
), "")
</f>
        <v>0</v>
      </c>
      <c r="AF837" s="40" t="str">
        <f>IFERROR(IF($AE837=0,"",((Config!$B$6*$Y837 + Config!$B$7*$U837 + Config!$B$8*$Z837 + Config!$B$9*$AA837 + Config!$B$10*$AB837 + Config!$B$11*$AC837 - Config!$B$12*$AD837)/Config!$B$13)+$AK837+$AL837),"")</f>
        <v/>
      </c>
      <c r="AG837" s="40" t="str">
        <f t="shared" si="6"/>
        <v/>
      </c>
      <c r="AH837" s="40" t="str">
        <f t="shared" si="7"/>
        <v/>
      </c>
      <c r="AI837" s="40" t="str">
        <f t="shared" si="8"/>
        <v/>
      </c>
      <c r="AJ837" s="40" t="str">
        <f>IF($K837="","",COUNTIF(Assignments!$B$6:$B$1000,$K837))</f>
        <v/>
      </c>
      <c r="AK837" s="40" t="str">
        <f>IF($K837="","",IF(AND($AJ837=0,$O837&lt;$N837),Config!$B$43,0))</f>
        <v/>
      </c>
      <c r="AL837" s="40" t="str">
        <f>IF($K837="","",IF(AND($M837="Elite",$G837&gt;=Config!$B$41,$O837&lt;$N837),Config!$B$42,0))</f>
        <v/>
      </c>
      <c r="AM837" s="22"/>
    </row>
    <row r="838" ht="15.75" customHeight="1">
      <c r="A838" s="40" t="str">
        <f t="shared" si="1"/>
        <v/>
      </c>
      <c r="B838" s="40" t="str">
        <f>IF(Bids!$A837="","",Bids!$A837)</f>
        <v/>
      </c>
      <c r="C838" s="40" t="str">
        <f>IF(Bids!$B837="","",Bids!$B837)</f>
        <v/>
      </c>
      <c r="D838" s="40" t="str">
        <f>IF($C838="","",IFERROR(VLOOKUP($C838,Orders!$A$4:$J$998,9,FALSE),""))</f>
        <v/>
      </c>
      <c r="E838" s="40" t="str">
        <f>IF($C838="","",IFERROR(VLOOKUP($C838,Orders!$A$4:$J$998,3,FALSE),""))</f>
        <v/>
      </c>
      <c r="F838" s="40">
        <f t="shared" si="2"/>
        <v>1</v>
      </c>
      <c r="G838" s="40" t="str">
        <f>IF($C838="","",IFERROR(VLOOKUP($C838,Orders!$A$4:$J$998,4,FALSE),""))</f>
        <v/>
      </c>
      <c r="H838" s="40" t="str">
        <f>IF($C838="","",IFERROR(VLOOKUP($C838,Orders!$A$4:$J$998,5,FALSE),""))</f>
        <v/>
      </c>
      <c r="I838" s="40" t="str">
        <f>IF($C838="","",IFERROR(VLOOKUP($C838,Orders!$A$4:$J$998,6,FALSE),""))</f>
        <v/>
      </c>
      <c r="J838" s="40" t="str">
        <f>IF($C838="","",IFERROR(VLOOKUP($C838,Orders!$A$4:$J$998,7,FALSE),""))</f>
        <v/>
      </c>
      <c r="K838" s="40" t="str">
        <f>IF(Bids!$C837="","",Bids!$C837)</f>
        <v/>
      </c>
      <c r="L838" s="40" t="str">
        <f>IF($K838="","",IFERROR(VLOOKUP($K838,Grinders!$A$4:$N$998,2,FALSE),""))</f>
        <v/>
      </c>
      <c r="M838" s="40" t="str">
        <f>IF($K838="","",IFERROR(VLOOKUP($K838,Grinders!$A$4:$N$998,3,FALSE),""))</f>
        <v/>
      </c>
      <c r="N838" s="40" t="str">
        <f>IF($K838="","",IFERROR(VLOOKUP($K838,Grinders!$A$4:$N$998,4,FALSE),""))</f>
        <v/>
      </c>
      <c r="O838" s="40" t="str">
        <f>IF($K838="","",IFERROR(VLOOKUP($K838,Grinders!$A$4:$N$998,5,FALSE),""))</f>
        <v/>
      </c>
      <c r="P838" s="40" t="str">
        <f>IF($K838="","",IF($C$4="",0,COUNTIFS(Assignments!$B$6:$B$1000,$K838,Assignments!$F$6:$F$1000,$C$4,Assignments!$E$6:$E$1000,"Active")))</f>
        <v/>
      </c>
      <c r="Q838" s="40" t="str">
        <f t="shared" si="3"/>
        <v/>
      </c>
      <c r="R838" s="40" t="str">
        <f t="shared" si="4"/>
        <v/>
      </c>
      <c r="S838" s="40" t="str">
        <f>IF($K838="","",IF($C$4="",0,COUNTIFS(Assignments!$B$6:$B$1000,$K838,Assignments!$F$6:$F$1000,$C$4,Assignments!$D$6:$D$1000,"&gt;="&amp;Config!$B$3-7,Assignments!$D$6:$D$1000,"&lt;="&amp;Config!$B$3)))</f>
        <v/>
      </c>
      <c r="T838" s="40" t="str">
        <f>IF($K838="","",IFERROR(VLOOKUP($K838,Grinders!$A$4:$N$998,8,FALSE),""))</f>
        <v/>
      </c>
      <c r="U838" s="40" t="str">
        <f>IFERROR(IF($K838="","",IF($M838="Elite",MAX(50,MIN(100,Config!$B$27*MAX(0,MIN(100,(1-IF($R838="",0,$R838))*100)) + Config!$B$28*MAX(0,MIN(100,(1-MIN(1,IF(Config!$B$30=0,1,$S838/Config!$B$30)))*100)) + Config!$B$29*MAX(0,MIN(100,MIN(1,IF($T838="",0,$T838)/Config!$B$23)*100)))),MIN(100,Config!$B$27*MAX(0,MIN(100,(1-IF($R838="",0,$R838))*100)) + Config!$B$28*MAX(0,MIN(100,(1-MIN(1,IF(Config!$B$30=0,1,$S838/Config!$B$30)))*100)) + Config!$B$29*MAX(0,MIN(100,MIN(1,IF($T838="",0,$T838)/Config!$B$23)*100))))),"")
</f>
        <v/>
      </c>
      <c r="V838" s="40" t="str">
        <f>IF(Bids!$D837="","",Bids!$D837)</f>
        <v/>
      </c>
      <c r="W838" s="40" t="str">
        <f>IF(Bids!$F837="","",Bids!$F837)</f>
        <v/>
      </c>
      <c r="X838" s="40" t="str">
        <f t="shared" si="5"/>
        <v/>
      </c>
      <c r="Y838" s="40" t="str">
        <f>IF($X838="","",IF(Config!$B$17=Config!$B$16,IF($X838&gt;=Config!$B$17,100,0),MAX(0,MIN(100,($X838-Config!$B$16)/(Config!$B$17-Config!$B$16)*100))))</f>
        <v/>
      </c>
      <c r="Z838" s="40">
        <f>IF($M838="Elite",Config!$B$21,0)</f>
        <v>0</v>
      </c>
      <c r="AA838" s="40" t="str">
        <f>IFERROR(IF(OR($W838="",$H838=""),"",IF($W838&gt;$H838,
  MAX(0, 60-(($W838-$H838)*24/Config!$B$19)*60),
  MIN(100, 60+(($H838-$W838)*24/Config!$B$20)*40)
)),"")
</f>
        <v/>
      </c>
      <c r="AB838" s="40" t="str">
        <f>IF($K838="","",IFERROR(VLOOKUP($K838,Grinders!$A$4:$N$998,10,FALSE)/5*100,""))</f>
        <v/>
      </c>
      <c r="AC838" s="40" t="str">
        <f>IF($K838="","",IFERROR(VLOOKUP($K838,Grinders!$A$4:$N$998,11,FALSE)*100,""))</f>
        <v/>
      </c>
      <c r="AD838" s="40" t="str">
        <f>IF($K838="","",IFERROR(VLOOKUP($K838,Grinders!$A$4:$N$998,12,FALSE)*100,""))</f>
        <v/>
      </c>
      <c r="AE838" s="40">
        <f>IFERROR(IFS(
    OR($C838="", $K838=""), 0,
    $F838=0, 0,
    $D838&lt;&gt;"Open", 0,
    COUNTIFS(GrinderServices!$B$4:$B$998, $K838, GrinderServices!$C$4:$C$998, $E838, GrinderServices!$E$4:$E$998, "Y")=0, 0,
    $X838&lt;Config!$B$16, 0,
    Config!$B$18=1, IF($O838&gt;=N838, 0, 1),
    TRUE, 1
), "")
</f>
        <v>0</v>
      </c>
      <c r="AF838" s="40" t="str">
        <f>IFERROR(IF($AE838=0,"",((Config!$B$6*$Y838 + Config!$B$7*$U838 + Config!$B$8*$Z838 + Config!$B$9*$AA838 + Config!$B$10*$AB838 + Config!$B$11*$AC838 - Config!$B$12*$AD838)/Config!$B$13)+$AK838+$AL838),"")</f>
        <v/>
      </c>
      <c r="AG838" s="40" t="str">
        <f t="shared" si="6"/>
        <v/>
      </c>
      <c r="AH838" s="40" t="str">
        <f t="shared" si="7"/>
        <v/>
      </c>
      <c r="AI838" s="40" t="str">
        <f t="shared" si="8"/>
        <v/>
      </c>
      <c r="AJ838" s="40" t="str">
        <f>IF($K838="","",COUNTIF(Assignments!$B$6:$B$1000,$K838))</f>
        <v/>
      </c>
      <c r="AK838" s="40" t="str">
        <f>IF($K838="","",IF(AND($AJ838=0,$O838&lt;$N838),Config!$B$43,0))</f>
        <v/>
      </c>
      <c r="AL838" s="40" t="str">
        <f>IF($K838="","",IF(AND($M838="Elite",$G838&gt;=Config!$B$41,$O838&lt;$N838),Config!$B$42,0))</f>
        <v/>
      </c>
      <c r="AM838" s="22"/>
    </row>
    <row r="839" ht="15.75" customHeight="1">
      <c r="A839" s="40" t="str">
        <f t="shared" si="1"/>
        <v/>
      </c>
      <c r="B839" s="40" t="str">
        <f>IF(Bids!$A838="","",Bids!$A838)</f>
        <v/>
      </c>
      <c r="C839" s="40" t="str">
        <f>IF(Bids!$B838="","",Bids!$B838)</f>
        <v/>
      </c>
      <c r="D839" s="40" t="str">
        <f>IF($C839="","",IFERROR(VLOOKUP($C839,Orders!$A$4:$J$998,9,FALSE),""))</f>
        <v/>
      </c>
      <c r="E839" s="40" t="str">
        <f>IF($C839="","",IFERROR(VLOOKUP($C839,Orders!$A$4:$J$998,3,FALSE),""))</f>
        <v/>
      </c>
      <c r="F839" s="40">
        <f t="shared" si="2"/>
        <v>1</v>
      </c>
      <c r="G839" s="40" t="str">
        <f>IF($C839="","",IFERROR(VLOOKUP($C839,Orders!$A$4:$J$998,4,FALSE),""))</f>
        <v/>
      </c>
      <c r="H839" s="40" t="str">
        <f>IF($C839="","",IFERROR(VLOOKUP($C839,Orders!$A$4:$J$998,5,FALSE),""))</f>
        <v/>
      </c>
      <c r="I839" s="40" t="str">
        <f>IF($C839="","",IFERROR(VLOOKUP($C839,Orders!$A$4:$J$998,6,FALSE),""))</f>
        <v/>
      </c>
      <c r="J839" s="40" t="str">
        <f>IF($C839="","",IFERROR(VLOOKUP($C839,Orders!$A$4:$J$998,7,FALSE),""))</f>
        <v/>
      </c>
      <c r="K839" s="40" t="str">
        <f>IF(Bids!$C838="","",Bids!$C838)</f>
        <v/>
      </c>
      <c r="L839" s="40" t="str">
        <f>IF($K839="","",IFERROR(VLOOKUP($K839,Grinders!$A$4:$N$998,2,FALSE),""))</f>
        <v/>
      </c>
      <c r="M839" s="40" t="str">
        <f>IF($K839="","",IFERROR(VLOOKUP($K839,Grinders!$A$4:$N$998,3,FALSE),""))</f>
        <v/>
      </c>
      <c r="N839" s="40" t="str">
        <f>IF($K839="","",IFERROR(VLOOKUP($K839,Grinders!$A$4:$N$998,4,FALSE),""))</f>
        <v/>
      </c>
      <c r="O839" s="40" t="str">
        <f>IF($K839="","",IFERROR(VLOOKUP($K839,Grinders!$A$4:$N$998,5,FALSE),""))</f>
        <v/>
      </c>
      <c r="P839" s="40" t="str">
        <f>IF($K839="","",IF($C$4="",0,COUNTIFS(Assignments!$B$6:$B$1000,$K839,Assignments!$F$6:$F$1000,$C$4,Assignments!$E$6:$E$1000,"Active")))</f>
        <v/>
      </c>
      <c r="Q839" s="40" t="str">
        <f t="shared" si="3"/>
        <v/>
      </c>
      <c r="R839" s="40" t="str">
        <f t="shared" si="4"/>
        <v/>
      </c>
      <c r="S839" s="40" t="str">
        <f>IF($K839="","",IF($C$4="",0,COUNTIFS(Assignments!$B$6:$B$1000,$K839,Assignments!$F$6:$F$1000,$C$4,Assignments!$D$6:$D$1000,"&gt;="&amp;Config!$B$3-7,Assignments!$D$6:$D$1000,"&lt;="&amp;Config!$B$3)))</f>
        <v/>
      </c>
      <c r="T839" s="40" t="str">
        <f>IF($K839="","",IFERROR(VLOOKUP($K839,Grinders!$A$4:$N$998,8,FALSE),""))</f>
        <v/>
      </c>
      <c r="U839" s="40" t="str">
        <f>IFERROR(IF($K839="","",IF($M839="Elite",MAX(50,MIN(100,Config!$B$27*MAX(0,MIN(100,(1-IF($R839="",0,$R839))*100)) + Config!$B$28*MAX(0,MIN(100,(1-MIN(1,IF(Config!$B$30=0,1,$S839/Config!$B$30)))*100)) + Config!$B$29*MAX(0,MIN(100,MIN(1,IF($T839="",0,$T839)/Config!$B$23)*100)))),MIN(100,Config!$B$27*MAX(0,MIN(100,(1-IF($R839="",0,$R839))*100)) + Config!$B$28*MAX(0,MIN(100,(1-MIN(1,IF(Config!$B$30=0,1,$S839/Config!$B$30)))*100)) + Config!$B$29*MAX(0,MIN(100,MIN(1,IF($T839="",0,$T839)/Config!$B$23)*100))))),"")
</f>
        <v/>
      </c>
      <c r="V839" s="40" t="str">
        <f>IF(Bids!$D838="","",Bids!$D838)</f>
        <v/>
      </c>
      <c r="W839" s="40" t="str">
        <f>IF(Bids!$F838="","",Bids!$F838)</f>
        <v/>
      </c>
      <c r="X839" s="40" t="str">
        <f t="shared" si="5"/>
        <v/>
      </c>
      <c r="Y839" s="40" t="str">
        <f>IF($X839="","",IF(Config!$B$17=Config!$B$16,IF($X839&gt;=Config!$B$17,100,0),MAX(0,MIN(100,($X839-Config!$B$16)/(Config!$B$17-Config!$B$16)*100))))</f>
        <v/>
      </c>
      <c r="Z839" s="40">
        <f>IF($M839="Elite",Config!$B$21,0)</f>
        <v>0</v>
      </c>
      <c r="AA839" s="40" t="str">
        <f>IFERROR(IF(OR($W839="",$H839=""),"",IF($W839&gt;$H839,
  MAX(0, 60-(($W839-$H839)*24/Config!$B$19)*60),
  MIN(100, 60+(($H839-$W839)*24/Config!$B$20)*40)
)),"")
</f>
        <v/>
      </c>
      <c r="AB839" s="40" t="str">
        <f>IF($K839="","",IFERROR(VLOOKUP($K839,Grinders!$A$4:$N$998,10,FALSE)/5*100,""))</f>
        <v/>
      </c>
      <c r="AC839" s="40" t="str">
        <f>IF($K839="","",IFERROR(VLOOKUP($K839,Grinders!$A$4:$N$998,11,FALSE)*100,""))</f>
        <v/>
      </c>
      <c r="AD839" s="40" t="str">
        <f>IF($K839="","",IFERROR(VLOOKUP($K839,Grinders!$A$4:$N$998,12,FALSE)*100,""))</f>
        <v/>
      </c>
      <c r="AE839" s="40">
        <f>IFERROR(IFS(
    OR($C839="", $K839=""), 0,
    $F839=0, 0,
    $D839&lt;&gt;"Open", 0,
    COUNTIFS(GrinderServices!$B$4:$B$998, $K839, GrinderServices!$C$4:$C$998, $E839, GrinderServices!$E$4:$E$998, "Y")=0, 0,
    $X839&lt;Config!$B$16, 0,
    Config!$B$18=1, IF($O839&gt;=N839, 0, 1),
    TRUE, 1
), "")
</f>
        <v>0</v>
      </c>
      <c r="AF839" s="40" t="str">
        <f>IFERROR(IF($AE839=0,"",((Config!$B$6*$Y839 + Config!$B$7*$U839 + Config!$B$8*$Z839 + Config!$B$9*$AA839 + Config!$B$10*$AB839 + Config!$B$11*$AC839 - Config!$B$12*$AD839)/Config!$B$13)+$AK839+$AL839),"")</f>
        <v/>
      </c>
      <c r="AG839" s="40" t="str">
        <f t="shared" si="6"/>
        <v/>
      </c>
      <c r="AH839" s="40" t="str">
        <f t="shared" si="7"/>
        <v/>
      </c>
      <c r="AI839" s="40" t="str">
        <f t="shared" si="8"/>
        <v/>
      </c>
      <c r="AJ839" s="40" t="str">
        <f>IF($K839="","",COUNTIF(Assignments!$B$6:$B$1000,$K839))</f>
        <v/>
      </c>
      <c r="AK839" s="40" t="str">
        <f>IF($K839="","",IF(AND($AJ839=0,$O839&lt;$N839),Config!$B$43,0))</f>
        <v/>
      </c>
      <c r="AL839" s="40" t="str">
        <f>IF($K839="","",IF(AND($M839="Elite",$G839&gt;=Config!$B$41,$O839&lt;$N839),Config!$B$42,0))</f>
        <v/>
      </c>
      <c r="AM839" s="22"/>
    </row>
    <row r="840" ht="15.75" customHeight="1">
      <c r="A840" s="40" t="str">
        <f t="shared" si="1"/>
        <v/>
      </c>
      <c r="B840" s="40" t="str">
        <f>IF(Bids!$A839="","",Bids!$A839)</f>
        <v/>
      </c>
      <c r="C840" s="40" t="str">
        <f>IF(Bids!$B839="","",Bids!$B839)</f>
        <v/>
      </c>
      <c r="D840" s="40" t="str">
        <f>IF($C840="","",IFERROR(VLOOKUP($C840,Orders!$A$4:$J$998,9,FALSE),""))</f>
        <v/>
      </c>
      <c r="E840" s="40" t="str">
        <f>IF($C840="","",IFERROR(VLOOKUP($C840,Orders!$A$4:$J$998,3,FALSE),""))</f>
        <v/>
      </c>
      <c r="F840" s="40">
        <f t="shared" si="2"/>
        <v>1</v>
      </c>
      <c r="G840" s="40" t="str">
        <f>IF($C840="","",IFERROR(VLOOKUP($C840,Orders!$A$4:$J$998,4,FALSE),""))</f>
        <v/>
      </c>
      <c r="H840" s="40" t="str">
        <f>IF($C840="","",IFERROR(VLOOKUP($C840,Orders!$A$4:$J$998,5,FALSE),""))</f>
        <v/>
      </c>
      <c r="I840" s="40" t="str">
        <f>IF($C840="","",IFERROR(VLOOKUP($C840,Orders!$A$4:$J$998,6,FALSE),""))</f>
        <v/>
      </c>
      <c r="J840" s="40" t="str">
        <f>IF($C840="","",IFERROR(VLOOKUP($C840,Orders!$A$4:$J$998,7,FALSE),""))</f>
        <v/>
      </c>
      <c r="K840" s="40" t="str">
        <f>IF(Bids!$C839="","",Bids!$C839)</f>
        <v/>
      </c>
      <c r="L840" s="40" t="str">
        <f>IF($K840="","",IFERROR(VLOOKUP($K840,Grinders!$A$4:$N$998,2,FALSE),""))</f>
        <v/>
      </c>
      <c r="M840" s="40" t="str">
        <f>IF($K840="","",IFERROR(VLOOKUP($K840,Grinders!$A$4:$N$998,3,FALSE),""))</f>
        <v/>
      </c>
      <c r="N840" s="40" t="str">
        <f>IF($K840="","",IFERROR(VLOOKUP($K840,Grinders!$A$4:$N$998,4,FALSE),""))</f>
        <v/>
      </c>
      <c r="O840" s="40" t="str">
        <f>IF($K840="","",IFERROR(VLOOKUP($K840,Grinders!$A$4:$N$998,5,FALSE),""))</f>
        <v/>
      </c>
      <c r="P840" s="40" t="str">
        <f>IF($K840="","",IF($C$4="",0,COUNTIFS(Assignments!$B$6:$B$1000,$K840,Assignments!$F$6:$F$1000,$C$4,Assignments!$E$6:$E$1000,"Active")))</f>
        <v/>
      </c>
      <c r="Q840" s="40" t="str">
        <f t="shared" si="3"/>
        <v/>
      </c>
      <c r="R840" s="40" t="str">
        <f t="shared" si="4"/>
        <v/>
      </c>
      <c r="S840" s="40" t="str">
        <f>IF($K840="","",IF($C$4="",0,COUNTIFS(Assignments!$B$6:$B$1000,$K840,Assignments!$F$6:$F$1000,$C$4,Assignments!$D$6:$D$1000,"&gt;="&amp;Config!$B$3-7,Assignments!$D$6:$D$1000,"&lt;="&amp;Config!$B$3)))</f>
        <v/>
      </c>
      <c r="T840" s="40" t="str">
        <f>IF($K840="","",IFERROR(VLOOKUP($K840,Grinders!$A$4:$N$998,8,FALSE),""))</f>
        <v/>
      </c>
      <c r="U840" s="40" t="str">
        <f>IFERROR(IF($K840="","",IF($M840="Elite",MAX(50,MIN(100,Config!$B$27*MAX(0,MIN(100,(1-IF($R840="",0,$R840))*100)) + Config!$B$28*MAX(0,MIN(100,(1-MIN(1,IF(Config!$B$30=0,1,$S840/Config!$B$30)))*100)) + Config!$B$29*MAX(0,MIN(100,MIN(1,IF($T840="",0,$T840)/Config!$B$23)*100)))),MIN(100,Config!$B$27*MAX(0,MIN(100,(1-IF($R840="",0,$R840))*100)) + Config!$B$28*MAX(0,MIN(100,(1-MIN(1,IF(Config!$B$30=0,1,$S840/Config!$B$30)))*100)) + Config!$B$29*MAX(0,MIN(100,MIN(1,IF($T840="",0,$T840)/Config!$B$23)*100))))),"")
</f>
        <v/>
      </c>
      <c r="V840" s="40" t="str">
        <f>IF(Bids!$D839="","",Bids!$D839)</f>
        <v/>
      </c>
      <c r="W840" s="40" t="str">
        <f>IF(Bids!$F839="","",Bids!$F839)</f>
        <v/>
      </c>
      <c r="X840" s="40" t="str">
        <f t="shared" si="5"/>
        <v/>
      </c>
      <c r="Y840" s="40" t="str">
        <f>IF($X840="","",IF(Config!$B$17=Config!$B$16,IF($X840&gt;=Config!$B$17,100,0),MAX(0,MIN(100,($X840-Config!$B$16)/(Config!$B$17-Config!$B$16)*100))))</f>
        <v/>
      </c>
      <c r="Z840" s="40">
        <f>IF($M840="Elite",Config!$B$21,0)</f>
        <v>0</v>
      </c>
      <c r="AA840" s="40" t="str">
        <f>IFERROR(IF(OR($W840="",$H840=""),"",IF($W840&gt;$H840,
  MAX(0, 60-(($W840-$H840)*24/Config!$B$19)*60),
  MIN(100, 60+(($H840-$W840)*24/Config!$B$20)*40)
)),"")
</f>
        <v/>
      </c>
      <c r="AB840" s="40" t="str">
        <f>IF($K840="","",IFERROR(VLOOKUP($K840,Grinders!$A$4:$N$998,10,FALSE)/5*100,""))</f>
        <v/>
      </c>
      <c r="AC840" s="40" t="str">
        <f>IF($K840="","",IFERROR(VLOOKUP($K840,Grinders!$A$4:$N$998,11,FALSE)*100,""))</f>
        <v/>
      </c>
      <c r="AD840" s="40" t="str">
        <f>IF($K840="","",IFERROR(VLOOKUP($K840,Grinders!$A$4:$N$998,12,FALSE)*100,""))</f>
        <v/>
      </c>
      <c r="AE840" s="40">
        <f>IFERROR(IFS(
    OR($C840="", $K840=""), 0,
    $F840=0, 0,
    $D840&lt;&gt;"Open", 0,
    COUNTIFS(GrinderServices!$B$4:$B$998, $K840, GrinderServices!$C$4:$C$998, $E840, GrinderServices!$E$4:$E$998, "Y")=0, 0,
    $X840&lt;Config!$B$16, 0,
    Config!$B$18=1, IF($O840&gt;=N840, 0, 1),
    TRUE, 1
), "")
</f>
        <v>0</v>
      </c>
      <c r="AF840" s="40" t="str">
        <f>IFERROR(IF($AE840=0,"",((Config!$B$6*$Y840 + Config!$B$7*$U840 + Config!$B$8*$Z840 + Config!$B$9*$AA840 + Config!$B$10*$AB840 + Config!$B$11*$AC840 - Config!$B$12*$AD840)/Config!$B$13)+$AK840+$AL840),"")</f>
        <v/>
      </c>
      <c r="AG840" s="40" t="str">
        <f t="shared" si="6"/>
        <v/>
      </c>
      <c r="AH840" s="40" t="str">
        <f t="shared" si="7"/>
        <v/>
      </c>
      <c r="AI840" s="40" t="str">
        <f t="shared" si="8"/>
        <v/>
      </c>
      <c r="AJ840" s="40" t="str">
        <f>IF($K840="","",COUNTIF(Assignments!$B$6:$B$1000,$K840))</f>
        <v/>
      </c>
      <c r="AK840" s="40" t="str">
        <f>IF($K840="","",IF(AND($AJ840=0,$O840&lt;$N840),Config!$B$43,0))</f>
        <v/>
      </c>
      <c r="AL840" s="40" t="str">
        <f>IF($K840="","",IF(AND($M840="Elite",$G840&gt;=Config!$B$41,$O840&lt;$N840),Config!$B$42,0))</f>
        <v/>
      </c>
      <c r="AM840" s="22"/>
    </row>
    <row r="841" ht="15.75" customHeight="1">
      <c r="A841" s="40" t="str">
        <f t="shared" si="1"/>
        <v/>
      </c>
      <c r="B841" s="40" t="str">
        <f>IF(Bids!$A840="","",Bids!$A840)</f>
        <v/>
      </c>
      <c r="C841" s="40" t="str">
        <f>IF(Bids!$B840="","",Bids!$B840)</f>
        <v/>
      </c>
      <c r="D841" s="40" t="str">
        <f>IF($C841="","",IFERROR(VLOOKUP($C841,Orders!$A$4:$J$998,9,FALSE),""))</f>
        <v/>
      </c>
      <c r="E841" s="40" t="str">
        <f>IF($C841="","",IFERROR(VLOOKUP($C841,Orders!$A$4:$J$998,3,FALSE),""))</f>
        <v/>
      </c>
      <c r="F841" s="40">
        <f t="shared" si="2"/>
        <v>1</v>
      </c>
      <c r="G841" s="40" t="str">
        <f>IF($C841="","",IFERROR(VLOOKUP($C841,Orders!$A$4:$J$998,4,FALSE),""))</f>
        <v/>
      </c>
      <c r="H841" s="40" t="str">
        <f>IF($C841="","",IFERROR(VLOOKUP($C841,Orders!$A$4:$J$998,5,FALSE),""))</f>
        <v/>
      </c>
      <c r="I841" s="40" t="str">
        <f>IF($C841="","",IFERROR(VLOOKUP($C841,Orders!$A$4:$J$998,6,FALSE),""))</f>
        <v/>
      </c>
      <c r="J841" s="40" t="str">
        <f>IF($C841="","",IFERROR(VLOOKUP($C841,Orders!$A$4:$J$998,7,FALSE),""))</f>
        <v/>
      </c>
      <c r="K841" s="40" t="str">
        <f>IF(Bids!$C840="","",Bids!$C840)</f>
        <v/>
      </c>
      <c r="L841" s="40" t="str">
        <f>IF($K841="","",IFERROR(VLOOKUP($K841,Grinders!$A$4:$N$998,2,FALSE),""))</f>
        <v/>
      </c>
      <c r="M841" s="40" t="str">
        <f>IF($K841="","",IFERROR(VLOOKUP($K841,Grinders!$A$4:$N$998,3,FALSE),""))</f>
        <v/>
      </c>
      <c r="N841" s="40" t="str">
        <f>IF($K841="","",IFERROR(VLOOKUP($K841,Grinders!$A$4:$N$998,4,FALSE),""))</f>
        <v/>
      </c>
      <c r="O841" s="40" t="str">
        <f>IF($K841="","",IFERROR(VLOOKUP($K841,Grinders!$A$4:$N$998,5,FALSE),""))</f>
        <v/>
      </c>
      <c r="P841" s="40" t="str">
        <f>IF($K841="","",IF($C$4="",0,COUNTIFS(Assignments!$B$6:$B$1000,$K841,Assignments!$F$6:$F$1000,$C$4,Assignments!$E$6:$E$1000,"Active")))</f>
        <v/>
      </c>
      <c r="Q841" s="40" t="str">
        <f t="shared" si="3"/>
        <v/>
      </c>
      <c r="R841" s="40" t="str">
        <f t="shared" si="4"/>
        <v/>
      </c>
      <c r="S841" s="40" t="str">
        <f>IF($K841="","",IF($C$4="",0,COUNTIFS(Assignments!$B$6:$B$1000,$K841,Assignments!$F$6:$F$1000,$C$4,Assignments!$D$6:$D$1000,"&gt;="&amp;Config!$B$3-7,Assignments!$D$6:$D$1000,"&lt;="&amp;Config!$B$3)))</f>
        <v/>
      </c>
      <c r="T841" s="40" t="str">
        <f>IF($K841="","",IFERROR(VLOOKUP($K841,Grinders!$A$4:$N$998,8,FALSE),""))</f>
        <v/>
      </c>
      <c r="U841" s="40" t="str">
        <f>IFERROR(IF($K841="","",IF($M841="Elite",MAX(50,MIN(100,Config!$B$27*MAX(0,MIN(100,(1-IF($R841="",0,$R841))*100)) + Config!$B$28*MAX(0,MIN(100,(1-MIN(1,IF(Config!$B$30=0,1,$S841/Config!$B$30)))*100)) + Config!$B$29*MAX(0,MIN(100,MIN(1,IF($T841="",0,$T841)/Config!$B$23)*100)))),MIN(100,Config!$B$27*MAX(0,MIN(100,(1-IF($R841="",0,$R841))*100)) + Config!$B$28*MAX(0,MIN(100,(1-MIN(1,IF(Config!$B$30=0,1,$S841/Config!$B$30)))*100)) + Config!$B$29*MAX(0,MIN(100,MIN(1,IF($T841="",0,$T841)/Config!$B$23)*100))))),"")
</f>
        <v/>
      </c>
      <c r="V841" s="40" t="str">
        <f>IF(Bids!$D840="","",Bids!$D840)</f>
        <v/>
      </c>
      <c r="W841" s="40" t="str">
        <f>IF(Bids!$F840="","",Bids!$F840)</f>
        <v/>
      </c>
      <c r="X841" s="40" t="str">
        <f t="shared" si="5"/>
        <v/>
      </c>
      <c r="Y841" s="40" t="str">
        <f>IF($X841="","",IF(Config!$B$17=Config!$B$16,IF($X841&gt;=Config!$B$17,100,0),MAX(0,MIN(100,($X841-Config!$B$16)/(Config!$B$17-Config!$B$16)*100))))</f>
        <v/>
      </c>
      <c r="Z841" s="40">
        <f>IF($M841="Elite",Config!$B$21,0)</f>
        <v>0</v>
      </c>
      <c r="AA841" s="40" t="str">
        <f>IFERROR(IF(OR($W841="",$H841=""),"",IF($W841&gt;$H841,
  MAX(0, 60-(($W841-$H841)*24/Config!$B$19)*60),
  MIN(100, 60+(($H841-$W841)*24/Config!$B$20)*40)
)),"")
</f>
        <v/>
      </c>
      <c r="AB841" s="40" t="str">
        <f>IF($K841="","",IFERROR(VLOOKUP($K841,Grinders!$A$4:$N$998,10,FALSE)/5*100,""))</f>
        <v/>
      </c>
      <c r="AC841" s="40" t="str">
        <f>IF($K841="","",IFERROR(VLOOKUP($K841,Grinders!$A$4:$N$998,11,FALSE)*100,""))</f>
        <v/>
      </c>
      <c r="AD841" s="40" t="str">
        <f>IF($K841="","",IFERROR(VLOOKUP($K841,Grinders!$A$4:$N$998,12,FALSE)*100,""))</f>
        <v/>
      </c>
      <c r="AE841" s="40">
        <f>IFERROR(IFS(
    OR($C841="", $K841=""), 0,
    $F841=0, 0,
    $D841&lt;&gt;"Open", 0,
    COUNTIFS(GrinderServices!$B$4:$B$998, $K841, GrinderServices!$C$4:$C$998, $E841, GrinderServices!$E$4:$E$998, "Y")=0, 0,
    $X841&lt;Config!$B$16, 0,
    Config!$B$18=1, IF($O841&gt;=N841, 0, 1),
    TRUE, 1
), "")
</f>
        <v>0</v>
      </c>
      <c r="AF841" s="40" t="str">
        <f>IFERROR(IF($AE841=0,"",((Config!$B$6*$Y841 + Config!$B$7*$U841 + Config!$B$8*$Z841 + Config!$B$9*$AA841 + Config!$B$10*$AB841 + Config!$B$11*$AC841 - Config!$B$12*$AD841)/Config!$B$13)+$AK841+$AL841),"")</f>
        <v/>
      </c>
      <c r="AG841" s="40" t="str">
        <f t="shared" si="6"/>
        <v/>
      </c>
      <c r="AH841" s="40" t="str">
        <f t="shared" si="7"/>
        <v/>
      </c>
      <c r="AI841" s="40" t="str">
        <f t="shared" si="8"/>
        <v/>
      </c>
      <c r="AJ841" s="40" t="str">
        <f>IF($K841="","",COUNTIF(Assignments!$B$6:$B$1000,$K841))</f>
        <v/>
      </c>
      <c r="AK841" s="40" t="str">
        <f>IF($K841="","",IF(AND($AJ841=0,$O841&lt;$N841),Config!$B$43,0))</f>
        <v/>
      </c>
      <c r="AL841" s="40" t="str">
        <f>IF($K841="","",IF(AND($M841="Elite",$G841&gt;=Config!$B$41,$O841&lt;$N841),Config!$B$42,0))</f>
        <v/>
      </c>
      <c r="AM841" s="22"/>
    </row>
    <row r="842" ht="15.75" customHeight="1">
      <c r="A842" s="40" t="str">
        <f t="shared" si="1"/>
        <v/>
      </c>
      <c r="B842" s="40" t="str">
        <f>IF(Bids!$A841="","",Bids!$A841)</f>
        <v/>
      </c>
      <c r="C842" s="40" t="str">
        <f>IF(Bids!$B841="","",Bids!$B841)</f>
        <v/>
      </c>
      <c r="D842" s="40" t="str">
        <f>IF($C842="","",IFERROR(VLOOKUP($C842,Orders!$A$4:$J$998,9,FALSE),""))</f>
        <v/>
      </c>
      <c r="E842" s="40" t="str">
        <f>IF($C842="","",IFERROR(VLOOKUP($C842,Orders!$A$4:$J$998,3,FALSE),""))</f>
        <v/>
      </c>
      <c r="F842" s="40">
        <f t="shared" si="2"/>
        <v>1</v>
      </c>
      <c r="G842" s="40" t="str">
        <f>IF($C842="","",IFERROR(VLOOKUP($C842,Orders!$A$4:$J$998,4,FALSE),""))</f>
        <v/>
      </c>
      <c r="H842" s="40" t="str">
        <f>IF($C842="","",IFERROR(VLOOKUP($C842,Orders!$A$4:$J$998,5,FALSE),""))</f>
        <v/>
      </c>
      <c r="I842" s="40" t="str">
        <f>IF($C842="","",IFERROR(VLOOKUP($C842,Orders!$A$4:$J$998,6,FALSE),""))</f>
        <v/>
      </c>
      <c r="J842" s="40" t="str">
        <f>IF($C842="","",IFERROR(VLOOKUP($C842,Orders!$A$4:$J$998,7,FALSE),""))</f>
        <v/>
      </c>
      <c r="K842" s="40" t="str">
        <f>IF(Bids!$C841="","",Bids!$C841)</f>
        <v/>
      </c>
      <c r="L842" s="40" t="str">
        <f>IF($K842="","",IFERROR(VLOOKUP($K842,Grinders!$A$4:$N$998,2,FALSE),""))</f>
        <v/>
      </c>
      <c r="M842" s="40" t="str">
        <f>IF($K842="","",IFERROR(VLOOKUP($K842,Grinders!$A$4:$N$998,3,FALSE),""))</f>
        <v/>
      </c>
      <c r="N842" s="40" t="str">
        <f>IF($K842="","",IFERROR(VLOOKUP($K842,Grinders!$A$4:$N$998,4,FALSE),""))</f>
        <v/>
      </c>
      <c r="O842" s="40" t="str">
        <f>IF($K842="","",IFERROR(VLOOKUP($K842,Grinders!$A$4:$N$998,5,FALSE),""))</f>
        <v/>
      </c>
      <c r="P842" s="40" t="str">
        <f>IF($K842="","",IF($C$4="",0,COUNTIFS(Assignments!$B$6:$B$1000,$K842,Assignments!$F$6:$F$1000,$C$4,Assignments!$E$6:$E$1000,"Active")))</f>
        <v/>
      </c>
      <c r="Q842" s="40" t="str">
        <f t="shared" si="3"/>
        <v/>
      </c>
      <c r="R842" s="40" t="str">
        <f t="shared" si="4"/>
        <v/>
      </c>
      <c r="S842" s="40" t="str">
        <f>IF($K842="","",IF($C$4="",0,COUNTIFS(Assignments!$B$6:$B$1000,$K842,Assignments!$F$6:$F$1000,$C$4,Assignments!$D$6:$D$1000,"&gt;="&amp;Config!$B$3-7,Assignments!$D$6:$D$1000,"&lt;="&amp;Config!$B$3)))</f>
        <v/>
      </c>
      <c r="T842" s="40" t="str">
        <f>IF($K842="","",IFERROR(VLOOKUP($K842,Grinders!$A$4:$N$998,8,FALSE),""))</f>
        <v/>
      </c>
      <c r="U842" s="40" t="str">
        <f>IFERROR(IF($K842="","",IF($M842="Elite",MAX(50,MIN(100,Config!$B$27*MAX(0,MIN(100,(1-IF($R842="",0,$R842))*100)) + Config!$B$28*MAX(0,MIN(100,(1-MIN(1,IF(Config!$B$30=0,1,$S842/Config!$B$30)))*100)) + Config!$B$29*MAX(0,MIN(100,MIN(1,IF($T842="",0,$T842)/Config!$B$23)*100)))),MIN(100,Config!$B$27*MAX(0,MIN(100,(1-IF($R842="",0,$R842))*100)) + Config!$B$28*MAX(0,MIN(100,(1-MIN(1,IF(Config!$B$30=0,1,$S842/Config!$B$30)))*100)) + Config!$B$29*MAX(0,MIN(100,MIN(1,IF($T842="",0,$T842)/Config!$B$23)*100))))),"")
</f>
        <v/>
      </c>
      <c r="V842" s="40" t="str">
        <f>IF(Bids!$D841="","",Bids!$D841)</f>
        <v/>
      </c>
      <c r="W842" s="40" t="str">
        <f>IF(Bids!$F841="","",Bids!$F841)</f>
        <v/>
      </c>
      <c r="X842" s="40" t="str">
        <f t="shared" si="5"/>
        <v/>
      </c>
      <c r="Y842" s="40" t="str">
        <f>IF($X842="","",IF(Config!$B$17=Config!$B$16,IF($X842&gt;=Config!$B$17,100,0),MAX(0,MIN(100,($X842-Config!$B$16)/(Config!$B$17-Config!$B$16)*100))))</f>
        <v/>
      </c>
      <c r="Z842" s="40">
        <f>IF($M842="Elite",Config!$B$21,0)</f>
        <v>0</v>
      </c>
      <c r="AA842" s="40" t="str">
        <f>IFERROR(IF(OR($W842="",$H842=""),"",IF($W842&gt;$H842,
  MAX(0, 60-(($W842-$H842)*24/Config!$B$19)*60),
  MIN(100, 60+(($H842-$W842)*24/Config!$B$20)*40)
)),"")
</f>
        <v/>
      </c>
      <c r="AB842" s="40" t="str">
        <f>IF($K842="","",IFERROR(VLOOKUP($K842,Grinders!$A$4:$N$998,10,FALSE)/5*100,""))</f>
        <v/>
      </c>
      <c r="AC842" s="40" t="str">
        <f>IF($K842="","",IFERROR(VLOOKUP($K842,Grinders!$A$4:$N$998,11,FALSE)*100,""))</f>
        <v/>
      </c>
      <c r="AD842" s="40" t="str">
        <f>IF($K842="","",IFERROR(VLOOKUP($K842,Grinders!$A$4:$N$998,12,FALSE)*100,""))</f>
        <v/>
      </c>
      <c r="AE842" s="40">
        <f>IFERROR(IFS(
    OR($C842="", $K842=""), 0,
    $F842=0, 0,
    $D842&lt;&gt;"Open", 0,
    COUNTIFS(GrinderServices!$B$4:$B$998, $K842, GrinderServices!$C$4:$C$998, $E842, GrinderServices!$E$4:$E$998, "Y")=0, 0,
    $X842&lt;Config!$B$16, 0,
    Config!$B$18=1, IF($O842&gt;=N842, 0, 1),
    TRUE, 1
), "")
</f>
        <v>0</v>
      </c>
      <c r="AF842" s="40" t="str">
        <f>IFERROR(IF($AE842=0,"",((Config!$B$6*$Y842 + Config!$B$7*$U842 + Config!$B$8*$Z842 + Config!$B$9*$AA842 + Config!$B$10*$AB842 + Config!$B$11*$AC842 - Config!$B$12*$AD842)/Config!$B$13)+$AK842+$AL842),"")</f>
        <v/>
      </c>
      <c r="AG842" s="40" t="str">
        <f t="shared" si="6"/>
        <v/>
      </c>
      <c r="AH842" s="40" t="str">
        <f t="shared" si="7"/>
        <v/>
      </c>
      <c r="AI842" s="40" t="str">
        <f t="shared" si="8"/>
        <v/>
      </c>
      <c r="AJ842" s="40" t="str">
        <f>IF($K842="","",COUNTIF(Assignments!$B$6:$B$1000,$K842))</f>
        <v/>
      </c>
      <c r="AK842" s="40" t="str">
        <f>IF($K842="","",IF(AND($AJ842=0,$O842&lt;$N842),Config!$B$43,0))</f>
        <v/>
      </c>
      <c r="AL842" s="40" t="str">
        <f>IF($K842="","",IF(AND($M842="Elite",$G842&gt;=Config!$B$41,$O842&lt;$N842),Config!$B$42,0))</f>
        <v/>
      </c>
      <c r="AM842" s="22"/>
    </row>
    <row r="843" ht="15.75" customHeight="1">
      <c r="A843" s="40" t="str">
        <f t="shared" si="1"/>
        <v/>
      </c>
      <c r="B843" s="40" t="str">
        <f>IF(Bids!$A842="","",Bids!$A842)</f>
        <v/>
      </c>
      <c r="C843" s="40" t="str">
        <f>IF(Bids!$B842="","",Bids!$B842)</f>
        <v/>
      </c>
      <c r="D843" s="40" t="str">
        <f>IF($C843="","",IFERROR(VLOOKUP($C843,Orders!$A$4:$J$998,9,FALSE),""))</f>
        <v/>
      </c>
      <c r="E843" s="40" t="str">
        <f>IF($C843="","",IFERROR(VLOOKUP($C843,Orders!$A$4:$J$998,3,FALSE),""))</f>
        <v/>
      </c>
      <c r="F843" s="40">
        <f t="shared" si="2"/>
        <v>1</v>
      </c>
      <c r="G843" s="40" t="str">
        <f>IF($C843="","",IFERROR(VLOOKUP($C843,Orders!$A$4:$J$998,4,FALSE),""))</f>
        <v/>
      </c>
      <c r="H843" s="40" t="str">
        <f>IF($C843="","",IFERROR(VLOOKUP($C843,Orders!$A$4:$J$998,5,FALSE),""))</f>
        <v/>
      </c>
      <c r="I843" s="40" t="str">
        <f>IF($C843="","",IFERROR(VLOOKUP($C843,Orders!$A$4:$J$998,6,FALSE),""))</f>
        <v/>
      </c>
      <c r="J843" s="40" t="str">
        <f>IF($C843="","",IFERROR(VLOOKUP($C843,Orders!$A$4:$J$998,7,FALSE),""))</f>
        <v/>
      </c>
      <c r="K843" s="40" t="str">
        <f>IF(Bids!$C842="","",Bids!$C842)</f>
        <v/>
      </c>
      <c r="L843" s="40" t="str">
        <f>IF($K843="","",IFERROR(VLOOKUP($K843,Grinders!$A$4:$N$998,2,FALSE),""))</f>
        <v/>
      </c>
      <c r="M843" s="40" t="str">
        <f>IF($K843="","",IFERROR(VLOOKUP($K843,Grinders!$A$4:$N$998,3,FALSE),""))</f>
        <v/>
      </c>
      <c r="N843" s="40" t="str">
        <f>IF($K843="","",IFERROR(VLOOKUP($K843,Grinders!$A$4:$N$998,4,FALSE),""))</f>
        <v/>
      </c>
      <c r="O843" s="40" t="str">
        <f>IF($K843="","",IFERROR(VLOOKUP($K843,Grinders!$A$4:$N$998,5,FALSE),""))</f>
        <v/>
      </c>
      <c r="P843" s="40" t="str">
        <f>IF($K843="","",IF($C$4="",0,COUNTIFS(Assignments!$B$6:$B$1000,$K843,Assignments!$F$6:$F$1000,$C$4,Assignments!$E$6:$E$1000,"Active")))</f>
        <v/>
      </c>
      <c r="Q843" s="40" t="str">
        <f t="shared" si="3"/>
        <v/>
      </c>
      <c r="R843" s="40" t="str">
        <f t="shared" si="4"/>
        <v/>
      </c>
      <c r="S843" s="40" t="str">
        <f>IF($K843="","",IF($C$4="",0,COUNTIFS(Assignments!$B$6:$B$1000,$K843,Assignments!$F$6:$F$1000,$C$4,Assignments!$D$6:$D$1000,"&gt;="&amp;Config!$B$3-7,Assignments!$D$6:$D$1000,"&lt;="&amp;Config!$B$3)))</f>
        <v/>
      </c>
      <c r="T843" s="40" t="str">
        <f>IF($K843="","",IFERROR(VLOOKUP($K843,Grinders!$A$4:$N$998,8,FALSE),""))</f>
        <v/>
      </c>
      <c r="U843" s="40" t="str">
        <f>IFERROR(IF($K843="","",IF($M843="Elite",MAX(50,MIN(100,Config!$B$27*MAX(0,MIN(100,(1-IF($R843="",0,$R843))*100)) + Config!$B$28*MAX(0,MIN(100,(1-MIN(1,IF(Config!$B$30=0,1,$S843/Config!$B$30)))*100)) + Config!$B$29*MAX(0,MIN(100,MIN(1,IF($T843="",0,$T843)/Config!$B$23)*100)))),MIN(100,Config!$B$27*MAX(0,MIN(100,(1-IF($R843="",0,$R843))*100)) + Config!$B$28*MAX(0,MIN(100,(1-MIN(1,IF(Config!$B$30=0,1,$S843/Config!$B$30)))*100)) + Config!$B$29*MAX(0,MIN(100,MIN(1,IF($T843="",0,$T843)/Config!$B$23)*100))))),"")
</f>
        <v/>
      </c>
      <c r="V843" s="40" t="str">
        <f>IF(Bids!$D842="","",Bids!$D842)</f>
        <v/>
      </c>
      <c r="W843" s="40" t="str">
        <f>IF(Bids!$F842="","",Bids!$F842)</f>
        <v/>
      </c>
      <c r="X843" s="40" t="str">
        <f t="shared" si="5"/>
        <v/>
      </c>
      <c r="Y843" s="40" t="str">
        <f>IF($X843="","",IF(Config!$B$17=Config!$B$16,IF($X843&gt;=Config!$B$17,100,0),MAX(0,MIN(100,($X843-Config!$B$16)/(Config!$B$17-Config!$B$16)*100))))</f>
        <v/>
      </c>
      <c r="Z843" s="40">
        <f>IF($M843="Elite",Config!$B$21,0)</f>
        <v>0</v>
      </c>
      <c r="AA843" s="40" t="str">
        <f>IFERROR(IF(OR($W843="",$H843=""),"",IF($W843&gt;$H843,
  MAX(0, 60-(($W843-$H843)*24/Config!$B$19)*60),
  MIN(100, 60+(($H843-$W843)*24/Config!$B$20)*40)
)),"")
</f>
        <v/>
      </c>
      <c r="AB843" s="40" t="str">
        <f>IF($K843="","",IFERROR(VLOOKUP($K843,Grinders!$A$4:$N$998,10,FALSE)/5*100,""))</f>
        <v/>
      </c>
      <c r="AC843" s="40" t="str">
        <f>IF($K843="","",IFERROR(VLOOKUP($K843,Grinders!$A$4:$N$998,11,FALSE)*100,""))</f>
        <v/>
      </c>
      <c r="AD843" s="40" t="str">
        <f>IF($K843="","",IFERROR(VLOOKUP($K843,Grinders!$A$4:$N$998,12,FALSE)*100,""))</f>
        <v/>
      </c>
      <c r="AE843" s="40">
        <f>IFERROR(IFS(
    OR($C843="", $K843=""), 0,
    $F843=0, 0,
    $D843&lt;&gt;"Open", 0,
    COUNTIFS(GrinderServices!$B$4:$B$998, $K843, GrinderServices!$C$4:$C$998, $E843, GrinderServices!$E$4:$E$998, "Y")=0, 0,
    $X843&lt;Config!$B$16, 0,
    Config!$B$18=1, IF($O843&gt;=N843, 0, 1),
    TRUE, 1
), "")
</f>
        <v>0</v>
      </c>
      <c r="AF843" s="40" t="str">
        <f>IFERROR(IF($AE843=0,"",((Config!$B$6*$Y843 + Config!$B$7*$U843 + Config!$B$8*$Z843 + Config!$B$9*$AA843 + Config!$B$10*$AB843 + Config!$B$11*$AC843 - Config!$B$12*$AD843)/Config!$B$13)+$AK843+$AL843),"")</f>
        <v/>
      </c>
      <c r="AG843" s="40" t="str">
        <f t="shared" si="6"/>
        <v/>
      </c>
      <c r="AH843" s="40" t="str">
        <f t="shared" si="7"/>
        <v/>
      </c>
      <c r="AI843" s="40" t="str">
        <f t="shared" si="8"/>
        <v/>
      </c>
      <c r="AJ843" s="40" t="str">
        <f>IF($K843="","",COUNTIF(Assignments!$B$6:$B$1000,$K843))</f>
        <v/>
      </c>
      <c r="AK843" s="40" t="str">
        <f>IF($K843="","",IF(AND($AJ843=0,$O843&lt;$N843),Config!$B$43,0))</f>
        <v/>
      </c>
      <c r="AL843" s="40" t="str">
        <f>IF($K843="","",IF(AND($M843="Elite",$G843&gt;=Config!$B$41,$O843&lt;$N843),Config!$B$42,0))</f>
        <v/>
      </c>
      <c r="AM843" s="22"/>
    </row>
    <row r="844" ht="15.75" customHeight="1">
      <c r="A844" s="40" t="str">
        <f t="shared" si="1"/>
        <v/>
      </c>
      <c r="B844" s="40" t="str">
        <f>IF(Bids!$A843="","",Bids!$A843)</f>
        <v/>
      </c>
      <c r="C844" s="40" t="str">
        <f>IF(Bids!$B843="","",Bids!$B843)</f>
        <v/>
      </c>
      <c r="D844" s="40" t="str">
        <f>IF($C844="","",IFERROR(VLOOKUP($C844,Orders!$A$4:$J$998,9,FALSE),""))</f>
        <v/>
      </c>
      <c r="E844" s="40" t="str">
        <f>IF($C844="","",IFERROR(VLOOKUP($C844,Orders!$A$4:$J$998,3,FALSE),""))</f>
        <v/>
      </c>
      <c r="F844" s="40">
        <f t="shared" si="2"/>
        <v>1</v>
      </c>
      <c r="G844" s="40" t="str">
        <f>IF($C844="","",IFERROR(VLOOKUP($C844,Orders!$A$4:$J$998,4,FALSE),""))</f>
        <v/>
      </c>
      <c r="H844" s="40" t="str">
        <f>IF($C844="","",IFERROR(VLOOKUP($C844,Orders!$A$4:$J$998,5,FALSE),""))</f>
        <v/>
      </c>
      <c r="I844" s="40" t="str">
        <f>IF($C844="","",IFERROR(VLOOKUP($C844,Orders!$A$4:$J$998,6,FALSE),""))</f>
        <v/>
      </c>
      <c r="J844" s="40" t="str">
        <f>IF($C844="","",IFERROR(VLOOKUP($C844,Orders!$A$4:$J$998,7,FALSE),""))</f>
        <v/>
      </c>
      <c r="K844" s="40" t="str">
        <f>IF(Bids!$C843="","",Bids!$C843)</f>
        <v/>
      </c>
      <c r="L844" s="40" t="str">
        <f>IF($K844="","",IFERROR(VLOOKUP($K844,Grinders!$A$4:$N$998,2,FALSE),""))</f>
        <v/>
      </c>
      <c r="M844" s="40" t="str">
        <f>IF($K844="","",IFERROR(VLOOKUP($K844,Grinders!$A$4:$N$998,3,FALSE),""))</f>
        <v/>
      </c>
      <c r="N844" s="40" t="str">
        <f>IF($K844="","",IFERROR(VLOOKUP($K844,Grinders!$A$4:$N$998,4,FALSE),""))</f>
        <v/>
      </c>
      <c r="O844" s="40" t="str">
        <f>IF($K844="","",IFERROR(VLOOKUP($K844,Grinders!$A$4:$N$998,5,FALSE),""))</f>
        <v/>
      </c>
      <c r="P844" s="40" t="str">
        <f>IF($K844="","",IF($C$4="",0,COUNTIFS(Assignments!$B$6:$B$1000,$K844,Assignments!$F$6:$F$1000,$C$4,Assignments!$E$6:$E$1000,"Active")))</f>
        <v/>
      </c>
      <c r="Q844" s="40" t="str">
        <f t="shared" si="3"/>
        <v/>
      </c>
      <c r="R844" s="40" t="str">
        <f t="shared" si="4"/>
        <v/>
      </c>
      <c r="S844" s="40" t="str">
        <f>IF($K844="","",IF($C$4="",0,COUNTIFS(Assignments!$B$6:$B$1000,$K844,Assignments!$F$6:$F$1000,$C$4,Assignments!$D$6:$D$1000,"&gt;="&amp;Config!$B$3-7,Assignments!$D$6:$D$1000,"&lt;="&amp;Config!$B$3)))</f>
        <v/>
      </c>
      <c r="T844" s="40" t="str">
        <f>IF($K844="","",IFERROR(VLOOKUP($K844,Grinders!$A$4:$N$998,8,FALSE),""))</f>
        <v/>
      </c>
      <c r="U844" s="40" t="str">
        <f>IFERROR(IF($K844="","",IF($M844="Elite",MAX(50,MIN(100,Config!$B$27*MAX(0,MIN(100,(1-IF($R844="",0,$R844))*100)) + Config!$B$28*MAX(0,MIN(100,(1-MIN(1,IF(Config!$B$30=0,1,$S844/Config!$B$30)))*100)) + Config!$B$29*MAX(0,MIN(100,MIN(1,IF($T844="",0,$T844)/Config!$B$23)*100)))),MIN(100,Config!$B$27*MAX(0,MIN(100,(1-IF($R844="",0,$R844))*100)) + Config!$B$28*MAX(0,MIN(100,(1-MIN(1,IF(Config!$B$30=0,1,$S844/Config!$B$30)))*100)) + Config!$B$29*MAX(0,MIN(100,MIN(1,IF($T844="",0,$T844)/Config!$B$23)*100))))),"")
</f>
        <v/>
      </c>
      <c r="V844" s="40" t="str">
        <f>IF(Bids!$D843="","",Bids!$D843)</f>
        <v/>
      </c>
      <c r="W844" s="40" t="str">
        <f>IF(Bids!$F843="","",Bids!$F843)</f>
        <v/>
      </c>
      <c r="X844" s="40" t="str">
        <f t="shared" si="5"/>
        <v/>
      </c>
      <c r="Y844" s="40" t="str">
        <f>IF($X844="","",IF(Config!$B$17=Config!$B$16,IF($X844&gt;=Config!$B$17,100,0),MAX(0,MIN(100,($X844-Config!$B$16)/(Config!$B$17-Config!$B$16)*100))))</f>
        <v/>
      </c>
      <c r="Z844" s="40">
        <f>IF($M844="Elite",Config!$B$21,0)</f>
        <v>0</v>
      </c>
      <c r="AA844" s="40" t="str">
        <f>IFERROR(IF(OR($W844="",$H844=""),"",IF($W844&gt;$H844,
  MAX(0, 60-(($W844-$H844)*24/Config!$B$19)*60),
  MIN(100, 60+(($H844-$W844)*24/Config!$B$20)*40)
)),"")
</f>
        <v/>
      </c>
      <c r="AB844" s="40" t="str">
        <f>IF($K844="","",IFERROR(VLOOKUP($K844,Grinders!$A$4:$N$998,10,FALSE)/5*100,""))</f>
        <v/>
      </c>
      <c r="AC844" s="40" t="str">
        <f>IF($K844="","",IFERROR(VLOOKUP($K844,Grinders!$A$4:$N$998,11,FALSE)*100,""))</f>
        <v/>
      </c>
      <c r="AD844" s="40" t="str">
        <f>IF($K844="","",IFERROR(VLOOKUP($K844,Grinders!$A$4:$N$998,12,FALSE)*100,""))</f>
        <v/>
      </c>
      <c r="AE844" s="40">
        <f>IFERROR(IFS(
    OR($C844="", $K844=""), 0,
    $F844=0, 0,
    $D844&lt;&gt;"Open", 0,
    COUNTIFS(GrinderServices!$B$4:$B$998, $K844, GrinderServices!$C$4:$C$998, $E844, GrinderServices!$E$4:$E$998, "Y")=0, 0,
    $X844&lt;Config!$B$16, 0,
    Config!$B$18=1, IF($O844&gt;=N844, 0, 1),
    TRUE, 1
), "")
</f>
        <v>0</v>
      </c>
      <c r="AF844" s="40" t="str">
        <f>IFERROR(IF($AE844=0,"",((Config!$B$6*$Y844 + Config!$B$7*$U844 + Config!$B$8*$Z844 + Config!$B$9*$AA844 + Config!$B$10*$AB844 + Config!$B$11*$AC844 - Config!$B$12*$AD844)/Config!$B$13)+$AK844+$AL844),"")</f>
        <v/>
      </c>
      <c r="AG844" s="40" t="str">
        <f t="shared" si="6"/>
        <v/>
      </c>
      <c r="AH844" s="40" t="str">
        <f t="shared" si="7"/>
        <v/>
      </c>
      <c r="AI844" s="40" t="str">
        <f t="shared" si="8"/>
        <v/>
      </c>
      <c r="AJ844" s="40" t="str">
        <f>IF($K844="","",COUNTIF(Assignments!$B$6:$B$1000,$K844))</f>
        <v/>
      </c>
      <c r="AK844" s="40" t="str">
        <f>IF($K844="","",IF(AND($AJ844=0,$O844&lt;$N844),Config!$B$43,0))</f>
        <v/>
      </c>
      <c r="AL844" s="40" t="str">
        <f>IF($K844="","",IF(AND($M844="Elite",$G844&gt;=Config!$B$41,$O844&lt;$N844),Config!$B$42,0))</f>
        <v/>
      </c>
      <c r="AM844" s="22"/>
    </row>
    <row r="845" ht="15.75" customHeight="1">
      <c r="A845" s="40" t="str">
        <f t="shared" si="1"/>
        <v/>
      </c>
      <c r="B845" s="40" t="str">
        <f>IF(Bids!$A844="","",Bids!$A844)</f>
        <v/>
      </c>
      <c r="C845" s="40" t="str">
        <f>IF(Bids!$B844="","",Bids!$B844)</f>
        <v/>
      </c>
      <c r="D845" s="40" t="str">
        <f>IF($C845="","",IFERROR(VLOOKUP($C845,Orders!$A$4:$J$998,9,FALSE),""))</f>
        <v/>
      </c>
      <c r="E845" s="40" t="str">
        <f>IF($C845="","",IFERROR(VLOOKUP($C845,Orders!$A$4:$J$998,3,FALSE),""))</f>
        <v/>
      </c>
      <c r="F845" s="40">
        <f t="shared" si="2"/>
        <v>1</v>
      </c>
      <c r="G845" s="40" t="str">
        <f>IF($C845="","",IFERROR(VLOOKUP($C845,Orders!$A$4:$J$998,4,FALSE),""))</f>
        <v/>
      </c>
      <c r="H845" s="40" t="str">
        <f>IF($C845="","",IFERROR(VLOOKUP($C845,Orders!$A$4:$J$998,5,FALSE),""))</f>
        <v/>
      </c>
      <c r="I845" s="40" t="str">
        <f>IF($C845="","",IFERROR(VLOOKUP($C845,Orders!$A$4:$J$998,6,FALSE),""))</f>
        <v/>
      </c>
      <c r="J845" s="40" t="str">
        <f>IF($C845="","",IFERROR(VLOOKUP($C845,Orders!$A$4:$J$998,7,FALSE),""))</f>
        <v/>
      </c>
      <c r="K845" s="40" t="str">
        <f>IF(Bids!$C844="","",Bids!$C844)</f>
        <v/>
      </c>
      <c r="L845" s="40" t="str">
        <f>IF($K845="","",IFERROR(VLOOKUP($K845,Grinders!$A$4:$N$998,2,FALSE),""))</f>
        <v/>
      </c>
      <c r="M845" s="40" t="str">
        <f>IF($K845="","",IFERROR(VLOOKUP($K845,Grinders!$A$4:$N$998,3,FALSE),""))</f>
        <v/>
      </c>
      <c r="N845" s="40" t="str">
        <f>IF($K845="","",IFERROR(VLOOKUP($K845,Grinders!$A$4:$N$998,4,FALSE),""))</f>
        <v/>
      </c>
      <c r="O845" s="40" t="str">
        <f>IF($K845="","",IFERROR(VLOOKUP($K845,Grinders!$A$4:$N$998,5,FALSE),""))</f>
        <v/>
      </c>
      <c r="P845" s="40" t="str">
        <f>IF($K845="","",IF($C$4="",0,COUNTIFS(Assignments!$B$6:$B$1000,$K845,Assignments!$F$6:$F$1000,$C$4,Assignments!$E$6:$E$1000,"Active")))</f>
        <v/>
      </c>
      <c r="Q845" s="40" t="str">
        <f t="shared" si="3"/>
        <v/>
      </c>
      <c r="R845" s="40" t="str">
        <f t="shared" si="4"/>
        <v/>
      </c>
      <c r="S845" s="40" t="str">
        <f>IF($K845="","",IF($C$4="",0,COUNTIFS(Assignments!$B$6:$B$1000,$K845,Assignments!$F$6:$F$1000,$C$4,Assignments!$D$6:$D$1000,"&gt;="&amp;Config!$B$3-7,Assignments!$D$6:$D$1000,"&lt;="&amp;Config!$B$3)))</f>
        <v/>
      </c>
      <c r="T845" s="40" t="str">
        <f>IF($K845="","",IFERROR(VLOOKUP($K845,Grinders!$A$4:$N$998,8,FALSE),""))</f>
        <v/>
      </c>
      <c r="U845" s="40" t="str">
        <f>IFERROR(IF($K845="","",IF($M845="Elite",MAX(50,MIN(100,Config!$B$27*MAX(0,MIN(100,(1-IF($R845="",0,$R845))*100)) + Config!$B$28*MAX(0,MIN(100,(1-MIN(1,IF(Config!$B$30=0,1,$S845/Config!$B$30)))*100)) + Config!$B$29*MAX(0,MIN(100,MIN(1,IF($T845="",0,$T845)/Config!$B$23)*100)))),MIN(100,Config!$B$27*MAX(0,MIN(100,(1-IF($R845="",0,$R845))*100)) + Config!$B$28*MAX(0,MIN(100,(1-MIN(1,IF(Config!$B$30=0,1,$S845/Config!$B$30)))*100)) + Config!$B$29*MAX(0,MIN(100,MIN(1,IF($T845="",0,$T845)/Config!$B$23)*100))))),"")
</f>
        <v/>
      </c>
      <c r="V845" s="40" t="str">
        <f>IF(Bids!$D844="","",Bids!$D844)</f>
        <v/>
      </c>
      <c r="W845" s="40" t="str">
        <f>IF(Bids!$F844="","",Bids!$F844)</f>
        <v/>
      </c>
      <c r="X845" s="40" t="str">
        <f t="shared" si="5"/>
        <v/>
      </c>
      <c r="Y845" s="40" t="str">
        <f>IF($X845="","",IF(Config!$B$17=Config!$B$16,IF($X845&gt;=Config!$B$17,100,0),MAX(0,MIN(100,($X845-Config!$B$16)/(Config!$B$17-Config!$B$16)*100))))</f>
        <v/>
      </c>
      <c r="Z845" s="40">
        <f>IF($M845="Elite",Config!$B$21,0)</f>
        <v>0</v>
      </c>
      <c r="AA845" s="40" t="str">
        <f>IFERROR(IF(OR($W845="",$H845=""),"",IF($W845&gt;$H845,
  MAX(0, 60-(($W845-$H845)*24/Config!$B$19)*60),
  MIN(100, 60+(($H845-$W845)*24/Config!$B$20)*40)
)),"")
</f>
        <v/>
      </c>
      <c r="AB845" s="40" t="str">
        <f>IF($K845="","",IFERROR(VLOOKUP($K845,Grinders!$A$4:$N$998,10,FALSE)/5*100,""))</f>
        <v/>
      </c>
      <c r="AC845" s="40" t="str">
        <f>IF($K845="","",IFERROR(VLOOKUP($K845,Grinders!$A$4:$N$998,11,FALSE)*100,""))</f>
        <v/>
      </c>
      <c r="AD845" s="40" t="str">
        <f>IF($K845="","",IFERROR(VLOOKUP($K845,Grinders!$A$4:$N$998,12,FALSE)*100,""))</f>
        <v/>
      </c>
      <c r="AE845" s="40">
        <f>IFERROR(IFS(
    OR($C845="", $K845=""), 0,
    $F845=0, 0,
    $D845&lt;&gt;"Open", 0,
    COUNTIFS(GrinderServices!$B$4:$B$998, $K845, GrinderServices!$C$4:$C$998, $E845, GrinderServices!$E$4:$E$998, "Y")=0, 0,
    $X845&lt;Config!$B$16, 0,
    Config!$B$18=1, IF($O845&gt;=N845, 0, 1),
    TRUE, 1
), "")
</f>
        <v>0</v>
      </c>
      <c r="AF845" s="40" t="str">
        <f>IFERROR(IF($AE845=0,"",((Config!$B$6*$Y845 + Config!$B$7*$U845 + Config!$B$8*$Z845 + Config!$B$9*$AA845 + Config!$B$10*$AB845 + Config!$B$11*$AC845 - Config!$B$12*$AD845)/Config!$B$13)+$AK845+$AL845),"")</f>
        <v/>
      </c>
      <c r="AG845" s="40" t="str">
        <f t="shared" si="6"/>
        <v/>
      </c>
      <c r="AH845" s="40" t="str">
        <f t="shared" si="7"/>
        <v/>
      </c>
      <c r="AI845" s="40" t="str">
        <f t="shared" si="8"/>
        <v/>
      </c>
      <c r="AJ845" s="40" t="str">
        <f>IF($K845="","",COUNTIF(Assignments!$B$6:$B$1000,$K845))</f>
        <v/>
      </c>
      <c r="AK845" s="40" t="str">
        <f>IF($K845="","",IF(AND($AJ845=0,$O845&lt;$N845),Config!$B$43,0))</f>
        <v/>
      </c>
      <c r="AL845" s="40" t="str">
        <f>IF($K845="","",IF(AND($M845="Elite",$G845&gt;=Config!$B$41,$O845&lt;$N845),Config!$B$42,0))</f>
        <v/>
      </c>
      <c r="AM845" s="22"/>
    </row>
    <row r="846" ht="15.75" customHeight="1">
      <c r="A846" s="40" t="str">
        <f t="shared" si="1"/>
        <v/>
      </c>
      <c r="B846" s="40" t="str">
        <f>IF(Bids!$A845="","",Bids!$A845)</f>
        <v/>
      </c>
      <c r="C846" s="40" t="str">
        <f>IF(Bids!$B845="","",Bids!$B845)</f>
        <v/>
      </c>
      <c r="D846" s="40" t="str">
        <f>IF($C846="","",IFERROR(VLOOKUP($C846,Orders!$A$4:$J$998,9,FALSE),""))</f>
        <v/>
      </c>
      <c r="E846" s="40" t="str">
        <f>IF($C846="","",IFERROR(VLOOKUP($C846,Orders!$A$4:$J$998,3,FALSE),""))</f>
        <v/>
      </c>
      <c r="F846" s="40">
        <f t="shared" si="2"/>
        <v>1</v>
      </c>
      <c r="G846" s="40" t="str">
        <f>IF($C846="","",IFERROR(VLOOKUP($C846,Orders!$A$4:$J$998,4,FALSE),""))</f>
        <v/>
      </c>
      <c r="H846" s="40" t="str">
        <f>IF($C846="","",IFERROR(VLOOKUP($C846,Orders!$A$4:$J$998,5,FALSE),""))</f>
        <v/>
      </c>
      <c r="I846" s="40" t="str">
        <f>IF($C846="","",IFERROR(VLOOKUP($C846,Orders!$A$4:$J$998,6,FALSE),""))</f>
        <v/>
      </c>
      <c r="J846" s="40" t="str">
        <f>IF($C846="","",IFERROR(VLOOKUP($C846,Orders!$A$4:$J$998,7,FALSE),""))</f>
        <v/>
      </c>
      <c r="K846" s="40" t="str">
        <f>IF(Bids!$C845="","",Bids!$C845)</f>
        <v/>
      </c>
      <c r="L846" s="40" t="str">
        <f>IF($K846="","",IFERROR(VLOOKUP($K846,Grinders!$A$4:$N$998,2,FALSE),""))</f>
        <v/>
      </c>
      <c r="M846" s="40" t="str">
        <f>IF($K846="","",IFERROR(VLOOKUP($K846,Grinders!$A$4:$N$998,3,FALSE),""))</f>
        <v/>
      </c>
      <c r="N846" s="40" t="str">
        <f>IF($K846="","",IFERROR(VLOOKUP($K846,Grinders!$A$4:$N$998,4,FALSE),""))</f>
        <v/>
      </c>
      <c r="O846" s="40" t="str">
        <f>IF($K846="","",IFERROR(VLOOKUP($K846,Grinders!$A$4:$N$998,5,FALSE),""))</f>
        <v/>
      </c>
      <c r="P846" s="40" t="str">
        <f>IF($K846="","",IF($C$4="",0,COUNTIFS(Assignments!$B$6:$B$1000,$K846,Assignments!$F$6:$F$1000,$C$4,Assignments!$E$6:$E$1000,"Active")))</f>
        <v/>
      </c>
      <c r="Q846" s="40" t="str">
        <f t="shared" si="3"/>
        <v/>
      </c>
      <c r="R846" s="40" t="str">
        <f t="shared" si="4"/>
        <v/>
      </c>
      <c r="S846" s="40" t="str">
        <f>IF($K846="","",IF($C$4="",0,COUNTIFS(Assignments!$B$6:$B$1000,$K846,Assignments!$F$6:$F$1000,$C$4,Assignments!$D$6:$D$1000,"&gt;="&amp;Config!$B$3-7,Assignments!$D$6:$D$1000,"&lt;="&amp;Config!$B$3)))</f>
        <v/>
      </c>
      <c r="T846" s="40" t="str">
        <f>IF($K846="","",IFERROR(VLOOKUP($K846,Grinders!$A$4:$N$998,8,FALSE),""))</f>
        <v/>
      </c>
      <c r="U846" s="40" t="str">
        <f>IFERROR(IF($K846="","",IF($M846="Elite",MAX(50,MIN(100,Config!$B$27*MAX(0,MIN(100,(1-IF($R846="",0,$R846))*100)) + Config!$B$28*MAX(0,MIN(100,(1-MIN(1,IF(Config!$B$30=0,1,$S846/Config!$B$30)))*100)) + Config!$B$29*MAX(0,MIN(100,MIN(1,IF($T846="",0,$T846)/Config!$B$23)*100)))),MIN(100,Config!$B$27*MAX(0,MIN(100,(1-IF($R846="",0,$R846))*100)) + Config!$B$28*MAX(0,MIN(100,(1-MIN(1,IF(Config!$B$30=0,1,$S846/Config!$B$30)))*100)) + Config!$B$29*MAX(0,MIN(100,MIN(1,IF($T846="",0,$T846)/Config!$B$23)*100))))),"")
</f>
        <v/>
      </c>
      <c r="V846" s="40" t="str">
        <f>IF(Bids!$D845="","",Bids!$D845)</f>
        <v/>
      </c>
      <c r="W846" s="40" t="str">
        <f>IF(Bids!$F845="","",Bids!$F845)</f>
        <v/>
      </c>
      <c r="X846" s="40" t="str">
        <f t="shared" si="5"/>
        <v/>
      </c>
      <c r="Y846" s="40" t="str">
        <f>IF($X846="","",IF(Config!$B$17=Config!$B$16,IF($X846&gt;=Config!$B$17,100,0),MAX(0,MIN(100,($X846-Config!$B$16)/(Config!$B$17-Config!$B$16)*100))))</f>
        <v/>
      </c>
      <c r="Z846" s="40">
        <f>IF($M846="Elite",Config!$B$21,0)</f>
        <v>0</v>
      </c>
      <c r="AA846" s="40" t="str">
        <f>IFERROR(IF(OR($W846="",$H846=""),"",IF($W846&gt;$H846,
  MAX(0, 60-(($W846-$H846)*24/Config!$B$19)*60),
  MIN(100, 60+(($H846-$W846)*24/Config!$B$20)*40)
)),"")
</f>
        <v/>
      </c>
      <c r="AB846" s="40" t="str">
        <f>IF($K846="","",IFERROR(VLOOKUP($K846,Grinders!$A$4:$N$998,10,FALSE)/5*100,""))</f>
        <v/>
      </c>
      <c r="AC846" s="40" t="str">
        <f>IF($K846="","",IFERROR(VLOOKUP($K846,Grinders!$A$4:$N$998,11,FALSE)*100,""))</f>
        <v/>
      </c>
      <c r="AD846" s="40" t="str">
        <f>IF($K846="","",IFERROR(VLOOKUP($K846,Grinders!$A$4:$N$998,12,FALSE)*100,""))</f>
        <v/>
      </c>
      <c r="AE846" s="40">
        <f>IFERROR(IFS(
    OR($C846="", $K846=""), 0,
    $F846=0, 0,
    $D846&lt;&gt;"Open", 0,
    COUNTIFS(GrinderServices!$B$4:$B$998, $K846, GrinderServices!$C$4:$C$998, $E846, GrinderServices!$E$4:$E$998, "Y")=0, 0,
    $X846&lt;Config!$B$16, 0,
    Config!$B$18=1, IF($O846&gt;=N846, 0, 1),
    TRUE, 1
), "")
</f>
        <v>0</v>
      </c>
      <c r="AF846" s="40" t="str">
        <f>IFERROR(IF($AE846=0,"",((Config!$B$6*$Y846 + Config!$B$7*$U846 + Config!$B$8*$Z846 + Config!$B$9*$AA846 + Config!$B$10*$AB846 + Config!$B$11*$AC846 - Config!$B$12*$AD846)/Config!$B$13)+$AK846+$AL846),"")</f>
        <v/>
      </c>
      <c r="AG846" s="40" t="str">
        <f t="shared" si="6"/>
        <v/>
      </c>
      <c r="AH846" s="40" t="str">
        <f t="shared" si="7"/>
        <v/>
      </c>
      <c r="AI846" s="40" t="str">
        <f t="shared" si="8"/>
        <v/>
      </c>
      <c r="AJ846" s="40" t="str">
        <f>IF($K846="","",COUNTIF(Assignments!$B$6:$B$1000,$K846))</f>
        <v/>
      </c>
      <c r="AK846" s="40" t="str">
        <f>IF($K846="","",IF(AND($AJ846=0,$O846&lt;$N846),Config!$B$43,0))</f>
        <v/>
      </c>
      <c r="AL846" s="40" t="str">
        <f>IF($K846="","",IF(AND($M846="Elite",$G846&gt;=Config!$B$41,$O846&lt;$N846),Config!$B$42,0))</f>
        <v/>
      </c>
      <c r="AM846" s="22"/>
    </row>
    <row r="847" ht="15.75" customHeight="1">
      <c r="A847" s="40" t="str">
        <f t="shared" si="1"/>
        <v/>
      </c>
      <c r="B847" s="40" t="str">
        <f>IF(Bids!$A846="","",Bids!$A846)</f>
        <v/>
      </c>
      <c r="C847" s="40" t="str">
        <f>IF(Bids!$B846="","",Bids!$B846)</f>
        <v/>
      </c>
      <c r="D847" s="40" t="str">
        <f>IF($C847="","",IFERROR(VLOOKUP($C847,Orders!$A$4:$J$998,9,FALSE),""))</f>
        <v/>
      </c>
      <c r="E847" s="40" t="str">
        <f>IF($C847="","",IFERROR(VLOOKUP($C847,Orders!$A$4:$J$998,3,FALSE),""))</f>
        <v/>
      </c>
      <c r="F847" s="40">
        <f t="shared" si="2"/>
        <v>1</v>
      </c>
      <c r="G847" s="40" t="str">
        <f>IF($C847="","",IFERROR(VLOOKUP($C847,Orders!$A$4:$J$998,4,FALSE),""))</f>
        <v/>
      </c>
      <c r="H847" s="40" t="str">
        <f>IF($C847="","",IFERROR(VLOOKUP($C847,Orders!$A$4:$J$998,5,FALSE),""))</f>
        <v/>
      </c>
      <c r="I847" s="40" t="str">
        <f>IF($C847="","",IFERROR(VLOOKUP($C847,Orders!$A$4:$J$998,6,FALSE),""))</f>
        <v/>
      </c>
      <c r="J847" s="40" t="str">
        <f>IF($C847="","",IFERROR(VLOOKUP($C847,Orders!$A$4:$J$998,7,FALSE),""))</f>
        <v/>
      </c>
      <c r="K847" s="40" t="str">
        <f>IF(Bids!$C846="","",Bids!$C846)</f>
        <v/>
      </c>
      <c r="L847" s="40" t="str">
        <f>IF($K847="","",IFERROR(VLOOKUP($K847,Grinders!$A$4:$N$998,2,FALSE),""))</f>
        <v/>
      </c>
      <c r="M847" s="40" t="str">
        <f>IF($K847="","",IFERROR(VLOOKUP($K847,Grinders!$A$4:$N$998,3,FALSE),""))</f>
        <v/>
      </c>
      <c r="N847" s="40" t="str">
        <f>IF($K847="","",IFERROR(VLOOKUP($K847,Grinders!$A$4:$N$998,4,FALSE),""))</f>
        <v/>
      </c>
      <c r="O847" s="40" t="str">
        <f>IF($K847="","",IFERROR(VLOOKUP($K847,Grinders!$A$4:$N$998,5,FALSE),""))</f>
        <v/>
      </c>
      <c r="P847" s="40" t="str">
        <f>IF($K847="","",IF($C$4="",0,COUNTIFS(Assignments!$B$6:$B$1000,$K847,Assignments!$F$6:$F$1000,$C$4,Assignments!$E$6:$E$1000,"Active")))</f>
        <v/>
      </c>
      <c r="Q847" s="40" t="str">
        <f t="shared" si="3"/>
        <v/>
      </c>
      <c r="R847" s="40" t="str">
        <f t="shared" si="4"/>
        <v/>
      </c>
      <c r="S847" s="40" t="str">
        <f>IF($K847="","",IF($C$4="",0,COUNTIFS(Assignments!$B$6:$B$1000,$K847,Assignments!$F$6:$F$1000,$C$4,Assignments!$D$6:$D$1000,"&gt;="&amp;Config!$B$3-7,Assignments!$D$6:$D$1000,"&lt;="&amp;Config!$B$3)))</f>
        <v/>
      </c>
      <c r="T847" s="40" t="str">
        <f>IF($K847="","",IFERROR(VLOOKUP($K847,Grinders!$A$4:$N$998,8,FALSE),""))</f>
        <v/>
      </c>
      <c r="U847" s="40" t="str">
        <f>IFERROR(IF($K847="","",IF($M847="Elite",MAX(50,MIN(100,Config!$B$27*MAX(0,MIN(100,(1-IF($R847="",0,$R847))*100)) + Config!$B$28*MAX(0,MIN(100,(1-MIN(1,IF(Config!$B$30=0,1,$S847/Config!$B$30)))*100)) + Config!$B$29*MAX(0,MIN(100,MIN(1,IF($T847="",0,$T847)/Config!$B$23)*100)))),MIN(100,Config!$B$27*MAX(0,MIN(100,(1-IF($R847="",0,$R847))*100)) + Config!$B$28*MAX(0,MIN(100,(1-MIN(1,IF(Config!$B$30=0,1,$S847/Config!$B$30)))*100)) + Config!$B$29*MAX(0,MIN(100,MIN(1,IF($T847="",0,$T847)/Config!$B$23)*100))))),"")
</f>
        <v/>
      </c>
      <c r="V847" s="40" t="str">
        <f>IF(Bids!$D846="","",Bids!$D846)</f>
        <v/>
      </c>
      <c r="W847" s="40" t="str">
        <f>IF(Bids!$F846="","",Bids!$F846)</f>
        <v/>
      </c>
      <c r="X847" s="40" t="str">
        <f t="shared" si="5"/>
        <v/>
      </c>
      <c r="Y847" s="40" t="str">
        <f>IF($X847="","",IF(Config!$B$17=Config!$B$16,IF($X847&gt;=Config!$B$17,100,0),MAX(0,MIN(100,($X847-Config!$B$16)/(Config!$B$17-Config!$B$16)*100))))</f>
        <v/>
      </c>
      <c r="Z847" s="40">
        <f>IF($M847="Elite",Config!$B$21,0)</f>
        <v>0</v>
      </c>
      <c r="AA847" s="40" t="str">
        <f>IFERROR(IF(OR($W847="",$H847=""),"",IF($W847&gt;$H847,
  MAX(0, 60-(($W847-$H847)*24/Config!$B$19)*60),
  MIN(100, 60+(($H847-$W847)*24/Config!$B$20)*40)
)),"")
</f>
        <v/>
      </c>
      <c r="AB847" s="40" t="str">
        <f>IF($K847="","",IFERROR(VLOOKUP($K847,Grinders!$A$4:$N$998,10,FALSE)/5*100,""))</f>
        <v/>
      </c>
      <c r="AC847" s="40" t="str">
        <f>IF($K847="","",IFERROR(VLOOKUP($K847,Grinders!$A$4:$N$998,11,FALSE)*100,""))</f>
        <v/>
      </c>
      <c r="AD847" s="40" t="str">
        <f>IF($K847="","",IFERROR(VLOOKUP($K847,Grinders!$A$4:$N$998,12,FALSE)*100,""))</f>
        <v/>
      </c>
      <c r="AE847" s="40">
        <f>IFERROR(IFS(
    OR($C847="", $K847=""), 0,
    $F847=0, 0,
    $D847&lt;&gt;"Open", 0,
    COUNTIFS(GrinderServices!$B$4:$B$998, $K847, GrinderServices!$C$4:$C$998, $E847, GrinderServices!$E$4:$E$998, "Y")=0, 0,
    $X847&lt;Config!$B$16, 0,
    Config!$B$18=1, IF($O847&gt;=N847, 0, 1),
    TRUE, 1
), "")
</f>
        <v>0</v>
      </c>
      <c r="AF847" s="40" t="str">
        <f>IFERROR(IF($AE847=0,"",((Config!$B$6*$Y847 + Config!$B$7*$U847 + Config!$B$8*$Z847 + Config!$B$9*$AA847 + Config!$B$10*$AB847 + Config!$B$11*$AC847 - Config!$B$12*$AD847)/Config!$B$13)+$AK847+$AL847),"")</f>
        <v/>
      </c>
      <c r="AG847" s="40" t="str">
        <f t="shared" si="6"/>
        <v/>
      </c>
      <c r="AH847" s="40" t="str">
        <f t="shared" si="7"/>
        <v/>
      </c>
      <c r="AI847" s="40" t="str">
        <f t="shared" si="8"/>
        <v/>
      </c>
      <c r="AJ847" s="40" t="str">
        <f>IF($K847="","",COUNTIF(Assignments!$B$6:$B$1000,$K847))</f>
        <v/>
      </c>
      <c r="AK847" s="40" t="str">
        <f>IF($K847="","",IF(AND($AJ847=0,$O847&lt;$N847),Config!$B$43,0))</f>
        <v/>
      </c>
      <c r="AL847" s="40" t="str">
        <f>IF($K847="","",IF(AND($M847="Elite",$G847&gt;=Config!$B$41,$O847&lt;$N847),Config!$B$42,0))</f>
        <v/>
      </c>
      <c r="AM847" s="22"/>
    </row>
    <row r="848" ht="15.75" customHeight="1">
      <c r="A848" s="40" t="str">
        <f t="shared" si="1"/>
        <v/>
      </c>
      <c r="B848" s="40" t="str">
        <f>IF(Bids!$A847="","",Bids!$A847)</f>
        <v/>
      </c>
      <c r="C848" s="40" t="str">
        <f>IF(Bids!$B847="","",Bids!$B847)</f>
        <v/>
      </c>
      <c r="D848" s="40" t="str">
        <f>IF($C848="","",IFERROR(VLOOKUP($C848,Orders!$A$4:$J$998,9,FALSE),""))</f>
        <v/>
      </c>
      <c r="E848" s="40" t="str">
        <f>IF($C848="","",IFERROR(VLOOKUP($C848,Orders!$A$4:$J$998,3,FALSE),""))</f>
        <v/>
      </c>
      <c r="F848" s="40">
        <f t="shared" si="2"/>
        <v>1</v>
      </c>
      <c r="G848" s="40" t="str">
        <f>IF($C848="","",IFERROR(VLOOKUP($C848,Orders!$A$4:$J$998,4,FALSE),""))</f>
        <v/>
      </c>
      <c r="H848" s="40" t="str">
        <f>IF($C848="","",IFERROR(VLOOKUP($C848,Orders!$A$4:$J$998,5,FALSE),""))</f>
        <v/>
      </c>
      <c r="I848" s="40" t="str">
        <f>IF($C848="","",IFERROR(VLOOKUP($C848,Orders!$A$4:$J$998,6,FALSE),""))</f>
        <v/>
      </c>
      <c r="J848" s="40" t="str">
        <f>IF($C848="","",IFERROR(VLOOKUP($C848,Orders!$A$4:$J$998,7,FALSE),""))</f>
        <v/>
      </c>
      <c r="K848" s="40" t="str">
        <f>IF(Bids!$C847="","",Bids!$C847)</f>
        <v/>
      </c>
      <c r="L848" s="40" t="str">
        <f>IF($K848="","",IFERROR(VLOOKUP($K848,Grinders!$A$4:$N$998,2,FALSE),""))</f>
        <v/>
      </c>
      <c r="M848" s="40" t="str">
        <f>IF($K848="","",IFERROR(VLOOKUP($K848,Grinders!$A$4:$N$998,3,FALSE),""))</f>
        <v/>
      </c>
      <c r="N848" s="40" t="str">
        <f>IF($K848="","",IFERROR(VLOOKUP($K848,Grinders!$A$4:$N$998,4,FALSE),""))</f>
        <v/>
      </c>
      <c r="O848" s="40" t="str">
        <f>IF($K848="","",IFERROR(VLOOKUP($K848,Grinders!$A$4:$N$998,5,FALSE),""))</f>
        <v/>
      </c>
      <c r="P848" s="40" t="str">
        <f>IF($K848="","",IF($C$4="",0,COUNTIFS(Assignments!$B$6:$B$1000,$K848,Assignments!$F$6:$F$1000,$C$4,Assignments!$E$6:$E$1000,"Active")))</f>
        <v/>
      </c>
      <c r="Q848" s="40" t="str">
        <f t="shared" si="3"/>
        <v/>
      </c>
      <c r="R848" s="40" t="str">
        <f t="shared" si="4"/>
        <v/>
      </c>
      <c r="S848" s="40" t="str">
        <f>IF($K848="","",IF($C$4="",0,COUNTIFS(Assignments!$B$6:$B$1000,$K848,Assignments!$F$6:$F$1000,$C$4,Assignments!$D$6:$D$1000,"&gt;="&amp;Config!$B$3-7,Assignments!$D$6:$D$1000,"&lt;="&amp;Config!$B$3)))</f>
        <v/>
      </c>
      <c r="T848" s="40" t="str">
        <f>IF($K848="","",IFERROR(VLOOKUP($K848,Grinders!$A$4:$N$998,8,FALSE),""))</f>
        <v/>
      </c>
      <c r="U848" s="40" t="str">
        <f>IFERROR(IF($K848="","",IF($M848="Elite",MAX(50,MIN(100,Config!$B$27*MAX(0,MIN(100,(1-IF($R848="",0,$R848))*100)) + Config!$B$28*MAX(0,MIN(100,(1-MIN(1,IF(Config!$B$30=0,1,$S848/Config!$B$30)))*100)) + Config!$B$29*MAX(0,MIN(100,MIN(1,IF($T848="",0,$T848)/Config!$B$23)*100)))),MIN(100,Config!$B$27*MAX(0,MIN(100,(1-IF($R848="",0,$R848))*100)) + Config!$B$28*MAX(0,MIN(100,(1-MIN(1,IF(Config!$B$30=0,1,$S848/Config!$B$30)))*100)) + Config!$B$29*MAX(0,MIN(100,MIN(1,IF($T848="",0,$T848)/Config!$B$23)*100))))),"")
</f>
        <v/>
      </c>
      <c r="V848" s="40" t="str">
        <f>IF(Bids!$D847="","",Bids!$D847)</f>
        <v/>
      </c>
      <c r="W848" s="40" t="str">
        <f>IF(Bids!$F847="","",Bids!$F847)</f>
        <v/>
      </c>
      <c r="X848" s="40" t="str">
        <f t="shared" si="5"/>
        <v/>
      </c>
      <c r="Y848" s="40" t="str">
        <f>IF($X848="","",IF(Config!$B$17=Config!$B$16,IF($X848&gt;=Config!$B$17,100,0),MAX(0,MIN(100,($X848-Config!$B$16)/(Config!$B$17-Config!$B$16)*100))))</f>
        <v/>
      </c>
      <c r="Z848" s="40">
        <f>IF($M848="Elite",Config!$B$21,0)</f>
        <v>0</v>
      </c>
      <c r="AA848" s="40" t="str">
        <f>IFERROR(IF(OR($W848="",$H848=""),"",IF($W848&gt;$H848,
  MAX(0, 60-(($W848-$H848)*24/Config!$B$19)*60),
  MIN(100, 60+(($H848-$W848)*24/Config!$B$20)*40)
)),"")
</f>
        <v/>
      </c>
      <c r="AB848" s="40" t="str">
        <f>IF($K848="","",IFERROR(VLOOKUP($K848,Grinders!$A$4:$N$998,10,FALSE)/5*100,""))</f>
        <v/>
      </c>
      <c r="AC848" s="40" t="str">
        <f>IF($K848="","",IFERROR(VLOOKUP($K848,Grinders!$A$4:$N$998,11,FALSE)*100,""))</f>
        <v/>
      </c>
      <c r="AD848" s="40" t="str">
        <f>IF($K848="","",IFERROR(VLOOKUP($K848,Grinders!$A$4:$N$998,12,FALSE)*100,""))</f>
        <v/>
      </c>
      <c r="AE848" s="40">
        <f>IFERROR(IFS(
    OR($C848="", $K848=""), 0,
    $F848=0, 0,
    $D848&lt;&gt;"Open", 0,
    COUNTIFS(GrinderServices!$B$4:$B$998, $K848, GrinderServices!$C$4:$C$998, $E848, GrinderServices!$E$4:$E$998, "Y")=0, 0,
    $X848&lt;Config!$B$16, 0,
    Config!$B$18=1, IF($O848&gt;=N848, 0, 1),
    TRUE, 1
), "")
</f>
        <v>0</v>
      </c>
      <c r="AF848" s="40" t="str">
        <f>IFERROR(IF($AE848=0,"",((Config!$B$6*$Y848 + Config!$B$7*$U848 + Config!$B$8*$Z848 + Config!$B$9*$AA848 + Config!$B$10*$AB848 + Config!$B$11*$AC848 - Config!$B$12*$AD848)/Config!$B$13)+$AK848+$AL848),"")</f>
        <v/>
      </c>
      <c r="AG848" s="40" t="str">
        <f t="shared" si="6"/>
        <v/>
      </c>
      <c r="AH848" s="40" t="str">
        <f t="shared" si="7"/>
        <v/>
      </c>
      <c r="AI848" s="40" t="str">
        <f t="shared" si="8"/>
        <v/>
      </c>
      <c r="AJ848" s="40" t="str">
        <f>IF($K848="","",COUNTIF(Assignments!$B$6:$B$1000,$K848))</f>
        <v/>
      </c>
      <c r="AK848" s="40" t="str">
        <f>IF($K848="","",IF(AND($AJ848=0,$O848&lt;$N848),Config!$B$43,0))</f>
        <v/>
      </c>
      <c r="AL848" s="40" t="str">
        <f>IF($K848="","",IF(AND($M848="Elite",$G848&gt;=Config!$B$41,$O848&lt;$N848),Config!$B$42,0))</f>
        <v/>
      </c>
      <c r="AM848" s="22"/>
    </row>
    <row r="849" ht="15.75" customHeight="1">
      <c r="A849" s="40" t="str">
        <f t="shared" si="1"/>
        <v/>
      </c>
      <c r="B849" s="40" t="str">
        <f>IF(Bids!$A848="","",Bids!$A848)</f>
        <v/>
      </c>
      <c r="C849" s="40" t="str">
        <f>IF(Bids!$B848="","",Bids!$B848)</f>
        <v/>
      </c>
      <c r="D849" s="40" t="str">
        <f>IF($C849="","",IFERROR(VLOOKUP($C849,Orders!$A$4:$J$998,9,FALSE),""))</f>
        <v/>
      </c>
      <c r="E849" s="40" t="str">
        <f>IF($C849="","",IFERROR(VLOOKUP($C849,Orders!$A$4:$J$998,3,FALSE),""))</f>
        <v/>
      </c>
      <c r="F849" s="40">
        <f t="shared" si="2"/>
        <v>1</v>
      </c>
      <c r="G849" s="40" t="str">
        <f>IF($C849="","",IFERROR(VLOOKUP($C849,Orders!$A$4:$J$998,4,FALSE),""))</f>
        <v/>
      </c>
      <c r="H849" s="40" t="str">
        <f>IF($C849="","",IFERROR(VLOOKUP($C849,Orders!$A$4:$J$998,5,FALSE),""))</f>
        <v/>
      </c>
      <c r="I849" s="40" t="str">
        <f>IF($C849="","",IFERROR(VLOOKUP($C849,Orders!$A$4:$J$998,6,FALSE),""))</f>
        <v/>
      </c>
      <c r="J849" s="40" t="str">
        <f>IF($C849="","",IFERROR(VLOOKUP($C849,Orders!$A$4:$J$998,7,FALSE),""))</f>
        <v/>
      </c>
      <c r="K849" s="40" t="str">
        <f>IF(Bids!$C848="","",Bids!$C848)</f>
        <v/>
      </c>
      <c r="L849" s="40" t="str">
        <f>IF($K849="","",IFERROR(VLOOKUP($K849,Grinders!$A$4:$N$998,2,FALSE),""))</f>
        <v/>
      </c>
      <c r="M849" s="40" t="str">
        <f>IF($K849="","",IFERROR(VLOOKUP($K849,Grinders!$A$4:$N$998,3,FALSE),""))</f>
        <v/>
      </c>
      <c r="N849" s="40" t="str">
        <f>IF($K849="","",IFERROR(VLOOKUP($K849,Grinders!$A$4:$N$998,4,FALSE),""))</f>
        <v/>
      </c>
      <c r="O849" s="40" t="str">
        <f>IF($K849="","",IFERROR(VLOOKUP($K849,Grinders!$A$4:$N$998,5,FALSE),""))</f>
        <v/>
      </c>
      <c r="P849" s="40" t="str">
        <f>IF($K849="","",IF($C$4="",0,COUNTIFS(Assignments!$B$6:$B$1000,$K849,Assignments!$F$6:$F$1000,$C$4,Assignments!$E$6:$E$1000,"Active")))</f>
        <v/>
      </c>
      <c r="Q849" s="40" t="str">
        <f t="shared" si="3"/>
        <v/>
      </c>
      <c r="R849" s="40" t="str">
        <f t="shared" si="4"/>
        <v/>
      </c>
      <c r="S849" s="40" t="str">
        <f>IF($K849="","",IF($C$4="",0,COUNTIFS(Assignments!$B$6:$B$1000,$K849,Assignments!$F$6:$F$1000,$C$4,Assignments!$D$6:$D$1000,"&gt;="&amp;Config!$B$3-7,Assignments!$D$6:$D$1000,"&lt;="&amp;Config!$B$3)))</f>
        <v/>
      </c>
      <c r="T849" s="40" t="str">
        <f>IF($K849="","",IFERROR(VLOOKUP($K849,Grinders!$A$4:$N$998,8,FALSE),""))</f>
        <v/>
      </c>
      <c r="U849" s="40" t="str">
        <f>IFERROR(IF($K849="","",IF($M849="Elite",MAX(50,MIN(100,Config!$B$27*MAX(0,MIN(100,(1-IF($R849="",0,$R849))*100)) + Config!$B$28*MAX(0,MIN(100,(1-MIN(1,IF(Config!$B$30=0,1,$S849/Config!$B$30)))*100)) + Config!$B$29*MAX(0,MIN(100,MIN(1,IF($T849="",0,$T849)/Config!$B$23)*100)))),MIN(100,Config!$B$27*MAX(0,MIN(100,(1-IF($R849="",0,$R849))*100)) + Config!$B$28*MAX(0,MIN(100,(1-MIN(1,IF(Config!$B$30=0,1,$S849/Config!$B$30)))*100)) + Config!$B$29*MAX(0,MIN(100,MIN(1,IF($T849="",0,$T849)/Config!$B$23)*100))))),"")
</f>
        <v/>
      </c>
      <c r="V849" s="40" t="str">
        <f>IF(Bids!$D848="","",Bids!$D848)</f>
        <v/>
      </c>
      <c r="W849" s="40" t="str">
        <f>IF(Bids!$F848="","",Bids!$F848)</f>
        <v/>
      </c>
      <c r="X849" s="40" t="str">
        <f t="shared" si="5"/>
        <v/>
      </c>
      <c r="Y849" s="40" t="str">
        <f>IF($X849="","",IF(Config!$B$17=Config!$B$16,IF($X849&gt;=Config!$B$17,100,0),MAX(0,MIN(100,($X849-Config!$B$16)/(Config!$B$17-Config!$B$16)*100))))</f>
        <v/>
      </c>
      <c r="Z849" s="40">
        <f>IF($M849="Elite",Config!$B$21,0)</f>
        <v>0</v>
      </c>
      <c r="AA849" s="40" t="str">
        <f>IFERROR(IF(OR($W849="",$H849=""),"",IF($W849&gt;$H849,
  MAX(0, 60-(($W849-$H849)*24/Config!$B$19)*60),
  MIN(100, 60+(($H849-$W849)*24/Config!$B$20)*40)
)),"")
</f>
        <v/>
      </c>
      <c r="AB849" s="40" t="str">
        <f>IF($K849="","",IFERROR(VLOOKUP($K849,Grinders!$A$4:$N$998,10,FALSE)/5*100,""))</f>
        <v/>
      </c>
      <c r="AC849" s="40" t="str">
        <f>IF($K849="","",IFERROR(VLOOKUP($K849,Grinders!$A$4:$N$998,11,FALSE)*100,""))</f>
        <v/>
      </c>
      <c r="AD849" s="40" t="str">
        <f>IF($K849="","",IFERROR(VLOOKUP($K849,Grinders!$A$4:$N$998,12,FALSE)*100,""))</f>
        <v/>
      </c>
      <c r="AE849" s="40">
        <f>IFERROR(IFS(
    OR($C849="", $K849=""), 0,
    $F849=0, 0,
    $D849&lt;&gt;"Open", 0,
    COUNTIFS(GrinderServices!$B$4:$B$998, $K849, GrinderServices!$C$4:$C$998, $E849, GrinderServices!$E$4:$E$998, "Y")=0, 0,
    $X849&lt;Config!$B$16, 0,
    Config!$B$18=1, IF($O849&gt;=N849, 0, 1),
    TRUE, 1
), "")
</f>
        <v>0</v>
      </c>
      <c r="AF849" s="40" t="str">
        <f>IFERROR(IF($AE849=0,"",((Config!$B$6*$Y849 + Config!$B$7*$U849 + Config!$B$8*$Z849 + Config!$B$9*$AA849 + Config!$B$10*$AB849 + Config!$B$11*$AC849 - Config!$B$12*$AD849)/Config!$B$13)+$AK849+$AL849),"")</f>
        <v/>
      </c>
      <c r="AG849" s="40" t="str">
        <f t="shared" si="6"/>
        <v/>
      </c>
      <c r="AH849" s="40" t="str">
        <f t="shared" si="7"/>
        <v/>
      </c>
      <c r="AI849" s="40" t="str">
        <f t="shared" si="8"/>
        <v/>
      </c>
      <c r="AJ849" s="40" t="str">
        <f>IF($K849="","",COUNTIF(Assignments!$B$6:$B$1000,$K849))</f>
        <v/>
      </c>
      <c r="AK849" s="40" t="str">
        <f>IF($K849="","",IF(AND($AJ849=0,$O849&lt;$N849),Config!$B$43,0))</f>
        <v/>
      </c>
      <c r="AL849" s="40" t="str">
        <f>IF($K849="","",IF(AND($M849="Elite",$G849&gt;=Config!$B$41,$O849&lt;$N849),Config!$B$42,0))</f>
        <v/>
      </c>
      <c r="AM849" s="22"/>
    </row>
    <row r="850" ht="15.75" customHeight="1">
      <c r="A850" s="40" t="str">
        <f t="shared" si="1"/>
        <v/>
      </c>
      <c r="B850" s="40" t="str">
        <f>IF(Bids!$A849="","",Bids!$A849)</f>
        <v/>
      </c>
      <c r="C850" s="40" t="str">
        <f>IF(Bids!$B849="","",Bids!$B849)</f>
        <v/>
      </c>
      <c r="D850" s="40" t="str">
        <f>IF($C850="","",IFERROR(VLOOKUP($C850,Orders!$A$4:$J$998,9,FALSE),""))</f>
        <v/>
      </c>
      <c r="E850" s="40" t="str">
        <f>IF($C850="","",IFERROR(VLOOKUP($C850,Orders!$A$4:$J$998,3,FALSE),""))</f>
        <v/>
      </c>
      <c r="F850" s="40">
        <f t="shared" si="2"/>
        <v>1</v>
      </c>
      <c r="G850" s="40" t="str">
        <f>IF($C850="","",IFERROR(VLOOKUP($C850,Orders!$A$4:$J$998,4,FALSE),""))</f>
        <v/>
      </c>
      <c r="H850" s="40" t="str">
        <f>IF($C850="","",IFERROR(VLOOKUP($C850,Orders!$A$4:$J$998,5,FALSE),""))</f>
        <v/>
      </c>
      <c r="I850" s="40" t="str">
        <f>IF($C850="","",IFERROR(VLOOKUP($C850,Orders!$A$4:$J$998,6,FALSE),""))</f>
        <v/>
      </c>
      <c r="J850" s="40" t="str">
        <f>IF($C850="","",IFERROR(VLOOKUP($C850,Orders!$A$4:$J$998,7,FALSE),""))</f>
        <v/>
      </c>
      <c r="K850" s="40" t="str">
        <f>IF(Bids!$C849="","",Bids!$C849)</f>
        <v/>
      </c>
      <c r="L850" s="40" t="str">
        <f>IF($K850="","",IFERROR(VLOOKUP($K850,Grinders!$A$4:$N$998,2,FALSE),""))</f>
        <v/>
      </c>
      <c r="M850" s="40" t="str">
        <f>IF($K850="","",IFERROR(VLOOKUP($K850,Grinders!$A$4:$N$998,3,FALSE),""))</f>
        <v/>
      </c>
      <c r="N850" s="40" t="str">
        <f>IF($K850="","",IFERROR(VLOOKUP($K850,Grinders!$A$4:$N$998,4,FALSE),""))</f>
        <v/>
      </c>
      <c r="O850" s="40" t="str">
        <f>IF($K850="","",IFERROR(VLOOKUP($K850,Grinders!$A$4:$N$998,5,FALSE),""))</f>
        <v/>
      </c>
      <c r="P850" s="40" t="str">
        <f>IF($K850="","",IF($C$4="",0,COUNTIFS(Assignments!$B$6:$B$1000,$K850,Assignments!$F$6:$F$1000,$C$4,Assignments!$E$6:$E$1000,"Active")))</f>
        <v/>
      </c>
      <c r="Q850" s="40" t="str">
        <f t="shared" si="3"/>
        <v/>
      </c>
      <c r="R850" s="40" t="str">
        <f t="shared" si="4"/>
        <v/>
      </c>
      <c r="S850" s="40" t="str">
        <f>IF($K850="","",IF($C$4="",0,COUNTIFS(Assignments!$B$6:$B$1000,$K850,Assignments!$F$6:$F$1000,$C$4,Assignments!$D$6:$D$1000,"&gt;="&amp;Config!$B$3-7,Assignments!$D$6:$D$1000,"&lt;="&amp;Config!$B$3)))</f>
        <v/>
      </c>
      <c r="T850" s="40" t="str">
        <f>IF($K850="","",IFERROR(VLOOKUP($K850,Grinders!$A$4:$N$998,8,FALSE),""))</f>
        <v/>
      </c>
      <c r="U850" s="40" t="str">
        <f>IFERROR(IF($K850="","",IF($M850="Elite",MAX(50,MIN(100,Config!$B$27*MAX(0,MIN(100,(1-IF($R850="",0,$R850))*100)) + Config!$B$28*MAX(0,MIN(100,(1-MIN(1,IF(Config!$B$30=0,1,$S850/Config!$B$30)))*100)) + Config!$B$29*MAX(0,MIN(100,MIN(1,IF($T850="",0,$T850)/Config!$B$23)*100)))),MIN(100,Config!$B$27*MAX(0,MIN(100,(1-IF($R850="",0,$R850))*100)) + Config!$B$28*MAX(0,MIN(100,(1-MIN(1,IF(Config!$B$30=0,1,$S850/Config!$B$30)))*100)) + Config!$B$29*MAX(0,MIN(100,MIN(1,IF($T850="",0,$T850)/Config!$B$23)*100))))),"")
</f>
        <v/>
      </c>
      <c r="V850" s="40" t="str">
        <f>IF(Bids!$D849="","",Bids!$D849)</f>
        <v/>
      </c>
      <c r="W850" s="40" t="str">
        <f>IF(Bids!$F849="","",Bids!$F849)</f>
        <v/>
      </c>
      <c r="X850" s="40" t="str">
        <f t="shared" si="5"/>
        <v/>
      </c>
      <c r="Y850" s="40" t="str">
        <f>IF($X850="","",IF(Config!$B$17=Config!$B$16,IF($X850&gt;=Config!$B$17,100,0),MAX(0,MIN(100,($X850-Config!$B$16)/(Config!$B$17-Config!$B$16)*100))))</f>
        <v/>
      </c>
      <c r="Z850" s="40">
        <f>IF($M850="Elite",Config!$B$21,0)</f>
        <v>0</v>
      </c>
      <c r="AA850" s="40" t="str">
        <f>IFERROR(IF(OR($W850="",$H850=""),"",IF($W850&gt;$H850,
  MAX(0, 60-(($W850-$H850)*24/Config!$B$19)*60),
  MIN(100, 60+(($H850-$W850)*24/Config!$B$20)*40)
)),"")
</f>
        <v/>
      </c>
      <c r="AB850" s="40" t="str">
        <f>IF($K850="","",IFERROR(VLOOKUP($K850,Grinders!$A$4:$N$998,10,FALSE)/5*100,""))</f>
        <v/>
      </c>
      <c r="AC850" s="40" t="str">
        <f>IF($K850="","",IFERROR(VLOOKUP($K850,Grinders!$A$4:$N$998,11,FALSE)*100,""))</f>
        <v/>
      </c>
      <c r="AD850" s="40" t="str">
        <f>IF($K850="","",IFERROR(VLOOKUP($K850,Grinders!$A$4:$N$998,12,FALSE)*100,""))</f>
        <v/>
      </c>
      <c r="AE850" s="40">
        <f>IFERROR(IFS(
    OR($C850="", $K850=""), 0,
    $F850=0, 0,
    $D850&lt;&gt;"Open", 0,
    COUNTIFS(GrinderServices!$B$4:$B$998, $K850, GrinderServices!$C$4:$C$998, $E850, GrinderServices!$E$4:$E$998, "Y")=0, 0,
    $X850&lt;Config!$B$16, 0,
    Config!$B$18=1, IF($O850&gt;=N850, 0, 1),
    TRUE, 1
), "")
</f>
        <v>0</v>
      </c>
      <c r="AF850" s="40" t="str">
        <f>IFERROR(IF($AE850=0,"",((Config!$B$6*$Y850 + Config!$B$7*$U850 + Config!$B$8*$Z850 + Config!$B$9*$AA850 + Config!$B$10*$AB850 + Config!$B$11*$AC850 - Config!$B$12*$AD850)/Config!$B$13)+$AK850+$AL850),"")</f>
        <v/>
      </c>
      <c r="AG850" s="40" t="str">
        <f t="shared" si="6"/>
        <v/>
      </c>
      <c r="AH850" s="40" t="str">
        <f t="shared" si="7"/>
        <v/>
      </c>
      <c r="AI850" s="40" t="str">
        <f t="shared" si="8"/>
        <v/>
      </c>
      <c r="AJ850" s="40" t="str">
        <f>IF($K850="","",COUNTIF(Assignments!$B$6:$B$1000,$K850))</f>
        <v/>
      </c>
      <c r="AK850" s="40" t="str">
        <f>IF($K850="","",IF(AND($AJ850=0,$O850&lt;$N850),Config!$B$43,0))</f>
        <v/>
      </c>
      <c r="AL850" s="40" t="str">
        <f>IF($K850="","",IF(AND($M850="Elite",$G850&gt;=Config!$B$41,$O850&lt;$N850),Config!$B$42,0))</f>
        <v/>
      </c>
      <c r="AM850" s="22"/>
    </row>
    <row r="851" ht="15.75" customHeight="1">
      <c r="A851" s="40" t="str">
        <f t="shared" si="1"/>
        <v/>
      </c>
      <c r="B851" s="40" t="str">
        <f>IF(Bids!$A850="","",Bids!$A850)</f>
        <v/>
      </c>
      <c r="C851" s="40" t="str">
        <f>IF(Bids!$B850="","",Bids!$B850)</f>
        <v/>
      </c>
      <c r="D851" s="40" t="str">
        <f>IF($C851="","",IFERROR(VLOOKUP($C851,Orders!$A$4:$J$998,9,FALSE),""))</f>
        <v/>
      </c>
      <c r="E851" s="40" t="str">
        <f>IF($C851="","",IFERROR(VLOOKUP($C851,Orders!$A$4:$J$998,3,FALSE),""))</f>
        <v/>
      </c>
      <c r="F851" s="40">
        <f t="shared" si="2"/>
        <v>1</v>
      </c>
      <c r="G851" s="40" t="str">
        <f>IF($C851="","",IFERROR(VLOOKUP($C851,Orders!$A$4:$J$998,4,FALSE),""))</f>
        <v/>
      </c>
      <c r="H851" s="40" t="str">
        <f>IF($C851="","",IFERROR(VLOOKUP($C851,Orders!$A$4:$J$998,5,FALSE),""))</f>
        <v/>
      </c>
      <c r="I851" s="40" t="str">
        <f>IF($C851="","",IFERROR(VLOOKUP($C851,Orders!$A$4:$J$998,6,FALSE),""))</f>
        <v/>
      </c>
      <c r="J851" s="40" t="str">
        <f>IF($C851="","",IFERROR(VLOOKUP($C851,Orders!$A$4:$J$998,7,FALSE),""))</f>
        <v/>
      </c>
      <c r="K851" s="40" t="str">
        <f>IF(Bids!$C850="","",Bids!$C850)</f>
        <v/>
      </c>
      <c r="L851" s="40" t="str">
        <f>IF($K851="","",IFERROR(VLOOKUP($K851,Grinders!$A$4:$N$998,2,FALSE),""))</f>
        <v/>
      </c>
      <c r="M851" s="40" t="str">
        <f>IF($K851="","",IFERROR(VLOOKUP($K851,Grinders!$A$4:$N$998,3,FALSE),""))</f>
        <v/>
      </c>
      <c r="N851" s="40" t="str">
        <f>IF($K851="","",IFERROR(VLOOKUP($K851,Grinders!$A$4:$N$998,4,FALSE),""))</f>
        <v/>
      </c>
      <c r="O851" s="40" t="str">
        <f>IF($K851="","",IFERROR(VLOOKUP($K851,Grinders!$A$4:$N$998,5,FALSE),""))</f>
        <v/>
      </c>
      <c r="P851" s="40" t="str">
        <f>IF($K851="","",IF($C$4="",0,COUNTIFS(Assignments!$B$6:$B$1000,$K851,Assignments!$F$6:$F$1000,$C$4,Assignments!$E$6:$E$1000,"Active")))</f>
        <v/>
      </c>
      <c r="Q851" s="40" t="str">
        <f t="shared" si="3"/>
        <v/>
      </c>
      <c r="R851" s="40" t="str">
        <f t="shared" si="4"/>
        <v/>
      </c>
      <c r="S851" s="40" t="str">
        <f>IF($K851="","",IF($C$4="",0,COUNTIFS(Assignments!$B$6:$B$1000,$K851,Assignments!$F$6:$F$1000,$C$4,Assignments!$D$6:$D$1000,"&gt;="&amp;Config!$B$3-7,Assignments!$D$6:$D$1000,"&lt;="&amp;Config!$B$3)))</f>
        <v/>
      </c>
      <c r="T851" s="40" t="str">
        <f>IF($K851="","",IFERROR(VLOOKUP($K851,Grinders!$A$4:$N$998,8,FALSE),""))</f>
        <v/>
      </c>
      <c r="U851" s="40" t="str">
        <f>IFERROR(IF($K851="","",IF($M851="Elite",MAX(50,MIN(100,Config!$B$27*MAX(0,MIN(100,(1-IF($R851="",0,$R851))*100)) + Config!$B$28*MAX(0,MIN(100,(1-MIN(1,IF(Config!$B$30=0,1,$S851/Config!$B$30)))*100)) + Config!$B$29*MAX(0,MIN(100,MIN(1,IF($T851="",0,$T851)/Config!$B$23)*100)))),MIN(100,Config!$B$27*MAX(0,MIN(100,(1-IF($R851="",0,$R851))*100)) + Config!$B$28*MAX(0,MIN(100,(1-MIN(1,IF(Config!$B$30=0,1,$S851/Config!$B$30)))*100)) + Config!$B$29*MAX(0,MIN(100,MIN(1,IF($T851="",0,$T851)/Config!$B$23)*100))))),"")
</f>
        <v/>
      </c>
      <c r="V851" s="40" t="str">
        <f>IF(Bids!$D850="","",Bids!$D850)</f>
        <v/>
      </c>
      <c r="W851" s="40" t="str">
        <f>IF(Bids!$F850="","",Bids!$F850)</f>
        <v/>
      </c>
      <c r="X851" s="40" t="str">
        <f t="shared" si="5"/>
        <v/>
      </c>
      <c r="Y851" s="40" t="str">
        <f>IF($X851="","",IF(Config!$B$17=Config!$B$16,IF($X851&gt;=Config!$B$17,100,0),MAX(0,MIN(100,($X851-Config!$B$16)/(Config!$B$17-Config!$B$16)*100))))</f>
        <v/>
      </c>
      <c r="Z851" s="40">
        <f>IF($M851="Elite",Config!$B$21,0)</f>
        <v>0</v>
      </c>
      <c r="AA851" s="40" t="str">
        <f>IFERROR(IF(OR($W851="",$H851=""),"",IF($W851&gt;$H851,
  MAX(0, 60-(($W851-$H851)*24/Config!$B$19)*60),
  MIN(100, 60+(($H851-$W851)*24/Config!$B$20)*40)
)),"")
</f>
        <v/>
      </c>
      <c r="AB851" s="40" t="str">
        <f>IF($K851="","",IFERROR(VLOOKUP($K851,Grinders!$A$4:$N$998,10,FALSE)/5*100,""))</f>
        <v/>
      </c>
      <c r="AC851" s="40" t="str">
        <f>IF($K851="","",IFERROR(VLOOKUP($K851,Grinders!$A$4:$N$998,11,FALSE)*100,""))</f>
        <v/>
      </c>
      <c r="AD851" s="40" t="str">
        <f>IF($K851="","",IFERROR(VLOOKUP($K851,Grinders!$A$4:$N$998,12,FALSE)*100,""))</f>
        <v/>
      </c>
      <c r="AE851" s="40">
        <f>IFERROR(IFS(
    OR($C851="", $K851=""), 0,
    $F851=0, 0,
    $D851&lt;&gt;"Open", 0,
    COUNTIFS(GrinderServices!$B$4:$B$998, $K851, GrinderServices!$C$4:$C$998, $E851, GrinderServices!$E$4:$E$998, "Y")=0, 0,
    $X851&lt;Config!$B$16, 0,
    Config!$B$18=1, IF($O851&gt;=N851, 0, 1),
    TRUE, 1
), "")
</f>
        <v>0</v>
      </c>
      <c r="AF851" s="40" t="str">
        <f>IFERROR(IF($AE851=0,"",((Config!$B$6*$Y851 + Config!$B$7*$U851 + Config!$B$8*$Z851 + Config!$B$9*$AA851 + Config!$B$10*$AB851 + Config!$B$11*$AC851 - Config!$B$12*$AD851)/Config!$B$13)+$AK851+$AL851),"")</f>
        <v/>
      </c>
      <c r="AG851" s="40" t="str">
        <f t="shared" si="6"/>
        <v/>
      </c>
      <c r="AH851" s="40" t="str">
        <f t="shared" si="7"/>
        <v/>
      </c>
      <c r="AI851" s="40" t="str">
        <f t="shared" si="8"/>
        <v/>
      </c>
      <c r="AJ851" s="40" t="str">
        <f>IF($K851="","",COUNTIF(Assignments!$B$6:$B$1000,$K851))</f>
        <v/>
      </c>
      <c r="AK851" s="40" t="str">
        <f>IF($K851="","",IF(AND($AJ851=0,$O851&lt;$N851),Config!$B$43,0))</f>
        <v/>
      </c>
      <c r="AL851" s="40" t="str">
        <f>IF($K851="","",IF(AND($M851="Elite",$G851&gt;=Config!$B$41,$O851&lt;$N851),Config!$B$42,0))</f>
        <v/>
      </c>
      <c r="AM851" s="22"/>
    </row>
    <row r="852" ht="15.75" customHeight="1">
      <c r="A852" s="40" t="str">
        <f t="shared" si="1"/>
        <v/>
      </c>
      <c r="B852" s="40" t="str">
        <f>IF(Bids!$A851="","",Bids!$A851)</f>
        <v/>
      </c>
      <c r="C852" s="40" t="str">
        <f>IF(Bids!$B851="","",Bids!$B851)</f>
        <v/>
      </c>
      <c r="D852" s="40" t="str">
        <f>IF($C852="","",IFERROR(VLOOKUP($C852,Orders!$A$4:$J$998,9,FALSE),""))</f>
        <v/>
      </c>
      <c r="E852" s="40" t="str">
        <f>IF($C852="","",IFERROR(VLOOKUP($C852,Orders!$A$4:$J$998,3,FALSE),""))</f>
        <v/>
      </c>
      <c r="F852" s="40">
        <f t="shared" si="2"/>
        <v>1</v>
      </c>
      <c r="G852" s="40" t="str">
        <f>IF($C852="","",IFERROR(VLOOKUP($C852,Orders!$A$4:$J$998,4,FALSE),""))</f>
        <v/>
      </c>
      <c r="H852" s="40" t="str">
        <f>IF($C852="","",IFERROR(VLOOKUP($C852,Orders!$A$4:$J$998,5,FALSE),""))</f>
        <v/>
      </c>
      <c r="I852" s="40" t="str">
        <f>IF($C852="","",IFERROR(VLOOKUP($C852,Orders!$A$4:$J$998,6,FALSE),""))</f>
        <v/>
      </c>
      <c r="J852" s="40" t="str">
        <f>IF($C852="","",IFERROR(VLOOKUP($C852,Orders!$A$4:$J$998,7,FALSE),""))</f>
        <v/>
      </c>
      <c r="K852" s="40" t="str">
        <f>IF(Bids!$C851="","",Bids!$C851)</f>
        <v/>
      </c>
      <c r="L852" s="40" t="str">
        <f>IF($K852="","",IFERROR(VLOOKUP($K852,Grinders!$A$4:$N$998,2,FALSE),""))</f>
        <v/>
      </c>
      <c r="M852" s="40" t="str">
        <f>IF($K852="","",IFERROR(VLOOKUP($K852,Grinders!$A$4:$N$998,3,FALSE),""))</f>
        <v/>
      </c>
      <c r="N852" s="40" t="str">
        <f>IF($K852="","",IFERROR(VLOOKUP($K852,Grinders!$A$4:$N$998,4,FALSE),""))</f>
        <v/>
      </c>
      <c r="O852" s="40" t="str">
        <f>IF($K852="","",IFERROR(VLOOKUP($K852,Grinders!$A$4:$N$998,5,FALSE),""))</f>
        <v/>
      </c>
      <c r="P852" s="40" t="str">
        <f>IF($K852="","",IF($C$4="",0,COUNTIFS(Assignments!$B$6:$B$1000,$K852,Assignments!$F$6:$F$1000,$C$4,Assignments!$E$6:$E$1000,"Active")))</f>
        <v/>
      </c>
      <c r="Q852" s="40" t="str">
        <f t="shared" si="3"/>
        <v/>
      </c>
      <c r="R852" s="40" t="str">
        <f t="shared" si="4"/>
        <v/>
      </c>
      <c r="S852" s="40" t="str">
        <f>IF($K852="","",IF($C$4="",0,COUNTIFS(Assignments!$B$6:$B$1000,$K852,Assignments!$F$6:$F$1000,$C$4,Assignments!$D$6:$D$1000,"&gt;="&amp;Config!$B$3-7,Assignments!$D$6:$D$1000,"&lt;="&amp;Config!$B$3)))</f>
        <v/>
      </c>
      <c r="T852" s="40" t="str">
        <f>IF($K852="","",IFERROR(VLOOKUP($K852,Grinders!$A$4:$N$998,8,FALSE),""))</f>
        <v/>
      </c>
      <c r="U852" s="40" t="str">
        <f>IFERROR(IF($K852="","",IF($M852="Elite",MAX(50,MIN(100,Config!$B$27*MAX(0,MIN(100,(1-IF($R852="",0,$R852))*100)) + Config!$B$28*MAX(0,MIN(100,(1-MIN(1,IF(Config!$B$30=0,1,$S852/Config!$B$30)))*100)) + Config!$B$29*MAX(0,MIN(100,MIN(1,IF($T852="",0,$T852)/Config!$B$23)*100)))),MIN(100,Config!$B$27*MAX(0,MIN(100,(1-IF($R852="",0,$R852))*100)) + Config!$B$28*MAX(0,MIN(100,(1-MIN(1,IF(Config!$B$30=0,1,$S852/Config!$B$30)))*100)) + Config!$B$29*MAX(0,MIN(100,MIN(1,IF($T852="",0,$T852)/Config!$B$23)*100))))),"")
</f>
        <v/>
      </c>
      <c r="V852" s="40" t="str">
        <f>IF(Bids!$D851="","",Bids!$D851)</f>
        <v/>
      </c>
      <c r="W852" s="40" t="str">
        <f>IF(Bids!$F851="","",Bids!$F851)</f>
        <v/>
      </c>
      <c r="X852" s="40" t="str">
        <f t="shared" si="5"/>
        <v/>
      </c>
      <c r="Y852" s="40" t="str">
        <f>IF($X852="","",IF(Config!$B$17=Config!$B$16,IF($X852&gt;=Config!$B$17,100,0),MAX(0,MIN(100,($X852-Config!$B$16)/(Config!$B$17-Config!$B$16)*100))))</f>
        <v/>
      </c>
      <c r="Z852" s="40">
        <f>IF($M852="Elite",Config!$B$21,0)</f>
        <v>0</v>
      </c>
      <c r="AA852" s="40" t="str">
        <f>IFERROR(IF(OR($W852="",$H852=""),"",IF($W852&gt;$H852,
  MAX(0, 60-(($W852-$H852)*24/Config!$B$19)*60),
  MIN(100, 60+(($H852-$W852)*24/Config!$B$20)*40)
)),"")
</f>
        <v/>
      </c>
      <c r="AB852" s="40" t="str">
        <f>IF($K852="","",IFERROR(VLOOKUP($K852,Grinders!$A$4:$N$998,10,FALSE)/5*100,""))</f>
        <v/>
      </c>
      <c r="AC852" s="40" t="str">
        <f>IF($K852="","",IFERROR(VLOOKUP($K852,Grinders!$A$4:$N$998,11,FALSE)*100,""))</f>
        <v/>
      </c>
      <c r="AD852" s="40" t="str">
        <f>IF($K852="","",IFERROR(VLOOKUP($K852,Grinders!$A$4:$N$998,12,FALSE)*100,""))</f>
        <v/>
      </c>
      <c r="AE852" s="40">
        <f>IFERROR(IFS(
    OR($C852="", $K852=""), 0,
    $F852=0, 0,
    $D852&lt;&gt;"Open", 0,
    COUNTIFS(GrinderServices!$B$4:$B$998, $K852, GrinderServices!$C$4:$C$998, $E852, GrinderServices!$E$4:$E$998, "Y")=0, 0,
    $X852&lt;Config!$B$16, 0,
    Config!$B$18=1, IF($O852&gt;=N852, 0, 1),
    TRUE, 1
), "")
</f>
        <v>0</v>
      </c>
      <c r="AF852" s="40" t="str">
        <f>IFERROR(IF($AE852=0,"",((Config!$B$6*$Y852 + Config!$B$7*$U852 + Config!$B$8*$Z852 + Config!$B$9*$AA852 + Config!$B$10*$AB852 + Config!$B$11*$AC852 - Config!$B$12*$AD852)/Config!$B$13)+$AK852+$AL852),"")</f>
        <v/>
      </c>
      <c r="AG852" s="40" t="str">
        <f t="shared" si="6"/>
        <v/>
      </c>
      <c r="AH852" s="40" t="str">
        <f t="shared" si="7"/>
        <v/>
      </c>
      <c r="AI852" s="40" t="str">
        <f t="shared" si="8"/>
        <v/>
      </c>
      <c r="AJ852" s="40" t="str">
        <f>IF($K852="","",COUNTIF(Assignments!$B$6:$B$1000,$K852))</f>
        <v/>
      </c>
      <c r="AK852" s="40" t="str">
        <f>IF($K852="","",IF(AND($AJ852=0,$O852&lt;$N852),Config!$B$43,0))</f>
        <v/>
      </c>
      <c r="AL852" s="40" t="str">
        <f>IF($K852="","",IF(AND($M852="Elite",$G852&gt;=Config!$B$41,$O852&lt;$N852),Config!$B$42,0))</f>
        <v/>
      </c>
      <c r="AM852" s="22"/>
    </row>
    <row r="853" ht="15.75" customHeight="1">
      <c r="A853" s="40" t="str">
        <f t="shared" si="1"/>
        <v/>
      </c>
      <c r="B853" s="40" t="str">
        <f>IF(Bids!$A852="","",Bids!$A852)</f>
        <v/>
      </c>
      <c r="C853" s="40" t="str">
        <f>IF(Bids!$B852="","",Bids!$B852)</f>
        <v/>
      </c>
      <c r="D853" s="40" t="str">
        <f>IF($C853="","",IFERROR(VLOOKUP($C853,Orders!$A$4:$J$998,9,FALSE),""))</f>
        <v/>
      </c>
      <c r="E853" s="40" t="str">
        <f>IF($C853="","",IFERROR(VLOOKUP($C853,Orders!$A$4:$J$998,3,FALSE),""))</f>
        <v/>
      </c>
      <c r="F853" s="40">
        <f t="shared" si="2"/>
        <v>1</v>
      </c>
      <c r="G853" s="40" t="str">
        <f>IF($C853="","",IFERROR(VLOOKUP($C853,Orders!$A$4:$J$998,4,FALSE),""))</f>
        <v/>
      </c>
      <c r="H853" s="40" t="str">
        <f>IF($C853="","",IFERROR(VLOOKUP($C853,Orders!$A$4:$J$998,5,FALSE),""))</f>
        <v/>
      </c>
      <c r="I853" s="40" t="str">
        <f>IF($C853="","",IFERROR(VLOOKUP($C853,Orders!$A$4:$J$998,6,FALSE),""))</f>
        <v/>
      </c>
      <c r="J853" s="40" t="str">
        <f>IF($C853="","",IFERROR(VLOOKUP($C853,Orders!$A$4:$J$998,7,FALSE),""))</f>
        <v/>
      </c>
      <c r="K853" s="40" t="str">
        <f>IF(Bids!$C852="","",Bids!$C852)</f>
        <v/>
      </c>
      <c r="L853" s="40" t="str">
        <f>IF($K853="","",IFERROR(VLOOKUP($K853,Grinders!$A$4:$N$998,2,FALSE),""))</f>
        <v/>
      </c>
      <c r="M853" s="40" t="str">
        <f>IF($K853="","",IFERROR(VLOOKUP($K853,Grinders!$A$4:$N$998,3,FALSE),""))</f>
        <v/>
      </c>
      <c r="N853" s="40" t="str">
        <f>IF($K853="","",IFERROR(VLOOKUP($K853,Grinders!$A$4:$N$998,4,FALSE),""))</f>
        <v/>
      </c>
      <c r="O853" s="40" t="str">
        <f>IF($K853="","",IFERROR(VLOOKUP($K853,Grinders!$A$4:$N$998,5,FALSE),""))</f>
        <v/>
      </c>
      <c r="P853" s="40" t="str">
        <f>IF($K853="","",IF($C$4="",0,COUNTIFS(Assignments!$B$6:$B$1000,$K853,Assignments!$F$6:$F$1000,$C$4,Assignments!$E$6:$E$1000,"Active")))</f>
        <v/>
      </c>
      <c r="Q853" s="40" t="str">
        <f t="shared" si="3"/>
        <v/>
      </c>
      <c r="R853" s="40" t="str">
        <f t="shared" si="4"/>
        <v/>
      </c>
      <c r="S853" s="40" t="str">
        <f>IF($K853="","",IF($C$4="",0,COUNTIFS(Assignments!$B$6:$B$1000,$K853,Assignments!$F$6:$F$1000,$C$4,Assignments!$D$6:$D$1000,"&gt;="&amp;Config!$B$3-7,Assignments!$D$6:$D$1000,"&lt;="&amp;Config!$B$3)))</f>
        <v/>
      </c>
      <c r="T853" s="40" t="str">
        <f>IF($K853="","",IFERROR(VLOOKUP($K853,Grinders!$A$4:$N$998,8,FALSE),""))</f>
        <v/>
      </c>
      <c r="U853" s="40" t="str">
        <f>IFERROR(IF($K853="","",IF($M853="Elite",MAX(50,MIN(100,Config!$B$27*MAX(0,MIN(100,(1-IF($R853="",0,$R853))*100)) + Config!$B$28*MAX(0,MIN(100,(1-MIN(1,IF(Config!$B$30=0,1,$S853/Config!$B$30)))*100)) + Config!$B$29*MAX(0,MIN(100,MIN(1,IF($T853="",0,$T853)/Config!$B$23)*100)))),MIN(100,Config!$B$27*MAX(0,MIN(100,(1-IF($R853="",0,$R853))*100)) + Config!$B$28*MAX(0,MIN(100,(1-MIN(1,IF(Config!$B$30=0,1,$S853/Config!$B$30)))*100)) + Config!$B$29*MAX(0,MIN(100,MIN(1,IF($T853="",0,$T853)/Config!$B$23)*100))))),"")
</f>
        <v/>
      </c>
      <c r="V853" s="40" t="str">
        <f>IF(Bids!$D852="","",Bids!$D852)</f>
        <v/>
      </c>
      <c r="W853" s="40" t="str">
        <f>IF(Bids!$F852="","",Bids!$F852)</f>
        <v/>
      </c>
      <c r="X853" s="40" t="str">
        <f t="shared" si="5"/>
        <v/>
      </c>
      <c r="Y853" s="40" t="str">
        <f>IF($X853="","",IF(Config!$B$17=Config!$B$16,IF($X853&gt;=Config!$B$17,100,0),MAX(0,MIN(100,($X853-Config!$B$16)/(Config!$B$17-Config!$B$16)*100))))</f>
        <v/>
      </c>
      <c r="Z853" s="40">
        <f>IF($M853="Elite",Config!$B$21,0)</f>
        <v>0</v>
      </c>
      <c r="AA853" s="40" t="str">
        <f>IFERROR(IF(OR($W853="",$H853=""),"",IF($W853&gt;$H853,
  MAX(0, 60-(($W853-$H853)*24/Config!$B$19)*60),
  MIN(100, 60+(($H853-$W853)*24/Config!$B$20)*40)
)),"")
</f>
        <v/>
      </c>
      <c r="AB853" s="40" t="str">
        <f>IF($K853="","",IFERROR(VLOOKUP($K853,Grinders!$A$4:$N$998,10,FALSE)/5*100,""))</f>
        <v/>
      </c>
      <c r="AC853" s="40" t="str">
        <f>IF($K853="","",IFERROR(VLOOKUP($K853,Grinders!$A$4:$N$998,11,FALSE)*100,""))</f>
        <v/>
      </c>
      <c r="AD853" s="40" t="str">
        <f>IF($K853="","",IFERROR(VLOOKUP($K853,Grinders!$A$4:$N$998,12,FALSE)*100,""))</f>
        <v/>
      </c>
      <c r="AE853" s="40">
        <f>IFERROR(IFS(
    OR($C853="", $K853=""), 0,
    $F853=0, 0,
    $D853&lt;&gt;"Open", 0,
    COUNTIFS(GrinderServices!$B$4:$B$998, $K853, GrinderServices!$C$4:$C$998, $E853, GrinderServices!$E$4:$E$998, "Y")=0, 0,
    $X853&lt;Config!$B$16, 0,
    Config!$B$18=1, IF($O853&gt;=N853, 0, 1),
    TRUE, 1
), "")
</f>
        <v>0</v>
      </c>
      <c r="AF853" s="40" t="str">
        <f>IFERROR(IF($AE853=0,"",((Config!$B$6*$Y853 + Config!$B$7*$U853 + Config!$B$8*$Z853 + Config!$B$9*$AA853 + Config!$B$10*$AB853 + Config!$B$11*$AC853 - Config!$B$12*$AD853)/Config!$B$13)+$AK853+$AL853),"")</f>
        <v/>
      </c>
      <c r="AG853" s="40" t="str">
        <f t="shared" si="6"/>
        <v/>
      </c>
      <c r="AH853" s="40" t="str">
        <f t="shared" si="7"/>
        <v/>
      </c>
      <c r="AI853" s="40" t="str">
        <f t="shared" si="8"/>
        <v/>
      </c>
      <c r="AJ853" s="40" t="str">
        <f>IF($K853="","",COUNTIF(Assignments!$B$6:$B$1000,$K853))</f>
        <v/>
      </c>
      <c r="AK853" s="40" t="str">
        <f>IF($K853="","",IF(AND($AJ853=0,$O853&lt;$N853),Config!$B$43,0))</f>
        <v/>
      </c>
      <c r="AL853" s="40" t="str">
        <f>IF($K853="","",IF(AND($M853="Elite",$G853&gt;=Config!$B$41,$O853&lt;$N853),Config!$B$42,0))</f>
        <v/>
      </c>
      <c r="AM853" s="22"/>
    </row>
    <row r="854" ht="15.75" customHeight="1">
      <c r="A854" s="40" t="str">
        <f t="shared" si="1"/>
        <v/>
      </c>
      <c r="B854" s="40" t="str">
        <f>IF(Bids!$A853="","",Bids!$A853)</f>
        <v/>
      </c>
      <c r="C854" s="40" t="str">
        <f>IF(Bids!$B853="","",Bids!$B853)</f>
        <v/>
      </c>
      <c r="D854" s="40" t="str">
        <f>IF($C854="","",IFERROR(VLOOKUP($C854,Orders!$A$4:$J$998,9,FALSE),""))</f>
        <v/>
      </c>
      <c r="E854" s="40" t="str">
        <f>IF($C854="","",IFERROR(VLOOKUP($C854,Orders!$A$4:$J$998,3,FALSE),""))</f>
        <v/>
      </c>
      <c r="F854" s="40">
        <f t="shared" si="2"/>
        <v>1</v>
      </c>
      <c r="G854" s="40" t="str">
        <f>IF($C854="","",IFERROR(VLOOKUP($C854,Orders!$A$4:$J$998,4,FALSE),""))</f>
        <v/>
      </c>
      <c r="H854" s="40" t="str">
        <f>IF($C854="","",IFERROR(VLOOKUP($C854,Orders!$A$4:$J$998,5,FALSE),""))</f>
        <v/>
      </c>
      <c r="I854" s="40" t="str">
        <f>IF($C854="","",IFERROR(VLOOKUP($C854,Orders!$A$4:$J$998,6,FALSE),""))</f>
        <v/>
      </c>
      <c r="J854" s="40" t="str">
        <f>IF($C854="","",IFERROR(VLOOKUP($C854,Orders!$A$4:$J$998,7,FALSE),""))</f>
        <v/>
      </c>
      <c r="K854" s="40" t="str">
        <f>IF(Bids!$C853="","",Bids!$C853)</f>
        <v/>
      </c>
      <c r="L854" s="40" t="str">
        <f>IF($K854="","",IFERROR(VLOOKUP($K854,Grinders!$A$4:$N$998,2,FALSE),""))</f>
        <v/>
      </c>
      <c r="M854" s="40" t="str">
        <f>IF($K854="","",IFERROR(VLOOKUP($K854,Grinders!$A$4:$N$998,3,FALSE),""))</f>
        <v/>
      </c>
      <c r="N854" s="40" t="str">
        <f>IF($K854="","",IFERROR(VLOOKUP($K854,Grinders!$A$4:$N$998,4,FALSE),""))</f>
        <v/>
      </c>
      <c r="O854" s="40" t="str">
        <f>IF($K854="","",IFERROR(VLOOKUP($K854,Grinders!$A$4:$N$998,5,FALSE),""))</f>
        <v/>
      </c>
      <c r="P854" s="40" t="str">
        <f>IF($K854="","",IF($C$4="",0,COUNTIFS(Assignments!$B$6:$B$1000,$K854,Assignments!$F$6:$F$1000,$C$4,Assignments!$E$6:$E$1000,"Active")))</f>
        <v/>
      </c>
      <c r="Q854" s="40" t="str">
        <f t="shared" si="3"/>
        <v/>
      </c>
      <c r="R854" s="40" t="str">
        <f t="shared" si="4"/>
        <v/>
      </c>
      <c r="S854" s="40" t="str">
        <f>IF($K854="","",IF($C$4="",0,COUNTIFS(Assignments!$B$6:$B$1000,$K854,Assignments!$F$6:$F$1000,$C$4,Assignments!$D$6:$D$1000,"&gt;="&amp;Config!$B$3-7,Assignments!$D$6:$D$1000,"&lt;="&amp;Config!$B$3)))</f>
        <v/>
      </c>
      <c r="T854" s="40" t="str">
        <f>IF($K854="","",IFERROR(VLOOKUP($K854,Grinders!$A$4:$N$998,8,FALSE),""))</f>
        <v/>
      </c>
      <c r="U854" s="40" t="str">
        <f>IFERROR(IF($K854="","",IF($M854="Elite",MAX(50,MIN(100,Config!$B$27*MAX(0,MIN(100,(1-IF($R854="",0,$R854))*100)) + Config!$B$28*MAX(0,MIN(100,(1-MIN(1,IF(Config!$B$30=0,1,$S854/Config!$B$30)))*100)) + Config!$B$29*MAX(0,MIN(100,MIN(1,IF($T854="",0,$T854)/Config!$B$23)*100)))),MIN(100,Config!$B$27*MAX(0,MIN(100,(1-IF($R854="",0,$R854))*100)) + Config!$B$28*MAX(0,MIN(100,(1-MIN(1,IF(Config!$B$30=0,1,$S854/Config!$B$30)))*100)) + Config!$B$29*MAX(0,MIN(100,MIN(1,IF($T854="",0,$T854)/Config!$B$23)*100))))),"")
</f>
        <v/>
      </c>
      <c r="V854" s="40" t="str">
        <f>IF(Bids!$D853="","",Bids!$D853)</f>
        <v/>
      </c>
      <c r="W854" s="40" t="str">
        <f>IF(Bids!$F853="","",Bids!$F853)</f>
        <v/>
      </c>
      <c r="X854" s="40" t="str">
        <f t="shared" si="5"/>
        <v/>
      </c>
      <c r="Y854" s="40" t="str">
        <f>IF($X854="","",IF(Config!$B$17=Config!$B$16,IF($X854&gt;=Config!$B$17,100,0),MAX(0,MIN(100,($X854-Config!$B$16)/(Config!$B$17-Config!$B$16)*100))))</f>
        <v/>
      </c>
      <c r="Z854" s="40">
        <f>IF($M854="Elite",Config!$B$21,0)</f>
        <v>0</v>
      </c>
      <c r="AA854" s="40" t="str">
        <f>IFERROR(IF(OR($W854="",$H854=""),"",IF($W854&gt;$H854,
  MAX(0, 60-(($W854-$H854)*24/Config!$B$19)*60),
  MIN(100, 60+(($H854-$W854)*24/Config!$B$20)*40)
)),"")
</f>
        <v/>
      </c>
      <c r="AB854" s="40" t="str">
        <f>IF($K854="","",IFERROR(VLOOKUP($K854,Grinders!$A$4:$N$998,10,FALSE)/5*100,""))</f>
        <v/>
      </c>
      <c r="AC854" s="40" t="str">
        <f>IF($K854="","",IFERROR(VLOOKUP($K854,Grinders!$A$4:$N$998,11,FALSE)*100,""))</f>
        <v/>
      </c>
      <c r="AD854" s="40" t="str">
        <f>IF($K854="","",IFERROR(VLOOKUP($K854,Grinders!$A$4:$N$998,12,FALSE)*100,""))</f>
        <v/>
      </c>
      <c r="AE854" s="40">
        <f>IFERROR(IFS(
    OR($C854="", $K854=""), 0,
    $F854=0, 0,
    $D854&lt;&gt;"Open", 0,
    COUNTIFS(GrinderServices!$B$4:$B$998, $K854, GrinderServices!$C$4:$C$998, $E854, GrinderServices!$E$4:$E$998, "Y")=0, 0,
    $X854&lt;Config!$B$16, 0,
    Config!$B$18=1, IF($O854&gt;=N854, 0, 1),
    TRUE, 1
), "")
</f>
        <v>0</v>
      </c>
      <c r="AF854" s="40" t="str">
        <f>IFERROR(IF($AE854=0,"",((Config!$B$6*$Y854 + Config!$B$7*$U854 + Config!$B$8*$Z854 + Config!$B$9*$AA854 + Config!$B$10*$AB854 + Config!$B$11*$AC854 - Config!$B$12*$AD854)/Config!$B$13)+$AK854+$AL854),"")</f>
        <v/>
      </c>
      <c r="AG854" s="40" t="str">
        <f t="shared" si="6"/>
        <v/>
      </c>
      <c r="AH854" s="40" t="str">
        <f t="shared" si="7"/>
        <v/>
      </c>
      <c r="AI854" s="40" t="str">
        <f t="shared" si="8"/>
        <v/>
      </c>
      <c r="AJ854" s="40" t="str">
        <f>IF($K854="","",COUNTIF(Assignments!$B$6:$B$1000,$K854))</f>
        <v/>
      </c>
      <c r="AK854" s="40" t="str">
        <f>IF($K854="","",IF(AND($AJ854=0,$O854&lt;$N854),Config!$B$43,0))</f>
        <v/>
      </c>
      <c r="AL854" s="40" t="str">
        <f>IF($K854="","",IF(AND($M854="Elite",$G854&gt;=Config!$B$41,$O854&lt;$N854),Config!$B$42,0))</f>
        <v/>
      </c>
      <c r="AM854" s="22"/>
    </row>
    <row r="855" ht="15.75" customHeight="1">
      <c r="A855" s="40" t="str">
        <f t="shared" si="1"/>
        <v/>
      </c>
      <c r="B855" s="40" t="str">
        <f>IF(Bids!$A854="","",Bids!$A854)</f>
        <v/>
      </c>
      <c r="C855" s="40" t="str">
        <f>IF(Bids!$B854="","",Bids!$B854)</f>
        <v/>
      </c>
      <c r="D855" s="40" t="str">
        <f>IF($C855="","",IFERROR(VLOOKUP($C855,Orders!$A$4:$J$998,9,FALSE),""))</f>
        <v/>
      </c>
      <c r="E855" s="40" t="str">
        <f>IF($C855="","",IFERROR(VLOOKUP($C855,Orders!$A$4:$J$998,3,FALSE),""))</f>
        <v/>
      </c>
      <c r="F855" s="40">
        <f t="shared" si="2"/>
        <v>1</v>
      </c>
      <c r="G855" s="40" t="str">
        <f>IF($C855="","",IFERROR(VLOOKUP($C855,Orders!$A$4:$J$998,4,FALSE),""))</f>
        <v/>
      </c>
      <c r="H855" s="40" t="str">
        <f>IF($C855="","",IFERROR(VLOOKUP($C855,Orders!$A$4:$J$998,5,FALSE),""))</f>
        <v/>
      </c>
      <c r="I855" s="40" t="str">
        <f>IF($C855="","",IFERROR(VLOOKUP($C855,Orders!$A$4:$J$998,6,FALSE),""))</f>
        <v/>
      </c>
      <c r="J855" s="40" t="str">
        <f>IF($C855="","",IFERROR(VLOOKUP($C855,Orders!$A$4:$J$998,7,FALSE),""))</f>
        <v/>
      </c>
      <c r="K855" s="40" t="str">
        <f>IF(Bids!$C854="","",Bids!$C854)</f>
        <v/>
      </c>
      <c r="L855" s="40" t="str">
        <f>IF($K855="","",IFERROR(VLOOKUP($K855,Grinders!$A$4:$N$998,2,FALSE),""))</f>
        <v/>
      </c>
      <c r="M855" s="40" t="str">
        <f>IF($K855="","",IFERROR(VLOOKUP($K855,Grinders!$A$4:$N$998,3,FALSE),""))</f>
        <v/>
      </c>
      <c r="N855" s="40" t="str">
        <f>IF($K855="","",IFERROR(VLOOKUP($K855,Grinders!$A$4:$N$998,4,FALSE),""))</f>
        <v/>
      </c>
      <c r="O855" s="40" t="str">
        <f>IF($K855="","",IFERROR(VLOOKUP($K855,Grinders!$A$4:$N$998,5,FALSE),""))</f>
        <v/>
      </c>
      <c r="P855" s="40" t="str">
        <f>IF($K855="","",IF($C$4="",0,COUNTIFS(Assignments!$B$6:$B$1000,$K855,Assignments!$F$6:$F$1000,$C$4,Assignments!$E$6:$E$1000,"Active")))</f>
        <v/>
      </c>
      <c r="Q855" s="40" t="str">
        <f t="shared" si="3"/>
        <v/>
      </c>
      <c r="R855" s="40" t="str">
        <f t="shared" si="4"/>
        <v/>
      </c>
      <c r="S855" s="40" t="str">
        <f>IF($K855="","",IF($C$4="",0,COUNTIFS(Assignments!$B$6:$B$1000,$K855,Assignments!$F$6:$F$1000,$C$4,Assignments!$D$6:$D$1000,"&gt;="&amp;Config!$B$3-7,Assignments!$D$6:$D$1000,"&lt;="&amp;Config!$B$3)))</f>
        <v/>
      </c>
      <c r="T855" s="40" t="str">
        <f>IF($K855="","",IFERROR(VLOOKUP($K855,Grinders!$A$4:$N$998,8,FALSE),""))</f>
        <v/>
      </c>
      <c r="U855" s="40" t="str">
        <f>IFERROR(IF($K855="","",IF($M855="Elite",MAX(50,MIN(100,Config!$B$27*MAX(0,MIN(100,(1-IF($R855="",0,$R855))*100)) + Config!$B$28*MAX(0,MIN(100,(1-MIN(1,IF(Config!$B$30=0,1,$S855/Config!$B$30)))*100)) + Config!$B$29*MAX(0,MIN(100,MIN(1,IF($T855="",0,$T855)/Config!$B$23)*100)))),MIN(100,Config!$B$27*MAX(0,MIN(100,(1-IF($R855="",0,$R855))*100)) + Config!$B$28*MAX(0,MIN(100,(1-MIN(1,IF(Config!$B$30=0,1,$S855/Config!$B$30)))*100)) + Config!$B$29*MAX(0,MIN(100,MIN(1,IF($T855="",0,$T855)/Config!$B$23)*100))))),"")
</f>
        <v/>
      </c>
      <c r="V855" s="40" t="str">
        <f>IF(Bids!$D854="","",Bids!$D854)</f>
        <v/>
      </c>
      <c r="W855" s="40" t="str">
        <f>IF(Bids!$F854="","",Bids!$F854)</f>
        <v/>
      </c>
      <c r="X855" s="40" t="str">
        <f t="shared" si="5"/>
        <v/>
      </c>
      <c r="Y855" s="40" t="str">
        <f>IF($X855="","",IF(Config!$B$17=Config!$B$16,IF($X855&gt;=Config!$B$17,100,0),MAX(0,MIN(100,($X855-Config!$B$16)/(Config!$B$17-Config!$B$16)*100))))</f>
        <v/>
      </c>
      <c r="Z855" s="40">
        <f>IF($M855="Elite",Config!$B$21,0)</f>
        <v>0</v>
      </c>
      <c r="AA855" s="40" t="str">
        <f>IFERROR(IF(OR($W855="",$H855=""),"",IF($W855&gt;$H855,
  MAX(0, 60-(($W855-$H855)*24/Config!$B$19)*60),
  MIN(100, 60+(($H855-$W855)*24/Config!$B$20)*40)
)),"")
</f>
        <v/>
      </c>
      <c r="AB855" s="40" t="str">
        <f>IF($K855="","",IFERROR(VLOOKUP($K855,Grinders!$A$4:$N$998,10,FALSE)/5*100,""))</f>
        <v/>
      </c>
      <c r="AC855" s="40" t="str">
        <f>IF($K855="","",IFERROR(VLOOKUP($K855,Grinders!$A$4:$N$998,11,FALSE)*100,""))</f>
        <v/>
      </c>
      <c r="AD855" s="40" t="str">
        <f>IF($K855="","",IFERROR(VLOOKUP($K855,Grinders!$A$4:$N$998,12,FALSE)*100,""))</f>
        <v/>
      </c>
      <c r="AE855" s="40">
        <f>IFERROR(IFS(
    OR($C855="", $K855=""), 0,
    $F855=0, 0,
    $D855&lt;&gt;"Open", 0,
    COUNTIFS(GrinderServices!$B$4:$B$998, $K855, GrinderServices!$C$4:$C$998, $E855, GrinderServices!$E$4:$E$998, "Y")=0, 0,
    $X855&lt;Config!$B$16, 0,
    Config!$B$18=1, IF($O855&gt;=N855, 0, 1),
    TRUE, 1
), "")
</f>
        <v>0</v>
      </c>
      <c r="AF855" s="40" t="str">
        <f>IFERROR(IF($AE855=0,"",((Config!$B$6*$Y855 + Config!$B$7*$U855 + Config!$B$8*$Z855 + Config!$B$9*$AA855 + Config!$B$10*$AB855 + Config!$B$11*$AC855 - Config!$B$12*$AD855)/Config!$B$13)+$AK855+$AL855),"")</f>
        <v/>
      </c>
      <c r="AG855" s="40" t="str">
        <f t="shared" si="6"/>
        <v/>
      </c>
      <c r="AH855" s="40" t="str">
        <f t="shared" si="7"/>
        <v/>
      </c>
      <c r="AI855" s="40" t="str">
        <f t="shared" si="8"/>
        <v/>
      </c>
      <c r="AJ855" s="40" t="str">
        <f>IF($K855="","",COUNTIF(Assignments!$B$6:$B$1000,$K855))</f>
        <v/>
      </c>
      <c r="AK855" s="40" t="str">
        <f>IF($K855="","",IF(AND($AJ855=0,$O855&lt;$N855),Config!$B$43,0))</f>
        <v/>
      </c>
      <c r="AL855" s="40" t="str">
        <f>IF($K855="","",IF(AND($M855="Elite",$G855&gt;=Config!$B$41,$O855&lt;$N855),Config!$B$42,0))</f>
        <v/>
      </c>
      <c r="AM855" s="22"/>
    </row>
    <row r="856" ht="15.75" customHeight="1">
      <c r="A856" s="40" t="str">
        <f t="shared" si="1"/>
        <v/>
      </c>
      <c r="B856" s="40" t="str">
        <f>IF(Bids!$A855="","",Bids!$A855)</f>
        <v/>
      </c>
      <c r="C856" s="40" t="str">
        <f>IF(Bids!$B855="","",Bids!$B855)</f>
        <v/>
      </c>
      <c r="D856" s="40" t="str">
        <f>IF($C856="","",IFERROR(VLOOKUP($C856,Orders!$A$4:$J$998,9,FALSE),""))</f>
        <v/>
      </c>
      <c r="E856" s="40" t="str">
        <f>IF($C856="","",IFERROR(VLOOKUP($C856,Orders!$A$4:$J$998,3,FALSE),""))</f>
        <v/>
      </c>
      <c r="F856" s="40">
        <f t="shared" si="2"/>
        <v>1</v>
      </c>
      <c r="G856" s="40" t="str">
        <f>IF($C856="","",IFERROR(VLOOKUP($C856,Orders!$A$4:$J$998,4,FALSE),""))</f>
        <v/>
      </c>
      <c r="H856" s="40" t="str">
        <f>IF($C856="","",IFERROR(VLOOKUP($C856,Orders!$A$4:$J$998,5,FALSE),""))</f>
        <v/>
      </c>
      <c r="I856" s="40" t="str">
        <f>IF($C856="","",IFERROR(VLOOKUP($C856,Orders!$A$4:$J$998,6,FALSE),""))</f>
        <v/>
      </c>
      <c r="J856" s="40" t="str">
        <f>IF($C856="","",IFERROR(VLOOKUP($C856,Orders!$A$4:$J$998,7,FALSE),""))</f>
        <v/>
      </c>
      <c r="K856" s="40" t="str">
        <f>IF(Bids!$C855="","",Bids!$C855)</f>
        <v/>
      </c>
      <c r="L856" s="40" t="str">
        <f>IF($K856="","",IFERROR(VLOOKUP($K856,Grinders!$A$4:$N$998,2,FALSE),""))</f>
        <v/>
      </c>
      <c r="M856" s="40" t="str">
        <f>IF($K856="","",IFERROR(VLOOKUP($K856,Grinders!$A$4:$N$998,3,FALSE),""))</f>
        <v/>
      </c>
      <c r="N856" s="40" t="str">
        <f>IF($K856="","",IFERROR(VLOOKUP($K856,Grinders!$A$4:$N$998,4,FALSE),""))</f>
        <v/>
      </c>
      <c r="O856" s="40" t="str">
        <f>IF($K856="","",IFERROR(VLOOKUP($K856,Grinders!$A$4:$N$998,5,FALSE),""))</f>
        <v/>
      </c>
      <c r="P856" s="40" t="str">
        <f>IF($K856="","",IF($C$4="",0,COUNTIFS(Assignments!$B$6:$B$1000,$K856,Assignments!$F$6:$F$1000,$C$4,Assignments!$E$6:$E$1000,"Active")))</f>
        <v/>
      </c>
      <c r="Q856" s="40" t="str">
        <f t="shared" si="3"/>
        <v/>
      </c>
      <c r="R856" s="40" t="str">
        <f t="shared" si="4"/>
        <v/>
      </c>
      <c r="S856" s="40" t="str">
        <f>IF($K856="","",IF($C$4="",0,COUNTIFS(Assignments!$B$6:$B$1000,$K856,Assignments!$F$6:$F$1000,$C$4,Assignments!$D$6:$D$1000,"&gt;="&amp;Config!$B$3-7,Assignments!$D$6:$D$1000,"&lt;="&amp;Config!$B$3)))</f>
        <v/>
      </c>
      <c r="T856" s="40" t="str">
        <f>IF($K856="","",IFERROR(VLOOKUP($K856,Grinders!$A$4:$N$998,8,FALSE),""))</f>
        <v/>
      </c>
      <c r="U856" s="40" t="str">
        <f>IFERROR(IF($K856="","",IF($M856="Elite",MAX(50,MIN(100,Config!$B$27*MAX(0,MIN(100,(1-IF($R856="",0,$R856))*100)) + Config!$B$28*MAX(0,MIN(100,(1-MIN(1,IF(Config!$B$30=0,1,$S856/Config!$B$30)))*100)) + Config!$B$29*MAX(0,MIN(100,MIN(1,IF($T856="",0,$T856)/Config!$B$23)*100)))),MIN(100,Config!$B$27*MAX(0,MIN(100,(1-IF($R856="",0,$R856))*100)) + Config!$B$28*MAX(0,MIN(100,(1-MIN(1,IF(Config!$B$30=0,1,$S856/Config!$B$30)))*100)) + Config!$B$29*MAX(0,MIN(100,MIN(1,IF($T856="",0,$T856)/Config!$B$23)*100))))),"")
</f>
        <v/>
      </c>
      <c r="V856" s="40" t="str">
        <f>IF(Bids!$D855="","",Bids!$D855)</f>
        <v/>
      </c>
      <c r="W856" s="40" t="str">
        <f>IF(Bids!$F855="","",Bids!$F855)</f>
        <v/>
      </c>
      <c r="X856" s="40" t="str">
        <f t="shared" si="5"/>
        <v/>
      </c>
      <c r="Y856" s="40" t="str">
        <f>IF($X856="","",IF(Config!$B$17=Config!$B$16,IF($X856&gt;=Config!$B$17,100,0),MAX(0,MIN(100,($X856-Config!$B$16)/(Config!$B$17-Config!$B$16)*100))))</f>
        <v/>
      </c>
      <c r="Z856" s="40">
        <f>IF($M856="Elite",Config!$B$21,0)</f>
        <v>0</v>
      </c>
      <c r="AA856" s="40" t="str">
        <f>IFERROR(IF(OR($W856="",$H856=""),"",IF($W856&gt;$H856,
  MAX(0, 60-(($W856-$H856)*24/Config!$B$19)*60),
  MIN(100, 60+(($H856-$W856)*24/Config!$B$20)*40)
)),"")
</f>
        <v/>
      </c>
      <c r="AB856" s="40" t="str">
        <f>IF($K856="","",IFERROR(VLOOKUP($K856,Grinders!$A$4:$N$998,10,FALSE)/5*100,""))</f>
        <v/>
      </c>
      <c r="AC856" s="40" t="str">
        <f>IF($K856="","",IFERROR(VLOOKUP($K856,Grinders!$A$4:$N$998,11,FALSE)*100,""))</f>
        <v/>
      </c>
      <c r="AD856" s="40" t="str">
        <f>IF($K856="","",IFERROR(VLOOKUP($K856,Grinders!$A$4:$N$998,12,FALSE)*100,""))</f>
        <v/>
      </c>
      <c r="AE856" s="40">
        <f>IFERROR(IFS(
    OR($C856="", $K856=""), 0,
    $F856=0, 0,
    $D856&lt;&gt;"Open", 0,
    COUNTIFS(GrinderServices!$B$4:$B$998, $K856, GrinderServices!$C$4:$C$998, $E856, GrinderServices!$E$4:$E$998, "Y")=0, 0,
    $X856&lt;Config!$B$16, 0,
    Config!$B$18=1, IF($O856&gt;=N856, 0, 1),
    TRUE, 1
), "")
</f>
        <v>0</v>
      </c>
      <c r="AF856" s="40" t="str">
        <f>IFERROR(IF($AE856=0,"",((Config!$B$6*$Y856 + Config!$B$7*$U856 + Config!$B$8*$Z856 + Config!$B$9*$AA856 + Config!$B$10*$AB856 + Config!$B$11*$AC856 - Config!$B$12*$AD856)/Config!$B$13)+$AK856+$AL856),"")</f>
        <v/>
      </c>
      <c r="AG856" s="40" t="str">
        <f t="shared" si="6"/>
        <v/>
      </c>
      <c r="AH856" s="40" t="str">
        <f t="shared" si="7"/>
        <v/>
      </c>
      <c r="AI856" s="40" t="str">
        <f t="shared" si="8"/>
        <v/>
      </c>
      <c r="AJ856" s="40" t="str">
        <f>IF($K856="","",COUNTIF(Assignments!$B$6:$B$1000,$K856))</f>
        <v/>
      </c>
      <c r="AK856" s="40" t="str">
        <f>IF($K856="","",IF(AND($AJ856=0,$O856&lt;$N856),Config!$B$43,0))</f>
        <v/>
      </c>
      <c r="AL856" s="40" t="str">
        <f>IF($K856="","",IF(AND($M856="Elite",$G856&gt;=Config!$B$41,$O856&lt;$N856),Config!$B$42,0))</f>
        <v/>
      </c>
      <c r="AM856" s="22"/>
    </row>
    <row r="857" ht="15.75" customHeight="1">
      <c r="A857" s="40" t="str">
        <f t="shared" si="1"/>
        <v/>
      </c>
      <c r="B857" s="40" t="str">
        <f>IF(Bids!$A856="","",Bids!$A856)</f>
        <v/>
      </c>
      <c r="C857" s="40" t="str">
        <f>IF(Bids!$B856="","",Bids!$B856)</f>
        <v/>
      </c>
      <c r="D857" s="40" t="str">
        <f>IF($C857="","",IFERROR(VLOOKUP($C857,Orders!$A$4:$J$998,9,FALSE),""))</f>
        <v/>
      </c>
      <c r="E857" s="40" t="str">
        <f>IF($C857="","",IFERROR(VLOOKUP($C857,Orders!$A$4:$J$998,3,FALSE),""))</f>
        <v/>
      </c>
      <c r="F857" s="40">
        <f t="shared" si="2"/>
        <v>1</v>
      </c>
      <c r="G857" s="40" t="str">
        <f>IF($C857="","",IFERROR(VLOOKUP($C857,Orders!$A$4:$J$998,4,FALSE),""))</f>
        <v/>
      </c>
      <c r="H857" s="40" t="str">
        <f>IF($C857="","",IFERROR(VLOOKUP($C857,Orders!$A$4:$J$998,5,FALSE),""))</f>
        <v/>
      </c>
      <c r="I857" s="40" t="str">
        <f>IF($C857="","",IFERROR(VLOOKUP($C857,Orders!$A$4:$J$998,6,FALSE),""))</f>
        <v/>
      </c>
      <c r="J857" s="40" t="str">
        <f>IF($C857="","",IFERROR(VLOOKUP($C857,Orders!$A$4:$J$998,7,FALSE),""))</f>
        <v/>
      </c>
      <c r="K857" s="40" t="str">
        <f>IF(Bids!$C856="","",Bids!$C856)</f>
        <v/>
      </c>
      <c r="L857" s="40" t="str">
        <f>IF($K857="","",IFERROR(VLOOKUP($K857,Grinders!$A$4:$N$998,2,FALSE),""))</f>
        <v/>
      </c>
      <c r="M857" s="40" t="str">
        <f>IF($K857="","",IFERROR(VLOOKUP($K857,Grinders!$A$4:$N$998,3,FALSE),""))</f>
        <v/>
      </c>
      <c r="N857" s="40" t="str">
        <f>IF($K857="","",IFERROR(VLOOKUP($K857,Grinders!$A$4:$N$998,4,FALSE),""))</f>
        <v/>
      </c>
      <c r="O857" s="40" t="str">
        <f>IF($K857="","",IFERROR(VLOOKUP($K857,Grinders!$A$4:$N$998,5,FALSE),""))</f>
        <v/>
      </c>
      <c r="P857" s="40" t="str">
        <f>IF($K857="","",IF($C$4="",0,COUNTIFS(Assignments!$B$6:$B$1000,$K857,Assignments!$F$6:$F$1000,$C$4,Assignments!$E$6:$E$1000,"Active")))</f>
        <v/>
      </c>
      <c r="Q857" s="40" t="str">
        <f t="shared" si="3"/>
        <v/>
      </c>
      <c r="R857" s="40" t="str">
        <f t="shared" si="4"/>
        <v/>
      </c>
      <c r="S857" s="40" t="str">
        <f>IF($K857="","",IF($C$4="",0,COUNTIFS(Assignments!$B$6:$B$1000,$K857,Assignments!$F$6:$F$1000,$C$4,Assignments!$D$6:$D$1000,"&gt;="&amp;Config!$B$3-7,Assignments!$D$6:$D$1000,"&lt;="&amp;Config!$B$3)))</f>
        <v/>
      </c>
      <c r="T857" s="40" t="str">
        <f>IF($K857="","",IFERROR(VLOOKUP($K857,Grinders!$A$4:$N$998,8,FALSE),""))</f>
        <v/>
      </c>
      <c r="U857" s="40" t="str">
        <f>IFERROR(IF($K857="","",IF($M857="Elite",MAX(50,MIN(100,Config!$B$27*MAX(0,MIN(100,(1-IF($R857="",0,$R857))*100)) + Config!$B$28*MAX(0,MIN(100,(1-MIN(1,IF(Config!$B$30=0,1,$S857/Config!$B$30)))*100)) + Config!$B$29*MAX(0,MIN(100,MIN(1,IF($T857="",0,$T857)/Config!$B$23)*100)))),MIN(100,Config!$B$27*MAX(0,MIN(100,(1-IF($R857="",0,$R857))*100)) + Config!$B$28*MAX(0,MIN(100,(1-MIN(1,IF(Config!$B$30=0,1,$S857/Config!$B$30)))*100)) + Config!$B$29*MAX(0,MIN(100,MIN(1,IF($T857="",0,$T857)/Config!$B$23)*100))))),"")
</f>
        <v/>
      </c>
      <c r="V857" s="40" t="str">
        <f>IF(Bids!$D856="","",Bids!$D856)</f>
        <v/>
      </c>
      <c r="W857" s="40" t="str">
        <f>IF(Bids!$F856="","",Bids!$F856)</f>
        <v/>
      </c>
      <c r="X857" s="40" t="str">
        <f t="shared" si="5"/>
        <v/>
      </c>
      <c r="Y857" s="40" t="str">
        <f>IF($X857="","",IF(Config!$B$17=Config!$B$16,IF($X857&gt;=Config!$B$17,100,0),MAX(0,MIN(100,($X857-Config!$B$16)/(Config!$B$17-Config!$B$16)*100))))</f>
        <v/>
      </c>
      <c r="Z857" s="40">
        <f>IF($M857="Elite",Config!$B$21,0)</f>
        <v>0</v>
      </c>
      <c r="AA857" s="40" t="str">
        <f>IFERROR(IF(OR($W857="",$H857=""),"",IF($W857&gt;$H857,
  MAX(0, 60-(($W857-$H857)*24/Config!$B$19)*60),
  MIN(100, 60+(($H857-$W857)*24/Config!$B$20)*40)
)),"")
</f>
        <v/>
      </c>
      <c r="AB857" s="40" t="str">
        <f>IF($K857="","",IFERROR(VLOOKUP($K857,Grinders!$A$4:$N$998,10,FALSE)/5*100,""))</f>
        <v/>
      </c>
      <c r="AC857" s="40" t="str">
        <f>IF($K857="","",IFERROR(VLOOKUP($K857,Grinders!$A$4:$N$998,11,FALSE)*100,""))</f>
        <v/>
      </c>
      <c r="AD857" s="40" t="str">
        <f>IF($K857="","",IFERROR(VLOOKUP($K857,Grinders!$A$4:$N$998,12,FALSE)*100,""))</f>
        <v/>
      </c>
      <c r="AE857" s="40">
        <f>IFERROR(IFS(
    OR($C857="", $K857=""), 0,
    $F857=0, 0,
    $D857&lt;&gt;"Open", 0,
    COUNTIFS(GrinderServices!$B$4:$B$998, $K857, GrinderServices!$C$4:$C$998, $E857, GrinderServices!$E$4:$E$998, "Y")=0, 0,
    $X857&lt;Config!$B$16, 0,
    Config!$B$18=1, IF($O857&gt;=N857, 0, 1),
    TRUE, 1
), "")
</f>
        <v>0</v>
      </c>
      <c r="AF857" s="40" t="str">
        <f>IFERROR(IF($AE857=0,"",((Config!$B$6*$Y857 + Config!$B$7*$U857 + Config!$B$8*$Z857 + Config!$B$9*$AA857 + Config!$B$10*$AB857 + Config!$B$11*$AC857 - Config!$B$12*$AD857)/Config!$B$13)+$AK857+$AL857),"")</f>
        <v/>
      </c>
      <c r="AG857" s="40" t="str">
        <f t="shared" si="6"/>
        <v/>
      </c>
      <c r="AH857" s="40" t="str">
        <f t="shared" si="7"/>
        <v/>
      </c>
      <c r="AI857" s="40" t="str">
        <f t="shared" si="8"/>
        <v/>
      </c>
      <c r="AJ857" s="40" t="str">
        <f>IF($K857="","",COUNTIF(Assignments!$B$6:$B$1000,$K857))</f>
        <v/>
      </c>
      <c r="AK857" s="40" t="str">
        <f>IF($K857="","",IF(AND($AJ857=0,$O857&lt;$N857),Config!$B$43,0))</f>
        <v/>
      </c>
      <c r="AL857" s="40" t="str">
        <f>IF($K857="","",IF(AND($M857="Elite",$G857&gt;=Config!$B$41,$O857&lt;$N857),Config!$B$42,0))</f>
        <v/>
      </c>
      <c r="AM857" s="22"/>
    </row>
    <row r="858" ht="15.75" customHeight="1">
      <c r="A858" s="40" t="str">
        <f t="shared" si="1"/>
        <v/>
      </c>
      <c r="B858" s="40" t="str">
        <f>IF(Bids!$A857="","",Bids!$A857)</f>
        <v/>
      </c>
      <c r="C858" s="40" t="str">
        <f>IF(Bids!$B857="","",Bids!$B857)</f>
        <v/>
      </c>
      <c r="D858" s="40" t="str">
        <f>IF($C858="","",IFERROR(VLOOKUP($C858,Orders!$A$4:$J$998,9,FALSE),""))</f>
        <v/>
      </c>
      <c r="E858" s="40" t="str">
        <f>IF($C858="","",IFERROR(VLOOKUP($C858,Orders!$A$4:$J$998,3,FALSE),""))</f>
        <v/>
      </c>
      <c r="F858" s="40">
        <f t="shared" si="2"/>
        <v>1</v>
      </c>
      <c r="G858" s="40" t="str">
        <f>IF($C858="","",IFERROR(VLOOKUP($C858,Orders!$A$4:$J$998,4,FALSE),""))</f>
        <v/>
      </c>
      <c r="H858" s="40" t="str">
        <f>IF($C858="","",IFERROR(VLOOKUP($C858,Orders!$A$4:$J$998,5,FALSE),""))</f>
        <v/>
      </c>
      <c r="I858" s="40" t="str">
        <f>IF($C858="","",IFERROR(VLOOKUP($C858,Orders!$A$4:$J$998,6,FALSE),""))</f>
        <v/>
      </c>
      <c r="J858" s="40" t="str">
        <f>IF($C858="","",IFERROR(VLOOKUP($C858,Orders!$A$4:$J$998,7,FALSE),""))</f>
        <v/>
      </c>
      <c r="K858" s="40" t="str">
        <f>IF(Bids!$C857="","",Bids!$C857)</f>
        <v/>
      </c>
      <c r="L858" s="40" t="str">
        <f>IF($K858="","",IFERROR(VLOOKUP($K858,Grinders!$A$4:$N$998,2,FALSE),""))</f>
        <v/>
      </c>
      <c r="M858" s="40" t="str">
        <f>IF($K858="","",IFERROR(VLOOKUP($K858,Grinders!$A$4:$N$998,3,FALSE),""))</f>
        <v/>
      </c>
      <c r="N858" s="40" t="str">
        <f>IF($K858="","",IFERROR(VLOOKUP($K858,Grinders!$A$4:$N$998,4,FALSE),""))</f>
        <v/>
      </c>
      <c r="O858" s="40" t="str">
        <f>IF($K858="","",IFERROR(VLOOKUP($K858,Grinders!$A$4:$N$998,5,FALSE),""))</f>
        <v/>
      </c>
      <c r="P858" s="40" t="str">
        <f>IF($K858="","",IF($C$4="",0,COUNTIFS(Assignments!$B$6:$B$1000,$K858,Assignments!$F$6:$F$1000,$C$4,Assignments!$E$6:$E$1000,"Active")))</f>
        <v/>
      </c>
      <c r="Q858" s="40" t="str">
        <f t="shared" si="3"/>
        <v/>
      </c>
      <c r="R858" s="40" t="str">
        <f t="shared" si="4"/>
        <v/>
      </c>
      <c r="S858" s="40" t="str">
        <f>IF($K858="","",IF($C$4="",0,COUNTIFS(Assignments!$B$6:$B$1000,$K858,Assignments!$F$6:$F$1000,$C$4,Assignments!$D$6:$D$1000,"&gt;="&amp;Config!$B$3-7,Assignments!$D$6:$D$1000,"&lt;="&amp;Config!$B$3)))</f>
        <v/>
      </c>
      <c r="T858" s="40" t="str">
        <f>IF($K858="","",IFERROR(VLOOKUP($K858,Grinders!$A$4:$N$998,8,FALSE),""))</f>
        <v/>
      </c>
      <c r="U858" s="40" t="str">
        <f>IFERROR(IF($K858="","",IF($M858="Elite",MAX(50,MIN(100,Config!$B$27*MAX(0,MIN(100,(1-IF($R858="",0,$R858))*100)) + Config!$B$28*MAX(0,MIN(100,(1-MIN(1,IF(Config!$B$30=0,1,$S858/Config!$B$30)))*100)) + Config!$B$29*MAX(0,MIN(100,MIN(1,IF($T858="",0,$T858)/Config!$B$23)*100)))),MIN(100,Config!$B$27*MAX(0,MIN(100,(1-IF($R858="",0,$R858))*100)) + Config!$B$28*MAX(0,MIN(100,(1-MIN(1,IF(Config!$B$30=0,1,$S858/Config!$B$30)))*100)) + Config!$B$29*MAX(0,MIN(100,MIN(1,IF($T858="",0,$T858)/Config!$B$23)*100))))),"")
</f>
        <v/>
      </c>
      <c r="V858" s="40" t="str">
        <f>IF(Bids!$D857="","",Bids!$D857)</f>
        <v/>
      </c>
      <c r="W858" s="40" t="str">
        <f>IF(Bids!$F857="","",Bids!$F857)</f>
        <v/>
      </c>
      <c r="X858" s="40" t="str">
        <f t="shared" si="5"/>
        <v/>
      </c>
      <c r="Y858" s="40" t="str">
        <f>IF($X858="","",IF(Config!$B$17=Config!$B$16,IF($X858&gt;=Config!$B$17,100,0),MAX(0,MIN(100,($X858-Config!$B$16)/(Config!$B$17-Config!$B$16)*100))))</f>
        <v/>
      </c>
      <c r="Z858" s="40">
        <f>IF($M858="Elite",Config!$B$21,0)</f>
        <v>0</v>
      </c>
      <c r="AA858" s="40" t="str">
        <f>IFERROR(IF(OR($W858="",$H858=""),"",IF($W858&gt;$H858,
  MAX(0, 60-(($W858-$H858)*24/Config!$B$19)*60),
  MIN(100, 60+(($H858-$W858)*24/Config!$B$20)*40)
)),"")
</f>
        <v/>
      </c>
      <c r="AB858" s="40" t="str">
        <f>IF($K858="","",IFERROR(VLOOKUP($K858,Grinders!$A$4:$N$998,10,FALSE)/5*100,""))</f>
        <v/>
      </c>
      <c r="AC858" s="40" t="str">
        <f>IF($K858="","",IFERROR(VLOOKUP($K858,Grinders!$A$4:$N$998,11,FALSE)*100,""))</f>
        <v/>
      </c>
      <c r="AD858" s="40" t="str">
        <f>IF($K858="","",IFERROR(VLOOKUP($K858,Grinders!$A$4:$N$998,12,FALSE)*100,""))</f>
        <v/>
      </c>
      <c r="AE858" s="40">
        <f>IFERROR(IFS(
    OR($C858="", $K858=""), 0,
    $F858=0, 0,
    $D858&lt;&gt;"Open", 0,
    COUNTIFS(GrinderServices!$B$4:$B$998, $K858, GrinderServices!$C$4:$C$998, $E858, GrinderServices!$E$4:$E$998, "Y")=0, 0,
    $X858&lt;Config!$B$16, 0,
    Config!$B$18=1, IF($O858&gt;=N858, 0, 1),
    TRUE, 1
), "")
</f>
        <v>0</v>
      </c>
      <c r="AF858" s="40" t="str">
        <f>IFERROR(IF($AE858=0,"",((Config!$B$6*$Y858 + Config!$B$7*$U858 + Config!$B$8*$Z858 + Config!$B$9*$AA858 + Config!$B$10*$AB858 + Config!$B$11*$AC858 - Config!$B$12*$AD858)/Config!$B$13)+$AK858+$AL858),"")</f>
        <v/>
      </c>
      <c r="AG858" s="40" t="str">
        <f t="shared" si="6"/>
        <v/>
      </c>
      <c r="AH858" s="40" t="str">
        <f t="shared" si="7"/>
        <v/>
      </c>
      <c r="AI858" s="40" t="str">
        <f t="shared" si="8"/>
        <v/>
      </c>
      <c r="AJ858" s="40" t="str">
        <f>IF($K858="","",COUNTIF(Assignments!$B$6:$B$1000,$K858))</f>
        <v/>
      </c>
      <c r="AK858" s="40" t="str">
        <f>IF($K858="","",IF(AND($AJ858=0,$O858&lt;$N858),Config!$B$43,0))</f>
        <v/>
      </c>
      <c r="AL858" s="40" t="str">
        <f>IF($K858="","",IF(AND($M858="Elite",$G858&gt;=Config!$B$41,$O858&lt;$N858),Config!$B$42,0))</f>
        <v/>
      </c>
      <c r="AM858" s="22"/>
    </row>
    <row r="859" ht="15.75" customHeight="1">
      <c r="A859" s="40" t="str">
        <f t="shared" si="1"/>
        <v/>
      </c>
      <c r="B859" s="40" t="str">
        <f>IF(Bids!$A858="","",Bids!$A858)</f>
        <v/>
      </c>
      <c r="C859" s="40" t="str">
        <f>IF(Bids!$B858="","",Bids!$B858)</f>
        <v/>
      </c>
      <c r="D859" s="40" t="str">
        <f>IF($C859="","",IFERROR(VLOOKUP($C859,Orders!$A$4:$J$998,9,FALSE),""))</f>
        <v/>
      </c>
      <c r="E859" s="40" t="str">
        <f>IF($C859="","",IFERROR(VLOOKUP($C859,Orders!$A$4:$J$998,3,FALSE),""))</f>
        <v/>
      </c>
      <c r="F859" s="40">
        <f t="shared" si="2"/>
        <v>1</v>
      </c>
      <c r="G859" s="40" t="str">
        <f>IF($C859="","",IFERROR(VLOOKUP($C859,Orders!$A$4:$J$998,4,FALSE),""))</f>
        <v/>
      </c>
      <c r="H859" s="40" t="str">
        <f>IF($C859="","",IFERROR(VLOOKUP($C859,Orders!$A$4:$J$998,5,FALSE),""))</f>
        <v/>
      </c>
      <c r="I859" s="40" t="str">
        <f>IF($C859="","",IFERROR(VLOOKUP($C859,Orders!$A$4:$J$998,6,FALSE),""))</f>
        <v/>
      </c>
      <c r="J859" s="40" t="str">
        <f>IF($C859="","",IFERROR(VLOOKUP($C859,Orders!$A$4:$J$998,7,FALSE),""))</f>
        <v/>
      </c>
      <c r="K859" s="40" t="str">
        <f>IF(Bids!$C858="","",Bids!$C858)</f>
        <v/>
      </c>
      <c r="L859" s="40" t="str">
        <f>IF($K859="","",IFERROR(VLOOKUP($K859,Grinders!$A$4:$N$998,2,FALSE),""))</f>
        <v/>
      </c>
      <c r="M859" s="40" t="str">
        <f>IF($K859="","",IFERROR(VLOOKUP($K859,Grinders!$A$4:$N$998,3,FALSE),""))</f>
        <v/>
      </c>
      <c r="N859" s="40" t="str">
        <f>IF($K859="","",IFERROR(VLOOKUP($K859,Grinders!$A$4:$N$998,4,FALSE),""))</f>
        <v/>
      </c>
      <c r="O859" s="40" t="str">
        <f>IF($K859="","",IFERROR(VLOOKUP($K859,Grinders!$A$4:$N$998,5,FALSE),""))</f>
        <v/>
      </c>
      <c r="P859" s="40" t="str">
        <f>IF($K859="","",IF($C$4="",0,COUNTIFS(Assignments!$B$6:$B$1000,$K859,Assignments!$F$6:$F$1000,$C$4,Assignments!$E$6:$E$1000,"Active")))</f>
        <v/>
      </c>
      <c r="Q859" s="40" t="str">
        <f t="shared" si="3"/>
        <v/>
      </c>
      <c r="R859" s="40" t="str">
        <f t="shared" si="4"/>
        <v/>
      </c>
      <c r="S859" s="40" t="str">
        <f>IF($K859="","",IF($C$4="",0,COUNTIFS(Assignments!$B$6:$B$1000,$K859,Assignments!$F$6:$F$1000,$C$4,Assignments!$D$6:$D$1000,"&gt;="&amp;Config!$B$3-7,Assignments!$D$6:$D$1000,"&lt;="&amp;Config!$B$3)))</f>
        <v/>
      </c>
      <c r="T859" s="40" t="str">
        <f>IF($K859="","",IFERROR(VLOOKUP($K859,Grinders!$A$4:$N$998,8,FALSE),""))</f>
        <v/>
      </c>
      <c r="U859" s="40" t="str">
        <f>IFERROR(IF($K859="","",IF($M859="Elite",MAX(50,MIN(100,Config!$B$27*MAX(0,MIN(100,(1-IF($R859="",0,$R859))*100)) + Config!$B$28*MAX(0,MIN(100,(1-MIN(1,IF(Config!$B$30=0,1,$S859/Config!$B$30)))*100)) + Config!$B$29*MAX(0,MIN(100,MIN(1,IF($T859="",0,$T859)/Config!$B$23)*100)))),MIN(100,Config!$B$27*MAX(0,MIN(100,(1-IF($R859="",0,$R859))*100)) + Config!$B$28*MAX(0,MIN(100,(1-MIN(1,IF(Config!$B$30=0,1,$S859/Config!$B$30)))*100)) + Config!$B$29*MAX(0,MIN(100,MIN(1,IF($T859="",0,$T859)/Config!$B$23)*100))))),"")
</f>
        <v/>
      </c>
      <c r="V859" s="40" t="str">
        <f>IF(Bids!$D858="","",Bids!$D858)</f>
        <v/>
      </c>
      <c r="W859" s="40" t="str">
        <f>IF(Bids!$F858="","",Bids!$F858)</f>
        <v/>
      </c>
      <c r="X859" s="40" t="str">
        <f t="shared" si="5"/>
        <v/>
      </c>
      <c r="Y859" s="40" t="str">
        <f>IF($X859="","",IF(Config!$B$17=Config!$B$16,IF($X859&gt;=Config!$B$17,100,0),MAX(0,MIN(100,($X859-Config!$B$16)/(Config!$B$17-Config!$B$16)*100))))</f>
        <v/>
      </c>
      <c r="Z859" s="40">
        <f>IF($M859="Elite",Config!$B$21,0)</f>
        <v>0</v>
      </c>
      <c r="AA859" s="40" t="str">
        <f>IFERROR(IF(OR($W859="",$H859=""),"",IF($W859&gt;$H859,
  MAX(0, 60-(($W859-$H859)*24/Config!$B$19)*60),
  MIN(100, 60+(($H859-$W859)*24/Config!$B$20)*40)
)),"")
</f>
        <v/>
      </c>
      <c r="AB859" s="40" t="str">
        <f>IF($K859="","",IFERROR(VLOOKUP($K859,Grinders!$A$4:$N$998,10,FALSE)/5*100,""))</f>
        <v/>
      </c>
      <c r="AC859" s="40" t="str">
        <f>IF($K859="","",IFERROR(VLOOKUP($K859,Grinders!$A$4:$N$998,11,FALSE)*100,""))</f>
        <v/>
      </c>
      <c r="AD859" s="40" t="str">
        <f>IF($K859="","",IFERROR(VLOOKUP($K859,Grinders!$A$4:$N$998,12,FALSE)*100,""))</f>
        <v/>
      </c>
      <c r="AE859" s="40">
        <f>IFERROR(IFS(
    OR($C859="", $K859=""), 0,
    $F859=0, 0,
    $D859&lt;&gt;"Open", 0,
    COUNTIFS(GrinderServices!$B$4:$B$998, $K859, GrinderServices!$C$4:$C$998, $E859, GrinderServices!$E$4:$E$998, "Y")=0, 0,
    $X859&lt;Config!$B$16, 0,
    Config!$B$18=1, IF($O859&gt;=N859, 0, 1),
    TRUE, 1
), "")
</f>
        <v>0</v>
      </c>
      <c r="AF859" s="40" t="str">
        <f>IFERROR(IF($AE859=0,"",((Config!$B$6*$Y859 + Config!$B$7*$U859 + Config!$B$8*$Z859 + Config!$B$9*$AA859 + Config!$B$10*$AB859 + Config!$B$11*$AC859 - Config!$B$12*$AD859)/Config!$B$13)+$AK859+$AL859),"")</f>
        <v/>
      </c>
      <c r="AG859" s="40" t="str">
        <f t="shared" si="6"/>
        <v/>
      </c>
      <c r="AH859" s="40" t="str">
        <f t="shared" si="7"/>
        <v/>
      </c>
      <c r="AI859" s="40" t="str">
        <f t="shared" si="8"/>
        <v/>
      </c>
      <c r="AJ859" s="40" t="str">
        <f>IF($K859="","",COUNTIF(Assignments!$B$6:$B$1000,$K859))</f>
        <v/>
      </c>
      <c r="AK859" s="40" t="str">
        <f>IF($K859="","",IF(AND($AJ859=0,$O859&lt;$N859),Config!$B$43,0))</f>
        <v/>
      </c>
      <c r="AL859" s="40" t="str">
        <f>IF($K859="","",IF(AND($M859="Elite",$G859&gt;=Config!$B$41,$O859&lt;$N859),Config!$B$42,0))</f>
        <v/>
      </c>
      <c r="AM859" s="22"/>
    </row>
    <row r="860" ht="15.75" customHeight="1">
      <c r="A860" s="40" t="str">
        <f t="shared" si="1"/>
        <v/>
      </c>
      <c r="B860" s="40" t="str">
        <f>IF(Bids!$A859="","",Bids!$A859)</f>
        <v/>
      </c>
      <c r="C860" s="40" t="str">
        <f>IF(Bids!$B859="","",Bids!$B859)</f>
        <v/>
      </c>
      <c r="D860" s="40" t="str">
        <f>IF($C860="","",IFERROR(VLOOKUP($C860,Orders!$A$4:$J$998,9,FALSE),""))</f>
        <v/>
      </c>
      <c r="E860" s="40" t="str">
        <f>IF($C860="","",IFERROR(VLOOKUP($C860,Orders!$A$4:$J$998,3,FALSE),""))</f>
        <v/>
      </c>
      <c r="F860" s="40">
        <f t="shared" si="2"/>
        <v>1</v>
      </c>
      <c r="G860" s="40" t="str">
        <f>IF($C860="","",IFERROR(VLOOKUP($C860,Orders!$A$4:$J$998,4,FALSE),""))</f>
        <v/>
      </c>
      <c r="H860" s="40" t="str">
        <f>IF($C860="","",IFERROR(VLOOKUP($C860,Orders!$A$4:$J$998,5,FALSE),""))</f>
        <v/>
      </c>
      <c r="I860" s="40" t="str">
        <f>IF($C860="","",IFERROR(VLOOKUP($C860,Orders!$A$4:$J$998,6,FALSE),""))</f>
        <v/>
      </c>
      <c r="J860" s="40" t="str">
        <f>IF($C860="","",IFERROR(VLOOKUP($C860,Orders!$A$4:$J$998,7,FALSE),""))</f>
        <v/>
      </c>
      <c r="K860" s="40" t="str">
        <f>IF(Bids!$C859="","",Bids!$C859)</f>
        <v/>
      </c>
      <c r="L860" s="40" t="str">
        <f>IF($K860="","",IFERROR(VLOOKUP($K860,Grinders!$A$4:$N$998,2,FALSE),""))</f>
        <v/>
      </c>
      <c r="M860" s="40" t="str">
        <f>IF($K860="","",IFERROR(VLOOKUP($K860,Grinders!$A$4:$N$998,3,FALSE),""))</f>
        <v/>
      </c>
      <c r="N860" s="40" t="str">
        <f>IF($K860="","",IFERROR(VLOOKUP($K860,Grinders!$A$4:$N$998,4,FALSE),""))</f>
        <v/>
      </c>
      <c r="O860" s="40" t="str">
        <f>IF($K860="","",IFERROR(VLOOKUP($K860,Grinders!$A$4:$N$998,5,FALSE),""))</f>
        <v/>
      </c>
      <c r="P860" s="40" t="str">
        <f>IF($K860="","",IF($C$4="",0,COUNTIFS(Assignments!$B$6:$B$1000,$K860,Assignments!$F$6:$F$1000,$C$4,Assignments!$E$6:$E$1000,"Active")))</f>
        <v/>
      </c>
      <c r="Q860" s="40" t="str">
        <f t="shared" si="3"/>
        <v/>
      </c>
      <c r="R860" s="40" t="str">
        <f t="shared" si="4"/>
        <v/>
      </c>
      <c r="S860" s="40" t="str">
        <f>IF($K860="","",IF($C$4="",0,COUNTIFS(Assignments!$B$6:$B$1000,$K860,Assignments!$F$6:$F$1000,$C$4,Assignments!$D$6:$D$1000,"&gt;="&amp;Config!$B$3-7,Assignments!$D$6:$D$1000,"&lt;="&amp;Config!$B$3)))</f>
        <v/>
      </c>
      <c r="T860" s="40" t="str">
        <f>IF($K860="","",IFERROR(VLOOKUP($K860,Grinders!$A$4:$N$998,8,FALSE),""))</f>
        <v/>
      </c>
      <c r="U860" s="40" t="str">
        <f>IFERROR(IF($K860="","",IF($M860="Elite",MAX(50,MIN(100,Config!$B$27*MAX(0,MIN(100,(1-IF($R860="",0,$R860))*100)) + Config!$B$28*MAX(0,MIN(100,(1-MIN(1,IF(Config!$B$30=0,1,$S860/Config!$B$30)))*100)) + Config!$B$29*MAX(0,MIN(100,MIN(1,IF($T860="",0,$T860)/Config!$B$23)*100)))),MIN(100,Config!$B$27*MAX(0,MIN(100,(1-IF($R860="",0,$R860))*100)) + Config!$B$28*MAX(0,MIN(100,(1-MIN(1,IF(Config!$B$30=0,1,$S860/Config!$B$30)))*100)) + Config!$B$29*MAX(0,MIN(100,MIN(1,IF($T860="",0,$T860)/Config!$B$23)*100))))),"")
</f>
        <v/>
      </c>
      <c r="V860" s="40" t="str">
        <f>IF(Bids!$D859="","",Bids!$D859)</f>
        <v/>
      </c>
      <c r="W860" s="40" t="str">
        <f>IF(Bids!$F859="","",Bids!$F859)</f>
        <v/>
      </c>
      <c r="X860" s="40" t="str">
        <f t="shared" si="5"/>
        <v/>
      </c>
      <c r="Y860" s="40" t="str">
        <f>IF($X860="","",IF(Config!$B$17=Config!$B$16,IF($X860&gt;=Config!$B$17,100,0),MAX(0,MIN(100,($X860-Config!$B$16)/(Config!$B$17-Config!$B$16)*100))))</f>
        <v/>
      </c>
      <c r="Z860" s="40">
        <f>IF($M860="Elite",Config!$B$21,0)</f>
        <v>0</v>
      </c>
      <c r="AA860" s="40" t="str">
        <f>IFERROR(IF(OR($W860="",$H860=""),"",IF($W860&gt;$H860,
  MAX(0, 60-(($W860-$H860)*24/Config!$B$19)*60),
  MIN(100, 60+(($H860-$W860)*24/Config!$B$20)*40)
)),"")
</f>
        <v/>
      </c>
      <c r="AB860" s="40" t="str">
        <f>IF($K860="","",IFERROR(VLOOKUP($K860,Grinders!$A$4:$N$998,10,FALSE)/5*100,""))</f>
        <v/>
      </c>
      <c r="AC860" s="40" t="str">
        <f>IF($K860="","",IFERROR(VLOOKUP($K860,Grinders!$A$4:$N$998,11,FALSE)*100,""))</f>
        <v/>
      </c>
      <c r="AD860" s="40" t="str">
        <f>IF($K860="","",IFERROR(VLOOKUP($K860,Grinders!$A$4:$N$998,12,FALSE)*100,""))</f>
        <v/>
      </c>
      <c r="AE860" s="40">
        <f>IFERROR(IFS(
    OR($C860="", $K860=""), 0,
    $F860=0, 0,
    $D860&lt;&gt;"Open", 0,
    COUNTIFS(GrinderServices!$B$4:$B$998, $K860, GrinderServices!$C$4:$C$998, $E860, GrinderServices!$E$4:$E$998, "Y")=0, 0,
    $X860&lt;Config!$B$16, 0,
    Config!$B$18=1, IF($O860&gt;=N860, 0, 1),
    TRUE, 1
), "")
</f>
        <v>0</v>
      </c>
      <c r="AF860" s="40" t="str">
        <f>IFERROR(IF($AE860=0,"",((Config!$B$6*$Y860 + Config!$B$7*$U860 + Config!$B$8*$Z860 + Config!$B$9*$AA860 + Config!$B$10*$AB860 + Config!$B$11*$AC860 - Config!$B$12*$AD860)/Config!$B$13)+$AK860+$AL860),"")</f>
        <v/>
      </c>
      <c r="AG860" s="40" t="str">
        <f t="shared" si="6"/>
        <v/>
      </c>
      <c r="AH860" s="40" t="str">
        <f t="shared" si="7"/>
        <v/>
      </c>
      <c r="AI860" s="40" t="str">
        <f t="shared" si="8"/>
        <v/>
      </c>
      <c r="AJ860" s="40" t="str">
        <f>IF($K860="","",COUNTIF(Assignments!$B$6:$B$1000,$K860))</f>
        <v/>
      </c>
      <c r="AK860" s="40" t="str">
        <f>IF($K860="","",IF(AND($AJ860=0,$O860&lt;$N860),Config!$B$43,0))</f>
        <v/>
      </c>
      <c r="AL860" s="40" t="str">
        <f>IF($K860="","",IF(AND($M860="Elite",$G860&gt;=Config!$B$41,$O860&lt;$N860),Config!$B$42,0))</f>
        <v/>
      </c>
      <c r="AM860" s="22"/>
    </row>
    <row r="861" ht="15.75" customHeight="1">
      <c r="A861" s="40" t="str">
        <f t="shared" si="1"/>
        <v/>
      </c>
      <c r="B861" s="40" t="str">
        <f>IF(Bids!$A860="","",Bids!$A860)</f>
        <v/>
      </c>
      <c r="C861" s="40" t="str">
        <f>IF(Bids!$B860="","",Bids!$B860)</f>
        <v/>
      </c>
      <c r="D861" s="40" t="str">
        <f>IF($C861="","",IFERROR(VLOOKUP($C861,Orders!$A$4:$J$998,9,FALSE),""))</f>
        <v/>
      </c>
      <c r="E861" s="40" t="str">
        <f>IF($C861="","",IFERROR(VLOOKUP($C861,Orders!$A$4:$J$998,3,FALSE),""))</f>
        <v/>
      </c>
      <c r="F861" s="40">
        <f t="shared" si="2"/>
        <v>1</v>
      </c>
      <c r="G861" s="40" t="str">
        <f>IF($C861="","",IFERROR(VLOOKUP($C861,Orders!$A$4:$J$998,4,FALSE),""))</f>
        <v/>
      </c>
      <c r="H861" s="40" t="str">
        <f>IF($C861="","",IFERROR(VLOOKUP($C861,Orders!$A$4:$J$998,5,FALSE),""))</f>
        <v/>
      </c>
      <c r="I861" s="40" t="str">
        <f>IF($C861="","",IFERROR(VLOOKUP($C861,Orders!$A$4:$J$998,6,FALSE),""))</f>
        <v/>
      </c>
      <c r="J861" s="40" t="str">
        <f>IF($C861="","",IFERROR(VLOOKUP($C861,Orders!$A$4:$J$998,7,FALSE),""))</f>
        <v/>
      </c>
      <c r="K861" s="40" t="str">
        <f>IF(Bids!$C860="","",Bids!$C860)</f>
        <v/>
      </c>
      <c r="L861" s="40" t="str">
        <f>IF($K861="","",IFERROR(VLOOKUP($K861,Grinders!$A$4:$N$998,2,FALSE),""))</f>
        <v/>
      </c>
      <c r="M861" s="40" t="str">
        <f>IF($K861="","",IFERROR(VLOOKUP($K861,Grinders!$A$4:$N$998,3,FALSE),""))</f>
        <v/>
      </c>
      <c r="N861" s="40" t="str">
        <f>IF($K861="","",IFERROR(VLOOKUP($K861,Grinders!$A$4:$N$998,4,FALSE),""))</f>
        <v/>
      </c>
      <c r="O861" s="40" t="str">
        <f>IF($K861="","",IFERROR(VLOOKUP($K861,Grinders!$A$4:$N$998,5,FALSE),""))</f>
        <v/>
      </c>
      <c r="P861" s="40" t="str">
        <f>IF($K861="","",IF($C$4="",0,COUNTIFS(Assignments!$B$6:$B$1000,$K861,Assignments!$F$6:$F$1000,$C$4,Assignments!$E$6:$E$1000,"Active")))</f>
        <v/>
      </c>
      <c r="Q861" s="40" t="str">
        <f t="shared" si="3"/>
        <v/>
      </c>
      <c r="R861" s="40" t="str">
        <f t="shared" si="4"/>
        <v/>
      </c>
      <c r="S861" s="40" t="str">
        <f>IF($K861="","",IF($C$4="",0,COUNTIFS(Assignments!$B$6:$B$1000,$K861,Assignments!$F$6:$F$1000,$C$4,Assignments!$D$6:$D$1000,"&gt;="&amp;Config!$B$3-7,Assignments!$D$6:$D$1000,"&lt;="&amp;Config!$B$3)))</f>
        <v/>
      </c>
      <c r="T861" s="40" t="str">
        <f>IF($K861="","",IFERROR(VLOOKUP($K861,Grinders!$A$4:$N$998,8,FALSE),""))</f>
        <v/>
      </c>
      <c r="U861" s="40" t="str">
        <f>IFERROR(IF($K861="","",IF($M861="Elite",MAX(50,MIN(100,Config!$B$27*MAX(0,MIN(100,(1-IF($R861="",0,$R861))*100)) + Config!$B$28*MAX(0,MIN(100,(1-MIN(1,IF(Config!$B$30=0,1,$S861/Config!$B$30)))*100)) + Config!$B$29*MAX(0,MIN(100,MIN(1,IF($T861="",0,$T861)/Config!$B$23)*100)))),MIN(100,Config!$B$27*MAX(0,MIN(100,(1-IF($R861="",0,$R861))*100)) + Config!$B$28*MAX(0,MIN(100,(1-MIN(1,IF(Config!$B$30=0,1,$S861/Config!$B$30)))*100)) + Config!$B$29*MAX(0,MIN(100,MIN(1,IF($T861="",0,$T861)/Config!$B$23)*100))))),"")
</f>
        <v/>
      </c>
      <c r="V861" s="40" t="str">
        <f>IF(Bids!$D860="","",Bids!$D860)</f>
        <v/>
      </c>
      <c r="W861" s="40" t="str">
        <f>IF(Bids!$F860="","",Bids!$F860)</f>
        <v/>
      </c>
      <c r="X861" s="40" t="str">
        <f t="shared" si="5"/>
        <v/>
      </c>
      <c r="Y861" s="40" t="str">
        <f>IF($X861="","",IF(Config!$B$17=Config!$B$16,IF($X861&gt;=Config!$B$17,100,0),MAX(0,MIN(100,($X861-Config!$B$16)/(Config!$B$17-Config!$B$16)*100))))</f>
        <v/>
      </c>
      <c r="Z861" s="40">
        <f>IF($M861="Elite",Config!$B$21,0)</f>
        <v>0</v>
      </c>
      <c r="AA861" s="40" t="str">
        <f>IFERROR(IF(OR($W861="",$H861=""),"",IF($W861&gt;$H861,
  MAX(0, 60-(($W861-$H861)*24/Config!$B$19)*60),
  MIN(100, 60+(($H861-$W861)*24/Config!$B$20)*40)
)),"")
</f>
        <v/>
      </c>
      <c r="AB861" s="40" t="str">
        <f>IF($K861="","",IFERROR(VLOOKUP($K861,Grinders!$A$4:$N$998,10,FALSE)/5*100,""))</f>
        <v/>
      </c>
      <c r="AC861" s="40" t="str">
        <f>IF($K861="","",IFERROR(VLOOKUP($K861,Grinders!$A$4:$N$998,11,FALSE)*100,""))</f>
        <v/>
      </c>
      <c r="AD861" s="40" t="str">
        <f>IF($K861="","",IFERROR(VLOOKUP($K861,Grinders!$A$4:$N$998,12,FALSE)*100,""))</f>
        <v/>
      </c>
      <c r="AE861" s="40">
        <f>IFERROR(IFS(
    OR($C861="", $K861=""), 0,
    $F861=0, 0,
    $D861&lt;&gt;"Open", 0,
    COUNTIFS(GrinderServices!$B$4:$B$998, $K861, GrinderServices!$C$4:$C$998, $E861, GrinderServices!$E$4:$E$998, "Y")=0, 0,
    $X861&lt;Config!$B$16, 0,
    Config!$B$18=1, IF($O861&gt;=N861, 0, 1),
    TRUE, 1
), "")
</f>
        <v>0</v>
      </c>
      <c r="AF861" s="40" t="str">
        <f>IFERROR(IF($AE861=0,"",((Config!$B$6*$Y861 + Config!$B$7*$U861 + Config!$B$8*$Z861 + Config!$B$9*$AA861 + Config!$B$10*$AB861 + Config!$B$11*$AC861 - Config!$B$12*$AD861)/Config!$B$13)+$AK861+$AL861),"")</f>
        <v/>
      </c>
      <c r="AG861" s="40" t="str">
        <f t="shared" si="6"/>
        <v/>
      </c>
      <c r="AH861" s="40" t="str">
        <f t="shared" si="7"/>
        <v/>
      </c>
      <c r="AI861" s="40" t="str">
        <f t="shared" si="8"/>
        <v/>
      </c>
      <c r="AJ861" s="40" t="str">
        <f>IF($K861="","",COUNTIF(Assignments!$B$6:$B$1000,$K861))</f>
        <v/>
      </c>
      <c r="AK861" s="40" t="str">
        <f>IF($K861="","",IF(AND($AJ861=0,$O861&lt;$N861),Config!$B$43,0))</f>
        <v/>
      </c>
      <c r="AL861" s="40" t="str">
        <f>IF($K861="","",IF(AND($M861="Elite",$G861&gt;=Config!$B$41,$O861&lt;$N861),Config!$B$42,0))</f>
        <v/>
      </c>
      <c r="AM861" s="22"/>
    </row>
    <row r="862" ht="15.75" customHeight="1">
      <c r="A862" s="40" t="str">
        <f t="shared" si="1"/>
        <v/>
      </c>
      <c r="B862" s="40" t="str">
        <f>IF(Bids!$A861="","",Bids!$A861)</f>
        <v/>
      </c>
      <c r="C862" s="40" t="str">
        <f>IF(Bids!$B861="","",Bids!$B861)</f>
        <v/>
      </c>
      <c r="D862" s="40" t="str">
        <f>IF($C862="","",IFERROR(VLOOKUP($C862,Orders!$A$4:$J$998,9,FALSE),""))</f>
        <v/>
      </c>
      <c r="E862" s="40" t="str">
        <f>IF($C862="","",IFERROR(VLOOKUP($C862,Orders!$A$4:$J$998,3,FALSE),""))</f>
        <v/>
      </c>
      <c r="F862" s="40">
        <f t="shared" si="2"/>
        <v>1</v>
      </c>
      <c r="G862" s="40" t="str">
        <f>IF($C862="","",IFERROR(VLOOKUP($C862,Orders!$A$4:$J$998,4,FALSE),""))</f>
        <v/>
      </c>
      <c r="H862" s="40" t="str">
        <f>IF($C862="","",IFERROR(VLOOKUP($C862,Orders!$A$4:$J$998,5,FALSE),""))</f>
        <v/>
      </c>
      <c r="I862" s="40" t="str">
        <f>IF($C862="","",IFERROR(VLOOKUP($C862,Orders!$A$4:$J$998,6,FALSE),""))</f>
        <v/>
      </c>
      <c r="J862" s="40" t="str">
        <f>IF($C862="","",IFERROR(VLOOKUP($C862,Orders!$A$4:$J$998,7,FALSE),""))</f>
        <v/>
      </c>
      <c r="K862" s="40" t="str">
        <f>IF(Bids!$C861="","",Bids!$C861)</f>
        <v/>
      </c>
      <c r="L862" s="40" t="str">
        <f>IF($K862="","",IFERROR(VLOOKUP($K862,Grinders!$A$4:$N$998,2,FALSE),""))</f>
        <v/>
      </c>
      <c r="M862" s="40" t="str">
        <f>IF($K862="","",IFERROR(VLOOKUP($K862,Grinders!$A$4:$N$998,3,FALSE),""))</f>
        <v/>
      </c>
      <c r="N862" s="40" t="str">
        <f>IF($K862="","",IFERROR(VLOOKUP($K862,Grinders!$A$4:$N$998,4,FALSE),""))</f>
        <v/>
      </c>
      <c r="O862" s="40" t="str">
        <f>IF($K862="","",IFERROR(VLOOKUP($K862,Grinders!$A$4:$N$998,5,FALSE),""))</f>
        <v/>
      </c>
      <c r="P862" s="40" t="str">
        <f>IF($K862="","",IF($C$4="",0,COUNTIFS(Assignments!$B$6:$B$1000,$K862,Assignments!$F$6:$F$1000,$C$4,Assignments!$E$6:$E$1000,"Active")))</f>
        <v/>
      </c>
      <c r="Q862" s="40" t="str">
        <f t="shared" si="3"/>
        <v/>
      </c>
      <c r="R862" s="40" t="str">
        <f t="shared" si="4"/>
        <v/>
      </c>
      <c r="S862" s="40" t="str">
        <f>IF($K862="","",IF($C$4="",0,COUNTIFS(Assignments!$B$6:$B$1000,$K862,Assignments!$F$6:$F$1000,$C$4,Assignments!$D$6:$D$1000,"&gt;="&amp;Config!$B$3-7,Assignments!$D$6:$D$1000,"&lt;="&amp;Config!$B$3)))</f>
        <v/>
      </c>
      <c r="T862" s="40" t="str">
        <f>IF($K862="","",IFERROR(VLOOKUP($K862,Grinders!$A$4:$N$998,8,FALSE),""))</f>
        <v/>
      </c>
      <c r="U862" s="40" t="str">
        <f>IFERROR(IF($K862="","",IF($M862="Elite",MAX(50,MIN(100,Config!$B$27*MAX(0,MIN(100,(1-IF($R862="",0,$R862))*100)) + Config!$B$28*MAX(0,MIN(100,(1-MIN(1,IF(Config!$B$30=0,1,$S862/Config!$B$30)))*100)) + Config!$B$29*MAX(0,MIN(100,MIN(1,IF($T862="",0,$T862)/Config!$B$23)*100)))),MIN(100,Config!$B$27*MAX(0,MIN(100,(1-IF($R862="",0,$R862))*100)) + Config!$B$28*MAX(0,MIN(100,(1-MIN(1,IF(Config!$B$30=0,1,$S862/Config!$B$30)))*100)) + Config!$B$29*MAX(0,MIN(100,MIN(1,IF($T862="",0,$T862)/Config!$B$23)*100))))),"")
</f>
        <v/>
      </c>
      <c r="V862" s="40" t="str">
        <f>IF(Bids!$D861="","",Bids!$D861)</f>
        <v/>
      </c>
      <c r="W862" s="40" t="str">
        <f>IF(Bids!$F861="","",Bids!$F861)</f>
        <v/>
      </c>
      <c r="X862" s="40" t="str">
        <f t="shared" si="5"/>
        <v/>
      </c>
      <c r="Y862" s="40" t="str">
        <f>IF($X862="","",IF(Config!$B$17=Config!$B$16,IF($X862&gt;=Config!$B$17,100,0),MAX(0,MIN(100,($X862-Config!$B$16)/(Config!$B$17-Config!$B$16)*100))))</f>
        <v/>
      </c>
      <c r="Z862" s="40">
        <f>IF($M862="Elite",Config!$B$21,0)</f>
        <v>0</v>
      </c>
      <c r="AA862" s="40" t="str">
        <f>IFERROR(IF(OR($W862="",$H862=""),"",IF($W862&gt;$H862,
  MAX(0, 60-(($W862-$H862)*24/Config!$B$19)*60),
  MIN(100, 60+(($H862-$W862)*24/Config!$B$20)*40)
)),"")
</f>
        <v/>
      </c>
      <c r="AB862" s="40" t="str">
        <f>IF($K862="","",IFERROR(VLOOKUP($K862,Grinders!$A$4:$N$998,10,FALSE)/5*100,""))</f>
        <v/>
      </c>
      <c r="AC862" s="40" t="str">
        <f>IF($K862="","",IFERROR(VLOOKUP($K862,Grinders!$A$4:$N$998,11,FALSE)*100,""))</f>
        <v/>
      </c>
      <c r="AD862" s="40" t="str">
        <f>IF($K862="","",IFERROR(VLOOKUP($K862,Grinders!$A$4:$N$998,12,FALSE)*100,""))</f>
        <v/>
      </c>
      <c r="AE862" s="40">
        <f>IFERROR(IFS(
    OR($C862="", $K862=""), 0,
    $F862=0, 0,
    $D862&lt;&gt;"Open", 0,
    COUNTIFS(GrinderServices!$B$4:$B$998, $K862, GrinderServices!$C$4:$C$998, $E862, GrinderServices!$E$4:$E$998, "Y")=0, 0,
    $X862&lt;Config!$B$16, 0,
    Config!$B$18=1, IF($O862&gt;=N862, 0, 1),
    TRUE, 1
), "")
</f>
        <v>0</v>
      </c>
      <c r="AF862" s="40" t="str">
        <f>IFERROR(IF($AE862=0,"",((Config!$B$6*$Y862 + Config!$B$7*$U862 + Config!$B$8*$Z862 + Config!$B$9*$AA862 + Config!$B$10*$AB862 + Config!$B$11*$AC862 - Config!$B$12*$AD862)/Config!$B$13)+$AK862+$AL862),"")</f>
        <v/>
      </c>
      <c r="AG862" s="40" t="str">
        <f t="shared" si="6"/>
        <v/>
      </c>
      <c r="AH862" s="40" t="str">
        <f t="shared" si="7"/>
        <v/>
      </c>
      <c r="AI862" s="40" t="str">
        <f t="shared" si="8"/>
        <v/>
      </c>
      <c r="AJ862" s="40" t="str">
        <f>IF($K862="","",COUNTIF(Assignments!$B$6:$B$1000,$K862))</f>
        <v/>
      </c>
      <c r="AK862" s="40" t="str">
        <f>IF($K862="","",IF(AND($AJ862=0,$O862&lt;$N862),Config!$B$43,0))</f>
        <v/>
      </c>
      <c r="AL862" s="40" t="str">
        <f>IF($K862="","",IF(AND($M862="Elite",$G862&gt;=Config!$B$41,$O862&lt;$N862),Config!$B$42,0))</f>
        <v/>
      </c>
      <c r="AM862" s="22"/>
    </row>
    <row r="863" ht="15.75" customHeight="1">
      <c r="A863" s="40" t="str">
        <f t="shared" si="1"/>
        <v/>
      </c>
      <c r="B863" s="40" t="str">
        <f>IF(Bids!$A862="","",Bids!$A862)</f>
        <v/>
      </c>
      <c r="C863" s="40" t="str">
        <f>IF(Bids!$B862="","",Bids!$B862)</f>
        <v/>
      </c>
      <c r="D863" s="40" t="str">
        <f>IF($C863="","",IFERROR(VLOOKUP($C863,Orders!$A$4:$J$998,9,FALSE),""))</f>
        <v/>
      </c>
      <c r="E863" s="40" t="str">
        <f>IF($C863="","",IFERROR(VLOOKUP($C863,Orders!$A$4:$J$998,3,FALSE),""))</f>
        <v/>
      </c>
      <c r="F863" s="40">
        <f t="shared" si="2"/>
        <v>1</v>
      </c>
      <c r="G863" s="40" t="str">
        <f>IF($C863="","",IFERROR(VLOOKUP($C863,Orders!$A$4:$J$998,4,FALSE),""))</f>
        <v/>
      </c>
      <c r="H863" s="40" t="str">
        <f>IF($C863="","",IFERROR(VLOOKUP($C863,Orders!$A$4:$J$998,5,FALSE),""))</f>
        <v/>
      </c>
      <c r="I863" s="40" t="str">
        <f>IF($C863="","",IFERROR(VLOOKUP($C863,Orders!$A$4:$J$998,6,FALSE),""))</f>
        <v/>
      </c>
      <c r="J863" s="40" t="str">
        <f>IF($C863="","",IFERROR(VLOOKUP($C863,Orders!$A$4:$J$998,7,FALSE),""))</f>
        <v/>
      </c>
      <c r="K863" s="40" t="str">
        <f>IF(Bids!$C862="","",Bids!$C862)</f>
        <v/>
      </c>
      <c r="L863" s="40" t="str">
        <f>IF($K863="","",IFERROR(VLOOKUP($K863,Grinders!$A$4:$N$998,2,FALSE),""))</f>
        <v/>
      </c>
      <c r="M863" s="40" t="str">
        <f>IF($K863="","",IFERROR(VLOOKUP($K863,Grinders!$A$4:$N$998,3,FALSE),""))</f>
        <v/>
      </c>
      <c r="N863" s="40" t="str">
        <f>IF($K863="","",IFERROR(VLOOKUP($K863,Grinders!$A$4:$N$998,4,FALSE),""))</f>
        <v/>
      </c>
      <c r="O863" s="40" t="str">
        <f>IF($K863="","",IFERROR(VLOOKUP($K863,Grinders!$A$4:$N$998,5,FALSE),""))</f>
        <v/>
      </c>
      <c r="P863" s="40" t="str">
        <f>IF($K863="","",IF($C$4="",0,COUNTIFS(Assignments!$B$6:$B$1000,$K863,Assignments!$F$6:$F$1000,$C$4,Assignments!$E$6:$E$1000,"Active")))</f>
        <v/>
      </c>
      <c r="Q863" s="40" t="str">
        <f t="shared" si="3"/>
        <v/>
      </c>
      <c r="R863" s="40" t="str">
        <f t="shared" si="4"/>
        <v/>
      </c>
      <c r="S863" s="40" t="str">
        <f>IF($K863="","",IF($C$4="",0,COUNTIFS(Assignments!$B$6:$B$1000,$K863,Assignments!$F$6:$F$1000,$C$4,Assignments!$D$6:$D$1000,"&gt;="&amp;Config!$B$3-7,Assignments!$D$6:$D$1000,"&lt;="&amp;Config!$B$3)))</f>
        <v/>
      </c>
      <c r="T863" s="40" t="str">
        <f>IF($K863="","",IFERROR(VLOOKUP($K863,Grinders!$A$4:$N$998,8,FALSE),""))</f>
        <v/>
      </c>
      <c r="U863" s="40" t="str">
        <f>IFERROR(IF($K863="","",IF($M863="Elite",MAX(50,MIN(100,Config!$B$27*MAX(0,MIN(100,(1-IF($R863="",0,$R863))*100)) + Config!$B$28*MAX(0,MIN(100,(1-MIN(1,IF(Config!$B$30=0,1,$S863/Config!$B$30)))*100)) + Config!$B$29*MAX(0,MIN(100,MIN(1,IF($T863="",0,$T863)/Config!$B$23)*100)))),MIN(100,Config!$B$27*MAX(0,MIN(100,(1-IF($R863="",0,$R863))*100)) + Config!$B$28*MAX(0,MIN(100,(1-MIN(1,IF(Config!$B$30=0,1,$S863/Config!$B$30)))*100)) + Config!$B$29*MAX(0,MIN(100,MIN(1,IF($T863="",0,$T863)/Config!$B$23)*100))))),"")
</f>
        <v/>
      </c>
      <c r="V863" s="40" t="str">
        <f>IF(Bids!$D862="","",Bids!$D862)</f>
        <v/>
      </c>
      <c r="W863" s="40" t="str">
        <f>IF(Bids!$F862="","",Bids!$F862)</f>
        <v/>
      </c>
      <c r="X863" s="40" t="str">
        <f t="shared" si="5"/>
        <v/>
      </c>
      <c r="Y863" s="40" t="str">
        <f>IF($X863="","",IF(Config!$B$17=Config!$B$16,IF($X863&gt;=Config!$B$17,100,0),MAX(0,MIN(100,($X863-Config!$B$16)/(Config!$B$17-Config!$B$16)*100))))</f>
        <v/>
      </c>
      <c r="Z863" s="40">
        <f>IF($M863="Elite",Config!$B$21,0)</f>
        <v>0</v>
      </c>
      <c r="AA863" s="40" t="str">
        <f>IFERROR(IF(OR($W863="",$H863=""),"",IF($W863&gt;$H863,
  MAX(0, 60-(($W863-$H863)*24/Config!$B$19)*60),
  MIN(100, 60+(($H863-$W863)*24/Config!$B$20)*40)
)),"")
</f>
        <v/>
      </c>
      <c r="AB863" s="40" t="str">
        <f>IF($K863="","",IFERROR(VLOOKUP($K863,Grinders!$A$4:$N$998,10,FALSE)/5*100,""))</f>
        <v/>
      </c>
      <c r="AC863" s="40" t="str">
        <f>IF($K863="","",IFERROR(VLOOKUP($K863,Grinders!$A$4:$N$998,11,FALSE)*100,""))</f>
        <v/>
      </c>
      <c r="AD863" s="40" t="str">
        <f>IF($K863="","",IFERROR(VLOOKUP($K863,Grinders!$A$4:$N$998,12,FALSE)*100,""))</f>
        <v/>
      </c>
      <c r="AE863" s="40">
        <f>IFERROR(IFS(
    OR($C863="", $K863=""), 0,
    $F863=0, 0,
    $D863&lt;&gt;"Open", 0,
    COUNTIFS(GrinderServices!$B$4:$B$998, $K863, GrinderServices!$C$4:$C$998, $E863, GrinderServices!$E$4:$E$998, "Y")=0, 0,
    $X863&lt;Config!$B$16, 0,
    Config!$B$18=1, IF($O863&gt;=N863, 0, 1),
    TRUE, 1
), "")
</f>
        <v>0</v>
      </c>
      <c r="AF863" s="40" t="str">
        <f>IFERROR(IF($AE863=0,"",((Config!$B$6*$Y863 + Config!$B$7*$U863 + Config!$B$8*$Z863 + Config!$B$9*$AA863 + Config!$B$10*$AB863 + Config!$B$11*$AC863 - Config!$B$12*$AD863)/Config!$B$13)+$AK863+$AL863),"")</f>
        <v/>
      </c>
      <c r="AG863" s="40" t="str">
        <f t="shared" si="6"/>
        <v/>
      </c>
      <c r="AH863" s="40" t="str">
        <f t="shared" si="7"/>
        <v/>
      </c>
      <c r="AI863" s="40" t="str">
        <f t="shared" si="8"/>
        <v/>
      </c>
      <c r="AJ863" s="40" t="str">
        <f>IF($K863="","",COUNTIF(Assignments!$B$6:$B$1000,$K863))</f>
        <v/>
      </c>
      <c r="AK863" s="40" t="str">
        <f>IF($K863="","",IF(AND($AJ863=0,$O863&lt;$N863),Config!$B$43,0))</f>
        <v/>
      </c>
      <c r="AL863" s="40" t="str">
        <f>IF($K863="","",IF(AND($M863="Elite",$G863&gt;=Config!$B$41,$O863&lt;$N863),Config!$B$42,0))</f>
        <v/>
      </c>
      <c r="AM863" s="22"/>
    </row>
    <row r="864" ht="15.75" customHeight="1">
      <c r="A864" s="40" t="str">
        <f t="shared" si="1"/>
        <v/>
      </c>
      <c r="B864" s="40" t="str">
        <f>IF(Bids!$A863="","",Bids!$A863)</f>
        <v/>
      </c>
      <c r="C864" s="40" t="str">
        <f>IF(Bids!$B863="","",Bids!$B863)</f>
        <v/>
      </c>
      <c r="D864" s="40" t="str">
        <f>IF($C864="","",IFERROR(VLOOKUP($C864,Orders!$A$4:$J$998,9,FALSE),""))</f>
        <v/>
      </c>
      <c r="E864" s="40" t="str">
        <f>IF($C864="","",IFERROR(VLOOKUP($C864,Orders!$A$4:$J$998,3,FALSE),""))</f>
        <v/>
      </c>
      <c r="F864" s="40">
        <f t="shared" si="2"/>
        <v>1</v>
      </c>
      <c r="G864" s="40" t="str">
        <f>IF($C864="","",IFERROR(VLOOKUP($C864,Orders!$A$4:$J$998,4,FALSE),""))</f>
        <v/>
      </c>
      <c r="H864" s="40" t="str">
        <f>IF($C864="","",IFERROR(VLOOKUP($C864,Orders!$A$4:$J$998,5,FALSE),""))</f>
        <v/>
      </c>
      <c r="I864" s="40" t="str">
        <f>IF($C864="","",IFERROR(VLOOKUP($C864,Orders!$A$4:$J$998,6,FALSE),""))</f>
        <v/>
      </c>
      <c r="J864" s="40" t="str">
        <f>IF($C864="","",IFERROR(VLOOKUP($C864,Orders!$A$4:$J$998,7,FALSE),""))</f>
        <v/>
      </c>
      <c r="K864" s="40" t="str">
        <f>IF(Bids!$C863="","",Bids!$C863)</f>
        <v/>
      </c>
      <c r="L864" s="40" t="str">
        <f>IF($K864="","",IFERROR(VLOOKUP($K864,Grinders!$A$4:$N$998,2,FALSE),""))</f>
        <v/>
      </c>
      <c r="M864" s="40" t="str">
        <f>IF($K864="","",IFERROR(VLOOKUP($K864,Grinders!$A$4:$N$998,3,FALSE),""))</f>
        <v/>
      </c>
      <c r="N864" s="40" t="str">
        <f>IF($K864="","",IFERROR(VLOOKUP($K864,Grinders!$A$4:$N$998,4,FALSE),""))</f>
        <v/>
      </c>
      <c r="O864" s="40" t="str">
        <f>IF($K864="","",IFERROR(VLOOKUP($K864,Grinders!$A$4:$N$998,5,FALSE),""))</f>
        <v/>
      </c>
      <c r="P864" s="40" t="str">
        <f>IF($K864="","",IF($C$4="",0,COUNTIFS(Assignments!$B$6:$B$1000,$K864,Assignments!$F$6:$F$1000,$C$4,Assignments!$E$6:$E$1000,"Active")))</f>
        <v/>
      </c>
      <c r="Q864" s="40" t="str">
        <f t="shared" si="3"/>
        <v/>
      </c>
      <c r="R864" s="40" t="str">
        <f t="shared" si="4"/>
        <v/>
      </c>
      <c r="S864" s="40" t="str">
        <f>IF($K864="","",IF($C$4="",0,COUNTIFS(Assignments!$B$6:$B$1000,$K864,Assignments!$F$6:$F$1000,$C$4,Assignments!$D$6:$D$1000,"&gt;="&amp;Config!$B$3-7,Assignments!$D$6:$D$1000,"&lt;="&amp;Config!$B$3)))</f>
        <v/>
      </c>
      <c r="T864" s="40" t="str">
        <f>IF($K864="","",IFERROR(VLOOKUP($K864,Grinders!$A$4:$N$998,8,FALSE),""))</f>
        <v/>
      </c>
      <c r="U864" s="40" t="str">
        <f>IFERROR(IF($K864="","",IF($M864="Elite",MAX(50,MIN(100,Config!$B$27*MAX(0,MIN(100,(1-IF($R864="",0,$R864))*100)) + Config!$B$28*MAX(0,MIN(100,(1-MIN(1,IF(Config!$B$30=0,1,$S864/Config!$B$30)))*100)) + Config!$B$29*MAX(0,MIN(100,MIN(1,IF($T864="",0,$T864)/Config!$B$23)*100)))),MIN(100,Config!$B$27*MAX(0,MIN(100,(1-IF($R864="",0,$R864))*100)) + Config!$B$28*MAX(0,MIN(100,(1-MIN(1,IF(Config!$B$30=0,1,$S864/Config!$B$30)))*100)) + Config!$B$29*MAX(0,MIN(100,MIN(1,IF($T864="",0,$T864)/Config!$B$23)*100))))),"")
</f>
        <v/>
      </c>
      <c r="V864" s="40" t="str">
        <f>IF(Bids!$D863="","",Bids!$D863)</f>
        <v/>
      </c>
      <c r="W864" s="40" t="str">
        <f>IF(Bids!$F863="","",Bids!$F863)</f>
        <v/>
      </c>
      <c r="X864" s="40" t="str">
        <f t="shared" si="5"/>
        <v/>
      </c>
      <c r="Y864" s="40" t="str">
        <f>IF($X864="","",IF(Config!$B$17=Config!$B$16,IF($X864&gt;=Config!$B$17,100,0),MAX(0,MIN(100,($X864-Config!$B$16)/(Config!$B$17-Config!$B$16)*100))))</f>
        <v/>
      </c>
      <c r="Z864" s="40">
        <f>IF($M864="Elite",Config!$B$21,0)</f>
        <v>0</v>
      </c>
      <c r="AA864" s="40" t="str">
        <f>IFERROR(IF(OR($W864="",$H864=""),"",IF($W864&gt;$H864,
  MAX(0, 60-(($W864-$H864)*24/Config!$B$19)*60),
  MIN(100, 60+(($H864-$W864)*24/Config!$B$20)*40)
)),"")
</f>
        <v/>
      </c>
      <c r="AB864" s="40" t="str">
        <f>IF($K864="","",IFERROR(VLOOKUP($K864,Grinders!$A$4:$N$998,10,FALSE)/5*100,""))</f>
        <v/>
      </c>
      <c r="AC864" s="40" t="str">
        <f>IF($K864="","",IFERROR(VLOOKUP($K864,Grinders!$A$4:$N$998,11,FALSE)*100,""))</f>
        <v/>
      </c>
      <c r="AD864" s="40" t="str">
        <f>IF($K864="","",IFERROR(VLOOKUP($K864,Grinders!$A$4:$N$998,12,FALSE)*100,""))</f>
        <v/>
      </c>
      <c r="AE864" s="40">
        <f>IFERROR(IFS(
    OR($C864="", $K864=""), 0,
    $F864=0, 0,
    $D864&lt;&gt;"Open", 0,
    COUNTIFS(GrinderServices!$B$4:$B$998, $K864, GrinderServices!$C$4:$C$998, $E864, GrinderServices!$E$4:$E$998, "Y")=0, 0,
    $X864&lt;Config!$B$16, 0,
    Config!$B$18=1, IF($O864&gt;=N864, 0, 1),
    TRUE, 1
), "")
</f>
        <v>0</v>
      </c>
      <c r="AF864" s="40" t="str">
        <f>IFERROR(IF($AE864=0,"",((Config!$B$6*$Y864 + Config!$B$7*$U864 + Config!$B$8*$Z864 + Config!$B$9*$AA864 + Config!$B$10*$AB864 + Config!$B$11*$AC864 - Config!$B$12*$AD864)/Config!$B$13)+$AK864+$AL864),"")</f>
        <v/>
      </c>
      <c r="AG864" s="40" t="str">
        <f t="shared" si="6"/>
        <v/>
      </c>
      <c r="AH864" s="40" t="str">
        <f t="shared" si="7"/>
        <v/>
      </c>
      <c r="AI864" s="40" t="str">
        <f t="shared" si="8"/>
        <v/>
      </c>
      <c r="AJ864" s="40" t="str">
        <f>IF($K864="","",COUNTIF(Assignments!$B$6:$B$1000,$K864))</f>
        <v/>
      </c>
      <c r="AK864" s="40" t="str">
        <f>IF($K864="","",IF(AND($AJ864=0,$O864&lt;$N864),Config!$B$43,0))</f>
        <v/>
      </c>
      <c r="AL864" s="40" t="str">
        <f>IF($K864="","",IF(AND($M864="Elite",$G864&gt;=Config!$B$41,$O864&lt;$N864),Config!$B$42,0))</f>
        <v/>
      </c>
      <c r="AM864" s="22"/>
    </row>
    <row r="865" ht="15.75" customHeight="1">
      <c r="A865" s="40" t="str">
        <f t="shared" si="1"/>
        <v/>
      </c>
      <c r="B865" s="40" t="str">
        <f>IF(Bids!$A864="","",Bids!$A864)</f>
        <v/>
      </c>
      <c r="C865" s="40" t="str">
        <f>IF(Bids!$B864="","",Bids!$B864)</f>
        <v/>
      </c>
      <c r="D865" s="40" t="str">
        <f>IF($C865="","",IFERROR(VLOOKUP($C865,Orders!$A$4:$J$998,9,FALSE),""))</f>
        <v/>
      </c>
      <c r="E865" s="40" t="str">
        <f>IF($C865="","",IFERROR(VLOOKUP($C865,Orders!$A$4:$J$998,3,FALSE),""))</f>
        <v/>
      </c>
      <c r="F865" s="40">
        <f t="shared" si="2"/>
        <v>1</v>
      </c>
      <c r="G865" s="40" t="str">
        <f>IF($C865="","",IFERROR(VLOOKUP($C865,Orders!$A$4:$J$998,4,FALSE),""))</f>
        <v/>
      </c>
      <c r="H865" s="40" t="str">
        <f>IF($C865="","",IFERROR(VLOOKUP($C865,Orders!$A$4:$J$998,5,FALSE),""))</f>
        <v/>
      </c>
      <c r="I865" s="40" t="str">
        <f>IF($C865="","",IFERROR(VLOOKUP($C865,Orders!$A$4:$J$998,6,FALSE),""))</f>
        <v/>
      </c>
      <c r="J865" s="40" t="str">
        <f>IF($C865="","",IFERROR(VLOOKUP($C865,Orders!$A$4:$J$998,7,FALSE),""))</f>
        <v/>
      </c>
      <c r="K865" s="40" t="str">
        <f>IF(Bids!$C864="","",Bids!$C864)</f>
        <v/>
      </c>
      <c r="L865" s="40" t="str">
        <f>IF($K865="","",IFERROR(VLOOKUP($K865,Grinders!$A$4:$N$998,2,FALSE),""))</f>
        <v/>
      </c>
      <c r="M865" s="40" t="str">
        <f>IF($K865="","",IFERROR(VLOOKUP($K865,Grinders!$A$4:$N$998,3,FALSE),""))</f>
        <v/>
      </c>
      <c r="N865" s="40" t="str">
        <f>IF($K865="","",IFERROR(VLOOKUP($K865,Grinders!$A$4:$N$998,4,FALSE),""))</f>
        <v/>
      </c>
      <c r="O865" s="40" t="str">
        <f>IF($K865="","",IFERROR(VLOOKUP($K865,Grinders!$A$4:$N$998,5,FALSE),""))</f>
        <v/>
      </c>
      <c r="P865" s="40" t="str">
        <f>IF($K865="","",IF($C$4="",0,COUNTIFS(Assignments!$B$6:$B$1000,$K865,Assignments!$F$6:$F$1000,$C$4,Assignments!$E$6:$E$1000,"Active")))</f>
        <v/>
      </c>
      <c r="Q865" s="40" t="str">
        <f t="shared" si="3"/>
        <v/>
      </c>
      <c r="R865" s="40" t="str">
        <f t="shared" si="4"/>
        <v/>
      </c>
      <c r="S865" s="40" t="str">
        <f>IF($K865="","",IF($C$4="",0,COUNTIFS(Assignments!$B$6:$B$1000,$K865,Assignments!$F$6:$F$1000,$C$4,Assignments!$D$6:$D$1000,"&gt;="&amp;Config!$B$3-7,Assignments!$D$6:$D$1000,"&lt;="&amp;Config!$B$3)))</f>
        <v/>
      </c>
      <c r="T865" s="40" t="str">
        <f>IF($K865="","",IFERROR(VLOOKUP($K865,Grinders!$A$4:$N$998,8,FALSE),""))</f>
        <v/>
      </c>
      <c r="U865" s="40" t="str">
        <f>IFERROR(IF($K865="","",IF($M865="Elite",MAX(50,MIN(100,Config!$B$27*MAX(0,MIN(100,(1-IF($R865="",0,$R865))*100)) + Config!$B$28*MAX(0,MIN(100,(1-MIN(1,IF(Config!$B$30=0,1,$S865/Config!$B$30)))*100)) + Config!$B$29*MAX(0,MIN(100,MIN(1,IF($T865="",0,$T865)/Config!$B$23)*100)))),MIN(100,Config!$B$27*MAX(0,MIN(100,(1-IF($R865="",0,$R865))*100)) + Config!$B$28*MAX(0,MIN(100,(1-MIN(1,IF(Config!$B$30=0,1,$S865/Config!$B$30)))*100)) + Config!$B$29*MAX(0,MIN(100,MIN(1,IF($T865="",0,$T865)/Config!$B$23)*100))))),"")
</f>
        <v/>
      </c>
      <c r="V865" s="40" t="str">
        <f>IF(Bids!$D864="","",Bids!$D864)</f>
        <v/>
      </c>
      <c r="W865" s="40" t="str">
        <f>IF(Bids!$F864="","",Bids!$F864)</f>
        <v/>
      </c>
      <c r="X865" s="40" t="str">
        <f t="shared" si="5"/>
        <v/>
      </c>
      <c r="Y865" s="40" t="str">
        <f>IF($X865="","",IF(Config!$B$17=Config!$B$16,IF($X865&gt;=Config!$B$17,100,0),MAX(0,MIN(100,($X865-Config!$B$16)/(Config!$B$17-Config!$B$16)*100))))</f>
        <v/>
      </c>
      <c r="Z865" s="40">
        <f>IF($M865="Elite",Config!$B$21,0)</f>
        <v>0</v>
      </c>
      <c r="AA865" s="40" t="str">
        <f>IFERROR(IF(OR($W865="",$H865=""),"",IF($W865&gt;$H865,
  MAX(0, 60-(($W865-$H865)*24/Config!$B$19)*60),
  MIN(100, 60+(($H865-$W865)*24/Config!$B$20)*40)
)),"")
</f>
        <v/>
      </c>
      <c r="AB865" s="40" t="str">
        <f>IF($K865="","",IFERROR(VLOOKUP($K865,Grinders!$A$4:$N$998,10,FALSE)/5*100,""))</f>
        <v/>
      </c>
      <c r="AC865" s="40" t="str">
        <f>IF($K865="","",IFERROR(VLOOKUP($K865,Grinders!$A$4:$N$998,11,FALSE)*100,""))</f>
        <v/>
      </c>
      <c r="AD865" s="40" t="str">
        <f>IF($K865="","",IFERROR(VLOOKUP($K865,Grinders!$A$4:$N$998,12,FALSE)*100,""))</f>
        <v/>
      </c>
      <c r="AE865" s="40">
        <f>IFERROR(IFS(
    OR($C865="", $K865=""), 0,
    $F865=0, 0,
    $D865&lt;&gt;"Open", 0,
    COUNTIFS(GrinderServices!$B$4:$B$998, $K865, GrinderServices!$C$4:$C$998, $E865, GrinderServices!$E$4:$E$998, "Y")=0, 0,
    $X865&lt;Config!$B$16, 0,
    Config!$B$18=1, IF($O865&gt;=N865, 0, 1),
    TRUE, 1
), "")
</f>
        <v>0</v>
      </c>
      <c r="AF865" s="40" t="str">
        <f>IFERROR(IF($AE865=0,"",((Config!$B$6*$Y865 + Config!$B$7*$U865 + Config!$B$8*$Z865 + Config!$B$9*$AA865 + Config!$B$10*$AB865 + Config!$B$11*$AC865 - Config!$B$12*$AD865)/Config!$B$13)+$AK865+$AL865),"")</f>
        <v/>
      </c>
      <c r="AG865" s="40" t="str">
        <f t="shared" si="6"/>
        <v/>
      </c>
      <c r="AH865" s="40" t="str">
        <f t="shared" si="7"/>
        <v/>
      </c>
      <c r="AI865" s="40" t="str">
        <f t="shared" si="8"/>
        <v/>
      </c>
      <c r="AJ865" s="40" t="str">
        <f>IF($K865="","",COUNTIF(Assignments!$B$6:$B$1000,$K865))</f>
        <v/>
      </c>
      <c r="AK865" s="40" t="str">
        <f>IF($K865="","",IF(AND($AJ865=0,$O865&lt;$N865),Config!$B$43,0))</f>
        <v/>
      </c>
      <c r="AL865" s="40" t="str">
        <f>IF($K865="","",IF(AND($M865="Elite",$G865&gt;=Config!$B$41,$O865&lt;$N865),Config!$B$42,0))</f>
        <v/>
      </c>
      <c r="AM865" s="22"/>
    </row>
    <row r="866" ht="15.75" customHeight="1">
      <c r="A866" s="40" t="str">
        <f t="shared" si="1"/>
        <v/>
      </c>
      <c r="B866" s="40" t="str">
        <f>IF(Bids!$A865="","",Bids!$A865)</f>
        <v/>
      </c>
      <c r="C866" s="40" t="str">
        <f>IF(Bids!$B865="","",Bids!$B865)</f>
        <v/>
      </c>
      <c r="D866" s="40" t="str">
        <f>IF($C866="","",IFERROR(VLOOKUP($C866,Orders!$A$4:$J$998,9,FALSE),""))</f>
        <v/>
      </c>
      <c r="E866" s="40" t="str">
        <f>IF($C866="","",IFERROR(VLOOKUP($C866,Orders!$A$4:$J$998,3,FALSE),""))</f>
        <v/>
      </c>
      <c r="F866" s="40">
        <f t="shared" si="2"/>
        <v>1</v>
      </c>
      <c r="G866" s="40" t="str">
        <f>IF($C866="","",IFERROR(VLOOKUP($C866,Orders!$A$4:$J$998,4,FALSE),""))</f>
        <v/>
      </c>
      <c r="H866" s="40" t="str">
        <f>IF($C866="","",IFERROR(VLOOKUP($C866,Orders!$A$4:$J$998,5,FALSE),""))</f>
        <v/>
      </c>
      <c r="I866" s="40" t="str">
        <f>IF($C866="","",IFERROR(VLOOKUP($C866,Orders!$A$4:$J$998,6,FALSE),""))</f>
        <v/>
      </c>
      <c r="J866" s="40" t="str">
        <f>IF($C866="","",IFERROR(VLOOKUP($C866,Orders!$A$4:$J$998,7,FALSE),""))</f>
        <v/>
      </c>
      <c r="K866" s="40" t="str">
        <f>IF(Bids!$C865="","",Bids!$C865)</f>
        <v/>
      </c>
      <c r="L866" s="40" t="str">
        <f>IF($K866="","",IFERROR(VLOOKUP($K866,Grinders!$A$4:$N$998,2,FALSE),""))</f>
        <v/>
      </c>
      <c r="M866" s="40" t="str">
        <f>IF($K866="","",IFERROR(VLOOKUP($K866,Grinders!$A$4:$N$998,3,FALSE),""))</f>
        <v/>
      </c>
      <c r="N866" s="40" t="str">
        <f>IF($K866="","",IFERROR(VLOOKUP($K866,Grinders!$A$4:$N$998,4,FALSE),""))</f>
        <v/>
      </c>
      <c r="O866" s="40" t="str">
        <f>IF($K866="","",IFERROR(VLOOKUP($K866,Grinders!$A$4:$N$998,5,FALSE),""))</f>
        <v/>
      </c>
      <c r="P866" s="40" t="str">
        <f>IF($K866="","",IF($C$4="",0,COUNTIFS(Assignments!$B$6:$B$1000,$K866,Assignments!$F$6:$F$1000,$C$4,Assignments!$E$6:$E$1000,"Active")))</f>
        <v/>
      </c>
      <c r="Q866" s="40" t="str">
        <f t="shared" si="3"/>
        <v/>
      </c>
      <c r="R866" s="40" t="str">
        <f t="shared" si="4"/>
        <v/>
      </c>
      <c r="S866" s="40" t="str">
        <f>IF($K866="","",IF($C$4="",0,COUNTIFS(Assignments!$B$6:$B$1000,$K866,Assignments!$F$6:$F$1000,$C$4,Assignments!$D$6:$D$1000,"&gt;="&amp;Config!$B$3-7,Assignments!$D$6:$D$1000,"&lt;="&amp;Config!$B$3)))</f>
        <v/>
      </c>
      <c r="T866" s="40" t="str">
        <f>IF($K866="","",IFERROR(VLOOKUP($K866,Grinders!$A$4:$N$998,8,FALSE),""))</f>
        <v/>
      </c>
      <c r="U866" s="40" t="str">
        <f>IFERROR(IF($K866="","",IF($M866="Elite",MAX(50,MIN(100,Config!$B$27*MAX(0,MIN(100,(1-IF($R866="",0,$R866))*100)) + Config!$B$28*MAX(0,MIN(100,(1-MIN(1,IF(Config!$B$30=0,1,$S866/Config!$B$30)))*100)) + Config!$B$29*MAX(0,MIN(100,MIN(1,IF($T866="",0,$T866)/Config!$B$23)*100)))),MIN(100,Config!$B$27*MAX(0,MIN(100,(1-IF($R866="",0,$R866))*100)) + Config!$B$28*MAX(0,MIN(100,(1-MIN(1,IF(Config!$B$30=0,1,$S866/Config!$B$30)))*100)) + Config!$B$29*MAX(0,MIN(100,MIN(1,IF($T866="",0,$T866)/Config!$B$23)*100))))),"")
</f>
        <v/>
      </c>
      <c r="V866" s="40" t="str">
        <f>IF(Bids!$D865="","",Bids!$D865)</f>
        <v/>
      </c>
      <c r="W866" s="40" t="str">
        <f>IF(Bids!$F865="","",Bids!$F865)</f>
        <v/>
      </c>
      <c r="X866" s="40" t="str">
        <f t="shared" si="5"/>
        <v/>
      </c>
      <c r="Y866" s="40" t="str">
        <f>IF($X866="","",IF(Config!$B$17=Config!$B$16,IF($X866&gt;=Config!$B$17,100,0),MAX(0,MIN(100,($X866-Config!$B$16)/(Config!$B$17-Config!$B$16)*100))))</f>
        <v/>
      </c>
      <c r="Z866" s="40">
        <f>IF($M866="Elite",Config!$B$21,0)</f>
        <v>0</v>
      </c>
      <c r="AA866" s="40" t="str">
        <f>IFERROR(IF(OR($W866="",$H866=""),"",IF($W866&gt;$H866,
  MAX(0, 60-(($W866-$H866)*24/Config!$B$19)*60),
  MIN(100, 60+(($H866-$W866)*24/Config!$B$20)*40)
)),"")
</f>
        <v/>
      </c>
      <c r="AB866" s="40" t="str">
        <f>IF($K866="","",IFERROR(VLOOKUP($K866,Grinders!$A$4:$N$998,10,FALSE)/5*100,""))</f>
        <v/>
      </c>
      <c r="AC866" s="40" t="str">
        <f>IF($K866="","",IFERROR(VLOOKUP($K866,Grinders!$A$4:$N$998,11,FALSE)*100,""))</f>
        <v/>
      </c>
      <c r="AD866" s="40" t="str">
        <f>IF($K866="","",IFERROR(VLOOKUP($K866,Grinders!$A$4:$N$998,12,FALSE)*100,""))</f>
        <v/>
      </c>
      <c r="AE866" s="40">
        <f>IFERROR(IFS(
    OR($C866="", $K866=""), 0,
    $F866=0, 0,
    $D866&lt;&gt;"Open", 0,
    COUNTIFS(GrinderServices!$B$4:$B$998, $K866, GrinderServices!$C$4:$C$998, $E866, GrinderServices!$E$4:$E$998, "Y")=0, 0,
    $X866&lt;Config!$B$16, 0,
    Config!$B$18=1, IF($O866&gt;=N866, 0, 1),
    TRUE, 1
), "")
</f>
        <v>0</v>
      </c>
      <c r="AF866" s="40" t="str">
        <f>IFERROR(IF($AE866=0,"",((Config!$B$6*$Y866 + Config!$B$7*$U866 + Config!$B$8*$Z866 + Config!$B$9*$AA866 + Config!$B$10*$AB866 + Config!$B$11*$AC866 - Config!$B$12*$AD866)/Config!$B$13)+$AK866+$AL866),"")</f>
        <v/>
      </c>
      <c r="AG866" s="40" t="str">
        <f t="shared" si="6"/>
        <v/>
      </c>
      <c r="AH866" s="40" t="str">
        <f t="shared" si="7"/>
        <v/>
      </c>
      <c r="AI866" s="40" t="str">
        <f t="shared" si="8"/>
        <v/>
      </c>
      <c r="AJ866" s="40" t="str">
        <f>IF($K866="","",COUNTIF(Assignments!$B$6:$B$1000,$K866))</f>
        <v/>
      </c>
      <c r="AK866" s="40" t="str">
        <f>IF($K866="","",IF(AND($AJ866=0,$O866&lt;$N866),Config!$B$43,0))</f>
        <v/>
      </c>
      <c r="AL866" s="40" t="str">
        <f>IF($K866="","",IF(AND($M866="Elite",$G866&gt;=Config!$B$41,$O866&lt;$N866),Config!$B$42,0))</f>
        <v/>
      </c>
      <c r="AM866" s="22"/>
    </row>
    <row r="867" ht="15.75" customHeight="1">
      <c r="A867" s="40" t="str">
        <f t="shared" si="1"/>
        <v/>
      </c>
      <c r="B867" s="40" t="str">
        <f>IF(Bids!$A866="","",Bids!$A866)</f>
        <v/>
      </c>
      <c r="C867" s="40" t="str">
        <f>IF(Bids!$B866="","",Bids!$B866)</f>
        <v/>
      </c>
      <c r="D867" s="40" t="str">
        <f>IF($C867="","",IFERROR(VLOOKUP($C867,Orders!$A$4:$J$998,9,FALSE),""))</f>
        <v/>
      </c>
      <c r="E867" s="40" t="str">
        <f>IF($C867="","",IFERROR(VLOOKUP($C867,Orders!$A$4:$J$998,3,FALSE),""))</f>
        <v/>
      </c>
      <c r="F867" s="40">
        <f t="shared" si="2"/>
        <v>1</v>
      </c>
      <c r="G867" s="40" t="str">
        <f>IF($C867="","",IFERROR(VLOOKUP($C867,Orders!$A$4:$J$998,4,FALSE),""))</f>
        <v/>
      </c>
      <c r="H867" s="40" t="str">
        <f>IF($C867="","",IFERROR(VLOOKUP($C867,Orders!$A$4:$J$998,5,FALSE),""))</f>
        <v/>
      </c>
      <c r="I867" s="40" t="str">
        <f>IF($C867="","",IFERROR(VLOOKUP($C867,Orders!$A$4:$J$998,6,FALSE),""))</f>
        <v/>
      </c>
      <c r="J867" s="40" t="str">
        <f>IF($C867="","",IFERROR(VLOOKUP($C867,Orders!$A$4:$J$998,7,FALSE),""))</f>
        <v/>
      </c>
      <c r="K867" s="40" t="str">
        <f>IF(Bids!$C866="","",Bids!$C866)</f>
        <v/>
      </c>
      <c r="L867" s="40" t="str">
        <f>IF($K867="","",IFERROR(VLOOKUP($K867,Grinders!$A$4:$N$998,2,FALSE),""))</f>
        <v/>
      </c>
      <c r="M867" s="40" t="str">
        <f>IF($K867="","",IFERROR(VLOOKUP($K867,Grinders!$A$4:$N$998,3,FALSE),""))</f>
        <v/>
      </c>
      <c r="N867" s="40" t="str">
        <f>IF($K867="","",IFERROR(VLOOKUP($K867,Grinders!$A$4:$N$998,4,FALSE),""))</f>
        <v/>
      </c>
      <c r="O867" s="40" t="str">
        <f>IF($K867="","",IFERROR(VLOOKUP($K867,Grinders!$A$4:$N$998,5,FALSE),""))</f>
        <v/>
      </c>
      <c r="P867" s="40" t="str">
        <f>IF($K867="","",IF($C$4="",0,COUNTIFS(Assignments!$B$6:$B$1000,$K867,Assignments!$F$6:$F$1000,$C$4,Assignments!$E$6:$E$1000,"Active")))</f>
        <v/>
      </c>
      <c r="Q867" s="40" t="str">
        <f t="shared" si="3"/>
        <v/>
      </c>
      <c r="R867" s="40" t="str">
        <f t="shared" si="4"/>
        <v/>
      </c>
      <c r="S867" s="40" t="str">
        <f>IF($K867="","",IF($C$4="",0,COUNTIFS(Assignments!$B$6:$B$1000,$K867,Assignments!$F$6:$F$1000,$C$4,Assignments!$D$6:$D$1000,"&gt;="&amp;Config!$B$3-7,Assignments!$D$6:$D$1000,"&lt;="&amp;Config!$B$3)))</f>
        <v/>
      </c>
      <c r="T867" s="40" t="str">
        <f>IF($K867="","",IFERROR(VLOOKUP($K867,Grinders!$A$4:$N$998,8,FALSE),""))</f>
        <v/>
      </c>
      <c r="U867" s="40" t="str">
        <f>IFERROR(IF($K867="","",IF($M867="Elite",MAX(50,MIN(100,Config!$B$27*MAX(0,MIN(100,(1-IF($R867="",0,$R867))*100)) + Config!$B$28*MAX(0,MIN(100,(1-MIN(1,IF(Config!$B$30=0,1,$S867/Config!$B$30)))*100)) + Config!$B$29*MAX(0,MIN(100,MIN(1,IF($T867="",0,$T867)/Config!$B$23)*100)))),MIN(100,Config!$B$27*MAX(0,MIN(100,(1-IF($R867="",0,$R867))*100)) + Config!$B$28*MAX(0,MIN(100,(1-MIN(1,IF(Config!$B$30=0,1,$S867/Config!$B$30)))*100)) + Config!$B$29*MAX(0,MIN(100,MIN(1,IF($T867="",0,$T867)/Config!$B$23)*100))))),"")
</f>
        <v/>
      </c>
      <c r="V867" s="40" t="str">
        <f>IF(Bids!$D866="","",Bids!$D866)</f>
        <v/>
      </c>
      <c r="W867" s="40" t="str">
        <f>IF(Bids!$F866="","",Bids!$F866)</f>
        <v/>
      </c>
      <c r="X867" s="40" t="str">
        <f t="shared" si="5"/>
        <v/>
      </c>
      <c r="Y867" s="40" t="str">
        <f>IF($X867="","",IF(Config!$B$17=Config!$B$16,IF($X867&gt;=Config!$B$17,100,0),MAX(0,MIN(100,($X867-Config!$B$16)/(Config!$B$17-Config!$B$16)*100))))</f>
        <v/>
      </c>
      <c r="Z867" s="40">
        <f>IF($M867="Elite",Config!$B$21,0)</f>
        <v>0</v>
      </c>
      <c r="AA867" s="40" t="str">
        <f>IFERROR(IF(OR($W867="",$H867=""),"",IF($W867&gt;$H867,
  MAX(0, 60-(($W867-$H867)*24/Config!$B$19)*60),
  MIN(100, 60+(($H867-$W867)*24/Config!$B$20)*40)
)),"")
</f>
        <v/>
      </c>
      <c r="AB867" s="40" t="str">
        <f>IF($K867="","",IFERROR(VLOOKUP($K867,Grinders!$A$4:$N$998,10,FALSE)/5*100,""))</f>
        <v/>
      </c>
      <c r="AC867" s="40" t="str">
        <f>IF($K867="","",IFERROR(VLOOKUP($K867,Grinders!$A$4:$N$998,11,FALSE)*100,""))</f>
        <v/>
      </c>
      <c r="AD867" s="40" t="str">
        <f>IF($K867="","",IFERROR(VLOOKUP($K867,Grinders!$A$4:$N$998,12,FALSE)*100,""))</f>
        <v/>
      </c>
      <c r="AE867" s="40">
        <f>IFERROR(IFS(
    OR($C867="", $K867=""), 0,
    $F867=0, 0,
    $D867&lt;&gt;"Open", 0,
    COUNTIFS(GrinderServices!$B$4:$B$998, $K867, GrinderServices!$C$4:$C$998, $E867, GrinderServices!$E$4:$E$998, "Y")=0, 0,
    $X867&lt;Config!$B$16, 0,
    Config!$B$18=1, IF($O867&gt;=N867, 0, 1),
    TRUE, 1
), "")
</f>
        <v>0</v>
      </c>
      <c r="AF867" s="40" t="str">
        <f>IFERROR(IF($AE867=0,"",((Config!$B$6*$Y867 + Config!$B$7*$U867 + Config!$B$8*$Z867 + Config!$B$9*$AA867 + Config!$B$10*$AB867 + Config!$B$11*$AC867 - Config!$B$12*$AD867)/Config!$B$13)+$AK867+$AL867),"")</f>
        <v/>
      </c>
      <c r="AG867" s="40" t="str">
        <f t="shared" si="6"/>
        <v/>
      </c>
      <c r="AH867" s="40" t="str">
        <f t="shared" si="7"/>
        <v/>
      </c>
      <c r="AI867" s="40" t="str">
        <f t="shared" si="8"/>
        <v/>
      </c>
      <c r="AJ867" s="40" t="str">
        <f>IF($K867="","",COUNTIF(Assignments!$B$6:$B$1000,$K867))</f>
        <v/>
      </c>
      <c r="AK867" s="40" t="str">
        <f>IF($K867="","",IF(AND($AJ867=0,$O867&lt;$N867),Config!$B$43,0))</f>
        <v/>
      </c>
      <c r="AL867" s="40" t="str">
        <f>IF($K867="","",IF(AND($M867="Elite",$G867&gt;=Config!$B$41,$O867&lt;$N867),Config!$B$42,0))</f>
        <v/>
      </c>
      <c r="AM867" s="22"/>
    </row>
    <row r="868" ht="15.75" customHeight="1">
      <c r="A868" s="40" t="str">
        <f t="shared" si="1"/>
        <v/>
      </c>
      <c r="B868" s="40" t="str">
        <f>IF(Bids!$A867="","",Bids!$A867)</f>
        <v/>
      </c>
      <c r="C868" s="40" t="str">
        <f>IF(Bids!$B867="","",Bids!$B867)</f>
        <v/>
      </c>
      <c r="D868" s="40" t="str">
        <f>IF($C868="","",IFERROR(VLOOKUP($C868,Orders!$A$4:$J$998,9,FALSE),""))</f>
        <v/>
      </c>
      <c r="E868" s="40" t="str">
        <f>IF($C868="","",IFERROR(VLOOKUP($C868,Orders!$A$4:$J$998,3,FALSE),""))</f>
        <v/>
      </c>
      <c r="F868" s="40">
        <f t="shared" si="2"/>
        <v>1</v>
      </c>
      <c r="G868" s="40" t="str">
        <f>IF($C868="","",IFERROR(VLOOKUP($C868,Orders!$A$4:$J$998,4,FALSE),""))</f>
        <v/>
      </c>
      <c r="H868" s="40" t="str">
        <f>IF($C868="","",IFERROR(VLOOKUP($C868,Orders!$A$4:$J$998,5,FALSE),""))</f>
        <v/>
      </c>
      <c r="I868" s="40" t="str">
        <f>IF($C868="","",IFERROR(VLOOKUP($C868,Orders!$A$4:$J$998,6,FALSE),""))</f>
        <v/>
      </c>
      <c r="J868" s="40" t="str">
        <f>IF($C868="","",IFERROR(VLOOKUP($C868,Orders!$A$4:$J$998,7,FALSE),""))</f>
        <v/>
      </c>
      <c r="K868" s="40" t="str">
        <f>IF(Bids!$C867="","",Bids!$C867)</f>
        <v/>
      </c>
      <c r="L868" s="40" t="str">
        <f>IF($K868="","",IFERROR(VLOOKUP($K868,Grinders!$A$4:$N$998,2,FALSE),""))</f>
        <v/>
      </c>
      <c r="M868" s="40" t="str">
        <f>IF($K868="","",IFERROR(VLOOKUP($K868,Grinders!$A$4:$N$998,3,FALSE),""))</f>
        <v/>
      </c>
      <c r="N868" s="40" t="str">
        <f>IF($K868="","",IFERROR(VLOOKUP($K868,Grinders!$A$4:$N$998,4,FALSE),""))</f>
        <v/>
      </c>
      <c r="O868" s="40" t="str">
        <f>IF($K868="","",IFERROR(VLOOKUP($K868,Grinders!$A$4:$N$998,5,FALSE),""))</f>
        <v/>
      </c>
      <c r="P868" s="40" t="str">
        <f>IF($K868="","",IF($C$4="",0,COUNTIFS(Assignments!$B$6:$B$1000,$K868,Assignments!$F$6:$F$1000,$C$4,Assignments!$E$6:$E$1000,"Active")))</f>
        <v/>
      </c>
      <c r="Q868" s="40" t="str">
        <f t="shared" si="3"/>
        <v/>
      </c>
      <c r="R868" s="40" t="str">
        <f t="shared" si="4"/>
        <v/>
      </c>
      <c r="S868" s="40" t="str">
        <f>IF($K868="","",IF($C$4="",0,COUNTIFS(Assignments!$B$6:$B$1000,$K868,Assignments!$F$6:$F$1000,$C$4,Assignments!$D$6:$D$1000,"&gt;="&amp;Config!$B$3-7,Assignments!$D$6:$D$1000,"&lt;="&amp;Config!$B$3)))</f>
        <v/>
      </c>
      <c r="T868" s="40" t="str">
        <f>IF($K868="","",IFERROR(VLOOKUP($K868,Grinders!$A$4:$N$998,8,FALSE),""))</f>
        <v/>
      </c>
      <c r="U868" s="40" t="str">
        <f>IFERROR(IF($K868="","",IF($M868="Elite",MAX(50,MIN(100,Config!$B$27*MAX(0,MIN(100,(1-IF($R868="",0,$R868))*100)) + Config!$B$28*MAX(0,MIN(100,(1-MIN(1,IF(Config!$B$30=0,1,$S868/Config!$B$30)))*100)) + Config!$B$29*MAX(0,MIN(100,MIN(1,IF($T868="",0,$T868)/Config!$B$23)*100)))),MIN(100,Config!$B$27*MAX(0,MIN(100,(1-IF($R868="",0,$R868))*100)) + Config!$B$28*MAX(0,MIN(100,(1-MIN(1,IF(Config!$B$30=0,1,$S868/Config!$B$30)))*100)) + Config!$B$29*MAX(0,MIN(100,MIN(1,IF($T868="",0,$T868)/Config!$B$23)*100))))),"")
</f>
        <v/>
      </c>
      <c r="V868" s="40" t="str">
        <f>IF(Bids!$D867="","",Bids!$D867)</f>
        <v/>
      </c>
      <c r="W868" s="40" t="str">
        <f>IF(Bids!$F867="","",Bids!$F867)</f>
        <v/>
      </c>
      <c r="X868" s="40" t="str">
        <f t="shared" si="5"/>
        <v/>
      </c>
      <c r="Y868" s="40" t="str">
        <f>IF($X868="","",IF(Config!$B$17=Config!$B$16,IF($X868&gt;=Config!$B$17,100,0),MAX(0,MIN(100,($X868-Config!$B$16)/(Config!$B$17-Config!$B$16)*100))))</f>
        <v/>
      </c>
      <c r="Z868" s="40">
        <f>IF($M868="Elite",Config!$B$21,0)</f>
        <v>0</v>
      </c>
      <c r="AA868" s="40" t="str">
        <f>IFERROR(IF(OR($W868="",$H868=""),"",IF($W868&gt;$H868,
  MAX(0, 60-(($W868-$H868)*24/Config!$B$19)*60),
  MIN(100, 60+(($H868-$W868)*24/Config!$B$20)*40)
)),"")
</f>
        <v/>
      </c>
      <c r="AB868" s="40" t="str">
        <f>IF($K868="","",IFERROR(VLOOKUP($K868,Grinders!$A$4:$N$998,10,FALSE)/5*100,""))</f>
        <v/>
      </c>
      <c r="AC868" s="40" t="str">
        <f>IF($K868="","",IFERROR(VLOOKUP($K868,Grinders!$A$4:$N$998,11,FALSE)*100,""))</f>
        <v/>
      </c>
      <c r="AD868" s="40" t="str">
        <f>IF($K868="","",IFERROR(VLOOKUP($K868,Grinders!$A$4:$N$998,12,FALSE)*100,""))</f>
        <v/>
      </c>
      <c r="AE868" s="40">
        <f>IFERROR(IFS(
    OR($C868="", $K868=""), 0,
    $F868=0, 0,
    $D868&lt;&gt;"Open", 0,
    COUNTIFS(GrinderServices!$B$4:$B$998, $K868, GrinderServices!$C$4:$C$998, $E868, GrinderServices!$E$4:$E$998, "Y")=0, 0,
    $X868&lt;Config!$B$16, 0,
    Config!$B$18=1, IF($O868&gt;=N868, 0, 1),
    TRUE, 1
), "")
</f>
        <v>0</v>
      </c>
      <c r="AF868" s="40" t="str">
        <f>IFERROR(IF($AE868=0,"",((Config!$B$6*$Y868 + Config!$B$7*$U868 + Config!$B$8*$Z868 + Config!$B$9*$AA868 + Config!$B$10*$AB868 + Config!$B$11*$AC868 - Config!$B$12*$AD868)/Config!$B$13)+$AK868+$AL868),"")</f>
        <v/>
      </c>
      <c r="AG868" s="40" t="str">
        <f t="shared" si="6"/>
        <v/>
      </c>
      <c r="AH868" s="40" t="str">
        <f t="shared" si="7"/>
        <v/>
      </c>
      <c r="AI868" s="40" t="str">
        <f t="shared" si="8"/>
        <v/>
      </c>
      <c r="AJ868" s="40" t="str">
        <f>IF($K868="","",COUNTIF(Assignments!$B$6:$B$1000,$K868))</f>
        <v/>
      </c>
      <c r="AK868" s="40" t="str">
        <f>IF($K868="","",IF(AND($AJ868=0,$O868&lt;$N868),Config!$B$43,0))</f>
        <v/>
      </c>
      <c r="AL868" s="40" t="str">
        <f>IF($K868="","",IF(AND($M868="Elite",$G868&gt;=Config!$B$41,$O868&lt;$N868),Config!$B$42,0))</f>
        <v/>
      </c>
      <c r="AM868" s="22"/>
    </row>
    <row r="869" ht="15.75" customHeight="1">
      <c r="A869" s="40" t="str">
        <f t="shared" si="1"/>
        <v/>
      </c>
      <c r="B869" s="40" t="str">
        <f>IF(Bids!$A868="","",Bids!$A868)</f>
        <v/>
      </c>
      <c r="C869" s="40" t="str">
        <f>IF(Bids!$B868="","",Bids!$B868)</f>
        <v/>
      </c>
      <c r="D869" s="40" t="str">
        <f>IF($C869="","",IFERROR(VLOOKUP($C869,Orders!$A$4:$J$998,9,FALSE),""))</f>
        <v/>
      </c>
      <c r="E869" s="40" t="str">
        <f>IF($C869="","",IFERROR(VLOOKUP($C869,Orders!$A$4:$J$998,3,FALSE),""))</f>
        <v/>
      </c>
      <c r="F869" s="40">
        <f t="shared" si="2"/>
        <v>1</v>
      </c>
      <c r="G869" s="40" t="str">
        <f>IF($C869="","",IFERROR(VLOOKUP($C869,Orders!$A$4:$J$998,4,FALSE),""))</f>
        <v/>
      </c>
      <c r="H869" s="40" t="str">
        <f>IF($C869="","",IFERROR(VLOOKUP($C869,Orders!$A$4:$J$998,5,FALSE),""))</f>
        <v/>
      </c>
      <c r="I869" s="40" t="str">
        <f>IF($C869="","",IFERROR(VLOOKUP($C869,Orders!$A$4:$J$998,6,FALSE),""))</f>
        <v/>
      </c>
      <c r="J869" s="40" t="str">
        <f>IF($C869="","",IFERROR(VLOOKUP($C869,Orders!$A$4:$J$998,7,FALSE),""))</f>
        <v/>
      </c>
      <c r="K869" s="40" t="str">
        <f>IF(Bids!$C868="","",Bids!$C868)</f>
        <v/>
      </c>
      <c r="L869" s="40" t="str">
        <f>IF($K869="","",IFERROR(VLOOKUP($K869,Grinders!$A$4:$N$998,2,FALSE),""))</f>
        <v/>
      </c>
      <c r="M869" s="40" t="str">
        <f>IF($K869="","",IFERROR(VLOOKUP($K869,Grinders!$A$4:$N$998,3,FALSE),""))</f>
        <v/>
      </c>
      <c r="N869" s="40" t="str">
        <f>IF($K869="","",IFERROR(VLOOKUP($K869,Grinders!$A$4:$N$998,4,FALSE),""))</f>
        <v/>
      </c>
      <c r="O869" s="40" t="str">
        <f>IF($K869="","",IFERROR(VLOOKUP($K869,Grinders!$A$4:$N$998,5,FALSE),""))</f>
        <v/>
      </c>
      <c r="P869" s="40" t="str">
        <f>IF($K869="","",IF($C$4="",0,COUNTIFS(Assignments!$B$6:$B$1000,$K869,Assignments!$F$6:$F$1000,$C$4,Assignments!$E$6:$E$1000,"Active")))</f>
        <v/>
      </c>
      <c r="Q869" s="40" t="str">
        <f t="shared" si="3"/>
        <v/>
      </c>
      <c r="R869" s="40" t="str">
        <f t="shared" si="4"/>
        <v/>
      </c>
      <c r="S869" s="40" t="str">
        <f>IF($K869="","",IF($C$4="",0,COUNTIFS(Assignments!$B$6:$B$1000,$K869,Assignments!$F$6:$F$1000,$C$4,Assignments!$D$6:$D$1000,"&gt;="&amp;Config!$B$3-7,Assignments!$D$6:$D$1000,"&lt;="&amp;Config!$B$3)))</f>
        <v/>
      </c>
      <c r="T869" s="40" t="str">
        <f>IF($K869="","",IFERROR(VLOOKUP($K869,Grinders!$A$4:$N$998,8,FALSE),""))</f>
        <v/>
      </c>
      <c r="U869" s="40" t="str">
        <f>IFERROR(IF($K869="","",IF($M869="Elite",MAX(50,MIN(100,Config!$B$27*MAX(0,MIN(100,(1-IF($R869="",0,$R869))*100)) + Config!$B$28*MAX(0,MIN(100,(1-MIN(1,IF(Config!$B$30=0,1,$S869/Config!$B$30)))*100)) + Config!$B$29*MAX(0,MIN(100,MIN(1,IF($T869="",0,$T869)/Config!$B$23)*100)))),MIN(100,Config!$B$27*MAX(0,MIN(100,(1-IF($R869="",0,$R869))*100)) + Config!$B$28*MAX(0,MIN(100,(1-MIN(1,IF(Config!$B$30=0,1,$S869/Config!$B$30)))*100)) + Config!$B$29*MAX(0,MIN(100,MIN(1,IF($T869="",0,$T869)/Config!$B$23)*100))))),"")
</f>
        <v/>
      </c>
      <c r="V869" s="40" t="str">
        <f>IF(Bids!$D868="","",Bids!$D868)</f>
        <v/>
      </c>
      <c r="W869" s="40" t="str">
        <f>IF(Bids!$F868="","",Bids!$F868)</f>
        <v/>
      </c>
      <c r="X869" s="40" t="str">
        <f t="shared" si="5"/>
        <v/>
      </c>
      <c r="Y869" s="40" t="str">
        <f>IF($X869="","",IF(Config!$B$17=Config!$B$16,IF($X869&gt;=Config!$B$17,100,0),MAX(0,MIN(100,($X869-Config!$B$16)/(Config!$B$17-Config!$B$16)*100))))</f>
        <v/>
      </c>
      <c r="Z869" s="40">
        <f>IF($M869="Elite",Config!$B$21,0)</f>
        <v>0</v>
      </c>
      <c r="AA869" s="40" t="str">
        <f>IFERROR(IF(OR($W869="",$H869=""),"",IF($W869&gt;$H869,
  MAX(0, 60-(($W869-$H869)*24/Config!$B$19)*60),
  MIN(100, 60+(($H869-$W869)*24/Config!$B$20)*40)
)),"")
</f>
        <v/>
      </c>
      <c r="AB869" s="40" t="str">
        <f>IF($K869="","",IFERROR(VLOOKUP($K869,Grinders!$A$4:$N$998,10,FALSE)/5*100,""))</f>
        <v/>
      </c>
      <c r="AC869" s="40" t="str">
        <f>IF($K869="","",IFERROR(VLOOKUP($K869,Grinders!$A$4:$N$998,11,FALSE)*100,""))</f>
        <v/>
      </c>
      <c r="AD869" s="40" t="str">
        <f>IF($K869="","",IFERROR(VLOOKUP($K869,Grinders!$A$4:$N$998,12,FALSE)*100,""))</f>
        <v/>
      </c>
      <c r="AE869" s="40">
        <f>IFERROR(IFS(
    OR($C869="", $K869=""), 0,
    $F869=0, 0,
    $D869&lt;&gt;"Open", 0,
    COUNTIFS(GrinderServices!$B$4:$B$998, $K869, GrinderServices!$C$4:$C$998, $E869, GrinderServices!$E$4:$E$998, "Y")=0, 0,
    $X869&lt;Config!$B$16, 0,
    Config!$B$18=1, IF($O869&gt;=N869, 0, 1),
    TRUE, 1
), "")
</f>
        <v>0</v>
      </c>
      <c r="AF869" s="40" t="str">
        <f>IFERROR(IF($AE869=0,"",((Config!$B$6*$Y869 + Config!$B$7*$U869 + Config!$B$8*$Z869 + Config!$B$9*$AA869 + Config!$B$10*$AB869 + Config!$B$11*$AC869 - Config!$B$12*$AD869)/Config!$B$13)+$AK869+$AL869),"")</f>
        <v/>
      </c>
      <c r="AG869" s="40" t="str">
        <f t="shared" si="6"/>
        <v/>
      </c>
      <c r="AH869" s="40" t="str">
        <f t="shared" si="7"/>
        <v/>
      </c>
      <c r="AI869" s="40" t="str">
        <f t="shared" si="8"/>
        <v/>
      </c>
      <c r="AJ869" s="40" t="str">
        <f>IF($K869="","",COUNTIF(Assignments!$B$6:$B$1000,$K869))</f>
        <v/>
      </c>
      <c r="AK869" s="40" t="str">
        <f>IF($K869="","",IF(AND($AJ869=0,$O869&lt;$N869),Config!$B$43,0))</f>
        <v/>
      </c>
      <c r="AL869" s="40" t="str">
        <f>IF($K869="","",IF(AND($M869="Elite",$G869&gt;=Config!$B$41,$O869&lt;$N869),Config!$B$42,0))</f>
        <v/>
      </c>
      <c r="AM869" s="22"/>
    </row>
    <row r="870" ht="15.75" customHeight="1">
      <c r="A870" s="40" t="str">
        <f t="shared" si="1"/>
        <v/>
      </c>
      <c r="B870" s="40" t="str">
        <f>IF(Bids!$A869="","",Bids!$A869)</f>
        <v/>
      </c>
      <c r="C870" s="40" t="str">
        <f>IF(Bids!$B869="","",Bids!$B869)</f>
        <v/>
      </c>
      <c r="D870" s="40" t="str">
        <f>IF($C870="","",IFERROR(VLOOKUP($C870,Orders!$A$4:$J$998,9,FALSE),""))</f>
        <v/>
      </c>
      <c r="E870" s="40" t="str">
        <f>IF($C870="","",IFERROR(VLOOKUP($C870,Orders!$A$4:$J$998,3,FALSE),""))</f>
        <v/>
      </c>
      <c r="F870" s="40">
        <f t="shared" si="2"/>
        <v>1</v>
      </c>
      <c r="G870" s="40" t="str">
        <f>IF($C870="","",IFERROR(VLOOKUP($C870,Orders!$A$4:$J$998,4,FALSE),""))</f>
        <v/>
      </c>
      <c r="H870" s="40" t="str">
        <f>IF($C870="","",IFERROR(VLOOKUP($C870,Orders!$A$4:$J$998,5,FALSE),""))</f>
        <v/>
      </c>
      <c r="I870" s="40" t="str">
        <f>IF($C870="","",IFERROR(VLOOKUP($C870,Orders!$A$4:$J$998,6,FALSE),""))</f>
        <v/>
      </c>
      <c r="J870" s="40" t="str">
        <f>IF($C870="","",IFERROR(VLOOKUP($C870,Orders!$A$4:$J$998,7,FALSE),""))</f>
        <v/>
      </c>
      <c r="K870" s="40" t="str">
        <f>IF(Bids!$C869="","",Bids!$C869)</f>
        <v/>
      </c>
      <c r="L870" s="40" t="str">
        <f>IF($K870="","",IFERROR(VLOOKUP($K870,Grinders!$A$4:$N$998,2,FALSE),""))</f>
        <v/>
      </c>
      <c r="M870" s="40" t="str">
        <f>IF($K870="","",IFERROR(VLOOKUP($K870,Grinders!$A$4:$N$998,3,FALSE),""))</f>
        <v/>
      </c>
      <c r="N870" s="40" t="str">
        <f>IF($K870="","",IFERROR(VLOOKUP($K870,Grinders!$A$4:$N$998,4,FALSE),""))</f>
        <v/>
      </c>
      <c r="O870" s="40" t="str">
        <f>IF($K870="","",IFERROR(VLOOKUP($K870,Grinders!$A$4:$N$998,5,FALSE),""))</f>
        <v/>
      </c>
      <c r="P870" s="40" t="str">
        <f>IF($K870="","",IF($C$4="",0,COUNTIFS(Assignments!$B$6:$B$1000,$K870,Assignments!$F$6:$F$1000,$C$4,Assignments!$E$6:$E$1000,"Active")))</f>
        <v/>
      </c>
      <c r="Q870" s="40" t="str">
        <f t="shared" si="3"/>
        <v/>
      </c>
      <c r="R870" s="40" t="str">
        <f t="shared" si="4"/>
        <v/>
      </c>
      <c r="S870" s="40" t="str">
        <f>IF($K870="","",IF($C$4="",0,COUNTIFS(Assignments!$B$6:$B$1000,$K870,Assignments!$F$6:$F$1000,$C$4,Assignments!$D$6:$D$1000,"&gt;="&amp;Config!$B$3-7,Assignments!$D$6:$D$1000,"&lt;="&amp;Config!$B$3)))</f>
        <v/>
      </c>
      <c r="T870" s="40" t="str">
        <f>IF($K870="","",IFERROR(VLOOKUP($K870,Grinders!$A$4:$N$998,8,FALSE),""))</f>
        <v/>
      </c>
      <c r="U870" s="40" t="str">
        <f>IFERROR(IF($K870="","",IF($M870="Elite",MAX(50,MIN(100,Config!$B$27*MAX(0,MIN(100,(1-IF($R870="",0,$R870))*100)) + Config!$B$28*MAX(0,MIN(100,(1-MIN(1,IF(Config!$B$30=0,1,$S870/Config!$B$30)))*100)) + Config!$B$29*MAX(0,MIN(100,MIN(1,IF($T870="",0,$T870)/Config!$B$23)*100)))),MIN(100,Config!$B$27*MAX(0,MIN(100,(1-IF($R870="",0,$R870))*100)) + Config!$B$28*MAX(0,MIN(100,(1-MIN(1,IF(Config!$B$30=0,1,$S870/Config!$B$30)))*100)) + Config!$B$29*MAX(0,MIN(100,MIN(1,IF($T870="",0,$T870)/Config!$B$23)*100))))),"")
</f>
        <v/>
      </c>
      <c r="V870" s="40" t="str">
        <f>IF(Bids!$D869="","",Bids!$D869)</f>
        <v/>
      </c>
      <c r="W870" s="40" t="str">
        <f>IF(Bids!$F869="","",Bids!$F869)</f>
        <v/>
      </c>
      <c r="X870" s="40" t="str">
        <f t="shared" si="5"/>
        <v/>
      </c>
      <c r="Y870" s="40" t="str">
        <f>IF($X870="","",IF(Config!$B$17=Config!$B$16,IF($X870&gt;=Config!$B$17,100,0),MAX(0,MIN(100,($X870-Config!$B$16)/(Config!$B$17-Config!$B$16)*100))))</f>
        <v/>
      </c>
      <c r="Z870" s="40">
        <f>IF($M870="Elite",Config!$B$21,0)</f>
        <v>0</v>
      </c>
      <c r="AA870" s="40" t="str">
        <f>IFERROR(IF(OR($W870="",$H870=""),"",IF($W870&gt;$H870,
  MAX(0, 60-(($W870-$H870)*24/Config!$B$19)*60),
  MIN(100, 60+(($H870-$W870)*24/Config!$B$20)*40)
)),"")
</f>
        <v/>
      </c>
      <c r="AB870" s="40" t="str">
        <f>IF($K870="","",IFERROR(VLOOKUP($K870,Grinders!$A$4:$N$998,10,FALSE)/5*100,""))</f>
        <v/>
      </c>
      <c r="AC870" s="40" t="str">
        <f>IF($K870="","",IFERROR(VLOOKUP($K870,Grinders!$A$4:$N$998,11,FALSE)*100,""))</f>
        <v/>
      </c>
      <c r="AD870" s="40" t="str">
        <f>IF($K870="","",IFERROR(VLOOKUP($K870,Grinders!$A$4:$N$998,12,FALSE)*100,""))</f>
        <v/>
      </c>
      <c r="AE870" s="40">
        <f>IFERROR(IFS(
    OR($C870="", $K870=""), 0,
    $F870=0, 0,
    $D870&lt;&gt;"Open", 0,
    COUNTIFS(GrinderServices!$B$4:$B$998, $K870, GrinderServices!$C$4:$C$998, $E870, GrinderServices!$E$4:$E$998, "Y")=0, 0,
    $X870&lt;Config!$B$16, 0,
    Config!$B$18=1, IF($O870&gt;=N870, 0, 1),
    TRUE, 1
), "")
</f>
        <v>0</v>
      </c>
      <c r="AF870" s="40" t="str">
        <f>IFERROR(IF($AE870=0,"",((Config!$B$6*$Y870 + Config!$B$7*$U870 + Config!$B$8*$Z870 + Config!$B$9*$AA870 + Config!$B$10*$AB870 + Config!$B$11*$AC870 - Config!$B$12*$AD870)/Config!$B$13)+$AK870+$AL870),"")</f>
        <v/>
      </c>
      <c r="AG870" s="40" t="str">
        <f t="shared" si="6"/>
        <v/>
      </c>
      <c r="AH870" s="40" t="str">
        <f t="shared" si="7"/>
        <v/>
      </c>
      <c r="AI870" s="40" t="str">
        <f t="shared" si="8"/>
        <v/>
      </c>
      <c r="AJ870" s="40" t="str">
        <f>IF($K870="","",COUNTIF(Assignments!$B$6:$B$1000,$K870))</f>
        <v/>
      </c>
      <c r="AK870" s="40" t="str">
        <f>IF($K870="","",IF(AND($AJ870=0,$O870&lt;$N870),Config!$B$43,0))</f>
        <v/>
      </c>
      <c r="AL870" s="40" t="str">
        <f>IF($K870="","",IF(AND($M870="Elite",$G870&gt;=Config!$B$41,$O870&lt;$N870),Config!$B$42,0))</f>
        <v/>
      </c>
      <c r="AM870" s="22"/>
    </row>
    <row r="871" ht="15.75" customHeight="1">
      <c r="A871" s="40" t="str">
        <f t="shared" si="1"/>
        <v/>
      </c>
      <c r="B871" s="40" t="str">
        <f>IF(Bids!$A870="","",Bids!$A870)</f>
        <v/>
      </c>
      <c r="C871" s="40" t="str">
        <f>IF(Bids!$B870="","",Bids!$B870)</f>
        <v/>
      </c>
      <c r="D871" s="40" t="str">
        <f>IF($C871="","",IFERROR(VLOOKUP($C871,Orders!$A$4:$J$998,9,FALSE),""))</f>
        <v/>
      </c>
      <c r="E871" s="40" t="str">
        <f>IF($C871="","",IFERROR(VLOOKUP($C871,Orders!$A$4:$J$998,3,FALSE),""))</f>
        <v/>
      </c>
      <c r="F871" s="40">
        <f t="shared" si="2"/>
        <v>1</v>
      </c>
      <c r="G871" s="40" t="str">
        <f>IF($C871="","",IFERROR(VLOOKUP($C871,Orders!$A$4:$J$998,4,FALSE),""))</f>
        <v/>
      </c>
      <c r="H871" s="40" t="str">
        <f>IF($C871="","",IFERROR(VLOOKUP($C871,Orders!$A$4:$J$998,5,FALSE),""))</f>
        <v/>
      </c>
      <c r="I871" s="40" t="str">
        <f>IF($C871="","",IFERROR(VLOOKUP($C871,Orders!$A$4:$J$998,6,FALSE),""))</f>
        <v/>
      </c>
      <c r="J871" s="40" t="str">
        <f>IF($C871="","",IFERROR(VLOOKUP($C871,Orders!$A$4:$J$998,7,FALSE),""))</f>
        <v/>
      </c>
      <c r="K871" s="40" t="str">
        <f>IF(Bids!$C870="","",Bids!$C870)</f>
        <v/>
      </c>
      <c r="L871" s="40" t="str">
        <f>IF($K871="","",IFERROR(VLOOKUP($K871,Grinders!$A$4:$N$998,2,FALSE),""))</f>
        <v/>
      </c>
      <c r="M871" s="40" t="str">
        <f>IF($K871="","",IFERROR(VLOOKUP($K871,Grinders!$A$4:$N$998,3,FALSE),""))</f>
        <v/>
      </c>
      <c r="N871" s="40" t="str">
        <f>IF($K871="","",IFERROR(VLOOKUP($K871,Grinders!$A$4:$N$998,4,FALSE),""))</f>
        <v/>
      </c>
      <c r="O871" s="40" t="str">
        <f>IF($K871="","",IFERROR(VLOOKUP($K871,Grinders!$A$4:$N$998,5,FALSE),""))</f>
        <v/>
      </c>
      <c r="P871" s="40" t="str">
        <f>IF($K871="","",IF($C$4="",0,COUNTIFS(Assignments!$B$6:$B$1000,$K871,Assignments!$F$6:$F$1000,$C$4,Assignments!$E$6:$E$1000,"Active")))</f>
        <v/>
      </c>
      <c r="Q871" s="40" t="str">
        <f t="shared" si="3"/>
        <v/>
      </c>
      <c r="R871" s="40" t="str">
        <f t="shared" si="4"/>
        <v/>
      </c>
      <c r="S871" s="40" t="str">
        <f>IF($K871="","",IF($C$4="",0,COUNTIFS(Assignments!$B$6:$B$1000,$K871,Assignments!$F$6:$F$1000,$C$4,Assignments!$D$6:$D$1000,"&gt;="&amp;Config!$B$3-7,Assignments!$D$6:$D$1000,"&lt;="&amp;Config!$B$3)))</f>
        <v/>
      </c>
      <c r="T871" s="40" t="str">
        <f>IF($K871="","",IFERROR(VLOOKUP($K871,Grinders!$A$4:$N$998,8,FALSE),""))</f>
        <v/>
      </c>
      <c r="U871" s="40" t="str">
        <f>IFERROR(IF($K871="","",IF($M871="Elite",MAX(50,MIN(100,Config!$B$27*MAX(0,MIN(100,(1-IF($R871="",0,$R871))*100)) + Config!$B$28*MAX(0,MIN(100,(1-MIN(1,IF(Config!$B$30=0,1,$S871/Config!$B$30)))*100)) + Config!$B$29*MAX(0,MIN(100,MIN(1,IF($T871="",0,$T871)/Config!$B$23)*100)))),MIN(100,Config!$B$27*MAX(0,MIN(100,(1-IF($R871="",0,$R871))*100)) + Config!$B$28*MAX(0,MIN(100,(1-MIN(1,IF(Config!$B$30=0,1,$S871/Config!$B$30)))*100)) + Config!$B$29*MAX(0,MIN(100,MIN(1,IF($T871="",0,$T871)/Config!$B$23)*100))))),"")
</f>
        <v/>
      </c>
      <c r="V871" s="40" t="str">
        <f>IF(Bids!$D870="","",Bids!$D870)</f>
        <v/>
      </c>
      <c r="W871" s="40" t="str">
        <f>IF(Bids!$F870="","",Bids!$F870)</f>
        <v/>
      </c>
      <c r="X871" s="40" t="str">
        <f t="shared" si="5"/>
        <v/>
      </c>
      <c r="Y871" s="40" t="str">
        <f>IF($X871="","",IF(Config!$B$17=Config!$B$16,IF($X871&gt;=Config!$B$17,100,0),MAX(0,MIN(100,($X871-Config!$B$16)/(Config!$B$17-Config!$B$16)*100))))</f>
        <v/>
      </c>
      <c r="Z871" s="40">
        <f>IF($M871="Elite",Config!$B$21,0)</f>
        <v>0</v>
      </c>
      <c r="AA871" s="40" t="str">
        <f>IFERROR(IF(OR($W871="",$H871=""),"",IF($W871&gt;$H871,
  MAX(0, 60-(($W871-$H871)*24/Config!$B$19)*60),
  MIN(100, 60+(($H871-$W871)*24/Config!$B$20)*40)
)),"")
</f>
        <v/>
      </c>
      <c r="AB871" s="40" t="str">
        <f>IF($K871="","",IFERROR(VLOOKUP($K871,Grinders!$A$4:$N$998,10,FALSE)/5*100,""))</f>
        <v/>
      </c>
      <c r="AC871" s="40" t="str">
        <f>IF($K871="","",IFERROR(VLOOKUP($K871,Grinders!$A$4:$N$998,11,FALSE)*100,""))</f>
        <v/>
      </c>
      <c r="AD871" s="40" t="str">
        <f>IF($K871="","",IFERROR(VLOOKUP($K871,Grinders!$A$4:$N$998,12,FALSE)*100,""))</f>
        <v/>
      </c>
      <c r="AE871" s="40">
        <f>IFERROR(IFS(
    OR($C871="", $K871=""), 0,
    $F871=0, 0,
    $D871&lt;&gt;"Open", 0,
    COUNTIFS(GrinderServices!$B$4:$B$998, $K871, GrinderServices!$C$4:$C$998, $E871, GrinderServices!$E$4:$E$998, "Y")=0, 0,
    $X871&lt;Config!$B$16, 0,
    Config!$B$18=1, IF($O871&gt;=N871, 0, 1),
    TRUE, 1
), "")
</f>
        <v>0</v>
      </c>
      <c r="AF871" s="40" t="str">
        <f>IFERROR(IF($AE871=0,"",((Config!$B$6*$Y871 + Config!$B$7*$U871 + Config!$B$8*$Z871 + Config!$B$9*$AA871 + Config!$B$10*$AB871 + Config!$B$11*$AC871 - Config!$B$12*$AD871)/Config!$B$13)+$AK871+$AL871),"")</f>
        <v/>
      </c>
      <c r="AG871" s="40" t="str">
        <f t="shared" si="6"/>
        <v/>
      </c>
      <c r="AH871" s="40" t="str">
        <f t="shared" si="7"/>
        <v/>
      </c>
      <c r="AI871" s="40" t="str">
        <f t="shared" si="8"/>
        <v/>
      </c>
      <c r="AJ871" s="40" t="str">
        <f>IF($K871="","",COUNTIF(Assignments!$B$6:$B$1000,$K871))</f>
        <v/>
      </c>
      <c r="AK871" s="40" t="str">
        <f>IF($K871="","",IF(AND($AJ871=0,$O871&lt;$N871),Config!$B$43,0))</f>
        <v/>
      </c>
      <c r="AL871" s="40" t="str">
        <f>IF($K871="","",IF(AND($M871="Elite",$G871&gt;=Config!$B$41,$O871&lt;$N871),Config!$B$42,0))</f>
        <v/>
      </c>
      <c r="AM871" s="22"/>
    </row>
    <row r="872" ht="15.75" customHeight="1">
      <c r="A872" s="40" t="str">
        <f t="shared" si="1"/>
        <v/>
      </c>
      <c r="B872" s="40" t="str">
        <f>IF(Bids!$A871="","",Bids!$A871)</f>
        <v/>
      </c>
      <c r="C872" s="40" t="str">
        <f>IF(Bids!$B871="","",Bids!$B871)</f>
        <v/>
      </c>
      <c r="D872" s="40" t="str">
        <f>IF($C872="","",IFERROR(VLOOKUP($C872,Orders!$A$4:$J$998,9,FALSE),""))</f>
        <v/>
      </c>
      <c r="E872" s="40" t="str">
        <f>IF($C872="","",IFERROR(VLOOKUP($C872,Orders!$A$4:$J$998,3,FALSE),""))</f>
        <v/>
      </c>
      <c r="F872" s="40">
        <f t="shared" si="2"/>
        <v>1</v>
      </c>
      <c r="G872" s="40" t="str">
        <f>IF($C872="","",IFERROR(VLOOKUP($C872,Orders!$A$4:$J$998,4,FALSE),""))</f>
        <v/>
      </c>
      <c r="H872" s="40" t="str">
        <f>IF($C872="","",IFERROR(VLOOKUP($C872,Orders!$A$4:$J$998,5,FALSE),""))</f>
        <v/>
      </c>
      <c r="I872" s="40" t="str">
        <f>IF($C872="","",IFERROR(VLOOKUP($C872,Orders!$A$4:$J$998,6,FALSE),""))</f>
        <v/>
      </c>
      <c r="J872" s="40" t="str">
        <f>IF($C872="","",IFERROR(VLOOKUP($C872,Orders!$A$4:$J$998,7,FALSE),""))</f>
        <v/>
      </c>
      <c r="K872" s="40" t="str">
        <f>IF(Bids!$C871="","",Bids!$C871)</f>
        <v/>
      </c>
      <c r="L872" s="40" t="str">
        <f>IF($K872="","",IFERROR(VLOOKUP($K872,Grinders!$A$4:$N$998,2,FALSE),""))</f>
        <v/>
      </c>
      <c r="M872" s="40" t="str">
        <f>IF($K872="","",IFERROR(VLOOKUP($K872,Grinders!$A$4:$N$998,3,FALSE),""))</f>
        <v/>
      </c>
      <c r="N872" s="40" t="str">
        <f>IF($K872="","",IFERROR(VLOOKUP($K872,Grinders!$A$4:$N$998,4,FALSE),""))</f>
        <v/>
      </c>
      <c r="O872" s="40" t="str">
        <f>IF($K872="","",IFERROR(VLOOKUP($K872,Grinders!$A$4:$N$998,5,FALSE),""))</f>
        <v/>
      </c>
      <c r="P872" s="40" t="str">
        <f>IF($K872="","",IF($C$4="",0,COUNTIFS(Assignments!$B$6:$B$1000,$K872,Assignments!$F$6:$F$1000,$C$4,Assignments!$E$6:$E$1000,"Active")))</f>
        <v/>
      </c>
      <c r="Q872" s="40" t="str">
        <f t="shared" si="3"/>
        <v/>
      </c>
      <c r="R872" s="40" t="str">
        <f t="shared" si="4"/>
        <v/>
      </c>
      <c r="S872" s="40" t="str">
        <f>IF($K872="","",IF($C$4="",0,COUNTIFS(Assignments!$B$6:$B$1000,$K872,Assignments!$F$6:$F$1000,$C$4,Assignments!$D$6:$D$1000,"&gt;="&amp;Config!$B$3-7,Assignments!$D$6:$D$1000,"&lt;="&amp;Config!$B$3)))</f>
        <v/>
      </c>
      <c r="T872" s="40" t="str">
        <f>IF($K872="","",IFERROR(VLOOKUP($K872,Grinders!$A$4:$N$998,8,FALSE),""))</f>
        <v/>
      </c>
      <c r="U872" s="40" t="str">
        <f>IFERROR(IF($K872="","",IF($M872="Elite",MAX(50,MIN(100,Config!$B$27*MAX(0,MIN(100,(1-IF($R872="",0,$R872))*100)) + Config!$B$28*MAX(0,MIN(100,(1-MIN(1,IF(Config!$B$30=0,1,$S872/Config!$B$30)))*100)) + Config!$B$29*MAX(0,MIN(100,MIN(1,IF($T872="",0,$T872)/Config!$B$23)*100)))),MIN(100,Config!$B$27*MAX(0,MIN(100,(1-IF($R872="",0,$R872))*100)) + Config!$B$28*MAX(0,MIN(100,(1-MIN(1,IF(Config!$B$30=0,1,$S872/Config!$B$30)))*100)) + Config!$B$29*MAX(0,MIN(100,MIN(1,IF($T872="",0,$T872)/Config!$B$23)*100))))),"")
</f>
        <v/>
      </c>
      <c r="V872" s="40" t="str">
        <f>IF(Bids!$D871="","",Bids!$D871)</f>
        <v/>
      </c>
      <c r="W872" s="40" t="str">
        <f>IF(Bids!$F871="","",Bids!$F871)</f>
        <v/>
      </c>
      <c r="X872" s="40" t="str">
        <f t="shared" si="5"/>
        <v/>
      </c>
      <c r="Y872" s="40" t="str">
        <f>IF($X872="","",IF(Config!$B$17=Config!$B$16,IF($X872&gt;=Config!$B$17,100,0),MAX(0,MIN(100,($X872-Config!$B$16)/(Config!$B$17-Config!$B$16)*100))))</f>
        <v/>
      </c>
      <c r="Z872" s="40">
        <f>IF($M872="Elite",Config!$B$21,0)</f>
        <v>0</v>
      </c>
      <c r="AA872" s="40" t="str">
        <f>IFERROR(IF(OR($W872="",$H872=""),"",IF($W872&gt;$H872,
  MAX(0, 60-(($W872-$H872)*24/Config!$B$19)*60),
  MIN(100, 60+(($H872-$W872)*24/Config!$B$20)*40)
)),"")
</f>
        <v/>
      </c>
      <c r="AB872" s="40" t="str">
        <f>IF($K872="","",IFERROR(VLOOKUP($K872,Grinders!$A$4:$N$998,10,FALSE)/5*100,""))</f>
        <v/>
      </c>
      <c r="AC872" s="40" t="str">
        <f>IF($K872="","",IFERROR(VLOOKUP($K872,Grinders!$A$4:$N$998,11,FALSE)*100,""))</f>
        <v/>
      </c>
      <c r="AD872" s="40" t="str">
        <f>IF($K872="","",IFERROR(VLOOKUP($K872,Grinders!$A$4:$N$998,12,FALSE)*100,""))</f>
        <v/>
      </c>
      <c r="AE872" s="40">
        <f>IFERROR(IFS(
    OR($C872="", $K872=""), 0,
    $F872=0, 0,
    $D872&lt;&gt;"Open", 0,
    COUNTIFS(GrinderServices!$B$4:$B$998, $K872, GrinderServices!$C$4:$C$998, $E872, GrinderServices!$E$4:$E$998, "Y")=0, 0,
    $X872&lt;Config!$B$16, 0,
    Config!$B$18=1, IF($O872&gt;=N872, 0, 1),
    TRUE, 1
), "")
</f>
        <v>0</v>
      </c>
      <c r="AF872" s="40" t="str">
        <f>IFERROR(IF($AE872=0,"",((Config!$B$6*$Y872 + Config!$B$7*$U872 + Config!$B$8*$Z872 + Config!$B$9*$AA872 + Config!$B$10*$AB872 + Config!$B$11*$AC872 - Config!$B$12*$AD872)/Config!$B$13)+$AK872+$AL872),"")</f>
        <v/>
      </c>
      <c r="AG872" s="40" t="str">
        <f t="shared" si="6"/>
        <v/>
      </c>
      <c r="AH872" s="40" t="str">
        <f t="shared" si="7"/>
        <v/>
      </c>
      <c r="AI872" s="40" t="str">
        <f t="shared" si="8"/>
        <v/>
      </c>
      <c r="AJ872" s="40" t="str">
        <f>IF($K872="","",COUNTIF(Assignments!$B$6:$B$1000,$K872))</f>
        <v/>
      </c>
      <c r="AK872" s="40" t="str">
        <f>IF($K872="","",IF(AND($AJ872=0,$O872&lt;$N872),Config!$B$43,0))</f>
        <v/>
      </c>
      <c r="AL872" s="40" t="str">
        <f>IF($K872="","",IF(AND($M872="Elite",$G872&gt;=Config!$B$41,$O872&lt;$N872),Config!$B$42,0))</f>
        <v/>
      </c>
      <c r="AM872" s="22"/>
    </row>
    <row r="873" ht="15.75" customHeight="1">
      <c r="A873" s="40" t="str">
        <f t="shared" si="1"/>
        <v/>
      </c>
      <c r="B873" s="40" t="str">
        <f>IF(Bids!$A872="","",Bids!$A872)</f>
        <v/>
      </c>
      <c r="C873" s="40" t="str">
        <f>IF(Bids!$B872="","",Bids!$B872)</f>
        <v/>
      </c>
      <c r="D873" s="40" t="str">
        <f>IF($C873="","",IFERROR(VLOOKUP($C873,Orders!$A$4:$J$998,9,FALSE),""))</f>
        <v/>
      </c>
      <c r="E873" s="40" t="str">
        <f>IF($C873="","",IFERROR(VLOOKUP($C873,Orders!$A$4:$J$998,3,FALSE),""))</f>
        <v/>
      </c>
      <c r="F873" s="40">
        <f t="shared" si="2"/>
        <v>1</v>
      </c>
      <c r="G873" s="40" t="str">
        <f>IF($C873="","",IFERROR(VLOOKUP($C873,Orders!$A$4:$J$998,4,FALSE),""))</f>
        <v/>
      </c>
      <c r="H873" s="40" t="str">
        <f>IF($C873="","",IFERROR(VLOOKUP($C873,Orders!$A$4:$J$998,5,FALSE),""))</f>
        <v/>
      </c>
      <c r="I873" s="40" t="str">
        <f>IF($C873="","",IFERROR(VLOOKUP($C873,Orders!$A$4:$J$998,6,FALSE),""))</f>
        <v/>
      </c>
      <c r="J873" s="40" t="str">
        <f>IF($C873="","",IFERROR(VLOOKUP($C873,Orders!$A$4:$J$998,7,FALSE),""))</f>
        <v/>
      </c>
      <c r="K873" s="40" t="str">
        <f>IF(Bids!$C872="","",Bids!$C872)</f>
        <v/>
      </c>
      <c r="L873" s="40" t="str">
        <f>IF($K873="","",IFERROR(VLOOKUP($K873,Grinders!$A$4:$N$998,2,FALSE),""))</f>
        <v/>
      </c>
      <c r="M873" s="40" t="str">
        <f>IF($K873="","",IFERROR(VLOOKUP($K873,Grinders!$A$4:$N$998,3,FALSE),""))</f>
        <v/>
      </c>
      <c r="N873" s="40" t="str">
        <f>IF($K873="","",IFERROR(VLOOKUP($K873,Grinders!$A$4:$N$998,4,FALSE),""))</f>
        <v/>
      </c>
      <c r="O873" s="40" t="str">
        <f>IF($K873="","",IFERROR(VLOOKUP($K873,Grinders!$A$4:$N$998,5,FALSE),""))</f>
        <v/>
      </c>
      <c r="P873" s="40" t="str">
        <f>IF($K873="","",IF($C$4="",0,COUNTIFS(Assignments!$B$6:$B$1000,$K873,Assignments!$F$6:$F$1000,$C$4,Assignments!$E$6:$E$1000,"Active")))</f>
        <v/>
      </c>
      <c r="Q873" s="40" t="str">
        <f t="shared" si="3"/>
        <v/>
      </c>
      <c r="R873" s="40" t="str">
        <f t="shared" si="4"/>
        <v/>
      </c>
      <c r="S873" s="40" t="str">
        <f>IF($K873="","",IF($C$4="",0,COUNTIFS(Assignments!$B$6:$B$1000,$K873,Assignments!$F$6:$F$1000,$C$4,Assignments!$D$6:$D$1000,"&gt;="&amp;Config!$B$3-7,Assignments!$D$6:$D$1000,"&lt;="&amp;Config!$B$3)))</f>
        <v/>
      </c>
      <c r="T873" s="40" t="str">
        <f>IF($K873="","",IFERROR(VLOOKUP($K873,Grinders!$A$4:$N$998,8,FALSE),""))</f>
        <v/>
      </c>
      <c r="U873" s="40" t="str">
        <f>IFERROR(IF($K873="","",IF($M873="Elite",MAX(50,MIN(100,Config!$B$27*MAX(0,MIN(100,(1-IF($R873="",0,$R873))*100)) + Config!$B$28*MAX(0,MIN(100,(1-MIN(1,IF(Config!$B$30=0,1,$S873/Config!$B$30)))*100)) + Config!$B$29*MAX(0,MIN(100,MIN(1,IF($T873="",0,$T873)/Config!$B$23)*100)))),MIN(100,Config!$B$27*MAX(0,MIN(100,(1-IF($R873="",0,$R873))*100)) + Config!$B$28*MAX(0,MIN(100,(1-MIN(1,IF(Config!$B$30=0,1,$S873/Config!$B$30)))*100)) + Config!$B$29*MAX(0,MIN(100,MIN(1,IF($T873="",0,$T873)/Config!$B$23)*100))))),"")
</f>
        <v/>
      </c>
      <c r="V873" s="40" t="str">
        <f>IF(Bids!$D872="","",Bids!$D872)</f>
        <v/>
      </c>
      <c r="W873" s="40" t="str">
        <f>IF(Bids!$F872="","",Bids!$F872)</f>
        <v/>
      </c>
      <c r="X873" s="40" t="str">
        <f t="shared" si="5"/>
        <v/>
      </c>
      <c r="Y873" s="40" t="str">
        <f>IF($X873="","",IF(Config!$B$17=Config!$B$16,IF($X873&gt;=Config!$B$17,100,0),MAX(0,MIN(100,($X873-Config!$B$16)/(Config!$B$17-Config!$B$16)*100))))</f>
        <v/>
      </c>
      <c r="Z873" s="40">
        <f>IF($M873="Elite",Config!$B$21,0)</f>
        <v>0</v>
      </c>
      <c r="AA873" s="40" t="str">
        <f>IFERROR(IF(OR($W873="",$H873=""),"",IF($W873&gt;$H873,
  MAX(0, 60-(($W873-$H873)*24/Config!$B$19)*60),
  MIN(100, 60+(($H873-$W873)*24/Config!$B$20)*40)
)),"")
</f>
        <v/>
      </c>
      <c r="AB873" s="40" t="str">
        <f>IF($K873="","",IFERROR(VLOOKUP($K873,Grinders!$A$4:$N$998,10,FALSE)/5*100,""))</f>
        <v/>
      </c>
      <c r="AC873" s="40" t="str">
        <f>IF($K873="","",IFERROR(VLOOKUP($K873,Grinders!$A$4:$N$998,11,FALSE)*100,""))</f>
        <v/>
      </c>
      <c r="AD873" s="40" t="str">
        <f>IF($K873="","",IFERROR(VLOOKUP($K873,Grinders!$A$4:$N$998,12,FALSE)*100,""))</f>
        <v/>
      </c>
      <c r="AE873" s="40">
        <f>IFERROR(IFS(
    OR($C873="", $K873=""), 0,
    $F873=0, 0,
    $D873&lt;&gt;"Open", 0,
    COUNTIFS(GrinderServices!$B$4:$B$998, $K873, GrinderServices!$C$4:$C$998, $E873, GrinderServices!$E$4:$E$998, "Y")=0, 0,
    $X873&lt;Config!$B$16, 0,
    Config!$B$18=1, IF($O873&gt;=N873, 0, 1),
    TRUE, 1
), "")
</f>
        <v>0</v>
      </c>
      <c r="AF873" s="40" t="str">
        <f>IFERROR(IF($AE873=0,"",((Config!$B$6*$Y873 + Config!$B$7*$U873 + Config!$B$8*$Z873 + Config!$B$9*$AA873 + Config!$B$10*$AB873 + Config!$B$11*$AC873 - Config!$B$12*$AD873)/Config!$B$13)+$AK873+$AL873),"")</f>
        <v/>
      </c>
      <c r="AG873" s="40" t="str">
        <f t="shared" si="6"/>
        <v/>
      </c>
      <c r="AH873" s="40" t="str">
        <f t="shared" si="7"/>
        <v/>
      </c>
      <c r="AI873" s="40" t="str">
        <f t="shared" si="8"/>
        <v/>
      </c>
      <c r="AJ873" s="40" t="str">
        <f>IF($K873="","",COUNTIF(Assignments!$B$6:$B$1000,$K873))</f>
        <v/>
      </c>
      <c r="AK873" s="40" t="str">
        <f>IF($K873="","",IF(AND($AJ873=0,$O873&lt;$N873),Config!$B$43,0))</f>
        <v/>
      </c>
      <c r="AL873" s="40" t="str">
        <f>IF($K873="","",IF(AND($M873="Elite",$G873&gt;=Config!$B$41,$O873&lt;$N873),Config!$B$42,0))</f>
        <v/>
      </c>
      <c r="AM873" s="22"/>
    </row>
    <row r="874" ht="15.75" customHeight="1">
      <c r="A874" s="40" t="str">
        <f t="shared" si="1"/>
        <v/>
      </c>
      <c r="B874" s="40" t="str">
        <f>IF(Bids!$A873="","",Bids!$A873)</f>
        <v/>
      </c>
      <c r="C874" s="40" t="str">
        <f>IF(Bids!$B873="","",Bids!$B873)</f>
        <v/>
      </c>
      <c r="D874" s="40" t="str">
        <f>IF($C874="","",IFERROR(VLOOKUP($C874,Orders!$A$4:$J$998,9,FALSE),""))</f>
        <v/>
      </c>
      <c r="E874" s="40" t="str">
        <f>IF($C874="","",IFERROR(VLOOKUP($C874,Orders!$A$4:$J$998,3,FALSE),""))</f>
        <v/>
      </c>
      <c r="F874" s="40">
        <f t="shared" si="2"/>
        <v>1</v>
      </c>
      <c r="G874" s="40" t="str">
        <f>IF($C874="","",IFERROR(VLOOKUP($C874,Orders!$A$4:$J$998,4,FALSE),""))</f>
        <v/>
      </c>
      <c r="H874" s="40" t="str">
        <f>IF($C874="","",IFERROR(VLOOKUP($C874,Orders!$A$4:$J$998,5,FALSE),""))</f>
        <v/>
      </c>
      <c r="I874" s="40" t="str">
        <f>IF($C874="","",IFERROR(VLOOKUP($C874,Orders!$A$4:$J$998,6,FALSE),""))</f>
        <v/>
      </c>
      <c r="J874" s="40" t="str">
        <f>IF($C874="","",IFERROR(VLOOKUP($C874,Orders!$A$4:$J$998,7,FALSE),""))</f>
        <v/>
      </c>
      <c r="K874" s="40" t="str">
        <f>IF(Bids!$C873="","",Bids!$C873)</f>
        <v/>
      </c>
      <c r="L874" s="40" t="str">
        <f>IF($K874="","",IFERROR(VLOOKUP($K874,Grinders!$A$4:$N$998,2,FALSE),""))</f>
        <v/>
      </c>
      <c r="M874" s="40" t="str">
        <f>IF($K874="","",IFERROR(VLOOKUP($K874,Grinders!$A$4:$N$998,3,FALSE),""))</f>
        <v/>
      </c>
      <c r="N874" s="40" t="str">
        <f>IF($K874="","",IFERROR(VLOOKUP($K874,Grinders!$A$4:$N$998,4,FALSE),""))</f>
        <v/>
      </c>
      <c r="O874" s="40" t="str">
        <f>IF($K874="","",IFERROR(VLOOKUP($K874,Grinders!$A$4:$N$998,5,FALSE),""))</f>
        <v/>
      </c>
      <c r="P874" s="40" t="str">
        <f>IF($K874="","",IF($C$4="",0,COUNTIFS(Assignments!$B$6:$B$1000,$K874,Assignments!$F$6:$F$1000,$C$4,Assignments!$E$6:$E$1000,"Active")))</f>
        <v/>
      </c>
      <c r="Q874" s="40" t="str">
        <f t="shared" si="3"/>
        <v/>
      </c>
      <c r="R874" s="40" t="str">
        <f t="shared" si="4"/>
        <v/>
      </c>
      <c r="S874" s="40" t="str">
        <f>IF($K874="","",IF($C$4="",0,COUNTIFS(Assignments!$B$6:$B$1000,$K874,Assignments!$F$6:$F$1000,$C$4,Assignments!$D$6:$D$1000,"&gt;="&amp;Config!$B$3-7,Assignments!$D$6:$D$1000,"&lt;="&amp;Config!$B$3)))</f>
        <v/>
      </c>
      <c r="T874" s="40" t="str">
        <f>IF($K874="","",IFERROR(VLOOKUP($K874,Grinders!$A$4:$N$998,8,FALSE),""))</f>
        <v/>
      </c>
      <c r="U874" s="40" t="str">
        <f>IFERROR(IF($K874="","",IF($M874="Elite",MAX(50,MIN(100,Config!$B$27*MAX(0,MIN(100,(1-IF($R874="",0,$R874))*100)) + Config!$B$28*MAX(0,MIN(100,(1-MIN(1,IF(Config!$B$30=0,1,$S874/Config!$B$30)))*100)) + Config!$B$29*MAX(0,MIN(100,MIN(1,IF($T874="",0,$T874)/Config!$B$23)*100)))),MIN(100,Config!$B$27*MAX(0,MIN(100,(1-IF($R874="",0,$R874))*100)) + Config!$B$28*MAX(0,MIN(100,(1-MIN(1,IF(Config!$B$30=0,1,$S874/Config!$B$30)))*100)) + Config!$B$29*MAX(0,MIN(100,MIN(1,IF($T874="",0,$T874)/Config!$B$23)*100))))),"")
</f>
        <v/>
      </c>
      <c r="V874" s="40" t="str">
        <f>IF(Bids!$D873="","",Bids!$D873)</f>
        <v/>
      </c>
      <c r="W874" s="40" t="str">
        <f>IF(Bids!$F873="","",Bids!$F873)</f>
        <v/>
      </c>
      <c r="X874" s="40" t="str">
        <f t="shared" si="5"/>
        <v/>
      </c>
      <c r="Y874" s="40" t="str">
        <f>IF($X874="","",IF(Config!$B$17=Config!$B$16,IF($X874&gt;=Config!$B$17,100,0),MAX(0,MIN(100,($X874-Config!$B$16)/(Config!$B$17-Config!$B$16)*100))))</f>
        <v/>
      </c>
      <c r="Z874" s="40">
        <f>IF($M874="Elite",Config!$B$21,0)</f>
        <v>0</v>
      </c>
      <c r="AA874" s="40" t="str">
        <f>IFERROR(IF(OR($W874="",$H874=""),"",IF($W874&gt;$H874,
  MAX(0, 60-(($W874-$H874)*24/Config!$B$19)*60),
  MIN(100, 60+(($H874-$W874)*24/Config!$B$20)*40)
)),"")
</f>
        <v/>
      </c>
      <c r="AB874" s="40" t="str">
        <f>IF($K874="","",IFERROR(VLOOKUP($K874,Grinders!$A$4:$N$998,10,FALSE)/5*100,""))</f>
        <v/>
      </c>
      <c r="AC874" s="40" t="str">
        <f>IF($K874="","",IFERROR(VLOOKUP($K874,Grinders!$A$4:$N$998,11,FALSE)*100,""))</f>
        <v/>
      </c>
      <c r="AD874" s="40" t="str">
        <f>IF($K874="","",IFERROR(VLOOKUP($K874,Grinders!$A$4:$N$998,12,FALSE)*100,""))</f>
        <v/>
      </c>
      <c r="AE874" s="40">
        <f>IFERROR(IFS(
    OR($C874="", $K874=""), 0,
    $F874=0, 0,
    $D874&lt;&gt;"Open", 0,
    COUNTIFS(GrinderServices!$B$4:$B$998, $K874, GrinderServices!$C$4:$C$998, $E874, GrinderServices!$E$4:$E$998, "Y")=0, 0,
    $X874&lt;Config!$B$16, 0,
    Config!$B$18=1, IF($O874&gt;=N874, 0, 1),
    TRUE, 1
), "")
</f>
        <v>0</v>
      </c>
      <c r="AF874" s="40" t="str">
        <f>IFERROR(IF($AE874=0,"",((Config!$B$6*$Y874 + Config!$B$7*$U874 + Config!$B$8*$Z874 + Config!$B$9*$AA874 + Config!$B$10*$AB874 + Config!$B$11*$AC874 - Config!$B$12*$AD874)/Config!$B$13)+$AK874+$AL874),"")</f>
        <v/>
      </c>
      <c r="AG874" s="40" t="str">
        <f t="shared" si="6"/>
        <v/>
      </c>
      <c r="AH874" s="40" t="str">
        <f t="shared" si="7"/>
        <v/>
      </c>
      <c r="AI874" s="40" t="str">
        <f t="shared" si="8"/>
        <v/>
      </c>
      <c r="AJ874" s="40" t="str">
        <f>IF($K874="","",COUNTIF(Assignments!$B$6:$B$1000,$K874))</f>
        <v/>
      </c>
      <c r="AK874" s="40" t="str">
        <f>IF($K874="","",IF(AND($AJ874=0,$O874&lt;$N874),Config!$B$43,0))</f>
        <v/>
      </c>
      <c r="AL874" s="40" t="str">
        <f>IF($K874="","",IF(AND($M874="Elite",$G874&gt;=Config!$B$41,$O874&lt;$N874),Config!$B$42,0))</f>
        <v/>
      </c>
      <c r="AM874" s="22"/>
    </row>
    <row r="875" ht="15.75" customHeight="1">
      <c r="A875" s="40" t="str">
        <f t="shared" si="1"/>
        <v/>
      </c>
      <c r="B875" s="40" t="str">
        <f>IF(Bids!$A874="","",Bids!$A874)</f>
        <v/>
      </c>
      <c r="C875" s="40" t="str">
        <f>IF(Bids!$B874="","",Bids!$B874)</f>
        <v/>
      </c>
      <c r="D875" s="40" t="str">
        <f>IF($C875="","",IFERROR(VLOOKUP($C875,Orders!$A$4:$J$998,9,FALSE),""))</f>
        <v/>
      </c>
      <c r="E875" s="40" t="str">
        <f>IF($C875="","",IFERROR(VLOOKUP($C875,Orders!$A$4:$J$998,3,FALSE),""))</f>
        <v/>
      </c>
      <c r="F875" s="40">
        <f t="shared" si="2"/>
        <v>1</v>
      </c>
      <c r="G875" s="40" t="str">
        <f>IF($C875="","",IFERROR(VLOOKUP($C875,Orders!$A$4:$J$998,4,FALSE),""))</f>
        <v/>
      </c>
      <c r="H875" s="40" t="str">
        <f>IF($C875="","",IFERROR(VLOOKUP($C875,Orders!$A$4:$J$998,5,FALSE),""))</f>
        <v/>
      </c>
      <c r="I875" s="40" t="str">
        <f>IF($C875="","",IFERROR(VLOOKUP($C875,Orders!$A$4:$J$998,6,FALSE),""))</f>
        <v/>
      </c>
      <c r="J875" s="40" t="str">
        <f>IF($C875="","",IFERROR(VLOOKUP($C875,Orders!$A$4:$J$998,7,FALSE),""))</f>
        <v/>
      </c>
      <c r="K875" s="40" t="str">
        <f>IF(Bids!$C874="","",Bids!$C874)</f>
        <v/>
      </c>
      <c r="L875" s="40" t="str">
        <f>IF($K875="","",IFERROR(VLOOKUP($K875,Grinders!$A$4:$N$998,2,FALSE),""))</f>
        <v/>
      </c>
      <c r="M875" s="40" t="str">
        <f>IF($K875="","",IFERROR(VLOOKUP($K875,Grinders!$A$4:$N$998,3,FALSE),""))</f>
        <v/>
      </c>
      <c r="N875" s="40" t="str">
        <f>IF($K875="","",IFERROR(VLOOKUP($K875,Grinders!$A$4:$N$998,4,FALSE),""))</f>
        <v/>
      </c>
      <c r="O875" s="40" t="str">
        <f>IF($K875="","",IFERROR(VLOOKUP($K875,Grinders!$A$4:$N$998,5,FALSE),""))</f>
        <v/>
      </c>
      <c r="P875" s="40" t="str">
        <f>IF($K875="","",IF($C$4="",0,COUNTIFS(Assignments!$B$6:$B$1000,$K875,Assignments!$F$6:$F$1000,$C$4,Assignments!$E$6:$E$1000,"Active")))</f>
        <v/>
      </c>
      <c r="Q875" s="40" t="str">
        <f t="shared" si="3"/>
        <v/>
      </c>
      <c r="R875" s="40" t="str">
        <f t="shared" si="4"/>
        <v/>
      </c>
      <c r="S875" s="40" t="str">
        <f>IF($K875="","",IF($C$4="",0,COUNTIFS(Assignments!$B$6:$B$1000,$K875,Assignments!$F$6:$F$1000,$C$4,Assignments!$D$6:$D$1000,"&gt;="&amp;Config!$B$3-7,Assignments!$D$6:$D$1000,"&lt;="&amp;Config!$B$3)))</f>
        <v/>
      </c>
      <c r="T875" s="40" t="str">
        <f>IF($K875="","",IFERROR(VLOOKUP($K875,Grinders!$A$4:$N$998,8,FALSE),""))</f>
        <v/>
      </c>
      <c r="U875" s="40" t="str">
        <f>IFERROR(IF($K875="","",IF($M875="Elite",MAX(50,MIN(100,Config!$B$27*MAX(0,MIN(100,(1-IF($R875="",0,$R875))*100)) + Config!$B$28*MAX(0,MIN(100,(1-MIN(1,IF(Config!$B$30=0,1,$S875/Config!$B$30)))*100)) + Config!$B$29*MAX(0,MIN(100,MIN(1,IF($T875="",0,$T875)/Config!$B$23)*100)))),MIN(100,Config!$B$27*MAX(0,MIN(100,(1-IF($R875="",0,$R875))*100)) + Config!$B$28*MAX(0,MIN(100,(1-MIN(1,IF(Config!$B$30=0,1,$S875/Config!$B$30)))*100)) + Config!$B$29*MAX(0,MIN(100,MIN(1,IF($T875="",0,$T875)/Config!$B$23)*100))))),"")
</f>
        <v/>
      </c>
      <c r="V875" s="40" t="str">
        <f>IF(Bids!$D874="","",Bids!$D874)</f>
        <v/>
      </c>
      <c r="W875" s="40" t="str">
        <f>IF(Bids!$F874="","",Bids!$F874)</f>
        <v/>
      </c>
      <c r="X875" s="40" t="str">
        <f t="shared" si="5"/>
        <v/>
      </c>
      <c r="Y875" s="40" t="str">
        <f>IF($X875="","",IF(Config!$B$17=Config!$B$16,IF($X875&gt;=Config!$B$17,100,0),MAX(0,MIN(100,($X875-Config!$B$16)/(Config!$B$17-Config!$B$16)*100))))</f>
        <v/>
      </c>
      <c r="Z875" s="40">
        <f>IF($M875="Elite",Config!$B$21,0)</f>
        <v>0</v>
      </c>
      <c r="AA875" s="40" t="str">
        <f>IFERROR(IF(OR($W875="",$H875=""),"",IF($W875&gt;$H875,
  MAX(0, 60-(($W875-$H875)*24/Config!$B$19)*60),
  MIN(100, 60+(($H875-$W875)*24/Config!$B$20)*40)
)),"")
</f>
        <v/>
      </c>
      <c r="AB875" s="40" t="str">
        <f>IF($K875="","",IFERROR(VLOOKUP($K875,Grinders!$A$4:$N$998,10,FALSE)/5*100,""))</f>
        <v/>
      </c>
      <c r="AC875" s="40" t="str">
        <f>IF($K875="","",IFERROR(VLOOKUP($K875,Grinders!$A$4:$N$998,11,FALSE)*100,""))</f>
        <v/>
      </c>
      <c r="AD875" s="40" t="str">
        <f>IF($K875="","",IFERROR(VLOOKUP($K875,Grinders!$A$4:$N$998,12,FALSE)*100,""))</f>
        <v/>
      </c>
      <c r="AE875" s="40">
        <f>IFERROR(IFS(
    OR($C875="", $K875=""), 0,
    $F875=0, 0,
    $D875&lt;&gt;"Open", 0,
    COUNTIFS(GrinderServices!$B$4:$B$998, $K875, GrinderServices!$C$4:$C$998, $E875, GrinderServices!$E$4:$E$998, "Y")=0, 0,
    $X875&lt;Config!$B$16, 0,
    Config!$B$18=1, IF($O875&gt;=N875, 0, 1),
    TRUE, 1
), "")
</f>
        <v>0</v>
      </c>
      <c r="AF875" s="40" t="str">
        <f>IFERROR(IF($AE875=0,"",((Config!$B$6*$Y875 + Config!$B$7*$U875 + Config!$B$8*$Z875 + Config!$B$9*$AA875 + Config!$B$10*$AB875 + Config!$B$11*$AC875 - Config!$B$12*$AD875)/Config!$B$13)+$AK875+$AL875),"")</f>
        <v/>
      </c>
      <c r="AG875" s="40" t="str">
        <f t="shared" si="6"/>
        <v/>
      </c>
      <c r="AH875" s="40" t="str">
        <f t="shared" si="7"/>
        <v/>
      </c>
      <c r="AI875" s="40" t="str">
        <f t="shared" si="8"/>
        <v/>
      </c>
      <c r="AJ875" s="40" t="str">
        <f>IF($K875="","",COUNTIF(Assignments!$B$6:$B$1000,$K875))</f>
        <v/>
      </c>
      <c r="AK875" s="40" t="str">
        <f>IF($K875="","",IF(AND($AJ875=0,$O875&lt;$N875),Config!$B$43,0))</f>
        <v/>
      </c>
      <c r="AL875" s="40" t="str">
        <f>IF($K875="","",IF(AND($M875="Elite",$G875&gt;=Config!$B$41,$O875&lt;$N875),Config!$B$42,0))</f>
        <v/>
      </c>
      <c r="AM875" s="22"/>
    </row>
    <row r="876" ht="15.75" customHeight="1">
      <c r="A876" s="40" t="str">
        <f t="shared" si="1"/>
        <v/>
      </c>
      <c r="B876" s="40" t="str">
        <f>IF(Bids!$A875="","",Bids!$A875)</f>
        <v/>
      </c>
      <c r="C876" s="40" t="str">
        <f>IF(Bids!$B875="","",Bids!$B875)</f>
        <v/>
      </c>
      <c r="D876" s="40" t="str">
        <f>IF($C876="","",IFERROR(VLOOKUP($C876,Orders!$A$4:$J$998,9,FALSE),""))</f>
        <v/>
      </c>
      <c r="E876" s="40" t="str">
        <f>IF($C876="","",IFERROR(VLOOKUP($C876,Orders!$A$4:$J$998,3,FALSE),""))</f>
        <v/>
      </c>
      <c r="F876" s="40">
        <f t="shared" si="2"/>
        <v>1</v>
      </c>
      <c r="G876" s="40" t="str">
        <f>IF($C876="","",IFERROR(VLOOKUP($C876,Orders!$A$4:$J$998,4,FALSE),""))</f>
        <v/>
      </c>
      <c r="H876" s="40" t="str">
        <f>IF($C876="","",IFERROR(VLOOKUP($C876,Orders!$A$4:$J$998,5,FALSE),""))</f>
        <v/>
      </c>
      <c r="I876" s="40" t="str">
        <f>IF($C876="","",IFERROR(VLOOKUP($C876,Orders!$A$4:$J$998,6,FALSE),""))</f>
        <v/>
      </c>
      <c r="J876" s="40" t="str">
        <f>IF($C876="","",IFERROR(VLOOKUP($C876,Orders!$A$4:$J$998,7,FALSE),""))</f>
        <v/>
      </c>
      <c r="K876" s="40" t="str">
        <f>IF(Bids!$C875="","",Bids!$C875)</f>
        <v/>
      </c>
      <c r="L876" s="40" t="str">
        <f>IF($K876="","",IFERROR(VLOOKUP($K876,Grinders!$A$4:$N$998,2,FALSE),""))</f>
        <v/>
      </c>
      <c r="M876" s="40" t="str">
        <f>IF($K876="","",IFERROR(VLOOKUP($K876,Grinders!$A$4:$N$998,3,FALSE),""))</f>
        <v/>
      </c>
      <c r="N876" s="40" t="str">
        <f>IF($K876="","",IFERROR(VLOOKUP($K876,Grinders!$A$4:$N$998,4,FALSE),""))</f>
        <v/>
      </c>
      <c r="O876" s="40" t="str">
        <f>IF($K876="","",IFERROR(VLOOKUP($K876,Grinders!$A$4:$N$998,5,FALSE),""))</f>
        <v/>
      </c>
      <c r="P876" s="40" t="str">
        <f>IF($K876="","",IF($C$4="",0,COUNTIFS(Assignments!$B$6:$B$1000,$K876,Assignments!$F$6:$F$1000,$C$4,Assignments!$E$6:$E$1000,"Active")))</f>
        <v/>
      </c>
      <c r="Q876" s="40" t="str">
        <f t="shared" si="3"/>
        <v/>
      </c>
      <c r="R876" s="40" t="str">
        <f t="shared" si="4"/>
        <v/>
      </c>
      <c r="S876" s="40" t="str">
        <f>IF($K876="","",IF($C$4="",0,COUNTIFS(Assignments!$B$6:$B$1000,$K876,Assignments!$F$6:$F$1000,$C$4,Assignments!$D$6:$D$1000,"&gt;="&amp;Config!$B$3-7,Assignments!$D$6:$D$1000,"&lt;="&amp;Config!$B$3)))</f>
        <v/>
      </c>
      <c r="T876" s="40" t="str">
        <f>IF($K876="","",IFERROR(VLOOKUP($K876,Grinders!$A$4:$N$998,8,FALSE),""))</f>
        <v/>
      </c>
      <c r="U876" s="40" t="str">
        <f>IFERROR(IF($K876="","",IF($M876="Elite",MAX(50,MIN(100,Config!$B$27*MAX(0,MIN(100,(1-IF($R876="",0,$R876))*100)) + Config!$B$28*MAX(0,MIN(100,(1-MIN(1,IF(Config!$B$30=0,1,$S876/Config!$B$30)))*100)) + Config!$B$29*MAX(0,MIN(100,MIN(1,IF($T876="",0,$T876)/Config!$B$23)*100)))),MIN(100,Config!$B$27*MAX(0,MIN(100,(1-IF($R876="",0,$R876))*100)) + Config!$B$28*MAX(0,MIN(100,(1-MIN(1,IF(Config!$B$30=0,1,$S876/Config!$B$30)))*100)) + Config!$B$29*MAX(0,MIN(100,MIN(1,IF($T876="",0,$T876)/Config!$B$23)*100))))),"")
</f>
        <v/>
      </c>
      <c r="V876" s="40" t="str">
        <f>IF(Bids!$D875="","",Bids!$D875)</f>
        <v/>
      </c>
      <c r="W876" s="40" t="str">
        <f>IF(Bids!$F875="","",Bids!$F875)</f>
        <v/>
      </c>
      <c r="X876" s="40" t="str">
        <f t="shared" si="5"/>
        <v/>
      </c>
      <c r="Y876" s="40" t="str">
        <f>IF($X876="","",IF(Config!$B$17=Config!$B$16,IF($X876&gt;=Config!$B$17,100,0),MAX(0,MIN(100,($X876-Config!$B$16)/(Config!$B$17-Config!$B$16)*100))))</f>
        <v/>
      </c>
      <c r="Z876" s="40">
        <f>IF($M876="Elite",Config!$B$21,0)</f>
        <v>0</v>
      </c>
      <c r="AA876" s="40" t="str">
        <f>IFERROR(IF(OR($W876="",$H876=""),"",IF($W876&gt;$H876,
  MAX(0, 60-(($W876-$H876)*24/Config!$B$19)*60),
  MIN(100, 60+(($H876-$W876)*24/Config!$B$20)*40)
)),"")
</f>
        <v/>
      </c>
      <c r="AB876" s="40" t="str">
        <f>IF($K876="","",IFERROR(VLOOKUP($K876,Grinders!$A$4:$N$998,10,FALSE)/5*100,""))</f>
        <v/>
      </c>
      <c r="AC876" s="40" t="str">
        <f>IF($K876="","",IFERROR(VLOOKUP($K876,Grinders!$A$4:$N$998,11,FALSE)*100,""))</f>
        <v/>
      </c>
      <c r="AD876" s="40" t="str">
        <f>IF($K876="","",IFERROR(VLOOKUP($K876,Grinders!$A$4:$N$998,12,FALSE)*100,""))</f>
        <v/>
      </c>
      <c r="AE876" s="40">
        <f>IFERROR(IFS(
    OR($C876="", $K876=""), 0,
    $F876=0, 0,
    $D876&lt;&gt;"Open", 0,
    COUNTIFS(GrinderServices!$B$4:$B$998, $K876, GrinderServices!$C$4:$C$998, $E876, GrinderServices!$E$4:$E$998, "Y")=0, 0,
    $X876&lt;Config!$B$16, 0,
    Config!$B$18=1, IF($O876&gt;=N876, 0, 1),
    TRUE, 1
), "")
</f>
        <v>0</v>
      </c>
      <c r="AF876" s="40" t="str">
        <f>IFERROR(IF($AE876=0,"",((Config!$B$6*$Y876 + Config!$B$7*$U876 + Config!$B$8*$Z876 + Config!$B$9*$AA876 + Config!$B$10*$AB876 + Config!$B$11*$AC876 - Config!$B$12*$AD876)/Config!$B$13)+$AK876+$AL876),"")</f>
        <v/>
      </c>
      <c r="AG876" s="40" t="str">
        <f t="shared" si="6"/>
        <v/>
      </c>
      <c r="AH876" s="40" t="str">
        <f t="shared" si="7"/>
        <v/>
      </c>
      <c r="AI876" s="40" t="str">
        <f t="shared" si="8"/>
        <v/>
      </c>
      <c r="AJ876" s="40" t="str">
        <f>IF($K876="","",COUNTIF(Assignments!$B$6:$B$1000,$K876))</f>
        <v/>
      </c>
      <c r="AK876" s="40" t="str">
        <f>IF($K876="","",IF(AND($AJ876=0,$O876&lt;$N876),Config!$B$43,0))</f>
        <v/>
      </c>
      <c r="AL876" s="40" t="str">
        <f>IF($K876="","",IF(AND($M876="Elite",$G876&gt;=Config!$B$41,$O876&lt;$N876),Config!$B$42,0))</f>
        <v/>
      </c>
      <c r="AM876" s="22"/>
    </row>
    <row r="877" ht="15.75" customHeight="1">
      <c r="A877" s="40" t="str">
        <f t="shared" si="1"/>
        <v/>
      </c>
      <c r="B877" s="40" t="str">
        <f>IF(Bids!$A876="","",Bids!$A876)</f>
        <v/>
      </c>
      <c r="C877" s="40" t="str">
        <f>IF(Bids!$B876="","",Bids!$B876)</f>
        <v/>
      </c>
      <c r="D877" s="40" t="str">
        <f>IF($C877="","",IFERROR(VLOOKUP($C877,Orders!$A$4:$J$998,9,FALSE),""))</f>
        <v/>
      </c>
      <c r="E877" s="40" t="str">
        <f>IF($C877="","",IFERROR(VLOOKUP($C877,Orders!$A$4:$J$998,3,FALSE),""))</f>
        <v/>
      </c>
      <c r="F877" s="40">
        <f t="shared" si="2"/>
        <v>1</v>
      </c>
      <c r="G877" s="40" t="str">
        <f>IF($C877="","",IFERROR(VLOOKUP($C877,Orders!$A$4:$J$998,4,FALSE),""))</f>
        <v/>
      </c>
      <c r="H877" s="40" t="str">
        <f>IF($C877="","",IFERROR(VLOOKUP($C877,Orders!$A$4:$J$998,5,FALSE),""))</f>
        <v/>
      </c>
      <c r="I877" s="40" t="str">
        <f>IF($C877="","",IFERROR(VLOOKUP($C877,Orders!$A$4:$J$998,6,FALSE),""))</f>
        <v/>
      </c>
      <c r="J877" s="40" t="str">
        <f>IF($C877="","",IFERROR(VLOOKUP($C877,Orders!$A$4:$J$998,7,FALSE),""))</f>
        <v/>
      </c>
      <c r="K877" s="40" t="str">
        <f>IF(Bids!$C876="","",Bids!$C876)</f>
        <v/>
      </c>
      <c r="L877" s="40" t="str">
        <f>IF($K877="","",IFERROR(VLOOKUP($K877,Grinders!$A$4:$N$998,2,FALSE),""))</f>
        <v/>
      </c>
      <c r="M877" s="40" t="str">
        <f>IF($K877="","",IFERROR(VLOOKUP($K877,Grinders!$A$4:$N$998,3,FALSE),""))</f>
        <v/>
      </c>
      <c r="N877" s="40" t="str">
        <f>IF($K877="","",IFERROR(VLOOKUP($K877,Grinders!$A$4:$N$998,4,FALSE),""))</f>
        <v/>
      </c>
      <c r="O877" s="40" t="str">
        <f>IF($K877="","",IFERROR(VLOOKUP($K877,Grinders!$A$4:$N$998,5,FALSE),""))</f>
        <v/>
      </c>
      <c r="P877" s="40" t="str">
        <f>IF($K877="","",IF($C$4="",0,COUNTIFS(Assignments!$B$6:$B$1000,$K877,Assignments!$F$6:$F$1000,$C$4,Assignments!$E$6:$E$1000,"Active")))</f>
        <v/>
      </c>
      <c r="Q877" s="40" t="str">
        <f t="shared" si="3"/>
        <v/>
      </c>
      <c r="R877" s="40" t="str">
        <f t="shared" si="4"/>
        <v/>
      </c>
      <c r="S877" s="40" t="str">
        <f>IF($K877="","",IF($C$4="",0,COUNTIFS(Assignments!$B$6:$B$1000,$K877,Assignments!$F$6:$F$1000,$C$4,Assignments!$D$6:$D$1000,"&gt;="&amp;Config!$B$3-7,Assignments!$D$6:$D$1000,"&lt;="&amp;Config!$B$3)))</f>
        <v/>
      </c>
      <c r="T877" s="40" t="str">
        <f>IF($K877="","",IFERROR(VLOOKUP($K877,Grinders!$A$4:$N$998,8,FALSE),""))</f>
        <v/>
      </c>
      <c r="U877" s="40" t="str">
        <f>IFERROR(IF($K877="","",IF($M877="Elite",MAX(50,MIN(100,Config!$B$27*MAX(0,MIN(100,(1-IF($R877="",0,$R877))*100)) + Config!$B$28*MAX(0,MIN(100,(1-MIN(1,IF(Config!$B$30=0,1,$S877/Config!$B$30)))*100)) + Config!$B$29*MAX(0,MIN(100,MIN(1,IF($T877="",0,$T877)/Config!$B$23)*100)))),MIN(100,Config!$B$27*MAX(0,MIN(100,(1-IF($R877="",0,$R877))*100)) + Config!$B$28*MAX(0,MIN(100,(1-MIN(1,IF(Config!$B$30=0,1,$S877/Config!$B$30)))*100)) + Config!$B$29*MAX(0,MIN(100,MIN(1,IF($T877="",0,$T877)/Config!$B$23)*100))))),"")
</f>
        <v/>
      </c>
      <c r="V877" s="40" t="str">
        <f>IF(Bids!$D876="","",Bids!$D876)</f>
        <v/>
      </c>
      <c r="W877" s="40" t="str">
        <f>IF(Bids!$F876="","",Bids!$F876)</f>
        <v/>
      </c>
      <c r="X877" s="40" t="str">
        <f t="shared" si="5"/>
        <v/>
      </c>
      <c r="Y877" s="40" t="str">
        <f>IF($X877="","",IF(Config!$B$17=Config!$B$16,IF($X877&gt;=Config!$B$17,100,0),MAX(0,MIN(100,($X877-Config!$B$16)/(Config!$B$17-Config!$B$16)*100))))</f>
        <v/>
      </c>
      <c r="Z877" s="40">
        <f>IF($M877="Elite",Config!$B$21,0)</f>
        <v>0</v>
      </c>
      <c r="AA877" s="40" t="str">
        <f>IFERROR(IF(OR($W877="",$H877=""),"",IF($W877&gt;$H877,
  MAX(0, 60-(($W877-$H877)*24/Config!$B$19)*60),
  MIN(100, 60+(($H877-$W877)*24/Config!$B$20)*40)
)),"")
</f>
        <v/>
      </c>
      <c r="AB877" s="40" t="str">
        <f>IF($K877="","",IFERROR(VLOOKUP($K877,Grinders!$A$4:$N$998,10,FALSE)/5*100,""))</f>
        <v/>
      </c>
      <c r="AC877" s="40" t="str">
        <f>IF($K877="","",IFERROR(VLOOKUP($K877,Grinders!$A$4:$N$998,11,FALSE)*100,""))</f>
        <v/>
      </c>
      <c r="AD877" s="40" t="str">
        <f>IF($K877="","",IFERROR(VLOOKUP($K877,Grinders!$A$4:$N$998,12,FALSE)*100,""))</f>
        <v/>
      </c>
      <c r="AE877" s="40">
        <f>IFERROR(IFS(
    OR($C877="", $K877=""), 0,
    $F877=0, 0,
    $D877&lt;&gt;"Open", 0,
    COUNTIFS(GrinderServices!$B$4:$B$998, $K877, GrinderServices!$C$4:$C$998, $E877, GrinderServices!$E$4:$E$998, "Y")=0, 0,
    $X877&lt;Config!$B$16, 0,
    Config!$B$18=1, IF($O877&gt;=N877, 0, 1),
    TRUE, 1
), "")
</f>
        <v>0</v>
      </c>
      <c r="AF877" s="40" t="str">
        <f>IFERROR(IF($AE877=0,"",((Config!$B$6*$Y877 + Config!$B$7*$U877 + Config!$B$8*$Z877 + Config!$B$9*$AA877 + Config!$B$10*$AB877 + Config!$B$11*$AC877 - Config!$B$12*$AD877)/Config!$B$13)+$AK877+$AL877),"")</f>
        <v/>
      </c>
      <c r="AG877" s="40" t="str">
        <f t="shared" si="6"/>
        <v/>
      </c>
      <c r="AH877" s="40" t="str">
        <f t="shared" si="7"/>
        <v/>
      </c>
      <c r="AI877" s="40" t="str">
        <f t="shared" si="8"/>
        <v/>
      </c>
      <c r="AJ877" s="40" t="str">
        <f>IF($K877="","",COUNTIF(Assignments!$B$6:$B$1000,$K877))</f>
        <v/>
      </c>
      <c r="AK877" s="40" t="str">
        <f>IF($K877="","",IF(AND($AJ877=0,$O877&lt;$N877),Config!$B$43,0))</f>
        <v/>
      </c>
      <c r="AL877" s="40" t="str">
        <f>IF($K877="","",IF(AND($M877="Elite",$G877&gt;=Config!$B$41,$O877&lt;$N877),Config!$B$42,0))</f>
        <v/>
      </c>
      <c r="AM877" s="22"/>
    </row>
    <row r="878" ht="15.75" customHeight="1">
      <c r="A878" s="40" t="str">
        <f t="shared" si="1"/>
        <v/>
      </c>
      <c r="B878" s="40" t="str">
        <f>IF(Bids!$A877="","",Bids!$A877)</f>
        <v/>
      </c>
      <c r="C878" s="40" t="str">
        <f>IF(Bids!$B877="","",Bids!$B877)</f>
        <v/>
      </c>
      <c r="D878" s="40" t="str">
        <f>IF($C878="","",IFERROR(VLOOKUP($C878,Orders!$A$4:$J$998,9,FALSE),""))</f>
        <v/>
      </c>
      <c r="E878" s="40" t="str">
        <f>IF($C878="","",IFERROR(VLOOKUP($C878,Orders!$A$4:$J$998,3,FALSE),""))</f>
        <v/>
      </c>
      <c r="F878" s="40">
        <f t="shared" si="2"/>
        <v>1</v>
      </c>
      <c r="G878" s="40" t="str">
        <f>IF($C878="","",IFERROR(VLOOKUP($C878,Orders!$A$4:$J$998,4,FALSE),""))</f>
        <v/>
      </c>
      <c r="H878" s="40" t="str">
        <f>IF($C878="","",IFERROR(VLOOKUP($C878,Orders!$A$4:$J$998,5,FALSE),""))</f>
        <v/>
      </c>
      <c r="I878" s="40" t="str">
        <f>IF($C878="","",IFERROR(VLOOKUP($C878,Orders!$A$4:$J$998,6,FALSE),""))</f>
        <v/>
      </c>
      <c r="J878" s="40" t="str">
        <f>IF($C878="","",IFERROR(VLOOKUP($C878,Orders!$A$4:$J$998,7,FALSE),""))</f>
        <v/>
      </c>
      <c r="K878" s="40" t="str">
        <f>IF(Bids!$C877="","",Bids!$C877)</f>
        <v/>
      </c>
      <c r="L878" s="40" t="str">
        <f>IF($K878="","",IFERROR(VLOOKUP($K878,Grinders!$A$4:$N$998,2,FALSE),""))</f>
        <v/>
      </c>
      <c r="M878" s="40" t="str">
        <f>IF($K878="","",IFERROR(VLOOKUP($K878,Grinders!$A$4:$N$998,3,FALSE),""))</f>
        <v/>
      </c>
      <c r="N878" s="40" t="str">
        <f>IF($K878="","",IFERROR(VLOOKUP($K878,Grinders!$A$4:$N$998,4,FALSE),""))</f>
        <v/>
      </c>
      <c r="O878" s="40" t="str">
        <f>IF($K878="","",IFERROR(VLOOKUP($K878,Grinders!$A$4:$N$998,5,FALSE),""))</f>
        <v/>
      </c>
      <c r="P878" s="40" t="str">
        <f>IF($K878="","",IF($C$4="",0,COUNTIFS(Assignments!$B$6:$B$1000,$K878,Assignments!$F$6:$F$1000,$C$4,Assignments!$E$6:$E$1000,"Active")))</f>
        <v/>
      </c>
      <c r="Q878" s="40" t="str">
        <f t="shared" si="3"/>
        <v/>
      </c>
      <c r="R878" s="40" t="str">
        <f t="shared" si="4"/>
        <v/>
      </c>
      <c r="S878" s="40" t="str">
        <f>IF($K878="","",IF($C$4="",0,COUNTIFS(Assignments!$B$6:$B$1000,$K878,Assignments!$F$6:$F$1000,$C$4,Assignments!$D$6:$D$1000,"&gt;="&amp;Config!$B$3-7,Assignments!$D$6:$D$1000,"&lt;="&amp;Config!$B$3)))</f>
        <v/>
      </c>
      <c r="T878" s="40" t="str">
        <f>IF($K878="","",IFERROR(VLOOKUP($K878,Grinders!$A$4:$N$998,8,FALSE),""))</f>
        <v/>
      </c>
      <c r="U878" s="40" t="str">
        <f>IFERROR(IF($K878="","",IF($M878="Elite",MAX(50,MIN(100,Config!$B$27*MAX(0,MIN(100,(1-IF($R878="",0,$R878))*100)) + Config!$B$28*MAX(0,MIN(100,(1-MIN(1,IF(Config!$B$30=0,1,$S878/Config!$B$30)))*100)) + Config!$B$29*MAX(0,MIN(100,MIN(1,IF($T878="",0,$T878)/Config!$B$23)*100)))),MIN(100,Config!$B$27*MAX(0,MIN(100,(1-IF($R878="",0,$R878))*100)) + Config!$B$28*MAX(0,MIN(100,(1-MIN(1,IF(Config!$B$30=0,1,$S878/Config!$B$30)))*100)) + Config!$B$29*MAX(0,MIN(100,MIN(1,IF($T878="",0,$T878)/Config!$B$23)*100))))),"")
</f>
        <v/>
      </c>
      <c r="V878" s="40" t="str">
        <f>IF(Bids!$D877="","",Bids!$D877)</f>
        <v/>
      </c>
      <c r="W878" s="40" t="str">
        <f>IF(Bids!$F877="","",Bids!$F877)</f>
        <v/>
      </c>
      <c r="X878" s="40" t="str">
        <f t="shared" si="5"/>
        <v/>
      </c>
      <c r="Y878" s="40" t="str">
        <f>IF($X878="","",IF(Config!$B$17=Config!$B$16,IF($X878&gt;=Config!$B$17,100,0),MAX(0,MIN(100,($X878-Config!$B$16)/(Config!$B$17-Config!$B$16)*100))))</f>
        <v/>
      </c>
      <c r="Z878" s="40">
        <f>IF($M878="Elite",Config!$B$21,0)</f>
        <v>0</v>
      </c>
      <c r="AA878" s="40" t="str">
        <f>IFERROR(IF(OR($W878="",$H878=""),"",IF($W878&gt;$H878,
  MAX(0, 60-(($W878-$H878)*24/Config!$B$19)*60),
  MIN(100, 60+(($H878-$W878)*24/Config!$B$20)*40)
)),"")
</f>
        <v/>
      </c>
      <c r="AB878" s="40" t="str">
        <f>IF($K878="","",IFERROR(VLOOKUP($K878,Grinders!$A$4:$N$998,10,FALSE)/5*100,""))</f>
        <v/>
      </c>
      <c r="AC878" s="40" t="str">
        <f>IF($K878="","",IFERROR(VLOOKUP($K878,Grinders!$A$4:$N$998,11,FALSE)*100,""))</f>
        <v/>
      </c>
      <c r="AD878" s="40" t="str">
        <f>IF($K878="","",IFERROR(VLOOKUP($K878,Grinders!$A$4:$N$998,12,FALSE)*100,""))</f>
        <v/>
      </c>
      <c r="AE878" s="40">
        <f>IFERROR(IFS(
    OR($C878="", $K878=""), 0,
    $F878=0, 0,
    $D878&lt;&gt;"Open", 0,
    COUNTIFS(GrinderServices!$B$4:$B$998, $K878, GrinderServices!$C$4:$C$998, $E878, GrinderServices!$E$4:$E$998, "Y")=0, 0,
    $X878&lt;Config!$B$16, 0,
    Config!$B$18=1, IF($O878&gt;=N878, 0, 1),
    TRUE, 1
), "")
</f>
        <v>0</v>
      </c>
      <c r="AF878" s="40" t="str">
        <f>IFERROR(IF($AE878=0,"",((Config!$B$6*$Y878 + Config!$B$7*$U878 + Config!$B$8*$Z878 + Config!$B$9*$AA878 + Config!$B$10*$AB878 + Config!$B$11*$AC878 - Config!$B$12*$AD878)/Config!$B$13)+$AK878+$AL878),"")</f>
        <v/>
      </c>
      <c r="AG878" s="40" t="str">
        <f t="shared" si="6"/>
        <v/>
      </c>
      <c r="AH878" s="40" t="str">
        <f t="shared" si="7"/>
        <v/>
      </c>
      <c r="AI878" s="40" t="str">
        <f t="shared" si="8"/>
        <v/>
      </c>
      <c r="AJ878" s="40" t="str">
        <f>IF($K878="","",COUNTIF(Assignments!$B$6:$B$1000,$K878))</f>
        <v/>
      </c>
      <c r="AK878" s="40" t="str">
        <f>IF($K878="","",IF(AND($AJ878=0,$O878&lt;$N878),Config!$B$43,0))</f>
        <v/>
      </c>
      <c r="AL878" s="40" t="str">
        <f>IF($K878="","",IF(AND($M878="Elite",$G878&gt;=Config!$B$41,$O878&lt;$N878),Config!$B$42,0))</f>
        <v/>
      </c>
      <c r="AM878" s="22"/>
    </row>
    <row r="879" ht="15.75" customHeight="1">
      <c r="A879" s="40" t="str">
        <f t="shared" si="1"/>
        <v/>
      </c>
      <c r="B879" s="40" t="str">
        <f>IF(Bids!$A878="","",Bids!$A878)</f>
        <v/>
      </c>
      <c r="C879" s="40" t="str">
        <f>IF(Bids!$B878="","",Bids!$B878)</f>
        <v/>
      </c>
      <c r="D879" s="40" t="str">
        <f>IF($C879="","",IFERROR(VLOOKUP($C879,Orders!$A$4:$J$998,9,FALSE),""))</f>
        <v/>
      </c>
      <c r="E879" s="40" t="str">
        <f>IF($C879="","",IFERROR(VLOOKUP($C879,Orders!$A$4:$J$998,3,FALSE),""))</f>
        <v/>
      </c>
      <c r="F879" s="40">
        <f t="shared" si="2"/>
        <v>1</v>
      </c>
      <c r="G879" s="40" t="str">
        <f>IF($C879="","",IFERROR(VLOOKUP($C879,Orders!$A$4:$J$998,4,FALSE),""))</f>
        <v/>
      </c>
      <c r="H879" s="40" t="str">
        <f>IF($C879="","",IFERROR(VLOOKUP($C879,Orders!$A$4:$J$998,5,FALSE),""))</f>
        <v/>
      </c>
      <c r="I879" s="40" t="str">
        <f>IF($C879="","",IFERROR(VLOOKUP($C879,Orders!$A$4:$J$998,6,FALSE),""))</f>
        <v/>
      </c>
      <c r="J879" s="40" t="str">
        <f>IF($C879="","",IFERROR(VLOOKUP($C879,Orders!$A$4:$J$998,7,FALSE),""))</f>
        <v/>
      </c>
      <c r="K879" s="40" t="str">
        <f>IF(Bids!$C878="","",Bids!$C878)</f>
        <v/>
      </c>
      <c r="L879" s="40" t="str">
        <f>IF($K879="","",IFERROR(VLOOKUP($K879,Grinders!$A$4:$N$998,2,FALSE),""))</f>
        <v/>
      </c>
      <c r="M879" s="40" t="str">
        <f>IF($K879="","",IFERROR(VLOOKUP($K879,Grinders!$A$4:$N$998,3,FALSE),""))</f>
        <v/>
      </c>
      <c r="N879" s="40" t="str">
        <f>IF($K879="","",IFERROR(VLOOKUP($K879,Grinders!$A$4:$N$998,4,FALSE),""))</f>
        <v/>
      </c>
      <c r="O879" s="40" t="str">
        <f>IF($K879="","",IFERROR(VLOOKUP($K879,Grinders!$A$4:$N$998,5,FALSE),""))</f>
        <v/>
      </c>
      <c r="P879" s="40" t="str">
        <f>IF($K879="","",IF($C$4="",0,COUNTIFS(Assignments!$B$6:$B$1000,$K879,Assignments!$F$6:$F$1000,$C$4,Assignments!$E$6:$E$1000,"Active")))</f>
        <v/>
      </c>
      <c r="Q879" s="40" t="str">
        <f t="shared" si="3"/>
        <v/>
      </c>
      <c r="R879" s="40" t="str">
        <f t="shared" si="4"/>
        <v/>
      </c>
      <c r="S879" s="40" t="str">
        <f>IF($K879="","",IF($C$4="",0,COUNTIFS(Assignments!$B$6:$B$1000,$K879,Assignments!$F$6:$F$1000,$C$4,Assignments!$D$6:$D$1000,"&gt;="&amp;Config!$B$3-7,Assignments!$D$6:$D$1000,"&lt;="&amp;Config!$B$3)))</f>
        <v/>
      </c>
      <c r="T879" s="40" t="str">
        <f>IF($K879="","",IFERROR(VLOOKUP($K879,Grinders!$A$4:$N$998,8,FALSE),""))</f>
        <v/>
      </c>
      <c r="U879" s="40" t="str">
        <f>IFERROR(IF($K879="","",IF($M879="Elite",MAX(50,MIN(100,Config!$B$27*MAX(0,MIN(100,(1-IF($R879="",0,$R879))*100)) + Config!$B$28*MAX(0,MIN(100,(1-MIN(1,IF(Config!$B$30=0,1,$S879/Config!$B$30)))*100)) + Config!$B$29*MAX(0,MIN(100,MIN(1,IF($T879="",0,$T879)/Config!$B$23)*100)))),MIN(100,Config!$B$27*MAX(0,MIN(100,(1-IF($R879="",0,$R879))*100)) + Config!$B$28*MAX(0,MIN(100,(1-MIN(1,IF(Config!$B$30=0,1,$S879/Config!$B$30)))*100)) + Config!$B$29*MAX(0,MIN(100,MIN(1,IF($T879="",0,$T879)/Config!$B$23)*100))))),"")
</f>
        <v/>
      </c>
      <c r="V879" s="40" t="str">
        <f>IF(Bids!$D878="","",Bids!$D878)</f>
        <v/>
      </c>
      <c r="W879" s="40" t="str">
        <f>IF(Bids!$F878="","",Bids!$F878)</f>
        <v/>
      </c>
      <c r="X879" s="40" t="str">
        <f t="shared" si="5"/>
        <v/>
      </c>
      <c r="Y879" s="40" t="str">
        <f>IF($X879="","",IF(Config!$B$17=Config!$B$16,IF($X879&gt;=Config!$B$17,100,0),MAX(0,MIN(100,($X879-Config!$B$16)/(Config!$B$17-Config!$B$16)*100))))</f>
        <v/>
      </c>
      <c r="Z879" s="40">
        <f>IF($M879="Elite",Config!$B$21,0)</f>
        <v>0</v>
      </c>
      <c r="AA879" s="40" t="str">
        <f>IFERROR(IF(OR($W879="",$H879=""),"",IF($W879&gt;$H879,
  MAX(0, 60-(($W879-$H879)*24/Config!$B$19)*60),
  MIN(100, 60+(($H879-$W879)*24/Config!$B$20)*40)
)),"")
</f>
        <v/>
      </c>
      <c r="AB879" s="40" t="str">
        <f>IF($K879="","",IFERROR(VLOOKUP($K879,Grinders!$A$4:$N$998,10,FALSE)/5*100,""))</f>
        <v/>
      </c>
      <c r="AC879" s="40" t="str">
        <f>IF($K879="","",IFERROR(VLOOKUP($K879,Grinders!$A$4:$N$998,11,FALSE)*100,""))</f>
        <v/>
      </c>
      <c r="AD879" s="40" t="str">
        <f>IF($K879="","",IFERROR(VLOOKUP($K879,Grinders!$A$4:$N$998,12,FALSE)*100,""))</f>
        <v/>
      </c>
      <c r="AE879" s="40">
        <f>IFERROR(IFS(
    OR($C879="", $K879=""), 0,
    $F879=0, 0,
    $D879&lt;&gt;"Open", 0,
    COUNTIFS(GrinderServices!$B$4:$B$998, $K879, GrinderServices!$C$4:$C$998, $E879, GrinderServices!$E$4:$E$998, "Y")=0, 0,
    $X879&lt;Config!$B$16, 0,
    Config!$B$18=1, IF($O879&gt;=N879, 0, 1),
    TRUE, 1
), "")
</f>
        <v>0</v>
      </c>
      <c r="AF879" s="40" t="str">
        <f>IFERROR(IF($AE879=0,"",((Config!$B$6*$Y879 + Config!$B$7*$U879 + Config!$B$8*$Z879 + Config!$B$9*$AA879 + Config!$B$10*$AB879 + Config!$B$11*$AC879 - Config!$B$12*$AD879)/Config!$B$13)+$AK879+$AL879),"")</f>
        <v/>
      </c>
      <c r="AG879" s="40" t="str">
        <f t="shared" si="6"/>
        <v/>
      </c>
      <c r="AH879" s="40" t="str">
        <f t="shared" si="7"/>
        <v/>
      </c>
      <c r="AI879" s="40" t="str">
        <f t="shared" si="8"/>
        <v/>
      </c>
      <c r="AJ879" s="40" t="str">
        <f>IF($K879="","",COUNTIF(Assignments!$B$6:$B$1000,$K879))</f>
        <v/>
      </c>
      <c r="AK879" s="40" t="str">
        <f>IF($K879="","",IF(AND($AJ879=0,$O879&lt;$N879),Config!$B$43,0))</f>
        <v/>
      </c>
      <c r="AL879" s="40" t="str">
        <f>IF($K879="","",IF(AND($M879="Elite",$G879&gt;=Config!$B$41,$O879&lt;$N879),Config!$B$42,0))</f>
        <v/>
      </c>
      <c r="AM879" s="22"/>
    </row>
    <row r="880" ht="15.75" customHeight="1">
      <c r="A880" s="40" t="str">
        <f t="shared" si="1"/>
        <v/>
      </c>
      <c r="B880" s="40" t="str">
        <f>IF(Bids!$A879="","",Bids!$A879)</f>
        <v/>
      </c>
      <c r="C880" s="40" t="str">
        <f>IF(Bids!$B879="","",Bids!$B879)</f>
        <v/>
      </c>
      <c r="D880" s="40" t="str">
        <f>IF($C880="","",IFERROR(VLOOKUP($C880,Orders!$A$4:$J$998,9,FALSE),""))</f>
        <v/>
      </c>
      <c r="E880" s="40" t="str">
        <f>IF($C880="","",IFERROR(VLOOKUP($C880,Orders!$A$4:$J$998,3,FALSE),""))</f>
        <v/>
      </c>
      <c r="F880" s="40">
        <f t="shared" si="2"/>
        <v>1</v>
      </c>
      <c r="G880" s="40" t="str">
        <f>IF($C880="","",IFERROR(VLOOKUP($C880,Orders!$A$4:$J$998,4,FALSE),""))</f>
        <v/>
      </c>
      <c r="H880" s="40" t="str">
        <f>IF($C880="","",IFERROR(VLOOKUP($C880,Orders!$A$4:$J$998,5,FALSE),""))</f>
        <v/>
      </c>
      <c r="I880" s="40" t="str">
        <f>IF($C880="","",IFERROR(VLOOKUP($C880,Orders!$A$4:$J$998,6,FALSE),""))</f>
        <v/>
      </c>
      <c r="J880" s="40" t="str">
        <f>IF($C880="","",IFERROR(VLOOKUP($C880,Orders!$A$4:$J$998,7,FALSE),""))</f>
        <v/>
      </c>
      <c r="K880" s="40" t="str">
        <f>IF(Bids!$C879="","",Bids!$C879)</f>
        <v/>
      </c>
      <c r="L880" s="40" t="str">
        <f>IF($K880="","",IFERROR(VLOOKUP($K880,Grinders!$A$4:$N$998,2,FALSE),""))</f>
        <v/>
      </c>
      <c r="M880" s="40" t="str">
        <f>IF($K880="","",IFERROR(VLOOKUP($K880,Grinders!$A$4:$N$998,3,FALSE),""))</f>
        <v/>
      </c>
      <c r="N880" s="40" t="str">
        <f>IF($K880="","",IFERROR(VLOOKUP($K880,Grinders!$A$4:$N$998,4,FALSE),""))</f>
        <v/>
      </c>
      <c r="O880" s="40" t="str">
        <f>IF($K880="","",IFERROR(VLOOKUP($K880,Grinders!$A$4:$N$998,5,FALSE),""))</f>
        <v/>
      </c>
      <c r="P880" s="40" t="str">
        <f>IF($K880="","",IF($C$4="",0,COUNTIFS(Assignments!$B$6:$B$1000,$K880,Assignments!$F$6:$F$1000,$C$4,Assignments!$E$6:$E$1000,"Active")))</f>
        <v/>
      </c>
      <c r="Q880" s="40" t="str">
        <f t="shared" si="3"/>
        <v/>
      </c>
      <c r="R880" s="40" t="str">
        <f t="shared" si="4"/>
        <v/>
      </c>
      <c r="S880" s="40" t="str">
        <f>IF($K880="","",IF($C$4="",0,COUNTIFS(Assignments!$B$6:$B$1000,$K880,Assignments!$F$6:$F$1000,$C$4,Assignments!$D$6:$D$1000,"&gt;="&amp;Config!$B$3-7,Assignments!$D$6:$D$1000,"&lt;="&amp;Config!$B$3)))</f>
        <v/>
      </c>
      <c r="T880" s="40" t="str">
        <f>IF($K880="","",IFERROR(VLOOKUP($K880,Grinders!$A$4:$N$998,8,FALSE),""))</f>
        <v/>
      </c>
      <c r="U880" s="40" t="str">
        <f>IFERROR(IF($K880="","",IF($M880="Elite",MAX(50,MIN(100,Config!$B$27*MAX(0,MIN(100,(1-IF($R880="",0,$R880))*100)) + Config!$B$28*MAX(0,MIN(100,(1-MIN(1,IF(Config!$B$30=0,1,$S880/Config!$B$30)))*100)) + Config!$B$29*MAX(0,MIN(100,MIN(1,IF($T880="",0,$T880)/Config!$B$23)*100)))),MIN(100,Config!$B$27*MAX(0,MIN(100,(1-IF($R880="",0,$R880))*100)) + Config!$B$28*MAX(0,MIN(100,(1-MIN(1,IF(Config!$B$30=0,1,$S880/Config!$B$30)))*100)) + Config!$B$29*MAX(0,MIN(100,MIN(1,IF($T880="",0,$T880)/Config!$B$23)*100))))),"")
</f>
        <v/>
      </c>
      <c r="V880" s="40" t="str">
        <f>IF(Bids!$D879="","",Bids!$D879)</f>
        <v/>
      </c>
      <c r="W880" s="40" t="str">
        <f>IF(Bids!$F879="","",Bids!$F879)</f>
        <v/>
      </c>
      <c r="X880" s="40" t="str">
        <f t="shared" si="5"/>
        <v/>
      </c>
      <c r="Y880" s="40" t="str">
        <f>IF($X880="","",IF(Config!$B$17=Config!$B$16,IF($X880&gt;=Config!$B$17,100,0),MAX(0,MIN(100,($X880-Config!$B$16)/(Config!$B$17-Config!$B$16)*100))))</f>
        <v/>
      </c>
      <c r="Z880" s="40">
        <f>IF($M880="Elite",Config!$B$21,0)</f>
        <v>0</v>
      </c>
      <c r="AA880" s="40" t="str">
        <f>IFERROR(IF(OR($W880="",$H880=""),"",IF($W880&gt;$H880,
  MAX(0, 60-(($W880-$H880)*24/Config!$B$19)*60),
  MIN(100, 60+(($H880-$W880)*24/Config!$B$20)*40)
)),"")
</f>
        <v/>
      </c>
      <c r="AB880" s="40" t="str">
        <f>IF($K880="","",IFERROR(VLOOKUP($K880,Grinders!$A$4:$N$998,10,FALSE)/5*100,""))</f>
        <v/>
      </c>
      <c r="AC880" s="40" t="str">
        <f>IF($K880="","",IFERROR(VLOOKUP($K880,Grinders!$A$4:$N$998,11,FALSE)*100,""))</f>
        <v/>
      </c>
      <c r="AD880" s="40" t="str">
        <f>IF($K880="","",IFERROR(VLOOKUP($K880,Grinders!$A$4:$N$998,12,FALSE)*100,""))</f>
        <v/>
      </c>
      <c r="AE880" s="40">
        <f>IFERROR(IFS(
    OR($C880="", $K880=""), 0,
    $F880=0, 0,
    $D880&lt;&gt;"Open", 0,
    COUNTIFS(GrinderServices!$B$4:$B$998, $K880, GrinderServices!$C$4:$C$998, $E880, GrinderServices!$E$4:$E$998, "Y")=0, 0,
    $X880&lt;Config!$B$16, 0,
    Config!$B$18=1, IF($O880&gt;=N880, 0, 1),
    TRUE, 1
), "")
</f>
        <v>0</v>
      </c>
      <c r="AF880" s="40" t="str">
        <f>IFERROR(IF($AE880=0,"",((Config!$B$6*$Y880 + Config!$B$7*$U880 + Config!$B$8*$Z880 + Config!$B$9*$AA880 + Config!$B$10*$AB880 + Config!$B$11*$AC880 - Config!$B$12*$AD880)/Config!$B$13)+$AK880+$AL880),"")</f>
        <v/>
      </c>
      <c r="AG880" s="40" t="str">
        <f t="shared" si="6"/>
        <v/>
      </c>
      <c r="AH880" s="40" t="str">
        <f t="shared" si="7"/>
        <v/>
      </c>
      <c r="AI880" s="40" t="str">
        <f t="shared" si="8"/>
        <v/>
      </c>
      <c r="AJ880" s="40" t="str">
        <f>IF($K880="","",COUNTIF(Assignments!$B$6:$B$1000,$K880))</f>
        <v/>
      </c>
      <c r="AK880" s="40" t="str">
        <f>IF($K880="","",IF(AND($AJ880=0,$O880&lt;$N880),Config!$B$43,0))</f>
        <v/>
      </c>
      <c r="AL880" s="40" t="str">
        <f>IF($K880="","",IF(AND($M880="Elite",$G880&gt;=Config!$B$41,$O880&lt;$N880),Config!$B$42,0))</f>
        <v/>
      </c>
      <c r="AM880" s="22"/>
    </row>
    <row r="881" ht="15.75" customHeight="1">
      <c r="A881" s="40" t="str">
        <f t="shared" si="1"/>
        <v/>
      </c>
      <c r="B881" s="40" t="str">
        <f>IF(Bids!$A880="","",Bids!$A880)</f>
        <v/>
      </c>
      <c r="C881" s="40" t="str">
        <f>IF(Bids!$B880="","",Bids!$B880)</f>
        <v/>
      </c>
      <c r="D881" s="40" t="str">
        <f>IF($C881="","",IFERROR(VLOOKUP($C881,Orders!$A$4:$J$998,9,FALSE),""))</f>
        <v/>
      </c>
      <c r="E881" s="40" t="str">
        <f>IF($C881="","",IFERROR(VLOOKUP($C881,Orders!$A$4:$J$998,3,FALSE),""))</f>
        <v/>
      </c>
      <c r="F881" s="40">
        <f t="shared" si="2"/>
        <v>1</v>
      </c>
      <c r="G881" s="40" t="str">
        <f>IF($C881="","",IFERROR(VLOOKUP($C881,Orders!$A$4:$J$998,4,FALSE),""))</f>
        <v/>
      </c>
      <c r="H881" s="40" t="str">
        <f>IF($C881="","",IFERROR(VLOOKUP($C881,Orders!$A$4:$J$998,5,FALSE),""))</f>
        <v/>
      </c>
      <c r="I881" s="40" t="str">
        <f>IF($C881="","",IFERROR(VLOOKUP($C881,Orders!$A$4:$J$998,6,FALSE),""))</f>
        <v/>
      </c>
      <c r="J881" s="40" t="str">
        <f>IF($C881="","",IFERROR(VLOOKUP($C881,Orders!$A$4:$J$998,7,FALSE),""))</f>
        <v/>
      </c>
      <c r="K881" s="40" t="str">
        <f>IF(Bids!$C880="","",Bids!$C880)</f>
        <v/>
      </c>
      <c r="L881" s="40" t="str">
        <f>IF($K881="","",IFERROR(VLOOKUP($K881,Grinders!$A$4:$N$998,2,FALSE),""))</f>
        <v/>
      </c>
      <c r="M881" s="40" t="str">
        <f>IF($K881="","",IFERROR(VLOOKUP($K881,Grinders!$A$4:$N$998,3,FALSE),""))</f>
        <v/>
      </c>
      <c r="N881" s="40" t="str">
        <f>IF($K881="","",IFERROR(VLOOKUP($K881,Grinders!$A$4:$N$998,4,FALSE),""))</f>
        <v/>
      </c>
      <c r="O881" s="40" t="str">
        <f>IF($K881="","",IFERROR(VLOOKUP($K881,Grinders!$A$4:$N$998,5,FALSE),""))</f>
        <v/>
      </c>
      <c r="P881" s="40" t="str">
        <f>IF($K881="","",IF($C$4="",0,COUNTIFS(Assignments!$B$6:$B$1000,$K881,Assignments!$F$6:$F$1000,$C$4,Assignments!$E$6:$E$1000,"Active")))</f>
        <v/>
      </c>
      <c r="Q881" s="40" t="str">
        <f t="shared" si="3"/>
        <v/>
      </c>
      <c r="R881" s="40" t="str">
        <f t="shared" si="4"/>
        <v/>
      </c>
      <c r="S881" s="40" t="str">
        <f>IF($K881="","",IF($C$4="",0,COUNTIFS(Assignments!$B$6:$B$1000,$K881,Assignments!$F$6:$F$1000,$C$4,Assignments!$D$6:$D$1000,"&gt;="&amp;Config!$B$3-7,Assignments!$D$6:$D$1000,"&lt;="&amp;Config!$B$3)))</f>
        <v/>
      </c>
      <c r="T881" s="40" t="str">
        <f>IF($K881="","",IFERROR(VLOOKUP($K881,Grinders!$A$4:$N$998,8,FALSE),""))</f>
        <v/>
      </c>
      <c r="U881" s="40" t="str">
        <f>IFERROR(IF($K881="","",IF($M881="Elite",MAX(50,MIN(100,Config!$B$27*MAX(0,MIN(100,(1-IF($R881="",0,$R881))*100)) + Config!$B$28*MAX(0,MIN(100,(1-MIN(1,IF(Config!$B$30=0,1,$S881/Config!$B$30)))*100)) + Config!$B$29*MAX(0,MIN(100,MIN(1,IF($T881="",0,$T881)/Config!$B$23)*100)))),MIN(100,Config!$B$27*MAX(0,MIN(100,(1-IF($R881="",0,$R881))*100)) + Config!$B$28*MAX(0,MIN(100,(1-MIN(1,IF(Config!$B$30=0,1,$S881/Config!$B$30)))*100)) + Config!$B$29*MAX(0,MIN(100,MIN(1,IF($T881="",0,$T881)/Config!$B$23)*100))))),"")
</f>
        <v/>
      </c>
      <c r="V881" s="40" t="str">
        <f>IF(Bids!$D880="","",Bids!$D880)</f>
        <v/>
      </c>
      <c r="W881" s="40" t="str">
        <f>IF(Bids!$F880="","",Bids!$F880)</f>
        <v/>
      </c>
      <c r="X881" s="40" t="str">
        <f t="shared" si="5"/>
        <v/>
      </c>
      <c r="Y881" s="40" t="str">
        <f>IF($X881="","",IF(Config!$B$17=Config!$B$16,IF($X881&gt;=Config!$B$17,100,0),MAX(0,MIN(100,($X881-Config!$B$16)/(Config!$B$17-Config!$B$16)*100))))</f>
        <v/>
      </c>
      <c r="Z881" s="40">
        <f>IF($M881="Elite",Config!$B$21,0)</f>
        <v>0</v>
      </c>
      <c r="AA881" s="40" t="str">
        <f>IFERROR(IF(OR($W881="",$H881=""),"",IF($W881&gt;$H881,
  MAX(0, 60-(($W881-$H881)*24/Config!$B$19)*60),
  MIN(100, 60+(($H881-$W881)*24/Config!$B$20)*40)
)),"")
</f>
        <v/>
      </c>
      <c r="AB881" s="40" t="str">
        <f>IF($K881="","",IFERROR(VLOOKUP($K881,Grinders!$A$4:$N$998,10,FALSE)/5*100,""))</f>
        <v/>
      </c>
      <c r="AC881" s="40" t="str">
        <f>IF($K881="","",IFERROR(VLOOKUP($K881,Grinders!$A$4:$N$998,11,FALSE)*100,""))</f>
        <v/>
      </c>
      <c r="AD881" s="40" t="str">
        <f>IF($K881="","",IFERROR(VLOOKUP($K881,Grinders!$A$4:$N$998,12,FALSE)*100,""))</f>
        <v/>
      </c>
      <c r="AE881" s="40">
        <f>IFERROR(IFS(
    OR($C881="", $K881=""), 0,
    $F881=0, 0,
    $D881&lt;&gt;"Open", 0,
    COUNTIFS(GrinderServices!$B$4:$B$998, $K881, GrinderServices!$C$4:$C$998, $E881, GrinderServices!$E$4:$E$998, "Y")=0, 0,
    $X881&lt;Config!$B$16, 0,
    Config!$B$18=1, IF($O881&gt;=N881, 0, 1),
    TRUE, 1
), "")
</f>
        <v>0</v>
      </c>
      <c r="AF881" s="40" t="str">
        <f>IFERROR(IF($AE881=0,"",((Config!$B$6*$Y881 + Config!$B$7*$U881 + Config!$B$8*$Z881 + Config!$B$9*$AA881 + Config!$B$10*$AB881 + Config!$B$11*$AC881 - Config!$B$12*$AD881)/Config!$B$13)+$AK881+$AL881),"")</f>
        <v/>
      </c>
      <c r="AG881" s="40" t="str">
        <f t="shared" si="6"/>
        <v/>
      </c>
      <c r="AH881" s="40" t="str">
        <f t="shared" si="7"/>
        <v/>
      </c>
      <c r="AI881" s="40" t="str">
        <f t="shared" si="8"/>
        <v/>
      </c>
      <c r="AJ881" s="40" t="str">
        <f>IF($K881="","",COUNTIF(Assignments!$B$6:$B$1000,$K881))</f>
        <v/>
      </c>
      <c r="AK881" s="40" t="str">
        <f>IF($K881="","",IF(AND($AJ881=0,$O881&lt;$N881),Config!$B$43,0))</f>
        <v/>
      </c>
      <c r="AL881" s="40" t="str">
        <f>IF($K881="","",IF(AND($M881="Elite",$G881&gt;=Config!$B$41,$O881&lt;$N881),Config!$B$42,0))</f>
        <v/>
      </c>
      <c r="AM881" s="22"/>
    </row>
    <row r="882" ht="15.75" customHeight="1">
      <c r="A882" s="40" t="str">
        <f t="shared" si="1"/>
        <v/>
      </c>
      <c r="B882" s="40" t="str">
        <f>IF(Bids!$A881="","",Bids!$A881)</f>
        <v/>
      </c>
      <c r="C882" s="40" t="str">
        <f>IF(Bids!$B881="","",Bids!$B881)</f>
        <v/>
      </c>
      <c r="D882" s="40" t="str">
        <f>IF($C882="","",IFERROR(VLOOKUP($C882,Orders!$A$4:$J$998,9,FALSE),""))</f>
        <v/>
      </c>
      <c r="E882" s="40" t="str">
        <f>IF($C882="","",IFERROR(VLOOKUP($C882,Orders!$A$4:$J$998,3,FALSE),""))</f>
        <v/>
      </c>
      <c r="F882" s="40">
        <f t="shared" si="2"/>
        <v>1</v>
      </c>
      <c r="G882" s="40" t="str">
        <f>IF($C882="","",IFERROR(VLOOKUP($C882,Orders!$A$4:$J$998,4,FALSE),""))</f>
        <v/>
      </c>
      <c r="H882" s="40" t="str">
        <f>IF($C882="","",IFERROR(VLOOKUP($C882,Orders!$A$4:$J$998,5,FALSE),""))</f>
        <v/>
      </c>
      <c r="I882" s="40" t="str">
        <f>IF($C882="","",IFERROR(VLOOKUP($C882,Orders!$A$4:$J$998,6,FALSE),""))</f>
        <v/>
      </c>
      <c r="J882" s="40" t="str">
        <f>IF($C882="","",IFERROR(VLOOKUP($C882,Orders!$A$4:$J$998,7,FALSE),""))</f>
        <v/>
      </c>
      <c r="K882" s="40" t="str">
        <f>IF(Bids!$C881="","",Bids!$C881)</f>
        <v/>
      </c>
      <c r="L882" s="40" t="str">
        <f>IF($K882="","",IFERROR(VLOOKUP($K882,Grinders!$A$4:$N$998,2,FALSE),""))</f>
        <v/>
      </c>
      <c r="M882" s="40" t="str">
        <f>IF($K882="","",IFERROR(VLOOKUP($K882,Grinders!$A$4:$N$998,3,FALSE),""))</f>
        <v/>
      </c>
      <c r="N882" s="40" t="str">
        <f>IF($K882="","",IFERROR(VLOOKUP($K882,Grinders!$A$4:$N$998,4,FALSE),""))</f>
        <v/>
      </c>
      <c r="O882" s="40" t="str">
        <f>IF($K882="","",IFERROR(VLOOKUP($K882,Grinders!$A$4:$N$998,5,FALSE),""))</f>
        <v/>
      </c>
      <c r="P882" s="40" t="str">
        <f>IF($K882="","",IF($C$4="",0,COUNTIFS(Assignments!$B$6:$B$1000,$K882,Assignments!$F$6:$F$1000,$C$4,Assignments!$E$6:$E$1000,"Active")))</f>
        <v/>
      </c>
      <c r="Q882" s="40" t="str">
        <f t="shared" si="3"/>
        <v/>
      </c>
      <c r="R882" s="40" t="str">
        <f t="shared" si="4"/>
        <v/>
      </c>
      <c r="S882" s="40" t="str">
        <f>IF($K882="","",IF($C$4="",0,COUNTIFS(Assignments!$B$6:$B$1000,$K882,Assignments!$F$6:$F$1000,$C$4,Assignments!$D$6:$D$1000,"&gt;="&amp;Config!$B$3-7,Assignments!$D$6:$D$1000,"&lt;="&amp;Config!$B$3)))</f>
        <v/>
      </c>
      <c r="T882" s="40" t="str">
        <f>IF($K882="","",IFERROR(VLOOKUP($K882,Grinders!$A$4:$N$998,8,FALSE),""))</f>
        <v/>
      </c>
      <c r="U882" s="40" t="str">
        <f>IFERROR(IF($K882="","",IF($M882="Elite",MAX(50,MIN(100,Config!$B$27*MAX(0,MIN(100,(1-IF($R882="",0,$R882))*100)) + Config!$B$28*MAX(0,MIN(100,(1-MIN(1,IF(Config!$B$30=0,1,$S882/Config!$B$30)))*100)) + Config!$B$29*MAX(0,MIN(100,MIN(1,IF($T882="",0,$T882)/Config!$B$23)*100)))),MIN(100,Config!$B$27*MAX(0,MIN(100,(1-IF($R882="",0,$R882))*100)) + Config!$B$28*MAX(0,MIN(100,(1-MIN(1,IF(Config!$B$30=0,1,$S882/Config!$B$30)))*100)) + Config!$B$29*MAX(0,MIN(100,MIN(1,IF($T882="",0,$T882)/Config!$B$23)*100))))),"")
</f>
        <v/>
      </c>
      <c r="V882" s="40" t="str">
        <f>IF(Bids!$D881="","",Bids!$D881)</f>
        <v/>
      </c>
      <c r="W882" s="40" t="str">
        <f>IF(Bids!$F881="","",Bids!$F881)</f>
        <v/>
      </c>
      <c r="X882" s="40" t="str">
        <f t="shared" si="5"/>
        <v/>
      </c>
      <c r="Y882" s="40" t="str">
        <f>IF($X882="","",IF(Config!$B$17=Config!$B$16,IF($X882&gt;=Config!$B$17,100,0),MAX(0,MIN(100,($X882-Config!$B$16)/(Config!$B$17-Config!$B$16)*100))))</f>
        <v/>
      </c>
      <c r="Z882" s="40">
        <f>IF($M882="Elite",Config!$B$21,0)</f>
        <v>0</v>
      </c>
      <c r="AA882" s="40" t="str">
        <f>IFERROR(IF(OR($W882="",$H882=""),"",IF($W882&gt;$H882,
  MAX(0, 60-(($W882-$H882)*24/Config!$B$19)*60),
  MIN(100, 60+(($H882-$W882)*24/Config!$B$20)*40)
)),"")
</f>
        <v/>
      </c>
      <c r="AB882" s="40" t="str">
        <f>IF($K882="","",IFERROR(VLOOKUP($K882,Grinders!$A$4:$N$998,10,FALSE)/5*100,""))</f>
        <v/>
      </c>
      <c r="AC882" s="40" t="str">
        <f>IF($K882="","",IFERROR(VLOOKUP($K882,Grinders!$A$4:$N$998,11,FALSE)*100,""))</f>
        <v/>
      </c>
      <c r="AD882" s="40" t="str">
        <f>IF($K882="","",IFERROR(VLOOKUP($K882,Grinders!$A$4:$N$998,12,FALSE)*100,""))</f>
        <v/>
      </c>
      <c r="AE882" s="40">
        <f>IFERROR(IFS(
    OR($C882="", $K882=""), 0,
    $F882=0, 0,
    $D882&lt;&gt;"Open", 0,
    COUNTIFS(GrinderServices!$B$4:$B$998, $K882, GrinderServices!$C$4:$C$998, $E882, GrinderServices!$E$4:$E$998, "Y")=0, 0,
    $X882&lt;Config!$B$16, 0,
    Config!$B$18=1, IF($O882&gt;=N882, 0, 1),
    TRUE, 1
), "")
</f>
        <v>0</v>
      </c>
      <c r="AF882" s="40" t="str">
        <f>IFERROR(IF($AE882=0,"",((Config!$B$6*$Y882 + Config!$B$7*$U882 + Config!$B$8*$Z882 + Config!$B$9*$AA882 + Config!$B$10*$AB882 + Config!$B$11*$AC882 - Config!$B$12*$AD882)/Config!$B$13)+$AK882+$AL882),"")</f>
        <v/>
      </c>
      <c r="AG882" s="40" t="str">
        <f t="shared" si="6"/>
        <v/>
      </c>
      <c r="AH882" s="40" t="str">
        <f t="shared" si="7"/>
        <v/>
      </c>
      <c r="AI882" s="40" t="str">
        <f t="shared" si="8"/>
        <v/>
      </c>
      <c r="AJ882" s="40" t="str">
        <f>IF($K882="","",COUNTIF(Assignments!$B$6:$B$1000,$K882))</f>
        <v/>
      </c>
      <c r="AK882" s="40" t="str">
        <f>IF($K882="","",IF(AND($AJ882=0,$O882&lt;$N882),Config!$B$43,0))</f>
        <v/>
      </c>
      <c r="AL882" s="40" t="str">
        <f>IF($K882="","",IF(AND($M882="Elite",$G882&gt;=Config!$B$41,$O882&lt;$N882),Config!$B$42,0))</f>
        <v/>
      </c>
      <c r="AM882" s="22"/>
    </row>
    <row r="883" ht="15.75" customHeight="1">
      <c r="A883" s="40" t="str">
        <f t="shared" si="1"/>
        <v/>
      </c>
      <c r="B883" s="40" t="str">
        <f>IF(Bids!$A882="","",Bids!$A882)</f>
        <v/>
      </c>
      <c r="C883" s="40" t="str">
        <f>IF(Bids!$B882="","",Bids!$B882)</f>
        <v/>
      </c>
      <c r="D883" s="40" t="str">
        <f>IF($C883="","",IFERROR(VLOOKUP($C883,Orders!$A$4:$J$998,9,FALSE),""))</f>
        <v/>
      </c>
      <c r="E883" s="40" t="str">
        <f>IF($C883="","",IFERROR(VLOOKUP($C883,Orders!$A$4:$J$998,3,FALSE),""))</f>
        <v/>
      </c>
      <c r="F883" s="40">
        <f t="shared" si="2"/>
        <v>1</v>
      </c>
      <c r="G883" s="40" t="str">
        <f>IF($C883="","",IFERROR(VLOOKUP($C883,Orders!$A$4:$J$998,4,FALSE),""))</f>
        <v/>
      </c>
      <c r="H883" s="40" t="str">
        <f>IF($C883="","",IFERROR(VLOOKUP($C883,Orders!$A$4:$J$998,5,FALSE),""))</f>
        <v/>
      </c>
      <c r="I883" s="40" t="str">
        <f>IF($C883="","",IFERROR(VLOOKUP($C883,Orders!$A$4:$J$998,6,FALSE),""))</f>
        <v/>
      </c>
      <c r="J883" s="40" t="str">
        <f>IF($C883="","",IFERROR(VLOOKUP($C883,Orders!$A$4:$J$998,7,FALSE),""))</f>
        <v/>
      </c>
      <c r="K883" s="40" t="str">
        <f>IF(Bids!$C882="","",Bids!$C882)</f>
        <v/>
      </c>
      <c r="L883" s="40" t="str">
        <f>IF($K883="","",IFERROR(VLOOKUP($K883,Grinders!$A$4:$N$998,2,FALSE),""))</f>
        <v/>
      </c>
      <c r="M883" s="40" t="str">
        <f>IF($K883="","",IFERROR(VLOOKUP($K883,Grinders!$A$4:$N$998,3,FALSE),""))</f>
        <v/>
      </c>
      <c r="N883" s="40" t="str">
        <f>IF($K883="","",IFERROR(VLOOKUP($K883,Grinders!$A$4:$N$998,4,FALSE),""))</f>
        <v/>
      </c>
      <c r="O883" s="40" t="str">
        <f>IF($K883="","",IFERROR(VLOOKUP($K883,Grinders!$A$4:$N$998,5,FALSE),""))</f>
        <v/>
      </c>
      <c r="P883" s="40" t="str">
        <f>IF($K883="","",IF($C$4="",0,COUNTIFS(Assignments!$B$6:$B$1000,$K883,Assignments!$F$6:$F$1000,$C$4,Assignments!$E$6:$E$1000,"Active")))</f>
        <v/>
      </c>
      <c r="Q883" s="40" t="str">
        <f t="shared" si="3"/>
        <v/>
      </c>
      <c r="R883" s="40" t="str">
        <f t="shared" si="4"/>
        <v/>
      </c>
      <c r="S883" s="40" t="str">
        <f>IF($K883="","",IF($C$4="",0,COUNTIFS(Assignments!$B$6:$B$1000,$K883,Assignments!$F$6:$F$1000,$C$4,Assignments!$D$6:$D$1000,"&gt;="&amp;Config!$B$3-7,Assignments!$D$6:$D$1000,"&lt;="&amp;Config!$B$3)))</f>
        <v/>
      </c>
      <c r="T883" s="40" t="str">
        <f>IF($K883="","",IFERROR(VLOOKUP($K883,Grinders!$A$4:$N$998,8,FALSE),""))</f>
        <v/>
      </c>
      <c r="U883" s="40" t="str">
        <f>IFERROR(IF($K883="","",IF($M883="Elite",MAX(50,MIN(100,Config!$B$27*MAX(0,MIN(100,(1-IF($R883="",0,$R883))*100)) + Config!$B$28*MAX(0,MIN(100,(1-MIN(1,IF(Config!$B$30=0,1,$S883/Config!$B$30)))*100)) + Config!$B$29*MAX(0,MIN(100,MIN(1,IF($T883="",0,$T883)/Config!$B$23)*100)))),MIN(100,Config!$B$27*MAX(0,MIN(100,(1-IF($R883="",0,$R883))*100)) + Config!$B$28*MAX(0,MIN(100,(1-MIN(1,IF(Config!$B$30=0,1,$S883/Config!$B$30)))*100)) + Config!$B$29*MAX(0,MIN(100,MIN(1,IF($T883="",0,$T883)/Config!$B$23)*100))))),"")
</f>
        <v/>
      </c>
      <c r="V883" s="40" t="str">
        <f>IF(Bids!$D882="","",Bids!$D882)</f>
        <v/>
      </c>
      <c r="W883" s="40" t="str">
        <f>IF(Bids!$F882="","",Bids!$F882)</f>
        <v/>
      </c>
      <c r="X883" s="40" t="str">
        <f t="shared" si="5"/>
        <v/>
      </c>
      <c r="Y883" s="40" t="str">
        <f>IF($X883="","",IF(Config!$B$17=Config!$B$16,IF($X883&gt;=Config!$B$17,100,0),MAX(0,MIN(100,($X883-Config!$B$16)/(Config!$B$17-Config!$B$16)*100))))</f>
        <v/>
      </c>
      <c r="Z883" s="40">
        <f>IF($M883="Elite",Config!$B$21,0)</f>
        <v>0</v>
      </c>
      <c r="AA883" s="40" t="str">
        <f>IFERROR(IF(OR($W883="",$H883=""),"",IF($W883&gt;$H883,
  MAX(0, 60-(($W883-$H883)*24/Config!$B$19)*60),
  MIN(100, 60+(($H883-$W883)*24/Config!$B$20)*40)
)),"")
</f>
        <v/>
      </c>
      <c r="AB883" s="40" t="str">
        <f>IF($K883="","",IFERROR(VLOOKUP($K883,Grinders!$A$4:$N$998,10,FALSE)/5*100,""))</f>
        <v/>
      </c>
      <c r="AC883" s="40" t="str">
        <f>IF($K883="","",IFERROR(VLOOKUP($K883,Grinders!$A$4:$N$998,11,FALSE)*100,""))</f>
        <v/>
      </c>
      <c r="AD883" s="40" t="str">
        <f>IF($K883="","",IFERROR(VLOOKUP($K883,Grinders!$A$4:$N$998,12,FALSE)*100,""))</f>
        <v/>
      </c>
      <c r="AE883" s="40">
        <f>IFERROR(IFS(
    OR($C883="", $K883=""), 0,
    $F883=0, 0,
    $D883&lt;&gt;"Open", 0,
    COUNTIFS(GrinderServices!$B$4:$B$998, $K883, GrinderServices!$C$4:$C$998, $E883, GrinderServices!$E$4:$E$998, "Y")=0, 0,
    $X883&lt;Config!$B$16, 0,
    Config!$B$18=1, IF($O883&gt;=N883, 0, 1),
    TRUE, 1
), "")
</f>
        <v>0</v>
      </c>
      <c r="AF883" s="40" t="str">
        <f>IFERROR(IF($AE883=0,"",((Config!$B$6*$Y883 + Config!$B$7*$U883 + Config!$B$8*$Z883 + Config!$B$9*$AA883 + Config!$B$10*$AB883 + Config!$B$11*$AC883 - Config!$B$12*$AD883)/Config!$B$13)+$AK883+$AL883),"")</f>
        <v/>
      </c>
      <c r="AG883" s="40" t="str">
        <f t="shared" si="6"/>
        <v/>
      </c>
      <c r="AH883" s="40" t="str">
        <f t="shared" si="7"/>
        <v/>
      </c>
      <c r="AI883" s="40" t="str">
        <f t="shared" si="8"/>
        <v/>
      </c>
      <c r="AJ883" s="40" t="str">
        <f>IF($K883="","",COUNTIF(Assignments!$B$6:$B$1000,$K883))</f>
        <v/>
      </c>
      <c r="AK883" s="40" t="str">
        <f>IF($K883="","",IF(AND($AJ883=0,$O883&lt;$N883),Config!$B$43,0))</f>
        <v/>
      </c>
      <c r="AL883" s="40" t="str">
        <f>IF($K883="","",IF(AND($M883="Elite",$G883&gt;=Config!$B$41,$O883&lt;$N883),Config!$B$42,0))</f>
        <v/>
      </c>
      <c r="AM883" s="22"/>
    </row>
    <row r="884" ht="15.75" customHeight="1">
      <c r="A884" s="40" t="str">
        <f t="shared" si="1"/>
        <v/>
      </c>
      <c r="B884" s="40" t="str">
        <f>IF(Bids!$A883="","",Bids!$A883)</f>
        <v/>
      </c>
      <c r="C884" s="40" t="str">
        <f>IF(Bids!$B883="","",Bids!$B883)</f>
        <v/>
      </c>
      <c r="D884" s="40" t="str">
        <f>IF($C884="","",IFERROR(VLOOKUP($C884,Orders!$A$4:$J$998,9,FALSE),""))</f>
        <v/>
      </c>
      <c r="E884" s="40" t="str">
        <f>IF($C884="","",IFERROR(VLOOKUP($C884,Orders!$A$4:$J$998,3,FALSE),""))</f>
        <v/>
      </c>
      <c r="F884" s="40">
        <f t="shared" si="2"/>
        <v>1</v>
      </c>
      <c r="G884" s="40" t="str">
        <f>IF($C884="","",IFERROR(VLOOKUP($C884,Orders!$A$4:$J$998,4,FALSE),""))</f>
        <v/>
      </c>
      <c r="H884" s="40" t="str">
        <f>IF($C884="","",IFERROR(VLOOKUP($C884,Orders!$A$4:$J$998,5,FALSE),""))</f>
        <v/>
      </c>
      <c r="I884" s="40" t="str">
        <f>IF($C884="","",IFERROR(VLOOKUP($C884,Orders!$A$4:$J$998,6,FALSE),""))</f>
        <v/>
      </c>
      <c r="J884" s="40" t="str">
        <f>IF($C884="","",IFERROR(VLOOKUP($C884,Orders!$A$4:$J$998,7,FALSE),""))</f>
        <v/>
      </c>
      <c r="K884" s="40" t="str">
        <f>IF(Bids!$C883="","",Bids!$C883)</f>
        <v/>
      </c>
      <c r="L884" s="40" t="str">
        <f>IF($K884="","",IFERROR(VLOOKUP($K884,Grinders!$A$4:$N$998,2,FALSE),""))</f>
        <v/>
      </c>
      <c r="M884" s="40" t="str">
        <f>IF($K884="","",IFERROR(VLOOKUP($K884,Grinders!$A$4:$N$998,3,FALSE),""))</f>
        <v/>
      </c>
      <c r="N884" s="40" t="str">
        <f>IF($K884="","",IFERROR(VLOOKUP($K884,Grinders!$A$4:$N$998,4,FALSE),""))</f>
        <v/>
      </c>
      <c r="O884" s="40" t="str">
        <f>IF($K884="","",IFERROR(VLOOKUP($K884,Grinders!$A$4:$N$998,5,FALSE),""))</f>
        <v/>
      </c>
      <c r="P884" s="40" t="str">
        <f>IF($K884="","",IF($C$4="",0,COUNTIFS(Assignments!$B$6:$B$1000,$K884,Assignments!$F$6:$F$1000,$C$4,Assignments!$E$6:$E$1000,"Active")))</f>
        <v/>
      </c>
      <c r="Q884" s="40" t="str">
        <f t="shared" si="3"/>
        <v/>
      </c>
      <c r="R884" s="40" t="str">
        <f t="shared" si="4"/>
        <v/>
      </c>
      <c r="S884" s="40" t="str">
        <f>IF($K884="","",IF($C$4="",0,COUNTIFS(Assignments!$B$6:$B$1000,$K884,Assignments!$F$6:$F$1000,$C$4,Assignments!$D$6:$D$1000,"&gt;="&amp;Config!$B$3-7,Assignments!$D$6:$D$1000,"&lt;="&amp;Config!$B$3)))</f>
        <v/>
      </c>
      <c r="T884" s="40" t="str">
        <f>IF($K884="","",IFERROR(VLOOKUP($K884,Grinders!$A$4:$N$998,8,FALSE),""))</f>
        <v/>
      </c>
      <c r="U884" s="40" t="str">
        <f>IFERROR(IF($K884="","",IF($M884="Elite",MAX(50,MIN(100,Config!$B$27*MAX(0,MIN(100,(1-IF($R884="",0,$R884))*100)) + Config!$B$28*MAX(0,MIN(100,(1-MIN(1,IF(Config!$B$30=0,1,$S884/Config!$B$30)))*100)) + Config!$B$29*MAX(0,MIN(100,MIN(1,IF($T884="",0,$T884)/Config!$B$23)*100)))),MIN(100,Config!$B$27*MAX(0,MIN(100,(1-IF($R884="",0,$R884))*100)) + Config!$B$28*MAX(0,MIN(100,(1-MIN(1,IF(Config!$B$30=0,1,$S884/Config!$B$30)))*100)) + Config!$B$29*MAX(0,MIN(100,MIN(1,IF($T884="",0,$T884)/Config!$B$23)*100))))),"")
</f>
        <v/>
      </c>
      <c r="V884" s="40" t="str">
        <f>IF(Bids!$D883="","",Bids!$D883)</f>
        <v/>
      </c>
      <c r="W884" s="40" t="str">
        <f>IF(Bids!$F883="","",Bids!$F883)</f>
        <v/>
      </c>
      <c r="X884" s="40" t="str">
        <f t="shared" si="5"/>
        <v/>
      </c>
      <c r="Y884" s="40" t="str">
        <f>IF($X884="","",IF(Config!$B$17=Config!$B$16,IF($X884&gt;=Config!$B$17,100,0),MAX(0,MIN(100,($X884-Config!$B$16)/(Config!$B$17-Config!$B$16)*100))))</f>
        <v/>
      </c>
      <c r="Z884" s="40">
        <f>IF($M884="Elite",Config!$B$21,0)</f>
        <v>0</v>
      </c>
      <c r="AA884" s="40" t="str">
        <f>IFERROR(IF(OR($W884="",$H884=""),"",IF($W884&gt;$H884,
  MAX(0, 60-(($W884-$H884)*24/Config!$B$19)*60),
  MIN(100, 60+(($H884-$W884)*24/Config!$B$20)*40)
)),"")
</f>
        <v/>
      </c>
      <c r="AB884" s="40" t="str">
        <f>IF($K884="","",IFERROR(VLOOKUP($K884,Grinders!$A$4:$N$998,10,FALSE)/5*100,""))</f>
        <v/>
      </c>
      <c r="AC884" s="40" t="str">
        <f>IF($K884="","",IFERROR(VLOOKUP($K884,Grinders!$A$4:$N$998,11,FALSE)*100,""))</f>
        <v/>
      </c>
      <c r="AD884" s="40" t="str">
        <f>IF($K884="","",IFERROR(VLOOKUP($K884,Grinders!$A$4:$N$998,12,FALSE)*100,""))</f>
        <v/>
      </c>
      <c r="AE884" s="40">
        <f>IFERROR(IFS(
    OR($C884="", $K884=""), 0,
    $F884=0, 0,
    $D884&lt;&gt;"Open", 0,
    COUNTIFS(GrinderServices!$B$4:$B$998, $K884, GrinderServices!$C$4:$C$998, $E884, GrinderServices!$E$4:$E$998, "Y")=0, 0,
    $X884&lt;Config!$B$16, 0,
    Config!$B$18=1, IF($O884&gt;=N884, 0, 1),
    TRUE, 1
), "")
</f>
        <v>0</v>
      </c>
      <c r="AF884" s="40" t="str">
        <f>IFERROR(IF($AE884=0,"",((Config!$B$6*$Y884 + Config!$B$7*$U884 + Config!$B$8*$Z884 + Config!$B$9*$AA884 + Config!$B$10*$AB884 + Config!$B$11*$AC884 - Config!$B$12*$AD884)/Config!$B$13)+$AK884+$AL884),"")</f>
        <v/>
      </c>
      <c r="AG884" s="40" t="str">
        <f t="shared" si="6"/>
        <v/>
      </c>
      <c r="AH884" s="40" t="str">
        <f t="shared" si="7"/>
        <v/>
      </c>
      <c r="AI884" s="40" t="str">
        <f t="shared" si="8"/>
        <v/>
      </c>
      <c r="AJ884" s="40" t="str">
        <f>IF($K884="","",COUNTIF(Assignments!$B$6:$B$1000,$K884))</f>
        <v/>
      </c>
      <c r="AK884" s="40" t="str">
        <f>IF($K884="","",IF(AND($AJ884=0,$O884&lt;$N884),Config!$B$43,0))</f>
        <v/>
      </c>
      <c r="AL884" s="40" t="str">
        <f>IF($K884="","",IF(AND($M884="Elite",$G884&gt;=Config!$B$41,$O884&lt;$N884),Config!$B$42,0))</f>
        <v/>
      </c>
      <c r="AM884" s="22"/>
    </row>
    <row r="885" ht="15.75" customHeight="1">
      <c r="A885" s="40" t="str">
        <f t="shared" si="1"/>
        <v/>
      </c>
      <c r="B885" s="40" t="str">
        <f>IF(Bids!$A884="","",Bids!$A884)</f>
        <v/>
      </c>
      <c r="C885" s="40" t="str">
        <f>IF(Bids!$B884="","",Bids!$B884)</f>
        <v/>
      </c>
      <c r="D885" s="40" t="str">
        <f>IF($C885="","",IFERROR(VLOOKUP($C885,Orders!$A$4:$J$998,9,FALSE),""))</f>
        <v/>
      </c>
      <c r="E885" s="40" t="str">
        <f>IF($C885="","",IFERROR(VLOOKUP($C885,Orders!$A$4:$J$998,3,FALSE),""))</f>
        <v/>
      </c>
      <c r="F885" s="40">
        <f t="shared" si="2"/>
        <v>1</v>
      </c>
      <c r="G885" s="40" t="str">
        <f>IF($C885="","",IFERROR(VLOOKUP($C885,Orders!$A$4:$J$998,4,FALSE),""))</f>
        <v/>
      </c>
      <c r="H885" s="40" t="str">
        <f>IF($C885="","",IFERROR(VLOOKUP($C885,Orders!$A$4:$J$998,5,FALSE),""))</f>
        <v/>
      </c>
      <c r="I885" s="40" t="str">
        <f>IF($C885="","",IFERROR(VLOOKUP($C885,Orders!$A$4:$J$998,6,FALSE),""))</f>
        <v/>
      </c>
      <c r="J885" s="40" t="str">
        <f>IF($C885="","",IFERROR(VLOOKUP($C885,Orders!$A$4:$J$998,7,FALSE),""))</f>
        <v/>
      </c>
      <c r="K885" s="40" t="str">
        <f>IF(Bids!$C884="","",Bids!$C884)</f>
        <v/>
      </c>
      <c r="L885" s="40" t="str">
        <f>IF($K885="","",IFERROR(VLOOKUP($K885,Grinders!$A$4:$N$998,2,FALSE),""))</f>
        <v/>
      </c>
      <c r="M885" s="40" t="str">
        <f>IF($K885="","",IFERROR(VLOOKUP($K885,Grinders!$A$4:$N$998,3,FALSE),""))</f>
        <v/>
      </c>
      <c r="N885" s="40" t="str">
        <f>IF($K885="","",IFERROR(VLOOKUP($K885,Grinders!$A$4:$N$998,4,FALSE),""))</f>
        <v/>
      </c>
      <c r="O885" s="40" t="str">
        <f>IF($K885="","",IFERROR(VLOOKUP($K885,Grinders!$A$4:$N$998,5,FALSE),""))</f>
        <v/>
      </c>
      <c r="P885" s="40" t="str">
        <f>IF($K885="","",IF($C$4="",0,COUNTIFS(Assignments!$B$6:$B$1000,$K885,Assignments!$F$6:$F$1000,$C$4,Assignments!$E$6:$E$1000,"Active")))</f>
        <v/>
      </c>
      <c r="Q885" s="40" t="str">
        <f t="shared" si="3"/>
        <v/>
      </c>
      <c r="R885" s="40" t="str">
        <f t="shared" si="4"/>
        <v/>
      </c>
      <c r="S885" s="40" t="str">
        <f>IF($K885="","",IF($C$4="",0,COUNTIFS(Assignments!$B$6:$B$1000,$K885,Assignments!$F$6:$F$1000,$C$4,Assignments!$D$6:$D$1000,"&gt;="&amp;Config!$B$3-7,Assignments!$D$6:$D$1000,"&lt;="&amp;Config!$B$3)))</f>
        <v/>
      </c>
      <c r="T885" s="40" t="str">
        <f>IF($K885="","",IFERROR(VLOOKUP($K885,Grinders!$A$4:$N$998,8,FALSE),""))</f>
        <v/>
      </c>
      <c r="U885" s="40" t="str">
        <f>IFERROR(IF($K885="","",IF($M885="Elite",MAX(50,MIN(100,Config!$B$27*MAX(0,MIN(100,(1-IF($R885="",0,$R885))*100)) + Config!$B$28*MAX(0,MIN(100,(1-MIN(1,IF(Config!$B$30=0,1,$S885/Config!$B$30)))*100)) + Config!$B$29*MAX(0,MIN(100,MIN(1,IF($T885="",0,$T885)/Config!$B$23)*100)))),MIN(100,Config!$B$27*MAX(0,MIN(100,(1-IF($R885="",0,$R885))*100)) + Config!$B$28*MAX(0,MIN(100,(1-MIN(1,IF(Config!$B$30=0,1,$S885/Config!$B$30)))*100)) + Config!$B$29*MAX(0,MIN(100,MIN(1,IF($T885="",0,$T885)/Config!$B$23)*100))))),"")
</f>
        <v/>
      </c>
      <c r="V885" s="40" t="str">
        <f>IF(Bids!$D884="","",Bids!$D884)</f>
        <v/>
      </c>
      <c r="W885" s="40" t="str">
        <f>IF(Bids!$F884="","",Bids!$F884)</f>
        <v/>
      </c>
      <c r="X885" s="40" t="str">
        <f t="shared" si="5"/>
        <v/>
      </c>
      <c r="Y885" s="40" t="str">
        <f>IF($X885="","",IF(Config!$B$17=Config!$B$16,IF($X885&gt;=Config!$B$17,100,0),MAX(0,MIN(100,($X885-Config!$B$16)/(Config!$B$17-Config!$B$16)*100))))</f>
        <v/>
      </c>
      <c r="Z885" s="40">
        <f>IF($M885="Elite",Config!$B$21,0)</f>
        <v>0</v>
      </c>
      <c r="AA885" s="40" t="str">
        <f>IFERROR(IF(OR($W885="",$H885=""),"",IF($W885&gt;$H885,
  MAX(0, 60-(($W885-$H885)*24/Config!$B$19)*60),
  MIN(100, 60+(($H885-$W885)*24/Config!$B$20)*40)
)),"")
</f>
        <v/>
      </c>
      <c r="AB885" s="40" t="str">
        <f>IF($K885="","",IFERROR(VLOOKUP($K885,Grinders!$A$4:$N$998,10,FALSE)/5*100,""))</f>
        <v/>
      </c>
      <c r="AC885" s="40" t="str">
        <f>IF($K885="","",IFERROR(VLOOKUP($K885,Grinders!$A$4:$N$998,11,FALSE)*100,""))</f>
        <v/>
      </c>
      <c r="AD885" s="40" t="str">
        <f>IF($K885="","",IFERROR(VLOOKUP($K885,Grinders!$A$4:$N$998,12,FALSE)*100,""))</f>
        <v/>
      </c>
      <c r="AE885" s="40">
        <f>IFERROR(IFS(
    OR($C885="", $K885=""), 0,
    $F885=0, 0,
    $D885&lt;&gt;"Open", 0,
    COUNTIFS(GrinderServices!$B$4:$B$998, $K885, GrinderServices!$C$4:$C$998, $E885, GrinderServices!$E$4:$E$998, "Y")=0, 0,
    $X885&lt;Config!$B$16, 0,
    Config!$B$18=1, IF($O885&gt;=N885, 0, 1),
    TRUE, 1
), "")
</f>
        <v>0</v>
      </c>
      <c r="AF885" s="40" t="str">
        <f>IFERROR(IF($AE885=0,"",((Config!$B$6*$Y885 + Config!$B$7*$U885 + Config!$B$8*$Z885 + Config!$B$9*$AA885 + Config!$B$10*$AB885 + Config!$B$11*$AC885 - Config!$B$12*$AD885)/Config!$B$13)+$AK885+$AL885),"")</f>
        <v/>
      </c>
      <c r="AG885" s="40" t="str">
        <f t="shared" si="6"/>
        <v/>
      </c>
      <c r="AH885" s="40" t="str">
        <f t="shared" si="7"/>
        <v/>
      </c>
      <c r="AI885" s="40" t="str">
        <f t="shared" si="8"/>
        <v/>
      </c>
      <c r="AJ885" s="40" t="str">
        <f>IF($K885="","",COUNTIF(Assignments!$B$6:$B$1000,$K885))</f>
        <v/>
      </c>
      <c r="AK885" s="40" t="str">
        <f>IF($K885="","",IF(AND($AJ885=0,$O885&lt;$N885),Config!$B$43,0))</f>
        <v/>
      </c>
      <c r="AL885" s="40" t="str">
        <f>IF($K885="","",IF(AND($M885="Elite",$G885&gt;=Config!$B$41,$O885&lt;$N885),Config!$B$42,0))</f>
        <v/>
      </c>
      <c r="AM885" s="22"/>
    </row>
    <row r="886" ht="15.75" customHeight="1">
      <c r="A886" s="40" t="str">
        <f t="shared" si="1"/>
        <v/>
      </c>
      <c r="B886" s="40" t="str">
        <f>IF(Bids!$A885="","",Bids!$A885)</f>
        <v/>
      </c>
      <c r="C886" s="40" t="str">
        <f>IF(Bids!$B885="","",Bids!$B885)</f>
        <v/>
      </c>
      <c r="D886" s="40" t="str">
        <f>IF($C886="","",IFERROR(VLOOKUP($C886,Orders!$A$4:$J$998,9,FALSE),""))</f>
        <v/>
      </c>
      <c r="E886" s="40" t="str">
        <f>IF($C886="","",IFERROR(VLOOKUP($C886,Orders!$A$4:$J$998,3,FALSE),""))</f>
        <v/>
      </c>
      <c r="F886" s="40">
        <f t="shared" si="2"/>
        <v>1</v>
      </c>
      <c r="G886" s="40" t="str">
        <f>IF($C886="","",IFERROR(VLOOKUP($C886,Orders!$A$4:$J$998,4,FALSE),""))</f>
        <v/>
      </c>
      <c r="H886" s="40" t="str">
        <f>IF($C886="","",IFERROR(VLOOKUP($C886,Orders!$A$4:$J$998,5,FALSE),""))</f>
        <v/>
      </c>
      <c r="I886" s="40" t="str">
        <f>IF($C886="","",IFERROR(VLOOKUP($C886,Orders!$A$4:$J$998,6,FALSE),""))</f>
        <v/>
      </c>
      <c r="J886" s="40" t="str">
        <f>IF($C886="","",IFERROR(VLOOKUP($C886,Orders!$A$4:$J$998,7,FALSE),""))</f>
        <v/>
      </c>
      <c r="K886" s="40" t="str">
        <f>IF(Bids!$C885="","",Bids!$C885)</f>
        <v/>
      </c>
      <c r="L886" s="40" t="str">
        <f>IF($K886="","",IFERROR(VLOOKUP($K886,Grinders!$A$4:$N$998,2,FALSE),""))</f>
        <v/>
      </c>
      <c r="M886" s="40" t="str">
        <f>IF($K886="","",IFERROR(VLOOKUP($K886,Grinders!$A$4:$N$998,3,FALSE),""))</f>
        <v/>
      </c>
      <c r="N886" s="40" t="str">
        <f>IF($K886="","",IFERROR(VLOOKUP($K886,Grinders!$A$4:$N$998,4,FALSE),""))</f>
        <v/>
      </c>
      <c r="O886" s="40" t="str">
        <f>IF($K886="","",IFERROR(VLOOKUP($K886,Grinders!$A$4:$N$998,5,FALSE),""))</f>
        <v/>
      </c>
      <c r="P886" s="40" t="str">
        <f>IF($K886="","",IF($C$4="",0,COUNTIFS(Assignments!$B$6:$B$1000,$K886,Assignments!$F$6:$F$1000,$C$4,Assignments!$E$6:$E$1000,"Active")))</f>
        <v/>
      </c>
      <c r="Q886" s="40" t="str">
        <f t="shared" si="3"/>
        <v/>
      </c>
      <c r="R886" s="40" t="str">
        <f t="shared" si="4"/>
        <v/>
      </c>
      <c r="S886" s="40" t="str">
        <f>IF($K886="","",IF($C$4="",0,COUNTIFS(Assignments!$B$6:$B$1000,$K886,Assignments!$F$6:$F$1000,$C$4,Assignments!$D$6:$D$1000,"&gt;="&amp;Config!$B$3-7,Assignments!$D$6:$D$1000,"&lt;="&amp;Config!$B$3)))</f>
        <v/>
      </c>
      <c r="T886" s="40" t="str">
        <f>IF($K886="","",IFERROR(VLOOKUP($K886,Grinders!$A$4:$N$998,8,FALSE),""))</f>
        <v/>
      </c>
      <c r="U886" s="40" t="str">
        <f>IFERROR(IF($K886="","",IF($M886="Elite",MAX(50,MIN(100,Config!$B$27*MAX(0,MIN(100,(1-IF($R886="",0,$R886))*100)) + Config!$B$28*MAX(0,MIN(100,(1-MIN(1,IF(Config!$B$30=0,1,$S886/Config!$B$30)))*100)) + Config!$B$29*MAX(0,MIN(100,MIN(1,IF($T886="",0,$T886)/Config!$B$23)*100)))),MIN(100,Config!$B$27*MAX(0,MIN(100,(1-IF($R886="",0,$R886))*100)) + Config!$B$28*MAX(0,MIN(100,(1-MIN(1,IF(Config!$B$30=0,1,$S886/Config!$B$30)))*100)) + Config!$B$29*MAX(0,MIN(100,MIN(1,IF($T886="",0,$T886)/Config!$B$23)*100))))),"")
</f>
        <v/>
      </c>
      <c r="V886" s="40" t="str">
        <f>IF(Bids!$D885="","",Bids!$D885)</f>
        <v/>
      </c>
      <c r="W886" s="40" t="str">
        <f>IF(Bids!$F885="","",Bids!$F885)</f>
        <v/>
      </c>
      <c r="X886" s="40" t="str">
        <f t="shared" si="5"/>
        <v/>
      </c>
      <c r="Y886" s="40" t="str">
        <f>IF($X886="","",IF(Config!$B$17=Config!$B$16,IF($X886&gt;=Config!$B$17,100,0),MAX(0,MIN(100,($X886-Config!$B$16)/(Config!$B$17-Config!$B$16)*100))))</f>
        <v/>
      </c>
      <c r="Z886" s="40">
        <f>IF($M886="Elite",Config!$B$21,0)</f>
        <v>0</v>
      </c>
      <c r="AA886" s="40" t="str">
        <f>IFERROR(IF(OR($W886="",$H886=""),"",IF($W886&gt;$H886,
  MAX(0, 60-(($W886-$H886)*24/Config!$B$19)*60),
  MIN(100, 60+(($H886-$W886)*24/Config!$B$20)*40)
)),"")
</f>
        <v/>
      </c>
      <c r="AB886" s="40" t="str">
        <f>IF($K886="","",IFERROR(VLOOKUP($K886,Grinders!$A$4:$N$998,10,FALSE)/5*100,""))</f>
        <v/>
      </c>
      <c r="AC886" s="40" t="str">
        <f>IF($K886="","",IFERROR(VLOOKUP($K886,Grinders!$A$4:$N$998,11,FALSE)*100,""))</f>
        <v/>
      </c>
      <c r="AD886" s="40" t="str">
        <f>IF($K886="","",IFERROR(VLOOKUP($K886,Grinders!$A$4:$N$998,12,FALSE)*100,""))</f>
        <v/>
      </c>
      <c r="AE886" s="40">
        <f>IFERROR(IFS(
    OR($C886="", $K886=""), 0,
    $F886=0, 0,
    $D886&lt;&gt;"Open", 0,
    COUNTIFS(GrinderServices!$B$4:$B$998, $K886, GrinderServices!$C$4:$C$998, $E886, GrinderServices!$E$4:$E$998, "Y")=0, 0,
    $X886&lt;Config!$B$16, 0,
    Config!$B$18=1, IF($O886&gt;=N886, 0, 1),
    TRUE, 1
), "")
</f>
        <v>0</v>
      </c>
      <c r="AF886" s="40" t="str">
        <f>IFERROR(IF($AE886=0,"",((Config!$B$6*$Y886 + Config!$B$7*$U886 + Config!$B$8*$Z886 + Config!$B$9*$AA886 + Config!$B$10*$AB886 + Config!$B$11*$AC886 - Config!$B$12*$AD886)/Config!$B$13)+$AK886+$AL886),"")</f>
        <v/>
      </c>
      <c r="AG886" s="40" t="str">
        <f t="shared" si="6"/>
        <v/>
      </c>
      <c r="AH886" s="40" t="str">
        <f t="shared" si="7"/>
        <v/>
      </c>
      <c r="AI886" s="40" t="str">
        <f t="shared" si="8"/>
        <v/>
      </c>
      <c r="AJ886" s="40" t="str">
        <f>IF($K886="","",COUNTIF(Assignments!$B$6:$B$1000,$K886))</f>
        <v/>
      </c>
      <c r="AK886" s="40" t="str">
        <f>IF($K886="","",IF(AND($AJ886=0,$O886&lt;$N886),Config!$B$43,0))</f>
        <v/>
      </c>
      <c r="AL886" s="40" t="str">
        <f>IF($K886="","",IF(AND($M886="Elite",$G886&gt;=Config!$B$41,$O886&lt;$N886),Config!$B$42,0))</f>
        <v/>
      </c>
      <c r="AM886" s="22"/>
    </row>
    <row r="887" ht="15.75" customHeight="1">
      <c r="A887" s="40" t="str">
        <f t="shared" si="1"/>
        <v/>
      </c>
      <c r="B887" s="40" t="str">
        <f>IF(Bids!$A886="","",Bids!$A886)</f>
        <v/>
      </c>
      <c r="C887" s="40" t="str">
        <f>IF(Bids!$B886="","",Bids!$B886)</f>
        <v/>
      </c>
      <c r="D887" s="40" t="str">
        <f>IF($C887="","",IFERROR(VLOOKUP($C887,Orders!$A$4:$J$998,9,FALSE),""))</f>
        <v/>
      </c>
      <c r="E887" s="40" t="str">
        <f>IF($C887="","",IFERROR(VLOOKUP($C887,Orders!$A$4:$J$998,3,FALSE),""))</f>
        <v/>
      </c>
      <c r="F887" s="40">
        <f t="shared" si="2"/>
        <v>1</v>
      </c>
      <c r="G887" s="40" t="str">
        <f>IF($C887="","",IFERROR(VLOOKUP($C887,Orders!$A$4:$J$998,4,FALSE),""))</f>
        <v/>
      </c>
      <c r="H887" s="40" t="str">
        <f>IF($C887="","",IFERROR(VLOOKUP($C887,Orders!$A$4:$J$998,5,FALSE),""))</f>
        <v/>
      </c>
      <c r="I887" s="40" t="str">
        <f>IF($C887="","",IFERROR(VLOOKUP($C887,Orders!$A$4:$J$998,6,FALSE),""))</f>
        <v/>
      </c>
      <c r="J887" s="40" t="str">
        <f>IF($C887="","",IFERROR(VLOOKUP($C887,Orders!$A$4:$J$998,7,FALSE),""))</f>
        <v/>
      </c>
      <c r="K887" s="40" t="str">
        <f>IF(Bids!$C886="","",Bids!$C886)</f>
        <v/>
      </c>
      <c r="L887" s="40" t="str">
        <f>IF($K887="","",IFERROR(VLOOKUP($K887,Grinders!$A$4:$N$998,2,FALSE),""))</f>
        <v/>
      </c>
      <c r="M887" s="40" t="str">
        <f>IF($K887="","",IFERROR(VLOOKUP($K887,Grinders!$A$4:$N$998,3,FALSE),""))</f>
        <v/>
      </c>
      <c r="N887" s="40" t="str">
        <f>IF($K887="","",IFERROR(VLOOKUP($K887,Grinders!$A$4:$N$998,4,FALSE),""))</f>
        <v/>
      </c>
      <c r="O887" s="40" t="str">
        <f>IF($K887="","",IFERROR(VLOOKUP($K887,Grinders!$A$4:$N$998,5,FALSE),""))</f>
        <v/>
      </c>
      <c r="P887" s="40" t="str">
        <f>IF($K887="","",IF($C$4="",0,COUNTIFS(Assignments!$B$6:$B$1000,$K887,Assignments!$F$6:$F$1000,$C$4,Assignments!$E$6:$E$1000,"Active")))</f>
        <v/>
      </c>
      <c r="Q887" s="40" t="str">
        <f t="shared" si="3"/>
        <v/>
      </c>
      <c r="R887" s="40" t="str">
        <f t="shared" si="4"/>
        <v/>
      </c>
      <c r="S887" s="40" t="str">
        <f>IF($K887="","",IF($C$4="",0,COUNTIFS(Assignments!$B$6:$B$1000,$K887,Assignments!$F$6:$F$1000,$C$4,Assignments!$D$6:$D$1000,"&gt;="&amp;Config!$B$3-7,Assignments!$D$6:$D$1000,"&lt;="&amp;Config!$B$3)))</f>
        <v/>
      </c>
      <c r="T887" s="40" t="str">
        <f>IF($K887="","",IFERROR(VLOOKUP($K887,Grinders!$A$4:$N$998,8,FALSE),""))</f>
        <v/>
      </c>
      <c r="U887" s="40" t="str">
        <f>IFERROR(IF($K887="","",IF($M887="Elite",MAX(50,MIN(100,Config!$B$27*MAX(0,MIN(100,(1-IF($R887="",0,$R887))*100)) + Config!$B$28*MAX(0,MIN(100,(1-MIN(1,IF(Config!$B$30=0,1,$S887/Config!$B$30)))*100)) + Config!$B$29*MAX(0,MIN(100,MIN(1,IF($T887="",0,$T887)/Config!$B$23)*100)))),MIN(100,Config!$B$27*MAX(0,MIN(100,(1-IF($R887="",0,$R887))*100)) + Config!$B$28*MAX(0,MIN(100,(1-MIN(1,IF(Config!$B$30=0,1,$S887/Config!$B$30)))*100)) + Config!$B$29*MAX(0,MIN(100,MIN(1,IF($T887="",0,$T887)/Config!$B$23)*100))))),"")
</f>
        <v/>
      </c>
      <c r="V887" s="40" t="str">
        <f>IF(Bids!$D886="","",Bids!$D886)</f>
        <v/>
      </c>
      <c r="W887" s="40" t="str">
        <f>IF(Bids!$F886="","",Bids!$F886)</f>
        <v/>
      </c>
      <c r="X887" s="40" t="str">
        <f t="shared" si="5"/>
        <v/>
      </c>
      <c r="Y887" s="40" t="str">
        <f>IF($X887="","",IF(Config!$B$17=Config!$B$16,IF($X887&gt;=Config!$B$17,100,0),MAX(0,MIN(100,($X887-Config!$B$16)/(Config!$B$17-Config!$B$16)*100))))</f>
        <v/>
      </c>
      <c r="Z887" s="40">
        <f>IF($M887="Elite",Config!$B$21,0)</f>
        <v>0</v>
      </c>
      <c r="AA887" s="40" t="str">
        <f>IFERROR(IF(OR($W887="",$H887=""),"",IF($W887&gt;$H887,
  MAX(0, 60-(($W887-$H887)*24/Config!$B$19)*60),
  MIN(100, 60+(($H887-$W887)*24/Config!$B$20)*40)
)),"")
</f>
        <v/>
      </c>
      <c r="AB887" s="40" t="str">
        <f>IF($K887="","",IFERROR(VLOOKUP($K887,Grinders!$A$4:$N$998,10,FALSE)/5*100,""))</f>
        <v/>
      </c>
      <c r="AC887" s="40" t="str">
        <f>IF($K887="","",IFERROR(VLOOKUP($K887,Grinders!$A$4:$N$998,11,FALSE)*100,""))</f>
        <v/>
      </c>
      <c r="AD887" s="40" t="str">
        <f>IF($K887="","",IFERROR(VLOOKUP($K887,Grinders!$A$4:$N$998,12,FALSE)*100,""))</f>
        <v/>
      </c>
      <c r="AE887" s="40">
        <f>IFERROR(IFS(
    OR($C887="", $K887=""), 0,
    $F887=0, 0,
    $D887&lt;&gt;"Open", 0,
    COUNTIFS(GrinderServices!$B$4:$B$998, $K887, GrinderServices!$C$4:$C$998, $E887, GrinderServices!$E$4:$E$998, "Y")=0, 0,
    $X887&lt;Config!$B$16, 0,
    Config!$B$18=1, IF($O887&gt;=N887, 0, 1),
    TRUE, 1
), "")
</f>
        <v>0</v>
      </c>
      <c r="AF887" s="40" t="str">
        <f>IFERROR(IF($AE887=0,"",((Config!$B$6*$Y887 + Config!$B$7*$U887 + Config!$B$8*$Z887 + Config!$B$9*$AA887 + Config!$B$10*$AB887 + Config!$B$11*$AC887 - Config!$B$12*$AD887)/Config!$B$13)+$AK887+$AL887),"")</f>
        <v/>
      </c>
      <c r="AG887" s="40" t="str">
        <f t="shared" si="6"/>
        <v/>
      </c>
      <c r="AH887" s="40" t="str">
        <f t="shared" si="7"/>
        <v/>
      </c>
      <c r="AI887" s="40" t="str">
        <f t="shared" si="8"/>
        <v/>
      </c>
      <c r="AJ887" s="40" t="str">
        <f>IF($K887="","",COUNTIF(Assignments!$B$6:$B$1000,$K887))</f>
        <v/>
      </c>
      <c r="AK887" s="40" t="str">
        <f>IF($K887="","",IF(AND($AJ887=0,$O887&lt;$N887),Config!$B$43,0))</f>
        <v/>
      </c>
      <c r="AL887" s="40" t="str">
        <f>IF($K887="","",IF(AND($M887="Elite",$G887&gt;=Config!$B$41,$O887&lt;$N887),Config!$B$42,0))</f>
        <v/>
      </c>
      <c r="AM887" s="22"/>
    </row>
    <row r="888" ht="15.75" customHeight="1">
      <c r="A888" s="40" t="str">
        <f t="shared" si="1"/>
        <v/>
      </c>
      <c r="B888" s="40" t="str">
        <f>IF(Bids!$A887="","",Bids!$A887)</f>
        <v/>
      </c>
      <c r="C888" s="40" t="str">
        <f>IF(Bids!$B887="","",Bids!$B887)</f>
        <v/>
      </c>
      <c r="D888" s="40" t="str">
        <f>IF($C888="","",IFERROR(VLOOKUP($C888,Orders!$A$4:$J$998,9,FALSE),""))</f>
        <v/>
      </c>
      <c r="E888" s="40" t="str">
        <f>IF($C888="","",IFERROR(VLOOKUP($C888,Orders!$A$4:$J$998,3,FALSE),""))</f>
        <v/>
      </c>
      <c r="F888" s="40">
        <f t="shared" si="2"/>
        <v>1</v>
      </c>
      <c r="G888" s="40" t="str">
        <f>IF($C888="","",IFERROR(VLOOKUP($C888,Orders!$A$4:$J$998,4,FALSE),""))</f>
        <v/>
      </c>
      <c r="H888" s="40" t="str">
        <f>IF($C888="","",IFERROR(VLOOKUP($C888,Orders!$A$4:$J$998,5,FALSE),""))</f>
        <v/>
      </c>
      <c r="I888" s="40" t="str">
        <f>IF($C888="","",IFERROR(VLOOKUP($C888,Orders!$A$4:$J$998,6,FALSE),""))</f>
        <v/>
      </c>
      <c r="J888" s="40" t="str">
        <f>IF($C888="","",IFERROR(VLOOKUP($C888,Orders!$A$4:$J$998,7,FALSE),""))</f>
        <v/>
      </c>
      <c r="K888" s="40" t="str">
        <f>IF(Bids!$C887="","",Bids!$C887)</f>
        <v/>
      </c>
      <c r="L888" s="40" t="str">
        <f>IF($K888="","",IFERROR(VLOOKUP($K888,Grinders!$A$4:$N$998,2,FALSE),""))</f>
        <v/>
      </c>
      <c r="M888" s="40" t="str">
        <f>IF($K888="","",IFERROR(VLOOKUP($K888,Grinders!$A$4:$N$998,3,FALSE),""))</f>
        <v/>
      </c>
      <c r="N888" s="40" t="str">
        <f>IF($K888="","",IFERROR(VLOOKUP($K888,Grinders!$A$4:$N$998,4,FALSE),""))</f>
        <v/>
      </c>
      <c r="O888" s="40" t="str">
        <f>IF($K888="","",IFERROR(VLOOKUP($K888,Grinders!$A$4:$N$998,5,FALSE),""))</f>
        <v/>
      </c>
      <c r="P888" s="40" t="str">
        <f>IF($K888="","",IF($C$4="",0,COUNTIFS(Assignments!$B$6:$B$1000,$K888,Assignments!$F$6:$F$1000,$C$4,Assignments!$E$6:$E$1000,"Active")))</f>
        <v/>
      </c>
      <c r="Q888" s="40" t="str">
        <f t="shared" si="3"/>
        <v/>
      </c>
      <c r="R888" s="40" t="str">
        <f t="shared" si="4"/>
        <v/>
      </c>
      <c r="S888" s="40" t="str">
        <f>IF($K888="","",IF($C$4="",0,COUNTIFS(Assignments!$B$6:$B$1000,$K888,Assignments!$F$6:$F$1000,$C$4,Assignments!$D$6:$D$1000,"&gt;="&amp;Config!$B$3-7,Assignments!$D$6:$D$1000,"&lt;="&amp;Config!$B$3)))</f>
        <v/>
      </c>
      <c r="T888" s="40" t="str">
        <f>IF($K888="","",IFERROR(VLOOKUP($K888,Grinders!$A$4:$N$998,8,FALSE),""))</f>
        <v/>
      </c>
      <c r="U888" s="40" t="str">
        <f>IFERROR(IF($K888="","",IF($M888="Elite",MAX(50,MIN(100,Config!$B$27*MAX(0,MIN(100,(1-IF($R888="",0,$R888))*100)) + Config!$B$28*MAX(0,MIN(100,(1-MIN(1,IF(Config!$B$30=0,1,$S888/Config!$B$30)))*100)) + Config!$B$29*MAX(0,MIN(100,MIN(1,IF($T888="",0,$T888)/Config!$B$23)*100)))),MIN(100,Config!$B$27*MAX(0,MIN(100,(1-IF($R888="",0,$R888))*100)) + Config!$B$28*MAX(0,MIN(100,(1-MIN(1,IF(Config!$B$30=0,1,$S888/Config!$B$30)))*100)) + Config!$B$29*MAX(0,MIN(100,MIN(1,IF($T888="",0,$T888)/Config!$B$23)*100))))),"")
</f>
        <v/>
      </c>
      <c r="V888" s="40" t="str">
        <f>IF(Bids!$D887="","",Bids!$D887)</f>
        <v/>
      </c>
      <c r="W888" s="40" t="str">
        <f>IF(Bids!$F887="","",Bids!$F887)</f>
        <v/>
      </c>
      <c r="X888" s="40" t="str">
        <f t="shared" si="5"/>
        <v/>
      </c>
      <c r="Y888" s="40" t="str">
        <f>IF($X888="","",IF(Config!$B$17=Config!$B$16,IF($X888&gt;=Config!$B$17,100,0),MAX(0,MIN(100,($X888-Config!$B$16)/(Config!$B$17-Config!$B$16)*100))))</f>
        <v/>
      </c>
      <c r="Z888" s="40">
        <f>IF($M888="Elite",Config!$B$21,0)</f>
        <v>0</v>
      </c>
      <c r="AA888" s="40" t="str">
        <f>IFERROR(IF(OR($W888="",$H888=""),"",IF($W888&gt;$H888,
  MAX(0, 60-(($W888-$H888)*24/Config!$B$19)*60),
  MIN(100, 60+(($H888-$W888)*24/Config!$B$20)*40)
)),"")
</f>
        <v/>
      </c>
      <c r="AB888" s="40" t="str">
        <f>IF($K888="","",IFERROR(VLOOKUP($K888,Grinders!$A$4:$N$998,10,FALSE)/5*100,""))</f>
        <v/>
      </c>
      <c r="AC888" s="40" t="str">
        <f>IF($K888="","",IFERROR(VLOOKUP($K888,Grinders!$A$4:$N$998,11,FALSE)*100,""))</f>
        <v/>
      </c>
      <c r="AD888" s="40" t="str">
        <f>IF($K888="","",IFERROR(VLOOKUP($K888,Grinders!$A$4:$N$998,12,FALSE)*100,""))</f>
        <v/>
      </c>
      <c r="AE888" s="40">
        <f>IFERROR(IFS(
    OR($C888="", $K888=""), 0,
    $F888=0, 0,
    $D888&lt;&gt;"Open", 0,
    COUNTIFS(GrinderServices!$B$4:$B$998, $K888, GrinderServices!$C$4:$C$998, $E888, GrinderServices!$E$4:$E$998, "Y")=0, 0,
    $X888&lt;Config!$B$16, 0,
    Config!$B$18=1, IF($O888&gt;=N888, 0, 1),
    TRUE, 1
), "")
</f>
        <v>0</v>
      </c>
      <c r="AF888" s="40" t="str">
        <f>IFERROR(IF($AE888=0,"",((Config!$B$6*$Y888 + Config!$B$7*$U888 + Config!$B$8*$Z888 + Config!$B$9*$AA888 + Config!$B$10*$AB888 + Config!$B$11*$AC888 - Config!$B$12*$AD888)/Config!$B$13)+$AK888+$AL888),"")</f>
        <v/>
      </c>
      <c r="AG888" s="40" t="str">
        <f t="shared" si="6"/>
        <v/>
      </c>
      <c r="AH888" s="40" t="str">
        <f t="shared" si="7"/>
        <v/>
      </c>
      <c r="AI888" s="40" t="str">
        <f t="shared" si="8"/>
        <v/>
      </c>
      <c r="AJ888" s="40" t="str">
        <f>IF($K888="","",COUNTIF(Assignments!$B$6:$B$1000,$K888))</f>
        <v/>
      </c>
      <c r="AK888" s="40" t="str">
        <f>IF($K888="","",IF(AND($AJ888=0,$O888&lt;$N888),Config!$B$43,0))</f>
        <v/>
      </c>
      <c r="AL888" s="40" t="str">
        <f>IF($K888="","",IF(AND($M888="Elite",$G888&gt;=Config!$B$41,$O888&lt;$N888),Config!$B$42,0))</f>
        <v/>
      </c>
      <c r="AM888" s="22"/>
    </row>
    <row r="889" ht="15.75" customHeight="1">
      <c r="A889" s="40" t="str">
        <f t="shared" si="1"/>
        <v/>
      </c>
      <c r="B889" s="40" t="str">
        <f>IF(Bids!$A888="","",Bids!$A888)</f>
        <v/>
      </c>
      <c r="C889" s="40" t="str">
        <f>IF(Bids!$B888="","",Bids!$B888)</f>
        <v/>
      </c>
      <c r="D889" s="40" t="str">
        <f>IF($C889="","",IFERROR(VLOOKUP($C889,Orders!$A$4:$J$998,9,FALSE),""))</f>
        <v/>
      </c>
      <c r="E889" s="40" t="str">
        <f>IF($C889="","",IFERROR(VLOOKUP($C889,Orders!$A$4:$J$998,3,FALSE),""))</f>
        <v/>
      </c>
      <c r="F889" s="40">
        <f t="shared" si="2"/>
        <v>1</v>
      </c>
      <c r="G889" s="40" t="str">
        <f>IF($C889="","",IFERROR(VLOOKUP($C889,Orders!$A$4:$J$998,4,FALSE),""))</f>
        <v/>
      </c>
      <c r="H889" s="40" t="str">
        <f>IF($C889="","",IFERROR(VLOOKUP($C889,Orders!$A$4:$J$998,5,FALSE),""))</f>
        <v/>
      </c>
      <c r="I889" s="40" t="str">
        <f>IF($C889="","",IFERROR(VLOOKUP($C889,Orders!$A$4:$J$998,6,FALSE),""))</f>
        <v/>
      </c>
      <c r="J889" s="40" t="str">
        <f>IF($C889="","",IFERROR(VLOOKUP($C889,Orders!$A$4:$J$998,7,FALSE),""))</f>
        <v/>
      </c>
      <c r="K889" s="40" t="str">
        <f>IF(Bids!$C888="","",Bids!$C888)</f>
        <v/>
      </c>
      <c r="L889" s="40" t="str">
        <f>IF($K889="","",IFERROR(VLOOKUP($K889,Grinders!$A$4:$N$998,2,FALSE),""))</f>
        <v/>
      </c>
      <c r="M889" s="40" t="str">
        <f>IF($K889="","",IFERROR(VLOOKUP($K889,Grinders!$A$4:$N$998,3,FALSE),""))</f>
        <v/>
      </c>
      <c r="N889" s="40" t="str">
        <f>IF($K889="","",IFERROR(VLOOKUP($K889,Grinders!$A$4:$N$998,4,FALSE),""))</f>
        <v/>
      </c>
      <c r="O889" s="40" t="str">
        <f>IF($K889="","",IFERROR(VLOOKUP($K889,Grinders!$A$4:$N$998,5,FALSE),""))</f>
        <v/>
      </c>
      <c r="P889" s="40" t="str">
        <f>IF($K889="","",IF($C$4="",0,COUNTIFS(Assignments!$B$6:$B$1000,$K889,Assignments!$F$6:$F$1000,$C$4,Assignments!$E$6:$E$1000,"Active")))</f>
        <v/>
      </c>
      <c r="Q889" s="40" t="str">
        <f t="shared" si="3"/>
        <v/>
      </c>
      <c r="R889" s="40" t="str">
        <f t="shared" si="4"/>
        <v/>
      </c>
      <c r="S889" s="40" t="str">
        <f>IF($K889="","",IF($C$4="",0,COUNTIFS(Assignments!$B$6:$B$1000,$K889,Assignments!$F$6:$F$1000,$C$4,Assignments!$D$6:$D$1000,"&gt;="&amp;Config!$B$3-7,Assignments!$D$6:$D$1000,"&lt;="&amp;Config!$B$3)))</f>
        <v/>
      </c>
      <c r="T889" s="40" t="str">
        <f>IF($K889="","",IFERROR(VLOOKUP($K889,Grinders!$A$4:$N$998,8,FALSE),""))</f>
        <v/>
      </c>
      <c r="U889" s="40" t="str">
        <f>IFERROR(IF($K889="","",IF($M889="Elite",MAX(50,MIN(100,Config!$B$27*MAX(0,MIN(100,(1-IF($R889="",0,$R889))*100)) + Config!$B$28*MAX(0,MIN(100,(1-MIN(1,IF(Config!$B$30=0,1,$S889/Config!$B$30)))*100)) + Config!$B$29*MAX(0,MIN(100,MIN(1,IF($T889="",0,$T889)/Config!$B$23)*100)))),MIN(100,Config!$B$27*MAX(0,MIN(100,(1-IF($R889="",0,$R889))*100)) + Config!$B$28*MAX(0,MIN(100,(1-MIN(1,IF(Config!$B$30=0,1,$S889/Config!$B$30)))*100)) + Config!$B$29*MAX(0,MIN(100,MIN(1,IF($T889="",0,$T889)/Config!$B$23)*100))))),"")
</f>
        <v/>
      </c>
      <c r="V889" s="40" t="str">
        <f>IF(Bids!$D888="","",Bids!$D888)</f>
        <v/>
      </c>
      <c r="W889" s="40" t="str">
        <f>IF(Bids!$F888="","",Bids!$F888)</f>
        <v/>
      </c>
      <c r="X889" s="40" t="str">
        <f t="shared" si="5"/>
        <v/>
      </c>
      <c r="Y889" s="40" t="str">
        <f>IF($X889="","",IF(Config!$B$17=Config!$B$16,IF($X889&gt;=Config!$B$17,100,0),MAX(0,MIN(100,($X889-Config!$B$16)/(Config!$B$17-Config!$B$16)*100))))</f>
        <v/>
      </c>
      <c r="Z889" s="40">
        <f>IF($M889="Elite",Config!$B$21,0)</f>
        <v>0</v>
      </c>
      <c r="AA889" s="40" t="str">
        <f>IFERROR(IF(OR($W889="",$H889=""),"",IF($W889&gt;$H889,
  MAX(0, 60-(($W889-$H889)*24/Config!$B$19)*60),
  MIN(100, 60+(($H889-$W889)*24/Config!$B$20)*40)
)),"")
</f>
        <v/>
      </c>
      <c r="AB889" s="40" t="str">
        <f>IF($K889="","",IFERROR(VLOOKUP($K889,Grinders!$A$4:$N$998,10,FALSE)/5*100,""))</f>
        <v/>
      </c>
      <c r="AC889" s="40" t="str">
        <f>IF($K889="","",IFERROR(VLOOKUP($K889,Grinders!$A$4:$N$998,11,FALSE)*100,""))</f>
        <v/>
      </c>
      <c r="AD889" s="40" t="str">
        <f>IF($K889="","",IFERROR(VLOOKUP($K889,Grinders!$A$4:$N$998,12,FALSE)*100,""))</f>
        <v/>
      </c>
      <c r="AE889" s="40">
        <f>IFERROR(IFS(
    OR($C889="", $K889=""), 0,
    $F889=0, 0,
    $D889&lt;&gt;"Open", 0,
    COUNTIFS(GrinderServices!$B$4:$B$998, $K889, GrinderServices!$C$4:$C$998, $E889, GrinderServices!$E$4:$E$998, "Y")=0, 0,
    $X889&lt;Config!$B$16, 0,
    Config!$B$18=1, IF($O889&gt;=N889, 0, 1),
    TRUE, 1
), "")
</f>
        <v>0</v>
      </c>
      <c r="AF889" s="40" t="str">
        <f>IFERROR(IF($AE889=0,"",((Config!$B$6*$Y889 + Config!$B$7*$U889 + Config!$B$8*$Z889 + Config!$B$9*$AA889 + Config!$B$10*$AB889 + Config!$B$11*$AC889 - Config!$B$12*$AD889)/Config!$B$13)+$AK889+$AL889),"")</f>
        <v/>
      </c>
      <c r="AG889" s="40" t="str">
        <f t="shared" si="6"/>
        <v/>
      </c>
      <c r="AH889" s="40" t="str">
        <f t="shared" si="7"/>
        <v/>
      </c>
      <c r="AI889" s="40" t="str">
        <f t="shared" si="8"/>
        <v/>
      </c>
      <c r="AJ889" s="40" t="str">
        <f>IF($K889="","",COUNTIF(Assignments!$B$6:$B$1000,$K889))</f>
        <v/>
      </c>
      <c r="AK889" s="40" t="str">
        <f>IF($K889="","",IF(AND($AJ889=0,$O889&lt;$N889),Config!$B$43,0))</f>
        <v/>
      </c>
      <c r="AL889" s="40" t="str">
        <f>IF($K889="","",IF(AND($M889="Elite",$G889&gt;=Config!$B$41,$O889&lt;$N889),Config!$B$42,0))</f>
        <v/>
      </c>
      <c r="AM889" s="22"/>
    </row>
    <row r="890" ht="15.75" customHeight="1">
      <c r="A890" s="40" t="str">
        <f t="shared" si="1"/>
        <v/>
      </c>
      <c r="B890" s="40" t="str">
        <f>IF(Bids!$A889="","",Bids!$A889)</f>
        <v/>
      </c>
      <c r="C890" s="40" t="str">
        <f>IF(Bids!$B889="","",Bids!$B889)</f>
        <v/>
      </c>
      <c r="D890" s="40" t="str">
        <f>IF($C890="","",IFERROR(VLOOKUP($C890,Orders!$A$4:$J$998,9,FALSE),""))</f>
        <v/>
      </c>
      <c r="E890" s="40" t="str">
        <f>IF($C890="","",IFERROR(VLOOKUP($C890,Orders!$A$4:$J$998,3,FALSE),""))</f>
        <v/>
      </c>
      <c r="F890" s="40">
        <f t="shared" si="2"/>
        <v>1</v>
      </c>
      <c r="G890" s="40" t="str">
        <f>IF($C890="","",IFERROR(VLOOKUP($C890,Orders!$A$4:$J$998,4,FALSE),""))</f>
        <v/>
      </c>
      <c r="H890" s="40" t="str">
        <f>IF($C890="","",IFERROR(VLOOKUP($C890,Orders!$A$4:$J$998,5,FALSE),""))</f>
        <v/>
      </c>
      <c r="I890" s="40" t="str">
        <f>IF($C890="","",IFERROR(VLOOKUP($C890,Orders!$A$4:$J$998,6,FALSE),""))</f>
        <v/>
      </c>
      <c r="J890" s="40" t="str">
        <f>IF($C890="","",IFERROR(VLOOKUP($C890,Orders!$A$4:$J$998,7,FALSE),""))</f>
        <v/>
      </c>
      <c r="K890" s="40" t="str">
        <f>IF(Bids!$C889="","",Bids!$C889)</f>
        <v/>
      </c>
      <c r="L890" s="40" t="str">
        <f>IF($K890="","",IFERROR(VLOOKUP($K890,Grinders!$A$4:$N$998,2,FALSE),""))</f>
        <v/>
      </c>
      <c r="M890" s="40" t="str">
        <f>IF($K890="","",IFERROR(VLOOKUP($K890,Grinders!$A$4:$N$998,3,FALSE),""))</f>
        <v/>
      </c>
      <c r="N890" s="40" t="str">
        <f>IF($K890="","",IFERROR(VLOOKUP($K890,Grinders!$A$4:$N$998,4,FALSE),""))</f>
        <v/>
      </c>
      <c r="O890" s="40" t="str">
        <f>IF($K890="","",IFERROR(VLOOKUP($K890,Grinders!$A$4:$N$998,5,FALSE),""))</f>
        <v/>
      </c>
      <c r="P890" s="40" t="str">
        <f>IF($K890="","",IF($C$4="",0,COUNTIFS(Assignments!$B$6:$B$1000,$K890,Assignments!$F$6:$F$1000,$C$4,Assignments!$E$6:$E$1000,"Active")))</f>
        <v/>
      </c>
      <c r="Q890" s="40" t="str">
        <f t="shared" si="3"/>
        <v/>
      </c>
      <c r="R890" s="40" t="str">
        <f t="shared" si="4"/>
        <v/>
      </c>
      <c r="S890" s="40" t="str">
        <f>IF($K890="","",IF($C$4="",0,COUNTIFS(Assignments!$B$6:$B$1000,$K890,Assignments!$F$6:$F$1000,$C$4,Assignments!$D$6:$D$1000,"&gt;="&amp;Config!$B$3-7,Assignments!$D$6:$D$1000,"&lt;="&amp;Config!$B$3)))</f>
        <v/>
      </c>
      <c r="T890" s="40" t="str">
        <f>IF($K890="","",IFERROR(VLOOKUP($K890,Grinders!$A$4:$N$998,8,FALSE),""))</f>
        <v/>
      </c>
      <c r="U890" s="40" t="str">
        <f>IFERROR(IF($K890="","",IF($M890="Elite",MAX(50,MIN(100,Config!$B$27*MAX(0,MIN(100,(1-IF($R890="",0,$R890))*100)) + Config!$B$28*MAX(0,MIN(100,(1-MIN(1,IF(Config!$B$30=0,1,$S890/Config!$B$30)))*100)) + Config!$B$29*MAX(0,MIN(100,MIN(1,IF($T890="",0,$T890)/Config!$B$23)*100)))),MIN(100,Config!$B$27*MAX(0,MIN(100,(1-IF($R890="",0,$R890))*100)) + Config!$B$28*MAX(0,MIN(100,(1-MIN(1,IF(Config!$B$30=0,1,$S890/Config!$B$30)))*100)) + Config!$B$29*MAX(0,MIN(100,MIN(1,IF($T890="",0,$T890)/Config!$B$23)*100))))),"")
</f>
        <v/>
      </c>
      <c r="V890" s="40" t="str">
        <f>IF(Bids!$D889="","",Bids!$D889)</f>
        <v/>
      </c>
      <c r="W890" s="40" t="str">
        <f>IF(Bids!$F889="","",Bids!$F889)</f>
        <v/>
      </c>
      <c r="X890" s="40" t="str">
        <f t="shared" si="5"/>
        <v/>
      </c>
      <c r="Y890" s="40" t="str">
        <f>IF($X890="","",IF(Config!$B$17=Config!$B$16,IF($X890&gt;=Config!$B$17,100,0),MAX(0,MIN(100,($X890-Config!$B$16)/(Config!$B$17-Config!$B$16)*100))))</f>
        <v/>
      </c>
      <c r="Z890" s="40">
        <f>IF($M890="Elite",Config!$B$21,0)</f>
        <v>0</v>
      </c>
      <c r="AA890" s="40" t="str">
        <f>IFERROR(IF(OR($W890="",$H890=""),"",IF($W890&gt;$H890,
  MAX(0, 60-(($W890-$H890)*24/Config!$B$19)*60),
  MIN(100, 60+(($H890-$W890)*24/Config!$B$20)*40)
)),"")
</f>
        <v/>
      </c>
      <c r="AB890" s="40" t="str">
        <f>IF($K890="","",IFERROR(VLOOKUP($K890,Grinders!$A$4:$N$998,10,FALSE)/5*100,""))</f>
        <v/>
      </c>
      <c r="AC890" s="40" t="str">
        <f>IF($K890="","",IFERROR(VLOOKUP($K890,Grinders!$A$4:$N$998,11,FALSE)*100,""))</f>
        <v/>
      </c>
      <c r="AD890" s="40" t="str">
        <f>IF($K890="","",IFERROR(VLOOKUP($K890,Grinders!$A$4:$N$998,12,FALSE)*100,""))</f>
        <v/>
      </c>
      <c r="AE890" s="40">
        <f>IFERROR(IFS(
    OR($C890="", $K890=""), 0,
    $F890=0, 0,
    $D890&lt;&gt;"Open", 0,
    COUNTIFS(GrinderServices!$B$4:$B$998, $K890, GrinderServices!$C$4:$C$998, $E890, GrinderServices!$E$4:$E$998, "Y")=0, 0,
    $X890&lt;Config!$B$16, 0,
    Config!$B$18=1, IF($O890&gt;=N890, 0, 1),
    TRUE, 1
), "")
</f>
        <v>0</v>
      </c>
      <c r="AF890" s="40" t="str">
        <f>IFERROR(IF($AE890=0,"",((Config!$B$6*$Y890 + Config!$B$7*$U890 + Config!$B$8*$Z890 + Config!$B$9*$AA890 + Config!$B$10*$AB890 + Config!$B$11*$AC890 - Config!$B$12*$AD890)/Config!$B$13)+$AK890+$AL890),"")</f>
        <v/>
      </c>
      <c r="AG890" s="40" t="str">
        <f t="shared" si="6"/>
        <v/>
      </c>
      <c r="AH890" s="40" t="str">
        <f t="shared" si="7"/>
        <v/>
      </c>
      <c r="AI890" s="40" t="str">
        <f t="shared" si="8"/>
        <v/>
      </c>
      <c r="AJ890" s="40" t="str">
        <f>IF($K890="","",COUNTIF(Assignments!$B$6:$B$1000,$K890))</f>
        <v/>
      </c>
      <c r="AK890" s="40" t="str">
        <f>IF($K890="","",IF(AND($AJ890=0,$O890&lt;$N890),Config!$B$43,0))</f>
        <v/>
      </c>
      <c r="AL890" s="40" t="str">
        <f>IF($K890="","",IF(AND($M890="Elite",$G890&gt;=Config!$B$41,$O890&lt;$N890),Config!$B$42,0))</f>
        <v/>
      </c>
      <c r="AM890" s="22"/>
    </row>
    <row r="891" ht="15.75" customHeight="1">
      <c r="A891" s="40" t="str">
        <f t="shared" si="1"/>
        <v/>
      </c>
      <c r="B891" s="40" t="str">
        <f>IF(Bids!$A890="","",Bids!$A890)</f>
        <v/>
      </c>
      <c r="C891" s="40" t="str">
        <f>IF(Bids!$B890="","",Bids!$B890)</f>
        <v/>
      </c>
      <c r="D891" s="40" t="str">
        <f>IF($C891="","",IFERROR(VLOOKUP($C891,Orders!$A$4:$J$998,9,FALSE),""))</f>
        <v/>
      </c>
      <c r="E891" s="40" t="str">
        <f>IF($C891="","",IFERROR(VLOOKUP($C891,Orders!$A$4:$J$998,3,FALSE),""))</f>
        <v/>
      </c>
      <c r="F891" s="40">
        <f t="shared" si="2"/>
        <v>1</v>
      </c>
      <c r="G891" s="40" t="str">
        <f>IF($C891="","",IFERROR(VLOOKUP($C891,Orders!$A$4:$J$998,4,FALSE),""))</f>
        <v/>
      </c>
      <c r="H891" s="40" t="str">
        <f>IF($C891="","",IFERROR(VLOOKUP($C891,Orders!$A$4:$J$998,5,FALSE),""))</f>
        <v/>
      </c>
      <c r="I891" s="40" t="str">
        <f>IF($C891="","",IFERROR(VLOOKUP($C891,Orders!$A$4:$J$998,6,FALSE),""))</f>
        <v/>
      </c>
      <c r="J891" s="40" t="str">
        <f>IF($C891="","",IFERROR(VLOOKUP($C891,Orders!$A$4:$J$998,7,FALSE),""))</f>
        <v/>
      </c>
      <c r="K891" s="40" t="str">
        <f>IF(Bids!$C890="","",Bids!$C890)</f>
        <v/>
      </c>
      <c r="L891" s="40" t="str">
        <f>IF($K891="","",IFERROR(VLOOKUP($K891,Grinders!$A$4:$N$998,2,FALSE),""))</f>
        <v/>
      </c>
      <c r="M891" s="40" t="str">
        <f>IF($K891="","",IFERROR(VLOOKUP($K891,Grinders!$A$4:$N$998,3,FALSE),""))</f>
        <v/>
      </c>
      <c r="N891" s="40" t="str">
        <f>IF($K891="","",IFERROR(VLOOKUP($K891,Grinders!$A$4:$N$998,4,FALSE),""))</f>
        <v/>
      </c>
      <c r="O891" s="40" t="str">
        <f>IF($K891="","",IFERROR(VLOOKUP($K891,Grinders!$A$4:$N$998,5,FALSE),""))</f>
        <v/>
      </c>
      <c r="P891" s="40" t="str">
        <f>IF($K891="","",IF($C$4="",0,COUNTIFS(Assignments!$B$6:$B$1000,$K891,Assignments!$F$6:$F$1000,$C$4,Assignments!$E$6:$E$1000,"Active")))</f>
        <v/>
      </c>
      <c r="Q891" s="40" t="str">
        <f t="shared" si="3"/>
        <v/>
      </c>
      <c r="R891" s="40" t="str">
        <f t="shared" si="4"/>
        <v/>
      </c>
      <c r="S891" s="40" t="str">
        <f>IF($K891="","",IF($C$4="",0,COUNTIFS(Assignments!$B$6:$B$1000,$K891,Assignments!$F$6:$F$1000,$C$4,Assignments!$D$6:$D$1000,"&gt;="&amp;Config!$B$3-7,Assignments!$D$6:$D$1000,"&lt;="&amp;Config!$B$3)))</f>
        <v/>
      </c>
      <c r="T891" s="40" t="str">
        <f>IF($K891="","",IFERROR(VLOOKUP($K891,Grinders!$A$4:$N$998,8,FALSE),""))</f>
        <v/>
      </c>
      <c r="U891" s="40" t="str">
        <f>IFERROR(IF($K891="","",IF($M891="Elite",MAX(50,MIN(100,Config!$B$27*MAX(0,MIN(100,(1-IF($R891="",0,$R891))*100)) + Config!$B$28*MAX(0,MIN(100,(1-MIN(1,IF(Config!$B$30=0,1,$S891/Config!$B$30)))*100)) + Config!$B$29*MAX(0,MIN(100,MIN(1,IF($T891="",0,$T891)/Config!$B$23)*100)))),MIN(100,Config!$B$27*MAX(0,MIN(100,(1-IF($R891="",0,$R891))*100)) + Config!$B$28*MAX(0,MIN(100,(1-MIN(1,IF(Config!$B$30=0,1,$S891/Config!$B$30)))*100)) + Config!$B$29*MAX(0,MIN(100,MIN(1,IF($T891="",0,$T891)/Config!$B$23)*100))))),"")
</f>
        <v/>
      </c>
      <c r="V891" s="40" t="str">
        <f>IF(Bids!$D890="","",Bids!$D890)</f>
        <v/>
      </c>
      <c r="W891" s="40" t="str">
        <f>IF(Bids!$F890="","",Bids!$F890)</f>
        <v/>
      </c>
      <c r="X891" s="40" t="str">
        <f t="shared" si="5"/>
        <v/>
      </c>
      <c r="Y891" s="40" t="str">
        <f>IF($X891="","",IF(Config!$B$17=Config!$B$16,IF($X891&gt;=Config!$B$17,100,0),MAX(0,MIN(100,($X891-Config!$B$16)/(Config!$B$17-Config!$B$16)*100))))</f>
        <v/>
      </c>
      <c r="Z891" s="40">
        <f>IF($M891="Elite",Config!$B$21,0)</f>
        <v>0</v>
      </c>
      <c r="AA891" s="40" t="str">
        <f>IFERROR(IF(OR($W891="",$H891=""),"",IF($W891&gt;$H891,
  MAX(0, 60-(($W891-$H891)*24/Config!$B$19)*60),
  MIN(100, 60+(($H891-$W891)*24/Config!$B$20)*40)
)),"")
</f>
        <v/>
      </c>
      <c r="AB891" s="40" t="str">
        <f>IF($K891="","",IFERROR(VLOOKUP($K891,Grinders!$A$4:$N$998,10,FALSE)/5*100,""))</f>
        <v/>
      </c>
      <c r="AC891" s="40" t="str">
        <f>IF($K891="","",IFERROR(VLOOKUP($K891,Grinders!$A$4:$N$998,11,FALSE)*100,""))</f>
        <v/>
      </c>
      <c r="AD891" s="40" t="str">
        <f>IF($K891="","",IFERROR(VLOOKUP($K891,Grinders!$A$4:$N$998,12,FALSE)*100,""))</f>
        <v/>
      </c>
      <c r="AE891" s="40">
        <f>IFERROR(IFS(
    OR($C891="", $K891=""), 0,
    $F891=0, 0,
    $D891&lt;&gt;"Open", 0,
    COUNTIFS(GrinderServices!$B$4:$B$998, $K891, GrinderServices!$C$4:$C$998, $E891, GrinderServices!$E$4:$E$998, "Y")=0, 0,
    $X891&lt;Config!$B$16, 0,
    Config!$B$18=1, IF($O891&gt;=N891, 0, 1),
    TRUE, 1
), "")
</f>
        <v>0</v>
      </c>
      <c r="AF891" s="40" t="str">
        <f>IFERROR(IF($AE891=0,"",((Config!$B$6*$Y891 + Config!$B$7*$U891 + Config!$B$8*$Z891 + Config!$B$9*$AA891 + Config!$B$10*$AB891 + Config!$B$11*$AC891 - Config!$B$12*$AD891)/Config!$B$13)+$AK891+$AL891),"")</f>
        <v/>
      </c>
      <c r="AG891" s="40" t="str">
        <f t="shared" si="6"/>
        <v/>
      </c>
      <c r="AH891" s="40" t="str">
        <f t="shared" si="7"/>
        <v/>
      </c>
      <c r="AI891" s="40" t="str">
        <f t="shared" si="8"/>
        <v/>
      </c>
      <c r="AJ891" s="40" t="str">
        <f>IF($K891="","",COUNTIF(Assignments!$B$6:$B$1000,$K891))</f>
        <v/>
      </c>
      <c r="AK891" s="40" t="str">
        <f>IF($K891="","",IF(AND($AJ891=0,$O891&lt;$N891),Config!$B$43,0))</f>
        <v/>
      </c>
      <c r="AL891" s="40" t="str">
        <f>IF($K891="","",IF(AND($M891="Elite",$G891&gt;=Config!$B$41,$O891&lt;$N891),Config!$B$42,0))</f>
        <v/>
      </c>
      <c r="AM891" s="22"/>
    </row>
    <row r="892" ht="15.75" customHeight="1">
      <c r="A892" s="40" t="str">
        <f t="shared" si="1"/>
        <v/>
      </c>
      <c r="B892" s="40" t="str">
        <f>IF(Bids!$A891="","",Bids!$A891)</f>
        <v/>
      </c>
      <c r="C892" s="40" t="str">
        <f>IF(Bids!$B891="","",Bids!$B891)</f>
        <v/>
      </c>
      <c r="D892" s="40" t="str">
        <f>IF($C892="","",IFERROR(VLOOKUP($C892,Orders!$A$4:$J$998,9,FALSE),""))</f>
        <v/>
      </c>
      <c r="E892" s="40" t="str">
        <f>IF($C892="","",IFERROR(VLOOKUP($C892,Orders!$A$4:$J$998,3,FALSE),""))</f>
        <v/>
      </c>
      <c r="F892" s="40">
        <f t="shared" si="2"/>
        <v>1</v>
      </c>
      <c r="G892" s="40" t="str">
        <f>IF($C892="","",IFERROR(VLOOKUP($C892,Orders!$A$4:$J$998,4,FALSE),""))</f>
        <v/>
      </c>
      <c r="H892" s="40" t="str">
        <f>IF($C892="","",IFERROR(VLOOKUP($C892,Orders!$A$4:$J$998,5,FALSE),""))</f>
        <v/>
      </c>
      <c r="I892" s="40" t="str">
        <f>IF($C892="","",IFERROR(VLOOKUP($C892,Orders!$A$4:$J$998,6,FALSE),""))</f>
        <v/>
      </c>
      <c r="J892" s="40" t="str">
        <f>IF($C892="","",IFERROR(VLOOKUP($C892,Orders!$A$4:$J$998,7,FALSE),""))</f>
        <v/>
      </c>
      <c r="K892" s="40" t="str">
        <f>IF(Bids!$C891="","",Bids!$C891)</f>
        <v/>
      </c>
      <c r="L892" s="40" t="str">
        <f>IF($K892="","",IFERROR(VLOOKUP($K892,Grinders!$A$4:$N$998,2,FALSE),""))</f>
        <v/>
      </c>
      <c r="M892" s="40" t="str">
        <f>IF($K892="","",IFERROR(VLOOKUP($K892,Grinders!$A$4:$N$998,3,FALSE),""))</f>
        <v/>
      </c>
      <c r="N892" s="40" t="str">
        <f>IF($K892="","",IFERROR(VLOOKUP($K892,Grinders!$A$4:$N$998,4,FALSE),""))</f>
        <v/>
      </c>
      <c r="O892" s="40" t="str">
        <f>IF($K892="","",IFERROR(VLOOKUP($K892,Grinders!$A$4:$N$998,5,FALSE),""))</f>
        <v/>
      </c>
      <c r="P892" s="40" t="str">
        <f>IF($K892="","",IF($C$4="",0,COUNTIFS(Assignments!$B$6:$B$1000,$K892,Assignments!$F$6:$F$1000,$C$4,Assignments!$E$6:$E$1000,"Active")))</f>
        <v/>
      </c>
      <c r="Q892" s="40" t="str">
        <f t="shared" si="3"/>
        <v/>
      </c>
      <c r="R892" s="40" t="str">
        <f t="shared" si="4"/>
        <v/>
      </c>
      <c r="S892" s="40" t="str">
        <f>IF($K892="","",IF($C$4="",0,COUNTIFS(Assignments!$B$6:$B$1000,$K892,Assignments!$F$6:$F$1000,$C$4,Assignments!$D$6:$D$1000,"&gt;="&amp;Config!$B$3-7,Assignments!$D$6:$D$1000,"&lt;="&amp;Config!$B$3)))</f>
        <v/>
      </c>
      <c r="T892" s="40" t="str">
        <f>IF($K892="","",IFERROR(VLOOKUP($K892,Grinders!$A$4:$N$998,8,FALSE),""))</f>
        <v/>
      </c>
      <c r="U892" s="40" t="str">
        <f>IFERROR(IF($K892="","",IF($M892="Elite",MAX(50,MIN(100,Config!$B$27*MAX(0,MIN(100,(1-IF($R892="",0,$R892))*100)) + Config!$B$28*MAX(0,MIN(100,(1-MIN(1,IF(Config!$B$30=0,1,$S892/Config!$B$30)))*100)) + Config!$B$29*MAX(0,MIN(100,MIN(1,IF($T892="",0,$T892)/Config!$B$23)*100)))),MIN(100,Config!$B$27*MAX(0,MIN(100,(1-IF($R892="",0,$R892))*100)) + Config!$B$28*MAX(0,MIN(100,(1-MIN(1,IF(Config!$B$30=0,1,$S892/Config!$B$30)))*100)) + Config!$B$29*MAX(0,MIN(100,MIN(1,IF($T892="",0,$T892)/Config!$B$23)*100))))),"")
</f>
        <v/>
      </c>
      <c r="V892" s="40" t="str">
        <f>IF(Bids!$D891="","",Bids!$D891)</f>
        <v/>
      </c>
      <c r="W892" s="40" t="str">
        <f>IF(Bids!$F891="","",Bids!$F891)</f>
        <v/>
      </c>
      <c r="X892" s="40" t="str">
        <f t="shared" si="5"/>
        <v/>
      </c>
      <c r="Y892" s="40" t="str">
        <f>IF($X892="","",IF(Config!$B$17=Config!$B$16,IF($X892&gt;=Config!$B$17,100,0),MAX(0,MIN(100,($X892-Config!$B$16)/(Config!$B$17-Config!$B$16)*100))))</f>
        <v/>
      </c>
      <c r="Z892" s="40">
        <f>IF($M892="Elite",Config!$B$21,0)</f>
        <v>0</v>
      </c>
      <c r="AA892" s="40" t="str">
        <f>IFERROR(IF(OR($W892="",$H892=""),"",IF($W892&gt;$H892,
  MAX(0, 60-(($W892-$H892)*24/Config!$B$19)*60),
  MIN(100, 60+(($H892-$W892)*24/Config!$B$20)*40)
)),"")
</f>
        <v/>
      </c>
      <c r="AB892" s="40" t="str">
        <f>IF($K892="","",IFERROR(VLOOKUP($K892,Grinders!$A$4:$N$998,10,FALSE)/5*100,""))</f>
        <v/>
      </c>
      <c r="AC892" s="40" t="str">
        <f>IF($K892="","",IFERROR(VLOOKUP($K892,Grinders!$A$4:$N$998,11,FALSE)*100,""))</f>
        <v/>
      </c>
      <c r="AD892" s="40" t="str">
        <f>IF($K892="","",IFERROR(VLOOKUP($K892,Grinders!$A$4:$N$998,12,FALSE)*100,""))</f>
        <v/>
      </c>
      <c r="AE892" s="40">
        <f>IFERROR(IFS(
    OR($C892="", $K892=""), 0,
    $F892=0, 0,
    $D892&lt;&gt;"Open", 0,
    COUNTIFS(GrinderServices!$B$4:$B$998, $K892, GrinderServices!$C$4:$C$998, $E892, GrinderServices!$E$4:$E$998, "Y")=0, 0,
    $X892&lt;Config!$B$16, 0,
    Config!$B$18=1, IF($O892&gt;=N892, 0, 1),
    TRUE, 1
), "")
</f>
        <v>0</v>
      </c>
      <c r="AF892" s="40" t="str">
        <f>IFERROR(IF($AE892=0,"",((Config!$B$6*$Y892 + Config!$B$7*$U892 + Config!$B$8*$Z892 + Config!$B$9*$AA892 + Config!$B$10*$AB892 + Config!$B$11*$AC892 - Config!$B$12*$AD892)/Config!$B$13)+$AK892+$AL892),"")</f>
        <v/>
      </c>
      <c r="AG892" s="40" t="str">
        <f t="shared" si="6"/>
        <v/>
      </c>
      <c r="AH892" s="40" t="str">
        <f t="shared" si="7"/>
        <v/>
      </c>
      <c r="AI892" s="40" t="str">
        <f t="shared" si="8"/>
        <v/>
      </c>
      <c r="AJ892" s="40" t="str">
        <f>IF($K892="","",COUNTIF(Assignments!$B$6:$B$1000,$K892))</f>
        <v/>
      </c>
      <c r="AK892" s="40" t="str">
        <f>IF($K892="","",IF(AND($AJ892=0,$O892&lt;$N892),Config!$B$43,0))</f>
        <v/>
      </c>
      <c r="AL892" s="40" t="str">
        <f>IF($K892="","",IF(AND($M892="Elite",$G892&gt;=Config!$B$41,$O892&lt;$N892),Config!$B$42,0))</f>
        <v/>
      </c>
      <c r="AM892" s="22"/>
    </row>
    <row r="893" ht="15.75" customHeight="1">
      <c r="A893" s="40" t="str">
        <f t="shared" si="1"/>
        <v/>
      </c>
      <c r="B893" s="40" t="str">
        <f>IF(Bids!$A892="","",Bids!$A892)</f>
        <v/>
      </c>
      <c r="C893" s="40" t="str">
        <f>IF(Bids!$B892="","",Bids!$B892)</f>
        <v/>
      </c>
      <c r="D893" s="40" t="str">
        <f>IF($C893="","",IFERROR(VLOOKUP($C893,Orders!$A$4:$J$998,9,FALSE),""))</f>
        <v/>
      </c>
      <c r="E893" s="40" t="str">
        <f>IF($C893="","",IFERROR(VLOOKUP($C893,Orders!$A$4:$J$998,3,FALSE),""))</f>
        <v/>
      </c>
      <c r="F893" s="40">
        <f t="shared" si="2"/>
        <v>1</v>
      </c>
      <c r="G893" s="40" t="str">
        <f>IF($C893="","",IFERROR(VLOOKUP($C893,Orders!$A$4:$J$998,4,FALSE),""))</f>
        <v/>
      </c>
      <c r="H893" s="40" t="str">
        <f>IF($C893="","",IFERROR(VLOOKUP($C893,Orders!$A$4:$J$998,5,FALSE),""))</f>
        <v/>
      </c>
      <c r="I893" s="40" t="str">
        <f>IF($C893="","",IFERROR(VLOOKUP($C893,Orders!$A$4:$J$998,6,FALSE),""))</f>
        <v/>
      </c>
      <c r="J893" s="40" t="str">
        <f>IF($C893="","",IFERROR(VLOOKUP($C893,Orders!$A$4:$J$998,7,FALSE),""))</f>
        <v/>
      </c>
      <c r="K893" s="40" t="str">
        <f>IF(Bids!$C892="","",Bids!$C892)</f>
        <v/>
      </c>
      <c r="L893" s="40" t="str">
        <f>IF($K893="","",IFERROR(VLOOKUP($K893,Grinders!$A$4:$N$998,2,FALSE),""))</f>
        <v/>
      </c>
      <c r="M893" s="40" t="str">
        <f>IF($K893="","",IFERROR(VLOOKUP($K893,Grinders!$A$4:$N$998,3,FALSE),""))</f>
        <v/>
      </c>
      <c r="N893" s="40" t="str">
        <f>IF($K893="","",IFERROR(VLOOKUP($K893,Grinders!$A$4:$N$998,4,FALSE),""))</f>
        <v/>
      </c>
      <c r="O893" s="40" t="str">
        <f>IF($K893="","",IFERROR(VLOOKUP($K893,Grinders!$A$4:$N$998,5,FALSE),""))</f>
        <v/>
      </c>
      <c r="P893" s="40" t="str">
        <f>IF($K893="","",IF($C$4="",0,COUNTIFS(Assignments!$B$6:$B$1000,$K893,Assignments!$F$6:$F$1000,$C$4,Assignments!$E$6:$E$1000,"Active")))</f>
        <v/>
      </c>
      <c r="Q893" s="40" t="str">
        <f t="shared" si="3"/>
        <v/>
      </c>
      <c r="R893" s="40" t="str">
        <f t="shared" si="4"/>
        <v/>
      </c>
      <c r="S893" s="40" t="str">
        <f>IF($K893="","",IF($C$4="",0,COUNTIFS(Assignments!$B$6:$B$1000,$K893,Assignments!$F$6:$F$1000,$C$4,Assignments!$D$6:$D$1000,"&gt;="&amp;Config!$B$3-7,Assignments!$D$6:$D$1000,"&lt;="&amp;Config!$B$3)))</f>
        <v/>
      </c>
      <c r="T893" s="40" t="str">
        <f>IF($K893="","",IFERROR(VLOOKUP($K893,Grinders!$A$4:$N$998,8,FALSE),""))</f>
        <v/>
      </c>
      <c r="U893" s="40" t="str">
        <f>IFERROR(IF($K893="","",IF($M893="Elite",MAX(50,MIN(100,Config!$B$27*MAX(0,MIN(100,(1-IF($R893="",0,$R893))*100)) + Config!$B$28*MAX(0,MIN(100,(1-MIN(1,IF(Config!$B$30=0,1,$S893/Config!$B$30)))*100)) + Config!$B$29*MAX(0,MIN(100,MIN(1,IF($T893="",0,$T893)/Config!$B$23)*100)))),MIN(100,Config!$B$27*MAX(0,MIN(100,(1-IF($R893="",0,$R893))*100)) + Config!$B$28*MAX(0,MIN(100,(1-MIN(1,IF(Config!$B$30=0,1,$S893/Config!$B$30)))*100)) + Config!$B$29*MAX(0,MIN(100,MIN(1,IF($T893="",0,$T893)/Config!$B$23)*100))))),"")
</f>
        <v/>
      </c>
      <c r="V893" s="40" t="str">
        <f>IF(Bids!$D892="","",Bids!$D892)</f>
        <v/>
      </c>
      <c r="W893" s="40" t="str">
        <f>IF(Bids!$F892="","",Bids!$F892)</f>
        <v/>
      </c>
      <c r="X893" s="40" t="str">
        <f t="shared" si="5"/>
        <v/>
      </c>
      <c r="Y893" s="40" t="str">
        <f>IF($X893="","",IF(Config!$B$17=Config!$B$16,IF($X893&gt;=Config!$B$17,100,0),MAX(0,MIN(100,($X893-Config!$B$16)/(Config!$B$17-Config!$B$16)*100))))</f>
        <v/>
      </c>
      <c r="Z893" s="40">
        <f>IF($M893="Elite",Config!$B$21,0)</f>
        <v>0</v>
      </c>
      <c r="AA893" s="40" t="str">
        <f>IFERROR(IF(OR($W893="",$H893=""),"",IF($W893&gt;$H893,
  MAX(0, 60-(($W893-$H893)*24/Config!$B$19)*60),
  MIN(100, 60+(($H893-$W893)*24/Config!$B$20)*40)
)),"")
</f>
        <v/>
      </c>
      <c r="AB893" s="40" t="str">
        <f>IF($K893="","",IFERROR(VLOOKUP($K893,Grinders!$A$4:$N$998,10,FALSE)/5*100,""))</f>
        <v/>
      </c>
      <c r="AC893" s="40" t="str">
        <f>IF($K893="","",IFERROR(VLOOKUP($K893,Grinders!$A$4:$N$998,11,FALSE)*100,""))</f>
        <v/>
      </c>
      <c r="AD893" s="40" t="str">
        <f>IF($K893="","",IFERROR(VLOOKUP($K893,Grinders!$A$4:$N$998,12,FALSE)*100,""))</f>
        <v/>
      </c>
      <c r="AE893" s="40">
        <f>IFERROR(IFS(
    OR($C893="", $K893=""), 0,
    $F893=0, 0,
    $D893&lt;&gt;"Open", 0,
    COUNTIFS(GrinderServices!$B$4:$B$998, $K893, GrinderServices!$C$4:$C$998, $E893, GrinderServices!$E$4:$E$998, "Y")=0, 0,
    $X893&lt;Config!$B$16, 0,
    Config!$B$18=1, IF($O893&gt;=N893, 0, 1),
    TRUE, 1
), "")
</f>
        <v>0</v>
      </c>
      <c r="AF893" s="40" t="str">
        <f>IFERROR(IF($AE893=0,"",((Config!$B$6*$Y893 + Config!$B$7*$U893 + Config!$B$8*$Z893 + Config!$B$9*$AA893 + Config!$B$10*$AB893 + Config!$B$11*$AC893 - Config!$B$12*$AD893)/Config!$B$13)+$AK893+$AL893),"")</f>
        <v/>
      </c>
      <c r="AG893" s="40" t="str">
        <f t="shared" si="6"/>
        <v/>
      </c>
      <c r="AH893" s="40" t="str">
        <f t="shared" si="7"/>
        <v/>
      </c>
      <c r="AI893" s="40" t="str">
        <f t="shared" si="8"/>
        <v/>
      </c>
      <c r="AJ893" s="40" t="str">
        <f>IF($K893="","",COUNTIF(Assignments!$B$6:$B$1000,$K893))</f>
        <v/>
      </c>
      <c r="AK893" s="40" t="str">
        <f>IF($K893="","",IF(AND($AJ893=0,$O893&lt;$N893),Config!$B$43,0))</f>
        <v/>
      </c>
      <c r="AL893" s="40" t="str">
        <f>IF($K893="","",IF(AND($M893="Elite",$G893&gt;=Config!$B$41,$O893&lt;$N893),Config!$B$42,0))</f>
        <v/>
      </c>
      <c r="AM893" s="22"/>
    </row>
    <row r="894" ht="15.75" customHeight="1">
      <c r="A894" s="40" t="str">
        <f t="shared" si="1"/>
        <v/>
      </c>
      <c r="B894" s="40" t="str">
        <f>IF(Bids!$A893="","",Bids!$A893)</f>
        <v/>
      </c>
      <c r="C894" s="40" t="str">
        <f>IF(Bids!$B893="","",Bids!$B893)</f>
        <v/>
      </c>
      <c r="D894" s="40" t="str">
        <f>IF($C894="","",IFERROR(VLOOKUP($C894,Orders!$A$4:$J$998,9,FALSE),""))</f>
        <v/>
      </c>
      <c r="E894" s="40" t="str">
        <f>IF($C894="","",IFERROR(VLOOKUP($C894,Orders!$A$4:$J$998,3,FALSE),""))</f>
        <v/>
      </c>
      <c r="F894" s="40">
        <f t="shared" si="2"/>
        <v>1</v>
      </c>
      <c r="G894" s="40" t="str">
        <f>IF($C894="","",IFERROR(VLOOKUP($C894,Orders!$A$4:$J$998,4,FALSE),""))</f>
        <v/>
      </c>
      <c r="H894" s="40" t="str">
        <f>IF($C894="","",IFERROR(VLOOKUP($C894,Orders!$A$4:$J$998,5,FALSE),""))</f>
        <v/>
      </c>
      <c r="I894" s="40" t="str">
        <f>IF($C894="","",IFERROR(VLOOKUP($C894,Orders!$A$4:$J$998,6,FALSE),""))</f>
        <v/>
      </c>
      <c r="J894" s="40" t="str">
        <f>IF($C894="","",IFERROR(VLOOKUP($C894,Orders!$A$4:$J$998,7,FALSE),""))</f>
        <v/>
      </c>
      <c r="K894" s="40" t="str">
        <f>IF(Bids!$C893="","",Bids!$C893)</f>
        <v/>
      </c>
      <c r="L894" s="40" t="str">
        <f>IF($K894="","",IFERROR(VLOOKUP($K894,Grinders!$A$4:$N$998,2,FALSE),""))</f>
        <v/>
      </c>
      <c r="M894" s="40" t="str">
        <f>IF($K894="","",IFERROR(VLOOKUP($K894,Grinders!$A$4:$N$998,3,FALSE),""))</f>
        <v/>
      </c>
      <c r="N894" s="40" t="str">
        <f>IF($K894="","",IFERROR(VLOOKUP($K894,Grinders!$A$4:$N$998,4,FALSE),""))</f>
        <v/>
      </c>
      <c r="O894" s="40" t="str">
        <f>IF($K894="","",IFERROR(VLOOKUP($K894,Grinders!$A$4:$N$998,5,FALSE),""))</f>
        <v/>
      </c>
      <c r="P894" s="40" t="str">
        <f>IF($K894="","",IF($C$4="",0,COUNTIFS(Assignments!$B$6:$B$1000,$K894,Assignments!$F$6:$F$1000,$C$4,Assignments!$E$6:$E$1000,"Active")))</f>
        <v/>
      </c>
      <c r="Q894" s="40" t="str">
        <f t="shared" si="3"/>
        <v/>
      </c>
      <c r="R894" s="40" t="str">
        <f t="shared" si="4"/>
        <v/>
      </c>
      <c r="S894" s="40" t="str">
        <f>IF($K894="","",IF($C$4="",0,COUNTIFS(Assignments!$B$6:$B$1000,$K894,Assignments!$F$6:$F$1000,$C$4,Assignments!$D$6:$D$1000,"&gt;="&amp;Config!$B$3-7,Assignments!$D$6:$D$1000,"&lt;="&amp;Config!$B$3)))</f>
        <v/>
      </c>
      <c r="T894" s="40" t="str">
        <f>IF($K894="","",IFERROR(VLOOKUP($K894,Grinders!$A$4:$N$998,8,FALSE),""))</f>
        <v/>
      </c>
      <c r="U894" s="40" t="str">
        <f>IFERROR(IF($K894="","",IF($M894="Elite",MAX(50,MIN(100,Config!$B$27*MAX(0,MIN(100,(1-IF($R894="",0,$R894))*100)) + Config!$B$28*MAX(0,MIN(100,(1-MIN(1,IF(Config!$B$30=0,1,$S894/Config!$B$30)))*100)) + Config!$B$29*MAX(0,MIN(100,MIN(1,IF($T894="",0,$T894)/Config!$B$23)*100)))),MIN(100,Config!$B$27*MAX(0,MIN(100,(1-IF($R894="",0,$R894))*100)) + Config!$B$28*MAX(0,MIN(100,(1-MIN(1,IF(Config!$B$30=0,1,$S894/Config!$B$30)))*100)) + Config!$B$29*MAX(0,MIN(100,MIN(1,IF($T894="",0,$T894)/Config!$B$23)*100))))),"")
</f>
        <v/>
      </c>
      <c r="V894" s="40" t="str">
        <f>IF(Bids!$D893="","",Bids!$D893)</f>
        <v/>
      </c>
      <c r="W894" s="40" t="str">
        <f>IF(Bids!$F893="","",Bids!$F893)</f>
        <v/>
      </c>
      <c r="X894" s="40" t="str">
        <f t="shared" si="5"/>
        <v/>
      </c>
      <c r="Y894" s="40" t="str">
        <f>IF($X894="","",IF(Config!$B$17=Config!$B$16,IF($X894&gt;=Config!$B$17,100,0),MAX(0,MIN(100,($X894-Config!$B$16)/(Config!$B$17-Config!$B$16)*100))))</f>
        <v/>
      </c>
      <c r="Z894" s="40">
        <f>IF($M894="Elite",Config!$B$21,0)</f>
        <v>0</v>
      </c>
      <c r="AA894" s="40" t="str">
        <f>IFERROR(IF(OR($W894="",$H894=""),"",IF($W894&gt;$H894,
  MAX(0, 60-(($W894-$H894)*24/Config!$B$19)*60),
  MIN(100, 60+(($H894-$W894)*24/Config!$B$20)*40)
)),"")
</f>
        <v/>
      </c>
      <c r="AB894" s="40" t="str">
        <f>IF($K894="","",IFERROR(VLOOKUP($K894,Grinders!$A$4:$N$998,10,FALSE)/5*100,""))</f>
        <v/>
      </c>
      <c r="AC894" s="40" t="str">
        <f>IF($K894="","",IFERROR(VLOOKUP($K894,Grinders!$A$4:$N$998,11,FALSE)*100,""))</f>
        <v/>
      </c>
      <c r="AD894" s="40" t="str">
        <f>IF($K894="","",IFERROR(VLOOKUP($K894,Grinders!$A$4:$N$998,12,FALSE)*100,""))</f>
        <v/>
      </c>
      <c r="AE894" s="40">
        <f>IFERROR(IFS(
    OR($C894="", $K894=""), 0,
    $F894=0, 0,
    $D894&lt;&gt;"Open", 0,
    COUNTIFS(GrinderServices!$B$4:$B$998, $K894, GrinderServices!$C$4:$C$998, $E894, GrinderServices!$E$4:$E$998, "Y")=0, 0,
    $X894&lt;Config!$B$16, 0,
    Config!$B$18=1, IF($O894&gt;=N894, 0, 1),
    TRUE, 1
), "")
</f>
        <v>0</v>
      </c>
      <c r="AF894" s="40" t="str">
        <f>IFERROR(IF($AE894=0,"",((Config!$B$6*$Y894 + Config!$B$7*$U894 + Config!$B$8*$Z894 + Config!$B$9*$AA894 + Config!$B$10*$AB894 + Config!$B$11*$AC894 - Config!$B$12*$AD894)/Config!$B$13)+$AK894+$AL894),"")</f>
        <v/>
      </c>
      <c r="AG894" s="40" t="str">
        <f t="shared" si="6"/>
        <v/>
      </c>
      <c r="AH894" s="40" t="str">
        <f t="shared" si="7"/>
        <v/>
      </c>
      <c r="AI894" s="40" t="str">
        <f t="shared" si="8"/>
        <v/>
      </c>
      <c r="AJ894" s="40" t="str">
        <f>IF($K894="","",COUNTIF(Assignments!$B$6:$B$1000,$K894))</f>
        <v/>
      </c>
      <c r="AK894" s="40" t="str">
        <f>IF($K894="","",IF(AND($AJ894=0,$O894&lt;$N894),Config!$B$43,0))</f>
        <v/>
      </c>
      <c r="AL894" s="40" t="str">
        <f>IF($K894="","",IF(AND($M894="Elite",$G894&gt;=Config!$B$41,$O894&lt;$N894),Config!$B$42,0))</f>
        <v/>
      </c>
      <c r="AM894" s="22"/>
    </row>
    <row r="895" ht="15.75" customHeight="1">
      <c r="A895" s="40" t="str">
        <f t="shared" si="1"/>
        <v/>
      </c>
      <c r="B895" s="40" t="str">
        <f>IF(Bids!$A894="","",Bids!$A894)</f>
        <v/>
      </c>
      <c r="C895" s="40" t="str">
        <f>IF(Bids!$B894="","",Bids!$B894)</f>
        <v/>
      </c>
      <c r="D895" s="40" t="str">
        <f>IF($C895="","",IFERROR(VLOOKUP($C895,Orders!$A$4:$J$998,9,FALSE),""))</f>
        <v/>
      </c>
      <c r="E895" s="40" t="str">
        <f>IF($C895="","",IFERROR(VLOOKUP($C895,Orders!$A$4:$J$998,3,FALSE),""))</f>
        <v/>
      </c>
      <c r="F895" s="40">
        <f t="shared" si="2"/>
        <v>1</v>
      </c>
      <c r="G895" s="40" t="str">
        <f>IF($C895="","",IFERROR(VLOOKUP($C895,Orders!$A$4:$J$998,4,FALSE),""))</f>
        <v/>
      </c>
      <c r="H895" s="40" t="str">
        <f>IF($C895="","",IFERROR(VLOOKUP($C895,Orders!$A$4:$J$998,5,FALSE),""))</f>
        <v/>
      </c>
      <c r="I895" s="40" t="str">
        <f>IF($C895="","",IFERROR(VLOOKUP($C895,Orders!$A$4:$J$998,6,FALSE),""))</f>
        <v/>
      </c>
      <c r="J895" s="40" t="str">
        <f>IF($C895="","",IFERROR(VLOOKUP($C895,Orders!$A$4:$J$998,7,FALSE),""))</f>
        <v/>
      </c>
      <c r="K895" s="40" t="str">
        <f>IF(Bids!$C894="","",Bids!$C894)</f>
        <v/>
      </c>
      <c r="L895" s="40" t="str">
        <f>IF($K895="","",IFERROR(VLOOKUP($K895,Grinders!$A$4:$N$998,2,FALSE),""))</f>
        <v/>
      </c>
      <c r="M895" s="40" t="str">
        <f>IF($K895="","",IFERROR(VLOOKUP($K895,Grinders!$A$4:$N$998,3,FALSE),""))</f>
        <v/>
      </c>
      <c r="N895" s="40" t="str">
        <f>IF($K895="","",IFERROR(VLOOKUP($K895,Grinders!$A$4:$N$998,4,FALSE),""))</f>
        <v/>
      </c>
      <c r="O895" s="40" t="str">
        <f>IF($K895="","",IFERROR(VLOOKUP($K895,Grinders!$A$4:$N$998,5,FALSE),""))</f>
        <v/>
      </c>
      <c r="P895" s="40" t="str">
        <f>IF($K895="","",IF($C$4="",0,COUNTIFS(Assignments!$B$6:$B$1000,$K895,Assignments!$F$6:$F$1000,$C$4,Assignments!$E$6:$E$1000,"Active")))</f>
        <v/>
      </c>
      <c r="Q895" s="40" t="str">
        <f t="shared" si="3"/>
        <v/>
      </c>
      <c r="R895" s="40" t="str">
        <f t="shared" si="4"/>
        <v/>
      </c>
      <c r="S895" s="40" t="str">
        <f>IF($K895="","",IF($C$4="",0,COUNTIFS(Assignments!$B$6:$B$1000,$K895,Assignments!$F$6:$F$1000,$C$4,Assignments!$D$6:$D$1000,"&gt;="&amp;Config!$B$3-7,Assignments!$D$6:$D$1000,"&lt;="&amp;Config!$B$3)))</f>
        <v/>
      </c>
      <c r="T895" s="40" t="str">
        <f>IF($K895="","",IFERROR(VLOOKUP($K895,Grinders!$A$4:$N$998,8,FALSE),""))</f>
        <v/>
      </c>
      <c r="U895" s="40" t="str">
        <f>IFERROR(IF($K895="","",IF($M895="Elite",MAX(50,MIN(100,Config!$B$27*MAX(0,MIN(100,(1-IF($R895="",0,$R895))*100)) + Config!$B$28*MAX(0,MIN(100,(1-MIN(1,IF(Config!$B$30=0,1,$S895/Config!$B$30)))*100)) + Config!$B$29*MAX(0,MIN(100,MIN(1,IF($T895="",0,$T895)/Config!$B$23)*100)))),MIN(100,Config!$B$27*MAX(0,MIN(100,(1-IF($R895="",0,$R895))*100)) + Config!$B$28*MAX(0,MIN(100,(1-MIN(1,IF(Config!$B$30=0,1,$S895/Config!$B$30)))*100)) + Config!$B$29*MAX(0,MIN(100,MIN(1,IF($T895="",0,$T895)/Config!$B$23)*100))))),"")
</f>
        <v/>
      </c>
      <c r="V895" s="40" t="str">
        <f>IF(Bids!$D894="","",Bids!$D894)</f>
        <v/>
      </c>
      <c r="W895" s="40" t="str">
        <f>IF(Bids!$F894="","",Bids!$F894)</f>
        <v/>
      </c>
      <c r="X895" s="40" t="str">
        <f t="shared" si="5"/>
        <v/>
      </c>
      <c r="Y895" s="40" t="str">
        <f>IF($X895="","",IF(Config!$B$17=Config!$B$16,IF($X895&gt;=Config!$B$17,100,0),MAX(0,MIN(100,($X895-Config!$B$16)/(Config!$B$17-Config!$B$16)*100))))</f>
        <v/>
      </c>
      <c r="Z895" s="40">
        <f>IF($M895="Elite",Config!$B$21,0)</f>
        <v>0</v>
      </c>
      <c r="AA895" s="40" t="str">
        <f>IFERROR(IF(OR($W895="",$H895=""),"",IF($W895&gt;$H895,
  MAX(0, 60-(($W895-$H895)*24/Config!$B$19)*60),
  MIN(100, 60+(($H895-$W895)*24/Config!$B$20)*40)
)),"")
</f>
        <v/>
      </c>
      <c r="AB895" s="40" t="str">
        <f>IF($K895="","",IFERROR(VLOOKUP($K895,Grinders!$A$4:$N$998,10,FALSE)/5*100,""))</f>
        <v/>
      </c>
      <c r="AC895" s="40" t="str">
        <f>IF($K895="","",IFERROR(VLOOKUP($K895,Grinders!$A$4:$N$998,11,FALSE)*100,""))</f>
        <v/>
      </c>
      <c r="AD895" s="40" t="str">
        <f>IF($K895="","",IFERROR(VLOOKUP($K895,Grinders!$A$4:$N$998,12,FALSE)*100,""))</f>
        <v/>
      </c>
      <c r="AE895" s="40">
        <f>IFERROR(IFS(
    OR($C895="", $K895=""), 0,
    $F895=0, 0,
    $D895&lt;&gt;"Open", 0,
    COUNTIFS(GrinderServices!$B$4:$B$998, $K895, GrinderServices!$C$4:$C$998, $E895, GrinderServices!$E$4:$E$998, "Y")=0, 0,
    $X895&lt;Config!$B$16, 0,
    Config!$B$18=1, IF($O895&gt;=N895, 0, 1),
    TRUE, 1
), "")
</f>
        <v>0</v>
      </c>
      <c r="AF895" s="40" t="str">
        <f>IFERROR(IF($AE895=0,"",((Config!$B$6*$Y895 + Config!$B$7*$U895 + Config!$B$8*$Z895 + Config!$B$9*$AA895 + Config!$B$10*$AB895 + Config!$B$11*$AC895 - Config!$B$12*$AD895)/Config!$B$13)+$AK895+$AL895),"")</f>
        <v/>
      </c>
      <c r="AG895" s="40" t="str">
        <f t="shared" si="6"/>
        <v/>
      </c>
      <c r="AH895" s="40" t="str">
        <f t="shared" si="7"/>
        <v/>
      </c>
      <c r="AI895" s="40" t="str">
        <f t="shared" si="8"/>
        <v/>
      </c>
      <c r="AJ895" s="40" t="str">
        <f>IF($K895="","",COUNTIF(Assignments!$B$6:$B$1000,$K895))</f>
        <v/>
      </c>
      <c r="AK895" s="40" t="str">
        <f>IF($K895="","",IF(AND($AJ895=0,$O895&lt;$N895),Config!$B$43,0))</f>
        <v/>
      </c>
      <c r="AL895" s="40" t="str">
        <f>IF($K895="","",IF(AND($M895="Elite",$G895&gt;=Config!$B$41,$O895&lt;$N895),Config!$B$42,0))</f>
        <v/>
      </c>
      <c r="AM895" s="22"/>
    </row>
    <row r="896" ht="15.75" customHeight="1">
      <c r="A896" s="40" t="str">
        <f t="shared" si="1"/>
        <v/>
      </c>
      <c r="B896" s="40" t="str">
        <f>IF(Bids!$A895="","",Bids!$A895)</f>
        <v/>
      </c>
      <c r="C896" s="40" t="str">
        <f>IF(Bids!$B895="","",Bids!$B895)</f>
        <v/>
      </c>
      <c r="D896" s="40" t="str">
        <f>IF($C896="","",IFERROR(VLOOKUP($C896,Orders!$A$4:$J$998,9,FALSE),""))</f>
        <v/>
      </c>
      <c r="E896" s="40" t="str">
        <f>IF($C896="","",IFERROR(VLOOKUP($C896,Orders!$A$4:$J$998,3,FALSE),""))</f>
        <v/>
      </c>
      <c r="F896" s="40">
        <f t="shared" si="2"/>
        <v>1</v>
      </c>
      <c r="G896" s="40" t="str">
        <f>IF($C896="","",IFERROR(VLOOKUP($C896,Orders!$A$4:$J$998,4,FALSE),""))</f>
        <v/>
      </c>
      <c r="H896" s="40" t="str">
        <f>IF($C896="","",IFERROR(VLOOKUP($C896,Orders!$A$4:$J$998,5,FALSE),""))</f>
        <v/>
      </c>
      <c r="I896" s="40" t="str">
        <f>IF($C896="","",IFERROR(VLOOKUP($C896,Orders!$A$4:$J$998,6,FALSE),""))</f>
        <v/>
      </c>
      <c r="J896" s="40" t="str">
        <f>IF($C896="","",IFERROR(VLOOKUP($C896,Orders!$A$4:$J$998,7,FALSE),""))</f>
        <v/>
      </c>
      <c r="K896" s="40" t="str">
        <f>IF(Bids!$C895="","",Bids!$C895)</f>
        <v/>
      </c>
      <c r="L896" s="40" t="str">
        <f>IF($K896="","",IFERROR(VLOOKUP($K896,Grinders!$A$4:$N$998,2,FALSE),""))</f>
        <v/>
      </c>
      <c r="M896" s="40" t="str">
        <f>IF($K896="","",IFERROR(VLOOKUP($K896,Grinders!$A$4:$N$998,3,FALSE),""))</f>
        <v/>
      </c>
      <c r="N896" s="40" t="str">
        <f>IF($K896="","",IFERROR(VLOOKUP($K896,Grinders!$A$4:$N$998,4,FALSE),""))</f>
        <v/>
      </c>
      <c r="O896" s="40" t="str">
        <f>IF($K896="","",IFERROR(VLOOKUP($K896,Grinders!$A$4:$N$998,5,FALSE),""))</f>
        <v/>
      </c>
      <c r="P896" s="40" t="str">
        <f>IF($K896="","",IF($C$4="",0,COUNTIFS(Assignments!$B$6:$B$1000,$K896,Assignments!$F$6:$F$1000,$C$4,Assignments!$E$6:$E$1000,"Active")))</f>
        <v/>
      </c>
      <c r="Q896" s="40" t="str">
        <f t="shared" si="3"/>
        <v/>
      </c>
      <c r="R896" s="40" t="str">
        <f t="shared" si="4"/>
        <v/>
      </c>
      <c r="S896" s="40" t="str">
        <f>IF($K896="","",IF($C$4="",0,COUNTIFS(Assignments!$B$6:$B$1000,$K896,Assignments!$F$6:$F$1000,$C$4,Assignments!$D$6:$D$1000,"&gt;="&amp;Config!$B$3-7,Assignments!$D$6:$D$1000,"&lt;="&amp;Config!$B$3)))</f>
        <v/>
      </c>
      <c r="T896" s="40" t="str">
        <f>IF($K896="","",IFERROR(VLOOKUP($K896,Grinders!$A$4:$N$998,8,FALSE),""))</f>
        <v/>
      </c>
      <c r="U896" s="40" t="str">
        <f>IFERROR(IF($K896="","",IF($M896="Elite",MAX(50,MIN(100,Config!$B$27*MAX(0,MIN(100,(1-IF($R896="",0,$R896))*100)) + Config!$B$28*MAX(0,MIN(100,(1-MIN(1,IF(Config!$B$30=0,1,$S896/Config!$B$30)))*100)) + Config!$B$29*MAX(0,MIN(100,MIN(1,IF($T896="",0,$T896)/Config!$B$23)*100)))),MIN(100,Config!$B$27*MAX(0,MIN(100,(1-IF($R896="",0,$R896))*100)) + Config!$B$28*MAX(0,MIN(100,(1-MIN(1,IF(Config!$B$30=0,1,$S896/Config!$B$30)))*100)) + Config!$B$29*MAX(0,MIN(100,MIN(1,IF($T896="",0,$T896)/Config!$B$23)*100))))),"")
</f>
        <v/>
      </c>
      <c r="V896" s="40" t="str">
        <f>IF(Bids!$D895="","",Bids!$D895)</f>
        <v/>
      </c>
      <c r="W896" s="40" t="str">
        <f>IF(Bids!$F895="","",Bids!$F895)</f>
        <v/>
      </c>
      <c r="X896" s="40" t="str">
        <f t="shared" si="5"/>
        <v/>
      </c>
      <c r="Y896" s="40" t="str">
        <f>IF($X896="","",IF(Config!$B$17=Config!$B$16,IF($X896&gt;=Config!$B$17,100,0),MAX(0,MIN(100,($X896-Config!$B$16)/(Config!$B$17-Config!$B$16)*100))))</f>
        <v/>
      </c>
      <c r="Z896" s="40">
        <f>IF($M896="Elite",Config!$B$21,0)</f>
        <v>0</v>
      </c>
      <c r="AA896" s="40" t="str">
        <f>IFERROR(IF(OR($W896="",$H896=""),"",IF($W896&gt;$H896,
  MAX(0, 60-(($W896-$H896)*24/Config!$B$19)*60),
  MIN(100, 60+(($H896-$W896)*24/Config!$B$20)*40)
)),"")
</f>
        <v/>
      </c>
      <c r="AB896" s="40" t="str">
        <f>IF($K896="","",IFERROR(VLOOKUP($K896,Grinders!$A$4:$N$998,10,FALSE)/5*100,""))</f>
        <v/>
      </c>
      <c r="AC896" s="40" t="str">
        <f>IF($K896="","",IFERROR(VLOOKUP($K896,Grinders!$A$4:$N$998,11,FALSE)*100,""))</f>
        <v/>
      </c>
      <c r="AD896" s="40" t="str">
        <f>IF($K896="","",IFERROR(VLOOKUP($K896,Grinders!$A$4:$N$998,12,FALSE)*100,""))</f>
        <v/>
      </c>
      <c r="AE896" s="40">
        <f>IFERROR(IFS(
    OR($C896="", $K896=""), 0,
    $F896=0, 0,
    $D896&lt;&gt;"Open", 0,
    COUNTIFS(GrinderServices!$B$4:$B$998, $K896, GrinderServices!$C$4:$C$998, $E896, GrinderServices!$E$4:$E$998, "Y")=0, 0,
    $X896&lt;Config!$B$16, 0,
    Config!$B$18=1, IF($O896&gt;=N896, 0, 1),
    TRUE, 1
), "")
</f>
        <v>0</v>
      </c>
      <c r="AF896" s="40" t="str">
        <f>IFERROR(IF($AE896=0,"",((Config!$B$6*$Y896 + Config!$B$7*$U896 + Config!$B$8*$Z896 + Config!$B$9*$AA896 + Config!$B$10*$AB896 + Config!$B$11*$AC896 - Config!$B$12*$AD896)/Config!$B$13)+$AK896+$AL896),"")</f>
        <v/>
      </c>
      <c r="AG896" s="40" t="str">
        <f t="shared" si="6"/>
        <v/>
      </c>
      <c r="AH896" s="40" t="str">
        <f t="shared" si="7"/>
        <v/>
      </c>
      <c r="AI896" s="40" t="str">
        <f t="shared" si="8"/>
        <v/>
      </c>
      <c r="AJ896" s="40" t="str">
        <f>IF($K896="","",COUNTIF(Assignments!$B$6:$B$1000,$K896))</f>
        <v/>
      </c>
      <c r="AK896" s="40" t="str">
        <f>IF($K896="","",IF(AND($AJ896=0,$O896&lt;$N896),Config!$B$43,0))</f>
        <v/>
      </c>
      <c r="AL896" s="40" t="str">
        <f>IF($K896="","",IF(AND($M896="Elite",$G896&gt;=Config!$B$41,$O896&lt;$N896),Config!$B$42,0))</f>
        <v/>
      </c>
      <c r="AM896" s="22"/>
    </row>
    <row r="897" ht="15.75" customHeight="1">
      <c r="A897" s="40" t="str">
        <f t="shared" si="1"/>
        <v/>
      </c>
      <c r="B897" s="40" t="str">
        <f>IF(Bids!$A896="","",Bids!$A896)</f>
        <v/>
      </c>
      <c r="C897" s="40" t="str">
        <f>IF(Bids!$B896="","",Bids!$B896)</f>
        <v/>
      </c>
      <c r="D897" s="40" t="str">
        <f>IF($C897="","",IFERROR(VLOOKUP($C897,Orders!$A$4:$J$998,9,FALSE),""))</f>
        <v/>
      </c>
      <c r="E897" s="40" t="str">
        <f>IF($C897="","",IFERROR(VLOOKUP($C897,Orders!$A$4:$J$998,3,FALSE),""))</f>
        <v/>
      </c>
      <c r="F897" s="40">
        <f t="shared" si="2"/>
        <v>1</v>
      </c>
      <c r="G897" s="40" t="str">
        <f>IF($C897="","",IFERROR(VLOOKUP($C897,Orders!$A$4:$J$998,4,FALSE),""))</f>
        <v/>
      </c>
      <c r="H897" s="40" t="str">
        <f>IF($C897="","",IFERROR(VLOOKUP($C897,Orders!$A$4:$J$998,5,FALSE),""))</f>
        <v/>
      </c>
      <c r="I897" s="40" t="str">
        <f>IF($C897="","",IFERROR(VLOOKUP($C897,Orders!$A$4:$J$998,6,FALSE),""))</f>
        <v/>
      </c>
      <c r="J897" s="40" t="str">
        <f>IF($C897="","",IFERROR(VLOOKUP($C897,Orders!$A$4:$J$998,7,FALSE),""))</f>
        <v/>
      </c>
      <c r="K897" s="40" t="str">
        <f>IF(Bids!$C896="","",Bids!$C896)</f>
        <v/>
      </c>
      <c r="L897" s="40" t="str">
        <f>IF($K897="","",IFERROR(VLOOKUP($K897,Grinders!$A$4:$N$998,2,FALSE),""))</f>
        <v/>
      </c>
      <c r="M897" s="40" t="str">
        <f>IF($K897="","",IFERROR(VLOOKUP($K897,Grinders!$A$4:$N$998,3,FALSE),""))</f>
        <v/>
      </c>
      <c r="N897" s="40" t="str">
        <f>IF($K897="","",IFERROR(VLOOKUP($K897,Grinders!$A$4:$N$998,4,FALSE),""))</f>
        <v/>
      </c>
      <c r="O897" s="40" t="str">
        <f>IF($K897="","",IFERROR(VLOOKUP($K897,Grinders!$A$4:$N$998,5,FALSE),""))</f>
        <v/>
      </c>
      <c r="P897" s="40" t="str">
        <f>IF($K897="","",IF($C$4="",0,COUNTIFS(Assignments!$B$6:$B$1000,$K897,Assignments!$F$6:$F$1000,$C$4,Assignments!$E$6:$E$1000,"Active")))</f>
        <v/>
      </c>
      <c r="Q897" s="40" t="str">
        <f t="shared" si="3"/>
        <v/>
      </c>
      <c r="R897" s="40" t="str">
        <f t="shared" si="4"/>
        <v/>
      </c>
      <c r="S897" s="40" t="str">
        <f>IF($K897="","",IF($C$4="",0,COUNTIFS(Assignments!$B$6:$B$1000,$K897,Assignments!$F$6:$F$1000,$C$4,Assignments!$D$6:$D$1000,"&gt;="&amp;Config!$B$3-7,Assignments!$D$6:$D$1000,"&lt;="&amp;Config!$B$3)))</f>
        <v/>
      </c>
      <c r="T897" s="40" t="str">
        <f>IF($K897="","",IFERROR(VLOOKUP($K897,Grinders!$A$4:$N$998,8,FALSE),""))</f>
        <v/>
      </c>
      <c r="U897" s="40" t="str">
        <f>IFERROR(IF($K897="","",IF($M897="Elite",MAX(50,MIN(100,Config!$B$27*MAX(0,MIN(100,(1-IF($R897="",0,$R897))*100)) + Config!$B$28*MAX(0,MIN(100,(1-MIN(1,IF(Config!$B$30=0,1,$S897/Config!$B$30)))*100)) + Config!$B$29*MAX(0,MIN(100,MIN(1,IF($T897="",0,$T897)/Config!$B$23)*100)))),MIN(100,Config!$B$27*MAX(0,MIN(100,(1-IF($R897="",0,$R897))*100)) + Config!$B$28*MAX(0,MIN(100,(1-MIN(1,IF(Config!$B$30=0,1,$S897/Config!$B$30)))*100)) + Config!$B$29*MAX(0,MIN(100,MIN(1,IF($T897="",0,$T897)/Config!$B$23)*100))))),"")
</f>
        <v/>
      </c>
      <c r="V897" s="40" t="str">
        <f>IF(Bids!$D896="","",Bids!$D896)</f>
        <v/>
      </c>
      <c r="W897" s="40" t="str">
        <f>IF(Bids!$F896="","",Bids!$F896)</f>
        <v/>
      </c>
      <c r="X897" s="40" t="str">
        <f t="shared" si="5"/>
        <v/>
      </c>
      <c r="Y897" s="40" t="str">
        <f>IF($X897="","",IF(Config!$B$17=Config!$B$16,IF($X897&gt;=Config!$B$17,100,0),MAX(0,MIN(100,($X897-Config!$B$16)/(Config!$B$17-Config!$B$16)*100))))</f>
        <v/>
      </c>
      <c r="Z897" s="40">
        <f>IF($M897="Elite",Config!$B$21,0)</f>
        <v>0</v>
      </c>
      <c r="AA897" s="40" t="str">
        <f>IFERROR(IF(OR($W897="",$H897=""),"",IF($W897&gt;$H897,
  MAX(0, 60-(($W897-$H897)*24/Config!$B$19)*60),
  MIN(100, 60+(($H897-$W897)*24/Config!$B$20)*40)
)),"")
</f>
        <v/>
      </c>
      <c r="AB897" s="40" t="str">
        <f>IF($K897="","",IFERROR(VLOOKUP($K897,Grinders!$A$4:$N$998,10,FALSE)/5*100,""))</f>
        <v/>
      </c>
      <c r="AC897" s="40" t="str">
        <f>IF($K897="","",IFERROR(VLOOKUP($K897,Grinders!$A$4:$N$998,11,FALSE)*100,""))</f>
        <v/>
      </c>
      <c r="AD897" s="40" t="str">
        <f>IF($K897="","",IFERROR(VLOOKUP($K897,Grinders!$A$4:$N$998,12,FALSE)*100,""))</f>
        <v/>
      </c>
      <c r="AE897" s="40">
        <f>IFERROR(IFS(
    OR($C897="", $K897=""), 0,
    $F897=0, 0,
    $D897&lt;&gt;"Open", 0,
    COUNTIFS(GrinderServices!$B$4:$B$998, $K897, GrinderServices!$C$4:$C$998, $E897, GrinderServices!$E$4:$E$998, "Y")=0, 0,
    $X897&lt;Config!$B$16, 0,
    Config!$B$18=1, IF($O897&gt;=N897, 0, 1),
    TRUE, 1
), "")
</f>
        <v>0</v>
      </c>
      <c r="AF897" s="40" t="str">
        <f>IFERROR(IF($AE897=0,"",((Config!$B$6*$Y897 + Config!$B$7*$U897 + Config!$B$8*$Z897 + Config!$B$9*$AA897 + Config!$B$10*$AB897 + Config!$B$11*$AC897 - Config!$B$12*$AD897)/Config!$B$13)+$AK897+$AL897),"")</f>
        <v/>
      </c>
      <c r="AG897" s="40" t="str">
        <f t="shared" si="6"/>
        <v/>
      </c>
      <c r="AH897" s="40" t="str">
        <f t="shared" si="7"/>
        <v/>
      </c>
      <c r="AI897" s="40" t="str">
        <f t="shared" si="8"/>
        <v/>
      </c>
      <c r="AJ897" s="40" t="str">
        <f>IF($K897="","",COUNTIF(Assignments!$B$6:$B$1000,$K897))</f>
        <v/>
      </c>
      <c r="AK897" s="40" t="str">
        <f>IF($K897="","",IF(AND($AJ897=0,$O897&lt;$N897),Config!$B$43,0))</f>
        <v/>
      </c>
      <c r="AL897" s="40" t="str">
        <f>IF($K897="","",IF(AND($M897="Elite",$G897&gt;=Config!$B$41,$O897&lt;$N897),Config!$B$42,0))</f>
        <v/>
      </c>
      <c r="AM897" s="22"/>
    </row>
    <row r="898" ht="15.75" customHeight="1">
      <c r="A898" s="40" t="str">
        <f t="shared" si="1"/>
        <v/>
      </c>
      <c r="B898" s="40" t="str">
        <f>IF(Bids!$A897="","",Bids!$A897)</f>
        <v/>
      </c>
      <c r="C898" s="40" t="str">
        <f>IF(Bids!$B897="","",Bids!$B897)</f>
        <v/>
      </c>
      <c r="D898" s="40" t="str">
        <f>IF($C898="","",IFERROR(VLOOKUP($C898,Orders!$A$4:$J$998,9,FALSE),""))</f>
        <v/>
      </c>
      <c r="E898" s="40" t="str">
        <f>IF($C898="","",IFERROR(VLOOKUP($C898,Orders!$A$4:$J$998,3,FALSE),""))</f>
        <v/>
      </c>
      <c r="F898" s="40">
        <f t="shared" si="2"/>
        <v>1</v>
      </c>
      <c r="G898" s="40" t="str">
        <f>IF($C898="","",IFERROR(VLOOKUP($C898,Orders!$A$4:$J$998,4,FALSE),""))</f>
        <v/>
      </c>
      <c r="H898" s="40" t="str">
        <f>IF($C898="","",IFERROR(VLOOKUP($C898,Orders!$A$4:$J$998,5,FALSE),""))</f>
        <v/>
      </c>
      <c r="I898" s="40" t="str">
        <f>IF($C898="","",IFERROR(VLOOKUP($C898,Orders!$A$4:$J$998,6,FALSE),""))</f>
        <v/>
      </c>
      <c r="J898" s="40" t="str">
        <f>IF($C898="","",IFERROR(VLOOKUP($C898,Orders!$A$4:$J$998,7,FALSE),""))</f>
        <v/>
      </c>
      <c r="K898" s="40" t="str">
        <f>IF(Bids!$C897="","",Bids!$C897)</f>
        <v/>
      </c>
      <c r="L898" s="40" t="str">
        <f>IF($K898="","",IFERROR(VLOOKUP($K898,Grinders!$A$4:$N$998,2,FALSE),""))</f>
        <v/>
      </c>
      <c r="M898" s="40" t="str">
        <f>IF($K898="","",IFERROR(VLOOKUP($K898,Grinders!$A$4:$N$998,3,FALSE),""))</f>
        <v/>
      </c>
      <c r="N898" s="40" t="str">
        <f>IF($K898="","",IFERROR(VLOOKUP($K898,Grinders!$A$4:$N$998,4,FALSE),""))</f>
        <v/>
      </c>
      <c r="O898" s="40" t="str">
        <f>IF($K898="","",IFERROR(VLOOKUP($K898,Grinders!$A$4:$N$998,5,FALSE),""))</f>
        <v/>
      </c>
      <c r="P898" s="40" t="str">
        <f>IF($K898="","",IF($C$4="",0,COUNTIFS(Assignments!$B$6:$B$1000,$K898,Assignments!$F$6:$F$1000,$C$4,Assignments!$E$6:$E$1000,"Active")))</f>
        <v/>
      </c>
      <c r="Q898" s="40" t="str">
        <f t="shared" si="3"/>
        <v/>
      </c>
      <c r="R898" s="40" t="str">
        <f t="shared" si="4"/>
        <v/>
      </c>
      <c r="S898" s="40" t="str">
        <f>IF($K898="","",IF($C$4="",0,COUNTIFS(Assignments!$B$6:$B$1000,$K898,Assignments!$F$6:$F$1000,$C$4,Assignments!$D$6:$D$1000,"&gt;="&amp;Config!$B$3-7,Assignments!$D$6:$D$1000,"&lt;="&amp;Config!$B$3)))</f>
        <v/>
      </c>
      <c r="T898" s="40" t="str">
        <f>IF($K898="","",IFERROR(VLOOKUP($K898,Grinders!$A$4:$N$998,8,FALSE),""))</f>
        <v/>
      </c>
      <c r="U898" s="40" t="str">
        <f>IFERROR(IF($K898="","",IF($M898="Elite",MAX(50,MIN(100,Config!$B$27*MAX(0,MIN(100,(1-IF($R898="",0,$R898))*100)) + Config!$B$28*MAX(0,MIN(100,(1-MIN(1,IF(Config!$B$30=0,1,$S898/Config!$B$30)))*100)) + Config!$B$29*MAX(0,MIN(100,MIN(1,IF($T898="",0,$T898)/Config!$B$23)*100)))),MIN(100,Config!$B$27*MAX(0,MIN(100,(1-IF($R898="",0,$R898))*100)) + Config!$B$28*MAX(0,MIN(100,(1-MIN(1,IF(Config!$B$30=0,1,$S898/Config!$B$30)))*100)) + Config!$B$29*MAX(0,MIN(100,MIN(1,IF($T898="",0,$T898)/Config!$B$23)*100))))),"")
</f>
        <v/>
      </c>
      <c r="V898" s="40" t="str">
        <f>IF(Bids!$D897="","",Bids!$D897)</f>
        <v/>
      </c>
      <c r="W898" s="40" t="str">
        <f>IF(Bids!$F897="","",Bids!$F897)</f>
        <v/>
      </c>
      <c r="X898" s="40" t="str">
        <f t="shared" si="5"/>
        <v/>
      </c>
      <c r="Y898" s="40" t="str">
        <f>IF($X898="","",IF(Config!$B$17=Config!$B$16,IF($X898&gt;=Config!$B$17,100,0),MAX(0,MIN(100,($X898-Config!$B$16)/(Config!$B$17-Config!$B$16)*100))))</f>
        <v/>
      </c>
      <c r="Z898" s="40">
        <f>IF($M898="Elite",Config!$B$21,0)</f>
        <v>0</v>
      </c>
      <c r="AA898" s="40" t="str">
        <f>IFERROR(IF(OR($W898="",$H898=""),"",IF($W898&gt;$H898,
  MAX(0, 60-(($W898-$H898)*24/Config!$B$19)*60),
  MIN(100, 60+(($H898-$W898)*24/Config!$B$20)*40)
)),"")
</f>
        <v/>
      </c>
      <c r="AB898" s="40" t="str">
        <f>IF($K898="","",IFERROR(VLOOKUP($K898,Grinders!$A$4:$N$998,10,FALSE)/5*100,""))</f>
        <v/>
      </c>
      <c r="AC898" s="40" t="str">
        <f>IF($K898="","",IFERROR(VLOOKUP($K898,Grinders!$A$4:$N$998,11,FALSE)*100,""))</f>
        <v/>
      </c>
      <c r="AD898" s="40" t="str">
        <f>IF($K898="","",IFERROR(VLOOKUP($K898,Grinders!$A$4:$N$998,12,FALSE)*100,""))</f>
        <v/>
      </c>
      <c r="AE898" s="40">
        <f>IFERROR(IFS(
    OR($C898="", $K898=""), 0,
    $F898=0, 0,
    $D898&lt;&gt;"Open", 0,
    COUNTIFS(GrinderServices!$B$4:$B$998, $K898, GrinderServices!$C$4:$C$998, $E898, GrinderServices!$E$4:$E$998, "Y")=0, 0,
    $X898&lt;Config!$B$16, 0,
    Config!$B$18=1, IF($O898&gt;=N898, 0, 1),
    TRUE, 1
), "")
</f>
        <v>0</v>
      </c>
      <c r="AF898" s="40" t="str">
        <f>IFERROR(IF($AE898=0,"",((Config!$B$6*$Y898 + Config!$B$7*$U898 + Config!$B$8*$Z898 + Config!$B$9*$AA898 + Config!$B$10*$AB898 + Config!$B$11*$AC898 - Config!$B$12*$AD898)/Config!$B$13)+$AK898+$AL898),"")</f>
        <v/>
      </c>
      <c r="AG898" s="40" t="str">
        <f t="shared" si="6"/>
        <v/>
      </c>
      <c r="AH898" s="40" t="str">
        <f t="shared" si="7"/>
        <v/>
      </c>
      <c r="AI898" s="40" t="str">
        <f t="shared" si="8"/>
        <v/>
      </c>
      <c r="AJ898" s="40" t="str">
        <f>IF($K898="","",COUNTIF(Assignments!$B$6:$B$1000,$K898))</f>
        <v/>
      </c>
      <c r="AK898" s="40" t="str">
        <f>IF($K898="","",IF(AND($AJ898=0,$O898&lt;$N898),Config!$B$43,0))</f>
        <v/>
      </c>
      <c r="AL898" s="40" t="str">
        <f>IF($K898="","",IF(AND($M898="Elite",$G898&gt;=Config!$B$41,$O898&lt;$N898),Config!$B$42,0))</f>
        <v/>
      </c>
      <c r="AM898" s="22"/>
    </row>
    <row r="899" ht="15.75" customHeight="1">
      <c r="A899" s="40" t="str">
        <f t="shared" si="1"/>
        <v/>
      </c>
      <c r="B899" s="40" t="str">
        <f>IF(Bids!$A898="","",Bids!$A898)</f>
        <v/>
      </c>
      <c r="C899" s="40" t="str">
        <f>IF(Bids!$B898="","",Bids!$B898)</f>
        <v/>
      </c>
      <c r="D899" s="40" t="str">
        <f>IF($C899="","",IFERROR(VLOOKUP($C899,Orders!$A$4:$J$998,9,FALSE),""))</f>
        <v/>
      </c>
      <c r="E899" s="40" t="str">
        <f>IF($C899="","",IFERROR(VLOOKUP($C899,Orders!$A$4:$J$998,3,FALSE),""))</f>
        <v/>
      </c>
      <c r="F899" s="40">
        <f t="shared" si="2"/>
        <v>1</v>
      </c>
      <c r="G899" s="40" t="str">
        <f>IF($C899="","",IFERROR(VLOOKUP($C899,Orders!$A$4:$J$998,4,FALSE),""))</f>
        <v/>
      </c>
      <c r="H899" s="40" t="str">
        <f>IF($C899="","",IFERROR(VLOOKUP($C899,Orders!$A$4:$J$998,5,FALSE),""))</f>
        <v/>
      </c>
      <c r="I899" s="40" t="str">
        <f>IF($C899="","",IFERROR(VLOOKUP($C899,Orders!$A$4:$J$998,6,FALSE),""))</f>
        <v/>
      </c>
      <c r="J899" s="40" t="str">
        <f>IF($C899="","",IFERROR(VLOOKUP($C899,Orders!$A$4:$J$998,7,FALSE),""))</f>
        <v/>
      </c>
      <c r="K899" s="40" t="str">
        <f>IF(Bids!$C898="","",Bids!$C898)</f>
        <v/>
      </c>
      <c r="L899" s="40" t="str">
        <f>IF($K899="","",IFERROR(VLOOKUP($K899,Grinders!$A$4:$N$998,2,FALSE),""))</f>
        <v/>
      </c>
      <c r="M899" s="40" t="str">
        <f>IF($K899="","",IFERROR(VLOOKUP($K899,Grinders!$A$4:$N$998,3,FALSE),""))</f>
        <v/>
      </c>
      <c r="N899" s="40" t="str">
        <f>IF($K899="","",IFERROR(VLOOKUP($K899,Grinders!$A$4:$N$998,4,FALSE),""))</f>
        <v/>
      </c>
      <c r="O899" s="40" t="str">
        <f>IF($K899="","",IFERROR(VLOOKUP($K899,Grinders!$A$4:$N$998,5,FALSE),""))</f>
        <v/>
      </c>
      <c r="P899" s="40" t="str">
        <f>IF($K899="","",IF($C$4="",0,COUNTIFS(Assignments!$B$6:$B$1000,$K899,Assignments!$F$6:$F$1000,$C$4,Assignments!$E$6:$E$1000,"Active")))</f>
        <v/>
      </c>
      <c r="Q899" s="40" t="str">
        <f t="shared" si="3"/>
        <v/>
      </c>
      <c r="R899" s="40" t="str">
        <f t="shared" si="4"/>
        <v/>
      </c>
      <c r="S899" s="40" t="str">
        <f>IF($K899="","",IF($C$4="",0,COUNTIFS(Assignments!$B$6:$B$1000,$K899,Assignments!$F$6:$F$1000,$C$4,Assignments!$D$6:$D$1000,"&gt;="&amp;Config!$B$3-7,Assignments!$D$6:$D$1000,"&lt;="&amp;Config!$B$3)))</f>
        <v/>
      </c>
      <c r="T899" s="40" t="str">
        <f>IF($K899="","",IFERROR(VLOOKUP($K899,Grinders!$A$4:$N$998,8,FALSE),""))</f>
        <v/>
      </c>
      <c r="U899" s="40" t="str">
        <f>IFERROR(IF($K899="","",IF($M899="Elite",MAX(50,MIN(100,Config!$B$27*MAX(0,MIN(100,(1-IF($R899="",0,$R899))*100)) + Config!$B$28*MAX(0,MIN(100,(1-MIN(1,IF(Config!$B$30=0,1,$S899/Config!$B$30)))*100)) + Config!$B$29*MAX(0,MIN(100,MIN(1,IF($T899="",0,$T899)/Config!$B$23)*100)))),MIN(100,Config!$B$27*MAX(0,MIN(100,(1-IF($R899="",0,$R899))*100)) + Config!$B$28*MAX(0,MIN(100,(1-MIN(1,IF(Config!$B$30=0,1,$S899/Config!$B$30)))*100)) + Config!$B$29*MAX(0,MIN(100,MIN(1,IF($T899="",0,$T899)/Config!$B$23)*100))))),"")
</f>
        <v/>
      </c>
      <c r="V899" s="40" t="str">
        <f>IF(Bids!$D898="","",Bids!$D898)</f>
        <v/>
      </c>
      <c r="W899" s="40" t="str">
        <f>IF(Bids!$F898="","",Bids!$F898)</f>
        <v/>
      </c>
      <c r="X899" s="40" t="str">
        <f t="shared" si="5"/>
        <v/>
      </c>
      <c r="Y899" s="40" t="str">
        <f>IF($X899="","",IF(Config!$B$17=Config!$B$16,IF($X899&gt;=Config!$B$17,100,0),MAX(0,MIN(100,($X899-Config!$B$16)/(Config!$B$17-Config!$B$16)*100))))</f>
        <v/>
      </c>
      <c r="Z899" s="40">
        <f>IF($M899="Elite",Config!$B$21,0)</f>
        <v>0</v>
      </c>
      <c r="AA899" s="40" t="str">
        <f>IFERROR(IF(OR($W899="",$H899=""),"",IF($W899&gt;$H899,
  MAX(0, 60-(($W899-$H899)*24/Config!$B$19)*60),
  MIN(100, 60+(($H899-$W899)*24/Config!$B$20)*40)
)),"")
</f>
        <v/>
      </c>
      <c r="AB899" s="40" t="str">
        <f>IF($K899="","",IFERROR(VLOOKUP($K899,Grinders!$A$4:$N$998,10,FALSE)/5*100,""))</f>
        <v/>
      </c>
      <c r="AC899" s="40" t="str">
        <f>IF($K899="","",IFERROR(VLOOKUP($K899,Grinders!$A$4:$N$998,11,FALSE)*100,""))</f>
        <v/>
      </c>
      <c r="AD899" s="40" t="str">
        <f>IF($K899="","",IFERROR(VLOOKUP($K899,Grinders!$A$4:$N$998,12,FALSE)*100,""))</f>
        <v/>
      </c>
      <c r="AE899" s="40">
        <f>IFERROR(IFS(
    OR($C899="", $K899=""), 0,
    $F899=0, 0,
    $D899&lt;&gt;"Open", 0,
    COUNTIFS(GrinderServices!$B$4:$B$998, $K899, GrinderServices!$C$4:$C$998, $E899, GrinderServices!$E$4:$E$998, "Y")=0, 0,
    $X899&lt;Config!$B$16, 0,
    Config!$B$18=1, IF($O899&gt;=N899, 0, 1),
    TRUE, 1
), "")
</f>
        <v>0</v>
      </c>
      <c r="AF899" s="40" t="str">
        <f>IFERROR(IF($AE899=0,"",((Config!$B$6*$Y899 + Config!$B$7*$U899 + Config!$B$8*$Z899 + Config!$B$9*$AA899 + Config!$B$10*$AB899 + Config!$B$11*$AC899 - Config!$B$12*$AD899)/Config!$B$13)+$AK899+$AL899),"")</f>
        <v/>
      </c>
      <c r="AG899" s="40" t="str">
        <f t="shared" si="6"/>
        <v/>
      </c>
      <c r="AH899" s="40" t="str">
        <f t="shared" si="7"/>
        <v/>
      </c>
      <c r="AI899" s="40" t="str">
        <f t="shared" si="8"/>
        <v/>
      </c>
      <c r="AJ899" s="40" t="str">
        <f>IF($K899="","",COUNTIF(Assignments!$B$6:$B$1000,$K899))</f>
        <v/>
      </c>
      <c r="AK899" s="40" t="str">
        <f>IF($K899="","",IF(AND($AJ899=0,$O899&lt;$N899),Config!$B$43,0))</f>
        <v/>
      </c>
      <c r="AL899" s="40" t="str">
        <f>IF($K899="","",IF(AND($M899="Elite",$G899&gt;=Config!$B$41,$O899&lt;$N899),Config!$B$42,0))</f>
        <v/>
      </c>
      <c r="AM899" s="22"/>
    </row>
    <row r="900" ht="15.75" customHeight="1">
      <c r="A900" s="40" t="str">
        <f t="shared" si="1"/>
        <v/>
      </c>
      <c r="B900" s="40" t="str">
        <f>IF(Bids!$A899="","",Bids!$A899)</f>
        <v/>
      </c>
      <c r="C900" s="40" t="str">
        <f>IF(Bids!$B899="","",Bids!$B899)</f>
        <v/>
      </c>
      <c r="D900" s="40" t="str">
        <f>IF($C900="","",IFERROR(VLOOKUP($C900,Orders!$A$4:$J$998,9,FALSE),""))</f>
        <v/>
      </c>
      <c r="E900" s="40" t="str">
        <f>IF($C900="","",IFERROR(VLOOKUP($C900,Orders!$A$4:$J$998,3,FALSE),""))</f>
        <v/>
      </c>
      <c r="F900" s="40">
        <f t="shared" si="2"/>
        <v>1</v>
      </c>
      <c r="G900" s="40" t="str">
        <f>IF($C900="","",IFERROR(VLOOKUP($C900,Orders!$A$4:$J$998,4,FALSE),""))</f>
        <v/>
      </c>
      <c r="H900" s="40" t="str">
        <f>IF($C900="","",IFERROR(VLOOKUP($C900,Orders!$A$4:$J$998,5,FALSE),""))</f>
        <v/>
      </c>
      <c r="I900" s="40" t="str">
        <f>IF($C900="","",IFERROR(VLOOKUP($C900,Orders!$A$4:$J$998,6,FALSE),""))</f>
        <v/>
      </c>
      <c r="J900" s="40" t="str">
        <f>IF($C900="","",IFERROR(VLOOKUP($C900,Orders!$A$4:$J$998,7,FALSE),""))</f>
        <v/>
      </c>
      <c r="K900" s="40" t="str">
        <f>IF(Bids!$C899="","",Bids!$C899)</f>
        <v/>
      </c>
      <c r="L900" s="40" t="str">
        <f>IF($K900="","",IFERROR(VLOOKUP($K900,Grinders!$A$4:$N$998,2,FALSE),""))</f>
        <v/>
      </c>
      <c r="M900" s="40" t="str">
        <f>IF($K900="","",IFERROR(VLOOKUP($K900,Grinders!$A$4:$N$998,3,FALSE),""))</f>
        <v/>
      </c>
      <c r="N900" s="40" t="str">
        <f>IF($K900="","",IFERROR(VLOOKUP($K900,Grinders!$A$4:$N$998,4,FALSE),""))</f>
        <v/>
      </c>
      <c r="O900" s="40" t="str">
        <f>IF($K900="","",IFERROR(VLOOKUP($K900,Grinders!$A$4:$N$998,5,FALSE),""))</f>
        <v/>
      </c>
      <c r="P900" s="40" t="str">
        <f>IF($K900="","",IF($C$4="",0,COUNTIFS(Assignments!$B$6:$B$1000,$K900,Assignments!$F$6:$F$1000,$C$4,Assignments!$E$6:$E$1000,"Active")))</f>
        <v/>
      </c>
      <c r="Q900" s="40" t="str">
        <f t="shared" si="3"/>
        <v/>
      </c>
      <c r="R900" s="40" t="str">
        <f t="shared" si="4"/>
        <v/>
      </c>
      <c r="S900" s="40" t="str">
        <f>IF($K900="","",IF($C$4="",0,COUNTIFS(Assignments!$B$6:$B$1000,$K900,Assignments!$F$6:$F$1000,$C$4,Assignments!$D$6:$D$1000,"&gt;="&amp;Config!$B$3-7,Assignments!$D$6:$D$1000,"&lt;="&amp;Config!$B$3)))</f>
        <v/>
      </c>
      <c r="T900" s="40" t="str">
        <f>IF($K900="","",IFERROR(VLOOKUP($K900,Grinders!$A$4:$N$998,8,FALSE),""))</f>
        <v/>
      </c>
      <c r="U900" s="40" t="str">
        <f>IFERROR(IF($K900="","",IF($M900="Elite",MAX(50,MIN(100,Config!$B$27*MAX(0,MIN(100,(1-IF($R900="",0,$R900))*100)) + Config!$B$28*MAX(0,MIN(100,(1-MIN(1,IF(Config!$B$30=0,1,$S900/Config!$B$30)))*100)) + Config!$B$29*MAX(0,MIN(100,MIN(1,IF($T900="",0,$T900)/Config!$B$23)*100)))),MIN(100,Config!$B$27*MAX(0,MIN(100,(1-IF($R900="",0,$R900))*100)) + Config!$B$28*MAX(0,MIN(100,(1-MIN(1,IF(Config!$B$30=0,1,$S900/Config!$B$30)))*100)) + Config!$B$29*MAX(0,MIN(100,MIN(1,IF($T900="",0,$T900)/Config!$B$23)*100))))),"")
</f>
        <v/>
      </c>
      <c r="V900" s="40" t="str">
        <f>IF(Bids!$D899="","",Bids!$D899)</f>
        <v/>
      </c>
      <c r="W900" s="40" t="str">
        <f>IF(Bids!$F899="","",Bids!$F899)</f>
        <v/>
      </c>
      <c r="X900" s="40" t="str">
        <f t="shared" si="5"/>
        <v/>
      </c>
      <c r="Y900" s="40" t="str">
        <f>IF($X900="","",IF(Config!$B$17=Config!$B$16,IF($X900&gt;=Config!$B$17,100,0),MAX(0,MIN(100,($X900-Config!$B$16)/(Config!$B$17-Config!$B$16)*100))))</f>
        <v/>
      </c>
      <c r="Z900" s="40">
        <f>IF($M900="Elite",Config!$B$21,0)</f>
        <v>0</v>
      </c>
      <c r="AA900" s="40" t="str">
        <f>IFERROR(IF(OR($W900="",$H900=""),"",IF($W900&gt;$H900,
  MAX(0, 60-(($W900-$H900)*24/Config!$B$19)*60),
  MIN(100, 60+(($H900-$W900)*24/Config!$B$20)*40)
)),"")
</f>
        <v/>
      </c>
      <c r="AB900" s="40" t="str">
        <f>IF($K900="","",IFERROR(VLOOKUP($K900,Grinders!$A$4:$N$998,10,FALSE)/5*100,""))</f>
        <v/>
      </c>
      <c r="AC900" s="40" t="str">
        <f>IF($K900="","",IFERROR(VLOOKUP($K900,Grinders!$A$4:$N$998,11,FALSE)*100,""))</f>
        <v/>
      </c>
      <c r="AD900" s="40" t="str">
        <f>IF($K900="","",IFERROR(VLOOKUP($K900,Grinders!$A$4:$N$998,12,FALSE)*100,""))</f>
        <v/>
      </c>
      <c r="AE900" s="40">
        <f>IFERROR(IFS(
    OR($C900="", $K900=""), 0,
    $F900=0, 0,
    $D900&lt;&gt;"Open", 0,
    COUNTIFS(GrinderServices!$B$4:$B$998, $K900, GrinderServices!$C$4:$C$998, $E900, GrinderServices!$E$4:$E$998, "Y")=0, 0,
    $X900&lt;Config!$B$16, 0,
    Config!$B$18=1, IF($O900&gt;=N900, 0, 1),
    TRUE, 1
), "")
</f>
        <v>0</v>
      </c>
      <c r="AF900" s="40" t="str">
        <f>IFERROR(IF($AE900=0,"",((Config!$B$6*$Y900 + Config!$B$7*$U900 + Config!$B$8*$Z900 + Config!$B$9*$AA900 + Config!$B$10*$AB900 + Config!$B$11*$AC900 - Config!$B$12*$AD900)/Config!$B$13)+$AK900+$AL900),"")</f>
        <v/>
      </c>
      <c r="AG900" s="40" t="str">
        <f t="shared" si="6"/>
        <v/>
      </c>
      <c r="AH900" s="40" t="str">
        <f t="shared" si="7"/>
        <v/>
      </c>
      <c r="AI900" s="40" t="str">
        <f t="shared" si="8"/>
        <v/>
      </c>
      <c r="AJ900" s="40" t="str">
        <f>IF($K900="","",COUNTIF(Assignments!$B$6:$B$1000,$K900))</f>
        <v/>
      </c>
      <c r="AK900" s="40" t="str">
        <f>IF($K900="","",IF(AND($AJ900=0,$O900&lt;$N900),Config!$B$43,0))</f>
        <v/>
      </c>
      <c r="AL900" s="40" t="str">
        <f>IF($K900="","",IF(AND($M900="Elite",$G900&gt;=Config!$B$41,$O900&lt;$N900),Config!$B$42,0))</f>
        <v/>
      </c>
      <c r="AM900" s="22"/>
    </row>
    <row r="901" ht="15.75" customHeight="1">
      <c r="A901" s="40" t="str">
        <f t="shared" si="1"/>
        <v/>
      </c>
      <c r="B901" s="40" t="str">
        <f>IF(Bids!$A900="","",Bids!$A900)</f>
        <v/>
      </c>
      <c r="C901" s="40" t="str">
        <f>IF(Bids!$B900="","",Bids!$B900)</f>
        <v/>
      </c>
      <c r="D901" s="40" t="str">
        <f>IF($C901="","",IFERROR(VLOOKUP($C901,Orders!$A$4:$J$998,9,FALSE),""))</f>
        <v/>
      </c>
      <c r="E901" s="40" t="str">
        <f>IF($C901="","",IFERROR(VLOOKUP($C901,Orders!$A$4:$J$998,3,FALSE),""))</f>
        <v/>
      </c>
      <c r="F901" s="40">
        <f t="shared" si="2"/>
        <v>1</v>
      </c>
      <c r="G901" s="40" t="str">
        <f>IF($C901="","",IFERROR(VLOOKUP($C901,Orders!$A$4:$J$998,4,FALSE),""))</f>
        <v/>
      </c>
      <c r="H901" s="40" t="str">
        <f>IF($C901="","",IFERROR(VLOOKUP($C901,Orders!$A$4:$J$998,5,FALSE),""))</f>
        <v/>
      </c>
      <c r="I901" s="40" t="str">
        <f>IF($C901="","",IFERROR(VLOOKUP($C901,Orders!$A$4:$J$998,6,FALSE),""))</f>
        <v/>
      </c>
      <c r="J901" s="40" t="str">
        <f>IF($C901="","",IFERROR(VLOOKUP($C901,Orders!$A$4:$J$998,7,FALSE),""))</f>
        <v/>
      </c>
      <c r="K901" s="40" t="str">
        <f>IF(Bids!$C900="","",Bids!$C900)</f>
        <v/>
      </c>
      <c r="L901" s="40" t="str">
        <f>IF($K901="","",IFERROR(VLOOKUP($K901,Grinders!$A$4:$N$998,2,FALSE),""))</f>
        <v/>
      </c>
      <c r="M901" s="40" t="str">
        <f>IF($K901="","",IFERROR(VLOOKUP($K901,Grinders!$A$4:$N$998,3,FALSE),""))</f>
        <v/>
      </c>
      <c r="N901" s="40" t="str">
        <f>IF($K901="","",IFERROR(VLOOKUP($K901,Grinders!$A$4:$N$998,4,FALSE),""))</f>
        <v/>
      </c>
      <c r="O901" s="40" t="str">
        <f>IF($K901="","",IFERROR(VLOOKUP($K901,Grinders!$A$4:$N$998,5,FALSE),""))</f>
        <v/>
      </c>
      <c r="P901" s="40" t="str">
        <f>IF($K901="","",IF($C$4="",0,COUNTIFS(Assignments!$B$6:$B$1000,$K901,Assignments!$F$6:$F$1000,$C$4,Assignments!$E$6:$E$1000,"Active")))</f>
        <v/>
      </c>
      <c r="Q901" s="40" t="str">
        <f t="shared" si="3"/>
        <v/>
      </c>
      <c r="R901" s="40" t="str">
        <f t="shared" si="4"/>
        <v/>
      </c>
      <c r="S901" s="40" t="str">
        <f>IF($K901="","",IF($C$4="",0,COUNTIFS(Assignments!$B$6:$B$1000,$K901,Assignments!$F$6:$F$1000,$C$4,Assignments!$D$6:$D$1000,"&gt;="&amp;Config!$B$3-7,Assignments!$D$6:$D$1000,"&lt;="&amp;Config!$B$3)))</f>
        <v/>
      </c>
      <c r="T901" s="40" t="str">
        <f>IF($K901="","",IFERROR(VLOOKUP($K901,Grinders!$A$4:$N$998,8,FALSE),""))</f>
        <v/>
      </c>
      <c r="U901" s="40" t="str">
        <f>IFERROR(IF($K901="","",IF($M901="Elite",MAX(50,MIN(100,Config!$B$27*MAX(0,MIN(100,(1-IF($R901="",0,$R901))*100)) + Config!$B$28*MAX(0,MIN(100,(1-MIN(1,IF(Config!$B$30=0,1,$S901/Config!$B$30)))*100)) + Config!$B$29*MAX(0,MIN(100,MIN(1,IF($T901="",0,$T901)/Config!$B$23)*100)))),MIN(100,Config!$B$27*MAX(0,MIN(100,(1-IF($R901="",0,$R901))*100)) + Config!$B$28*MAX(0,MIN(100,(1-MIN(1,IF(Config!$B$30=0,1,$S901/Config!$B$30)))*100)) + Config!$B$29*MAX(0,MIN(100,MIN(1,IF($T901="",0,$T901)/Config!$B$23)*100))))),"")
</f>
        <v/>
      </c>
      <c r="V901" s="40" t="str">
        <f>IF(Bids!$D900="","",Bids!$D900)</f>
        <v/>
      </c>
      <c r="W901" s="40" t="str">
        <f>IF(Bids!$F900="","",Bids!$F900)</f>
        <v/>
      </c>
      <c r="X901" s="40" t="str">
        <f t="shared" si="5"/>
        <v/>
      </c>
      <c r="Y901" s="40" t="str">
        <f>IF($X901="","",IF(Config!$B$17=Config!$B$16,IF($X901&gt;=Config!$B$17,100,0),MAX(0,MIN(100,($X901-Config!$B$16)/(Config!$B$17-Config!$B$16)*100))))</f>
        <v/>
      </c>
      <c r="Z901" s="40">
        <f>IF($M901="Elite",Config!$B$21,0)</f>
        <v>0</v>
      </c>
      <c r="AA901" s="40" t="str">
        <f>IFERROR(IF(OR($W901="",$H901=""),"",IF($W901&gt;$H901,
  MAX(0, 60-(($W901-$H901)*24/Config!$B$19)*60),
  MIN(100, 60+(($H901-$W901)*24/Config!$B$20)*40)
)),"")
</f>
        <v/>
      </c>
      <c r="AB901" s="40" t="str">
        <f>IF($K901="","",IFERROR(VLOOKUP($K901,Grinders!$A$4:$N$998,10,FALSE)/5*100,""))</f>
        <v/>
      </c>
      <c r="AC901" s="40" t="str">
        <f>IF($K901="","",IFERROR(VLOOKUP($K901,Grinders!$A$4:$N$998,11,FALSE)*100,""))</f>
        <v/>
      </c>
      <c r="AD901" s="40" t="str">
        <f>IF($K901="","",IFERROR(VLOOKUP($K901,Grinders!$A$4:$N$998,12,FALSE)*100,""))</f>
        <v/>
      </c>
      <c r="AE901" s="40">
        <f>IFERROR(IFS(
    OR($C901="", $K901=""), 0,
    $F901=0, 0,
    $D901&lt;&gt;"Open", 0,
    COUNTIFS(GrinderServices!$B$4:$B$998, $K901, GrinderServices!$C$4:$C$998, $E901, GrinderServices!$E$4:$E$998, "Y")=0, 0,
    $X901&lt;Config!$B$16, 0,
    Config!$B$18=1, IF($O901&gt;=N901, 0, 1),
    TRUE, 1
), "")
</f>
        <v>0</v>
      </c>
      <c r="AF901" s="40" t="str">
        <f>IFERROR(IF($AE901=0,"",((Config!$B$6*$Y901 + Config!$B$7*$U901 + Config!$B$8*$Z901 + Config!$B$9*$AA901 + Config!$B$10*$AB901 + Config!$B$11*$AC901 - Config!$B$12*$AD901)/Config!$B$13)+$AK901+$AL901),"")</f>
        <v/>
      </c>
      <c r="AG901" s="40" t="str">
        <f t="shared" si="6"/>
        <v/>
      </c>
      <c r="AH901" s="40" t="str">
        <f t="shared" si="7"/>
        <v/>
      </c>
      <c r="AI901" s="40" t="str">
        <f t="shared" si="8"/>
        <v/>
      </c>
      <c r="AJ901" s="40" t="str">
        <f>IF($K901="","",COUNTIF(Assignments!$B$6:$B$1000,$K901))</f>
        <v/>
      </c>
      <c r="AK901" s="40" t="str">
        <f>IF($K901="","",IF(AND($AJ901=0,$O901&lt;$N901),Config!$B$43,0))</f>
        <v/>
      </c>
      <c r="AL901" s="40" t="str">
        <f>IF($K901="","",IF(AND($M901="Elite",$G901&gt;=Config!$B$41,$O901&lt;$N901),Config!$B$42,0))</f>
        <v/>
      </c>
      <c r="AM901" s="22"/>
    </row>
    <row r="902" ht="15.75" customHeight="1">
      <c r="A902" s="40" t="str">
        <f t="shared" si="1"/>
        <v/>
      </c>
      <c r="B902" s="40" t="str">
        <f>IF(Bids!$A901="","",Bids!$A901)</f>
        <v/>
      </c>
      <c r="C902" s="40" t="str">
        <f>IF(Bids!$B901="","",Bids!$B901)</f>
        <v/>
      </c>
      <c r="D902" s="40" t="str">
        <f>IF($C902="","",IFERROR(VLOOKUP($C902,Orders!$A$4:$J$998,9,FALSE),""))</f>
        <v/>
      </c>
      <c r="E902" s="40" t="str">
        <f>IF($C902="","",IFERROR(VLOOKUP($C902,Orders!$A$4:$J$998,3,FALSE),""))</f>
        <v/>
      </c>
      <c r="F902" s="40">
        <f t="shared" si="2"/>
        <v>1</v>
      </c>
      <c r="G902" s="40" t="str">
        <f>IF($C902="","",IFERROR(VLOOKUP($C902,Orders!$A$4:$J$998,4,FALSE),""))</f>
        <v/>
      </c>
      <c r="H902" s="40" t="str">
        <f>IF($C902="","",IFERROR(VLOOKUP($C902,Orders!$A$4:$J$998,5,FALSE),""))</f>
        <v/>
      </c>
      <c r="I902" s="40" t="str">
        <f>IF($C902="","",IFERROR(VLOOKUP($C902,Orders!$A$4:$J$998,6,FALSE),""))</f>
        <v/>
      </c>
      <c r="J902" s="40" t="str">
        <f>IF($C902="","",IFERROR(VLOOKUP($C902,Orders!$A$4:$J$998,7,FALSE),""))</f>
        <v/>
      </c>
      <c r="K902" s="40" t="str">
        <f>IF(Bids!$C901="","",Bids!$C901)</f>
        <v/>
      </c>
      <c r="L902" s="40" t="str">
        <f>IF($K902="","",IFERROR(VLOOKUP($K902,Grinders!$A$4:$N$998,2,FALSE),""))</f>
        <v/>
      </c>
      <c r="M902" s="40" t="str">
        <f>IF($K902="","",IFERROR(VLOOKUP($K902,Grinders!$A$4:$N$998,3,FALSE),""))</f>
        <v/>
      </c>
      <c r="N902" s="40" t="str">
        <f>IF($K902="","",IFERROR(VLOOKUP($K902,Grinders!$A$4:$N$998,4,FALSE),""))</f>
        <v/>
      </c>
      <c r="O902" s="40" t="str">
        <f>IF($K902="","",IFERROR(VLOOKUP($K902,Grinders!$A$4:$N$998,5,FALSE),""))</f>
        <v/>
      </c>
      <c r="P902" s="40" t="str">
        <f>IF($K902="","",IF($C$4="",0,COUNTIFS(Assignments!$B$6:$B$1000,$K902,Assignments!$F$6:$F$1000,$C$4,Assignments!$E$6:$E$1000,"Active")))</f>
        <v/>
      </c>
      <c r="Q902" s="40" t="str">
        <f t="shared" si="3"/>
        <v/>
      </c>
      <c r="R902" s="40" t="str">
        <f t="shared" si="4"/>
        <v/>
      </c>
      <c r="S902" s="40" t="str">
        <f>IF($K902="","",IF($C$4="",0,COUNTIFS(Assignments!$B$6:$B$1000,$K902,Assignments!$F$6:$F$1000,$C$4,Assignments!$D$6:$D$1000,"&gt;="&amp;Config!$B$3-7,Assignments!$D$6:$D$1000,"&lt;="&amp;Config!$B$3)))</f>
        <v/>
      </c>
      <c r="T902" s="40" t="str">
        <f>IF($K902="","",IFERROR(VLOOKUP($K902,Grinders!$A$4:$N$998,8,FALSE),""))</f>
        <v/>
      </c>
      <c r="U902" s="40" t="str">
        <f>IFERROR(IF($K902="","",IF($M902="Elite",MAX(50,MIN(100,Config!$B$27*MAX(0,MIN(100,(1-IF($R902="",0,$R902))*100)) + Config!$B$28*MAX(0,MIN(100,(1-MIN(1,IF(Config!$B$30=0,1,$S902/Config!$B$30)))*100)) + Config!$B$29*MAX(0,MIN(100,MIN(1,IF($T902="",0,$T902)/Config!$B$23)*100)))),MIN(100,Config!$B$27*MAX(0,MIN(100,(1-IF($R902="",0,$R902))*100)) + Config!$B$28*MAX(0,MIN(100,(1-MIN(1,IF(Config!$B$30=0,1,$S902/Config!$B$30)))*100)) + Config!$B$29*MAX(0,MIN(100,MIN(1,IF($T902="",0,$T902)/Config!$B$23)*100))))),"")
</f>
        <v/>
      </c>
      <c r="V902" s="40" t="str">
        <f>IF(Bids!$D901="","",Bids!$D901)</f>
        <v/>
      </c>
      <c r="W902" s="40" t="str">
        <f>IF(Bids!$F901="","",Bids!$F901)</f>
        <v/>
      </c>
      <c r="X902" s="40" t="str">
        <f t="shared" si="5"/>
        <v/>
      </c>
      <c r="Y902" s="40" t="str">
        <f>IF($X902="","",IF(Config!$B$17=Config!$B$16,IF($X902&gt;=Config!$B$17,100,0),MAX(0,MIN(100,($X902-Config!$B$16)/(Config!$B$17-Config!$B$16)*100))))</f>
        <v/>
      </c>
      <c r="Z902" s="40">
        <f>IF($M902="Elite",Config!$B$21,0)</f>
        <v>0</v>
      </c>
      <c r="AA902" s="40" t="str">
        <f>IFERROR(IF(OR($W902="",$H902=""),"",IF($W902&gt;$H902,
  MAX(0, 60-(($W902-$H902)*24/Config!$B$19)*60),
  MIN(100, 60+(($H902-$W902)*24/Config!$B$20)*40)
)),"")
</f>
        <v/>
      </c>
      <c r="AB902" s="40" t="str">
        <f>IF($K902="","",IFERROR(VLOOKUP($K902,Grinders!$A$4:$N$998,10,FALSE)/5*100,""))</f>
        <v/>
      </c>
      <c r="AC902" s="40" t="str">
        <f>IF($K902="","",IFERROR(VLOOKUP($K902,Grinders!$A$4:$N$998,11,FALSE)*100,""))</f>
        <v/>
      </c>
      <c r="AD902" s="40" t="str">
        <f>IF($K902="","",IFERROR(VLOOKUP($K902,Grinders!$A$4:$N$998,12,FALSE)*100,""))</f>
        <v/>
      </c>
      <c r="AE902" s="40">
        <f>IFERROR(IFS(
    OR($C902="", $K902=""), 0,
    $F902=0, 0,
    $D902&lt;&gt;"Open", 0,
    COUNTIFS(GrinderServices!$B$4:$B$998, $K902, GrinderServices!$C$4:$C$998, $E902, GrinderServices!$E$4:$E$998, "Y")=0, 0,
    $X902&lt;Config!$B$16, 0,
    Config!$B$18=1, IF($O902&gt;=N902, 0, 1),
    TRUE, 1
), "")
</f>
        <v>0</v>
      </c>
      <c r="AF902" s="40" t="str">
        <f>IFERROR(IF($AE902=0,"",((Config!$B$6*$Y902 + Config!$B$7*$U902 + Config!$B$8*$Z902 + Config!$B$9*$AA902 + Config!$B$10*$AB902 + Config!$B$11*$AC902 - Config!$B$12*$AD902)/Config!$B$13)+$AK902+$AL902),"")</f>
        <v/>
      </c>
      <c r="AG902" s="40" t="str">
        <f t="shared" si="6"/>
        <v/>
      </c>
      <c r="AH902" s="40" t="str">
        <f t="shared" si="7"/>
        <v/>
      </c>
      <c r="AI902" s="40" t="str">
        <f t="shared" si="8"/>
        <v/>
      </c>
      <c r="AJ902" s="40" t="str">
        <f>IF($K902="","",COUNTIF(Assignments!$B$6:$B$1000,$K902))</f>
        <v/>
      </c>
      <c r="AK902" s="40" t="str">
        <f>IF($K902="","",IF(AND($AJ902=0,$O902&lt;$N902),Config!$B$43,0))</f>
        <v/>
      </c>
      <c r="AL902" s="40" t="str">
        <f>IF($K902="","",IF(AND($M902="Elite",$G902&gt;=Config!$B$41,$O902&lt;$N902),Config!$B$42,0))</f>
        <v/>
      </c>
      <c r="AM902" s="22"/>
    </row>
    <row r="903" ht="15.75" customHeight="1">
      <c r="A903" s="40" t="str">
        <f t="shared" si="1"/>
        <v/>
      </c>
      <c r="B903" s="40" t="str">
        <f>IF(Bids!$A902="","",Bids!$A902)</f>
        <v/>
      </c>
      <c r="C903" s="40" t="str">
        <f>IF(Bids!$B902="","",Bids!$B902)</f>
        <v/>
      </c>
      <c r="D903" s="40" t="str">
        <f>IF($C903="","",IFERROR(VLOOKUP($C903,Orders!$A$4:$J$998,9,FALSE),""))</f>
        <v/>
      </c>
      <c r="E903" s="40" t="str">
        <f>IF($C903="","",IFERROR(VLOOKUP($C903,Orders!$A$4:$J$998,3,FALSE),""))</f>
        <v/>
      </c>
      <c r="F903" s="40">
        <f t="shared" si="2"/>
        <v>1</v>
      </c>
      <c r="G903" s="40" t="str">
        <f>IF($C903="","",IFERROR(VLOOKUP($C903,Orders!$A$4:$J$998,4,FALSE),""))</f>
        <v/>
      </c>
      <c r="H903" s="40" t="str">
        <f>IF($C903="","",IFERROR(VLOOKUP($C903,Orders!$A$4:$J$998,5,FALSE),""))</f>
        <v/>
      </c>
      <c r="I903" s="40" t="str">
        <f>IF($C903="","",IFERROR(VLOOKUP($C903,Orders!$A$4:$J$998,6,FALSE),""))</f>
        <v/>
      </c>
      <c r="J903" s="40" t="str">
        <f>IF($C903="","",IFERROR(VLOOKUP($C903,Orders!$A$4:$J$998,7,FALSE),""))</f>
        <v/>
      </c>
      <c r="K903" s="40" t="str">
        <f>IF(Bids!$C902="","",Bids!$C902)</f>
        <v/>
      </c>
      <c r="L903" s="40" t="str">
        <f>IF($K903="","",IFERROR(VLOOKUP($K903,Grinders!$A$4:$N$998,2,FALSE),""))</f>
        <v/>
      </c>
      <c r="M903" s="40" t="str">
        <f>IF($K903="","",IFERROR(VLOOKUP($K903,Grinders!$A$4:$N$998,3,FALSE),""))</f>
        <v/>
      </c>
      <c r="N903" s="40" t="str">
        <f>IF($K903="","",IFERROR(VLOOKUP($K903,Grinders!$A$4:$N$998,4,FALSE),""))</f>
        <v/>
      </c>
      <c r="O903" s="40" t="str">
        <f>IF($K903="","",IFERROR(VLOOKUP($K903,Grinders!$A$4:$N$998,5,FALSE),""))</f>
        <v/>
      </c>
      <c r="P903" s="40" t="str">
        <f>IF($K903="","",IF($C$4="",0,COUNTIFS(Assignments!$B$6:$B$1000,$K903,Assignments!$F$6:$F$1000,$C$4,Assignments!$E$6:$E$1000,"Active")))</f>
        <v/>
      </c>
      <c r="Q903" s="40" t="str">
        <f t="shared" si="3"/>
        <v/>
      </c>
      <c r="R903" s="40" t="str">
        <f t="shared" si="4"/>
        <v/>
      </c>
      <c r="S903" s="40" t="str">
        <f>IF($K903="","",IF($C$4="",0,COUNTIFS(Assignments!$B$6:$B$1000,$K903,Assignments!$F$6:$F$1000,$C$4,Assignments!$D$6:$D$1000,"&gt;="&amp;Config!$B$3-7,Assignments!$D$6:$D$1000,"&lt;="&amp;Config!$B$3)))</f>
        <v/>
      </c>
      <c r="T903" s="40" t="str">
        <f>IF($K903="","",IFERROR(VLOOKUP($K903,Grinders!$A$4:$N$998,8,FALSE),""))</f>
        <v/>
      </c>
      <c r="U903" s="40" t="str">
        <f>IFERROR(IF($K903="","",IF($M903="Elite",MAX(50,MIN(100,Config!$B$27*MAX(0,MIN(100,(1-IF($R903="",0,$R903))*100)) + Config!$B$28*MAX(0,MIN(100,(1-MIN(1,IF(Config!$B$30=0,1,$S903/Config!$B$30)))*100)) + Config!$B$29*MAX(0,MIN(100,MIN(1,IF($T903="",0,$T903)/Config!$B$23)*100)))),MIN(100,Config!$B$27*MAX(0,MIN(100,(1-IF($R903="",0,$R903))*100)) + Config!$B$28*MAX(0,MIN(100,(1-MIN(1,IF(Config!$B$30=0,1,$S903/Config!$B$30)))*100)) + Config!$B$29*MAX(0,MIN(100,MIN(1,IF($T903="",0,$T903)/Config!$B$23)*100))))),"")
</f>
        <v/>
      </c>
      <c r="V903" s="40" t="str">
        <f>IF(Bids!$D902="","",Bids!$D902)</f>
        <v/>
      </c>
      <c r="W903" s="40" t="str">
        <f>IF(Bids!$F902="","",Bids!$F902)</f>
        <v/>
      </c>
      <c r="X903" s="40" t="str">
        <f t="shared" si="5"/>
        <v/>
      </c>
      <c r="Y903" s="40" t="str">
        <f>IF($X903="","",IF(Config!$B$17=Config!$B$16,IF($X903&gt;=Config!$B$17,100,0),MAX(0,MIN(100,($X903-Config!$B$16)/(Config!$B$17-Config!$B$16)*100))))</f>
        <v/>
      </c>
      <c r="Z903" s="40">
        <f>IF($M903="Elite",Config!$B$21,0)</f>
        <v>0</v>
      </c>
      <c r="AA903" s="40" t="str">
        <f>IFERROR(IF(OR($W903="",$H903=""),"",IF($W903&gt;$H903,
  MAX(0, 60-(($W903-$H903)*24/Config!$B$19)*60),
  MIN(100, 60+(($H903-$W903)*24/Config!$B$20)*40)
)),"")
</f>
        <v/>
      </c>
      <c r="AB903" s="40" t="str">
        <f>IF($K903="","",IFERROR(VLOOKUP($K903,Grinders!$A$4:$N$998,10,FALSE)/5*100,""))</f>
        <v/>
      </c>
      <c r="AC903" s="40" t="str">
        <f>IF($K903="","",IFERROR(VLOOKUP($K903,Grinders!$A$4:$N$998,11,FALSE)*100,""))</f>
        <v/>
      </c>
      <c r="AD903" s="40" t="str">
        <f>IF($K903="","",IFERROR(VLOOKUP($K903,Grinders!$A$4:$N$998,12,FALSE)*100,""))</f>
        <v/>
      </c>
      <c r="AE903" s="40">
        <f>IFERROR(IFS(
    OR($C903="", $K903=""), 0,
    $F903=0, 0,
    $D903&lt;&gt;"Open", 0,
    COUNTIFS(GrinderServices!$B$4:$B$998, $K903, GrinderServices!$C$4:$C$998, $E903, GrinderServices!$E$4:$E$998, "Y")=0, 0,
    $X903&lt;Config!$B$16, 0,
    Config!$B$18=1, IF($O903&gt;=N903, 0, 1),
    TRUE, 1
), "")
</f>
        <v>0</v>
      </c>
      <c r="AF903" s="40" t="str">
        <f>IFERROR(IF($AE903=0,"",((Config!$B$6*$Y903 + Config!$B$7*$U903 + Config!$B$8*$Z903 + Config!$B$9*$AA903 + Config!$B$10*$AB903 + Config!$B$11*$AC903 - Config!$B$12*$AD903)/Config!$B$13)+$AK903+$AL903),"")</f>
        <v/>
      </c>
      <c r="AG903" s="40" t="str">
        <f t="shared" si="6"/>
        <v/>
      </c>
      <c r="AH903" s="40" t="str">
        <f t="shared" si="7"/>
        <v/>
      </c>
      <c r="AI903" s="40" t="str">
        <f t="shared" si="8"/>
        <v/>
      </c>
      <c r="AJ903" s="40" t="str">
        <f>IF($K903="","",COUNTIF(Assignments!$B$6:$B$1000,$K903))</f>
        <v/>
      </c>
      <c r="AK903" s="40" t="str">
        <f>IF($K903="","",IF(AND($AJ903=0,$O903&lt;$N903),Config!$B$43,0))</f>
        <v/>
      </c>
      <c r="AL903" s="40" t="str">
        <f>IF($K903="","",IF(AND($M903="Elite",$G903&gt;=Config!$B$41,$O903&lt;$N903),Config!$B$42,0))</f>
        <v/>
      </c>
      <c r="AM903" s="22"/>
    </row>
    <row r="904" ht="15.75" customHeight="1">
      <c r="A904" s="40" t="str">
        <f t="shared" si="1"/>
        <v/>
      </c>
      <c r="B904" s="40" t="str">
        <f>IF(Bids!$A903="","",Bids!$A903)</f>
        <v/>
      </c>
      <c r="C904" s="40" t="str">
        <f>IF(Bids!$B903="","",Bids!$B903)</f>
        <v/>
      </c>
      <c r="D904" s="40" t="str">
        <f>IF($C904="","",IFERROR(VLOOKUP($C904,Orders!$A$4:$J$998,9,FALSE),""))</f>
        <v/>
      </c>
      <c r="E904" s="40" t="str">
        <f>IF($C904="","",IFERROR(VLOOKUP($C904,Orders!$A$4:$J$998,3,FALSE),""))</f>
        <v/>
      </c>
      <c r="F904" s="40">
        <f t="shared" si="2"/>
        <v>1</v>
      </c>
      <c r="G904" s="40" t="str">
        <f>IF($C904="","",IFERROR(VLOOKUP($C904,Orders!$A$4:$J$998,4,FALSE),""))</f>
        <v/>
      </c>
      <c r="H904" s="40" t="str">
        <f>IF($C904="","",IFERROR(VLOOKUP($C904,Orders!$A$4:$J$998,5,FALSE),""))</f>
        <v/>
      </c>
      <c r="I904" s="40" t="str">
        <f>IF($C904="","",IFERROR(VLOOKUP($C904,Orders!$A$4:$J$998,6,FALSE),""))</f>
        <v/>
      </c>
      <c r="J904" s="40" t="str">
        <f>IF($C904="","",IFERROR(VLOOKUP($C904,Orders!$A$4:$J$998,7,FALSE),""))</f>
        <v/>
      </c>
      <c r="K904" s="40" t="str">
        <f>IF(Bids!$C903="","",Bids!$C903)</f>
        <v/>
      </c>
      <c r="L904" s="40" t="str">
        <f>IF($K904="","",IFERROR(VLOOKUP($K904,Grinders!$A$4:$N$998,2,FALSE),""))</f>
        <v/>
      </c>
      <c r="M904" s="40" t="str">
        <f>IF($K904="","",IFERROR(VLOOKUP($K904,Grinders!$A$4:$N$998,3,FALSE),""))</f>
        <v/>
      </c>
      <c r="N904" s="40" t="str">
        <f>IF($K904="","",IFERROR(VLOOKUP($K904,Grinders!$A$4:$N$998,4,FALSE),""))</f>
        <v/>
      </c>
      <c r="O904" s="40" t="str">
        <f>IF($K904="","",IFERROR(VLOOKUP($K904,Grinders!$A$4:$N$998,5,FALSE),""))</f>
        <v/>
      </c>
      <c r="P904" s="40" t="str">
        <f>IF($K904="","",IF($C$4="",0,COUNTIFS(Assignments!$B$6:$B$1000,$K904,Assignments!$F$6:$F$1000,$C$4,Assignments!$E$6:$E$1000,"Active")))</f>
        <v/>
      </c>
      <c r="Q904" s="40" t="str">
        <f t="shared" si="3"/>
        <v/>
      </c>
      <c r="R904" s="40" t="str">
        <f t="shared" si="4"/>
        <v/>
      </c>
      <c r="S904" s="40" t="str">
        <f>IF($K904="","",IF($C$4="",0,COUNTIFS(Assignments!$B$6:$B$1000,$K904,Assignments!$F$6:$F$1000,$C$4,Assignments!$D$6:$D$1000,"&gt;="&amp;Config!$B$3-7,Assignments!$D$6:$D$1000,"&lt;="&amp;Config!$B$3)))</f>
        <v/>
      </c>
      <c r="T904" s="40" t="str">
        <f>IF($K904="","",IFERROR(VLOOKUP($K904,Grinders!$A$4:$N$998,8,FALSE),""))</f>
        <v/>
      </c>
      <c r="U904" s="40" t="str">
        <f>IFERROR(IF($K904="","",IF($M904="Elite",MAX(50,MIN(100,Config!$B$27*MAX(0,MIN(100,(1-IF($R904="",0,$R904))*100)) + Config!$B$28*MAX(0,MIN(100,(1-MIN(1,IF(Config!$B$30=0,1,$S904/Config!$B$30)))*100)) + Config!$B$29*MAX(0,MIN(100,MIN(1,IF($T904="",0,$T904)/Config!$B$23)*100)))),MIN(100,Config!$B$27*MAX(0,MIN(100,(1-IF($R904="",0,$R904))*100)) + Config!$B$28*MAX(0,MIN(100,(1-MIN(1,IF(Config!$B$30=0,1,$S904/Config!$B$30)))*100)) + Config!$B$29*MAX(0,MIN(100,MIN(1,IF($T904="",0,$T904)/Config!$B$23)*100))))),"")
</f>
        <v/>
      </c>
      <c r="V904" s="40" t="str">
        <f>IF(Bids!$D903="","",Bids!$D903)</f>
        <v/>
      </c>
      <c r="W904" s="40" t="str">
        <f>IF(Bids!$F903="","",Bids!$F903)</f>
        <v/>
      </c>
      <c r="X904" s="40" t="str">
        <f t="shared" si="5"/>
        <v/>
      </c>
      <c r="Y904" s="40" t="str">
        <f>IF($X904="","",IF(Config!$B$17=Config!$B$16,IF($X904&gt;=Config!$B$17,100,0),MAX(0,MIN(100,($X904-Config!$B$16)/(Config!$B$17-Config!$B$16)*100))))</f>
        <v/>
      </c>
      <c r="Z904" s="40">
        <f>IF($M904="Elite",Config!$B$21,0)</f>
        <v>0</v>
      </c>
      <c r="AA904" s="40" t="str">
        <f>IFERROR(IF(OR($W904="",$H904=""),"",IF($W904&gt;$H904,
  MAX(0, 60-(($W904-$H904)*24/Config!$B$19)*60),
  MIN(100, 60+(($H904-$W904)*24/Config!$B$20)*40)
)),"")
</f>
        <v/>
      </c>
      <c r="AB904" s="40" t="str">
        <f>IF($K904="","",IFERROR(VLOOKUP($K904,Grinders!$A$4:$N$998,10,FALSE)/5*100,""))</f>
        <v/>
      </c>
      <c r="AC904" s="40" t="str">
        <f>IF($K904="","",IFERROR(VLOOKUP($K904,Grinders!$A$4:$N$998,11,FALSE)*100,""))</f>
        <v/>
      </c>
      <c r="AD904" s="40" t="str">
        <f>IF($K904="","",IFERROR(VLOOKUP($K904,Grinders!$A$4:$N$998,12,FALSE)*100,""))</f>
        <v/>
      </c>
      <c r="AE904" s="40">
        <f>IFERROR(IFS(
    OR($C904="", $K904=""), 0,
    $F904=0, 0,
    $D904&lt;&gt;"Open", 0,
    COUNTIFS(GrinderServices!$B$4:$B$998, $K904, GrinderServices!$C$4:$C$998, $E904, GrinderServices!$E$4:$E$998, "Y")=0, 0,
    $X904&lt;Config!$B$16, 0,
    Config!$B$18=1, IF($O904&gt;=N904, 0, 1),
    TRUE, 1
), "")
</f>
        <v>0</v>
      </c>
      <c r="AF904" s="40" t="str">
        <f>IFERROR(IF($AE904=0,"",((Config!$B$6*$Y904 + Config!$B$7*$U904 + Config!$B$8*$Z904 + Config!$B$9*$AA904 + Config!$B$10*$AB904 + Config!$B$11*$AC904 - Config!$B$12*$AD904)/Config!$B$13)+$AK904+$AL904),"")</f>
        <v/>
      </c>
      <c r="AG904" s="40" t="str">
        <f t="shared" si="6"/>
        <v/>
      </c>
      <c r="AH904" s="40" t="str">
        <f t="shared" si="7"/>
        <v/>
      </c>
      <c r="AI904" s="40" t="str">
        <f t="shared" si="8"/>
        <v/>
      </c>
      <c r="AJ904" s="40" t="str">
        <f>IF($K904="","",COUNTIF(Assignments!$B$6:$B$1000,$K904))</f>
        <v/>
      </c>
      <c r="AK904" s="40" t="str">
        <f>IF($K904="","",IF(AND($AJ904=0,$O904&lt;$N904),Config!$B$43,0))</f>
        <v/>
      </c>
      <c r="AL904" s="40" t="str">
        <f>IF($K904="","",IF(AND($M904="Elite",$G904&gt;=Config!$B$41,$O904&lt;$N904),Config!$B$42,0))</f>
        <v/>
      </c>
      <c r="AM904" s="22"/>
    </row>
    <row r="905" ht="15.75" customHeight="1">
      <c r="A905" s="40" t="str">
        <f t="shared" si="1"/>
        <v/>
      </c>
      <c r="B905" s="40" t="str">
        <f>IF(Bids!$A904="","",Bids!$A904)</f>
        <v/>
      </c>
      <c r="C905" s="40" t="str">
        <f>IF(Bids!$B904="","",Bids!$B904)</f>
        <v/>
      </c>
      <c r="D905" s="40" t="str">
        <f>IF($C905="","",IFERROR(VLOOKUP($C905,Orders!$A$4:$J$998,9,FALSE),""))</f>
        <v/>
      </c>
      <c r="E905" s="40" t="str">
        <f>IF($C905="","",IFERROR(VLOOKUP($C905,Orders!$A$4:$J$998,3,FALSE),""))</f>
        <v/>
      </c>
      <c r="F905" s="40">
        <f t="shared" si="2"/>
        <v>1</v>
      </c>
      <c r="G905" s="40" t="str">
        <f>IF($C905="","",IFERROR(VLOOKUP($C905,Orders!$A$4:$J$998,4,FALSE),""))</f>
        <v/>
      </c>
      <c r="H905" s="40" t="str">
        <f>IF($C905="","",IFERROR(VLOOKUP($C905,Orders!$A$4:$J$998,5,FALSE),""))</f>
        <v/>
      </c>
      <c r="I905" s="40" t="str">
        <f>IF($C905="","",IFERROR(VLOOKUP($C905,Orders!$A$4:$J$998,6,FALSE),""))</f>
        <v/>
      </c>
      <c r="J905" s="40" t="str">
        <f>IF($C905="","",IFERROR(VLOOKUP($C905,Orders!$A$4:$J$998,7,FALSE),""))</f>
        <v/>
      </c>
      <c r="K905" s="40" t="str">
        <f>IF(Bids!$C904="","",Bids!$C904)</f>
        <v/>
      </c>
      <c r="L905" s="40" t="str">
        <f>IF($K905="","",IFERROR(VLOOKUP($K905,Grinders!$A$4:$N$998,2,FALSE),""))</f>
        <v/>
      </c>
      <c r="M905" s="40" t="str">
        <f>IF($K905="","",IFERROR(VLOOKUP($K905,Grinders!$A$4:$N$998,3,FALSE),""))</f>
        <v/>
      </c>
      <c r="N905" s="40" t="str">
        <f>IF($K905="","",IFERROR(VLOOKUP($K905,Grinders!$A$4:$N$998,4,FALSE),""))</f>
        <v/>
      </c>
      <c r="O905" s="40" t="str">
        <f>IF($K905="","",IFERROR(VLOOKUP($K905,Grinders!$A$4:$N$998,5,FALSE),""))</f>
        <v/>
      </c>
      <c r="P905" s="40" t="str">
        <f>IF($K905="","",IF($C$4="",0,COUNTIFS(Assignments!$B$6:$B$1000,$K905,Assignments!$F$6:$F$1000,$C$4,Assignments!$E$6:$E$1000,"Active")))</f>
        <v/>
      </c>
      <c r="Q905" s="40" t="str">
        <f t="shared" si="3"/>
        <v/>
      </c>
      <c r="R905" s="40" t="str">
        <f t="shared" si="4"/>
        <v/>
      </c>
      <c r="S905" s="40" t="str">
        <f>IF($K905="","",IF($C$4="",0,COUNTIFS(Assignments!$B$6:$B$1000,$K905,Assignments!$F$6:$F$1000,$C$4,Assignments!$D$6:$D$1000,"&gt;="&amp;Config!$B$3-7,Assignments!$D$6:$D$1000,"&lt;="&amp;Config!$B$3)))</f>
        <v/>
      </c>
      <c r="T905" s="40" t="str">
        <f>IF($K905="","",IFERROR(VLOOKUP($K905,Grinders!$A$4:$N$998,8,FALSE),""))</f>
        <v/>
      </c>
      <c r="U905" s="40" t="str">
        <f>IFERROR(IF($K905="","",IF($M905="Elite",MAX(50,MIN(100,Config!$B$27*MAX(0,MIN(100,(1-IF($R905="",0,$R905))*100)) + Config!$B$28*MAX(0,MIN(100,(1-MIN(1,IF(Config!$B$30=0,1,$S905/Config!$B$30)))*100)) + Config!$B$29*MAX(0,MIN(100,MIN(1,IF($T905="",0,$T905)/Config!$B$23)*100)))),MIN(100,Config!$B$27*MAX(0,MIN(100,(1-IF($R905="",0,$R905))*100)) + Config!$B$28*MAX(0,MIN(100,(1-MIN(1,IF(Config!$B$30=0,1,$S905/Config!$B$30)))*100)) + Config!$B$29*MAX(0,MIN(100,MIN(1,IF($T905="",0,$T905)/Config!$B$23)*100))))),"")
</f>
        <v/>
      </c>
      <c r="V905" s="40" t="str">
        <f>IF(Bids!$D904="","",Bids!$D904)</f>
        <v/>
      </c>
      <c r="W905" s="40" t="str">
        <f>IF(Bids!$F904="","",Bids!$F904)</f>
        <v/>
      </c>
      <c r="X905" s="40" t="str">
        <f t="shared" si="5"/>
        <v/>
      </c>
      <c r="Y905" s="40" t="str">
        <f>IF($X905="","",IF(Config!$B$17=Config!$B$16,IF($X905&gt;=Config!$B$17,100,0),MAX(0,MIN(100,($X905-Config!$B$16)/(Config!$B$17-Config!$B$16)*100))))</f>
        <v/>
      </c>
      <c r="Z905" s="40">
        <f>IF($M905="Elite",Config!$B$21,0)</f>
        <v>0</v>
      </c>
      <c r="AA905" s="40" t="str">
        <f>IFERROR(IF(OR($W905="",$H905=""),"",IF($W905&gt;$H905,
  MAX(0, 60-(($W905-$H905)*24/Config!$B$19)*60),
  MIN(100, 60+(($H905-$W905)*24/Config!$B$20)*40)
)),"")
</f>
        <v/>
      </c>
      <c r="AB905" s="40" t="str">
        <f>IF($K905="","",IFERROR(VLOOKUP($K905,Grinders!$A$4:$N$998,10,FALSE)/5*100,""))</f>
        <v/>
      </c>
      <c r="AC905" s="40" t="str">
        <f>IF($K905="","",IFERROR(VLOOKUP($K905,Grinders!$A$4:$N$998,11,FALSE)*100,""))</f>
        <v/>
      </c>
      <c r="AD905" s="40" t="str">
        <f>IF($K905="","",IFERROR(VLOOKUP($K905,Grinders!$A$4:$N$998,12,FALSE)*100,""))</f>
        <v/>
      </c>
      <c r="AE905" s="40">
        <f>IFERROR(IFS(
    OR($C905="", $K905=""), 0,
    $F905=0, 0,
    $D905&lt;&gt;"Open", 0,
    COUNTIFS(GrinderServices!$B$4:$B$998, $K905, GrinderServices!$C$4:$C$998, $E905, GrinderServices!$E$4:$E$998, "Y")=0, 0,
    $X905&lt;Config!$B$16, 0,
    Config!$B$18=1, IF($O905&gt;=N905, 0, 1),
    TRUE, 1
), "")
</f>
        <v>0</v>
      </c>
      <c r="AF905" s="40" t="str">
        <f>IFERROR(IF($AE905=0,"",((Config!$B$6*$Y905 + Config!$B$7*$U905 + Config!$B$8*$Z905 + Config!$B$9*$AA905 + Config!$B$10*$AB905 + Config!$B$11*$AC905 - Config!$B$12*$AD905)/Config!$B$13)+$AK905+$AL905),"")</f>
        <v/>
      </c>
      <c r="AG905" s="40" t="str">
        <f t="shared" si="6"/>
        <v/>
      </c>
      <c r="AH905" s="40" t="str">
        <f t="shared" si="7"/>
        <v/>
      </c>
      <c r="AI905" s="40" t="str">
        <f t="shared" si="8"/>
        <v/>
      </c>
      <c r="AJ905" s="40" t="str">
        <f>IF($K905="","",COUNTIF(Assignments!$B$6:$B$1000,$K905))</f>
        <v/>
      </c>
      <c r="AK905" s="40" t="str">
        <f>IF($K905="","",IF(AND($AJ905=0,$O905&lt;$N905),Config!$B$43,0))</f>
        <v/>
      </c>
      <c r="AL905" s="40" t="str">
        <f>IF($K905="","",IF(AND($M905="Elite",$G905&gt;=Config!$B$41,$O905&lt;$N905),Config!$B$42,0))</f>
        <v/>
      </c>
      <c r="AM905" s="22"/>
    </row>
    <row r="906" ht="15.75" customHeight="1">
      <c r="A906" s="40" t="str">
        <f t="shared" si="1"/>
        <v/>
      </c>
      <c r="B906" s="40" t="str">
        <f>IF(Bids!$A905="","",Bids!$A905)</f>
        <v/>
      </c>
      <c r="C906" s="40" t="str">
        <f>IF(Bids!$B905="","",Bids!$B905)</f>
        <v/>
      </c>
      <c r="D906" s="40" t="str">
        <f>IF($C906="","",IFERROR(VLOOKUP($C906,Orders!$A$4:$J$998,9,FALSE),""))</f>
        <v/>
      </c>
      <c r="E906" s="40" t="str">
        <f>IF($C906="","",IFERROR(VLOOKUP($C906,Orders!$A$4:$J$998,3,FALSE),""))</f>
        <v/>
      </c>
      <c r="F906" s="40">
        <f t="shared" si="2"/>
        <v>1</v>
      </c>
      <c r="G906" s="40" t="str">
        <f>IF($C906="","",IFERROR(VLOOKUP($C906,Orders!$A$4:$J$998,4,FALSE),""))</f>
        <v/>
      </c>
      <c r="H906" s="40" t="str">
        <f>IF($C906="","",IFERROR(VLOOKUP($C906,Orders!$A$4:$J$998,5,FALSE),""))</f>
        <v/>
      </c>
      <c r="I906" s="40" t="str">
        <f>IF($C906="","",IFERROR(VLOOKUP($C906,Orders!$A$4:$J$998,6,FALSE),""))</f>
        <v/>
      </c>
      <c r="J906" s="40" t="str">
        <f>IF($C906="","",IFERROR(VLOOKUP($C906,Orders!$A$4:$J$998,7,FALSE),""))</f>
        <v/>
      </c>
      <c r="K906" s="40" t="str">
        <f>IF(Bids!$C905="","",Bids!$C905)</f>
        <v/>
      </c>
      <c r="L906" s="40" t="str">
        <f>IF($K906="","",IFERROR(VLOOKUP($K906,Grinders!$A$4:$N$998,2,FALSE),""))</f>
        <v/>
      </c>
      <c r="M906" s="40" t="str">
        <f>IF($K906="","",IFERROR(VLOOKUP($K906,Grinders!$A$4:$N$998,3,FALSE),""))</f>
        <v/>
      </c>
      <c r="N906" s="40" t="str">
        <f>IF($K906="","",IFERROR(VLOOKUP($K906,Grinders!$A$4:$N$998,4,FALSE),""))</f>
        <v/>
      </c>
      <c r="O906" s="40" t="str">
        <f>IF($K906="","",IFERROR(VLOOKUP($K906,Grinders!$A$4:$N$998,5,FALSE),""))</f>
        <v/>
      </c>
      <c r="P906" s="40" t="str">
        <f>IF($K906="","",IF($C$4="",0,COUNTIFS(Assignments!$B$6:$B$1000,$K906,Assignments!$F$6:$F$1000,$C$4,Assignments!$E$6:$E$1000,"Active")))</f>
        <v/>
      </c>
      <c r="Q906" s="40" t="str">
        <f t="shared" si="3"/>
        <v/>
      </c>
      <c r="R906" s="40" t="str">
        <f t="shared" si="4"/>
        <v/>
      </c>
      <c r="S906" s="40" t="str">
        <f>IF($K906="","",IF($C$4="",0,COUNTIFS(Assignments!$B$6:$B$1000,$K906,Assignments!$F$6:$F$1000,$C$4,Assignments!$D$6:$D$1000,"&gt;="&amp;Config!$B$3-7,Assignments!$D$6:$D$1000,"&lt;="&amp;Config!$B$3)))</f>
        <v/>
      </c>
      <c r="T906" s="40" t="str">
        <f>IF($K906="","",IFERROR(VLOOKUP($K906,Grinders!$A$4:$N$998,8,FALSE),""))</f>
        <v/>
      </c>
      <c r="U906" s="40" t="str">
        <f>IFERROR(IF($K906="","",IF($M906="Elite",MAX(50,MIN(100,Config!$B$27*MAX(0,MIN(100,(1-IF($R906="",0,$R906))*100)) + Config!$B$28*MAX(0,MIN(100,(1-MIN(1,IF(Config!$B$30=0,1,$S906/Config!$B$30)))*100)) + Config!$B$29*MAX(0,MIN(100,MIN(1,IF($T906="",0,$T906)/Config!$B$23)*100)))),MIN(100,Config!$B$27*MAX(0,MIN(100,(1-IF($R906="",0,$R906))*100)) + Config!$B$28*MAX(0,MIN(100,(1-MIN(1,IF(Config!$B$30=0,1,$S906/Config!$B$30)))*100)) + Config!$B$29*MAX(0,MIN(100,MIN(1,IF($T906="",0,$T906)/Config!$B$23)*100))))),"")
</f>
        <v/>
      </c>
      <c r="V906" s="40" t="str">
        <f>IF(Bids!$D905="","",Bids!$D905)</f>
        <v/>
      </c>
      <c r="W906" s="40" t="str">
        <f>IF(Bids!$F905="","",Bids!$F905)</f>
        <v/>
      </c>
      <c r="X906" s="40" t="str">
        <f t="shared" si="5"/>
        <v/>
      </c>
      <c r="Y906" s="40" t="str">
        <f>IF($X906="","",IF(Config!$B$17=Config!$B$16,IF($X906&gt;=Config!$B$17,100,0),MAX(0,MIN(100,($X906-Config!$B$16)/(Config!$B$17-Config!$B$16)*100))))</f>
        <v/>
      </c>
      <c r="Z906" s="40">
        <f>IF($M906="Elite",Config!$B$21,0)</f>
        <v>0</v>
      </c>
      <c r="AA906" s="40" t="str">
        <f>IFERROR(IF(OR($W906="",$H906=""),"",IF($W906&gt;$H906,
  MAX(0, 60-(($W906-$H906)*24/Config!$B$19)*60),
  MIN(100, 60+(($H906-$W906)*24/Config!$B$20)*40)
)),"")
</f>
        <v/>
      </c>
      <c r="AB906" s="40" t="str">
        <f>IF($K906="","",IFERROR(VLOOKUP($K906,Grinders!$A$4:$N$998,10,FALSE)/5*100,""))</f>
        <v/>
      </c>
      <c r="AC906" s="40" t="str">
        <f>IF($K906="","",IFERROR(VLOOKUP($K906,Grinders!$A$4:$N$998,11,FALSE)*100,""))</f>
        <v/>
      </c>
      <c r="AD906" s="40" t="str">
        <f>IF($K906="","",IFERROR(VLOOKUP($K906,Grinders!$A$4:$N$998,12,FALSE)*100,""))</f>
        <v/>
      </c>
      <c r="AE906" s="40">
        <f>IFERROR(IFS(
    OR($C906="", $K906=""), 0,
    $F906=0, 0,
    $D906&lt;&gt;"Open", 0,
    COUNTIFS(GrinderServices!$B$4:$B$998, $K906, GrinderServices!$C$4:$C$998, $E906, GrinderServices!$E$4:$E$998, "Y")=0, 0,
    $X906&lt;Config!$B$16, 0,
    Config!$B$18=1, IF($O906&gt;=N906, 0, 1),
    TRUE, 1
), "")
</f>
        <v>0</v>
      </c>
      <c r="AF906" s="40" t="str">
        <f>IFERROR(IF($AE906=0,"",((Config!$B$6*$Y906 + Config!$B$7*$U906 + Config!$B$8*$Z906 + Config!$B$9*$AA906 + Config!$B$10*$AB906 + Config!$B$11*$AC906 - Config!$B$12*$AD906)/Config!$B$13)+$AK906+$AL906),"")</f>
        <v/>
      </c>
      <c r="AG906" s="40" t="str">
        <f t="shared" si="6"/>
        <v/>
      </c>
      <c r="AH906" s="40" t="str">
        <f t="shared" si="7"/>
        <v/>
      </c>
      <c r="AI906" s="40" t="str">
        <f t="shared" si="8"/>
        <v/>
      </c>
      <c r="AJ906" s="40" t="str">
        <f>IF($K906="","",COUNTIF(Assignments!$B$6:$B$1000,$K906))</f>
        <v/>
      </c>
      <c r="AK906" s="40" t="str">
        <f>IF($K906="","",IF(AND($AJ906=0,$O906&lt;$N906),Config!$B$43,0))</f>
        <v/>
      </c>
      <c r="AL906" s="40" t="str">
        <f>IF($K906="","",IF(AND($M906="Elite",$G906&gt;=Config!$B$41,$O906&lt;$N906),Config!$B$42,0))</f>
        <v/>
      </c>
      <c r="AM906" s="22"/>
    </row>
    <row r="907" ht="15.75" customHeight="1">
      <c r="A907" s="40" t="str">
        <f t="shared" si="1"/>
        <v/>
      </c>
      <c r="B907" s="40" t="str">
        <f>IF(Bids!$A906="","",Bids!$A906)</f>
        <v/>
      </c>
      <c r="C907" s="40" t="str">
        <f>IF(Bids!$B906="","",Bids!$B906)</f>
        <v/>
      </c>
      <c r="D907" s="40" t="str">
        <f>IF($C907="","",IFERROR(VLOOKUP($C907,Orders!$A$4:$J$998,9,FALSE),""))</f>
        <v/>
      </c>
      <c r="E907" s="40" t="str">
        <f>IF($C907="","",IFERROR(VLOOKUP($C907,Orders!$A$4:$J$998,3,FALSE),""))</f>
        <v/>
      </c>
      <c r="F907" s="40">
        <f t="shared" si="2"/>
        <v>1</v>
      </c>
      <c r="G907" s="40" t="str">
        <f>IF($C907="","",IFERROR(VLOOKUP($C907,Orders!$A$4:$J$998,4,FALSE),""))</f>
        <v/>
      </c>
      <c r="H907" s="40" t="str">
        <f>IF($C907="","",IFERROR(VLOOKUP($C907,Orders!$A$4:$J$998,5,FALSE),""))</f>
        <v/>
      </c>
      <c r="I907" s="40" t="str">
        <f>IF($C907="","",IFERROR(VLOOKUP($C907,Orders!$A$4:$J$998,6,FALSE),""))</f>
        <v/>
      </c>
      <c r="J907" s="40" t="str">
        <f>IF($C907="","",IFERROR(VLOOKUP($C907,Orders!$A$4:$J$998,7,FALSE),""))</f>
        <v/>
      </c>
      <c r="K907" s="40" t="str">
        <f>IF(Bids!$C906="","",Bids!$C906)</f>
        <v/>
      </c>
      <c r="L907" s="40" t="str">
        <f>IF($K907="","",IFERROR(VLOOKUP($K907,Grinders!$A$4:$N$998,2,FALSE),""))</f>
        <v/>
      </c>
      <c r="M907" s="40" t="str">
        <f>IF($K907="","",IFERROR(VLOOKUP($K907,Grinders!$A$4:$N$998,3,FALSE),""))</f>
        <v/>
      </c>
      <c r="N907" s="40" t="str">
        <f>IF($K907="","",IFERROR(VLOOKUP($K907,Grinders!$A$4:$N$998,4,FALSE),""))</f>
        <v/>
      </c>
      <c r="O907" s="40" t="str">
        <f>IF($K907="","",IFERROR(VLOOKUP($K907,Grinders!$A$4:$N$998,5,FALSE),""))</f>
        <v/>
      </c>
      <c r="P907" s="40" t="str">
        <f>IF($K907="","",IF($C$4="",0,COUNTIFS(Assignments!$B$6:$B$1000,$K907,Assignments!$F$6:$F$1000,$C$4,Assignments!$E$6:$E$1000,"Active")))</f>
        <v/>
      </c>
      <c r="Q907" s="40" t="str">
        <f t="shared" si="3"/>
        <v/>
      </c>
      <c r="R907" s="40" t="str">
        <f t="shared" si="4"/>
        <v/>
      </c>
      <c r="S907" s="40" t="str">
        <f>IF($K907="","",IF($C$4="",0,COUNTIFS(Assignments!$B$6:$B$1000,$K907,Assignments!$F$6:$F$1000,$C$4,Assignments!$D$6:$D$1000,"&gt;="&amp;Config!$B$3-7,Assignments!$D$6:$D$1000,"&lt;="&amp;Config!$B$3)))</f>
        <v/>
      </c>
      <c r="T907" s="40" t="str">
        <f>IF($K907="","",IFERROR(VLOOKUP($K907,Grinders!$A$4:$N$998,8,FALSE),""))</f>
        <v/>
      </c>
      <c r="U907" s="40" t="str">
        <f>IFERROR(IF($K907="","",IF($M907="Elite",MAX(50,MIN(100,Config!$B$27*MAX(0,MIN(100,(1-IF($R907="",0,$R907))*100)) + Config!$B$28*MAX(0,MIN(100,(1-MIN(1,IF(Config!$B$30=0,1,$S907/Config!$B$30)))*100)) + Config!$B$29*MAX(0,MIN(100,MIN(1,IF($T907="",0,$T907)/Config!$B$23)*100)))),MIN(100,Config!$B$27*MAX(0,MIN(100,(1-IF($R907="",0,$R907))*100)) + Config!$B$28*MAX(0,MIN(100,(1-MIN(1,IF(Config!$B$30=0,1,$S907/Config!$B$30)))*100)) + Config!$B$29*MAX(0,MIN(100,MIN(1,IF($T907="",0,$T907)/Config!$B$23)*100))))),"")
</f>
        <v/>
      </c>
      <c r="V907" s="40" t="str">
        <f>IF(Bids!$D906="","",Bids!$D906)</f>
        <v/>
      </c>
      <c r="W907" s="40" t="str">
        <f>IF(Bids!$F906="","",Bids!$F906)</f>
        <v/>
      </c>
      <c r="X907" s="40" t="str">
        <f t="shared" si="5"/>
        <v/>
      </c>
      <c r="Y907" s="40" t="str">
        <f>IF($X907="","",IF(Config!$B$17=Config!$B$16,IF($X907&gt;=Config!$B$17,100,0),MAX(0,MIN(100,($X907-Config!$B$16)/(Config!$B$17-Config!$B$16)*100))))</f>
        <v/>
      </c>
      <c r="Z907" s="40">
        <f>IF($M907="Elite",Config!$B$21,0)</f>
        <v>0</v>
      </c>
      <c r="AA907" s="40" t="str">
        <f>IFERROR(IF(OR($W907="",$H907=""),"",IF($W907&gt;$H907,
  MAX(0, 60-(($W907-$H907)*24/Config!$B$19)*60),
  MIN(100, 60+(($H907-$W907)*24/Config!$B$20)*40)
)),"")
</f>
        <v/>
      </c>
      <c r="AB907" s="40" t="str">
        <f>IF($K907="","",IFERROR(VLOOKUP($K907,Grinders!$A$4:$N$998,10,FALSE)/5*100,""))</f>
        <v/>
      </c>
      <c r="AC907" s="40" t="str">
        <f>IF($K907="","",IFERROR(VLOOKUP($K907,Grinders!$A$4:$N$998,11,FALSE)*100,""))</f>
        <v/>
      </c>
      <c r="AD907" s="40" t="str">
        <f>IF($K907="","",IFERROR(VLOOKUP($K907,Grinders!$A$4:$N$998,12,FALSE)*100,""))</f>
        <v/>
      </c>
      <c r="AE907" s="40">
        <f>IFERROR(IFS(
    OR($C907="", $K907=""), 0,
    $F907=0, 0,
    $D907&lt;&gt;"Open", 0,
    COUNTIFS(GrinderServices!$B$4:$B$998, $K907, GrinderServices!$C$4:$C$998, $E907, GrinderServices!$E$4:$E$998, "Y")=0, 0,
    $X907&lt;Config!$B$16, 0,
    Config!$B$18=1, IF($O907&gt;=N907, 0, 1),
    TRUE, 1
), "")
</f>
        <v>0</v>
      </c>
      <c r="AF907" s="40" t="str">
        <f>IFERROR(IF($AE907=0,"",((Config!$B$6*$Y907 + Config!$B$7*$U907 + Config!$B$8*$Z907 + Config!$B$9*$AA907 + Config!$B$10*$AB907 + Config!$B$11*$AC907 - Config!$B$12*$AD907)/Config!$B$13)+$AK907+$AL907),"")</f>
        <v/>
      </c>
      <c r="AG907" s="40" t="str">
        <f t="shared" si="6"/>
        <v/>
      </c>
      <c r="AH907" s="40" t="str">
        <f t="shared" si="7"/>
        <v/>
      </c>
      <c r="AI907" s="40" t="str">
        <f t="shared" si="8"/>
        <v/>
      </c>
      <c r="AJ907" s="40" t="str">
        <f>IF($K907="","",COUNTIF(Assignments!$B$6:$B$1000,$K907))</f>
        <v/>
      </c>
      <c r="AK907" s="40" t="str">
        <f>IF($K907="","",IF(AND($AJ907=0,$O907&lt;$N907),Config!$B$43,0))</f>
        <v/>
      </c>
      <c r="AL907" s="40" t="str">
        <f>IF($K907="","",IF(AND($M907="Elite",$G907&gt;=Config!$B$41,$O907&lt;$N907),Config!$B$42,0))</f>
        <v/>
      </c>
      <c r="AM907" s="22"/>
    </row>
    <row r="908" ht="15.75" customHeight="1">
      <c r="A908" s="40" t="str">
        <f t="shared" si="1"/>
        <v/>
      </c>
      <c r="B908" s="40" t="str">
        <f>IF(Bids!$A907="","",Bids!$A907)</f>
        <v/>
      </c>
      <c r="C908" s="40" t="str">
        <f>IF(Bids!$B907="","",Bids!$B907)</f>
        <v/>
      </c>
      <c r="D908" s="40" t="str">
        <f>IF($C908="","",IFERROR(VLOOKUP($C908,Orders!$A$4:$J$998,9,FALSE),""))</f>
        <v/>
      </c>
      <c r="E908" s="40" t="str">
        <f>IF($C908="","",IFERROR(VLOOKUP($C908,Orders!$A$4:$J$998,3,FALSE),""))</f>
        <v/>
      </c>
      <c r="F908" s="40">
        <f t="shared" si="2"/>
        <v>1</v>
      </c>
      <c r="G908" s="40" t="str">
        <f>IF($C908="","",IFERROR(VLOOKUP($C908,Orders!$A$4:$J$998,4,FALSE),""))</f>
        <v/>
      </c>
      <c r="H908" s="40" t="str">
        <f>IF($C908="","",IFERROR(VLOOKUP($C908,Orders!$A$4:$J$998,5,FALSE),""))</f>
        <v/>
      </c>
      <c r="I908" s="40" t="str">
        <f>IF($C908="","",IFERROR(VLOOKUP($C908,Orders!$A$4:$J$998,6,FALSE),""))</f>
        <v/>
      </c>
      <c r="J908" s="40" t="str">
        <f>IF($C908="","",IFERROR(VLOOKUP($C908,Orders!$A$4:$J$998,7,FALSE),""))</f>
        <v/>
      </c>
      <c r="K908" s="40" t="str">
        <f>IF(Bids!$C907="","",Bids!$C907)</f>
        <v/>
      </c>
      <c r="L908" s="40" t="str">
        <f>IF($K908="","",IFERROR(VLOOKUP($K908,Grinders!$A$4:$N$998,2,FALSE),""))</f>
        <v/>
      </c>
      <c r="M908" s="40" t="str">
        <f>IF($K908="","",IFERROR(VLOOKUP($K908,Grinders!$A$4:$N$998,3,FALSE),""))</f>
        <v/>
      </c>
      <c r="N908" s="40" t="str">
        <f>IF($K908="","",IFERROR(VLOOKUP($K908,Grinders!$A$4:$N$998,4,FALSE),""))</f>
        <v/>
      </c>
      <c r="O908" s="40" t="str">
        <f>IF($K908="","",IFERROR(VLOOKUP($K908,Grinders!$A$4:$N$998,5,FALSE),""))</f>
        <v/>
      </c>
      <c r="P908" s="40" t="str">
        <f>IF($K908="","",IF($C$4="",0,COUNTIFS(Assignments!$B$6:$B$1000,$K908,Assignments!$F$6:$F$1000,$C$4,Assignments!$E$6:$E$1000,"Active")))</f>
        <v/>
      </c>
      <c r="Q908" s="40" t="str">
        <f t="shared" si="3"/>
        <v/>
      </c>
      <c r="R908" s="40" t="str">
        <f t="shared" si="4"/>
        <v/>
      </c>
      <c r="S908" s="40" t="str">
        <f>IF($K908="","",IF($C$4="",0,COUNTIFS(Assignments!$B$6:$B$1000,$K908,Assignments!$F$6:$F$1000,$C$4,Assignments!$D$6:$D$1000,"&gt;="&amp;Config!$B$3-7,Assignments!$D$6:$D$1000,"&lt;="&amp;Config!$B$3)))</f>
        <v/>
      </c>
      <c r="T908" s="40" t="str">
        <f>IF($K908="","",IFERROR(VLOOKUP($K908,Grinders!$A$4:$N$998,8,FALSE),""))</f>
        <v/>
      </c>
      <c r="U908" s="40" t="str">
        <f>IFERROR(IF($K908="","",IF($M908="Elite",MAX(50,MIN(100,Config!$B$27*MAX(0,MIN(100,(1-IF($R908="",0,$R908))*100)) + Config!$B$28*MAX(0,MIN(100,(1-MIN(1,IF(Config!$B$30=0,1,$S908/Config!$B$30)))*100)) + Config!$B$29*MAX(0,MIN(100,MIN(1,IF($T908="",0,$T908)/Config!$B$23)*100)))),MIN(100,Config!$B$27*MAX(0,MIN(100,(1-IF($R908="",0,$R908))*100)) + Config!$B$28*MAX(0,MIN(100,(1-MIN(1,IF(Config!$B$30=0,1,$S908/Config!$B$30)))*100)) + Config!$B$29*MAX(0,MIN(100,MIN(1,IF($T908="",0,$T908)/Config!$B$23)*100))))),"")
</f>
        <v/>
      </c>
      <c r="V908" s="40" t="str">
        <f>IF(Bids!$D907="","",Bids!$D907)</f>
        <v/>
      </c>
      <c r="W908" s="40" t="str">
        <f>IF(Bids!$F907="","",Bids!$F907)</f>
        <v/>
      </c>
      <c r="X908" s="40" t="str">
        <f t="shared" si="5"/>
        <v/>
      </c>
      <c r="Y908" s="40" t="str">
        <f>IF($X908="","",IF(Config!$B$17=Config!$B$16,IF($X908&gt;=Config!$B$17,100,0),MAX(0,MIN(100,($X908-Config!$B$16)/(Config!$B$17-Config!$B$16)*100))))</f>
        <v/>
      </c>
      <c r="Z908" s="40">
        <f>IF($M908="Elite",Config!$B$21,0)</f>
        <v>0</v>
      </c>
      <c r="AA908" s="40" t="str">
        <f>IFERROR(IF(OR($W908="",$H908=""),"",IF($W908&gt;$H908,
  MAX(0, 60-(($W908-$H908)*24/Config!$B$19)*60),
  MIN(100, 60+(($H908-$W908)*24/Config!$B$20)*40)
)),"")
</f>
        <v/>
      </c>
      <c r="AB908" s="40" t="str">
        <f>IF($K908="","",IFERROR(VLOOKUP($K908,Grinders!$A$4:$N$998,10,FALSE)/5*100,""))</f>
        <v/>
      </c>
      <c r="AC908" s="40" t="str">
        <f>IF($K908="","",IFERROR(VLOOKUP($K908,Grinders!$A$4:$N$998,11,FALSE)*100,""))</f>
        <v/>
      </c>
      <c r="AD908" s="40" t="str">
        <f>IF($K908="","",IFERROR(VLOOKUP($K908,Grinders!$A$4:$N$998,12,FALSE)*100,""))</f>
        <v/>
      </c>
      <c r="AE908" s="40">
        <f>IFERROR(IFS(
    OR($C908="", $K908=""), 0,
    $F908=0, 0,
    $D908&lt;&gt;"Open", 0,
    COUNTIFS(GrinderServices!$B$4:$B$998, $K908, GrinderServices!$C$4:$C$998, $E908, GrinderServices!$E$4:$E$998, "Y")=0, 0,
    $X908&lt;Config!$B$16, 0,
    Config!$B$18=1, IF($O908&gt;=N908, 0, 1),
    TRUE, 1
), "")
</f>
        <v>0</v>
      </c>
      <c r="AF908" s="40" t="str">
        <f>IFERROR(IF($AE908=0,"",((Config!$B$6*$Y908 + Config!$B$7*$U908 + Config!$B$8*$Z908 + Config!$B$9*$AA908 + Config!$B$10*$AB908 + Config!$B$11*$AC908 - Config!$B$12*$AD908)/Config!$B$13)+$AK908+$AL908),"")</f>
        <v/>
      </c>
      <c r="AG908" s="40" t="str">
        <f t="shared" si="6"/>
        <v/>
      </c>
      <c r="AH908" s="40" t="str">
        <f t="shared" si="7"/>
        <v/>
      </c>
      <c r="AI908" s="40" t="str">
        <f t="shared" si="8"/>
        <v/>
      </c>
      <c r="AJ908" s="40" t="str">
        <f>IF($K908="","",COUNTIF(Assignments!$B$6:$B$1000,$K908))</f>
        <v/>
      </c>
      <c r="AK908" s="40" t="str">
        <f>IF($K908="","",IF(AND($AJ908=0,$O908&lt;$N908),Config!$B$43,0))</f>
        <v/>
      </c>
      <c r="AL908" s="40" t="str">
        <f>IF($K908="","",IF(AND($M908="Elite",$G908&gt;=Config!$B$41,$O908&lt;$N908),Config!$B$42,0))</f>
        <v/>
      </c>
      <c r="AM908" s="22"/>
    </row>
    <row r="909" ht="15.75" customHeight="1">
      <c r="A909" s="40" t="str">
        <f t="shared" si="1"/>
        <v/>
      </c>
      <c r="B909" s="40" t="str">
        <f>IF(Bids!$A908="","",Bids!$A908)</f>
        <v/>
      </c>
      <c r="C909" s="40" t="str">
        <f>IF(Bids!$B908="","",Bids!$B908)</f>
        <v/>
      </c>
      <c r="D909" s="40" t="str">
        <f>IF($C909="","",IFERROR(VLOOKUP($C909,Orders!$A$4:$J$998,9,FALSE),""))</f>
        <v/>
      </c>
      <c r="E909" s="40" t="str">
        <f>IF($C909="","",IFERROR(VLOOKUP($C909,Orders!$A$4:$J$998,3,FALSE),""))</f>
        <v/>
      </c>
      <c r="F909" s="40">
        <f t="shared" si="2"/>
        <v>1</v>
      </c>
      <c r="G909" s="40" t="str">
        <f>IF($C909="","",IFERROR(VLOOKUP($C909,Orders!$A$4:$J$998,4,FALSE),""))</f>
        <v/>
      </c>
      <c r="H909" s="40" t="str">
        <f>IF($C909="","",IFERROR(VLOOKUP($C909,Orders!$A$4:$J$998,5,FALSE),""))</f>
        <v/>
      </c>
      <c r="I909" s="40" t="str">
        <f>IF($C909="","",IFERROR(VLOOKUP($C909,Orders!$A$4:$J$998,6,FALSE),""))</f>
        <v/>
      </c>
      <c r="J909" s="40" t="str">
        <f>IF($C909="","",IFERROR(VLOOKUP($C909,Orders!$A$4:$J$998,7,FALSE),""))</f>
        <v/>
      </c>
      <c r="K909" s="40" t="str">
        <f>IF(Bids!$C908="","",Bids!$C908)</f>
        <v/>
      </c>
      <c r="L909" s="40" t="str">
        <f>IF($K909="","",IFERROR(VLOOKUP($K909,Grinders!$A$4:$N$998,2,FALSE),""))</f>
        <v/>
      </c>
      <c r="M909" s="40" t="str">
        <f>IF($K909="","",IFERROR(VLOOKUP($K909,Grinders!$A$4:$N$998,3,FALSE),""))</f>
        <v/>
      </c>
      <c r="N909" s="40" t="str">
        <f>IF($K909="","",IFERROR(VLOOKUP($K909,Grinders!$A$4:$N$998,4,FALSE),""))</f>
        <v/>
      </c>
      <c r="O909" s="40" t="str">
        <f>IF($K909="","",IFERROR(VLOOKUP($K909,Grinders!$A$4:$N$998,5,FALSE),""))</f>
        <v/>
      </c>
      <c r="P909" s="40" t="str">
        <f>IF($K909="","",IF($C$4="",0,COUNTIFS(Assignments!$B$6:$B$1000,$K909,Assignments!$F$6:$F$1000,$C$4,Assignments!$E$6:$E$1000,"Active")))</f>
        <v/>
      </c>
      <c r="Q909" s="40" t="str">
        <f t="shared" si="3"/>
        <v/>
      </c>
      <c r="R909" s="40" t="str">
        <f t="shared" si="4"/>
        <v/>
      </c>
      <c r="S909" s="40" t="str">
        <f>IF($K909="","",IF($C$4="",0,COUNTIFS(Assignments!$B$6:$B$1000,$K909,Assignments!$F$6:$F$1000,$C$4,Assignments!$D$6:$D$1000,"&gt;="&amp;Config!$B$3-7,Assignments!$D$6:$D$1000,"&lt;="&amp;Config!$B$3)))</f>
        <v/>
      </c>
      <c r="T909" s="40" t="str">
        <f>IF($K909="","",IFERROR(VLOOKUP($K909,Grinders!$A$4:$N$998,8,FALSE),""))</f>
        <v/>
      </c>
      <c r="U909" s="40" t="str">
        <f>IFERROR(IF($K909="","",IF($M909="Elite",MAX(50,MIN(100,Config!$B$27*MAX(0,MIN(100,(1-IF($R909="",0,$R909))*100)) + Config!$B$28*MAX(0,MIN(100,(1-MIN(1,IF(Config!$B$30=0,1,$S909/Config!$B$30)))*100)) + Config!$B$29*MAX(0,MIN(100,MIN(1,IF($T909="",0,$T909)/Config!$B$23)*100)))),MIN(100,Config!$B$27*MAX(0,MIN(100,(1-IF($R909="",0,$R909))*100)) + Config!$B$28*MAX(0,MIN(100,(1-MIN(1,IF(Config!$B$30=0,1,$S909/Config!$B$30)))*100)) + Config!$B$29*MAX(0,MIN(100,MIN(1,IF($T909="",0,$T909)/Config!$B$23)*100))))),"")
</f>
        <v/>
      </c>
      <c r="V909" s="40" t="str">
        <f>IF(Bids!$D908="","",Bids!$D908)</f>
        <v/>
      </c>
      <c r="W909" s="40" t="str">
        <f>IF(Bids!$F908="","",Bids!$F908)</f>
        <v/>
      </c>
      <c r="X909" s="40" t="str">
        <f t="shared" si="5"/>
        <v/>
      </c>
      <c r="Y909" s="40" t="str">
        <f>IF($X909="","",IF(Config!$B$17=Config!$B$16,IF($X909&gt;=Config!$B$17,100,0),MAX(0,MIN(100,($X909-Config!$B$16)/(Config!$B$17-Config!$B$16)*100))))</f>
        <v/>
      </c>
      <c r="Z909" s="40">
        <f>IF($M909="Elite",Config!$B$21,0)</f>
        <v>0</v>
      </c>
      <c r="AA909" s="40" t="str">
        <f>IFERROR(IF(OR($W909="",$H909=""),"",IF($W909&gt;$H909,
  MAX(0, 60-(($W909-$H909)*24/Config!$B$19)*60),
  MIN(100, 60+(($H909-$W909)*24/Config!$B$20)*40)
)),"")
</f>
        <v/>
      </c>
      <c r="AB909" s="40" t="str">
        <f>IF($K909="","",IFERROR(VLOOKUP($K909,Grinders!$A$4:$N$998,10,FALSE)/5*100,""))</f>
        <v/>
      </c>
      <c r="AC909" s="40" t="str">
        <f>IF($K909="","",IFERROR(VLOOKUP($K909,Grinders!$A$4:$N$998,11,FALSE)*100,""))</f>
        <v/>
      </c>
      <c r="AD909" s="40" t="str">
        <f>IF($K909="","",IFERROR(VLOOKUP($K909,Grinders!$A$4:$N$998,12,FALSE)*100,""))</f>
        <v/>
      </c>
      <c r="AE909" s="40">
        <f>IFERROR(IFS(
    OR($C909="", $K909=""), 0,
    $F909=0, 0,
    $D909&lt;&gt;"Open", 0,
    COUNTIFS(GrinderServices!$B$4:$B$998, $K909, GrinderServices!$C$4:$C$998, $E909, GrinderServices!$E$4:$E$998, "Y")=0, 0,
    $X909&lt;Config!$B$16, 0,
    Config!$B$18=1, IF($O909&gt;=N909, 0, 1),
    TRUE, 1
), "")
</f>
        <v>0</v>
      </c>
      <c r="AF909" s="40" t="str">
        <f>IFERROR(IF($AE909=0,"",((Config!$B$6*$Y909 + Config!$B$7*$U909 + Config!$B$8*$Z909 + Config!$B$9*$AA909 + Config!$B$10*$AB909 + Config!$B$11*$AC909 - Config!$B$12*$AD909)/Config!$B$13)+$AK909+$AL909),"")</f>
        <v/>
      </c>
      <c r="AG909" s="40" t="str">
        <f t="shared" si="6"/>
        <v/>
      </c>
      <c r="AH909" s="40" t="str">
        <f t="shared" si="7"/>
        <v/>
      </c>
      <c r="AI909" s="40" t="str">
        <f t="shared" si="8"/>
        <v/>
      </c>
      <c r="AJ909" s="40" t="str">
        <f>IF($K909="","",COUNTIF(Assignments!$B$6:$B$1000,$K909))</f>
        <v/>
      </c>
      <c r="AK909" s="40" t="str">
        <f>IF($K909="","",IF(AND($AJ909=0,$O909&lt;$N909),Config!$B$43,0))</f>
        <v/>
      </c>
      <c r="AL909" s="40" t="str">
        <f>IF($K909="","",IF(AND($M909="Elite",$G909&gt;=Config!$B$41,$O909&lt;$N909),Config!$B$42,0))</f>
        <v/>
      </c>
      <c r="AM909" s="22"/>
    </row>
    <row r="910" ht="15.75" customHeight="1">
      <c r="A910" s="40" t="str">
        <f t="shared" si="1"/>
        <v/>
      </c>
      <c r="B910" s="40" t="str">
        <f>IF(Bids!$A909="","",Bids!$A909)</f>
        <v/>
      </c>
      <c r="C910" s="40" t="str">
        <f>IF(Bids!$B909="","",Bids!$B909)</f>
        <v/>
      </c>
      <c r="D910" s="40" t="str">
        <f>IF($C910="","",IFERROR(VLOOKUP($C910,Orders!$A$4:$J$998,9,FALSE),""))</f>
        <v/>
      </c>
      <c r="E910" s="40" t="str">
        <f>IF($C910="","",IFERROR(VLOOKUP($C910,Orders!$A$4:$J$998,3,FALSE),""))</f>
        <v/>
      </c>
      <c r="F910" s="40">
        <f t="shared" si="2"/>
        <v>1</v>
      </c>
      <c r="G910" s="40" t="str">
        <f>IF($C910="","",IFERROR(VLOOKUP($C910,Orders!$A$4:$J$998,4,FALSE),""))</f>
        <v/>
      </c>
      <c r="H910" s="40" t="str">
        <f>IF($C910="","",IFERROR(VLOOKUP($C910,Orders!$A$4:$J$998,5,FALSE),""))</f>
        <v/>
      </c>
      <c r="I910" s="40" t="str">
        <f>IF($C910="","",IFERROR(VLOOKUP($C910,Orders!$A$4:$J$998,6,FALSE),""))</f>
        <v/>
      </c>
      <c r="J910" s="40" t="str">
        <f>IF($C910="","",IFERROR(VLOOKUP($C910,Orders!$A$4:$J$998,7,FALSE),""))</f>
        <v/>
      </c>
      <c r="K910" s="40" t="str">
        <f>IF(Bids!$C909="","",Bids!$C909)</f>
        <v/>
      </c>
      <c r="L910" s="40" t="str">
        <f>IF($K910="","",IFERROR(VLOOKUP($K910,Grinders!$A$4:$N$998,2,FALSE),""))</f>
        <v/>
      </c>
      <c r="M910" s="40" t="str">
        <f>IF($K910="","",IFERROR(VLOOKUP($K910,Grinders!$A$4:$N$998,3,FALSE),""))</f>
        <v/>
      </c>
      <c r="N910" s="40" t="str">
        <f>IF($K910="","",IFERROR(VLOOKUP($K910,Grinders!$A$4:$N$998,4,FALSE),""))</f>
        <v/>
      </c>
      <c r="O910" s="40" t="str">
        <f>IF($K910="","",IFERROR(VLOOKUP($K910,Grinders!$A$4:$N$998,5,FALSE),""))</f>
        <v/>
      </c>
      <c r="P910" s="40" t="str">
        <f>IF($K910="","",IF($C$4="",0,COUNTIFS(Assignments!$B$6:$B$1000,$K910,Assignments!$F$6:$F$1000,$C$4,Assignments!$E$6:$E$1000,"Active")))</f>
        <v/>
      </c>
      <c r="Q910" s="40" t="str">
        <f t="shared" si="3"/>
        <v/>
      </c>
      <c r="R910" s="40" t="str">
        <f t="shared" si="4"/>
        <v/>
      </c>
      <c r="S910" s="40" t="str">
        <f>IF($K910="","",IF($C$4="",0,COUNTIFS(Assignments!$B$6:$B$1000,$K910,Assignments!$F$6:$F$1000,$C$4,Assignments!$D$6:$D$1000,"&gt;="&amp;Config!$B$3-7,Assignments!$D$6:$D$1000,"&lt;="&amp;Config!$B$3)))</f>
        <v/>
      </c>
      <c r="T910" s="40" t="str">
        <f>IF($K910="","",IFERROR(VLOOKUP($K910,Grinders!$A$4:$N$998,8,FALSE),""))</f>
        <v/>
      </c>
      <c r="U910" s="40" t="str">
        <f>IFERROR(IF($K910="","",IF($M910="Elite",MAX(50,MIN(100,Config!$B$27*MAX(0,MIN(100,(1-IF($R910="",0,$R910))*100)) + Config!$B$28*MAX(0,MIN(100,(1-MIN(1,IF(Config!$B$30=0,1,$S910/Config!$B$30)))*100)) + Config!$B$29*MAX(0,MIN(100,MIN(1,IF($T910="",0,$T910)/Config!$B$23)*100)))),MIN(100,Config!$B$27*MAX(0,MIN(100,(1-IF($R910="",0,$R910))*100)) + Config!$B$28*MAX(0,MIN(100,(1-MIN(1,IF(Config!$B$30=0,1,$S910/Config!$B$30)))*100)) + Config!$B$29*MAX(0,MIN(100,MIN(1,IF($T910="",0,$T910)/Config!$B$23)*100))))),"")
</f>
        <v/>
      </c>
      <c r="V910" s="40" t="str">
        <f>IF(Bids!$D909="","",Bids!$D909)</f>
        <v/>
      </c>
      <c r="W910" s="40" t="str">
        <f>IF(Bids!$F909="","",Bids!$F909)</f>
        <v/>
      </c>
      <c r="X910" s="40" t="str">
        <f t="shared" si="5"/>
        <v/>
      </c>
      <c r="Y910" s="40" t="str">
        <f>IF($X910="","",IF(Config!$B$17=Config!$B$16,IF($X910&gt;=Config!$B$17,100,0),MAX(0,MIN(100,($X910-Config!$B$16)/(Config!$B$17-Config!$B$16)*100))))</f>
        <v/>
      </c>
      <c r="Z910" s="40">
        <f>IF($M910="Elite",Config!$B$21,0)</f>
        <v>0</v>
      </c>
      <c r="AA910" s="40" t="str">
        <f>IFERROR(IF(OR($W910="",$H910=""),"",IF($W910&gt;$H910,
  MAX(0, 60-(($W910-$H910)*24/Config!$B$19)*60),
  MIN(100, 60+(($H910-$W910)*24/Config!$B$20)*40)
)),"")
</f>
        <v/>
      </c>
      <c r="AB910" s="40" t="str">
        <f>IF($K910="","",IFERROR(VLOOKUP($K910,Grinders!$A$4:$N$998,10,FALSE)/5*100,""))</f>
        <v/>
      </c>
      <c r="AC910" s="40" t="str">
        <f>IF($K910="","",IFERROR(VLOOKUP($K910,Grinders!$A$4:$N$998,11,FALSE)*100,""))</f>
        <v/>
      </c>
      <c r="AD910" s="40" t="str">
        <f>IF($K910="","",IFERROR(VLOOKUP($K910,Grinders!$A$4:$N$998,12,FALSE)*100,""))</f>
        <v/>
      </c>
      <c r="AE910" s="40">
        <f>IFERROR(IFS(
    OR($C910="", $K910=""), 0,
    $F910=0, 0,
    $D910&lt;&gt;"Open", 0,
    COUNTIFS(GrinderServices!$B$4:$B$998, $K910, GrinderServices!$C$4:$C$998, $E910, GrinderServices!$E$4:$E$998, "Y")=0, 0,
    $X910&lt;Config!$B$16, 0,
    Config!$B$18=1, IF($O910&gt;=N910, 0, 1),
    TRUE, 1
), "")
</f>
        <v>0</v>
      </c>
      <c r="AF910" s="40" t="str">
        <f>IFERROR(IF($AE910=0,"",((Config!$B$6*$Y910 + Config!$B$7*$U910 + Config!$B$8*$Z910 + Config!$B$9*$AA910 + Config!$B$10*$AB910 + Config!$B$11*$AC910 - Config!$B$12*$AD910)/Config!$B$13)+$AK910+$AL910),"")</f>
        <v/>
      </c>
      <c r="AG910" s="40" t="str">
        <f t="shared" si="6"/>
        <v/>
      </c>
      <c r="AH910" s="40" t="str">
        <f t="shared" si="7"/>
        <v/>
      </c>
      <c r="AI910" s="40" t="str">
        <f t="shared" si="8"/>
        <v/>
      </c>
      <c r="AJ910" s="40" t="str">
        <f>IF($K910="","",COUNTIF(Assignments!$B$6:$B$1000,$K910))</f>
        <v/>
      </c>
      <c r="AK910" s="40" t="str">
        <f>IF($K910="","",IF(AND($AJ910=0,$O910&lt;$N910),Config!$B$43,0))</f>
        <v/>
      </c>
      <c r="AL910" s="40" t="str">
        <f>IF($K910="","",IF(AND($M910="Elite",$G910&gt;=Config!$B$41,$O910&lt;$N910),Config!$B$42,0))</f>
        <v/>
      </c>
      <c r="AM910" s="22"/>
    </row>
    <row r="911" ht="15.75" customHeight="1">
      <c r="A911" s="40" t="str">
        <f t="shared" si="1"/>
        <v/>
      </c>
      <c r="B911" s="40" t="str">
        <f>IF(Bids!$A910="","",Bids!$A910)</f>
        <v/>
      </c>
      <c r="C911" s="40" t="str">
        <f>IF(Bids!$B910="","",Bids!$B910)</f>
        <v/>
      </c>
      <c r="D911" s="40" t="str">
        <f>IF($C911="","",IFERROR(VLOOKUP($C911,Orders!$A$4:$J$998,9,FALSE),""))</f>
        <v/>
      </c>
      <c r="E911" s="40" t="str">
        <f>IF($C911="","",IFERROR(VLOOKUP($C911,Orders!$A$4:$J$998,3,FALSE),""))</f>
        <v/>
      </c>
      <c r="F911" s="40">
        <f t="shared" si="2"/>
        <v>1</v>
      </c>
      <c r="G911" s="40" t="str">
        <f>IF($C911="","",IFERROR(VLOOKUP($C911,Orders!$A$4:$J$998,4,FALSE),""))</f>
        <v/>
      </c>
      <c r="H911" s="40" t="str">
        <f>IF($C911="","",IFERROR(VLOOKUP($C911,Orders!$A$4:$J$998,5,FALSE),""))</f>
        <v/>
      </c>
      <c r="I911" s="40" t="str">
        <f>IF($C911="","",IFERROR(VLOOKUP($C911,Orders!$A$4:$J$998,6,FALSE),""))</f>
        <v/>
      </c>
      <c r="J911" s="40" t="str">
        <f>IF($C911="","",IFERROR(VLOOKUP($C911,Orders!$A$4:$J$998,7,FALSE),""))</f>
        <v/>
      </c>
      <c r="K911" s="40" t="str">
        <f>IF(Bids!$C910="","",Bids!$C910)</f>
        <v/>
      </c>
      <c r="L911" s="40" t="str">
        <f>IF($K911="","",IFERROR(VLOOKUP($K911,Grinders!$A$4:$N$998,2,FALSE),""))</f>
        <v/>
      </c>
      <c r="M911" s="40" t="str">
        <f>IF($K911="","",IFERROR(VLOOKUP($K911,Grinders!$A$4:$N$998,3,FALSE),""))</f>
        <v/>
      </c>
      <c r="N911" s="40" t="str">
        <f>IF($K911="","",IFERROR(VLOOKUP($K911,Grinders!$A$4:$N$998,4,FALSE),""))</f>
        <v/>
      </c>
      <c r="O911" s="40" t="str">
        <f>IF($K911="","",IFERROR(VLOOKUP($K911,Grinders!$A$4:$N$998,5,FALSE),""))</f>
        <v/>
      </c>
      <c r="P911" s="40" t="str">
        <f>IF($K911="","",IF($C$4="",0,COUNTIFS(Assignments!$B$6:$B$1000,$K911,Assignments!$F$6:$F$1000,$C$4,Assignments!$E$6:$E$1000,"Active")))</f>
        <v/>
      </c>
      <c r="Q911" s="40" t="str">
        <f t="shared" si="3"/>
        <v/>
      </c>
      <c r="R911" s="40" t="str">
        <f t="shared" si="4"/>
        <v/>
      </c>
      <c r="S911" s="40" t="str">
        <f>IF($K911="","",IF($C$4="",0,COUNTIFS(Assignments!$B$6:$B$1000,$K911,Assignments!$F$6:$F$1000,$C$4,Assignments!$D$6:$D$1000,"&gt;="&amp;Config!$B$3-7,Assignments!$D$6:$D$1000,"&lt;="&amp;Config!$B$3)))</f>
        <v/>
      </c>
      <c r="T911" s="40" t="str">
        <f>IF($K911="","",IFERROR(VLOOKUP($K911,Grinders!$A$4:$N$998,8,FALSE),""))</f>
        <v/>
      </c>
      <c r="U911" s="40" t="str">
        <f>IFERROR(IF($K911="","",IF($M911="Elite",MAX(50,MIN(100,Config!$B$27*MAX(0,MIN(100,(1-IF($R911="",0,$R911))*100)) + Config!$B$28*MAX(0,MIN(100,(1-MIN(1,IF(Config!$B$30=0,1,$S911/Config!$B$30)))*100)) + Config!$B$29*MAX(0,MIN(100,MIN(1,IF($T911="",0,$T911)/Config!$B$23)*100)))),MIN(100,Config!$B$27*MAX(0,MIN(100,(1-IF($R911="",0,$R911))*100)) + Config!$B$28*MAX(0,MIN(100,(1-MIN(1,IF(Config!$B$30=0,1,$S911/Config!$B$30)))*100)) + Config!$B$29*MAX(0,MIN(100,MIN(1,IF($T911="",0,$T911)/Config!$B$23)*100))))),"")
</f>
        <v/>
      </c>
      <c r="V911" s="40" t="str">
        <f>IF(Bids!$D910="","",Bids!$D910)</f>
        <v/>
      </c>
      <c r="W911" s="40" t="str">
        <f>IF(Bids!$F910="","",Bids!$F910)</f>
        <v/>
      </c>
      <c r="X911" s="40" t="str">
        <f t="shared" si="5"/>
        <v/>
      </c>
      <c r="Y911" s="40" t="str">
        <f>IF($X911="","",IF(Config!$B$17=Config!$B$16,IF($X911&gt;=Config!$B$17,100,0),MAX(0,MIN(100,($X911-Config!$B$16)/(Config!$B$17-Config!$B$16)*100))))</f>
        <v/>
      </c>
      <c r="Z911" s="40">
        <f>IF($M911="Elite",Config!$B$21,0)</f>
        <v>0</v>
      </c>
      <c r="AA911" s="40" t="str">
        <f>IFERROR(IF(OR($W911="",$H911=""),"",IF($W911&gt;$H911,
  MAX(0, 60-(($W911-$H911)*24/Config!$B$19)*60),
  MIN(100, 60+(($H911-$W911)*24/Config!$B$20)*40)
)),"")
</f>
        <v/>
      </c>
      <c r="AB911" s="40" t="str">
        <f>IF($K911="","",IFERROR(VLOOKUP($K911,Grinders!$A$4:$N$998,10,FALSE)/5*100,""))</f>
        <v/>
      </c>
      <c r="AC911" s="40" t="str">
        <f>IF($K911="","",IFERROR(VLOOKUP($K911,Grinders!$A$4:$N$998,11,FALSE)*100,""))</f>
        <v/>
      </c>
      <c r="AD911" s="40" t="str">
        <f>IF($K911="","",IFERROR(VLOOKUP($K911,Grinders!$A$4:$N$998,12,FALSE)*100,""))</f>
        <v/>
      </c>
      <c r="AE911" s="40">
        <f>IFERROR(IFS(
    OR($C911="", $K911=""), 0,
    $F911=0, 0,
    $D911&lt;&gt;"Open", 0,
    COUNTIFS(GrinderServices!$B$4:$B$998, $K911, GrinderServices!$C$4:$C$998, $E911, GrinderServices!$E$4:$E$998, "Y")=0, 0,
    $X911&lt;Config!$B$16, 0,
    Config!$B$18=1, IF($O911&gt;=N911, 0, 1),
    TRUE, 1
), "")
</f>
        <v>0</v>
      </c>
      <c r="AF911" s="40" t="str">
        <f>IFERROR(IF($AE911=0,"",((Config!$B$6*$Y911 + Config!$B$7*$U911 + Config!$B$8*$Z911 + Config!$B$9*$AA911 + Config!$B$10*$AB911 + Config!$B$11*$AC911 - Config!$B$12*$AD911)/Config!$B$13)+$AK911+$AL911),"")</f>
        <v/>
      </c>
      <c r="AG911" s="40" t="str">
        <f t="shared" si="6"/>
        <v/>
      </c>
      <c r="AH911" s="40" t="str">
        <f t="shared" si="7"/>
        <v/>
      </c>
      <c r="AI911" s="40" t="str">
        <f t="shared" si="8"/>
        <v/>
      </c>
      <c r="AJ911" s="40" t="str">
        <f>IF($K911="","",COUNTIF(Assignments!$B$6:$B$1000,$K911))</f>
        <v/>
      </c>
      <c r="AK911" s="40" t="str">
        <f>IF($K911="","",IF(AND($AJ911=0,$O911&lt;$N911),Config!$B$43,0))</f>
        <v/>
      </c>
      <c r="AL911" s="40" t="str">
        <f>IF($K911="","",IF(AND($M911="Elite",$G911&gt;=Config!$B$41,$O911&lt;$N911),Config!$B$42,0))</f>
        <v/>
      </c>
      <c r="AM911" s="22"/>
    </row>
    <row r="912" ht="15.75" customHeight="1">
      <c r="A912" s="40" t="str">
        <f t="shared" si="1"/>
        <v/>
      </c>
      <c r="B912" s="40" t="str">
        <f>IF(Bids!$A911="","",Bids!$A911)</f>
        <v/>
      </c>
      <c r="C912" s="40" t="str">
        <f>IF(Bids!$B911="","",Bids!$B911)</f>
        <v/>
      </c>
      <c r="D912" s="40" t="str">
        <f>IF($C912="","",IFERROR(VLOOKUP($C912,Orders!$A$4:$J$998,9,FALSE),""))</f>
        <v/>
      </c>
      <c r="E912" s="40" t="str">
        <f>IF($C912="","",IFERROR(VLOOKUP($C912,Orders!$A$4:$J$998,3,FALSE),""))</f>
        <v/>
      </c>
      <c r="F912" s="40">
        <f t="shared" si="2"/>
        <v>1</v>
      </c>
      <c r="G912" s="40" t="str">
        <f>IF($C912="","",IFERROR(VLOOKUP($C912,Orders!$A$4:$J$998,4,FALSE),""))</f>
        <v/>
      </c>
      <c r="H912" s="40" t="str">
        <f>IF($C912="","",IFERROR(VLOOKUP($C912,Orders!$A$4:$J$998,5,FALSE),""))</f>
        <v/>
      </c>
      <c r="I912" s="40" t="str">
        <f>IF($C912="","",IFERROR(VLOOKUP($C912,Orders!$A$4:$J$998,6,FALSE),""))</f>
        <v/>
      </c>
      <c r="J912" s="40" t="str">
        <f>IF($C912="","",IFERROR(VLOOKUP($C912,Orders!$A$4:$J$998,7,FALSE),""))</f>
        <v/>
      </c>
      <c r="K912" s="40" t="str">
        <f>IF(Bids!$C911="","",Bids!$C911)</f>
        <v/>
      </c>
      <c r="L912" s="40" t="str">
        <f>IF($K912="","",IFERROR(VLOOKUP($K912,Grinders!$A$4:$N$998,2,FALSE),""))</f>
        <v/>
      </c>
      <c r="M912" s="40" t="str">
        <f>IF($K912="","",IFERROR(VLOOKUP($K912,Grinders!$A$4:$N$998,3,FALSE),""))</f>
        <v/>
      </c>
      <c r="N912" s="40" t="str">
        <f>IF($K912="","",IFERROR(VLOOKUP($K912,Grinders!$A$4:$N$998,4,FALSE),""))</f>
        <v/>
      </c>
      <c r="O912" s="40" t="str">
        <f>IF($K912="","",IFERROR(VLOOKUP($K912,Grinders!$A$4:$N$998,5,FALSE),""))</f>
        <v/>
      </c>
      <c r="P912" s="40" t="str">
        <f>IF($K912="","",IF($C$4="",0,COUNTIFS(Assignments!$B$6:$B$1000,$K912,Assignments!$F$6:$F$1000,$C$4,Assignments!$E$6:$E$1000,"Active")))</f>
        <v/>
      </c>
      <c r="Q912" s="40" t="str">
        <f t="shared" si="3"/>
        <v/>
      </c>
      <c r="R912" s="40" t="str">
        <f t="shared" si="4"/>
        <v/>
      </c>
      <c r="S912" s="40" t="str">
        <f>IF($K912="","",IF($C$4="",0,COUNTIFS(Assignments!$B$6:$B$1000,$K912,Assignments!$F$6:$F$1000,$C$4,Assignments!$D$6:$D$1000,"&gt;="&amp;Config!$B$3-7,Assignments!$D$6:$D$1000,"&lt;="&amp;Config!$B$3)))</f>
        <v/>
      </c>
      <c r="T912" s="40" t="str">
        <f>IF($K912="","",IFERROR(VLOOKUP($K912,Grinders!$A$4:$N$998,8,FALSE),""))</f>
        <v/>
      </c>
      <c r="U912" s="40" t="str">
        <f>IFERROR(IF($K912="","",IF($M912="Elite",MAX(50,MIN(100,Config!$B$27*MAX(0,MIN(100,(1-IF($R912="",0,$R912))*100)) + Config!$B$28*MAX(0,MIN(100,(1-MIN(1,IF(Config!$B$30=0,1,$S912/Config!$B$30)))*100)) + Config!$B$29*MAX(0,MIN(100,MIN(1,IF($T912="",0,$T912)/Config!$B$23)*100)))),MIN(100,Config!$B$27*MAX(0,MIN(100,(1-IF($R912="",0,$R912))*100)) + Config!$B$28*MAX(0,MIN(100,(1-MIN(1,IF(Config!$B$30=0,1,$S912/Config!$B$30)))*100)) + Config!$B$29*MAX(0,MIN(100,MIN(1,IF($T912="",0,$T912)/Config!$B$23)*100))))),"")
</f>
        <v/>
      </c>
      <c r="V912" s="40" t="str">
        <f>IF(Bids!$D911="","",Bids!$D911)</f>
        <v/>
      </c>
      <c r="W912" s="40" t="str">
        <f>IF(Bids!$F911="","",Bids!$F911)</f>
        <v/>
      </c>
      <c r="X912" s="40" t="str">
        <f t="shared" si="5"/>
        <v/>
      </c>
      <c r="Y912" s="40" t="str">
        <f>IF($X912="","",IF(Config!$B$17=Config!$B$16,IF($X912&gt;=Config!$B$17,100,0),MAX(0,MIN(100,($X912-Config!$B$16)/(Config!$B$17-Config!$B$16)*100))))</f>
        <v/>
      </c>
      <c r="Z912" s="40">
        <f>IF($M912="Elite",Config!$B$21,0)</f>
        <v>0</v>
      </c>
      <c r="AA912" s="40" t="str">
        <f>IFERROR(IF(OR($W912="",$H912=""),"",IF($W912&gt;$H912,
  MAX(0, 60-(($W912-$H912)*24/Config!$B$19)*60),
  MIN(100, 60+(($H912-$W912)*24/Config!$B$20)*40)
)),"")
</f>
        <v/>
      </c>
      <c r="AB912" s="40" t="str">
        <f>IF($K912="","",IFERROR(VLOOKUP($K912,Grinders!$A$4:$N$998,10,FALSE)/5*100,""))</f>
        <v/>
      </c>
      <c r="AC912" s="40" t="str">
        <f>IF($K912="","",IFERROR(VLOOKUP($K912,Grinders!$A$4:$N$998,11,FALSE)*100,""))</f>
        <v/>
      </c>
      <c r="AD912" s="40" t="str">
        <f>IF($K912="","",IFERROR(VLOOKUP($K912,Grinders!$A$4:$N$998,12,FALSE)*100,""))</f>
        <v/>
      </c>
      <c r="AE912" s="40">
        <f>IFERROR(IFS(
    OR($C912="", $K912=""), 0,
    $F912=0, 0,
    $D912&lt;&gt;"Open", 0,
    COUNTIFS(GrinderServices!$B$4:$B$998, $K912, GrinderServices!$C$4:$C$998, $E912, GrinderServices!$E$4:$E$998, "Y")=0, 0,
    $X912&lt;Config!$B$16, 0,
    Config!$B$18=1, IF($O912&gt;=N912, 0, 1),
    TRUE, 1
), "")
</f>
        <v>0</v>
      </c>
      <c r="AF912" s="40" t="str">
        <f>IFERROR(IF($AE912=0,"",((Config!$B$6*$Y912 + Config!$B$7*$U912 + Config!$B$8*$Z912 + Config!$B$9*$AA912 + Config!$B$10*$AB912 + Config!$B$11*$AC912 - Config!$B$12*$AD912)/Config!$B$13)+$AK912+$AL912),"")</f>
        <v/>
      </c>
      <c r="AG912" s="40" t="str">
        <f t="shared" si="6"/>
        <v/>
      </c>
      <c r="AH912" s="40" t="str">
        <f t="shared" si="7"/>
        <v/>
      </c>
      <c r="AI912" s="40" t="str">
        <f t="shared" si="8"/>
        <v/>
      </c>
      <c r="AJ912" s="40" t="str">
        <f>IF($K912="","",COUNTIF(Assignments!$B$6:$B$1000,$K912))</f>
        <v/>
      </c>
      <c r="AK912" s="40" t="str">
        <f>IF($K912="","",IF(AND($AJ912=0,$O912&lt;$N912),Config!$B$43,0))</f>
        <v/>
      </c>
      <c r="AL912" s="40" t="str">
        <f>IF($K912="","",IF(AND($M912="Elite",$G912&gt;=Config!$B$41,$O912&lt;$N912),Config!$B$42,0))</f>
        <v/>
      </c>
      <c r="AM912" s="22"/>
    </row>
    <row r="913" ht="15.75" customHeight="1">
      <c r="A913" s="40" t="str">
        <f t="shared" si="1"/>
        <v/>
      </c>
      <c r="B913" s="40" t="str">
        <f>IF(Bids!$A912="","",Bids!$A912)</f>
        <v/>
      </c>
      <c r="C913" s="40" t="str">
        <f>IF(Bids!$B912="","",Bids!$B912)</f>
        <v/>
      </c>
      <c r="D913" s="40" t="str">
        <f>IF($C913="","",IFERROR(VLOOKUP($C913,Orders!$A$4:$J$998,9,FALSE),""))</f>
        <v/>
      </c>
      <c r="E913" s="40" t="str">
        <f>IF($C913="","",IFERROR(VLOOKUP($C913,Orders!$A$4:$J$998,3,FALSE),""))</f>
        <v/>
      </c>
      <c r="F913" s="40">
        <f t="shared" si="2"/>
        <v>1</v>
      </c>
      <c r="G913" s="40" t="str">
        <f>IF($C913="","",IFERROR(VLOOKUP($C913,Orders!$A$4:$J$998,4,FALSE),""))</f>
        <v/>
      </c>
      <c r="H913" s="40" t="str">
        <f>IF($C913="","",IFERROR(VLOOKUP($C913,Orders!$A$4:$J$998,5,FALSE),""))</f>
        <v/>
      </c>
      <c r="I913" s="40" t="str">
        <f>IF($C913="","",IFERROR(VLOOKUP($C913,Orders!$A$4:$J$998,6,FALSE),""))</f>
        <v/>
      </c>
      <c r="J913" s="40" t="str">
        <f>IF($C913="","",IFERROR(VLOOKUP($C913,Orders!$A$4:$J$998,7,FALSE),""))</f>
        <v/>
      </c>
      <c r="K913" s="40" t="str">
        <f>IF(Bids!$C912="","",Bids!$C912)</f>
        <v/>
      </c>
      <c r="L913" s="40" t="str">
        <f>IF($K913="","",IFERROR(VLOOKUP($K913,Grinders!$A$4:$N$998,2,FALSE),""))</f>
        <v/>
      </c>
      <c r="M913" s="40" t="str">
        <f>IF($K913="","",IFERROR(VLOOKUP($K913,Grinders!$A$4:$N$998,3,FALSE),""))</f>
        <v/>
      </c>
      <c r="N913" s="40" t="str">
        <f>IF($K913="","",IFERROR(VLOOKUP($K913,Grinders!$A$4:$N$998,4,FALSE),""))</f>
        <v/>
      </c>
      <c r="O913" s="40" t="str">
        <f>IF($K913="","",IFERROR(VLOOKUP($K913,Grinders!$A$4:$N$998,5,FALSE),""))</f>
        <v/>
      </c>
      <c r="P913" s="40" t="str">
        <f>IF($K913="","",IF($C$4="",0,COUNTIFS(Assignments!$B$6:$B$1000,$K913,Assignments!$F$6:$F$1000,$C$4,Assignments!$E$6:$E$1000,"Active")))</f>
        <v/>
      </c>
      <c r="Q913" s="40" t="str">
        <f t="shared" si="3"/>
        <v/>
      </c>
      <c r="R913" s="40" t="str">
        <f t="shared" si="4"/>
        <v/>
      </c>
      <c r="S913" s="40" t="str">
        <f>IF($K913="","",IF($C$4="",0,COUNTIFS(Assignments!$B$6:$B$1000,$K913,Assignments!$F$6:$F$1000,$C$4,Assignments!$D$6:$D$1000,"&gt;="&amp;Config!$B$3-7,Assignments!$D$6:$D$1000,"&lt;="&amp;Config!$B$3)))</f>
        <v/>
      </c>
      <c r="T913" s="40" t="str">
        <f>IF($K913="","",IFERROR(VLOOKUP($K913,Grinders!$A$4:$N$998,8,FALSE),""))</f>
        <v/>
      </c>
      <c r="U913" s="40" t="str">
        <f>IFERROR(IF($K913="","",IF($M913="Elite",MAX(50,MIN(100,Config!$B$27*MAX(0,MIN(100,(1-IF($R913="",0,$R913))*100)) + Config!$B$28*MAX(0,MIN(100,(1-MIN(1,IF(Config!$B$30=0,1,$S913/Config!$B$30)))*100)) + Config!$B$29*MAX(0,MIN(100,MIN(1,IF($T913="",0,$T913)/Config!$B$23)*100)))),MIN(100,Config!$B$27*MAX(0,MIN(100,(1-IF($R913="",0,$R913))*100)) + Config!$B$28*MAX(0,MIN(100,(1-MIN(1,IF(Config!$B$30=0,1,$S913/Config!$B$30)))*100)) + Config!$B$29*MAX(0,MIN(100,MIN(1,IF($T913="",0,$T913)/Config!$B$23)*100))))),"")
</f>
        <v/>
      </c>
      <c r="V913" s="40" t="str">
        <f>IF(Bids!$D912="","",Bids!$D912)</f>
        <v/>
      </c>
      <c r="W913" s="40" t="str">
        <f>IF(Bids!$F912="","",Bids!$F912)</f>
        <v/>
      </c>
      <c r="X913" s="40" t="str">
        <f t="shared" si="5"/>
        <v/>
      </c>
      <c r="Y913" s="40" t="str">
        <f>IF($X913="","",IF(Config!$B$17=Config!$B$16,IF($X913&gt;=Config!$B$17,100,0),MAX(0,MIN(100,($X913-Config!$B$16)/(Config!$B$17-Config!$B$16)*100))))</f>
        <v/>
      </c>
      <c r="Z913" s="40">
        <f>IF($M913="Elite",Config!$B$21,0)</f>
        <v>0</v>
      </c>
      <c r="AA913" s="40" t="str">
        <f>IFERROR(IF(OR($W913="",$H913=""),"",IF($W913&gt;$H913,
  MAX(0, 60-(($W913-$H913)*24/Config!$B$19)*60),
  MIN(100, 60+(($H913-$W913)*24/Config!$B$20)*40)
)),"")
</f>
        <v/>
      </c>
      <c r="AB913" s="40" t="str">
        <f>IF($K913="","",IFERROR(VLOOKUP($K913,Grinders!$A$4:$N$998,10,FALSE)/5*100,""))</f>
        <v/>
      </c>
      <c r="AC913" s="40" t="str">
        <f>IF($K913="","",IFERROR(VLOOKUP($K913,Grinders!$A$4:$N$998,11,FALSE)*100,""))</f>
        <v/>
      </c>
      <c r="AD913" s="40" t="str">
        <f>IF($K913="","",IFERROR(VLOOKUP($K913,Grinders!$A$4:$N$998,12,FALSE)*100,""))</f>
        <v/>
      </c>
      <c r="AE913" s="40">
        <f>IFERROR(IFS(
    OR($C913="", $K913=""), 0,
    $F913=0, 0,
    $D913&lt;&gt;"Open", 0,
    COUNTIFS(GrinderServices!$B$4:$B$998, $K913, GrinderServices!$C$4:$C$998, $E913, GrinderServices!$E$4:$E$998, "Y")=0, 0,
    $X913&lt;Config!$B$16, 0,
    Config!$B$18=1, IF($O913&gt;=N913, 0, 1),
    TRUE, 1
), "")
</f>
        <v>0</v>
      </c>
      <c r="AF913" s="40" t="str">
        <f>IFERROR(IF($AE913=0,"",((Config!$B$6*$Y913 + Config!$B$7*$U913 + Config!$B$8*$Z913 + Config!$B$9*$AA913 + Config!$B$10*$AB913 + Config!$B$11*$AC913 - Config!$B$12*$AD913)/Config!$B$13)+$AK913+$AL913),"")</f>
        <v/>
      </c>
      <c r="AG913" s="40" t="str">
        <f t="shared" si="6"/>
        <v/>
      </c>
      <c r="AH913" s="40" t="str">
        <f t="shared" si="7"/>
        <v/>
      </c>
      <c r="AI913" s="40" t="str">
        <f t="shared" si="8"/>
        <v/>
      </c>
      <c r="AJ913" s="40" t="str">
        <f>IF($K913="","",COUNTIF(Assignments!$B$6:$B$1000,$K913))</f>
        <v/>
      </c>
      <c r="AK913" s="40" t="str">
        <f>IF($K913="","",IF(AND($AJ913=0,$O913&lt;$N913),Config!$B$43,0))</f>
        <v/>
      </c>
      <c r="AL913" s="40" t="str">
        <f>IF($K913="","",IF(AND($M913="Elite",$G913&gt;=Config!$B$41,$O913&lt;$N913),Config!$B$42,0))</f>
        <v/>
      </c>
      <c r="AM913" s="22"/>
    </row>
    <row r="914" ht="15.75" customHeight="1">
      <c r="A914" s="40" t="str">
        <f t="shared" si="1"/>
        <v/>
      </c>
      <c r="B914" s="40" t="str">
        <f>IF(Bids!$A913="","",Bids!$A913)</f>
        <v/>
      </c>
      <c r="C914" s="40" t="str">
        <f>IF(Bids!$B913="","",Bids!$B913)</f>
        <v/>
      </c>
      <c r="D914" s="40" t="str">
        <f>IF($C914="","",IFERROR(VLOOKUP($C914,Orders!$A$4:$J$998,9,FALSE),""))</f>
        <v/>
      </c>
      <c r="E914" s="40" t="str">
        <f>IF($C914="","",IFERROR(VLOOKUP($C914,Orders!$A$4:$J$998,3,FALSE),""))</f>
        <v/>
      </c>
      <c r="F914" s="40">
        <f t="shared" si="2"/>
        <v>1</v>
      </c>
      <c r="G914" s="40" t="str">
        <f>IF($C914="","",IFERROR(VLOOKUP($C914,Orders!$A$4:$J$998,4,FALSE),""))</f>
        <v/>
      </c>
      <c r="H914" s="40" t="str">
        <f>IF($C914="","",IFERROR(VLOOKUP($C914,Orders!$A$4:$J$998,5,FALSE),""))</f>
        <v/>
      </c>
      <c r="I914" s="40" t="str">
        <f>IF($C914="","",IFERROR(VLOOKUP($C914,Orders!$A$4:$J$998,6,FALSE),""))</f>
        <v/>
      </c>
      <c r="J914" s="40" t="str">
        <f>IF($C914="","",IFERROR(VLOOKUP($C914,Orders!$A$4:$J$998,7,FALSE),""))</f>
        <v/>
      </c>
      <c r="K914" s="40" t="str">
        <f>IF(Bids!$C913="","",Bids!$C913)</f>
        <v/>
      </c>
      <c r="L914" s="40" t="str">
        <f>IF($K914="","",IFERROR(VLOOKUP($K914,Grinders!$A$4:$N$998,2,FALSE),""))</f>
        <v/>
      </c>
      <c r="M914" s="40" t="str">
        <f>IF($K914="","",IFERROR(VLOOKUP($K914,Grinders!$A$4:$N$998,3,FALSE),""))</f>
        <v/>
      </c>
      <c r="N914" s="40" t="str">
        <f>IF($K914="","",IFERROR(VLOOKUP($K914,Grinders!$A$4:$N$998,4,FALSE),""))</f>
        <v/>
      </c>
      <c r="O914" s="40" t="str">
        <f>IF($K914="","",IFERROR(VLOOKUP($K914,Grinders!$A$4:$N$998,5,FALSE),""))</f>
        <v/>
      </c>
      <c r="P914" s="40" t="str">
        <f>IF($K914="","",IF($C$4="",0,COUNTIFS(Assignments!$B$6:$B$1000,$K914,Assignments!$F$6:$F$1000,$C$4,Assignments!$E$6:$E$1000,"Active")))</f>
        <v/>
      </c>
      <c r="Q914" s="40" t="str">
        <f t="shared" si="3"/>
        <v/>
      </c>
      <c r="R914" s="40" t="str">
        <f t="shared" si="4"/>
        <v/>
      </c>
      <c r="S914" s="40" t="str">
        <f>IF($K914="","",IF($C$4="",0,COUNTIFS(Assignments!$B$6:$B$1000,$K914,Assignments!$F$6:$F$1000,$C$4,Assignments!$D$6:$D$1000,"&gt;="&amp;Config!$B$3-7,Assignments!$D$6:$D$1000,"&lt;="&amp;Config!$B$3)))</f>
        <v/>
      </c>
      <c r="T914" s="40" t="str">
        <f>IF($K914="","",IFERROR(VLOOKUP($K914,Grinders!$A$4:$N$998,8,FALSE),""))</f>
        <v/>
      </c>
      <c r="U914" s="40" t="str">
        <f>IFERROR(IF($K914="","",IF($M914="Elite",MAX(50,MIN(100,Config!$B$27*MAX(0,MIN(100,(1-IF($R914="",0,$R914))*100)) + Config!$B$28*MAX(0,MIN(100,(1-MIN(1,IF(Config!$B$30=0,1,$S914/Config!$B$30)))*100)) + Config!$B$29*MAX(0,MIN(100,MIN(1,IF($T914="",0,$T914)/Config!$B$23)*100)))),MIN(100,Config!$B$27*MAX(0,MIN(100,(1-IF($R914="",0,$R914))*100)) + Config!$B$28*MAX(0,MIN(100,(1-MIN(1,IF(Config!$B$30=0,1,$S914/Config!$B$30)))*100)) + Config!$B$29*MAX(0,MIN(100,MIN(1,IF($T914="",0,$T914)/Config!$B$23)*100))))),"")
</f>
        <v/>
      </c>
      <c r="V914" s="40" t="str">
        <f>IF(Bids!$D913="","",Bids!$D913)</f>
        <v/>
      </c>
      <c r="W914" s="40" t="str">
        <f>IF(Bids!$F913="","",Bids!$F913)</f>
        <v/>
      </c>
      <c r="X914" s="40" t="str">
        <f t="shared" si="5"/>
        <v/>
      </c>
      <c r="Y914" s="40" t="str">
        <f>IF($X914="","",IF(Config!$B$17=Config!$B$16,IF($X914&gt;=Config!$B$17,100,0),MAX(0,MIN(100,($X914-Config!$B$16)/(Config!$B$17-Config!$B$16)*100))))</f>
        <v/>
      </c>
      <c r="Z914" s="40">
        <f>IF($M914="Elite",Config!$B$21,0)</f>
        <v>0</v>
      </c>
      <c r="AA914" s="40" t="str">
        <f>IFERROR(IF(OR($W914="",$H914=""),"",IF($W914&gt;$H914,
  MAX(0, 60-(($W914-$H914)*24/Config!$B$19)*60),
  MIN(100, 60+(($H914-$W914)*24/Config!$B$20)*40)
)),"")
</f>
        <v/>
      </c>
      <c r="AB914" s="40" t="str">
        <f>IF($K914="","",IFERROR(VLOOKUP($K914,Grinders!$A$4:$N$998,10,FALSE)/5*100,""))</f>
        <v/>
      </c>
      <c r="AC914" s="40" t="str">
        <f>IF($K914="","",IFERROR(VLOOKUP($K914,Grinders!$A$4:$N$998,11,FALSE)*100,""))</f>
        <v/>
      </c>
      <c r="AD914" s="40" t="str">
        <f>IF($K914="","",IFERROR(VLOOKUP($K914,Grinders!$A$4:$N$998,12,FALSE)*100,""))</f>
        <v/>
      </c>
      <c r="AE914" s="40">
        <f>IFERROR(IFS(
    OR($C914="", $K914=""), 0,
    $F914=0, 0,
    $D914&lt;&gt;"Open", 0,
    COUNTIFS(GrinderServices!$B$4:$B$998, $K914, GrinderServices!$C$4:$C$998, $E914, GrinderServices!$E$4:$E$998, "Y")=0, 0,
    $X914&lt;Config!$B$16, 0,
    Config!$B$18=1, IF($O914&gt;=N914, 0, 1),
    TRUE, 1
), "")
</f>
        <v>0</v>
      </c>
      <c r="AF914" s="40" t="str">
        <f>IFERROR(IF($AE914=0,"",((Config!$B$6*$Y914 + Config!$B$7*$U914 + Config!$B$8*$Z914 + Config!$B$9*$AA914 + Config!$B$10*$AB914 + Config!$B$11*$AC914 - Config!$B$12*$AD914)/Config!$B$13)+$AK914+$AL914),"")</f>
        <v/>
      </c>
      <c r="AG914" s="40" t="str">
        <f t="shared" si="6"/>
        <v/>
      </c>
      <c r="AH914" s="40" t="str">
        <f t="shared" si="7"/>
        <v/>
      </c>
      <c r="AI914" s="40" t="str">
        <f t="shared" si="8"/>
        <v/>
      </c>
      <c r="AJ914" s="40" t="str">
        <f>IF($K914="","",COUNTIF(Assignments!$B$6:$B$1000,$K914))</f>
        <v/>
      </c>
      <c r="AK914" s="40" t="str">
        <f>IF($K914="","",IF(AND($AJ914=0,$O914&lt;$N914),Config!$B$43,0))</f>
        <v/>
      </c>
      <c r="AL914" s="40" t="str">
        <f>IF($K914="","",IF(AND($M914="Elite",$G914&gt;=Config!$B$41,$O914&lt;$N914),Config!$B$42,0))</f>
        <v/>
      </c>
      <c r="AM914" s="22"/>
    </row>
    <row r="915" ht="15.75" customHeight="1">
      <c r="A915" s="40" t="str">
        <f t="shared" si="1"/>
        <v/>
      </c>
      <c r="B915" s="40" t="str">
        <f>IF(Bids!$A914="","",Bids!$A914)</f>
        <v/>
      </c>
      <c r="C915" s="40" t="str">
        <f>IF(Bids!$B914="","",Bids!$B914)</f>
        <v/>
      </c>
      <c r="D915" s="40" t="str">
        <f>IF($C915="","",IFERROR(VLOOKUP($C915,Orders!$A$4:$J$998,9,FALSE),""))</f>
        <v/>
      </c>
      <c r="E915" s="40" t="str">
        <f>IF($C915="","",IFERROR(VLOOKUP($C915,Orders!$A$4:$J$998,3,FALSE),""))</f>
        <v/>
      </c>
      <c r="F915" s="40">
        <f t="shared" si="2"/>
        <v>1</v>
      </c>
      <c r="G915" s="40" t="str">
        <f>IF($C915="","",IFERROR(VLOOKUP($C915,Orders!$A$4:$J$998,4,FALSE),""))</f>
        <v/>
      </c>
      <c r="H915" s="40" t="str">
        <f>IF($C915="","",IFERROR(VLOOKUP($C915,Orders!$A$4:$J$998,5,FALSE),""))</f>
        <v/>
      </c>
      <c r="I915" s="40" t="str">
        <f>IF($C915="","",IFERROR(VLOOKUP($C915,Orders!$A$4:$J$998,6,FALSE),""))</f>
        <v/>
      </c>
      <c r="J915" s="40" t="str">
        <f>IF($C915="","",IFERROR(VLOOKUP($C915,Orders!$A$4:$J$998,7,FALSE),""))</f>
        <v/>
      </c>
      <c r="K915" s="40" t="str">
        <f>IF(Bids!$C914="","",Bids!$C914)</f>
        <v/>
      </c>
      <c r="L915" s="40" t="str">
        <f>IF($K915="","",IFERROR(VLOOKUP($K915,Grinders!$A$4:$N$998,2,FALSE),""))</f>
        <v/>
      </c>
      <c r="M915" s="40" t="str">
        <f>IF($K915="","",IFERROR(VLOOKUP($K915,Grinders!$A$4:$N$998,3,FALSE),""))</f>
        <v/>
      </c>
      <c r="N915" s="40" t="str">
        <f>IF($K915="","",IFERROR(VLOOKUP($K915,Grinders!$A$4:$N$998,4,FALSE),""))</f>
        <v/>
      </c>
      <c r="O915" s="40" t="str">
        <f>IF($K915="","",IFERROR(VLOOKUP($K915,Grinders!$A$4:$N$998,5,FALSE),""))</f>
        <v/>
      </c>
      <c r="P915" s="40" t="str">
        <f>IF($K915="","",IF($C$4="",0,COUNTIFS(Assignments!$B$6:$B$1000,$K915,Assignments!$F$6:$F$1000,$C$4,Assignments!$E$6:$E$1000,"Active")))</f>
        <v/>
      </c>
      <c r="Q915" s="40" t="str">
        <f t="shared" si="3"/>
        <v/>
      </c>
      <c r="R915" s="40" t="str">
        <f t="shared" si="4"/>
        <v/>
      </c>
      <c r="S915" s="40" t="str">
        <f>IF($K915="","",IF($C$4="",0,COUNTIFS(Assignments!$B$6:$B$1000,$K915,Assignments!$F$6:$F$1000,$C$4,Assignments!$D$6:$D$1000,"&gt;="&amp;Config!$B$3-7,Assignments!$D$6:$D$1000,"&lt;="&amp;Config!$B$3)))</f>
        <v/>
      </c>
      <c r="T915" s="40" t="str">
        <f>IF($K915="","",IFERROR(VLOOKUP($K915,Grinders!$A$4:$N$998,8,FALSE),""))</f>
        <v/>
      </c>
      <c r="U915" s="40" t="str">
        <f>IFERROR(IF($K915="","",IF($M915="Elite",MAX(50,MIN(100,Config!$B$27*MAX(0,MIN(100,(1-IF($R915="",0,$R915))*100)) + Config!$B$28*MAX(0,MIN(100,(1-MIN(1,IF(Config!$B$30=0,1,$S915/Config!$B$30)))*100)) + Config!$B$29*MAX(0,MIN(100,MIN(1,IF($T915="",0,$T915)/Config!$B$23)*100)))),MIN(100,Config!$B$27*MAX(0,MIN(100,(1-IF($R915="",0,$R915))*100)) + Config!$B$28*MAX(0,MIN(100,(1-MIN(1,IF(Config!$B$30=0,1,$S915/Config!$B$30)))*100)) + Config!$B$29*MAX(0,MIN(100,MIN(1,IF($T915="",0,$T915)/Config!$B$23)*100))))),"")
</f>
        <v/>
      </c>
      <c r="V915" s="40" t="str">
        <f>IF(Bids!$D914="","",Bids!$D914)</f>
        <v/>
      </c>
      <c r="W915" s="40" t="str">
        <f>IF(Bids!$F914="","",Bids!$F914)</f>
        <v/>
      </c>
      <c r="X915" s="40" t="str">
        <f t="shared" si="5"/>
        <v/>
      </c>
      <c r="Y915" s="40" t="str">
        <f>IF($X915="","",IF(Config!$B$17=Config!$B$16,IF($X915&gt;=Config!$B$17,100,0),MAX(0,MIN(100,($X915-Config!$B$16)/(Config!$B$17-Config!$B$16)*100))))</f>
        <v/>
      </c>
      <c r="Z915" s="40">
        <f>IF($M915="Elite",Config!$B$21,0)</f>
        <v>0</v>
      </c>
      <c r="AA915" s="40" t="str">
        <f>IFERROR(IF(OR($W915="",$H915=""),"",IF($W915&gt;$H915,
  MAX(0, 60-(($W915-$H915)*24/Config!$B$19)*60),
  MIN(100, 60+(($H915-$W915)*24/Config!$B$20)*40)
)),"")
</f>
        <v/>
      </c>
      <c r="AB915" s="40" t="str">
        <f>IF($K915="","",IFERROR(VLOOKUP($K915,Grinders!$A$4:$N$998,10,FALSE)/5*100,""))</f>
        <v/>
      </c>
      <c r="AC915" s="40" t="str">
        <f>IF($K915="","",IFERROR(VLOOKUP($K915,Grinders!$A$4:$N$998,11,FALSE)*100,""))</f>
        <v/>
      </c>
      <c r="AD915" s="40" t="str">
        <f>IF($K915="","",IFERROR(VLOOKUP($K915,Grinders!$A$4:$N$998,12,FALSE)*100,""))</f>
        <v/>
      </c>
      <c r="AE915" s="40">
        <f>IFERROR(IFS(
    OR($C915="", $K915=""), 0,
    $F915=0, 0,
    $D915&lt;&gt;"Open", 0,
    COUNTIFS(GrinderServices!$B$4:$B$998, $K915, GrinderServices!$C$4:$C$998, $E915, GrinderServices!$E$4:$E$998, "Y")=0, 0,
    $X915&lt;Config!$B$16, 0,
    Config!$B$18=1, IF($O915&gt;=N915, 0, 1),
    TRUE, 1
), "")
</f>
        <v>0</v>
      </c>
      <c r="AF915" s="40" t="str">
        <f>IFERROR(IF($AE915=0,"",((Config!$B$6*$Y915 + Config!$B$7*$U915 + Config!$B$8*$Z915 + Config!$B$9*$AA915 + Config!$B$10*$AB915 + Config!$B$11*$AC915 - Config!$B$12*$AD915)/Config!$B$13)+$AK915+$AL915),"")</f>
        <v/>
      </c>
      <c r="AG915" s="40" t="str">
        <f t="shared" si="6"/>
        <v/>
      </c>
      <c r="AH915" s="40" t="str">
        <f t="shared" si="7"/>
        <v/>
      </c>
      <c r="AI915" s="40" t="str">
        <f t="shared" si="8"/>
        <v/>
      </c>
      <c r="AJ915" s="40" t="str">
        <f>IF($K915="","",COUNTIF(Assignments!$B$6:$B$1000,$K915))</f>
        <v/>
      </c>
      <c r="AK915" s="40" t="str">
        <f>IF($K915="","",IF(AND($AJ915=0,$O915&lt;$N915),Config!$B$43,0))</f>
        <v/>
      </c>
      <c r="AL915" s="40" t="str">
        <f>IF($K915="","",IF(AND($M915="Elite",$G915&gt;=Config!$B$41,$O915&lt;$N915),Config!$B$42,0))</f>
        <v/>
      </c>
      <c r="AM915" s="22"/>
    </row>
    <row r="916" ht="15.75" customHeight="1">
      <c r="A916" s="40" t="str">
        <f t="shared" si="1"/>
        <v/>
      </c>
      <c r="B916" s="40" t="str">
        <f>IF(Bids!$A915="","",Bids!$A915)</f>
        <v/>
      </c>
      <c r="C916" s="40" t="str">
        <f>IF(Bids!$B915="","",Bids!$B915)</f>
        <v/>
      </c>
      <c r="D916" s="40" t="str">
        <f>IF($C916="","",IFERROR(VLOOKUP($C916,Orders!$A$4:$J$998,9,FALSE),""))</f>
        <v/>
      </c>
      <c r="E916" s="40" t="str">
        <f>IF($C916="","",IFERROR(VLOOKUP($C916,Orders!$A$4:$J$998,3,FALSE),""))</f>
        <v/>
      </c>
      <c r="F916" s="40">
        <f t="shared" si="2"/>
        <v>1</v>
      </c>
      <c r="G916" s="40" t="str">
        <f>IF($C916="","",IFERROR(VLOOKUP($C916,Orders!$A$4:$J$998,4,FALSE),""))</f>
        <v/>
      </c>
      <c r="H916" s="40" t="str">
        <f>IF($C916="","",IFERROR(VLOOKUP($C916,Orders!$A$4:$J$998,5,FALSE),""))</f>
        <v/>
      </c>
      <c r="I916" s="40" t="str">
        <f>IF($C916="","",IFERROR(VLOOKUP($C916,Orders!$A$4:$J$998,6,FALSE),""))</f>
        <v/>
      </c>
      <c r="J916" s="40" t="str">
        <f>IF($C916="","",IFERROR(VLOOKUP($C916,Orders!$A$4:$J$998,7,FALSE),""))</f>
        <v/>
      </c>
      <c r="K916" s="40" t="str">
        <f>IF(Bids!$C915="","",Bids!$C915)</f>
        <v/>
      </c>
      <c r="L916" s="40" t="str">
        <f>IF($K916="","",IFERROR(VLOOKUP($K916,Grinders!$A$4:$N$998,2,FALSE),""))</f>
        <v/>
      </c>
      <c r="M916" s="40" t="str">
        <f>IF($K916="","",IFERROR(VLOOKUP($K916,Grinders!$A$4:$N$998,3,FALSE),""))</f>
        <v/>
      </c>
      <c r="N916" s="40" t="str">
        <f>IF($K916="","",IFERROR(VLOOKUP($K916,Grinders!$A$4:$N$998,4,FALSE),""))</f>
        <v/>
      </c>
      <c r="O916" s="40" t="str">
        <f>IF($K916="","",IFERROR(VLOOKUP($K916,Grinders!$A$4:$N$998,5,FALSE),""))</f>
        <v/>
      </c>
      <c r="P916" s="40" t="str">
        <f>IF($K916="","",IF($C$4="",0,COUNTIFS(Assignments!$B$6:$B$1000,$K916,Assignments!$F$6:$F$1000,$C$4,Assignments!$E$6:$E$1000,"Active")))</f>
        <v/>
      </c>
      <c r="Q916" s="40" t="str">
        <f t="shared" si="3"/>
        <v/>
      </c>
      <c r="R916" s="40" t="str">
        <f t="shared" si="4"/>
        <v/>
      </c>
      <c r="S916" s="40" t="str">
        <f>IF($K916="","",IF($C$4="",0,COUNTIFS(Assignments!$B$6:$B$1000,$K916,Assignments!$F$6:$F$1000,$C$4,Assignments!$D$6:$D$1000,"&gt;="&amp;Config!$B$3-7,Assignments!$D$6:$D$1000,"&lt;="&amp;Config!$B$3)))</f>
        <v/>
      </c>
      <c r="T916" s="40" t="str">
        <f>IF($K916="","",IFERROR(VLOOKUP($K916,Grinders!$A$4:$N$998,8,FALSE),""))</f>
        <v/>
      </c>
      <c r="U916" s="40" t="str">
        <f>IFERROR(IF($K916="","",IF($M916="Elite",MAX(50,MIN(100,Config!$B$27*MAX(0,MIN(100,(1-IF($R916="",0,$R916))*100)) + Config!$B$28*MAX(0,MIN(100,(1-MIN(1,IF(Config!$B$30=0,1,$S916/Config!$B$30)))*100)) + Config!$B$29*MAX(0,MIN(100,MIN(1,IF($T916="",0,$T916)/Config!$B$23)*100)))),MIN(100,Config!$B$27*MAX(0,MIN(100,(1-IF($R916="",0,$R916))*100)) + Config!$B$28*MAX(0,MIN(100,(1-MIN(1,IF(Config!$B$30=0,1,$S916/Config!$B$30)))*100)) + Config!$B$29*MAX(0,MIN(100,MIN(1,IF($T916="",0,$T916)/Config!$B$23)*100))))),"")
</f>
        <v/>
      </c>
      <c r="V916" s="40" t="str">
        <f>IF(Bids!$D915="","",Bids!$D915)</f>
        <v/>
      </c>
      <c r="W916" s="40" t="str">
        <f>IF(Bids!$F915="","",Bids!$F915)</f>
        <v/>
      </c>
      <c r="X916" s="40" t="str">
        <f t="shared" si="5"/>
        <v/>
      </c>
      <c r="Y916" s="40" t="str">
        <f>IF($X916="","",IF(Config!$B$17=Config!$B$16,IF($X916&gt;=Config!$B$17,100,0),MAX(0,MIN(100,($X916-Config!$B$16)/(Config!$B$17-Config!$B$16)*100))))</f>
        <v/>
      </c>
      <c r="Z916" s="40">
        <f>IF($M916="Elite",Config!$B$21,0)</f>
        <v>0</v>
      </c>
      <c r="AA916" s="40" t="str">
        <f>IFERROR(IF(OR($W916="",$H916=""),"",IF($W916&gt;$H916,
  MAX(0, 60-(($W916-$H916)*24/Config!$B$19)*60),
  MIN(100, 60+(($H916-$W916)*24/Config!$B$20)*40)
)),"")
</f>
        <v/>
      </c>
      <c r="AB916" s="40" t="str">
        <f>IF($K916="","",IFERROR(VLOOKUP($K916,Grinders!$A$4:$N$998,10,FALSE)/5*100,""))</f>
        <v/>
      </c>
      <c r="AC916" s="40" t="str">
        <f>IF($K916="","",IFERROR(VLOOKUP($K916,Grinders!$A$4:$N$998,11,FALSE)*100,""))</f>
        <v/>
      </c>
      <c r="AD916" s="40" t="str">
        <f>IF($K916="","",IFERROR(VLOOKUP($K916,Grinders!$A$4:$N$998,12,FALSE)*100,""))</f>
        <v/>
      </c>
      <c r="AE916" s="40">
        <f>IFERROR(IFS(
    OR($C916="", $K916=""), 0,
    $F916=0, 0,
    $D916&lt;&gt;"Open", 0,
    COUNTIFS(GrinderServices!$B$4:$B$998, $K916, GrinderServices!$C$4:$C$998, $E916, GrinderServices!$E$4:$E$998, "Y")=0, 0,
    $X916&lt;Config!$B$16, 0,
    Config!$B$18=1, IF($O916&gt;=N916, 0, 1),
    TRUE, 1
), "")
</f>
        <v>0</v>
      </c>
      <c r="AF916" s="40" t="str">
        <f>IFERROR(IF($AE916=0,"",((Config!$B$6*$Y916 + Config!$B$7*$U916 + Config!$B$8*$Z916 + Config!$B$9*$AA916 + Config!$B$10*$AB916 + Config!$B$11*$AC916 - Config!$B$12*$AD916)/Config!$B$13)+$AK916+$AL916),"")</f>
        <v/>
      </c>
      <c r="AG916" s="40" t="str">
        <f t="shared" si="6"/>
        <v/>
      </c>
      <c r="AH916" s="40" t="str">
        <f t="shared" si="7"/>
        <v/>
      </c>
      <c r="AI916" s="40" t="str">
        <f t="shared" si="8"/>
        <v/>
      </c>
      <c r="AJ916" s="40" t="str">
        <f>IF($K916="","",COUNTIF(Assignments!$B$6:$B$1000,$K916))</f>
        <v/>
      </c>
      <c r="AK916" s="40" t="str">
        <f>IF($K916="","",IF(AND($AJ916=0,$O916&lt;$N916),Config!$B$43,0))</f>
        <v/>
      </c>
      <c r="AL916" s="40" t="str">
        <f>IF($K916="","",IF(AND($M916="Elite",$G916&gt;=Config!$B$41,$O916&lt;$N916),Config!$B$42,0))</f>
        <v/>
      </c>
      <c r="AM916" s="22"/>
    </row>
    <row r="917" ht="15.75" customHeight="1">
      <c r="A917" s="40" t="str">
        <f t="shared" si="1"/>
        <v/>
      </c>
      <c r="B917" s="40" t="str">
        <f>IF(Bids!$A916="","",Bids!$A916)</f>
        <v/>
      </c>
      <c r="C917" s="40" t="str">
        <f>IF(Bids!$B916="","",Bids!$B916)</f>
        <v/>
      </c>
      <c r="D917" s="40" t="str">
        <f>IF($C917="","",IFERROR(VLOOKUP($C917,Orders!$A$4:$J$998,9,FALSE),""))</f>
        <v/>
      </c>
      <c r="E917" s="40" t="str">
        <f>IF($C917="","",IFERROR(VLOOKUP($C917,Orders!$A$4:$J$998,3,FALSE),""))</f>
        <v/>
      </c>
      <c r="F917" s="40">
        <f t="shared" si="2"/>
        <v>1</v>
      </c>
      <c r="G917" s="40" t="str">
        <f>IF($C917="","",IFERROR(VLOOKUP($C917,Orders!$A$4:$J$998,4,FALSE),""))</f>
        <v/>
      </c>
      <c r="H917" s="40" t="str">
        <f>IF($C917="","",IFERROR(VLOOKUP($C917,Orders!$A$4:$J$998,5,FALSE),""))</f>
        <v/>
      </c>
      <c r="I917" s="40" t="str">
        <f>IF($C917="","",IFERROR(VLOOKUP($C917,Orders!$A$4:$J$998,6,FALSE),""))</f>
        <v/>
      </c>
      <c r="J917" s="40" t="str">
        <f>IF($C917="","",IFERROR(VLOOKUP($C917,Orders!$A$4:$J$998,7,FALSE),""))</f>
        <v/>
      </c>
      <c r="K917" s="40" t="str">
        <f>IF(Bids!$C916="","",Bids!$C916)</f>
        <v/>
      </c>
      <c r="L917" s="40" t="str">
        <f>IF($K917="","",IFERROR(VLOOKUP($K917,Grinders!$A$4:$N$998,2,FALSE),""))</f>
        <v/>
      </c>
      <c r="M917" s="40" t="str">
        <f>IF($K917="","",IFERROR(VLOOKUP($K917,Grinders!$A$4:$N$998,3,FALSE),""))</f>
        <v/>
      </c>
      <c r="N917" s="40" t="str">
        <f>IF($K917="","",IFERROR(VLOOKUP($K917,Grinders!$A$4:$N$998,4,FALSE),""))</f>
        <v/>
      </c>
      <c r="O917" s="40" t="str">
        <f>IF($K917="","",IFERROR(VLOOKUP($K917,Grinders!$A$4:$N$998,5,FALSE),""))</f>
        <v/>
      </c>
      <c r="P917" s="40" t="str">
        <f>IF($K917="","",IF($C$4="",0,COUNTIFS(Assignments!$B$6:$B$1000,$K917,Assignments!$F$6:$F$1000,$C$4,Assignments!$E$6:$E$1000,"Active")))</f>
        <v/>
      </c>
      <c r="Q917" s="40" t="str">
        <f t="shared" si="3"/>
        <v/>
      </c>
      <c r="R917" s="40" t="str">
        <f t="shared" si="4"/>
        <v/>
      </c>
      <c r="S917" s="40" t="str">
        <f>IF($K917="","",IF($C$4="",0,COUNTIFS(Assignments!$B$6:$B$1000,$K917,Assignments!$F$6:$F$1000,$C$4,Assignments!$D$6:$D$1000,"&gt;="&amp;Config!$B$3-7,Assignments!$D$6:$D$1000,"&lt;="&amp;Config!$B$3)))</f>
        <v/>
      </c>
      <c r="T917" s="40" t="str">
        <f>IF($K917="","",IFERROR(VLOOKUP($K917,Grinders!$A$4:$N$998,8,FALSE),""))</f>
        <v/>
      </c>
      <c r="U917" s="40" t="str">
        <f>IFERROR(IF($K917="","",IF($M917="Elite",MAX(50,MIN(100,Config!$B$27*MAX(0,MIN(100,(1-IF($R917="",0,$R917))*100)) + Config!$B$28*MAX(0,MIN(100,(1-MIN(1,IF(Config!$B$30=0,1,$S917/Config!$B$30)))*100)) + Config!$B$29*MAX(0,MIN(100,MIN(1,IF($T917="",0,$T917)/Config!$B$23)*100)))),MIN(100,Config!$B$27*MAX(0,MIN(100,(1-IF($R917="",0,$R917))*100)) + Config!$B$28*MAX(0,MIN(100,(1-MIN(1,IF(Config!$B$30=0,1,$S917/Config!$B$30)))*100)) + Config!$B$29*MAX(0,MIN(100,MIN(1,IF($T917="",0,$T917)/Config!$B$23)*100))))),"")
</f>
        <v/>
      </c>
      <c r="V917" s="40" t="str">
        <f>IF(Bids!$D916="","",Bids!$D916)</f>
        <v/>
      </c>
      <c r="W917" s="40" t="str">
        <f>IF(Bids!$F916="","",Bids!$F916)</f>
        <v/>
      </c>
      <c r="X917" s="40" t="str">
        <f t="shared" si="5"/>
        <v/>
      </c>
      <c r="Y917" s="40" t="str">
        <f>IF($X917="","",IF(Config!$B$17=Config!$B$16,IF($X917&gt;=Config!$B$17,100,0),MAX(0,MIN(100,($X917-Config!$B$16)/(Config!$B$17-Config!$B$16)*100))))</f>
        <v/>
      </c>
      <c r="Z917" s="40">
        <f>IF($M917="Elite",Config!$B$21,0)</f>
        <v>0</v>
      </c>
      <c r="AA917" s="40" t="str">
        <f>IFERROR(IF(OR($W917="",$H917=""),"",IF($W917&gt;$H917,
  MAX(0, 60-(($W917-$H917)*24/Config!$B$19)*60),
  MIN(100, 60+(($H917-$W917)*24/Config!$B$20)*40)
)),"")
</f>
        <v/>
      </c>
      <c r="AB917" s="40" t="str">
        <f>IF($K917="","",IFERROR(VLOOKUP($K917,Grinders!$A$4:$N$998,10,FALSE)/5*100,""))</f>
        <v/>
      </c>
      <c r="AC917" s="40" t="str">
        <f>IF($K917="","",IFERROR(VLOOKUP($K917,Grinders!$A$4:$N$998,11,FALSE)*100,""))</f>
        <v/>
      </c>
      <c r="AD917" s="40" t="str">
        <f>IF($K917="","",IFERROR(VLOOKUP($K917,Grinders!$A$4:$N$998,12,FALSE)*100,""))</f>
        <v/>
      </c>
      <c r="AE917" s="40">
        <f>IFERROR(IFS(
    OR($C917="", $K917=""), 0,
    $F917=0, 0,
    $D917&lt;&gt;"Open", 0,
    COUNTIFS(GrinderServices!$B$4:$B$998, $K917, GrinderServices!$C$4:$C$998, $E917, GrinderServices!$E$4:$E$998, "Y")=0, 0,
    $X917&lt;Config!$B$16, 0,
    Config!$B$18=1, IF($O917&gt;=N917, 0, 1),
    TRUE, 1
), "")
</f>
        <v>0</v>
      </c>
      <c r="AF917" s="40" t="str">
        <f>IFERROR(IF($AE917=0,"",((Config!$B$6*$Y917 + Config!$B$7*$U917 + Config!$B$8*$Z917 + Config!$B$9*$AA917 + Config!$B$10*$AB917 + Config!$B$11*$AC917 - Config!$B$12*$AD917)/Config!$B$13)+$AK917+$AL917),"")</f>
        <v/>
      </c>
      <c r="AG917" s="40" t="str">
        <f t="shared" si="6"/>
        <v/>
      </c>
      <c r="AH917" s="40" t="str">
        <f t="shared" si="7"/>
        <v/>
      </c>
      <c r="AI917" s="40" t="str">
        <f t="shared" si="8"/>
        <v/>
      </c>
      <c r="AJ917" s="40" t="str">
        <f>IF($K917="","",COUNTIF(Assignments!$B$6:$B$1000,$K917))</f>
        <v/>
      </c>
      <c r="AK917" s="40" t="str">
        <f>IF($K917="","",IF(AND($AJ917=0,$O917&lt;$N917),Config!$B$43,0))</f>
        <v/>
      </c>
      <c r="AL917" s="40" t="str">
        <f>IF($K917="","",IF(AND($M917="Elite",$G917&gt;=Config!$B$41,$O917&lt;$N917),Config!$B$42,0))</f>
        <v/>
      </c>
      <c r="AM917" s="22"/>
    </row>
    <row r="918" ht="15.75" customHeight="1">
      <c r="A918" s="40" t="str">
        <f t="shared" si="1"/>
        <v/>
      </c>
      <c r="B918" s="40" t="str">
        <f>IF(Bids!$A917="","",Bids!$A917)</f>
        <v/>
      </c>
      <c r="C918" s="40" t="str">
        <f>IF(Bids!$B917="","",Bids!$B917)</f>
        <v/>
      </c>
      <c r="D918" s="40" t="str">
        <f>IF($C918="","",IFERROR(VLOOKUP($C918,Orders!$A$4:$J$998,9,FALSE),""))</f>
        <v/>
      </c>
      <c r="E918" s="40" t="str">
        <f>IF($C918="","",IFERROR(VLOOKUP($C918,Orders!$A$4:$J$998,3,FALSE),""))</f>
        <v/>
      </c>
      <c r="F918" s="40">
        <f t="shared" si="2"/>
        <v>1</v>
      </c>
      <c r="G918" s="40" t="str">
        <f>IF($C918="","",IFERROR(VLOOKUP($C918,Orders!$A$4:$J$998,4,FALSE),""))</f>
        <v/>
      </c>
      <c r="H918" s="40" t="str">
        <f>IF($C918="","",IFERROR(VLOOKUP($C918,Orders!$A$4:$J$998,5,FALSE),""))</f>
        <v/>
      </c>
      <c r="I918" s="40" t="str">
        <f>IF($C918="","",IFERROR(VLOOKUP($C918,Orders!$A$4:$J$998,6,FALSE),""))</f>
        <v/>
      </c>
      <c r="J918" s="40" t="str">
        <f>IF($C918="","",IFERROR(VLOOKUP($C918,Orders!$A$4:$J$998,7,FALSE),""))</f>
        <v/>
      </c>
      <c r="K918" s="40" t="str">
        <f>IF(Bids!$C917="","",Bids!$C917)</f>
        <v/>
      </c>
      <c r="L918" s="40" t="str">
        <f>IF($K918="","",IFERROR(VLOOKUP($K918,Grinders!$A$4:$N$998,2,FALSE),""))</f>
        <v/>
      </c>
      <c r="M918" s="40" t="str">
        <f>IF($K918="","",IFERROR(VLOOKUP($K918,Grinders!$A$4:$N$998,3,FALSE),""))</f>
        <v/>
      </c>
      <c r="N918" s="40" t="str">
        <f>IF($K918="","",IFERROR(VLOOKUP($K918,Grinders!$A$4:$N$998,4,FALSE),""))</f>
        <v/>
      </c>
      <c r="O918" s="40" t="str">
        <f>IF($K918="","",IFERROR(VLOOKUP($K918,Grinders!$A$4:$N$998,5,FALSE),""))</f>
        <v/>
      </c>
      <c r="P918" s="40" t="str">
        <f>IF($K918="","",IF($C$4="",0,COUNTIFS(Assignments!$B$6:$B$1000,$K918,Assignments!$F$6:$F$1000,$C$4,Assignments!$E$6:$E$1000,"Active")))</f>
        <v/>
      </c>
      <c r="Q918" s="40" t="str">
        <f t="shared" si="3"/>
        <v/>
      </c>
      <c r="R918" s="40" t="str">
        <f t="shared" si="4"/>
        <v/>
      </c>
      <c r="S918" s="40" t="str">
        <f>IF($K918="","",IF($C$4="",0,COUNTIFS(Assignments!$B$6:$B$1000,$K918,Assignments!$F$6:$F$1000,$C$4,Assignments!$D$6:$D$1000,"&gt;="&amp;Config!$B$3-7,Assignments!$D$6:$D$1000,"&lt;="&amp;Config!$B$3)))</f>
        <v/>
      </c>
      <c r="T918" s="40" t="str">
        <f>IF($K918="","",IFERROR(VLOOKUP($K918,Grinders!$A$4:$N$998,8,FALSE),""))</f>
        <v/>
      </c>
      <c r="U918" s="40" t="str">
        <f>IFERROR(IF($K918="","",IF($M918="Elite",MAX(50,MIN(100,Config!$B$27*MAX(0,MIN(100,(1-IF($R918="",0,$R918))*100)) + Config!$B$28*MAX(0,MIN(100,(1-MIN(1,IF(Config!$B$30=0,1,$S918/Config!$B$30)))*100)) + Config!$B$29*MAX(0,MIN(100,MIN(1,IF($T918="",0,$T918)/Config!$B$23)*100)))),MIN(100,Config!$B$27*MAX(0,MIN(100,(1-IF($R918="",0,$R918))*100)) + Config!$B$28*MAX(0,MIN(100,(1-MIN(1,IF(Config!$B$30=0,1,$S918/Config!$B$30)))*100)) + Config!$B$29*MAX(0,MIN(100,MIN(1,IF($T918="",0,$T918)/Config!$B$23)*100))))),"")
</f>
        <v/>
      </c>
      <c r="V918" s="40" t="str">
        <f>IF(Bids!$D917="","",Bids!$D917)</f>
        <v/>
      </c>
      <c r="W918" s="40" t="str">
        <f>IF(Bids!$F917="","",Bids!$F917)</f>
        <v/>
      </c>
      <c r="X918" s="40" t="str">
        <f t="shared" si="5"/>
        <v/>
      </c>
      <c r="Y918" s="40" t="str">
        <f>IF($X918="","",IF(Config!$B$17=Config!$B$16,IF($X918&gt;=Config!$B$17,100,0),MAX(0,MIN(100,($X918-Config!$B$16)/(Config!$B$17-Config!$B$16)*100))))</f>
        <v/>
      </c>
      <c r="Z918" s="40">
        <f>IF($M918="Elite",Config!$B$21,0)</f>
        <v>0</v>
      </c>
      <c r="AA918" s="40" t="str">
        <f>IFERROR(IF(OR($W918="",$H918=""),"",IF($W918&gt;$H918,
  MAX(0, 60-(($W918-$H918)*24/Config!$B$19)*60),
  MIN(100, 60+(($H918-$W918)*24/Config!$B$20)*40)
)),"")
</f>
        <v/>
      </c>
      <c r="AB918" s="40" t="str">
        <f>IF($K918="","",IFERROR(VLOOKUP($K918,Grinders!$A$4:$N$998,10,FALSE)/5*100,""))</f>
        <v/>
      </c>
      <c r="AC918" s="40" t="str">
        <f>IF($K918="","",IFERROR(VLOOKUP($K918,Grinders!$A$4:$N$998,11,FALSE)*100,""))</f>
        <v/>
      </c>
      <c r="AD918" s="40" t="str">
        <f>IF($K918="","",IFERROR(VLOOKUP($K918,Grinders!$A$4:$N$998,12,FALSE)*100,""))</f>
        <v/>
      </c>
      <c r="AE918" s="40">
        <f>IFERROR(IFS(
    OR($C918="", $K918=""), 0,
    $F918=0, 0,
    $D918&lt;&gt;"Open", 0,
    COUNTIFS(GrinderServices!$B$4:$B$998, $K918, GrinderServices!$C$4:$C$998, $E918, GrinderServices!$E$4:$E$998, "Y")=0, 0,
    $X918&lt;Config!$B$16, 0,
    Config!$B$18=1, IF($O918&gt;=N918, 0, 1),
    TRUE, 1
), "")
</f>
        <v>0</v>
      </c>
      <c r="AF918" s="40" t="str">
        <f>IFERROR(IF($AE918=0,"",((Config!$B$6*$Y918 + Config!$B$7*$U918 + Config!$B$8*$Z918 + Config!$B$9*$AA918 + Config!$B$10*$AB918 + Config!$B$11*$AC918 - Config!$B$12*$AD918)/Config!$B$13)+$AK918+$AL918),"")</f>
        <v/>
      </c>
      <c r="AG918" s="40" t="str">
        <f t="shared" si="6"/>
        <v/>
      </c>
      <c r="AH918" s="40" t="str">
        <f t="shared" si="7"/>
        <v/>
      </c>
      <c r="AI918" s="40" t="str">
        <f t="shared" si="8"/>
        <v/>
      </c>
      <c r="AJ918" s="40" t="str">
        <f>IF($K918="","",COUNTIF(Assignments!$B$6:$B$1000,$K918))</f>
        <v/>
      </c>
      <c r="AK918" s="40" t="str">
        <f>IF($K918="","",IF(AND($AJ918=0,$O918&lt;$N918),Config!$B$43,0))</f>
        <v/>
      </c>
      <c r="AL918" s="40" t="str">
        <f>IF($K918="","",IF(AND($M918="Elite",$G918&gt;=Config!$B$41,$O918&lt;$N918),Config!$B$42,0))</f>
        <v/>
      </c>
      <c r="AM918" s="22"/>
    </row>
    <row r="919" ht="15.75" customHeight="1">
      <c r="A919" s="40" t="str">
        <f t="shared" si="1"/>
        <v/>
      </c>
      <c r="B919" s="40" t="str">
        <f>IF(Bids!$A918="","",Bids!$A918)</f>
        <v/>
      </c>
      <c r="C919" s="40" t="str">
        <f>IF(Bids!$B918="","",Bids!$B918)</f>
        <v/>
      </c>
      <c r="D919" s="40" t="str">
        <f>IF($C919="","",IFERROR(VLOOKUP($C919,Orders!$A$4:$J$998,9,FALSE),""))</f>
        <v/>
      </c>
      <c r="E919" s="40" t="str">
        <f>IF($C919="","",IFERROR(VLOOKUP($C919,Orders!$A$4:$J$998,3,FALSE),""))</f>
        <v/>
      </c>
      <c r="F919" s="40">
        <f t="shared" si="2"/>
        <v>1</v>
      </c>
      <c r="G919" s="40" t="str">
        <f>IF($C919="","",IFERROR(VLOOKUP($C919,Orders!$A$4:$J$998,4,FALSE),""))</f>
        <v/>
      </c>
      <c r="H919" s="40" t="str">
        <f>IF($C919="","",IFERROR(VLOOKUP($C919,Orders!$A$4:$J$998,5,FALSE),""))</f>
        <v/>
      </c>
      <c r="I919" s="40" t="str">
        <f>IF($C919="","",IFERROR(VLOOKUP($C919,Orders!$A$4:$J$998,6,FALSE),""))</f>
        <v/>
      </c>
      <c r="J919" s="40" t="str">
        <f>IF($C919="","",IFERROR(VLOOKUP($C919,Orders!$A$4:$J$998,7,FALSE),""))</f>
        <v/>
      </c>
      <c r="K919" s="40" t="str">
        <f>IF(Bids!$C918="","",Bids!$C918)</f>
        <v/>
      </c>
      <c r="L919" s="40" t="str">
        <f>IF($K919="","",IFERROR(VLOOKUP($K919,Grinders!$A$4:$N$998,2,FALSE),""))</f>
        <v/>
      </c>
      <c r="M919" s="40" t="str">
        <f>IF($K919="","",IFERROR(VLOOKUP($K919,Grinders!$A$4:$N$998,3,FALSE),""))</f>
        <v/>
      </c>
      <c r="N919" s="40" t="str">
        <f>IF($K919="","",IFERROR(VLOOKUP($K919,Grinders!$A$4:$N$998,4,FALSE),""))</f>
        <v/>
      </c>
      <c r="O919" s="40" t="str">
        <f>IF($K919="","",IFERROR(VLOOKUP($K919,Grinders!$A$4:$N$998,5,FALSE),""))</f>
        <v/>
      </c>
      <c r="P919" s="40" t="str">
        <f>IF($K919="","",IF($C$4="",0,COUNTIFS(Assignments!$B$6:$B$1000,$K919,Assignments!$F$6:$F$1000,$C$4,Assignments!$E$6:$E$1000,"Active")))</f>
        <v/>
      </c>
      <c r="Q919" s="40" t="str">
        <f t="shared" si="3"/>
        <v/>
      </c>
      <c r="R919" s="40" t="str">
        <f t="shared" si="4"/>
        <v/>
      </c>
      <c r="S919" s="40" t="str">
        <f>IF($K919="","",IF($C$4="",0,COUNTIFS(Assignments!$B$6:$B$1000,$K919,Assignments!$F$6:$F$1000,$C$4,Assignments!$D$6:$D$1000,"&gt;="&amp;Config!$B$3-7,Assignments!$D$6:$D$1000,"&lt;="&amp;Config!$B$3)))</f>
        <v/>
      </c>
      <c r="T919" s="40" t="str">
        <f>IF($K919="","",IFERROR(VLOOKUP($K919,Grinders!$A$4:$N$998,8,FALSE),""))</f>
        <v/>
      </c>
      <c r="U919" s="40" t="str">
        <f>IFERROR(IF($K919="","",IF($M919="Elite",MAX(50,MIN(100,Config!$B$27*MAX(0,MIN(100,(1-IF($R919="",0,$R919))*100)) + Config!$B$28*MAX(0,MIN(100,(1-MIN(1,IF(Config!$B$30=0,1,$S919/Config!$B$30)))*100)) + Config!$B$29*MAX(0,MIN(100,MIN(1,IF($T919="",0,$T919)/Config!$B$23)*100)))),MIN(100,Config!$B$27*MAX(0,MIN(100,(1-IF($R919="",0,$R919))*100)) + Config!$B$28*MAX(0,MIN(100,(1-MIN(1,IF(Config!$B$30=0,1,$S919/Config!$B$30)))*100)) + Config!$B$29*MAX(0,MIN(100,MIN(1,IF($T919="",0,$T919)/Config!$B$23)*100))))),"")
</f>
        <v/>
      </c>
      <c r="V919" s="40" t="str">
        <f>IF(Bids!$D918="","",Bids!$D918)</f>
        <v/>
      </c>
      <c r="W919" s="40" t="str">
        <f>IF(Bids!$F918="","",Bids!$F918)</f>
        <v/>
      </c>
      <c r="X919" s="40" t="str">
        <f t="shared" si="5"/>
        <v/>
      </c>
      <c r="Y919" s="40" t="str">
        <f>IF($X919="","",IF(Config!$B$17=Config!$B$16,IF($X919&gt;=Config!$B$17,100,0),MAX(0,MIN(100,($X919-Config!$B$16)/(Config!$B$17-Config!$B$16)*100))))</f>
        <v/>
      </c>
      <c r="Z919" s="40">
        <f>IF($M919="Elite",Config!$B$21,0)</f>
        <v>0</v>
      </c>
      <c r="AA919" s="40" t="str">
        <f>IFERROR(IF(OR($W919="",$H919=""),"",IF($W919&gt;$H919,
  MAX(0, 60-(($W919-$H919)*24/Config!$B$19)*60),
  MIN(100, 60+(($H919-$W919)*24/Config!$B$20)*40)
)),"")
</f>
        <v/>
      </c>
      <c r="AB919" s="40" t="str">
        <f>IF($K919="","",IFERROR(VLOOKUP($K919,Grinders!$A$4:$N$998,10,FALSE)/5*100,""))</f>
        <v/>
      </c>
      <c r="AC919" s="40" t="str">
        <f>IF($K919="","",IFERROR(VLOOKUP($K919,Grinders!$A$4:$N$998,11,FALSE)*100,""))</f>
        <v/>
      </c>
      <c r="AD919" s="40" t="str">
        <f>IF($K919="","",IFERROR(VLOOKUP($K919,Grinders!$A$4:$N$998,12,FALSE)*100,""))</f>
        <v/>
      </c>
      <c r="AE919" s="40">
        <f>IFERROR(IFS(
    OR($C919="", $K919=""), 0,
    $F919=0, 0,
    $D919&lt;&gt;"Open", 0,
    COUNTIFS(GrinderServices!$B$4:$B$998, $K919, GrinderServices!$C$4:$C$998, $E919, GrinderServices!$E$4:$E$998, "Y")=0, 0,
    $X919&lt;Config!$B$16, 0,
    Config!$B$18=1, IF($O919&gt;=N919, 0, 1),
    TRUE, 1
), "")
</f>
        <v>0</v>
      </c>
      <c r="AF919" s="40" t="str">
        <f>IFERROR(IF($AE919=0,"",((Config!$B$6*$Y919 + Config!$B$7*$U919 + Config!$B$8*$Z919 + Config!$B$9*$AA919 + Config!$B$10*$AB919 + Config!$B$11*$AC919 - Config!$B$12*$AD919)/Config!$B$13)+$AK919+$AL919),"")</f>
        <v/>
      </c>
      <c r="AG919" s="40" t="str">
        <f t="shared" si="6"/>
        <v/>
      </c>
      <c r="AH919" s="40" t="str">
        <f t="shared" si="7"/>
        <v/>
      </c>
      <c r="AI919" s="40" t="str">
        <f t="shared" si="8"/>
        <v/>
      </c>
      <c r="AJ919" s="40" t="str">
        <f>IF($K919="","",COUNTIF(Assignments!$B$6:$B$1000,$K919))</f>
        <v/>
      </c>
      <c r="AK919" s="40" t="str">
        <f>IF($K919="","",IF(AND($AJ919=0,$O919&lt;$N919),Config!$B$43,0))</f>
        <v/>
      </c>
      <c r="AL919" s="40" t="str">
        <f>IF($K919="","",IF(AND($M919="Elite",$G919&gt;=Config!$B$41,$O919&lt;$N919),Config!$B$42,0))</f>
        <v/>
      </c>
      <c r="AM919" s="22"/>
    </row>
    <row r="920" ht="15.75" customHeight="1">
      <c r="A920" s="40" t="str">
        <f t="shared" si="1"/>
        <v/>
      </c>
      <c r="B920" s="40" t="str">
        <f>IF(Bids!$A919="","",Bids!$A919)</f>
        <v/>
      </c>
      <c r="C920" s="40" t="str">
        <f>IF(Bids!$B919="","",Bids!$B919)</f>
        <v/>
      </c>
      <c r="D920" s="40" t="str">
        <f>IF($C920="","",IFERROR(VLOOKUP($C920,Orders!$A$4:$J$998,9,FALSE),""))</f>
        <v/>
      </c>
      <c r="E920" s="40" t="str">
        <f>IF($C920="","",IFERROR(VLOOKUP($C920,Orders!$A$4:$J$998,3,FALSE),""))</f>
        <v/>
      </c>
      <c r="F920" s="40">
        <f t="shared" si="2"/>
        <v>1</v>
      </c>
      <c r="G920" s="40" t="str">
        <f>IF($C920="","",IFERROR(VLOOKUP($C920,Orders!$A$4:$J$998,4,FALSE),""))</f>
        <v/>
      </c>
      <c r="H920" s="40" t="str">
        <f>IF($C920="","",IFERROR(VLOOKUP($C920,Orders!$A$4:$J$998,5,FALSE),""))</f>
        <v/>
      </c>
      <c r="I920" s="40" t="str">
        <f>IF($C920="","",IFERROR(VLOOKUP($C920,Orders!$A$4:$J$998,6,FALSE),""))</f>
        <v/>
      </c>
      <c r="J920" s="40" t="str">
        <f>IF($C920="","",IFERROR(VLOOKUP($C920,Orders!$A$4:$J$998,7,FALSE),""))</f>
        <v/>
      </c>
      <c r="K920" s="40" t="str">
        <f>IF(Bids!$C919="","",Bids!$C919)</f>
        <v/>
      </c>
      <c r="L920" s="40" t="str">
        <f>IF($K920="","",IFERROR(VLOOKUP($K920,Grinders!$A$4:$N$998,2,FALSE),""))</f>
        <v/>
      </c>
      <c r="M920" s="40" t="str">
        <f>IF($K920="","",IFERROR(VLOOKUP($K920,Grinders!$A$4:$N$998,3,FALSE),""))</f>
        <v/>
      </c>
      <c r="N920" s="40" t="str">
        <f>IF($K920="","",IFERROR(VLOOKUP($K920,Grinders!$A$4:$N$998,4,FALSE),""))</f>
        <v/>
      </c>
      <c r="O920" s="40" t="str">
        <f>IF($K920="","",IFERROR(VLOOKUP($K920,Grinders!$A$4:$N$998,5,FALSE),""))</f>
        <v/>
      </c>
      <c r="P920" s="40" t="str">
        <f>IF($K920="","",IF($C$4="",0,COUNTIFS(Assignments!$B$6:$B$1000,$K920,Assignments!$F$6:$F$1000,$C$4,Assignments!$E$6:$E$1000,"Active")))</f>
        <v/>
      </c>
      <c r="Q920" s="40" t="str">
        <f t="shared" si="3"/>
        <v/>
      </c>
      <c r="R920" s="40" t="str">
        <f t="shared" si="4"/>
        <v/>
      </c>
      <c r="S920" s="40" t="str">
        <f>IF($K920="","",IF($C$4="",0,COUNTIFS(Assignments!$B$6:$B$1000,$K920,Assignments!$F$6:$F$1000,$C$4,Assignments!$D$6:$D$1000,"&gt;="&amp;Config!$B$3-7,Assignments!$D$6:$D$1000,"&lt;="&amp;Config!$B$3)))</f>
        <v/>
      </c>
      <c r="T920" s="40" t="str">
        <f>IF($K920="","",IFERROR(VLOOKUP($K920,Grinders!$A$4:$N$998,8,FALSE),""))</f>
        <v/>
      </c>
      <c r="U920" s="40" t="str">
        <f>IFERROR(IF($K920="","",IF($M920="Elite",MAX(50,MIN(100,Config!$B$27*MAX(0,MIN(100,(1-IF($R920="",0,$R920))*100)) + Config!$B$28*MAX(0,MIN(100,(1-MIN(1,IF(Config!$B$30=0,1,$S920/Config!$B$30)))*100)) + Config!$B$29*MAX(0,MIN(100,MIN(1,IF($T920="",0,$T920)/Config!$B$23)*100)))),MIN(100,Config!$B$27*MAX(0,MIN(100,(1-IF($R920="",0,$R920))*100)) + Config!$B$28*MAX(0,MIN(100,(1-MIN(1,IF(Config!$B$30=0,1,$S920/Config!$B$30)))*100)) + Config!$B$29*MAX(0,MIN(100,MIN(1,IF($T920="",0,$T920)/Config!$B$23)*100))))),"")
</f>
        <v/>
      </c>
      <c r="V920" s="40" t="str">
        <f>IF(Bids!$D919="","",Bids!$D919)</f>
        <v/>
      </c>
      <c r="W920" s="40" t="str">
        <f>IF(Bids!$F919="","",Bids!$F919)</f>
        <v/>
      </c>
      <c r="X920" s="40" t="str">
        <f t="shared" si="5"/>
        <v/>
      </c>
      <c r="Y920" s="40" t="str">
        <f>IF($X920="","",IF(Config!$B$17=Config!$B$16,IF($X920&gt;=Config!$B$17,100,0),MAX(0,MIN(100,($X920-Config!$B$16)/(Config!$B$17-Config!$B$16)*100))))</f>
        <v/>
      </c>
      <c r="Z920" s="40">
        <f>IF($M920="Elite",Config!$B$21,0)</f>
        <v>0</v>
      </c>
      <c r="AA920" s="40" t="str">
        <f>IFERROR(IF(OR($W920="",$H920=""),"",IF($W920&gt;$H920,
  MAX(0, 60-(($W920-$H920)*24/Config!$B$19)*60),
  MIN(100, 60+(($H920-$W920)*24/Config!$B$20)*40)
)),"")
</f>
        <v/>
      </c>
      <c r="AB920" s="40" t="str">
        <f>IF($K920="","",IFERROR(VLOOKUP($K920,Grinders!$A$4:$N$998,10,FALSE)/5*100,""))</f>
        <v/>
      </c>
      <c r="AC920" s="40" t="str">
        <f>IF($K920="","",IFERROR(VLOOKUP($K920,Grinders!$A$4:$N$998,11,FALSE)*100,""))</f>
        <v/>
      </c>
      <c r="AD920" s="40" t="str">
        <f>IF($K920="","",IFERROR(VLOOKUP($K920,Grinders!$A$4:$N$998,12,FALSE)*100,""))</f>
        <v/>
      </c>
      <c r="AE920" s="40">
        <f>IFERROR(IFS(
    OR($C920="", $K920=""), 0,
    $F920=0, 0,
    $D920&lt;&gt;"Open", 0,
    COUNTIFS(GrinderServices!$B$4:$B$998, $K920, GrinderServices!$C$4:$C$998, $E920, GrinderServices!$E$4:$E$998, "Y")=0, 0,
    $X920&lt;Config!$B$16, 0,
    Config!$B$18=1, IF($O920&gt;=N920, 0, 1),
    TRUE, 1
), "")
</f>
        <v>0</v>
      </c>
      <c r="AF920" s="40" t="str">
        <f>IFERROR(IF($AE920=0,"",((Config!$B$6*$Y920 + Config!$B$7*$U920 + Config!$B$8*$Z920 + Config!$B$9*$AA920 + Config!$B$10*$AB920 + Config!$B$11*$AC920 - Config!$B$12*$AD920)/Config!$B$13)+$AK920+$AL920),"")</f>
        <v/>
      </c>
      <c r="AG920" s="40" t="str">
        <f t="shared" si="6"/>
        <v/>
      </c>
      <c r="AH920" s="40" t="str">
        <f t="shared" si="7"/>
        <v/>
      </c>
      <c r="AI920" s="40" t="str">
        <f t="shared" si="8"/>
        <v/>
      </c>
      <c r="AJ920" s="40" t="str">
        <f>IF($K920="","",COUNTIF(Assignments!$B$6:$B$1000,$K920))</f>
        <v/>
      </c>
      <c r="AK920" s="40" t="str">
        <f>IF($K920="","",IF(AND($AJ920=0,$O920&lt;$N920),Config!$B$43,0))</f>
        <v/>
      </c>
      <c r="AL920" s="40" t="str">
        <f>IF($K920="","",IF(AND($M920="Elite",$G920&gt;=Config!$B$41,$O920&lt;$N920),Config!$B$42,0))</f>
        <v/>
      </c>
      <c r="AM920" s="22"/>
    </row>
    <row r="921" ht="15.75" customHeight="1">
      <c r="A921" s="40" t="str">
        <f t="shared" si="1"/>
        <v/>
      </c>
      <c r="B921" s="40" t="str">
        <f>IF(Bids!$A920="","",Bids!$A920)</f>
        <v/>
      </c>
      <c r="C921" s="40" t="str">
        <f>IF(Bids!$B920="","",Bids!$B920)</f>
        <v/>
      </c>
      <c r="D921" s="40" t="str">
        <f>IF($C921="","",IFERROR(VLOOKUP($C921,Orders!$A$4:$J$998,9,FALSE),""))</f>
        <v/>
      </c>
      <c r="E921" s="40" t="str">
        <f>IF($C921="","",IFERROR(VLOOKUP($C921,Orders!$A$4:$J$998,3,FALSE),""))</f>
        <v/>
      </c>
      <c r="F921" s="40">
        <f t="shared" si="2"/>
        <v>1</v>
      </c>
      <c r="G921" s="40" t="str">
        <f>IF($C921="","",IFERROR(VLOOKUP($C921,Orders!$A$4:$J$998,4,FALSE),""))</f>
        <v/>
      </c>
      <c r="H921" s="40" t="str">
        <f>IF($C921="","",IFERROR(VLOOKUP($C921,Orders!$A$4:$J$998,5,FALSE),""))</f>
        <v/>
      </c>
      <c r="I921" s="40" t="str">
        <f>IF($C921="","",IFERROR(VLOOKUP($C921,Orders!$A$4:$J$998,6,FALSE),""))</f>
        <v/>
      </c>
      <c r="J921" s="40" t="str">
        <f>IF($C921="","",IFERROR(VLOOKUP($C921,Orders!$A$4:$J$998,7,FALSE),""))</f>
        <v/>
      </c>
      <c r="K921" s="40" t="str">
        <f>IF(Bids!$C920="","",Bids!$C920)</f>
        <v/>
      </c>
      <c r="L921" s="40" t="str">
        <f>IF($K921="","",IFERROR(VLOOKUP($K921,Grinders!$A$4:$N$998,2,FALSE),""))</f>
        <v/>
      </c>
      <c r="M921" s="40" t="str">
        <f>IF($K921="","",IFERROR(VLOOKUP($K921,Grinders!$A$4:$N$998,3,FALSE),""))</f>
        <v/>
      </c>
      <c r="N921" s="40" t="str">
        <f>IF($K921="","",IFERROR(VLOOKUP($K921,Grinders!$A$4:$N$998,4,FALSE),""))</f>
        <v/>
      </c>
      <c r="O921" s="40" t="str">
        <f>IF($K921="","",IFERROR(VLOOKUP($K921,Grinders!$A$4:$N$998,5,FALSE),""))</f>
        <v/>
      </c>
      <c r="P921" s="40" t="str">
        <f>IF($K921="","",IF($C$4="",0,COUNTIFS(Assignments!$B$6:$B$1000,$K921,Assignments!$F$6:$F$1000,$C$4,Assignments!$E$6:$E$1000,"Active")))</f>
        <v/>
      </c>
      <c r="Q921" s="40" t="str">
        <f t="shared" si="3"/>
        <v/>
      </c>
      <c r="R921" s="40" t="str">
        <f t="shared" si="4"/>
        <v/>
      </c>
      <c r="S921" s="40" t="str">
        <f>IF($K921="","",IF($C$4="",0,COUNTIFS(Assignments!$B$6:$B$1000,$K921,Assignments!$F$6:$F$1000,$C$4,Assignments!$D$6:$D$1000,"&gt;="&amp;Config!$B$3-7,Assignments!$D$6:$D$1000,"&lt;="&amp;Config!$B$3)))</f>
        <v/>
      </c>
      <c r="T921" s="40" t="str">
        <f>IF($K921="","",IFERROR(VLOOKUP($K921,Grinders!$A$4:$N$998,8,FALSE),""))</f>
        <v/>
      </c>
      <c r="U921" s="40" t="str">
        <f>IFERROR(IF($K921="","",IF($M921="Elite",MAX(50,MIN(100,Config!$B$27*MAX(0,MIN(100,(1-IF($R921="",0,$R921))*100)) + Config!$B$28*MAX(0,MIN(100,(1-MIN(1,IF(Config!$B$30=0,1,$S921/Config!$B$30)))*100)) + Config!$B$29*MAX(0,MIN(100,MIN(1,IF($T921="",0,$T921)/Config!$B$23)*100)))),MIN(100,Config!$B$27*MAX(0,MIN(100,(1-IF($R921="",0,$R921))*100)) + Config!$B$28*MAX(0,MIN(100,(1-MIN(1,IF(Config!$B$30=0,1,$S921/Config!$B$30)))*100)) + Config!$B$29*MAX(0,MIN(100,MIN(1,IF($T921="",0,$T921)/Config!$B$23)*100))))),"")
</f>
        <v/>
      </c>
      <c r="V921" s="40" t="str">
        <f>IF(Bids!$D920="","",Bids!$D920)</f>
        <v/>
      </c>
      <c r="W921" s="40" t="str">
        <f>IF(Bids!$F920="","",Bids!$F920)</f>
        <v/>
      </c>
      <c r="X921" s="40" t="str">
        <f t="shared" si="5"/>
        <v/>
      </c>
      <c r="Y921" s="40" t="str">
        <f>IF($X921="","",IF(Config!$B$17=Config!$B$16,IF($X921&gt;=Config!$B$17,100,0),MAX(0,MIN(100,($X921-Config!$B$16)/(Config!$B$17-Config!$B$16)*100))))</f>
        <v/>
      </c>
      <c r="Z921" s="40">
        <f>IF($M921="Elite",Config!$B$21,0)</f>
        <v>0</v>
      </c>
      <c r="AA921" s="40" t="str">
        <f>IFERROR(IF(OR($W921="",$H921=""),"",IF($W921&gt;$H921,
  MAX(0, 60-(($W921-$H921)*24/Config!$B$19)*60),
  MIN(100, 60+(($H921-$W921)*24/Config!$B$20)*40)
)),"")
</f>
        <v/>
      </c>
      <c r="AB921" s="40" t="str">
        <f>IF($K921="","",IFERROR(VLOOKUP($K921,Grinders!$A$4:$N$998,10,FALSE)/5*100,""))</f>
        <v/>
      </c>
      <c r="AC921" s="40" t="str">
        <f>IF($K921="","",IFERROR(VLOOKUP($K921,Grinders!$A$4:$N$998,11,FALSE)*100,""))</f>
        <v/>
      </c>
      <c r="AD921" s="40" t="str">
        <f>IF($K921="","",IFERROR(VLOOKUP($K921,Grinders!$A$4:$N$998,12,FALSE)*100,""))</f>
        <v/>
      </c>
      <c r="AE921" s="40">
        <f>IFERROR(IFS(
    OR($C921="", $K921=""), 0,
    $F921=0, 0,
    $D921&lt;&gt;"Open", 0,
    COUNTIFS(GrinderServices!$B$4:$B$998, $K921, GrinderServices!$C$4:$C$998, $E921, GrinderServices!$E$4:$E$998, "Y")=0, 0,
    $X921&lt;Config!$B$16, 0,
    Config!$B$18=1, IF($O921&gt;=N921, 0, 1),
    TRUE, 1
), "")
</f>
        <v>0</v>
      </c>
      <c r="AF921" s="40" t="str">
        <f>IFERROR(IF($AE921=0,"",((Config!$B$6*$Y921 + Config!$B$7*$U921 + Config!$B$8*$Z921 + Config!$B$9*$AA921 + Config!$B$10*$AB921 + Config!$B$11*$AC921 - Config!$B$12*$AD921)/Config!$B$13)+$AK921+$AL921),"")</f>
        <v/>
      </c>
      <c r="AG921" s="40" t="str">
        <f t="shared" si="6"/>
        <v/>
      </c>
      <c r="AH921" s="40" t="str">
        <f t="shared" si="7"/>
        <v/>
      </c>
      <c r="AI921" s="40" t="str">
        <f t="shared" si="8"/>
        <v/>
      </c>
      <c r="AJ921" s="40" t="str">
        <f>IF($K921="","",COUNTIF(Assignments!$B$6:$B$1000,$K921))</f>
        <v/>
      </c>
      <c r="AK921" s="40" t="str">
        <f>IF($K921="","",IF(AND($AJ921=0,$O921&lt;$N921),Config!$B$43,0))</f>
        <v/>
      </c>
      <c r="AL921" s="40" t="str">
        <f>IF($K921="","",IF(AND($M921="Elite",$G921&gt;=Config!$B$41,$O921&lt;$N921),Config!$B$42,0))</f>
        <v/>
      </c>
      <c r="AM921" s="22"/>
    </row>
    <row r="922" ht="15.75" customHeight="1">
      <c r="A922" s="40" t="str">
        <f t="shared" si="1"/>
        <v/>
      </c>
      <c r="B922" s="40" t="str">
        <f>IF(Bids!$A921="","",Bids!$A921)</f>
        <v/>
      </c>
      <c r="C922" s="40" t="str">
        <f>IF(Bids!$B921="","",Bids!$B921)</f>
        <v/>
      </c>
      <c r="D922" s="40" t="str">
        <f>IF($C922="","",IFERROR(VLOOKUP($C922,Orders!$A$4:$J$998,9,FALSE),""))</f>
        <v/>
      </c>
      <c r="E922" s="40" t="str">
        <f>IF($C922="","",IFERROR(VLOOKUP($C922,Orders!$A$4:$J$998,3,FALSE),""))</f>
        <v/>
      </c>
      <c r="F922" s="40">
        <f t="shared" si="2"/>
        <v>1</v>
      </c>
      <c r="G922" s="40" t="str">
        <f>IF($C922="","",IFERROR(VLOOKUP($C922,Orders!$A$4:$J$998,4,FALSE),""))</f>
        <v/>
      </c>
      <c r="H922" s="40" t="str">
        <f>IF($C922="","",IFERROR(VLOOKUP($C922,Orders!$A$4:$J$998,5,FALSE),""))</f>
        <v/>
      </c>
      <c r="I922" s="40" t="str">
        <f>IF($C922="","",IFERROR(VLOOKUP($C922,Orders!$A$4:$J$998,6,FALSE),""))</f>
        <v/>
      </c>
      <c r="J922" s="40" t="str">
        <f>IF($C922="","",IFERROR(VLOOKUP($C922,Orders!$A$4:$J$998,7,FALSE),""))</f>
        <v/>
      </c>
      <c r="K922" s="40" t="str">
        <f>IF(Bids!$C921="","",Bids!$C921)</f>
        <v/>
      </c>
      <c r="L922" s="40" t="str">
        <f>IF($K922="","",IFERROR(VLOOKUP($K922,Grinders!$A$4:$N$998,2,FALSE),""))</f>
        <v/>
      </c>
      <c r="M922" s="40" t="str">
        <f>IF($K922="","",IFERROR(VLOOKUP($K922,Grinders!$A$4:$N$998,3,FALSE),""))</f>
        <v/>
      </c>
      <c r="N922" s="40" t="str">
        <f>IF($K922="","",IFERROR(VLOOKUP($K922,Grinders!$A$4:$N$998,4,FALSE),""))</f>
        <v/>
      </c>
      <c r="O922" s="40" t="str">
        <f>IF($K922="","",IFERROR(VLOOKUP($K922,Grinders!$A$4:$N$998,5,FALSE),""))</f>
        <v/>
      </c>
      <c r="P922" s="40" t="str">
        <f>IF($K922="","",IF($C$4="",0,COUNTIFS(Assignments!$B$6:$B$1000,$K922,Assignments!$F$6:$F$1000,$C$4,Assignments!$E$6:$E$1000,"Active")))</f>
        <v/>
      </c>
      <c r="Q922" s="40" t="str">
        <f t="shared" si="3"/>
        <v/>
      </c>
      <c r="R922" s="40" t="str">
        <f t="shared" si="4"/>
        <v/>
      </c>
      <c r="S922" s="40" t="str">
        <f>IF($K922="","",IF($C$4="",0,COUNTIFS(Assignments!$B$6:$B$1000,$K922,Assignments!$F$6:$F$1000,$C$4,Assignments!$D$6:$D$1000,"&gt;="&amp;Config!$B$3-7,Assignments!$D$6:$D$1000,"&lt;="&amp;Config!$B$3)))</f>
        <v/>
      </c>
      <c r="T922" s="40" t="str">
        <f>IF($K922="","",IFERROR(VLOOKUP($K922,Grinders!$A$4:$N$998,8,FALSE),""))</f>
        <v/>
      </c>
      <c r="U922" s="40" t="str">
        <f>IFERROR(IF($K922="","",IF($M922="Elite",MAX(50,MIN(100,Config!$B$27*MAX(0,MIN(100,(1-IF($R922="",0,$R922))*100)) + Config!$B$28*MAX(0,MIN(100,(1-MIN(1,IF(Config!$B$30=0,1,$S922/Config!$B$30)))*100)) + Config!$B$29*MAX(0,MIN(100,MIN(1,IF($T922="",0,$T922)/Config!$B$23)*100)))),MIN(100,Config!$B$27*MAX(0,MIN(100,(1-IF($R922="",0,$R922))*100)) + Config!$B$28*MAX(0,MIN(100,(1-MIN(1,IF(Config!$B$30=0,1,$S922/Config!$B$30)))*100)) + Config!$B$29*MAX(0,MIN(100,MIN(1,IF($T922="",0,$T922)/Config!$B$23)*100))))),"")
</f>
        <v/>
      </c>
      <c r="V922" s="40" t="str">
        <f>IF(Bids!$D921="","",Bids!$D921)</f>
        <v/>
      </c>
      <c r="W922" s="40" t="str">
        <f>IF(Bids!$F921="","",Bids!$F921)</f>
        <v/>
      </c>
      <c r="X922" s="40" t="str">
        <f t="shared" si="5"/>
        <v/>
      </c>
      <c r="Y922" s="40" t="str">
        <f>IF($X922="","",IF(Config!$B$17=Config!$B$16,IF($X922&gt;=Config!$B$17,100,0),MAX(0,MIN(100,($X922-Config!$B$16)/(Config!$B$17-Config!$B$16)*100))))</f>
        <v/>
      </c>
      <c r="Z922" s="40">
        <f>IF($M922="Elite",Config!$B$21,0)</f>
        <v>0</v>
      </c>
      <c r="AA922" s="40" t="str">
        <f>IFERROR(IF(OR($W922="",$H922=""),"",IF($W922&gt;$H922,
  MAX(0, 60-(($W922-$H922)*24/Config!$B$19)*60),
  MIN(100, 60+(($H922-$W922)*24/Config!$B$20)*40)
)),"")
</f>
        <v/>
      </c>
      <c r="AB922" s="40" t="str">
        <f>IF($K922="","",IFERROR(VLOOKUP($K922,Grinders!$A$4:$N$998,10,FALSE)/5*100,""))</f>
        <v/>
      </c>
      <c r="AC922" s="40" t="str">
        <f>IF($K922="","",IFERROR(VLOOKUP($K922,Grinders!$A$4:$N$998,11,FALSE)*100,""))</f>
        <v/>
      </c>
      <c r="AD922" s="40" t="str">
        <f>IF($K922="","",IFERROR(VLOOKUP($K922,Grinders!$A$4:$N$998,12,FALSE)*100,""))</f>
        <v/>
      </c>
      <c r="AE922" s="40">
        <f>IFERROR(IFS(
    OR($C922="", $K922=""), 0,
    $F922=0, 0,
    $D922&lt;&gt;"Open", 0,
    COUNTIFS(GrinderServices!$B$4:$B$998, $K922, GrinderServices!$C$4:$C$998, $E922, GrinderServices!$E$4:$E$998, "Y")=0, 0,
    $X922&lt;Config!$B$16, 0,
    Config!$B$18=1, IF($O922&gt;=N922, 0, 1),
    TRUE, 1
), "")
</f>
        <v>0</v>
      </c>
      <c r="AF922" s="40" t="str">
        <f>IFERROR(IF($AE922=0,"",((Config!$B$6*$Y922 + Config!$B$7*$U922 + Config!$B$8*$Z922 + Config!$B$9*$AA922 + Config!$B$10*$AB922 + Config!$B$11*$AC922 - Config!$B$12*$AD922)/Config!$B$13)+$AK922+$AL922),"")</f>
        <v/>
      </c>
      <c r="AG922" s="40" t="str">
        <f t="shared" si="6"/>
        <v/>
      </c>
      <c r="AH922" s="40" t="str">
        <f t="shared" si="7"/>
        <v/>
      </c>
      <c r="AI922" s="40" t="str">
        <f t="shared" si="8"/>
        <v/>
      </c>
      <c r="AJ922" s="40" t="str">
        <f>IF($K922="","",COUNTIF(Assignments!$B$6:$B$1000,$K922))</f>
        <v/>
      </c>
      <c r="AK922" s="40" t="str">
        <f>IF($K922="","",IF(AND($AJ922=0,$O922&lt;$N922),Config!$B$43,0))</f>
        <v/>
      </c>
      <c r="AL922" s="40" t="str">
        <f>IF($K922="","",IF(AND($M922="Elite",$G922&gt;=Config!$B$41,$O922&lt;$N922),Config!$B$42,0))</f>
        <v/>
      </c>
      <c r="AM922" s="22"/>
    </row>
    <row r="923" ht="15.75" customHeight="1">
      <c r="A923" s="40" t="str">
        <f t="shared" si="1"/>
        <v/>
      </c>
      <c r="B923" s="40" t="str">
        <f>IF(Bids!$A922="","",Bids!$A922)</f>
        <v/>
      </c>
      <c r="C923" s="40" t="str">
        <f>IF(Bids!$B922="","",Bids!$B922)</f>
        <v/>
      </c>
      <c r="D923" s="40" t="str">
        <f>IF($C923="","",IFERROR(VLOOKUP($C923,Orders!$A$4:$J$998,9,FALSE),""))</f>
        <v/>
      </c>
      <c r="E923" s="40" t="str">
        <f>IF($C923="","",IFERROR(VLOOKUP($C923,Orders!$A$4:$J$998,3,FALSE),""))</f>
        <v/>
      </c>
      <c r="F923" s="40">
        <f t="shared" si="2"/>
        <v>1</v>
      </c>
      <c r="G923" s="40" t="str">
        <f>IF($C923="","",IFERROR(VLOOKUP($C923,Orders!$A$4:$J$998,4,FALSE),""))</f>
        <v/>
      </c>
      <c r="H923" s="40" t="str">
        <f>IF($C923="","",IFERROR(VLOOKUP($C923,Orders!$A$4:$J$998,5,FALSE),""))</f>
        <v/>
      </c>
      <c r="I923" s="40" t="str">
        <f>IF($C923="","",IFERROR(VLOOKUP($C923,Orders!$A$4:$J$998,6,FALSE),""))</f>
        <v/>
      </c>
      <c r="J923" s="40" t="str">
        <f>IF($C923="","",IFERROR(VLOOKUP($C923,Orders!$A$4:$J$998,7,FALSE),""))</f>
        <v/>
      </c>
      <c r="K923" s="40" t="str">
        <f>IF(Bids!$C922="","",Bids!$C922)</f>
        <v/>
      </c>
      <c r="L923" s="40" t="str">
        <f>IF($K923="","",IFERROR(VLOOKUP($K923,Grinders!$A$4:$N$998,2,FALSE),""))</f>
        <v/>
      </c>
      <c r="M923" s="40" t="str">
        <f>IF($K923="","",IFERROR(VLOOKUP($K923,Grinders!$A$4:$N$998,3,FALSE),""))</f>
        <v/>
      </c>
      <c r="N923" s="40" t="str">
        <f>IF($K923="","",IFERROR(VLOOKUP($K923,Grinders!$A$4:$N$998,4,FALSE),""))</f>
        <v/>
      </c>
      <c r="O923" s="40" t="str">
        <f>IF($K923="","",IFERROR(VLOOKUP($K923,Grinders!$A$4:$N$998,5,FALSE),""))</f>
        <v/>
      </c>
      <c r="P923" s="40" t="str">
        <f>IF($K923="","",IF($C$4="",0,COUNTIFS(Assignments!$B$6:$B$1000,$K923,Assignments!$F$6:$F$1000,$C$4,Assignments!$E$6:$E$1000,"Active")))</f>
        <v/>
      </c>
      <c r="Q923" s="40" t="str">
        <f t="shared" si="3"/>
        <v/>
      </c>
      <c r="R923" s="40" t="str">
        <f t="shared" si="4"/>
        <v/>
      </c>
      <c r="S923" s="40" t="str">
        <f>IF($K923="","",IF($C$4="",0,COUNTIFS(Assignments!$B$6:$B$1000,$K923,Assignments!$F$6:$F$1000,$C$4,Assignments!$D$6:$D$1000,"&gt;="&amp;Config!$B$3-7,Assignments!$D$6:$D$1000,"&lt;="&amp;Config!$B$3)))</f>
        <v/>
      </c>
      <c r="T923" s="40" t="str">
        <f>IF($K923="","",IFERROR(VLOOKUP($K923,Grinders!$A$4:$N$998,8,FALSE),""))</f>
        <v/>
      </c>
      <c r="U923" s="40" t="str">
        <f>IFERROR(IF($K923="","",IF($M923="Elite",MAX(50,MIN(100,Config!$B$27*MAX(0,MIN(100,(1-IF($R923="",0,$R923))*100)) + Config!$B$28*MAX(0,MIN(100,(1-MIN(1,IF(Config!$B$30=0,1,$S923/Config!$B$30)))*100)) + Config!$B$29*MAX(0,MIN(100,MIN(1,IF($T923="",0,$T923)/Config!$B$23)*100)))),MIN(100,Config!$B$27*MAX(0,MIN(100,(1-IF($R923="",0,$R923))*100)) + Config!$B$28*MAX(0,MIN(100,(1-MIN(1,IF(Config!$B$30=0,1,$S923/Config!$B$30)))*100)) + Config!$B$29*MAX(0,MIN(100,MIN(1,IF($T923="",0,$T923)/Config!$B$23)*100))))),"")
</f>
        <v/>
      </c>
      <c r="V923" s="40" t="str">
        <f>IF(Bids!$D922="","",Bids!$D922)</f>
        <v/>
      </c>
      <c r="W923" s="40" t="str">
        <f>IF(Bids!$F922="","",Bids!$F922)</f>
        <v/>
      </c>
      <c r="X923" s="40" t="str">
        <f t="shared" si="5"/>
        <v/>
      </c>
      <c r="Y923" s="40" t="str">
        <f>IF($X923="","",IF(Config!$B$17=Config!$B$16,IF($X923&gt;=Config!$B$17,100,0),MAX(0,MIN(100,($X923-Config!$B$16)/(Config!$B$17-Config!$B$16)*100))))</f>
        <v/>
      </c>
      <c r="Z923" s="40">
        <f>IF($M923="Elite",Config!$B$21,0)</f>
        <v>0</v>
      </c>
      <c r="AA923" s="40" t="str">
        <f>IFERROR(IF(OR($W923="",$H923=""),"",IF($W923&gt;$H923,
  MAX(0, 60-(($W923-$H923)*24/Config!$B$19)*60),
  MIN(100, 60+(($H923-$W923)*24/Config!$B$20)*40)
)),"")
</f>
        <v/>
      </c>
      <c r="AB923" s="40" t="str">
        <f>IF($K923="","",IFERROR(VLOOKUP($K923,Grinders!$A$4:$N$998,10,FALSE)/5*100,""))</f>
        <v/>
      </c>
      <c r="AC923" s="40" t="str">
        <f>IF($K923="","",IFERROR(VLOOKUP($K923,Grinders!$A$4:$N$998,11,FALSE)*100,""))</f>
        <v/>
      </c>
      <c r="AD923" s="40" t="str">
        <f>IF($K923="","",IFERROR(VLOOKUP($K923,Grinders!$A$4:$N$998,12,FALSE)*100,""))</f>
        <v/>
      </c>
      <c r="AE923" s="40">
        <f>IFERROR(IFS(
    OR($C923="", $K923=""), 0,
    $F923=0, 0,
    $D923&lt;&gt;"Open", 0,
    COUNTIFS(GrinderServices!$B$4:$B$998, $K923, GrinderServices!$C$4:$C$998, $E923, GrinderServices!$E$4:$E$998, "Y")=0, 0,
    $X923&lt;Config!$B$16, 0,
    Config!$B$18=1, IF($O923&gt;=N923, 0, 1),
    TRUE, 1
), "")
</f>
        <v>0</v>
      </c>
      <c r="AF923" s="40" t="str">
        <f>IFERROR(IF($AE923=0,"",((Config!$B$6*$Y923 + Config!$B$7*$U923 + Config!$B$8*$Z923 + Config!$B$9*$AA923 + Config!$B$10*$AB923 + Config!$B$11*$AC923 - Config!$B$12*$AD923)/Config!$B$13)+$AK923+$AL923),"")</f>
        <v/>
      </c>
      <c r="AG923" s="40" t="str">
        <f t="shared" si="6"/>
        <v/>
      </c>
      <c r="AH923" s="40" t="str">
        <f t="shared" si="7"/>
        <v/>
      </c>
      <c r="AI923" s="40" t="str">
        <f t="shared" si="8"/>
        <v/>
      </c>
      <c r="AJ923" s="40" t="str">
        <f>IF($K923="","",COUNTIF(Assignments!$B$6:$B$1000,$K923))</f>
        <v/>
      </c>
      <c r="AK923" s="40" t="str">
        <f>IF($K923="","",IF(AND($AJ923=0,$O923&lt;$N923),Config!$B$43,0))</f>
        <v/>
      </c>
      <c r="AL923" s="40" t="str">
        <f>IF($K923="","",IF(AND($M923="Elite",$G923&gt;=Config!$B$41,$O923&lt;$N923),Config!$B$42,0))</f>
        <v/>
      </c>
      <c r="AM923" s="22"/>
    </row>
    <row r="924" ht="15.75" customHeight="1">
      <c r="A924" s="40" t="str">
        <f t="shared" si="1"/>
        <v/>
      </c>
      <c r="B924" s="40" t="str">
        <f>IF(Bids!$A923="","",Bids!$A923)</f>
        <v/>
      </c>
      <c r="C924" s="40" t="str">
        <f>IF(Bids!$B923="","",Bids!$B923)</f>
        <v/>
      </c>
      <c r="D924" s="40" t="str">
        <f>IF($C924="","",IFERROR(VLOOKUP($C924,Orders!$A$4:$J$998,9,FALSE),""))</f>
        <v/>
      </c>
      <c r="E924" s="40" t="str">
        <f>IF($C924="","",IFERROR(VLOOKUP($C924,Orders!$A$4:$J$998,3,FALSE),""))</f>
        <v/>
      </c>
      <c r="F924" s="40">
        <f t="shared" si="2"/>
        <v>1</v>
      </c>
      <c r="G924" s="40" t="str">
        <f>IF($C924="","",IFERROR(VLOOKUP($C924,Orders!$A$4:$J$998,4,FALSE),""))</f>
        <v/>
      </c>
      <c r="H924" s="40" t="str">
        <f>IF($C924="","",IFERROR(VLOOKUP($C924,Orders!$A$4:$J$998,5,FALSE),""))</f>
        <v/>
      </c>
      <c r="I924" s="40" t="str">
        <f>IF($C924="","",IFERROR(VLOOKUP($C924,Orders!$A$4:$J$998,6,FALSE),""))</f>
        <v/>
      </c>
      <c r="J924" s="40" t="str">
        <f>IF($C924="","",IFERROR(VLOOKUP($C924,Orders!$A$4:$J$998,7,FALSE),""))</f>
        <v/>
      </c>
      <c r="K924" s="40" t="str">
        <f>IF(Bids!$C923="","",Bids!$C923)</f>
        <v/>
      </c>
      <c r="L924" s="40" t="str">
        <f>IF($K924="","",IFERROR(VLOOKUP($K924,Grinders!$A$4:$N$998,2,FALSE),""))</f>
        <v/>
      </c>
      <c r="M924" s="40" t="str">
        <f>IF($K924="","",IFERROR(VLOOKUP($K924,Grinders!$A$4:$N$998,3,FALSE),""))</f>
        <v/>
      </c>
      <c r="N924" s="40" t="str">
        <f>IF($K924="","",IFERROR(VLOOKUP($K924,Grinders!$A$4:$N$998,4,FALSE),""))</f>
        <v/>
      </c>
      <c r="O924" s="40" t="str">
        <f>IF($K924="","",IFERROR(VLOOKUP($K924,Grinders!$A$4:$N$998,5,FALSE),""))</f>
        <v/>
      </c>
      <c r="P924" s="40" t="str">
        <f>IF($K924="","",IF($C$4="",0,COUNTIFS(Assignments!$B$6:$B$1000,$K924,Assignments!$F$6:$F$1000,$C$4,Assignments!$E$6:$E$1000,"Active")))</f>
        <v/>
      </c>
      <c r="Q924" s="40" t="str">
        <f t="shared" si="3"/>
        <v/>
      </c>
      <c r="R924" s="40" t="str">
        <f t="shared" si="4"/>
        <v/>
      </c>
      <c r="S924" s="40" t="str">
        <f>IF($K924="","",IF($C$4="",0,COUNTIFS(Assignments!$B$6:$B$1000,$K924,Assignments!$F$6:$F$1000,$C$4,Assignments!$D$6:$D$1000,"&gt;="&amp;Config!$B$3-7,Assignments!$D$6:$D$1000,"&lt;="&amp;Config!$B$3)))</f>
        <v/>
      </c>
      <c r="T924" s="40" t="str">
        <f>IF($K924="","",IFERROR(VLOOKUP($K924,Grinders!$A$4:$N$998,8,FALSE),""))</f>
        <v/>
      </c>
      <c r="U924" s="40" t="str">
        <f>IFERROR(IF($K924="","",IF($M924="Elite",MAX(50,MIN(100,Config!$B$27*MAX(0,MIN(100,(1-IF($R924="",0,$R924))*100)) + Config!$B$28*MAX(0,MIN(100,(1-MIN(1,IF(Config!$B$30=0,1,$S924/Config!$B$30)))*100)) + Config!$B$29*MAX(0,MIN(100,MIN(1,IF($T924="",0,$T924)/Config!$B$23)*100)))),MIN(100,Config!$B$27*MAX(0,MIN(100,(1-IF($R924="",0,$R924))*100)) + Config!$B$28*MAX(0,MIN(100,(1-MIN(1,IF(Config!$B$30=0,1,$S924/Config!$B$30)))*100)) + Config!$B$29*MAX(0,MIN(100,MIN(1,IF($T924="",0,$T924)/Config!$B$23)*100))))),"")
</f>
        <v/>
      </c>
      <c r="V924" s="40" t="str">
        <f>IF(Bids!$D923="","",Bids!$D923)</f>
        <v/>
      </c>
      <c r="W924" s="40" t="str">
        <f>IF(Bids!$F923="","",Bids!$F923)</f>
        <v/>
      </c>
      <c r="X924" s="40" t="str">
        <f t="shared" si="5"/>
        <v/>
      </c>
      <c r="Y924" s="40" t="str">
        <f>IF($X924="","",IF(Config!$B$17=Config!$B$16,IF($X924&gt;=Config!$B$17,100,0),MAX(0,MIN(100,($X924-Config!$B$16)/(Config!$B$17-Config!$B$16)*100))))</f>
        <v/>
      </c>
      <c r="Z924" s="40">
        <f>IF($M924="Elite",Config!$B$21,0)</f>
        <v>0</v>
      </c>
      <c r="AA924" s="40" t="str">
        <f>IFERROR(IF(OR($W924="",$H924=""),"",IF($W924&gt;$H924,
  MAX(0, 60-(($W924-$H924)*24/Config!$B$19)*60),
  MIN(100, 60+(($H924-$W924)*24/Config!$B$20)*40)
)),"")
</f>
        <v/>
      </c>
      <c r="AB924" s="40" t="str">
        <f>IF($K924="","",IFERROR(VLOOKUP($K924,Grinders!$A$4:$N$998,10,FALSE)/5*100,""))</f>
        <v/>
      </c>
      <c r="AC924" s="40" t="str">
        <f>IF($K924="","",IFERROR(VLOOKUP($K924,Grinders!$A$4:$N$998,11,FALSE)*100,""))</f>
        <v/>
      </c>
      <c r="AD924" s="40" t="str">
        <f>IF($K924="","",IFERROR(VLOOKUP($K924,Grinders!$A$4:$N$998,12,FALSE)*100,""))</f>
        <v/>
      </c>
      <c r="AE924" s="40">
        <f>IFERROR(IFS(
    OR($C924="", $K924=""), 0,
    $F924=0, 0,
    $D924&lt;&gt;"Open", 0,
    COUNTIFS(GrinderServices!$B$4:$B$998, $K924, GrinderServices!$C$4:$C$998, $E924, GrinderServices!$E$4:$E$998, "Y")=0, 0,
    $X924&lt;Config!$B$16, 0,
    Config!$B$18=1, IF($O924&gt;=N924, 0, 1),
    TRUE, 1
), "")
</f>
        <v>0</v>
      </c>
      <c r="AF924" s="40" t="str">
        <f>IFERROR(IF($AE924=0,"",((Config!$B$6*$Y924 + Config!$B$7*$U924 + Config!$B$8*$Z924 + Config!$B$9*$AA924 + Config!$B$10*$AB924 + Config!$B$11*$AC924 - Config!$B$12*$AD924)/Config!$B$13)+$AK924+$AL924),"")</f>
        <v/>
      </c>
      <c r="AG924" s="40" t="str">
        <f t="shared" si="6"/>
        <v/>
      </c>
      <c r="AH924" s="40" t="str">
        <f t="shared" si="7"/>
        <v/>
      </c>
      <c r="AI924" s="40" t="str">
        <f t="shared" si="8"/>
        <v/>
      </c>
      <c r="AJ924" s="40" t="str">
        <f>IF($K924="","",COUNTIF(Assignments!$B$6:$B$1000,$K924))</f>
        <v/>
      </c>
      <c r="AK924" s="40" t="str">
        <f>IF($K924="","",IF(AND($AJ924=0,$O924&lt;$N924),Config!$B$43,0))</f>
        <v/>
      </c>
      <c r="AL924" s="40" t="str">
        <f>IF($K924="","",IF(AND($M924="Elite",$G924&gt;=Config!$B$41,$O924&lt;$N924),Config!$B$42,0))</f>
        <v/>
      </c>
      <c r="AM924" s="22"/>
    </row>
    <row r="925" ht="15.75" customHeight="1">
      <c r="A925" s="40" t="str">
        <f t="shared" si="1"/>
        <v/>
      </c>
      <c r="B925" s="40" t="str">
        <f>IF(Bids!$A924="","",Bids!$A924)</f>
        <v/>
      </c>
      <c r="C925" s="40" t="str">
        <f>IF(Bids!$B924="","",Bids!$B924)</f>
        <v/>
      </c>
      <c r="D925" s="40" t="str">
        <f>IF($C925="","",IFERROR(VLOOKUP($C925,Orders!$A$4:$J$998,9,FALSE),""))</f>
        <v/>
      </c>
      <c r="E925" s="40" t="str">
        <f>IF($C925="","",IFERROR(VLOOKUP($C925,Orders!$A$4:$J$998,3,FALSE),""))</f>
        <v/>
      </c>
      <c r="F925" s="40">
        <f t="shared" si="2"/>
        <v>1</v>
      </c>
      <c r="G925" s="40" t="str">
        <f>IF($C925="","",IFERROR(VLOOKUP($C925,Orders!$A$4:$J$998,4,FALSE),""))</f>
        <v/>
      </c>
      <c r="H925" s="40" t="str">
        <f>IF($C925="","",IFERROR(VLOOKUP($C925,Orders!$A$4:$J$998,5,FALSE),""))</f>
        <v/>
      </c>
      <c r="I925" s="40" t="str">
        <f>IF($C925="","",IFERROR(VLOOKUP($C925,Orders!$A$4:$J$998,6,FALSE),""))</f>
        <v/>
      </c>
      <c r="J925" s="40" t="str">
        <f>IF($C925="","",IFERROR(VLOOKUP($C925,Orders!$A$4:$J$998,7,FALSE),""))</f>
        <v/>
      </c>
      <c r="K925" s="40" t="str">
        <f>IF(Bids!$C924="","",Bids!$C924)</f>
        <v/>
      </c>
      <c r="L925" s="40" t="str">
        <f>IF($K925="","",IFERROR(VLOOKUP($K925,Grinders!$A$4:$N$998,2,FALSE),""))</f>
        <v/>
      </c>
      <c r="M925" s="40" t="str">
        <f>IF($K925="","",IFERROR(VLOOKUP($K925,Grinders!$A$4:$N$998,3,FALSE),""))</f>
        <v/>
      </c>
      <c r="N925" s="40" t="str">
        <f>IF($K925="","",IFERROR(VLOOKUP($K925,Grinders!$A$4:$N$998,4,FALSE),""))</f>
        <v/>
      </c>
      <c r="O925" s="40" t="str">
        <f>IF($K925="","",IFERROR(VLOOKUP($K925,Grinders!$A$4:$N$998,5,FALSE),""))</f>
        <v/>
      </c>
      <c r="P925" s="40" t="str">
        <f>IF($K925="","",IF($C$4="",0,COUNTIFS(Assignments!$B$6:$B$1000,$K925,Assignments!$F$6:$F$1000,$C$4,Assignments!$E$6:$E$1000,"Active")))</f>
        <v/>
      </c>
      <c r="Q925" s="40" t="str">
        <f t="shared" si="3"/>
        <v/>
      </c>
      <c r="R925" s="40" t="str">
        <f t="shared" si="4"/>
        <v/>
      </c>
      <c r="S925" s="40" t="str">
        <f>IF($K925="","",IF($C$4="",0,COUNTIFS(Assignments!$B$6:$B$1000,$K925,Assignments!$F$6:$F$1000,$C$4,Assignments!$D$6:$D$1000,"&gt;="&amp;Config!$B$3-7,Assignments!$D$6:$D$1000,"&lt;="&amp;Config!$B$3)))</f>
        <v/>
      </c>
      <c r="T925" s="40" t="str">
        <f>IF($K925="","",IFERROR(VLOOKUP($K925,Grinders!$A$4:$N$998,8,FALSE),""))</f>
        <v/>
      </c>
      <c r="U925" s="40" t="str">
        <f>IFERROR(IF($K925="","",IF($M925="Elite",MAX(50,MIN(100,Config!$B$27*MAX(0,MIN(100,(1-IF($R925="",0,$R925))*100)) + Config!$B$28*MAX(0,MIN(100,(1-MIN(1,IF(Config!$B$30=0,1,$S925/Config!$B$30)))*100)) + Config!$B$29*MAX(0,MIN(100,MIN(1,IF($T925="",0,$T925)/Config!$B$23)*100)))),MIN(100,Config!$B$27*MAX(0,MIN(100,(1-IF($R925="",0,$R925))*100)) + Config!$B$28*MAX(0,MIN(100,(1-MIN(1,IF(Config!$B$30=0,1,$S925/Config!$B$30)))*100)) + Config!$B$29*MAX(0,MIN(100,MIN(1,IF($T925="",0,$T925)/Config!$B$23)*100))))),"")
</f>
        <v/>
      </c>
      <c r="V925" s="40" t="str">
        <f>IF(Bids!$D924="","",Bids!$D924)</f>
        <v/>
      </c>
      <c r="W925" s="40" t="str">
        <f>IF(Bids!$F924="","",Bids!$F924)</f>
        <v/>
      </c>
      <c r="X925" s="40" t="str">
        <f t="shared" si="5"/>
        <v/>
      </c>
      <c r="Y925" s="40" t="str">
        <f>IF($X925="","",IF(Config!$B$17=Config!$B$16,IF($X925&gt;=Config!$B$17,100,0),MAX(0,MIN(100,($X925-Config!$B$16)/(Config!$B$17-Config!$B$16)*100))))</f>
        <v/>
      </c>
      <c r="Z925" s="40">
        <f>IF($M925="Elite",Config!$B$21,0)</f>
        <v>0</v>
      </c>
      <c r="AA925" s="40" t="str">
        <f>IFERROR(IF(OR($W925="",$H925=""),"",IF($W925&gt;$H925,
  MAX(0, 60-(($W925-$H925)*24/Config!$B$19)*60),
  MIN(100, 60+(($H925-$W925)*24/Config!$B$20)*40)
)),"")
</f>
        <v/>
      </c>
      <c r="AB925" s="40" t="str">
        <f>IF($K925="","",IFERROR(VLOOKUP($K925,Grinders!$A$4:$N$998,10,FALSE)/5*100,""))</f>
        <v/>
      </c>
      <c r="AC925" s="40" t="str">
        <f>IF($K925="","",IFERROR(VLOOKUP($K925,Grinders!$A$4:$N$998,11,FALSE)*100,""))</f>
        <v/>
      </c>
      <c r="AD925" s="40" t="str">
        <f>IF($K925="","",IFERROR(VLOOKUP($K925,Grinders!$A$4:$N$998,12,FALSE)*100,""))</f>
        <v/>
      </c>
      <c r="AE925" s="40">
        <f>IFERROR(IFS(
    OR($C925="", $K925=""), 0,
    $F925=0, 0,
    $D925&lt;&gt;"Open", 0,
    COUNTIFS(GrinderServices!$B$4:$B$998, $K925, GrinderServices!$C$4:$C$998, $E925, GrinderServices!$E$4:$E$998, "Y")=0, 0,
    $X925&lt;Config!$B$16, 0,
    Config!$B$18=1, IF($O925&gt;=N925, 0, 1),
    TRUE, 1
), "")
</f>
        <v>0</v>
      </c>
      <c r="AF925" s="40" t="str">
        <f>IFERROR(IF($AE925=0,"",((Config!$B$6*$Y925 + Config!$B$7*$U925 + Config!$B$8*$Z925 + Config!$B$9*$AA925 + Config!$B$10*$AB925 + Config!$B$11*$AC925 - Config!$B$12*$AD925)/Config!$B$13)+$AK925+$AL925),"")</f>
        <v/>
      </c>
      <c r="AG925" s="40" t="str">
        <f t="shared" si="6"/>
        <v/>
      </c>
      <c r="AH925" s="40" t="str">
        <f t="shared" si="7"/>
        <v/>
      </c>
      <c r="AI925" s="40" t="str">
        <f t="shared" si="8"/>
        <v/>
      </c>
      <c r="AJ925" s="40" t="str">
        <f>IF($K925="","",COUNTIF(Assignments!$B$6:$B$1000,$K925))</f>
        <v/>
      </c>
      <c r="AK925" s="40" t="str">
        <f>IF($K925="","",IF(AND($AJ925=0,$O925&lt;$N925),Config!$B$43,0))</f>
        <v/>
      </c>
      <c r="AL925" s="40" t="str">
        <f>IF($K925="","",IF(AND($M925="Elite",$G925&gt;=Config!$B$41,$O925&lt;$N925),Config!$B$42,0))</f>
        <v/>
      </c>
      <c r="AM925" s="22"/>
    </row>
    <row r="926" ht="15.75" customHeight="1">
      <c r="A926" s="40" t="str">
        <f t="shared" si="1"/>
        <v/>
      </c>
      <c r="B926" s="40" t="str">
        <f>IF(Bids!$A925="","",Bids!$A925)</f>
        <v/>
      </c>
      <c r="C926" s="40" t="str">
        <f>IF(Bids!$B925="","",Bids!$B925)</f>
        <v/>
      </c>
      <c r="D926" s="40" t="str">
        <f>IF($C926="","",IFERROR(VLOOKUP($C926,Orders!$A$4:$J$998,9,FALSE),""))</f>
        <v/>
      </c>
      <c r="E926" s="40" t="str">
        <f>IF($C926="","",IFERROR(VLOOKUP($C926,Orders!$A$4:$J$998,3,FALSE),""))</f>
        <v/>
      </c>
      <c r="F926" s="40">
        <f t="shared" si="2"/>
        <v>1</v>
      </c>
      <c r="G926" s="40" t="str">
        <f>IF($C926="","",IFERROR(VLOOKUP($C926,Orders!$A$4:$J$998,4,FALSE),""))</f>
        <v/>
      </c>
      <c r="H926" s="40" t="str">
        <f>IF($C926="","",IFERROR(VLOOKUP($C926,Orders!$A$4:$J$998,5,FALSE),""))</f>
        <v/>
      </c>
      <c r="I926" s="40" t="str">
        <f>IF($C926="","",IFERROR(VLOOKUP($C926,Orders!$A$4:$J$998,6,FALSE),""))</f>
        <v/>
      </c>
      <c r="J926" s="40" t="str">
        <f>IF($C926="","",IFERROR(VLOOKUP($C926,Orders!$A$4:$J$998,7,FALSE),""))</f>
        <v/>
      </c>
      <c r="K926" s="40" t="str">
        <f>IF(Bids!$C925="","",Bids!$C925)</f>
        <v/>
      </c>
      <c r="L926" s="40" t="str">
        <f>IF($K926="","",IFERROR(VLOOKUP($K926,Grinders!$A$4:$N$998,2,FALSE),""))</f>
        <v/>
      </c>
      <c r="M926" s="40" t="str">
        <f>IF($K926="","",IFERROR(VLOOKUP($K926,Grinders!$A$4:$N$998,3,FALSE),""))</f>
        <v/>
      </c>
      <c r="N926" s="40" t="str">
        <f>IF($K926="","",IFERROR(VLOOKUP($K926,Grinders!$A$4:$N$998,4,FALSE),""))</f>
        <v/>
      </c>
      <c r="O926" s="40" t="str">
        <f>IF($K926="","",IFERROR(VLOOKUP($K926,Grinders!$A$4:$N$998,5,FALSE),""))</f>
        <v/>
      </c>
      <c r="P926" s="40" t="str">
        <f>IF($K926="","",IF($C$4="",0,COUNTIFS(Assignments!$B$6:$B$1000,$K926,Assignments!$F$6:$F$1000,$C$4,Assignments!$E$6:$E$1000,"Active")))</f>
        <v/>
      </c>
      <c r="Q926" s="40" t="str">
        <f t="shared" si="3"/>
        <v/>
      </c>
      <c r="R926" s="40" t="str">
        <f t="shared" si="4"/>
        <v/>
      </c>
      <c r="S926" s="40" t="str">
        <f>IF($K926="","",IF($C$4="",0,COUNTIFS(Assignments!$B$6:$B$1000,$K926,Assignments!$F$6:$F$1000,$C$4,Assignments!$D$6:$D$1000,"&gt;="&amp;Config!$B$3-7,Assignments!$D$6:$D$1000,"&lt;="&amp;Config!$B$3)))</f>
        <v/>
      </c>
      <c r="T926" s="40" t="str">
        <f>IF($K926="","",IFERROR(VLOOKUP($K926,Grinders!$A$4:$N$998,8,FALSE),""))</f>
        <v/>
      </c>
      <c r="U926" s="40" t="str">
        <f>IFERROR(IF($K926="","",IF($M926="Elite",MAX(50,MIN(100,Config!$B$27*MAX(0,MIN(100,(1-IF($R926="",0,$R926))*100)) + Config!$B$28*MAX(0,MIN(100,(1-MIN(1,IF(Config!$B$30=0,1,$S926/Config!$B$30)))*100)) + Config!$B$29*MAX(0,MIN(100,MIN(1,IF($T926="",0,$T926)/Config!$B$23)*100)))),MIN(100,Config!$B$27*MAX(0,MIN(100,(1-IF($R926="",0,$R926))*100)) + Config!$B$28*MAX(0,MIN(100,(1-MIN(1,IF(Config!$B$30=0,1,$S926/Config!$B$30)))*100)) + Config!$B$29*MAX(0,MIN(100,MIN(1,IF($T926="",0,$T926)/Config!$B$23)*100))))),"")
</f>
        <v/>
      </c>
      <c r="V926" s="40" t="str">
        <f>IF(Bids!$D925="","",Bids!$D925)</f>
        <v/>
      </c>
      <c r="W926" s="40" t="str">
        <f>IF(Bids!$F925="","",Bids!$F925)</f>
        <v/>
      </c>
      <c r="X926" s="40" t="str">
        <f t="shared" si="5"/>
        <v/>
      </c>
      <c r="Y926" s="40" t="str">
        <f>IF($X926="","",IF(Config!$B$17=Config!$B$16,IF($X926&gt;=Config!$B$17,100,0),MAX(0,MIN(100,($X926-Config!$B$16)/(Config!$B$17-Config!$B$16)*100))))</f>
        <v/>
      </c>
      <c r="Z926" s="40">
        <f>IF($M926="Elite",Config!$B$21,0)</f>
        <v>0</v>
      </c>
      <c r="AA926" s="40" t="str">
        <f>IFERROR(IF(OR($W926="",$H926=""),"",IF($W926&gt;$H926,
  MAX(0, 60-(($W926-$H926)*24/Config!$B$19)*60),
  MIN(100, 60+(($H926-$W926)*24/Config!$B$20)*40)
)),"")
</f>
        <v/>
      </c>
      <c r="AB926" s="40" t="str">
        <f>IF($K926="","",IFERROR(VLOOKUP($K926,Grinders!$A$4:$N$998,10,FALSE)/5*100,""))</f>
        <v/>
      </c>
      <c r="AC926" s="40" t="str">
        <f>IF($K926="","",IFERROR(VLOOKUP($K926,Grinders!$A$4:$N$998,11,FALSE)*100,""))</f>
        <v/>
      </c>
      <c r="AD926" s="40" t="str">
        <f>IF($K926="","",IFERROR(VLOOKUP($K926,Grinders!$A$4:$N$998,12,FALSE)*100,""))</f>
        <v/>
      </c>
      <c r="AE926" s="40">
        <f>IFERROR(IFS(
    OR($C926="", $K926=""), 0,
    $F926=0, 0,
    $D926&lt;&gt;"Open", 0,
    COUNTIFS(GrinderServices!$B$4:$B$998, $K926, GrinderServices!$C$4:$C$998, $E926, GrinderServices!$E$4:$E$998, "Y")=0, 0,
    $X926&lt;Config!$B$16, 0,
    Config!$B$18=1, IF($O926&gt;=N926, 0, 1),
    TRUE, 1
), "")
</f>
        <v>0</v>
      </c>
      <c r="AF926" s="40" t="str">
        <f>IFERROR(IF($AE926=0,"",((Config!$B$6*$Y926 + Config!$B$7*$U926 + Config!$B$8*$Z926 + Config!$B$9*$AA926 + Config!$B$10*$AB926 + Config!$B$11*$AC926 - Config!$B$12*$AD926)/Config!$B$13)+$AK926+$AL926),"")</f>
        <v/>
      </c>
      <c r="AG926" s="40" t="str">
        <f t="shared" si="6"/>
        <v/>
      </c>
      <c r="AH926" s="40" t="str">
        <f t="shared" si="7"/>
        <v/>
      </c>
      <c r="AI926" s="40" t="str">
        <f t="shared" si="8"/>
        <v/>
      </c>
      <c r="AJ926" s="40" t="str">
        <f>IF($K926="","",COUNTIF(Assignments!$B$6:$B$1000,$K926))</f>
        <v/>
      </c>
      <c r="AK926" s="40" t="str">
        <f>IF($K926="","",IF(AND($AJ926=0,$O926&lt;$N926),Config!$B$43,0))</f>
        <v/>
      </c>
      <c r="AL926" s="40" t="str">
        <f>IF($K926="","",IF(AND($M926="Elite",$G926&gt;=Config!$B$41,$O926&lt;$N926),Config!$B$42,0))</f>
        <v/>
      </c>
      <c r="AM926" s="22"/>
    </row>
    <row r="927" ht="15.75" customHeight="1">
      <c r="A927" s="40" t="str">
        <f t="shared" si="1"/>
        <v/>
      </c>
      <c r="B927" s="40" t="str">
        <f>IF(Bids!$A926="","",Bids!$A926)</f>
        <v/>
      </c>
      <c r="C927" s="40" t="str">
        <f>IF(Bids!$B926="","",Bids!$B926)</f>
        <v/>
      </c>
      <c r="D927" s="40" t="str">
        <f>IF($C927="","",IFERROR(VLOOKUP($C927,Orders!$A$4:$J$998,9,FALSE),""))</f>
        <v/>
      </c>
      <c r="E927" s="40" t="str">
        <f>IF($C927="","",IFERROR(VLOOKUP($C927,Orders!$A$4:$J$998,3,FALSE),""))</f>
        <v/>
      </c>
      <c r="F927" s="40">
        <f t="shared" si="2"/>
        <v>1</v>
      </c>
      <c r="G927" s="40" t="str">
        <f>IF($C927="","",IFERROR(VLOOKUP($C927,Orders!$A$4:$J$998,4,FALSE),""))</f>
        <v/>
      </c>
      <c r="H927" s="40" t="str">
        <f>IF($C927="","",IFERROR(VLOOKUP($C927,Orders!$A$4:$J$998,5,FALSE),""))</f>
        <v/>
      </c>
      <c r="I927" s="40" t="str">
        <f>IF($C927="","",IFERROR(VLOOKUP($C927,Orders!$A$4:$J$998,6,FALSE),""))</f>
        <v/>
      </c>
      <c r="J927" s="40" t="str">
        <f>IF($C927="","",IFERROR(VLOOKUP($C927,Orders!$A$4:$J$998,7,FALSE),""))</f>
        <v/>
      </c>
      <c r="K927" s="40" t="str">
        <f>IF(Bids!$C926="","",Bids!$C926)</f>
        <v/>
      </c>
      <c r="L927" s="40" t="str">
        <f>IF($K927="","",IFERROR(VLOOKUP($K927,Grinders!$A$4:$N$998,2,FALSE),""))</f>
        <v/>
      </c>
      <c r="M927" s="40" t="str">
        <f>IF($K927="","",IFERROR(VLOOKUP($K927,Grinders!$A$4:$N$998,3,FALSE),""))</f>
        <v/>
      </c>
      <c r="N927" s="40" t="str">
        <f>IF($K927="","",IFERROR(VLOOKUP($K927,Grinders!$A$4:$N$998,4,FALSE),""))</f>
        <v/>
      </c>
      <c r="O927" s="40" t="str">
        <f>IF($K927="","",IFERROR(VLOOKUP($K927,Grinders!$A$4:$N$998,5,FALSE),""))</f>
        <v/>
      </c>
      <c r="P927" s="40" t="str">
        <f>IF($K927="","",IF($C$4="",0,COUNTIFS(Assignments!$B$6:$B$1000,$K927,Assignments!$F$6:$F$1000,$C$4,Assignments!$E$6:$E$1000,"Active")))</f>
        <v/>
      </c>
      <c r="Q927" s="40" t="str">
        <f t="shared" si="3"/>
        <v/>
      </c>
      <c r="R927" s="40" t="str">
        <f t="shared" si="4"/>
        <v/>
      </c>
      <c r="S927" s="40" t="str">
        <f>IF($K927="","",IF($C$4="",0,COUNTIFS(Assignments!$B$6:$B$1000,$K927,Assignments!$F$6:$F$1000,$C$4,Assignments!$D$6:$D$1000,"&gt;="&amp;Config!$B$3-7,Assignments!$D$6:$D$1000,"&lt;="&amp;Config!$B$3)))</f>
        <v/>
      </c>
      <c r="T927" s="40" t="str">
        <f>IF($K927="","",IFERROR(VLOOKUP($K927,Grinders!$A$4:$N$998,8,FALSE),""))</f>
        <v/>
      </c>
      <c r="U927" s="40" t="str">
        <f>IFERROR(IF($K927="","",IF($M927="Elite",MAX(50,MIN(100,Config!$B$27*MAX(0,MIN(100,(1-IF($R927="",0,$R927))*100)) + Config!$B$28*MAX(0,MIN(100,(1-MIN(1,IF(Config!$B$30=0,1,$S927/Config!$B$30)))*100)) + Config!$B$29*MAX(0,MIN(100,MIN(1,IF($T927="",0,$T927)/Config!$B$23)*100)))),MIN(100,Config!$B$27*MAX(0,MIN(100,(1-IF($R927="",0,$R927))*100)) + Config!$B$28*MAX(0,MIN(100,(1-MIN(1,IF(Config!$B$30=0,1,$S927/Config!$B$30)))*100)) + Config!$B$29*MAX(0,MIN(100,MIN(1,IF($T927="",0,$T927)/Config!$B$23)*100))))),"")
</f>
        <v/>
      </c>
      <c r="V927" s="40" t="str">
        <f>IF(Bids!$D926="","",Bids!$D926)</f>
        <v/>
      </c>
      <c r="W927" s="40" t="str">
        <f>IF(Bids!$F926="","",Bids!$F926)</f>
        <v/>
      </c>
      <c r="X927" s="40" t="str">
        <f t="shared" si="5"/>
        <v/>
      </c>
      <c r="Y927" s="40" t="str">
        <f>IF($X927="","",IF(Config!$B$17=Config!$B$16,IF($X927&gt;=Config!$B$17,100,0),MAX(0,MIN(100,($X927-Config!$B$16)/(Config!$B$17-Config!$B$16)*100))))</f>
        <v/>
      </c>
      <c r="Z927" s="40">
        <f>IF($M927="Elite",Config!$B$21,0)</f>
        <v>0</v>
      </c>
      <c r="AA927" s="40" t="str">
        <f>IFERROR(IF(OR($W927="",$H927=""),"",IF($W927&gt;$H927,
  MAX(0, 60-(($W927-$H927)*24/Config!$B$19)*60),
  MIN(100, 60+(($H927-$W927)*24/Config!$B$20)*40)
)),"")
</f>
        <v/>
      </c>
      <c r="AB927" s="40" t="str">
        <f>IF($K927="","",IFERROR(VLOOKUP($K927,Grinders!$A$4:$N$998,10,FALSE)/5*100,""))</f>
        <v/>
      </c>
      <c r="AC927" s="40" t="str">
        <f>IF($K927="","",IFERROR(VLOOKUP($K927,Grinders!$A$4:$N$998,11,FALSE)*100,""))</f>
        <v/>
      </c>
      <c r="AD927" s="40" t="str">
        <f>IF($K927="","",IFERROR(VLOOKUP($K927,Grinders!$A$4:$N$998,12,FALSE)*100,""))</f>
        <v/>
      </c>
      <c r="AE927" s="40">
        <f>IFERROR(IFS(
    OR($C927="", $K927=""), 0,
    $F927=0, 0,
    $D927&lt;&gt;"Open", 0,
    COUNTIFS(GrinderServices!$B$4:$B$998, $K927, GrinderServices!$C$4:$C$998, $E927, GrinderServices!$E$4:$E$998, "Y")=0, 0,
    $X927&lt;Config!$B$16, 0,
    Config!$B$18=1, IF($O927&gt;=N927, 0, 1),
    TRUE, 1
), "")
</f>
        <v>0</v>
      </c>
      <c r="AF927" s="40" t="str">
        <f>IFERROR(IF($AE927=0,"",((Config!$B$6*$Y927 + Config!$B$7*$U927 + Config!$B$8*$Z927 + Config!$B$9*$AA927 + Config!$B$10*$AB927 + Config!$B$11*$AC927 - Config!$B$12*$AD927)/Config!$B$13)+$AK927+$AL927),"")</f>
        <v/>
      </c>
      <c r="AG927" s="40" t="str">
        <f t="shared" si="6"/>
        <v/>
      </c>
      <c r="AH927" s="40" t="str">
        <f t="shared" si="7"/>
        <v/>
      </c>
      <c r="AI927" s="40" t="str">
        <f t="shared" si="8"/>
        <v/>
      </c>
      <c r="AJ927" s="40" t="str">
        <f>IF($K927="","",COUNTIF(Assignments!$B$6:$B$1000,$K927))</f>
        <v/>
      </c>
      <c r="AK927" s="40" t="str">
        <f>IF($K927="","",IF(AND($AJ927=0,$O927&lt;$N927),Config!$B$43,0))</f>
        <v/>
      </c>
      <c r="AL927" s="40" t="str">
        <f>IF($K927="","",IF(AND($M927="Elite",$G927&gt;=Config!$B$41,$O927&lt;$N927),Config!$B$42,0))</f>
        <v/>
      </c>
      <c r="AM927" s="22"/>
    </row>
    <row r="928" ht="15.75" customHeight="1">
      <c r="A928" s="40" t="str">
        <f t="shared" si="1"/>
        <v/>
      </c>
      <c r="B928" s="40" t="str">
        <f>IF(Bids!$A927="","",Bids!$A927)</f>
        <v/>
      </c>
      <c r="C928" s="40" t="str">
        <f>IF(Bids!$B927="","",Bids!$B927)</f>
        <v/>
      </c>
      <c r="D928" s="40" t="str">
        <f>IF($C928="","",IFERROR(VLOOKUP($C928,Orders!$A$4:$J$998,9,FALSE),""))</f>
        <v/>
      </c>
      <c r="E928" s="40" t="str">
        <f>IF($C928="","",IFERROR(VLOOKUP($C928,Orders!$A$4:$J$998,3,FALSE),""))</f>
        <v/>
      </c>
      <c r="F928" s="40">
        <f t="shared" si="2"/>
        <v>1</v>
      </c>
      <c r="G928" s="40" t="str">
        <f>IF($C928="","",IFERROR(VLOOKUP($C928,Orders!$A$4:$J$998,4,FALSE),""))</f>
        <v/>
      </c>
      <c r="H928" s="40" t="str">
        <f>IF($C928="","",IFERROR(VLOOKUP($C928,Orders!$A$4:$J$998,5,FALSE),""))</f>
        <v/>
      </c>
      <c r="I928" s="40" t="str">
        <f>IF($C928="","",IFERROR(VLOOKUP($C928,Orders!$A$4:$J$998,6,FALSE),""))</f>
        <v/>
      </c>
      <c r="J928" s="40" t="str">
        <f>IF($C928="","",IFERROR(VLOOKUP($C928,Orders!$A$4:$J$998,7,FALSE),""))</f>
        <v/>
      </c>
      <c r="K928" s="40" t="str">
        <f>IF(Bids!$C927="","",Bids!$C927)</f>
        <v/>
      </c>
      <c r="L928" s="40" t="str">
        <f>IF($K928="","",IFERROR(VLOOKUP($K928,Grinders!$A$4:$N$998,2,FALSE),""))</f>
        <v/>
      </c>
      <c r="M928" s="40" t="str">
        <f>IF($K928="","",IFERROR(VLOOKUP($K928,Grinders!$A$4:$N$998,3,FALSE),""))</f>
        <v/>
      </c>
      <c r="N928" s="40" t="str">
        <f>IF($K928="","",IFERROR(VLOOKUP($K928,Grinders!$A$4:$N$998,4,FALSE),""))</f>
        <v/>
      </c>
      <c r="O928" s="40" t="str">
        <f>IF($K928="","",IFERROR(VLOOKUP($K928,Grinders!$A$4:$N$998,5,FALSE),""))</f>
        <v/>
      </c>
      <c r="P928" s="40" t="str">
        <f>IF($K928="","",IF($C$4="",0,COUNTIFS(Assignments!$B$6:$B$1000,$K928,Assignments!$F$6:$F$1000,$C$4,Assignments!$E$6:$E$1000,"Active")))</f>
        <v/>
      </c>
      <c r="Q928" s="40" t="str">
        <f t="shared" si="3"/>
        <v/>
      </c>
      <c r="R928" s="40" t="str">
        <f t="shared" si="4"/>
        <v/>
      </c>
      <c r="S928" s="40" t="str">
        <f>IF($K928="","",IF($C$4="",0,COUNTIFS(Assignments!$B$6:$B$1000,$K928,Assignments!$F$6:$F$1000,$C$4,Assignments!$D$6:$D$1000,"&gt;="&amp;Config!$B$3-7,Assignments!$D$6:$D$1000,"&lt;="&amp;Config!$B$3)))</f>
        <v/>
      </c>
      <c r="T928" s="40" t="str">
        <f>IF($K928="","",IFERROR(VLOOKUP($K928,Grinders!$A$4:$N$998,8,FALSE),""))</f>
        <v/>
      </c>
      <c r="U928" s="40" t="str">
        <f>IFERROR(IF($K928="","",IF($M928="Elite",MAX(50,MIN(100,Config!$B$27*MAX(0,MIN(100,(1-IF($R928="",0,$R928))*100)) + Config!$B$28*MAX(0,MIN(100,(1-MIN(1,IF(Config!$B$30=0,1,$S928/Config!$B$30)))*100)) + Config!$B$29*MAX(0,MIN(100,MIN(1,IF($T928="",0,$T928)/Config!$B$23)*100)))),MIN(100,Config!$B$27*MAX(0,MIN(100,(1-IF($R928="",0,$R928))*100)) + Config!$B$28*MAX(0,MIN(100,(1-MIN(1,IF(Config!$B$30=0,1,$S928/Config!$B$30)))*100)) + Config!$B$29*MAX(0,MIN(100,MIN(1,IF($T928="",0,$T928)/Config!$B$23)*100))))),"")
</f>
        <v/>
      </c>
      <c r="V928" s="40" t="str">
        <f>IF(Bids!$D927="","",Bids!$D927)</f>
        <v/>
      </c>
      <c r="W928" s="40" t="str">
        <f>IF(Bids!$F927="","",Bids!$F927)</f>
        <v/>
      </c>
      <c r="X928" s="40" t="str">
        <f t="shared" si="5"/>
        <v/>
      </c>
      <c r="Y928" s="40" t="str">
        <f>IF($X928="","",IF(Config!$B$17=Config!$B$16,IF($X928&gt;=Config!$B$17,100,0),MAX(0,MIN(100,($X928-Config!$B$16)/(Config!$B$17-Config!$B$16)*100))))</f>
        <v/>
      </c>
      <c r="Z928" s="40">
        <f>IF($M928="Elite",Config!$B$21,0)</f>
        <v>0</v>
      </c>
      <c r="AA928" s="40" t="str">
        <f>IFERROR(IF(OR($W928="",$H928=""),"",IF($W928&gt;$H928,
  MAX(0, 60-(($W928-$H928)*24/Config!$B$19)*60),
  MIN(100, 60+(($H928-$W928)*24/Config!$B$20)*40)
)),"")
</f>
        <v/>
      </c>
      <c r="AB928" s="40" t="str">
        <f>IF($K928="","",IFERROR(VLOOKUP($K928,Grinders!$A$4:$N$998,10,FALSE)/5*100,""))</f>
        <v/>
      </c>
      <c r="AC928" s="40" t="str">
        <f>IF($K928="","",IFERROR(VLOOKUP($K928,Grinders!$A$4:$N$998,11,FALSE)*100,""))</f>
        <v/>
      </c>
      <c r="AD928" s="40" t="str">
        <f>IF($K928="","",IFERROR(VLOOKUP($K928,Grinders!$A$4:$N$998,12,FALSE)*100,""))</f>
        <v/>
      </c>
      <c r="AE928" s="40">
        <f>IFERROR(IFS(
    OR($C928="", $K928=""), 0,
    $F928=0, 0,
    $D928&lt;&gt;"Open", 0,
    COUNTIFS(GrinderServices!$B$4:$B$998, $K928, GrinderServices!$C$4:$C$998, $E928, GrinderServices!$E$4:$E$998, "Y")=0, 0,
    $X928&lt;Config!$B$16, 0,
    Config!$B$18=1, IF($O928&gt;=N928, 0, 1),
    TRUE, 1
), "")
</f>
        <v>0</v>
      </c>
      <c r="AF928" s="40" t="str">
        <f>IFERROR(IF($AE928=0,"",((Config!$B$6*$Y928 + Config!$B$7*$U928 + Config!$B$8*$Z928 + Config!$B$9*$AA928 + Config!$B$10*$AB928 + Config!$B$11*$AC928 - Config!$B$12*$AD928)/Config!$B$13)+$AK928+$AL928),"")</f>
        <v/>
      </c>
      <c r="AG928" s="40" t="str">
        <f t="shared" si="6"/>
        <v/>
      </c>
      <c r="AH928" s="40" t="str">
        <f t="shared" si="7"/>
        <v/>
      </c>
      <c r="AI928" s="40" t="str">
        <f t="shared" si="8"/>
        <v/>
      </c>
      <c r="AJ928" s="40" t="str">
        <f>IF($K928="","",COUNTIF(Assignments!$B$6:$B$1000,$K928))</f>
        <v/>
      </c>
      <c r="AK928" s="40" t="str">
        <f>IF($K928="","",IF(AND($AJ928=0,$O928&lt;$N928),Config!$B$43,0))</f>
        <v/>
      </c>
      <c r="AL928" s="40" t="str">
        <f>IF($K928="","",IF(AND($M928="Elite",$G928&gt;=Config!$B$41,$O928&lt;$N928),Config!$B$42,0))</f>
        <v/>
      </c>
      <c r="AM928" s="22"/>
    </row>
    <row r="929" ht="15.75" customHeight="1">
      <c r="A929" s="40" t="str">
        <f t="shared" si="1"/>
        <v/>
      </c>
      <c r="B929" s="40" t="str">
        <f>IF(Bids!$A928="","",Bids!$A928)</f>
        <v/>
      </c>
      <c r="C929" s="40" t="str">
        <f>IF(Bids!$B928="","",Bids!$B928)</f>
        <v/>
      </c>
      <c r="D929" s="40" t="str">
        <f>IF($C929="","",IFERROR(VLOOKUP($C929,Orders!$A$4:$J$998,9,FALSE),""))</f>
        <v/>
      </c>
      <c r="E929" s="40" t="str">
        <f>IF($C929="","",IFERROR(VLOOKUP($C929,Orders!$A$4:$J$998,3,FALSE),""))</f>
        <v/>
      </c>
      <c r="F929" s="40">
        <f t="shared" si="2"/>
        <v>1</v>
      </c>
      <c r="G929" s="40" t="str">
        <f>IF($C929="","",IFERROR(VLOOKUP($C929,Orders!$A$4:$J$998,4,FALSE),""))</f>
        <v/>
      </c>
      <c r="H929" s="40" t="str">
        <f>IF($C929="","",IFERROR(VLOOKUP($C929,Orders!$A$4:$J$998,5,FALSE),""))</f>
        <v/>
      </c>
      <c r="I929" s="40" t="str">
        <f>IF($C929="","",IFERROR(VLOOKUP($C929,Orders!$A$4:$J$998,6,FALSE),""))</f>
        <v/>
      </c>
      <c r="J929" s="40" t="str">
        <f>IF($C929="","",IFERROR(VLOOKUP($C929,Orders!$A$4:$J$998,7,FALSE),""))</f>
        <v/>
      </c>
      <c r="K929" s="40" t="str">
        <f>IF(Bids!$C928="","",Bids!$C928)</f>
        <v/>
      </c>
      <c r="L929" s="40" t="str">
        <f>IF($K929="","",IFERROR(VLOOKUP($K929,Grinders!$A$4:$N$998,2,FALSE),""))</f>
        <v/>
      </c>
      <c r="M929" s="40" t="str">
        <f>IF($K929="","",IFERROR(VLOOKUP($K929,Grinders!$A$4:$N$998,3,FALSE),""))</f>
        <v/>
      </c>
      <c r="N929" s="40" t="str">
        <f>IF($K929="","",IFERROR(VLOOKUP($K929,Grinders!$A$4:$N$998,4,FALSE),""))</f>
        <v/>
      </c>
      <c r="O929" s="40" t="str">
        <f>IF($K929="","",IFERROR(VLOOKUP($K929,Grinders!$A$4:$N$998,5,FALSE),""))</f>
        <v/>
      </c>
      <c r="P929" s="40" t="str">
        <f>IF($K929="","",IF($C$4="",0,COUNTIFS(Assignments!$B$6:$B$1000,$K929,Assignments!$F$6:$F$1000,$C$4,Assignments!$E$6:$E$1000,"Active")))</f>
        <v/>
      </c>
      <c r="Q929" s="40" t="str">
        <f t="shared" si="3"/>
        <v/>
      </c>
      <c r="R929" s="40" t="str">
        <f t="shared" si="4"/>
        <v/>
      </c>
      <c r="S929" s="40" t="str">
        <f>IF($K929="","",IF($C$4="",0,COUNTIFS(Assignments!$B$6:$B$1000,$K929,Assignments!$F$6:$F$1000,$C$4,Assignments!$D$6:$D$1000,"&gt;="&amp;Config!$B$3-7,Assignments!$D$6:$D$1000,"&lt;="&amp;Config!$B$3)))</f>
        <v/>
      </c>
      <c r="T929" s="40" t="str">
        <f>IF($K929="","",IFERROR(VLOOKUP($K929,Grinders!$A$4:$N$998,8,FALSE),""))</f>
        <v/>
      </c>
      <c r="U929" s="40" t="str">
        <f>IFERROR(IF($K929="","",IF($M929="Elite",MAX(50,MIN(100,Config!$B$27*MAX(0,MIN(100,(1-IF($R929="",0,$R929))*100)) + Config!$B$28*MAX(0,MIN(100,(1-MIN(1,IF(Config!$B$30=0,1,$S929/Config!$B$30)))*100)) + Config!$B$29*MAX(0,MIN(100,MIN(1,IF($T929="",0,$T929)/Config!$B$23)*100)))),MIN(100,Config!$B$27*MAX(0,MIN(100,(1-IF($R929="",0,$R929))*100)) + Config!$B$28*MAX(0,MIN(100,(1-MIN(1,IF(Config!$B$30=0,1,$S929/Config!$B$30)))*100)) + Config!$B$29*MAX(0,MIN(100,MIN(1,IF($T929="",0,$T929)/Config!$B$23)*100))))),"")
</f>
        <v/>
      </c>
      <c r="V929" s="40" t="str">
        <f>IF(Bids!$D928="","",Bids!$D928)</f>
        <v/>
      </c>
      <c r="W929" s="40" t="str">
        <f>IF(Bids!$F928="","",Bids!$F928)</f>
        <v/>
      </c>
      <c r="X929" s="40" t="str">
        <f t="shared" si="5"/>
        <v/>
      </c>
      <c r="Y929" s="40" t="str">
        <f>IF($X929="","",IF(Config!$B$17=Config!$B$16,IF($X929&gt;=Config!$B$17,100,0),MAX(0,MIN(100,($X929-Config!$B$16)/(Config!$B$17-Config!$B$16)*100))))</f>
        <v/>
      </c>
      <c r="Z929" s="40">
        <f>IF($M929="Elite",Config!$B$21,0)</f>
        <v>0</v>
      </c>
      <c r="AA929" s="40" t="str">
        <f>IFERROR(IF(OR($W929="",$H929=""),"",IF($W929&gt;$H929,
  MAX(0, 60-(($W929-$H929)*24/Config!$B$19)*60),
  MIN(100, 60+(($H929-$W929)*24/Config!$B$20)*40)
)),"")
</f>
        <v/>
      </c>
      <c r="AB929" s="40" t="str">
        <f>IF($K929="","",IFERROR(VLOOKUP($K929,Grinders!$A$4:$N$998,10,FALSE)/5*100,""))</f>
        <v/>
      </c>
      <c r="AC929" s="40" t="str">
        <f>IF($K929="","",IFERROR(VLOOKUP($K929,Grinders!$A$4:$N$998,11,FALSE)*100,""))</f>
        <v/>
      </c>
      <c r="AD929" s="40" t="str">
        <f>IF($K929="","",IFERROR(VLOOKUP($K929,Grinders!$A$4:$N$998,12,FALSE)*100,""))</f>
        <v/>
      </c>
      <c r="AE929" s="40">
        <f>IFERROR(IFS(
    OR($C929="", $K929=""), 0,
    $F929=0, 0,
    $D929&lt;&gt;"Open", 0,
    COUNTIFS(GrinderServices!$B$4:$B$998, $K929, GrinderServices!$C$4:$C$998, $E929, GrinderServices!$E$4:$E$998, "Y")=0, 0,
    $X929&lt;Config!$B$16, 0,
    Config!$B$18=1, IF($O929&gt;=N929, 0, 1),
    TRUE, 1
), "")
</f>
        <v>0</v>
      </c>
      <c r="AF929" s="40" t="str">
        <f>IFERROR(IF($AE929=0,"",((Config!$B$6*$Y929 + Config!$B$7*$U929 + Config!$B$8*$Z929 + Config!$B$9*$AA929 + Config!$B$10*$AB929 + Config!$B$11*$AC929 - Config!$B$12*$AD929)/Config!$B$13)+$AK929+$AL929),"")</f>
        <v/>
      </c>
      <c r="AG929" s="40" t="str">
        <f t="shared" si="6"/>
        <v/>
      </c>
      <c r="AH929" s="40" t="str">
        <f t="shared" si="7"/>
        <v/>
      </c>
      <c r="AI929" s="40" t="str">
        <f t="shared" si="8"/>
        <v/>
      </c>
      <c r="AJ929" s="40" t="str">
        <f>IF($K929="","",COUNTIF(Assignments!$B$6:$B$1000,$K929))</f>
        <v/>
      </c>
      <c r="AK929" s="40" t="str">
        <f>IF($K929="","",IF(AND($AJ929=0,$O929&lt;$N929),Config!$B$43,0))</f>
        <v/>
      </c>
      <c r="AL929" s="40" t="str">
        <f>IF($K929="","",IF(AND($M929="Elite",$G929&gt;=Config!$B$41,$O929&lt;$N929),Config!$B$42,0))</f>
        <v/>
      </c>
      <c r="AM929" s="22"/>
    </row>
    <row r="930" ht="15.75" customHeight="1">
      <c r="A930" s="40" t="str">
        <f t="shared" si="1"/>
        <v/>
      </c>
      <c r="B930" s="40" t="str">
        <f>IF(Bids!$A929="","",Bids!$A929)</f>
        <v/>
      </c>
      <c r="C930" s="40" t="str">
        <f>IF(Bids!$B929="","",Bids!$B929)</f>
        <v/>
      </c>
      <c r="D930" s="40" t="str">
        <f>IF($C930="","",IFERROR(VLOOKUP($C930,Orders!$A$4:$J$998,9,FALSE),""))</f>
        <v/>
      </c>
      <c r="E930" s="40" t="str">
        <f>IF($C930="","",IFERROR(VLOOKUP($C930,Orders!$A$4:$J$998,3,FALSE),""))</f>
        <v/>
      </c>
      <c r="F930" s="40">
        <f t="shared" si="2"/>
        <v>1</v>
      </c>
      <c r="G930" s="40" t="str">
        <f>IF($C930="","",IFERROR(VLOOKUP($C930,Orders!$A$4:$J$998,4,FALSE),""))</f>
        <v/>
      </c>
      <c r="H930" s="40" t="str">
        <f>IF($C930="","",IFERROR(VLOOKUP($C930,Orders!$A$4:$J$998,5,FALSE),""))</f>
        <v/>
      </c>
      <c r="I930" s="40" t="str">
        <f>IF($C930="","",IFERROR(VLOOKUP($C930,Orders!$A$4:$J$998,6,FALSE),""))</f>
        <v/>
      </c>
      <c r="J930" s="40" t="str">
        <f>IF($C930="","",IFERROR(VLOOKUP($C930,Orders!$A$4:$J$998,7,FALSE),""))</f>
        <v/>
      </c>
      <c r="K930" s="40" t="str">
        <f>IF(Bids!$C929="","",Bids!$C929)</f>
        <v/>
      </c>
      <c r="L930" s="40" t="str">
        <f>IF($K930="","",IFERROR(VLOOKUP($K930,Grinders!$A$4:$N$998,2,FALSE),""))</f>
        <v/>
      </c>
      <c r="M930" s="40" t="str">
        <f>IF($K930="","",IFERROR(VLOOKUP($K930,Grinders!$A$4:$N$998,3,FALSE),""))</f>
        <v/>
      </c>
      <c r="N930" s="40" t="str">
        <f>IF($K930="","",IFERROR(VLOOKUP($K930,Grinders!$A$4:$N$998,4,FALSE),""))</f>
        <v/>
      </c>
      <c r="O930" s="40" t="str">
        <f>IF($K930="","",IFERROR(VLOOKUP($K930,Grinders!$A$4:$N$998,5,FALSE),""))</f>
        <v/>
      </c>
      <c r="P930" s="40" t="str">
        <f>IF($K930="","",IF($C$4="",0,COUNTIFS(Assignments!$B$6:$B$1000,$K930,Assignments!$F$6:$F$1000,$C$4,Assignments!$E$6:$E$1000,"Active")))</f>
        <v/>
      </c>
      <c r="Q930" s="40" t="str">
        <f t="shared" si="3"/>
        <v/>
      </c>
      <c r="R930" s="40" t="str">
        <f t="shared" si="4"/>
        <v/>
      </c>
      <c r="S930" s="40" t="str">
        <f>IF($K930="","",IF($C$4="",0,COUNTIFS(Assignments!$B$6:$B$1000,$K930,Assignments!$F$6:$F$1000,$C$4,Assignments!$D$6:$D$1000,"&gt;="&amp;Config!$B$3-7,Assignments!$D$6:$D$1000,"&lt;="&amp;Config!$B$3)))</f>
        <v/>
      </c>
      <c r="T930" s="40" t="str">
        <f>IF($K930="","",IFERROR(VLOOKUP($K930,Grinders!$A$4:$N$998,8,FALSE),""))</f>
        <v/>
      </c>
      <c r="U930" s="40" t="str">
        <f>IFERROR(IF($K930="","",IF($M930="Elite",MAX(50,MIN(100,Config!$B$27*MAX(0,MIN(100,(1-IF($R930="",0,$R930))*100)) + Config!$B$28*MAX(0,MIN(100,(1-MIN(1,IF(Config!$B$30=0,1,$S930/Config!$B$30)))*100)) + Config!$B$29*MAX(0,MIN(100,MIN(1,IF($T930="",0,$T930)/Config!$B$23)*100)))),MIN(100,Config!$B$27*MAX(0,MIN(100,(1-IF($R930="",0,$R930))*100)) + Config!$B$28*MAX(0,MIN(100,(1-MIN(1,IF(Config!$B$30=0,1,$S930/Config!$B$30)))*100)) + Config!$B$29*MAX(0,MIN(100,MIN(1,IF($T930="",0,$T930)/Config!$B$23)*100))))),"")
</f>
        <v/>
      </c>
      <c r="V930" s="40" t="str">
        <f>IF(Bids!$D929="","",Bids!$D929)</f>
        <v/>
      </c>
      <c r="W930" s="40" t="str">
        <f>IF(Bids!$F929="","",Bids!$F929)</f>
        <v/>
      </c>
      <c r="X930" s="40" t="str">
        <f t="shared" si="5"/>
        <v/>
      </c>
      <c r="Y930" s="40" t="str">
        <f>IF($X930="","",IF(Config!$B$17=Config!$B$16,IF($X930&gt;=Config!$B$17,100,0),MAX(0,MIN(100,($X930-Config!$B$16)/(Config!$B$17-Config!$B$16)*100))))</f>
        <v/>
      </c>
      <c r="Z930" s="40">
        <f>IF($M930="Elite",Config!$B$21,0)</f>
        <v>0</v>
      </c>
      <c r="AA930" s="40" t="str">
        <f>IFERROR(IF(OR($W930="",$H930=""),"",IF($W930&gt;$H930,
  MAX(0, 60-(($W930-$H930)*24/Config!$B$19)*60),
  MIN(100, 60+(($H930-$W930)*24/Config!$B$20)*40)
)),"")
</f>
        <v/>
      </c>
      <c r="AB930" s="40" t="str">
        <f>IF($K930="","",IFERROR(VLOOKUP($K930,Grinders!$A$4:$N$998,10,FALSE)/5*100,""))</f>
        <v/>
      </c>
      <c r="AC930" s="40" t="str">
        <f>IF($K930="","",IFERROR(VLOOKUP($K930,Grinders!$A$4:$N$998,11,FALSE)*100,""))</f>
        <v/>
      </c>
      <c r="AD930" s="40" t="str">
        <f>IF($K930="","",IFERROR(VLOOKUP($K930,Grinders!$A$4:$N$998,12,FALSE)*100,""))</f>
        <v/>
      </c>
      <c r="AE930" s="40">
        <f>IFERROR(IFS(
    OR($C930="", $K930=""), 0,
    $F930=0, 0,
    $D930&lt;&gt;"Open", 0,
    COUNTIFS(GrinderServices!$B$4:$B$998, $K930, GrinderServices!$C$4:$C$998, $E930, GrinderServices!$E$4:$E$998, "Y")=0, 0,
    $X930&lt;Config!$B$16, 0,
    Config!$B$18=1, IF($O930&gt;=N930, 0, 1),
    TRUE, 1
), "")
</f>
        <v>0</v>
      </c>
      <c r="AF930" s="40" t="str">
        <f>IFERROR(IF($AE930=0,"",((Config!$B$6*$Y930 + Config!$B$7*$U930 + Config!$B$8*$Z930 + Config!$B$9*$AA930 + Config!$B$10*$AB930 + Config!$B$11*$AC930 - Config!$B$12*$AD930)/Config!$B$13)+$AK930+$AL930),"")</f>
        <v/>
      </c>
      <c r="AG930" s="40" t="str">
        <f t="shared" si="6"/>
        <v/>
      </c>
      <c r="AH930" s="40" t="str">
        <f t="shared" si="7"/>
        <v/>
      </c>
      <c r="AI930" s="40" t="str">
        <f t="shared" si="8"/>
        <v/>
      </c>
      <c r="AJ930" s="40" t="str">
        <f>IF($K930="","",COUNTIF(Assignments!$B$6:$B$1000,$K930))</f>
        <v/>
      </c>
      <c r="AK930" s="40" t="str">
        <f>IF($K930="","",IF(AND($AJ930=0,$O930&lt;$N930),Config!$B$43,0))</f>
        <v/>
      </c>
      <c r="AL930" s="40" t="str">
        <f>IF($K930="","",IF(AND($M930="Elite",$G930&gt;=Config!$B$41,$O930&lt;$N930),Config!$B$42,0))</f>
        <v/>
      </c>
      <c r="AM930" s="22"/>
    </row>
    <row r="931" ht="15.75" customHeight="1">
      <c r="A931" s="40" t="str">
        <f t="shared" si="1"/>
        <v/>
      </c>
      <c r="B931" s="40" t="str">
        <f>IF(Bids!$A930="","",Bids!$A930)</f>
        <v/>
      </c>
      <c r="C931" s="40" t="str">
        <f>IF(Bids!$B930="","",Bids!$B930)</f>
        <v/>
      </c>
      <c r="D931" s="40" t="str">
        <f>IF($C931="","",IFERROR(VLOOKUP($C931,Orders!$A$4:$J$998,9,FALSE),""))</f>
        <v/>
      </c>
      <c r="E931" s="40" t="str">
        <f>IF($C931="","",IFERROR(VLOOKUP($C931,Orders!$A$4:$J$998,3,FALSE),""))</f>
        <v/>
      </c>
      <c r="F931" s="40">
        <f t="shared" si="2"/>
        <v>1</v>
      </c>
      <c r="G931" s="40" t="str">
        <f>IF($C931="","",IFERROR(VLOOKUP($C931,Orders!$A$4:$J$998,4,FALSE),""))</f>
        <v/>
      </c>
      <c r="H931" s="40" t="str">
        <f>IF($C931="","",IFERROR(VLOOKUP($C931,Orders!$A$4:$J$998,5,FALSE),""))</f>
        <v/>
      </c>
      <c r="I931" s="40" t="str">
        <f>IF($C931="","",IFERROR(VLOOKUP($C931,Orders!$A$4:$J$998,6,FALSE),""))</f>
        <v/>
      </c>
      <c r="J931" s="40" t="str">
        <f>IF($C931="","",IFERROR(VLOOKUP($C931,Orders!$A$4:$J$998,7,FALSE),""))</f>
        <v/>
      </c>
      <c r="K931" s="40" t="str">
        <f>IF(Bids!$C930="","",Bids!$C930)</f>
        <v/>
      </c>
      <c r="L931" s="40" t="str">
        <f>IF($K931="","",IFERROR(VLOOKUP($K931,Grinders!$A$4:$N$998,2,FALSE),""))</f>
        <v/>
      </c>
      <c r="M931" s="40" t="str">
        <f>IF($K931="","",IFERROR(VLOOKUP($K931,Grinders!$A$4:$N$998,3,FALSE),""))</f>
        <v/>
      </c>
      <c r="N931" s="40" t="str">
        <f>IF($K931="","",IFERROR(VLOOKUP($K931,Grinders!$A$4:$N$998,4,FALSE),""))</f>
        <v/>
      </c>
      <c r="O931" s="40" t="str">
        <f>IF($K931="","",IFERROR(VLOOKUP($K931,Grinders!$A$4:$N$998,5,FALSE),""))</f>
        <v/>
      </c>
      <c r="P931" s="40" t="str">
        <f>IF($K931="","",IF($C$4="",0,COUNTIFS(Assignments!$B$6:$B$1000,$K931,Assignments!$F$6:$F$1000,$C$4,Assignments!$E$6:$E$1000,"Active")))</f>
        <v/>
      </c>
      <c r="Q931" s="40" t="str">
        <f t="shared" si="3"/>
        <v/>
      </c>
      <c r="R931" s="40" t="str">
        <f t="shared" si="4"/>
        <v/>
      </c>
      <c r="S931" s="40" t="str">
        <f>IF($K931="","",IF($C$4="",0,COUNTIFS(Assignments!$B$6:$B$1000,$K931,Assignments!$F$6:$F$1000,$C$4,Assignments!$D$6:$D$1000,"&gt;="&amp;Config!$B$3-7,Assignments!$D$6:$D$1000,"&lt;="&amp;Config!$B$3)))</f>
        <v/>
      </c>
      <c r="T931" s="40" t="str">
        <f>IF($K931="","",IFERROR(VLOOKUP($K931,Grinders!$A$4:$N$998,8,FALSE),""))</f>
        <v/>
      </c>
      <c r="U931" s="40" t="str">
        <f>IFERROR(IF($K931="","",IF($M931="Elite",MAX(50,MIN(100,Config!$B$27*MAX(0,MIN(100,(1-IF($R931="",0,$R931))*100)) + Config!$B$28*MAX(0,MIN(100,(1-MIN(1,IF(Config!$B$30=0,1,$S931/Config!$B$30)))*100)) + Config!$B$29*MAX(0,MIN(100,MIN(1,IF($T931="",0,$T931)/Config!$B$23)*100)))),MIN(100,Config!$B$27*MAX(0,MIN(100,(1-IF($R931="",0,$R931))*100)) + Config!$B$28*MAX(0,MIN(100,(1-MIN(1,IF(Config!$B$30=0,1,$S931/Config!$B$30)))*100)) + Config!$B$29*MAX(0,MIN(100,MIN(1,IF($T931="",0,$T931)/Config!$B$23)*100))))),"")
</f>
        <v/>
      </c>
      <c r="V931" s="40" t="str">
        <f>IF(Bids!$D930="","",Bids!$D930)</f>
        <v/>
      </c>
      <c r="W931" s="40" t="str">
        <f>IF(Bids!$F930="","",Bids!$F930)</f>
        <v/>
      </c>
      <c r="X931" s="40" t="str">
        <f t="shared" si="5"/>
        <v/>
      </c>
      <c r="Y931" s="40" t="str">
        <f>IF($X931="","",IF(Config!$B$17=Config!$B$16,IF($X931&gt;=Config!$B$17,100,0),MAX(0,MIN(100,($X931-Config!$B$16)/(Config!$B$17-Config!$B$16)*100))))</f>
        <v/>
      </c>
      <c r="Z931" s="40">
        <f>IF($M931="Elite",Config!$B$21,0)</f>
        <v>0</v>
      </c>
      <c r="AA931" s="40" t="str">
        <f>IFERROR(IF(OR($W931="",$H931=""),"",IF($W931&gt;$H931,
  MAX(0, 60-(($W931-$H931)*24/Config!$B$19)*60),
  MIN(100, 60+(($H931-$W931)*24/Config!$B$20)*40)
)),"")
</f>
        <v/>
      </c>
      <c r="AB931" s="40" t="str">
        <f>IF($K931="","",IFERROR(VLOOKUP($K931,Grinders!$A$4:$N$998,10,FALSE)/5*100,""))</f>
        <v/>
      </c>
      <c r="AC931" s="40" t="str">
        <f>IF($K931="","",IFERROR(VLOOKUP($K931,Grinders!$A$4:$N$998,11,FALSE)*100,""))</f>
        <v/>
      </c>
      <c r="AD931" s="40" t="str">
        <f>IF($K931="","",IFERROR(VLOOKUP($K931,Grinders!$A$4:$N$998,12,FALSE)*100,""))</f>
        <v/>
      </c>
      <c r="AE931" s="40">
        <f>IFERROR(IFS(
    OR($C931="", $K931=""), 0,
    $F931=0, 0,
    $D931&lt;&gt;"Open", 0,
    COUNTIFS(GrinderServices!$B$4:$B$998, $K931, GrinderServices!$C$4:$C$998, $E931, GrinderServices!$E$4:$E$998, "Y")=0, 0,
    $X931&lt;Config!$B$16, 0,
    Config!$B$18=1, IF($O931&gt;=N931, 0, 1),
    TRUE, 1
), "")
</f>
        <v>0</v>
      </c>
      <c r="AF931" s="40" t="str">
        <f>IFERROR(IF($AE931=0,"",((Config!$B$6*$Y931 + Config!$B$7*$U931 + Config!$B$8*$Z931 + Config!$B$9*$AA931 + Config!$B$10*$AB931 + Config!$B$11*$AC931 - Config!$B$12*$AD931)/Config!$B$13)+$AK931+$AL931),"")</f>
        <v/>
      </c>
      <c r="AG931" s="40" t="str">
        <f t="shared" si="6"/>
        <v/>
      </c>
      <c r="AH931" s="40" t="str">
        <f t="shared" si="7"/>
        <v/>
      </c>
      <c r="AI931" s="40" t="str">
        <f t="shared" si="8"/>
        <v/>
      </c>
      <c r="AJ931" s="40" t="str">
        <f>IF($K931="","",COUNTIF(Assignments!$B$6:$B$1000,$K931))</f>
        <v/>
      </c>
      <c r="AK931" s="40" t="str">
        <f>IF($K931="","",IF(AND($AJ931=0,$O931&lt;$N931),Config!$B$43,0))</f>
        <v/>
      </c>
      <c r="AL931" s="40" t="str">
        <f>IF($K931="","",IF(AND($M931="Elite",$G931&gt;=Config!$B$41,$O931&lt;$N931),Config!$B$42,0))</f>
        <v/>
      </c>
      <c r="AM931" s="22"/>
    </row>
    <row r="932" ht="15.75" customHeight="1">
      <c r="A932" s="40" t="str">
        <f t="shared" si="1"/>
        <v/>
      </c>
      <c r="B932" s="40" t="str">
        <f>IF(Bids!$A931="","",Bids!$A931)</f>
        <v/>
      </c>
      <c r="C932" s="40" t="str">
        <f>IF(Bids!$B931="","",Bids!$B931)</f>
        <v/>
      </c>
      <c r="D932" s="40" t="str">
        <f>IF($C932="","",IFERROR(VLOOKUP($C932,Orders!$A$4:$J$998,9,FALSE),""))</f>
        <v/>
      </c>
      <c r="E932" s="40" t="str">
        <f>IF($C932="","",IFERROR(VLOOKUP($C932,Orders!$A$4:$J$998,3,FALSE),""))</f>
        <v/>
      </c>
      <c r="F932" s="40">
        <f t="shared" si="2"/>
        <v>1</v>
      </c>
      <c r="G932" s="40" t="str">
        <f>IF($C932="","",IFERROR(VLOOKUP($C932,Orders!$A$4:$J$998,4,FALSE),""))</f>
        <v/>
      </c>
      <c r="H932" s="40" t="str">
        <f>IF($C932="","",IFERROR(VLOOKUP($C932,Orders!$A$4:$J$998,5,FALSE),""))</f>
        <v/>
      </c>
      <c r="I932" s="40" t="str">
        <f>IF($C932="","",IFERROR(VLOOKUP($C932,Orders!$A$4:$J$998,6,FALSE),""))</f>
        <v/>
      </c>
      <c r="J932" s="40" t="str">
        <f>IF($C932="","",IFERROR(VLOOKUP($C932,Orders!$A$4:$J$998,7,FALSE),""))</f>
        <v/>
      </c>
      <c r="K932" s="40" t="str">
        <f>IF(Bids!$C931="","",Bids!$C931)</f>
        <v/>
      </c>
      <c r="L932" s="40" t="str">
        <f>IF($K932="","",IFERROR(VLOOKUP($K932,Grinders!$A$4:$N$998,2,FALSE),""))</f>
        <v/>
      </c>
      <c r="M932" s="40" t="str">
        <f>IF($K932="","",IFERROR(VLOOKUP($K932,Grinders!$A$4:$N$998,3,FALSE),""))</f>
        <v/>
      </c>
      <c r="N932" s="40" t="str">
        <f>IF($K932="","",IFERROR(VLOOKUP($K932,Grinders!$A$4:$N$998,4,FALSE),""))</f>
        <v/>
      </c>
      <c r="O932" s="40" t="str">
        <f>IF($K932="","",IFERROR(VLOOKUP($K932,Grinders!$A$4:$N$998,5,FALSE),""))</f>
        <v/>
      </c>
      <c r="P932" s="40" t="str">
        <f>IF($K932="","",IF($C$4="",0,COUNTIFS(Assignments!$B$6:$B$1000,$K932,Assignments!$F$6:$F$1000,$C$4,Assignments!$E$6:$E$1000,"Active")))</f>
        <v/>
      </c>
      <c r="Q932" s="40" t="str">
        <f t="shared" si="3"/>
        <v/>
      </c>
      <c r="R932" s="40" t="str">
        <f t="shared" si="4"/>
        <v/>
      </c>
      <c r="S932" s="40" t="str">
        <f>IF($K932="","",IF($C$4="",0,COUNTIFS(Assignments!$B$6:$B$1000,$K932,Assignments!$F$6:$F$1000,$C$4,Assignments!$D$6:$D$1000,"&gt;="&amp;Config!$B$3-7,Assignments!$D$6:$D$1000,"&lt;="&amp;Config!$B$3)))</f>
        <v/>
      </c>
      <c r="T932" s="40" t="str">
        <f>IF($K932="","",IFERROR(VLOOKUP($K932,Grinders!$A$4:$N$998,8,FALSE),""))</f>
        <v/>
      </c>
      <c r="U932" s="40" t="str">
        <f>IFERROR(IF($K932="","",IF($M932="Elite",MAX(50,MIN(100,Config!$B$27*MAX(0,MIN(100,(1-IF($R932="",0,$R932))*100)) + Config!$B$28*MAX(0,MIN(100,(1-MIN(1,IF(Config!$B$30=0,1,$S932/Config!$B$30)))*100)) + Config!$B$29*MAX(0,MIN(100,MIN(1,IF($T932="",0,$T932)/Config!$B$23)*100)))),MIN(100,Config!$B$27*MAX(0,MIN(100,(1-IF($R932="",0,$R932))*100)) + Config!$B$28*MAX(0,MIN(100,(1-MIN(1,IF(Config!$B$30=0,1,$S932/Config!$B$30)))*100)) + Config!$B$29*MAX(0,MIN(100,MIN(1,IF($T932="",0,$T932)/Config!$B$23)*100))))),"")
</f>
        <v/>
      </c>
      <c r="V932" s="40" t="str">
        <f>IF(Bids!$D931="","",Bids!$D931)</f>
        <v/>
      </c>
      <c r="W932" s="40" t="str">
        <f>IF(Bids!$F931="","",Bids!$F931)</f>
        <v/>
      </c>
      <c r="X932" s="40" t="str">
        <f t="shared" si="5"/>
        <v/>
      </c>
      <c r="Y932" s="40" t="str">
        <f>IF($X932="","",IF(Config!$B$17=Config!$B$16,IF($X932&gt;=Config!$B$17,100,0),MAX(0,MIN(100,($X932-Config!$B$16)/(Config!$B$17-Config!$B$16)*100))))</f>
        <v/>
      </c>
      <c r="Z932" s="40">
        <f>IF($M932="Elite",Config!$B$21,0)</f>
        <v>0</v>
      </c>
      <c r="AA932" s="40" t="str">
        <f>IFERROR(IF(OR($W932="",$H932=""),"",IF($W932&gt;$H932,
  MAX(0, 60-(($W932-$H932)*24/Config!$B$19)*60),
  MIN(100, 60+(($H932-$W932)*24/Config!$B$20)*40)
)),"")
</f>
        <v/>
      </c>
      <c r="AB932" s="40" t="str">
        <f>IF($K932="","",IFERROR(VLOOKUP($K932,Grinders!$A$4:$N$998,10,FALSE)/5*100,""))</f>
        <v/>
      </c>
      <c r="AC932" s="40" t="str">
        <f>IF($K932="","",IFERROR(VLOOKUP($K932,Grinders!$A$4:$N$998,11,FALSE)*100,""))</f>
        <v/>
      </c>
      <c r="AD932" s="40" t="str">
        <f>IF($K932="","",IFERROR(VLOOKUP($K932,Grinders!$A$4:$N$998,12,FALSE)*100,""))</f>
        <v/>
      </c>
      <c r="AE932" s="40">
        <f>IFERROR(IFS(
    OR($C932="", $K932=""), 0,
    $F932=0, 0,
    $D932&lt;&gt;"Open", 0,
    COUNTIFS(GrinderServices!$B$4:$B$998, $K932, GrinderServices!$C$4:$C$998, $E932, GrinderServices!$E$4:$E$998, "Y")=0, 0,
    $X932&lt;Config!$B$16, 0,
    Config!$B$18=1, IF($O932&gt;=N932, 0, 1),
    TRUE, 1
), "")
</f>
        <v>0</v>
      </c>
      <c r="AF932" s="40" t="str">
        <f>IFERROR(IF($AE932=0,"",((Config!$B$6*$Y932 + Config!$B$7*$U932 + Config!$B$8*$Z932 + Config!$B$9*$AA932 + Config!$B$10*$AB932 + Config!$B$11*$AC932 - Config!$B$12*$AD932)/Config!$B$13)+$AK932+$AL932),"")</f>
        <v/>
      </c>
      <c r="AG932" s="40" t="str">
        <f t="shared" si="6"/>
        <v/>
      </c>
      <c r="AH932" s="40" t="str">
        <f t="shared" si="7"/>
        <v/>
      </c>
      <c r="AI932" s="40" t="str">
        <f t="shared" si="8"/>
        <v/>
      </c>
      <c r="AJ932" s="40" t="str">
        <f>IF($K932="","",COUNTIF(Assignments!$B$6:$B$1000,$K932))</f>
        <v/>
      </c>
      <c r="AK932" s="40" t="str">
        <f>IF($K932="","",IF(AND($AJ932=0,$O932&lt;$N932),Config!$B$43,0))</f>
        <v/>
      </c>
      <c r="AL932" s="40" t="str">
        <f>IF($K932="","",IF(AND($M932="Elite",$G932&gt;=Config!$B$41,$O932&lt;$N932),Config!$B$42,0))</f>
        <v/>
      </c>
      <c r="AM932" s="22"/>
    </row>
    <row r="933" ht="15.75" customHeight="1">
      <c r="A933" s="40" t="str">
        <f t="shared" si="1"/>
        <v/>
      </c>
      <c r="B933" s="40" t="str">
        <f>IF(Bids!$A932="","",Bids!$A932)</f>
        <v/>
      </c>
      <c r="C933" s="40" t="str">
        <f>IF(Bids!$B932="","",Bids!$B932)</f>
        <v/>
      </c>
      <c r="D933" s="40" t="str">
        <f>IF($C933="","",IFERROR(VLOOKUP($C933,Orders!$A$4:$J$998,9,FALSE),""))</f>
        <v/>
      </c>
      <c r="E933" s="40" t="str">
        <f>IF($C933="","",IFERROR(VLOOKUP($C933,Orders!$A$4:$J$998,3,FALSE),""))</f>
        <v/>
      </c>
      <c r="F933" s="40">
        <f t="shared" si="2"/>
        <v>1</v>
      </c>
      <c r="G933" s="40" t="str">
        <f>IF($C933="","",IFERROR(VLOOKUP($C933,Orders!$A$4:$J$998,4,FALSE),""))</f>
        <v/>
      </c>
      <c r="H933" s="40" t="str">
        <f>IF($C933="","",IFERROR(VLOOKUP($C933,Orders!$A$4:$J$998,5,FALSE),""))</f>
        <v/>
      </c>
      <c r="I933" s="40" t="str">
        <f>IF($C933="","",IFERROR(VLOOKUP($C933,Orders!$A$4:$J$998,6,FALSE),""))</f>
        <v/>
      </c>
      <c r="J933" s="40" t="str">
        <f>IF($C933="","",IFERROR(VLOOKUP($C933,Orders!$A$4:$J$998,7,FALSE),""))</f>
        <v/>
      </c>
      <c r="K933" s="40" t="str">
        <f>IF(Bids!$C932="","",Bids!$C932)</f>
        <v/>
      </c>
      <c r="L933" s="40" t="str">
        <f>IF($K933="","",IFERROR(VLOOKUP($K933,Grinders!$A$4:$N$998,2,FALSE),""))</f>
        <v/>
      </c>
      <c r="M933" s="40" t="str">
        <f>IF($K933="","",IFERROR(VLOOKUP($K933,Grinders!$A$4:$N$998,3,FALSE),""))</f>
        <v/>
      </c>
      <c r="N933" s="40" t="str">
        <f>IF($K933="","",IFERROR(VLOOKUP($K933,Grinders!$A$4:$N$998,4,FALSE),""))</f>
        <v/>
      </c>
      <c r="O933" s="40" t="str">
        <f>IF($K933="","",IFERROR(VLOOKUP($K933,Grinders!$A$4:$N$998,5,FALSE),""))</f>
        <v/>
      </c>
      <c r="P933" s="40" t="str">
        <f>IF($K933="","",IF($C$4="",0,COUNTIFS(Assignments!$B$6:$B$1000,$K933,Assignments!$F$6:$F$1000,$C$4,Assignments!$E$6:$E$1000,"Active")))</f>
        <v/>
      </c>
      <c r="Q933" s="40" t="str">
        <f t="shared" si="3"/>
        <v/>
      </c>
      <c r="R933" s="40" t="str">
        <f t="shared" si="4"/>
        <v/>
      </c>
      <c r="S933" s="40" t="str">
        <f>IF($K933="","",IF($C$4="",0,COUNTIFS(Assignments!$B$6:$B$1000,$K933,Assignments!$F$6:$F$1000,$C$4,Assignments!$D$6:$D$1000,"&gt;="&amp;Config!$B$3-7,Assignments!$D$6:$D$1000,"&lt;="&amp;Config!$B$3)))</f>
        <v/>
      </c>
      <c r="T933" s="40" t="str">
        <f>IF($K933="","",IFERROR(VLOOKUP($K933,Grinders!$A$4:$N$998,8,FALSE),""))</f>
        <v/>
      </c>
      <c r="U933" s="40" t="str">
        <f>IFERROR(IF($K933="","",IF($M933="Elite",MAX(50,MIN(100,Config!$B$27*MAX(0,MIN(100,(1-IF($R933="",0,$R933))*100)) + Config!$B$28*MAX(0,MIN(100,(1-MIN(1,IF(Config!$B$30=0,1,$S933/Config!$B$30)))*100)) + Config!$B$29*MAX(0,MIN(100,MIN(1,IF($T933="",0,$T933)/Config!$B$23)*100)))),MIN(100,Config!$B$27*MAX(0,MIN(100,(1-IF($R933="",0,$R933))*100)) + Config!$B$28*MAX(0,MIN(100,(1-MIN(1,IF(Config!$B$30=0,1,$S933/Config!$B$30)))*100)) + Config!$B$29*MAX(0,MIN(100,MIN(1,IF($T933="",0,$T933)/Config!$B$23)*100))))),"")
</f>
        <v/>
      </c>
      <c r="V933" s="40" t="str">
        <f>IF(Bids!$D932="","",Bids!$D932)</f>
        <v/>
      </c>
      <c r="W933" s="40" t="str">
        <f>IF(Bids!$F932="","",Bids!$F932)</f>
        <v/>
      </c>
      <c r="X933" s="40" t="str">
        <f t="shared" si="5"/>
        <v/>
      </c>
      <c r="Y933" s="40" t="str">
        <f>IF($X933="","",IF(Config!$B$17=Config!$B$16,IF($X933&gt;=Config!$B$17,100,0),MAX(0,MIN(100,($X933-Config!$B$16)/(Config!$B$17-Config!$B$16)*100))))</f>
        <v/>
      </c>
      <c r="Z933" s="40">
        <f>IF($M933="Elite",Config!$B$21,0)</f>
        <v>0</v>
      </c>
      <c r="AA933" s="40" t="str">
        <f>IFERROR(IF(OR($W933="",$H933=""),"",IF($W933&gt;$H933,
  MAX(0, 60-(($W933-$H933)*24/Config!$B$19)*60),
  MIN(100, 60+(($H933-$W933)*24/Config!$B$20)*40)
)),"")
</f>
        <v/>
      </c>
      <c r="AB933" s="40" t="str">
        <f>IF($K933="","",IFERROR(VLOOKUP($K933,Grinders!$A$4:$N$998,10,FALSE)/5*100,""))</f>
        <v/>
      </c>
      <c r="AC933" s="40" t="str">
        <f>IF($K933="","",IFERROR(VLOOKUP($K933,Grinders!$A$4:$N$998,11,FALSE)*100,""))</f>
        <v/>
      </c>
      <c r="AD933" s="40" t="str">
        <f>IF($K933="","",IFERROR(VLOOKUP($K933,Grinders!$A$4:$N$998,12,FALSE)*100,""))</f>
        <v/>
      </c>
      <c r="AE933" s="40">
        <f>IFERROR(IFS(
    OR($C933="", $K933=""), 0,
    $F933=0, 0,
    $D933&lt;&gt;"Open", 0,
    COUNTIFS(GrinderServices!$B$4:$B$998, $K933, GrinderServices!$C$4:$C$998, $E933, GrinderServices!$E$4:$E$998, "Y")=0, 0,
    $X933&lt;Config!$B$16, 0,
    Config!$B$18=1, IF($O933&gt;=N933, 0, 1),
    TRUE, 1
), "")
</f>
        <v>0</v>
      </c>
      <c r="AF933" s="40" t="str">
        <f>IFERROR(IF($AE933=0,"",((Config!$B$6*$Y933 + Config!$B$7*$U933 + Config!$B$8*$Z933 + Config!$B$9*$AA933 + Config!$B$10*$AB933 + Config!$B$11*$AC933 - Config!$B$12*$AD933)/Config!$B$13)+$AK933+$AL933),"")</f>
        <v/>
      </c>
      <c r="AG933" s="40" t="str">
        <f t="shared" si="6"/>
        <v/>
      </c>
      <c r="AH933" s="40" t="str">
        <f t="shared" si="7"/>
        <v/>
      </c>
      <c r="AI933" s="40" t="str">
        <f t="shared" si="8"/>
        <v/>
      </c>
      <c r="AJ933" s="40" t="str">
        <f>IF($K933="","",COUNTIF(Assignments!$B$6:$B$1000,$K933))</f>
        <v/>
      </c>
      <c r="AK933" s="40" t="str">
        <f>IF($K933="","",IF(AND($AJ933=0,$O933&lt;$N933),Config!$B$43,0))</f>
        <v/>
      </c>
      <c r="AL933" s="40" t="str">
        <f>IF($K933="","",IF(AND($M933="Elite",$G933&gt;=Config!$B$41,$O933&lt;$N933),Config!$B$42,0))</f>
        <v/>
      </c>
      <c r="AM933" s="22"/>
    </row>
    <row r="934" ht="15.75" customHeight="1">
      <c r="A934" s="40" t="str">
        <f t="shared" si="1"/>
        <v/>
      </c>
      <c r="B934" s="40" t="str">
        <f>IF(Bids!$A933="","",Bids!$A933)</f>
        <v/>
      </c>
      <c r="C934" s="40" t="str">
        <f>IF(Bids!$B933="","",Bids!$B933)</f>
        <v/>
      </c>
      <c r="D934" s="40" t="str">
        <f>IF($C934="","",IFERROR(VLOOKUP($C934,Orders!$A$4:$J$998,9,FALSE),""))</f>
        <v/>
      </c>
      <c r="E934" s="40" t="str">
        <f>IF($C934="","",IFERROR(VLOOKUP($C934,Orders!$A$4:$J$998,3,FALSE),""))</f>
        <v/>
      </c>
      <c r="F934" s="40">
        <f t="shared" si="2"/>
        <v>1</v>
      </c>
      <c r="G934" s="40" t="str">
        <f>IF($C934="","",IFERROR(VLOOKUP($C934,Orders!$A$4:$J$998,4,FALSE),""))</f>
        <v/>
      </c>
      <c r="H934" s="40" t="str">
        <f>IF($C934="","",IFERROR(VLOOKUP($C934,Orders!$A$4:$J$998,5,FALSE),""))</f>
        <v/>
      </c>
      <c r="I934" s="40" t="str">
        <f>IF($C934="","",IFERROR(VLOOKUP($C934,Orders!$A$4:$J$998,6,FALSE),""))</f>
        <v/>
      </c>
      <c r="J934" s="40" t="str">
        <f>IF($C934="","",IFERROR(VLOOKUP($C934,Orders!$A$4:$J$998,7,FALSE),""))</f>
        <v/>
      </c>
      <c r="K934" s="40" t="str">
        <f>IF(Bids!$C933="","",Bids!$C933)</f>
        <v/>
      </c>
      <c r="L934" s="40" t="str">
        <f>IF($K934="","",IFERROR(VLOOKUP($K934,Grinders!$A$4:$N$998,2,FALSE),""))</f>
        <v/>
      </c>
      <c r="M934" s="40" t="str">
        <f>IF($K934="","",IFERROR(VLOOKUP($K934,Grinders!$A$4:$N$998,3,FALSE),""))</f>
        <v/>
      </c>
      <c r="N934" s="40" t="str">
        <f>IF($K934="","",IFERROR(VLOOKUP($K934,Grinders!$A$4:$N$998,4,FALSE),""))</f>
        <v/>
      </c>
      <c r="O934" s="40" t="str">
        <f>IF($K934="","",IFERROR(VLOOKUP($K934,Grinders!$A$4:$N$998,5,FALSE),""))</f>
        <v/>
      </c>
      <c r="P934" s="40" t="str">
        <f>IF($K934="","",IF($C$4="",0,COUNTIFS(Assignments!$B$6:$B$1000,$K934,Assignments!$F$6:$F$1000,$C$4,Assignments!$E$6:$E$1000,"Active")))</f>
        <v/>
      </c>
      <c r="Q934" s="40" t="str">
        <f t="shared" si="3"/>
        <v/>
      </c>
      <c r="R934" s="40" t="str">
        <f t="shared" si="4"/>
        <v/>
      </c>
      <c r="S934" s="40" t="str">
        <f>IF($K934="","",IF($C$4="",0,COUNTIFS(Assignments!$B$6:$B$1000,$K934,Assignments!$F$6:$F$1000,$C$4,Assignments!$D$6:$D$1000,"&gt;="&amp;Config!$B$3-7,Assignments!$D$6:$D$1000,"&lt;="&amp;Config!$B$3)))</f>
        <v/>
      </c>
      <c r="T934" s="40" t="str">
        <f>IF($K934="","",IFERROR(VLOOKUP($K934,Grinders!$A$4:$N$998,8,FALSE),""))</f>
        <v/>
      </c>
      <c r="U934" s="40" t="str">
        <f>IFERROR(IF($K934="","",IF($M934="Elite",MAX(50,MIN(100,Config!$B$27*MAX(0,MIN(100,(1-IF($R934="",0,$R934))*100)) + Config!$B$28*MAX(0,MIN(100,(1-MIN(1,IF(Config!$B$30=0,1,$S934/Config!$B$30)))*100)) + Config!$B$29*MAX(0,MIN(100,MIN(1,IF($T934="",0,$T934)/Config!$B$23)*100)))),MIN(100,Config!$B$27*MAX(0,MIN(100,(1-IF($R934="",0,$R934))*100)) + Config!$B$28*MAX(0,MIN(100,(1-MIN(1,IF(Config!$B$30=0,1,$S934/Config!$B$30)))*100)) + Config!$B$29*MAX(0,MIN(100,MIN(1,IF($T934="",0,$T934)/Config!$B$23)*100))))),"")
</f>
        <v/>
      </c>
      <c r="V934" s="40" t="str">
        <f>IF(Bids!$D933="","",Bids!$D933)</f>
        <v/>
      </c>
      <c r="W934" s="40" t="str">
        <f>IF(Bids!$F933="","",Bids!$F933)</f>
        <v/>
      </c>
      <c r="X934" s="40" t="str">
        <f t="shared" si="5"/>
        <v/>
      </c>
      <c r="Y934" s="40" t="str">
        <f>IF($X934="","",IF(Config!$B$17=Config!$B$16,IF($X934&gt;=Config!$B$17,100,0),MAX(0,MIN(100,($X934-Config!$B$16)/(Config!$B$17-Config!$B$16)*100))))</f>
        <v/>
      </c>
      <c r="Z934" s="40">
        <f>IF($M934="Elite",Config!$B$21,0)</f>
        <v>0</v>
      </c>
      <c r="AA934" s="40" t="str">
        <f>IFERROR(IF(OR($W934="",$H934=""),"",IF($W934&gt;$H934,
  MAX(0, 60-(($W934-$H934)*24/Config!$B$19)*60),
  MIN(100, 60+(($H934-$W934)*24/Config!$B$20)*40)
)),"")
</f>
        <v/>
      </c>
      <c r="AB934" s="40" t="str">
        <f>IF($K934="","",IFERROR(VLOOKUP($K934,Grinders!$A$4:$N$998,10,FALSE)/5*100,""))</f>
        <v/>
      </c>
      <c r="AC934" s="40" t="str">
        <f>IF($K934="","",IFERROR(VLOOKUP($K934,Grinders!$A$4:$N$998,11,FALSE)*100,""))</f>
        <v/>
      </c>
      <c r="AD934" s="40" t="str">
        <f>IF($K934="","",IFERROR(VLOOKUP($K934,Grinders!$A$4:$N$998,12,FALSE)*100,""))</f>
        <v/>
      </c>
      <c r="AE934" s="40">
        <f>IFERROR(IFS(
    OR($C934="", $K934=""), 0,
    $F934=0, 0,
    $D934&lt;&gt;"Open", 0,
    COUNTIFS(GrinderServices!$B$4:$B$998, $K934, GrinderServices!$C$4:$C$998, $E934, GrinderServices!$E$4:$E$998, "Y")=0, 0,
    $X934&lt;Config!$B$16, 0,
    Config!$B$18=1, IF($O934&gt;=N934, 0, 1),
    TRUE, 1
), "")
</f>
        <v>0</v>
      </c>
      <c r="AF934" s="40" t="str">
        <f>IFERROR(IF($AE934=0,"",((Config!$B$6*$Y934 + Config!$B$7*$U934 + Config!$B$8*$Z934 + Config!$B$9*$AA934 + Config!$B$10*$AB934 + Config!$B$11*$AC934 - Config!$B$12*$AD934)/Config!$B$13)+$AK934+$AL934),"")</f>
        <v/>
      </c>
      <c r="AG934" s="40" t="str">
        <f t="shared" si="6"/>
        <v/>
      </c>
      <c r="AH934" s="40" t="str">
        <f t="shared" si="7"/>
        <v/>
      </c>
      <c r="AI934" s="40" t="str">
        <f t="shared" si="8"/>
        <v/>
      </c>
      <c r="AJ934" s="40" t="str">
        <f>IF($K934="","",COUNTIF(Assignments!$B$6:$B$1000,$K934))</f>
        <v/>
      </c>
      <c r="AK934" s="40" t="str">
        <f>IF($K934="","",IF(AND($AJ934=0,$O934&lt;$N934),Config!$B$43,0))</f>
        <v/>
      </c>
      <c r="AL934" s="40" t="str">
        <f>IF($K934="","",IF(AND($M934="Elite",$G934&gt;=Config!$B$41,$O934&lt;$N934),Config!$B$42,0))</f>
        <v/>
      </c>
      <c r="AM934" s="22"/>
    </row>
    <row r="935" ht="15.75" customHeight="1">
      <c r="A935" s="40" t="str">
        <f t="shared" si="1"/>
        <v/>
      </c>
      <c r="B935" s="40" t="str">
        <f>IF(Bids!$A934="","",Bids!$A934)</f>
        <v/>
      </c>
      <c r="C935" s="40" t="str">
        <f>IF(Bids!$B934="","",Bids!$B934)</f>
        <v/>
      </c>
      <c r="D935" s="40" t="str">
        <f>IF($C935="","",IFERROR(VLOOKUP($C935,Orders!$A$4:$J$998,9,FALSE),""))</f>
        <v/>
      </c>
      <c r="E935" s="40" t="str">
        <f>IF($C935="","",IFERROR(VLOOKUP($C935,Orders!$A$4:$J$998,3,FALSE),""))</f>
        <v/>
      </c>
      <c r="F935" s="40">
        <f t="shared" si="2"/>
        <v>1</v>
      </c>
      <c r="G935" s="40" t="str">
        <f>IF($C935="","",IFERROR(VLOOKUP($C935,Orders!$A$4:$J$998,4,FALSE),""))</f>
        <v/>
      </c>
      <c r="H935" s="40" t="str">
        <f>IF($C935="","",IFERROR(VLOOKUP($C935,Orders!$A$4:$J$998,5,FALSE),""))</f>
        <v/>
      </c>
      <c r="I935" s="40" t="str">
        <f>IF($C935="","",IFERROR(VLOOKUP($C935,Orders!$A$4:$J$998,6,FALSE),""))</f>
        <v/>
      </c>
      <c r="J935" s="40" t="str">
        <f>IF($C935="","",IFERROR(VLOOKUP($C935,Orders!$A$4:$J$998,7,FALSE),""))</f>
        <v/>
      </c>
      <c r="K935" s="40" t="str">
        <f>IF(Bids!$C934="","",Bids!$C934)</f>
        <v/>
      </c>
      <c r="L935" s="40" t="str">
        <f>IF($K935="","",IFERROR(VLOOKUP($K935,Grinders!$A$4:$N$998,2,FALSE),""))</f>
        <v/>
      </c>
      <c r="M935" s="40" t="str">
        <f>IF($K935="","",IFERROR(VLOOKUP($K935,Grinders!$A$4:$N$998,3,FALSE),""))</f>
        <v/>
      </c>
      <c r="N935" s="40" t="str">
        <f>IF($K935="","",IFERROR(VLOOKUP($K935,Grinders!$A$4:$N$998,4,FALSE),""))</f>
        <v/>
      </c>
      <c r="O935" s="40" t="str">
        <f>IF($K935="","",IFERROR(VLOOKUP($K935,Grinders!$A$4:$N$998,5,FALSE),""))</f>
        <v/>
      </c>
      <c r="P935" s="40" t="str">
        <f>IF($K935="","",IF($C$4="",0,COUNTIFS(Assignments!$B$6:$B$1000,$K935,Assignments!$F$6:$F$1000,$C$4,Assignments!$E$6:$E$1000,"Active")))</f>
        <v/>
      </c>
      <c r="Q935" s="40" t="str">
        <f t="shared" si="3"/>
        <v/>
      </c>
      <c r="R935" s="40" t="str">
        <f t="shared" si="4"/>
        <v/>
      </c>
      <c r="S935" s="40" t="str">
        <f>IF($K935="","",IF($C$4="",0,COUNTIFS(Assignments!$B$6:$B$1000,$K935,Assignments!$F$6:$F$1000,$C$4,Assignments!$D$6:$D$1000,"&gt;="&amp;Config!$B$3-7,Assignments!$D$6:$D$1000,"&lt;="&amp;Config!$B$3)))</f>
        <v/>
      </c>
      <c r="T935" s="40" t="str">
        <f>IF($K935="","",IFERROR(VLOOKUP($K935,Grinders!$A$4:$N$998,8,FALSE),""))</f>
        <v/>
      </c>
      <c r="U935" s="40" t="str">
        <f>IFERROR(IF($K935="","",IF($M935="Elite",MAX(50,MIN(100,Config!$B$27*MAX(0,MIN(100,(1-IF($R935="",0,$R935))*100)) + Config!$B$28*MAX(0,MIN(100,(1-MIN(1,IF(Config!$B$30=0,1,$S935/Config!$B$30)))*100)) + Config!$B$29*MAX(0,MIN(100,MIN(1,IF($T935="",0,$T935)/Config!$B$23)*100)))),MIN(100,Config!$B$27*MAX(0,MIN(100,(1-IF($R935="",0,$R935))*100)) + Config!$B$28*MAX(0,MIN(100,(1-MIN(1,IF(Config!$B$30=0,1,$S935/Config!$B$30)))*100)) + Config!$B$29*MAX(0,MIN(100,MIN(1,IF($T935="",0,$T935)/Config!$B$23)*100))))),"")
</f>
        <v/>
      </c>
      <c r="V935" s="40" t="str">
        <f>IF(Bids!$D934="","",Bids!$D934)</f>
        <v/>
      </c>
      <c r="W935" s="40" t="str">
        <f>IF(Bids!$F934="","",Bids!$F934)</f>
        <v/>
      </c>
      <c r="X935" s="40" t="str">
        <f t="shared" si="5"/>
        <v/>
      </c>
      <c r="Y935" s="40" t="str">
        <f>IF($X935="","",IF(Config!$B$17=Config!$B$16,IF($X935&gt;=Config!$B$17,100,0),MAX(0,MIN(100,($X935-Config!$B$16)/(Config!$B$17-Config!$B$16)*100))))</f>
        <v/>
      </c>
      <c r="Z935" s="40">
        <f>IF($M935="Elite",Config!$B$21,0)</f>
        <v>0</v>
      </c>
      <c r="AA935" s="40" t="str">
        <f>IFERROR(IF(OR($W935="",$H935=""),"",IF($W935&gt;$H935,
  MAX(0, 60-(($W935-$H935)*24/Config!$B$19)*60),
  MIN(100, 60+(($H935-$W935)*24/Config!$B$20)*40)
)),"")
</f>
        <v/>
      </c>
      <c r="AB935" s="40" t="str">
        <f>IF($K935="","",IFERROR(VLOOKUP($K935,Grinders!$A$4:$N$998,10,FALSE)/5*100,""))</f>
        <v/>
      </c>
      <c r="AC935" s="40" t="str">
        <f>IF($K935="","",IFERROR(VLOOKUP($K935,Grinders!$A$4:$N$998,11,FALSE)*100,""))</f>
        <v/>
      </c>
      <c r="AD935" s="40" t="str">
        <f>IF($K935="","",IFERROR(VLOOKUP($K935,Grinders!$A$4:$N$998,12,FALSE)*100,""))</f>
        <v/>
      </c>
      <c r="AE935" s="40">
        <f>IFERROR(IFS(
    OR($C935="", $K935=""), 0,
    $F935=0, 0,
    $D935&lt;&gt;"Open", 0,
    COUNTIFS(GrinderServices!$B$4:$B$998, $K935, GrinderServices!$C$4:$C$998, $E935, GrinderServices!$E$4:$E$998, "Y")=0, 0,
    $X935&lt;Config!$B$16, 0,
    Config!$B$18=1, IF($O935&gt;=N935, 0, 1),
    TRUE, 1
), "")
</f>
        <v>0</v>
      </c>
      <c r="AF935" s="40" t="str">
        <f>IFERROR(IF($AE935=0,"",((Config!$B$6*$Y935 + Config!$B$7*$U935 + Config!$B$8*$Z935 + Config!$B$9*$AA935 + Config!$B$10*$AB935 + Config!$B$11*$AC935 - Config!$B$12*$AD935)/Config!$B$13)+$AK935+$AL935),"")</f>
        <v/>
      </c>
      <c r="AG935" s="40" t="str">
        <f t="shared" si="6"/>
        <v/>
      </c>
      <c r="AH935" s="40" t="str">
        <f t="shared" si="7"/>
        <v/>
      </c>
      <c r="AI935" s="40" t="str">
        <f t="shared" si="8"/>
        <v/>
      </c>
      <c r="AJ935" s="40" t="str">
        <f>IF($K935="","",COUNTIF(Assignments!$B$6:$B$1000,$K935))</f>
        <v/>
      </c>
      <c r="AK935" s="40" t="str">
        <f>IF($K935="","",IF(AND($AJ935=0,$O935&lt;$N935),Config!$B$43,0))</f>
        <v/>
      </c>
      <c r="AL935" s="40" t="str">
        <f>IF($K935="","",IF(AND($M935="Elite",$G935&gt;=Config!$B$41,$O935&lt;$N935),Config!$B$42,0))</f>
        <v/>
      </c>
      <c r="AM935" s="22"/>
    </row>
    <row r="936" ht="15.75" customHeight="1">
      <c r="A936" s="40" t="str">
        <f t="shared" si="1"/>
        <v/>
      </c>
      <c r="B936" s="40" t="str">
        <f>IF(Bids!$A935="","",Bids!$A935)</f>
        <v/>
      </c>
      <c r="C936" s="40" t="str">
        <f>IF(Bids!$B935="","",Bids!$B935)</f>
        <v/>
      </c>
      <c r="D936" s="40" t="str">
        <f>IF($C936="","",IFERROR(VLOOKUP($C936,Orders!$A$4:$J$998,9,FALSE),""))</f>
        <v/>
      </c>
      <c r="E936" s="40" t="str">
        <f>IF($C936="","",IFERROR(VLOOKUP($C936,Orders!$A$4:$J$998,3,FALSE),""))</f>
        <v/>
      </c>
      <c r="F936" s="40">
        <f t="shared" si="2"/>
        <v>1</v>
      </c>
      <c r="G936" s="40" t="str">
        <f>IF($C936="","",IFERROR(VLOOKUP($C936,Orders!$A$4:$J$998,4,FALSE),""))</f>
        <v/>
      </c>
      <c r="H936" s="40" t="str">
        <f>IF($C936="","",IFERROR(VLOOKUP($C936,Orders!$A$4:$J$998,5,FALSE),""))</f>
        <v/>
      </c>
      <c r="I936" s="40" t="str">
        <f>IF($C936="","",IFERROR(VLOOKUP($C936,Orders!$A$4:$J$998,6,FALSE),""))</f>
        <v/>
      </c>
      <c r="J936" s="40" t="str">
        <f>IF($C936="","",IFERROR(VLOOKUP($C936,Orders!$A$4:$J$998,7,FALSE),""))</f>
        <v/>
      </c>
      <c r="K936" s="40" t="str">
        <f>IF(Bids!$C935="","",Bids!$C935)</f>
        <v/>
      </c>
      <c r="L936" s="40" t="str">
        <f>IF($K936="","",IFERROR(VLOOKUP($K936,Grinders!$A$4:$N$998,2,FALSE),""))</f>
        <v/>
      </c>
      <c r="M936" s="40" t="str">
        <f>IF($K936="","",IFERROR(VLOOKUP($K936,Grinders!$A$4:$N$998,3,FALSE),""))</f>
        <v/>
      </c>
      <c r="N936" s="40" t="str">
        <f>IF($K936="","",IFERROR(VLOOKUP($K936,Grinders!$A$4:$N$998,4,FALSE),""))</f>
        <v/>
      </c>
      <c r="O936" s="40" t="str">
        <f>IF($K936="","",IFERROR(VLOOKUP($K936,Grinders!$A$4:$N$998,5,FALSE),""))</f>
        <v/>
      </c>
      <c r="P936" s="40" t="str">
        <f>IF($K936="","",IF($C$4="",0,COUNTIFS(Assignments!$B$6:$B$1000,$K936,Assignments!$F$6:$F$1000,$C$4,Assignments!$E$6:$E$1000,"Active")))</f>
        <v/>
      </c>
      <c r="Q936" s="40" t="str">
        <f t="shared" si="3"/>
        <v/>
      </c>
      <c r="R936" s="40" t="str">
        <f t="shared" si="4"/>
        <v/>
      </c>
      <c r="S936" s="40" t="str">
        <f>IF($K936="","",IF($C$4="",0,COUNTIFS(Assignments!$B$6:$B$1000,$K936,Assignments!$F$6:$F$1000,$C$4,Assignments!$D$6:$D$1000,"&gt;="&amp;Config!$B$3-7,Assignments!$D$6:$D$1000,"&lt;="&amp;Config!$B$3)))</f>
        <v/>
      </c>
      <c r="T936" s="40" t="str">
        <f>IF($K936="","",IFERROR(VLOOKUP($K936,Grinders!$A$4:$N$998,8,FALSE),""))</f>
        <v/>
      </c>
      <c r="U936" s="40" t="str">
        <f>IFERROR(IF($K936="","",IF($M936="Elite",MAX(50,MIN(100,Config!$B$27*MAX(0,MIN(100,(1-IF($R936="",0,$R936))*100)) + Config!$B$28*MAX(0,MIN(100,(1-MIN(1,IF(Config!$B$30=0,1,$S936/Config!$B$30)))*100)) + Config!$B$29*MAX(0,MIN(100,MIN(1,IF($T936="",0,$T936)/Config!$B$23)*100)))),MIN(100,Config!$B$27*MAX(0,MIN(100,(1-IF($R936="",0,$R936))*100)) + Config!$B$28*MAX(0,MIN(100,(1-MIN(1,IF(Config!$B$30=0,1,$S936/Config!$B$30)))*100)) + Config!$B$29*MAX(0,MIN(100,MIN(1,IF($T936="",0,$T936)/Config!$B$23)*100))))),"")
</f>
        <v/>
      </c>
      <c r="V936" s="40" t="str">
        <f>IF(Bids!$D935="","",Bids!$D935)</f>
        <v/>
      </c>
      <c r="W936" s="40" t="str">
        <f>IF(Bids!$F935="","",Bids!$F935)</f>
        <v/>
      </c>
      <c r="X936" s="40" t="str">
        <f t="shared" si="5"/>
        <v/>
      </c>
      <c r="Y936" s="40" t="str">
        <f>IF($X936="","",IF(Config!$B$17=Config!$B$16,IF($X936&gt;=Config!$B$17,100,0),MAX(0,MIN(100,($X936-Config!$B$16)/(Config!$B$17-Config!$B$16)*100))))</f>
        <v/>
      </c>
      <c r="Z936" s="40">
        <f>IF($M936="Elite",Config!$B$21,0)</f>
        <v>0</v>
      </c>
      <c r="AA936" s="40" t="str">
        <f>IFERROR(IF(OR($W936="",$H936=""),"",IF($W936&gt;$H936,
  MAX(0, 60-(($W936-$H936)*24/Config!$B$19)*60),
  MIN(100, 60+(($H936-$W936)*24/Config!$B$20)*40)
)),"")
</f>
        <v/>
      </c>
      <c r="AB936" s="40" t="str">
        <f>IF($K936="","",IFERROR(VLOOKUP($K936,Grinders!$A$4:$N$998,10,FALSE)/5*100,""))</f>
        <v/>
      </c>
      <c r="AC936" s="40" t="str">
        <f>IF($K936="","",IFERROR(VLOOKUP($K936,Grinders!$A$4:$N$998,11,FALSE)*100,""))</f>
        <v/>
      </c>
      <c r="AD936" s="40" t="str">
        <f>IF($K936="","",IFERROR(VLOOKUP($K936,Grinders!$A$4:$N$998,12,FALSE)*100,""))</f>
        <v/>
      </c>
      <c r="AE936" s="40">
        <f>IFERROR(IFS(
    OR($C936="", $K936=""), 0,
    $F936=0, 0,
    $D936&lt;&gt;"Open", 0,
    COUNTIFS(GrinderServices!$B$4:$B$998, $K936, GrinderServices!$C$4:$C$998, $E936, GrinderServices!$E$4:$E$998, "Y")=0, 0,
    $X936&lt;Config!$B$16, 0,
    Config!$B$18=1, IF($O936&gt;=N936, 0, 1),
    TRUE, 1
), "")
</f>
        <v>0</v>
      </c>
      <c r="AF936" s="40" t="str">
        <f>IFERROR(IF($AE936=0,"",((Config!$B$6*$Y936 + Config!$B$7*$U936 + Config!$B$8*$Z936 + Config!$B$9*$AA936 + Config!$B$10*$AB936 + Config!$B$11*$AC936 - Config!$B$12*$AD936)/Config!$B$13)+$AK936+$AL936),"")</f>
        <v/>
      </c>
      <c r="AG936" s="40" t="str">
        <f t="shared" si="6"/>
        <v/>
      </c>
      <c r="AH936" s="40" t="str">
        <f t="shared" si="7"/>
        <v/>
      </c>
      <c r="AI936" s="40" t="str">
        <f t="shared" si="8"/>
        <v/>
      </c>
      <c r="AJ936" s="40" t="str">
        <f>IF($K936="","",COUNTIF(Assignments!$B$6:$B$1000,$K936))</f>
        <v/>
      </c>
      <c r="AK936" s="40" t="str">
        <f>IF($K936="","",IF(AND($AJ936=0,$O936&lt;$N936),Config!$B$43,0))</f>
        <v/>
      </c>
      <c r="AL936" s="40" t="str">
        <f>IF($K936="","",IF(AND($M936="Elite",$G936&gt;=Config!$B$41,$O936&lt;$N936),Config!$B$42,0))</f>
        <v/>
      </c>
      <c r="AM936" s="22"/>
    </row>
    <row r="937" ht="15.75" customHeight="1">
      <c r="A937" s="40" t="str">
        <f t="shared" si="1"/>
        <v/>
      </c>
      <c r="B937" s="40" t="str">
        <f>IF(Bids!$A936="","",Bids!$A936)</f>
        <v/>
      </c>
      <c r="C937" s="40" t="str">
        <f>IF(Bids!$B936="","",Bids!$B936)</f>
        <v/>
      </c>
      <c r="D937" s="40" t="str">
        <f>IF($C937="","",IFERROR(VLOOKUP($C937,Orders!$A$4:$J$998,9,FALSE),""))</f>
        <v/>
      </c>
      <c r="E937" s="40" t="str">
        <f>IF($C937="","",IFERROR(VLOOKUP($C937,Orders!$A$4:$J$998,3,FALSE),""))</f>
        <v/>
      </c>
      <c r="F937" s="40">
        <f t="shared" si="2"/>
        <v>1</v>
      </c>
      <c r="G937" s="40" t="str">
        <f>IF($C937="","",IFERROR(VLOOKUP($C937,Orders!$A$4:$J$998,4,FALSE),""))</f>
        <v/>
      </c>
      <c r="H937" s="40" t="str">
        <f>IF($C937="","",IFERROR(VLOOKUP($C937,Orders!$A$4:$J$998,5,FALSE),""))</f>
        <v/>
      </c>
      <c r="I937" s="40" t="str">
        <f>IF($C937="","",IFERROR(VLOOKUP($C937,Orders!$A$4:$J$998,6,FALSE),""))</f>
        <v/>
      </c>
      <c r="J937" s="40" t="str">
        <f>IF($C937="","",IFERROR(VLOOKUP($C937,Orders!$A$4:$J$998,7,FALSE),""))</f>
        <v/>
      </c>
      <c r="K937" s="40" t="str">
        <f>IF(Bids!$C936="","",Bids!$C936)</f>
        <v/>
      </c>
      <c r="L937" s="40" t="str">
        <f>IF($K937="","",IFERROR(VLOOKUP($K937,Grinders!$A$4:$N$998,2,FALSE),""))</f>
        <v/>
      </c>
      <c r="M937" s="40" t="str">
        <f>IF($K937="","",IFERROR(VLOOKUP($K937,Grinders!$A$4:$N$998,3,FALSE),""))</f>
        <v/>
      </c>
      <c r="N937" s="40" t="str">
        <f>IF($K937="","",IFERROR(VLOOKUP($K937,Grinders!$A$4:$N$998,4,FALSE),""))</f>
        <v/>
      </c>
      <c r="O937" s="40" t="str">
        <f>IF($K937="","",IFERROR(VLOOKUP($K937,Grinders!$A$4:$N$998,5,FALSE),""))</f>
        <v/>
      </c>
      <c r="P937" s="40" t="str">
        <f>IF($K937="","",IF($C$4="",0,COUNTIFS(Assignments!$B$6:$B$1000,$K937,Assignments!$F$6:$F$1000,$C$4,Assignments!$E$6:$E$1000,"Active")))</f>
        <v/>
      </c>
      <c r="Q937" s="40" t="str">
        <f t="shared" si="3"/>
        <v/>
      </c>
      <c r="R937" s="40" t="str">
        <f t="shared" si="4"/>
        <v/>
      </c>
      <c r="S937" s="40" t="str">
        <f>IF($K937="","",IF($C$4="",0,COUNTIFS(Assignments!$B$6:$B$1000,$K937,Assignments!$F$6:$F$1000,$C$4,Assignments!$D$6:$D$1000,"&gt;="&amp;Config!$B$3-7,Assignments!$D$6:$D$1000,"&lt;="&amp;Config!$B$3)))</f>
        <v/>
      </c>
      <c r="T937" s="40" t="str">
        <f>IF($K937="","",IFERROR(VLOOKUP($K937,Grinders!$A$4:$N$998,8,FALSE),""))</f>
        <v/>
      </c>
      <c r="U937" s="40" t="str">
        <f>IFERROR(IF($K937="","",IF($M937="Elite",MAX(50,MIN(100,Config!$B$27*MAX(0,MIN(100,(1-IF($R937="",0,$R937))*100)) + Config!$B$28*MAX(0,MIN(100,(1-MIN(1,IF(Config!$B$30=0,1,$S937/Config!$B$30)))*100)) + Config!$B$29*MAX(0,MIN(100,MIN(1,IF($T937="",0,$T937)/Config!$B$23)*100)))),MIN(100,Config!$B$27*MAX(0,MIN(100,(1-IF($R937="",0,$R937))*100)) + Config!$B$28*MAX(0,MIN(100,(1-MIN(1,IF(Config!$B$30=0,1,$S937/Config!$B$30)))*100)) + Config!$B$29*MAX(0,MIN(100,MIN(1,IF($T937="",0,$T937)/Config!$B$23)*100))))),"")
</f>
        <v/>
      </c>
      <c r="V937" s="40" t="str">
        <f>IF(Bids!$D936="","",Bids!$D936)</f>
        <v/>
      </c>
      <c r="W937" s="40" t="str">
        <f>IF(Bids!$F936="","",Bids!$F936)</f>
        <v/>
      </c>
      <c r="X937" s="40" t="str">
        <f t="shared" si="5"/>
        <v/>
      </c>
      <c r="Y937" s="40" t="str">
        <f>IF($X937="","",IF(Config!$B$17=Config!$B$16,IF($X937&gt;=Config!$B$17,100,0),MAX(0,MIN(100,($X937-Config!$B$16)/(Config!$B$17-Config!$B$16)*100))))</f>
        <v/>
      </c>
      <c r="Z937" s="40">
        <f>IF($M937="Elite",Config!$B$21,0)</f>
        <v>0</v>
      </c>
      <c r="AA937" s="40" t="str">
        <f>IFERROR(IF(OR($W937="",$H937=""),"",IF($W937&gt;$H937,
  MAX(0, 60-(($W937-$H937)*24/Config!$B$19)*60),
  MIN(100, 60+(($H937-$W937)*24/Config!$B$20)*40)
)),"")
</f>
        <v/>
      </c>
      <c r="AB937" s="40" t="str">
        <f>IF($K937="","",IFERROR(VLOOKUP($K937,Grinders!$A$4:$N$998,10,FALSE)/5*100,""))</f>
        <v/>
      </c>
      <c r="AC937" s="40" t="str">
        <f>IF($K937="","",IFERROR(VLOOKUP($K937,Grinders!$A$4:$N$998,11,FALSE)*100,""))</f>
        <v/>
      </c>
      <c r="AD937" s="40" t="str">
        <f>IF($K937="","",IFERROR(VLOOKUP($K937,Grinders!$A$4:$N$998,12,FALSE)*100,""))</f>
        <v/>
      </c>
      <c r="AE937" s="40">
        <f>IFERROR(IFS(
    OR($C937="", $K937=""), 0,
    $F937=0, 0,
    $D937&lt;&gt;"Open", 0,
    COUNTIFS(GrinderServices!$B$4:$B$998, $K937, GrinderServices!$C$4:$C$998, $E937, GrinderServices!$E$4:$E$998, "Y")=0, 0,
    $X937&lt;Config!$B$16, 0,
    Config!$B$18=1, IF($O937&gt;=N937, 0, 1),
    TRUE, 1
), "")
</f>
        <v>0</v>
      </c>
      <c r="AF937" s="40" t="str">
        <f>IFERROR(IF($AE937=0,"",((Config!$B$6*$Y937 + Config!$B$7*$U937 + Config!$B$8*$Z937 + Config!$B$9*$AA937 + Config!$B$10*$AB937 + Config!$B$11*$AC937 - Config!$B$12*$AD937)/Config!$B$13)+$AK937+$AL937),"")</f>
        <v/>
      </c>
      <c r="AG937" s="40" t="str">
        <f t="shared" si="6"/>
        <v/>
      </c>
      <c r="AH937" s="40" t="str">
        <f t="shared" si="7"/>
        <v/>
      </c>
      <c r="AI937" s="40" t="str">
        <f t="shared" si="8"/>
        <v/>
      </c>
      <c r="AJ937" s="40" t="str">
        <f>IF($K937="","",COUNTIF(Assignments!$B$6:$B$1000,$K937))</f>
        <v/>
      </c>
      <c r="AK937" s="40" t="str">
        <f>IF($K937="","",IF(AND($AJ937=0,$O937&lt;$N937),Config!$B$43,0))</f>
        <v/>
      </c>
      <c r="AL937" s="40" t="str">
        <f>IF($K937="","",IF(AND($M937="Elite",$G937&gt;=Config!$B$41,$O937&lt;$N937),Config!$B$42,0))</f>
        <v/>
      </c>
      <c r="AM937" s="22"/>
    </row>
    <row r="938" ht="15.75" customHeight="1">
      <c r="A938" s="40" t="str">
        <f t="shared" si="1"/>
        <v/>
      </c>
      <c r="B938" s="40" t="str">
        <f>IF(Bids!$A937="","",Bids!$A937)</f>
        <v/>
      </c>
      <c r="C938" s="40" t="str">
        <f>IF(Bids!$B937="","",Bids!$B937)</f>
        <v/>
      </c>
      <c r="D938" s="40" t="str">
        <f>IF($C938="","",IFERROR(VLOOKUP($C938,Orders!$A$4:$J$998,9,FALSE),""))</f>
        <v/>
      </c>
      <c r="E938" s="40" t="str">
        <f>IF($C938="","",IFERROR(VLOOKUP($C938,Orders!$A$4:$J$998,3,FALSE),""))</f>
        <v/>
      </c>
      <c r="F938" s="40">
        <f t="shared" si="2"/>
        <v>1</v>
      </c>
      <c r="G938" s="40" t="str">
        <f>IF($C938="","",IFERROR(VLOOKUP($C938,Orders!$A$4:$J$998,4,FALSE),""))</f>
        <v/>
      </c>
      <c r="H938" s="40" t="str">
        <f>IF($C938="","",IFERROR(VLOOKUP($C938,Orders!$A$4:$J$998,5,FALSE),""))</f>
        <v/>
      </c>
      <c r="I938" s="40" t="str">
        <f>IF($C938="","",IFERROR(VLOOKUP($C938,Orders!$A$4:$J$998,6,FALSE),""))</f>
        <v/>
      </c>
      <c r="J938" s="40" t="str">
        <f>IF($C938="","",IFERROR(VLOOKUP($C938,Orders!$A$4:$J$998,7,FALSE),""))</f>
        <v/>
      </c>
      <c r="K938" s="40" t="str">
        <f>IF(Bids!$C937="","",Bids!$C937)</f>
        <v/>
      </c>
      <c r="L938" s="40" t="str">
        <f>IF($K938="","",IFERROR(VLOOKUP($K938,Grinders!$A$4:$N$998,2,FALSE),""))</f>
        <v/>
      </c>
      <c r="M938" s="40" t="str">
        <f>IF($K938="","",IFERROR(VLOOKUP($K938,Grinders!$A$4:$N$998,3,FALSE),""))</f>
        <v/>
      </c>
      <c r="N938" s="40" t="str">
        <f>IF($K938="","",IFERROR(VLOOKUP($K938,Grinders!$A$4:$N$998,4,FALSE),""))</f>
        <v/>
      </c>
      <c r="O938" s="40" t="str">
        <f>IF($K938="","",IFERROR(VLOOKUP($K938,Grinders!$A$4:$N$998,5,FALSE),""))</f>
        <v/>
      </c>
      <c r="P938" s="40" t="str">
        <f>IF($K938="","",IF($C$4="",0,COUNTIFS(Assignments!$B$6:$B$1000,$K938,Assignments!$F$6:$F$1000,$C$4,Assignments!$E$6:$E$1000,"Active")))</f>
        <v/>
      </c>
      <c r="Q938" s="40" t="str">
        <f t="shared" si="3"/>
        <v/>
      </c>
      <c r="R938" s="40" t="str">
        <f t="shared" si="4"/>
        <v/>
      </c>
      <c r="S938" s="40" t="str">
        <f>IF($K938="","",IF($C$4="",0,COUNTIFS(Assignments!$B$6:$B$1000,$K938,Assignments!$F$6:$F$1000,$C$4,Assignments!$D$6:$D$1000,"&gt;="&amp;Config!$B$3-7,Assignments!$D$6:$D$1000,"&lt;="&amp;Config!$B$3)))</f>
        <v/>
      </c>
      <c r="T938" s="40" t="str">
        <f>IF($K938="","",IFERROR(VLOOKUP($K938,Grinders!$A$4:$N$998,8,FALSE),""))</f>
        <v/>
      </c>
      <c r="U938" s="40" t="str">
        <f>IFERROR(IF($K938="","",IF($M938="Elite",MAX(50,MIN(100,Config!$B$27*MAX(0,MIN(100,(1-IF($R938="",0,$R938))*100)) + Config!$B$28*MAX(0,MIN(100,(1-MIN(1,IF(Config!$B$30=0,1,$S938/Config!$B$30)))*100)) + Config!$B$29*MAX(0,MIN(100,MIN(1,IF($T938="",0,$T938)/Config!$B$23)*100)))),MIN(100,Config!$B$27*MAX(0,MIN(100,(1-IF($R938="",0,$R938))*100)) + Config!$B$28*MAX(0,MIN(100,(1-MIN(1,IF(Config!$B$30=0,1,$S938/Config!$B$30)))*100)) + Config!$B$29*MAX(0,MIN(100,MIN(1,IF($T938="",0,$T938)/Config!$B$23)*100))))),"")
</f>
        <v/>
      </c>
      <c r="V938" s="40" t="str">
        <f>IF(Bids!$D937="","",Bids!$D937)</f>
        <v/>
      </c>
      <c r="W938" s="40" t="str">
        <f>IF(Bids!$F937="","",Bids!$F937)</f>
        <v/>
      </c>
      <c r="X938" s="40" t="str">
        <f t="shared" si="5"/>
        <v/>
      </c>
      <c r="Y938" s="40" t="str">
        <f>IF($X938="","",IF(Config!$B$17=Config!$B$16,IF($X938&gt;=Config!$B$17,100,0),MAX(0,MIN(100,($X938-Config!$B$16)/(Config!$B$17-Config!$B$16)*100))))</f>
        <v/>
      </c>
      <c r="Z938" s="40">
        <f>IF($M938="Elite",Config!$B$21,0)</f>
        <v>0</v>
      </c>
      <c r="AA938" s="40" t="str">
        <f>IFERROR(IF(OR($W938="",$H938=""),"",IF($W938&gt;$H938,
  MAX(0, 60-(($W938-$H938)*24/Config!$B$19)*60),
  MIN(100, 60+(($H938-$W938)*24/Config!$B$20)*40)
)),"")
</f>
        <v/>
      </c>
      <c r="AB938" s="40" t="str">
        <f>IF($K938="","",IFERROR(VLOOKUP($K938,Grinders!$A$4:$N$998,10,FALSE)/5*100,""))</f>
        <v/>
      </c>
      <c r="AC938" s="40" t="str">
        <f>IF($K938="","",IFERROR(VLOOKUP($K938,Grinders!$A$4:$N$998,11,FALSE)*100,""))</f>
        <v/>
      </c>
      <c r="AD938" s="40" t="str">
        <f>IF($K938="","",IFERROR(VLOOKUP($K938,Grinders!$A$4:$N$998,12,FALSE)*100,""))</f>
        <v/>
      </c>
      <c r="AE938" s="40">
        <f>IFERROR(IFS(
    OR($C938="", $K938=""), 0,
    $F938=0, 0,
    $D938&lt;&gt;"Open", 0,
    COUNTIFS(GrinderServices!$B$4:$B$998, $K938, GrinderServices!$C$4:$C$998, $E938, GrinderServices!$E$4:$E$998, "Y")=0, 0,
    $X938&lt;Config!$B$16, 0,
    Config!$B$18=1, IF($O938&gt;=N938, 0, 1),
    TRUE, 1
), "")
</f>
        <v>0</v>
      </c>
      <c r="AF938" s="40" t="str">
        <f>IFERROR(IF($AE938=0,"",((Config!$B$6*$Y938 + Config!$B$7*$U938 + Config!$B$8*$Z938 + Config!$B$9*$AA938 + Config!$B$10*$AB938 + Config!$B$11*$AC938 - Config!$B$12*$AD938)/Config!$B$13)+$AK938+$AL938),"")</f>
        <v/>
      </c>
      <c r="AG938" s="40" t="str">
        <f t="shared" si="6"/>
        <v/>
      </c>
      <c r="AH938" s="40" t="str">
        <f t="shared" si="7"/>
        <v/>
      </c>
      <c r="AI938" s="40" t="str">
        <f t="shared" si="8"/>
        <v/>
      </c>
      <c r="AJ938" s="40" t="str">
        <f>IF($K938="","",COUNTIF(Assignments!$B$6:$B$1000,$K938))</f>
        <v/>
      </c>
      <c r="AK938" s="40" t="str">
        <f>IF($K938="","",IF(AND($AJ938=0,$O938&lt;$N938),Config!$B$43,0))</f>
        <v/>
      </c>
      <c r="AL938" s="40" t="str">
        <f>IF($K938="","",IF(AND($M938="Elite",$G938&gt;=Config!$B$41,$O938&lt;$N938),Config!$B$42,0))</f>
        <v/>
      </c>
      <c r="AM938" s="22"/>
    </row>
    <row r="939" ht="15.75" customHeight="1">
      <c r="A939" s="40" t="str">
        <f t="shared" si="1"/>
        <v/>
      </c>
      <c r="B939" s="40" t="str">
        <f>IF(Bids!$A938="","",Bids!$A938)</f>
        <v/>
      </c>
      <c r="C939" s="40" t="str">
        <f>IF(Bids!$B938="","",Bids!$B938)</f>
        <v/>
      </c>
      <c r="D939" s="40" t="str">
        <f>IF($C939="","",IFERROR(VLOOKUP($C939,Orders!$A$4:$J$998,9,FALSE),""))</f>
        <v/>
      </c>
      <c r="E939" s="40" t="str">
        <f>IF($C939="","",IFERROR(VLOOKUP($C939,Orders!$A$4:$J$998,3,FALSE),""))</f>
        <v/>
      </c>
      <c r="F939" s="40">
        <f t="shared" si="2"/>
        <v>1</v>
      </c>
      <c r="G939" s="40" t="str">
        <f>IF($C939="","",IFERROR(VLOOKUP($C939,Orders!$A$4:$J$998,4,FALSE),""))</f>
        <v/>
      </c>
      <c r="H939" s="40" t="str">
        <f>IF($C939="","",IFERROR(VLOOKUP($C939,Orders!$A$4:$J$998,5,FALSE),""))</f>
        <v/>
      </c>
      <c r="I939" s="40" t="str">
        <f>IF($C939="","",IFERROR(VLOOKUP($C939,Orders!$A$4:$J$998,6,FALSE),""))</f>
        <v/>
      </c>
      <c r="J939" s="40" t="str">
        <f>IF($C939="","",IFERROR(VLOOKUP($C939,Orders!$A$4:$J$998,7,FALSE),""))</f>
        <v/>
      </c>
      <c r="K939" s="40" t="str">
        <f>IF(Bids!$C938="","",Bids!$C938)</f>
        <v/>
      </c>
      <c r="L939" s="40" t="str">
        <f>IF($K939="","",IFERROR(VLOOKUP($K939,Grinders!$A$4:$N$998,2,FALSE),""))</f>
        <v/>
      </c>
      <c r="M939" s="40" t="str">
        <f>IF($K939="","",IFERROR(VLOOKUP($K939,Grinders!$A$4:$N$998,3,FALSE),""))</f>
        <v/>
      </c>
      <c r="N939" s="40" t="str">
        <f>IF($K939="","",IFERROR(VLOOKUP($K939,Grinders!$A$4:$N$998,4,FALSE),""))</f>
        <v/>
      </c>
      <c r="O939" s="40" t="str">
        <f>IF($K939="","",IFERROR(VLOOKUP($K939,Grinders!$A$4:$N$998,5,FALSE),""))</f>
        <v/>
      </c>
      <c r="P939" s="40" t="str">
        <f>IF($K939="","",IF($C$4="",0,COUNTIFS(Assignments!$B$6:$B$1000,$K939,Assignments!$F$6:$F$1000,$C$4,Assignments!$E$6:$E$1000,"Active")))</f>
        <v/>
      </c>
      <c r="Q939" s="40" t="str">
        <f t="shared" si="3"/>
        <v/>
      </c>
      <c r="R939" s="40" t="str">
        <f t="shared" si="4"/>
        <v/>
      </c>
      <c r="S939" s="40" t="str">
        <f>IF($K939="","",IF($C$4="",0,COUNTIFS(Assignments!$B$6:$B$1000,$K939,Assignments!$F$6:$F$1000,$C$4,Assignments!$D$6:$D$1000,"&gt;="&amp;Config!$B$3-7,Assignments!$D$6:$D$1000,"&lt;="&amp;Config!$B$3)))</f>
        <v/>
      </c>
      <c r="T939" s="40" t="str">
        <f>IF($K939="","",IFERROR(VLOOKUP($K939,Grinders!$A$4:$N$998,8,FALSE),""))</f>
        <v/>
      </c>
      <c r="U939" s="40" t="str">
        <f>IFERROR(IF($K939="","",IF($M939="Elite",MAX(50,MIN(100,Config!$B$27*MAX(0,MIN(100,(1-IF($R939="",0,$R939))*100)) + Config!$B$28*MAX(0,MIN(100,(1-MIN(1,IF(Config!$B$30=0,1,$S939/Config!$B$30)))*100)) + Config!$B$29*MAX(0,MIN(100,MIN(1,IF($T939="",0,$T939)/Config!$B$23)*100)))),MIN(100,Config!$B$27*MAX(0,MIN(100,(1-IF($R939="",0,$R939))*100)) + Config!$B$28*MAX(0,MIN(100,(1-MIN(1,IF(Config!$B$30=0,1,$S939/Config!$B$30)))*100)) + Config!$B$29*MAX(0,MIN(100,MIN(1,IF($T939="",0,$T939)/Config!$B$23)*100))))),"")
</f>
        <v/>
      </c>
      <c r="V939" s="40" t="str">
        <f>IF(Bids!$D938="","",Bids!$D938)</f>
        <v/>
      </c>
      <c r="W939" s="40" t="str">
        <f>IF(Bids!$F938="","",Bids!$F938)</f>
        <v/>
      </c>
      <c r="X939" s="40" t="str">
        <f t="shared" si="5"/>
        <v/>
      </c>
      <c r="Y939" s="40" t="str">
        <f>IF($X939="","",IF(Config!$B$17=Config!$B$16,IF($X939&gt;=Config!$B$17,100,0),MAX(0,MIN(100,($X939-Config!$B$16)/(Config!$B$17-Config!$B$16)*100))))</f>
        <v/>
      </c>
      <c r="Z939" s="40">
        <f>IF($M939="Elite",Config!$B$21,0)</f>
        <v>0</v>
      </c>
      <c r="AA939" s="40" t="str">
        <f>IFERROR(IF(OR($W939="",$H939=""),"",IF($W939&gt;$H939,
  MAX(0, 60-(($W939-$H939)*24/Config!$B$19)*60),
  MIN(100, 60+(($H939-$W939)*24/Config!$B$20)*40)
)),"")
</f>
        <v/>
      </c>
      <c r="AB939" s="40" t="str">
        <f>IF($K939="","",IFERROR(VLOOKUP($K939,Grinders!$A$4:$N$998,10,FALSE)/5*100,""))</f>
        <v/>
      </c>
      <c r="AC939" s="40" t="str">
        <f>IF($K939="","",IFERROR(VLOOKUP($K939,Grinders!$A$4:$N$998,11,FALSE)*100,""))</f>
        <v/>
      </c>
      <c r="AD939" s="40" t="str">
        <f>IF($K939="","",IFERROR(VLOOKUP($K939,Grinders!$A$4:$N$998,12,FALSE)*100,""))</f>
        <v/>
      </c>
      <c r="AE939" s="40">
        <f>IFERROR(IFS(
    OR($C939="", $K939=""), 0,
    $F939=0, 0,
    $D939&lt;&gt;"Open", 0,
    COUNTIFS(GrinderServices!$B$4:$B$998, $K939, GrinderServices!$C$4:$C$998, $E939, GrinderServices!$E$4:$E$998, "Y")=0, 0,
    $X939&lt;Config!$B$16, 0,
    Config!$B$18=1, IF($O939&gt;=N939, 0, 1),
    TRUE, 1
), "")
</f>
        <v>0</v>
      </c>
      <c r="AF939" s="40" t="str">
        <f>IFERROR(IF($AE939=0,"",((Config!$B$6*$Y939 + Config!$B$7*$U939 + Config!$B$8*$Z939 + Config!$B$9*$AA939 + Config!$B$10*$AB939 + Config!$B$11*$AC939 - Config!$B$12*$AD939)/Config!$B$13)+$AK939+$AL939),"")</f>
        <v/>
      </c>
      <c r="AG939" s="40" t="str">
        <f t="shared" si="6"/>
        <v/>
      </c>
      <c r="AH939" s="40" t="str">
        <f t="shared" si="7"/>
        <v/>
      </c>
      <c r="AI939" s="40" t="str">
        <f t="shared" si="8"/>
        <v/>
      </c>
      <c r="AJ939" s="40" t="str">
        <f>IF($K939="","",COUNTIF(Assignments!$B$6:$B$1000,$K939))</f>
        <v/>
      </c>
      <c r="AK939" s="40" t="str">
        <f>IF($K939="","",IF(AND($AJ939=0,$O939&lt;$N939),Config!$B$43,0))</f>
        <v/>
      </c>
      <c r="AL939" s="40" t="str">
        <f>IF($K939="","",IF(AND($M939="Elite",$G939&gt;=Config!$B$41,$O939&lt;$N939),Config!$B$42,0))</f>
        <v/>
      </c>
      <c r="AM939" s="22"/>
    </row>
    <row r="940" ht="15.75" customHeight="1">
      <c r="A940" s="40" t="str">
        <f t="shared" si="1"/>
        <v/>
      </c>
      <c r="B940" s="40" t="str">
        <f>IF(Bids!$A939="","",Bids!$A939)</f>
        <v/>
      </c>
      <c r="C940" s="40" t="str">
        <f>IF(Bids!$B939="","",Bids!$B939)</f>
        <v/>
      </c>
      <c r="D940" s="40" t="str">
        <f>IF($C940="","",IFERROR(VLOOKUP($C940,Orders!$A$4:$J$998,9,FALSE),""))</f>
        <v/>
      </c>
      <c r="E940" s="40" t="str">
        <f>IF($C940="","",IFERROR(VLOOKUP($C940,Orders!$A$4:$J$998,3,FALSE),""))</f>
        <v/>
      </c>
      <c r="F940" s="40">
        <f t="shared" si="2"/>
        <v>1</v>
      </c>
      <c r="G940" s="40" t="str">
        <f>IF($C940="","",IFERROR(VLOOKUP($C940,Orders!$A$4:$J$998,4,FALSE),""))</f>
        <v/>
      </c>
      <c r="H940" s="40" t="str">
        <f>IF($C940="","",IFERROR(VLOOKUP($C940,Orders!$A$4:$J$998,5,FALSE),""))</f>
        <v/>
      </c>
      <c r="I940" s="40" t="str">
        <f>IF($C940="","",IFERROR(VLOOKUP($C940,Orders!$A$4:$J$998,6,FALSE),""))</f>
        <v/>
      </c>
      <c r="J940" s="40" t="str">
        <f>IF($C940="","",IFERROR(VLOOKUP($C940,Orders!$A$4:$J$998,7,FALSE),""))</f>
        <v/>
      </c>
      <c r="K940" s="40" t="str">
        <f>IF(Bids!$C939="","",Bids!$C939)</f>
        <v/>
      </c>
      <c r="L940" s="40" t="str">
        <f>IF($K940="","",IFERROR(VLOOKUP($K940,Grinders!$A$4:$N$998,2,FALSE),""))</f>
        <v/>
      </c>
      <c r="M940" s="40" t="str">
        <f>IF($K940="","",IFERROR(VLOOKUP($K940,Grinders!$A$4:$N$998,3,FALSE),""))</f>
        <v/>
      </c>
      <c r="N940" s="40" t="str">
        <f>IF($K940="","",IFERROR(VLOOKUP($K940,Grinders!$A$4:$N$998,4,FALSE),""))</f>
        <v/>
      </c>
      <c r="O940" s="40" t="str">
        <f>IF($K940="","",IFERROR(VLOOKUP($K940,Grinders!$A$4:$N$998,5,FALSE),""))</f>
        <v/>
      </c>
      <c r="P940" s="40" t="str">
        <f>IF($K940="","",IF($C$4="",0,COUNTIFS(Assignments!$B$6:$B$1000,$K940,Assignments!$F$6:$F$1000,$C$4,Assignments!$E$6:$E$1000,"Active")))</f>
        <v/>
      </c>
      <c r="Q940" s="40" t="str">
        <f t="shared" si="3"/>
        <v/>
      </c>
      <c r="R940" s="40" t="str">
        <f t="shared" si="4"/>
        <v/>
      </c>
      <c r="S940" s="40" t="str">
        <f>IF($K940="","",IF($C$4="",0,COUNTIFS(Assignments!$B$6:$B$1000,$K940,Assignments!$F$6:$F$1000,$C$4,Assignments!$D$6:$D$1000,"&gt;="&amp;Config!$B$3-7,Assignments!$D$6:$D$1000,"&lt;="&amp;Config!$B$3)))</f>
        <v/>
      </c>
      <c r="T940" s="40" t="str">
        <f>IF($K940="","",IFERROR(VLOOKUP($K940,Grinders!$A$4:$N$998,8,FALSE),""))</f>
        <v/>
      </c>
      <c r="U940" s="40" t="str">
        <f>IFERROR(IF($K940="","",IF($M940="Elite",MAX(50,MIN(100,Config!$B$27*MAX(0,MIN(100,(1-IF($R940="",0,$R940))*100)) + Config!$B$28*MAX(0,MIN(100,(1-MIN(1,IF(Config!$B$30=0,1,$S940/Config!$B$30)))*100)) + Config!$B$29*MAX(0,MIN(100,MIN(1,IF($T940="",0,$T940)/Config!$B$23)*100)))),MIN(100,Config!$B$27*MAX(0,MIN(100,(1-IF($R940="",0,$R940))*100)) + Config!$B$28*MAX(0,MIN(100,(1-MIN(1,IF(Config!$B$30=0,1,$S940/Config!$B$30)))*100)) + Config!$B$29*MAX(0,MIN(100,MIN(1,IF($T940="",0,$T940)/Config!$B$23)*100))))),"")
</f>
        <v/>
      </c>
      <c r="V940" s="40" t="str">
        <f>IF(Bids!$D939="","",Bids!$D939)</f>
        <v/>
      </c>
      <c r="W940" s="40" t="str">
        <f>IF(Bids!$F939="","",Bids!$F939)</f>
        <v/>
      </c>
      <c r="X940" s="40" t="str">
        <f t="shared" si="5"/>
        <v/>
      </c>
      <c r="Y940" s="40" t="str">
        <f>IF($X940="","",IF(Config!$B$17=Config!$B$16,IF($X940&gt;=Config!$B$17,100,0),MAX(0,MIN(100,($X940-Config!$B$16)/(Config!$B$17-Config!$B$16)*100))))</f>
        <v/>
      </c>
      <c r="Z940" s="40">
        <f>IF($M940="Elite",Config!$B$21,0)</f>
        <v>0</v>
      </c>
      <c r="AA940" s="40" t="str">
        <f>IFERROR(IF(OR($W940="",$H940=""),"",IF($W940&gt;$H940,
  MAX(0, 60-(($W940-$H940)*24/Config!$B$19)*60),
  MIN(100, 60+(($H940-$W940)*24/Config!$B$20)*40)
)),"")
</f>
        <v/>
      </c>
      <c r="AB940" s="40" t="str">
        <f>IF($K940="","",IFERROR(VLOOKUP($K940,Grinders!$A$4:$N$998,10,FALSE)/5*100,""))</f>
        <v/>
      </c>
      <c r="AC940" s="40" t="str">
        <f>IF($K940="","",IFERROR(VLOOKUP($K940,Grinders!$A$4:$N$998,11,FALSE)*100,""))</f>
        <v/>
      </c>
      <c r="AD940" s="40" t="str">
        <f>IF($K940="","",IFERROR(VLOOKUP($K940,Grinders!$A$4:$N$998,12,FALSE)*100,""))</f>
        <v/>
      </c>
      <c r="AE940" s="40">
        <f>IFERROR(IFS(
    OR($C940="", $K940=""), 0,
    $F940=0, 0,
    $D940&lt;&gt;"Open", 0,
    COUNTIFS(GrinderServices!$B$4:$B$998, $K940, GrinderServices!$C$4:$C$998, $E940, GrinderServices!$E$4:$E$998, "Y")=0, 0,
    $X940&lt;Config!$B$16, 0,
    Config!$B$18=1, IF($O940&gt;=N940, 0, 1),
    TRUE, 1
), "")
</f>
        <v>0</v>
      </c>
      <c r="AF940" s="40" t="str">
        <f>IFERROR(IF($AE940=0,"",((Config!$B$6*$Y940 + Config!$B$7*$U940 + Config!$B$8*$Z940 + Config!$B$9*$AA940 + Config!$B$10*$AB940 + Config!$B$11*$AC940 - Config!$B$12*$AD940)/Config!$B$13)+$AK940+$AL940),"")</f>
        <v/>
      </c>
      <c r="AG940" s="40" t="str">
        <f t="shared" si="6"/>
        <v/>
      </c>
      <c r="AH940" s="40" t="str">
        <f t="shared" si="7"/>
        <v/>
      </c>
      <c r="AI940" s="40" t="str">
        <f t="shared" si="8"/>
        <v/>
      </c>
      <c r="AJ940" s="40" t="str">
        <f>IF($K940="","",COUNTIF(Assignments!$B$6:$B$1000,$K940))</f>
        <v/>
      </c>
      <c r="AK940" s="40" t="str">
        <f>IF($K940="","",IF(AND($AJ940=0,$O940&lt;$N940),Config!$B$43,0))</f>
        <v/>
      </c>
      <c r="AL940" s="40" t="str">
        <f>IF($K940="","",IF(AND($M940="Elite",$G940&gt;=Config!$B$41,$O940&lt;$N940),Config!$B$42,0))</f>
        <v/>
      </c>
      <c r="AM940" s="22"/>
    </row>
    <row r="941" ht="15.75" customHeight="1">
      <c r="A941" s="40" t="str">
        <f t="shared" si="1"/>
        <v/>
      </c>
      <c r="B941" s="40" t="str">
        <f>IF(Bids!$A940="","",Bids!$A940)</f>
        <v/>
      </c>
      <c r="C941" s="40" t="str">
        <f>IF(Bids!$B940="","",Bids!$B940)</f>
        <v/>
      </c>
      <c r="D941" s="40" t="str">
        <f>IF($C941="","",IFERROR(VLOOKUP($C941,Orders!$A$4:$J$998,9,FALSE),""))</f>
        <v/>
      </c>
      <c r="E941" s="40" t="str">
        <f>IF($C941="","",IFERROR(VLOOKUP($C941,Orders!$A$4:$J$998,3,FALSE),""))</f>
        <v/>
      </c>
      <c r="F941" s="40">
        <f t="shared" si="2"/>
        <v>1</v>
      </c>
      <c r="G941" s="40" t="str">
        <f>IF($C941="","",IFERROR(VLOOKUP($C941,Orders!$A$4:$J$998,4,FALSE),""))</f>
        <v/>
      </c>
      <c r="H941" s="40" t="str">
        <f>IF($C941="","",IFERROR(VLOOKUP($C941,Orders!$A$4:$J$998,5,FALSE),""))</f>
        <v/>
      </c>
      <c r="I941" s="40" t="str">
        <f>IF($C941="","",IFERROR(VLOOKUP($C941,Orders!$A$4:$J$998,6,FALSE),""))</f>
        <v/>
      </c>
      <c r="J941" s="40" t="str">
        <f>IF($C941="","",IFERROR(VLOOKUP($C941,Orders!$A$4:$J$998,7,FALSE),""))</f>
        <v/>
      </c>
      <c r="K941" s="40" t="str">
        <f>IF(Bids!$C940="","",Bids!$C940)</f>
        <v/>
      </c>
      <c r="L941" s="40" t="str">
        <f>IF($K941="","",IFERROR(VLOOKUP($K941,Grinders!$A$4:$N$998,2,FALSE),""))</f>
        <v/>
      </c>
      <c r="M941" s="40" t="str">
        <f>IF($K941="","",IFERROR(VLOOKUP($K941,Grinders!$A$4:$N$998,3,FALSE),""))</f>
        <v/>
      </c>
      <c r="N941" s="40" t="str">
        <f>IF($K941="","",IFERROR(VLOOKUP($K941,Grinders!$A$4:$N$998,4,FALSE),""))</f>
        <v/>
      </c>
      <c r="O941" s="40" t="str">
        <f>IF($K941="","",IFERROR(VLOOKUP($K941,Grinders!$A$4:$N$998,5,FALSE),""))</f>
        <v/>
      </c>
      <c r="P941" s="40" t="str">
        <f>IF($K941="","",IF($C$4="",0,COUNTIFS(Assignments!$B$6:$B$1000,$K941,Assignments!$F$6:$F$1000,$C$4,Assignments!$E$6:$E$1000,"Active")))</f>
        <v/>
      </c>
      <c r="Q941" s="40" t="str">
        <f t="shared" si="3"/>
        <v/>
      </c>
      <c r="R941" s="40" t="str">
        <f t="shared" si="4"/>
        <v/>
      </c>
      <c r="S941" s="40" t="str">
        <f>IF($K941="","",IF($C$4="",0,COUNTIFS(Assignments!$B$6:$B$1000,$K941,Assignments!$F$6:$F$1000,$C$4,Assignments!$D$6:$D$1000,"&gt;="&amp;Config!$B$3-7,Assignments!$D$6:$D$1000,"&lt;="&amp;Config!$B$3)))</f>
        <v/>
      </c>
      <c r="T941" s="40" t="str">
        <f>IF($K941="","",IFERROR(VLOOKUP($K941,Grinders!$A$4:$N$998,8,FALSE),""))</f>
        <v/>
      </c>
      <c r="U941" s="40" t="str">
        <f>IFERROR(IF($K941="","",IF($M941="Elite",MAX(50,MIN(100,Config!$B$27*MAX(0,MIN(100,(1-IF($R941="",0,$R941))*100)) + Config!$B$28*MAX(0,MIN(100,(1-MIN(1,IF(Config!$B$30=0,1,$S941/Config!$B$30)))*100)) + Config!$B$29*MAX(0,MIN(100,MIN(1,IF($T941="",0,$T941)/Config!$B$23)*100)))),MIN(100,Config!$B$27*MAX(0,MIN(100,(1-IF($R941="",0,$R941))*100)) + Config!$B$28*MAX(0,MIN(100,(1-MIN(1,IF(Config!$B$30=0,1,$S941/Config!$B$30)))*100)) + Config!$B$29*MAX(0,MIN(100,MIN(1,IF($T941="",0,$T941)/Config!$B$23)*100))))),"")
</f>
        <v/>
      </c>
      <c r="V941" s="40" t="str">
        <f>IF(Bids!$D940="","",Bids!$D940)</f>
        <v/>
      </c>
      <c r="W941" s="40" t="str">
        <f>IF(Bids!$F940="","",Bids!$F940)</f>
        <v/>
      </c>
      <c r="X941" s="40" t="str">
        <f t="shared" si="5"/>
        <v/>
      </c>
      <c r="Y941" s="40" t="str">
        <f>IF($X941="","",IF(Config!$B$17=Config!$B$16,IF($X941&gt;=Config!$B$17,100,0),MAX(0,MIN(100,($X941-Config!$B$16)/(Config!$B$17-Config!$B$16)*100))))</f>
        <v/>
      </c>
      <c r="Z941" s="40">
        <f>IF($M941="Elite",Config!$B$21,0)</f>
        <v>0</v>
      </c>
      <c r="AA941" s="40" t="str">
        <f>IFERROR(IF(OR($W941="",$H941=""),"",IF($W941&gt;$H941,
  MAX(0, 60-(($W941-$H941)*24/Config!$B$19)*60),
  MIN(100, 60+(($H941-$W941)*24/Config!$B$20)*40)
)),"")
</f>
        <v/>
      </c>
      <c r="AB941" s="40" t="str">
        <f>IF($K941="","",IFERROR(VLOOKUP($K941,Grinders!$A$4:$N$998,10,FALSE)/5*100,""))</f>
        <v/>
      </c>
      <c r="AC941" s="40" t="str">
        <f>IF($K941="","",IFERROR(VLOOKUP($K941,Grinders!$A$4:$N$998,11,FALSE)*100,""))</f>
        <v/>
      </c>
      <c r="AD941" s="40" t="str">
        <f>IF($K941="","",IFERROR(VLOOKUP($K941,Grinders!$A$4:$N$998,12,FALSE)*100,""))</f>
        <v/>
      </c>
      <c r="AE941" s="40">
        <f>IFERROR(IFS(
    OR($C941="", $K941=""), 0,
    $F941=0, 0,
    $D941&lt;&gt;"Open", 0,
    COUNTIFS(GrinderServices!$B$4:$B$998, $K941, GrinderServices!$C$4:$C$998, $E941, GrinderServices!$E$4:$E$998, "Y")=0, 0,
    $X941&lt;Config!$B$16, 0,
    Config!$B$18=1, IF($O941&gt;=N941, 0, 1),
    TRUE, 1
), "")
</f>
        <v>0</v>
      </c>
      <c r="AF941" s="40" t="str">
        <f>IFERROR(IF($AE941=0,"",((Config!$B$6*$Y941 + Config!$B$7*$U941 + Config!$B$8*$Z941 + Config!$B$9*$AA941 + Config!$B$10*$AB941 + Config!$B$11*$AC941 - Config!$B$12*$AD941)/Config!$B$13)+$AK941+$AL941),"")</f>
        <v/>
      </c>
      <c r="AG941" s="40" t="str">
        <f t="shared" si="6"/>
        <v/>
      </c>
      <c r="AH941" s="40" t="str">
        <f t="shared" si="7"/>
        <v/>
      </c>
      <c r="AI941" s="40" t="str">
        <f t="shared" si="8"/>
        <v/>
      </c>
      <c r="AJ941" s="40" t="str">
        <f>IF($K941="","",COUNTIF(Assignments!$B$6:$B$1000,$K941))</f>
        <v/>
      </c>
      <c r="AK941" s="40" t="str">
        <f>IF($K941="","",IF(AND($AJ941=0,$O941&lt;$N941),Config!$B$43,0))</f>
        <v/>
      </c>
      <c r="AL941" s="40" t="str">
        <f>IF($K941="","",IF(AND($M941="Elite",$G941&gt;=Config!$B$41,$O941&lt;$N941),Config!$B$42,0))</f>
        <v/>
      </c>
      <c r="AM941" s="22"/>
    </row>
    <row r="942" ht="15.75" customHeight="1">
      <c r="A942" s="40" t="str">
        <f t="shared" si="1"/>
        <v/>
      </c>
      <c r="B942" s="40" t="str">
        <f>IF(Bids!$A941="","",Bids!$A941)</f>
        <v/>
      </c>
      <c r="C942" s="40" t="str">
        <f>IF(Bids!$B941="","",Bids!$B941)</f>
        <v/>
      </c>
      <c r="D942" s="40" t="str">
        <f>IF($C942="","",IFERROR(VLOOKUP($C942,Orders!$A$4:$J$998,9,FALSE),""))</f>
        <v/>
      </c>
      <c r="E942" s="40" t="str">
        <f>IF($C942="","",IFERROR(VLOOKUP($C942,Orders!$A$4:$J$998,3,FALSE),""))</f>
        <v/>
      </c>
      <c r="F942" s="40">
        <f t="shared" si="2"/>
        <v>1</v>
      </c>
      <c r="G942" s="40" t="str">
        <f>IF($C942="","",IFERROR(VLOOKUP($C942,Orders!$A$4:$J$998,4,FALSE),""))</f>
        <v/>
      </c>
      <c r="H942" s="40" t="str">
        <f>IF($C942="","",IFERROR(VLOOKUP($C942,Orders!$A$4:$J$998,5,FALSE),""))</f>
        <v/>
      </c>
      <c r="I942" s="40" t="str">
        <f>IF($C942="","",IFERROR(VLOOKUP($C942,Orders!$A$4:$J$998,6,FALSE),""))</f>
        <v/>
      </c>
      <c r="J942" s="40" t="str">
        <f>IF($C942="","",IFERROR(VLOOKUP($C942,Orders!$A$4:$J$998,7,FALSE),""))</f>
        <v/>
      </c>
      <c r="K942" s="40" t="str">
        <f>IF(Bids!$C941="","",Bids!$C941)</f>
        <v/>
      </c>
      <c r="L942" s="40" t="str">
        <f>IF($K942="","",IFERROR(VLOOKUP($K942,Grinders!$A$4:$N$998,2,FALSE),""))</f>
        <v/>
      </c>
      <c r="M942" s="40" t="str">
        <f>IF($K942="","",IFERROR(VLOOKUP($K942,Grinders!$A$4:$N$998,3,FALSE),""))</f>
        <v/>
      </c>
      <c r="N942" s="40" t="str">
        <f>IF($K942="","",IFERROR(VLOOKUP($K942,Grinders!$A$4:$N$998,4,FALSE),""))</f>
        <v/>
      </c>
      <c r="O942" s="40" t="str">
        <f>IF($K942="","",IFERROR(VLOOKUP($K942,Grinders!$A$4:$N$998,5,FALSE),""))</f>
        <v/>
      </c>
      <c r="P942" s="40" t="str">
        <f>IF($K942="","",IF($C$4="",0,COUNTIFS(Assignments!$B$6:$B$1000,$K942,Assignments!$F$6:$F$1000,$C$4,Assignments!$E$6:$E$1000,"Active")))</f>
        <v/>
      </c>
      <c r="Q942" s="40" t="str">
        <f t="shared" si="3"/>
        <v/>
      </c>
      <c r="R942" s="40" t="str">
        <f t="shared" si="4"/>
        <v/>
      </c>
      <c r="S942" s="40" t="str">
        <f>IF($K942="","",IF($C$4="",0,COUNTIFS(Assignments!$B$6:$B$1000,$K942,Assignments!$F$6:$F$1000,$C$4,Assignments!$D$6:$D$1000,"&gt;="&amp;Config!$B$3-7,Assignments!$D$6:$D$1000,"&lt;="&amp;Config!$B$3)))</f>
        <v/>
      </c>
      <c r="T942" s="40" t="str">
        <f>IF($K942="","",IFERROR(VLOOKUP($K942,Grinders!$A$4:$N$998,8,FALSE),""))</f>
        <v/>
      </c>
      <c r="U942" s="40" t="str">
        <f>IFERROR(IF($K942="","",IF($M942="Elite",MAX(50,MIN(100,Config!$B$27*MAX(0,MIN(100,(1-IF($R942="",0,$R942))*100)) + Config!$B$28*MAX(0,MIN(100,(1-MIN(1,IF(Config!$B$30=0,1,$S942/Config!$B$30)))*100)) + Config!$B$29*MAX(0,MIN(100,MIN(1,IF($T942="",0,$T942)/Config!$B$23)*100)))),MIN(100,Config!$B$27*MAX(0,MIN(100,(1-IF($R942="",0,$R942))*100)) + Config!$B$28*MAX(0,MIN(100,(1-MIN(1,IF(Config!$B$30=0,1,$S942/Config!$B$30)))*100)) + Config!$B$29*MAX(0,MIN(100,MIN(1,IF($T942="",0,$T942)/Config!$B$23)*100))))),"")
</f>
        <v/>
      </c>
      <c r="V942" s="40" t="str">
        <f>IF(Bids!$D941="","",Bids!$D941)</f>
        <v/>
      </c>
      <c r="W942" s="40" t="str">
        <f>IF(Bids!$F941="","",Bids!$F941)</f>
        <v/>
      </c>
      <c r="X942" s="40" t="str">
        <f t="shared" si="5"/>
        <v/>
      </c>
      <c r="Y942" s="40" t="str">
        <f>IF($X942="","",IF(Config!$B$17=Config!$B$16,IF($X942&gt;=Config!$B$17,100,0),MAX(0,MIN(100,($X942-Config!$B$16)/(Config!$B$17-Config!$B$16)*100))))</f>
        <v/>
      </c>
      <c r="Z942" s="40">
        <f>IF($M942="Elite",Config!$B$21,0)</f>
        <v>0</v>
      </c>
      <c r="AA942" s="40" t="str">
        <f>IFERROR(IF(OR($W942="",$H942=""),"",IF($W942&gt;$H942,
  MAX(0, 60-(($W942-$H942)*24/Config!$B$19)*60),
  MIN(100, 60+(($H942-$W942)*24/Config!$B$20)*40)
)),"")
</f>
        <v/>
      </c>
      <c r="AB942" s="40" t="str">
        <f>IF($K942="","",IFERROR(VLOOKUP($K942,Grinders!$A$4:$N$998,10,FALSE)/5*100,""))</f>
        <v/>
      </c>
      <c r="AC942" s="40" t="str">
        <f>IF($K942="","",IFERROR(VLOOKUP($K942,Grinders!$A$4:$N$998,11,FALSE)*100,""))</f>
        <v/>
      </c>
      <c r="AD942" s="40" t="str">
        <f>IF($K942="","",IFERROR(VLOOKUP($K942,Grinders!$A$4:$N$998,12,FALSE)*100,""))</f>
        <v/>
      </c>
      <c r="AE942" s="40">
        <f>IFERROR(IFS(
    OR($C942="", $K942=""), 0,
    $F942=0, 0,
    $D942&lt;&gt;"Open", 0,
    COUNTIFS(GrinderServices!$B$4:$B$998, $K942, GrinderServices!$C$4:$C$998, $E942, GrinderServices!$E$4:$E$998, "Y")=0, 0,
    $X942&lt;Config!$B$16, 0,
    Config!$B$18=1, IF($O942&gt;=N942, 0, 1),
    TRUE, 1
), "")
</f>
        <v>0</v>
      </c>
      <c r="AF942" s="40" t="str">
        <f>IFERROR(IF($AE942=0,"",((Config!$B$6*$Y942 + Config!$B$7*$U942 + Config!$B$8*$Z942 + Config!$B$9*$AA942 + Config!$B$10*$AB942 + Config!$B$11*$AC942 - Config!$B$12*$AD942)/Config!$B$13)+$AK942+$AL942),"")</f>
        <v/>
      </c>
      <c r="AG942" s="40" t="str">
        <f t="shared" si="6"/>
        <v/>
      </c>
      <c r="AH942" s="40" t="str">
        <f t="shared" si="7"/>
        <v/>
      </c>
      <c r="AI942" s="40" t="str">
        <f t="shared" si="8"/>
        <v/>
      </c>
      <c r="AJ942" s="40" t="str">
        <f>IF($K942="","",COUNTIF(Assignments!$B$6:$B$1000,$K942))</f>
        <v/>
      </c>
      <c r="AK942" s="40" t="str">
        <f>IF($K942="","",IF(AND($AJ942=0,$O942&lt;$N942),Config!$B$43,0))</f>
        <v/>
      </c>
      <c r="AL942" s="40" t="str">
        <f>IF($K942="","",IF(AND($M942="Elite",$G942&gt;=Config!$B$41,$O942&lt;$N942),Config!$B$42,0))</f>
        <v/>
      </c>
      <c r="AM942" s="22"/>
    </row>
    <row r="943" ht="15.75" customHeight="1">
      <c r="A943" s="40" t="str">
        <f t="shared" si="1"/>
        <v/>
      </c>
      <c r="B943" s="40" t="str">
        <f>IF(Bids!$A942="","",Bids!$A942)</f>
        <v/>
      </c>
      <c r="C943" s="40" t="str">
        <f>IF(Bids!$B942="","",Bids!$B942)</f>
        <v/>
      </c>
      <c r="D943" s="40" t="str">
        <f>IF($C943="","",IFERROR(VLOOKUP($C943,Orders!$A$4:$J$998,9,FALSE),""))</f>
        <v/>
      </c>
      <c r="E943" s="40" t="str">
        <f>IF($C943="","",IFERROR(VLOOKUP($C943,Orders!$A$4:$J$998,3,FALSE),""))</f>
        <v/>
      </c>
      <c r="F943" s="40">
        <f t="shared" si="2"/>
        <v>1</v>
      </c>
      <c r="G943" s="40" t="str">
        <f>IF($C943="","",IFERROR(VLOOKUP($C943,Orders!$A$4:$J$998,4,FALSE),""))</f>
        <v/>
      </c>
      <c r="H943" s="40" t="str">
        <f>IF($C943="","",IFERROR(VLOOKUP($C943,Orders!$A$4:$J$998,5,FALSE),""))</f>
        <v/>
      </c>
      <c r="I943" s="40" t="str">
        <f>IF($C943="","",IFERROR(VLOOKUP($C943,Orders!$A$4:$J$998,6,FALSE),""))</f>
        <v/>
      </c>
      <c r="J943" s="40" t="str">
        <f>IF($C943="","",IFERROR(VLOOKUP($C943,Orders!$A$4:$J$998,7,FALSE),""))</f>
        <v/>
      </c>
      <c r="K943" s="40" t="str">
        <f>IF(Bids!$C942="","",Bids!$C942)</f>
        <v/>
      </c>
      <c r="L943" s="40" t="str">
        <f>IF($K943="","",IFERROR(VLOOKUP($K943,Grinders!$A$4:$N$998,2,FALSE),""))</f>
        <v/>
      </c>
      <c r="M943" s="40" t="str">
        <f>IF($K943="","",IFERROR(VLOOKUP($K943,Grinders!$A$4:$N$998,3,FALSE),""))</f>
        <v/>
      </c>
      <c r="N943" s="40" t="str">
        <f>IF($K943="","",IFERROR(VLOOKUP($K943,Grinders!$A$4:$N$998,4,FALSE),""))</f>
        <v/>
      </c>
      <c r="O943" s="40" t="str">
        <f>IF($K943="","",IFERROR(VLOOKUP($K943,Grinders!$A$4:$N$998,5,FALSE),""))</f>
        <v/>
      </c>
      <c r="P943" s="40" t="str">
        <f>IF($K943="","",IF($C$4="",0,COUNTIFS(Assignments!$B$6:$B$1000,$K943,Assignments!$F$6:$F$1000,$C$4,Assignments!$E$6:$E$1000,"Active")))</f>
        <v/>
      </c>
      <c r="Q943" s="40" t="str">
        <f t="shared" si="3"/>
        <v/>
      </c>
      <c r="R943" s="40" t="str">
        <f t="shared" si="4"/>
        <v/>
      </c>
      <c r="S943" s="40" t="str">
        <f>IF($K943="","",IF($C$4="",0,COUNTIFS(Assignments!$B$6:$B$1000,$K943,Assignments!$F$6:$F$1000,$C$4,Assignments!$D$6:$D$1000,"&gt;="&amp;Config!$B$3-7,Assignments!$D$6:$D$1000,"&lt;="&amp;Config!$B$3)))</f>
        <v/>
      </c>
      <c r="T943" s="40" t="str">
        <f>IF($K943="","",IFERROR(VLOOKUP($K943,Grinders!$A$4:$N$998,8,FALSE),""))</f>
        <v/>
      </c>
      <c r="U943" s="40" t="str">
        <f>IFERROR(IF($K943="","",IF($M943="Elite",MAX(50,MIN(100,Config!$B$27*MAX(0,MIN(100,(1-IF($R943="",0,$R943))*100)) + Config!$B$28*MAX(0,MIN(100,(1-MIN(1,IF(Config!$B$30=0,1,$S943/Config!$B$30)))*100)) + Config!$B$29*MAX(0,MIN(100,MIN(1,IF($T943="",0,$T943)/Config!$B$23)*100)))),MIN(100,Config!$B$27*MAX(0,MIN(100,(1-IF($R943="",0,$R943))*100)) + Config!$B$28*MAX(0,MIN(100,(1-MIN(1,IF(Config!$B$30=0,1,$S943/Config!$B$30)))*100)) + Config!$B$29*MAX(0,MIN(100,MIN(1,IF($T943="",0,$T943)/Config!$B$23)*100))))),"")
</f>
        <v/>
      </c>
      <c r="V943" s="40" t="str">
        <f>IF(Bids!$D942="","",Bids!$D942)</f>
        <v/>
      </c>
      <c r="W943" s="40" t="str">
        <f>IF(Bids!$F942="","",Bids!$F942)</f>
        <v/>
      </c>
      <c r="X943" s="40" t="str">
        <f t="shared" si="5"/>
        <v/>
      </c>
      <c r="Y943" s="40" t="str">
        <f>IF($X943="","",IF(Config!$B$17=Config!$B$16,IF($X943&gt;=Config!$B$17,100,0),MAX(0,MIN(100,($X943-Config!$B$16)/(Config!$B$17-Config!$B$16)*100))))</f>
        <v/>
      </c>
      <c r="Z943" s="40">
        <f>IF($M943="Elite",Config!$B$21,0)</f>
        <v>0</v>
      </c>
      <c r="AA943" s="40" t="str">
        <f>IFERROR(IF(OR($W943="",$H943=""),"",IF($W943&gt;$H943,
  MAX(0, 60-(($W943-$H943)*24/Config!$B$19)*60),
  MIN(100, 60+(($H943-$W943)*24/Config!$B$20)*40)
)),"")
</f>
        <v/>
      </c>
      <c r="AB943" s="40" t="str">
        <f>IF($K943="","",IFERROR(VLOOKUP($K943,Grinders!$A$4:$N$998,10,FALSE)/5*100,""))</f>
        <v/>
      </c>
      <c r="AC943" s="40" t="str">
        <f>IF($K943="","",IFERROR(VLOOKUP($K943,Grinders!$A$4:$N$998,11,FALSE)*100,""))</f>
        <v/>
      </c>
      <c r="AD943" s="40" t="str">
        <f>IF($K943="","",IFERROR(VLOOKUP($K943,Grinders!$A$4:$N$998,12,FALSE)*100,""))</f>
        <v/>
      </c>
      <c r="AE943" s="40">
        <f>IFERROR(IFS(
    OR($C943="", $K943=""), 0,
    $F943=0, 0,
    $D943&lt;&gt;"Open", 0,
    COUNTIFS(GrinderServices!$B$4:$B$998, $K943, GrinderServices!$C$4:$C$998, $E943, GrinderServices!$E$4:$E$998, "Y")=0, 0,
    $X943&lt;Config!$B$16, 0,
    Config!$B$18=1, IF($O943&gt;=N943, 0, 1),
    TRUE, 1
), "")
</f>
        <v>0</v>
      </c>
      <c r="AF943" s="40" t="str">
        <f>IFERROR(IF($AE943=0,"",((Config!$B$6*$Y943 + Config!$B$7*$U943 + Config!$B$8*$Z943 + Config!$B$9*$AA943 + Config!$B$10*$AB943 + Config!$B$11*$AC943 - Config!$B$12*$AD943)/Config!$B$13)+$AK943+$AL943),"")</f>
        <v/>
      </c>
      <c r="AG943" s="40" t="str">
        <f t="shared" si="6"/>
        <v/>
      </c>
      <c r="AH943" s="40" t="str">
        <f t="shared" si="7"/>
        <v/>
      </c>
      <c r="AI943" s="40" t="str">
        <f t="shared" si="8"/>
        <v/>
      </c>
      <c r="AJ943" s="40" t="str">
        <f>IF($K943="","",COUNTIF(Assignments!$B$6:$B$1000,$K943))</f>
        <v/>
      </c>
      <c r="AK943" s="40" t="str">
        <f>IF($K943="","",IF(AND($AJ943=0,$O943&lt;$N943),Config!$B$43,0))</f>
        <v/>
      </c>
      <c r="AL943" s="40" t="str">
        <f>IF($K943="","",IF(AND($M943="Elite",$G943&gt;=Config!$B$41,$O943&lt;$N943),Config!$B$42,0))</f>
        <v/>
      </c>
      <c r="AM943" s="22"/>
    </row>
    <row r="944" ht="15.75" customHeight="1">
      <c r="A944" s="40" t="str">
        <f t="shared" si="1"/>
        <v/>
      </c>
      <c r="B944" s="40" t="str">
        <f>IF(Bids!$A943="","",Bids!$A943)</f>
        <v/>
      </c>
      <c r="C944" s="40" t="str">
        <f>IF(Bids!$B943="","",Bids!$B943)</f>
        <v/>
      </c>
      <c r="D944" s="40" t="str">
        <f>IF($C944="","",IFERROR(VLOOKUP($C944,Orders!$A$4:$J$998,9,FALSE),""))</f>
        <v/>
      </c>
      <c r="E944" s="40" t="str">
        <f>IF($C944="","",IFERROR(VLOOKUP($C944,Orders!$A$4:$J$998,3,FALSE),""))</f>
        <v/>
      </c>
      <c r="F944" s="40">
        <f t="shared" si="2"/>
        <v>1</v>
      </c>
      <c r="G944" s="40" t="str">
        <f>IF($C944="","",IFERROR(VLOOKUP($C944,Orders!$A$4:$J$998,4,FALSE),""))</f>
        <v/>
      </c>
      <c r="H944" s="40" t="str">
        <f>IF($C944="","",IFERROR(VLOOKUP($C944,Orders!$A$4:$J$998,5,FALSE),""))</f>
        <v/>
      </c>
      <c r="I944" s="40" t="str">
        <f>IF($C944="","",IFERROR(VLOOKUP($C944,Orders!$A$4:$J$998,6,FALSE),""))</f>
        <v/>
      </c>
      <c r="J944" s="40" t="str">
        <f>IF($C944="","",IFERROR(VLOOKUP($C944,Orders!$A$4:$J$998,7,FALSE),""))</f>
        <v/>
      </c>
      <c r="K944" s="40" t="str">
        <f>IF(Bids!$C943="","",Bids!$C943)</f>
        <v/>
      </c>
      <c r="L944" s="40" t="str">
        <f>IF($K944="","",IFERROR(VLOOKUP($K944,Grinders!$A$4:$N$998,2,FALSE),""))</f>
        <v/>
      </c>
      <c r="M944" s="40" t="str">
        <f>IF($K944="","",IFERROR(VLOOKUP($K944,Grinders!$A$4:$N$998,3,FALSE),""))</f>
        <v/>
      </c>
      <c r="N944" s="40" t="str">
        <f>IF($K944="","",IFERROR(VLOOKUP($K944,Grinders!$A$4:$N$998,4,FALSE),""))</f>
        <v/>
      </c>
      <c r="O944" s="40" t="str">
        <f>IF($K944="","",IFERROR(VLOOKUP($K944,Grinders!$A$4:$N$998,5,FALSE),""))</f>
        <v/>
      </c>
      <c r="P944" s="40" t="str">
        <f>IF($K944="","",IF($C$4="",0,COUNTIFS(Assignments!$B$6:$B$1000,$K944,Assignments!$F$6:$F$1000,$C$4,Assignments!$E$6:$E$1000,"Active")))</f>
        <v/>
      </c>
      <c r="Q944" s="40" t="str">
        <f t="shared" si="3"/>
        <v/>
      </c>
      <c r="R944" s="40" t="str">
        <f t="shared" si="4"/>
        <v/>
      </c>
      <c r="S944" s="40" t="str">
        <f>IF($K944="","",IF($C$4="",0,COUNTIFS(Assignments!$B$6:$B$1000,$K944,Assignments!$F$6:$F$1000,$C$4,Assignments!$D$6:$D$1000,"&gt;="&amp;Config!$B$3-7,Assignments!$D$6:$D$1000,"&lt;="&amp;Config!$B$3)))</f>
        <v/>
      </c>
      <c r="T944" s="40" t="str">
        <f>IF($K944="","",IFERROR(VLOOKUP($K944,Grinders!$A$4:$N$998,8,FALSE),""))</f>
        <v/>
      </c>
      <c r="U944" s="40" t="str">
        <f>IFERROR(IF($K944="","",IF($M944="Elite",MAX(50,MIN(100,Config!$B$27*MAX(0,MIN(100,(1-IF($R944="",0,$R944))*100)) + Config!$B$28*MAX(0,MIN(100,(1-MIN(1,IF(Config!$B$30=0,1,$S944/Config!$B$30)))*100)) + Config!$B$29*MAX(0,MIN(100,MIN(1,IF($T944="",0,$T944)/Config!$B$23)*100)))),MIN(100,Config!$B$27*MAX(0,MIN(100,(1-IF($R944="",0,$R944))*100)) + Config!$B$28*MAX(0,MIN(100,(1-MIN(1,IF(Config!$B$30=0,1,$S944/Config!$B$30)))*100)) + Config!$B$29*MAX(0,MIN(100,MIN(1,IF($T944="",0,$T944)/Config!$B$23)*100))))),"")
</f>
        <v/>
      </c>
      <c r="V944" s="40" t="str">
        <f>IF(Bids!$D943="","",Bids!$D943)</f>
        <v/>
      </c>
      <c r="W944" s="40" t="str">
        <f>IF(Bids!$F943="","",Bids!$F943)</f>
        <v/>
      </c>
      <c r="X944" s="40" t="str">
        <f t="shared" si="5"/>
        <v/>
      </c>
      <c r="Y944" s="40" t="str">
        <f>IF($X944="","",IF(Config!$B$17=Config!$B$16,IF($X944&gt;=Config!$B$17,100,0),MAX(0,MIN(100,($X944-Config!$B$16)/(Config!$B$17-Config!$B$16)*100))))</f>
        <v/>
      </c>
      <c r="Z944" s="40">
        <f>IF($M944="Elite",Config!$B$21,0)</f>
        <v>0</v>
      </c>
      <c r="AA944" s="40" t="str">
        <f>IFERROR(IF(OR($W944="",$H944=""),"",IF($W944&gt;$H944,
  MAX(0, 60-(($W944-$H944)*24/Config!$B$19)*60),
  MIN(100, 60+(($H944-$W944)*24/Config!$B$20)*40)
)),"")
</f>
        <v/>
      </c>
      <c r="AB944" s="40" t="str">
        <f>IF($K944="","",IFERROR(VLOOKUP($K944,Grinders!$A$4:$N$998,10,FALSE)/5*100,""))</f>
        <v/>
      </c>
      <c r="AC944" s="40" t="str">
        <f>IF($K944="","",IFERROR(VLOOKUP($K944,Grinders!$A$4:$N$998,11,FALSE)*100,""))</f>
        <v/>
      </c>
      <c r="AD944" s="40" t="str">
        <f>IF($K944="","",IFERROR(VLOOKUP($K944,Grinders!$A$4:$N$998,12,FALSE)*100,""))</f>
        <v/>
      </c>
      <c r="AE944" s="40">
        <f>IFERROR(IFS(
    OR($C944="", $K944=""), 0,
    $F944=0, 0,
    $D944&lt;&gt;"Open", 0,
    COUNTIFS(GrinderServices!$B$4:$B$998, $K944, GrinderServices!$C$4:$C$998, $E944, GrinderServices!$E$4:$E$998, "Y")=0, 0,
    $X944&lt;Config!$B$16, 0,
    Config!$B$18=1, IF($O944&gt;=N944, 0, 1),
    TRUE, 1
), "")
</f>
        <v>0</v>
      </c>
      <c r="AF944" s="40" t="str">
        <f>IFERROR(IF($AE944=0,"",((Config!$B$6*$Y944 + Config!$B$7*$U944 + Config!$B$8*$Z944 + Config!$B$9*$AA944 + Config!$B$10*$AB944 + Config!$B$11*$AC944 - Config!$B$12*$AD944)/Config!$B$13)+$AK944+$AL944),"")</f>
        <v/>
      </c>
      <c r="AG944" s="40" t="str">
        <f t="shared" si="6"/>
        <v/>
      </c>
      <c r="AH944" s="40" t="str">
        <f t="shared" si="7"/>
        <v/>
      </c>
      <c r="AI944" s="40" t="str">
        <f t="shared" si="8"/>
        <v/>
      </c>
      <c r="AJ944" s="40" t="str">
        <f>IF($K944="","",COUNTIF(Assignments!$B$6:$B$1000,$K944))</f>
        <v/>
      </c>
      <c r="AK944" s="40" t="str">
        <f>IF($K944="","",IF(AND($AJ944=0,$O944&lt;$N944),Config!$B$43,0))</f>
        <v/>
      </c>
      <c r="AL944" s="40" t="str">
        <f>IF($K944="","",IF(AND($M944="Elite",$G944&gt;=Config!$B$41,$O944&lt;$N944),Config!$B$42,0))</f>
        <v/>
      </c>
      <c r="AM944" s="22"/>
    </row>
    <row r="945" ht="15.75" customHeight="1">
      <c r="A945" s="40" t="str">
        <f t="shared" si="1"/>
        <v/>
      </c>
      <c r="B945" s="40" t="str">
        <f>IF(Bids!$A944="","",Bids!$A944)</f>
        <v/>
      </c>
      <c r="C945" s="40" t="str">
        <f>IF(Bids!$B944="","",Bids!$B944)</f>
        <v/>
      </c>
      <c r="D945" s="40" t="str">
        <f>IF($C945="","",IFERROR(VLOOKUP($C945,Orders!$A$4:$J$998,9,FALSE),""))</f>
        <v/>
      </c>
      <c r="E945" s="40" t="str">
        <f>IF($C945="","",IFERROR(VLOOKUP($C945,Orders!$A$4:$J$998,3,FALSE),""))</f>
        <v/>
      </c>
      <c r="F945" s="40">
        <f t="shared" si="2"/>
        <v>1</v>
      </c>
      <c r="G945" s="40" t="str">
        <f>IF($C945="","",IFERROR(VLOOKUP($C945,Orders!$A$4:$J$998,4,FALSE),""))</f>
        <v/>
      </c>
      <c r="H945" s="40" t="str">
        <f>IF($C945="","",IFERROR(VLOOKUP($C945,Orders!$A$4:$J$998,5,FALSE),""))</f>
        <v/>
      </c>
      <c r="I945" s="40" t="str">
        <f>IF($C945="","",IFERROR(VLOOKUP($C945,Orders!$A$4:$J$998,6,FALSE),""))</f>
        <v/>
      </c>
      <c r="J945" s="40" t="str">
        <f>IF($C945="","",IFERROR(VLOOKUP($C945,Orders!$A$4:$J$998,7,FALSE),""))</f>
        <v/>
      </c>
      <c r="K945" s="40" t="str">
        <f>IF(Bids!$C944="","",Bids!$C944)</f>
        <v/>
      </c>
      <c r="L945" s="40" t="str">
        <f>IF($K945="","",IFERROR(VLOOKUP($K945,Grinders!$A$4:$N$998,2,FALSE),""))</f>
        <v/>
      </c>
      <c r="M945" s="40" t="str">
        <f>IF($K945="","",IFERROR(VLOOKUP($K945,Grinders!$A$4:$N$998,3,FALSE),""))</f>
        <v/>
      </c>
      <c r="N945" s="40" t="str">
        <f>IF($K945="","",IFERROR(VLOOKUP($K945,Grinders!$A$4:$N$998,4,FALSE),""))</f>
        <v/>
      </c>
      <c r="O945" s="40" t="str">
        <f>IF($K945="","",IFERROR(VLOOKUP($K945,Grinders!$A$4:$N$998,5,FALSE),""))</f>
        <v/>
      </c>
      <c r="P945" s="40" t="str">
        <f>IF($K945="","",IF($C$4="",0,COUNTIFS(Assignments!$B$6:$B$1000,$K945,Assignments!$F$6:$F$1000,$C$4,Assignments!$E$6:$E$1000,"Active")))</f>
        <v/>
      </c>
      <c r="Q945" s="40" t="str">
        <f t="shared" si="3"/>
        <v/>
      </c>
      <c r="R945" s="40" t="str">
        <f t="shared" si="4"/>
        <v/>
      </c>
      <c r="S945" s="40" t="str">
        <f>IF($K945="","",IF($C$4="",0,COUNTIFS(Assignments!$B$6:$B$1000,$K945,Assignments!$F$6:$F$1000,$C$4,Assignments!$D$6:$D$1000,"&gt;="&amp;Config!$B$3-7,Assignments!$D$6:$D$1000,"&lt;="&amp;Config!$B$3)))</f>
        <v/>
      </c>
      <c r="T945" s="40" t="str">
        <f>IF($K945="","",IFERROR(VLOOKUP($K945,Grinders!$A$4:$N$998,8,FALSE),""))</f>
        <v/>
      </c>
      <c r="U945" s="40" t="str">
        <f>IFERROR(IF($K945="","",IF($M945="Elite",MAX(50,MIN(100,Config!$B$27*MAX(0,MIN(100,(1-IF($R945="",0,$R945))*100)) + Config!$B$28*MAX(0,MIN(100,(1-MIN(1,IF(Config!$B$30=0,1,$S945/Config!$B$30)))*100)) + Config!$B$29*MAX(0,MIN(100,MIN(1,IF($T945="",0,$T945)/Config!$B$23)*100)))),MIN(100,Config!$B$27*MAX(0,MIN(100,(1-IF($R945="",0,$R945))*100)) + Config!$B$28*MAX(0,MIN(100,(1-MIN(1,IF(Config!$B$30=0,1,$S945/Config!$B$30)))*100)) + Config!$B$29*MAX(0,MIN(100,MIN(1,IF($T945="",0,$T945)/Config!$B$23)*100))))),"")
</f>
        <v/>
      </c>
      <c r="V945" s="40" t="str">
        <f>IF(Bids!$D944="","",Bids!$D944)</f>
        <v/>
      </c>
      <c r="W945" s="40" t="str">
        <f>IF(Bids!$F944="","",Bids!$F944)</f>
        <v/>
      </c>
      <c r="X945" s="40" t="str">
        <f t="shared" si="5"/>
        <v/>
      </c>
      <c r="Y945" s="40" t="str">
        <f>IF($X945="","",IF(Config!$B$17=Config!$B$16,IF($X945&gt;=Config!$B$17,100,0),MAX(0,MIN(100,($X945-Config!$B$16)/(Config!$B$17-Config!$B$16)*100))))</f>
        <v/>
      </c>
      <c r="Z945" s="40">
        <f>IF($M945="Elite",Config!$B$21,0)</f>
        <v>0</v>
      </c>
      <c r="AA945" s="40" t="str">
        <f>IFERROR(IF(OR($W945="",$H945=""),"",IF($W945&gt;$H945,
  MAX(0, 60-(($W945-$H945)*24/Config!$B$19)*60),
  MIN(100, 60+(($H945-$W945)*24/Config!$B$20)*40)
)),"")
</f>
        <v/>
      </c>
      <c r="AB945" s="40" t="str">
        <f>IF($K945="","",IFERROR(VLOOKUP($K945,Grinders!$A$4:$N$998,10,FALSE)/5*100,""))</f>
        <v/>
      </c>
      <c r="AC945" s="40" t="str">
        <f>IF($K945="","",IFERROR(VLOOKUP($K945,Grinders!$A$4:$N$998,11,FALSE)*100,""))</f>
        <v/>
      </c>
      <c r="AD945" s="40" t="str">
        <f>IF($K945="","",IFERROR(VLOOKUP($K945,Grinders!$A$4:$N$998,12,FALSE)*100,""))</f>
        <v/>
      </c>
      <c r="AE945" s="40">
        <f>IFERROR(IFS(
    OR($C945="", $K945=""), 0,
    $F945=0, 0,
    $D945&lt;&gt;"Open", 0,
    COUNTIFS(GrinderServices!$B$4:$B$998, $K945, GrinderServices!$C$4:$C$998, $E945, GrinderServices!$E$4:$E$998, "Y")=0, 0,
    $X945&lt;Config!$B$16, 0,
    Config!$B$18=1, IF($O945&gt;=N945, 0, 1),
    TRUE, 1
), "")
</f>
        <v>0</v>
      </c>
      <c r="AF945" s="40" t="str">
        <f>IFERROR(IF($AE945=0,"",((Config!$B$6*$Y945 + Config!$B$7*$U945 + Config!$B$8*$Z945 + Config!$B$9*$AA945 + Config!$B$10*$AB945 + Config!$B$11*$AC945 - Config!$B$12*$AD945)/Config!$B$13)+$AK945+$AL945),"")</f>
        <v/>
      </c>
      <c r="AG945" s="40" t="str">
        <f t="shared" si="6"/>
        <v/>
      </c>
      <c r="AH945" s="40" t="str">
        <f t="shared" si="7"/>
        <v/>
      </c>
      <c r="AI945" s="40" t="str">
        <f t="shared" si="8"/>
        <v/>
      </c>
      <c r="AJ945" s="40" t="str">
        <f>IF($K945="","",COUNTIF(Assignments!$B$6:$B$1000,$K945))</f>
        <v/>
      </c>
      <c r="AK945" s="40" t="str">
        <f>IF($K945="","",IF(AND($AJ945=0,$O945&lt;$N945),Config!$B$43,0))</f>
        <v/>
      </c>
      <c r="AL945" s="40" t="str">
        <f>IF($K945="","",IF(AND($M945="Elite",$G945&gt;=Config!$B$41,$O945&lt;$N945),Config!$B$42,0))</f>
        <v/>
      </c>
      <c r="AM945" s="22"/>
    </row>
    <row r="946" ht="15.75" customHeight="1">
      <c r="A946" s="40" t="str">
        <f t="shared" si="1"/>
        <v/>
      </c>
      <c r="B946" s="40" t="str">
        <f>IF(Bids!$A945="","",Bids!$A945)</f>
        <v/>
      </c>
      <c r="C946" s="40" t="str">
        <f>IF(Bids!$B945="","",Bids!$B945)</f>
        <v/>
      </c>
      <c r="D946" s="40" t="str">
        <f>IF($C946="","",IFERROR(VLOOKUP($C946,Orders!$A$4:$J$998,9,FALSE),""))</f>
        <v/>
      </c>
      <c r="E946" s="40" t="str">
        <f>IF($C946="","",IFERROR(VLOOKUP($C946,Orders!$A$4:$J$998,3,FALSE),""))</f>
        <v/>
      </c>
      <c r="F946" s="40">
        <f t="shared" si="2"/>
        <v>1</v>
      </c>
      <c r="G946" s="40" t="str">
        <f>IF($C946="","",IFERROR(VLOOKUP($C946,Orders!$A$4:$J$998,4,FALSE),""))</f>
        <v/>
      </c>
      <c r="H946" s="40" t="str">
        <f>IF($C946="","",IFERROR(VLOOKUP($C946,Orders!$A$4:$J$998,5,FALSE),""))</f>
        <v/>
      </c>
      <c r="I946" s="40" t="str">
        <f>IF($C946="","",IFERROR(VLOOKUP($C946,Orders!$A$4:$J$998,6,FALSE),""))</f>
        <v/>
      </c>
      <c r="J946" s="40" t="str">
        <f>IF($C946="","",IFERROR(VLOOKUP($C946,Orders!$A$4:$J$998,7,FALSE),""))</f>
        <v/>
      </c>
      <c r="K946" s="40" t="str">
        <f>IF(Bids!$C945="","",Bids!$C945)</f>
        <v/>
      </c>
      <c r="L946" s="40" t="str">
        <f>IF($K946="","",IFERROR(VLOOKUP($K946,Grinders!$A$4:$N$998,2,FALSE),""))</f>
        <v/>
      </c>
      <c r="M946" s="40" t="str">
        <f>IF($K946="","",IFERROR(VLOOKUP($K946,Grinders!$A$4:$N$998,3,FALSE),""))</f>
        <v/>
      </c>
      <c r="N946" s="40" t="str">
        <f>IF($K946="","",IFERROR(VLOOKUP($K946,Grinders!$A$4:$N$998,4,FALSE),""))</f>
        <v/>
      </c>
      <c r="O946" s="40" t="str">
        <f>IF($K946="","",IFERROR(VLOOKUP($K946,Grinders!$A$4:$N$998,5,FALSE),""))</f>
        <v/>
      </c>
      <c r="P946" s="40" t="str">
        <f>IF($K946="","",IF($C$4="",0,COUNTIFS(Assignments!$B$6:$B$1000,$K946,Assignments!$F$6:$F$1000,$C$4,Assignments!$E$6:$E$1000,"Active")))</f>
        <v/>
      </c>
      <c r="Q946" s="40" t="str">
        <f t="shared" si="3"/>
        <v/>
      </c>
      <c r="R946" s="40" t="str">
        <f t="shared" si="4"/>
        <v/>
      </c>
      <c r="S946" s="40" t="str">
        <f>IF($K946="","",IF($C$4="",0,COUNTIFS(Assignments!$B$6:$B$1000,$K946,Assignments!$F$6:$F$1000,$C$4,Assignments!$D$6:$D$1000,"&gt;="&amp;Config!$B$3-7,Assignments!$D$6:$D$1000,"&lt;="&amp;Config!$B$3)))</f>
        <v/>
      </c>
      <c r="T946" s="40" t="str">
        <f>IF($K946="","",IFERROR(VLOOKUP($K946,Grinders!$A$4:$N$998,8,FALSE),""))</f>
        <v/>
      </c>
      <c r="U946" s="40" t="str">
        <f>IFERROR(IF($K946="","",IF($M946="Elite",MAX(50,MIN(100,Config!$B$27*MAX(0,MIN(100,(1-IF($R946="",0,$R946))*100)) + Config!$B$28*MAX(0,MIN(100,(1-MIN(1,IF(Config!$B$30=0,1,$S946/Config!$B$30)))*100)) + Config!$B$29*MAX(0,MIN(100,MIN(1,IF($T946="",0,$T946)/Config!$B$23)*100)))),MIN(100,Config!$B$27*MAX(0,MIN(100,(1-IF($R946="",0,$R946))*100)) + Config!$B$28*MAX(0,MIN(100,(1-MIN(1,IF(Config!$B$30=0,1,$S946/Config!$B$30)))*100)) + Config!$B$29*MAX(0,MIN(100,MIN(1,IF($T946="",0,$T946)/Config!$B$23)*100))))),"")
</f>
        <v/>
      </c>
      <c r="V946" s="40" t="str">
        <f>IF(Bids!$D945="","",Bids!$D945)</f>
        <v/>
      </c>
      <c r="W946" s="40" t="str">
        <f>IF(Bids!$F945="","",Bids!$F945)</f>
        <v/>
      </c>
      <c r="X946" s="40" t="str">
        <f t="shared" si="5"/>
        <v/>
      </c>
      <c r="Y946" s="40" t="str">
        <f>IF($X946="","",IF(Config!$B$17=Config!$B$16,IF($X946&gt;=Config!$B$17,100,0),MAX(0,MIN(100,($X946-Config!$B$16)/(Config!$B$17-Config!$B$16)*100))))</f>
        <v/>
      </c>
      <c r="Z946" s="40">
        <f>IF($M946="Elite",Config!$B$21,0)</f>
        <v>0</v>
      </c>
      <c r="AA946" s="40" t="str">
        <f>IFERROR(IF(OR($W946="",$H946=""),"",IF($W946&gt;$H946,
  MAX(0, 60-(($W946-$H946)*24/Config!$B$19)*60),
  MIN(100, 60+(($H946-$W946)*24/Config!$B$20)*40)
)),"")
</f>
        <v/>
      </c>
      <c r="AB946" s="40" t="str">
        <f>IF($K946="","",IFERROR(VLOOKUP($K946,Grinders!$A$4:$N$998,10,FALSE)/5*100,""))</f>
        <v/>
      </c>
      <c r="AC946" s="40" t="str">
        <f>IF($K946="","",IFERROR(VLOOKUP($K946,Grinders!$A$4:$N$998,11,FALSE)*100,""))</f>
        <v/>
      </c>
      <c r="AD946" s="40" t="str">
        <f>IF($K946="","",IFERROR(VLOOKUP($K946,Grinders!$A$4:$N$998,12,FALSE)*100,""))</f>
        <v/>
      </c>
      <c r="AE946" s="40">
        <f>IFERROR(IFS(
    OR($C946="", $K946=""), 0,
    $F946=0, 0,
    $D946&lt;&gt;"Open", 0,
    COUNTIFS(GrinderServices!$B$4:$B$998, $K946, GrinderServices!$C$4:$C$998, $E946, GrinderServices!$E$4:$E$998, "Y")=0, 0,
    $X946&lt;Config!$B$16, 0,
    Config!$B$18=1, IF($O946&gt;=N946, 0, 1),
    TRUE, 1
), "")
</f>
        <v>0</v>
      </c>
      <c r="AF946" s="40" t="str">
        <f>IFERROR(IF($AE946=0,"",((Config!$B$6*$Y946 + Config!$B$7*$U946 + Config!$B$8*$Z946 + Config!$B$9*$AA946 + Config!$B$10*$AB946 + Config!$B$11*$AC946 - Config!$B$12*$AD946)/Config!$B$13)+$AK946+$AL946),"")</f>
        <v/>
      </c>
      <c r="AG946" s="40" t="str">
        <f t="shared" si="6"/>
        <v/>
      </c>
      <c r="AH946" s="40" t="str">
        <f t="shared" si="7"/>
        <v/>
      </c>
      <c r="AI946" s="40" t="str">
        <f t="shared" si="8"/>
        <v/>
      </c>
      <c r="AJ946" s="40" t="str">
        <f>IF($K946="","",COUNTIF(Assignments!$B$6:$B$1000,$K946))</f>
        <v/>
      </c>
      <c r="AK946" s="40" t="str">
        <f>IF($K946="","",IF(AND($AJ946=0,$O946&lt;$N946),Config!$B$43,0))</f>
        <v/>
      </c>
      <c r="AL946" s="40" t="str">
        <f>IF($K946="","",IF(AND($M946="Elite",$G946&gt;=Config!$B$41,$O946&lt;$N946),Config!$B$42,0))</f>
        <v/>
      </c>
      <c r="AM946" s="22"/>
    </row>
    <row r="947" ht="15.75" customHeight="1">
      <c r="A947" s="40" t="str">
        <f t="shared" si="1"/>
        <v/>
      </c>
      <c r="B947" s="40" t="str">
        <f>IF(Bids!$A946="","",Bids!$A946)</f>
        <v/>
      </c>
      <c r="C947" s="40" t="str">
        <f>IF(Bids!$B946="","",Bids!$B946)</f>
        <v/>
      </c>
      <c r="D947" s="40" t="str">
        <f>IF($C947="","",IFERROR(VLOOKUP($C947,Orders!$A$4:$J$998,9,FALSE),""))</f>
        <v/>
      </c>
      <c r="E947" s="40" t="str">
        <f>IF($C947="","",IFERROR(VLOOKUP($C947,Orders!$A$4:$J$998,3,FALSE),""))</f>
        <v/>
      </c>
      <c r="F947" s="40">
        <f t="shared" si="2"/>
        <v>1</v>
      </c>
      <c r="G947" s="40" t="str">
        <f>IF($C947="","",IFERROR(VLOOKUP($C947,Orders!$A$4:$J$998,4,FALSE),""))</f>
        <v/>
      </c>
      <c r="H947" s="40" t="str">
        <f>IF($C947="","",IFERROR(VLOOKUP($C947,Orders!$A$4:$J$998,5,FALSE),""))</f>
        <v/>
      </c>
      <c r="I947" s="40" t="str">
        <f>IF($C947="","",IFERROR(VLOOKUP($C947,Orders!$A$4:$J$998,6,FALSE),""))</f>
        <v/>
      </c>
      <c r="J947" s="40" t="str">
        <f>IF($C947="","",IFERROR(VLOOKUP($C947,Orders!$A$4:$J$998,7,FALSE),""))</f>
        <v/>
      </c>
      <c r="K947" s="40" t="str">
        <f>IF(Bids!$C946="","",Bids!$C946)</f>
        <v/>
      </c>
      <c r="L947" s="40" t="str">
        <f>IF($K947="","",IFERROR(VLOOKUP($K947,Grinders!$A$4:$N$998,2,FALSE),""))</f>
        <v/>
      </c>
      <c r="M947" s="40" t="str">
        <f>IF($K947="","",IFERROR(VLOOKUP($K947,Grinders!$A$4:$N$998,3,FALSE),""))</f>
        <v/>
      </c>
      <c r="N947" s="40" t="str">
        <f>IF($K947="","",IFERROR(VLOOKUP($K947,Grinders!$A$4:$N$998,4,FALSE),""))</f>
        <v/>
      </c>
      <c r="O947" s="40" t="str">
        <f>IF($K947="","",IFERROR(VLOOKUP($K947,Grinders!$A$4:$N$998,5,FALSE),""))</f>
        <v/>
      </c>
      <c r="P947" s="40" t="str">
        <f>IF($K947="","",IF($C$4="",0,COUNTIFS(Assignments!$B$6:$B$1000,$K947,Assignments!$F$6:$F$1000,$C$4,Assignments!$E$6:$E$1000,"Active")))</f>
        <v/>
      </c>
      <c r="Q947" s="40" t="str">
        <f t="shared" si="3"/>
        <v/>
      </c>
      <c r="R947" s="40" t="str">
        <f t="shared" si="4"/>
        <v/>
      </c>
      <c r="S947" s="40" t="str">
        <f>IF($K947="","",IF($C$4="",0,COUNTIFS(Assignments!$B$6:$B$1000,$K947,Assignments!$F$6:$F$1000,$C$4,Assignments!$D$6:$D$1000,"&gt;="&amp;Config!$B$3-7,Assignments!$D$6:$D$1000,"&lt;="&amp;Config!$B$3)))</f>
        <v/>
      </c>
      <c r="T947" s="40" t="str">
        <f>IF($K947="","",IFERROR(VLOOKUP($K947,Grinders!$A$4:$N$998,8,FALSE),""))</f>
        <v/>
      </c>
      <c r="U947" s="40" t="str">
        <f>IFERROR(IF($K947="","",IF($M947="Elite",MAX(50,MIN(100,Config!$B$27*MAX(0,MIN(100,(1-IF($R947="",0,$R947))*100)) + Config!$B$28*MAX(0,MIN(100,(1-MIN(1,IF(Config!$B$30=0,1,$S947/Config!$B$30)))*100)) + Config!$B$29*MAX(0,MIN(100,MIN(1,IF($T947="",0,$T947)/Config!$B$23)*100)))),MIN(100,Config!$B$27*MAX(0,MIN(100,(1-IF($R947="",0,$R947))*100)) + Config!$B$28*MAX(0,MIN(100,(1-MIN(1,IF(Config!$B$30=0,1,$S947/Config!$B$30)))*100)) + Config!$B$29*MAX(0,MIN(100,MIN(1,IF($T947="",0,$T947)/Config!$B$23)*100))))),"")
</f>
        <v/>
      </c>
      <c r="V947" s="40" t="str">
        <f>IF(Bids!$D946="","",Bids!$D946)</f>
        <v/>
      </c>
      <c r="W947" s="40" t="str">
        <f>IF(Bids!$F946="","",Bids!$F946)</f>
        <v/>
      </c>
      <c r="X947" s="40" t="str">
        <f t="shared" si="5"/>
        <v/>
      </c>
      <c r="Y947" s="40" t="str">
        <f>IF($X947="","",IF(Config!$B$17=Config!$B$16,IF($X947&gt;=Config!$B$17,100,0),MAX(0,MIN(100,($X947-Config!$B$16)/(Config!$B$17-Config!$B$16)*100))))</f>
        <v/>
      </c>
      <c r="Z947" s="40">
        <f>IF($M947="Elite",Config!$B$21,0)</f>
        <v>0</v>
      </c>
      <c r="AA947" s="40" t="str">
        <f>IFERROR(IF(OR($W947="",$H947=""),"",IF($W947&gt;$H947,
  MAX(0, 60-(($W947-$H947)*24/Config!$B$19)*60),
  MIN(100, 60+(($H947-$W947)*24/Config!$B$20)*40)
)),"")
</f>
        <v/>
      </c>
      <c r="AB947" s="40" t="str">
        <f>IF($K947="","",IFERROR(VLOOKUP($K947,Grinders!$A$4:$N$998,10,FALSE)/5*100,""))</f>
        <v/>
      </c>
      <c r="AC947" s="40" t="str">
        <f>IF($K947="","",IFERROR(VLOOKUP($K947,Grinders!$A$4:$N$998,11,FALSE)*100,""))</f>
        <v/>
      </c>
      <c r="AD947" s="40" t="str">
        <f>IF($K947="","",IFERROR(VLOOKUP($K947,Grinders!$A$4:$N$998,12,FALSE)*100,""))</f>
        <v/>
      </c>
      <c r="AE947" s="40">
        <f>IFERROR(IFS(
    OR($C947="", $K947=""), 0,
    $F947=0, 0,
    $D947&lt;&gt;"Open", 0,
    COUNTIFS(GrinderServices!$B$4:$B$998, $K947, GrinderServices!$C$4:$C$998, $E947, GrinderServices!$E$4:$E$998, "Y")=0, 0,
    $X947&lt;Config!$B$16, 0,
    Config!$B$18=1, IF($O947&gt;=N947, 0, 1),
    TRUE, 1
), "")
</f>
        <v>0</v>
      </c>
      <c r="AF947" s="40" t="str">
        <f>IFERROR(IF($AE947=0,"",((Config!$B$6*$Y947 + Config!$B$7*$U947 + Config!$B$8*$Z947 + Config!$B$9*$AA947 + Config!$B$10*$AB947 + Config!$B$11*$AC947 - Config!$B$12*$AD947)/Config!$B$13)+$AK947+$AL947),"")</f>
        <v/>
      </c>
      <c r="AG947" s="40" t="str">
        <f t="shared" si="6"/>
        <v/>
      </c>
      <c r="AH947" s="40" t="str">
        <f t="shared" si="7"/>
        <v/>
      </c>
      <c r="AI947" s="40" t="str">
        <f t="shared" si="8"/>
        <v/>
      </c>
      <c r="AJ947" s="40" t="str">
        <f>IF($K947="","",COUNTIF(Assignments!$B$6:$B$1000,$K947))</f>
        <v/>
      </c>
      <c r="AK947" s="40" t="str">
        <f>IF($K947="","",IF(AND($AJ947=0,$O947&lt;$N947),Config!$B$43,0))</f>
        <v/>
      </c>
      <c r="AL947" s="40" t="str">
        <f>IF($K947="","",IF(AND($M947="Elite",$G947&gt;=Config!$B$41,$O947&lt;$N947),Config!$B$42,0))</f>
        <v/>
      </c>
      <c r="AM947" s="22"/>
    </row>
    <row r="948" ht="15.75" customHeight="1">
      <c r="A948" s="40" t="str">
        <f t="shared" si="1"/>
        <v/>
      </c>
      <c r="B948" s="40" t="str">
        <f>IF(Bids!$A947="","",Bids!$A947)</f>
        <v/>
      </c>
      <c r="C948" s="40" t="str">
        <f>IF(Bids!$B947="","",Bids!$B947)</f>
        <v/>
      </c>
      <c r="D948" s="40" t="str">
        <f>IF($C948="","",IFERROR(VLOOKUP($C948,Orders!$A$4:$J$998,9,FALSE),""))</f>
        <v/>
      </c>
      <c r="E948" s="40" t="str">
        <f>IF($C948="","",IFERROR(VLOOKUP($C948,Orders!$A$4:$J$998,3,FALSE),""))</f>
        <v/>
      </c>
      <c r="F948" s="40">
        <f t="shared" si="2"/>
        <v>1</v>
      </c>
      <c r="G948" s="40" t="str">
        <f>IF($C948="","",IFERROR(VLOOKUP($C948,Orders!$A$4:$J$998,4,FALSE),""))</f>
        <v/>
      </c>
      <c r="H948" s="40" t="str">
        <f>IF($C948="","",IFERROR(VLOOKUP($C948,Orders!$A$4:$J$998,5,FALSE),""))</f>
        <v/>
      </c>
      <c r="I948" s="40" t="str">
        <f>IF($C948="","",IFERROR(VLOOKUP($C948,Orders!$A$4:$J$998,6,FALSE),""))</f>
        <v/>
      </c>
      <c r="J948" s="40" t="str">
        <f>IF($C948="","",IFERROR(VLOOKUP($C948,Orders!$A$4:$J$998,7,FALSE),""))</f>
        <v/>
      </c>
      <c r="K948" s="40" t="str">
        <f>IF(Bids!$C947="","",Bids!$C947)</f>
        <v/>
      </c>
      <c r="L948" s="40" t="str">
        <f>IF($K948="","",IFERROR(VLOOKUP($K948,Grinders!$A$4:$N$998,2,FALSE),""))</f>
        <v/>
      </c>
      <c r="M948" s="40" t="str">
        <f>IF($K948="","",IFERROR(VLOOKUP($K948,Grinders!$A$4:$N$998,3,FALSE),""))</f>
        <v/>
      </c>
      <c r="N948" s="40" t="str">
        <f>IF($K948="","",IFERROR(VLOOKUP($K948,Grinders!$A$4:$N$998,4,FALSE),""))</f>
        <v/>
      </c>
      <c r="O948" s="40" t="str">
        <f>IF($K948="","",IFERROR(VLOOKUP($K948,Grinders!$A$4:$N$998,5,FALSE),""))</f>
        <v/>
      </c>
      <c r="P948" s="40" t="str">
        <f>IF($K948="","",IF($C$4="",0,COUNTIFS(Assignments!$B$6:$B$1000,$K948,Assignments!$F$6:$F$1000,$C$4,Assignments!$E$6:$E$1000,"Active")))</f>
        <v/>
      </c>
      <c r="Q948" s="40" t="str">
        <f t="shared" si="3"/>
        <v/>
      </c>
      <c r="R948" s="40" t="str">
        <f t="shared" si="4"/>
        <v/>
      </c>
      <c r="S948" s="40" t="str">
        <f>IF($K948="","",IF($C$4="",0,COUNTIFS(Assignments!$B$6:$B$1000,$K948,Assignments!$F$6:$F$1000,$C$4,Assignments!$D$6:$D$1000,"&gt;="&amp;Config!$B$3-7,Assignments!$D$6:$D$1000,"&lt;="&amp;Config!$B$3)))</f>
        <v/>
      </c>
      <c r="T948" s="40" t="str">
        <f>IF($K948="","",IFERROR(VLOOKUP($K948,Grinders!$A$4:$N$998,8,FALSE),""))</f>
        <v/>
      </c>
      <c r="U948" s="40" t="str">
        <f>IFERROR(IF($K948="","",IF($M948="Elite",MAX(50,MIN(100,Config!$B$27*MAX(0,MIN(100,(1-IF($R948="",0,$R948))*100)) + Config!$B$28*MAX(0,MIN(100,(1-MIN(1,IF(Config!$B$30=0,1,$S948/Config!$B$30)))*100)) + Config!$B$29*MAX(0,MIN(100,MIN(1,IF($T948="",0,$T948)/Config!$B$23)*100)))),MIN(100,Config!$B$27*MAX(0,MIN(100,(1-IF($R948="",0,$R948))*100)) + Config!$B$28*MAX(0,MIN(100,(1-MIN(1,IF(Config!$B$30=0,1,$S948/Config!$B$30)))*100)) + Config!$B$29*MAX(0,MIN(100,MIN(1,IF($T948="",0,$T948)/Config!$B$23)*100))))),"")
</f>
        <v/>
      </c>
      <c r="V948" s="40" t="str">
        <f>IF(Bids!$D947="","",Bids!$D947)</f>
        <v/>
      </c>
      <c r="W948" s="40" t="str">
        <f>IF(Bids!$F947="","",Bids!$F947)</f>
        <v/>
      </c>
      <c r="X948" s="40" t="str">
        <f t="shared" si="5"/>
        <v/>
      </c>
      <c r="Y948" s="40" t="str">
        <f>IF($X948="","",IF(Config!$B$17=Config!$B$16,IF($X948&gt;=Config!$B$17,100,0),MAX(0,MIN(100,($X948-Config!$B$16)/(Config!$B$17-Config!$B$16)*100))))</f>
        <v/>
      </c>
      <c r="Z948" s="40">
        <f>IF($M948="Elite",Config!$B$21,0)</f>
        <v>0</v>
      </c>
      <c r="AA948" s="40" t="str">
        <f>IFERROR(IF(OR($W948="",$H948=""),"",IF($W948&gt;$H948,
  MAX(0, 60-(($W948-$H948)*24/Config!$B$19)*60),
  MIN(100, 60+(($H948-$W948)*24/Config!$B$20)*40)
)),"")
</f>
        <v/>
      </c>
      <c r="AB948" s="40" t="str">
        <f>IF($K948="","",IFERROR(VLOOKUP($K948,Grinders!$A$4:$N$998,10,FALSE)/5*100,""))</f>
        <v/>
      </c>
      <c r="AC948" s="40" t="str">
        <f>IF($K948="","",IFERROR(VLOOKUP($K948,Grinders!$A$4:$N$998,11,FALSE)*100,""))</f>
        <v/>
      </c>
      <c r="AD948" s="40" t="str">
        <f>IF($K948="","",IFERROR(VLOOKUP($K948,Grinders!$A$4:$N$998,12,FALSE)*100,""))</f>
        <v/>
      </c>
      <c r="AE948" s="40">
        <f>IFERROR(IFS(
    OR($C948="", $K948=""), 0,
    $F948=0, 0,
    $D948&lt;&gt;"Open", 0,
    COUNTIFS(GrinderServices!$B$4:$B$998, $K948, GrinderServices!$C$4:$C$998, $E948, GrinderServices!$E$4:$E$998, "Y")=0, 0,
    $X948&lt;Config!$B$16, 0,
    Config!$B$18=1, IF($O948&gt;=N948, 0, 1),
    TRUE, 1
), "")
</f>
        <v>0</v>
      </c>
      <c r="AF948" s="40" t="str">
        <f>IFERROR(IF($AE948=0,"",((Config!$B$6*$Y948 + Config!$B$7*$U948 + Config!$B$8*$Z948 + Config!$B$9*$AA948 + Config!$B$10*$AB948 + Config!$B$11*$AC948 - Config!$B$12*$AD948)/Config!$B$13)+$AK948+$AL948),"")</f>
        <v/>
      </c>
      <c r="AG948" s="40" t="str">
        <f t="shared" si="6"/>
        <v/>
      </c>
      <c r="AH948" s="40" t="str">
        <f t="shared" si="7"/>
        <v/>
      </c>
      <c r="AI948" s="40" t="str">
        <f t="shared" si="8"/>
        <v/>
      </c>
      <c r="AJ948" s="40" t="str">
        <f>IF($K948="","",COUNTIF(Assignments!$B$6:$B$1000,$K948))</f>
        <v/>
      </c>
      <c r="AK948" s="40" t="str">
        <f>IF($K948="","",IF(AND($AJ948=0,$O948&lt;$N948),Config!$B$43,0))</f>
        <v/>
      </c>
      <c r="AL948" s="40" t="str">
        <f>IF($K948="","",IF(AND($M948="Elite",$G948&gt;=Config!$B$41,$O948&lt;$N948),Config!$B$42,0))</f>
        <v/>
      </c>
      <c r="AM948" s="22"/>
    </row>
    <row r="949" ht="15.75" customHeight="1">
      <c r="A949" s="40" t="str">
        <f t="shared" si="1"/>
        <v/>
      </c>
      <c r="B949" s="40" t="str">
        <f>IF(Bids!$A948="","",Bids!$A948)</f>
        <v/>
      </c>
      <c r="C949" s="40" t="str">
        <f>IF(Bids!$B948="","",Bids!$B948)</f>
        <v/>
      </c>
      <c r="D949" s="40" t="str">
        <f>IF($C949="","",IFERROR(VLOOKUP($C949,Orders!$A$4:$J$998,9,FALSE),""))</f>
        <v/>
      </c>
      <c r="E949" s="40" t="str">
        <f>IF($C949="","",IFERROR(VLOOKUP($C949,Orders!$A$4:$J$998,3,FALSE),""))</f>
        <v/>
      </c>
      <c r="F949" s="40">
        <f t="shared" si="2"/>
        <v>1</v>
      </c>
      <c r="G949" s="40" t="str">
        <f>IF($C949="","",IFERROR(VLOOKUP($C949,Orders!$A$4:$J$998,4,FALSE),""))</f>
        <v/>
      </c>
      <c r="H949" s="40" t="str">
        <f>IF($C949="","",IFERROR(VLOOKUP($C949,Orders!$A$4:$J$998,5,FALSE),""))</f>
        <v/>
      </c>
      <c r="I949" s="40" t="str">
        <f>IF($C949="","",IFERROR(VLOOKUP($C949,Orders!$A$4:$J$998,6,FALSE),""))</f>
        <v/>
      </c>
      <c r="J949" s="40" t="str">
        <f>IF($C949="","",IFERROR(VLOOKUP($C949,Orders!$A$4:$J$998,7,FALSE),""))</f>
        <v/>
      </c>
      <c r="K949" s="40" t="str">
        <f>IF(Bids!$C948="","",Bids!$C948)</f>
        <v/>
      </c>
      <c r="L949" s="40" t="str">
        <f>IF($K949="","",IFERROR(VLOOKUP($K949,Grinders!$A$4:$N$998,2,FALSE),""))</f>
        <v/>
      </c>
      <c r="M949" s="40" t="str">
        <f>IF($K949="","",IFERROR(VLOOKUP($K949,Grinders!$A$4:$N$998,3,FALSE),""))</f>
        <v/>
      </c>
      <c r="N949" s="40" t="str">
        <f>IF($K949="","",IFERROR(VLOOKUP($K949,Grinders!$A$4:$N$998,4,FALSE),""))</f>
        <v/>
      </c>
      <c r="O949" s="40" t="str">
        <f>IF($K949="","",IFERROR(VLOOKUP($K949,Grinders!$A$4:$N$998,5,FALSE),""))</f>
        <v/>
      </c>
      <c r="P949" s="40" t="str">
        <f>IF($K949="","",IF($C$4="",0,COUNTIFS(Assignments!$B$6:$B$1000,$K949,Assignments!$F$6:$F$1000,$C$4,Assignments!$E$6:$E$1000,"Active")))</f>
        <v/>
      </c>
      <c r="Q949" s="40" t="str">
        <f t="shared" si="3"/>
        <v/>
      </c>
      <c r="R949" s="40" t="str">
        <f t="shared" si="4"/>
        <v/>
      </c>
      <c r="S949" s="40" t="str">
        <f>IF($K949="","",IF($C$4="",0,COUNTIFS(Assignments!$B$6:$B$1000,$K949,Assignments!$F$6:$F$1000,$C$4,Assignments!$D$6:$D$1000,"&gt;="&amp;Config!$B$3-7,Assignments!$D$6:$D$1000,"&lt;="&amp;Config!$B$3)))</f>
        <v/>
      </c>
      <c r="T949" s="40" t="str">
        <f>IF($K949="","",IFERROR(VLOOKUP($K949,Grinders!$A$4:$N$998,8,FALSE),""))</f>
        <v/>
      </c>
      <c r="U949" s="40" t="str">
        <f>IFERROR(IF($K949="","",IF($M949="Elite",MAX(50,MIN(100,Config!$B$27*MAX(0,MIN(100,(1-IF($R949="",0,$R949))*100)) + Config!$B$28*MAX(0,MIN(100,(1-MIN(1,IF(Config!$B$30=0,1,$S949/Config!$B$30)))*100)) + Config!$B$29*MAX(0,MIN(100,MIN(1,IF($T949="",0,$T949)/Config!$B$23)*100)))),MIN(100,Config!$B$27*MAX(0,MIN(100,(1-IF($R949="",0,$R949))*100)) + Config!$B$28*MAX(0,MIN(100,(1-MIN(1,IF(Config!$B$30=0,1,$S949/Config!$B$30)))*100)) + Config!$B$29*MAX(0,MIN(100,MIN(1,IF($T949="",0,$T949)/Config!$B$23)*100))))),"")
</f>
        <v/>
      </c>
      <c r="V949" s="40" t="str">
        <f>IF(Bids!$D948="","",Bids!$D948)</f>
        <v/>
      </c>
      <c r="W949" s="40" t="str">
        <f>IF(Bids!$F948="","",Bids!$F948)</f>
        <v/>
      </c>
      <c r="X949" s="40" t="str">
        <f t="shared" si="5"/>
        <v/>
      </c>
      <c r="Y949" s="40" t="str">
        <f>IF($X949="","",IF(Config!$B$17=Config!$B$16,IF($X949&gt;=Config!$B$17,100,0),MAX(0,MIN(100,($X949-Config!$B$16)/(Config!$B$17-Config!$B$16)*100))))</f>
        <v/>
      </c>
      <c r="Z949" s="40">
        <f>IF($M949="Elite",Config!$B$21,0)</f>
        <v>0</v>
      </c>
      <c r="AA949" s="40" t="str">
        <f>IFERROR(IF(OR($W949="",$H949=""),"",IF($W949&gt;$H949,
  MAX(0, 60-(($W949-$H949)*24/Config!$B$19)*60),
  MIN(100, 60+(($H949-$W949)*24/Config!$B$20)*40)
)),"")
</f>
        <v/>
      </c>
      <c r="AB949" s="40" t="str">
        <f>IF($K949="","",IFERROR(VLOOKUP($K949,Grinders!$A$4:$N$998,10,FALSE)/5*100,""))</f>
        <v/>
      </c>
      <c r="AC949" s="40" t="str">
        <f>IF($K949="","",IFERROR(VLOOKUP($K949,Grinders!$A$4:$N$998,11,FALSE)*100,""))</f>
        <v/>
      </c>
      <c r="AD949" s="40" t="str">
        <f>IF($K949="","",IFERROR(VLOOKUP($K949,Grinders!$A$4:$N$998,12,FALSE)*100,""))</f>
        <v/>
      </c>
      <c r="AE949" s="40">
        <f>IFERROR(IFS(
    OR($C949="", $K949=""), 0,
    $F949=0, 0,
    $D949&lt;&gt;"Open", 0,
    COUNTIFS(GrinderServices!$B$4:$B$998, $K949, GrinderServices!$C$4:$C$998, $E949, GrinderServices!$E$4:$E$998, "Y")=0, 0,
    $X949&lt;Config!$B$16, 0,
    Config!$B$18=1, IF($O949&gt;=N949, 0, 1),
    TRUE, 1
), "")
</f>
        <v>0</v>
      </c>
      <c r="AF949" s="40" t="str">
        <f>IFERROR(IF($AE949=0,"",((Config!$B$6*$Y949 + Config!$B$7*$U949 + Config!$B$8*$Z949 + Config!$B$9*$AA949 + Config!$B$10*$AB949 + Config!$B$11*$AC949 - Config!$B$12*$AD949)/Config!$B$13)+$AK949+$AL949),"")</f>
        <v/>
      </c>
      <c r="AG949" s="40" t="str">
        <f t="shared" si="6"/>
        <v/>
      </c>
      <c r="AH949" s="40" t="str">
        <f t="shared" si="7"/>
        <v/>
      </c>
      <c r="AI949" s="40" t="str">
        <f t="shared" si="8"/>
        <v/>
      </c>
      <c r="AJ949" s="40" t="str">
        <f>IF($K949="","",COUNTIF(Assignments!$B$6:$B$1000,$K949))</f>
        <v/>
      </c>
      <c r="AK949" s="40" t="str">
        <f>IF($K949="","",IF(AND($AJ949=0,$O949&lt;$N949),Config!$B$43,0))</f>
        <v/>
      </c>
      <c r="AL949" s="40" t="str">
        <f>IF($K949="","",IF(AND($M949="Elite",$G949&gt;=Config!$B$41,$O949&lt;$N949),Config!$B$42,0))</f>
        <v/>
      </c>
      <c r="AM949" s="22"/>
    </row>
    <row r="950" ht="15.75" customHeight="1">
      <c r="A950" s="40" t="str">
        <f t="shared" si="1"/>
        <v/>
      </c>
      <c r="B950" s="40" t="str">
        <f>IF(Bids!$A949="","",Bids!$A949)</f>
        <v/>
      </c>
      <c r="C950" s="40" t="str">
        <f>IF(Bids!$B949="","",Bids!$B949)</f>
        <v/>
      </c>
      <c r="D950" s="40" t="str">
        <f>IF($C950="","",IFERROR(VLOOKUP($C950,Orders!$A$4:$J$998,9,FALSE),""))</f>
        <v/>
      </c>
      <c r="E950" s="40" t="str">
        <f>IF($C950="","",IFERROR(VLOOKUP($C950,Orders!$A$4:$J$998,3,FALSE),""))</f>
        <v/>
      </c>
      <c r="F950" s="40">
        <f t="shared" si="2"/>
        <v>1</v>
      </c>
      <c r="G950" s="40" t="str">
        <f>IF($C950="","",IFERROR(VLOOKUP($C950,Orders!$A$4:$J$998,4,FALSE),""))</f>
        <v/>
      </c>
      <c r="H950" s="40" t="str">
        <f>IF($C950="","",IFERROR(VLOOKUP($C950,Orders!$A$4:$J$998,5,FALSE),""))</f>
        <v/>
      </c>
      <c r="I950" s="40" t="str">
        <f>IF($C950="","",IFERROR(VLOOKUP($C950,Orders!$A$4:$J$998,6,FALSE),""))</f>
        <v/>
      </c>
      <c r="J950" s="40" t="str">
        <f>IF($C950="","",IFERROR(VLOOKUP($C950,Orders!$A$4:$J$998,7,FALSE),""))</f>
        <v/>
      </c>
      <c r="K950" s="40" t="str">
        <f>IF(Bids!$C949="","",Bids!$C949)</f>
        <v/>
      </c>
      <c r="L950" s="40" t="str">
        <f>IF($K950="","",IFERROR(VLOOKUP($K950,Grinders!$A$4:$N$998,2,FALSE),""))</f>
        <v/>
      </c>
      <c r="M950" s="40" t="str">
        <f>IF($K950="","",IFERROR(VLOOKUP($K950,Grinders!$A$4:$N$998,3,FALSE),""))</f>
        <v/>
      </c>
      <c r="N950" s="40" t="str">
        <f>IF($K950="","",IFERROR(VLOOKUP($K950,Grinders!$A$4:$N$998,4,FALSE),""))</f>
        <v/>
      </c>
      <c r="O950" s="40" t="str">
        <f>IF($K950="","",IFERROR(VLOOKUP($K950,Grinders!$A$4:$N$998,5,FALSE),""))</f>
        <v/>
      </c>
      <c r="P950" s="40" t="str">
        <f>IF($K950="","",IF($C$4="",0,COUNTIFS(Assignments!$B$6:$B$1000,$K950,Assignments!$F$6:$F$1000,$C$4,Assignments!$E$6:$E$1000,"Active")))</f>
        <v/>
      </c>
      <c r="Q950" s="40" t="str">
        <f t="shared" si="3"/>
        <v/>
      </c>
      <c r="R950" s="40" t="str">
        <f t="shared" si="4"/>
        <v/>
      </c>
      <c r="S950" s="40" t="str">
        <f>IF($K950="","",IF($C$4="",0,COUNTIFS(Assignments!$B$6:$B$1000,$K950,Assignments!$F$6:$F$1000,$C$4,Assignments!$D$6:$D$1000,"&gt;="&amp;Config!$B$3-7,Assignments!$D$6:$D$1000,"&lt;="&amp;Config!$B$3)))</f>
        <v/>
      </c>
      <c r="T950" s="40" t="str">
        <f>IF($K950="","",IFERROR(VLOOKUP($K950,Grinders!$A$4:$N$998,8,FALSE),""))</f>
        <v/>
      </c>
      <c r="U950" s="40" t="str">
        <f>IFERROR(IF($K950="","",IF($M950="Elite",MAX(50,MIN(100,Config!$B$27*MAX(0,MIN(100,(1-IF($R950="",0,$R950))*100)) + Config!$B$28*MAX(0,MIN(100,(1-MIN(1,IF(Config!$B$30=0,1,$S950/Config!$B$30)))*100)) + Config!$B$29*MAX(0,MIN(100,MIN(1,IF($T950="",0,$T950)/Config!$B$23)*100)))),MIN(100,Config!$B$27*MAX(0,MIN(100,(1-IF($R950="",0,$R950))*100)) + Config!$B$28*MAX(0,MIN(100,(1-MIN(1,IF(Config!$B$30=0,1,$S950/Config!$B$30)))*100)) + Config!$B$29*MAX(0,MIN(100,MIN(1,IF($T950="",0,$T950)/Config!$B$23)*100))))),"")
</f>
        <v/>
      </c>
      <c r="V950" s="40" t="str">
        <f>IF(Bids!$D949="","",Bids!$D949)</f>
        <v/>
      </c>
      <c r="W950" s="40" t="str">
        <f>IF(Bids!$F949="","",Bids!$F949)</f>
        <v/>
      </c>
      <c r="X950" s="40" t="str">
        <f t="shared" si="5"/>
        <v/>
      </c>
      <c r="Y950" s="40" t="str">
        <f>IF($X950="","",IF(Config!$B$17=Config!$B$16,IF($X950&gt;=Config!$B$17,100,0),MAX(0,MIN(100,($X950-Config!$B$16)/(Config!$B$17-Config!$B$16)*100))))</f>
        <v/>
      </c>
      <c r="Z950" s="40">
        <f>IF($M950="Elite",Config!$B$21,0)</f>
        <v>0</v>
      </c>
      <c r="AA950" s="40" t="str">
        <f>IFERROR(IF(OR($W950="",$H950=""),"",IF($W950&gt;$H950,
  MAX(0, 60-(($W950-$H950)*24/Config!$B$19)*60),
  MIN(100, 60+(($H950-$W950)*24/Config!$B$20)*40)
)),"")
</f>
        <v/>
      </c>
      <c r="AB950" s="40" t="str">
        <f>IF($K950="","",IFERROR(VLOOKUP($K950,Grinders!$A$4:$N$998,10,FALSE)/5*100,""))</f>
        <v/>
      </c>
      <c r="AC950" s="40" t="str">
        <f>IF($K950="","",IFERROR(VLOOKUP($K950,Grinders!$A$4:$N$998,11,FALSE)*100,""))</f>
        <v/>
      </c>
      <c r="AD950" s="40" t="str">
        <f>IF($K950="","",IFERROR(VLOOKUP($K950,Grinders!$A$4:$N$998,12,FALSE)*100,""))</f>
        <v/>
      </c>
      <c r="AE950" s="40">
        <f>IFERROR(IFS(
    OR($C950="", $K950=""), 0,
    $F950=0, 0,
    $D950&lt;&gt;"Open", 0,
    COUNTIFS(GrinderServices!$B$4:$B$998, $K950, GrinderServices!$C$4:$C$998, $E950, GrinderServices!$E$4:$E$998, "Y")=0, 0,
    $X950&lt;Config!$B$16, 0,
    Config!$B$18=1, IF($O950&gt;=N950, 0, 1),
    TRUE, 1
), "")
</f>
        <v>0</v>
      </c>
      <c r="AF950" s="40" t="str">
        <f>IFERROR(IF($AE950=0,"",((Config!$B$6*$Y950 + Config!$B$7*$U950 + Config!$B$8*$Z950 + Config!$B$9*$AA950 + Config!$B$10*$AB950 + Config!$B$11*$AC950 - Config!$B$12*$AD950)/Config!$B$13)+$AK950+$AL950),"")</f>
        <v/>
      </c>
      <c r="AG950" s="40" t="str">
        <f t="shared" si="6"/>
        <v/>
      </c>
      <c r="AH950" s="40" t="str">
        <f t="shared" si="7"/>
        <v/>
      </c>
      <c r="AI950" s="40" t="str">
        <f t="shared" si="8"/>
        <v/>
      </c>
      <c r="AJ950" s="40" t="str">
        <f>IF($K950="","",COUNTIF(Assignments!$B$6:$B$1000,$K950))</f>
        <v/>
      </c>
      <c r="AK950" s="40" t="str">
        <f>IF($K950="","",IF(AND($AJ950=0,$O950&lt;$N950),Config!$B$43,0))</f>
        <v/>
      </c>
      <c r="AL950" s="40" t="str">
        <f>IF($K950="","",IF(AND($M950="Elite",$G950&gt;=Config!$B$41,$O950&lt;$N950),Config!$B$42,0))</f>
        <v/>
      </c>
      <c r="AM950" s="22"/>
    </row>
    <row r="951" ht="15.75" customHeight="1">
      <c r="A951" s="40" t="str">
        <f t="shared" si="1"/>
        <v/>
      </c>
      <c r="B951" s="40" t="str">
        <f>IF(Bids!$A950="","",Bids!$A950)</f>
        <v/>
      </c>
      <c r="C951" s="40" t="str">
        <f>IF(Bids!$B950="","",Bids!$B950)</f>
        <v/>
      </c>
      <c r="D951" s="40" t="str">
        <f>IF($C951="","",IFERROR(VLOOKUP($C951,Orders!$A$4:$J$998,9,FALSE),""))</f>
        <v/>
      </c>
      <c r="E951" s="40" t="str">
        <f>IF($C951="","",IFERROR(VLOOKUP($C951,Orders!$A$4:$J$998,3,FALSE),""))</f>
        <v/>
      </c>
      <c r="F951" s="40">
        <f t="shared" si="2"/>
        <v>1</v>
      </c>
      <c r="G951" s="40" t="str">
        <f>IF($C951="","",IFERROR(VLOOKUP($C951,Orders!$A$4:$J$998,4,FALSE),""))</f>
        <v/>
      </c>
      <c r="H951" s="40" t="str">
        <f>IF($C951="","",IFERROR(VLOOKUP($C951,Orders!$A$4:$J$998,5,FALSE),""))</f>
        <v/>
      </c>
      <c r="I951" s="40" t="str">
        <f>IF($C951="","",IFERROR(VLOOKUP($C951,Orders!$A$4:$J$998,6,FALSE),""))</f>
        <v/>
      </c>
      <c r="J951" s="40" t="str">
        <f>IF($C951="","",IFERROR(VLOOKUP($C951,Orders!$A$4:$J$998,7,FALSE),""))</f>
        <v/>
      </c>
      <c r="K951" s="40" t="str">
        <f>IF(Bids!$C950="","",Bids!$C950)</f>
        <v/>
      </c>
      <c r="L951" s="40" t="str">
        <f>IF($K951="","",IFERROR(VLOOKUP($K951,Grinders!$A$4:$N$998,2,FALSE),""))</f>
        <v/>
      </c>
      <c r="M951" s="40" t="str">
        <f>IF($K951="","",IFERROR(VLOOKUP($K951,Grinders!$A$4:$N$998,3,FALSE),""))</f>
        <v/>
      </c>
      <c r="N951" s="40" t="str">
        <f>IF($K951="","",IFERROR(VLOOKUP($K951,Grinders!$A$4:$N$998,4,FALSE),""))</f>
        <v/>
      </c>
      <c r="O951" s="40" t="str">
        <f>IF($K951="","",IFERROR(VLOOKUP($K951,Grinders!$A$4:$N$998,5,FALSE),""))</f>
        <v/>
      </c>
      <c r="P951" s="40" t="str">
        <f>IF($K951="","",IF($C$4="",0,COUNTIFS(Assignments!$B$6:$B$1000,$K951,Assignments!$F$6:$F$1000,$C$4,Assignments!$E$6:$E$1000,"Active")))</f>
        <v/>
      </c>
      <c r="Q951" s="40" t="str">
        <f t="shared" si="3"/>
        <v/>
      </c>
      <c r="R951" s="40" t="str">
        <f t="shared" si="4"/>
        <v/>
      </c>
      <c r="S951" s="40" t="str">
        <f>IF($K951="","",IF($C$4="",0,COUNTIFS(Assignments!$B$6:$B$1000,$K951,Assignments!$F$6:$F$1000,$C$4,Assignments!$D$6:$D$1000,"&gt;="&amp;Config!$B$3-7,Assignments!$D$6:$D$1000,"&lt;="&amp;Config!$B$3)))</f>
        <v/>
      </c>
      <c r="T951" s="40" t="str">
        <f>IF($K951="","",IFERROR(VLOOKUP($K951,Grinders!$A$4:$N$998,8,FALSE),""))</f>
        <v/>
      </c>
      <c r="U951" s="40" t="str">
        <f>IFERROR(IF($K951="","",IF($M951="Elite",MAX(50,MIN(100,Config!$B$27*MAX(0,MIN(100,(1-IF($R951="",0,$R951))*100)) + Config!$B$28*MAX(0,MIN(100,(1-MIN(1,IF(Config!$B$30=0,1,$S951/Config!$B$30)))*100)) + Config!$B$29*MAX(0,MIN(100,MIN(1,IF($T951="",0,$T951)/Config!$B$23)*100)))),MIN(100,Config!$B$27*MAX(0,MIN(100,(1-IF($R951="",0,$R951))*100)) + Config!$B$28*MAX(0,MIN(100,(1-MIN(1,IF(Config!$B$30=0,1,$S951/Config!$B$30)))*100)) + Config!$B$29*MAX(0,MIN(100,MIN(1,IF($T951="",0,$T951)/Config!$B$23)*100))))),"")
</f>
        <v/>
      </c>
      <c r="V951" s="40" t="str">
        <f>IF(Bids!$D950="","",Bids!$D950)</f>
        <v/>
      </c>
      <c r="W951" s="40" t="str">
        <f>IF(Bids!$F950="","",Bids!$F950)</f>
        <v/>
      </c>
      <c r="X951" s="40" t="str">
        <f t="shared" si="5"/>
        <v/>
      </c>
      <c r="Y951" s="40" t="str">
        <f>IF($X951="","",IF(Config!$B$17=Config!$B$16,IF($X951&gt;=Config!$B$17,100,0),MAX(0,MIN(100,($X951-Config!$B$16)/(Config!$B$17-Config!$B$16)*100))))</f>
        <v/>
      </c>
      <c r="Z951" s="40">
        <f>IF($M951="Elite",Config!$B$21,0)</f>
        <v>0</v>
      </c>
      <c r="AA951" s="40" t="str">
        <f>IFERROR(IF(OR($W951="",$H951=""),"",IF($W951&gt;$H951,
  MAX(0, 60-(($W951-$H951)*24/Config!$B$19)*60),
  MIN(100, 60+(($H951-$W951)*24/Config!$B$20)*40)
)),"")
</f>
        <v/>
      </c>
      <c r="AB951" s="40" t="str">
        <f>IF($K951="","",IFERROR(VLOOKUP($K951,Grinders!$A$4:$N$998,10,FALSE)/5*100,""))</f>
        <v/>
      </c>
      <c r="AC951" s="40" t="str">
        <f>IF($K951="","",IFERROR(VLOOKUP($K951,Grinders!$A$4:$N$998,11,FALSE)*100,""))</f>
        <v/>
      </c>
      <c r="AD951" s="40" t="str">
        <f>IF($K951="","",IFERROR(VLOOKUP($K951,Grinders!$A$4:$N$998,12,FALSE)*100,""))</f>
        <v/>
      </c>
      <c r="AE951" s="40">
        <f>IFERROR(IFS(
    OR($C951="", $K951=""), 0,
    $F951=0, 0,
    $D951&lt;&gt;"Open", 0,
    COUNTIFS(GrinderServices!$B$4:$B$998, $K951, GrinderServices!$C$4:$C$998, $E951, GrinderServices!$E$4:$E$998, "Y")=0, 0,
    $X951&lt;Config!$B$16, 0,
    Config!$B$18=1, IF($O951&gt;=N951, 0, 1),
    TRUE, 1
), "")
</f>
        <v>0</v>
      </c>
      <c r="AF951" s="40" t="str">
        <f>IFERROR(IF($AE951=0,"",((Config!$B$6*$Y951 + Config!$B$7*$U951 + Config!$B$8*$Z951 + Config!$B$9*$AA951 + Config!$B$10*$AB951 + Config!$B$11*$AC951 - Config!$B$12*$AD951)/Config!$B$13)+$AK951+$AL951),"")</f>
        <v/>
      </c>
      <c r="AG951" s="40" t="str">
        <f t="shared" si="6"/>
        <v/>
      </c>
      <c r="AH951" s="40" t="str">
        <f t="shared" si="7"/>
        <v/>
      </c>
      <c r="AI951" s="40" t="str">
        <f t="shared" si="8"/>
        <v/>
      </c>
      <c r="AJ951" s="40" t="str">
        <f>IF($K951="","",COUNTIF(Assignments!$B$6:$B$1000,$K951))</f>
        <v/>
      </c>
      <c r="AK951" s="40" t="str">
        <f>IF($K951="","",IF(AND($AJ951=0,$O951&lt;$N951),Config!$B$43,0))</f>
        <v/>
      </c>
      <c r="AL951" s="40" t="str">
        <f>IF($K951="","",IF(AND($M951="Elite",$G951&gt;=Config!$B$41,$O951&lt;$N951),Config!$B$42,0))</f>
        <v/>
      </c>
      <c r="AM951" s="22"/>
    </row>
    <row r="952" ht="15.75" customHeight="1">
      <c r="A952" s="40" t="str">
        <f t="shared" si="1"/>
        <v/>
      </c>
      <c r="B952" s="40" t="str">
        <f>IF(Bids!$A951="","",Bids!$A951)</f>
        <v/>
      </c>
      <c r="C952" s="40" t="str">
        <f>IF(Bids!$B951="","",Bids!$B951)</f>
        <v/>
      </c>
      <c r="D952" s="40" t="str">
        <f>IF($C952="","",IFERROR(VLOOKUP($C952,Orders!$A$4:$J$998,9,FALSE),""))</f>
        <v/>
      </c>
      <c r="E952" s="40" t="str">
        <f>IF($C952="","",IFERROR(VLOOKUP($C952,Orders!$A$4:$J$998,3,FALSE),""))</f>
        <v/>
      </c>
      <c r="F952" s="40">
        <f t="shared" si="2"/>
        <v>1</v>
      </c>
      <c r="G952" s="40" t="str">
        <f>IF($C952="","",IFERROR(VLOOKUP($C952,Orders!$A$4:$J$998,4,FALSE),""))</f>
        <v/>
      </c>
      <c r="H952" s="40" t="str">
        <f>IF($C952="","",IFERROR(VLOOKUP($C952,Orders!$A$4:$J$998,5,FALSE),""))</f>
        <v/>
      </c>
      <c r="I952" s="40" t="str">
        <f>IF($C952="","",IFERROR(VLOOKUP($C952,Orders!$A$4:$J$998,6,FALSE),""))</f>
        <v/>
      </c>
      <c r="J952" s="40" t="str">
        <f>IF($C952="","",IFERROR(VLOOKUP($C952,Orders!$A$4:$J$998,7,FALSE),""))</f>
        <v/>
      </c>
      <c r="K952" s="40" t="str">
        <f>IF(Bids!$C951="","",Bids!$C951)</f>
        <v/>
      </c>
      <c r="L952" s="40" t="str">
        <f>IF($K952="","",IFERROR(VLOOKUP($K952,Grinders!$A$4:$N$998,2,FALSE),""))</f>
        <v/>
      </c>
      <c r="M952" s="40" t="str">
        <f>IF($K952="","",IFERROR(VLOOKUP($K952,Grinders!$A$4:$N$998,3,FALSE),""))</f>
        <v/>
      </c>
      <c r="N952" s="40" t="str">
        <f>IF($K952="","",IFERROR(VLOOKUP($K952,Grinders!$A$4:$N$998,4,FALSE),""))</f>
        <v/>
      </c>
      <c r="O952" s="40" t="str">
        <f>IF($K952="","",IFERROR(VLOOKUP($K952,Grinders!$A$4:$N$998,5,FALSE),""))</f>
        <v/>
      </c>
      <c r="P952" s="40" t="str">
        <f>IF($K952="","",IF($C$4="",0,COUNTIFS(Assignments!$B$6:$B$1000,$K952,Assignments!$F$6:$F$1000,$C$4,Assignments!$E$6:$E$1000,"Active")))</f>
        <v/>
      </c>
      <c r="Q952" s="40" t="str">
        <f t="shared" si="3"/>
        <v/>
      </c>
      <c r="R952" s="40" t="str">
        <f t="shared" si="4"/>
        <v/>
      </c>
      <c r="S952" s="40" t="str">
        <f>IF($K952="","",IF($C$4="",0,COUNTIFS(Assignments!$B$6:$B$1000,$K952,Assignments!$F$6:$F$1000,$C$4,Assignments!$D$6:$D$1000,"&gt;="&amp;Config!$B$3-7,Assignments!$D$6:$D$1000,"&lt;="&amp;Config!$B$3)))</f>
        <v/>
      </c>
      <c r="T952" s="40" t="str">
        <f>IF($K952="","",IFERROR(VLOOKUP($K952,Grinders!$A$4:$N$998,8,FALSE),""))</f>
        <v/>
      </c>
      <c r="U952" s="40" t="str">
        <f>IFERROR(IF($K952="","",IF($M952="Elite",MAX(50,MIN(100,Config!$B$27*MAX(0,MIN(100,(1-IF($R952="",0,$R952))*100)) + Config!$B$28*MAX(0,MIN(100,(1-MIN(1,IF(Config!$B$30=0,1,$S952/Config!$B$30)))*100)) + Config!$B$29*MAX(0,MIN(100,MIN(1,IF($T952="",0,$T952)/Config!$B$23)*100)))),MIN(100,Config!$B$27*MAX(0,MIN(100,(1-IF($R952="",0,$R952))*100)) + Config!$B$28*MAX(0,MIN(100,(1-MIN(1,IF(Config!$B$30=0,1,$S952/Config!$B$30)))*100)) + Config!$B$29*MAX(0,MIN(100,MIN(1,IF($T952="",0,$T952)/Config!$B$23)*100))))),"")
</f>
        <v/>
      </c>
      <c r="V952" s="40" t="str">
        <f>IF(Bids!$D951="","",Bids!$D951)</f>
        <v/>
      </c>
      <c r="W952" s="40" t="str">
        <f>IF(Bids!$F951="","",Bids!$F951)</f>
        <v/>
      </c>
      <c r="X952" s="40" t="str">
        <f t="shared" si="5"/>
        <v/>
      </c>
      <c r="Y952" s="40" t="str">
        <f>IF($X952="","",IF(Config!$B$17=Config!$B$16,IF($X952&gt;=Config!$B$17,100,0),MAX(0,MIN(100,($X952-Config!$B$16)/(Config!$B$17-Config!$B$16)*100))))</f>
        <v/>
      </c>
      <c r="Z952" s="40">
        <f>IF($M952="Elite",Config!$B$21,0)</f>
        <v>0</v>
      </c>
      <c r="AA952" s="40" t="str">
        <f>IFERROR(IF(OR($W952="",$H952=""),"",IF($W952&gt;$H952,
  MAX(0, 60-(($W952-$H952)*24/Config!$B$19)*60),
  MIN(100, 60+(($H952-$W952)*24/Config!$B$20)*40)
)),"")
</f>
        <v/>
      </c>
      <c r="AB952" s="40" t="str">
        <f>IF($K952="","",IFERROR(VLOOKUP($K952,Grinders!$A$4:$N$998,10,FALSE)/5*100,""))</f>
        <v/>
      </c>
      <c r="AC952" s="40" t="str">
        <f>IF($K952="","",IFERROR(VLOOKUP($K952,Grinders!$A$4:$N$998,11,FALSE)*100,""))</f>
        <v/>
      </c>
      <c r="AD952" s="40" t="str">
        <f>IF($K952="","",IFERROR(VLOOKUP($K952,Grinders!$A$4:$N$998,12,FALSE)*100,""))</f>
        <v/>
      </c>
      <c r="AE952" s="40">
        <f>IFERROR(IFS(
    OR($C952="", $K952=""), 0,
    $F952=0, 0,
    $D952&lt;&gt;"Open", 0,
    COUNTIFS(GrinderServices!$B$4:$B$998, $K952, GrinderServices!$C$4:$C$998, $E952, GrinderServices!$E$4:$E$998, "Y")=0, 0,
    $X952&lt;Config!$B$16, 0,
    Config!$B$18=1, IF($O952&gt;=N952, 0, 1),
    TRUE, 1
), "")
</f>
        <v>0</v>
      </c>
      <c r="AF952" s="40" t="str">
        <f>IFERROR(IF($AE952=0,"",((Config!$B$6*$Y952 + Config!$B$7*$U952 + Config!$B$8*$Z952 + Config!$B$9*$AA952 + Config!$B$10*$AB952 + Config!$B$11*$AC952 - Config!$B$12*$AD952)/Config!$B$13)+$AK952+$AL952),"")</f>
        <v/>
      </c>
      <c r="AG952" s="40" t="str">
        <f t="shared" si="6"/>
        <v/>
      </c>
      <c r="AH952" s="40" t="str">
        <f t="shared" si="7"/>
        <v/>
      </c>
      <c r="AI952" s="40" t="str">
        <f t="shared" si="8"/>
        <v/>
      </c>
      <c r="AJ952" s="40" t="str">
        <f>IF($K952="","",COUNTIF(Assignments!$B$6:$B$1000,$K952))</f>
        <v/>
      </c>
      <c r="AK952" s="40" t="str">
        <f>IF($K952="","",IF(AND($AJ952=0,$O952&lt;$N952),Config!$B$43,0))</f>
        <v/>
      </c>
      <c r="AL952" s="40" t="str">
        <f>IF($K952="","",IF(AND($M952="Elite",$G952&gt;=Config!$B$41,$O952&lt;$N952),Config!$B$42,0))</f>
        <v/>
      </c>
      <c r="AM952" s="22"/>
    </row>
    <row r="953" ht="15.75" customHeight="1">
      <c r="A953" s="40" t="str">
        <f t="shared" si="1"/>
        <v/>
      </c>
      <c r="B953" s="40" t="str">
        <f>IF(Bids!$A952="","",Bids!$A952)</f>
        <v/>
      </c>
      <c r="C953" s="40" t="str">
        <f>IF(Bids!$B952="","",Bids!$B952)</f>
        <v/>
      </c>
      <c r="D953" s="40" t="str">
        <f>IF($C953="","",IFERROR(VLOOKUP($C953,Orders!$A$4:$J$998,9,FALSE),""))</f>
        <v/>
      </c>
      <c r="E953" s="40" t="str">
        <f>IF($C953="","",IFERROR(VLOOKUP($C953,Orders!$A$4:$J$998,3,FALSE),""))</f>
        <v/>
      </c>
      <c r="F953" s="40">
        <f t="shared" si="2"/>
        <v>1</v>
      </c>
      <c r="G953" s="40" t="str">
        <f>IF($C953="","",IFERROR(VLOOKUP($C953,Orders!$A$4:$J$998,4,FALSE),""))</f>
        <v/>
      </c>
      <c r="H953" s="40" t="str">
        <f>IF($C953="","",IFERROR(VLOOKUP($C953,Orders!$A$4:$J$998,5,FALSE),""))</f>
        <v/>
      </c>
      <c r="I953" s="40" t="str">
        <f>IF($C953="","",IFERROR(VLOOKUP($C953,Orders!$A$4:$J$998,6,FALSE),""))</f>
        <v/>
      </c>
      <c r="J953" s="40" t="str">
        <f>IF($C953="","",IFERROR(VLOOKUP($C953,Orders!$A$4:$J$998,7,FALSE),""))</f>
        <v/>
      </c>
      <c r="K953" s="40" t="str">
        <f>IF(Bids!$C952="","",Bids!$C952)</f>
        <v/>
      </c>
      <c r="L953" s="40" t="str">
        <f>IF($K953="","",IFERROR(VLOOKUP($K953,Grinders!$A$4:$N$998,2,FALSE),""))</f>
        <v/>
      </c>
      <c r="M953" s="40" t="str">
        <f>IF($K953="","",IFERROR(VLOOKUP($K953,Grinders!$A$4:$N$998,3,FALSE),""))</f>
        <v/>
      </c>
      <c r="N953" s="40" t="str">
        <f>IF($K953="","",IFERROR(VLOOKUP($K953,Grinders!$A$4:$N$998,4,FALSE),""))</f>
        <v/>
      </c>
      <c r="O953" s="40" t="str">
        <f>IF($K953="","",IFERROR(VLOOKUP($K953,Grinders!$A$4:$N$998,5,FALSE),""))</f>
        <v/>
      </c>
      <c r="P953" s="40" t="str">
        <f>IF($K953="","",IF($C$4="",0,COUNTIFS(Assignments!$B$6:$B$1000,$K953,Assignments!$F$6:$F$1000,$C$4,Assignments!$E$6:$E$1000,"Active")))</f>
        <v/>
      </c>
      <c r="Q953" s="40" t="str">
        <f t="shared" si="3"/>
        <v/>
      </c>
      <c r="R953" s="40" t="str">
        <f t="shared" si="4"/>
        <v/>
      </c>
      <c r="S953" s="40" t="str">
        <f>IF($K953="","",IF($C$4="",0,COUNTIFS(Assignments!$B$6:$B$1000,$K953,Assignments!$F$6:$F$1000,$C$4,Assignments!$D$6:$D$1000,"&gt;="&amp;Config!$B$3-7,Assignments!$D$6:$D$1000,"&lt;="&amp;Config!$B$3)))</f>
        <v/>
      </c>
      <c r="T953" s="40" t="str">
        <f>IF($K953="","",IFERROR(VLOOKUP($K953,Grinders!$A$4:$N$998,8,FALSE),""))</f>
        <v/>
      </c>
      <c r="U953" s="40" t="str">
        <f>IFERROR(IF($K953="","",IF($M953="Elite",MAX(50,MIN(100,Config!$B$27*MAX(0,MIN(100,(1-IF($R953="",0,$R953))*100)) + Config!$B$28*MAX(0,MIN(100,(1-MIN(1,IF(Config!$B$30=0,1,$S953/Config!$B$30)))*100)) + Config!$B$29*MAX(0,MIN(100,MIN(1,IF($T953="",0,$T953)/Config!$B$23)*100)))),MIN(100,Config!$B$27*MAX(0,MIN(100,(1-IF($R953="",0,$R953))*100)) + Config!$B$28*MAX(0,MIN(100,(1-MIN(1,IF(Config!$B$30=0,1,$S953/Config!$B$30)))*100)) + Config!$B$29*MAX(0,MIN(100,MIN(1,IF($T953="",0,$T953)/Config!$B$23)*100))))),"")
</f>
        <v/>
      </c>
      <c r="V953" s="40" t="str">
        <f>IF(Bids!$D952="","",Bids!$D952)</f>
        <v/>
      </c>
      <c r="W953" s="40" t="str">
        <f>IF(Bids!$F952="","",Bids!$F952)</f>
        <v/>
      </c>
      <c r="X953" s="40" t="str">
        <f t="shared" si="5"/>
        <v/>
      </c>
      <c r="Y953" s="40" t="str">
        <f>IF($X953="","",IF(Config!$B$17=Config!$B$16,IF($X953&gt;=Config!$B$17,100,0),MAX(0,MIN(100,($X953-Config!$B$16)/(Config!$B$17-Config!$B$16)*100))))</f>
        <v/>
      </c>
      <c r="Z953" s="40">
        <f>IF($M953="Elite",Config!$B$21,0)</f>
        <v>0</v>
      </c>
      <c r="AA953" s="40" t="str">
        <f>IFERROR(IF(OR($W953="",$H953=""),"",IF($W953&gt;$H953,
  MAX(0, 60-(($W953-$H953)*24/Config!$B$19)*60),
  MIN(100, 60+(($H953-$W953)*24/Config!$B$20)*40)
)),"")
</f>
        <v/>
      </c>
      <c r="AB953" s="40" t="str">
        <f>IF($K953="","",IFERROR(VLOOKUP($K953,Grinders!$A$4:$N$998,10,FALSE)/5*100,""))</f>
        <v/>
      </c>
      <c r="AC953" s="40" t="str">
        <f>IF($K953="","",IFERROR(VLOOKUP($K953,Grinders!$A$4:$N$998,11,FALSE)*100,""))</f>
        <v/>
      </c>
      <c r="AD953" s="40" t="str">
        <f>IF($K953="","",IFERROR(VLOOKUP($K953,Grinders!$A$4:$N$998,12,FALSE)*100,""))</f>
        <v/>
      </c>
      <c r="AE953" s="40">
        <f>IFERROR(IFS(
    OR($C953="", $K953=""), 0,
    $F953=0, 0,
    $D953&lt;&gt;"Open", 0,
    COUNTIFS(GrinderServices!$B$4:$B$998, $K953, GrinderServices!$C$4:$C$998, $E953, GrinderServices!$E$4:$E$998, "Y")=0, 0,
    $X953&lt;Config!$B$16, 0,
    Config!$B$18=1, IF($O953&gt;=N953, 0, 1),
    TRUE, 1
), "")
</f>
        <v>0</v>
      </c>
      <c r="AF953" s="40" t="str">
        <f>IFERROR(IF($AE953=0,"",((Config!$B$6*$Y953 + Config!$B$7*$U953 + Config!$B$8*$Z953 + Config!$B$9*$AA953 + Config!$B$10*$AB953 + Config!$B$11*$AC953 - Config!$B$12*$AD953)/Config!$B$13)+$AK953+$AL953),"")</f>
        <v/>
      </c>
      <c r="AG953" s="40" t="str">
        <f t="shared" si="6"/>
        <v/>
      </c>
      <c r="AH953" s="40" t="str">
        <f t="shared" si="7"/>
        <v/>
      </c>
      <c r="AI953" s="40" t="str">
        <f t="shared" si="8"/>
        <v/>
      </c>
      <c r="AJ953" s="40" t="str">
        <f>IF($K953="","",COUNTIF(Assignments!$B$6:$B$1000,$K953))</f>
        <v/>
      </c>
      <c r="AK953" s="40" t="str">
        <f>IF($K953="","",IF(AND($AJ953=0,$O953&lt;$N953),Config!$B$43,0))</f>
        <v/>
      </c>
      <c r="AL953" s="40" t="str">
        <f>IF($K953="","",IF(AND($M953="Elite",$G953&gt;=Config!$B$41,$O953&lt;$N953),Config!$B$42,0))</f>
        <v/>
      </c>
      <c r="AM953" s="22"/>
    </row>
    <row r="954" ht="15.75" customHeight="1">
      <c r="A954" s="40" t="str">
        <f t="shared" si="1"/>
        <v/>
      </c>
      <c r="B954" s="40" t="str">
        <f>IF(Bids!$A953="","",Bids!$A953)</f>
        <v/>
      </c>
      <c r="C954" s="40" t="str">
        <f>IF(Bids!$B953="","",Bids!$B953)</f>
        <v/>
      </c>
      <c r="D954" s="40" t="str">
        <f>IF($C954="","",IFERROR(VLOOKUP($C954,Orders!$A$4:$J$998,9,FALSE),""))</f>
        <v/>
      </c>
      <c r="E954" s="40" t="str">
        <f>IF($C954="","",IFERROR(VLOOKUP($C954,Orders!$A$4:$J$998,3,FALSE),""))</f>
        <v/>
      </c>
      <c r="F954" s="40">
        <f t="shared" si="2"/>
        <v>1</v>
      </c>
      <c r="G954" s="40" t="str">
        <f>IF($C954="","",IFERROR(VLOOKUP($C954,Orders!$A$4:$J$998,4,FALSE),""))</f>
        <v/>
      </c>
      <c r="H954" s="40" t="str">
        <f>IF($C954="","",IFERROR(VLOOKUP($C954,Orders!$A$4:$J$998,5,FALSE),""))</f>
        <v/>
      </c>
      <c r="I954" s="40" t="str">
        <f>IF($C954="","",IFERROR(VLOOKUP($C954,Orders!$A$4:$J$998,6,FALSE),""))</f>
        <v/>
      </c>
      <c r="J954" s="40" t="str">
        <f>IF($C954="","",IFERROR(VLOOKUP($C954,Orders!$A$4:$J$998,7,FALSE),""))</f>
        <v/>
      </c>
      <c r="K954" s="40" t="str">
        <f>IF(Bids!$C953="","",Bids!$C953)</f>
        <v/>
      </c>
      <c r="L954" s="40" t="str">
        <f>IF($K954="","",IFERROR(VLOOKUP($K954,Grinders!$A$4:$N$998,2,FALSE),""))</f>
        <v/>
      </c>
      <c r="M954" s="40" t="str">
        <f>IF($K954="","",IFERROR(VLOOKUP($K954,Grinders!$A$4:$N$998,3,FALSE),""))</f>
        <v/>
      </c>
      <c r="N954" s="40" t="str">
        <f>IF($K954="","",IFERROR(VLOOKUP($K954,Grinders!$A$4:$N$998,4,FALSE),""))</f>
        <v/>
      </c>
      <c r="O954" s="40" t="str">
        <f>IF($K954="","",IFERROR(VLOOKUP($K954,Grinders!$A$4:$N$998,5,FALSE),""))</f>
        <v/>
      </c>
      <c r="P954" s="40" t="str">
        <f>IF($K954="","",IF($C$4="",0,COUNTIFS(Assignments!$B$6:$B$1000,$K954,Assignments!$F$6:$F$1000,$C$4,Assignments!$E$6:$E$1000,"Active")))</f>
        <v/>
      </c>
      <c r="Q954" s="40" t="str">
        <f t="shared" si="3"/>
        <v/>
      </c>
      <c r="R954" s="40" t="str">
        <f t="shared" si="4"/>
        <v/>
      </c>
      <c r="S954" s="40" t="str">
        <f>IF($K954="","",IF($C$4="",0,COUNTIFS(Assignments!$B$6:$B$1000,$K954,Assignments!$F$6:$F$1000,$C$4,Assignments!$D$6:$D$1000,"&gt;="&amp;Config!$B$3-7,Assignments!$D$6:$D$1000,"&lt;="&amp;Config!$B$3)))</f>
        <v/>
      </c>
      <c r="T954" s="40" t="str">
        <f>IF($K954="","",IFERROR(VLOOKUP($K954,Grinders!$A$4:$N$998,8,FALSE),""))</f>
        <v/>
      </c>
      <c r="U954" s="40" t="str">
        <f>IFERROR(IF($K954="","",IF($M954="Elite",MAX(50,MIN(100,Config!$B$27*MAX(0,MIN(100,(1-IF($R954="",0,$R954))*100)) + Config!$B$28*MAX(0,MIN(100,(1-MIN(1,IF(Config!$B$30=0,1,$S954/Config!$B$30)))*100)) + Config!$B$29*MAX(0,MIN(100,MIN(1,IF($T954="",0,$T954)/Config!$B$23)*100)))),MIN(100,Config!$B$27*MAX(0,MIN(100,(1-IF($R954="",0,$R954))*100)) + Config!$B$28*MAX(0,MIN(100,(1-MIN(1,IF(Config!$B$30=0,1,$S954/Config!$B$30)))*100)) + Config!$B$29*MAX(0,MIN(100,MIN(1,IF($T954="",0,$T954)/Config!$B$23)*100))))),"")
</f>
        <v/>
      </c>
      <c r="V954" s="40" t="str">
        <f>IF(Bids!$D953="","",Bids!$D953)</f>
        <v/>
      </c>
      <c r="W954" s="40" t="str">
        <f>IF(Bids!$F953="","",Bids!$F953)</f>
        <v/>
      </c>
      <c r="X954" s="40" t="str">
        <f t="shared" si="5"/>
        <v/>
      </c>
      <c r="Y954" s="40" t="str">
        <f>IF($X954="","",IF(Config!$B$17=Config!$B$16,IF($X954&gt;=Config!$B$17,100,0),MAX(0,MIN(100,($X954-Config!$B$16)/(Config!$B$17-Config!$B$16)*100))))</f>
        <v/>
      </c>
      <c r="Z954" s="40">
        <f>IF($M954="Elite",Config!$B$21,0)</f>
        <v>0</v>
      </c>
      <c r="AA954" s="40" t="str">
        <f>IFERROR(IF(OR($W954="",$H954=""),"",IF($W954&gt;$H954,
  MAX(0, 60-(($W954-$H954)*24/Config!$B$19)*60),
  MIN(100, 60+(($H954-$W954)*24/Config!$B$20)*40)
)),"")
</f>
        <v/>
      </c>
      <c r="AB954" s="40" t="str">
        <f>IF($K954="","",IFERROR(VLOOKUP($K954,Grinders!$A$4:$N$998,10,FALSE)/5*100,""))</f>
        <v/>
      </c>
      <c r="AC954" s="40" t="str">
        <f>IF($K954="","",IFERROR(VLOOKUP($K954,Grinders!$A$4:$N$998,11,FALSE)*100,""))</f>
        <v/>
      </c>
      <c r="AD954" s="40" t="str">
        <f>IF($K954="","",IFERROR(VLOOKUP($K954,Grinders!$A$4:$N$998,12,FALSE)*100,""))</f>
        <v/>
      </c>
      <c r="AE954" s="40">
        <f>IFERROR(IFS(
    OR($C954="", $K954=""), 0,
    $F954=0, 0,
    $D954&lt;&gt;"Open", 0,
    COUNTIFS(GrinderServices!$B$4:$B$998, $K954, GrinderServices!$C$4:$C$998, $E954, GrinderServices!$E$4:$E$998, "Y")=0, 0,
    $X954&lt;Config!$B$16, 0,
    Config!$B$18=1, IF($O954&gt;=N954, 0, 1),
    TRUE, 1
), "")
</f>
        <v>0</v>
      </c>
      <c r="AF954" s="40" t="str">
        <f>IFERROR(IF($AE954=0,"",((Config!$B$6*$Y954 + Config!$B$7*$U954 + Config!$B$8*$Z954 + Config!$B$9*$AA954 + Config!$B$10*$AB954 + Config!$B$11*$AC954 - Config!$B$12*$AD954)/Config!$B$13)+$AK954+$AL954),"")</f>
        <v/>
      </c>
      <c r="AG954" s="40" t="str">
        <f t="shared" si="6"/>
        <v/>
      </c>
      <c r="AH954" s="40" t="str">
        <f t="shared" si="7"/>
        <v/>
      </c>
      <c r="AI954" s="40" t="str">
        <f t="shared" si="8"/>
        <v/>
      </c>
      <c r="AJ954" s="40" t="str">
        <f>IF($K954="","",COUNTIF(Assignments!$B$6:$B$1000,$K954))</f>
        <v/>
      </c>
      <c r="AK954" s="40" t="str">
        <f>IF($K954="","",IF(AND($AJ954=0,$O954&lt;$N954),Config!$B$43,0))</f>
        <v/>
      </c>
      <c r="AL954" s="40" t="str">
        <f>IF($K954="","",IF(AND($M954="Elite",$G954&gt;=Config!$B$41,$O954&lt;$N954),Config!$B$42,0))</f>
        <v/>
      </c>
      <c r="AM954" s="22"/>
    </row>
    <row r="955" ht="15.75" customHeight="1">
      <c r="A955" s="40" t="str">
        <f t="shared" si="1"/>
        <v/>
      </c>
      <c r="B955" s="40" t="str">
        <f>IF(Bids!$A954="","",Bids!$A954)</f>
        <v/>
      </c>
      <c r="C955" s="40" t="str">
        <f>IF(Bids!$B954="","",Bids!$B954)</f>
        <v/>
      </c>
      <c r="D955" s="40" t="str">
        <f>IF($C955="","",IFERROR(VLOOKUP($C955,Orders!$A$4:$J$998,9,FALSE),""))</f>
        <v/>
      </c>
      <c r="E955" s="40" t="str">
        <f>IF($C955="","",IFERROR(VLOOKUP($C955,Orders!$A$4:$J$998,3,FALSE),""))</f>
        <v/>
      </c>
      <c r="F955" s="40">
        <f t="shared" si="2"/>
        <v>1</v>
      </c>
      <c r="G955" s="40" t="str">
        <f>IF($C955="","",IFERROR(VLOOKUP($C955,Orders!$A$4:$J$998,4,FALSE),""))</f>
        <v/>
      </c>
      <c r="H955" s="40" t="str">
        <f>IF($C955="","",IFERROR(VLOOKUP($C955,Orders!$A$4:$J$998,5,FALSE),""))</f>
        <v/>
      </c>
      <c r="I955" s="40" t="str">
        <f>IF($C955="","",IFERROR(VLOOKUP($C955,Orders!$A$4:$J$998,6,FALSE),""))</f>
        <v/>
      </c>
      <c r="J955" s="40" t="str">
        <f>IF($C955="","",IFERROR(VLOOKUP($C955,Orders!$A$4:$J$998,7,FALSE),""))</f>
        <v/>
      </c>
      <c r="K955" s="40" t="str">
        <f>IF(Bids!$C954="","",Bids!$C954)</f>
        <v/>
      </c>
      <c r="L955" s="40" t="str">
        <f>IF($K955="","",IFERROR(VLOOKUP($K955,Grinders!$A$4:$N$998,2,FALSE),""))</f>
        <v/>
      </c>
      <c r="M955" s="40" t="str">
        <f>IF($K955="","",IFERROR(VLOOKUP($K955,Grinders!$A$4:$N$998,3,FALSE),""))</f>
        <v/>
      </c>
      <c r="N955" s="40" t="str">
        <f>IF($K955="","",IFERROR(VLOOKUP($K955,Grinders!$A$4:$N$998,4,FALSE),""))</f>
        <v/>
      </c>
      <c r="O955" s="40" t="str">
        <f>IF($K955="","",IFERROR(VLOOKUP($K955,Grinders!$A$4:$N$998,5,FALSE),""))</f>
        <v/>
      </c>
      <c r="P955" s="40" t="str">
        <f>IF($K955="","",IF($C$4="",0,COUNTIFS(Assignments!$B$6:$B$1000,$K955,Assignments!$F$6:$F$1000,$C$4,Assignments!$E$6:$E$1000,"Active")))</f>
        <v/>
      </c>
      <c r="Q955" s="40" t="str">
        <f t="shared" si="3"/>
        <v/>
      </c>
      <c r="R955" s="40" t="str">
        <f t="shared" si="4"/>
        <v/>
      </c>
      <c r="S955" s="40" t="str">
        <f>IF($K955="","",IF($C$4="",0,COUNTIFS(Assignments!$B$6:$B$1000,$K955,Assignments!$F$6:$F$1000,$C$4,Assignments!$D$6:$D$1000,"&gt;="&amp;Config!$B$3-7,Assignments!$D$6:$D$1000,"&lt;="&amp;Config!$B$3)))</f>
        <v/>
      </c>
      <c r="T955" s="40" t="str">
        <f>IF($K955="","",IFERROR(VLOOKUP($K955,Grinders!$A$4:$N$998,8,FALSE),""))</f>
        <v/>
      </c>
      <c r="U955" s="40" t="str">
        <f>IFERROR(IF($K955="","",IF($M955="Elite",MAX(50,MIN(100,Config!$B$27*MAX(0,MIN(100,(1-IF($R955="",0,$R955))*100)) + Config!$B$28*MAX(0,MIN(100,(1-MIN(1,IF(Config!$B$30=0,1,$S955/Config!$B$30)))*100)) + Config!$B$29*MAX(0,MIN(100,MIN(1,IF($T955="",0,$T955)/Config!$B$23)*100)))),MIN(100,Config!$B$27*MAX(0,MIN(100,(1-IF($R955="",0,$R955))*100)) + Config!$B$28*MAX(0,MIN(100,(1-MIN(1,IF(Config!$B$30=0,1,$S955/Config!$B$30)))*100)) + Config!$B$29*MAX(0,MIN(100,MIN(1,IF($T955="",0,$T955)/Config!$B$23)*100))))),"")
</f>
        <v/>
      </c>
      <c r="V955" s="40" t="str">
        <f>IF(Bids!$D954="","",Bids!$D954)</f>
        <v/>
      </c>
      <c r="W955" s="40" t="str">
        <f>IF(Bids!$F954="","",Bids!$F954)</f>
        <v/>
      </c>
      <c r="X955" s="40" t="str">
        <f t="shared" si="5"/>
        <v/>
      </c>
      <c r="Y955" s="40" t="str">
        <f>IF($X955="","",IF(Config!$B$17=Config!$B$16,IF($X955&gt;=Config!$B$17,100,0),MAX(0,MIN(100,($X955-Config!$B$16)/(Config!$B$17-Config!$B$16)*100))))</f>
        <v/>
      </c>
      <c r="Z955" s="40">
        <f>IF($M955="Elite",Config!$B$21,0)</f>
        <v>0</v>
      </c>
      <c r="AA955" s="40" t="str">
        <f>IFERROR(IF(OR($W955="",$H955=""),"",IF($W955&gt;$H955,
  MAX(0, 60-(($W955-$H955)*24/Config!$B$19)*60),
  MIN(100, 60+(($H955-$W955)*24/Config!$B$20)*40)
)),"")
</f>
        <v/>
      </c>
      <c r="AB955" s="40" t="str">
        <f>IF($K955="","",IFERROR(VLOOKUP($K955,Grinders!$A$4:$N$998,10,FALSE)/5*100,""))</f>
        <v/>
      </c>
      <c r="AC955" s="40" t="str">
        <f>IF($K955="","",IFERROR(VLOOKUP($K955,Grinders!$A$4:$N$998,11,FALSE)*100,""))</f>
        <v/>
      </c>
      <c r="AD955" s="40" t="str">
        <f>IF($K955="","",IFERROR(VLOOKUP($K955,Grinders!$A$4:$N$998,12,FALSE)*100,""))</f>
        <v/>
      </c>
      <c r="AE955" s="40">
        <f>IFERROR(IFS(
    OR($C955="", $K955=""), 0,
    $F955=0, 0,
    $D955&lt;&gt;"Open", 0,
    COUNTIFS(GrinderServices!$B$4:$B$998, $K955, GrinderServices!$C$4:$C$998, $E955, GrinderServices!$E$4:$E$998, "Y")=0, 0,
    $X955&lt;Config!$B$16, 0,
    Config!$B$18=1, IF($O955&gt;=N955, 0, 1),
    TRUE, 1
), "")
</f>
        <v>0</v>
      </c>
      <c r="AF955" s="40" t="str">
        <f>IFERROR(IF($AE955=0,"",((Config!$B$6*$Y955 + Config!$B$7*$U955 + Config!$B$8*$Z955 + Config!$B$9*$AA955 + Config!$B$10*$AB955 + Config!$B$11*$AC955 - Config!$B$12*$AD955)/Config!$B$13)+$AK955+$AL955),"")</f>
        <v/>
      </c>
      <c r="AG955" s="40" t="str">
        <f t="shared" si="6"/>
        <v/>
      </c>
      <c r="AH955" s="40" t="str">
        <f t="shared" si="7"/>
        <v/>
      </c>
      <c r="AI955" s="40" t="str">
        <f t="shared" si="8"/>
        <v/>
      </c>
      <c r="AJ955" s="40" t="str">
        <f>IF($K955="","",COUNTIF(Assignments!$B$6:$B$1000,$K955))</f>
        <v/>
      </c>
      <c r="AK955" s="40" t="str">
        <f>IF($K955="","",IF(AND($AJ955=0,$O955&lt;$N955),Config!$B$43,0))</f>
        <v/>
      </c>
      <c r="AL955" s="40" t="str">
        <f>IF($K955="","",IF(AND($M955="Elite",$G955&gt;=Config!$B$41,$O955&lt;$N955),Config!$B$42,0))</f>
        <v/>
      </c>
      <c r="AM955" s="22"/>
    </row>
    <row r="956" ht="15.75" customHeight="1">
      <c r="A956" s="40" t="str">
        <f t="shared" si="1"/>
        <v/>
      </c>
      <c r="B956" s="40" t="str">
        <f>IF(Bids!$A955="","",Bids!$A955)</f>
        <v/>
      </c>
      <c r="C956" s="40" t="str">
        <f>IF(Bids!$B955="","",Bids!$B955)</f>
        <v/>
      </c>
      <c r="D956" s="40" t="str">
        <f>IF($C956="","",IFERROR(VLOOKUP($C956,Orders!$A$4:$J$998,9,FALSE),""))</f>
        <v/>
      </c>
      <c r="E956" s="40" t="str">
        <f>IF($C956="","",IFERROR(VLOOKUP($C956,Orders!$A$4:$J$998,3,FALSE),""))</f>
        <v/>
      </c>
      <c r="F956" s="40">
        <f t="shared" si="2"/>
        <v>1</v>
      </c>
      <c r="G956" s="40" t="str">
        <f>IF($C956="","",IFERROR(VLOOKUP($C956,Orders!$A$4:$J$998,4,FALSE),""))</f>
        <v/>
      </c>
      <c r="H956" s="40" t="str">
        <f>IF($C956="","",IFERROR(VLOOKUP($C956,Orders!$A$4:$J$998,5,FALSE),""))</f>
        <v/>
      </c>
      <c r="I956" s="40" t="str">
        <f>IF($C956="","",IFERROR(VLOOKUP($C956,Orders!$A$4:$J$998,6,FALSE),""))</f>
        <v/>
      </c>
      <c r="J956" s="40" t="str">
        <f>IF($C956="","",IFERROR(VLOOKUP($C956,Orders!$A$4:$J$998,7,FALSE),""))</f>
        <v/>
      </c>
      <c r="K956" s="40" t="str">
        <f>IF(Bids!$C955="","",Bids!$C955)</f>
        <v/>
      </c>
      <c r="L956" s="40" t="str">
        <f>IF($K956="","",IFERROR(VLOOKUP($K956,Grinders!$A$4:$N$998,2,FALSE),""))</f>
        <v/>
      </c>
      <c r="M956" s="40" t="str">
        <f>IF($K956="","",IFERROR(VLOOKUP($K956,Grinders!$A$4:$N$998,3,FALSE),""))</f>
        <v/>
      </c>
      <c r="N956" s="40" t="str">
        <f>IF($K956="","",IFERROR(VLOOKUP($K956,Grinders!$A$4:$N$998,4,FALSE),""))</f>
        <v/>
      </c>
      <c r="O956" s="40" t="str">
        <f>IF($K956="","",IFERROR(VLOOKUP($K956,Grinders!$A$4:$N$998,5,FALSE),""))</f>
        <v/>
      </c>
      <c r="P956" s="40" t="str">
        <f>IF($K956="","",IF($C$4="",0,COUNTIFS(Assignments!$B$6:$B$1000,$K956,Assignments!$F$6:$F$1000,$C$4,Assignments!$E$6:$E$1000,"Active")))</f>
        <v/>
      </c>
      <c r="Q956" s="40" t="str">
        <f t="shared" si="3"/>
        <v/>
      </c>
      <c r="R956" s="40" t="str">
        <f t="shared" si="4"/>
        <v/>
      </c>
      <c r="S956" s="40" t="str">
        <f>IF($K956="","",IF($C$4="",0,COUNTIFS(Assignments!$B$6:$B$1000,$K956,Assignments!$F$6:$F$1000,$C$4,Assignments!$D$6:$D$1000,"&gt;="&amp;Config!$B$3-7,Assignments!$D$6:$D$1000,"&lt;="&amp;Config!$B$3)))</f>
        <v/>
      </c>
      <c r="T956" s="40" t="str">
        <f>IF($K956="","",IFERROR(VLOOKUP($K956,Grinders!$A$4:$N$998,8,FALSE),""))</f>
        <v/>
      </c>
      <c r="U956" s="40" t="str">
        <f>IFERROR(IF($K956="","",IF($M956="Elite",MAX(50,MIN(100,Config!$B$27*MAX(0,MIN(100,(1-IF($R956="",0,$R956))*100)) + Config!$B$28*MAX(0,MIN(100,(1-MIN(1,IF(Config!$B$30=0,1,$S956/Config!$B$30)))*100)) + Config!$B$29*MAX(0,MIN(100,MIN(1,IF($T956="",0,$T956)/Config!$B$23)*100)))),MIN(100,Config!$B$27*MAX(0,MIN(100,(1-IF($R956="",0,$R956))*100)) + Config!$B$28*MAX(0,MIN(100,(1-MIN(1,IF(Config!$B$30=0,1,$S956/Config!$B$30)))*100)) + Config!$B$29*MAX(0,MIN(100,MIN(1,IF($T956="",0,$T956)/Config!$B$23)*100))))),"")
</f>
        <v/>
      </c>
      <c r="V956" s="40" t="str">
        <f>IF(Bids!$D955="","",Bids!$D955)</f>
        <v/>
      </c>
      <c r="W956" s="40" t="str">
        <f>IF(Bids!$F955="","",Bids!$F955)</f>
        <v/>
      </c>
      <c r="X956" s="40" t="str">
        <f t="shared" si="5"/>
        <v/>
      </c>
      <c r="Y956" s="40" t="str">
        <f>IF($X956="","",IF(Config!$B$17=Config!$B$16,IF($X956&gt;=Config!$B$17,100,0),MAX(0,MIN(100,($X956-Config!$B$16)/(Config!$B$17-Config!$B$16)*100))))</f>
        <v/>
      </c>
      <c r="Z956" s="40">
        <f>IF($M956="Elite",Config!$B$21,0)</f>
        <v>0</v>
      </c>
      <c r="AA956" s="40" t="str">
        <f>IFERROR(IF(OR($W956="",$H956=""),"",IF($W956&gt;$H956,
  MAX(0, 60-(($W956-$H956)*24/Config!$B$19)*60),
  MIN(100, 60+(($H956-$W956)*24/Config!$B$20)*40)
)),"")
</f>
        <v/>
      </c>
      <c r="AB956" s="40" t="str">
        <f>IF($K956="","",IFERROR(VLOOKUP($K956,Grinders!$A$4:$N$998,10,FALSE)/5*100,""))</f>
        <v/>
      </c>
      <c r="AC956" s="40" t="str">
        <f>IF($K956="","",IFERROR(VLOOKUP($K956,Grinders!$A$4:$N$998,11,FALSE)*100,""))</f>
        <v/>
      </c>
      <c r="AD956" s="40" t="str">
        <f>IF($K956="","",IFERROR(VLOOKUP($K956,Grinders!$A$4:$N$998,12,FALSE)*100,""))</f>
        <v/>
      </c>
      <c r="AE956" s="40">
        <f>IFERROR(IFS(
    OR($C956="", $K956=""), 0,
    $F956=0, 0,
    $D956&lt;&gt;"Open", 0,
    COUNTIFS(GrinderServices!$B$4:$B$998, $K956, GrinderServices!$C$4:$C$998, $E956, GrinderServices!$E$4:$E$998, "Y")=0, 0,
    $X956&lt;Config!$B$16, 0,
    Config!$B$18=1, IF($O956&gt;=N956, 0, 1),
    TRUE, 1
), "")
</f>
        <v>0</v>
      </c>
      <c r="AF956" s="40" t="str">
        <f>IFERROR(IF($AE956=0,"",((Config!$B$6*$Y956 + Config!$B$7*$U956 + Config!$B$8*$Z956 + Config!$B$9*$AA956 + Config!$B$10*$AB956 + Config!$B$11*$AC956 - Config!$B$12*$AD956)/Config!$B$13)+$AK956+$AL956),"")</f>
        <v/>
      </c>
      <c r="AG956" s="40" t="str">
        <f t="shared" si="6"/>
        <v/>
      </c>
      <c r="AH956" s="40" t="str">
        <f t="shared" si="7"/>
        <v/>
      </c>
      <c r="AI956" s="40" t="str">
        <f t="shared" si="8"/>
        <v/>
      </c>
      <c r="AJ956" s="40" t="str">
        <f>IF($K956="","",COUNTIF(Assignments!$B$6:$B$1000,$K956))</f>
        <v/>
      </c>
      <c r="AK956" s="40" t="str">
        <f>IF($K956="","",IF(AND($AJ956=0,$O956&lt;$N956),Config!$B$43,0))</f>
        <v/>
      </c>
      <c r="AL956" s="40" t="str">
        <f>IF($K956="","",IF(AND($M956="Elite",$G956&gt;=Config!$B$41,$O956&lt;$N956),Config!$B$42,0))</f>
        <v/>
      </c>
      <c r="AM956" s="22"/>
    </row>
    <row r="957" ht="15.75" customHeight="1">
      <c r="A957" s="40" t="str">
        <f t="shared" si="1"/>
        <v/>
      </c>
      <c r="B957" s="40" t="str">
        <f>IF(Bids!$A956="","",Bids!$A956)</f>
        <v/>
      </c>
      <c r="C957" s="40" t="str">
        <f>IF(Bids!$B956="","",Bids!$B956)</f>
        <v/>
      </c>
      <c r="D957" s="40" t="str">
        <f>IF($C957="","",IFERROR(VLOOKUP($C957,Orders!$A$4:$J$998,9,FALSE),""))</f>
        <v/>
      </c>
      <c r="E957" s="40" t="str">
        <f>IF($C957="","",IFERROR(VLOOKUP($C957,Orders!$A$4:$J$998,3,FALSE),""))</f>
        <v/>
      </c>
      <c r="F957" s="40">
        <f t="shared" si="2"/>
        <v>1</v>
      </c>
      <c r="G957" s="40" t="str">
        <f>IF($C957="","",IFERROR(VLOOKUP($C957,Orders!$A$4:$J$998,4,FALSE),""))</f>
        <v/>
      </c>
      <c r="H957" s="40" t="str">
        <f>IF($C957="","",IFERROR(VLOOKUP($C957,Orders!$A$4:$J$998,5,FALSE),""))</f>
        <v/>
      </c>
      <c r="I957" s="40" t="str">
        <f>IF($C957="","",IFERROR(VLOOKUP($C957,Orders!$A$4:$J$998,6,FALSE),""))</f>
        <v/>
      </c>
      <c r="J957" s="40" t="str">
        <f>IF($C957="","",IFERROR(VLOOKUP($C957,Orders!$A$4:$J$998,7,FALSE),""))</f>
        <v/>
      </c>
      <c r="K957" s="40" t="str">
        <f>IF(Bids!$C956="","",Bids!$C956)</f>
        <v/>
      </c>
      <c r="L957" s="40" t="str">
        <f>IF($K957="","",IFERROR(VLOOKUP($K957,Grinders!$A$4:$N$998,2,FALSE),""))</f>
        <v/>
      </c>
      <c r="M957" s="40" t="str">
        <f>IF($K957="","",IFERROR(VLOOKUP($K957,Grinders!$A$4:$N$998,3,FALSE),""))</f>
        <v/>
      </c>
      <c r="N957" s="40" t="str">
        <f>IF($K957="","",IFERROR(VLOOKUP($K957,Grinders!$A$4:$N$998,4,FALSE),""))</f>
        <v/>
      </c>
      <c r="O957" s="40" t="str">
        <f>IF($K957="","",IFERROR(VLOOKUP($K957,Grinders!$A$4:$N$998,5,FALSE),""))</f>
        <v/>
      </c>
      <c r="P957" s="40" t="str">
        <f>IF($K957="","",IF($C$4="",0,COUNTIFS(Assignments!$B$6:$B$1000,$K957,Assignments!$F$6:$F$1000,$C$4,Assignments!$E$6:$E$1000,"Active")))</f>
        <v/>
      </c>
      <c r="Q957" s="40" t="str">
        <f t="shared" si="3"/>
        <v/>
      </c>
      <c r="R957" s="40" t="str">
        <f t="shared" si="4"/>
        <v/>
      </c>
      <c r="S957" s="40" t="str">
        <f>IF($K957="","",IF($C$4="",0,COUNTIFS(Assignments!$B$6:$B$1000,$K957,Assignments!$F$6:$F$1000,$C$4,Assignments!$D$6:$D$1000,"&gt;="&amp;Config!$B$3-7,Assignments!$D$6:$D$1000,"&lt;="&amp;Config!$B$3)))</f>
        <v/>
      </c>
      <c r="T957" s="40" t="str">
        <f>IF($K957="","",IFERROR(VLOOKUP($K957,Grinders!$A$4:$N$998,8,FALSE),""))</f>
        <v/>
      </c>
      <c r="U957" s="40" t="str">
        <f>IFERROR(IF($K957="","",IF($M957="Elite",MAX(50,MIN(100,Config!$B$27*MAX(0,MIN(100,(1-IF($R957="",0,$R957))*100)) + Config!$B$28*MAX(0,MIN(100,(1-MIN(1,IF(Config!$B$30=0,1,$S957/Config!$B$30)))*100)) + Config!$B$29*MAX(0,MIN(100,MIN(1,IF($T957="",0,$T957)/Config!$B$23)*100)))),MIN(100,Config!$B$27*MAX(0,MIN(100,(1-IF($R957="",0,$R957))*100)) + Config!$B$28*MAX(0,MIN(100,(1-MIN(1,IF(Config!$B$30=0,1,$S957/Config!$B$30)))*100)) + Config!$B$29*MAX(0,MIN(100,MIN(1,IF($T957="",0,$T957)/Config!$B$23)*100))))),"")
</f>
        <v/>
      </c>
      <c r="V957" s="40" t="str">
        <f>IF(Bids!$D956="","",Bids!$D956)</f>
        <v/>
      </c>
      <c r="W957" s="40" t="str">
        <f>IF(Bids!$F956="","",Bids!$F956)</f>
        <v/>
      </c>
      <c r="X957" s="40" t="str">
        <f t="shared" si="5"/>
        <v/>
      </c>
      <c r="Y957" s="40" t="str">
        <f>IF($X957="","",IF(Config!$B$17=Config!$B$16,IF($X957&gt;=Config!$B$17,100,0),MAX(0,MIN(100,($X957-Config!$B$16)/(Config!$B$17-Config!$B$16)*100))))</f>
        <v/>
      </c>
      <c r="Z957" s="40">
        <f>IF($M957="Elite",Config!$B$21,0)</f>
        <v>0</v>
      </c>
      <c r="AA957" s="40" t="str">
        <f>IFERROR(IF(OR($W957="",$H957=""),"",IF($W957&gt;$H957,
  MAX(0, 60-(($W957-$H957)*24/Config!$B$19)*60),
  MIN(100, 60+(($H957-$W957)*24/Config!$B$20)*40)
)),"")
</f>
        <v/>
      </c>
      <c r="AB957" s="40" t="str">
        <f>IF($K957="","",IFERROR(VLOOKUP($K957,Grinders!$A$4:$N$998,10,FALSE)/5*100,""))</f>
        <v/>
      </c>
      <c r="AC957" s="40" t="str">
        <f>IF($K957="","",IFERROR(VLOOKUP($K957,Grinders!$A$4:$N$998,11,FALSE)*100,""))</f>
        <v/>
      </c>
      <c r="AD957" s="40" t="str">
        <f>IF($K957="","",IFERROR(VLOOKUP($K957,Grinders!$A$4:$N$998,12,FALSE)*100,""))</f>
        <v/>
      </c>
      <c r="AE957" s="40">
        <f>IFERROR(IFS(
    OR($C957="", $K957=""), 0,
    $F957=0, 0,
    $D957&lt;&gt;"Open", 0,
    COUNTIFS(GrinderServices!$B$4:$B$998, $K957, GrinderServices!$C$4:$C$998, $E957, GrinderServices!$E$4:$E$998, "Y")=0, 0,
    $X957&lt;Config!$B$16, 0,
    Config!$B$18=1, IF($O957&gt;=N957, 0, 1),
    TRUE, 1
), "")
</f>
        <v>0</v>
      </c>
      <c r="AF957" s="40" t="str">
        <f>IFERROR(IF($AE957=0,"",((Config!$B$6*$Y957 + Config!$B$7*$U957 + Config!$B$8*$Z957 + Config!$B$9*$AA957 + Config!$B$10*$AB957 + Config!$B$11*$AC957 - Config!$B$12*$AD957)/Config!$B$13)+$AK957+$AL957),"")</f>
        <v/>
      </c>
      <c r="AG957" s="40" t="str">
        <f t="shared" si="6"/>
        <v/>
      </c>
      <c r="AH957" s="40" t="str">
        <f t="shared" si="7"/>
        <v/>
      </c>
      <c r="AI957" s="40" t="str">
        <f t="shared" si="8"/>
        <v/>
      </c>
      <c r="AJ957" s="40" t="str">
        <f>IF($K957="","",COUNTIF(Assignments!$B$6:$B$1000,$K957))</f>
        <v/>
      </c>
      <c r="AK957" s="40" t="str">
        <f>IF($K957="","",IF(AND($AJ957=0,$O957&lt;$N957),Config!$B$43,0))</f>
        <v/>
      </c>
      <c r="AL957" s="40" t="str">
        <f>IF($K957="","",IF(AND($M957="Elite",$G957&gt;=Config!$B$41,$O957&lt;$N957),Config!$B$42,0))</f>
        <v/>
      </c>
      <c r="AM957" s="22"/>
    </row>
    <row r="958" ht="15.75" customHeight="1">
      <c r="A958" s="40" t="str">
        <f t="shared" si="1"/>
        <v/>
      </c>
      <c r="B958" s="40" t="str">
        <f>IF(Bids!$A957="","",Bids!$A957)</f>
        <v/>
      </c>
      <c r="C958" s="40" t="str">
        <f>IF(Bids!$B957="","",Bids!$B957)</f>
        <v/>
      </c>
      <c r="D958" s="40" t="str">
        <f>IF($C958="","",IFERROR(VLOOKUP($C958,Orders!$A$4:$J$998,9,FALSE),""))</f>
        <v/>
      </c>
      <c r="E958" s="40" t="str">
        <f>IF($C958="","",IFERROR(VLOOKUP($C958,Orders!$A$4:$J$998,3,FALSE),""))</f>
        <v/>
      </c>
      <c r="F958" s="40">
        <f t="shared" si="2"/>
        <v>1</v>
      </c>
      <c r="G958" s="40" t="str">
        <f>IF($C958="","",IFERROR(VLOOKUP($C958,Orders!$A$4:$J$998,4,FALSE),""))</f>
        <v/>
      </c>
      <c r="H958" s="40" t="str">
        <f>IF($C958="","",IFERROR(VLOOKUP($C958,Orders!$A$4:$J$998,5,FALSE),""))</f>
        <v/>
      </c>
      <c r="I958" s="40" t="str">
        <f>IF($C958="","",IFERROR(VLOOKUP($C958,Orders!$A$4:$J$998,6,FALSE),""))</f>
        <v/>
      </c>
      <c r="J958" s="40" t="str">
        <f>IF($C958="","",IFERROR(VLOOKUP($C958,Orders!$A$4:$J$998,7,FALSE),""))</f>
        <v/>
      </c>
      <c r="K958" s="40" t="str">
        <f>IF(Bids!$C957="","",Bids!$C957)</f>
        <v/>
      </c>
      <c r="L958" s="40" t="str">
        <f>IF($K958="","",IFERROR(VLOOKUP($K958,Grinders!$A$4:$N$998,2,FALSE),""))</f>
        <v/>
      </c>
      <c r="M958" s="40" t="str">
        <f>IF($K958="","",IFERROR(VLOOKUP($K958,Grinders!$A$4:$N$998,3,FALSE),""))</f>
        <v/>
      </c>
      <c r="N958" s="40" t="str">
        <f>IF($K958="","",IFERROR(VLOOKUP($K958,Grinders!$A$4:$N$998,4,FALSE),""))</f>
        <v/>
      </c>
      <c r="O958" s="40" t="str">
        <f>IF($K958="","",IFERROR(VLOOKUP($K958,Grinders!$A$4:$N$998,5,FALSE),""))</f>
        <v/>
      </c>
      <c r="P958" s="40" t="str">
        <f>IF($K958="","",IF($C$4="",0,COUNTIFS(Assignments!$B$6:$B$1000,$K958,Assignments!$F$6:$F$1000,$C$4,Assignments!$E$6:$E$1000,"Active")))</f>
        <v/>
      </c>
      <c r="Q958" s="40" t="str">
        <f t="shared" si="3"/>
        <v/>
      </c>
      <c r="R958" s="40" t="str">
        <f t="shared" si="4"/>
        <v/>
      </c>
      <c r="S958" s="40" t="str">
        <f>IF($K958="","",IF($C$4="",0,COUNTIFS(Assignments!$B$6:$B$1000,$K958,Assignments!$F$6:$F$1000,$C$4,Assignments!$D$6:$D$1000,"&gt;="&amp;Config!$B$3-7,Assignments!$D$6:$D$1000,"&lt;="&amp;Config!$B$3)))</f>
        <v/>
      </c>
      <c r="T958" s="40" t="str">
        <f>IF($K958="","",IFERROR(VLOOKUP($K958,Grinders!$A$4:$N$998,8,FALSE),""))</f>
        <v/>
      </c>
      <c r="U958" s="40" t="str">
        <f>IFERROR(IF($K958="","",IF($M958="Elite",MAX(50,MIN(100,Config!$B$27*MAX(0,MIN(100,(1-IF($R958="",0,$R958))*100)) + Config!$B$28*MAX(0,MIN(100,(1-MIN(1,IF(Config!$B$30=0,1,$S958/Config!$B$30)))*100)) + Config!$B$29*MAX(0,MIN(100,MIN(1,IF($T958="",0,$T958)/Config!$B$23)*100)))),MIN(100,Config!$B$27*MAX(0,MIN(100,(1-IF($R958="",0,$R958))*100)) + Config!$B$28*MAX(0,MIN(100,(1-MIN(1,IF(Config!$B$30=0,1,$S958/Config!$B$30)))*100)) + Config!$B$29*MAX(0,MIN(100,MIN(1,IF($T958="",0,$T958)/Config!$B$23)*100))))),"")
</f>
        <v/>
      </c>
      <c r="V958" s="40" t="str">
        <f>IF(Bids!$D957="","",Bids!$D957)</f>
        <v/>
      </c>
      <c r="W958" s="40" t="str">
        <f>IF(Bids!$F957="","",Bids!$F957)</f>
        <v/>
      </c>
      <c r="X958" s="40" t="str">
        <f t="shared" si="5"/>
        <v/>
      </c>
      <c r="Y958" s="40" t="str">
        <f>IF($X958="","",IF(Config!$B$17=Config!$B$16,IF($X958&gt;=Config!$B$17,100,0),MAX(0,MIN(100,($X958-Config!$B$16)/(Config!$B$17-Config!$B$16)*100))))</f>
        <v/>
      </c>
      <c r="Z958" s="40">
        <f>IF($M958="Elite",Config!$B$21,0)</f>
        <v>0</v>
      </c>
      <c r="AA958" s="40" t="str">
        <f>IFERROR(IF(OR($W958="",$H958=""),"",IF($W958&gt;$H958,
  MAX(0, 60-(($W958-$H958)*24/Config!$B$19)*60),
  MIN(100, 60+(($H958-$W958)*24/Config!$B$20)*40)
)),"")
</f>
        <v/>
      </c>
      <c r="AB958" s="40" t="str">
        <f>IF($K958="","",IFERROR(VLOOKUP($K958,Grinders!$A$4:$N$998,10,FALSE)/5*100,""))</f>
        <v/>
      </c>
      <c r="AC958" s="40" t="str">
        <f>IF($K958="","",IFERROR(VLOOKUP($K958,Grinders!$A$4:$N$998,11,FALSE)*100,""))</f>
        <v/>
      </c>
      <c r="AD958" s="40" t="str">
        <f>IF($K958="","",IFERROR(VLOOKUP($K958,Grinders!$A$4:$N$998,12,FALSE)*100,""))</f>
        <v/>
      </c>
      <c r="AE958" s="40">
        <f>IFERROR(IFS(
    OR($C958="", $K958=""), 0,
    $F958=0, 0,
    $D958&lt;&gt;"Open", 0,
    COUNTIFS(GrinderServices!$B$4:$B$998, $K958, GrinderServices!$C$4:$C$998, $E958, GrinderServices!$E$4:$E$998, "Y")=0, 0,
    $X958&lt;Config!$B$16, 0,
    Config!$B$18=1, IF($O958&gt;=N958, 0, 1),
    TRUE, 1
), "")
</f>
        <v>0</v>
      </c>
      <c r="AF958" s="40" t="str">
        <f>IFERROR(IF($AE958=0,"",((Config!$B$6*$Y958 + Config!$B$7*$U958 + Config!$B$8*$Z958 + Config!$B$9*$AA958 + Config!$B$10*$AB958 + Config!$B$11*$AC958 - Config!$B$12*$AD958)/Config!$B$13)+$AK958+$AL958),"")</f>
        <v/>
      </c>
      <c r="AG958" s="40" t="str">
        <f t="shared" si="6"/>
        <v/>
      </c>
      <c r="AH958" s="40" t="str">
        <f t="shared" si="7"/>
        <v/>
      </c>
      <c r="AI958" s="40" t="str">
        <f t="shared" si="8"/>
        <v/>
      </c>
      <c r="AJ958" s="40" t="str">
        <f>IF($K958="","",COUNTIF(Assignments!$B$6:$B$1000,$K958))</f>
        <v/>
      </c>
      <c r="AK958" s="40" t="str">
        <f>IF($K958="","",IF(AND($AJ958=0,$O958&lt;$N958),Config!$B$43,0))</f>
        <v/>
      </c>
      <c r="AL958" s="40" t="str">
        <f>IF($K958="","",IF(AND($M958="Elite",$G958&gt;=Config!$B$41,$O958&lt;$N958),Config!$B$42,0))</f>
        <v/>
      </c>
      <c r="AM958" s="22"/>
    </row>
    <row r="959" ht="15.75" customHeight="1">
      <c r="A959" s="40" t="str">
        <f t="shared" si="1"/>
        <v/>
      </c>
      <c r="B959" s="40" t="str">
        <f>IF(Bids!$A958="","",Bids!$A958)</f>
        <v/>
      </c>
      <c r="C959" s="40" t="str">
        <f>IF(Bids!$B958="","",Bids!$B958)</f>
        <v/>
      </c>
      <c r="D959" s="40" t="str">
        <f>IF($C959="","",IFERROR(VLOOKUP($C959,Orders!$A$4:$J$998,9,FALSE),""))</f>
        <v/>
      </c>
      <c r="E959" s="40" t="str">
        <f>IF($C959="","",IFERROR(VLOOKUP($C959,Orders!$A$4:$J$998,3,FALSE),""))</f>
        <v/>
      </c>
      <c r="F959" s="40">
        <f t="shared" si="2"/>
        <v>1</v>
      </c>
      <c r="G959" s="40" t="str">
        <f>IF($C959="","",IFERROR(VLOOKUP($C959,Orders!$A$4:$J$998,4,FALSE),""))</f>
        <v/>
      </c>
      <c r="H959" s="40" t="str">
        <f>IF($C959="","",IFERROR(VLOOKUP($C959,Orders!$A$4:$J$998,5,FALSE),""))</f>
        <v/>
      </c>
      <c r="I959" s="40" t="str">
        <f>IF($C959="","",IFERROR(VLOOKUP($C959,Orders!$A$4:$J$998,6,FALSE),""))</f>
        <v/>
      </c>
      <c r="J959" s="40" t="str">
        <f>IF($C959="","",IFERROR(VLOOKUP($C959,Orders!$A$4:$J$998,7,FALSE),""))</f>
        <v/>
      </c>
      <c r="K959" s="40" t="str">
        <f>IF(Bids!$C958="","",Bids!$C958)</f>
        <v/>
      </c>
      <c r="L959" s="40" t="str">
        <f>IF($K959="","",IFERROR(VLOOKUP($K959,Grinders!$A$4:$N$998,2,FALSE),""))</f>
        <v/>
      </c>
      <c r="M959" s="40" t="str">
        <f>IF($K959="","",IFERROR(VLOOKUP($K959,Grinders!$A$4:$N$998,3,FALSE),""))</f>
        <v/>
      </c>
      <c r="N959" s="40" t="str">
        <f>IF($K959="","",IFERROR(VLOOKUP($K959,Grinders!$A$4:$N$998,4,FALSE),""))</f>
        <v/>
      </c>
      <c r="O959" s="40" t="str">
        <f>IF($K959="","",IFERROR(VLOOKUP($K959,Grinders!$A$4:$N$998,5,FALSE),""))</f>
        <v/>
      </c>
      <c r="P959" s="40" t="str">
        <f>IF($K959="","",IF($C$4="",0,COUNTIFS(Assignments!$B$6:$B$1000,$K959,Assignments!$F$6:$F$1000,$C$4,Assignments!$E$6:$E$1000,"Active")))</f>
        <v/>
      </c>
      <c r="Q959" s="40" t="str">
        <f t="shared" si="3"/>
        <v/>
      </c>
      <c r="R959" s="40" t="str">
        <f t="shared" si="4"/>
        <v/>
      </c>
      <c r="S959" s="40" t="str">
        <f>IF($K959="","",IF($C$4="",0,COUNTIFS(Assignments!$B$6:$B$1000,$K959,Assignments!$F$6:$F$1000,$C$4,Assignments!$D$6:$D$1000,"&gt;="&amp;Config!$B$3-7,Assignments!$D$6:$D$1000,"&lt;="&amp;Config!$B$3)))</f>
        <v/>
      </c>
      <c r="T959" s="40" t="str">
        <f>IF($K959="","",IFERROR(VLOOKUP($K959,Grinders!$A$4:$N$998,8,FALSE),""))</f>
        <v/>
      </c>
      <c r="U959" s="40" t="str">
        <f>IFERROR(IF($K959="","",IF($M959="Elite",MAX(50,MIN(100,Config!$B$27*MAX(0,MIN(100,(1-IF($R959="",0,$R959))*100)) + Config!$B$28*MAX(0,MIN(100,(1-MIN(1,IF(Config!$B$30=0,1,$S959/Config!$B$30)))*100)) + Config!$B$29*MAX(0,MIN(100,MIN(1,IF($T959="",0,$T959)/Config!$B$23)*100)))),MIN(100,Config!$B$27*MAX(0,MIN(100,(1-IF($R959="",0,$R959))*100)) + Config!$B$28*MAX(0,MIN(100,(1-MIN(1,IF(Config!$B$30=0,1,$S959/Config!$B$30)))*100)) + Config!$B$29*MAX(0,MIN(100,MIN(1,IF($T959="",0,$T959)/Config!$B$23)*100))))),"")
</f>
        <v/>
      </c>
      <c r="V959" s="40" t="str">
        <f>IF(Bids!$D958="","",Bids!$D958)</f>
        <v/>
      </c>
      <c r="W959" s="40" t="str">
        <f>IF(Bids!$F958="","",Bids!$F958)</f>
        <v/>
      </c>
      <c r="X959" s="40" t="str">
        <f t="shared" si="5"/>
        <v/>
      </c>
      <c r="Y959" s="40" t="str">
        <f>IF($X959="","",IF(Config!$B$17=Config!$B$16,IF($X959&gt;=Config!$B$17,100,0),MAX(0,MIN(100,($X959-Config!$B$16)/(Config!$B$17-Config!$B$16)*100))))</f>
        <v/>
      </c>
      <c r="Z959" s="40">
        <f>IF($M959="Elite",Config!$B$21,0)</f>
        <v>0</v>
      </c>
      <c r="AA959" s="40" t="str">
        <f>IFERROR(IF(OR($W959="",$H959=""),"",IF($W959&gt;$H959,
  MAX(0, 60-(($W959-$H959)*24/Config!$B$19)*60),
  MIN(100, 60+(($H959-$W959)*24/Config!$B$20)*40)
)),"")
</f>
        <v/>
      </c>
      <c r="AB959" s="40" t="str">
        <f>IF($K959="","",IFERROR(VLOOKUP($K959,Grinders!$A$4:$N$998,10,FALSE)/5*100,""))</f>
        <v/>
      </c>
      <c r="AC959" s="40" t="str">
        <f>IF($K959="","",IFERROR(VLOOKUP($K959,Grinders!$A$4:$N$998,11,FALSE)*100,""))</f>
        <v/>
      </c>
      <c r="AD959" s="40" t="str">
        <f>IF($K959="","",IFERROR(VLOOKUP($K959,Grinders!$A$4:$N$998,12,FALSE)*100,""))</f>
        <v/>
      </c>
      <c r="AE959" s="40">
        <f>IFERROR(IFS(
    OR($C959="", $K959=""), 0,
    $F959=0, 0,
    $D959&lt;&gt;"Open", 0,
    COUNTIFS(GrinderServices!$B$4:$B$998, $K959, GrinderServices!$C$4:$C$998, $E959, GrinderServices!$E$4:$E$998, "Y")=0, 0,
    $X959&lt;Config!$B$16, 0,
    Config!$B$18=1, IF($O959&gt;=N959, 0, 1),
    TRUE, 1
), "")
</f>
        <v>0</v>
      </c>
      <c r="AF959" s="40" t="str">
        <f>IFERROR(IF($AE959=0,"",((Config!$B$6*$Y959 + Config!$B$7*$U959 + Config!$B$8*$Z959 + Config!$B$9*$AA959 + Config!$B$10*$AB959 + Config!$B$11*$AC959 - Config!$B$12*$AD959)/Config!$B$13)+$AK959+$AL959),"")</f>
        <v/>
      </c>
      <c r="AG959" s="40" t="str">
        <f t="shared" si="6"/>
        <v/>
      </c>
      <c r="AH959" s="40" t="str">
        <f t="shared" si="7"/>
        <v/>
      </c>
      <c r="AI959" s="40" t="str">
        <f t="shared" si="8"/>
        <v/>
      </c>
      <c r="AJ959" s="40" t="str">
        <f>IF($K959="","",COUNTIF(Assignments!$B$6:$B$1000,$K959))</f>
        <v/>
      </c>
      <c r="AK959" s="40" t="str">
        <f>IF($K959="","",IF(AND($AJ959=0,$O959&lt;$N959),Config!$B$43,0))</f>
        <v/>
      </c>
      <c r="AL959" s="40" t="str">
        <f>IF($K959="","",IF(AND($M959="Elite",$G959&gt;=Config!$B$41,$O959&lt;$N959),Config!$B$42,0))</f>
        <v/>
      </c>
      <c r="AM959" s="22"/>
    </row>
    <row r="960" ht="15.75" customHeight="1">
      <c r="A960" s="40" t="str">
        <f t="shared" si="1"/>
        <v/>
      </c>
      <c r="B960" s="40" t="str">
        <f>IF(Bids!$A959="","",Bids!$A959)</f>
        <v/>
      </c>
      <c r="C960" s="40" t="str">
        <f>IF(Bids!$B959="","",Bids!$B959)</f>
        <v/>
      </c>
      <c r="D960" s="40" t="str">
        <f>IF($C960="","",IFERROR(VLOOKUP($C960,Orders!$A$4:$J$998,9,FALSE),""))</f>
        <v/>
      </c>
      <c r="E960" s="40" t="str">
        <f>IF($C960="","",IFERROR(VLOOKUP($C960,Orders!$A$4:$J$998,3,FALSE),""))</f>
        <v/>
      </c>
      <c r="F960" s="40">
        <f t="shared" si="2"/>
        <v>1</v>
      </c>
      <c r="G960" s="40" t="str">
        <f>IF($C960="","",IFERROR(VLOOKUP($C960,Orders!$A$4:$J$998,4,FALSE),""))</f>
        <v/>
      </c>
      <c r="H960" s="40" t="str">
        <f>IF($C960="","",IFERROR(VLOOKUP($C960,Orders!$A$4:$J$998,5,FALSE),""))</f>
        <v/>
      </c>
      <c r="I960" s="40" t="str">
        <f>IF($C960="","",IFERROR(VLOOKUP($C960,Orders!$A$4:$J$998,6,FALSE),""))</f>
        <v/>
      </c>
      <c r="J960" s="40" t="str">
        <f>IF($C960="","",IFERROR(VLOOKUP($C960,Orders!$A$4:$J$998,7,FALSE),""))</f>
        <v/>
      </c>
      <c r="K960" s="40" t="str">
        <f>IF(Bids!$C959="","",Bids!$C959)</f>
        <v/>
      </c>
      <c r="L960" s="40" t="str">
        <f>IF($K960="","",IFERROR(VLOOKUP($K960,Grinders!$A$4:$N$998,2,FALSE),""))</f>
        <v/>
      </c>
      <c r="M960" s="40" t="str">
        <f>IF($K960="","",IFERROR(VLOOKUP($K960,Grinders!$A$4:$N$998,3,FALSE),""))</f>
        <v/>
      </c>
      <c r="N960" s="40" t="str">
        <f>IF($K960="","",IFERROR(VLOOKUP($K960,Grinders!$A$4:$N$998,4,FALSE),""))</f>
        <v/>
      </c>
      <c r="O960" s="40" t="str">
        <f>IF($K960="","",IFERROR(VLOOKUP($K960,Grinders!$A$4:$N$998,5,FALSE),""))</f>
        <v/>
      </c>
      <c r="P960" s="40" t="str">
        <f>IF($K960="","",IF($C$4="",0,COUNTIFS(Assignments!$B$6:$B$1000,$K960,Assignments!$F$6:$F$1000,$C$4,Assignments!$E$6:$E$1000,"Active")))</f>
        <v/>
      </c>
      <c r="Q960" s="40" t="str">
        <f t="shared" si="3"/>
        <v/>
      </c>
      <c r="R960" s="40" t="str">
        <f t="shared" si="4"/>
        <v/>
      </c>
      <c r="S960" s="40" t="str">
        <f>IF($K960="","",IF($C$4="",0,COUNTIFS(Assignments!$B$6:$B$1000,$K960,Assignments!$F$6:$F$1000,$C$4,Assignments!$D$6:$D$1000,"&gt;="&amp;Config!$B$3-7,Assignments!$D$6:$D$1000,"&lt;="&amp;Config!$B$3)))</f>
        <v/>
      </c>
      <c r="T960" s="40" t="str">
        <f>IF($K960="","",IFERROR(VLOOKUP($K960,Grinders!$A$4:$N$998,8,FALSE),""))</f>
        <v/>
      </c>
      <c r="U960" s="40" t="str">
        <f>IFERROR(IF($K960="","",IF($M960="Elite",MAX(50,MIN(100,Config!$B$27*MAX(0,MIN(100,(1-IF($R960="",0,$R960))*100)) + Config!$B$28*MAX(0,MIN(100,(1-MIN(1,IF(Config!$B$30=0,1,$S960/Config!$B$30)))*100)) + Config!$B$29*MAX(0,MIN(100,MIN(1,IF($T960="",0,$T960)/Config!$B$23)*100)))),MIN(100,Config!$B$27*MAX(0,MIN(100,(1-IF($R960="",0,$R960))*100)) + Config!$B$28*MAX(0,MIN(100,(1-MIN(1,IF(Config!$B$30=0,1,$S960/Config!$B$30)))*100)) + Config!$B$29*MAX(0,MIN(100,MIN(1,IF($T960="",0,$T960)/Config!$B$23)*100))))),"")
</f>
        <v/>
      </c>
      <c r="V960" s="40" t="str">
        <f>IF(Bids!$D959="","",Bids!$D959)</f>
        <v/>
      </c>
      <c r="W960" s="40" t="str">
        <f>IF(Bids!$F959="","",Bids!$F959)</f>
        <v/>
      </c>
      <c r="X960" s="40" t="str">
        <f t="shared" si="5"/>
        <v/>
      </c>
      <c r="Y960" s="40" t="str">
        <f>IF($X960="","",IF(Config!$B$17=Config!$B$16,IF($X960&gt;=Config!$B$17,100,0),MAX(0,MIN(100,($X960-Config!$B$16)/(Config!$B$17-Config!$B$16)*100))))</f>
        <v/>
      </c>
      <c r="Z960" s="40">
        <f>IF($M960="Elite",Config!$B$21,0)</f>
        <v>0</v>
      </c>
      <c r="AA960" s="40" t="str">
        <f>IFERROR(IF(OR($W960="",$H960=""),"",IF($W960&gt;$H960,
  MAX(0, 60-(($W960-$H960)*24/Config!$B$19)*60),
  MIN(100, 60+(($H960-$W960)*24/Config!$B$20)*40)
)),"")
</f>
        <v/>
      </c>
      <c r="AB960" s="40" t="str">
        <f>IF($K960="","",IFERROR(VLOOKUP($K960,Grinders!$A$4:$N$998,10,FALSE)/5*100,""))</f>
        <v/>
      </c>
      <c r="AC960" s="40" t="str">
        <f>IF($K960="","",IFERROR(VLOOKUP($K960,Grinders!$A$4:$N$998,11,FALSE)*100,""))</f>
        <v/>
      </c>
      <c r="AD960" s="40" t="str">
        <f>IF($K960="","",IFERROR(VLOOKUP($K960,Grinders!$A$4:$N$998,12,FALSE)*100,""))</f>
        <v/>
      </c>
      <c r="AE960" s="40">
        <f>IFERROR(IFS(
    OR($C960="", $K960=""), 0,
    $F960=0, 0,
    $D960&lt;&gt;"Open", 0,
    COUNTIFS(GrinderServices!$B$4:$B$998, $K960, GrinderServices!$C$4:$C$998, $E960, GrinderServices!$E$4:$E$998, "Y")=0, 0,
    $X960&lt;Config!$B$16, 0,
    Config!$B$18=1, IF($O960&gt;=N960, 0, 1),
    TRUE, 1
), "")
</f>
        <v>0</v>
      </c>
      <c r="AF960" s="40" t="str">
        <f>IFERROR(IF($AE960=0,"",((Config!$B$6*$Y960 + Config!$B$7*$U960 + Config!$B$8*$Z960 + Config!$B$9*$AA960 + Config!$B$10*$AB960 + Config!$B$11*$AC960 - Config!$B$12*$AD960)/Config!$B$13)+$AK960+$AL960),"")</f>
        <v/>
      </c>
      <c r="AG960" s="40" t="str">
        <f t="shared" si="6"/>
        <v/>
      </c>
      <c r="AH960" s="40" t="str">
        <f t="shared" si="7"/>
        <v/>
      </c>
      <c r="AI960" s="40" t="str">
        <f t="shared" si="8"/>
        <v/>
      </c>
      <c r="AJ960" s="40" t="str">
        <f>IF($K960="","",COUNTIF(Assignments!$B$6:$B$1000,$K960))</f>
        <v/>
      </c>
      <c r="AK960" s="40" t="str">
        <f>IF($K960="","",IF(AND($AJ960=0,$O960&lt;$N960),Config!$B$43,0))</f>
        <v/>
      </c>
      <c r="AL960" s="40" t="str">
        <f>IF($K960="","",IF(AND($M960="Elite",$G960&gt;=Config!$B$41,$O960&lt;$N960),Config!$B$42,0))</f>
        <v/>
      </c>
      <c r="AM960" s="22"/>
    </row>
    <row r="961" ht="15.75" customHeight="1">
      <c r="A961" s="40" t="str">
        <f t="shared" si="1"/>
        <v/>
      </c>
      <c r="B961" s="40" t="str">
        <f>IF(Bids!$A960="","",Bids!$A960)</f>
        <v/>
      </c>
      <c r="C961" s="40" t="str">
        <f>IF(Bids!$B960="","",Bids!$B960)</f>
        <v/>
      </c>
      <c r="D961" s="40" t="str">
        <f>IF($C961="","",IFERROR(VLOOKUP($C961,Orders!$A$4:$J$998,9,FALSE),""))</f>
        <v/>
      </c>
      <c r="E961" s="40" t="str">
        <f>IF($C961="","",IFERROR(VLOOKUP($C961,Orders!$A$4:$J$998,3,FALSE),""))</f>
        <v/>
      </c>
      <c r="F961" s="40">
        <f t="shared" si="2"/>
        <v>1</v>
      </c>
      <c r="G961" s="40" t="str">
        <f>IF($C961="","",IFERROR(VLOOKUP($C961,Orders!$A$4:$J$998,4,FALSE),""))</f>
        <v/>
      </c>
      <c r="H961" s="40" t="str">
        <f>IF($C961="","",IFERROR(VLOOKUP($C961,Orders!$A$4:$J$998,5,FALSE),""))</f>
        <v/>
      </c>
      <c r="I961" s="40" t="str">
        <f>IF($C961="","",IFERROR(VLOOKUP($C961,Orders!$A$4:$J$998,6,FALSE),""))</f>
        <v/>
      </c>
      <c r="J961" s="40" t="str">
        <f>IF($C961="","",IFERROR(VLOOKUP($C961,Orders!$A$4:$J$998,7,FALSE),""))</f>
        <v/>
      </c>
      <c r="K961" s="40" t="str">
        <f>IF(Bids!$C960="","",Bids!$C960)</f>
        <v/>
      </c>
      <c r="L961" s="40" t="str">
        <f>IF($K961="","",IFERROR(VLOOKUP($K961,Grinders!$A$4:$N$998,2,FALSE),""))</f>
        <v/>
      </c>
      <c r="M961" s="40" t="str">
        <f>IF($K961="","",IFERROR(VLOOKUP($K961,Grinders!$A$4:$N$998,3,FALSE),""))</f>
        <v/>
      </c>
      <c r="N961" s="40" t="str">
        <f>IF($K961="","",IFERROR(VLOOKUP($K961,Grinders!$A$4:$N$998,4,FALSE),""))</f>
        <v/>
      </c>
      <c r="O961" s="40" t="str">
        <f>IF($K961="","",IFERROR(VLOOKUP($K961,Grinders!$A$4:$N$998,5,FALSE),""))</f>
        <v/>
      </c>
      <c r="P961" s="40" t="str">
        <f>IF($K961="","",IF($C$4="",0,COUNTIFS(Assignments!$B$6:$B$1000,$K961,Assignments!$F$6:$F$1000,$C$4,Assignments!$E$6:$E$1000,"Active")))</f>
        <v/>
      </c>
      <c r="Q961" s="40" t="str">
        <f t="shared" si="3"/>
        <v/>
      </c>
      <c r="R961" s="40" t="str">
        <f t="shared" si="4"/>
        <v/>
      </c>
      <c r="S961" s="40" t="str">
        <f>IF($K961="","",IF($C$4="",0,COUNTIFS(Assignments!$B$6:$B$1000,$K961,Assignments!$F$6:$F$1000,$C$4,Assignments!$D$6:$D$1000,"&gt;="&amp;Config!$B$3-7,Assignments!$D$6:$D$1000,"&lt;="&amp;Config!$B$3)))</f>
        <v/>
      </c>
      <c r="T961" s="40" t="str">
        <f>IF($K961="","",IFERROR(VLOOKUP($K961,Grinders!$A$4:$N$998,8,FALSE),""))</f>
        <v/>
      </c>
      <c r="U961" s="40" t="str">
        <f>IFERROR(IF($K961="","",IF($M961="Elite",MAX(50,MIN(100,Config!$B$27*MAX(0,MIN(100,(1-IF($R961="",0,$R961))*100)) + Config!$B$28*MAX(0,MIN(100,(1-MIN(1,IF(Config!$B$30=0,1,$S961/Config!$B$30)))*100)) + Config!$B$29*MAX(0,MIN(100,MIN(1,IF($T961="",0,$T961)/Config!$B$23)*100)))),MIN(100,Config!$B$27*MAX(0,MIN(100,(1-IF($R961="",0,$R961))*100)) + Config!$B$28*MAX(0,MIN(100,(1-MIN(1,IF(Config!$B$30=0,1,$S961/Config!$B$30)))*100)) + Config!$B$29*MAX(0,MIN(100,MIN(1,IF($T961="",0,$T961)/Config!$B$23)*100))))),"")
</f>
        <v/>
      </c>
      <c r="V961" s="40" t="str">
        <f>IF(Bids!$D960="","",Bids!$D960)</f>
        <v/>
      </c>
      <c r="W961" s="40" t="str">
        <f>IF(Bids!$F960="","",Bids!$F960)</f>
        <v/>
      </c>
      <c r="X961" s="40" t="str">
        <f t="shared" si="5"/>
        <v/>
      </c>
      <c r="Y961" s="40" t="str">
        <f>IF($X961="","",IF(Config!$B$17=Config!$B$16,IF($X961&gt;=Config!$B$17,100,0),MAX(0,MIN(100,($X961-Config!$B$16)/(Config!$B$17-Config!$B$16)*100))))</f>
        <v/>
      </c>
      <c r="Z961" s="40">
        <f>IF($M961="Elite",Config!$B$21,0)</f>
        <v>0</v>
      </c>
      <c r="AA961" s="40" t="str">
        <f>IFERROR(IF(OR($W961="",$H961=""),"",IF($W961&gt;$H961,
  MAX(0, 60-(($W961-$H961)*24/Config!$B$19)*60),
  MIN(100, 60+(($H961-$W961)*24/Config!$B$20)*40)
)),"")
</f>
        <v/>
      </c>
      <c r="AB961" s="40" t="str">
        <f>IF($K961="","",IFERROR(VLOOKUP($K961,Grinders!$A$4:$N$998,10,FALSE)/5*100,""))</f>
        <v/>
      </c>
      <c r="AC961" s="40" t="str">
        <f>IF($K961="","",IFERROR(VLOOKUP($K961,Grinders!$A$4:$N$998,11,FALSE)*100,""))</f>
        <v/>
      </c>
      <c r="AD961" s="40" t="str">
        <f>IF($K961="","",IFERROR(VLOOKUP($K961,Grinders!$A$4:$N$998,12,FALSE)*100,""))</f>
        <v/>
      </c>
      <c r="AE961" s="40">
        <f>IFERROR(IFS(
    OR($C961="", $K961=""), 0,
    $F961=0, 0,
    $D961&lt;&gt;"Open", 0,
    COUNTIFS(GrinderServices!$B$4:$B$998, $K961, GrinderServices!$C$4:$C$998, $E961, GrinderServices!$E$4:$E$998, "Y")=0, 0,
    $X961&lt;Config!$B$16, 0,
    Config!$B$18=1, IF($O961&gt;=N961, 0, 1),
    TRUE, 1
), "")
</f>
        <v>0</v>
      </c>
      <c r="AF961" s="40" t="str">
        <f>IFERROR(IF($AE961=0,"",((Config!$B$6*$Y961 + Config!$B$7*$U961 + Config!$B$8*$Z961 + Config!$B$9*$AA961 + Config!$B$10*$AB961 + Config!$B$11*$AC961 - Config!$B$12*$AD961)/Config!$B$13)+$AK961+$AL961),"")</f>
        <v/>
      </c>
      <c r="AG961" s="40" t="str">
        <f t="shared" si="6"/>
        <v/>
      </c>
      <c r="AH961" s="40" t="str">
        <f t="shared" si="7"/>
        <v/>
      </c>
      <c r="AI961" s="40" t="str">
        <f t="shared" si="8"/>
        <v/>
      </c>
      <c r="AJ961" s="40" t="str">
        <f>IF($K961="","",COUNTIF(Assignments!$B$6:$B$1000,$K961))</f>
        <v/>
      </c>
      <c r="AK961" s="40" t="str">
        <f>IF($K961="","",IF(AND($AJ961=0,$O961&lt;$N961),Config!$B$43,0))</f>
        <v/>
      </c>
      <c r="AL961" s="40" t="str">
        <f>IF($K961="","",IF(AND($M961="Elite",$G961&gt;=Config!$B$41,$O961&lt;$N961),Config!$B$42,0))</f>
        <v/>
      </c>
      <c r="AM961" s="22"/>
    </row>
    <row r="962" ht="15.75" customHeight="1">
      <c r="A962" s="40" t="str">
        <f t="shared" si="1"/>
        <v/>
      </c>
      <c r="B962" s="40" t="str">
        <f>IF(Bids!$A961="","",Bids!$A961)</f>
        <v/>
      </c>
      <c r="C962" s="40" t="str">
        <f>IF(Bids!$B961="","",Bids!$B961)</f>
        <v/>
      </c>
      <c r="D962" s="40" t="str">
        <f>IF($C962="","",IFERROR(VLOOKUP($C962,Orders!$A$4:$J$998,9,FALSE),""))</f>
        <v/>
      </c>
      <c r="E962" s="40" t="str">
        <f>IF($C962="","",IFERROR(VLOOKUP($C962,Orders!$A$4:$J$998,3,FALSE),""))</f>
        <v/>
      </c>
      <c r="F962" s="40">
        <f t="shared" si="2"/>
        <v>1</v>
      </c>
      <c r="G962" s="40" t="str">
        <f>IF($C962="","",IFERROR(VLOOKUP($C962,Orders!$A$4:$J$998,4,FALSE),""))</f>
        <v/>
      </c>
      <c r="H962" s="40" t="str">
        <f>IF($C962="","",IFERROR(VLOOKUP($C962,Orders!$A$4:$J$998,5,FALSE),""))</f>
        <v/>
      </c>
      <c r="I962" s="40" t="str">
        <f>IF($C962="","",IFERROR(VLOOKUP($C962,Orders!$A$4:$J$998,6,FALSE),""))</f>
        <v/>
      </c>
      <c r="J962" s="40" t="str">
        <f>IF($C962="","",IFERROR(VLOOKUP($C962,Orders!$A$4:$J$998,7,FALSE),""))</f>
        <v/>
      </c>
      <c r="K962" s="40" t="str">
        <f>IF(Bids!$C961="","",Bids!$C961)</f>
        <v/>
      </c>
      <c r="L962" s="40" t="str">
        <f>IF($K962="","",IFERROR(VLOOKUP($K962,Grinders!$A$4:$N$998,2,FALSE),""))</f>
        <v/>
      </c>
      <c r="M962" s="40" t="str">
        <f>IF($K962="","",IFERROR(VLOOKUP($K962,Grinders!$A$4:$N$998,3,FALSE),""))</f>
        <v/>
      </c>
      <c r="N962" s="40" t="str">
        <f>IF($K962="","",IFERROR(VLOOKUP($K962,Grinders!$A$4:$N$998,4,FALSE),""))</f>
        <v/>
      </c>
      <c r="O962" s="40" t="str">
        <f>IF($K962="","",IFERROR(VLOOKUP($K962,Grinders!$A$4:$N$998,5,FALSE),""))</f>
        <v/>
      </c>
      <c r="P962" s="40" t="str">
        <f>IF($K962="","",IF($C$4="",0,COUNTIFS(Assignments!$B$6:$B$1000,$K962,Assignments!$F$6:$F$1000,$C$4,Assignments!$E$6:$E$1000,"Active")))</f>
        <v/>
      </c>
      <c r="Q962" s="40" t="str">
        <f t="shared" si="3"/>
        <v/>
      </c>
      <c r="R962" s="40" t="str">
        <f t="shared" si="4"/>
        <v/>
      </c>
      <c r="S962" s="40" t="str">
        <f>IF($K962="","",IF($C$4="",0,COUNTIFS(Assignments!$B$6:$B$1000,$K962,Assignments!$F$6:$F$1000,$C$4,Assignments!$D$6:$D$1000,"&gt;="&amp;Config!$B$3-7,Assignments!$D$6:$D$1000,"&lt;="&amp;Config!$B$3)))</f>
        <v/>
      </c>
      <c r="T962" s="40" t="str">
        <f>IF($K962="","",IFERROR(VLOOKUP($K962,Grinders!$A$4:$N$998,8,FALSE),""))</f>
        <v/>
      </c>
      <c r="U962" s="40" t="str">
        <f>IFERROR(IF($K962="","",IF($M962="Elite",MAX(50,MIN(100,Config!$B$27*MAX(0,MIN(100,(1-IF($R962="",0,$R962))*100)) + Config!$B$28*MAX(0,MIN(100,(1-MIN(1,IF(Config!$B$30=0,1,$S962/Config!$B$30)))*100)) + Config!$B$29*MAX(0,MIN(100,MIN(1,IF($T962="",0,$T962)/Config!$B$23)*100)))),MIN(100,Config!$B$27*MAX(0,MIN(100,(1-IF($R962="",0,$R962))*100)) + Config!$B$28*MAX(0,MIN(100,(1-MIN(1,IF(Config!$B$30=0,1,$S962/Config!$B$30)))*100)) + Config!$B$29*MAX(0,MIN(100,MIN(1,IF($T962="",0,$T962)/Config!$B$23)*100))))),"")
</f>
        <v/>
      </c>
      <c r="V962" s="40" t="str">
        <f>IF(Bids!$D961="","",Bids!$D961)</f>
        <v/>
      </c>
      <c r="W962" s="40" t="str">
        <f>IF(Bids!$F961="","",Bids!$F961)</f>
        <v/>
      </c>
      <c r="X962" s="40" t="str">
        <f t="shared" si="5"/>
        <v/>
      </c>
      <c r="Y962" s="40" t="str">
        <f>IF($X962="","",IF(Config!$B$17=Config!$B$16,IF($X962&gt;=Config!$B$17,100,0),MAX(0,MIN(100,($X962-Config!$B$16)/(Config!$B$17-Config!$B$16)*100))))</f>
        <v/>
      </c>
      <c r="Z962" s="40">
        <f>IF($M962="Elite",Config!$B$21,0)</f>
        <v>0</v>
      </c>
      <c r="AA962" s="40" t="str">
        <f>IFERROR(IF(OR($W962="",$H962=""),"",IF($W962&gt;$H962,
  MAX(0, 60-(($W962-$H962)*24/Config!$B$19)*60),
  MIN(100, 60+(($H962-$W962)*24/Config!$B$20)*40)
)),"")
</f>
        <v/>
      </c>
      <c r="AB962" s="40" t="str">
        <f>IF($K962="","",IFERROR(VLOOKUP($K962,Grinders!$A$4:$N$998,10,FALSE)/5*100,""))</f>
        <v/>
      </c>
      <c r="AC962" s="40" t="str">
        <f>IF($K962="","",IFERROR(VLOOKUP($K962,Grinders!$A$4:$N$998,11,FALSE)*100,""))</f>
        <v/>
      </c>
      <c r="AD962" s="40" t="str">
        <f>IF($K962="","",IFERROR(VLOOKUP($K962,Grinders!$A$4:$N$998,12,FALSE)*100,""))</f>
        <v/>
      </c>
      <c r="AE962" s="40">
        <f>IFERROR(IFS(
    OR($C962="", $K962=""), 0,
    $F962=0, 0,
    $D962&lt;&gt;"Open", 0,
    COUNTIFS(GrinderServices!$B$4:$B$998, $K962, GrinderServices!$C$4:$C$998, $E962, GrinderServices!$E$4:$E$998, "Y")=0, 0,
    $X962&lt;Config!$B$16, 0,
    Config!$B$18=1, IF($O962&gt;=N962, 0, 1),
    TRUE, 1
), "")
</f>
        <v>0</v>
      </c>
      <c r="AF962" s="40" t="str">
        <f>IFERROR(IF($AE962=0,"",((Config!$B$6*$Y962 + Config!$B$7*$U962 + Config!$B$8*$Z962 + Config!$B$9*$AA962 + Config!$B$10*$AB962 + Config!$B$11*$AC962 - Config!$B$12*$AD962)/Config!$B$13)+$AK962+$AL962),"")</f>
        <v/>
      </c>
      <c r="AG962" s="40" t="str">
        <f t="shared" si="6"/>
        <v/>
      </c>
      <c r="AH962" s="40" t="str">
        <f t="shared" si="7"/>
        <v/>
      </c>
      <c r="AI962" s="40" t="str">
        <f t="shared" si="8"/>
        <v/>
      </c>
      <c r="AJ962" s="40" t="str">
        <f>IF($K962="","",COUNTIF(Assignments!$B$6:$B$1000,$K962))</f>
        <v/>
      </c>
      <c r="AK962" s="40" t="str">
        <f>IF($K962="","",IF(AND($AJ962=0,$O962&lt;$N962),Config!$B$43,0))</f>
        <v/>
      </c>
      <c r="AL962" s="40" t="str">
        <f>IF($K962="","",IF(AND($M962="Elite",$G962&gt;=Config!$B$41,$O962&lt;$N962),Config!$B$42,0))</f>
        <v/>
      </c>
      <c r="AM962" s="22"/>
    </row>
    <row r="963" ht="15.75" customHeight="1">
      <c r="A963" s="40" t="str">
        <f t="shared" si="1"/>
        <v/>
      </c>
      <c r="B963" s="40" t="str">
        <f>IF(Bids!$A962="","",Bids!$A962)</f>
        <v/>
      </c>
      <c r="C963" s="40" t="str">
        <f>IF(Bids!$B962="","",Bids!$B962)</f>
        <v/>
      </c>
      <c r="D963" s="40" t="str">
        <f>IF($C963="","",IFERROR(VLOOKUP($C963,Orders!$A$4:$J$998,9,FALSE),""))</f>
        <v/>
      </c>
      <c r="E963" s="40" t="str">
        <f>IF($C963="","",IFERROR(VLOOKUP($C963,Orders!$A$4:$J$998,3,FALSE),""))</f>
        <v/>
      </c>
      <c r="F963" s="40">
        <f t="shared" si="2"/>
        <v>1</v>
      </c>
      <c r="G963" s="40" t="str">
        <f>IF($C963="","",IFERROR(VLOOKUP($C963,Orders!$A$4:$J$998,4,FALSE),""))</f>
        <v/>
      </c>
      <c r="H963" s="40" t="str">
        <f>IF($C963="","",IFERROR(VLOOKUP($C963,Orders!$A$4:$J$998,5,FALSE),""))</f>
        <v/>
      </c>
      <c r="I963" s="40" t="str">
        <f>IF($C963="","",IFERROR(VLOOKUP($C963,Orders!$A$4:$J$998,6,FALSE),""))</f>
        <v/>
      </c>
      <c r="J963" s="40" t="str">
        <f>IF($C963="","",IFERROR(VLOOKUP($C963,Orders!$A$4:$J$998,7,FALSE),""))</f>
        <v/>
      </c>
      <c r="K963" s="40" t="str">
        <f>IF(Bids!$C962="","",Bids!$C962)</f>
        <v/>
      </c>
      <c r="L963" s="40" t="str">
        <f>IF($K963="","",IFERROR(VLOOKUP($K963,Grinders!$A$4:$N$998,2,FALSE),""))</f>
        <v/>
      </c>
      <c r="M963" s="40" t="str">
        <f>IF($K963="","",IFERROR(VLOOKUP($K963,Grinders!$A$4:$N$998,3,FALSE),""))</f>
        <v/>
      </c>
      <c r="N963" s="40" t="str">
        <f>IF($K963="","",IFERROR(VLOOKUP($K963,Grinders!$A$4:$N$998,4,FALSE),""))</f>
        <v/>
      </c>
      <c r="O963" s="40" t="str">
        <f>IF($K963="","",IFERROR(VLOOKUP($K963,Grinders!$A$4:$N$998,5,FALSE),""))</f>
        <v/>
      </c>
      <c r="P963" s="40" t="str">
        <f>IF($K963="","",IF($C$4="",0,COUNTIFS(Assignments!$B$6:$B$1000,$K963,Assignments!$F$6:$F$1000,$C$4,Assignments!$E$6:$E$1000,"Active")))</f>
        <v/>
      </c>
      <c r="Q963" s="40" t="str">
        <f t="shared" si="3"/>
        <v/>
      </c>
      <c r="R963" s="40" t="str">
        <f t="shared" si="4"/>
        <v/>
      </c>
      <c r="S963" s="40" t="str">
        <f>IF($K963="","",IF($C$4="",0,COUNTIFS(Assignments!$B$6:$B$1000,$K963,Assignments!$F$6:$F$1000,$C$4,Assignments!$D$6:$D$1000,"&gt;="&amp;Config!$B$3-7,Assignments!$D$6:$D$1000,"&lt;="&amp;Config!$B$3)))</f>
        <v/>
      </c>
      <c r="T963" s="40" t="str">
        <f>IF($K963="","",IFERROR(VLOOKUP($K963,Grinders!$A$4:$N$998,8,FALSE),""))</f>
        <v/>
      </c>
      <c r="U963" s="40" t="str">
        <f>IFERROR(IF($K963="","",IF($M963="Elite",MAX(50,MIN(100,Config!$B$27*MAX(0,MIN(100,(1-IF($R963="",0,$R963))*100)) + Config!$B$28*MAX(0,MIN(100,(1-MIN(1,IF(Config!$B$30=0,1,$S963/Config!$B$30)))*100)) + Config!$B$29*MAX(0,MIN(100,MIN(1,IF($T963="",0,$T963)/Config!$B$23)*100)))),MIN(100,Config!$B$27*MAX(0,MIN(100,(1-IF($R963="",0,$R963))*100)) + Config!$B$28*MAX(0,MIN(100,(1-MIN(1,IF(Config!$B$30=0,1,$S963/Config!$B$30)))*100)) + Config!$B$29*MAX(0,MIN(100,MIN(1,IF($T963="",0,$T963)/Config!$B$23)*100))))),"")
</f>
        <v/>
      </c>
      <c r="V963" s="40" t="str">
        <f>IF(Bids!$D962="","",Bids!$D962)</f>
        <v/>
      </c>
      <c r="W963" s="40" t="str">
        <f>IF(Bids!$F962="","",Bids!$F962)</f>
        <v/>
      </c>
      <c r="X963" s="40" t="str">
        <f t="shared" si="5"/>
        <v/>
      </c>
      <c r="Y963" s="40" t="str">
        <f>IF($X963="","",IF(Config!$B$17=Config!$B$16,IF($X963&gt;=Config!$B$17,100,0),MAX(0,MIN(100,($X963-Config!$B$16)/(Config!$B$17-Config!$B$16)*100))))</f>
        <v/>
      </c>
      <c r="Z963" s="40">
        <f>IF($M963="Elite",Config!$B$21,0)</f>
        <v>0</v>
      </c>
      <c r="AA963" s="40" t="str">
        <f>IFERROR(IF(OR($W963="",$H963=""),"",IF($W963&gt;$H963,
  MAX(0, 60-(($W963-$H963)*24/Config!$B$19)*60),
  MIN(100, 60+(($H963-$W963)*24/Config!$B$20)*40)
)),"")
</f>
        <v/>
      </c>
      <c r="AB963" s="40" t="str">
        <f>IF($K963="","",IFERROR(VLOOKUP($K963,Grinders!$A$4:$N$998,10,FALSE)/5*100,""))</f>
        <v/>
      </c>
      <c r="AC963" s="40" t="str">
        <f>IF($K963="","",IFERROR(VLOOKUP($K963,Grinders!$A$4:$N$998,11,FALSE)*100,""))</f>
        <v/>
      </c>
      <c r="AD963" s="40" t="str">
        <f>IF($K963="","",IFERROR(VLOOKUP($K963,Grinders!$A$4:$N$998,12,FALSE)*100,""))</f>
        <v/>
      </c>
      <c r="AE963" s="40">
        <f>IFERROR(IFS(
    OR($C963="", $K963=""), 0,
    $F963=0, 0,
    $D963&lt;&gt;"Open", 0,
    COUNTIFS(GrinderServices!$B$4:$B$998, $K963, GrinderServices!$C$4:$C$998, $E963, GrinderServices!$E$4:$E$998, "Y")=0, 0,
    $X963&lt;Config!$B$16, 0,
    Config!$B$18=1, IF($O963&gt;=N963, 0, 1),
    TRUE, 1
), "")
</f>
        <v>0</v>
      </c>
      <c r="AF963" s="40" t="str">
        <f>IFERROR(IF($AE963=0,"",((Config!$B$6*$Y963 + Config!$B$7*$U963 + Config!$B$8*$Z963 + Config!$B$9*$AA963 + Config!$B$10*$AB963 + Config!$B$11*$AC963 - Config!$B$12*$AD963)/Config!$B$13)+$AK963+$AL963),"")</f>
        <v/>
      </c>
      <c r="AG963" s="40" t="str">
        <f t="shared" si="6"/>
        <v/>
      </c>
      <c r="AH963" s="40" t="str">
        <f t="shared" si="7"/>
        <v/>
      </c>
      <c r="AI963" s="40" t="str">
        <f t="shared" si="8"/>
        <v/>
      </c>
      <c r="AJ963" s="40" t="str">
        <f>IF($K963="","",COUNTIF(Assignments!$B$6:$B$1000,$K963))</f>
        <v/>
      </c>
      <c r="AK963" s="40" t="str">
        <f>IF($K963="","",IF(AND($AJ963=0,$O963&lt;$N963),Config!$B$43,0))</f>
        <v/>
      </c>
      <c r="AL963" s="40" t="str">
        <f>IF($K963="","",IF(AND($M963="Elite",$G963&gt;=Config!$B$41,$O963&lt;$N963),Config!$B$42,0))</f>
        <v/>
      </c>
      <c r="AM963" s="22"/>
    </row>
    <row r="964" ht="15.75" customHeight="1">
      <c r="A964" s="40" t="str">
        <f t="shared" si="1"/>
        <v/>
      </c>
      <c r="B964" s="40" t="str">
        <f>IF(Bids!$A963="","",Bids!$A963)</f>
        <v/>
      </c>
      <c r="C964" s="40" t="str">
        <f>IF(Bids!$B963="","",Bids!$B963)</f>
        <v/>
      </c>
      <c r="D964" s="40" t="str">
        <f>IF($C964="","",IFERROR(VLOOKUP($C964,Orders!$A$4:$J$998,9,FALSE),""))</f>
        <v/>
      </c>
      <c r="E964" s="40" t="str">
        <f>IF($C964="","",IFERROR(VLOOKUP($C964,Orders!$A$4:$J$998,3,FALSE),""))</f>
        <v/>
      </c>
      <c r="F964" s="40">
        <f t="shared" si="2"/>
        <v>1</v>
      </c>
      <c r="G964" s="40" t="str">
        <f>IF($C964="","",IFERROR(VLOOKUP($C964,Orders!$A$4:$J$998,4,FALSE),""))</f>
        <v/>
      </c>
      <c r="H964" s="40" t="str">
        <f>IF($C964="","",IFERROR(VLOOKUP($C964,Orders!$A$4:$J$998,5,FALSE),""))</f>
        <v/>
      </c>
      <c r="I964" s="40" t="str">
        <f>IF($C964="","",IFERROR(VLOOKUP($C964,Orders!$A$4:$J$998,6,FALSE),""))</f>
        <v/>
      </c>
      <c r="J964" s="40" t="str">
        <f>IF($C964="","",IFERROR(VLOOKUP($C964,Orders!$A$4:$J$998,7,FALSE),""))</f>
        <v/>
      </c>
      <c r="K964" s="40" t="str">
        <f>IF(Bids!$C963="","",Bids!$C963)</f>
        <v/>
      </c>
      <c r="L964" s="40" t="str">
        <f>IF($K964="","",IFERROR(VLOOKUP($K964,Grinders!$A$4:$N$998,2,FALSE),""))</f>
        <v/>
      </c>
      <c r="M964" s="40" t="str">
        <f>IF($K964="","",IFERROR(VLOOKUP($K964,Grinders!$A$4:$N$998,3,FALSE),""))</f>
        <v/>
      </c>
      <c r="N964" s="40" t="str">
        <f>IF($K964="","",IFERROR(VLOOKUP($K964,Grinders!$A$4:$N$998,4,FALSE),""))</f>
        <v/>
      </c>
      <c r="O964" s="40" t="str">
        <f>IF($K964="","",IFERROR(VLOOKUP($K964,Grinders!$A$4:$N$998,5,FALSE),""))</f>
        <v/>
      </c>
      <c r="P964" s="40" t="str">
        <f>IF($K964="","",IF($C$4="",0,COUNTIFS(Assignments!$B$6:$B$1000,$K964,Assignments!$F$6:$F$1000,$C$4,Assignments!$E$6:$E$1000,"Active")))</f>
        <v/>
      </c>
      <c r="Q964" s="40" t="str">
        <f t="shared" si="3"/>
        <v/>
      </c>
      <c r="R964" s="40" t="str">
        <f t="shared" si="4"/>
        <v/>
      </c>
      <c r="S964" s="40" t="str">
        <f>IF($K964="","",IF($C$4="",0,COUNTIFS(Assignments!$B$6:$B$1000,$K964,Assignments!$F$6:$F$1000,$C$4,Assignments!$D$6:$D$1000,"&gt;="&amp;Config!$B$3-7,Assignments!$D$6:$D$1000,"&lt;="&amp;Config!$B$3)))</f>
        <v/>
      </c>
      <c r="T964" s="40" t="str">
        <f>IF($K964="","",IFERROR(VLOOKUP($K964,Grinders!$A$4:$N$998,8,FALSE),""))</f>
        <v/>
      </c>
      <c r="U964" s="40" t="str">
        <f>IFERROR(IF($K964="","",IF($M964="Elite",MAX(50,MIN(100,Config!$B$27*MAX(0,MIN(100,(1-IF($R964="",0,$R964))*100)) + Config!$B$28*MAX(0,MIN(100,(1-MIN(1,IF(Config!$B$30=0,1,$S964/Config!$B$30)))*100)) + Config!$B$29*MAX(0,MIN(100,MIN(1,IF($T964="",0,$T964)/Config!$B$23)*100)))),MIN(100,Config!$B$27*MAX(0,MIN(100,(1-IF($R964="",0,$R964))*100)) + Config!$B$28*MAX(0,MIN(100,(1-MIN(1,IF(Config!$B$30=0,1,$S964/Config!$B$30)))*100)) + Config!$B$29*MAX(0,MIN(100,MIN(1,IF($T964="",0,$T964)/Config!$B$23)*100))))),"")
</f>
        <v/>
      </c>
      <c r="V964" s="40" t="str">
        <f>IF(Bids!$D963="","",Bids!$D963)</f>
        <v/>
      </c>
      <c r="W964" s="40" t="str">
        <f>IF(Bids!$F963="","",Bids!$F963)</f>
        <v/>
      </c>
      <c r="X964" s="40" t="str">
        <f t="shared" si="5"/>
        <v/>
      </c>
      <c r="Y964" s="40" t="str">
        <f>IF($X964="","",IF(Config!$B$17=Config!$B$16,IF($X964&gt;=Config!$B$17,100,0),MAX(0,MIN(100,($X964-Config!$B$16)/(Config!$B$17-Config!$B$16)*100))))</f>
        <v/>
      </c>
      <c r="Z964" s="40">
        <f>IF($M964="Elite",Config!$B$21,0)</f>
        <v>0</v>
      </c>
      <c r="AA964" s="40" t="str">
        <f>IFERROR(IF(OR($W964="",$H964=""),"",IF($W964&gt;$H964,
  MAX(0, 60-(($W964-$H964)*24/Config!$B$19)*60),
  MIN(100, 60+(($H964-$W964)*24/Config!$B$20)*40)
)),"")
</f>
        <v/>
      </c>
      <c r="AB964" s="40" t="str">
        <f>IF($K964="","",IFERROR(VLOOKUP($K964,Grinders!$A$4:$N$998,10,FALSE)/5*100,""))</f>
        <v/>
      </c>
      <c r="AC964" s="40" t="str">
        <f>IF($K964="","",IFERROR(VLOOKUP($K964,Grinders!$A$4:$N$998,11,FALSE)*100,""))</f>
        <v/>
      </c>
      <c r="AD964" s="40" t="str">
        <f>IF($K964="","",IFERROR(VLOOKUP($K964,Grinders!$A$4:$N$998,12,FALSE)*100,""))</f>
        <v/>
      </c>
      <c r="AE964" s="40">
        <f>IFERROR(IFS(
    OR($C964="", $K964=""), 0,
    $F964=0, 0,
    $D964&lt;&gt;"Open", 0,
    COUNTIFS(GrinderServices!$B$4:$B$998, $K964, GrinderServices!$C$4:$C$998, $E964, GrinderServices!$E$4:$E$998, "Y")=0, 0,
    $X964&lt;Config!$B$16, 0,
    Config!$B$18=1, IF($O964&gt;=N964, 0, 1),
    TRUE, 1
), "")
</f>
        <v>0</v>
      </c>
      <c r="AF964" s="40" t="str">
        <f>IFERROR(IF($AE964=0,"",((Config!$B$6*$Y964 + Config!$B$7*$U964 + Config!$B$8*$Z964 + Config!$B$9*$AA964 + Config!$B$10*$AB964 + Config!$B$11*$AC964 - Config!$B$12*$AD964)/Config!$B$13)+$AK964+$AL964),"")</f>
        <v/>
      </c>
      <c r="AG964" s="40" t="str">
        <f t="shared" si="6"/>
        <v/>
      </c>
      <c r="AH964" s="40" t="str">
        <f t="shared" si="7"/>
        <v/>
      </c>
      <c r="AI964" s="40" t="str">
        <f t="shared" si="8"/>
        <v/>
      </c>
      <c r="AJ964" s="40" t="str">
        <f>IF($K964="","",COUNTIF(Assignments!$B$6:$B$1000,$K964))</f>
        <v/>
      </c>
      <c r="AK964" s="40" t="str">
        <f>IF($K964="","",IF(AND($AJ964=0,$O964&lt;$N964),Config!$B$43,0))</f>
        <v/>
      </c>
      <c r="AL964" s="40" t="str">
        <f>IF($K964="","",IF(AND($M964="Elite",$G964&gt;=Config!$B$41,$O964&lt;$N964),Config!$B$42,0))</f>
        <v/>
      </c>
      <c r="AM964" s="22"/>
    </row>
    <row r="965" ht="15.75" customHeight="1">
      <c r="A965" s="40" t="str">
        <f t="shared" si="1"/>
        <v/>
      </c>
      <c r="B965" s="40" t="str">
        <f>IF(Bids!$A964="","",Bids!$A964)</f>
        <v/>
      </c>
      <c r="C965" s="40" t="str">
        <f>IF(Bids!$B964="","",Bids!$B964)</f>
        <v/>
      </c>
      <c r="D965" s="40" t="str">
        <f>IF($C965="","",IFERROR(VLOOKUP($C965,Orders!$A$4:$J$998,9,FALSE),""))</f>
        <v/>
      </c>
      <c r="E965" s="40" t="str">
        <f>IF($C965="","",IFERROR(VLOOKUP($C965,Orders!$A$4:$J$998,3,FALSE),""))</f>
        <v/>
      </c>
      <c r="F965" s="40">
        <f t="shared" si="2"/>
        <v>1</v>
      </c>
      <c r="G965" s="40" t="str">
        <f>IF($C965="","",IFERROR(VLOOKUP($C965,Orders!$A$4:$J$998,4,FALSE),""))</f>
        <v/>
      </c>
      <c r="H965" s="40" t="str">
        <f>IF($C965="","",IFERROR(VLOOKUP($C965,Orders!$A$4:$J$998,5,FALSE),""))</f>
        <v/>
      </c>
      <c r="I965" s="40" t="str">
        <f>IF($C965="","",IFERROR(VLOOKUP($C965,Orders!$A$4:$J$998,6,FALSE),""))</f>
        <v/>
      </c>
      <c r="J965" s="40" t="str">
        <f>IF($C965="","",IFERROR(VLOOKUP($C965,Orders!$A$4:$J$998,7,FALSE),""))</f>
        <v/>
      </c>
      <c r="K965" s="40" t="str">
        <f>IF(Bids!$C964="","",Bids!$C964)</f>
        <v/>
      </c>
      <c r="L965" s="40" t="str">
        <f>IF($K965="","",IFERROR(VLOOKUP($K965,Grinders!$A$4:$N$998,2,FALSE),""))</f>
        <v/>
      </c>
      <c r="M965" s="40" t="str">
        <f>IF($K965="","",IFERROR(VLOOKUP($K965,Grinders!$A$4:$N$998,3,FALSE),""))</f>
        <v/>
      </c>
      <c r="N965" s="40" t="str">
        <f>IF($K965="","",IFERROR(VLOOKUP($K965,Grinders!$A$4:$N$998,4,FALSE),""))</f>
        <v/>
      </c>
      <c r="O965" s="40" t="str">
        <f>IF($K965="","",IFERROR(VLOOKUP($K965,Grinders!$A$4:$N$998,5,FALSE),""))</f>
        <v/>
      </c>
      <c r="P965" s="40" t="str">
        <f>IF($K965="","",IF($C$4="",0,COUNTIFS(Assignments!$B$6:$B$1000,$K965,Assignments!$F$6:$F$1000,$C$4,Assignments!$E$6:$E$1000,"Active")))</f>
        <v/>
      </c>
      <c r="Q965" s="40" t="str">
        <f t="shared" si="3"/>
        <v/>
      </c>
      <c r="R965" s="40" t="str">
        <f t="shared" si="4"/>
        <v/>
      </c>
      <c r="S965" s="40" t="str">
        <f>IF($K965="","",IF($C$4="",0,COUNTIFS(Assignments!$B$6:$B$1000,$K965,Assignments!$F$6:$F$1000,$C$4,Assignments!$D$6:$D$1000,"&gt;="&amp;Config!$B$3-7,Assignments!$D$6:$D$1000,"&lt;="&amp;Config!$B$3)))</f>
        <v/>
      </c>
      <c r="T965" s="40" t="str">
        <f>IF($K965="","",IFERROR(VLOOKUP($K965,Grinders!$A$4:$N$998,8,FALSE),""))</f>
        <v/>
      </c>
      <c r="U965" s="40" t="str">
        <f>IFERROR(IF($K965="","",IF($M965="Elite",MAX(50,MIN(100,Config!$B$27*MAX(0,MIN(100,(1-IF($R965="",0,$R965))*100)) + Config!$B$28*MAX(0,MIN(100,(1-MIN(1,IF(Config!$B$30=0,1,$S965/Config!$B$30)))*100)) + Config!$B$29*MAX(0,MIN(100,MIN(1,IF($T965="",0,$T965)/Config!$B$23)*100)))),MIN(100,Config!$B$27*MAX(0,MIN(100,(1-IF($R965="",0,$R965))*100)) + Config!$B$28*MAX(0,MIN(100,(1-MIN(1,IF(Config!$B$30=0,1,$S965/Config!$B$30)))*100)) + Config!$B$29*MAX(0,MIN(100,MIN(1,IF($T965="",0,$T965)/Config!$B$23)*100))))),"")
</f>
        <v/>
      </c>
      <c r="V965" s="40" t="str">
        <f>IF(Bids!$D964="","",Bids!$D964)</f>
        <v/>
      </c>
      <c r="W965" s="40" t="str">
        <f>IF(Bids!$F964="","",Bids!$F964)</f>
        <v/>
      </c>
      <c r="X965" s="40" t="str">
        <f t="shared" si="5"/>
        <v/>
      </c>
      <c r="Y965" s="40" t="str">
        <f>IF($X965="","",IF(Config!$B$17=Config!$B$16,IF($X965&gt;=Config!$B$17,100,0),MAX(0,MIN(100,($X965-Config!$B$16)/(Config!$B$17-Config!$B$16)*100))))</f>
        <v/>
      </c>
      <c r="Z965" s="40">
        <f>IF($M965="Elite",Config!$B$21,0)</f>
        <v>0</v>
      </c>
      <c r="AA965" s="40" t="str">
        <f>IFERROR(IF(OR($W965="",$H965=""),"",IF($W965&gt;$H965,
  MAX(0, 60-(($W965-$H965)*24/Config!$B$19)*60),
  MIN(100, 60+(($H965-$W965)*24/Config!$B$20)*40)
)),"")
</f>
        <v/>
      </c>
      <c r="AB965" s="40" t="str">
        <f>IF($K965="","",IFERROR(VLOOKUP($K965,Grinders!$A$4:$N$998,10,FALSE)/5*100,""))</f>
        <v/>
      </c>
      <c r="AC965" s="40" t="str">
        <f>IF($K965="","",IFERROR(VLOOKUP($K965,Grinders!$A$4:$N$998,11,FALSE)*100,""))</f>
        <v/>
      </c>
      <c r="AD965" s="40" t="str">
        <f>IF($K965="","",IFERROR(VLOOKUP($K965,Grinders!$A$4:$N$998,12,FALSE)*100,""))</f>
        <v/>
      </c>
      <c r="AE965" s="40">
        <f>IFERROR(IFS(
    OR($C965="", $K965=""), 0,
    $F965=0, 0,
    $D965&lt;&gt;"Open", 0,
    COUNTIFS(GrinderServices!$B$4:$B$998, $K965, GrinderServices!$C$4:$C$998, $E965, GrinderServices!$E$4:$E$998, "Y")=0, 0,
    $X965&lt;Config!$B$16, 0,
    Config!$B$18=1, IF($O965&gt;=N965, 0, 1),
    TRUE, 1
), "")
</f>
        <v>0</v>
      </c>
      <c r="AF965" s="40" t="str">
        <f>IFERROR(IF($AE965=0,"",((Config!$B$6*$Y965 + Config!$B$7*$U965 + Config!$B$8*$Z965 + Config!$B$9*$AA965 + Config!$B$10*$AB965 + Config!$B$11*$AC965 - Config!$B$12*$AD965)/Config!$B$13)+$AK965+$AL965),"")</f>
        <v/>
      </c>
      <c r="AG965" s="40" t="str">
        <f t="shared" si="6"/>
        <v/>
      </c>
      <c r="AH965" s="40" t="str">
        <f t="shared" si="7"/>
        <v/>
      </c>
      <c r="AI965" s="40" t="str">
        <f t="shared" si="8"/>
        <v/>
      </c>
      <c r="AJ965" s="40" t="str">
        <f>IF($K965="","",COUNTIF(Assignments!$B$6:$B$1000,$K965))</f>
        <v/>
      </c>
      <c r="AK965" s="40" t="str">
        <f>IF($K965="","",IF(AND($AJ965=0,$O965&lt;$N965),Config!$B$43,0))</f>
        <v/>
      </c>
      <c r="AL965" s="40" t="str">
        <f>IF($K965="","",IF(AND($M965="Elite",$G965&gt;=Config!$B$41,$O965&lt;$N965),Config!$B$42,0))</f>
        <v/>
      </c>
      <c r="AM965" s="22"/>
    </row>
    <row r="966" ht="15.75" customHeight="1">
      <c r="A966" s="40" t="str">
        <f t="shared" si="1"/>
        <v/>
      </c>
      <c r="B966" s="40" t="str">
        <f>IF(Bids!$A965="","",Bids!$A965)</f>
        <v/>
      </c>
      <c r="C966" s="40" t="str">
        <f>IF(Bids!$B965="","",Bids!$B965)</f>
        <v/>
      </c>
      <c r="D966" s="40" t="str">
        <f>IF($C966="","",IFERROR(VLOOKUP($C966,Orders!$A$4:$J$998,9,FALSE),""))</f>
        <v/>
      </c>
      <c r="E966" s="40" t="str">
        <f>IF($C966="","",IFERROR(VLOOKUP($C966,Orders!$A$4:$J$998,3,FALSE),""))</f>
        <v/>
      </c>
      <c r="F966" s="40">
        <f t="shared" si="2"/>
        <v>1</v>
      </c>
      <c r="G966" s="40" t="str">
        <f>IF($C966="","",IFERROR(VLOOKUP($C966,Orders!$A$4:$J$998,4,FALSE),""))</f>
        <v/>
      </c>
      <c r="H966" s="40" t="str">
        <f>IF($C966="","",IFERROR(VLOOKUP($C966,Orders!$A$4:$J$998,5,FALSE),""))</f>
        <v/>
      </c>
      <c r="I966" s="40" t="str">
        <f>IF($C966="","",IFERROR(VLOOKUP($C966,Orders!$A$4:$J$998,6,FALSE),""))</f>
        <v/>
      </c>
      <c r="J966" s="40" t="str">
        <f>IF($C966="","",IFERROR(VLOOKUP($C966,Orders!$A$4:$J$998,7,FALSE),""))</f>
        <v/>
      </c>
      <c r="K966" s="40" t="str">
        <f>IF(Bids!$C965="","",Bids!$C965)</f>
        <v/>
      </c>
      <c r="L966" s="40" t="str">
        <f>IF($K966="","",IFERROR(VLOOKUP($K966,Grinders!$A$4:$N$998,2,FALSE),""))</f>
        <v/>
      </c>
      <c r="M966" s="40" t="str">
        <f>IF($K966="","",IFERROR(VLOOKUP($K966,Grinders!$A$4:$N$998,3,FALSE),""))</f>
        <v/>
      </c>
      <c r="N966" s="40" t="str">
        <f>IF($K966="","",IFERROR(VLOOKUP($K966,Grinders!$A$4:$N$998,4,FALSE),""))</f>
        <v/>
      </c>
      <c r="O966" s="40" t="str">
        <f>IF($K966="","",IFERROR(VLOOKUP($K966,Grinders!$A$4:$N$998,5,FALSE),""))</f>
        <v/>
      </c>
      <c r="P966" s="40" t="str">
        <f>IF($K966="","",IF($C$4="",0,COUNTIFS(Assignments!$B$6:$B$1000,$K966,Assignments!$F$6:$F$1000,$C$4,Assignments!$E$6:$E$1000,"Active")))</f>
        <v/>
      </c>
      <c r="Q966" s="40" t="str">
        <f t="shared" si="3"/>
        <v/>
      </c>
      <c r="R966" s="40" t="str">
        <f t="shared" si="4"/>
        <v/>
      </c>
      <c r="S966" s="40" t="str">
        <f>IF($K966="","",IF($C$4="",0,COUNTIFS(Assignments!$B$6:$B$1000,$K966,Assignments!$F$6:$F$1000,$C$4,Assignments!$D$6:$D$1000,"&gt;="&amp;Config!$B$3-7,Assignments!$D$6:$D$1000,"&lt;="&amp;Config!$B$3)))</f>
        <v/>
      </c>
      <c r="T966" s="40" t="str">
        <f>IF($K966="","",IFERROR(VLOOKUP($K966,Grinders!$A$4:$N$998,8,FALSE),""))</f>
        <v/>
      </c>
      <c r="U966" s="40" t="str">
        <f>IFERROR(IF($K966="","",IF($M966="Elite",MAX(50,MIN(100,Config!$B$27*MAX(0,MIN(100,(1-IF($R966="",0,$R966))*100)) + Config!$B$28*MAX(0,MIN(100,(1-MIN(1,IF(Config!$B$30=0,1,$S966/Config!$B$30)))*100)) + Config!$B$29*MAX(0,MIN(100,MIN(1,IF($T966="",0,$T966)/Config!$B$23)*100)))),MIN(100,Config!$B$27*MAX(0,MIN(100,(1-IF($R966="",0,$R966))*100)) + Config!$B$28*MAX(0,MIN(100,(1-MIN(1,IF(Config!$B$30=0,1,$S966/Config!$B$30)))*100)) + Config!$B$29*MAX(0,MIN(100,MIN(1,IF($T966="",0,$T966)/Config!$B$23)*100))))),"")
</f>
        <v/>
      </c>
      <c r="V966" s="40" t="str">
        <f>IF(Bids!$D965="","",Bids!$D965)</f>
        <v/>
      </c>
      <c r="W966" s="40" t="str">
        <f>IF(Bids!$F965="","",Bids!$F965)</f>
        <v/>
      </c>
      <c r="X966" s="40" t="str">
        <f t="shared" si="5"/>
        <v/>
      </c>
      <c r="Y966" s="40" t="str">
        <f>IF($X966="","",IF(Config!$B$17=Config!$B$16,IF($X966&gt;=Config!$B$17,100,0),MAX(0,MIN(100,($X966-Config!$B$16)/(Config!$B$17-Config!$B$16)*100))))</f>
        <v/>
      </c>
      <c r="Z966" s="40">
        <f>IF($M966="Elite",Config!$B$21,0)</f>
        <v>0</v>
      </c>
      <c r="AA966" s="40" t="str">
        <f>IFERROR(IF(OR($W966="",$H966=""),"",IF($W966&gt;$H966,
  MAX(0, 60-(($W966-$H966)*24/Config!$B$19)*60),
  MIN(100, 60+(($H966-$W966)*24/Config!$B$20)*40)
)),"")
</f>
        <v/>
      </c>
      <c r="AB966" s="40" t="str">
        <f>IF($K966="","",IFERROR(VLOOKUP($K966,Grinders!$A$4:$N$998,10,FALSE)/5*100,""))</f>
        <v/>
      </c>
      <c r="AC966" s="40" t="str">
        <f>IF($K966="","",IFERROR(VLOOKUP($K966,Grinders!$A$4:$N$998,11,FALSE)*100,""))</f>
        <v/>
      </c>
      <c r="AD966" s="40" t="str">
        <f>IF($K966="","",IFERROR(VLOOKUP($K966,Grinders!$A$4:$N$998,12,FALSE)*100,""))</f>
        <v/>
      </c>
      <c r="AE966" s="40">
        <f>IFERROR(IFS(
    OR($C966="", $K966=""), 0,
    $F966=0, 0,
    $D966&lt;&gt;"Open", 0,
    COUNTIFS(GrinderServices!$B$4:$B$998, $K966, GrinderServices!$C$4:$C$998, $E966, GrinderServices!$E$4:$E$998, "Y")=0, 0,
    $X966&lt;Config!$B$16, 0,
    Config!$B$18=1, IF($O966&gt;=N966, 0, 1),
    TRUE, 1
), "")
</f>
        <v>0</v>
      </c>
      <c r="AF966" s="40" t="str">
        <f>IFERROR(IF($AE966=0,"",((Config!$B$6*$Y966 + Config!$B$7*$U966 + Config!$B$8*$Z966 + Config!$B$9*$AA966 + Config!$B$10*$AB966 + Config!$B$11*$AC966 - Config!$B$12*$AD966)/Config!$B$13)+$AK966+$AL966),"")</f>
        <v/>
      </c>
      <c r="AG966" s="40" t="str">
        <f t="shared" si="6"/>
        <v/>
      </c>
      <c r="AH966" s="40" t="str">
        <f t="shared" si="7"/>
        <v/>
      </c>
      <c r="AI966" s="40" t="str">
        <f t="shared" si="8"/>
        <v/>
      </c>
      <c r="AJ966" s="40" t="str">
        <f>IF($K966="","",COUNTIF(Assignments!$B$6:$B$1000,$K966))</f>
        <v/>
      </c>
      <c r="AK966" s="40" t="str">
        <f>IF($K966="","",IF(AND($AJ966=0,$O966&lt;$N966),Config!$B$43,0))</f>
        <v/>
      </c>
      <c r="AL966" s="40" t="str">
        <f>IF($K966="","",IF(AND($M966="Elite",$G966&gt;=Config!$B$41,$O966&lt;$N966),Config!$B$42,0))</f>
        <v/>
      </c>
      <c r="AM966" s="22"/>
    </row>
    <row r="967" ht="15.75" customHeight="1">
      <c r="A967" s="40" t="str">
        <f t="shared" si="1"/>
        <v/>
      </c>
      <c r="B967" s="40" t="str">
        <f>IF(Bids!$A966="","",Bids!$A966)</f>
        <v/>
      </c>
      <c r="C967" s="40" t="str">
        <f>IF(Bids!$B966="","",Bids!$B966)</f>
        <v/>
      </c>
      <c r="D967" s="40" t="str">
        <f>IF($C967="","",IFERROR(VLOOKUP($C967,Orders!$A$4:$J$998,9,FALSE),""))</f>
        <v/>
      </c>
      <c r="E967" s="40" t="str">
        <f>IF($C967="","",IFERROR(VLOOKUP($C967,Orders!$A$4:$J$998,3,FALSE),""))</f>
        <v/>
      </c>
      <c r="F967" s="40">
        <f t="shared" si="2"/>
        <v>1</v>
      </c>
      <c r="G967" s="40" t="str">
        <f>IF($C967="","",IFERROR(VLOOKUP($C967,Orders!$A$4:$J$998,4,FALSE),""))</f>
        <v/>
      </c>
      <c r="H967" s="40" t="str">
        <f>IF($C967="","",IFERROR(VLOOKUP($C967,Orders!$A$4:$J$998,5,FALSE),""))</f>
        <v/>
      </c>
      <c r="I967" s="40" t="str">
        <f>IF($C967="","",IFERROR(VLOOKUP($C967,Orders!$A$4:$J$998,6,FALSE),""))</f>
        <v/>
      </c>
      <c r="J967" s="40" t="str">
        <f>IF($C967="","",IFERROR(VLOOKUP($C967,Orders!$A$4:$J$998,7,FALSE),""))</f>
        <v/>
      </c>
      <c r="K967" s="40" t="str">
        <f>IF(Bids!$C966="","",Bids!$C966)</f>
        <v/>
      </c>
      <c r="L967" s="40" t="str">
        <f>IF($K967="","",IFERROR(VLOOKUP($K967,Grinders!$A$4:$N$998,2,FALSE),""))</f>
        <v/>
      </c>
      <c r="M967" s="40" t="str">
        <f>IF($K967="","",IFERROR(VLOOKUP($K967,Grinders!$A$4:$N$998,3,FALSE),""))</f>
        <v/>
      </c>
      <c r="N967" s="40" t="str">
        <f>IF($K967="","",IFERROR(VLOOKUP($K967,Grinders!$A$4:$N$998,4,FALSE),""))</f>
        <v/>
      </c>
      <c r="O967" s="40" t="str">
        <f>IF($K967="","",IFERROR(VLOOKUP($K967,Grinders!$A$4:$N$998,5,FALSE),""))</f>
        <v/>
      </c>
      <c r="P967" s="40" t="str">
        <f>IF($K967="","",IF($C$4="",0,COUNTIFS(Assignments!$B$6:$B$1000,$K967,Assignments!$F$6:$F$1000,$C$4,Assignments!$E$6:$E$1000,"Active")))</f>
        <v/>
      </c>
      <c r="Q967" s="40" t="str">
        <f t="shared" si="3"/>
        <v/>
      </c>
      <c r="R967" s="40" t="str">
        <f t="shared" si="4"/>
        <v/>
      </c>
      <c r="S967" s="40" t="str">
        <f>IF($K967="","",IF($C$4="",0,COUNTIFS(Assignments!$B$6:$B$1000,$K967,Assignments!$F$6:$F$1000,$C$4,Assignments!$D$6:$D$1000,"&gt;="&amp;Config!$B$3-7,Assignments!$D$6:$D$1000,"&lt;="&amp;Config!$B$3)))</f>
        <v/>
      </c>
      <c r="T967" s="40" t="str">
        <f>IF($K967="","",IFERROR(VLOOKUP($K967,Grinders!$A$4:$N$998,8,FALSE),""))</f>
        <v/>
      </c>
      <c r="U967" s="40" t="str">
        <f>IFERROR(IF($K967="","",IF($M967="Elite",MAX(50,MIN(100,Config!$B$27*MAX(0,MIN(100,(1-IF($R967="",0,$R967))*100)) + Config!$B$28*MAX(0,MIN(100,(1-MIN(1,IF(Config!$B$30=0,1,$S967/Config!$B$30)))*100)) + Config!$B$29*MAX(0,MIN(100,MIN(1,IF($T967="",0,$T967)/Config!$B$23)*100)))),MIN(100,Config!$B$27*MAX(0,MIN(100,(1-IF($R967="",0,$R967))*100)) + Config!$B$28*MAX(0,MIN(100,(1-MIN(1,IF(Config!$B$30=0,1,$S967/Config!$B$30)))*100)) + Config!$B$29*MAX(0,MIN(100,MIN(1,IF($T967="",0,$T967)/Config!$B$23)*100))))),"")
</f>
        <v/>
      </c>
      <c r="V967" s="40" t="str">
        <f>IF(Bids!$D966="","",Bids!$D966)</f>
        <v/>
      </c>
      <c r="W967" s="40" t="str">
        <f>IF(Bids!$F966="","",Bids!$F966)</f>
        <v/>
      </c>
      <c r="X967" s="40" t="str">
        <f t="shared" si="5"/>
        <v/>
      </c>
      <c r="Y967" s="40" t="str">
        <f>IF($X967="","",IF(Config!$B$17=Config!$B$16,IF($X967&gt;=Config!$B$17,100,0),MAX(0,MIN(100,($X967-Config!$B$16)/(Config!$B$17-Config!$B$16)*100))))</f>
        <v/>
      </c>
      <c r="Z967" s="40">
        <f>IF($M967="Elite",Config!$B$21,0)</f>
        <v>0</v>
      </c>
      <c r="AA967" s="40" t="str">
        <f>IFERROR(IF(OR($W967="",$H967=""),"",IF($W967&gt;$H967,
  MAX(0, 60-(($W967-$H967)*24/Config!$B$19)*60),
  MIN(100, 60+(($H967-$W967)*24/Config!$B$20)*40)
)),"")
</f>
        <v/>
      </c>
      <c r="AB967" s="40" t="str">
        <f>IF($K967="","",IFERROR(VLOOKUP($K967,Grinders!$A$4:$N$998,10,FALSE)/5*100,""))</f>
        <v/>
      </c>
      <c r="AC967" s="40" t="str">
        <f>IF($K967="","",IFERROR(VLOOKUP($K967,Grinders!$A$4:$N$998,11,FALSE)*100,""))</f>
        <v/>
      </c>
      <c r="AD967" s="40" t="str">
        <f>IF($K967="","",IFERROR(VLOOKUP($K967,Grinders!$A$4:$N$998,12,FALSE)*100,""))</f>
        <v/>
      </c>
      <c r="AE967" s="40">
        <f>IFERROR(IFS(
    OR($C967="", $K967=""), 0,
    $F967=0, 0,
    $D967&lt;&gt;"Open", 0,
    COUNTIFS(GrinderServices!$B$4:$B$998, $K967, GrinderServices!$C$4:$C$998, $E967, GrinderServices!$E$4:$E$998, "Y")=0, 0,
    $X967&lt;Config!$B$16, 0,
    Config!$B$18=1, IF($O967&gt;=N967, 0, 1),
    TRUE, 1
), "")
</f>
        <v>0</v>
      </c>
      <c r="AF967" s="40" t="str">
        <f>IFERROR(IF($AE967=0,"",((Config!$B$6*$Y967 + Config!$B$7*$U967 + Config!$B$8*$Z967 + Config!$B$9*$AA967 + Config!$B$10*$AB967 + Config!$B$11*$AC967 - Config!$B$12*$AD967)/Config!$B$13)+$AK967+$AL967),"")</f>
        <v/>
      </c>
      <c r="AG967" s="40" t="str">
        <f t="shared" si="6"/>
        <v/>
      </c>
      <c r="AH967" s="40" t="str">
        <f t="shared" si="7"/>
        <v/>
      </c>
      <c r="AI967" s="40" t="str">
        <f t="shared" si="8"/>
        <v/>
      </c>
      <c r="AJ967" s="40" t="str">
        <f>IF($K967="","",COUNTIF(Assignments!$B$6:$B$1000,$K967))</f>
        <v/>
      </c>
      <c r="AK967" s="40" t="str">
        <f>IF($K967="","",IF(AND($AJ967=0,$O967&lt;$N967),Config!$B$43,0))</f>
        <v/>
      </c>
      <c r="AL967" s="40" t="str">
        <f>IF($K967="","",IF(AND($M967="Elite",$G967&gt;=Config!$B$41,$O967&lt;$N967),Config!$B$42,0))</f>
        <v/>
      </c>
      <c r="AM967" s="22"/>
    </row>
    <row r="968" ht="15.75" customHeight="1">
      <c r="A968" s="40" t="str">
        <f t="shared" si="1"/>
        <v/>
      </c>
      <c r="B968" s="40" t="str">
        <f>IF(Bids!$A967="","",Bids!$A967)</f>
        <v/>
      </c>
      <c r="C968" s="40" t="str">
        <f>IF(Bids!$B967="","",Bids!$B967)</f>
        <v/>
      </c>
      <c r="D968" s="40" t="str">
        <f>IF($C968="","",IFERROR(VLOOKUP($C968,Orders!$A$4:$J$998,9,FALSE),""))</f>
        <v/>
      </c>
      <c r="E968" s="40" t="str">
        <f>IF($C968="","",IFERROR(VLOOKUP($C968,Orders!$A$4:$J$998,3,FALSE),""))</f>
        <v/>
      </c>
      <c r="F968" s="40">
        <f t="shared" si="2"/>
        <v>1</v>
      </c>
      <c r="G968" s="40" t="str">
        <f>IF($C968="","",IFERROR(VLOOKUP($C968,Orders!$A$4:$J$998,4,FALSE),""))</f>
        <v/>
      </c>
      <c r="H968" s="40" t="str">
        <f>IF($C968="","",IFERROR(VLOOKUP($C968,Orders!$A$4:$J$998,5,FALSE),""))</f>
        <v/>
      </c>
      <c r="I968" s="40" t="str">
        <f>IF($C968="","",IFERROR(VLOOKUP($C968,Orders!$A$4:$J$998,6,FALSE),""))</f>
        <v/>
      </c>
      <c r="J968" s="40" t="str">
        <f>IF($C968="","",IFERROR(VLOOKUP($C968,Orders!$A$4:$J$998,7,FALSE),""))</f>
        <v/>
      </c>
      <c r="K968" s="40" t="str">
        <f>IF(Bids!$C967="","",Bids!$C967)</f>
        <v/>
      </c>
      <c r="L968" s="40" t="str">
        <f>IF($K968="","",IFERROR(VLOOKUP($K968,Grinders!$A$4:$N$998,2,FALSE),""))</f>
        <v/>
      </c>
      <c r="M968" s="40" t="str">
        <f>IF($K968="","",IFERROR(VLOOKUP($K968,Grinders!$A$4:$N$998,3,FALSE),""))</f>
        <v/>
      </c>
      <c r="N968" s="40" t="str">
        <f>IF($K968="","",IFERROR(VLOOKUP($K968,Grinders!$A$4:$N$998,4,FALSE),""))</f>
        <v/>
      </c>
      <c r="O968" s="40" t="str">
        <f>IF($K968="","",IFERROR(VLOOKUP($K968,Grinders!$A$4:$N$998,5,FALSE),""))</f>
        <v/>
      </c>
      <c r="P968" s="40" t="str">
        <f>IF($K968="","",IF($C$4="",0,COUNTIFS(Assignments!$B$6:$B$1000,$K968,Assignments!$F$6:$F$1000,$C$4,Assignments!$E$6:$E$1000,"Active")))</f>
        <v/>
      </c>
      <c r="Q968" s="40" t="str">
        <f t="shared" si="3"/>
        <v/>
      </c>
      <c r="R968" s="40" t="str">
        <f t="shared" si="4"/>
        <v/>
      </c>
      <c r="S968" s="40" t="str">
        <f>IF($K968="","",IF($C$4="",0,COUNTIFS(Assignments!$B$6:$B$1000,$K968,Assignments!$F$6:$F$1000,$C$4,Assignments!$D$6:$D$1000,"&gt;="&amp;Config!$B$3-7,Assignments!$D$6:$D$1000,"&lt;="&amp;Config!$B$3)))</f>
        <v/>
      </c>
      <c r="T968" s="40" t="str">
        <f>IF($K968="","",IFERROR(VLOOKUP($K968,Grinders!$A$4:$N$998,8,FALSE),""))</f>
        <v/>
      </c>
      <c r="U968" s="40" t="str">
        <f>IFERROR(IF($K968="","",IF($M968="Elite",MAX(50,MIN(100,Config!$B$27*MAX(0,MIN(100,(1-IF($R968="",0,$R968))*100)) + Config!$B$28*MAX(0,MIN(100,(1-MIN(1,IF(Config!$B$30=0,1,$S968/Config!$B$30)))*100)) + Config!$B$29*MAX(0,MIN(100,MIN(1,IF($T968="",0,$T968)/Config!$B$23)*100)))),MIN(100,Config!$B$27*MAX(0,MIN(100,(1-IF($R968="",0,$R968))*100)) + Config!$B$28*MAX(0,MIN(100,(1-MIN(1,IF(Config!$B$30=0,1,$S968/Config!$B$30)))*100)) + Config!$B$29*MAX(0,MIN(100,MIN(1,IF($T968="",0,$T968)/Config!$B$23)*100))))),"")
</f>
        <v/>
      </c>
      <c r="V968" s="40" t="str">
        <f>IF(Bids!$D967="","",Bids!$D967)</f>
        <v/>
      </c>
      <c r="W968" s="40" t="str">
        <f>IF(Bids!$F967="","",Bids!$F967)</f>
        <v/>
      </c>
      <c r="X968" s="40" t="str">
        <f t="shared" si="5"/>
        <v/>
      </c>
      <c r="Y968" s="40" t="str">
        <f>IF($X968="","",IF(Config!$B$17=Config!$B$16,IF($X968&gt;=Config!$B$17,100,0),MAX(0,MIN(100,($X968-Config!$B$16)/(Config!$B$17-Config!$B$16)*100))))</f>
        <v/>
      </c>
      <c r="Z968" s="40">
        <f>IF($M968="Elite",Config!$B$21,0)</f>
        <v>0</v>
      </c>
      <c r="AA968" s="40" t="str">
        <f>IFERROR(IF(OR($W968="",$H968=""),"",IF($W968&gt;$H968,
  MAX(0, 60-(($W968-$H968)*24/Config!$B$19)*60),
  MIN(100, 60+(($H968-$W968)*24/Config!$B$20)*40)
)),"")
</f>
        <v/>
      </c>
      <c r="AB968" s="40" t="str">
        <f>IF($K968="","",IFERROR(VLOOKUP($K968,Grinders!$A$4:$N$998,10,FALSE)/5*100,""))</f>
        <v/>
      </c>
      <c r="AC968" s="40" t="str">
        <f>IF($K968="","",IFERROR(VLOOKUP($K968,Grinders!$A$4:$N$998,11,FALSE)*100,""))</f>
        <v/>
      </c>
      <c r="AD968" s="40" t="str">
        <f>IF($K968="","",IFERROR(VLOOKUP($K968,Grinders!$A$4:$N$998,12,FALSE)*100,""))</f>
        <v/>
      </c>
      <c r="AE968" s="40">
        <f>IFERROR(IFS(
    OR($C968="", $K968=""), 0,
    $F968=0, 0,
    $D968&lt;&gt;"Open", 0,
    COUNTIFS(GrinderServices!$B$4:$B$998, $K968, GrinderServices!$C$4:$C$998, $E968, GrinderServices!$E$4:$E$998, "Y")=0, 0,
    $X968&lt;Config!$B$16, 0,
    Config!$B$18=1, IF($O968&gt;=N968, 0, 1),
    TRUE, 1
), "")
</f>
        <v>0</v>
      </c>
      <c r="AF968" s="40" t="str">
        <f>IFERROR(IF($AE968=0,"",((Config!$B$6*$Y968 + Config!$B$7*$U968 + Config!$B$8*$Z968 + Config!$B$9*$AA968 + Config!$B$10*$AB968 + Config!$B$11*$AC968 - Config!$B$12*$AD968)/Config!$B$13)+$AK968+$AL968),"")</f>
        <v/>
      </c>
      <c r="AG968" s="40" t="str">
        <f t="shared" si="6"/>
        <v/>
      </c>
      <c r="AH968" s="40" t="str">
        <f t="shared" si="7"/>
        <v/>
      </c>
      <c r="AI968" s="40" t="str">
        <f t="shared" si="8"/>
        <v/>
      </c>
      <c r="AJ968" s="40" t="str">
        <f>IF($K968="","",COUNTIF(Assignments!$B$6:$B$1000,$K968))</f>
        <v/>
      </c>
      <c r="AK968" s="40" t="str">
        <f>IF($K968="","",IF(AND($AJ968=0,$O968&lt;$N968),Config!$B$43,0))</f>
        <v/>
      </c>
      <c r="AL968" s="40" t="str">
        <f>IF($K968="","",IF(AND($M968="Elite",$G968&gt;=Config!$B$41,$O968&lt;$N968),Config!$B$42,0))</f>
        <v/>
      </c>
      <c r="AM968" s="22"/>
    </row>
    <row r="969" ht="15.75" customHeight="1">
      <c r="A969" s="40" t="str">
        <f t="shared" si="1"/>
        <v/>
      </c>
      <c r="B969" s="40" t="str">
        <f>IF(Bids!$A968="","",Bids!$A968)</f>
        <v/>
      </c>
      <c r="C969" s="40" t="str">
        <f>IF(Bids!$B968="","",Bids!$B968)</f>
        <v/>
      </c>
      <c r="D969" s="40" t="str">
        <f>IF($C969="","",IFERROR(VLOOKUP($C969,Orders!$A$4:$J$998,9,FALSE),""))</f>
        <v/>
      </c>
      <c r="E969" s="40" t="str">
        <f>IF($C969="","",IFERROR(VLOOKUP($C969,Orders!$A$4:$J$998,3,FALSE),""))</f>
        <v/>
      </c>
      <c r="F969" s="40">
        <f t="shared" si="2"/>
        <v>1</v>
      </c>
      <c r="G969" s="40" t="str">
        <f>IF($C969="","",IFERROR(VLOOKUP($C969,Orders!$A$4:$J$998,4,FALSE),""))</f>
        <v/>
      </c>
      <c r="H969" s="40" t="str">
        <f>IF($C969="","",IFERROR(VLOOKUP($C969,Orders!$A$4:$J$998,5,FALSE),""))</f>
        <v/>
      </c>
      <c r="I969" s="40" t="str">
        <f>IF($C969="","",IFERROR(VLOOKUP($C969,Orders!$A$4:$J$998,6,FALSE),""))</f>
        <v/>
      </c>
      <c r="J969" s="40" t="str">
        <f>IF($C969="","",IFERROR(VLOOKUP($C969,Orders!$A$4:$J$998,7,FALSE),""))</f>
        <v/>
      </c>
      <c r="K969" s="40" t="str">
        <f>IF(Bids!$C968="","",Bids!$C968)</f>
        <v/>
      </c>
      <c r="L969" s="40" t="str">
        <f>IF($K969="","",IFERROR(VLOOKUP($K969,Grinders!$A$4:$N$998,2,FALSE),""))</f>
        <v/>
      </c>
      <c r="M969" s="40" t="str">
        <f>IF($K969="","",IFERROR(VLOOKUP($K969,Grinders!$A$4:$N$998,3,FALSE),""))</f>
        <v/>
      </c>
      <c r="N969" s="40" t="str">
        <f>IF($K969="","",IFERROR(VLOOKUP($K969,Grinders!$A$4:$N$998,4,FALSE),""))</f>
        <v/>
      </c>
      <c r="O969" s="40" t="str">
        <f>IF($K969="","",IFERROR(VLOOKUP($K969,Grinders!$A$4:$N$998,5,FALSE),""))</f>
        <v/>
      </c>
      <c r="P969" s="40" t="str">
        <f>IF($K969="","",IF($C$4="",0,COUNTIFS(Assignments!$B$6:$B$1000,$K969,Assignments!$F$6:$F$1000,$C$4,Assignments!$E$6:$E$1000,"Active")))</f>
        <v/>
      </c>
      <c r="Q969" s="40" t="str">
        <f t="shared" si="3"/>
        <v/>
      </c>
      <c r="R969" s="40" t="str">
        <f t="shared" si="4"/>
        <v/>
      </c>
      <c r="S969" s="40" t="str">
        <f>IF($K969="","",IF($C$4="",0,COUNTIFS(Assignments!$B$6:$B$1000,$K969,Assignments!$F$6:$F$1000,$C$4,Assignments!$D$6:$D$1000,"&gt;="&amp;Config!$B$3-7,Assignments!$D$6:$D$1000,"&lt;="&amp;Config!$B$3)))</f>
        <v/>
      </c>
      <c r="T969" s="40" t="str">
        <f>IF($K969="","",IFERROR(VLOOKUP($K969,Grinders!$A$4:$N$998,8,FALSE),""))</f>
        <v/>
      </c>
      <c r="U969" s="40" t="str">
        <f>IFERROR(IF($K969="","",IF($M969="Elite",MAX(50,MIN(100,Config!$B$27*MAX(0,MIN(100,(1-IF($R969="",0,$R969))*100)) + Config!$B$28*MAX(0,MIN(100,(1-MIN(1,IF(Config!$B$30=0,1,$S969/Config!$B$30)))*100)) + Config!$B$29*MAX(0,MIN(100,MIN(1,IF($T969="",0,$T969)/Config!$B$23)*100)))),MIN(100,Config!$B$27*MAX(0,MIN(100,(1-IF($R969="",0,$R969))*100)) + Config!$B$28*MAX(0,MIN(100,(1-MIN(1,IF(Config!$B$30=0,1,$S969/Config!$B$30)))*100)) + Config!$B$29*MAX(0,MIN(100,MIN(1,IF($T969="",0,$T969)/Config!$B$23)*100))))),"")
</f>
        <v/>
      </c>
      <c r="V969" s="40" t="str">
        <f>IF(Bids!$D968="","",Bids!$D968)</f>
        <v/>
      </c>
      <c r="W969" s="40" t="str">
        <f>IF(Bids!$F968="","",Bids!$F968)</f>
        <v/>
      </c>
      <c r="X969" s="40" t="str">
        <f t="shared" si="5"/>
        <v/>
      </c>
      <c r="Y969" s="40" t="str">
        <f>IF($X969="","",IF(Config!$B$17=Config!$B$16,IF($X969&gt;=Config!$B$17,100,0),MAX(0,MIN(100,($X969-Config!$B$16)/(Config!$B$17-Config!$B$16)*100))))</f>
        <v/>
      </c>
      <c r="Z969" s="40">
        <f>IF($M969="Elite",Config!$B$21,0)</f>
        <v>0</v>
      </c>
      <c r="AA969" s="40" t="str">
        <f>IFERROR(IF(OR($W969="",$H969=""),"",IF($W969&gt;$H969,
  MAX(0, 60-(($W969-$H969)*24/Config!$B$19)*60),
  MIN(100, 60+(($H969-$W969)*24/Config!$B$20)*40)
)),"")
</f>
        <v/>
      </c>
      <c r="AB969" s="40" t="str">
        <f>IF($K969="","",IFERROR(VLOOKUP($K969,Grinders!$A$4:$N$998,10,FALSE)/5*100,""))</f>
        <v/>
      </c>
      <c r="AC969" s="40" t="str">
        <f>IF($K969="","",IFERROR(VLOOKUP($K969,Grinders!$A$4:$N$998,11,FALSE)*100,""))</f>
        <v/>
      </c>
      <c r="AD969" s="40" t="str">
        <f>IF($K969="","",IFERROR(VLOOKUP($K969,Grinders!$A$4:$N$998,12,FALSE)*100,""))</f>
        <v/>
      </c>
      <c r="AE969" s="40">
        <f>IFERROR(IFS(
    OR($C969="", $K969=""), 0,
    $F969=0, 0,
    $D969&lt;&gt;"Open", 0,
    COUNTIFS(GrinderServices!$B$4:$B$998, $K969, GrinderServices!$C$4:$C$998, $E969, GrinderServices!$E$4:$E$998, "Y")=0, 0,
    $X969&lt;Config!$B$16, 0,
    Config!$B$18=1, IF($O969&gt;=N969, 0, 1),
    TRUE, 1
), "")
</f>
        <v>0</v>
      </c>
      <c r="AF969" s="40" t="str">
        <f>IFERROR(IF($AE969=0,"",((Config!$B$6*$Y969 + Config!$B$7*$U969 + Config!$B$8*$Z969 + Config!$B$9*$AA969 + Config!$B$10*$AB969 + Config!$B$11*$AC969 - Config!$B$12*$AD969)/Config!$B$13)+$AK969+$AL969),"")</f>
        <v/>
      </c>
      <c r="AG969" s="40" t="str">
        <f t="shared" si="6"/>
        <v/>
      </c>
      <c r="AH969" s="40" t="str">
        <f t="shared" si="7"/>
        <v/>
      </c>
      <c r="AI969" s="40" t="str">
        <f t="shared" si="8"/>
        <v/>
      </c>
      <c r="AJ969" s="40" t="str">
        <f>IF($K969="","",COUNTIF(Assignments!$B$6:$B$1000,$K969))</f>
        <v/>
      </c>
      <c r="AK969" s="40" t="str">
        <f>IF($K969="","",IF(AND($AJ969=0,$O969&lt;$N969),Config!$B$43,0))</f>
        <v/>
      </c>
      <c r="AL969" s="40" t="str">
        <f>IF($K969="","",IF(AND($M969="Elite",$G969&gt;=Config!$B$41,$O969&lt;$N969),Config!$B$42,0))</f>
        <v/>
      </c>
      <c r="AM969" s="22"/>
    </row>
    <row r="970" ht="15.75" customHeight="1">
      <c r="A970" s="40" t="str">
        <f t="shared" si="1"/>
        <v/>
      </c>
      <c r="B970" s="40" t="str">
        <f>IF(Bids!$A969="","",Bids!$A969)</f>
        <v/>
      </c>
      <c r="C970" s="40" t="str">
        <f>IF(Bids!$B969="","",Bids!$B969)</f>
        <v/>
      </c>
      <c r="D970" s="40" t="str">
        <f>IF($C970="","",IFERROR(VLOOKUP($C970,Orders!$A$4:$J$998,9,FALSE),""))</f>
        <v/>
      </c>
      <c r="E970" s="40" t="str">
        <f>IF($C970="","",IFERROR(VLOOKUP($C970,Orders!$A$4:$J$998,3,FALSE),""))</f>
        <v/>
      </c>
      <c r="F970" s="40">
        <f t="shared" si="2"/>
        <v>1</v>
      </c>
      <c r="G970" s="40" t="str">
        <f>IF($C970="","",IFERROR(VLOOKUP($C970,Orders!$A$4:$J$998,4,FALSE),""))</f>
        <v/>
      </c>
      <c r="H970" s="40" t="str">
        <f>IF($C970="","",IFERROR(VLOOKUP($C970,Orders!$A$4:$J$998,5,FALSE),""))</f>
        <v/>
      </c>
      <c r="I970" s="40" t="str">
        <f>IF($C970="","",IFERROR(VLOOKUP($C970,Orders!$A$4:$J$998,6,FALSE),""))</f>
        <v/>
      </c>
      <c r="J970" s="40" t="str">
        <f>IF($C970="","",IFERROR(VLOOKUP($C970,Orders!$A$4:$J$998,7,FALSE),""))</f>
        <v/>
      </c>
      <c r="K970" s="40" t="str">
        <f>IF(Bids!$C969="","",Bids!$C969)</f>
        <v/>
      </c>
      <c r="L970" s="40" t="str">
        <f>IF($K970="","",IFERROR(VLOOKUP($K970,Grinders!$A$4:$N$998,2,FALSE),""))</f>
        <v/>
      </c>
      <c r="M970" s="40" t="str">
        <f>IF($K970="","",IFERROR(VLOOKUP($K970,Grinders!$A$4:$N$998,3,FALSE),""))</f>
        <v/>
      </c>
      <c r="N970" s="40" t="str">
        <f>IF($K970="","",IFERROR(VLOOKUP($K970,Grinders!$A$4:$N$998,4,FALSE),""))</f>
        <v/>
      </c>
      <c r="O970" s="40" t="str">
        <f>IF($K970="","",IFERROR(VLOOKUP($K970,Grinders!$A$4:$N$998,5,FALSE),""))</f>
        <v/>
      </c>
      <c r="P970" s="40" t="str">
        <f>IF($K970="","",IF($C$4="",0,COUNTIFS(Assignments!$B$6:$B$1000,$K970,Assignments!$F$6:$F$1000,$C$4,Assignments!$E$6:$E$1000,"Active")))</f>
        <v/>
      </c>
      <c r="Q970" s="40" t="str">
        <f t="shared" si="3"/>
        <v/>
      </c>
      <c r="R970" s="40" t="str">
        <f t="shared" si="4"/>
        <v/>
      </c>
      <c r="S970" s="40" t="str">
        <f>IF($K970="","",IF($C$4="",0,COUNTIFS(Assignments!$B$6:$B$1000,$K970,Assignments!$F$6:$F$1000,$C$4,Assignments!$D$6:$D$1000,"&gt;="&amp;Config!$B$3-7,Assignments!$D$6:$D$1000,"&lt;="&amp;Config!$B$3)))</f>
        <v/>
      </c>
      <c r="T970" s="40" t="str">
        <f>IF($K970="","",IFERROR(VLOOKUP($K970,Grinders!$A$4:$N$998,8,FALSE),""))</f>
        <v/>
      </c>
      <c r="U970" s="40" t="str">
        <f>IFERROR(IF($K970="","",IF($M970="Elite",MAX(50,MIN(100,Config!$B$27*MAX(0,MIN(100,(1-IF($R970="",0,$R970))*100)) + Config!$B$28*MAX(0,MIN(100,(1-MIN(1,IF(Config!$B$30=0,1,$S970/Config!$B$30)))*100)) + Config!$B$29*MAX(0,MIN(100,MIN(1,IF($T970="",0,$T970)/Config!$B$23)*100)))),MIN(100,Config!$B$27*MAX(0,MIN(100,(1-IF($R970="",0,$R970))*100)) + Config!$B$28*MAX(0,MIN(100,(1-MIN(1,IF(Config!$B$30=0,1,$S970/Config!$B$30)))*100)) + Config!$B$29*MAX(0,MIN(100,MIN(1,IF($T970="",0,$T970)/Config!$B$23)*100))))),"")
</f>
        <v/>
      </c>
      <c r="V970" s="40" t="str">
        <f>IF(Bids!$D969="","",Bids!$D969)</f>
        <v/>
      </c>
      <c r="W970" s="40" t="str">
        <f>IF(Bids!$F969="","",Bids!$F969)</f>
        <v/>
      </c>
      <c r="X970" s="40" t="str">
        <f t="shared" si="5"/>
        <v/>
      </c>
      <c r="Y970" s="40" t="str">
        <f>IF($X970="","",IF(Config!$B$17=Config!$B$16,IF($X970&gt;=Config!$B$17,100,0),MAX(0,MIN(100,($X970-Config!$B$16)/(Config!$B$17-Config!$B$16)*100))))</f>
        <v/>
      </c>
      <c r="Z970" s="40">
        <f>IF($M970="Elite",Config!$B$21,0)</f>
        <v>0</v>
      </c>
      <c r="AA970" s="40" t="str">
        <f>IFERROR(IF(OR($W970="",$H970=""),"",IF($W970&gt;$H970,
  MAX(0, 60-(($W970-$H970)*24/Config!$B$19)*60),
  MIN(100, 60+(($H970-$W970)*24/Config!$B$20)*40)
)),"")
</f>
        <v/>
      </c>
      <c r="AB970" s="40" t="str">
        <f>IF($K970="","",IFERROR(VLOOKUP($K970,Grinders!$A$4:$N$998,10,FALSE)/5*100,""))</f>
        <v/>
      </c>
      <c r="AC970" s="40" t="str">
        <f>IF($K970="","",IFERROR(VLOOKUP($K970,Grinders!$A$4:$N$998,11,FALSE)*100,""))</f>
        <v/>
      </c>
      <c r="AD970" s="40" t="str">
        <f>IF($K970="","",IFERROR(VLOOKUP($K970,Grinders!$A$4:$N$998,12,FALSE)*100,""))</f>
        <v/>
      </c>
      <c r="AE970" s="40">
        <f>IFERROR(IFS(
    OR($C970="", $K970=""), 0,
    $F970=0, 0,
    $D970&lt;&gt;"Open", 0,
    COUNTIFS(GrinderServices!$B$4:$B$998, $K970, GrinderServices!$C$4:$C$998, $E970, GrinderServices!$E$4:$E$998, "Y")=0, 0,
    $X970&lt;Config!$B$16, 0,
    Config!$B$18=1, IF($O970&gt;=N970, 0, 1),
    TRUE, 1
), "")
</f>
        <v>0</v>
      </c>
      <c r="AF970" s="40" t="str">
        <f>IFERROR(IF($AE970=0,"",((Config!$B$6*$Y970 + Config!$B$7*$U970 + Config!$B$8*$Z970 + Config!$B$9*$AA970 + Config!$B$10*$AB970 + Config!$B$11*$AC970 - Config!$B$12*$AD970)/Config!$B$13)+$AK970+$AL970),"")</f>
        <v/>
      </c>
      <c r="AG970" s="40" t="str">
        <f t="shared" si="6"/>
        <v/>
      </c>
      <c r="AH970" s="40" t="str">
        <f t="shared" si="7"/>
        <v/>
      </c>
      <c r="AI970" s="40" t="str">
        <f t="shared" si="8"/>
        <v/>
      </c>
      <c r="AJ970" s="40" t="str">
        <f>IF($K970="","",COUNTIF(Assignments!$B$6:$B$1000,$K970))</f>
        <v/>
      </c>
      <c r="AK970" s="40" t="str">
        <f>IF($K970="","",IF(AND($AJ970=0,$O970&lt;$N970),Config!$B$43,0))</f>
        <v/>
      </c>
      <c r="AL970" s="40" t="str">
        <f>IF($K970="","",IF(AND($M970="Elite",$G970&gt;=Config!$B$41,$O970&lt;$N970),Config!$B$42,0))</f>
        <v/>
      </c>
      <c r="AM970" s="22"/>
    </row>
    <row r="971" ht="15.75" customHeight="1">
      <c r="A971" s="40" t="str">
        <f t="shared" si="1"/>
        <v/>
      </c>
      <c r="B971" s="40" t="str">
        <f>IF(Bids!$A970="","",Bids!$A970)</f>
        <v/>
      </c>
      <c r="C971" s="40" t="str">
        <f>IF(Bids!$B970="","",Bids!$B970)</f>
        <v/>
      </c>
      <c r="D971" s="40" t="str">
        <f>IF($C971="","",IFERROR(VLOOKUP($C971,Orders!$A$4:$J$998,9,FALSE),""))</f>
        <v/>
      </c>
      <c r="E971" s="40" t="str">
        <f>IF($C971="","",IFERROR(VLOOKUP($C971,Orders!$A$4:$J$998,3,FALSE),""))</f>
        <v/>
      </c>
      <c r="F971" s="40">
        <f t="shared" si="2"/>
        <v>1</v>
      </c>
      <c r="G971" s="40" t="str">
        <f>IF($C971="","",IFERROR(VLOOKUP($C971,Orders!$A$4:$J$998,4,FALSE),""))</f>
        <v/>
      </c>
      <c r="H971" s="40" t="str">
        <f>IF($C971="","",IFERROR(VLOOKUP($C971,Orders!$A$4:$J$998,5,FALSE),""))</f>
        <v/>
      </c>
      <c r="I971" s="40" t="str">
        <f>IF($C971="","",IFERROR(VLOOKUP($C971,Orders!$A$4:$J$998,6,FALSE),""))</f>
        <v/>
      </c>
      <c r="J971" s="40" t="str">
        <f>IF($C971="","",IFERROR(VLOOKUP($C971,Orders!$A$4:$J$998,7,FALSE),""))</f>
        <v/>
      </c>
      <c r="K971" s="40" t="str">
        <f>IF(Bids!$C970="","",Bids!$C970)</f>
        <v/>
      </c>
      <c r="L971" s="40" t="str">
        <f>IF($K971="","",IFERROR(VLOOKUP($K971,Grinders!$A$4:$N$998,2,FALSE),""))</f>
        <v/>
      </c>
      <c r="M971" s="40" t="str">
        <f>IF($K971="","",IFERROR(VLOOKUP($K971,Grinders!$A$4:$N$998,3,FALSE),""))</f>
        <v/>
      </c>
      <c r="N971" s="40" t="str">
        <f>IF($K971="","",IFERROR(VLOOKUP($K971,Grinders!$A$4:$N$998,4,FALSE),""))</f>
        <v/>
      </c>
      <c r="O971" s="40" t="str">
        <f>IF($K971="","",IFERROR(VLOOKUP($K971,Grinders!$A$4:$N$998,5,FALSE),""))</f>
        <v/>
      </c>
      <c r="P971" s="40" t="str">
        <f>IF($K971="","",IF($C$4="",0,COUNTIFS(Assignments!$B$6:$B$1000,$K971,Assignments!$F$6:$F$1000,$C$4,Assignments!$E$6:$E$1000,"Active")))</f>
        <v/>
      </c>
      <c r="Q971" s="40" t="str">
        <f t="shared" si="3"/>
        <v/>
      </c>
      <c r="R971" s="40" t="str">
        <f t="shared" si="4"/>
        <v/>
      </c>
      <c r="S971" s="40" t="str">
        <f>IF($K971="","",IF($C$4="",0,COUNTIFS(Assignments!$B$6:$B$1000,$K971,Assignments!$F$6:$F$1000,$C$4,Assignments!$D$6:$D$1000,"&gt;="&amp;Config!$B$3-7,Assignments!$D$6:$D$1000,"&lt;="&amp;Config!$B$3)))</f>
        <v/>
      </c>
      <c r="T971" s="40" t="str">
        <f>IF($K971="","",IFERROR(VLOOKUP($K971,Grinders!$A$4:$N$998,8,FALSE),""))</f>
        <v/>
      </c>
      <c r="U971" s="40" t="str">
        <f>IFERROR(IF($K971="","",IF($M971="Elite",MAX(50,MIN(100,Config!$B$27*MAX(0,MIN(100,(1-IF($R971="",0,$R971))*100)) + Config!$B$28*MAX(0,MIN(100,(1-MIN(1,IF(Config!$B$30=0,1,$S971/Config!$B$30)))*100)) + Config!$B$29*MAX(0,MIN(100,MIN(1,IF($T971="",0,$T971)/Config!$B$23)*100)))),MIN(100,Config!$B$27*MAX(0,MIN(100,(1-IF($R971="",0,$R971))*100)) + Config!$B$28*MAX(0,MIN(100,(1-MIN(1,IF(Config!$B$30=0,1,$S971/Config!$B$30)))*100)) + Config!$B$29*MAX(0,MIN(100,MIN(1,IF($T971="",0,$T971)/Config!$B$23)*100))))),"")
</f>
        <v/>
      </c>
      <c r="V971" s="40" t="str">
        <f>IF(Bids!$D970="","",Bids!$D970)</f>
        <v/>
      </c>
      <c r="W971" s="40" t="str">
        <f>IF(Bids!$F970="","",Bids!$F970)</f>
        <v/>
      </c>
      <c r="X971" s="40" t="str">
        <f t="shared" si="5"/>
        <v/>
      </c>
      <c r="Y971" s="40" t="str">
        <f>IF($X971="","",IF(Config!$B$17=Config!$B$16,IF($X971&gt;=Config!$B$17,100,0),MAX(0,MIN(100,($X971-Config!$B$16)/(Config!$B$17-Config!$B$16)*100))))</f>
        <v/>
      </c>
      <c r="Z971" s="40">
        <f>IF($M971="Elite",Config!$B$21,0)</f>
        <v>0</v>
      </c>
      <c r="AA971" s="40" t="str">
        <f>IFERROR(IF(OR($W971="",$H971=""),"",IF($W971&gt;$H971,
  MAX(0, 60-(($W971-$H971)*24/Config!$B$19)*60),
  MIN(100, 60+(($H971-$W971)*24/Config!$B$20)*40)
)),"")
</f>
        <v/>
      </c>
      <c r="AB971" s="40" t="str">
        <f>IF($K971="","",IFERROR(VLOOKUP($K971,Grinders!$A$4:$N$998,10,FALSE)/5*100,""))</f>
        <v/>
      </c>
      <c r="AC971" s="40" t="str">
        <f>IF($K971="","",IFERROR(VLOOKUP($K971,Grinders!$A$4:$N$998,11,FALSE)*100,""))</f>
        <v/>
      </c>
      <c r="AD971" s="40" t="str">
        <f>IF($K971="","",IFERROR(VLOOKUP($K971,Grinders!$A$4:$N$998,12,FALSE)*100,""))</f>
        <v/>
      </c>
      <c r="AE971" s="40">
        <f>IFERROR(IFS(
    OR($C971="", $K971=""), 0,
    $F971=0, 0,
    $D971&lt;&gt;"Open", 0,
    COUNTIFS(GrinderServices!$B$4:$B$998, $K971, GrinderServices!$C$4:$C$998, $E971, GrinderServices!$E$4:$E$998, "Y")=0, 0,
    $X971&lt;Config!$B$16, 0,
    Config!$B$18=1, IF($O971&gt;=N971, 0, 1),
    TRUE, 1
), "")
</f>
        <v>0</v>
      </c>
      <c r="AF971" s="40" t="str">
        <f>IFERROR(IF($AE971=0,"",((Config!$B$6*$Y971 + Config!$B$7*$U971 + Config!$B$8*$Z971 + Config!$B$9*$AA971 + Config!$B$10*$AB971 + Config!$B$11*$AC971 - Config!$B$12*$AD971)/Config!$B$13)+$AK971+$AL971),"")</f>
        <v/>
      </c>
      <c r="AG971" s="40" t="str">
        <f t="shared" si="6"/>
        <v/>
      </c>
      <c r="AH971" s="40" t="str">
        <f t="shared" si="7"/>
        <v/>
      </c>
      <c r="AI971" s="40" t="str">
        <f t="shared" si="8"/>
        <v/>
      </c>
      <c r="AJ971" s="40" t="str">
        <f>IF($K971="","",COUNTIF(Assignments!$B$6:$B$1000,$K971))</f>
        <v/>
      </c>
      <c r="AK971" s="40" t="str">
        <f>IF($K971="","",IF(AND($AJ971=0,$O971&lt;$N971),Config!$B$43,0))</f>
        <v/>
      </c>
      <c r="AL971" s="40" t="str">
        <f>IF($K971="","",IF(AND($M971="Elite",$G971&gt;=Config!$B$41,$O971&lt;$N971),Config!$B$42,0))</f>
        <v/>
      </c>
      <c r="AM971" s="22"/>
    </row>
    <row r="972" ht="15.75" customHeight="1">
      <c r="A972" s="40" t="str">
        <f t="shared" si="1"/>
        <v/>
      </c>
      <c r="B972" s="40" t="str">
        <f>IF(Bids!$A971="","",Bids!$A971)</f>
        <v/>
      </c>
      <c r="C972" s="40" t="str">
        <f>IF(Bids!$B971="","",Bids!$B971)</f>
        <v/>
      </c>
      <c r="D972" s="40" t="str">
        <f>IF($C972="","",IFERROR(VLOOKUP($C972,Orders!$A$4:$J$998,9,FALSE),""))</f>
        <v/>
      </c>
      <c r="E972" s="40" t="str">
        <f>IF($C972="","",IFERROR(VLOOKUP($C972,Orders!$A$4:$J$998,3,FALSE),""))</f>
        <v/>
      </c>
      <c r="F972" s="40">
        <f t="shared" si="2"/>
        <v>1</v>
      </c>
      <c r="G972" s="40" t="str">
        <f>IF($C972="","",IFERROR(VLOOKUP($C972,Orders!$A$4:$J$998,4,FALSE),""))</f>
        <v/>
      </c>
      <c r="H972" s="40" t="str">
        <f>IF($C972="","",IFERROR(VLOOKUP($C972,Orders!$A$4:$J$998,5,FALSE),""))</f>
        <v/>
      </c>
      <c r="I972" s="40" t="str">
        <f>IF($C972="","",IFERROR(VLOOKUP($C972,Orders!$A$4:$J$998,6,FALSE),""))</f>
        <v/>
      </c>
      <c r="J972" s="40" t="str">
        <f>IF($C972="","",IFERROR(VLOOKUP($C972,Orders!$A$4:$J$998,7,FALSE),""))</f>
        <v/>
      </c>
      <c r="K972" s="40" t="str">
        <f>IF(Bids!$C971="","",Bids!$C971)</f>
        <v/>
      </c>
      <c r="L972" s="40" t="str">
        <f>IF($K972="","",IFERROR(VLOOKUP($K972,Grinders!$A$4:$N$998,2,FALSE),""))</f>
        <v/>
      </c>
      <c r="M972" s="40" t="str">
        <f>IF($K972="","",IFERROR(VLOOKUP($K972,Grinders!$A$4:$N$998,3,FALSE),""))</f>
        <v/>
      </c>
      <c r="N972" s="40" t="str">
        <f>IF($K972="","",IFERROR(VLOOKUP($K972,Grinders!$A$4:$N$998,4,FALSE),""))</f>
        <v/>
      </c>
      <c r="O972" s="40" t="str">
        <f>IF($K972="","",IFERROR(VLOOKUP($K972,Grinders!$A$4:$N$998,5,FALSE),""))</f>
        <v/>
      </c>
      <c r="P972" s="40" t="str">
        <f>IF($K972="","",IF($C$4="",0,COUNTIFS(Assignments!$B$6:$B$1000,$K972,Assignments!$F$6:$F$1000,$C$4,Assignments!$E$6:$E$1000,"Active")))</f>
        <v/>
      </c>
      <c r="Q972" s="40" t="str">
        <f t="shared" si="3"/>
        <v/>
      </c>
      <c r="R972" s="40" t="str">
        <f t="shared" si="4"/>
        <v/>
      </c>
      <c r="S972" s="40" t="str">
        <f>IF($K972="","",IF($C$4="",0,COUNTIFS(Assignments!$B$6:$B$1000,$K972,Assignments!$F$6:$F$1000,$C$4,Assignments!$D$6:$D$1000,"&gt;="&amp;Config!$B$3-7,Assignments!$D$6:$D$1000,"&lt;="&amp;Config!$B$3)))</f>
        <v/>
      </c>
      <c r="T972" s="40" t="str">
        <f>IF($K972="","",IFERROR(VLOOKUP($K972,Grinders!$A$4:$N$998,8,FALSE),""))</f>
        <v/>
      </c>
      <c r="U972" s="40" t="str">
        <f>IFERROR(IF($K972="","",IF($M972="Elite",MAX(50,MIN(100,Config!$B$27*MAX(0,MIN(100,(1-IF($R972="",0,$R972))*100)) + Config!$B$28*MAX(0,MIN(100,(1-MIN(1,IF(Config!$B$30=0,1,$S972/Config!$B$30)))*100)) + Config!$B$29*MAX(0,MIN(100,MIN(1,IF($T972="",0,$T972)/Config!$B$23)*100)))),MIN(100,Config!$B$27*MAX(0,MIN(100,(1-IF($R972="",0,$R972))*100)) + Config!$B$28*MAX(0,MIN(100,(1-MIN(1,IF(Config!$B$30=0,1,$S972/Config!$B$30)))*100)) + Config!$B$29*MAX(0,MIN(100,MIN(1,IF($T972="",0,$T972)/Config!$B$23)*100))))),"")
</f>
        <v/>
      </c>
      <c r="V972" s="40" t="str">
        <f>IF(Bids!$D971="","",Bids!$D971)</f>
        <v/>
      </c>
      <c r="W972" s="40" t="str">
        <f>IF(Bids!$F971="","",Bids!$F971)</f>
        <v/>
      </c>
      <c r="X972" s="40" t="str">
        <f t="shared" si="5"/>
        <v/>
      </c>
      <c r="Y972" s="40" t="str">
        <f>IF($X972="","",IF(Config!$B$17=Config!$B$16,IF($X972&gt;=Config!$B$17,100,0),MAX(0,MIN(100,($X972-Config!$B$16)/(Config!$B$17-Config!$B$16)*100))))</f>
        <v/>
      </c>
      <c r="Z972" s="40">
        <f>IF($M972="Elite",Config!$B$21,0)</f>
        <v>0</v>
      </c>
      <c r="AA972" s="40" t="str">
        <f>IFERROR(IF(OR($W972="",$H972=""),"",IF($W972&gt;$H972,
  MAX(0, 60-(($W972-$H972)*24/Config!$B$19)*60),
  MIN(100, 60+(($H972-$W972)*24/Config!$B$20)*40)
)),"")
</f>
        <v/>
      </c>
      <c r="AB972" s="40" t="str">
        <f>IF($K972="","",IFERROR(VLOOKUP($K972,Grinders!$A$4:$N$998,10,FALSE)/5*100,""))</f>
        <v/>
      </c>
      <c r="AC972" s="40" t="str">
        <f>IF($K972="","",IFERROR(VLOOKUP($K972,Grinders!$A$4:$N$998,11,FALSE)*100,""))</f>
        <v/>
      </c>
      <c r="AD972" s="40" t="str">
        <f>IF($K972="","",IFERROR(VLOOKUP($K972,Grinders!$A$4:$N$998,12,FALSE)*100,""))</f>
        <v/>
      </c>
      <c r="AE972" s="40">
        <f>IFERROR(IFS(
    OR($C972="", $K972=""), 0,
    $F972=0, 0,
    $D972&lt;&gt;"Open", 0,
    COUNTIFS(GrinderServices!$B$4:$B$998, $K972, GrinderServices!$C$4:$C$998, $E972, GrinderServices!$E$4:$E$998, "Y")=0, 0,
    $X972&lt;Config!$B$16, 0,
    Config!$B$18=1, IF($O972&gt;=N972, 0, 1),
    TRUE, 1
), "")
</f>
        <v>0</v>
      </c>
      <c r="AF972" s="40" t="str">
        <f>IFERROR(IF($AE972=0,"",((Config!$B$6*$Y972 + Config!$B$7*$U972 + Config!$B$8*$Z972 + Config!$B$9*$AA972 + Config!$B$10*$AB972 + Config!$B$11*$AC972 - Config!$B$12*$AD972)/Config!$B$13)+$AK972+$AL972),"")</f>
        <v/>
      </c>
      <c r="AG972" s="40" t="str">
        <f t="shared" si="6"/>
        <v/>
      </c>
      <c r="AH972" s="40" t="str">
        <f t="shared" si="7"/>
        <v/>
      </c>
      <c r="AI972" s="40" t="str">
        <f t="shared" si="8"/>
        <v/>
      </c>
      <c r="AJ972" s="40" t="str">
        <f>IF($K972="","",COUNTIF(Assignments!$B$6:$B$1000,$K972))</f>
        <v/>
      </c>
      <c r="AK972" s="40" t="str">
        <f>IF($K972="","",IF(AND($AJ972=0,$O972&lt;$N972),Config!$B$43,0))</f>
        <v/>
      </c>
      <c r="AL972" s="40" t="str">
        <f>IF($K972="","",IF(AND($M972="Elite",$G972&gt;=Config!$B$41,$O972&lt;$N972),Config!$B$42,0))</f>
        <v/>
      </c>
      <c r="AM972" s="22"/>
    </row>
    <row r="973" ht="15.75" customHeight="1">
      <c r="A973" s="40" t="str">
        <f t="shared" si="1"/>
        <v/>
      </c>
      <c r="B973" s="40" t="str">
        <f>IF(Bids!$A972="","",Bids!$A972)</f>
        <v/>
      </c>
      <c r="C973" s="40" t="str">
        <f>IF(Bids!$B972="","",Bids!$B972)</f>
        <v/>
      </c>
      <c r="D973" s="40" t="str">
        <f>IF($C973="","",IFERROR(VLOOKUP($C973,Orders!$A$4:$J$998,9,FALSE),""))</f>
        <v/>
      </c>
      <c r="E973" s="40" t="str">
        <f>IF($C973="","",IFERROR(VLOOKUP($C973,Orders!$A$4:$J$998,3,FALSE),""))</f>
        <v/>
      </c>
      <c r="F973" s="40">
        <f t="shared" si="2"/>
        <v>1</v>
      </c>
      <c r="G973" s="40" t="str">
        <f>IF($C973="","",IFERROR(VLOOKUP($C973,Orders!$A$4:$J$998,4,FALSE),""))</f>
        <v/>
      </c>
      <c r="H973" s="40" t="str">
        <f>IF($C973="","",IFERROR(VLOOKUP($C973,Orders!$A$4:$J$998,5,FALSE),""))</f>
        <v/>
      </c>
      <c r="I973" s="40" t="str">
        <f>IF($C973="","",IFERROR(VLOOKUP($C973,Orders!$A$4:$J$998,6,FALSE),""))</f>
        <v/>
      </c>
      <c r="J973" s="40" t="str">
        <f>IF($C973="","",IFERROR(VLOOKUP($C973,Orders!$A$4:$J$998,7,FALSE),""))</f>
        <v/>
      </c>
      <c r="K973" s="40" t="str">
        <f>IF(Bids!$C972="","",Bids!$C972)</f>
        <v/>
      </c>
      <c r="L973" s="40" t="str">
        <f>IF($K973="","",IFERROR(VLOOKUP($K973,Grinders!$A$4:$N$998,2,FALSE),""))</f>
        <v/>
      </c>
      <c r="M973" s="40" t="str">
        <f>IF($K973="","",IFERROR(VLOOKUP($K973,Grinders!$A$4:$N$998,3,FALSE),""))</f>
        <v/>
      </c>
      <c r="N973" s="40" t="str">
        <f>IF($K973="","",IFERROR(VLOOKUP($K973,Grinders!$A$4:$N$998,4,FALSE),""))</f>
        <v/>
      </c>
      <c r="O973" s="40" t="str">
        <f>IF($K973="","",IFERROR(VLOOKUP($K973,Grinders!$A$4:$N$998,5,FALSE),""))</f>
        <v/>
      </c>
      <c r="P973" s="40" t="str">
        <f>IF($K973="","",IF($C$4="",0,COUNTIFS(Assignments!$B$6:$B$1000,$K973,Assignments!$F$6:$F$1000,$C$4,Assignments!$E$6:$E$1000,"Active")))</f>
        <v/>
      </c>
      <c r="Q973" s="40" t="str">
        <f t="shared" si="3"/>
        <v/>
      </c>
      <c r="R973" s="40" t="str">
        <f t="shared" si="4"/>
        <v/>
      </c>
      <c r="S973" s="40" t="str">
        <f>IF($K973="","",IF($C$4="",0,COUNTIFS(Assignments!$B$6:$B$1000,$K973,Assignments!$F$6:$F$1000,$C$4,Assignments!$D$6:$D$1000,"&gt;="&amp;Config!$B$3-7,Assignments!$D$6:$D$1000,"&lt;="&amp;Config!$B$3)))</f>
        <v/>
      </c>
      <c r="T973" s="40" t="str">
        <f>IF($K973="","",IFERROR(VLOOKUP($K973,Grinders!$A$4:$N$998,8,FALSE),""))</f>
        <v/>
      </c>
      <c r="U973" s="40" t="str">
        <f>IFERROR(IF($K973="","",IF($M973="Elite",MAX(50,MIN(100,Config!$B$27*MAX(0,MIN(100,(1-IF($R973="",0,$R973))*100)) + Config!$B$28*MAX(0,MIN(100,(1-MIN(1,IF(Config!$B$30=0,1,$S973/Config!$B$30)))*100)) + Config!$B$29*MAX(0,MIN(100,MIN(1,IF($T973="",0,$T973)/Config!$B$23)*100)))),MIN(100,Config!$B$27*MAX(0,MIN(100,(1-IF($R973="",0,$R973))*100)) + Config!$B$28*MAX(0,MIN(100,(1-MIN(1,IF(Config!$B$30=0,1,$S973/Config!$B$30)))*100)) + Config!$B$29*MAX(0,MIN(100,MIN(1,IF($T973="",0,$T973)/Config!$B$23)*100))))),"")
</f>
        <v/>
      </c>
      <c r="V973" s="40" t="str">
        <f>IF(Bids!$D972="","",Bids!$D972)</f>
        <v/>
      </c>
      <c r="W973" s="40" t="str">
        <f>IF(Bids!$F972="","",Bids!$F972)</f>
        <v/>
      </c>
      <c r="X973" s="40" t="str">
        <f t="shared" si="5"/>
        <v/>
      </c>
      <c r="Y973" s="40" t="str">
        <f>IF($X973="","",IF(Config!$B$17=Config!$B$16,IF($X973&gt;=Config!$B$17,100,0),MAX(0,MIN(100,($X973-Config!$B$16)/(Config!$B$17-Config!$B$16)*100))))</f>
        <v/>
      </c>
      <c r="Z973" s="40">
        <f>IF($M973="Elite",Config!$B$21,0)</f>
        <v>0</v>
      </c>
      <c r="AA973" s="40" t="str">
        <f>IFERROR(IF(OR($W973="",$H973=""),"",IF($W973&gt;$H973,
  MAX(0, 60-(($W973-$H973)*24/Config!$B$19)*60),
  MIN(100, 60+(($H973-$W973)*24/Config!$B$20)*40)
)),"")
</f>
        <v/>
      </c>
      <c r="AB973" s="40" t="str">
        <f>IF($K973="","",IFERROR(VLOOKUP($K973,Grinders!$A$4:$N$998,10,FALSE)/5*100,""))</f>
        <v/>
      </c>
      <c r="AC973" s="40" t="str">
        <f>IF($K973="","",IFERROR(VLOOKUP($K973,Grinders!$A$4:$N$998,11,FALSE)*100,""))</f>
        <v/>
      </c>
      <c r="AD973" s="40" t="str">
        <f>IF($K973="","",IFERROR(VLOOKUP($K973,Grinders!$A$4:$N$998,12,FALSE)*100,""))</f>
        <v/>
      </c>
      <c r="AE973" s="40">
        <f>IFERROR(IFS(
    OR($C973="", $K973=""), 0,
    $F973=0, 0,
    $D973&lt;&gt;"Open", 0,
    COUNTIFS(GrinderServices!$B$4:$B$998, $K973, GrinderServices!$C$4:$C$998, $E973, GrinderServices!$E$4:$E$998, "Y")=0, 0,
    $X973&lt;Config!$B$16, 0,
    Config!$B$18=1, IF($O973&gt;=N973, 0, 1),
    TRUE, 1
), "")
</f>
        <v>0</v>
      </c>
      <c r="AF973" s="40" t="str">
        <f>IFERROR(IF($AE973=0,"",((Config!$B$6*$Y973 + Config!$B$7*$U973 + Config!$B$8*$Z973 + Config!$B$9*$AA973 + Config!$B$10*$AB973 + Config!$B$11*$AC973 - Config!$B$12*$AD973)/Config!$B$13)+$AK973+$AL973),"")</f>
        <v/>
      </c>
      <c r="AG973" s="40" t="str">
        <f t="shared" si="6"/>
        <v/>
      </c>
      <c r="AH973" s="40" t="str">
        <f t="shared" si="7"/>
        <v/>
      </c>
      <c r="AI973" s="40" t="str">
        <f t="shared" si="8"/>
        <v/>
      </c>
      <c r="AJ973" s="40" t="str">
        <f>IF($K973="","",COUNTIF(Assignments!$B$6:$B$1000,$K973))</f>
        <v/>
      </c>
      <c r="AK973" s="40" t="str">
        <f>IF($K973="","",IF(AND($AJ973=0,$O973&lt;$N973),Config!$B$43,0))</f>
        <v/>
      </c>
      <c r="AL973" s="40" t="str">
        <f>IF($K973="","",IF(AND($M973="Elite",$G973&gt;=Config!$B$41,$O973&lt;$N973),Config!$B$42,0))</f>
        <v/>
      </c>
      <c r="AM973" s="22"/>
    </row>
    <row r="974" ht="15.75" customHeight="1">
      <c r="A974" s="40" t="str">
        <f t="shared" si="1"/>
        <v/>
      </c>
      <c r="B974" s="40" t="str">
        <f>IF(Bids!$A973="","",Bids!$A973)</f>
        <v/>
      </c>
      <c r="C974" s="40" t="str">
        <f>IF(Bids!$B973="","",Bids!$B973)</f>
        <v/>
      </c>
      <c r="D974" s="40" t="str">
        <f>IF($C974="","",IFERROR(VLOOKUP($C974,Orders!$A$4:$J$998,9,FALSE),""))</f>
        <v/>
      </c>
      <c r="E974" s="40" t="str">
        <f>IF($C974="","",IFERROR(VLOOKUP($C974,Orders!$A$4:$J$998,3,FALSE),""))</f>
        <v/>
      </c>
      <c r="F974" s="40">
        <f t="shared" si="2"/>
        <v>1</v>
      </c>
      <c r="G974" s="40" t="str">
        <f>IF($C974="","",IFERROR(VLOOKUP($C974,Orders!$A$4:$J$998,4,FALSE),""))</f>
        <v/>
      </c>
      <c r="H974" s="40" t="str">
        <f>IF($C974="","",IFERROR(VLOOKUP($C974,Orders!$A$4:$J$998,5,FALSE),""))</f>
        <v/>
      </c>
      <c r="I974" s="40" t="str">
        <f>IF($C974="","",IFERROR(VLOOKUP($C974,Orders!$A$4:$J$998,6,FALSE),""))</f>
        <v/>
      </c>
      <c r="J974" s="40" t="str">
        <f>IF($C974="","",IFERROR(VLOOKUP($C974,Orders!$A$4:$J$998,7,FALSE),""))</f>
        <v/>
      </c>
      <c r="K974" s="40" t="str">
        <f>IF(Bids!$C973="","",Bids!$C973)</f>
        <v/>
      </c>
      <c r="L974" s="40" t="str">
        <f>IF($K974="","",IFERROR(VLOOKUP($K974,Grinders!$A$4:$N$998,2,FALSE),""))</f>
        <v/>
      </c>
      <c r="M974" s="40" t="str">
        <f>IF($K974="","",IFERROR(VLOOKUP($K974,Grinders!$A$4:$N$998,3,FALSE),""))</f>
        <v/>
      </c>
      <c r="N974" s="40" t="str">
        <f>IF($K974="","",IFERROR(VLOOKUP($K974,Grinders!$A$4:$N$998,4,FALSE),""))</f>
        <v/>
      </c>
      <c r="O974" s="40" t="str">
        <f>IF($K974="","",IFERROR(VLOOKUP($K974,Grinders!$A$4:$N$998,5,FALSE),""))</f>
        <v/>
      </c>
      <c r="P974" s="40" t="str">
        <f>IF($K974="","",IF($C$4="",0,COUNTIFS(Assignments!$B$6:$B$1000,$K974,Assignments!$F$6:$F$1000,$C$4,Assignments!$E$6:$E$1000,"Active")))</f>
        <v/>
      </c>
      <c r="Q974" s="40" t="str">
        <f t="shared" si="3"/>
        <v/>
      </c>
      <c r="R974" s="40" t="str">
        <f t="shared" si="4"/>
        <v/>
      </c>
      <c r="S974" s="40" t="str">
        <f>IF($K974="","",IF($C$4="",0,COUNTIFS(Assignments!$B$6:$B$1000,$K974,Assignments!$F$6:$F$1000,$C$4,Assignments!$D$6:$D$1000,"&gt;="&amp;Config!$B$3-7,Assignments!$D$6:$D$1000,"&lt;="&amp;Config!$B$3)))</f>
        <v/>
      </c>
      <c r="T974" s="40" t="str">
        <f>IF($K974="","",IFERROR(VLOOKUP($K974,Grinders!$A$4:$N$998,8,FALSE),""))</f>
        <v/>
      </c>
      <c r="U974" s="40" t="str">
        <f>IFERROR(IF($K974="","",IF($M974="Elite",MAX(50,MIN(100,Config!$B$27*MAX(0,MIN(100,(1-IF($R974="",0,$R974))*100)) + Config!$B$28*MAX(0,MIN(100,(1-MIN(1,IF(Config!$B$30=0,1,$S974/Config!$B$30)))*100)) + Config!$B$29*MAX(0,MIN(100,MIN(1,IF($T974="",0,$T974)/Config!$B$23)*100)))),MIN(100,Config!$B$27*MAX(0,MIN(100,(1-IF($R974="",0,$R974))*100)) + Config!$B$28*MAX(0,MIN(100,(1-MIN(1,IF(Config!$B$30=0,1,$S974/Config!$B$30)))*100)) + Config!$B$29*MAX(0,MIN(100,MIN(1,IF($T974="",0,$T974)/Config!$B$23)*100))))),"")
</f>
        <v/>
      </c>
      <c r="V974" s="40" t="str">
        <f>IF(Bids!$D973="","",Bids!$D973)</f>
        <v/>
      </c>
      <c r="W974" s="40" t="str">
        <f>IF(Bids!$F973="","",Bids!$F973)</f>
        <v/>
      </c>
      <c r="X974" s="40" t="str">
        <f t="shared" si="5"/>
        <v/>
      </c>
      <c r="Y974" s="40" t="str">
        <f>IF($X974="","",IF(Config!$B$17=Config!$B$16,IF($X974&gt;=Config!$B$17,100,0),MAX(0,MIN(100,($X974-Config!$B$16)/(Config!$B$17-Config!$B$16)*100))))</f>
        <v/>
      </c>
      <c r="Z974" s="40">
        <f>IF($M974="Elite",Config!$B$21,0)</f>
        <v>0</v>
      </c>
      <c r="AA974" s="40" t="str">
        <f>IFERROR(IF(OR($W974="",$H974=""),"",IF($W974&gt;$H974,
  MAX(0, 60-(($W974-$H974)*24/Config!$B$19)*60),
  MIN(100, 60+(($H974-$W974)*24/Config!$B$20)*40)
)),"")
</f>
        <v/>
      </c>
      <c r="AB974" s="40" t="str">
        <f>IF($K974="","",IFERROR(VLOOKUP($K974,Grinders!$A$4:$N$998,10,FALSE)/5*100,""))</f>
        <v/>
      </c>
      <c r="AC974" s="40" t="str">
        <f>IF($K974="","",IFERROR(VLOOKUP($K974,Grinders!$A$4:$N$998,11,FALSE)*100,""))</f>
        <v/>
      </c>
      <c r="AD974" s="40" t="str">
        <f>IF($K974="","",IFERROR(VLOOKUP($K974,Grinders!$A$4:$N$998,12,FALSE)*100,""))</f>
        <v/>
      </c>
      <c r="AE974" s="40">
        <f>IFERROR(IFS(
    OR($C974="", $K974=""), 0,
    $F974=0, 0,
    $D974&lt;&gt;"Open", 0,
    COUNTIFS(GrinderServices!$B$4:$B$998, $K974, GrinderServices!$C$4:$C$998, $E974, GrinderServices!$E$4:$E$998, "Y")=0, 0,
    $X974&lt;Config!$B$16, 0,
    Config!$B$18=1, IF($O974&gt;=N974, 0, 1),
    TRUE, 1
), "")
</f>
        <v>0</v>
      </c>
      <c r="AF974" s="40" t="str">
        <f>IFERROR(IF($AE974=0,"",((Config!$B$6*$Y974 + Config!$B$7*$U974 + Config!$B$8*$Z974 + Config!$B$9*$AA974 + Config!$B$10*$AB974 + Config!$B$11*$AC974 - Config!$B$12*$AD974)/Config!$B$13)+$AK974+$AL974),"")</f>
        <v/>
      </c>
      <c r="AG974" s="40" t="str">
        <f t="shared" si="6"/>
        <v/>
      </c>
      <c r="AH974" s="40" t="str">
        <f t="shared" si="7"/>
        <v/>
      </c>
      <c r="AI974" s="40" t="str">
        <f t="shared" si="8"/>
        <v/>
      </c>
      <c r="AJ974" s="40" t="str">
        <f>IF($K974="","",COUNTIF(Assignments!$B$6:$B$1000,$K974))</f>
        <v/>
      </c>
      <c r="AK974" s="40" t="str">
        <f>IF($K974="","",IF(AND($AJ974=0,$O974&lt;$N974),Config!$B$43,0))</f>
        <v/>
      </c>
      <c r="AL974" s="40" t="str">
        <f>IF($K974="","",IF(AND($M974="Elite",$G974&gt;=Config!$B$41,$O974&lt;$N974),Config!$B$42,0))</f>
        <v/>
      </c>
      <c r="AM974" s="22"/>
    </row>
    <row r="975" ht="15.75" customHeight="1">
      <c r="A975" s="40" t="str">
        <f t="shared" si="1"/>
        <v/>
      </c>
      <c r="B975" s="40" t="str">
        <f>IF(Bids!$A974="","",Bids!$A974)</f>
        <v/>
      </c>
      <c r="C975" s="40" t="str">
        <f>IF(Bids!$B974="","",Bids!$B974)</f>
        <v/>
      </c>
      <c r="D975" s="40" t="str">
        <f>IF($C975="","",IFERROR(VLOOKUP($C975,Orders!$A$4:$J$998,9,FALSE),""))</f>
        <v/>
      </c>
      <c r="E975" s="40" t="str">
        <f>IF($C975="","",IFERROR(VLOOKUP($C975,Orders!$A$4:$J$998,3,FALSE),""))</f>
        <v/>
      </c>
      <c r="F975" s="40">
        <f t="shared" si="2"/>
        <v>1</v>
      </c>
      <c r="G975" s="40" t="str">
        <f>IF($C975="","",IFERROR(VLOOKUP($C975,Orders!$A$4:$J$998,4,FALSE),""))</f>
        <v/>
      </c>
      <c r="H975" s="40" t="str">
        <f>IF($C975="","",IFERROR(VLOOKUP($C975,Orders!$A$4:$J$998,5,FALSE),""))</f>
        <v/>
      </c>
      <c r="I975" s="40" t="str">
        <f>IF($C975="","",IFERROR(VLOOKUP($C975,Orders!$A$4:$J$998,6,FALSE),""))</f>
        <v/>
      </c>
      <c r="J975" s="40" t="str">
        <f>IF($C975="","",IFERROR(VLOOKUP($C975,Orders!$A$4:$J$998,7,FALSE),""))</f>
        <v/>
      </c>
      <c r="K975" s="40" t="str">
        <f>IF(Bids!$C974="","",Bids!$C974)</f>
        <v/>
      </c>
      <c r="L975" s="40" t="str">
        <f>IF($K975="","",IFERROR(VLOOKUP($K975,Grinders!$A$4:$N$998,2,FALSE),""))</f>
        <v/>
      </c>
      <c r="M975" s="40" t="str">
        <f>IF($K975="","",IFERROR(VLOOKUP($K975,Grinders!$A$4:$N$998,3,FALSE),""))</f>
        <v/>
      </c>
      <c r="N975" s="40" t="str">
        <f>IF($K975="","",IFERROR(VLOOKUP($K975,Grinders!$A$4:$N$998,4,FALSE),""))</f>
        <v/>
      </c>
      <c r="O975" s="40" t="str">
        <f>IF($K975="","",IFERROR(VLOOKUP($K975,Grinders!$A$4:$N$998,5,FALSE),""))</f>
        <v/>
      </c>
      <c r="P975" s="40" t="str">
        <f>IF($K975="","",IF($C$4="",0,COUNTIFS(Assignments!$B$6:$B$1000,$K975,Assignments!$F$6:$F$1000,$C$4,Assignments!$E$6:$E$1000,"Active")))</f>
        <v/>
      </c>
      <c r="Q975" s="40" t="str">
        <f t="shared" si="3"/>
        <v/>
      </c>
      <c r="R975" s="40" t="str">
        <f t="shared" si="4"/>
        <v/>
      </c>
      <c r="S975" s="40" t="str">
        <f>IF($K975="","",IF($C$4="",0,COUNTIFS(Assignments!$B$6:$B$1000,$K975,Assignments!$F$6:$F$1000,$C$4,Assignments!$D$6:$D$1000,"&gt;="&amp;Config!$B$3-7,Assignments!$D$6:$D$1000,"&lt;="&amp;Config!$B$3)))</f>
        <v/>
      </c>
      <c r="T975" s="40" t="str">
        <f>IF($K975="","",IFERROR(VLOOKUP($K975,Grinders!$A$4:$N$998,8,FALSE),""))</f>
        <v/>
      </c>
      <c r="U975" s="40" t="str">
        <f>IFERROR(IF($K975="","",IF($M975="Elite",MAX(50,MIN(100,Config!$B$27*MAX(0,MIN(100,(1-IF($R975="",0,$R975))*100)) + Config!$B$28*MAX(0,MIN(100,(1-MIN(1,IF(Config!$B$30=0,1,$S975/Config!$B$30)))*100)) + Config!$B$29*MAX(0,MIN(100,MIN(1,IF($T975="",0,$T975)/Config!$B$23)*100)))),MIN(100,Config!$B$27*MAX(0,MIN(100,(1-IF($R975="",0,$R975))*100)) + Config!$B$28*MAX(0,MIN(100,(1-MIN(1,IF(Config!$B$30=0,1,$S975/Config!$B$30)))*100)) + Config!$B$29*MAX(0,MIN(100,MIN(1,IF($T975="",0,$T975)/Config!$B$23)*100))))),"")
</f>
        <v/>
      </c>
      <c r="V975" s="40" t="str">
        <f>IF(Bids!$D974="","",Bids!$D974)</f>
        <v/>
      </c>
      <c r="W975" s="40" t="str">
        <f>IF(Bids!$F974="","",Bids!$F974)</f>
        <v/>
      </c>
      <c r="X975" s="40" t="str">
        <f t="shared" si="5"/>
        <v/>
      </c>
      <c r="Y975" s="40" t="str">
        <f>IF($X975="","",IF(Config!$B$17=Config!$B$16,IF($X975&gt;=Config!$B$17,100,0),MAX(0,MIN(100,($X975-Config!$B$16)/(Config!$B$17-Config!$B$16)*100))))</f>
        <v/>
      </c>
      <c r="Z975" s="40">
        <f>IF($M975="Elite",Config!$B$21,0)</f>
        <v>0</v>
      </c>
      <c r="AA975" s="40" t="str">
        <f>IFERROR(IF(OR($W975="",$H975=""),"",IF($W975&gt;$H975,
  MAX(0, 60-(($W975-$H975)*24/Config!$B$19)*60),
  MIN(100, 60+(($H975-$W975)*24/Config!$B$20)*40)
)),"")
</f>
        <v/>
      </c>
      <c r="AB975" s="40" t="str">
        <f>IF($K975="","",IFERROR(VLOOKUP($K975,Grinders!$A$4:$N$998,10,FALSE)/5*100,""))</f>
        <v/>
      </c>
      <c r="AC975" s="40" t="str">
        <f>IF($K975="","",IFERROR(VLOOKUP($K975,Grinders!$A$4:$N$998,11,FALSE)*100,""))</f>
        <v/>
      </c>
      <c r="AD975" s="40" t="str">
        <f>IF($K975="","",IFERROR(VLOOKUP($K975,Grinders!$A$4:$N$998,12,FALSE)*100,""))</f>
        <v/>
      </c>
      <c r="AE975" s="40">
        <f>IFERROR(IFS(
    OR($C975="", $K975=""), 0,
    $F975=0, 0,
    $D975&lt;&gt;"Open", 0,
    COUNTIFS(GrinderServices!$B$4:$B$998, $K975, GrinderServices!$C$4:$C$998, $E975, GrinderServices!$E$4:$E$998, "Y")=0, 0,
    $X975&lt;Config!$B$16, 0,
    Config!$B$18=1, IF($O975&gt;=N975, 0, 1),
    TRUE, 1
), "")
</f>
        <v>0</v>
      </c>
      <c r="AF975" s="40" t="str">
        <f>IFERROR(IF($AE975=0,"",((Config!$B$6*$Y975 + Config!$B$7*$U975 + Config!$B$8*$Z975 + Config!$B$9*$AA975 + Config!$B$10*$AB975 + Config!$B$11*$AC975 - Config!$B$12*$AD975)/Config!$B$13)+$AK975+$AL975),"")</f>
        <v/>
      </c>
      <c r="AG975" s="40" t="str">
        <f t="shared" si="6"/>
        <v/>
      </c>
      <c r="AH975" s="40" t="str">
        <f t="shared" si="7"/>
        <v/>
      </c>
      <c r="AI975" s="40" t="str">
        <f t="shared" si="8"/>
        <v/>
      </c>
      <c r="AJ975" s="40" t="str">
        <f>IF($K975="","",COUNTIF(Assignments!$B$6:$B$1000,$K975))</f>
        <v/>
      </c>
      <c r="AK975" s="40" t="str">
        <f>IF($K975="","",IF(AND($AJ975=0,$O975&lt;$N975),Config!$B$43,0))</f>
        <v/>
      </c>
      <c r="AL975" s="40" t="str">
        <f>IF($K975="","",IF(AND($M975="Elite",$G975&gt;=Config!$B$41,$O975&lt;$N975),Config!$B$42,0))</f>
        <v/>
      </c>
      <c r="AM975" s="22"/>
    </row>
    <row r="976" ht="15.75" customHeight="1">
      <c r="A976" s="40" t="str">
        <f t="shared" si="1"/>
        <v/>
      </c>
      <c r="B976" s="40" t="str">
        <f>IF(Bids!$A975="","",Bids!$A975)</f>
        <v/>
      </c>
      <c r="C976" s="40" t="str">
        <f>IF(Bids!$B975="","",Bids!$B975)</f>
        <v/>
      </c>
      <c r="D976" s="40" t="str">
        <f>IF($C976="","",IFERROR(VLOOKUP($C976,Orders!$A$4:$J$998,9,FALSE),""))</f>
        <v/>
      </c>
      <c r="E976" s="40" t="str">
        <f>IF($C976="","",IFERROR(VLOOKUP($C976,Orders!$A$4:$J$998,3,FALSE),""))</f>
        <v/>
      </c>
      <c r="F976" s="40">
        <f t="shared" si="2"/>
        <v>1</v>
      </c>
      <c r="G976" s="40" t="str">
        <f>IF($C976="","",IFERROR(VLOOKUP($C976,Orders!$A$4:$J$998,4,FALSE),""))</f>
        <v/>
      </c>
      <c r="H976" s="40" t="str">
        <f>IF($C976="","",IFERROR(VLOOKUP($C976,Orders!$A$4:$J$998,5,FALSE),""))</f>
        <v/>
      </c>
      <c r="I976" s="40" t="str">
        <f>IF($C976="","",IFERROR(VLOOKUP($C976,Orders!$A$4:$J$998,6,FALSE),""))</f>
        <v/>
      </c>
      <c r="J976" s="40" t="str">
        <f>IF($C976="","",IFERROR(VLOOKUP($C976,Orders!$A$4:$J$998,7,FALSE),""))</f>
        <v/>
      </c>
      <c r="K976" s="40" t="str">
        <f>IF(Bids!$C975="","",Bids!$C975)</f>
        <v/>
      </c>
      <c r="L976" s="40" t="str">
        <f>IF($K976="","",IFERROR(VLOOKUP($K976,Grinders!$A$4:$N$998,2,FALSE),""))</f>
        <v/>
      </c>
      <c r="M976" s="40" t="str">
        <f>IF($K976="","",IFERROR(VLOOKUP($K976,Grinders!$A$4:$N$998,3,FALSE),""))</f>
        <v/>
      </c>
      <c r="N976" s="40" t="str">
        <f>IF($K976="","",IFERROR(VLOOKUP($K976,Grinders!$A$4:$N$998,4,FALSE),""))</f>
        <v/>
      </c>
      <c r="O976" s="40" t="str">
        <f>IF($K976="","",IFERROR(VLOOKUP($K976,Grinders!$A$4:$N$998,5,FALSE),""))</f>
        <v/>
      </c>
      <c r="P976" s="40" t="str">
        <f>IF($K976="","",IF($C$4="",0,COUNTIFS(Assignments!$B$6:$B$1000,$K976,Assignments!$F$6:$F$1000,$C$4,Assignments!$E$6:$E$1000,"Active")))</f>
        <v/>
      </c>
      <c r="Q976" s="40" t="str">
        <f t="shared" si="3"/>
        <v/>
      </c>
      <c r="R976" s="40" t="str">
        <f t="shared" si="4"/>
        <v/>
      </c>
      <c r="S976" s="40" t="str">
        <f>IF($K976="","",IF($C$4="",0,COUNTIFS(Assignments!$B$6:$B$1000,$K976,Assignments!$F$6:$F$1000,$C$4,Assignments!$D$6:$D$1000,"&gt;="&amp;Config!$B$3-7,Assignments!$D$6:$D$1000,"&lt;="&amp;Config!$B$3)))</f>
        <v/>
      </c>
      <c r="T976" s="40" t="str">
        <f>IF($K976="","",IFERROR(VLOOKUP($K976,Grinders!$A$4:$N$998,8,FALSE),""))</f>
        <v/>
      </c>
      <c r="U976" s="40" t="str">
        <f>IFERROR(IF($K976="","",IF($M976="Elite",MAX(50,MIN(100,Config!$B$27*MAX(0,MIN(100,(1-IF($R976="",0,$R976))*100)) + Config!$B$28*MAX(0,MIN(100,(1-MIN(1,IF(Config!$B$30=0,1,$S976/Config!$B$30)))*100)) + Config!$B$29*MAX(0,MIN(100,MIN(1,IF($T976="",0,$T976)/Config!$B$23)*100)))),MIN(100,Config!$B$27*MAX(0,MIN(100,(1-IF($R976="",0,$R976))*100)) + Config!$B$28*MAX(0,MIN(100,(1-MIN(1,IF(Config!$B$30=0,1,$S976/Config!$B$30)))*100)) + Config!$B$29*MAX(0,MIN(100,MIN(1,IF($T976="",0,$T976)/Config!$B$23)*100))))),"")
</f>
        <v/>
      </c>
      <c r="V976" s="40" t="str">
        <f>IF(Bids!$D975="","",Bids!$D975)</f>
        <v/>
      </c>
      <c r="W976" s="40" t="str">
        <f>IF(Bids!$F975="","",Bids!$F975)</f>
        <v/>
      </c>
      <c r="X976" s="40" t="str">
        <f t="shared" si="5"/>
        <v/>
      </c>
      <c r="Y976" s="40" t="str">
        <f>IF($X976="","",IF(Config!$B$17=Config!$B$16,IF($X976&gt;=Config!$B$17,100,0),MAX(0,MIN(100,($X976-Config!$B$16)/(Config!$B$17-Config!$B$16)*100))))</f>
        <v/>
      </c>
      <c r="Z976" s="40">
        <f>IF($M976="Elite",Config!$B$21,0)</f>
        <v>0</v>
      </c>
      <c r="AA976" s="40" t="str">
        <f>IFERROR(IF(OR($W976="",$H976=""),"",IF($W976&gt;$H976,
  MAX(0, 60-(($W976-$H976)*24/Config!$B$19)*60),
  MIN(100, 60+(($H976-$W976)*24/Config!$B$20)*40)
)),"")
</f>
        <v/>
      </c>
      <c r="AB976" s="40" t="str">
        <f>IF($K976="","",IFERROR(VLOOKUP($K976,Grinders!$A$4:$N$998,10,FALSE)/5*100,""))</f>
        <v/>
      </c>
      <c r="AC976" s="40" t="str">
        <f>IF($K976="","",IFERROR(VLOOKUP($K976,Grinders!$A$4:$N$998,11,FALSE)*100,""))</f>
        <v/>
      </c>
      <c r="AD976" s="40" t="str">
        <f>IF($K976="","",IFERROR(VLOOKUP($K976,Grinders!$A$4:$N$998,12,FALSE)*100,""))</f>
        <v/>
      </c>
      <c r="AE976" s="40">
        <f>IFERROR(IFS(
    OR($C976="", $K976=""), 0,
    $F976=0, 0,
    $D976&lt;&gt;"Open", 0,
    COUNTIFS(GrinderServices!$B$4:$B$998, $K976, GrinderServices!$C$4:$C$998, $E976, GrinderServices!$E$4:$E$998, "Y")=0, 0,
    $X976&lt;Config!$B$16, 0,
    Config!$B$18=1, IF($O976&gt;=N976, 0, 1),
    TRUE, 1
), "")
</f>
        <v>0</v>
      </c>
      <c r="AF976" s="40" t="str">
        <f>IFERROR(IF($AE976=0,"",((Config!$B$6*$Y976 + Config!$B$7*$U976 + Config!$B$8*$Z976 + Config!$B$9*$AA976 + Config!$B$10*$AB976 + Config!$B$11*$AC976 - Config!$B$12*$AD976)/Config!$B$13)+$AK976+$AL976),"")</f>
        <v/>
      </c>
      <c r="AG976" s="40" t="str">
        <f t="shared" si="6"/>
        <v/>
      </c>
      <c r="AH976" s="40" t="str">
        <f t="shared" si="7"/>
        <v/>
      </c>
      <c r="AI976" s="40" t="str">
        <f t="shared" si="8"/>
        <v/>
      </c>
      <c r="AJ976" s="40" t="str">
        <f>IF($K976="","",COUNTIF(Assignments!$B$6:$B$1000,$K976))</f>
        <v/>
      </c>
      <c r="AK976" s="40" t="str">
        <f>IF($K976="","",IF(AND($AJ976=0,$O976&lt;$N976),Config!$B$43,0))</f>
        <v/>
      </c>
      <c r="AL976" s="40" t="str">
        <f>IF($K976="","",IF(AND($M976="Elite",$G976&gt;=Config!$B$41,$O976&lt;$N976),Config!$B$42,0))</f>
        <v/>
      </c>
      <c r="AM976" s="22"/>
    </row>
    <row r="977" ht="15.75" customHeight="1">
      <c r="A977" s="40" t="str">
        <f t="shared" si="1"/>
        <v/>
      </c>
      <c r="B977" s="40" t="str">
        <f>IF(Bids!$A976="","",Bids!$A976)</f>
        <v/>
      </c>
      <c r="C977" s="40" t="str">
        <f>IF(Bids!$B976="","",Bids!$B976)</f>
        <v/>
      </c>
      <c r="D977" s="40" t="str">
        <f>IF($C977="","",IFERROR(VLOOKUP($C977,Orders!$A$4:$J$998,9,FALSE),""))</f>
        <v/>
      </c>
      <c r="E977" s="40" t="str">
        <f>IF($C977="","",IFERROR(VLOOKUP($C977,Orders!$A$4:$J$998,3,FALSE),""))</f>
        <v/>
      </c>
      <c r="F977" s="40">
        <f t="shared" si="2"/>
        <v>1</v>
      </c>
      <c r="G977" s="40" t="str">
        <f>IF($C977="","",IFERROR(VLOOKUP($C977,Orders!$A$4:$J$998,4,FALSE),""))</f>
        <v/>
      </c>
      <c r="H977" s="40" t="str">
        <f>IF($C977="","",IFERROR(VLOOKUP($C977,Orders!$A$4:$J$998,5,FALSE),""))</f>
        <v/>
      </c>
      <c r="I977" s="40" t="str">
        <f>IF($C977="","",IFERROR(VLOOKUP($C977,Orders!$A$4:$J$998,6,FALSE),""))</f>
        <v/>
      </c>
      <c r="J977" s="40" t="str">
        <f>IF($C977="","",IFERROR(VLOOKUP($C977,Orders!$A$4:$J$998,7,FALSE),""))</f>
        <v/>
      </c>
      <c r="K977" s="40" t="str">
        <f>IF(Bids!$C976="","",Bids!$C976)</f>
        <v/>
      </c>
      <c r="L977" s="40" t="str">
        <f>IF($K977="","",IFERROR(VLOOKUP($K977,Grinders!$A$4:$N$998,2,FALSE),""))</f>
        <v/>
      </c>
      <c r="M977" s="40" t="str">
        <f>IF($K977="","",IFERROR(VLOOKUP($K977,Grinders!$A$4:$N$998,3,FALSE),""))</f>
        <v/>
      </c>
      <c r="N977" s="40" t="str">
        <f>IF($K977="","",IFERROR(VLOOKUP($K977,Grinders!$A$4:$N$998,4,FALSE),""))</f>
        <v/>
      </c>
      <c r="O977" s="40" t="str">
        <f>IF($K977="","",IFERROR(VLOOKUP($K977,Grinders!$A$4:$N$998,5,FALSE),""))</f>
        <v/>
      </c>
      <c r="P977" s="40" t="str">
        <f>IF($K977="","",IF($C$4="",0,COUNTIFS(Assignments!$B$6:$B$1000,$K977,Assignments!$F$6:$F$1000,$C$4,Assignments!$E$6:$E$1000,"Active")))</f>
        <v/>
      </c>
      <c r="Q977" s="40" t="str">
        <f t="shared" si="3"/>
        <v/>
      </c>
      <c r="R977" s="40" t="str">
        <f t="shared" si="4"/>
        <v/>
      </c>
      <c r="S977" s="40" t="str">
        <f>IF($K977="","",IF($C$4="",0,COUNTIFS(Assignments!$B$6:$B$1000,$K977,Assignments!$F$6:$F$1000,$C$4,Assignments!$D$6:$D$1000,"&gt;="&amp;Config!$B$3-7,Assignments!$D$6:$D$1000,"&lt;="&amp;Config!$B$3)))</f>
        <v/>
      </c>
      <c r="T977" s="40" t="str">
        <f>IF($K977="","",IFERROR(VLOOKUP($K977,Grinders!$A$4:$N$998,8,FALSE),""))</f>
        <v/>
      </c>
      <c r="U977" s="40" t="str">
        <f>IFERROR(IF($K977="","",IF($M977="Elite",MAX(50,MIN(100,Config!$B$27*MAX(0,MIN(100,(1-IF($R977="",0,$R977))*100)) + Config!$B$28*MAX(0,MIN(100,(1-MIN(1,IF(Config!$B$30=0,1,$S977/Config!$B$30)))*100)) + Config!$B$29*MAX(0,MIN(100,MIN(1,IF($T977="",0,$T977)/Config!$B$23)*100)))),MIN(100,Config!$B$27*MAX(0,MIN(100,(1-IF($R977="",0,$R977))*100)) + Config!$B$28*MAX(0,MIN(100,(1-MIN(1,IF(Config!$B$30=0,1,$S977/Config!$B$30)))*100)) + Config!$B$29*MAX(0,MIN(100,MIN(1,IF($T977="",0,$T977)/Config!$B$23)*100))))),"")
</f>
        <v/>
      </c>
      <c r="V977" s="40" t="str">
        <f>IF(Bids!$D976="","",Bids!$D976)</f>
        <v/>
      </c>
      <c r="W977" s="40" t="str">
        <f>IF(Bids!$F976="","",Bids!$F976)</f>
        <v/>
      </c>
      <c r="X977" s="40" t="str">
        <f t="shared" si="5"/>
        <v/>
      </c>
      <c r="Y977" s="40" t="str">
        <f>IF($X977="","",IF(Config!$B$17=Config!$B$16,IF($X977&gt;=Config!$B$17,100,0),MAX(0,MIN(100,($X977-Config!$B$16)/(Config!$B$17-Config!$B$16)*100))))</f>
        <v/>
      </c>
      <c r="Z977" s="40">
        <f>IF($M977="Elite",Config!$B$21,0)</f>
        <v>0</v>
      </c>
      <c r="AA977" s="40" t="str">
        <f>IFERROR(IF(OR($W977="",$H977=""),"",IF($W977&gt;$H977,
  MAX(0, 60-(($W977-$H977)*24/Config!$B$19)*60),
  MIN(100, 60+(($H977-$W977)*24/Config!$B$20)*40)
)),"")
</f>
        <v/>
      </c>
      <c r="AB977" s="40" t="str">
        <f>IF($K977="","",IFERROR(VLOOKUP($K977,Grinders!$A$4:$N$998,10,FALSE)/5*100,""))</f>
        <v/>
      </c>
      <c r="AC977" s="40" t="str">
        <f>IF($K977="","",IFERROR(VLOOKUP($K977,Grinders!$A$4:$N$998,11,FALSE)*100,""))</f>
        <v/>
      </c>
      <c r="AD977" s="40" t="str">
        <f>IF($K977="","",IFERROR(VLOOKUP($K977,Grinders!$A$4:$N$998,12,FALSE)*100,""))</f>
        <v/>
      </c>
      <c r="AE977" s="40">
        <f>IFERROR(IFS(
    OR($C977="", $K977=""), 0,
    $F977=0, 0,
    $D977&lt;&gt;"Open", 0,
    COUNTIFS(GrinderServices!$B$4:$B$998, $K977, GrinderServices!$C$4:$C$998, $E977, GrinderServices!$E$4:$E$998, "Y")=0, 0,
    $X977&lt;Config!$B$16, 0,
    Config!$B$18=1, IF($O977&gt;=N977, 0, 1),
    TRUE, 1
), "")
</f>
        <v>0</v>
      </c>
      <c r="AF977" s="40" t="str">
        <f>IFERROR(IF($AE977=0,"",((Config!$B$6*$Y977 + Config!$B$7*$U977 + Config!$B$8*$Z977 + Config!$B$9*$AA977 + Config!$B$10*$AB977 + Config!$B$11*$AC977 - Config!$B$12*$AD977)/Config!$B$13)+$AK977+$AL977),"")</f>
        <v/>
      </c>
      <c r="AG977" s="40" t="str">
        <f t="shared" si="6"/>
        <v/>
      </c>
      <c r="AH977" s="40" t="str">
        <f t="shared" si="7"/>
        <v/>
      </c>
      <c r="AI977" s="40" t="str">
        <f t="shared" si="8"/>
        <v/>
      </c>
      <c r="AJ977" s="40" t="str">
        <f>IF($K977="","",COUNTIF(Assignments!$B$6:$B$1000,$K977))</f>
        <v/>
      </c>
      <c r="AK977" s="40" t="str">
        <f>IF($K977="","",IF(AND($AJ977=0,$O977&lt;$N977),Config!$B$43,0))</f>
        <v/>
      </c>
      <c r="AL977" s="40" t="str">
        <f>IF($K977="","",IF(AND($M977="Elite",$G977&gt;=Config!$B$41,$O977&lt;$N977),Config!$B$42,0))</f>
        <v/>
      </c>
      <c r="AM977" s="22"/>
    </row>
    <row r="978" ht="15.75" customHeight="1">
      <c r="A978" s="40" t="str">
        <f t="shared" si="1"/>
        <v/>
      </c>
      <c r="B978" s="40" t="str">
        <f>IF(Bids!$A977="","",Bids!$A977)</f>
        <v/>
      </c>
      <c r="C978" s="40" t="str">
        <f>IF(Bids!$B977="","",Bids!$B977)</f>
        <v/>
      </c>
      <c r="D978" s="40" t="str">
        <f>IF($C978="","",IFERROR(VLOOKUP($C978,Orders!$A$4:$J$998,9,FALSE),""))</f>
        <v/>
      </c>
      <c r="E978" s="40" t="str">
        <f>IF($C978="","",IFERROR(VLOOKUP($C978,Orders!$A$4:$J$998,3,FALSE),""))</f>
        <v/>
      </c>
      <c r="F978" s="40">
        <f t="shared" si="2"/>
        <v>1</v>
      </c>
      <c r="G978" s="40" t="str">
        <f>IF($C978="","",IFERROR(VLOOKUP($C978,Orders!$A$4:$J$998,4,FALSE),""))</f>
        <v/>
      </c>
      <c r="H978" s="40" t="str">
        <f>IF($C978="","",IFERROR(VLOOKUP($C978,Orders!$A$4:$J$998,5,FALSE),""))</f>
        <v/>
      </c>
      <c r="I978" s="40" t="str">
        <f>IF($C978="","",IFERROR(VLOOKUP($C978,Orders!$A$4:$J$998,6,FALSE),""))</f>
        <v/>
      </c>
      <c r="J978" s="40" t="str">
        <f>IF($C978="","",IFERROR(VLOOKUP($C978,Orders!$A$4:$J$998,7,FALSE),""))</f>
        <v/>
      </c>
      <c r="K978" s="40" t="str">
        <f>IF(Bids!$C977="","",Bids!$C977)</f>
        <v/>
      </c>
      <c r="L978" s="40" t="str">
        <f>IF($K978="","",IFERROR(VLOOKUP($K978,Grinders!$A$4:$N$998,2,FALSE),""))</f>
        <v/>
      </c>
      <c r="M978" s="40" t="str">
        <f>IF($K978="","",IFERROR(VLOOKUP($K978,Grinders!$A$4:$N$998,3,FALSE),""))</f>
        <v/>
      </c>
      <c r="N978" s="40" t="str">
        <f>IF($K978="","",IFERROR(VLOOKUP($K978,Grinders!$A$4:$N$998,4,FALSE),""))</f>
        <v/>
      </c>
      <c r="O978" s="40" t="str">
        <f>IF($K978="","",IFERROR(VLOOKUP($K978,Grinders!$A$4:$N$998,5,FALSE),""))</f>
        <v/>
      </c>
      <c r="P978" s="40" t="str">
        <f>IF($K978="","",IF($C$4="",0,COUNTIFS(Assignments!$B$6:$B$1000,$K978,Assignments!$F$6:$F$1000,$C$4,Assignments!$E$6:$E$1000,"Active")))</f>
        <v/>
      </c>
      <c r="Q978" s="40" t="str">
        <f t="shared" si="3"/>
        <v/>
      </c>
      <c r="R978" s="40" t="str">
        <f t="shared" si="4"/>
        <v/>
      </c>
      <c r="S978" s="40" t="str">
        <f>IF($K978="","",IF($C$4="",0,COUNTIFS(Assignments!$B$6:$B$1000,$K978,Assignments!$F$6:$F$1000,$C$4,Assignments!$D$6:$D$1000,"&gt;="&amp;Config!$B$3-7,Assignments!$D$6:$D$1000,"&lt;="&amp;Config!$B$3)))</f>
        <v/>
      </c>
      <c r="T978" s="40" t="str">
        <f>IF($K978="","",IFERROR(VLOOKUP($K978,Grinders!$A$4:$N$998,8,FALSE),""))</f>
        <v/>
      </c>
      <c r="U978" s="40" t="str">
        <f>IFERROR(IF($K978="","",IF($M978="Elite",MAX(50,MIN(100,Config!$B$27*MAX(0,MIN(100,(1-IF($R978="",0,$R978))*100)) + Config!$B$28*MAX(0,MIN(100,(1-MIN(1,IF(Config!$B$30=0,1,$S978/Config!$B$30)))*100)) + Config!$B$29*MAX(0,MIN(100,MIN(1,IF($T978="",0,$T978)/Config!$B$23)*100)))),MIN(100,Config!$B$27*MAX(0,MIN(100,(1-IF($R978="",0,$R978))*100)) + Config!$B$28*MAX(0,MIN(100,(1-MIN(1,IF(Config!$B$30=0,1,$S978/Config!$B$30)))*100)) + Config!$B$29*MAX(0,MIN(100,MIN(1,IF($T978="",0,$T978)/Config!$B$23)*100))))),"")
</f>
        <v/>
      </c>
      <c r="V978" s="40" t="str">
        <f>IF(Bids!$D977="","",Bids!$D977)</f>
        <v/>
      </c>
      <c r="W978" s="40" t="str">
        <f>IF(Bids!$F977="","",Bids!$F977)</f>
        <v/>
      </c>
      <c r="X978" s="40" t="str">
        <f t="shared" si="5"/>
        <v/>
      </c>
      <c r="Y978" s="40" t="str">
        <f>IF($X978="","",IF(Config!$B$17=Config!$B$16,IF($X978&gt;=Config!$B$17,100,0),MAX(0,MIN(100,($X978-Config!$B$16)/(Config!$B$17-Config!$B$16)*100))))</f>
        <v/>
      </c>
      <c r="Z978" s="40">
        <f>IF($M978="Elite",Config!$B$21,0)</f>
        <v>0</v>
      </c>
      <c r="AA978" s="40" t="str">
        <f>IFERROR(IF(OR($W978="",$H978=""),"",IF($W978&gt;$H978,
  MAX(0, 60-(($W978-$H978)*24/Config!$B$19)*60),
  MIN(100, 60+(($H978-$W978)*24/Config!$B$20)*40)
)),"")
</f>
        <v/>
      </c>
      <c r="AB978" s="40" t="str">
        <f>IF($K978="","",IFERROR(VLOOKUP($K978,Grinders!$A$4:$N$998,10,FALSE)/5*100,""))</f>
        <v/>
      </c>
      <c r="AC978" s="40" t="str">
        <f>IF($K978="","",IFERROR(VLOOKUP($K978,Grinders!$A$4:$N$998,11,FALSE)*100,""))</f>
        <v/>
      </c>
      <c r="AD978" s="40" t="str">
        <f>IF($K978="","",IFERROR(VLOOKUP($K978,Grinders!$A$4:$N$998,12,FALSE)*100,""))</f>
        <v/>
      </c>
      <c r="AE978" s="40">
        <f>IFERROR(IFS(
    OR($C978="", $K978=""), 0,
    $F978=0, 0,
    $D978&lt;&gt;"Open", 0,
    COUNTIFS(GrinderServices!$B$4:$B$998, $K978, GrinderServices!$C$4:$C$998, $E978, GrinderServices!$E$4:$E$998, "Y")=0, 0,
    $X978&lt;Config!$B$16, 0,
    Config!$B$18=1, IF($O978&gt;=N978, 0, 1),
    TRUE, 1
), "")
</f>
        <v>0</v>
      </c>
      <c r="AF978" s="40" t="str">
        <f>IFERROR(IF($AE978=0,"",((Config!$B$6*$Y978 + Config!$B$7*$U978 + Config!$B$8*$Z978 + Config!$B$9*$AA978 + Config!$B$10*$AB978 + Config!$B$11*$AC978 - Config!$B$12*$AD978)/Config!$B$13)+$AK978+$AL978),"")</f>
        <v/>
      </c>
      <c r="AG978" s="40" t="str">
        <f t="shared" si="6"/>
        <v/>
      </c>
      <c r="AH978" s="40" t="str">
        <f t="shared" si="7"/>
        <v/>
      </c>
      <c r="AI978" s="40" t="str">
        <f t="shared" si="8"/>
        <v/>
      </c>
      <c r="AJ978" s="40" t="str">
        <f>IF($K978="","",COUNTIF(Assignments!$B$6:$B$1000,$K978))</f>
        <v/>
      </c>
      <c r="AK978" s="40" t="str">
        <f>IF($K978="","",IF(AND($AJ978=0,$O978&lt;$N978),Config!$B$43,0))</f>
        <v/>
      </c>
      <c r="AL978" s="40" t="str">
        <f>IF($K978="","",IF(AND($M978="Elite",$G978&gt;=Config!$B$41,$O978&lt;$N978),Config!$B$42,0))</f>
        <v/>
      </c>
      <c r="AM978" s="22"/>
    </row>
    <row r="979" ht="15.75" customHeight="1">
      <c r="A979" s="40" t="str">
        <f t="shared" si="1"/>
        <v/>
      </c>
      <c r="B979" s="40" t="str">
        <f>IF(Bids!$A978="","",Bids!$A978)</f>
        <v/>
      </c>
      <c r="C979" s="40" t="str">
        <f>IF(Bids!$B978="","",Bids!$B978)</f>
        <v/>
      </c>
      <c r="D979" s="40" t="str">
        <f>IF($C979="","",IFERROR(VLOOKUP($C979,Orders!$A$4:$J$998,9,FALSE),""))</f>
        <v/>
      </c>
      <c r="E979" s="40" t="str">
        <f>IF($C979="","",IFERROR(VLOOKUP($C979,Orders!$A$4:$J$998,3,FALSE),""))</f>
        <v/>
      </c>
      <c r="F979" s="40">
        <f t="shared" si="2"/>
        <v>1</v>
      </c>
      <c r="G979" s="40" t="str">
        <f>IF($C979="","",IFERROR(VLOOKUP($C979,Orders!$A$4:$J$998,4,FALSE),""))</f>
        <v/>
      </c>
      <c r="H979" s="40" t="str">
        <f>IF($C979="","",IFERROR(VLOOKUP($C979,Orders!$A$4:$J$998,5,FALSE),""))</f>
        <v/>
      </c>
      <c r="I979" s="40" t="str">
        <f>IF($C979="","",IFERROR(VLOOKUP($C979,Orders!$A$4:$J$998,6,FALSE),""))</f>
        <v/>
      </c>
      <c r="J979" s="40" t="str">
        <f>IF($C979="","",IFERROR(VLOOKUP($C979,Orders!$A$4:$J$998,7,FALSE),""))</f>
        <v/>
      </c>
      <c r="K979" s="40" t="str">
        <f>IF(Bids!$C978="","",Bids!$C978)</f>
        <v/>
      </c>
      <c r="L979" s="40" t="str">
        <f>IF($K979="","",IFERROR(VLOOKUP($K979,Grinders!$A$4:$N$998,2,FALSE),""))</f>
        <v/>
      </c>
      <c r="M979" s="40" t="str">
        <f>IF($K979="","",IFERROR(VLOOKUP($K979,Grinders!$A$4:$N$998,3,FALSE),""))</f>
        <v/>
      </c>
      <c r="N979" s="40" t="str">
        <f>IF($K979="","",IFERROR(VLOOKUP($K979,Grinders!$A$4:$N$998,4,FALSE),""))</f>
        <v/>
      </c>
      <c r="O979" s="40" t="str">
        <f>IF($K979="","",IFERROR(VLOOKUP($K979,Grinders!$A$4:$N$998,5,FALSE),""))</f>
        <v/>
      </c>
      <c r="P979" s="40" t="str">
        <f>IF($K979="","",IF($C$4="",0,COUNTIFS(Assignments!$B$6:$B$1000,$K979,Assignments!$F$6:$F$1000,$C$4,Assignments!$E$6:$E$1000,"Active")))</f>
        <v/>
      </c>
      <c r="Q979" s="40" t="str">
        <f t="shared" si="3"/>
        <v/>
      </c>
      <c r="R979" s="40" t="str">
        <f t="shared" si="4"/>
        <v/>
      </c>
      <c r="S979" s="40" t="str">
        <f>IF($K979="","",IF($C$4="",0,COUNTIFS(Assignments!$B$6:$B$1000,$K979,Assignments!$F$6:$F$1000,$C$4,Assignments!$D$6:$D$1000,"&gt;="&amp;Config!$B$3-7,Assignments!$D$6:$D$1000,"&lt;="&amp;Config!$B$3)))</f>
        <v/>
      </c>
      <c r="T979" s="40" t="str">
        <f>IF($K979="","",IFERROR(VLOOKUP($K979,Grinders!$A$4:$N$998,8,FALSE),""))</f>
        <v/>
      </c>
      <c r="U979" s="40" t="str">
        <f>IFERROR(IF($K979="","",IF($M979="Elite",MAX(50,MIN(100,Config!$B$27*MAX(0,MIN(100,(1-IF($R979="",0,$R979))*100)) + Config!$B$28*MAX(0,MIN(100,(1-MIN(1,IF(Config!$B$30=0,1,$S979/Config!$B$30)))*100)) + Config!$B$29*MAX(0,MIN(100,MIN(1,IF($T979="",0,$T979)/Config!$B$23)*100)))),MIN(100,Config!$B$27*MAX(0,MIN(100,(1-IF($R979="",0,$R979))*100)) + Config!$B$28*MAX(0,MIN(100,(1-MIN(1,IF(Config!$B$30=0,1,$S979/Config!$B$30)))*100)) + Config!$B$29*MAX(0,MIN(100,MIN(1,IF($T979="",0,$T979)/Config!$B$23)*100))))),"")
</f>
        <v/>
      </c>
      <c r="V979" s="40" t="str">
        <f>IF(Bids!$D978="","",Bids!$D978)</f>
        <v/>
      </c>
      <c r="W979" s="40" t="str">
        <f>IF(Bids!$F978="","",Bids!$F978)</f>
        <v/>
      </c>
      <c r="X979" s="40" t="str">
        <f t="shared" si="5"/>
        <v/>
      </c>
      <c r="Y979" s="40" t="str">
        <f>IF($X979="","",IF(Config!$B$17=Config!$B$16,IF($X979&gt;=Config!$B$17,100,0),MAX(0,MIN(100,($X979-Config!$B$16)/(Config!$B$17-Config!$B$16)*100))))</f>
        <v/>
      </c>
      <c r="Z979" s="40">
        <f>IF($M979="Elite",Config!$B$21,0)</f>
        <v>0</v>
      </c>
      <c r="AA979" s="40" t="str">
        <f>IFERROR(IF(OR($W979="",$H979=""),"",IF($W979&gt;$H979,
  MAX(0, 60-(($W979-$H979)*24/Config!$B$19)*60),
  MIN(100, 60+(($H979-$W979)*24/Config!$B$20)*40)
)),"")
</f>
        <v/>
      </c>
      <c r="AB979" s="40" t="str">
        <f>IF($K979="","",IFERROR(VLOOKUP($K979,Grinders!$A$4:$N$998,10,FALSE)/5*100,""))</f>
        <v/>
      </c>
      <c r="AC979" s="40" t="str">
        <f>IF($K979="","",IFERROR(VLOOKUP($K979,Grinders!$A$4:$N$998,11,FALSE)*100,""))</f>
        <v/>
      </c>
      <c r="AD979" s="40" t="str">
        <f>IF($K979="","",IFERROR(VLOOKUP($K979,Grinders!$A$4:$N$998,12,FALSE)*100,""))</f>
        <v/>
      </c>
      <c r="AE979" s="40">
        <f>IFERROR(IFS(
    OR($C979="", $K979=""), 0,
    $F979=0, 0,
    $D979&lt;&gt;"Open", 0,
    COUNTIFS(GrinderServices!$B$4:$B$998, $K979, GrinderServices!$C$4:$C$998, $E979, GrinderServices!$E$4:$E$998, "Y")=0, 0,
    $X979&lt;Config!$B$16, 0,
    Config!$B$18=1, IF($O979&gt;=N979, 0, 1),
    TRUE, 1
), "")
</f>
        <v>0</v>
      </c>
      <c r="AF979" s="40" t="str">
        <f>IFERROR(IF($AE979=0,"",((Config!$B$6*$Y979 + Config!$B$7*$U979 + Config!$B$8*$Z979 + Config!$B$9*$AA979 + Config!$B$10*$AB979 + Config!$B$11*$AC979 - Config!$B$12*$AD979)/Config!$B$13)+$AK979+$AL979),"")</f>
        <v/>
      </c>
      <c r="AG979" s="40" t="str">
        <f t="shared" si="6"/>
        <v/>
      </c>
      <c r="AH979" s="40" t="str">
        <f t="shared" si="7"/>
        <v/>
      </c>
      <c r="AI979" s="40" t="str">
        <f t="shared" si="8"/>
        <v/>
      </c>
      <c r="AJ979" s="40" t="str">
        <f>IF($K979="","",COUNTIF(Assignments!$B$6:$B$1000,$K979))</f>
        <v/>
      </c>
      <c r="AK979" s="40" t="str">
        <f>IF($K979="","",IF(AND($AJ979=0,$O979&lt;$N979),Config!$B$43,0))</f>
        <v/>
      </c>
      <c r="AL979" s="40" t="str">
        <f>IF($K979="","",IF(AND($M979="Elite",$G979&gt;=Config!$B$41,$O979&lt;$N979),Config!$B$42,0))</f>
        <v/>
      </c>
      <c r="AM979" s="22"/>
    </row>
    <row r="980" ht="15.75" customHeight="1">
      <c r="A980" s="40" t="str">
        <f t="shared" si="1"/>
        <v/>
      </c>
      <c r="B980" s="40" t="str">
        <f>IF(Bids!$A979="","",Bids!$A979)</f>
        <v/>
      </c>
      <c r="C980" s="40" t="str">
        <f>IF(Bids!$B979="","",Bids!$B979)</f>
        <v/>
      </c>
      <c r="D980" s="40" t="str">
        <f>IF($C980="","",IFERROR(VLOOKUP($C980,Orders!$A$4:$J$998,9,FALSE),""))</f>
        <v/>
      </c>
      <c r="E980" s="40" t="str">
        <f>IF($C980="","",IFERROR(VLOOKUP($C980,Orders!$A$4:$J$998,3,FALSE),""))</f>
        <v/>
      </c>
      <c r="F980" s="40">
        <f t="shared" si="2"/>
        <v>1</v>
      </c>
      <c r="G980" s="40" t="str">
        <f>IF($C980="","",IFERROR(VLOOKUP($C980,Orders!$A$4:$J$998,4,FALSE),""))</f>
        <v/>
      </c>
      <c r="H980" s="40" t="str">
        <f>IF($C980="","",IFERROR(VLOOKUP($C980,Orders!$A$4:$J$998,5,FALSE),""))</f>
        <v/>
      </c>
      <c r="I980" s="40" t="str">
        <f>IF($C980="","",IFERROR(VLOOKUP($C980,Orders!$A$4:$J$998,6,FALSE),""))</f>
        <v/>
      </c>
      <c r="J980" s="40" t="str">
        <f>IF($C980="","",IFERROR(VLOOKUP($C980,Orders!$A$4:$J$998,7,FALSE),""))</f>
        <v/>
      </c>
      <c r="K980" s="40" t="str">
        <f>IF(Bids!$C979="","",Bids!$C979)</f>
        <v/>
      </c>
      <c r="L980" s="40" t="str">
        <f>IF($K980="","",IFERROR(VLOOKUP($K980,Grinders!$A$4:$N$998,2,FALSE),""))</f>
        <v/>
      </c>
      <c r="M980" s="40" t="str">
        <f>IF($K980="","",IFERROR(VLOOKUP($K980,Grinders!$A$4:$N$998,3,FALSE),""))</f>
        <v/>
      </c>
      <c r="N980" s="40" t="str">
        <f>IF($K980="","",IFERROR(VLOOKUP($K980,Grinders!$A$4:$N$998,4,FALSE),""))</f>
        <v/>
      </c>
      <c r="O980" s="40" t="str">
        <f>IF($K980="","",IFERROR(VLOOKUP($K980,Grinders!$A$4:$N$998,5,FALSE),""))</f>
        <v/>
      </c>
      <c r="P980" s="40" t="str">
        <f>IF($K980="","",IF($C$4="",0,COUNTIFS(Assignments!$B$6:$B$1000,$K980,Assignments!$F$6:$F$1000,$C$4,Assignments!$E$6:$E$1000,"Active")))</f>
        <v/>
      </c>
      <c r="Q980" s="40" t="str">
        <f t="shared" si="3"/>
        <v/>
      </c>
      <c r="R980" s="40" t="str">
        <f t="shared" si="4"/>
        <v/>
      </c>
      <c r="S980" s="40" t="str">
        <f>IF($K980="","",IF($C$4="",0,COUNTIFS(Assignments!$B$6:$B$1000,$K980,Assignments!$F$6:$F$1000,$C$4,Assignments!$D$6:$D$1000,"&gt;="&amp;Config!$B$3-7,Assignments!$D$6:$D$1000,"&lt;="&amp;Config!$B$3)))</f>
        <v/>
      </c>
      <c r="T980" s="40" t="str">
        <f>IF($K980="","",IFERROR(VLOOKUP($K980,Grinders!$A$4:$N$998,8,FALSE),""))</f>
        <v/>
      </c>
      <c r="U980" s="40" t="str">
        <f>IFERROR(IF($K980="","",IF($M980="Elite",MAX(50,MIN(100,Config!$B$27*MAX(0,MIN(100,(1-IF($R980="",0,$R980))*100)) + Config!$B$28*MAX(0,MIN(100,(1-MIN(1,IF(Config!$B$30=0,1,$S980/Config!$B$30)))*100)) + Config!$B$29*MAX(0,MIN(100,MIN(1,IF($T980="",0,$T980)/Config!$B$23)*100)))),MIN(100,Config!$B$27*MAX(0,MIN(100,(1-IF($R980="",0,$R980))*100)) + Config!$B$28*MAX(0,MIN(100,(1-MIN(1,IF(Config!$B$30=0,1,$S980/Config!$B$30)))*100)) + Config!$B$29*MAX(0,MIN(100,MIN(1,IF($T980="",0,$T980)/Config!$B$23)*100))))),"")
</f>
        <v/>
      </c>
      <c r="V980" s="40" t="str">
        <f>IF(Bids!$D979="","",Bids!$D979)</f>
        <v/>
      </c>
      <c r="W980" s="40" t="str">
        <f>IF(Bids!$F979="","",Bids!$F979)</f>
        <v/>
      </c>
      <c r="X980" s="40" t="str">
        <f t="shared" si="5"/>
        <v/>
      </c>
      <c r="Y980" s="40" t="str">
        <f>IF($X980="","",IF(Config!$B$17=Config!$B$16,IF($X980&gt;=Config!$B$17,100,0),MAX(0,MIN(100,($X980-Config!$B$16)/(Config!$B$17-Config!$B$16)*100))))</f>
        <v/>
      </c>
      <c r="Z980" s="40">
        <f>IF($M980="Elite",Config!$B$21,0)</f>
        <v>0</v>
      </c>
      <c r="AA980" s="40" t="str">
        <f>IFERROR(IF(OR($W980="",$H980=""),"",IF($W980&gt;$H980,
  MAX(0, 60-(($W980-$H980)*24/Config!$B$19)*60),
  MIN(100, 60+(($H980-$W980)*24/Config!$B$20)*40)
)),"")
</f>
        <v/>
      </c>
      <c r="AB980" s="40" t="str">
        <f>IF($K980="","",IFERROR(VLOOKUP($K980,Grinders!$A$4:$N$998,10,FALSE)/5*100,""))</f>
        <v/>
      </c>
      <c r="AC980" s="40" t="str">
        <f>IF($K980="","",IFERROR(VLOOKUP($K980,Grinders!$A$4:$N$998,11,FALSE)*100,""))</f>
        <v/>
      </c>
      <c r="AD980" s="40" t="str">
        <f>IF($K980="","",IFERROR(VLOOKUP($K980,Grinders!$A$4:$N$998,12,FALSE)*100,""))</f>
        <v/>
      </c>
      <c r="AE980" s="40">
        <f>IFERROR(IFS(
    OR($C980="", $K980=""), 0,
    $F980=0, 0,
    $D980&lt;&gt;"Open", 0,
    COUNTIFS(GrinderServices!$B$4:$B$998, $K980, GrinderServices!$C$4:$C$998, $E980, GrinderServices!$E$4:$E$998, "Y")=0, 0,
    $X980&lt;Config!$B$16, 0,
    Config!$B$18=1, IF($O980&gt;=N980, 0, 1),
    TRUE, 1
), "")
</f>
        <v>0</v>
      </c>
      <c r="AF980" s="40" t="str">
        <f>IFERROR(IF($AE980=0,"",((Config!$B$6*$Y980 + Config!$B$7*$U980 + Config!$B$8*$Z980 + Config!$B$9*$AA980 + Config!$B$10*$AB980 + Config!$B$11*$AC980 - Config!$B$12*$AD980)/Config!$B$13)+$AK980+$AL980),"")</f>
        <v/>
      </c>
      <c r="AG980" s="40" t="str">
        <f t="shared" si="6"/>
        <v/>
      </c>
      <c r="AH980" s="40" t="str">
        <f t="shared" si="7"/>
        <v/>
      </c>
      <c r="AI980" s="40" t="str">
        <f t="shared" si="8"/>
        <v/>
      </c>
      <c r="AJ980" s="40" t="str">
        <f>IF($K980="","",COUNTIF(Assignments!$B$6:$B$1000,$K980))</f>
        <v/>
      </c>
      <c r="AK980" s="40" t="str">
        <f>IF($K980="","",IF(AND($AJ980=0,$O980&lt;$N980),Config!$B$43,0))</f>
        <v/>
      </c>
      <c r="AL980" s="40" t="str">
        <f>IF($K980="","",IF(AND($M980="Elite",$G980&gt;=Config!$B$41,$O980&lt;$N980),Config!$B$42,0))</f>
        <v/>
      </c>
      <c r="AM980" s="22"/>
    </row>
    <row r="981" ht="15.75" customHeight="1">
      <c r="A981" s="40" t="str">
        <f t="shared" si="1"/>
        <v/>
      </c>
      <c r="B981" s="40" t="str">
        <f>IF(Bids!$A980="","",Bids!$A980)</f>
        <v/>
      </c>
      <c r="C981" s="40" t="str">
        <f>IF(Bids!$B980="","",Bids!$B980)</f>
        <v/>
      </c>
      <c r="D981" s="40" t="str">
        <f>IF($C981="","",IFERROR(VLOOKUP($C981,Orders!$A$4:$J$998,9,FALSE),""))</f>
        <v/>
      </c>
      <c r="E981" s="40" t="str">
        <f>IF($C981="","",IFERROR(VLOOKUP($C981,Orders!$A$4:$J$998,3,FALSE),""))</f>
        <v/>
      </c>
      <c r="F981" s="40">
        <f t="shared" si="2"/>
        <v>1</v>
      </c>
      <c r="G981" s="40" t="str">
        <f>IF($C981="","",IFERROR(VLOOKUP($C981,Orders!$A$4:$J$998,4,FALSE),""))</f>
        <v/>
      </c>
      <c r="H981" s="40" t="str">
        <f>IF($C981="","",IFERROR(VLOOKUP($C981,Orders!$A$4:$J$998,5,FALSE),""))</f>
        <v/>
      </c>
      <c r="I981" s="40" t="str">
        <f>IF($C981="","",IFERROR(VLOOKUP($C981,Orders!$A$4:$J$998,6,FALSE),""))</f>
        <v/>
      </c>
      <c r="J981" s="40" t="str">
        <f>IF($C981="","",IFERROR(VLOOKUP($C981,Orders!$A$4:$J$998,7,FALSE),""))</f>
        <v/>
      </c>
      <c r="K981" s="40" t="str">
        <f>IF(Bids!$C980="","",Bids!$C980)</f>
        <v/>
      </c>
      <c r="L981" s="40" t="str">
        <f>IF($K981="","",IFERROR(VLOOKUP($K981,Grinders!$A$4:$N$998,2,FALSE),""))</f>
        <v/>
      </c>
      <c r="M981" s="40" t="str">
        <f>IF($K981="","",IFERROR(VLOOKUP($K981,Grinders!$A$4:$N$998,3,FALSE),""))</f>
        <v/>
      </c>
      <c r="N981" s="40" t="str">
        <f>IF($K981="","",IFERROR(VLOOKUP($K981,Grinders!$A$4:$N$998,4,FALSE),""))</f>
        <v/>
      </c>
      <c r="O981" s="40" t="str">
        <f>IF($K981="","",IFERROR(VLOOKUP($K981,Grinders!$A$4:$N$998,5,FALSE),""))</f>
        <v/>
      </c>
      <c r="P981" s="40" t="str">
        <f>IF($K981="","",IF($C$4="",0,COUNTIFS(Assignments!$B$6:$B$1000,$K981,Assignments!$F$6:$F$1000,$C$4,Assignments!$E$6:$E$1000,"Active")))</f>
        <v/>
      </c>
      <c r="Q981" s="40" t="str">
        <f t="shared" si="3"/>
        <v/>
      </c>
      <c r="R981" s="40" t="str">
        <f t="shared" si="4"/>
        <v/>
      </c>
      <c r="S981" s="40" t="str">
        <f>IF($K981="","",IF($C$4="",0,COUNTIFS(Assignments!$B$6:$B$1000,$K981,Assignments!$F$6:$F$1000,$C$4,Assignments!$D$6:$D$1000,"&gt;="&amp;Config!$B$3-7,Assignments!$D$6:$D$1000,"&lt;="&amp;Config!$B$3)))</f>
        <v/>
      </c>
      <c r="T981" s="40" t="str">
        <f>IF($K981="","",IFERROR(VLOOKUP($K981,Grinders!$A$4:$N$998,8,FALSE),""))</f>
        <v/>
      </c>
      <c r="U981" s="40" t="str">
        <f>IFERROR(IF($K981="","",IF($M981="Elite",MAX(50,MIN(100,Config!$B$27*MAX(0,MIN(100,(1-IF($R981="",0,$R981))*100)) + Config!$B$28*MAX(0,MIN(100,(1-MIN(1,IF(Config!$B$30=0,1,$S981/Config!$B$30)))*100)) + Config!$B$29*MAX(0,MIN(100,MIN(1,IF($T981="",0,$T981)/Config!$B$23)*100)))),MIN(100,Config!$B$27*MAX(0,MIN(100,(1-IF($R981="",0,$R981))*100)) + Config!$B$28*MAX(0,MIN(100,(1-MIN(1,IF(Config!$B$30=0,1,$S981/Config!$B$30)))*100)) + Config!$B$29*MAX(0,MIN(100,MIN(1,IF($T981="",0,$T981)/Config!$B$23)*100))))),"")
</f>
        <v/>
      </c>
      <c r="V981" s="40" t="str">
        <f>IF(Bids!$D980="","",Bids!$D980)</f>
        <v/>
      </c>
      <c r="W981" s="40" t="str">
        <f>IF(Bids!$F980="","",Bids!$F980)</f>
        <v/>
      </c>
      <c r="X981" s="40" t="str">
        <f t="shared" si="5"/>
        <v/>
      </c>
      <c r="Y981" s="40" t="str">
        <f>IF($X981="","",IF(Config!$B$17=Config!$B$16,IF($X981&gt;=Config!$B$17,100,0),MAX(0,MIN(100,($X981-Config!$B$16)/(Config!$B$17-Config!$B$16)*100))))</f>
        <v/>
      </c>
      <c r="Z981" s="40">
        <f>IF($M981="Elite",Config!$B$21,0)</f>
        <v>0</v>
      </c>
      <c r="AA981" s="40" t="str">
        <f>IFERROR(IF(OR($W981="",$H981=""),"",IF($W981&gt;$H981,
  MAX(0, 60-(($W981-$H981)*24/Config!$B$19)*60),
  MIN(100, 60+(($H981-$W981)*24/Config!$B$20)*40)
)),"")
</f>
        <v/>
      </c>
      <c r="AB981" s="40" t="str">
        <f>IF($K981="","",IFERROR(VLOOKUP($K981,Grinders!$A$4:$N$998,10,FALSE)/5*100,""))</f>
        <v/>
      </c>
      <c r="AC981" s="40" t="str">
        <f>IF($K981="","",IFERROR(VLOOKUP($K981,Grinders!$A$4:$N$998,11,FALSE)*100,""))</f>
        <v/>
      </c>
      <c r="AD981" s="40" t="str">
        <f>IF($K981="","",IFERROR(VLOOKUP($K981,Grinders!$A$4:$N$998,12,FALSE)*100,""))</f>
        <v/>
      </c>
      <c r="AE981" s="40">
        <f>IFERROR(IFS(
    OR($C981="", $K981=""), 0,
    $F981=0, 0,
    $D981&lt;&gt;"Open", 0,
    COUNTIFS(GrinderServices!$B$4:$B$998, $K981, GrinderServices!$C$4:$C$998, $E981, GrinderServices!$E$4:$E$998, "Y")=0, 0,
    $X981&lt;Config!$B$16, 0,
    Config!$B$18=1, IF($O981&gt;=N981, 0, 1),
    TRUE, 1
), "")
</f>
        <v>0</v>
      </c>
      <c r="AF981" s="40" t="str">
        <f>IFERROR(IF($AE981=0,"",((Config!$B$6*$Y981 + Config!$B$7*$U981 + Config!$B$8*$Z981 + Config!$B$9*$AA981 + Config!$B$10*$AB981 + Config!$B$11*$AC981 - Config!$B$12*$AD981)/Config!$B$13)+$AK981+$AL981),"")</f>
        <v/>
      </c>
      <c r="AG981" s="40" t="str">
        <f t="shared" si="6"/>
        <v/>
      </c>
      <c r="AH981" s="40" t="str">
        <f t="shared" si="7"/>
        <v/>
      </c>
      <c r="AI981" s="40" t="str">
        <f t="shared" si="8"/>
        <v/>
      </c>
      <c r="AJ981" s="40" t="str">
        <f>IF($K981="","",COUNTIF(Assignments!$B$6:$B$1000,$K981))</f>
        <v/>
      </c>
      <c r="AK981" s="40" t="str">
        <f>IF($K981="","",IF(AND($AJ981=0,$O981&lt;$N981),Config!$B$43,0))</f>
        <v/>
      </c>
      <c r="AL981" s="40" t="str">
        <f>IF($K981="","",IF(AND($M981="Elite",$G981&gt;=Config!$B$41,$O981&lt;$N981),Config!$B$42,0))</f>
        <v/>
      </c>
      <c r="AM981" s="22"/>
    </row>
    <row r="982" ht="15.75" customHeight="1">
      <c r="A982" s="40" t="str">
        <f t="shared" si="1"/>
        <v/>
      </c>
      <c r="B982" s="40" t="str">
        <f>IF(Bids!$A981="","",Bids!$A981)</f>
        <v/>
      </c>
      <c r="C982" s="40" t="str">
        <f>IF(Bids!$B981="","",Bids!$B981)</f>
        <v/>
      </c>
      <c r="D982" s="40" t="str">
        <f>IF($C982="","",IFERROR(VLOOKUP($C982,Orders!$A$4:$J$998,9,FALSE),""))</f>
        <v/>
      </c>
      <c r="E982" s="40" t="str">
        <f>IF($C982="","",IFERROR(VLOOKUP($C982,Orders!$A$4:$J$998,3,FALSE),""))</f>
        <v/>
      </c>
      <c r="F982" s="40">
        <f t="shared" si="2"/>
        <v>1</v>
      </c>
      <c r="G982" s="40" t="str">
        <f>IF($C982="","",IFERROR(VLOOKUP($C982,Orders!$A$4:$J$998,4,FALSE),""))</f>
        <v/>
      </c>
      <c r="H982" s="40" t="str">
        <f>IF($C982="","",IFERROR(VLOOKUP($C982,Orders!$A$4:$J$998,5,FALSE),""))</f>
        <v/>
      </c>
      <c r="I982" s="40" t="str">
        <f>IF($C982="","",IFERROR(VLOOKUP($C982,Orders!$A$4:$J$998,6,FALSE),""))</f>
        <v/>
      </c>
      <c r="J982" s="40" t="str">
        <f>IF($C982="","",IFERROR(VLOOKUP($C982,Orders!$A$4:$J$998,7,FALSE),""))</f>
        <v/>
      </c>
      <c r="K982" s="40" t="str">
        <f>IF(Bids!$C981="","",Bids!$C981)</f>
        <v/>
      </c>
      <c r="L982" s="40" t="str">
        <f>IF($K982="","",IFERROR(VLOOKUP($K982,Grinders!$A$4:$N$998,2,FALSE),""))</f>
        <v/>
      </c>
      <c r="M982" s="40" t="str">
        <f>IF($K982="","",IFERROR(VLOOKUP($K982,Grinders!$A$4:$N$998,3,FALSE),""))</f>
        <v/>
      </c>
      <c r="N982" s="40" t="str">
        <f>IF($K982="","",IFERROR(VLOOKUP($K982,Grinders!$A$4:$N$998,4,FALSE),""))</f>
        <v/>
      </c>
      <c r="O982" s="40" t="str">
        <f>IF($K982="","",IFERROR(VLOOKUP($K982,Grinders!$A$4:$N$998,5,FALSE),""))</f>
        <v/>
      </c>
      <c r="P982" s="40" t="str">
        <f>IF($K982="","",IF($C$4="",0,COUNTIFS(Assignments!$B$6:$B$1000,$K982,Assignments!$F$6:$F$1000,$C$4,Assignments!$E$6:$E$1000,"Active")))</f>
        <v/>
      </c>
      <c r="Q982" s="40" t="str">
        <f t="shared" si="3"/>
        <v/>
      </c>
      <c r="R982" s="40" t="str">
        <f t="shared" si="4"/>
        <v/>
      </c>
      <c r="S982" s="40" t="str">
        <f>IF($K982="","",IF($C$4="",0,COUNTIFS(Assignments!$B$6:$B$1000,$K982,Assignments!$F$6:$F$1000,$C$4,Assignments!$D$6:$D$1000,"&gt;="&amp;Config!$B$3-7,Assignments!$D$6:$D$1000,"&lt;="&amp;Config!$B$3)))</f>
        <v/>
      </c>
      <c r="T982" s="40" t="str">
        <f>IF($K982="","",IFERROR(VLOOKUP($K982,Grinders!$A$4:$N$998,8,FALSE),""))</f>
        <v/>
      </c>
      <c r="U982" s="40" t="str">
        <f>IFERROR(IF($K982="","",IF($M982="Elite",MAX(50,MIN(100,Config!$B$27*MAX(0,MIN(100,(1-IF($R982="",0,$R982))*100)) + Config!$B$28*MAX(0,MIN(100,(1-MIN(1,IF(Config!$B$30=0,1,$S982/Config!$B$30)))*100)) + Config!$B$29*MAX(0,MIN(100,MIN(1,IF($T982="",0,$T982)/Config!$B$23)*100)))),MIN(100,Config!$B$27*MAX(0,MIN(100,(1-IF($R982="",0,$R982))*100)) + Config!$B$28*MAX(0,MIN(100,(1-MIN(1,IF(Config!$B$30=0,1,$S982/Config!$B$30)))*100)) + Config!$B$29*MAX(0,MIN(100,MIN(1,IF($T982="",0,$T982)/Config!$B$23)*100))))),"")
</f>
        <v/>
      </c>
      <c r="V982" s="40" t="str">
        <f>IF(Bids!$D981="","",Bids!$D981)</f>
        <v/>
      </c>
      <c r="W982" s="40" t="str">
        <f>IF(Bids!$F981="","",Bids!$F981)</f>
        <v/>
      </c>
      <c r="X982" s="40" t="str">
        <f t="shared" si="5"/>
        <v/>
      </c>
      <c r="Y982" s="40" t="str">
        <f>IF($X982="","",IF(Config!$B$17=Config!$B$16,IF($X982&gt;=Config!$B$17,100,0),MAX(0,MIN(100,($X982-Config!$B$16)/(Config!$B$17-Config!$B$16)*100))))</f>
        <v/>
      </c>
      <c r="Z982" s="40">
        <f>IF($M982="Elite",Config!$B$21,0)</f>
        <v>0</v>
      </c>
      <c r="AA982" s="40" t="str">
        <f>IFERROR(IF(OR($W982="",$H982=""),"",IF($W982&gt;$H982,
  MAX(0, 60-(($W982-$H982)*24/Config!$B$19)*60),
  MIN(100, 60+(($H982-$W982)*24/Config!$B$20)*40)
)),"")
</f>
        <v/>
      </c>
      <c r="AB982" s="40" t="str">
        <f>IF($K982="","",IFERROR(VLOOKUP($K982,Grinders!$A$4:$N$998,10,FALSE)/5*100,""))</f>
        <v/>
      </c>
      <c r="AC982" s="40" t="str">
        <f>IF($K982="","",IFERROR(VLOOKUP($K982,Grinders!$A$4:$N$998,11,FALSE)*100,""))</f>
        <v/>
      </c>
      <c r="AD982" s="40" t="str">
        <f>IF($K982="","",IFERROR(VLOOKUP($K982,Grinders!$A$4:$N$998,12,FALSE)*100,""))</f>
        <v/>
      </c>
      <c r="AE982" s="40">
        <f>IFERROR(IFS(
    OR($C982="", $K982=""), 0,
    $F982=0, 0,
    $D982&lt;&gt;"Open", 0,
    COUNTIFS(GrinderServices!$B$4:$B$998, $K982, GrinderServices!$C$4:$C$998, $E982, GrinderServices!$E$4:$E$998, "Y")=0, 0,
    $X982&lt;Config!$B$16, 0,
    Config!$B$18=1, IF($O982&gt;=N982, 0, 1),
    TRUE, 1
), "")
</f>
        <v>0</v>
      </c>
      <c r="AF982" s="40" t="str">
        <f>IFERROR(IF($AE982=0,"",((Config!$B$6*$Y982 + Config!$B$7*$U982 + Config!$B$8*$Z982 + Config!$B$9*$AA982 + Config!$B$10*$AB982 + Config!$B$11*$AC982 - Config!$B$12*$AD982)/Config!$B$13)+$AK982+$AL982),"")</f>
        <v/>
      </c>
      <c r="AG982" s="40" t="str">
        <f t="shared" si="6"/>
        <v/>
      </c>
      <c r="AH982" s="40" t="str">
        <f t="shared" si="7"/>
        <v/>
      </c>
      <c r="AI982" s="40" t="str">
        <f t="shared" si="8"/>
        <v/>
      </c>
      <c r="AJ982" s="40" t="str">
        <f>IF($K982="","",COUNTIF(Assignments!$B$6:$B$1000,$K982))</f>
        <v/>
      </c>
      <c r="AK982" s="40" t="str">
        <f>IF($K982="","",IF(AND($AJ982=0,$O982&lt;$N982),Config!$B$43,0))</f>
        <v/>
      </c>
      <c r="AL982" s="40" t="str">
        <f>IF($K982="","",IF(AND($M982="Elite",$G982&gt;=Config!$B$41,$O982&lt;$N982),Config!$B$42,0))</f>
        <v/>
      </c>
      <c r="AM982" s="22"/>
    </row>
    <row r="983" ht="15.75" customHeight="1">
      <c r="A983" s="40" t="str">
        <f t="shared" si="1"/>
        <v/>
      </c>
      <c r="B983" s="40" t="str">
        <f>IF(Bids!$A982="","",Bids!$A982)</f>
        <v/>
      </c>
      <c r="C983" s="40" t="str">
        <f>IF(Bids!$B982="","",Bids!$B982)</f>
        <v/>
      </c>
      <c r="D983" s="40" t="str">
        <f>IF($C983="","",IFERROR(VLOOKUP($C983,Orders!$A$4:$J$998,9,FALSE),""))</f>
        <v/>
      </c>
      <c r="E983" s="40" t="str">
        <f>IF($C983="","",IFERROR(VLOOKUP($C983,Orders!$A$4:$J$998,3,FALSE),""))</f>
        <v/>
      </c>
      <c r="F983" s="40">
        <f t="shared" si="2"/>
        <v>1</v>
      </c>
      <c r="G983" s="40" t="str">
        <f>IF($C983="","",IFERROR(VLOOKUP($C983,Orders!$A$4:$J$998,4,FALSE),""))</f>
        <v/>
      </c>
      <c r="H983" s="40" t="str">
        <f>IF($C983="","",IFERROR(VLOOKUP($C983,Orders!$A$4:$J$998,5,FALSE),""))</f>
        <v/>
      </c>
      <c r="I983" s="40" t="str">
        <f>IF($C983="","",IFERROR(VLOOKUP($C983,Orders!$A$4:$J$998,6,FALSE),""))</f>
        <v/>
      </c>
      <c r="J983" s="40" t="str">
        <f>IF($C983="","",IFERROR(VLOOKUP($C983,Orders!$A$4:$J$998,7,FALSE),""))</f>
        <v/>
      </c>
      <c r="K983" s="40" t="str">
        <f>IF(Bids!$C982="","",Bids!$C982)</f>
        <v/>
      </c>
      <c r="L983" s="40" t="str">
        <f>IF($K983="","",IFERROR(VLOOKUP($K983,Grinders!$A$4:$N$998,2,FALSE),""))</f>
        <v/>
      </c>
      <c r="M983" s="40" t="str">
        <f>IF($K983="","",IFERROR(VLOOKUP($K983,Grinders!$A$4:$N$998,3,FALSE),""))</f>
        <v/>
      </c>
      <c r="N983" s="40" t="str">
        <f>IF($K983="","",IFERROR(VLOOKUP($K983,Grinders!$A$4:$N$998,4,FALSE),""))</f>
        <v/>
      </c>
      <c r="O983" s="40" t="str">
        <f>IF($K983="","",IFERROR(VLOOKUP($K983,Grinders!$A$4:$N$998,5,FALSE),""))</f>
        <v/>
      </c>
      <c r="P983" s="40" t="str">
        <f>IF($K983="","",IF($C$4="",0,COUNTIFS(Assignments!$B$6:$B$1000,$K983,Assignments!$F$6:$F$1000,$C$4,Assignments!$E$6:$E$1000,"Active")))</f>
        <v/>
      </c>
      <c r="Q983" s="40" t="str">
        <f t="shared" si="3"/>
        <v/>
      </c>
      <c r="R983" s="40" t="str">
        <f t="shared" si="4"/>
        <v/>
      </c>
      <c r="S983" s="40" t="str">
        <f>IF($K983="","",IF($C$4="",0,COUNTIFS(Assignments!$B$6:$B$1000,$K983,Assignments!$F$6:$F$1000,$C$4,Assignments!$D$6:$D$1000,"&gt;="&amp;Config!$B$3-7,Assignments!$D$6:$D$1000,"&lt;="&amp;Config!$B$3)))</f>
        <v/>
      </c>
      <c r="T983" s="40" t="str">
        <f>IF($K983="","",IFERROR(VLOOKUP($K983,Grinders!$A$4:$N$998,8,FALSE),""))</f>
        <v/>
      </c>
      <c r="U983" s="40" t="str">
        <f>IFERROR(IF($K983="","",IF($M983="Elite",MAX(50,MIN(100,Config!$B$27*MAX(0,MIN(100,(1-IF($R983="",0,$R983))*100)) + Config!$B$28*MAX(0,MIN(100,(1-MIN(1,IF(Config!$B$30=0,1,$S983/Config!$B$30)))*100)) + Config!$B$29*MAX(0,MIN(100,MIN(1,IF($T983="",0,$T983)/Config!$B$23)*100)))),MIN(100,Config!$B$27*MAX(0,MIN(100,(1-IF($R983="",0,$R983))*100)) + Config!$B$28*MAX(0,MIN(100,(1-MIN(1,IF(Config!$B$30=0,1,$S983/Config!$B$30)))*100)) + Config!$B$29*MAX(0,MIN(100,MIN(1,IF($T983="",0,$T983)/Config!$B$23)*100))))),"")
</f>
        <v/>
      </c>
      <c r="V983" s="40" t="str">
        <f>IF(Bids!$D982="","",Bids!$D982)</f>
        <v/>
      </c>
      <c r="W983" s="40" t="str">
        <f>IF(Bids!$F982="","",Bids!$F982)</f>
        <v/>
      </c>
      <c r="X983" s="40" t="str">
        <f t="shared" si="5"/>
        <v/>
      </c>
      <c r="Y983" s="40" t="str">
        <f>IF($X983="","",IF(Config!$B$17=Config!$B$16,IF($X983&gt;=Config!$B$17,100,0),MAX(0,MIN(100,($X983-Config!$B$16)/(Config!$B$17-Config!$B$16)*100))))</f>
        <v/>
      </c>
      <c r="Z983" s="40">
        <f>IF($M983="Elite",Config!$B$21,0)</f>
        <v>0</v>
      </c>
      <c r="AA983" s="40" t="str">
        <f>IFERROR(IF(OR($W983="",$H983=""),"",IF($W983&gt;$H983,
  MAX(0, 60-(($W983-$H983)*24/Config!$B$19)*60),
  MIN(100, 60+(($H983-$W983)*24/Config!$B$20)*40)
)),"")
</f>
        <v/>
      </c>
      <c r="AB983" s="40" t="str">
        <f>IF($K983="","",IFERROR(VLOOKUP($K983,Grinders!$A$4:$N$998,10,FALSE)/5*100,""))</f>
        <v/>
      </c>
      <c r="AC983" s="40" t="str">
        <f>IF($K983="","",IFERROR(VLOOKUP($K983,Grinders!$A$4:$N$998,11,FALSE)*100,""))</f>
        <v/>
      </c>
      <c r="AD983" s="40" t="str">
        <f>IF($K983="","",IFERROR(VLOOKUP($K983,Grinders!$A$4:$N$998,12,FALSE)*100,""))</f>
        <v/>
      </c>
      <c r="AE983" s="40">
        <f>IFERROR(IFS(
    OR($C983="", $K983=""), 0,
    $F983=0, 0,
    $D983&lt;&gt;"Open", 0,
    COUNTIFS(GrinderServices!$B$4:$B$998, $K983, GrinderServices!$C$4:$C$998, $E983, GrinderServices!$E$4:$E$998, "Y")=0, 0,
    $X983&lt;Config!$B$16, 0,
    Config!$B$18=1, IF($O983&gt;=N983, 0, 1),
    TRUE, 1
), "")
</f>
        <v>0</v>
      </c>
      <c r="AF983" s="40" t="str">
        <f>IFERROR(IF($AE983=0,"",((Config!$B$6*$Y983 + Config!$B$7*$U983 + Config!$B$8*$Z983 + Config!$B$9*$AA983 + Config!$B$10*$AB983 + Config!$B$11*$AC983 - Config!$B$12*$AD983)/Config!$B$13)+$AK983+$AL983),"")</f>
        <v/>
      </c>
      <c r="AG983" s="40" t="str">
        <f t="shared" si="6"/>
        <v/>
      </c>
      <c r="AH983" s="40" t="str">
        <f t="shared" si="7"/>
        <v/>
      </c>
      <c r="AI983" s="40" t="str">
        <f t="shared" si="8"/>
        <v/>
      </c>
      <c r="AJ983" s="40" t="str">
        <f>IF($K983="","",COUNTIF(Assignments!$B$6:$B$1000,$K983))</f>
        <v/>
      </c>
      <c r="AK983" s="40" t="str">
        <f>IF($K983="","",IF(AND($AJ983=0,$O983&lt;$N983),Config!$B$43,0))</f>
        <v/>
      </c>
      <c r="AL983" s="40" t="str">
        <f>IF($K983="","",IF(AND($M983="Elite",$G983&gt;=Config!$B$41,$O983&lt;$N983),Config!$B$42,0))</f>
        <v/>
      </c>
      <c r="AM983" s="22"/>
    </row>
    <row r="984" ht="15.75" customHeight="1">
      <c r="A984" s="40" t="str">
        <f t="shared" si="1"/>
        <v/>
      </c>
      <c r="B984" s="40" t="str">
        <f>IF(Bids!$A983="","",Bids!$A983)</f>
        <v/>
      </c>
      <c r="C984" s="40" t="str">
        <f>IF(Bids!$B983="","",Bids!$B983)</f>
        <v/>
      </c>
      <c r="D984" s="40" t="str">
        <f>IF($C984="","",IFERROR(VLOOKUP($C984,Orders!$A$4:$J$998,9,FALSE),""))</f>
        <v/>
      </c>
      <c r="E984" s="40" t="str">
        <f>IF($C984="","",IFERROR(VLOOKUP($C984,Orders!$A$4:$J$998,3,FALSE),""))</f>
        <v/>
      </c>
      <c r="F984" s="40">
        <f t="shared" si="2"/>
        <v>1</v>
      </c>
      <c r="G984" s="40" t="str">
        <f>IF($C984="","",IFERROR(VLOOKUP($C984,Orders!$A$4:$J$998,4,FALSE),""))</f>
        <v/>
      </c>
      <c r="H984" s="40" t="str">
        <f>IF($C984="","",IFERROR(VLOOKUP($C984,Orders!$A$4:$J$998,5,FALSE),""))</f>
        <v/>
      </c>
      <c r="I984" s="40" t="str">
        <f>IF($C984="","",IFERROR(VLOOKUP($C984,Orders!$A$4:$J$998,6,FALSE),""))</f>
        <v/>
      </c>
      <c r="J984" s="40" t="str">
        <f>IF($C984="","",IFERROR(VLOOKUP($C984,Orders!$A$4:$J$998,7,FALSE),""))</f>
        <v/>
      </c>
      <c r="K984" s="40" t="str">
        <f>IF(Bids!$C983="","",Bids!$C983)</f>
        <v/>
      </c>
      <c r="L984" s="40" t="str">
        <f>IF($K984="","",IFERROR(VLOOKUP($K984,Grinders!$A$4:$N$998,2,FALSE),""))</f>
        <v/>
      </c>
      <c r="M984" s="40" t="str">
        <f>IF($K984="","",IFERROR(VLOOKUP($K984,Grinders!$A$4:$N$998,3,FALSE),""))</f>
        <v/>
      </c>
      <c r="N984" s="40" t="str">
        <f>IF($K984="","",IFERROR(VLOOKUP($K984,Grinders!$A$4:$N$998,4,FALSE),""))</f>
        <v/>
      </c>
      <c r="O984" s="40" t="str">
        <f>IF($K984="","",IFERROR(VLOOKUP($K984,Grinders!$A$4:$N$998,5,FALSE),""))</f>
        <v/>
      </c>
      <c r="P984" s="40" t="str">
        <f>IF($K984="","",IF($C$4="",0,COUNTIFS(Assignments!$B$6:$B$1000,$K984,Assignments!$F$6:$F$1000,$C$4,Assignments!$E$6:$E$1000,"Active")))</f>
        <v/>
      </c>
      <c r="Q984" s="40" t="str">
        <f t="shared" si="3"/>
        <v/>
      </c>
      <c r="R984" s="40" t="str">
        <f t="shared" si="4"/>
        <v/>
      </c>
      <c r="S984" s="40" t="str">
        <f>IF($K984="","",IF($C$4="",0,COUNTIFS(Assignments!$B$6:$B$1000,$K984,Assignments!$F$6:$F$1000,$C$4,Assignments!$D$6:$D$1000,"&gt;="&amp;Config!$B$3-7,Assignments!$D$6:$D$1000,"&lt;="&amp;Config!$B$3)))</f>
        <v/>
      </c>
      <c r="T984" s="40" t="str">
        <f>IF($K984="","",IFERROR(VLOOKUP($K984,Grinders!$A$4:$N$998,8,FALSE),""))</f>
        <v/>
      </c>
      <c r="U984" s="40" t="str">
        <f>IFERROR(IF($K984="","",IF($M984="Elite",MAX(50,MIN(100,Config!$B$27*MAX(0,MIN(100,(1-IF($R984="",0,$R984))*100)) + Config!$B$28*MAX(0,MIN(100,(1-MIN(1,IF(Config!$B$30=0,1,$S984/Config!$B$30)))*100)) + Config!$B$29*MAX(0,MIN(100,MIN(1,IF($T984="",0,$T984)/Config!$B$23)*100)))),MIN(100,Config!$B$27*MAX(0,MIN(100,(1-IF($R984="",0,$R984))*100)) + Config!$B$28*MAX(0,MIN(100,(1-MIN(1,IF(Config!$B$30=0,1,$S984/Config!$B$30)))*100)) + Config!$B$29*MAX(0,MIN(100,MIN(1,IF($T984="",0,$T984)/Config!$B$23)*100))))),"")
</f>
        <v/>
      </c>
      <c r="V984" s="40" t="str">
        <f>IF(Bids!$D983="","",Bids!$D983)</f>
        <v/>
      </c>
      <c r="W984" s="40" t="str">
        <f>IF(Bids!$F983="","",Bids!$F983)</f>
        <v/>
      </c>
      <c r="X984" s="40" t="str">
        <f t="shared" si="5"/>
        <v/>
      </c>
      <c r="Y984" s="40" t="str">
        <f>IF($X984="","",IF(Config!$B$17=Config!$B$16,IF($X984&gt;=Config!$B$17,100,0),MAX(0,MIN(100,($X984-Config!$B$16)/(Config!$B$17-Config!$B$16)*100))))</f>
        <v/>
      </c>
      <c r="Z984" s="40">
        <f>IF($M984="Elite",Config!$B$21,0)</f>
        <v>0</v>
      </c>
      <c r="AA984" s="40" t="str">
        <f>IFERROR(IF(OR($W984="",$H984=""),"",IF($W984&gt;$H984,
  MAX(0, 60-(($W984-$H984)*24/Config!$B$19)*60),
  MIN(100, 60+(($H984-$W984)*24/Config!$B$20)*40)
)),"")
</f>
        <v/>
      </c>
      <c r="AB984" s="40" t="str">
        <f>IF($K984="","",IFERROR(VLOOKUP($K984,Grinders!$A$4:$N$998,10,FALSE)/5*100,""))</f>
        <v/>
      </c>
      <c r="AC984" s="40" t="str">
        <f>IF($K984="","",IFERROR(VLOOKUP($K984,Grinders!$A$4:$N$998,11,FALSE)*100,""))</f>
        <v/>
      </c>
      <c r="AD984" s="40" t="str">
        <f>IF($K984="","",IFERROR(VLOOKUP($K984,Grinders!$A$4:$N$998,12,FALSE)*100,""))</f>
        <v/>
      </c>
      <c r="AE984" s="40">
        <f>IFERROR(IFS(
    OR($C984="", $K984=""), 0,
    $F984=0, 0,
    $D984&lt;&gt;"Open", 0,
    COUNTIFS(GrinderServices!$B$4:$B$998, $K984, GrinderServices!$C$4:$C$998, $E984, GrinderServices!$E$4:$E$998, "Y")=0, 0,
    $X984&lt;Config!$B$16, 0,
    Config!$B$18=1, IF($O984&gt;=N984, 0, 1),
    TRUE, 1
), "")
</f>
        <v>0</v>
      </c>
      <c r="AF984" s="40" t="str">
        <f>IFERROR(IF($AE984=0,"",((Config!$B$6*$Y984 + Config!$B$7*$U984 + Config!$B$8*$Z984 + Config!$B$9*$AA984 + Config!$B$10*$AB984 + Config!$B$11*$AC984 - Config!$B$12*$AD984)/Config!$B$13)+$AK984+$AL984),"")</f>
        <v/>
      </c>
      <c r="AG984" s="40" t="str">
        <f t="shared" si="6"/>
        <v/>
      </c>
      <c r="AH984" s="40" t="str">
        <f t="shared" si="7"/>
        <v/>
      </c>
      <c r="AI984" s="40" t="str">
        <f t="shared" si="8"/>
        <v/>
      </c>
      <c r="AJ984" s="40" t="str">
        <f>IF($K984="","",COUNTIF(Assignments!$B$6:$B$1000,$K984))</f>
        <v/>
      </c>
      <c r="AK984" s="40" t="str">
        <f>IF($K984="","",IF(AND($AJ984=0,$O984&lt;$N984),Config!$B$43,0))</f>
        <v/>
      </c>
      <c r="AL984" s="40" t="str">
        <f>IF($K984="","",IF(AND($M984="Elite",$G984&gt;=Config!$B$41,$O984&lt;$N984),Config!$B$42,0))</f>
        <v/>
      </c>
      <c r="AM984" s="22"/>
    </row>
    <row r="985" ht="15.75" customHeight="1">
      <c r="A985" s="40" t="str">
        <f t="shared" si="1"/>
        <v/>
      </c>
      <c r="B985" s="40" t="str">
        <f>IF(Bids!$A984="","",Bids!$A984)</f>
        <v/>
      </c>
      <c r="C985" s="40" t="str">
        <f>IF(Bids!$B984="","",Bids!$B984)</f>
        <v/>
      </c>
      <c r="D985" s="40" t="str">
        <f>IF($C985="","",IFERROR(VLOOKUP($C985,Orders!$A$4:$J$998,9,FALSE),""))</f>
        <v/>
      </c>
      <c r="E985" s="40" t="str">
        <f>IF($C985="","",IFERROR(VLOOKUP($C985,Orders!$A$4:$J$998,3,FALSE),""))</f>
        <v/>
      </c>
      <c r="F985" s="40">
        <f t="shared" si="2"/>
        <v>1</v>
      </c>
      <c r="G985" s="40" t="str">
        <f>IF($C985="","",IFERROR(VLOOKUP($C985,Orders!$A$4:$J$998,4,FALSE),""))</f>
        <v/>
      </c>
      <c r="H985" s="40" t="str">
        <f>IF($C985="","",IFERROR(VLOOKUP($C985,Orders!$A$4:$J$998,5,FALSE),""))</f>
        <v/>
      </c>
      <c r="I985" s="40" t="str">
        <f>IF($C985="","",IFERROR(VLOOKUP($C985,Orders!$A$4:$J$998,6,FALSE),""))</f>
        <v/>
      </c>
      <c r="J985" s="40" t="str">
        <f>IF($C985="","",IFERROR(VLOOKUP($C985,Orders!$A$4:$J$998,7,FALSE),""))</f>
        <v/>
      </c>
      <c r="K985" s="40" t="str">
        <f>IF(Bids!$C984="","",Bids!$C984)</f>
        <v/>
      </c>
      <c r="L985" s="40" t="str">
        <f>IF($K985="","",IFERROR(VLOOKUP($K985,Grinders!$A$4:$N$998,2,FALSE),""))</f>
        <v/>
      </c>
      <c r="M985" s="40" t="str">
        <f>IF($K985="","",IFERROR(VLOOKUP($K985,Grinders!$A$4:$N$998,3,FALSE),""))</f>
        <v/>
      </c>
      <c r="N985" s="40" t="str">
        <f>IF($K985="","",IFERROR(VLOOKUP($K985,Grinders!$A$4:$N$998,4,FALSE),""))</f>
        <v/>
      </c>
      <c r="O985" s="40" t="str">
        <f>IF($K985="","",IFERROR(VLOOKUP($K985,Grinders!$A$4:$N$998,5,FALSE),""))</f>
        <v/>
      </c>
      <c r="P985" s="40" t="str">
        <f>IF($K985="","",IF($C$4="",0,COUNTIFS(Assignments!$B$6:$B$1000,$K985,Assignments!$F$6:$F$1000,$C$4,Assignments!$E$6:$E$1000,"Active")))</f>
        <v/>
      </c>
      <c r="Q985" s="40" t="str">
        <f t="shared" si="3"/>
        <v/>
      </c>
      <c r="R985" s="40" t="str">
        <f t="shared" si="4"/>
        <v/>
      </c>
      <c r="S985" s="40" t="str">
        <f>IF($K985="","",IF($C$4="",0,COUNTIFS(Assignments!$B$6:$B$1000,$K985,Assignments!$F$6:$F$1000,$C$4,Assignments!$D$6:$D$1000,"&gt;="&amp;Config!$B$3-7,Assignments!$D$6:$D$1000,"&lt;="&amp;Config!$B$3)))</f>
        <v/>
      </c>
      <c r="T985" s="40" t="str">
        <f>IF($K985="","",IFERROR(VLOOKUP($K985,Grinders!$A$4:$N$998,8,FALSE),""))</f>
        <v/>
      </c>
      <c r="U985" s="40" t="str">
        <f>IFERROR(IF($K985="","",IF($M985="Elite",MAX(50,MIN(100,Config!$B$27*MAX(0,MIN(100,(1-IF($R985="",0,$R985))*100)) + Config!$B$28*MAX(0,MIN(100,(1-MIN(1,IF(Config!$B$30=0,1,$S985/Config!$B$30)))*100)) + Config!$B$29*MAX(0,MIN(100,MIN(1,IF($T985="",0,$T985)/Config!$B$23)*100)))),MIN(100,Config!$B$27*MAX(0,MIN(100,(1-IF($R985="",0,$R985))*100)) + Config!$B$28*MAX(0,MIN(100,(1-MIN(1,IF(Config!$B$30=0,1,$S985/Config!$B$30)))*100)) + Config!$B$29*MAX(0,MIN(100,MIN(1,IF($T985="",0,$T985)/Config!$B$23)*100))))),"")
</f>
        <v/>
      </c>
      <c r="V985" s="40" t="str">
        <f>IF(Bids!$D984="","",Bids!$D984)</f>
        <v/>
      </c>
      <c r="W985" s="40" t="str">
        <f>IF(Bids!$F984="","",Bids!$F984)</f>
        <v/>
      </c>
      <c r="X985" s="40" t="str">
        <f t="shared" si="5"/>
        <v/>
      </c>
      <c r="Y985" s="40" t="str">
        <f>IF($X985="","",IF(Config!$B$17=Config!$B$16,IF($X985&gt;=Config!$B$17,100,0),MAX(0,MIN(100,($X985-Config!$B$16)/(Config!$B$17-Config!$B$16)*100))))</f>
        <v/>
      </c>
      <c r="Z985" s="40">
        <f>IF($M985="Elite",Config!$B$21,0)</f>
        <v>0</v>
      </c>
      <c r="AA985" s="40" t="str">
        <f>IFERROR(IF(OR($W985="",$H985=""),"",IF($W985&gt;$H985,
  MAX(0, 60-(($W985-$H985)*24/Config!$B$19)*60),
  MIN(100, 60+(($H985-$W985)*24/Config!$B$20)*40)
)),"")
</f>
        <v/>
      </c>
      <c r="AB985" s="40" t="str">
        <f>IF($K985="","",IFERROR(VLOOKUP($K985,Grinders!$A$4:$N$998,10,FALSE)/5*100,""))</f>
        <v/>
      </c>
      <c r="AC985" s="40" t="str">
        <f>IF($K985="","",IFERROR(VLOOKUP($K985,Grinders!$A$4:$N$998,11,FALSE)*100,""))</f>
        <v/>
      </c>
      <c r="AD985" s="40" t="str">
        <f>IF($K985="","",IFERROR(VLOOKUP($K985,Grinders!$A$4:$N$998,12,FALSE)*100,""))</f>
        <v/>
      </c>
      <c r="AE985" s="40">
        <f>IFERROR(IFS(
    OR($C985="", $K985=""), 0,
    $F985=0, 0,
    $D985&lt;&gt;"Open", 0,
    COUNTIFS(GrinderServices!$B$4:$B$998, $K985, GrinderServices!$C$4:$C$998, $E985, GrinderServices!$E$4:$E$998, "Y")=0, 0,
    $X985&lt;Config!$B$16, 0,
    Config!$B$18=1, IF($O985&gt;=N985, 0, 1),
    TRUE, 1
), "")
</f>
        <v>0</v>
      </c>
      <c r="AF985" s="40" t="str">
        <f>IFERROR(IF($AE985=0,"",((Config!$B$6*$Y985 + Config!$B$7*$U985 + Config!$B$8*$Z985 + Config!$B$9*$AA985 + Config!$B$10*$AB985 + Config!$B$11*$AC985 - Config!$B$12*$AD985)/Config!$B$13)+$AK985+$AL985),"")</f>
        <v/>
      </c>
      <c r="AG985" s="40" t="str">
        <f t="shared" si="6"/>
        <v/>
      </c>
      <c r="AH985" s="40" t="str">
        <f t="shared" si="7"/>
        <v/>
      </c>
      <c r="AI985" s="40" t="str">
        <f t="shared" si="8"/>
        <v/>
      </c>
      <c r="AJ985" s="40" t="str">
        <f>IF($K985="","",COUNTIF(Assignments!$B$6:$B$1000,$K985))</f>
        <v/>
      </c>
      <c r="AK985" s="40" t="str">
        <f>IF($K985="","",IF(AND($AJ985=0,$O985&lt;$N985),Config!$B$43,0))</f>
        <v/>
      </c>
      <c r="AL985" s="40" t="str">
        <f>IF($K985="","",IF(AND($M985="Elite",$G985&gt;=Config!$B$41,$O985&lt;$N985),Config!$B$42,0))</f>
        <v/>
      </c>
      <c r="AM985" s="22"/>
    </row>
    <row r="986" ht="15.75" customHeight="1">
      <c r="A986" s="40" t="str">
        <f t="shared" si="1"/>
        <v/>
      </c>
      <c r="B986" s="40" t="str">
        <f>IF(Bids!$A985="","",Bids!$A985)</f>
        <v/>
      </c>
      <c r="C986" s="40" t="str">
        <f>IF(Bids!$B985="","",Bids!$B985)</f>
        <v/>
      </c>
      <c r="D986" s="40" t="str">
        <f>IF($C986="","",IFERROR(VLOOKUP($C986,Orders!$A$4:$J$998,9,FALSE),""))</f>
        <v/>
      </c>
      <c r="E986" s="40" t="str">
        <f>IF($C986="","",IFERROR(VLOOKUP($C986,Orders!$A$4:$J$998,3,FALSE),""))</f>
        <v/>
      </c>
      <c r="F986" s="40">
        <f t="shared" si="2"/>
        <v>1</v>
      </c>
      <c r="G986" s="40" t="str">
        <f>IF($C986="","",IFERROR(VLOOKUP($C986,Orders!$A$4:$J$998,4,FALSE),""))</f>
        <v/>
      </c>
      <c r="H986" s="40" t="str">
        <f>IF($C986="","",IFERROR(VLOOKUP($C986,Orders!$A$4:$J$998,5,FALSE),""))</f>
        <v/>
      </c>
      <c r="I986" s="40" t="str">
        <f>IF($C986="","",IFERROR(VLOOKUP($C986,Orders!$A$4:$J$998,6,FALSE),""))</f>
        <v/>
      </c>
      <c r="J986" s="40" t="str">
        <f>IF($C986="","",IFERROR(VLOOKUP($C986,Orders!$A$4:$J$998,7,FALSE),""))</f>
        <v/>
      </c>
      <c r="K986" s="40" t="str">
        <f>IF(Bids!$C985="","",Bids!$C985)</f>
        <v/>
      </c>
      <c r="L986" s="40" t="str">
        <f>IF($K986="","",IFERROR(VLOOKUP($K986,Grinders!$A$4:$N$998,2,FALSE),""))</f>
        <v/>
      </c>
      <c r="M986" s="40" t="str">
        <f>IF($K986="","",IFERROR(VLOOKUP($K986,Grinders!$A$4:$N$998,3,FALSE),""))</f>
        <v/>
      </c>
      <c r="N986" s="40" t="str">
        <f>IF($K986="","",IFERROR(VLOOKUP($K986,Grinders!$A$4:$N$998,4,FALSE),""))</f>
        <v/>
      </c>
      <c r="O986" s="40" t="str">
        <f>IF($K986="","",IFERROR(VLOOKUP($K986,Grinders!$A$4:$N$998,5,FALSE),""))</f>
        <v/>
      </c>
      <c r="P986" s="40" t="str">
        <f>IF($K986="","",IF($C$4="",0,COUNTIFS(Assignments!$B$6:$B$1000,$K986,Assignments!$F$6:$F$1000,$C$4,Assignments!$E$6:$E$1000,"Active")))</f>
        <v/>
      </c>
      <c r="Q986" s="40" t="str">
        <f t="shared" si="3"/>
        <v/>
      </c>
      <c r="R986" s="40" t="str">
        <f t="shared" si="4"/>
        <v/>
      </c>
      <c r="S986" s="40" t="str">
        <f>IF($K986="","",IF($C$4="",0,COUNTIFS(Assignments!$B$6:$B$1000,$K986,Assignments!$F$6:$F$1000,$C$4,Assignments!$D$6:$D$1000,"&gt;="&amp;Config!$B$3-7,Assignments!$D$6:$D$1000,"&lt;="&amp;Config!$B$3)))</f>
        <v/>
      </c>
      <c r="T986" s="40" t="str">
        <f>IF($K986="","",IFERROR(VLOOKUP($K986,Grinders!$A$4:$N$998,8,FALSE),""))</f>
        <v/>
      </c>
      <c r="U986" s="40" t="str">
        <f>IFERROR(IF($K986="","",IF($M986="Elite",MAX(50,MIN(100,Config!$B$27*MAX(0,MIN(100,(1-IF($R986="",0,$R986))*100)) + Config!$B$28*MAX(0,MIN(100,(1-MIN(1,IF(Config!$B$30=0,1,$S986/Config!$B$30)))*100)) + Config!$B$29*MAX(0,MIN(100,MIN(1,IF($T986="",0,$T986)/Config!$B$23)*100)))),MIN(100,Config!$B$27*MAX(0,MIN(100,(1-IF($R986="",0,$R986))*100)) + Config!$B$28*MAX(0,MIN(100,(1-MIN(1,IF(Config!$B$30=0,1,$S986/Config!$B$30)))*100)) + Config!$B$29*MAX(0,MIN(100,MIN(1,IF($T986="",0,$T986)/Config!$B$23)*100))))),"")
</f>
        <v/>
      </c>
      <c r="V986" s="40" t="str">
        <f>IF(Bids!$D985="","",Bids!$D985)</f>
        <v/>
      </c>
      <c r="W986" s="40" t="str">
        <f>IF(Bids!$F985="","",Bids!$F985)</f>
        <v/>
      </c>
      <c r="X986" s="40" t="str">
        <f t="shared" si="5"/>
        <v/>
      </c>
      <c r="Y986" s="40" t="str">
        <f>IF($X986="","",IF(Config!$B$17=Config!$B$16,IF($X986&gt;=Config!$B$17,100,0),MAX(0,MIN(100,($X986-Config!$B$16)/(Config!$B$17-Config!$B$16)*100))))</f>
        <v/>
      </c>
      <c r="Z986" s="40">
        <f>IF($M986="Elite",Config!$B$21,0)</f>
        <v>0</v>
      </c>
      <c r="AA986" s="40" t="str">
        <f>IFERROR(IF(OR($W986="",$H986=""),"",IF($W986&gt;$H986,
  MAX(0, 60-(($W986-$H986)*24/Config!$B$19)*60),
  MIN(100, 60+(($H986-$W986)*24/Config!$B$20)*40)
)),"")
</f>
        <v/>
      </c>
      <c r="AB986" s="40" t="str">
        <f>IF($K986="","",IFERROR(VLOOKUP($K986,Grinders!$A$4:$N$998,10,FALSE)/5*100,""))</f>
        <v/>
      </c>
      <c r="AC986" s="40" t="str">
        <f>IF($K986="","",IFERROR(VLOOKUP($K986,Grinders!$A$4:$N$998,11,FALSE)*100,""))</f>
        <v/>
      </c>
      <c r="AD986" s="40" t="str">
        <f>IF($K986="","",IFERROR(VLOOKUP($K986,Grinders!$A$4:$N$998,12,FALSE)*100,""))</f>
        <v/>
      </c>
      <c r="AE986" s="40">
        <f>IFERROR(IFS(
    OR($C986="", $K986=""), 0,
    $F986=0, 0,
    $D986&lt;&gt;"Open", 0,
    COUNTIFS(GrinderServices!$B$4:$B$998, $K986, GrinderServices!$C$4:$C$998, $E986, GrinderServices!$E$4:$E$998, "Y")=0, 0,
    $X986&lt;Config!$B$16, 0,
    Config!$B$18=1, IF($O986&gt;=N986, 0, 1),
    TRUE, 1
), "")
</f>
        <v>0</v>
      </c>
      <c r="AF986" s="40" t="str">
        <f>IFERROR(IF($AE986=0,"",((Config!$B$6*$Y986 + Config!$B$7*$U986 + Config!$B$8*$Z986 + Config!$B$9*$AA986 + Config!$B$10*$AB986 + Config!$B$11*$AC986 - Config!$B$12*$AD986)/Config!$B$13)+$AK986+$AL986),"")</f>
        <v/>
      </c>
      <c r="AG986" s="40" t="str">
        <f t="shared" si="6"/>
        <v/>
      </c>
      <c r="AH986" s="40" t="str">
        <f t="shared" si="7"/>
        <v/>
      </c>
      <c r="AI986" s="40" t="str">
        <f t="shared" si="8"/>
        <v/>
      </c>
      <c r="AJ986" s="40" t="str">
        <f>IF($K986="","",COUNTIF(Assignments!$B$6:$B$1000,$K986))</f>
        <v/>
      </c>
      <c r="AK986" s="40" t="str">
        <f>IF($K986="","",IF(AND($AJ986=0,$O986&lt;$N986),Config!$B$43,0))</f>
        <v/>
      </c>
      <c r="AL986" s="40" t="str">
        <f>IF($K986="","",IF(AND($M986="Elite",$G986&gt;=Config!$B$41,$O986&lt;$N986),Config!$B$42,0))</f>
        <v/>
      </c>
      <c r="AM986" s="22"/>
    </row>
    <row r="987" ht="15.75" customHeight="1">
      <c r="A987" s="40" t="str">
        <f t="shared" si="1"/>
        <v/>
      </c>
      <c r="B987" s="40" t="str">
        <f>IF(Bids!$A986="","",Bids!$A986)</f>
        <v/>
      </c>
      <c r="C987" s="40" t="str">
        <f>IF(Bids!$B986="","",Bids!$B986)</f>
        <v/>
      </c>
      <c r="D987" s="40" t="str">
        <f>IF($C987="","",IFERROR(VLOOKUP($C987,Orders!$A$4:$J$998,9,FALSE),""))</f>
        <v/>
      </c>
      <c r="E987" s="40" t="str">
        <f>IF($C987="","",IFERROR(VLOOKUP($C987,Orders!$A$4:$J$998,3,FALSE),""))</f>
        <v/>
      </c>
      <c r="F987" s="40">
        <f t="shared" si="2"/>
        <v>1</v>
      </c>
      <c r="G987" s="40" t="str">
        <f>IF($C987="","",IFERROR(VLOOKUP($C987,Orders!$A$4:$J$998,4,FALSE),""))</f>
        <v/>
      </c>
      <c r="H987" s="40" t="str">
        <f>IF($C987="","",IFERROR(VLOOKUP($C987,Orders!$A$4:$J$998,5,FALSE),""))</f>
        <v/>
      </c>
      <c r="I987" s="40" t="str">
        <f>IF($C987="","",IFERROR(VLOOKUP($C987,Orders!$A$4:$J$998,6,FALSE),""))</f>
        <v/>
      </c>
      <c r="J987" s="40" t="str">
        <f>IF($C987="","",IFERROR(VLOOKUP($C987,Orders!$A$4:$J$998,7,FALSE),""))</f>
        <v/>
      </c>
      <c r="K987" s="40" t="str">
        <f>IF(Bids!$C986="","",Bids!$C986)</f>
        <v/>
      </c>
      <c r="L987" s="40" t="str">
        <f>IF($K987="","",IFERROR(VLOOKUP($K987,Grinders!$A$4:$N$998,2,FALSE),""))</f>
        <v/>
      </c>
      <c r="M987" s="40" t="str">
        <f>IF($K987="","",IFERROR(VLOOKUP($K987,Grinders!$A$4:$N$998,3,FALSE),""))</f>
        <v/>
      </c>
      <c r="N987" s="40" t="str">
        <f>IF($K987="","",IFERROR(VLOOKUP($K987,Grinders!$A$4:$N$998,4,FALSE),""))</f>
        <v/>
      </c>
      <c r="O987" s="40" t="str">
        <f>IF($K987="","",IFERROR(VLOOKUP($K987,Grinders!$A$4:$N$998,5,FALSE),""))</f>
        <v/>
      </c>
      <c r="P987" s="40" t="str">
        <f>IF($K987="","",IF($C$4="",0,COUNTIFS(Assignments!$B$6:$B$1000,$K987,Assignments!$F$6:$F$1000,$C$4,Assignments!$E$6:$E$1000,"Active")))</f>
        <v/>
      </c>
      <c r="Q987" s="40" t="str">
        <f t="shared" si="3"/>
        <v/>
      </c>
      <c r="R987" s="40" t="str">
        <f t="shared" si="4"/>
        <v/>
      </c>
      <c r="S987" s="40" t="str">
        <f>IF($K987="","",IF($C$4="",0,COUNTIFS(Assignments!$B$6:$B$1000,$K987,Assignments!$F$6:$F$1000,$C$4,Assignments!$D$6:$D$1000,"&gt;="&amp;Config!$B$3-7,Assignments!$D$6:$D$1000,"&lt;="&amp;Config!$B$3)))</f>
        <v/>
      </c>
      <c r="T987" s="40" t="str">
        <f>IF($K987="","",IFERROR(VLOOKUP($K987,Grinders!$A$4:$N$998,8,FALSE),""))</f>
        <v/>
      </c>
      <c r="U987" s="40" t="str">
        <f>IFERROR(IF($K987="","",IF($M987="Elite",MAX(50,MIN(100,Config!$B$27*MAX(0,MIN(100,(1-IF($R987="",0,$R987))*100)) + Config!$B$28*MAX(0,MIN(100,(1-MIN(1,IF(Config!$B$30=0,1,$S987/Config!$B$30)))*100)) + Config!$B$29*MAX(0,MIN(100,MIN(1,IF($T987="",0,$T987)/Config!$B$23)*100)))),MIN(100,Config!$B$27*MAX(0,MIN(100,(1-IF($R987="",0,$R987))*100)) + Config!$B$28*MAX(0,MIN(100,(1-MIN(1,IF(Config!$B$30=0,1,$S987/Config!$B$30)))*100)) + Config!$B$29*MAX(0,MIN(100,MIN(1,IF($T987="",0,$T987)/Config!$B$23)*100))))),"")
</f>
        <v/>
      </c>
      <c r="V987" s="40" t="str">
        <f>IF(Bids!$D986="","",Bids!$D986)</f>
        <v/>
      </c>
      <c r="W987" s="40" t="str">
        <f>IF(Bids!$F986="","",Bids!$F986)</f>
        <v/>
      </c>
      <c r="X987" s="40" t="str">
        <f t="shared" si="5"/>
        <v/>
      </c>
      <c r="Y987" s="40" t="str">
        <f>IF($X987="","",IF(Config!$B$17=Config!$B$16,IF($X987&gt;=Config!$B$17,100,0),MAX(0,MIN(100,($X987-Config!$B$16)/(Config!$B$17-Config!$B$16)*100))))</f>
        <v/>
      </c>
      <c r="Z987" s="40">
        <f>IF($M987="Elite",Config!$B$21,0)</f>
        <v>0</v>
      </c>
      <c r="AA987" s="40" t="str">
        <f>IFERROR(IF(OR($W987="",$H987=""),"",IF($W987&gt;$H987,
  MAX(0, 60-(($W987-$H987)*24/Config!$B$19)*60),
  MIN(100, 60+(($H987-$W987)*24/Config!$B$20)*40)
)),"")
</f>
        <v/>
      </c>
      <c r="AB987" s="40" t="str">
        <f>IF($K987="","",IFERROR(VLOOKUP($K987,Grinders!$A$4:$N$998,10,FALSE)/5*100,""))</f>
        <v/>
      </c>
      <c r="AC987" s="40" t="str">
        <f>IF($K987="","",IFERROR(VLOOKUP($K987,Grinders!$A$4:$N$998,11,FALSE)*100,""))</f>
        <v/>
      </c>
      <c r="AD987" s="40" t="str">
        <f>IF($K987="","",IFERROR(VLOOKUP($K987,Grinders!$A$4:$N$998,12,FALSE)*100,""))</f>
        <v/>
      </c>
      <c r="AE987" s="40">
        <f>IFERROR(IFS(
    OR($C987="", $K987=""), 0,
    $F987=0, 0,
    $D987&lt;&gt;"Open", 0,
    COUNTIFS(GrinderServices!$B$4:$B$998, $K987, GrinderServices!$C$4:$C$998, $E987, GrinderServices!$E$4:$E$998, "Y")=0, 0,
    $X987&lt;Config!$B$16, 0,
    Config!$B$18=1, IF($O987&gt;=N987, 0, 1),
    TRUE, 1
), "")
</f>
        <v>0</v>
      </c>
      <c r="AF987" s="40" t="str">
        <f>IFERROR(IF($AE987=0,"",((Config!$B$6*$Y987 + Config!$B$7*$U987 + Config!$B$8*$Z987 + Config!$B$9*$AA987 + Config!$B$10*$AB987 + Config!$B$11*$AC987 - Config!$B$12*$AD987)/Config!$B$13)+$AK987+$AL987),"")</f>
        <v/>
      </c>
      <c r="AG987" s="40" t="str">
        <f t="shared" si="6"/>
        <v/>
      </c>
      <c r="AH987" s="40" t="str">
        <f t="shared" si="7"/>
        <v/>
      </c>
      <c r="AI987" s="40" t="str">
        <f t="shared" si="8"/>
        <v/>
      </c>
      <c r="AJ987" s="40" t="str">
        <f>IF($K987="","",COUNTIF(Assignments!$B$6:$B$1000,$K987))</f>
        <v/>
      </c>
      <c r="AK987" s="40" t="str">
        <f>IF($K987="","",IF(AND($AJ987=0,$O987&lt;$N987),Config!$B$43,0))</f>
        <v/>
      </c>
      <c r="AL987" s="40" t="str">
        <f>IF($K987="","",IF(AND($M987="Elite",$G987&gt;=Config!$B$41,$O987&lt;$N987),Config!$B$42,0))</f>
        <v/>
      </c>
      <c r="AM987" s="22"/>
    </row>
    <row r="988" ht="15.75" customHeight="1">
      <c r="A988" s="40" t="str">
        <f t="shared" si="1"/>
        <v/>
      </c>
      <c r="B988" s="40" t="str">
        <f>IF(Bids!$A987="","",Bids!$A987)</f>
        <v/>
      </c>
      <c r="C988" s="40" t="str">
        <f>IF(Bids!$B987="","",Bids!$B987)</f>
        <v/>
      </c>
      <c r="D988" s="40" t="str">
        <f>IF($C988="","",IFERROR(VLOOKUP($C988,Orders!$A$4:$J$998,9,FALSE),""))</f>
        <v/>
      </c>
      <c r="E988" s="40" t="str">
        <f>IF($C988="","",IFERROR(VLOOKUP($C988,Orders!$A$4:$J$998,3,FALSE),""))</f>
        <v/>
      </c>
      <c r="F988" s="40">
        <f t="shared" si="2"/>
        <v>1</v>
      </c>
      <c r="G988" s="40" t="str">
        <f>IF($C988="","",IFERROR(VLOOKUP($C988,Orders!$A$4:$J$998,4,FALSE),""))</f>
        <v/>
      </c>
      <c r="H988" s="40" t="str">
        <f>IF($C988="","",IFERROR(VLOOKUP($C988,Orders!$A$4:$J$998,5,FALSE),""))</f>
        <v/>
      </c>
      <c r="I988" s="40" t="str">
        <f>IF($C988="","",IFERROR(VLOOKUP($C988,Orders!$A$4:$J$998,6,FALSE),""))</f>
        <v/>
      </c>
      <c r="J988" s="40" t="str">
        <f>IF($C988="","",IFERROR(VLOOKUP($C988,Orders!$A$4:$J$998,7,FALSE),""))</f>
        <v/>
      </c>
      <c r="K988" s="40" t="str">
        <f>IF(Bids!$C987="","",Bids!$C987)</f>
        <v/>
      </c>
      <c r="L988" s="40" t="str">
        <f>IF($K988="","",IFERROR(VLOOKUP($K988,Grinders!$A$4:$N$998,2,FALSE),""))</f>
        <v/>
      </c>
      <c r="M988" s="40" t="str">
        <f>IF($K988="","",IFERROR(VLOOKUP($K988,Grinders!$A$4:$N$998,3,FALSE),""))</f>
        <v/>
      </c>
      <c r="N988" s="40" t="str">
        <f>IF($K988="","",IFERROR(VLOOKUP($K988,Grinders!$A$4:$N$998,4,FALSE),""))</f>
        <v/>
      </c>
      <c r="O988" s="40" t="str">
        <f>IF($K988="","",IFERROR(VLOOKUP($K988,Grinders!$A$4:$N$998,5,FALSE),""))</f>
        <v/>
      </c>
      <c r="P988" s="40" t="str">
        <f>IF($K988="","",IF($C$4="",0,COUNTIFS(Assignments!$B$6:$B$1000,$K988,Assignments!$F$6:$F$1000,$C$4,Assignments!$E$6:$E$1000,"Active")))</f>
        <v/>
      </c>
      <c r="Q988" s="40" t="str">
        <f t="shared" si="3"/>
        <v/>
      </c>
      <c r="R988" s="40" t="str">
        <f t="shared" si="4"/>
        <v/>
      </c>
      <c r="S988" s="40" t="str">
        <f>IF($K988="","",IF($C$4="",0,COUNTIFS(Assignments!$B$6:$B$1000,$K988,Assignments!$F$6:$F$1000,$C$4,Assignments!$D$6:$D$1000,"&gt;="&amp;Config!$B$3-7,Assignments!$D$6:$D$1000,"&lt;="&amp;Config!$B$3)))</f>
        <v/>
      </c>
      <c r="T988" s="40" t="str">
        <f>IF($K988="","",IFERROR(VLOOKUP($K988,Grinders!$A$4:$N$998,8,FALSE),""))</f>
        <v/>
      </c>
      <c r="U988" s="40" t="str">
        <f>IFERROR(IF($K988="","",IF($M988="Elite",MAX(50,MIN(100,Config!$B$27*MAX(0,MIN(100,(1-IF($R988="",0,$R988))*100)) + Config!$B$28*MAX(0,MIN(100,(1-MIN(1,IF(Config!$B$30=0,1,$S988/Config!$B$30)))*100)) + Config!$B$29*MAX(0,MIN(100,MIN(1,IF($T988="",0,$T988)/Config!$B$23)*100)))),MIN(100,Config!$B$27*MAX(0,MIN(100,(1-IF($R988="",0,$R988))*100)) + Config!$B$28*MAX(0,MIN(100,(1-MIN(1,IF(Config!$B$30=0,1,$S988/Config!$B$30)))*100)) + Config!$B$29*MAX(0,MIN(100,MIN(1,IF($T988="",0,$T988)/Config!$B$23)*100))))),"")
</f>
        <v/>
      </c>
      <c r="V988" s="40" t="str">
        <f>IF(Bids!$D987="","",Bids!$D987)</f>
        <v/>
      </c>
      <c r="W988" s="40" t="str">
        <f>IF(Bids!$F987="","",Bids!$F987)</f>
        <v/>
      </c>
      <c r="X988" s="40" t="str">
        <f t="shared" si="5"/>
        <v/>
      </c>
      <c r="Y988" s="40" t="str">
        <f>IF($X988="","",IF(Config!$B$17=Config!$B$16,IF($X988&gt;=Config!$B$17,100,0),MAX(0,MIN(100,($X988-Config!$B$16)/(Config!$B$17-Config!$B$16)*100))))</f>
        <v/>
      </c>
      <c r="Z988" s="40">
        <f>IF($M988="Elite",Config!$B$21,0)</f>
        <v>0</v>
      </c>
      <c r="AA988" s="40" t="str">
        <f>IFERROR(IF(OR($W988="",$H988=""),"",IF($W988&gt;$H988,
  MAX(0, 60-(($W988-$H988)*24/Config!$B$19)*60),
  MIN(100, 60+(($H988-$W988)*24/Config!$B$20)*40)
)),"")
</f>
        <v/>
      </c>
      <c r="AB988" s="40" t="str">
        <f>IF($K988="","",IFERROR(VLOOKUP($K988,Grinders!$A$4:$N$998,10,FALSE)/5*100,""))</f>
        <v/>
      </c>
      <c r="AC988" s="40" t="str">
        <f>IF($K988="","",IFERROR(VLOOKUP($K988,Grinders!$A$4:$N$998,11,FALSE)*100,""))</f>
        <v/>
      </c>
      <c r="AD988" s="40" t="str">
        <f>IF($K988="","",IFERROR(VLOOKUP($K988,Grinders!$A$4:$N$998,12,FALSE)*100,""))</f>
        <v/>
      </c>
      <c r="AE988" s="40">
        <f>IFERROR(IFS(
    OR($C988="", $K988=""), 0,
    $F988=0, 0,
    $D988&lt;&gt;"Open", 0,
    COUNTIFS(GrinderServices!$B$4:$B$998, $K988, GrinderServices!$C$4:$C$998, $E988, GrinderServices!$E$4:$E$998, "Y")=0, 0,
    $X988&lt;Config!$B$16, 0,
    Config!$B$18=1, IF($O988&gt;=N988, 0, 1),
    TRUE, 1
), "")
</f>
        <v>0</v>
      </c>
      <c r="AF988" s="40" t="str">
        <f>IFERROR(IF($AE988=0,"",((Config!$B$6*$Y988 + Config!$B$7*$U988 + Config!$B$8*$Z988 + Config!$B$9*$AA988 + Config!$B$10*$AB988 + Config!$B$11*$AC988 - Config!$B$12*$AD988)/Config!$B$13)+$AK988+$AL988),"")</f>
        <v/>
      </c>
      <c r="AG988" s="40" t="str">
        <f t="shared" si="6"/>
        <v/>
      </c>
      <c r="AH988" s="40" t="str">
        <f t="shared" si="7"/>
        <v/>
      </c>
      <c r="AI988" s="40" t="str">
        <f t="shared" si="8"/>
        <v/>
      </c>
      <c r="AJ988" s="40" t="str">
        <f>IF($K988="","",COUNTIF(Assignments!$B$6:$B$1000,$K988))</f>
        <v/>
      </c>
      <c r="AK988" s="40" t="str">
        <f>IF($K988="","",IF(AND($AJ988=0,$O988&lt;$N988),Config!$B$43,0))</f>
        <v/>
      </c>
      <c r="AL988" s="40" t="str">
        <f>IF($K988="","",IF(AND($M988="Elite",$G988&gt;=Config!$B$41,$O988&lt;$N988),Config!$B$42,0))</f>
        <v/>
      </c>
      <c r="AM988" s="22"/>
    </row>
    <row r="989" ht="15.75" customHeight="1">
      <c r="A989" s="40" t="str">
        <f t="shared" si="1"/>
        <v/>
      </c>
      <c r="B989" s="40" t="str">
        <f>IF(Bids!$A988="","",Bids!$A988)</f>
        <v/>
      </c>
      <c r="C989" s="40" t="str">
        <f>IF(Bids!$B988="","",Bids!$B988)</f>
        <v/>
      </c>
      <c r="D989" s="40" t="str">
        <f>IF($C989="","",IFERROR(VLOOKUP($C989,Orders!$A$4:$J$998,9,FALSE),""))</f>
        <v/>
      </c>
      <c r="E989" s="40" t="str">
        <f>IF($C989="","",IFERROR(VLOOKUP($C989,Orders!$A$4:$J$998,3,FALSE),""))</f>
        <v/>
      </c>
      <c r="F989" s="40">
        <f t="shared" si="2"/>
        <v>1</v>
      </c>
      <c r="G989" s="40" t="str">
        <f>IF($C989="","",IFERROR(VLOOKUP($C989,Orders!$A$4:$J$998,4,FALSE),""))</f>
        <v/>
      </c>
      <c r="H989" s="40" t="str">
        <f>IF($C989="","",IFERROR(VLOOKUP($C989,Orders!$A$4:$J$998,5,FALSE),""))</f>
        <v/>
      </c>
      <c r="I989" s="40" t="str">
        <f>IF($C989="","",IFERROR(VLOOKUP($C989,Orders!$A$4:$J$998,6,FALSE),""))</f>
        <v/>
      </c>
      <c r="J989" s="40" t="str">
        <f>IF($C989="","",IFERROR(VLOOKUP($C989,Orders!$A$4:$J$998,7,FALSE),""))</f>
        <v/>
      </c>
      <c r="K989" s="40" t="str">
        <f>IF(Bids!$C988="","",Bids!$C988)</f>
        <v/>
      </c>
      <c r="L989" s="40" t="str">
        <f>IF($K989="","",IFERROR(VLOOKUP($K989,Grinders!$A$4:$N$998,2,FALSE),""))</f>
        <v/>
      </c>
      <c r="M989" s="40" t="str">
        <f>IF($K989="","",IFERROR(VLOOKUP($K989,Grinders!$A$4:$N$998,3,FALSE),""))</f>
        <v/>
      </c>
      <c r="N989" s="40" t="str">
        <f>IF($K989="","",IFERROR(VLOOKUP($K989,Grinders!$A$4:$N$998,4,FALSE),""))</f>
        <v/>
      </c>
      <c r="O989" s="40" t="str">
        <f>IF($K989="","",IFERROR(VLOOKUP($K989,Grinders!$A$4:$N$998,5,FALSE),""))</f>
        <v/>
      </c>
      <c r="P989" s="40" t="str">
        <f>IF($K989="","",IF($C$4="",0,COUNTIFS(Assignments!$B$6:$B$1000,$K989,Assignments!$F$6:$F$1000,$C$4,Assignments!$E$6:$E$1000,"Active")))</f>
        <v/>
      </c>
      <c r="Q989" s="40" t="str">
        <f t="shared" si="3"/>
        <v/>
      </c>
      <c r="R989" s="40" t="str">
        <f t="shared" si="4"/>
        <v/>
      </c>
      <c r="S989" s="40" t="str">
        <f>IF($K989="","",IF($C$4="",0,COUNTIFS(Assignments!$B$6:$B$1000,$K989,Assignments!$F$6:$F$1000,$C$4,Assignments!$D$6:$D$1000,"&gt;="&amp;Config!$B$3-7,Assignments!$D$6:$D$1000,"&lt;="&amp;Config!$B$3)))</f>
        <v/>
      </c>
      <c r="T989" s="40" t="str">
        <f>IF($K989="","",IFERROR(VLOOKUP($K989,Grinders!$A$4:$N$998,8,FALSE),""))</f>
        <v/>
      </c>
      <c r="U989" s="40" t="str">
        <f>IFERROR(IF($K989="","",IF($M989="Elite",MAX(50,MIN(100,Config!$B$27*MAX(0,MIN(100,(1-IF($R989="",0,$R989))*100)) + Config!$B$28*MAX(0,MIN(100,(1-MIN(1,IF(Config!$B$30=0,1,$S989/Config!$B$30)))*100)) + Config!$B$29*MAX(0,MIN(100,MIN(1,IF($T989="",0,$T989)/Config!$B$23)*100)))),MIN(100,Config!$B$27*MAX(0,MIN(100,(1-IF($R989="",0,$R989))*100)) + Config!$B$28*MAX(0,MIN(100,(1-MIN(1,IF(Config!$B$30=0,1,$S989/Config!$B$30)))*100)) + Config!$B$29*MAX(0,MIN(100,MIN(1,IF($T989="",0,$T989)/Config!$B$23)*100))))),"")
</f>
        <v/>
      </c>
      <c r="V989" s="40" t="str">
        <f>IF(Bids!$D988="","",Bids!$D988)</f>
        <v/>
      </c>
      <c r="W989" s="40" t="str">
        <f>IF(Bids!$F988="","",Bids!$F988)</f>
        <v/>
      </c>
      <c r="X989" s="40" t="str">
        <f t="shared" si="5"/>
        <v/>
      </c>
      <c r="Y989" s="40" t="str">
        <f>IF($X989="","",IF(Config!$B$17=Config!$B$16,IF($X989&gt;=Config!$B$17,100,0),MAX(0,MIN(100,($X989-Config!$B$16)/(Config!$B$17-Config!$B$16)*100))))</f>
        <v/>
      </c>
      <c r="Z989" s="40">
        <f>IF($M989="Elite",Config!$B$21,0)</f>
        <v>0</v>
      </c>
      <c r="AA989" s="40" t="str">
        <f>IFERROR(IF(OR($W989="",$H989=""),"",IF($W989&gt;$H989,
  MAX(0, 60-(($W989-$H989)*24/Config!$B$19)*60),
  MIN(100, 60+(($H989-$W989)*24/Config!$B$20)*40)
)),"")
</f>
        <v/>
      </c>
      <c r="AB989" s="40" t="str">
        <f>IF($K989="","",IFERROR(VLOOKUP($K989,Grinders!$A$4:$N$998,10,FALSE)/5*100,""))</f>
        <v/>
      </c>
      <c r="AC989" s="40" t="str">
        <f>IF($K989="","",IFERROR(VLOOKUP($K989,Grinders!$A$4:$N$998,11,FALSE)*100,""))</f>
        <v/>
      </c>
      <c r="AD989" s="40" t="str">
        <f>IF($K989="","",IFERROR(VLOOKUP($K989,Grinders!$A$4:$N$998,12,FALSE)*100,""))</f>
        <v/>
      </c>
      <c r="AE989" s="40">
        <f>IFERROR(IFS(
    OR($C989="", $K989=""), 0,
    $F989=0, 0,
    $D989&lt;&gt;"Open", 0,
    COUNTIFS(GrinderServices!$B$4:$B$998, $K989, GrinderServices!$C$4:$C$998, $E989, GrinderServices!$E$4:$E$998, "Y")=0, 0,
    $X989&lt;Config!$B$16, 0,
    Config!$B$18=1, IF($O989&gt;=N989, 0, 1),
    TRUE, 1
), "")
</f>
        <v>0</v>
      </c>
      <c r="AF989" s="40" t="str">
        <f>IFERROR(IF($AE989=0,"",((Config!$B$6*$Y989 + Config!$B$7*$U989 + Config!$B$8*$Z989 + Config!$B$9*$AA989 + Config!$B$10*$AB989 + Config!$B$11*$AC989 - Config!$B$12*$AD989)/Config!$B$13)+$AK989+$AL989),"")</f>
        <v/>
      </c>
      <c r="AG989" s="40" t="str">
        <f t="shared" si="6"/>
        <v/>
      </c>
      <c r="AH989" s="40" t="str">
        <f t="shared" si="7"/>
        <v/>
      </c>
      <c r="AI989" s="40" t="str">
        <f t="shared" si="8"/>
        <v/>
      </c>
      <c r="AJ989" s="40" t="str">
        <f>IF($K989="","",COUNTIF(Assignments!$B$6:$B$1000,$K989))</f>
        <v/>
      </c>
      <c r="AK989" s="40" t="str">
        <f>IF($K989="","",IF(AND($AJ989=0,$O989&lt;$N989),Config!$B$43,0))</f>
        <v/>
      </c>
      <c r="AL989" s="40" t="str">
        <f>IF($K989="","",IF(AND($M989="Elite",$G989&gt;=Config!$B$41,$O989&lt;$N989),Config!$B$42,0))</f>
        <v/>
      </c>
      <c r="AM989" s="22"/>
    </row>
    <row r="990" ht="15.75" customHeight="1">
      <c r="A990" s="40" t="str">
        <f t="shared" si="1"/>
        <v/>
      </c>
      <c r="B990" s="40" t="str">
        <f>IF(Bids!$A989="","",Bids!$A989)</f>
        <v/>
      </c>
      <c r="C990" s="40" t="str">
        <f>IF(Bids!$B989="","",Bids!$B989)</f>
        <v/>
      </c>
      <c r="D990" s="40" t="str">
        <f>IF($C990="","",IFERROR(VLOOKUP($C990,Orders!$A$4:$J$998,9,FALSE),""))</f>
        <v/>
      </c>
      <c r="E990" s="40" t="str">
        <f>IF($C990="","",IFERROR(VLOOKUP($C990,Orders!$A$4:$J$998,3,FALSE),""))</f>
        <v/>
      </c>
      <c r="F990" s="40">
        <f t="shared" si="2"/>
        <v>1</v>
      </c>
      <c r="G990" s="40" t="str">
        <f>IF($C990="","",IFERROR(VLOOKUP($C990,Orders!$A$4:$J$998,4,FALSE),""))</f>
        <v/>
      </c>
      <c r="H990" s="40" t="str">
        <f>IF($C990="","",IFERROR(VLOOKUP($C990,Orders!$A$4:$J$998,5,FALSE),""))</f>
        <v/>
      </c>
      <c r="I990" s="40" t="str">
        <f>IF($C990="","",IFERROR(VLOOKUP($C990,Orders!$A$4:$J$998,6,FALSE),""))</f>
        <v/>
      </c>
      <c r="J990" s="40" t="str">
        <f>IF($C990="","",IFERROR(VLOOKUP($C990,Orders!$A$4:$J$998,7,FALSE),""))</f>
        <v/>
      </c>
      <c r="K990" s="40" t="str">
        <f>IF(Bids!$C989="","",Bids!$C989)</f>
        <v/>
      </c>
      <c r="L990" s="40" t="str">
        <f>IF($K990="","",IFERROR(VLOOKUP($K990,Grinders!$A$4:$N$998,2,FALSE),""))</f>
        <v/>
      </c>
      <c r="M990" s="40" t="str">
        <f>IF($K990="","",IFERROR(VLOOKUP($K990,Grinders!$A$4:$N$998,3,FALSE),""))</f>
        <v/>
      </c>
      <c r="N990" s="40" t="str">
        <f>IF($K990="","",IFERROR(VLOOKUP($K990,Grinders!$A$4:$N$998,4,FALSE),""))</f>
        <v/>
      </c>
      <c r="O990" s="40" t="str">
        <f>IF($K990="","",IFERROR(VLOOKUP($K990,Grinders!$A$4:$N$998,5,FALSE),""))</f>
        <v/>
      </c>
      <c r="P990" s="40" t="str">
        <f>IF($K990="","",IF($C$4="",0,COUNTIFS(Assignments!$B$6:$B$1000,$K990,Assignments!$F$6:$F$1000,$C$4,Assignments!$E$6:$E$1000,"Active")))</f>
        <v/>
      </c>
      <c r="Q990" s="40" t="str">
        <f t="shared" si="3"/>
        <v/>
      </c>
      <c r="R990" s="40" t="str">
        <f t="shared" si="4"/>
        <v/>
      </c>
      <c r="S990" s="40" t="str">
        <f>IF($K990="","",IF($C$4="",0,COUNTIFS(Assignments!$B$6:$B$1000,$K990,Assignments!$F$6:$F$1000,$C$4,Assignments!$D$6:$D$1000,"&gt;="&amp;Config!$B$3-7,Assignments!$D$6:$D$1000,"&lt;="&amp;Config!$B$3)))</f>
        <v/>
      </c>
      <c r="T990" s="40" t="str">
        <f>IF($K990="","",IFERROR(VLOOKUP($K990,Grinders!$A$4:$N$998,8,FALSE),""))</f>
        <v/>
      </c>
      <c r="U990" s="40" t="str">
        <f>IFERROR(IF($K990="","",IF($M990="Elite",MAX(50,MIN(100,Config!$B$27*MAX(0,MIN(100,(1-IF($R990="",0,$R990))*100)) + Config!$B$28*MAX(0,MIN(100,(1-MIN(1,IF(Config!$B$30=0,1,$S990/Config!$B$30)))*100)) + Config!$B$29*MAX(0,MIN(100,MIN(1,IF($T990="",0,$T990)/Config!$B$23)*100)))),MIN(100,Config!$B$27*MAX(0,MIN(100,(1-IF($R990="",0,$R990))*100)) + Config!$B$28*MAX(0,MIN(100,(1-MIN(1,IF(Config!$B$30=0,1,$S990/Config!$B$30)))*100)) + Config!$B$29*MAX(0,MIN(100,MIN(1,IF($T990="",0,$T990)/Config!$B$23)*100))))),"")
</f>
        <v/>
      </c>
      <c r="V990" s="40" t="str">
        <f>IF(Bids!$D989="","",Bids!$D989)</f>
        <v/>
      </c>
      <c r="W990" s="40" t="str">
        <f>IF(Bids!$F989="","",Bids!$F989)</f>
        <v/>
      </c>
      <c r="X990" s="40" t="str">
        <f t="shared" si="5"/>
        <v/>
      </c>
      <c r="Y990" s="40" t="str">
        <f>IF($X990="","",IF(Config!$B$17=Config!$B$16,IF($X990&gt;=Config!$B$17,100,0),MAX(0,MIN(100,($X990-Config!$B$16)/(Config!$B$17-Config!$B$16)*100))))</f>
        <v/>
      </c>
      <c r="Z990" s="40">
        <f>IF($M990="Elite",Config!$B$21,0)</f>
        <v>0</v>
      </c>
      <c r="AA990" s="40" t="str">
        <f>IFERROR(IF(OR($W990="",$H990=""),"",IF($W990&gt;$H990,
  MAX(0, 60-(($W990-$H990)*24/Config!$B$19)*60),
  MIN(100, 60+(($H990-$W990)*24/Config!$B$20)*40)
)),"")
</f>
        <v/>
      </c>
      <c r="AB990" s="40" t="str">
        <f>IF($K990="","",IFERROR(VLOOKUP($K990,Grinders!$A$4:$N$998,10,FALSE)/5*100,""))</f>
        <v/>
      </c>
      <c r="AC990" s="40" t="str">
        <f>IF($K990="","",IFERROR(VLOOKUP($K990,Grinders!$A$4:$N$998,11,FALSE)*100,""))</f>
        <v/>
      </c>
      <c r="AD990" s="40" t="str">
        <f>IF($K990="","",IFERROR(VLOOKUP($K990,Grinders!$A$4:$N$998,12,FALSE)*100,""))</f>
        <v/>
      </c>
      <c r="AE990" s="40">
        <f>IFERROR(IFS(
    OR($C990="", $K990=""), 0,
    $F990=0, 0,
    $D990&lt;&gt;"Open", 0,
    COUNTIFS(GrinderServices!$B$4:$B$998, $K990, GrinderServices!$C$4:$C$998, $E990, GrinderServices!$E$4:$E$998, "Y")=0, 0,
    $X990&lt;Config!$B$16, 0,
    Config!$B$18=1, IF($O990&gt;=N990, 0, 1),
    TRUE, 1
), "")
</f>
        <v>0</v>
      </c>
      <c r="AF990" s="40" t="str">
        <f>IFERROR(IF($AE990=0,"",((Config!$B$6*$Y990 + Config!$B$7*$U990 + Config!$B$8*$Z990 + Config!$B$9*$AA990 + Config!$B$10*$AB990 + Config!$B$11*$AC990 - Config!$B$12*$AD990)/Config!$B$13)+$AK990+$AL990),"")</f>
        <v/>
      </c>
      <c r="AG990" s="40" t="str">
        <f t="shared" si="6"/>
        <v/>
      </c>
      <c r="AH990" s="40" t="str">
        <f t="shared" si="7"/>
        <v/>
      </c>
      <c r="AI990" s="40" t="str">
        <f t="shared" si="8"/>
        <v/>
      </c>
      <c r="AJ990" s="40" t="str">
        <f>IF($K990="","",COUNTIF(Assignments!$B$6:$B$1000,$K990))</f>
        <v/>
      </c>
      <c r="AK990" s="40" t="str">
        <f>IF($K990="","",IF(AND($AJ990=0,$O990&lt;$N990),Config!$B$43,0))</f>
        <v/>
      </c>
      <c r="AL990" s="40" t="str">
        <f>IF($K990="","",IF(AND($M990="Elite",$G990&gt;=Config!$B$41,$O990&lt;$N990),Config!$B$42,0))</f>
        <v/>
      </c>
      <c r="AM990" s="22"/>
    </row>
    <row r="991" ht="15.75" customHeight="1">
      <c r="A991" s="40" t="str">
        <f t="shared" si="1"/>
        <v/>
      </c>
      <c r="B991" s="40" t="str">
        <f>IF(Bids!$A990="","",Bids!$A990)</f>
        <v/>
      </c>
      <c r="C991" s="40" t="str">
        <f>IF(Bids!$B990="","",Bids!$B990)</f>
        <v/>
      </c>
      <c r="D991" s="40" t="str">
        <f>IF($C991="","",IFERROR(VLOOKUP($C991,Orders!$A$4:$J$998,9,FALSE),""))</f>
        <v/>
      </c>
      <c r="E991" s="40" t="str">
        <f>IF($C991="","",IFERROR(VLOOKUP($C991,Orders!$A$4:$J$998,3,FALSE),""))</f>
        <v/>
      </c>
      <c r="F991" s="40">
        <f t="shared" si="2"/>
        <v>1</v>
      </c>
      <c r="G991" s="40" t="str">
        <f>IF($C991="","",IFERROR(VLOOKUP($C991,Orders!$A$4:$J$998,4,FALSE),""))</f>
        <v/>
      </c>
      <c r="H991" s="40" t="str">
        <f>IF($C991="","",IFERROR(VLOOKUP($C991,Orders!$A$4:$J$998,5,FALSE),""))</f>
        <v/>
      </c>
      <c r="I991" s="40" t="str">
        <f>IF($C991="","",IFERROR(VLOOKUP($C991,Orders!$A$4:$J$998,6,FALSE),""))</f>
        <v/>
      </c>
      <c r="J991" s="40" t="str">
        <f>IF($C991="","",IFERROR(VLOOKUP($C991,Orders!$A$4:$J$998,7,FALSE),""))</f>
        <v/>
      </c>
      <c r="K991" s="40" t="str">
        <f>IF(Bids!$C990="","",Bids!$C990)</f>
        <v/>
      </c>
      <c r="L991" s="40" t="str">
        <f>IF($K991="","",IFERROR(VLOOKUP($K991,Grinders!$A$4:$N$998,2,FALSE),""))</f>
        <v/>
      </c>
      <c r="M991" s="40" t="str">
        <f>IF($K991="","",IFERROR(VLOOKUP($K991,Grinders!$A$4:$N$998,3,FALSE),""))</f>
        <v/>
      </c>
      <c r="N991" s="40" t="str">
        <f>IF($K991="","",IFERROR(VLOOKUP($K991,Grinders!$A$4:$N$998,4,FALSE),""))</f>
        <v/>
      </c>
      <c r="O991" s="40" t="str">
        <f>IF($K991="","",IFERROR(VLOOKUP($K991,Grinders!$A$4:$N$998,5,FALSE),""))</f>
        <v/>
      </c>
      <c r="P991" s="40" t="str">
        <f>IF($K991="","",IF($C$4="",0,COUNTIFS(Assignments!$B$6:$B$1000,$K991,Assignments!$F$6:$F$1000,$C$4,Assignments!$E$6:$E$1000,"Active")))</f>
        <v/>
      </c>
      <c r="Q991" s="40" t="str">
        <f t="shared" si="3"/>
        <v/>
      </c>
      <c r="R991" s="40" t="str">
        <f t="shared" si="4"/>
        <v/>
      </c>
      <c r="S991" s="40" t="str">
        <f>IF($K991="","",IF($C$4="",0,COUNTIFS(Assignments!$B$6:$B$1000,$K991,Assignments!$F$6:$F$1000,$C$4,Assignments!$D$6:$D$1000,"&gt;="&amp;Config!$B$3-7,Assignments!$D$6:$D$1000,"&lt;="&amp;Config!$B$3)))</f>
        <v/>
      </c>
      <c r="T991" s="40" t="str">
        <f>IF($K991="","",IFERROR(VLOOKUP($K991,Grinders!$A$4:$N$998,8,FALSE),""))</f>
        <v/>
      </c>
      <c r="U991" s="40" t="str">
        <f>IFERROR(IF($K991="","",IF($M991="Elite",MAX(50,MIN(100,Config!$B$27*MAX(0,MIN(100,(1-IF($R991="",0,$R991))*100)) + Config!$B$28*MAX(0,MIN(100,(1-MIN(1,IF(Config!$B$30=0,1,$S991/Config!$B$30)))*100)) + Config!$B$29*MAX(0,MIN(100,MIN(1,IF($T991="",0,$T991)/Config!$B$23)*100)))),MIN(100,Config!$B$27*MAX(0,MIN(100,(1-IF($R991="",0,$R991))*100)) + Config!$B$28*MAX(0,MIN(100,(1-MIN(1,IF(Config!$B$30=0,1,$S991/Config!$B$30)))*100)) + Config!$B$29*MAX(0,MIN(100,MIN(1,IF($T991="",0,$T991)/Config!$B$23)*100))))),"")
</f>
        <v/>
      </c>
      <c r="V991" s="40" t="str">
        <f>IF(Bids!$D990="","",Bids!$D990)</f>
        <v/>
      </c>
      <c r="W991" s="40" t="str">
        <f>IF(Bids!$F990="","",Bids!$F990)</f>
        <v/>
      </c>
      <c r="X991" s="40" t="str">
        <f t="shared" si="5"/>
        <v/>
      </c>
      <c r="Y991" s="40" t="str">
        <f>IF($X991="","",IF(Config!$B$17=Config!$B$16,IF($X991&gt;=Config!$B$17,100,0),MAX(0,MIN(100,($X991-Config!$B$16)/(Config!$B$17-Config!$B$16)*100))))</f>
        <v/>
      </c>
      <c r="Z991" s="40">
        <f>IF($M991="Elite",Config!$B$21,0)</f>
        <v>0</v>
      </c>
      <c r="AA991" s="40" t="str">
        <f>IFERROR(IF(OR($W991="",$H991=""),"",IF($W991&gt;$H991,
  MAX(0, 60-(($W991-$H991)*24/Config!$B$19)*60),
  MIN(100, 60+(($H991-$W991)*24/Config!$B$20)*40)
)),"")
</f>
        <v/>
      </c>
      <c r="AB991" s="40" t="str">
        <f>IF($K991="","",IFERROR(VLOOKUP($K991,Grinders!$A$4:$N$998,10,FALSE)/5*100,""))</f>
        <v/>
      </c>
      <c r="AC991" s="40" t="str">
        <f>IF($K991="","",IFERROR(VLOOKUP($K991,Grinders!$A$4:$N$998,11,FALSE)*100,""))</f>
        <v/>
      </c>
      <c r="AD991" s="40" t="str">
        <f>IF($K991="","",IFERROR(VLOOKUP($K991,Grinders!$A$4:$N$998,12,FALSE)*100,""))</f>
        <v/>
      </c>
      <c r="AE991" s="40">
        <f>IFERROR(IFS(
    OR($C991="", $K991=""), 0,
    $F991=0, 0,
    $D991&lt;&gt;"Open", 0,
    COUNTIFS(GrinderServices!$B$4:$B$998, $K991, GrinderServices!$C$4:$C$998, $E991, GrinderServices!$E$4:$E$998, "Y")=0, 0,
    $X991&lt;Config!$B$16, 0,
    Config!$B$18=1, IF($O991&gt;=N991, 0, 1),
    TRUE, 1
), "")
</f>
        <v>0</v>
      </c>
      <c r="AF991" s="40" t="str">
        <f>IFERROR(IF($AE991=0,"",((Config!$B$6*$Y991 + Config!$B$7*$U991 + Config!$B$8*$Z991 + Config!$B$9*$AA991 + Config!$B$10*$AB991 + Config!$B$11*$AC991 - Config!$B$12*$AD991)/Config!$B$13)+$AK991+$AL991),"")</f>
        <v/>
      </c>
      <c r="AG991" s="40" t="str">
        <f t="shared" si="6"/>
        <v/>
      </c>
      <c r="AH991" s="40" t="str">
        <f t="shared" si="7"/>
        <v/>
      </c>
      <c r="AI991" s="40" t="str">
        <f t="shared" si="8"/>
        <v/>
      </c>
      <c r="AJ991" s="40" t="str">
        <f>IF($K991="","",COUNTIF(Assignments!$B$6:$B$1000,$K991))</f>
        <v/>
      </c>
      <c r="AK991" s="40" t="str">
        <f>IF($K991="","",IF(AND($AJ991=0,$O991&lt;$N991),Config!$B$43,0))</f>
        <v/>
      </c>
      <c r="AL991" s="40" t="str">
        <f>IF($K991="","",IF(AND($M991="Elite",$G991&gt;=Config!$B$41,$O991&lt;$N991),Config!$B$42,0))</f>
        <v/>
      </c>
      <c r="AM991" s="22"/>
    </row>
    <row r="992" ht="15.75" customHeight="1">
      <c r="A992" s="40" t="str">
        <f t="shared" si="1"/>
        <v/>
      </c>
      <c r="B992" s="40" t="str">
        <f>IF(Bids!$A991="","",Bids!$A991)</f>
        <v/>
      </c>
      <c r="C992" s="40" t="str">
        <f>IF(Bids!$B991="","",Bids!$B991)</f>
        <v/>
      </c>
      <c r="D992" s="40" t="str">
        <f>IF($C992="","",IFERROR(VLOOKUP($C992,Orders!$A$4:$J$998,9,FALSE),""))</f>
        <v/>
      </c>
      <c r="E992" s="40" t="str">
        <f>IF($C992="","",IFERROR(VLOOKUP($C992,Orders!$A$4:$J$998,3,FALSE),""))</f>
        <v/>
      </c>
      <c r="F992" s="40">
        <f t="shared" si="2"/>
        <v>1</v>
      </c>
      <c r="G992" s="40" t="str">
        <f>IF($C992="","",IFERROR(VLOOKUP($C992,Orders!$A$4:$J$998,4,FALSE),""))</f>
        <v/>
      </c>
      <c r="H992" s="40" t="str">
        <f>IF($C992="","",IFERROR(VLOOKUP($C992,Orders!$A$4:$J$998,5,FALSE),""))</f>
        <v/>
      </c>
      <c r="I992" s="40" t="str">
        <f>IF($C992="","",IFERROR(VLOOKUP($C992,Orders!$A$4:$J$998,6,FALSE),""))</f>
        <v/>
      </c>
      <c r="J992" s="40" t="str">
        <f>IF($C992="","",IFERROR(VLOOKUP($C992,Orders!$A$4:$J$998,7,FALSE),""))</f>
        <v/>
      </c>
      <c r="K992" s="40" t="str">
        <f>IF(Bids!$C991="","",Bids!$C991)</f>
        <v/>
      </c>
      <c r="L992" s="40" t="str">
        <f>IF($K992="","",IFERROR(VLOOKUP($K992,Grinders!$A$4:$N$998,2,FALSE),""))</f>
        <v/>
      </c>
      <c r="M992" s="40" t="str">
        <f>IF($K992="","",IFERROR(VLOOKUP($K992,Grinders!$A$4:$N$998,3,FALSE),""))</f>
        <v/>
      </c>
      <c r="N992" s="40" t="str">
        <f>IF($K992="","",IFERROR(VLOOKUP($K992,Grinders!$A$4:$N$998,4,FALSE),""))</f>
        <v/>
      </c>
      <c r="O992" s="40" t="str">
        <f>IF($K992="","",IFERROR(VLOOKUP($K992,Grinders!$A$4:$N$998,5,FALSE),""))</f>
        <v/>
      </c>
      <c r="P992" s="40" t="str">
        <f>IF($K992="","",IF($C$4="",0,COUNTIFS(Assignments!$B$6:$B$1000,$K992,Assignments!$F$6:$F$1000,$C$4,Assignments!$E$6:$E$1000,"Active")))</f>
        <v/>
      </c>
      <c r="Q992" s="40" t="str">
        <f t="shared" si="3"/>
        <v/>
      </c>
      <c r="R992" s="40" t="str">
        <f t="shared" si="4"/>
        <v/>
      </c>
      <c r="S992" s="40" t="str">
        <f>IF($K992="","",IF($C$4="",0,COUNTIFS(Assignments!$B$6:$B$1000,$K992,Assignments!$F$6:$F$1000,$C$4,Assignments!$D$6:$D$1000,"&gt;="&amp;Config!$B$3-7,Assignments!$D$6:$D$1000,"&lt;="&amp;Config!$B$3)))</f>
        <v/>
      </c>
      <c r="T992" s="40" t="str">
        <f>IF($K992="","",IFERROR(VLOOKUP($K992,Grinders!$A$4:$N$998,8,FALSE),""))</f>
        <v/>
      </c>
      <c r="U992" s="40" t="str">
        <f>IFERROR(IF($K992="","",IF($M992="Elite",MAX(50,MIN(100,Config!$B$27*MAX(0,MIN(100,(1-IF($R992="",0,$R992))*100)) + Config!$B$28*MAX(0,MIN(100,(1-MIN(1,IF(Config!$B$30=0,1,$S992/Config!$B$30)))*100)) + Config!$B$29*MAX(0,MIN(100,MIN(1,IF($T992="",0,$T992)/Config!$B$23)*100)))),MIN(100,Config!$B$27*MAX(0,MIN(100,(1-IF($R992="",0,$R992))*100)) + Config!$B$28*MAX(0,MIN(100,(1-MIN(1,IF(Config!$B$30=0,1,$S992/Config!$B$30)))*100)) + Config!$B$29*MAX(0,MIN(100,MIN(1,IF($T992="",0,$T992)/Config!$B$23)*100))))),"")
</f>
        <v/>
      </c>
      <c r="V992" s="40" t="str">
        <f>IF(Bids!$D991="","",Bids!$D991)</f>
        <v/>
      </c>
      <c r="W992" s="40" t="str">
        <f>IF(Bids!$F991="","",Bids!$F991)</f>
        <v/>
      </c>
      <c r="X992" s="40" t="str">
        <f t="shared" si="5"/>
        <v/>
      </c>
      <c r="Y992" s="40" t="str">
        <f>IF($X992="","",IF(Config!$B$17=Config!$B$16,IF($X992&gt;=Config!$B$17,100,0),MAX(0,MIN(100,($X992-Config!$B$16)/(Config!$B$17-Config!$B$16)*100))))</f>
        <v/>
      </c>
      <c r="Z992" s="40">
        <f>IF($M992="Elite",Config!$B$21,0)</f>
        <v>0</v>
      </c>
      <c r="AA992" s="40" t="str">
        <f>IFERROR(IF(OR($W992="",$H992=""),"",IF($W992&gt;$H992,
  MAX(0, 60-(($W992-$H992)*24/Config!$B$19)*60),
  MIN(100, 60+(($H992-$W992)*24/Config!$B$20)*40)
)),"")
</f>
        <v/>
      </c>
      <c r="AB992" s="40" t="str">
        <f>IF($K992="","",IFERROR(VLOOKUP($K992,Grinders!$A$4:$N$998,10,FALSE)/5*100,""))</f>
        <v/>
      </c>
      <c r="AC992" s="40" t="str">
        <f>IF($K992="","",IFERROR(VLOOKUP($K992,Grinders!$A$4:$N$998,11,FALSE)*100,""))</f>
        <v/>
      </c>
      <c r="AD992" s="40" t="str">
        <f>IF($K992="","",IFERROR(VLOOKUP($K992,Grinders!$A$4:$N$998,12,FALSE)*100,""))</f>
        <v/>
      </c>
      <c r="AE992" s="40">
        <f>IFERROR(IFS(
    OR($C992="", $K992=""), 0,
    $F992=0, 0,
    $D992&lt;&gt;"Open", 0,
    COUNTIFS(GrinderServices!$B$4:$B$998, $K992, GrinderServices!$C$4:$C$998, $E992, GrinderServices!$E$4:$E$998, "Y")=0, 0,
    $X992&lt;Config!$B$16, 0,
    Config!$B$18=1, IF($O992&gt;=N992, 0, 1),
    TRUE, 1
), "")
</f>
        <v>0</v>
      </c>
      <c r="AF992" s="40" t="str">
        <f>IFERROR(IF($AE992=0,"",((Config!$B$6*$Y992 + Config!$B$7*$U992 + Config!$B$8*$Z992 + Config!$B$9*$AA992 + Config!$B$10*$AB992 + Config!$B$11*$AC992 - Config!$B$12*$AD992)/Config!$B$13)+$AK992+$AL992),"")</f>
        <v/>
      </c>
      <c r="AG992" s="40" t="str">
        <f t="shared" si="6"/>
        <v/>
      </c>
      <c r="AH992" s="40" t="str">
        <f t="shared" si="7"/>
        <v/>
      </c>
      <c r="AI992" s="40" t="str">
        <f t="shared" si="8"/>
        <v/>
      </c>
      <c r="AJ992" s="40" t="str">
        <f>IF($K992="","",COUNTIF(Assignments!$B$6:$B$1000,$K992))</f>
        <v/>
      </c>
      <c r="AK992" s="40" t="str">
        <f>IF($K992="","",IF(AND($AJ992=0,$O992&lt;$N992),Config!$B$43,0))</f>
        <v/>
      </c>
      <c r="AL992" s="40" t="str">
        <f>IF($K992="","",IF(AND($M992="Elite",$G992&gt;=Config!$B$41,$O992&lt;$N992),Config!$B$42,0))</f>
        <v/>
      </c>
      <c r="AM992" s="22"/>
    </row>
    <row r="993" ht="15.75" customHeight="1">
      <c r="A993" s="40" t="str">
        <f t="shared" si="1"/>
        <v/>
      </c>
      <c r="B993" s="40" t="str">
        <f>IF(Bids!$A992="","",Bids!$A992)</f>
        <v/>
      </c>
      <c r="C993" s="40" t="str">
        <f>IF(Bids!$B992="","",Bids!$B992)</f>
        <v/>
      </c>
      <c r="D993" s="40" t="str">
        <f>IF($C993="","",IFERROR(VLOOKUP($C993,Orders!$A$4:$J$998,9,FALSE),""))</f>
        <v/>
      </c>
      <c r="E993" s="40" t="str">
        <f>IF($C993="","",IFERROR(VLOOKUP($C993,Orders!$A$4:$J$998,3,FALSE),""))</f>
        <v/>
      </c>
      <c r="F993" s="40">
        <f t="shared" si="2"/>
        <v>1</v>
      </c>
      <c r="G993" s="40" t="str">
        <f>IF($C993="","",IFERROR(VLOOKUP($C993,Orders!$A$4:$J$998,4,FALSE),""))</f>
        <v/>
      </c>
      <c r="H993" s="40" t="str">
        <f>IF($C993="","",IFERROR(VLOOKUP($C993,Orders!$A$4:$J$998,5,FALSE),""))</f>
        <v/>
      </c>
      <c r="I993" s="40" t="str">
        <f>IF($C993="","",IFERROR(VLOOKUP($C993,Orders!$A$4:$J$998,6,FALSE),""))</f>
        <v/>
      </c>
      <c r="J993" s="40" t="str">
        <f>IF($C993="","",IFERROR(VLOOKUP($C993,Orders!$A$4:$J$998,7,FALSE),""))</f>
        <v/>
      </c>
      <c r="K993" s="40" t="str">
        <f>IF(Bids!$C992="","",Bids!$C992)</f>
        <v/>
      </c>
      <c r="L993" s="40" t="str">
        <f>IF($K993="","",IFERROR(VLOOKUP($K993,Grinders!$A$4:$N$998,2,FALSE),""))</f>
        <v/>
      </c>
      <c r="M993" s="40" t="str">
        <f>IF($K993="","",IFERROR(VLOOKUP($K993,Grinders!$A$4:$N$998,3,FALSE),""))</f>
        <v/>
      </c>
      <c r="N993" s="40" t="str">
        <f>IF($K993="","",IFERROR(VLOOKUP($K993,Grinders!$A$4:$N$998,4,FALSE),""))</f>
        <v/>
      </c>
      <c r="O993" s="40" t="str">
        <f>IF($K993="","",IFERROR(VLOOKUP($K993,Grinders!$A$4:$N$998,5,FALSE),""))</f>
        <v/>
      </c>
      <c r="P993" s="40" t="str">
        <f>IF($K993="","",IF($C$4="",0,COUNTIFS(Assignments!$B$6:$B$1000,$K993,Assignments!$F$6:$F$1000,$C$4,Assignments!$E$6:$E$1000,"Active")))</f>
        <v/>
      </c>
      <c r="Q993" s="40" t="str">
        <f t="shared" si="3"/>
        <v/>
      </c>
      <c r="R993" s="40" t="str">
        <f t="shared" si="4"/>
        <v/>
      </c>
      <c r="S993" s="40" t="str">
        <f>IF($K993="","",IF($C$4="",0,COUNTIFS(Assignments!$B$6:$B$1000,$K993,Assignments!$F$6:$F$1000,$C$4,Assignments!$D$6:$D$1000,"&gt;="&amp;Config!$B$3-7,Assignments!$D$6:$D$1000,"&lt;="&amp;Config!$B$3)))</f>
        <v/>
      </c>
      <c r="T993" s="40" t="str">
        <f>IF($K993="","",IFERROR(VLOOKUP($K993,Grinders!$A$4:$N$998,8,FALSE),""))</f>
        <v/>
      </c>
      <c r="U993" s="40" t="str">
        <f>IFERROR(IF($K993="","",IF($M993="Elite",MAX(50,MIN(100,Config!$B$27*MAX(0,MIN(100,(1-IF($R993="",0,$R993))*100)) + Config!$B$28*MAX(0,MIN(100,(1-MIN(1,IF(Config!$B$30=0,1,$S993/Config!$B$30)))*100)) + Config!$B$29*MAX(0,MIN(100,MIN(1,IF($T993="",0,$T993)/Config!$B$23)*100)))),MIN(100,Config!$B$27*MAX(0,MIN(100,(1-IF($R993="",0,$R993))*100)) + Config!$B$28*MAX(0,MIN(100,(1-MIN(1,IF(Config!$B$30=0,1,$S993/Config!$B$30)))*100)) + Config!$B$29*MAX(0,MIN(100,MIN(1,IF($T993="",0,$T993)/Config!$B$23)*100))))),"")
</f>
        <v/>
      </c>
      <c r="V993" s="40" t="str">
        <f>IF(Bids!$D992="","",Bids!$D992)</f>
        <v/>
      </c>
      <c r="W993" s="40" t="str">
        <f>IF(Bids!$F992="","",Bids!$F992)</f>
        <v/>
      </c>
      <c r="X993" s="40" t="str">
        <f t="shared" si="5"/>
        <v/>
      </c>
      <c r="Y993" s="40" t="str">
        <f>IF($X993="","",IF(Config!$B$17=Config!$B$16,IF($X993&gt;=Config!$B$17,100,0),MAX(0,MIN(100,($X993-Config!$B$16)/(Config!$B$17-Config!$B$16)*100))))</f>
        <v/>
      </c>
      <c r="Z993" s="40">
        <f>IF($M993="Elite",Config!$B$21,0)</f>
        <v>0</v>
      </c>
      <c r="AA993" s="40" t="str">
        <f>IFERROR(IF(OR($W993="",$H993=""),"",IF($W993&gt;$H993,
  MAX(0, 60-(($W993-$H993)*24/Config!$B$19)*60),
  MIN(100, 60+(($H993-$W993)*24/Config!$B$20)*40)
)),"")
</f>
        <v/>
      </c>
      <c r="AB993" s="40" t="str">
        <f>IF($K993="","",IFERROR(VLOOKUP($K993,Grinders!$A$4:$N$998,10,FALSE)/5*100,""))</f>
        <v/>
      </c>
      <c r="AC993" s="40" t="str">
        <f>IF($K993="","",IFERROR(VLOOKUP($K993,Grinders!$A$4:$N$998,11,FALSE)*100,""))</f>
        <v/>
      </c>
      <c r="AD993" s="40" t="str">
        <f>IF($K993="","",IFERROR(VLOOKUP($K993,Grinders!$A$4:$N$998,12,FALSE)*100,""))</f>
        <v/>
      </c>
      <c r="AE993" s="40">
        <f>IFERROR(IFS(
    OR($C993="", $K993=""), 0,
    $F993=0, 0,
    $D993&lt;&gt;"Open", 0,
    COUNTIFS(GrinderServices!$B$4:$B$998, $K993, GrinderServices!$C$4:$C$998, $E993, GrinderServices!$E$4:$E$998, "Y")=0, 0,
    $X993&lt;Config!$B$16, 0,
    Config!$B$18=1, IF($O993&gt;=N993, 0, 1),
    TRUE, 1
), "")
</f>
        <v>0</v>
      </c>
      <c r="AF993" s="40" t="str">
        <f>IFERROR(IF($AE993=0,"",((Config!$B$6*$Y993 + Config!$B$7*$U993 + Config!$B$8*$Z993 + Config!$B$9*$AA993 + Config!$B$10*$AB993 + Config!$B$11*$AC993 - Config!$B$12*$AD993)/Config!$B$13)+$AK993+$AL993),"")</f>
        <v/>
      </c>
      <c r="AG993" s="40" t="str">
        <f t="shared" si="6"/>
        <v/>
      </c>
      <c r="AH993" s="40" t="str">
        <f t="shared" si="7"/>
        <v/>
      </c>
      <c r="AI993" s="40" t="str">
        <f t="shared" si="8"/>
        <v/>
      </c>
      <c r="AJ993" s="40" t="str">
        <f>IF($K993="","",COUNTIF(Assignments!$B$6:$B$1000,$K993))</f>
        <v/>
      </c>
      <c r="AK993" s="40" t="str">
        <f>IF($K993="","",IF(AND($AJ993=0,$O993&lt;$N993),Config!$B$43,0))</f>
        <v/>
      </c>
      <c r="AL993" s="40" t="str">
        <f>IF($K993="","",IF(AND($M993="Elite",$G993&gt;=Config!$B$41,$O993&lt;$N993),Config!$B$42,0))</f>
        <v/>
      </c>
      <c r="AM993" s="22"/>
    </row>
    <row r="994" ht="15.75" customHeight="1">
      <c r="A994" s="40" t="str">
        <f t="shared" si="1"/>
        <v/>
      </c>
      <c r="B994" s="40" t="str">
        <f>IF(Bids!$A993="","",Bids!$A993)</f>
        <v/>
      </c>
      <c r="C994" s="40" t="str">
        <f>IF(Bids!$B993="","",Bids!$B993)</f>
        <v/>
      </c>
      <c r="D994" s="40" t="str">
        <f>IF($C994="","",IFERROR(VLOOKUP($C994,Orders!$A$4:$J$998,9,FALSE),""))</f>
        <v/>
      </c>
      <c r="E994" s="40" t="str">
        <f>IF($C994="","",IFERROR(VLOOKUP($C994,Orders!$A$4:$J$998,3,FALSE),""))</f>
        <v/>
      </c>
      <c r="F994" s="40">
        <f t="shared" si="2"/>
        <v>1</v>
      </c>
      <c r="G994" s="40" t="str">
        <f>IF($C994="","",IFERROR(VLOOKUP($C994,Orders!$A$4:$J$998,4,FALSE),""))</f>
        <v/>
      </c>
      <c r="H994" s="40" t="str">
        <f>IF($C994="","",IFERROR(VLOOKUP($C994,Orders!$A$4:$J$998,5,FALSE),""))</f>
        <v/>
      </c>
      <c r="I994" s="40" t="str">
        <f>IF($C994="","",IFERROR(VLOOKUP($C994,Orders!$A$4:$J$998,6,FALSE),""))</f>
        <v/>
      </c>
      <c r="J994" s="40" t="str">
        <f>IF($C994="","",IFERROR(VLOOKUP($C994,Orders!$A$4:$J$998,7,FALSE),""))</f>
        <v/>
      </c>
      <c r="K994" s="40" t="str">
        <f>IF(Bids!$C993="","",Bids!$C993)</f>
        <v/>
      </c>
      <c r="L994" s="40" t="str">
        <f>IF($K994="","",IFERROR(VLOOKUP($K994,Grinders!$A$4:$N$998,2,FALSE),""))</f>
        <v/>
      </c>
      <c r="M994" s="40" t="str">
        <f>IF($K994="","",IFERROR(VLOOKUP($K994,Grinders!$A$4:$N$998,3,FALSE),""))</f>
        <v/>
      </c>
      <c r="N994" s="40" t="str">
        <f>IF($K994="","",IFERROR(VLOOKUP($K994,Grinders!$A$4:$N$998,4,FALSE),""))</f>
        <v/>
      </c>
      <c r="O994" s="40" t="str">
        <f>IF($K994="","",IFERROR(VLOOKUP($K994,Grinders!$A$4:$N$998,5,FALSE),""))</f>
        <v/>
      </c>
      <c r="P994" s="40" t="str">
        <f>IF($K994="","",IF($C$4="",0,COUNTIFS(Assignments!$B$6:$B$1000,$K994,Assignments!$F$6:$F$1000,$C$4,Assignments!$E$6:$E$1000,"Active")))</f>
        <v/>
      </c>
      <c r="Q994" s="40" t="str">
        <f t="shared" si="3"/>
        <v/>
      </c>
      <c r="R994" s="40" t="str">
        <f t="shared" si="4"/>
        <v/>
      </c>
      <c r="S994" s="40" t="str">
        <f>IF($K994="","",IF($C$4="",0,COUNTIFS(Assignments!$B$6:$B$1000,$K994,Assignments!$F$6:$F$1000,$C$4,Assignments!$D$6:$D$1000,"&gt;="&amp;Config!$B$3-7,Assignments!$D$6:$D$1000,"&lt;="&amp;Config!$B$3)))</f>
        <v/>
      </c>
      <c r="T994" s="40" t="str">
        <f>IF($K994="","",IFERROR(VLOOKUP($K994,Grinders!$A$4:$N$998,8,FALSE),""))</f>
        <v/>
      </c>
      <c r="U994" s="40" t="str">
        <f>IFERROR(IF($K994="","",IF($M994="Elite",MAX(50,MIN(100,Config!$B$27*MAX(0,MIN(100,(1-IF($R994="",0,$R994))*100)) + Config!$B$28*MAX(0,MIN(100,(1-MIN(1,IF(Config!$B$30=0,1,$S994/Config!$B$30)))*100)) + Config!$B$29*MAX(0,MIN(100,MIN(1,IF($T994="",0,$T994)/Config!$B$23)*100)))),MIN(100,Config!$B$27*MAX(0,MIN(100,(1-IF($R994="",0,$R994))*100)) + Config!$B$28*MAX(0,MIN(100,(1-MIN(1,IF(Config!$B$30=0,1,$S994/Config!$B$30)))*100)) + Config!$B$29*MAX(0,MIN(100,MIN(1,IF($T994="",0,$T994)/Config!$B$23)*100))))),"")
</f>
        <v/>
      </c>
      <c r="V994" s="40" t="str">
        <f>IF(Bids!$D993="","",Bids!$D993)</f>
        <v/>
      </c>
      <c r="W994" s="40" t="str">
        <f>IF(Bids!$F993="","",Bids!$F993)</f>
        <v/>
      </c>
      <c r="X994" s="40" t="str">
        <f t="shared" si="5"/>
        <v/>
      </c>
      <c r="Y994" s="40" t="str">
        <f>IF($X994="","",IF(Config!$B$17=Config!$B$16,IF($X994&gt;=Config!$B$17,100,0),MAX(0,MIN(100,($X994-Config!$B$16)/(Config!$B$17-Config!$B$16)*100))))</f>
        <v/>
      </c>
      <c r="Z994" s="40">
        <f>IF($M994="Elite",Config!$B$21,0)</f>
        <v>0</v>
      </c>
      <c r="AA994" s="40" t="str">
        <f>IFERROR(IF(OR($W994="",$H994=""),"",IF($W994&gt;$H994,
  MAX(0, 60-(($W994-$H994)*24/Config!$B$19)*60),
  MIN(100, 60+(($H994-$W994)*24/Config!$B$20)*40)
)),"")
</f>
        <v/>
      </c>
      <c r="AB994" s="40" t="str">
        <f>IF($K994="","",IFERROR(VLOOKUP($K994,Grinders!$A$4:$N$998,10,FALSE)/5*100,""))</f>
        <v/>
      </c>
      <c r="AC994" s="40" t="str">
        <f>IF($K994="","",IFERROR(VLOOKUP($K994,Grinders!$A$4:$N$998,11,FALSE)*100,""))</f>
        <v/>
      </c>
      <c r="AD994" s="40" t="str">
        <f>IF($K994="","",IFERROR(VLOOKUP($K994,Grinders!$A$4:$N$998,12,FALSE)*100,""))</f>
        <v/>
      </c>
      <c r="AE994" s="40">
        <f>IFERROR(IFS(
    OR($C994="", $K994=""), 0,
    $F994=0, 0,
    $D994&lt;&gt;"Open", 0,
    COUNTIFS(GrinderServices!$B$4:$B$998, $K994, GrinderServices!$C$4:$C$998, $E994, GrinderServices!$E$4:$E$998, "Y")=0, 0,
    $X994&lt;Config!$B$16, 0,
    Config!$B$18=1, IF($O994&gt;=N994, 0, 1),
    TRUE, 1
), "")
</f>
        <v>0</v>
      </c>
      <c r="AF994" s="40" t="str">
        <f>IFERROR(IF($AE994=0,"",((Config!$B$6*$Y994 + Config!$B$7*$U994 + Config!$B$8*$Z994 + Config!$B$9*$AA994 + Config!$B$10*$AB994 + Config!$B$11*$AC994 - Config!$B$12*$AD994)/Config!$B$13)+$AK994+$AL994),"")</f>
        <v/>
      </c>
      <c r="AG994" s="40" t="str">
        <f t="shared" si="6"/>
        <v/>
      </c>
      <c r="AH994" s="40" t="str">
        <f t="shared" si="7"/>
        <v/>
      </c>
      <c r="AI994" s="40" t="str">
        <f t="shared" si="8"/>
        <v/>
      </c>
      <c r="AJ994" s="40" t="str">
        <f>IF($K994="","",COUNTIF(Assignments!$B$6:$B$1000,$K994))</f>
        <v/>
      </c>
      <c r="AK994" s="40" t="str">
        <f>IF($K994="","",IF(AND($AJ994=0,$O994&lt;$N994),Config!$B$43,0))</f>
        <v/>
      </c>
      <c r="AL994" s="40" t="str">
        <f>IF($K994="","",IF(AND($M994="Elite",$G994&gt;=Config!$B$41,$O994&lt;$N994),Config!$B$42,0))</f>
        <v/>
      </c>
      <c r="AM994" s="22"/>
    </row>
    <row r="995" ht="15.75" customHeight="1">
      <c r="A995" s="40" t="str">
        <f t="shared" si="1"/>
        <v/>
      </c>
      <c r="B995" s="40" t="str">
        <f>IF(Bids!$A994="","",Bids!$A994)</f>
        <v/>
      </c>
      <c r="C995" s="40" t="str">
        <f>IF(Bids!$B994="","",Bids!$B994)</f>
        <v/>
      </c>
      <c r="D995" s="40" t="str">
        <f>IF($C995="","",IFERROR(VLOOKUP($C995,Orders!$A$4:$J$998,9,FALSE),""))</f>
        <v/>
      </c>
      <c r="E995" s="40" t="str">
        <f>IF($C995="","",IFERROR(VLOOKUP($C995,Orders!$A$4:$J$998,3,FALSE),""))</f>
        <v/>
      </c>
      <c r="F995" s="40">
        <f t="shared" si="2"/>
        <v>1</v>
      </c>
      <c r="G995" s="40" t="str">
        <f>IF($C995="","",IFERROR(VLOOKUP($C995,Orders!$A$4:$J$998,4,FALSE),""))</f>
        <v/>
      </c>
      <c r="H995" s="40" t="str">
        <f>IF($C995="","",IFERROR(VLOOKUP($C995,Orders!$A$4:$J$998,5,FALSE),""))</f>
        <v/>
      </c>
      <c r="I995" s="40" t="str">
        <f>IF($C995="","",IFERROR(VLOOKUP($C995,Orders!$A$4:$J$998,6,FALSE),""))</f>
        <v/>
      </c>
      <c r="J995" s="40" t="str">
        <f>IF($C995="","",IFERROR(VLOOKUP($C995,Orders!$A$4:$J$998,7,FALSE),""))</f>
        <v/>
      </c>
      <c r="K995" s="40" t="str">
        <f>IF(Bids!$C994="","",Bids!$C994)</f>
        <v/>
      </c>
      <c r="L995" s="40" t="str">
        <f>IF($K995="","",IFERROR(VLOOKUP($K995,Grinders!$A$4:$N$998,2,FALSE),""))</f>
        <v/>
      </c>
      <c r="M995" s="40" t="str">
        <f>IF($K995="","",IFERROR(VLOOKUP($K995,Grinders!$A$4:$N$998,3,FALSE),""))</f>
        <v/>
      </c>
      <c r="N995" s="40" t="str">
        <f>IF($K995="","",IFERROR(VLOOKUP($K995,Grinders!$A$4:$N$998,4,FALSE),""))</f>
        <v/>
      </c>
      <c r="O995" s="40" t="str">
        <f>IF($K995="","",IFERROR(VLOOKUP($K995,Grinders!$A$4:$N$998,5,FALSE),""))</f>
        <v/>
      </c>
      <c r="P995" s="40" t="str">
        <f>IF($K995="","",IF($C$4="",0,COUNTIFS(Assignments!$B$6:$B$1000,$K995,Assignments!$F$6:$F$1000,$C$4,Assignments!$E$6:$E$1000,"Active")))</f>
        <v/>
      </c>
      <c r="Q995" s="40" t="str">
        <f t="shared" si="3"/>
        <v/>
      </c>
      <c r="R995" s="40" t="str">
        <f t="shared" si="4"/>
        <v/>
      </c>
      <c r="S995" s="40" t="str">
        <f>IF($K995="","",IF($C$4="",0,COUNTIFS(Assignments!$B$6:$B$1000,$K995,Assignments!$F$6:$F$1000,$C$4,Assignments!$D$6:$D$1000,"&gt;="&amp;Config!$B$3-7,Assignments!$D$6:$D$1000,"&lt;="&amp;Config!$B$3)))</f>
        <v/>
      </c>
      <c r="T995" s="40" t="str">
        <f>IF($K995="","",IFERROR(VLOOKUP($K995,Grinders!$A$4:$N$998,8,FALSE),""))</f>
        <v/>
      </c>
      <c r="U995" s="40" t="str">
        <f>IFERROR(IF($K995="","",IF($M995="Elite",MAX(50,MIN(100,Config!$B$27*MAX(0,MIN(100,(1-IF($R995="",0,$R995))*100)) + Config!$B$28*MAX(0,MIN(100,(1-MIN(1,IF(Config!$B$30=0,1,$S995/Config!$B$30)))*100)) + Config!$B$29*MAX(0,MIN(100,MIN(1,IF($T995="",0,$T995)/Config!$B$23)*100)))),MIN(100,Config!$B$27*MAX(0,MIN(100,(1-IF($R995="",0,$R995))*100)) + Config!$B$28*MAX(0,MIN(100,(1-MIN(1,IF(Config!$B$30=0,1,$S995/Config!$B$30)))*100)) + Config!$B$29*MAX(0,MIN(100,MIN(1,IF($T995="",0,$T995)/Config!$B$23)*100))))),"")
</f>
        <v/>
      </c>
      <c r="V995" s="40" t="str">
        <f>IF(Bids!$D994="","",Bids!$D994)</f>
        <v/>
      </c>
      <c r="W995" s="40" t="str">
        <f>IF(Bids!$F994="","",Bids!$F994)</f>
        <v/>
      </c>
      <c r="X995" s="40" t="str">
        <f t="shared" si="5"/>
        <v/>
      </c>
      <c r="Y995" s="40" t="str">
        <f>IF($X995="","",IF(Config!$B$17=Config!$B$16,IF($X995&gt;=Config!$B$17,100,0),MAX(0,MIN(100,($X995-Config!$B$16)/(Config!$B$17-Config!$B$16)*100))))</f>
        <v/>
      </c>
      <c r="Z995" s="40">
        <f>IF($M995="Elite",Config!$B$21,0)</f>
        <v>0</v>
      </c>
      <c r="AA995" s="40" t="str">
        <f>IFERROR(IF(OR($W995="",$H995=""),"",IF($W995&gt;$H995,
  MAX(0, 60-(($W995-$H995)*24/Config!$B$19)*60),
  MIN(100, 60+(($H995-$W995)*24/Config!$B$20)*40)
)),"")
</f>
        <v/>
      </c>
      <c r="AB995" s="40" t="str">
        <f>IF($K995="","",IFERROR(VLOOKUP($K995,Grinders!$A$4:$N$998,10,FALSE)/5*100,""))</f>
        <v/>
      </c>
      <c r="AC995" s="40" t="str">
        <f>IF($K995="","",IFERROR(VLOOKUP($K995,Grinders!$A$4:$N$998,11,FALSE)*100,""))</f>
        <v/>
      </c>
      <c r="AD995" s="40" t="str">
        <f>IF($K995="","",IFERROR(VLOOKUP($K995,Grinders!$A$4:$N$998,12,FALSE)*100,""))</f>
        <v/>
      </c>
      <c r="AE995" s="40">
        <f>IFERROR(IFS(
    OR($C995="", $K995=""), 0,
    $F995=0, 0,
    $D995&lt;&gt;"Open", 0,
    COUNTIFS(GrinderServices!$B$4:$B$998, $K995, GrinderServices!$C$4:$C$998, $E995, GrinderServices!$E$4:$E$998, "Y")=0, 0,
    $X995&lt;Config!$B$16, 0,
    Config!$B$18=1, IF($O995&gt;=N995, 0, 1),
    TRUE, 1
), "")
</f>
        <v>0</v>
      </c>
      <c r="AF995" s="40" t="str">
        <f>IFERROR(IF($AE995=0,"",((Config!$B$6*$Y995 + Config!$B$7*$U995 + Config!$B$8*$Z995 + Config!$B$9*$AA995 + Config!$B$10*$AB995 + Config!$B$11*$AC995 - Config!$B$12*$AD995)/Config!$B$13)+$AK995+$AL995),"")</f>
        <v/>
      </c>
      <c r="AG995" s="40" t="str">
        <f t="shared" si="6"/>
        <v/>
      </c>
      <c r="AH995" s="40" t="str">
        <f t="shared" si="7"/>
        <v/>
      </c>
      <c r="AI995" s="40" t="str">
        <f t="shared" si="8"/>
        <v/>
      </c>
      <c r="AJ995" s="40" t="str">
        <f>IF($K995="","",COUNTIF(Assignments!$B$6:$B$1000,$K995))</f>
        <v/>
      </c>
      <c r="AK995" s="40" t="str">
        <f>IF($K995="","",IF(AND($AJ995=0,$O995&lt;$N995),Config!$B$43,0))</f>
        <v/>
      </c>
      <c r="AL995" s="40" t="str">
        <f>IF($K995="","",IF(AND($M995="Elite",$G995&gt;=Config!$B$41,$O995&lt;$N995),Config!$B$42,0))</f>
        <v/>
      </c>
      <c r="AM995" s="22"/>
    </row>
    <row r="996" ht="15.75" customHeight="1">
      <c r="A996" s="40" t="str">
        <f t="shared" si="1"/>
        <v/>
      </c>
      <c r="B996" s="40" t="str">
        <f>IF(Bids!$A995="","",Bids!$A995)</f>
        <v/>
      </c>
      <c r="C996" s="40" t="str">
        <f>IF(Bids!$B995="","",Bids!$B995)</f>
        <v/>
      </c>
      <c r="D996" s="40" t="str">
        <f>IF($C996="","",IFERROR(VLOOKUP($C996,Orders!$A$4:$J$998,9,FALSE),""))</f>
        <v/>
      </c>
      <c r="E996" s="40" t="str">
        <f>IF($C996="","",IFERROR(VLOOKUP($C996,Orders!$A$4:$J$998,3,FALSE),""))</f>
        <v/>
      </c>
      <c r="F996" s="40">
        <f t="shared" si="2"/>
        <v>1</v>
      </c>
      <c r="G996" s="40" t="str">
        <f>IF($C996="","",IFERROR(VLOOKUP($C996,Orders!$A$4:$J$998,4,FALSE),""))</f>
        <v/>
      </c>
      <c r="H996" s="40" t="str">
        <f>IF($C996="","",IFERROR(VLOOKUP($C996,Orders!$A$4:$J$998,5,FALSE),""))</f>
        <v/>
      </c>
      <c r="I996" s="40" t="str">
        <f>IF($C996="","",IFERROR(VLOOKUP($C996,Orders!$A$4:$J$998,6,FALSE),""))</f>
        <v/>
      </c>
      <c r="J996" s="40" t="str">
        <f>IF($C996="","",IFERROR(VLOOKUP($C996,Orders!$A$4:$J$998,7,FALSE),""))</f>
        <v/>
      </c>
      <c r="K996" s="40" t="str">
        <f>IF(Bids!$C995="","",Bids!$C995)</f>
        <v/>
      </c>
      <c r="L996" s="40" t="str">
        <f>IF($K996="","",IFERROR(VLOOKUP($K996,Grinders!$A$4:$N$998,2,FALSE),""))</f>
        <v/>
      </c>
      <c r="M996" s="40" t="str">
        <f>IF($K996="","",IFERROR(VLOOKUP($K996,Grinders!$A$4:$N$998,3,FALSE),""))</f>
        <v/>
      </c>
      <c r="N996" s="40" t="str">
        <f>IF($K996="","",IFERROR(VLOOKUP($K996,Grinders!$A$4:$N$998,4,FALSE),""))</f>
        <v/>
      </c>
      <c r="O996" s="40" t="str">
        <f>IF($K996="","",IFERROR(VLOOKUP($K996,Grinders!$A$4:$N$998,5,FALSE),""))</f>
        <v/>
      </c>
      <c r="P996" s="40" t="str">
        <f>IF($K996="","",IF($C$4="",0,COUNTIFS(Assignments!$B$6:$B$1000,$K996,Assignments!$F$6:$F$1000,$C$4,Assignments!$E$6:$E$1000,"Active")))</f>
        <v/>
      </c>
      <c r="Q996" s="40" t="str">
        <f t="shared" si="3"/>
        <v/>
      </c>
      <c r="R996" s="40" t="str">
        <f t="shared" si="4"/>
        <v/>
      </c>
      <c r="S996" s="40" t="str">
        <f>IF($K996="","",IF($C$4="",0,COUNTIFS(Assignments!$B$6:$B$1000,$K996,Assignments!$F$6:$F$1000,$C$4,Assignments!$D$6:$D$1000,"&gt;="&amp;Config!$B$3-7,Assignments!$D$6:$D$1000,"&lt;="&amp;Config!$B$3)))</f>
        <v/>
      </c>
      <c r="T996" s="40" t="str">
        <f>IF($K996="","",IFERROR(VLOOKUP($K996,Grinders!$A$4:$N$998,8,FALSE),""))</f>
        <v/>
      </c>
      <c r="U996" s="40" t="str">
        <f>IFERROR(IF($K996="","",IF($M996="Elite",MAX(50,MIN(100,Config!$B$27*MAX(0,MIN(100,(1-IF($R996="",0,$R996))*100)) + Config!$B$28*MAX(0,MIN(100,(1-MIN(1,IF(Config!$B$30=0,1,$S996/Config!$B$30)))*100)) + Config!$B$29*MAX(0,MIN(100,MIN(1,IF($T996="",0,$T996)/Config!$B$23)*100)))),MIN(100,Config!$B$27*MAX(0,MIN(100,(1-IF($R996="",0,$R996))*100)) + Config!$B$28*MAX(0,MIN(100,(1-MIN(1,IF(Config!$B$30=0,1,$S996/Config!$B$30)))*100)) + Config!$B$29*MAX(0,MIN(100,MIN(1,IF($T996="",0,$T996)/Config!$B$23)*100))))),"")
</f>
        <v/>
      </c>
      <c r="V996" s="40" t="str">
        <f>IF(Bids!$D995="","",Bids!$D995)</f>
        <v/>
      </c>
      <c r="W996" s="40" t="str">
        <f>IF(Bids!$F995="","",Bids!$F995)</f>
        <v/>
      </c>
      <c r="X996" s="40" t="str">
        <f t="shared" si="5"/>
        <v/>
      </c>
      <c r="Y996" s="40" t="str">
        <f>IF($X996="","",IF(Config!$B$17=Config!$B$16,IF($X996&gt;=Config!$B$17,100,0),MAX(0,MIN(100,($X996-Config!$B$16)/(Config!$B$17-Config!$B$16)*100))))</f>
        <v/>
      </c>
      <c r="Z996" s="40">
        <f>IF($M996="Elite",Config!$B$21,0)</f>
        <v>0</v>
      </c>
      <c r="AA996" s="40" t="str">
        <f>IFERROR(IF(OR($W996="",$H996=""),"",IF($W996&gt;$H996,
  MAX(0, 60-(($W996-$H996)*24/Config!$B$19)*60),
  MIN(100, 60+(($H996-$W996)*24/Config!$B$20)*40)
)),"")
</f>
        <v/>
      </c>
      <c r="AB996" s="40" t="str">
        <f>IF($K996="","",IFERROR(VLOOKUP($K996,Grinders!$A$4:$N$998,10,FALSE)/5*100,""))</f>
        <v/>
      </c>
      <c r="AC996" s="40" t="str">
        <f>IF($K996="","",IFERROR(VLOOKUP($K996,Grinders!$A$4:$N$998,11,FALSE)*100,""))</f>
        <v/>
      </c>
      <c r="AD996" s="40" t="str">
        <f>IF($K996="","",IFERROR(VLOOKUP($K996,Grinders!$A$4:$N$998,12,FALSE)*100,""))</f>
        <v/>
      </c>
      <c r="AE996" s="40">
        <f>IFERROR(IFS(
    OR($C996="", $K996=""), 0,
    $F996=0, 0,
    $D996&lt;&gt;"Open", 0,
    COUNTIFS(GrinderServices!$B$4:$B$998, $K996, GrinderServices!$C$4:$C$998, $E996, GrinderServices!$E$4:$E$998, "Y")=0, 0,
    $X996&lt;Config!$B$16, 0,
    Config!$B$18=1, IF($O996&gt;=N996, 0, 1),
    TRUE, 1
), "")
</f>
        <v>0</v>
      </c>
      <c r="AF996" s="40" t="str">
        <f>IFERROR(IF($AE996=0,"",((Config!$B$6*$Y996 + Config!$B$7*$U996 + Config!$B$8*$Z996 + Config!$B$9*$AA996 + Config!$B$10*$AB996 + Config!$B$11*$AC996 - Config!$B$12*$AD996)/Config!$B$13)+$AK996+$AL996),"")</f>
        <v/>
      </c>
      <c r="AG996" s="40" t="str">
        <f t="shared" si="6"/>
        <v/>
      </c>
      <c r="AH996" s="40" t="str">
        <f t="shared" si="7"/>
        <v/>
      </c>
      <c r="AI996" s="40" t="str">
        <f t="shared" si="8"/>
        <v/>
      </c>
      <c r="AJ996" s="40" t="str">
        <f>IF($K996="","",COUNTIF(Assignments!$B$6:$B$1000,$K996))</f>
        <v/>
      </c>
      <c r="AK996" s="40" t="str">
        <f>IF($K996="","",IF(AND($AJ996=0,$O996&lt;$N996),Config!$B$43,0))</f>
        <v/>
      </c>
      <c r="AL996" s="40" t="str">
        <f>IF($K996="","",IF(AND($M996="Elite",$G996&gt;=Config!$B$41,$O996&lt;$N996),Config!$B$42,0))</f>
        <v/>
      </c>
      <c r="AM996" s="22"/>
    </row>
    <row r="997" ht="15.75" customHeight="1">
      <c r="A997" s="40" t="str">
        <f t="shared" si="1"/>
        <v/>
      </c>
      <c r="B997" s="40" t="str">
        <f>IF(Bids!$A996="","",Bids!$A996)</f>
        <v/>
      </c>
      <c r="C997" s="40" t="str">
        <f>IF(Bids!$B996="","",Bids!$B996)</f>
        <v/>
      </c>
      <c r="D997" s="40" t="str">
        <f>IF($C997="","",IFERROR(VLOOKUP($C997,Orders!$A$4:$J$998,9,FALSE),""))</f>
        <v/>
      </c>
      <c r="E997" s="40" t="str">
        <f>IF($C997="","",IFERROR(VLOOKUP($C997,Orders!$A$4:$J$998,3,FALSE),""))</f>
        <v/>
      </c>
      <c r="F997" s="40">
        <f t="shared" si="2"/>
        <v>1</v>
      </c>
      <c r="G997" s="40" t="str">
        <f>IF($C997="","",IFERROR(VLOOKUP($C997,Orders!$A$4:$J$998,4,FALSE),""))</f>
        <v/>
      </c>
      <c r="H997" s="40" t="str">
        <f>IF($C997="","",IFERROR(VLOOKUP($C997,Orders!$A$4:$J$998,5,FALSE),""))</f>
        <v/>
      </c>
      <c r="I997" s="40" t="str">
        <f>IF($C997="","",IFERROR(VLOOKUP($C997,Orders!$A$4:$J$998,6,FALSE),""))</f>
        <v/>
      </c>
      <c r="J997" s="40" t="str">
        <f>IF($C997="","",IFERROR(VLOOKUP($C997,Orders!$A$4:$J$998,7,FALSE),""))</f>
        <v/>
      </c>
      <c r="K997" s="40" t="str">
        <f>IF(Bids!$C996="","",Bids!$C996)</f>
        <v/>
      </c>
      <c r="L997" s="40" t="str">
        <f>IF($K997="","",IFERROR(VLOOKUP($K997,Grinders!$A$4:$N$998,2,FALSE),""))</f>
        <v/>
      </c>
      <c r="M997" s="40" t="str">
        <f>IF($K997="","",IFERROR(VLOOKUP($K997,Grinders!$A$4:$N$998,3,FALSE),""))</f>
        <v/>
      </c>
      <c r="N997" s="40" t="str">
        <f>IF($K997="","",IFERROR(VLOOKUP($K997,Grinders!$A$4:$N$998,4,FALSE),""))</f>
        <v/>
      </c>
      <c r="O997" s="40" t="str">
        <f>IF($K997="","",IFERROR(VLOOKUP($K997,Grinders!$A$4:$N$998,5,FALSE),""))</f>
        <v/>
      </c>
      <c r="P997" s="40" t="str">
        <f>IF($K997="","",IF($C$4="",0,COUNTIFS(Assignments!$B$6:$B$1000,$K997,Assignments!$F$6:$F$1000,$C$4,Assignments!$E$6:$E$1000,"Active")))</f>
        <v/>
      </c>
      <c r="Q997" s="40" t="str">
        <f t="shared" si="3"/>
        <v/>
      </c>
      <c r="R997" s="40" t="str">
        <f t="shared" si="4"/>
        <v/>
      </c>
      <c r="S997" s="40" t="str">
        <f>IF($K997="","",IF($C$4="",0,COUNTIFS(Assignments!$B$6:$B$1000,$K997,Assignments!$F$6:$F$1000,$C$4,Assignments!$D$6:$D$1000,"&gt;="&amp;Config!$B$3-7,Assignments!$D$6:$D$1000,"&lt;="&amp;Config!$B$3)))</f>
        <v/>
      </c>
      <c r="T997" s="40" t="str">
        <f>IF($K997="","",IFERROR(VLOOKUP($K997,Grinders!$A$4:$N$998,8,FALSE),""))</f>
        <v/>
      </c>
      <c r="U997" s="40" t="str">
        <f>IFERROR(IF($K997="","",IF($M997="Elite",MAX(50,MIN(100,Config!$B$27*MAX(0,MIN(100,(1-IF($R997="",0,$R997))*100)) + Config!$B$28*MAX(0,MIN(100,(1-MIN(1,IF(Config!$B$30=0,1,$S997/Config!$B$30)))*100)) + Config!$B$29*MAX(0,MIN(100,MIN(1,IF($T997="",0,$T997)/Config!$B$23)*100)))),MIN(100,Config!$B$27*MAX(0,MIN(100,(1-IF($R997="",0,$R997))*100)) + Config!$B$28*MAX(0,MIN(100,(1-MIN(1,IF(Config!$B$30=0,1,$S997/Config!$B$30)))*100)) + Config!$B$29*MAX(0,MIN(100,MIN(1,IF($T997="",0,$T997)/Config!$B$23)*100))))),"")
</f>
        <v/>
      </c>
      <c r="V997" s="40" t="str">
        <f>IF(Bids!$D996="","",Bids!$D996)</f>
        <v/>
      </c>
      <c r="W997" s="40" t="str">
        <f>IF(Bids!$F996="","",Bids!$F996)</f>
        <v/>
      </c>
      <c r="X997" s="40" t="str">
        <f t="shared" si="5"/>
        <v/>
      </c>
      <c r="Y997" s="40" t="str">
        <f>IF($X997="","",IF(Config!$B$17=Config!$B$16,IF($X997&gt;=Config!$B$17,100,0),MAX(0,MIN(100,($X997-Config!$B$16)/(Config!$B$17-Config!$B$16)*100))))</f>
        <v/>
      </c>
      <c r="Z997" s="40">
        <f>IF($M997="Elite",Config!$B$21,0)</f>
        <v>0</v>
      </c>
      <c r="AA997" s="40" t="str">
        <f>IFERROR(IF(OR($W997="",$H997=""),"",IF($W997&gt;$H997,
  MAX(0, 60-(($W997-$H997)*24/Config!$B$19)*60),
  MIN(100, 60+(($H997-$W997)*24/Config!$B$20)*40)
)),"")
</f>
        <v/>
      </c>
      <c r="AB997" s="40" t="str">
        <f>IF($K997="","",IFERROR(VLOOKUP($K997,Grinders!$A$4:$N$998,10,FALSE)/5*100,""))</f>
        <v/>
      </c>
      <c r="AC997" s="40" t="str">
        <f>IF($K997="","",IFERROR(VLOOKUP($K997,Grinders!$A$4:$N$998,11,FALSE)*100,""))</f>
        <v/>
      </c>
      <c r="AD997" s="40" t="str">
        <f>IF($K997="","",IFERROR(VLOOKUP($K997,Grinders!$A$4:$N$998,12,FALSE)*100,""))</f>
        <v/>
      </c>
      <c r="AE997" s="40">
        <f>IFERROR(IFS(
    OR($C997="", $K997=""), 0,
    $F997=0, 0,
    $D997&lt;&gt;"Open", 0,
    COUNTIFS(GrinderServices!$B$4:$B$998, $K997, GrinderServices!$C$4:$C$998, $E997, GrinderServices!$E$4:$E$998, "Y")=0, 0,
    $X997&lt;Config!$B$16, 0,
    Config!$B$18=1, IF($O997&gt;=N997, 0, 1),
    TRUE, 1
), "")
</f>
        <v>0</v>
      </c>
      <c r="AF997" s="40" t="str">
        <f>IFERROR(IF($AE997=0,"",((Config!$B$6*$Y997 + Config!$B$7*$U997 + Config!$B$8*$Z997 + Config!$B$9*$AA997 + Config!$B$10*$AB997 + Config!$B$11*$AC997 - Config!$B$12*$AD997)/Config!$B$13)+$AK997+$AL997),"")</f>
        <v/>
      </c>
      <c r="AG997" s="40" t="str">
        <f t="shared" si="6"/>
        <v/>
      </c>
      <c r="AH997" s="40" t="str">
        <f t="shared" si="7"/>
        <v/>
      </c>
      <c r="AI997" s="40" t="str">
        <f t="shared" si="8"/>
        <v/>
      </c>
      <c r="AJ997" s="40" t="str">
        <f>IF($K997="","",COUNTIF(Assignments!$B$6:$B$1000,$K997))</f>
        <v/>
      </c>
      <c r="AK997" s="40" t="str">
        <f>IF($K997="","",IF(AND($AJ997=0,$O997&lt;$N997),Config!$B$43,0))</f>
        <v/>
      </c>
      <c r="AL997" s="40" t="str">
        <f>IF($K997="","",IF(AND($M997="Elite",$G997&gt;=Config!$B$41,$O997&lt;$N997),Config!$B$42,0))</f>
        <v/>
      </c>
      <c r="AM997" s="22"/>
    </row>
    <row r="998" ht="15.75" customHeight="1">
      <c r="A998" s="40" t="str">
        <f t="shared" si="1"/>
        <v/>
      </c>
      <c r="B998" s="40" t="str">
        <f>IF(Bids!$A997="","",Bids!$A997)</f>
        <v/>
      </c>
      <c r="C998" s="40" t="str">
        <f>IF(Bids!$B997="","",Bids!$B997)</f>
        <v/>
      </c>
      <c r="D998" s="40" t="str">
        <f>IF($C998="","",IFERROR(VLOOKUP($C998,Orders!$A$4:$J$998,9,FALSE),""))</f>
        <v/>
      </c>
      <c r="E998" s="40" t="str">
        <f>IF($C998="","",IFERROR(VLOOKUP($C998,Orders!$A$4:$J$998,3,FALSE),""))</f>
        <v/>
      </c>
      <c r="F998" s="40">
        <f t="shared" si="2"/>
        <v>1</v>
      </c>
      <c r="G998" s="40" t="str">
        <f>IF($C998="","",IFERROR(VLOOKUP($C998,Orders!$A$4:$J$998,4,FALSE),""))</f>
        <v/>
      </c>
      <c r="H998" s="40" t="str">
        <f>IF($C998="","",IFERROR(VLOOKUP($C998,Orders!$A$4:$J$998,5,FALSE),""))</f>
        <v/>
      </c>
      <c r="I998" s="40" t="str">
        <f>IF($C998="","",IFERROR(VLOOKUP($C998,Orders!$A$4:$J$998,6,FALSE),""))</f>
        <v/>
      </c>
      <c r="J998" s="40" t="str">
        <f>IF($C998="","",IFERROR(VLOOKUP($C998,Orders!$A$4:$J$998,7,FALSE),""))</f>
        <v/>
      </c>
      <c r="K998" s="40" t="str">
        <f>IF(Bids!$C997="","",Bids!$C997)</f>
        <v/>
      </c>
      <c r="L998" s="40" t="str">
        <f>IF($K998="","",IFERROR(VLOOKUP($K998,Grinders!$A$4:$N$998,2,FALSE),""))</f>
        <v/>
      </c>
      <c r="M998" s="40" t="str">
        <f>IF($K998="","",IFERROR(VLOOKUP($K998,Grinders!$A$4:$N$998,3,FALSE),""))</f>
        <v/>
      </c>
      <c r="N998" s="40" t="str">
        <f>IF($K998="","",IFERROR(VLOOKUP($K998,Grinders!$A$4:$N$998,4,FALSE),""))</f>
        <v/>
      </c>
      <c r="O998" s="40" t="str">
        <f>IF($K998="","",IFERROR(VLOOKUP($K998,Grinders!$A$4:$N$998,5,FALSE),""))</f>
        <v/>
      </c>
      <c r="P998" s="40" t="str">
        <f>IF($K998="","",IF($C$4="",0,COUNTIFS(Assignments!$B$6:$B$1000,$K998,Assignments!$F$6:$F$1000,$C$4,Assignments!$E$6:$E$1000,"Active")))</f>
        <v/>
      </c>
      <c r="Q998" s="40" t="str">
        <f t="shared" si="3"/>
        <v/>
      </c>
      <c r="R998" s="40" t="str">
        <f t="shared" si="4"/>
        <v/>
      </c>
      <c r="S998" s="40" t="str">
        <f>IF($K998="","",IF($C$4="",0,COUNTIFS(Assignments!$B$6:$B$1000,$K998,Assignments!$F$6:$F$1000,$C$4,Assignments!$D$6:$D$1000,"&gt;="&amp;Config!$B$3-7,Assignments!$D$6:$D$1000,"&lt;="&amp;Config!$B$3)))</f>
        <v/>
      </c>
      <c r="T998" s="40" t="str">
        <f>IF($K998="","",IFERROR(VLOOKUP($K998,Grinders!$A$4:$N$998,8,FALSE),""))</f>
        <v/>
      </c>
      <c r="U998" s="40" t="str">
        <f>IFERROR(IF($K998="","",IF($M998="Elite",MAX(50,MIN(100,Config!$B$27*MAX(0,MIN(100,(1-IF($R998="",0,$R998))*100)) + Config!$B$28*MAX(0,MIN(100,(1-MIN(1,IF(Config!$B$30=0,1,$S998/Config!$B$30)))*100)) + Config!$B$29*MAX(0,MIN(100,MIN(1,IF($T998="",0,$T998)/Config!$B$23)*100)))),MIN(100,Config!$B$27*MAX(0,MIN(100,(1-IF($R998="",0,$R998))*100)) + Config!$B$28*MAX(0,MIN(100,(1-MIN(1,IF(Config!$B$30=0,1,$S998/Config!$B$30)))*100)) + Config!$B$29*MAX(0,MIN(100,MIN(1,IF($T998="",0,$T998)/Config!$B$23)*100))))),"")
</f>
        <v/>
      </c>
      <c r="V998" s="40" t="str">
        <f>IF(Bids!$D997="","",Bids!$D997)</f>
        <v/>
      </c>
      <c r="W998" s="40" t="str">
        <f>IF(Bids!$F997="","",Bids!$F997)</f>
        <v/>
      </c>
      <c r="X998" s="40" t="str">
        <f t="shared" si="5"/>
        <v/>
      </c>
      <c r="Y998" s="40" t="str">
        <f>IF($X998="","",IF(Config!$B$17=Config!$B$16,IF($X998&gt;=Config!$B$17,100,0),MAX(0,MIN(100,($X998-Config!$B$16)/(Config!$B$17-Config!$B$16)*100))))</f>
        <v/>
      </c>
      <c r="Z998" s="40">
        <f>IF($M998="Elite",Config!$B$21,0)</f>
        <v>0</v>
      </c>
      <c r="AA998" s="40" t="str">
        <f>IFERROR(IF(OR($W998="",$H998=""),"",IF($W998&gt;$H998,
  MAX(0, 60-(($W998-$H998)*24/Config!$B$19)*60),
  MIN(100, 60+(($H998-$W998)*24/Config!$B$20)*40)
)),"")
</f>
        <v/>
      </c>
      <c r="AB998" s="40" t="str">
        <f>IF($K998="","",IFERROR(VLOOKUP($K998,Grinders!$A$4:$N$998,10,FALSE)/5*100,""))</f>
        <v/>
      </c>
      <c r="AC998" s="40" t="str">
        <f>IF($K998="","",IFERROR(VLOOKUP($K998,Grinders!$A$4:$N$998,11,FALSE)*100,""))</f>
        <v/>
      </c>
      <c r="AD998" s="40" t="str">
        <f>IF($K998="","",IFERROR(VLOOKUP($K998,Grinders!$A$4:$N$998,12,FALSE)*100,""))</f>
        <v/>
      </c>
      <c r="AE998" s="40">
        <f>IFERROR(IFS(
    OR($C998="", $K998=""), 0,
    $F998=0, 0,
    $D998&lt;&gt;"Open", 0,
    COUNTIFS(GrinderServices!$B$4:$B$998, $K998, GrinderServices!$C$4:$C$998, $E998, GrinderServices!$E$4:$E$998, "Y")=0, 0,
    $X998&lt;Config!$B$16, 0,
    Config!$B$18=1, IF($O998&gt;=N998, 0, 1),
    TRUE, 1
), "")
</f>
        <v>0</v>
      </c>
      <c r="AF998" s="40" t="str">
        <f>IFERROR(IF($AE998=0,"",((Config!$B$6*$Y998 + Config!$B$7*$U998 + Config!$B$8*$Z998 + Config!$B$9*$AA998 + Config!$B$10*$AB998 + Config!$B$11*$AC998 - Config!$B$12*$AD998)/Config!$B$13)+$AK998+$AL998),"")</f>
        <v/>
      </c>
      <c r="AG998" s="40" t="str">
        <f t="shared" si="6"/>
        <v/>
      </c>
      <c r="AH998" s="40" t="str">
        <f t="shared" si="7"/>
        <v/>
      </c>
      <c r="AI998" s="40" t="str">
        <f t="shared" si="8"/>
        <v/>
      </c>
      <c r="AJ998" s="40" t="str">
        <f>IF($K998="","",COUNTIF(Assignments!$B$6:$B$1000,$K998))</f>
        <v/>
      </c>
      <c r="AK998" s="40" t="str">
        <f>IF($K998="","",IF(AND($AJ998=0,$O998&lt;$N998),Config!$B$43,0))</f>
        <v/>
      </c>
      <c r="AL998" s="40" t="str">
        <f>IF($K998="","",IF(AND($M998="Elite",$G998&gt;=Config!$B$41,$O998&lt;$N998),Config!$B$42,0))</f>
        <v/>
      </c>
      <c r="AM998" s="22"/>
    </row>
    <row r="999" ht="15.75" customHeight="1">
      <c r="A999" s="40" t="str">
        <f t="shared" si="1"/>
        <v/>
      </c>
      <c r="B999" s="40" t="str">
        <f>IF(Bids!$A998="","",Bids!$A998)</f>
        <v/>
      </c>
      <c r="C999" s="40" t="str">
        <f>IF(Bids!$B998="","",Bids!$B998)</f>
        <v/>
      </c>
      <c r="D999" s="40" t="str">
        <f>IF($C999="","",IFERROR(VLOOKUP($C999,Orders!$A$4:$J$998,9,FALSE),""))</f>
        <v/>
      </c>
      <c r="E999" s="40" t="str">
        <f>IF($C999="","",IFERROR(VLOOKUP($C999,Orders!$A$4:$J$998,3,FALSE),""))</f>
        <v/>
      </c>
      <c r="F999" s="40">
        <f t="shared" si="2"/>
        <v>1</v>
      </c>
      <c r="G999" s="40" t="str">
        <f>IF($C999="","",IFERROR(VLOOKUP($C999,Orders!$A$4:$J$998,4,FALSE),""))</f>
        <v/>
      </c>
      <c r="H999" s="40" t="str">
        <f>IF($C999="","",IFERROR(VLOOKUP($C999,Orders!$A$4:$J$998,5,FALSE),""))</f>
        <v/>
      </c>
      <c r="I999" s="40" t="str">
        <f>IF($C999="","",IFERROR(VLOOKUP($C999,Orders!$A$4:$J$998,6,FALSE),""))</f>
        <v/>
      </c>
      <c r="J999" s="40" t="str">
        <f>IF($C999="","",IFERROR(VLOOKUP($C999,Orders!$A$4:$J$998,7,FALSE),""))</f>
        <v/>
      </c>
      <c r="K999" s="40" t="str">
        <f>IF(Bids!$C998="","",Bids!$C998)</f>
        <v/>
      </c>
      <c r="L999" s="40" t="str">
        <f>IF($K999="","",IFERROR(VLOOKUP($K999,Grinders!$A$4:$N$998,2,FALSE),""))</f>
        <v/>
      </c>
      <c r="M999" s="40" t="str">
        <f>IF($K999="","",IFERROR(VLOOKUP($K999,Grinders!$A$4:$N$998,3,FALSE),""))</f>
        <v/>
      </c>
      <c r="N999" s="40" t="str">
        <f>IF($K999="","",IFERROR(VLOOKUP($K999,Grinders!$A$4:$N$998,4,FALSE),""))</f>
        <v/>
      </c>
      <c r="O999" s="40" t="str">
        <f>IF($K999="","",IFERROR(VLOOKUP($K999,Grinders!$A$4:$N$998,5,FALSE),""))</f>
        <v/>
      </c>
      <c r="P999" s="40" t="str">
        <f>IF($K999="","",IF($C$4="",0,COUNTIFS(Assignments!$B$6:$B$1000,$K999,Assignments!$F$6:$F$1000,$C$4,Assignments!$E$6:$E$1000,"Active")))</f>
        <v/>
      </c>
      <c r="Q999" s="40" t="str">
        <f t="shared" si="3"/>
        <v/>
      </c>
      <c r="R999" s="40" t="str">
        <f t="shared" si="4"/>
        <v/>
      </c>
      <c r="S999" s="40" t="str">
        <f>IF($K999="","",IF($C$4="",0,COUNTIFS(Assignments!$B$6:$B$1000,$K999,Assignments!$F$6:$F$1000,$C$4,Assignments!$D$6:$D$1000,"&gt;="&amp;Config!$B$3-7,Assignments!$D$6:$D$1000,"&lt;="&amp;Config!$B$3)))</f>
        <v/>
      </c>
      <c r="T999" s="40" t="str">
        <f>IF($K999="","",IFERROR(VLOOKUP($K999,Grinders!$A$4:$N$998,8,FALSE),""))</f>
        <v/>
      </c>
      <c r="U999" s="40" t="str">
        <f>IFERROR(IF($K999="","",IF($M999="Elite",MAX(50,MIN(100,Config!$B$27*MAX(0,MIN(100,(1-IF($R999="",0,$R999))*100)) + Config!$B$28*MAX(0,MIN(100,(1-MIN(1,IF(Config!$B$30=0,1,$S999/Config!$B$30)))*100)) + Config!$B$29*MAX(0,MIN(100,MIN(1,IF($T999="",0,$T999)/Config!$B$23)*100)))),MIN(100,Config!$B$27*MAX(0,MIN(100,(1-IF($R999="",0,$R999))*100)) + Config!$B$28*MAX(0,MIN(100,(1-MIN(1,IF(Config!$B$30=0,1,$S999/Config!$B$30)))*100)) + Config!$B$29*MAX(0,MIN(100,MIN(1,IF($T999="",0,$T999)/Config!$B$23)*100))))),"")
</f>
        <v/>
      </c>
      <c r="V999" s="40" t="str">
        <f>IF(Bids!$D998="","",Bids!$D998)</f>
        <v/>
      </c>
      <c r="W999" s="40" t="str">
        <f>IF(Bids!$F998="","",Bids!$F998)</f>
        <v/>
      </c>
      <c r="X999" s="40" t="str">
        <f t="shared" si="5"/>
        <v/>
      </c>
      <c r="Y999" s="40" t="str">
        <f>IF($X999="","",IF(Config!$B$17=Config!$B$16,IF($X999&gt;=Config!$B$17,100,0),MAX(0,MIN(100,($X999-Config!$B$16)/(Config!$B$17-Config!$B$16)*100))))</f>
        <v/>
      </c>
      <c r="Z999" s="40">
        <f>IF($M999="Elite",Config!$B$21,0)</f>
        <v>0</v>
      </c>
      <c r="AA999" s="40" t="str">
        <f>IFERROR(IF(OR($W999="",$H999=""),"",IF($W999&gt;$H999,
  MAX(0, 60-(($W999-$H999)*24/Config!$B$19)*60),
  MIN(100, 60+(($H999-$W999)*24/Config!$B$20)*40)
)),"")
</f>
        <v/>
      </c>
      <c r="AB999" s="40" t="str">
        <f>IF($K999="","",IFERROR(VLOOKUP($K999,Grinders!$A$4:$N$998,10,FALSE)/5*100,""))</f>
        <v/>
      </c>
      <c r="AC999" s="40" t="str">
        <f>IF($K999="","",IFERROR(VLOOKUP($K999,Grinders!$A$4:$N$998,11,FALSE)*100,""))</f>
        <v/>
      </c>
      <c r="AD999" s="40" t="str">
        <f>IF($K999="","",IFERROR(VLOOKUP($K999,Grinders!$A$4:$N$998,12,FALSE)*100,""))</f>
        <v/>
      </c>
      <c r="AE999" s="40">
        <f>IFERROR(IFS(
    OR($C999="", $K999=""), 0,
    $F999=0, 0,
    $D999&lt;&gt;"Open", 0,
    COUNTIFS(GrinderServices!$B$4:$B$998, $K999, GrinderServices!$C$4:$C$998, $E999, GrinderServices!$E$4:$E$998, "Y")=0, 0,
    $X999&lt;Config!$B$16, 0,
    Config!$B$18=1, IF($O999&gt;=N999, 0, 1),
    TRUE, 1
), "")
</f>
        <v>0</v>
      </c>
      <c r="AF999" s="40" t="str">
        <f>IFERROR(IF($AE999=0,"",((Config!$B$6*$Y999 + Config!$B$7*$U999 + Config!$B$8*$Z999 + Config!$B$9*$AA999 + Config!$B$10*$AB999 + Config!$B$11*$AC999 - Config!$B$12*$AD999)/Config!$B$13)+$AK999+$AL999),"")</f>
        <v/>
      </c>
      <c r="AG999" s="40" t="str">
        <f t="shared" si="6"/>
        <v/>
      </c>
      <c r="AH999" s="40" t="str">
        <f t="shared" si="7"/>
        <v/>
      </c>
      <c r="AI999" s="40" t="str">
        <f t="shared" si="8"/>
        <v/>
      </c>
      <c r="AJ999" s="40" t="str">
        <f>IF($K999="","",COUNTIF(Assignments!$B$6:$B$1000,$K999))</f>
        <v/>
      </c>
      <c r="AK999" s="40" t="str">
        <f>IF($K999="","",IF(AND($AJ999=0,$O999&lt;$N999),Config!$B$43,0))</f>
        <v/>
      </c>
      <c r="AL999" s="40" t="str">
        <f>IF($K999="","",IF(AND($M999="Elite",$G999&gt;=Config!$B$41,$O999&lt;$N999),Config!$B$42,0))</f>
        <v/>
      </c>
      <c r="AM999" s="22"/>
    </row>
    <row r="1000" ht="15.75" customHeight="1">
      <c r="A1000" s="40" t="str">
        <f t="shared" si="1"/>
        <v/>
      </c>
      <c r="B1000" s="40" t="str">
        <f>IF(Bids!$A999="","",Bids!$A999)</f>
        <v/>
      </c>
      <c r="C1000" s="40" t="str">
        <f>IF(Bids!$B999="","",Bids!$B999)</f>
        <v/>
      </c>
      <c r="D1000" s="40" t="str">
        <f>IF($C1000="","",IFERROR(VLOOKUP($C1000,Orders!$A$4:$J$998,9,FALSE),""))</f>
        <v/>
      </c>
      <c r="E1000" s="40" t="str">
        <f>IF($C1000="","",IFERROR(VLOOKUP($C1000,Orders!$A$4:$J$998,3,FALSE),""))</f>
        <v/>
      </c>
      <c r="F1000" s="40">
        <f t="shared" si="2"/>
        <v>1</v>
      </c>
      <c r="G1000" s="40" t="str">
        <f>IF($C1000="","",IFERROR(VLOOKUP($C1000,Orders!$A$4:$J$998,4,FALSE),""))</f>
        <v/>
      </c>
      <c r="H1000" s="40" t="str">
        <f>IF($C1000="","",IFERROR(VLOOKUP($C1000,Orders!$A$4:$J$998,5,FALSE),""))</f>
        <v/>
      </c>
      <c r="I1000" s="40" t="str">
        <f>IF($C1000="","",IFERROR(VLOOKUP($C1000,Orders!$A$4:$J$998,6,FALSE),""))</f>
        <v/>
      </c>
      <c r="J1000" s="40" t="str">
        <f>IF($C1000="","",IFERROR(VLOOKUP($C1000,Orders!$A$4:$J$998,7,FALSE),""))</f>
        <v/>
      </c>
      <c r="K1000" s="40" t="str">
        <f>IF(Bids!$C999="","",Bids!$C999)</f>
        <v/>
      </c>
      <c r="L1000" s="40" t="str">
        <f>IF($K1000="","",IFERROR(VLOOKUP($K1000,Grinders!$A$4:$N$998,2,FALSE),""))</f>
        <v/>
      </c>
      <c r="M1000" s="40" t="str">
        <f>IF($K1000="","",IFERROR(VLOOKUP($K1000,Grinders!$A$4:$N$998,3,FALSE),""))</f>
        <v/>
      </c>
      <c r="N1000" s="40" t="str">
        <f>IF($K1000="","",IFERROR(VLOOKUP($K1000,Grinders!$A$4:$N$998,4,FALSE),""))</f>
        <v/>
      </c>
      <c r="O1000" s="40" t="str">
        <f>IF($K1000="","",IFERROR(VLOOKUP($K1000,Grinders!$A$4:$N$998,5,FALSE),""))</f>
        <v/>
      </c>
      <c r="P1000" s="40" t="str">
        <f>IF($K1000="","",IF($C$4="",0,COUNTIFS(Assignments!$B$6:$B$1000,$K1000,Assignments!$F$6:$F$1000,$C$4,Assignments!$E$6:$E$1000,"Active")))</f>
        <v/>
      </c>
      <c r="Q1000" s="40" t="str">
        <f t="shared" si="3"/>
        <v/>
      </c>
      <c r="R1000" s="40" t="str">
        <f t="shared" si="4"/>
        <v/>
      </c>
      <c r="S1000" s="40" t="str">
        <f>IF($K1000="","",IF($C$4="",0,COUNTIFS(Assignments!$B$6:$B$1000,$K1000,Assignments!$F$6:$F$1000,$C$4,Assignments!$D$6:$D$1000,"&gt;="&amp;Config!$B$3-7,Assignments!$D$6:$D$1000,"&lt;="&amp;Config!$B$3)))</f>
        <v/>
      </c>
      <c r="T1000" s="40" t="str">
        <f>IF($K1000="","",IFERROR(VLOOKUP($K1000,Grinders!$A$4:$N$998,8,FALSE),""))</f>
        <v/>
      </c>
      <c r="U1000" s="40" t="str">
        <f>IFERROR(IF($K1000="","",IF($M1000="Elite",MAX(50,MIN(100,Config!$B$27*MAX(0,MIN(100,(1-IF($R1000="",0,$R1000))*100)) + Config!$B$28*MAX(0,MIN(100,(1-MIN(1,IF(Config!$B$30=0,1,$S1000/Config!$B$30)))*100)) + Config!$B$29*MAX(0,MIN(100,MIN(1,IF($T1000="",0,$T1000)/Config!$B$23)*100)))),MIN(100,Config!$B$27*MAX(0,MIN(100,(1-IF($R1000="",0,$R1000))*100)) + Config!$B$28*MAX(0,MIN(100,(1-MIN(1,IF(Config!$B$30=0,1,$S1000/Config!$B$30)))*100)) + Config!$B$29*MAX(0,MIN(100,MIN(1,IF($T1000="",0,$T1000)/Config!$B$23)*100))))),"")
</f>
        <v/>
      </c>
      <c r="V1000" s="40" t="str">
        <f>IF(Bids!$D999="","",Bids!$D999)</f>
        <v/>
      </c>
      <c r="W1000" s="40" t="str">
        <f>IF(Bids!$F999="","",Bids!$F999)</f>
        <v/>
      </c>
      <c r="X1000" s="40" t="str">
        <f t="shared" si="5"/>
        <v/>
      </c>
      <c r="Y1000" s="40" t="str">
        <f>IF($X1000="","",IF(Config!$B$17=Config!$B$16,IF($X1000&gt;=Config!$B$17,100,0),MAX(0,MIN(100,($X1000-Config!$B$16)/(Config!$B$17-Config!$B$16)*100))))</f>
        <v/>
      </c>
      <c r="Z1000" s="40">
        <f>IF($M1000="Elite",Config!$B$21,0)</f>
        <v>0</v>
      </c>
      <c r="AA1000" s="40" t="str">
        <f>IFERROR(IF(OR($W1000="",$H1000=""),"",IF($W1000&gt;$H1000,
  MAX(0, 60-(($W1000-$H1000)*24/Config!$B$19)*60),
  MIN(100, 60+(($H1000-$W1000)*24/Config!$B$20)*40)
)),"")
</f>
        <v/>
      </c>
      <c r="AB1000" s="40" t="str">
        <f>IF($K1000="","",IFERROR(VLOOKUP($K1000,Grinders!$A$4:$N$998,10,FALSE)/5*100,""))</f>
        <v/>
      </c>
      <c r="AC1000" s="40" t="str">
        <f>IF($K1000="","",IFERROR(VLOOKUP($K1000,Grinders!$A$4:$N$998,11,FALSE)*100,""))</f>
        <v/>
      </c>
      <c r="AD1000" s="40" t="str">
        <f>IF($K1000="","",IFERROR(VLOOKUP($K1000,Grinders!$A$4:$N$998,12,FALSE)*100,""))</f>
        <v/>
      </c>
      <c r="AE1000" s="40">
        <f>IFERROR(IFS(
    OR($C1000="", $K1000=""), 0,
    $F1000=0, 0,
    $D1000&lt;&gt;"Open", 0,
    COUNTIFS(GrinderServices!$B$4:$B$998, $K1000, GrinderServices!$C$4:$C$998, $E1000, GrinderServices!$E$4:$E$998, "Y")=0, 0,
    $X1000&lt;Config!$B$16, 0,
    Config!$B$18=1, IF($O1000&gt;=N1000, 0, 1),
    TRUE, 1
), "")
</f>
        <v>0</v>
      </c>
      <c r="AF1000" s="40" t="str">
        <f>IFERROR(IF($AE1000=0,"",((Config!$B$6*$Y1000 + Config!$B$7*$U1000 + Config!$B$8*$Z1000 + Config!$B$9*$AA1000 + Config!$B$10*$AB1000 + Config!$B$11*$AC1000 - Config!$B$12*$AD1000)/Config!$B$13)+$AK1000+$AL1000),"")</f>
        <v/>
      </c>
      <c r="AG1000" s="40" t="str">
        <f t="shared" si="6"/>
        <v/>
      </c>
      <c r="AH1000" s="40" t="str">
        <f t="shared" si="7"/>
        <v/>
      </c>
      <c r="AI1000" s="40" t="str">
        <f t="shared" si="8"/>
        <v/>
      </c>
      <c r="AJ1000" s="40" t="str">
        <f>IF($K1000="","",COUNTIF(Assignments!$B$6:$B$1000,$K1000))</f>
        <v/>
      </c>
      <c r="AK1000" s="40" t="str">
        <f>IF($K1000="","",IF(AND($AJ1000=0,$O1000&lt;$N1000),Config!$B$43,0))</f>
        <v/>
      </c>
      <c r="AL1000" s="40" t="str">
        <f>IF($K1000="","",IF(AND($M1000="Elite",$G1000&gt;=Config!$B$41,$O1000&lt;$N1000),Config!$B$42,0))</f>
        <v/>
      </c>
      <c r="AM1000" s="22"/>
    </row>
  </sheetData>
  <autoFilter ref="$A$6:$AF$206"/>
  <conditionalFormatting sqref="A7:T206 U7:U1000 V7:Z206 AA7:AA1000 AB7:AD206 AE7:AE1000 AF7:AG206">
    <cfRule type="expression" dxfId="1" priority="1">
      <formula>$AG7="WINNER"</formula>
    </cfRule>
  </conditionalFormatting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18.0"/>
    <col customWidth="1" min="3" max="6" width="8.71"/>
  </cols>
  <sheetData>
    <row r="1">
      <c r="A1" s="37" t="s">
        <v>373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52" t="s">
        <v>374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40" t="s">
        <v>375</v>
      </c>
      <c r="B4" s="40">
        <f>COUNTIF(Orders!$I$4:$I$303,"Open")</f>
        <v>1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40" t="s">
        <v>376</v>
      </c>
      <c r="B5" s="40">
        <f>COUNTIF(Assignments!$E$6:$E$305,"Active")</f>
        <v>1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53" t="s">
        <v>377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22"/>
      <c r="B221" s="22"/>
      <c r="C221" s="22"/>
      <c r="D221" s="22"/>
      <c r="E221" s="22"/>
      <c r="F221" s="22"/>
    </row>
    <row r="222" ht="15.75" customHeight="1">
      <c r="A222" s="22"/>
      <c r="B222" s="22"/>
      <c r="C222" s="22"/>
      <c r="D222" s="22"/>
      <c r="E222" s="22"/>
      <c r="F222" s="22"/>
    </row>
    <row r="223" ht="15.75" customHeight="1">
      <c r="A223" s="22"/>
      <c r="B223" s="22"/>
      <c r="C223" s="22"/>
      <c r="D223" s="22"/>
      <c r="E223" s="22"/>
      <c r="F223" s="22"/>
    </row>
    <row r="224" ht="15.75" customHeight="1">
      <c r="A224" s="22"/>
      <c r="B224" s="22"/>
      <c r="C224" s="22"/>
      <c r="D224" s="22"/>
      <c r="E224" s="22"/>
      <c r="F224" s="22"/>
    </row>
    <row r="225" ht="15.75" customHeight="1">
      <c r="A225" s="22"/>
      <c r="B225" s="22"/>
      <c r="C225" s="22"/>
      <c r="D225" s="22"/>
      <c r="E225" s="22"/>
      <c r="F225" s="22"/>
    </row>
    <row r="226" ht="15.75" customHeight="1">
      <c r="A226" s="22"/>
      <c r="B226" s="22"/>
      <c r="C226" s="22"/>
      <c r="D226" s="22"/>
      <c r="E226" s="22"/>
      <c r="F226" s="22"/>
    </row>
    <row r="227" ht="15.75" customHeight="1">
      <c r="A227" s="22"/>
      <c r="B227" s="22"/>
      <c r="C227" s="22"/>
      <c r="D227" s="22"/>
      <c r="E227" s="22"/>
      <c r="F227" s="22"/>
    </row>
    <row r="228" ht="15.75" customHeight="1">
      <c r="A228" s="22"/>
      <c r="B228" s="22"/>
      <c r="C228" s="22"/>
      <c r="D228" s="22"/>
      <c r="E228" s="22"/>
      <c r="F228" s="22"/>
    </row>
    <row r="229" ht="15.75" customHeight="1">
      <c r="A229" s="22"/>
      <c r="B229" s="22"/>
      <c r="C229" s="22"/>
      <c r="D229" s="22"/>
      <c r="E229" s="22"/>
      <c r="F229" s="22"/>
    </row>
    <row r="230" ht="15.75" customHeight="1">
      <c r="A230" s="22"/>
      <c r="B230" s="22"/>
      <c r="C230" s="22"/>
      <c r="D230" s="22"/>
      <c r="E230" s="22"/>
      <c r="F230" s="22"/>
    </row>
    <row r="231" ht="15.75" customHeight="1">
      <c r="A231" s="22"/>
      <c r="B231" s="22"/>
      <c r="C231" s="22"/>
      <c r="D231" s="22"/>
      <c r="E231" s="22"/>
      <c r="F231" s="22"/>
    </row>
    <row r="232" ht="15.75" customHeight="1">
      <c r="A232" s="22"/>
      <c r="B232" s="22"/>
      <c r="C232" s="22"/>
      <c r="D232" s="22"/>
      <c r="E232" s="22"/>
      <c r="F232" s="22"/>
    </row>
    <row r="233" ht="15.75" customHeight="1">
      <c r="A233" s="22"/>
      <c r="B233" s="22"/>
      <c r="C233" s="22"/>
      <c r="D233" s="22"/>
      <c r="E233" s="22"/>
      <c r="F233" s="22"/>
    </row>
    <row r="234" ht="15.75" customHeight="1">
      <c r="A234" s="22"/>
      <c r="B234" s="22"/>
      <c r="C234" s="22"/>
      <c r="D234" s="22"/>
      <c r="E234" s="22"/>
      <c r="F234" s="22"/>
    </row>
    <row r="235" ht="15.75" customHeight="1">
      <c r="A235" s="22"/>
      <c r="B235" s="22"/>
      <c r="C235" s="22"/>
      <c r="D235" s="22"/>
      <c r="E235" s="22"/>
      <c r="F235" s="22"/>
    </row>
    <row r="236" ht="15.75" customHeight="1">
      <c r="A236" s="22"/>
      <c r="B236" s="22"/>
      <c r="C236" s="22"/>
      <c r="D236" s="22"/>
      <c r="E236" s="22"/>
      <c r="F236" s="22"/>
    </row>
    <row r="237" ht="15.75" customHeight="1">
      <c r="A237" s="22"/>
      <c r="B237" s="22"/>
      <c r="C237" s="22"/>
      <c r="D237" s="22"/>
      <c r="E237" s="22"/>
      <c r="F237" s="22"/>
    </row>
    <row r="238" ht="15.75" customHeight="1">
      <c r="A238" s="22"/>
      <c r="B238" s="22"/>
      <c r="C238" s="22"/>
      <c r="D238" s="22"/>
      <c r="E238" s="22"/>
      <c r="F238" s="22"/>
    </row>
    <row r="239" ht="15.75" customHeight="1">
      <c r="A239" s="22"/>
      <c r="B239" s="22"/>
      <c r="C239" s="22"/>
      <c r="D239" s="22"/>
      <c r="E239" s="22"/>
      <c r="F239" s="22"/>
    </row>
    <row r="240" ht="15.75" customHeight="1">
      <c r="A240" s="22"/>
      <c r="B240" s="22"/>
      <c r="C240" s="22"/>
      <c r="D240" s="22"/>
      <c r="E240" s="22"/>
      <c r="F240" s="22"/>
    </row>
    <row r="241" ht="15.75" customHeight="1">
      <c r="A241" s="22"/>
      <c r="B241" s="22"/>
      <c r="C241" s="22"/>
      <c r="D241" s="22"/>
      <c r="E241" s="22"/>
      <c r="F241" s="22"/>
    </row>
    <row r="242" ht="15.75" customHeight="1">
      <c r="A242" s="22"/>
      <c r="B242" s="22"/>
      <c r="C242" s="22"/>
      <c r="D242" s="22"/>
      <c r="E242" s="22"/>
      <c r="F242" s="22"/>
    </row>
    <row r="243" ht="15.75" customHeight="1">
      <c r="A243" s="22"/>
      <c r="B243" s="22"/>
      <c r="C243" s="22"/>
      <c r="D243" s="22"/>
      <c r="E243" s="22"/>
      <c r="F243" s="22"/>
    </row>
    <row r="244" ht="15.75" customHeight="1">
      <c r="A244" s="22"/>
      <c r="B244" s="22"/>
      <c r="C244" s="22"/>
      <c r="D244" s="22"/>
      <c r="E244" s="22"/>
      <c r="F244" s="22"/>
    </row>
    <row r="245" ht="15.75" customHeight="1">
      <c r="A245" s="22"/>
      <c r="B245" s="22"/>
      <c r="C245" s="22"/>
      <c r="D245" s="22"/>
      <c r="E245" s="22"/>
      <c r="F245" s="22"/>
    </row>
    <row r="246" ht="15.75" customHeight="1">
      <c r="A246" s="22"/>
      <c r="B246" s="22"/>
      <c r="C246" s="22"/>
      <c r="D246" s="22"/>
      <c r="E246" s="22"/>
      <c r="F246" s="22"/>
    </row>
    <row r="247" ht="15.75" customHeight="1">
      <c r="A247" s="22"/>
      <c r="B247" s="22"/>
      <c r="C247" s="22"/>
      <c r="D247" s="22"/>
      <c r="E247" s="22"/>
      <c r="F247" s="22"/>
    </row>
    <row r="248" ht="15.75" customHeight="1">
      <c r="A248" s="22"/>
      <c r="B248" s="22"/>
      <c r="C248" s="22"/>
      <c r="D248" s="22"/>
      <c r="E248" s="22"/>
      <c r="F248" s="22"/>
    </row>
    <row r="249" ht="15.75" customHeight="1">
      <c r="A249" s="22"/>
      <c r="B249" s="22"/>
      <c r="C249" s="22"/>
      <c r="D249" s="22"/>
      <c r="E249" s="22"/>
      <c r="F249" s="22"/>
    </row>
    <row r="250" ht="15.75" customHeight="1">
      <c r="A250" s="22"/>
      <c r="B250" s="22"/>
      <c r="C250" s="22"/>
      <c r="D250" s="22"/>
      <c r="E250" s="22"/>
      <c r="F250" s="22"/>
    </row>
    <row r="251" ht="15.75" customHeight="1">
      <c r="A251" s="22"/>
      <c r="B251" s="22"/>
      <c r="C251" s="22"/>
      <c r="D251" s="22"/>
      <c r="E251" s="22"/>
      <c r="F251" s="22"/>
    </row>
    <row r="252" ht="15.75" customHeight="1">
      <c r="A252" s="22"/>
      <c r="B252" s="22"/>
      <c r="C252" s="22"/>
      <c r="D252" s="22"/>
      <c r="E252" s="22"/>
      <c r="F252" s="22"/>
    </row>
    <row r="253" ht="15.75" customHeight="1">
      <c r="A253" s="22"/>
      <c r="B253" s="22"/>
      <c r="C253" s="22"/>
      <c r="D253" s="22"/>
      <c r="E253" s="22"/>
      <c r="F253" s="22"/>
    </row>
    <row r="254" ht="15.75" customHeight="1">
      <c r="A254" s="22"/>
      <c r="B254" s="22"/>
      <c r="C254" s="22"/>
      <c r="D254" s="22"/>
      <c r="E254" s="22"/>
      <c r="F254" s="22"/>
    </row>
    <row r="255" ht="15.75" customHeight="1">
      <c r="A255" s="22"/>
      <c r="B255" s="22"/>
      <c r="C255" s="22"/>
      <c r="D255" s="22"/>
      <c r="E255" s="22"/>
      <c r="F255" s="22"/>
    </row>
    <row r="256" ht="15.75" customHeight="1">
      <c r="A256" s="22"/>
      <c r="B256" s="22"/>
      <c r="C256" s="22"/>
      <c r="D256" s="22"/>
      <c r="E256" s="22"/>
      <c r="F256" s="22"/>
    </row>
    <row r="257" ht="15.75" customHeight="1">
      <c r="A257" s="22"/>
      <c r="B257" s="22"/>
      <c r="C257" s="22"/>
      <c r="D257" s="22"/>
      <c r="E257" s="22"/>
      <c r="F257" s="22"/>
    </row>
    <row r="258" ht="15.75" customHeight="1">
      <c r="A258" s="22"/>
      <c r="B258" s="22"/>
      <c r="C258" s="22"/>
      <c r="D258" s="22"/>
      <c r="E258" s="22"/>
      <c r="F258" s="22"/>
    </row>
    <row r="259" ht="15.75" customHeight="1">
      <c r="A259" s="22"/>
      <c r="B259" s="22"/>
      <c r="C259" s="22"/>
      <c r="D259" s="22"/>
      <c r="E259" s="22"/>
      <c r="F259" s="22"/>
    </row>
    <row r="260" ht="15.75" customHeight="1">
      <c r="A260" s="22"/>
      <c r="B260" s="22"/>
      <c r="C260" s="22"/>
      <c r="D260" s="22"/>
      <c r="E260" s="22"/>
      <c r="F260" s="22"/>
    </row>
    <row r="261" ht="15.75" customHeight="1">
      <c r="A261" s="22"/>
      <c r="B261" s="22"/>
      <c r="C261" s="22"/>
      <c r="D261" s="22"/>
      <c r="E261" s="22"/>
      <c r="F261" s="22"/>
    </row>
    <row r="262" ht="15.75" customHeight="1">
      <c r="A262" s="22"/>
      <c r="B262" s="22"/>
      <c r="C262" s="22"/>
      <c r="D262" s="22"/>
      <c r="E262" s="22"/>
      <c r="F262" s="22"/>
    </row>
    <row r="263" ht="15.75" customHeight="1">
      <c r="A263" s="22"/>
      <c r="B263" s="22"/>
      <c r="C263" s="22"/>
      <c r="D263" s="22"/>
      <c r="E263" s="22"/>
      <c r="F263" s="22"/>
    </row>
    <row r="264" ht="15.75" customHeight="1">
      <c r="A264" s="22"/>
      <c r="B264" s="22"/>
      <c r="C264" s="22"/>
      <c r="D264" s="22"/>
      <c r="E264" s="22"/>
      <c r="F264" s="22"/>
    </row>
    <row r="265" ht="15.75" customHeight="1">
      <c r="A265" s="22"/>
      <c r="B265" s="22"/>
      <c r="C265" s="22"/>
      <c r="D265" s="22"/>
      <c r="E265" s="22"/>
      <c r="F265" s="22"/>
    </row>
    <row r="266" ht="15.75" customHeight="1">
      <c r="A266" s="22"/>
      <c r="B266" s="22"/>
      <c r="C266" s="22"/>
      <c r="D266" s="22"/>
      <c r="E266" s="22"/>
      <c r="F266" s="22"/>
    </row>
    <row r="267" ht="15.75" customHeight="1">
      <c r="A267" s="22"/>
      <c r="B267" s="22"/>
      <c r="C267" s="22"/>
      <c r="D267" s="22"/>
      <c r="E267" s="22"/>
      <c r="F267" s="22"/>
    </row>
    <row r="268" ht="15.75" customHeight="1">
      <c r="A268" s="22"/>
      <c r="B268" s="22"/>
      <c r="C268" s="22"/>
      <c r="D268" s="22"/>
      <c r="E268" s="22"/>
      <c r="F268" s="22"/>
    </row>
    <row r="269" ht="15.75" customHeight="1">
      <c r="A269" s="22"/>
      <c r="B269" s="22"/>
      <c r="C269" s="22"/>
      <c r="D269" s="22"/>
      <c r="E269" s="22"/>
      <c r="F269" s="22"/>
    </row>
    <row r="270" ht="15.75" customHeight="1">
      <c r="A270" s="22"/>
      <c r="B270" s="22"/>
      <c r="C270" s="22"/>
      <c r="D270" s="22"/>
      <c r="E270" s="22"/>
      <c r="F270" s="22"/>
    </row>
    <row r="271" ht="15.75" customHeight="1">
      <c r="A271" s="22"/>
      <c r="B271" s="22"/>
      <c r="C271" s="22"/>
      <c r="D271" s="22"/>
      <c r="E271" s="22"/>
      <c r="F271" s="22"/>
    </row>
    <row r="272" ht="15.75" customHeight="1">
      <c r="A272" s="22"/>
      <c r="B272" s="22"/>
      <c r="C272" s="22"/>
      <c r="D272" s="22"/>
      <c r="E272" s="22"/>
      <c r="F272" s="22"/>
    </row>
    <row r="273" ht="15.75" customHeight="1">
      <c r="A273" s="22"/>
      <c r="B273" s="22"/>
      <c r="C273" s="22"/>
      <c r="D273" s="22"/>
      <c r="E273" s="22"/>
      <c r="F273" s="22"/>
    </row>
    <row r="274" ht="15.75" customHeight="1">
      <c r="A274" s="22"/>
      <c r="B274" s="22"/>
      <c r="C274" s="22"/>
      <c r="D274" s="22"/>
      <c r="E274" s="22"/>
      <c r="F274" s="22"/>
    </row>
    <row r="275" ht="15.75" customHeight="1">
      <c r="A275" s="22"/>
      <c r="B275" s="22"/>
      <c r="C275" s="22"/>
      <c r="D275" s="22"/>
      <c r="E275" s="22"/>
      <c r="F275" s="22"/>
    </row>
    <row r="276" ht="15.75" customHeight="1">
      <c r="A276" s="22"/>
      <c r="B276" s="22"/>
      <c r="C276" s="22"/>
      <c r="D276" s="22"/>
      <c r="E276" s="22"/>
      <c r="F276" s="22"/>
    </row>
    <row r="277" ht="15.75" customHeight="1">
      <c r="A277" s="22"/>
      <c r="B277" s="22"/>
      <c r="C277" s="22"/>
      <c r="D277" s="22"/>
      <c r="E277" s="22"/>
      <c r="F277" s="22"/>
    </row>
    <row r="278" ht="15.75" customHeight="1">
      <c r="A278" s="22"/>
      <c r="B278" s="22"/>
      <c r="C278" s="22"/>
      <c r="D278" s="22"/>
      <c r="E278" s="22"/>
      <c r="F278" s="22"/>
    </row>
    <row r="279" ht="15.75" customHeight="1">
      <c r="A279" s="22"/>
      <c r="B279" s="22"/>
      <c r="C279" s="22"/>
      <c r="D279" s="22"/>
      <c r="E279" s="22"/>
      <c r="F279" s="22"/>
    </row>
    <row r="280" ht="15.75" customHeight="1">
      <c r="A280" s="22"/>
      <c r="B280" s="22"/>
      <c r="C280" s="22"/>
      <c r="D280" s="22"/>
      <c r="E280" s="22"/>
      <c r="F280" s="22"/>
    </row>
    <row r="281" ht="15.75" customHeight="1">
      <c r="A281" s="22"/>
      <c r="B281" s="22"/>
      <c r="C281" s="22"/>
      <c r="D281" s="22"/>
      <c r="E281" s="22"/>
      <c r="F281" s="22"/>
    </row>
    <row r="282" ht="15.75" customHeight="1">
      <c r="A282" s="22"/>
      <c r="B282" s="22"/>
      <c r="C282" s="22"/>
      <c r="D282" s="22"/>
      <c r="E282" s="22"/>
      <c r="F282" s="22"/>
    </row>
    <row r="283" ht="15.75" customHeight="1">
      <c r="A283" s="22"/>
      <c r="B283" s="22"/>
      <c r="C283" s="22"/>
      <c r="D283" s="22"/>
      <c r="E283" s="22"/>
      <c r="F283" s="22"/>
    </row>
    <row r="284" ht="15.75" customHeight="1">
      <c r="A284" s="22"/>
      <c r="B284" s="22"/>
      <c r="C284" s="22"/>
      <c r="D284" s="22"/>
      <c r="E284" s="22"/>
      <c r="F284" s="22"/>
    </row>
    <row r="285" ht="15.75" customHeight="1">
      <c r="A285" s="22"/>
      <c r="B285" s="22"/>
      <c r="C285" s="22"/>
      <c r="D285" s="22"/>
      <c r="E285" s="22"/>
      <c r="F285" s="22"/>
    </row>
    <row r="286" ht="15.75" customHeight="1">
      <c r="A286" s="22"/>
      <c r="B286" s="22"/>
      <c r="C286" s="22"/>
      <c r="D286" s="22"/>
      <c r="E286" s="22"/>
      <c r="F286" s="22"/>
    </row>
    <row r="287" ht="15.75" customHeight="1">
      <c r="A287" s="22"/>
      <c r="B287" s="22"/>
      <c r="C287" s="22"/>
      <c r="D287" s="22"/>
      <c r="E287" s="22"/>
      <c r="F287" s="22"/>
    </row>
    <row r="288" ht="15.75" customHeight="1">
      <c r="A288" s="22"/>
      <c r="B288" s="22"/>
      <c r="C288" s="22"/>
      <c r="D288" s="22"/>
      <c r="E288" s="22"/>
      <c r="F288" s="22"/>
    </row>
    <row r="289" ht="15.75" customHeight="1">
      <c r="A289" s="22"/>
      <c r="B289" s="22"/>
      <c r="C289" s="22"/>
      <c r="D289" s="22"/>
      <c r="E289" s="22"/>
      <c r="F289" s="22"/>
    </row>
    <row r="290" ht="15.75" customHeight="1">
      <c r="A290" s="22"/>
      <c r="B290" s="22"/>
      <c r="C290" s="22"/>
      <c r="D290" s="22"/>
      <c r="E290" s="22"/>
      <c r="F290" s="22"/>
    </row>
    <row r="291" ht="15.75" customHeight="1">
      <c r="A291" s="22"/>
      <c r="B291" s="22"/>
      <c r="C291" s="22"/>
      <c r="D291" s="22"/>
      <c r="E291" s="22"/>
      <c r="F291" s="22"/>
    </row>
    <row r="292" ht="15.75" customHeight="1">
      <c r="A292" s="22"/>
      <c r="B292" s="22"/>
      <c r="C292" s="22"/>
      <c r="D292" s="22"/>
      <c r="E292" s="22"/>
      <c r="F292" s="22"/>
    </row>
    <row r="293" ht="15.75" customHeight="1">
      <c r="A293" s="22"/>
      <c r="B293" s="22"/>
      <c r="C293" s="22"/>
      <c r="D293" s="22"/>
      <c r="E293" s="22"/>
      <c r="F293" s="22"/>
    </row>
    <row r="294" ht="15.75" customHeight="1">
      <c r="A294" s="22"/>
      <c r="B294" s="22"/>
      <c r="C294" s="22"/>
      <c r="D294" s="22"/>
      <c r="E294" s="22"/>
      <c r="F294" s="22"/>
    </row>
    <row r="295" ht="15.75" customHeight="1">
      <c r="A295" s="22"/>
      <c r="B295" s="22"/>
      <c r="C295" s="22"/>
      <c r="D295" s="22"/>
      <c r="E295" s="22"/>
      <c r="F295" s="22"/>
    </row>
    <row r="296" ht="15.75" customHeight="1">
      <c r="A296" s="22"/>
      <c r="B296" s="22"/>
      <c r="C296" s="22"/>
      <c r="D296" s="22"/>
      <c r="E296" s="22"/>
      <c r="F296" s="22"/>
    </row>
    <row r="297" ht="15.75" customHeight="1">
      <c r="A297" s="22"/>
      <c r="B297" s="22"/>
      <c r="C297" s="22"/>
      <c r="D297" s="22"/>
      <c r="E297" s="22"/>
      <c r="F297" s="22"/>
    </row>
    <row r="298" ht="15.75" customHeight="1">
      <c r="A298" s="22"/>
      <c r="B298" s="22"/>
      <c r="C298" s="22"/>
      <c r="D298" s="22"/>
      <c r="E298" s="22"/>
      <c r="F298" s="22"/>
    </row>
    <row r="299" ht="15.75" customHeight="1">
      <c r="A299" s="22"/>
      <c r="B299" s="22"/>
      <c r="C299" s="22"/>
      <c r="D299" s="22"/>
      <c r="E299" s="22"/>
      <c r="F299" s="22"/>
    </row>
    <row r="300" ht="15.75" customHeight="1">
      <c r="A300" s="22"/>
      <c r="B300" s="22"/>
      <c r="C300" s="22"/>
      <c r="D300" s="22"/>
      <c r="E300" s="22"/>
      <c r="F300" s="22"/>
    </row>
    <row r="301" ht="15.75" customHeight="1">
      <c r="A301" s="22"/>
      <c r="B301" s="22"/>
      <c r="C301" s="22"/>
      <c r="D301" s="22"/>
      <c r="E301" s="22"/>
      <c r="F301" s="22"/>
    </row>
    <row r="302" ht="15.75" customHeight="1">
      <c r="A302" s="22"/>
      <c r="B302" s="22"/>
      <c r="C302" s="22"/>
      <c r="D302" s="22"/>
      <c r="E302" s="22"/>
      <c r="F302" s="22"/>
    </row>
    <row r="303" ht="15.75" customHeight="1">
      <c r="A303" s="22"/>
      <c r="B303" s="22"/>
      <c r="C303" s="22"/>
      <c r="D303" s="22"/>
      <c r="E303" s="22"/>
      <c r="F303" s="22"/>
    </row>
    <row r="304" ht="15.75" customHeight="1">
      <c r="A304" s="22"/>
      <c r="B304" s="22"/>
      <c r="C304" s="22"/>
      <c r="D304" s="22"/>
      <c r="E304" s="22"/>
      <c r="F304" s="22"/>
    </row>
    <row r="305" ht="15.75" customHeight="1">
      <c r="A305" s="22"/>
      <c r="B305" s="22"/>
      <c r="C305" s="22"/>
      <c r="D305" s="22"/>
      <c r="E305" s="22"/>
      <c r="F305" s="22"/>
    </row>
    <row r="306" ht="15.75" customHeight="1">
      <c r="A306" s="22"/>
      <c r="B306" s="22"/>
      <c r="C306" s="22"/>
      <c r="D306" s="22"/>
      <c r="E306" s="22"/>
      <c r="F306" s="22"/>
    </row>
    <row r="307" ht="15.75" customHeight="1">
      <c r="A307" s="22"/>
      <c r="B307" s="22"/>
      <c r="C307" s="22"/>
      <c r="D307" s="22"/>
      <c r="E307" s="22"/>
      <c r="F307" s="22"/>
    </row>
    <row r="308" ht="15.75" customHeight="1">
      <c r="A308" s="22"/>
      <c r="B308" s="22"/>
      <c r="C308" s="22"/>
      <c r="D308" s="22"/>
      <c r="E308" s="22"/>
      <c r="F308" s="22"/>
    </row>
    <row r="309" ht="15.75" customHeight="1">
      <c r="A309" s="22"/>
      <c r="B309" s="22"/>
      <c r="C309" s="22"/>
      <c r="D309" s="22"/>
      <c r="E309" s="22"/>
      <c r="F309" s="22"/>
    </row>
    <row r="310" ht="15.75" customHeight="1">
      <c r="A310" s="22"/>
      <c r="B310" s="22"/>
      <c r="C310" s="22"/>
      <c r="D310" s="22"/>
      <c r="E310" s="22"/>
      <c r="F310" s="22"/>
    </row>
    <row r="311" ht="15.75" customHeight="1">
      <c r="A311" s="22"/>
      <c r="B311" s="22"/>
      <c r="C311" s="22"/>
      <c r="D311" s="22"/>
      <c r="E311" s="22"/>
      <c r="F311" s="22"/>
    </row>
    <row r="312" ht="15.75" customHeight="1">
      <c r="A312" s="22"/>
      <c r="B312" s="22"/>
      <c r="C312" s="22"/>
      <c r="D312" s="22"/>
      <c r="E312" s="22"/>
      <c r="F312" s="22"/>
    </row>
    <row r="313" ht="15.75" customHeight="1">
      <c r="A313" s="22"/>
      <c r="B313" s="22"/>
      <c r="C313" s="22"/>
      <c r="D313" s="22"/>
      <c r="E313" s="22"/>
      <c r="F313" s="22"/>
    </row>
    <row r="314" ht="15.75" customHeight="1">
      <c r="A314" s="22"/>
      <c r="B314" s="22"/>
      <c r="C314" s="22"/>
      <c r="D314" s="22"/>
      <c r="E314" s="22"/>
      <c r="F314" s="22"/>
    </row>
    <row r="315" ht="15.75" customHeight="1">
      <c r="A315" s="22"/>
      <c r="B315" s="22"/>
      <c r="C315" s="22"/>
      <c r="D315" s="22"/>
      <c r="E315" s="22"/>
      <c r="F315" s="22"/>
    </row>
    <row r="316" ht="15.75" customHeight="1">
      <c r="A316" s="22"/>
      <c r="B316" s="22"/>
      <c r="C316" s="22"/>
      <c r="D316" s="22"/>
      <c r="E316" s="22"/>
      <c r="F316" s="22"/>
    </row>
    <row r="317" ht="15.75" customHeight="1">
      <c r="A317" s="22"/>
      <c r="B317" s="22"/>
      <c r="C317" s="22"/>
      <c r="D317" s="22"/>
      <c r="E317" s="22"/>
      <c r="F317" s="22"/>
    </row>
    <row r="318" ht="15.75" customHeight="1">
      <c r="A318" s="22"/>
      <c r="B318" s="22"/>
      <c r="C318" s="22"/>
      <c r="D318" s="22"/>
      <c r="E318" s="22"/>
      <c r="F318" s="22"/>
    </row>
    <row r="319" ht="15.75" customHeight="1">
      <c r="A319" s="22"/>
      <c r="B319" s="22"/>
      <c r="C319" s="22"/>
      <c r="D319" s="22"/>
      <c r="E319" s="22"/>
      <c r="F319" s="22"/>
    </row>
    <row r="320" ht="15.75" customHeight="1">
      <c r="A320" s="22"/>
      <c r="B320" s="22"/>
      <c r="C320" s="22"/>
      <c r="D320" s="22"/>
      <c r="E320" s="22"/>
      <c r="F320" s="22"/>
    </row>
    <row r="321" ht="15.75" customHeight="1">
      <c r="A321" s="22"/>
      <c r="B321" s="22"/>
      <c r="C321" s="22"/>
      <c r="D321" s="22"/>
      <c r="E321" s="22"/>
      <c r="F321" s="22"/>
    </row>
    <row r="322" ht="15.75" customHeight="1">
      <c r="A322" s="22"/>
      <c r="B322" s="22"/>
      <c r="C322" s="22"/>
      <c r="D322" s="22"/>
      <c r="E322" s="22"/>
      <c r="F322" s="22"/>
    </row>
    <row r="323" ht="15.75" customHeight="1">
      <c r="A323" s="22"/>
      <c r="B323" s="22"/>
      <c r="C323" s="22"/>
      <c r="D323" s="22"/>
      <c r="E323" s="22"/>
      <c r="F323" s="22"/>
    </row>
    <row r="324" ht="15.75" customHeight="1">
      <c r="A324" s="22"/>
      <c r="B324" s="22"/>
      <c r="C324" s="22"/>
      <c r="D324" s="22"/>
      <c r="E324" s="22"/>
      <c r="F324" s="22"/>
    </row>
    <row r="325" ht="15.75" customHeight="1">
      <c r="A325" s="22"/>
      <c r="B325" s="22"/>
      <c r="C325" s="22"/>
      <c r="D325" s="22"/>
      <c r="E325" s="22"/>
      <c r="F325" s="22"/>
    </row>
    <row r="326" ht="15.75" customHeight="1">
      <c r="A326" s="22"/>
      <c r="B326" s="22"/>
      <c r="C326" s="22"/>
      <c r="D326" s="22"/>
      <c r="E326" s="22"/>
      <c r="F326" s="22"/>
    </row>
    <row r="327" ht="15.75" customHeight="1">
      <c r="A327" s="22"/>
      <c r="B327" s="22"/>
      <c r="C327" s="22"/>
      <c r="D327" s="22"/>
      <c r="E327" s="22"/>
      <c r="F327" s="22"/>
    </row>
    <row r="328" ht="15.75" customHeight="1">
      <c r="A328" s="22"/>
      <c r="B328" s="22"/>
      <c r="C328" s="22"/>
      <c r="D328" s="22"/>
      <c r="E328" s="22"/>
      <c r="F328" s="22"/>
    </row>
    <row r="329" ht="15.75" customHeight="1">
      <c r="A329" s="22"/>
      <c r="B329" s="22"/>
      <c r="C329" s="22"/>
      <c r="D329" s="22"/>
      <c r="E329" s="22"/>
      <c r="F329" s="22"/>
    </row>
    <row r="330" ht="15.75" customHeight="1">
      <c r="A330" s="22"/>
      <c r="B330" s="22"/>
      <c r="C330" s="22"/>
      <c r="D330" s="22"/>
      <c r="E330" s="22"/>
      <c r="F330" s="22"/>
    </row>
    <row r="331" ht="15.75" customHeight="1">
      <c r="A331" s="22"/>
      <c r="B331" s="22"/>
      <c r="C331" s="22"/>
      <c r="D331" s="22"/>
      <c r="E331" s="22"/>
      <c r="F331" s="22"/>
    </row>
    <row r="332" ht="15.75" customHeight="1">
      <c r="A332" s="22"/>
      <c r="B332" s="22"/>
      <c r="C332" s="22"/>
      <c r="D332" s="22"/>
      <c r="E332" s="22"/>
      <c r="F332" s="22"/>
    </row>
    <row r="333" ht="15.75" customHeight="1">
      <c r="A333" s="22"/>
      <c r="B333" s="22"/>
      <c r="C333" s="22"/>
      <c r="D333" s="22"/>
      <c r="E333" s="22"/>
      <c r="F333" s="22"/>
    </row>
    <row r="334" ht="15.75" customHeight="1">
      <c r="A334" s="22"/>
      <c r="B334" s="22"/>
      <c r="C334" s="22"/>
      <c r="D334" s="22"/>
      <c r="E334" s="22"/>
      <c r="F334" s="22"/>
    </row>
    <row r="335" ht="15.75" customHeight="1">
      <c r="A335" s="22"/>
      <c r="B335" s="22"/>
      <c r="C335" s="22"/>
      <c r="D335" s="22"/>
      <c r="E335" s="22"/>
      <c r="F335" s="22"/>
    </row>
    <row r="336" ht="15.75" customHeight="1">
      <c r="A336" s="22"/>
      <c r="B336" s="22"/>
      <c r="C336" s="22"/>
      <c r="D336" s="22"/>
      <c r="E336" s="22"/>
      <c r="F336" s="22"/>
    </row>
    <row r="337" ht="15.75" customHeight="1">
      <c r="A337" s="22"/>
      <c r="B337" s="22"/>
      <c r="C337" s="22"/>
      <c r="D337" s="22"/>
      <c r="E337" s="22"/>
      <c r="F337" s="22"/>
    </row>
    <row r="338" ht="15.75" customHeight="1">
      <c r="A338" s="22"/>
      <c r="B338" s="22"/>
      <c r="C338" s="22"/>
      <c r="D338" s="22"/>
      <c r="E338" s="22"/>
      <c r="F338" s="22"/>
    </row>
    <row r="339" ht="15.75" customHeight="1">
      <c r="A339" s="22"/>
      <c r="B339" s="22"/>
      <c r="C339" s="22"/>
      <c r="D339" s="22"/>
      <c r="E339" s="22"/>
      <c r="F339" s="22"/>
    </row>
    <row r="340" ht="15.75" customHeight="1">
      <c r="A340" s="22"/>
      <c r="B340" s="22"/>
      <c r="C340" s="22"/>
      <c r="D340" s="22"/>
      <c r="E340" s="22"/>
      <c r="F340" s="22"/>
    </row>
    <row r="341" ht="15.75" customHeight="1">
      <c r="A341" s="22"/>
      <c r="B341" s="22"/>
      <c r="C341" s="22"/>
      <c r="D341" s="22"/>
      <c r="E341" s="22"/>
      <c r="F341" s="22"/>
    </row>
    <row r="342" ht="15.75" customHeight="1">
      <c r="A342" s="22"/>
      <c r="B342" s="22"/>
      <c r="C342" s="22"/>
      <c r="D342" s="22"/>
      <c r="E342" s="22"/>
      <c r="F342" s="22"/>
    </row>
    <row r="343" ht="15.75" customHeight="1">
      <c r="A343" s="22"/>
      <c r="B343" s="22"/>
      <c r="C343" s="22"/>
      <c r="D343" s="22"/>
      <c r="E343" s="22"/>
      <c r="F343" s="22"/>
    </row>
    <row r="344" ht="15.75" customHeight="1">
      <c r="A344" s="22"/>
      <c r="B344" s="22"/>
      <c r="C344" s="22"/>
      <c r="D344" s="22"/>
      <c r="E344" s="22"/>
      <c r="F344" s="22"/>
    </row>
    <row r="345" ht="15.75" customHeight="1">
      <c r="A345" s="22"/>
      <c r="B345" s="22"/>
      <c r="C345" s="22"/>
      <c r="D345" s="22"/>
      <c r="E345" s="22"/>
      <c r="F345" s="22"/>
    </row>
    <row r="346" ht="15.75" customHeight="1">
      <c r="A346" s="22"/>
      <c r="B346" s="22"/>
      <c r="C346" s="22"/>
      <c r="D346" s="22"/>
      <c r="E346" s="22"/>
      <c r="F346" s="22"/>
    </row>
    <row r="347" ht="15.75" customHeight="1">
      <c r="A347" s="22"/>
      <c r="B347" s="22"/>
      <c r="C347" s="22"/>
      <c r="D347" s="22"/>
      <c r="E347" s="22"/>
      <c r="F347" s="22"/>
    </row>
    <row r="348" ht="15.75" customHeight="1">
      <c r="A348" s="22"/>
      <c r="B348" s="22"/>
      <c r="C348" s="22"/>
      <c r="D348" s="22"/>
      <c r="E348" s="22"/>
      <c r="F348" s="22"/>
    </row>
    <row r="349" ht="15.75" customHeight="1">
      <c r="A349" s="22"/>
      <c r="B349" s="22"/>
      <c r="C349" s="22"/>
      <c r="D349" s="22"/>
      <c r="E349" s="22"/>
      <c r="F349" s="22"/>
    </row>
    <row r="350" ht="15.75" customHeight="1">
      <c r="A350" s="22"/>
      <c r="B350" s="22"/>
      <c r="C350" s="22"/>
      <c r="D350" s="22"/>
      <c r="E350" s="22"/>
      <c r="F350" s="22"/>
    </row>
    <row r="351" ht="15.75" customHeight="1">
      <c r="A351" s="22"/>
      <c r="B351" s="22"/>
      <c r="C351" s="22"/>
      <c r="D351" s="22"/>
      <c r="E351" s="22"/>
      <c r="F351" s="22"/>
    </row>
    <row r="352" ht="15.75" customHeight="1">
      <c r="A352" s="22"/>
      <c r="B352" s="22"/>
      <c r="C352" s="22"/>
      <c r="D352" s="22"/>
      <c r="E352" s="22"/>
      <c r="F352" s="22"/>
    </row>
    <row r="353" ht="15.75" customHeight="1">
      <c r="A353" s="22"/>
      <c r="B353" s="22"/>
      <c r="C353" s="22"/>
      <c r="D353" s="22"/>
      <c r="E353" s="22"/>
      <c r="F353" s="22"/>
    </row>
    <row r="354" ht="15.75" customHeight="1">
      <c r="A354" s="22"/>
      <c r="B354" s="22"/>
      <c r="C354" s="22"/>
      <c r="D354" s="22"/>
      <c r="E354" s="22"/>
      <c r="F354" s="22"/>
    </row>
    <row r="355" ht="15.75" customHeight="1">
      <c r="A355" s="22"/>
      <c r="B355" s="22"/>
      <c r="C355" s="22"/>
      <c r="D355" s="22"/>
      <c r="E355" s="22"/>
      <c r="F355" s="22"/>
    </row>
    <row r="356" ht="15.75" customHeight="1">
      <c r="A356" s="22"/>
      <c r="B356" s="22"/>
      <c r="C356" s="22"/>
      <c r="D356" s="22"/>
      <c r="E356" s="22"/>
      <c r="F356" s="22"/>
    </row>
    <row r="357" ht="15.75" customHeight="1">
      <c r="A357" s="22"/>
      <c r="B357" s="22"/>
      <c r="C357" s="22"/>
      <c r="D357" s="22"/>
      <c r="E357" s="22"/>
      <c r="F357" s="22"/>
    </row>
    <row r="358" ht="15.75" customHeight="1">
      <c r="A358" s="22"/>
      <c r="B358" s="22"/>
      <c r="C358" s="22"/>
      <c r="D358" s="22"/>
      <c r="E358" s="22"/>
      <c r="F358" s="22"/>
    </row>
    <row r="359" ht="15.75" customHeight="1">
      <c r="A359" s="22"/>
      <c r="B359" s="22"/>
      <c r="C359" s="22"/>
      <c r="D359" s="22"/>
      <c r="E359" s="22"/>
      <c r="F359" s="22"/>
    </row>
    <row r="360" ht="15.75" customHeight="1">
      <c r="A360" s="22"/>
      <c r="B360" s="22"/>
      <c r="C360" s="22"/>
      <c r="D360" s="22"/>
      <c r="E360" s="22"/>
      <c r="F360" s="22"/>
    </row>
    <row r="361" ht="15.75" customHeight="1">
      <c r="A361" s="22"/>
      <c r="B361" s="22"/>
      <c r="C361" s="22"/>
      <c r="D361" s="22"/>
      <c r="E361" s="22"/>
      <c r="F361" s="22"/>
    </row>
    <row r="362" ht="15.75" customHeight="1">
      <c r="A362" s="22"/>
      <c r="B362" s="22"/>
      <c r="C362" s="22"/>
      <c r="D362" s="22"/>
      <c r="E362" s="22"/>
      <c r="F362" s="22"/>
    </row>
    <row r="363" ht="15.75" customHeight="1">
      <c r="A363" s="22"/>
      <c r="B363" s="22"/>
      <c r="C363" s="22"/>
      <c r="D363" s="22"/>
      <c r="E363" s="22"/>
      <c r="F363" s="22"/>
    </row>
    <row r="364" ht="15.75" customHeight="1">
      <c r="A364" s="22"/>
      <c r="B364" s="22"/>
      <c r="C364" s="22"/>
      <c r="D364" s="22"/>
      <c r="E364" s="22"/>
      <c r="F364" s="22"/>
    </row>
    <row r="365" ht="15.75" customHeight="1">
      <c r="A365" s="22"/>
      <c r="B365" s="22"/>
      <c r="C365" s="22"/>
      <c r="D365" s="22"/>
      <c r="E365" s="22"/>
      <c r="F365" s="22"/>
    </row>
    <row r="366" ht="15.75" customHeight="1">
      <c r="A366" s="22"/>
      <c r="B366" s="22"/>
      <c r="C366" s="22"/>
      <c r="D366" s="22"/>
      <c r="E366" s="22"/>
      <c r="F366" s="22"/>
    </row>
    <row r="367" ht="15.75" customHeight="1">
      <c r="A367" s="22"/>
      <c r="B367" s="22"/>
      <c r="C367" s="22"/>
      <c r="D367" s="22"/>
      <c r="E367" s="22"/>
      <c r="F367" s="22"/>
    </row>
    <row r="368" ht="15.75" customHeight="1">
      <c r="A368" s="22"/>
      <c r="B368" s="22"/>
      <c r="C368" s="22"/>
      <c r="D368" s="22"/>
      <c r="E368" s="22"/>
      <c r="F368" s="22"/>
    </row>
    <row r="369" ht="15.75" customHeight="1">
      <c r="A369" s="22"/>
      <c r="B369" s="22"/>
      <c r="C369" s="22"/>
      <c r="D369" s="22"/>
      <c r="E369" s="22"/>
      <c r="F369" s="22"/>
    </row>
    <row r="370" ht="15.75" customHeight="1">
      <c r="A370" s="22"/>
      <c r="B370" s="22"/>
      <c r="C370" s="22"/>
      <c r="D370" s="22"/>
      <c r="E370" s="22"/>
      <c r="F370" s="22"/>
    </row>
    <row r="371" ht="15.75" customHeight="1">
      <c r="A371" s="22"/>
      <c r="B371" s="22"/>
      <c r="C371" s="22"/>
      <c r="D371" s="22"/>
      <c r="E371" s="22"/>
      <c r="F371" s="22"/>
    </row>
    <row r="372" ht="15.75" customHeight="1">
      <c r="A372" s="22"/>
      <c r="B372" s="22"/>
      <c r="C372" s="22"/>
      <c r="D372" s="22"/>
      <c r="E372" s="22"/>
      <c r="F372" s="22"/>
    </row>
    <row r="373" ht="15.75" customHeight="1">
      <c r="A373" s="22"/>
      <c r="B373" s="22"/>
      <c r="C373" s="22"/>
      <c r="D373" s="22"/>
      <c r="E373" s="22"/>
      <c r="F373" s="22"/>
    </row>
    <row r="374" ht="15.75" customHeight="1">
      <c r="A374" s="22"/>
      <c r="B374" s="22"/>
      <c r="C374" s="22"/>
      <c r="D374" s="22"/>
      <c r="E374" s="22"/>
      <c r="F374" s="22"/>
    </row>
    <row r="375" ht="15.75" customHeight="1">
      <c r="A375" s="22"/>
      <c r="B375" s="22"/>
      <c r="C375" s="22"/>
      <c r="D375" s="22"/>
      <c r="E375" s="22"/>
      <c r="F375" s="22"/>
    </row>
    <row r="376" ht="15.75" customHeight="1">
      <c r="A376" s="22"/>
      <c r="B376" s="22"/>
      <c r="C376" s="22"/>
      <c r="D376" s="22"/>
      <c r="E376" s="22"/>
      <c r="F376" s="22"/>
    </row>
    <row r="377" ht="15.75" customHeight="1">
      <c r="A377" s="22"/>
      <c r="B377" s="22"/>
      <c r="C377" s="22"/>
      <c r="D377" s="22"/>
      <c r="E377" s="22"/>
      <c r="F377" s="22"/>
    </row>
    <row r="378" ht="15.75" customHeight="1">
      <c r="A378" s="22"/>
      <c r="B378" s="22"/>
      <c r="C378" s="22"/>
      <c r="D378" s="22"/>
      <c r="E378" s="22"/>
      <c r="F378" s="22"/>
    </row>
    <row r="379" ht="15.75" customHeight="1">
      <c r="A379" s="22"/>
      <c r="B379" s="22"/>
      <c r="C379" s="22"/>
      <c r="D379" s="22"/>
      <c r="E379" s="22"/>
      <c r="F379" s="22"/>
    </row>
    <row r="380" ht="15.75" customHeight="1">
      <c r="A380" s="22"/>
      <c r="B380" s="22"/>
      <c r="C380" s="22"/>
      <c r="D380" s="22"/>
      <c r="E380" s="22"/>
      <c r="F380" s="22"/>
    </row>
    <row r="381" ht="15.75" customHeight="1">
      <c r="A381" s="22"/>
      <c r="B381" s="22"/>
      <c r="C381" s="22"/>
      <c r="D381" s="22"/>
      <c r="E381" s="22"/>
      <c r="F381" s="22"/>
    </row>
    <row r="382" ht="15.75" customHeight="1">
      <c r="A382" s="22"/>
      <c r="B382" s="22"/>
      <c r="C382" s="22"/>
      <c r="D382" s="22"/>
      <c r="E382" s="22"/>
      <c r="F382" s="22"/>
    </row>
    <row r="383" ht="15.75" customHeight="1">
      <c r="A383" s="22"/>
      <c r="B383" s="22"/>
      <c r="C383" s="22"/>
      <c r="D383" s="22"/>
      <c r="E383" s="22"/>
      <c r="F383" s="22"/>
    </row>
    <row r="384" ht="15.75" customHeight="1">
      <c r="A384" s="22"/>
      <c r="B384" s="22"/>
      <c r="C384" s="22"/>
      <c r="D384" s="22"/>
      <c r="E384" s="22"/>
      <c r="F384" s="22"/>
    </row>
    <row r="385" ht="15.75" customHeight="1">
      <c r="A385" s="22"/>
      <c r="B385" s="22"/>
      <c r="C385" s="22"/>
      <c r="D385" s="22"/>
      <c r="E385" s="22"/>
      <c r="F385" s="22"/>
    </row>
    <row r="386" ht="15.75" customHeight="1">
      <c r="A386" s="22"/>
      <c r="B386" s="22"/>
      <c r="C386" s="22"/>
      <c r="D386" s="22"/>
      <c r="E386" s="22"/>
      <c r="F386" s="22"/>
    </row>
    <row r="387" ht="15.75" customHeight="1">
      <c r="A387" s="22"/>
      <c r="B387" s="22"/>
      <c r="C387" s="22"/>
      <c r="D387" s="22"/>
      <c r="E387" s="22"/>
      <c r="F387" s="22"/>
    </row>
    <row r="388" ht="15.75" customHeight="1">
      <c r="A388" s="22"/>
      <c r="B388" s="22"/>
      <c r="C388" s="22"/>
      <c r="D388" s="22"/>
      <c r="E388" s="22"/>
      <c r="F388" s="22"/>
    </row>
    <row r="389" ht="15.75" customHeight="1">
      <c r="A389" s="22"/>
      <c r="B389" s="22"/>
      <c r="C389" s="22"/>
      <c r="D389" s="22"/>
      <c r="E389" s="22"/>
      <c r="F389" s="22"/>
    </row>
    <row r="390" ht="15.75" customHeight="1">
      <c r="A390" s="22"/>
      <c r="B390" s="22"/>
      <c r="C390" s="22"/>
      <c r="D390" s="22"/>
      <c r="E390" s="22"/>
      <c r="F390" s="22"/>
    </row>
    <row r="391" ht="15.75" customHeight="1">
      <c r="A391" s="22"/>
      <c r="B391" s="22"/>
      <c r="C391" s="22"/>
      <c r="D391" s="22"/>
      <c r="E391" s="22"/>
      <c r="F391" s="22"/>
    </row>
    <row r="392" ht="15.75" customHeight="1">
      <c r="A392" s="22"/>
      <c r="B392" s="22"/>
      <c r="C392" s="22"/>
      <c r="D392" s="22"/>
      <c r="E392" s="22"/>
      <c r="F392" s="22"/>
    </row>
    <row r="393" ht="15.75" customHeight="1">
      <c r="A393" s="22"/>
      <c r="B393" s="22"/>
      <c r="C393" s="22"/>
      <c r="D393" s="22"/>
      <c r="E393" s="22"/>
      <c r="F393" s="22"/>
    </row>
    <row r="394" ht="15.75" customHeight="1">
      <c r="A394" s="22"/>
      <c r="B394" s="22"/>
      <c r="C394" s="22"/>
      <c r="D394" s="22"/>
      <c r="E394" s="22"/>
      <c r="F394" s="22"/>
    </row>
    <row r="395" ht="15.75" customHeight="1">
      <c r="A395" s="22"/>
      <c r="B395" s="22"/>
      <c r="C395" s="22"/>
      <c r="D395" s="22"/>
      <c r="E395" s="22"/>
      <c r="F395" s="22"/>
    </row>
    <row r="396" ht="15.75" customHeight="1">
      <c r="A396" s="22"/>
      <c r="B396" s="22"/>
      <c r="C396" s="22"/>
      <c r="D396" s="22"/>
      <c r="E396" s="22"/>
      <c r="F396" s="22"/>
    </row>
    <row r="397" ht="15.75" customHeight="1">
      <c r="A397" s="22"/>
      <c r="B397" s="22"/>
      <c r="C397" s="22"/>
      <c r="D397" s="22"/>
      <c r="E397" s="22"/>
      <c r="F397" s="22"/>
    </row>
    <row r="398" ht="15.75" customHeight="1">
      <c r="A398" s="22"/>
      <c r="B398" s="22"/>
      <c r="C398" s="22"/>
      <c r="D398" s="22"/>
      <c r="E398" s="22"/>
      <c r="F398" s="22"/>
    </row>
    <row r="399" ht="15.75" customHeight="1">
      <c r="A399" s="22"/>
      <c r="B399" s="22"/>
      <c r="C399" s="22"/>
      <c r="D399" s="22"/>
      <c r="E399" s="22"/>
      <c r="F399" s="22"/>
    </row>
    <row r="400" ht="15.75" customHeight="1">
      <c r="A400" s="22"/>
      <c r="B400" s="22"/>
      <c r="C400" s="22"/>
      <c r="D400" s="22"/>
      <c r="E400" s="22"/>
      <c r="F400" s="22"/>
    </row>
    <row r="401" ht="15.75" customHeight="1">
      <c r="A401" s="22"/>
      <c r="B401" s="22"/>
      <c r="C401" s="22"/>
      <c r="D401" s="22"/>
      <c r="E401" s="22"/>
      <c r="F401" s="22"/>
    </row>
    <row r="402" ht="15.75" customHeight="1">
      <c r="A402" s="22"/>
      <c r="B402" s="22"/>
      <c r="C402" s="22"/>
      <c r="D402" s="22"/>
      <c r="E402" s="22"/>
      <c r="F402" s="22"/>
    </row>
    <row r="403" ht="15.75" customHeight="1">
      <c r="A403" s="22"/>
      <c r="B403" s="22"/>
      <c r="C403" s="22"/>
      <c r="D403" s="22"/>
      <c r="E403" s="22"/>
      <c r="F403" s="22"/>
    </row>
    <row r="404" ht="15.75" customHeight="1">
      <c r="A404" s="22"/>
      <c r="B404" s="22"/>
      <c r="C404" s="22"/>
      <c r="D404" s="22"/>
      <c r="E404" s="22"/>
      <c r="F404" s="22"/>
    </row>
    <row r="405" ht="15.75" customHeight="1">
      <c r="A405" s="22"/>
      <c r="B405" s="22"/>
      <c r="C405" s="22"/>
      <c r="D405" s="22"/>
      <c r="E405" s="22"/>
      <c r="F405" s="22"/>
    </row>
    <row r="406" ht="15.75" customHeight="1">
      <c r="A406" s="22"/>
      <c r="B406" s="22"/>
      <c r="C406" s="22"/>
      <c r="D406" s="22"/>
      <c r="E406" s="22"/>
      <c r="F406" s="22"/>
    </row>
    <row r="407" ht="15.75" customHeight="1">
      <c r="A407" s="22"/>
      <c r="B407" s="22"/>
      <c r="C407" s="22"/>
      <c r="D407" s="22"/>
      <c r="E407" s="22"/>
      <c r="F407" s="22"/>
    </row>
    <row r="408" ht="15.75" customHeight="1">
      <c r="A408" s="22"/>
      <c r="B408" s="22"/>
      <c r="C408" s="22"/>
      <c r="D408" s="22"/>
      <c r="E408" s="22"/>
      <c r="F408" s="22"/>
    </row>
    <row r="409" ht="15.75" customHeight="1">
      <c r="A409" s="22"/>
      <c r="B409" s="22"/>
      <c r="C409" s="22"/>
      <c r="D409" s="22"/>
      <c r="E409" s="22"/>
      <c r="F409" s="22"/>
    </row>
    <row r="410" ht="15.75" customHeight="1">
      <c r="A410" s="22"/>
      <c r="B410" s="22"/>
      <c r="C410" s="22"/>
      <c r="D410" s="22"/>
      <c r="E410" s="22"/>
      <c r="F410" s="22"/>
    </row>
    <row r="411" ht="15.75" customHeight="1">
      <c r="A411" s="22"/>
      <c r="B411" s="22"/>
      <c r="C411" s="22"/>
      <c r="D411" s="22"/>
      <c r="E411" s="22"/>
      <c r="F411" s="22"/>
    </row>
    <row r="412" ht="15.75" customHeight="1">
      <c r="A412" s="22"/>
      <c r="B412" s="22"/>
      <c r="C412" s="22"/>
      <c r="D412" s="22"/>
      <c r="E412" s="22"/>
      <c r="F412" s="22"/>
    </row>
    <row r="413" ht="15.75" customHeight="1">
      <c r="A413" s="22"/>
      <c r="B413" s="22"/>
      <c r="C413" s="22"/>
      <c r="D413" s="22"/>
      <c r="E413" s="22"/>
      <c r="F413" s="22"/>
    </row>
    <row r="414" ht="15.75" customHeight="1">
      <c r="A414" s="22"/>
      <c r="B414" s="22"/>
      <c r="C414" s="22"/>
      <c r="D414" s="22"/>
      <c r="E414" s="22"/>
      <c r="F414" s="22"/>
    </row>
    <row r="415" ht="15.75" customHeight="1">
      <c r="A415" s="22"/>
      <c r="B415" s="22"/>
      <c r="C415" s="22"/>
      <c r="D415" s="22"/>
      <c r="E415" s="22"/>
      <c r="F415" s="22"/>
    </row>
    <row r="416" ht="15.75" customHeight="1">
      <c r="A416" s="22"/>
      <c r="B416" s="22"/>
      <c r="C416" s="22"/>
      <c r="D416" s="22"/>
      <c r="E416" s="22"/>
      <c r="F416" s="22"/>
    </row>
    <row r="417" ht="15.75" customHeight="1">
      <c r="A417" s="22"/>
      <c r="B417" s="22"/>
      <c r="C417" s="22"/>
      <c r="D417" s="22"/>
      <c r="E417" s="22"/>
      <c r="F417" s="22"/>
    </row>
    <row r="418" ht="15.75" customHeight="1">
      <c r="A418" s="22"/>
      <c r="B418" s="22"/>
      <c r="C418" s="22"/>
      <c r="D418" s="22"/>
      <c r="E418" s="22"/>
      <c r="F418" s="22"/>
    </row>
    <row r="419" ht="15.75" customHeight="1">
      <c r="A419" s="22"/>
      <c r="B419" s="22"/>
      <c r="C419" s="22"/>
      <c r="D419" s="22"/>
      <c r="E419" s="22"/>
      <c r="F419" s="22"/>
    </row>
    <row r="420" ht="15.75" customHeight="1">
      <c r="A420" s="22"/>
      <c r="B420" s="22"/>
      <c r="C420" s="22"/>
      <c r="D420" s="22"/>
      <c r="E420" s="22"/>
      <c r="F420" s="22"/>
    </row>
    <row r="421" ht="15.75" customHeight="1">
      <c r="A421" s="22"/>
      <c r="B421" s="22"/>
      <c r="C421" s="22"/>
      <c r="D421" s="22"/>
      <c r="E421" s="22"/>
      <c r="F421" s="22"/>
    </row>
    <row r="422" ht="15.75" customHeight="1">
      <c r="A422" s="22"/>
      <c r="B422" s="22"/>
      <c r="C422" s="22"/>
      <c r="D422" s="22"/>
      <c r="E422" s="22"/>
      <c r="F422" s="22"/>
    </row>
    <row r="423" ht="15.75" customHeight="1">
      <c r="A423" s="22"/>
      <c r="B423" s="22"/>
      <c r="C423" s="22"/>
      <c r="D423" s="22"/>
      <c r="E423" s="22"/>
      <c r="F423" s="22"/>
    </row>
    <row r="424" ht="15.75" customHeight="1">
      <c r="A424" s="22"/>
      <c r="B424" s="22"/>
      <c r="C424" s="22"/>
      <c r="D424" s="22"/>
      <c r="E424" s="22"/>
      <c r="F424" s="22"/>
    </row>
    <row r="425" ht="15.75" customHeight="1">
      <c r="A425" s="22"/>
      <c r="B425" s="22"/>
      <c r="C425" s="22"/>
      <c r="D425" s="22"/>
      <c r="E425" s="22"/>
      <c r="F425" s="22"/>
    </row>
    <row r="426" ht="15.75" customHeight="1">
      <c r="A426" s="22"/>
      <c r="B426" s="22"/>
      <c r="C426" s="22"/>
      <c r="D426" s="22"/>
      <c r="E426" s="22"/>
      <c r="F426" s="22"/>
    </row>
    <row r="427" ht="15.75" customHeight="1">
      <c r="A427" s="22"/>
      <c r="B427" s="22"/>
      <c r="C427" s="22"/>
      <c r="D427" s="22"/>
      <c r="E427" s="22"/>
      <c r="F427" s="22"/>
    </row>
    <row r="428" ht="15.75" customHeight="1">
      <c r="A428" s="22"/>
      <c r="B428" s="22"/>
      <c r="C428" s="22"/>
      <c r="D428" s="22"/>
      <c r="E428" s="22"/>
      <c r="F428" s="22"/>
    </row>
    <row r="429" ht="15.75" customHeight="1">
      <c r="A429" s="22"/>
      <c r="B429" s="22"/>
      <c r="C429" s="22"/>
      <c r="D429" s="22"/>
      <c r="E429" s="22"/>
      <c r="F429" s="22"/>
    </row>
    <row r="430" ht="15.75" customHeight="1">
      <c r="A430" s="22"/>
      <c r="B430" s="22"/>
      <c r="C430" s="22"/>
      <c r="D430" s="22"/>
      <c r="E430" s="22"/>
      <c r="F430" s="22"/>
    </row>
    <row r="431" ht="15.75" customHeight="1">
      <c r="A431" s="22"/>
      <c r="B431" s="22"/>
      <c r="C431" s="22"/>
      <c r="D431" s="22"/>
      <c r="E431" s="22"/>
      <c r="F431" s="22"/>
    </row>
    <row r="432" ht="15.75" customHeight="1">
      <c r="A432" s="22"/>
      <c r="B432" s="22"/>
      <c r="C432" s="22"/>
      <c r="D432" s="22"/>
      <c r="E432" s="22"/>
      <c r="F432" s="22"/>
    </row>
    <row r="433" ht="15.75" customHeight="1">
      <c r="A433" s="22"/>
      <c r="B433" s="22"/>
      <c r="C433" s="22"/>
      <c r="D433" s="22"/>
      <c r="E433" s="22"/>
      <c r="F433" s="22"/>
    </row>
    <row r="434" ht="15.75" customHeight="1">
      <c r="A434" s="22"/>
      <c r="B434" s="22"/>
      <c r="C434" s="22"/>
      <c r="D434" s="22"/>
      <c r="E434" s="22"/>
      <c r="F434" s="22"/>
    </row>
    <row r="435" ht="15.75" customHeight="1">
      <c r="A435" s="22"/>
      <c r="B435" s="22"/>
      <c r="C435" s="22"/>
      <c r="D435" s="22"/>
      <c r="E435" s="22"/>
      <c r="F435" s="22"/>
    </row>
    <row r="436" ht="15.75" customHeight="1">
      <c r="A436" s="22"/>
      <c r="B436" s="22"/>
      <c r="C436" s="22"/>
      <c r="D436" s="22"/>
      <c r="E436" s="22"/>
      <c r="F436" s="22"/>
    </row>
    <row r="437" ht="15.75" customHeight="1">
      <c r="A437" s="22"/>
      <c r="B437" s="22"/>
      <c r="C437" s="22"/>
      <c r="D437" s="22"/>
      <c r="E437" s="22"/>
      <c r="F437" s="22"/>
    </row>
    <row r="438" ht="15.75" customHeight="1">
      <c r="A438" s="22"/>
      <c r="B438" s="22"/>
      <c r="C438" s="22"/>
      <c r="D438" s="22"/>
      <c r="E438" s="22"/>
      <c r="F438" s="22"/>
    </row>
    <row r="439" ht="15.75" customHeight="1">
      <c r="A439" s="22"/>
      <c r="B439" s="22"/>
      <c r="C439" s="22"/>
      <c r="D439" s="22"/>
      <c r="E439" s="22"/>
      <c r="F439" s="22"/>
    </row>
    <row r="440" ht="15.75" customHeight="1">
      <c r="A440" s="22"/>
      <c r="B440" s="22"/>
      <c r="C440" s="22"/>
      <c r="D440" s="22"/>
      <c r="E440" s="22"/>
      <c r="F440" s="22"/>
    </row>
    <row r="441" ht="15.75" customHeight="1">
      <c r="A441" s="22"/>
      <c r="B441" s="22"/>
      <c r="C441" s="22"/>
      <c r="D441" s="22"/>
      <c r="E441" s="22"/>
      <c r="F441" s="22"/>
    </row>
    <row r="442" ht="15.75" customHeight="1">
      <c r="A442" s="22"/>
      <c r="B442" s="22"/>
      <c r="C442" s="22"/>
      <c r="D442" s="22"/>
      <c r="E442" s="22"/>
      <c r="F442" s="22"/>
    </row>
    <row r="443" ht="15.75" customHeight="1">
      <c r="A443" s="22"/>
      <c r="B443" s="22"/>
      <c r="C443" s="22"/>
      <c r="D443" s="22"/>
      <c r="E443" s="22"/>
      <c r="F443" s="22"/>
    </row>
    <row r="444" ht="15.75" customHeight="1">
      <c r="A444" s="22"/>
      <c r="B444" s="22"/>
      <c r="C444" s="22"/>
      <c r="D444" s="22"/>
      <c r="E444" s="22"/>
      <c r="F444" s="22"/>
    </row>
    <row r="445" ht="15.75" customHeight="1">
      <c r="A445" s="22"/>
      <c r="B445" s="22"/>
      <c r="C445" s="22"/>
      <c r="D445" s="22"/>
      <c r="E445" s="22"/>
      <c r="F445" s="22"/>
    </row>
    <row r="446" ht="15.75" customHeight="1">
      <c r="A446" s="22"/>
      <c r="B446" s="22"/>
      <c r="C446" s="22"/>
      <c r="D446" s="22"/>
      <c r="E446" s="22"/>
      <c r="F446" s="22"/>
    </row>
    <row r="447" ht="15.75" customHeight="1">
      <c r="A447" s="22"/>
      <c r="B447" s="22"/>
      <c r="C447" s="22"/>
      <c r="D447" s="22"/>
      <c r="E447" s="22"/>
      <c r="F447" s="22"/>
    </row>
    <row r="448" ht="15.75" customHeight="1">
      <c r="A448" s="22"/>
      <c r="B448" s="22"/>
      <c r="C448" s="22"/>
      <c r="D448" s="22"/>
      <c r="E448" s="22"/>
      <c r="F448" s="22"/>
    </row>
    <row r="449" ht="15.75" customHeight="1">
      <c r="A449" s="22"/>
      <c r="B449" s="22"/>
      <c r="C449" s="22"/>
      <c r="D449" s="22"/>
      <c r="E449" s="22"/>
      <c r="F449" s="22"/>
    </row>
    <row r="450" ht="15.75" customHeight="1">
      <c r="A450" s="22"/>
      <c r="B450" s="22"/>
      <c r="C450" s="22"/>
      <c r="D450" s="22"/>
      <c r="E450" s="22"/>
      <c r="F450" s="22"/>
    </row>
    <row r="451" ht="15.75" customHeight="1">
      <c r="A451" s="22"/>
      <c r="B451" s="22"/>
      <c r="C451" s="22"/>
      <c r="D451" s="22"/>
      <c r="E451" s="22"/>
      <c r="F451" s="22"/>
    </row>
    <row r="452" ht="15.75" customHeight="1">
      <c r="A452" s="22"/>
      <c r="B452" s="22"/>
      <c r="C452" s="22"/>
      <c r="D452" s="22"/>
      <c r="E452" s="22"/>
      <c r="F452" s="22"/>
    </row>
    <row r="453" ht="15.75" customHeight="1">
      <c r="A453" s="22"/>
      <c r="B453" s="22"/>
      <c r="C453" s="22"/>
      <c r="D453" s="22"/>
      <c r="E453" s="22"/>
      <c r="F453" s="22"/>
    </row>
    <row r="454" ht="15.75" customHeight="1">
      <c r="A454" s="22"/>
      <c r="B454" s="22"/>
      <c r="C454" s="22"/>
      <c r="D454" s="22"/>
      <c r="E454" s="22"/>
      <c r="F454" s="22"/>
    </row>
    <row r="455" ht="15.75" customHeight="1">
      <c r="A455" s="22"/>
      <c r="B455" s="22"/>
      <c r="C455" s="22"/>
      <c r="D455" s="22"/>
      <c r="E455" s="22"/>
      <c r="F455" s="22"/>
    </row>
    <row r="456" ht="15.75" customHeight="1">
      <c r="A456" s="22"/>
      <c r="B456" s="22"/>
      <c r="C456" s="22"/>
      <c r="D456" s="22"/>
      <c r="E456" s="22"/>
      <c r="F456" s="22"/>
    </row>
    <row r="457" ht="15.75" customHeight="1">
      <c r="A457" s="22"/>
      <c r="B457" s="22"/>
      <c r="C457" s="22"/>
      <c r="D457" s="22"/>
      <c r="E457" s="22"/>
      <c r="F457" s="22"/>
    </row>
    <row r="458" ht="15.75" customHeight="1">
      <c r="A458" s="22"/>
      <c r="B458" s="22"/>
      <c r="C458" s="22"/>
      <c r="D458" s="22"/>
      <c r="E458" s="22"/>
      <c r="F458" s="22"/>
    </row>
    <row r="459" ht="15.75" customHeight="1">
      <c r="A459" s="22"/>
      <c r="B459" s="22"/>
      <c r="C459" s="22"/>
      <c r="D459" s="22"/>
      <c r="E459" s="22"/>
      <c r="F459" s="22"/>
    </row>
    <row r="460" ht="15.75" customHeight="1">
      <c r="A460" s="22"/>
      <c r="B460" s="22"/>
      <c r="C460" s="22"/>
      <c r="D460" s="22"/>
      <c r="E460" s="22"/>
      <c r="F460" s="22"/>
    </row>
    <row r="461" ht="15.75" customHeight="1">
      <c r="A461" s="22"/>
      <c r="B461" s="22"/>
      <c r="C461" s="22"/>
      <c r="D461" s="22"/>
      <c r="E461" s="22"/>
      <c r="F461" s="22"/>
    </row>
    <row r="462" ht="15.75" customHeight="1">
      <c r="A462" s="22"/>
      <c r="B462" s="22"/>
      <c r="C462" s="22"/>
      <c r="D462" s="22"/>
      <c r="E462" s="22"/>
      <c r="F462" s="22"/>
    </row>
    <row r="463" ht="15.75" customHeight="1">
      <c r="A463" s="22"/>
      <c r="B463" s="22"/>
      <c r="C463" s="22"/>
      <c r="D463" s="22"/>
      <c r="E463" s="22"/>
      <c r="F463" s="22"/>
    </row>
    <row r="464" ht="15.75" customHeight="1">
      <c r="A464" s="22"/>
      <c r="B464" s="22"/>
      <c r="C464" s="22"/>
      <c r="D464" s="22"/>
      <c r="E464" s="22"/>
      <c r="F464" s="22"/>
    </row>
    <row r="465" ht="15.75" customHeight="1">
      <c r="A465" s="22"/>
      <c r="B465" s="22"/>
      <c r="C465" s="22"/>
      <c r="D465" s="22"/>
      <c r="E465" s="22"/>
      <c r="F465" s="22"/>
    </row>
    <row r="466" ht="15.75" customHeight="1">
      <c r="A466" s="22"/>
      <c r="B466" s="22"/>
      <c r="C466" s="22"/>
      <c r="D466" s="22"/>
      <c r="E466" s="22"/>
      <c r="F466" s="22"/>
    </row>
    <row r="467" ht="15.75" customHeight="1">
      <c r="A467" s="22"/>
      <c r="B467" s="22"/>
      <c r="C467" s="22"/>
      <c r="D467" s="22"/>
      <c r="E467" s="22"/>
      <c r="F467" s="22"/>
    </row>
    <row r="468" ht="15.75" customHeight="1">
      <c r="A468" s="22"/>
      <c r="B468" s="22"/>
      <c r="C468" s="22"/>
      <c r="D468" s="22"/>
      <c r="E468" s="22"/>
      <c r="F468" s="22"/>
    </row>
    <row r="469" ht="15.75" customHeight="1">
      <c r="A469" s="22"/>
      <c r="B469" s="22"/>
      <c r="C469" s="22"/>
      <c r="D469" s="22"/>
      <c r="E469" s="22"/>
      <c r="F469" s="22"/>
    </row>
    <row r="470" ht="15.75" customHeight="1">
      <c r="A470" s="22"/>
      <c r="B470" s="22"/>
      <c r="C470" s="22"/>
      <c r="D470" s="22"/>
      <c r="E470" s="22"/>
      <c r="F470" s="22"/>
    </row>
    <row r="471" ht="15.75" customHeight="1">
      <c r="A471" s="22"/>
      <c r="B471" s="22"/>
      <c r="C471" s="22"/>
      <c r="D471" s="22"/>
      <c r="E471" s="22"/>
      <c r="F471" s="22"/>
    </row>
    <row r="472" ht="15.75" customHeight="1">
      <c r="A472" s="22"/>
      <c r="B472" s="22"/>
      <c r="C472" s="22"/>
      <c r="D472" s="22"/>
      <c r="E472" s="22"/>
      <c r="F472" s="22"/>
    </row>
    <row r="473" ht="15.75" customHeight="1">
      <c r="A473" s="22"/>
      <c r="B473" s="22"/>
      <c r="C473" s="22"/>
      <c r="D473" s="22"/>
      <c r="E473" s="22"/>
      <c r="F473" s="22"/>
    </row>
    <row r="474" ht="15.75" customHeight="1">
      <c r="A474" s="22"/>
      <c r="B474" s="22"/>
      <c r="C474" s="22"/>
      <c r="D474" s="22"/>
      <c r="E474" s="22"/>
      <c r="F474" s="22"/>
    </row>
    <row r="475" ht="15.75" customHeight="1">
      <c r="A475" s="22"/>
      <c r="B475" s="22"/>
      <c r="C475" s="22"/>
      <c r="D475" s="22"/>
      <c r="E475" s="22"/>
      <c r="F475" s="22"/>
    </row>
    <row r="476" ht="15.75" customHeight="1">
      <c r="A476" s="22"/>
      <c r="B476" s="22"/>
      <c r="C476" s="22"/>
      <c r="D476" s="22"/>
      <c r="E476" s="22"/>
      <c r="F476" s="22"/>
    </row>
    <row r="477" ht="15.75" customHeight="1">
      <c r="A477" s="22"/>
      <c r="B477" s="22"/>
      <c r="C477" s="22"/>
      <c r="D477" s="22"/>
      <c r="E477" s="22"/>
      <c r="F477" s="22"/>
    </row>
    <row r="478" ht="15.75" customHeight="1">
      <c r="A478" s="22"/>
      <c r="B478" s="22"/>
      <c r="C478" s="22"/>
      <c r="D478" s="22"/>
      <c r="E478" s="22"/>
      <c r="F478" s="22"/>
    </row>
    <row r="479" ht="15.75" customHeight="1">
      <c r="A479" s="22"/>
      <c r="B479" s="22"/>
      <c r="C479" s="22"/>
      <c r="D479" s="22"/>
      <c r="E479" s="22"/>
      <c r="F479" s="22"/>
    </row>
    <row r="480" ht="15.75" customHeight="1">
      <c r="A480" s="22"/>
      <c r="B480" s="22"/>
      <c r="C480" s="22"/>
      <c r="D480" s="22"/>
      <c r="E480" s="22"/>
      <c r="F480" s="22"/>
    </row>
    <row r="481" ht="15.75" customHeight="1">
      <c r="A481" s="22"/>
      <c r="B481" s="22"/>
      <c r="C481" s="22"/>
      <c r="D481" s="22"/>
      <c r="E481" s="22"/>
      <c r="F481" s="22"/>
    </row>
    <row r="482" ht="15.75" customHeight="1">
      <c r="A482" s="22"/>
      <c r="B482" s="22"/>
      <c r="C482" s="22"/>
      <c r="D482" s="22"/>
      <c r="E482" s="22"/>
      <c r="F482" s="22"/>
    </row>
    <row r="483" ht="15.75" customHeight="1">
      <c r="A483" s="22"/>
      <c r="B483" s="22"/>
      <c r="C483" s="22"/>
      <c r="D483" s="22"/>
      <c r="E483" s="22"/>
      <c r="F483" s="22"/>
    </row>
    <row r="484" ht="15.75" customHeight="1">
      <c r="A484" s="22"/>
      <c r="B484" s="22"/>
      <c r="C484" s="22"/>
      <c r="D484" s="22"/>
      <c r="E484" s="22"/>
      <c r="F484" s="22"/>
    </row>
    <row r="485" ht="15.75" customHeight="1">
      <c r="A485" s="22"/>
      <c r="B485" s="22"/>
      <c r="C485" s="22"/>
      <c r="D485" s="22"/>
      <c r="E485" s="22"/>
      <c r="F485" s="22"/>
    </row>
    <row r="486" ht="15.75" customHeight="1">
      <c r="A486" s="22"/>
      <c r="B486" s="22"/>
      <c r="C486" s="22"/>
      <c r="D486" s="22"/>
      <c r="E486" s="22"/>
      <c r="F486" s="22"/>
    </row>
    <row r="487" ht="15.75" customHeight="1">
      <c r="A487" s="22"/>
      <c r="B487" s="22"/>
      <c r="C487" s="22"/>
      <c r="D487" s="22"/>
      <c r="E487" s="22"/>
      <c r="F487" s="22"/>
    </row>
    <row r="488" ht="15.75" customHeight="1">
      <c r="A488" s="22"/>
      <c r="B488" s="22"/>
      <c r="C488" s="22"/>
      <c r="D488" s="22"/>
      <c r="E488" s="22"/>
      <c r="F488" s="22"/>
    </row>
    <row r="489" ht="15.75" customHeight="1">
      <c r="A489" s="22"/>
      <c r="B489" s="22"/>
      <c r="C489" s="22"/>
      <c r="D489" s="22"/>
      <c r="E489" s="22"/>
      <c r="F489" s="22"/>
    </row>
    <row r="490" ht="15.75" customHeight="1">
      <c r="A490" s="22"/>
      <c r="B490" s="22"/>
      <c r="C490" s="22"/>
      <c r="D490" s="22"/>
      <c r="E490" s="22"/>
      <c r="F490" s="22"/>
    </row>
    <row r="491" ht="15.75" customHeight="1">
      <c r="A491" s="22"/>
      <c r="B491" s="22"/>
      <c r="C491" s="22"/>
      <c r="D491" s="22"/>
      <c r="E491" s="22"/>
      <c r="F491" s="22"/>
    </row>
    <row r="492" ht="15.75" customHeight="1">
      <c r="A492" s="22"/>
      <c r="B492" s="22"/>
      <c r="C492" s="22"/>
      <c r="D492" s="22"/>
      <c r="E492" s="22"/>
      <c r="F492" s="22"/>
    </row>
    <row r="493" ht="15.75" customHeight="1">
      <c r="A493" s="22"/>
      <c r="B493" s="22"/>
      <c r="C493" s="22"/>
      <c r="D493" s="22"/>
      <c r="E493" s="22"/>
      <c r="F493" s="22"/>
    </row>
    <row r="494" ht="15.75" customHeight="1">
      <c r="A494" s="22"/>
      <c r="B494" s="22"/>
      <c r="C494" s="22"/>
      <c r="D494" s="22"/>
      <c r="E494" s="22"/>
      <c r="F494" s="22"/>
    </row>
    <row r="495" ht="15.75" customHeight="1">
      <c r="A495" s="22"/>
      <c r="B495" s="22"/>
      <c r="C495" s="22"/>
      <c r="D495" s="22"/>
      <c r="E495" s="22"/>
      <c r="F495" s="22"/>
    </row>
    <row r="496" ht="15.75" customHeight="1">
      <c r="A496" s="22"/>
      <c r="B496" s="22"/>
      <c r="C496" s="22"/>
      <c r="D496" s="22"/>
      <c r="E496" s="22"/>
      <c r="F496" s="22"/>
    </row>
    <row r="497" ht="15.75" customHeight="1">
      <c r="A497" s="22"/>
      <c r="B497" s="22"/>
      <c r="C497" s="22"/>
      <c r="D497" s="22"/>
      <c r="E497" s="22"/>
      <c r="F497" s="22"/>
    </row>
    <row r="498" ht="15.75" customHeight="1">
      <c r="A498" s="22"/>
      <c r="B498" s="22"/>
      <c r="C498" s="22"/>
      <c r="D498" s="22"/>
      <c r="E498" s="22"/>
      <c r="F498" s="22"/>
    </row>
    <row r="499" ht="15.75" customHeight="1">
      <c r="A499" s="22"/>
      <c r="B499" s="22"/>
      <c r="C499" s="22"/>
      <c r="D499" s="22"/>
      <c r="E499" s="22"/>
      <c r="F499" s="22"/>
    </row>
    <row r="500" ht="15.75" customHeight="1">
      <c r="A500" s="22"/>
      <c r="B500" s="22"/>
      <c r="C500" s="22"/>
      <c r="D500" s="22"/>
      <c r="E500" s="22"/>
      <c r="F500" s="22"/>
    </row>
    <row r="501" ht="15.75" customHeight="1">
      <c r="A501" s="22"/>
      <c r="B501" s="22"/>
      <c r="C501" s="22"/>
      <c r="D501" s="22"/>
      <c r="E501" s="22"/>
      <c r="F501" s="22"/>
    </row>
    <row r="502" ht="15.75" customHeight="1">
      <c r="A502" s="22"/>
      <c r="B502" s="22"/>
      <c r="C502" s="22"/>
      <c r="D502" s="22"/>
      <c r="E502" s="22"/>
      <c r="F502" s="22"/>
    </row>
    <row r="503" ht="15.75" customHeight="1">
      <c r="A503" s="22"/>
      <c r="B503" s="22"/>
      <c r="C503" s="22"/>
      <c r="D503" s="22"/>
      <c r="E503" s="22"/>
      <c r="F503" s="22"/>
    </row>
    <row r="504" ht="15.75" customHeight="1">
      <c r="A504" s="22"/>
      <c r="B504" s="22"/>
      <c r="C504" s="22"/>
      <c r="D504" s="22"/>
      <c r="E504" s="22"/>
      <c r="F504" s="22"/>
    </row>
    <row r="505" ht="15.75" customHeight="1">
      <c r="A505" s="22"/>
      <c r="B505" s="22"/>
      <c r="C505" s="22"/>
      <c r="D505" s="22"/>
      <c r="E505" s="22"/>
      <c r="F505" s="22"/>
    </row>
    <row r="506" ht="15.75" customHeight="1">
      <c r="A506" s="22"/>
      <c r="B506" s="22"/>
      <c r="C506" s="22"/>
      <c r="D506" s="22"/>
      <c r="E506" s="22"/>
      <c r="F506" s="22"/>
    </row>
    <row r="507" ht="15.75" customHeight="1">
      <c r="A507" s="22"/>
      <c r="B507" s="22"/>
      <c r="C507" s="22"/>
      <c r="D507" s="22"/>
      <c r="E507" s="22"/>
      <c r="F507" s="22"/>
    </row>
    <row r="508" ht="15.75" customHeight="1">
      <c r="A508" s="22"/>
      <c r="B508" s="22"/>
      <c r="C508" s="22"/>
      <c r="D508" s="22"/>
      <c r="E508" s="22"/>
      <c r="F508" s="22"/>
    </row>
    <row r="509" ht="15.75" customHeight="1">
      <c r="A509" s="22"/>
      <c r="B509" s="22"/>
      <c r="C509" s="22"/>
      <c r="D509" s="22"/>
      <c r="E509" s="22"/>
      <c r="F509" s="22"/>
    </row>
    <row r="510" ht="15.75" customHeight="1">
      <c r="A510" s="22"/>
      <c r="B510" s="22"/>
      <c r="C510" s="22"/>
      <c r="D510" s="22"/>
      <c r="E510" s="22"/>
      <c r="F510" s="22"/>
    </row>
    <row r="511" ht="15.75" customHeight="1">
      <c r="A511" s="22"/>
      <c r="B511" s="22"/>
      <c r="C511" s="22"/>
      <c r="D511" s="22"/>
      <c r="E511" s="22"/>
      <c r="F511" s="22"/>
    </row>
    <row r="512" ht="15.75" customHeight="1">
      <c r="A512" s="22"/>
      <c r="B512" s="22"/>
      <c r="C512" s="22"/>
      <c r="D512" s="22"/>
      <c r="E512" s="22"/>
      <c r="F512" s="22"/>
    </row>
    <row r="513" ht="15.75" customHeight="1">
      <c r="A513" s="22"/>
      <c r="B513" s="22"/>
      <c r="C513" s="22"/>
      <c r="D513" s="22"/>
      <c r="E513" s="22"/>
      <c r="F513" s="22"/>
    </row>
    <row r="514" ht="15.75" customHeight="1">
      <c r="A514" s="22"/>
      <c r="B514" s="22"/>
      <c r="C514" s="22"/>
      <c r="D514" s="22"/>
      <c r="E514" s="22"/>
      <c r="F514" s="22"/>
    </row>
    <row r="515" ht="15.75" customHeight="1">
      <c r="A515" s="22"/>
      <c r="B515" s="22"/>
      <c r="C515" s="22"/>
      <c r="D515" s="22"/>
      <c r="E515" s="22"/>
      <c r="F515" s="22"/>
    </row>
    <row r="516" ht="15.75" customHeight="1">
      <c r="A516" s="22"/>
      <c r="B516" s="22"/>
      <c r="C516" s="22"/>
      <c r="D516" s="22"/>
      <c r="E516" s="22"/>
      <c r="F516" s="22"/>
    </row>
    <row r="517" ht="15.75" customHeight="1">
      <c r="A517" s="22"/>
      <c r="B517" s="22"/>
      <c r="C517" s="22"/>
      <c r="D517" s="22"/>
      <c r="E517" s="22"/>
      <c r="F517" s="22"/>
    </row>
    <row r="518" ht="15.75" customHeight="1">
      <c r="A518" s="22"/>
      <c r="B518" s="22"/>
      <c r="C518" s="22"/>
      <c r="D518" s="22"/>
      <c r="E518" s="22"/>
      <c r="F518" s="22"/>
    </row>
    <row r="519" ht="15.75" customHeight="1">
      <c r="A519" s="22"/>
      <c r="B519" s="22"/>
      <c r="C519" s="22"/>
      <c r="D519" s="22"/>
      <c r="E519" s="22"/>
      <c r="F519" s="22"/>
    </row>
    <row r="520" ht="15.75" customHeight="1">
      <c r="A520" s="22"/>
      <c r="B520" s="22"/>
      <c r="C520" s="22"/>
      <c r="D520" s="22"/>
      <c r="E520" s="22"/>
      <c r="F520" s="22"/>
    </row>
    <row r="521" ht="15.75" customHeight="1">
      <c r="A521" s="22"/>
      <c r="B521" s="22"/>
      <c r="C521" s="22"/>
      <c r="D521" s="22"/>
      <c r="E521" s="22"/>
      <c r="F521" s="22"/>
    </row>
    <row r="522" ht="15.75" customHeight="1">
      <c r="A522" s="22"/>
      <c r="B522" s="22"/>
      <c r="C522" s="22"/>
      <c r="D522" s="22"/>
      <c r="E522" s="22"/>
      <c r="F522" s="22"/>
    </row>
    <row r="523" ht="15.75" customHeight="1">
      <c r="A523" s="22"/>
      <c r="B523" s="22"/>
      <c r="C523" s="22"/>
      <c r="D523" s="22"/>
      <c r="E523" s="22"/>
      <c r="F523" s="22"/>
    </row>
    <row r="524" ht="15.75" customHeight="1">
      <c r="A524" s="22"/>
      <c r="B524" s="22"/>
      <c r="C524" s="22"/>
      <c r="D524" s="22"/>
      <c r="E524" s="22"/>
      <c r="F524" s="22"/>
    </row>
    <row r="525" ht="15.75" customHeight="1">
      <c r="A525" s="22"/>
      <c r="B525" s="22"/>
      <c r="C525" s="22"/>
      <c r="D525" s="22"/>
      <c r="E525" s="22"/>
      <c r="F525" s="22"/>
    </row>
    <row r="526" ht="15.75" customHeight="1">
      <c r="A526" s="22"/>
      <c r="B526" s="22"/>
      <c r="C526" s="22"/>
      <c r="D526" s="22"/>
      <c r="E526" s="22"/>
      <c r="F526" s="22"/>
    </row>
    <row r="527" ht="15.75" customHeight="1">
      <c r="A527" s="22"/>
      <c r="B527" s="22"/>
      <c r="C527" s="22"/>
      <c r="D527" s="22"/>
      <c r="E527" s="22"/>
      <c r="F527" s="22"/>
    </row>
    <row r="528" ht="15.75" customHeight="1">
      <c r="A528" s="22"/>
      <c r="B528" s="22"/>
      <c r="C528" s="22"/>
      <c r="D528" s="22"/>
      <c r="E528" s="22"/>
      <c r="F528" s="22"/>
    </row>
    <row r="529" ht="15.75" customHeight="1">
      <c r="A529" s="22"/>
      <c r="B529" s="22"/>
      <c r="C529" s="22"/>
      <c r="D529" s="22"/>
      <c r="E529" s="22"/>
      <c r="F529" s="22"/>
    </row>
    <row r="530" ht="15.75" customHeight="1">
      <c r="A530" s="22"/>
      <c r="B530" s="22"/>
      <c r="C530" s="22"/>
      <c r="D530" s="22"/>
      <c r="E530" s="22"/>
      <c r="F530" s="22"/>
    </row>
    <row r="531" ht="15.75" customHeight="1">
      <c r="A531" s="22"/>
      <c r="B531" s="22"/>
      <c r="C531" s="22"/>
      <c r="D531" s="22"/>
      <c r="E531" s="22"/>
      <c r="F531" s="22"/>
    </row>
    <row r="532" ht="15.75" customHeight="1">
      <c r="A532" s="22"/>
      <c r="B532" s="22"/>
      <c r="C532" s="22"/>
      <c r="D532" s="22"/>
      <c r="E532" s="22"/>
      <c r="F532" s="22"/>
    </row>
    <row r="533" ht="15.75" customHeight="1">
      <c r="A533" s="22"/>
      <c r="B533" s="22"/>
      <c r="C533" s="22"/>
      <c r="D533" s="22"/>
      <c r="E533" s="22"/>
      <c r="F533" s="22"/>
    </row>
    <row r="534" ht="15.75" customHeight="1">
      <c r="A534" s="22"/>
      <c r="B534" s="22"/>
      <c r="C534" s="22"/>
      <c r="D534" s="22"/>
      <c r="E534" s="22"/>
      <c r="F534" s="22"/>
    </row>
    <row r="535" ht="15.75" customHeight="1">
      <c r="A535" s="22"/>
      <c r="B535" s="22"/>
      <c r="C535" s="22"/>
      <c r="D535" s="22"/>
      <c r="E535" s="22"/>
      <c r="F535" s="22"/>
    </row>
    <row r="536" ht="15.75" customHeight="1">
      <c r="A536" s="22"/>
      <c r="B536" s="22"/>
      <c r="C536" s="22"/>
      <c r="D536" s="22"/>
      <c r="E536" s="22"/>
      <c r="F536" s="22"/>
    </row>
    <row r="537" ht="15.75" customHeight="1">
      <c r="A537" s="22"/>
      <c r="B537" s="22"/>
      <c r="C537" s="22"/>
      <c r="D537" s="22"/>
      <c r="E537" s="22"/>
      <c r="F537" s="22"/>
    </row>
    <row r="538" ht="15.75" customHeight="1">
      <c r="A538" s="22"/>
      <c r="B538" s="22"/>
      <c r="C538" s="22"/>
      <c r="D538" s="22"/>
      <c r="E538" s="22"/>
      <c r="F538" s="22"/>
    </row>
    <row r="539" ht="15.75" customHeight="1">
      <c r="A539" s="22"/>
      <c r="B539" s="22"/>
      <c r="C539" s="22"/>
      <c r="D539" s="22"/>
      <c r="E539" s="22"/>
      <c r="F539" s="22"/>
    </row>
    <row r="540" ht="15.75" customHeight="1">
      <c r="A540" s="22"/>
      <c r="B540" s="22"/>
      <c r="C540" s="22"/>
      <c r="D540" s="22"/>
      <c r="E540" s="22"/>
      <c r="F540" s="22"/>
    </row>
    <row r="541" ht="15.75" customHeight="1">
      <c r="A541" s="22"/>
      <c r="B541" s="22"/>
      <c r="C541" s="22"/>
      <c r="D541" s="22"/>
      <c r="E541" s="22"/>
      <c r="F541" s="22"/>
    </row>
    <row r="542" ht="15.75" customHeight="1">
      <c r="A542" s="22"/>
      <c r="B542" s="22"/>
      <c r="C542" s="22"/>
      <c r="D542" s="22"/>
      <c r="E542" s="22"/>
      <c r="F542" s="22"/>
    </row>
    <row r="543" ht="15.75" customHeight="1">
      <c r="A543" s="22"/>
      <c r="B543" s="22"/>
      <c r="C543" s="22"/>
      <c r="D543" s="22"/>
      <c r="E543" s="22"/>
      <c r="F543" s="22"/>
    </row>
    <row r="544" ht="15.75" customHeight="1">
      <c r="A544" s="22"/>
      <c r="B544" s="22"/>
      <c r="C544" s="22"/>
      <c r="D544" s="22"/>
      <c r="E544" s="22"/>
      <c r="F544" s="22"/>
    </row>
    <row r="545" ht="15.75" customHeight="1">
      <c r="A545" s="22"/>
      <c r="B545" s="22"/>
      <c r="C545" s="22"/>
      <c r="D545" s="22"/>
      <c r="E545" s="22"/>
      <c r="F545" s="22"/>
    </row>
    <row r="546" ht="15.75" customHeight="1">
      <c r="A546" s="22"/>
      <c r="B546" s="22"/>
      <c r="C546" s="22"/>
      <c r="D546" s="22"/>
      <c r="E546" s="22"/>
      <c r="F546" s="22"/>
    </row>
    <row r="547" ht="15.75" customHeight="1">
      <c r="A547" s="22"/>
      <c r="B547" s="22"/>
      <c r="C547" s="22"/>
      <c r="D547" s="22"/>
      <c r="E547" s="22"/>
      <c r="F547" s="22"/>
    </row>
    <row r="548" ht="15.75" customHeight="1">
      <c r="A548" s="22"/>
      <c r="B548" s="22"/>
      <c r="C548" s="22"/>
      <c r="D548" s="22"/>
      <c r="E548" s="22"/>
      <c r="F548" s="22"/>
    </row>
    <row r="549" ht="15.75" customHeight="1">
      <c r="A549" s="22"/>
      <c r="B549" s="22"/>
      <c r="C549" s="22"/>
      <c r="D549" s="22"/>
      <c r="E549" s="22"/>
      <c r="F549" s="22"/>
    </row>
    <row r="550" ht="15.75" customHeight="1">
      <c r="A550" s="22"/>
      <c r="B550" s="22"/>
      <c r="C550" s="22"/>
      <c r="D550" s="22"/>
      <c r="E550" s="22"/>
      <c r="F550" s="22"/>
    </row>
    <row r="551" ht="15.75" customHeight="1">
      <c r="A551" s="22"/>
      <c r="B551" s="22"/>
      <c r="C551" s="22"/>
      <c r="D551" s="22"/>
      <c r="E551" s="22"/>
      <c r="F551" s="22"/>
    </row>
    <row r="552" ht="15.75" customHeight="1">
      <c r="A552" s="22"/>
      <c r="B552" s="22"/>
      <c r="C552" s="22"/>
      <c r="D552" s="22"/>
      <c r="E552" s="22"/>
      <c r="F552" s="22"/>
    </row>
    <row r="553" ht="15.75" customHeight="1">
      <c r="A553" s="22"/>
      <c r="B553" s="22"/>
      <c r="C553" s="22"/>
      <c r="D553" s="22"/>
      <c r="E553" s="22"/>
      <c r="F553" s="22"/>
    </row>
    <row r="554" ht="15.75" customHeight="1">
      <c r="A554" s="22"/>
      <c r="B554" s="22"/>
      <c r="C554" s="22"/>
      <c r="D554" s="22"/>
      <c r="E554" s="22"/>
      <c r="F554" s="22"/>
    </row>
    <row r="555" ht="15.75" customHeight="1">
      <c r="A555" s="22"/>
      <c r="B555" s="22"/>
      <c r="C555" s="22"/>
      <c r="D555" s="22"/>
      <c r="E555" s="22"/>
      <c r="F555" s="22"/>
    </row>
    <row r="556" ht="15.75" customHeight="1">
      <c r="A556" s="22"/>
      <c r="B556" s="22"/>
      <c r="C556" s="22"/>
      <c r="D556" s="22"/>
      <c r="E556" s="22"/>
      <c r="F556" s="22"/>
    </row>
    <row r="557" ht="15.75" customHeight="1">
      <c r="A557" s="22"/>
      <c r="B557" s="22"/>
      <c r="C557" s="22"/>
      <c r="D557" s="22"/>
      <c r="E557" s="22"/>
      <c r="F557" s="22"/>
    </row>
    <row r="558" ht="15.75" customHeight="1">
      <c r="A558" s="22"/>
      <c r="B558" s="22"/>
      <c r="C558" s="22"/>
      <c r="D558" s="22"/>
      <c r="E558" s="22"/>
      <c r="F558" s="22"/>
    </row>
    <row r="559" ht="15.75" customHeight="1">
      <c r="A559" s="22"/>
      <c r="B559" s="22"/>
      <c r="C559" s="22"/>
      <c r="D559" s="22"/>
      <c r="E559" s="22"/>
      <c r="F559" s="22"/>
    </row>
    <row r="560" ht="15.75" customHeight="1">
      <c r="A560" s="22"/>
      <c r="B560" s="22"/>
      <c r="C560" s="22"/>
      <c r="D560" s="22"/>
      <c r="E560" s="22"/>
      <c r="F560" s="22"/>
    </row>
    <row r="561" ht="15.75" customHeight="1">
      <c r="A561" s="22"/>
      <c r="B561" s="22"/>
      <c r="C561" s="22"/>
      <c r="D561" s="22"/>
      <c r="E561" s="22"/>
      <c r="F561" s="22"/>
    </row>
    <row r="562" ht="15.75" customHeight="1">
      <c r="A562" s="22"/>
      <c r="B562" s="22"/>
      <c r="C562" s="22"/>
      <c r="D562" s="22"/>
      <c r="E562" s="22"/>
      <c r="F562" s="22"/>
    </row>
    <row r="563" ht="15.75" customHeight="1">
      <c r="A563" s="22"/>
      <c r="B563" s="22"/>
      <c r="C563" s="22"/>
      <c r="D563" s="22"/>
      <c r="E563" s="22"/>
      <c r="F563" s="22"/>
    </row>
    <row r="564" ht="15.75" customHeight="1">
      <c r="A564" s="22"/>
      <c r="B564" s="22"/>
      <c r="C564" s="22"/>
      <c r="D564" s="22"/>
      <c r="E564" s="22"/>
      <c r="F564" s="22"/>
    </row>
    <row r="565" ht="15.75" customHeight="1">
      <c r="A565" s="22"/>
      <c r="B565" s="22"/>
      <c r="C565" s="22"/>
      <c r="D565" s="22"/>
      <c r="E565" s="22"/>
      <c r="F565" s="22"/>
    </row>
    <row r="566" ht="15.75" customHeight="1">
      <c r="A566" s="22"/>
      <c r="B566" s="22"/>
      <c r="C566" s="22"/>
      <c r="D566" s="22"/>
      <c r="E566" s="22"/>
      <c r="F566" s="22"/>
    </row>
    <row r="567" ht="15.75" customHeight="1">
      <c r="A567" s="22"/>
      <c r="B567" s="22"/>
      <c r="C567" s="22"/>
      <c r="D567" s="22"/>
      <c r="E567" s="22"/>
      <c r="F567" s="22"/>
    </row>
    <row r="568" ht="15.75" customHeight="1">
      <c r="A568" s="22"/>
      <c r="B568" s="22"/>
      <c r="C568" s="22"/>
      <c r="D568" s="22"/>
      <c r="E568" s="22"/>
      <c r="F568" s="22"/>
    </row>
    <row r="569" ht="15.75" customHeight="1">
      <c r="A569" s="22"/>
      <c r="B569" s="22"/>
      <c r="C569" s="22"/>
      <c r="D569" s="22"/>
      <c r="E569" s="22"/>
      <c r="F569" s="22"/>
    </row>
    <row r="570" ht="15.75" customHeight="1">
      <c r="A570" s="22"/>
      <c r="B570" s="22"/>
      <c r="C570" s="22"/>
      <c r="D570" s="22"/>
      <c r="E570" s="22"/>
      <c r="F570" s="22"/>
    </row>
    <row r="571" ht="15.75" customHeight="1">
      <c r="A571" s="22"/>
      <c r="B571" s="22"/>
      <c r="C571" s="22"/>
      <c r="D571" s="22"/>
      <c r="E571" s="22"/>
      <c r="F571" s="22"/>
    </row>
    <row r="572" ht="15.75" customHeight="1">
      <c r="A572" s="22"/>
      <c r="B572" s="22"/>
      <c r="C572" s="22"/>
      <c r="D572" s="22"/>
      <c r="E572" s="22"/>
      <c r="F572" s="22"/>
    </row>
    <row r="573" ht="15.75" customHeight="1">
      <c r="A573" s="22"/>
      <c r="B573" s="22"/>
      <c r="C573" s="22"/>
      <c r="D573" s="22"/>
      <c r="E573" s="22"/>
      <c r="F573" s="22"/>
    </row>
    <row r="574" ht="15.75" customHeight="1">
      <c r="A574" s="22"/>
      <c r="B574" s="22"/>
      <c r="C574" s="22"/>
      <c r="D574" s="22"/>
      <c r="E574" s="22"/>
      <c r="F574" s="22"/>
    </row>
    <row r="575" ht="15.75" customHeight="1">
      <c r="A575" s="22"/>
      <c r="B575" s="22"/>
      <c r="C575" s="22"/>
      <c r="D575" s="22"/>
      <c r="E575" s="22"/>
      <c r="F575" s="22"/>
    </row>
    <row r="576" ht="15.75" customHeight="1">
      <c r="A576" s="22"/>
      <c r="B576" s="22"/>
      <c r="C576" s="22"/>
      <c r="D576" s="22"/>
      <c r="E576" s="22"/>
      <c r="F576" s="22"/>
    </row>
    <row r="577" ht="15.75" customHeight="1">
      <c r="A577" s="22"/>
      <c r="B577" s="22"/>
      <c r="C577" s="22"/>
      <c r="D577" s="22"/>
      <c r="E577" s="22"/>
      <c r="F577" s="22"/>
    </row>
    <row r="578" ht="15.75" customHeight="1">
      <c r="A578" s="22"/>
      <c r="B578" s="22"/>
      <c r="C578" s="22"/>
      <c r="D578" s="22"/>
      <c r="E578" s="22"/>
      <c r="F578" s="22"/>
    </row>
    <row r="579" ht="15.75" customHeight="1">
      <c r="A579" s="22"/>
      <c r="B579" s="22"/>
      <c r="C579" s="22"/>
      <c r="D579" s="22"/>
      <c r="E579" s="22"/>
      <c r="F579" s="22"/>
    </row>
    <row r="580" ht="15.75" customHeight="1">
      <c r="A580" s="22"/>
      <c r="B580" s="22"/>
      <c r="C580" s="22"/>
      <c r="D580" s="22"/>
      <c r="E580" s="22"/>
      <c r="F580" s="22"/>
    </row>
    <row r="581" ht="15.75" customHeight="1">
      <c r="A581" s="22"/>
      <c r="B581" s="22"/>
      <c r="C581" s="22"/>
      <c r="D581" s="22"/>
      <c r="E581" s="22"/>
      <c r="F581" s="22"/>
    </row>
    <row r="582" ht="15.75" customHeight="1">
      <c r="A582" s="22"/>
      <c r="B582" s="22"/>
      <c r="C582" s="22"/>
      <c r="D582" s="22"/>
      <c r="E582" s="22"/>
      <c r="F582" s="22"/>
    </row>
    <row r="583" ht="15.75" customHeight="1">
      <c r="A583" s="22"/>
      <c r="B583" s="22"/>
      <c r="C583" s="22"/>
      <c r="D583" s="22"/>
      <c r="E583" s="22"/>
      <c r="F583" s="22"/>
    </row>
    <row r="584" ht="15.75" customHeight="1">
      <c r="A584" s="22"/>
      <c r="B584" s="22"/>
      <c r="C584" s="22"/>
      <c r="D584" s="22"/>
      <c r="E584" s="22"/>
      <c r="F584" s="22"/>
    </row>
    <row r="585" ht="15.75" customHeight="1">
      <c r="A585" s="22"/>
      <c r="B585" s="22"/>
      <c r="C585" s="22"/>
      <c r="D585" s="22"/>
      <c r="E585" s="22"/>
      <c r="F585" s="22"/>
    </row>
    <row r="586" ht="15.75" customHeight="1">
      <c r="A586" s="22"/>
      <c r="B586" s="22"/>
      <c r="C586" s="22"/>
      <c r="D586" s="22"/>
      <c r="E586" s="22"/>
      <c r="F586" s="22"/>
    </row>
    <row r="587" ht="15.75" customHeight="1">
      <c r="A587" s="22"/>
      <c r="B587" s="22"/>
      <c r="C587" s="22"/>
      <c r="D587" s="22"/>
      <c r="E587" s="22"/>
      <c r="F587" s="22"/>
    </row>
    <row r="588" ht="15.75" customHeight="1">
      <c r="A588" s="22"/>
      <c r="B588" s="22"/>
      <c r="C588" s="22"/>
      <c r="D588" s="22"/>
      <c r="E588" s="22"/>
      <c r="F588" s="22"/>
    </row>
    <row r="589" ht="15.75" customHeight="1">
      <c r="A589" s="22"/>
      <c r="B589" s="22"/>
      <c r="C589" s="22"/>
      <c r="D589" s="22"/>
      <c r="E589" s="22"/>
      <c r="F589" s="22"/>
    </row>
    <row r="590" ht="15.75" customHeight="1">
      <c r="A590" s="22"/>
      <c r="B590" s="22"/>
      <c r="C590" s="22"/>
      <c r="D590" s="22"/>
      <c r="E590" s="22"/>
      <c r="F590" s="22"/>
    </row>
    <row r="591" ht="15.75" customHeight="1">
      <c r="A591" s="22"/>
      <c r="B591" s="22"/>
      <c r="C591" s="22"/>
      <c r="D591" s="22"/>
      <c r="E591" s="22"/>
      <c r="F591" s="22"/>
    </row>
    <row r="592" ht="15.75" customHeight="1">
      <c r="A592" s="22"/>
      <c r="B592" s="22"/>
      <c r="C592" s="22"/>
      <c r="D592" s="22"/>
      <c r="E592" s="22"/>
      <c r="F592" s="22"/>
    </row>
    <row r="593" ht="15.75" customHeight="1">
      <c r="A593" s="22"/>
      <c r="B593" s="22"/>
      <c r="C593" s="22"/>
      <c r="D593" s="22"/>
      <c r="E593" s="22"/>
      <c r="F593" s="22"/>
    </row>
    <row r="594" ht="15.75" customHeight="1">
      <c r="A594" s="22"/>
      <c r="B594" s="22"/>
      <c r="C594" s="22"/>
      <c r="D594" s="22"/>
      <c r="E594" s="22"/>
      <c r="F594" s="22"/>
    </row>
    <row r="595" ht="15.75" customHeight="1">
      <c r="A595" s="22"/>
      <c r="B595" s="22"/>
      <c r="C595" s="22"/>
      <c r="D595" s="22"/>
      <c r="E595" s="22"/>
      <c r="F595" s="22"/>
    </row>
    <row r="596" ht="15.75" customHeight="1">
      <c r="A596" s="22"/>
      <c r="B596" s="22"/>
      <c r="C596" s="22"/>
      <c r="D596" s="22"/>
      <c r="E596" s="22"/>
      <c r="F596" s="22"/>
    </row>
    <row r="597" ht="15.75" customHeight="1">
      <c r="A597" s="22"/>
      <c r="B597" s="22"/>
      <c r="C597" s="22"/>
      <c r="D597" s="22"/>
      <c r="E597" s="22"/>
      <c r="F597" s="22"/>
    </row>
    <row r="598" ht="15.75" customHeight="1">
      <c r="A598" s="22"/>
      <c r="B598" s="22"/>
      <c r="C598" s="22"/>
      <c r="D598" s="22"/>
      <c r="E598" s="22"/>
      <c r="F598" s="22"/>
    </row>
    <row r="599" ht="15.75" customHeight="1">
      <c r="A599" s="22"/>
      <c r="B599" s="22"/>
      <c r="C599" s="22"/>
      <c r="D599" s="22"/>
      <c r="E599" s="22"/>
      <c r="F599" s="22"/>
    </row>
    <row r="600" ht="15.75" customHeight="1">
      <c r="A600" s="22"/>
      <c r="B600" s="22"/>
      <c r="C600" s="22"/>
      <c r="D600" s="22"/>
      <c r="E600" s="22"/>
      <c r="F600" s="22"/>
    </row>
    <row r="601" ht="15.75" customHeight="1">
      <c r="A601" s="22"/>
      <c r="B601" s="22"/>
      <c r="C601" s="22"/>
      <c r="D601" s="22"/>
      <c r="E601" s="22"/>
      <c r="F601" s="22"/>
    </row>
    <row r="602" ht="15.75" customHeight="1">
      <c r="A602" s="22"/>
      <c r="B602" s="22"/>
      <c r="C602" s="22"/>
      <c r="D602" s="22"/>
      <c r="E602" s="22"/>
      <c r="F602" s="22"/>
    </row>
    <row r="603" ht="15.75" customHeight="1">
      <c r="A603" s="22"/>
      <c r="B603" s="22"/>
      <c r="C603" s="22"/>
      <c r="D603" s="22"/>
      <c r="E603" s="22"/>
      <c r="F603" s="22"/>
    </row>
    <row r="604" ht="15.75" customHeight="1">
      <c r="A604" s="22"/>
      <c r="B604" s="22"/>
      <c r="C604" s="22"/>
      <c r="D604" s="22"/>
      <c r="E604" s="22"/>
      <c r="F604" s="22"/>
    </row>
    <row r="605" ht="15.75" customHeight="1">
      <c r="A605" s="22"/>
      <c r="B605" s="22"/>
      <c r="C605" s="22"/>
      <c r="D605" s="22"/>
      <c r="E605" s="22"/>
      <c r="F605" s="22"/>
    </row>
    <row r="606" ht="15.75" customHeight="1">
      <c r="A606" s="22"/>
      <c r="B606" s="22"/>
      <c r="C606" s="22"/>
      <c r="D606" s="22"/>
      <c r="E606" s="22"/>
      <c r="F606" s="22"/>
    </row>
    <row r="607" ht="15.75" customHeight="1">
      <c r="A607" s="22"/>
      <c r="B607" s="22"/>
      <c r="C607" s="22"/>
      <c r="D607" s="22"/>
      <c r="E607" s="22"/>
      <c r="F607" s="22"/>
    </row>
    <row r="608" ht="15.75" customHeight="1">
      <c r="A608" s="22"/>
      <c r="B608" s="22"/>
      <c r="C608" s="22"/>
      <c r="D608" s="22"/>
      <c r="E608" s="22"/>
      <c r="F608" s="22"/>
    </row>
    <row r="609" ht="15.75" customHeight="1">
      <c r="A609" s="22"/>
      <c r="B609" s="22"/>
      <c r="C609" s="22"/>
      <c r="D609" s="22"/>
      <c r="E609" s="22"/>
      <c r="F609" s="22"/>
    </row>
    <row r="610" ht="15.75" customHeight="1">
      <c r="A610" s="22"/>
      <c r="B610" s="22"/>
      <c r="C610" s="22"/>
      <c r="D610" s="22"/>
      <c r="E610" s="22"/>
      <c r="F610" s="22"/>
    </row>
    <row r="611" ht="15.75" customHeight="1">
      <c r="A611" s="22"/>
      <c r="B611" s="22"/>
      <c r="C611" s="22"/>
      <c r="D611" s="22"/>
      <c r="E611" s="22"/>
      <c r="F611" s="22"/>
    </row>
    <row r="612" ht="15.75" customHeight="1">
      <c r="A612" s="22"/>
      <c r="B612" s="22"/>
      <c r="C612" s="22"/>
      <c r="D612" s="22"/>
      <c r="E612" s="22"/>
      <c r="F612" s="22"/>
    </row>
    <row r="613" ht="15.75" customHeight="1">
      <c r="A613" s="22"/>
      <c r="B613" s="22"/>
      <c r="C613" s="22"/>
      <c r="D613" s="22"/>
      <c r="E613" s="22"/>
      <c r="F613" s="22"/>
    </row>
    <row r="614" ht="15.75" customHeight="1">
      <c r="A614" s="22"/>
      <c r="B614" s="22"/>
      <c r="C614" s="22"/>
      <c r="D614" s="22"/>
      <c r="E614" s="22"/>
      <c r="F614" s="22"/>
    </row>
    <row r="615" ht="15.75" customHeight="1">
      <c r="A615" s="22"/>
      <c r="B615" s="22"/>
      <c r="C615" s="22"/>
      <c r="D615" s="22"/>
      <c r="E615" s="22"/>
      <c r="F615" s="22"/>
    </row>
    <row r="616" ht="15.75" customHeight="1">
      <c r="A616" s="22"/>
      <c r="B616" s="22"/>
      <c r="C616" s="22"/>
      <c r="D616" s="22"/>
      <c r="E616" s="22"/>
      <c r="F616" s="22"/>
    </row>
    <row r="617" ht="15.75" customHeight="1">
      <c r="A617" s="22"/>
      <c r="B617" s="22"/>
      <c r="C617" s="22"/>
      <c r="D617" s="22"/>
      <c r="E617" s="22"/>
      <c r="F617" s="22"/>
    </row>
    <row r="618" ht="15.75" customHeight="1">
      <c r="A618" s="22"/>
      <c r="B618" s="22"/>
      <c r="C618" s="22"/>
      <c r="D618" s="22"/>
      <c r="E618" s="22"/>
      <c r="F618" s="22"/>
    </row>
    <row r="619" ht="15.75" customHeight="1">
      <c r="A619" s="22"/>
      <c r="B619" s="22"/>
      <c r="C619" s="22"/>
      <c r="D619" s="22"/>
      <c r="E619" s="22"/>
      <c r="F619" s="22"/>
    </row>
    <row r="620" ht="15.75" customHeight="1">
      <c r="A620" s="22"/>
      <c r="B620" s="22"/>
      <c r="C620" s="22"/>
      <c r="D620" s="22"/>
      <c r="E620" s="22"/>
      <c r="F620" s="22"/>
    </row>
    <row r="621" ht="15.75" customHeight="1">
      <c r="A621" s="22"/>
      <c r="B621" s="22"/>
      <c r="C621" s="22"/>
      <c r="D621" s="22"/>
      <c r="E621" s="22"/>
      <c r="F621" s="22"/>
    </row>
    <row r="622" ht="15.75" customHeight="1">
      <c r="A622" s="22"/>
      <c r="B622" s="22"/>
      <c r="C622" s="22"/>
      <c r="D622" s="22"/>
      <c r="E622" s="22"/>
      <c r="F622" s="22"/>
    </row>
    <row r="623" ht="15.75" customHeight="1">
      <c r="A623" s="22"/>
      <c r="B623" s="22"/>
      <c r="C623" s="22"/>
      <c r="D623" s="22"/>
      <c r="E623" s="22"/>
      <c r="F623" s="22"/>
    </row>
    <row r="624" ht="15.75" customHeight="1">
      <c r="A624" s="22"/>
      <c r="B624" s="22"/>
      <c r="C624" s="22"/>
      <c r="D624" s="22"/>
      <c r="E624" s="22"/>
      <c r="F624" s="22"/>
    </row>
    <row r="625" ht="15.75" customHeight="1">
      <c r="A625" s="22"/>
      <c r="B625" s="22"/>
      <c r="C625" s="22"/>
      <c r="D625" s="22"/>
      <c r="E625" s="22"/>
      <c r="F625" s="22"/>
    </row>
    <row r="626" ht="15.75" customHeight="1">
      <c r="A626" s="22"/>
      <c r="B626" s="22"/>
      <c r="C626" s="22"/>
      <c r="D626" s="22"/>
      <c r="E626" s="22"/>
      <c r="F626" s="22"/>
    </row>
    <row r="627" ht="15.75" customHeight="1">
      <c r="A627" s="22"/>
      <c r="B627" s="22"/>
      <c r="C627" s="22"/>
      <c r="D627" s="22"/>
      <c r="E627" s="22"/>
      <c r="F627" s="22"/>
    </row>
    <row r="628" ht="15.75" customHeight="1">
      <c r="A628" s="22"/>
      <c r="B628" s="22"/>
      <c r="C628" s="22"/>
      <c r="D628" s="22"/>
      <c r="E628" s="22"/>
      <c r="F628" s="22"/>
    </row>
    <row r="629" ht="15.75" customHeight="1">
      <c r="A629" s="22"/>
      <c r="B629" s="22"/>
      <c r="C629" s="22"/>
      <c r="D629" s="22"/>
      <c r="E629" s="22"/>
      <c r="F629" s="22"/>
    </row>
    <row r="630" ht="15.75" customHeight="1">
      <c r="A630" s="22"/>
      <c r="B630" s="22"/>
      <c r="C630" s="22"/>
      <c r="D630" s="22"/>
      <c r="E630" s="22"/>
      <c r="F630" s="22"/>
    </row>
    <row r="631" ht="15.75" customHeight="1">
      <c r="A631" s="22"/>
      <c r="B631" s="22"/>
      <c r="C631" s="22"/>
      <c r="D631" s="22"/>
      <c r="E631" s="22"/>
      <c r="F631" s="22"/>
    </row>
    <row r="632" ht="15.75" customHeight="1">
      <c r="A632" s="22"/>
      <c r="B632" s="22"/>
      <c r="C632" s="22"/>
      <c r="D632" s="22"/>
      <c r="E632" s="22"/>
      <c r="F632" s="22"/>
    </row>
    <row r="633" ht="15.75" customHeight="1">
      <c r="A633" s="22"/>
      <c r="B633" s="22"/>
      <c r="C633" s="22"/>
      <c r="D633" s="22"/>
      <c r="E633" s="22"/>
      <c r="F633" s="22"/>
    </row>
    <row r="634" ht="15.75" customHeight="1">
      <c r="A634" s="22"/>
      <c r="B634" s="22"/>
      <c r="C634" s="22"/>
      <c r="D634" s="22"/>
      <c r="E634" s="22"/>
      <c r="F634" s="22"/>
    </row>
    <row r="635" ht="15.75" customHeight="1">
      <c r="A635" s="22"/>
      <c r="B635" s="22"/>
      <c r="C635" s="22"/>
      <c r="D635" s="22"/>
      <c r="E635" s="22"/>
      <c r="F635" s="22"/>
    </row>
    <row r="636" ht="15.75" customHeight="1">
      <c r="A636" s="22"/>
      <c r="B636" s="22"/>
      <c r="C636" s="22"/>
      <c r="D636" s="22"/>
      <c r="E636" s="22"/>
      <c r="F636" s="22"/>
    </row>
    <row r="637" ht="15.75" customHeight="1">
      <c r="A637" s="22"/>
      <c r="B637" s="22"/>
      <c r="C637" s="22"/>
      <c r="D637" s="22"/>
      <c r="E637" s="22"/>
      <c r="F637" s="22"/>
    </row>
    <row r="638" ht="15.75" customHeight="1">
      <c r="A638" s="22"/>
      <c r="B638" s="22"/>
      <c r="C638" s="22"/>
      <c r="D638" s="22"/>
      <c r="E638" s="22"/>
      <c r="F638" s="22"/>
    </row>
    <row r="639" ht="15.75" customHeight="1">
      <c r="A639" s="22"/>
      <c r="B639" s="22"/>
      <c r="C639" s="22"/>
      <c r="D639" s="22"/>
      <c r="E639" s="22"/>
      <c r="F639" s="22"/>
    </row>
    <row r="640" ht="15.75" customHeight="1">
      <c r="A640" s="22"/>
      <c r="B640" s="22"/>
      <c r="C640" s="22"/>
      <c r="D640" s="22"/>
      <c r="E640" s="22"/>
      <c r="F640" s="22"/>
    </row>
    <row r="641" ht="15.75" customHeight="1">
      <c r="A641" s="22"/>
      <c r="B641" s="22"/>
      <c r="C641" s="22"/>
      <c r="D641" s="22"/>
      <c r="E641" s="22"/>
      <c r="F641" s="22"/>
    </row>
    <row r="642" ht="15.75" customHeight="1">
      <c r="A642" s="22"/>
      <c r="B642" s="22"/>
      <c r="C642" s="22"/>
      <c r="D642" s="22"/>
      <c r="E642" s="22"/>
      <c r="F642" s="22"/>
    </row>
    <row r="643" ht="15.75" customHeight="1">
      <c r="A643" s="22"/>
      <c r="B643" s="22"/>
      <c r="C643" s="22"/>
      <c r="D643" s="22"/>
      <c r="E643" s="22"/>
      <c r="F643" s="22"/>
    </row>
    <row r="644" ht="15.75" customHeight="1">
      <c r="A644" s="22"/>
      <c r="B644" s="22"/>
      <c r="C644" s="22"/>
      <c r="D644" s="22"/>
      <c r="E644" s="22"/>
      <c r="F644" s="22"/>
    </row>
    <row r="645" ht="15.75" customHeight="1">
      <c r="A645" s="22"/>
      <c r="B645" s="22"/>
      <c r="C645" s="22"/>
      <c r="D645" s="22"/>
      <c r="E645" s="22"/>
      <c r="F645" s="22"/>
    </row>
    <row r="646" ht="15.75" customHeight="1">
      <c r="A646" s="22"/>
      <c r="B646" s="22"/>
      <c r="C646" s="22"/>
      <c r="D646" s="22"/>
      <c r="E646" s="22"/>
      <c r="F646" s="22"/>
    </row>
    <row r="647" ht="15.75" customHeight="1">
      <c r="A647" s="22"/>
      <c r="B647" s="22"/>
      <c r="C647" s="22"/>
      <c r="D647" s="22"/>
      <c r="E647" s="22"/>
      <c r="F647" s="22"/>
    </row>
    <row r="648" ht="15.75" customHeight="1">
      <c r="A648" s="22"/>
      <c r="B648" s="22"/>
      <c r="C648" s="22"/>
      <c r="D648" s="22"/>
      <c r="E648" s="22"/>
      <c r="F648" s="22"/>
    </row>
    <row r="649" ht="15.75" customHeight="1">
      <c r="A649" s="22"/>
      <c r="B649" s="22"/>
      <c r="C649" s="22"/>
      <c r="D649" s="22"/>
      <c r="E649" s="22"/>
      <c r="F649" s="22"/>
    </row>
    <row r="650" ht="15.75" customHeight="1">
      <c r="A650" s="22"/>
      <c r="B650" s="22"/>
      <c r="C650" s="22"/>
      <c r="D650" s="22"/>
      <c r="E650" s="22"/>
      <c r="F650" s="22"/>
    </row>
    <row r="651" ht="15.75" customHeight="1">
      <c r="A651" s="22"/>
      <c r="B651" s="22"/>
      <c r="C651" s="22"/>
      <c r="D651" s="22"/>
      <c r="E651" s="22"/>
      <c r="F651" s="22"/>
    </row>
    <row r="652" ht="15.75" customHeight="1">
      <c r="A652" s="22"/>
      <c r="B652" s="22"/>
      <c r="C652" s="22"/>
      <c r="D652" s="22"/>
      <c r="E652" s="22"/>
      <c r="F652" s="22"/>
    </row>
    <row r="653" ht="15.75" customHeight="1">
      <c r="A653" s="22"/>
      <c r="B653" s="22"/>
      <c r="C653" s="22"/>
      <c r="D653" s="22"/>
      <c r="E653" s="22"/>
      <c r="F653" s="22"/>
    </row>
    <row r="654" ht="15.75" customHeight="1">
      <c r="A654" s="22"/>
      <c r="B654" s="22"/>
      <c r="C654" s="22"/>
      <c r="D654" s="22"/>
      <c r="E654" s="22"/>
      <c r="F654" s="22"/>
    </row>
    <row r="655" ht="15.75" customHeight="1">
      <c r="A655" s="22"/>
      <c r="B655" s="22"/>
      <c r="C655" s="22"/>
      <c r="D655" s="22"/>
      <c r="E655" s="22"/>
      <c r="F655" s="22"/>
    </row>
    <row r="656" ht="15.75" customHeight="1">
      <c r="A656" s="22"/>
      <c r="B656" s="22"/>
      <c r="C656" s="22"/>
      <c r="D656" s="22"/>
      <c r="E656" s="22"/>
      <c r="F656" s="22"/>
    </row>
    <row r="657" ht="15.75" customHeight="1">
      <c r="A657" s="22"/>
      <c r="B657" s="22"/>
      <c r="C657" s="22"/>
      <c r="D657" s="22"/>
      <c r="E657" s="22"/>
      <c r="F657" s="22"/>
    </row>
    <row r="658" ht="15.75" customHeight="1">
      <c r="A658" s="22"/>
      <c r="B658" s="22"/>
      <c r="C658" s="22"/>
      <c r="D658" s="22"/>
      <c r="E658" s="22"/>
      <c r="F658" s="22"/>
    </row>
    <row r="659" ht="15.75" customHeight="1">
      <c r="A659" s="22"/>
      <c r="B659" s="22"/>
      <c r="C659" s="22"/>
      <c r="D659" s="22"/>
      <c r="E659" s="22"/>
      <c r="F659" s="22"/>
    </row>
    <row r="660" ht="15.75" customHeight="1">
      <c r="A660" s="22"/>
      <c r="B660" s="22"/>
      <c r="C660" s="22"/>
      <c r="D660" s="22"/>
      <c r="E660" s="22"/>
      <c r="F660" s="22"/>
    </row>
    <row r="661" ht="15.75" customHeight="1">
      <c r="A661" s="22"/>
      <c r="B661" s="22"/>
      <c r="C661" s="22"/>
      <c r="D661" s="22"/>
      <c r="E661" s="22"/>
      <c r="F661" s="22"/>
    </row>
    <row r="662" ht="15.75" customHeight="1">
      <c r="A662" s="22"/>
      <c r="B662" s="22"/>
      <c r="C662" s="22"/>
      <c r="D662" s="22"/>
      <c r="E662" s="22"/>
      <c r="F662" s="22"/>
    </row>
    <row r="663" ht="15.75" customHeight="1">
      <c r="A663" s="22"/>
      <c r="B663" s="22"/>
      <c r="C663" s="22"/>
      <c r="D663" s="22"/>
      <c r="E663" s="22"/>
      <c r="F663" s="22"/>
    </row>
    <row r="664" ht="15.75" customHeight="1">
      <c r="A664" s="22"/>
      <c r="B664" s="22"/>
      <c r="C664" s="22"/>
      <c r="D664" s="22"/>
      <c r="E664" s="22"/>
      <c r="F664" s="22"/>
    </row>
    <row r="665" ht="15.75" customHeight="1">
      <c r="A665" s="22"/>
      <c r="B665" s="22"/>
      <c r="C665" s="22"/>
      <c r="D665" s="22"/>
      <c r="E665" s="22"/>
      <c r="F665" s="22"/>
    </row>
    <row r="666" ht="15.75" customHeight="1">
      <c r="A666" s="22"/>
      <c r="B666" s="22"/>
      <c r="C666" s="22"/>
      <c r="D666" s="22"/>
      <c r="E666" s="22"/>
      <c r="F666" s="22"/>
    </row>
    <row r="667" ht="15.75" customHeight="1">
      <c r="A667" s="22"/>
      <c r="B667" s="22"/>
      <c r="C667" s="22"/>
      <c r="D667" s="22"/>
      <c r="E667" s="22"/>
      <c r="F667" s="22"/>
    </row>
    <row r="668" ht="15.75" customHeight="1">
      <c r="A668" s="22"/>
      <c r="B668" s="22"/>
      <c r="C668" s="22"/>
      <c r="D668" s="22"/>
      <c r="E668" s="22"/>
      <c r="F668" s="22"/>
    </row>
    <row r="669" ht="15.75" customHeight="1">
      <c r="A669" s="22"/>
      <c r="B669" s="22"/>
      <c r="C669" s="22"/>
      <c r="D669" s="22"/>
      <c r="E669" s="22"/>
      <c r="F669" s="22"/>
    </row>
    <row r="670" ht="15.75" customHeight="1">
      <c r="A670" s="22"/>
      <c r="B670" s="22"/>
      <c r="C670" s="22"/>
      <c r="D670" s="22"/>
      <c r="E670" s="22"/>
      <c r="F670" s="22"/>
    </row>
    <row r="671" ht="15.75" customHeight="1">
      <c r="A671" s="22"/>
      <c r="B671" s="22"/>
      <c r="C671" s="22"/>
      <c r="D671" s="22"/>
      <c r="E671" s="22"/>
      <c r="F671" s="22"/>
    </row>
    <row r="672" ht="15.75" customHeight="1">
      <c r="A672" s="22"/>
      <c r="B672" s="22"/>
      <c r="C672" s="22"/>
      <c r="D672" s="22"/>
      <c r="E672" s="22"/>
      <c r="F672" s="22"/>
    </row>
    <row r="673" ht="15.75" customHeight="1">
      <c r="A673" s="22"/>
      <c r="B673" s="22"/>
      <c r="C673" s="22"/>
      <c r="D673" s="22"/>
      <c r="E673" s="22"/>
      <c r="F673" s="22"/>
    </row>
    <row r="674" ht="15.75" customHeight="1">
      <c r="A674" s="22"/>
      <c r="B674" s="22"/>
      <c r="C674" s="22"/>
      <c r="D674" s="22"/>
      <c r="E674" s="22"/>
      <c r="F674" s="22"/>
    </row>
    <row r="675" ht="15.75" customHeight="1">
      <c r="A675" s="22"/>
      <c r="B675" s="22"/>
      <c r="C675" s="22"/>
      <c r="D675" s="22"/>
      <c r="E675" s="22"/>
      <c r="F675" s="22"/>
    </row>
    <row r="676" ht="15.75" customHeight="1">
      <c r="A676" s="22"/>
      <c r="B676" s="22"/>
      <c r="C676" s="22"/>
      <c r="D676" s="22"/>
      <c r="E676" s="22"/>
      <c r="F676" s="22"/>
    </row>
    <row r="677" ht="15.75" customHeight="1">
      <c r="A677" s="22"/>
      <c r="B677" s="22"/>
      <c r="C677" s="22"/>
      <c r="D677" s="22"/>
      <c r="E677" s="22"/>
      <c r="F677" s="22"/>
    </row>
    <row r="678" ht="15.75" customHeight="1">
      <c r="A678" s="22"/>
      <c r="B678" s="22"/>
      <c r="C678" s="22"/>
      <c r="D678" s="22"/>
      <c r="E678" s="22"/>
      <c r="F678" s="22"/>
    </row>
    <row r="679" ht="15.75" customHeight="1">
      <c r="A679" s="22"/>
      <c r="B679" s="22"/>
      <c r="C679" s="22"/>
      <c r="D679" s="22"/>
      <c r="E679" s="22"/>
      <c r="F679" s="22"/>
    </row>
    <row r="680" ht="15.75" customHeight="1">
      <c r="A680" s="22"/>
      <c r="B680" s="22"/>
      <c r="C680" s="22"/>
      <c r="D680" s="22"/>
      <c r="E680" s="22"/>
      <c r="F680" s="22"/>
    </row>
    <row r="681" ht="15.75" customHeight="1">
      <c r="A681" s="22"/>
      <c r="B681" s="22"/>
      <c r="C681" s="22"/>
      <c r="D681" s="22"/>
      <c r="E681" s="22"/>
      <c r="F681" s="22"/>
    </row>
    <row r="682" ht="15.75" customHeight="1">
      <c r="A682" s="22"/>
      <c r="B682" s="22"/>
      <c r="C682" s="22"/>
      <c r="D682" s="22"/>
      <c r="E682" s="22"/>
      <c r="F682" s="22"/>
    </row>
    <row r="683" ht="15.75" customHeight="1">
      <c r="A683" s="22"/>
      <c r="B683" s="22"/>
      <c r="C683" s="22"/>
      <c r="D683" s="22"/>
      <c r="E683" s="22"/>
      <c r="F683" s="22"/>
    </row>
    <row r="684" ht="15.75" customHeight="1">
      <c r="A684" s="22"/>
      <c r="B684" s="22"/>
      <c r="C684" s="22"/>
      <c r="D684" s="22"/>
      <c r="E684" s="22"/>
      <c r="F684" s="22"/>
    </row>
    <row r="685" ht="15.75" customHeight="1">
      <c r="A685" s="22"/>
      <c r="B685" s="22"/>
      <c r="C685" s="22"/>
      <c r="D685" s="22"/>
      <c r="E685" s="22"/>
      <c r="F685" s="22"/>
    </row>
    <row r="686" ht="15.75" customHeight="1">
      <c r="A686" s="22"/>
      <c r="B686" s="22"/>
      <c r="C686" s="22"/>
      <c r="D686" s="22"/>
      <c r="E686" s="22"/>
      <c r="F686" s="22"/>
    </row>
    <row r="687" ht="15.75" customHeight="1">
      <c r="A687" s="22"/>
      <c r="B687" s="22"/>
      <c r="C687" s="22"/>
      <c r="D687" s="22"/>
      <c r="E687" s="22"/>
      <c r="F687" s="22"/>
    </row>
    <row r="688" ht="15.75" customHeight="1">
      <c r="A688" s="22"/>
      <c r="B688" s="22"/>
      <c r="C688" s="22"/>
      <c r="D688" s="22"/>
      <c r="E688" s="22"/>
      <c r="F688" s="22"/>
    </row>
    <row r="689" ht="15.75" customHeight="1">
      <c r="A689" s="22"/>
      <c r="B689" s="22"/>
      <c r="C689" s="22"/>
      <c r="D689" s="22"/>
      <c r="E689" s="22"/>
      <c r="F689" s="22"/>
    </row>
    <row r="690" ht="15.75" customHeight="1">
      <c r="A690" s="22"/>
      <c r="B690" s="22"/>
      <c r="C690" s="22"/>
      <c r="D690" s="22"/>
      <c r="E690" s="22"/>
      <c r="F690" s="22"/>
    </row>
    <row r="691" ht="15.75" customHeight="1">
      <c r="A691" s="22"/>
      <c r="B691" s="22"/>
      <c r="C691" s="22"/>
      <c r="D691" s="22"/>
      <c r="E691" s="22"/>
      <c r="F691" s="22"/>
    </row>
    <row r="692" ht="15.75" customHeight="1">
      <c r="A692" s="22"/>
      <c r="B692" s="22"/>
      <c r="C692" s="22"/>
      <c r="D692" s="22"/>
      <c r="E692" s="22"/>
      <c r="F692" s="22"/>
    </row>
    <row r="693" ht="15.75" customHeight="1">
      <c r="A693" s="22"/>
      <c r="B693" s="22"/>
      <c r="C693" s="22"/>
      <c r="D693" s="22"/>
      <c r="E693" s="22"/>
      <c r="F693" s="22"/>
    </row>
    <row r="694" ht="15.75" customHeight="1">
      <c r="A694" s="22"/>
      <c r="B694" s="22"/>
      <c r="C694" s="22"/>
      <c r="D694" s="22"/>
      <c r="E694" s="22"/>
      <c r="F694" s="22"/>
    </row>
    <row r="695" ht="15.75" customHeight="1">
      <c r="A695" s="22"/>
      <c r="B695" s="22"/>
      <c r="C695" s="22"/>
      <c r="D695" s="22"/>
      <c r="E695" s="22"/>
      <c r="F695" s="22"/>
    </row>
    <row r="696" ht="15.75" customHeight="1">
      <c r="A696" s="22"/>
      <c r="B696" s="22"/>
      <c r="C696" s="22"/>
      <c r="D696" s="22"/>
      <c r="E696" s="22"/>
      <c r="F696" s="22"/>
    </row>
    <row r="697" ht="15.75" customHeight="1">
      <c r="A697" s="22"/>
      <c r="B697" s="22"/>
      <c r="C697" s="22"/>
      <c r="D697" s="22"/>
      <c r="E697" s="22"/>
      <c r="F697" s="22"/>
    </row>
    <row r="698" ht="15.75" customHeight="1">
      <c r="A698" s="22"/>
      <c r="B698" s="22"/>
      <c r="C698" s="22"/>
      <c r="D698" s="22"/>
      <c r="E698" s="22"/>
      <c r="F698" s="22"/>
    </row>
    <row r="699" ht="15.75" customHeight="1">
      <c r="A699" s="22"/>
      <c r="B699" s="22"/>
      <c r="C699" s="22"/>
      <c r="D699" s="22"/>
      <c r="E699" s="22"/>
      <c r="F699" s="22"/>
    </row>
    <row r="700" ht="15.75" customHeight="1">
      <c r="A700" s="22"/>
      <c r="B700" s="22"/>
      <c r="C700" s="22"/>
      <c r="D700" s="22"/>
      <c r="E700" s="22"/>
      <c r="F700" s="22"/>
    </row>
    <row r="701" ht="15.75" customHeight="1">
      <c r="A701" s="22"/>
      <c r="B701" s="22"/>
      <c r="C701" s="22"/>
      <c r="D701" s="22"/>
      <c r="E701" s="22"/>
      <c r="F701" s="22"/>
    </row>
    <row r="702" ht="15.75" customHeight="1">
      <c r="A702" s="22"/>
      <c r="B702" s="22"/>
      <c r="C702" s="22"/>
      <c r="D702" s="22"/>
      <c r="E702" s="22"/>
      <c r="F702" s="22"/>
    </row>
    <row r="703" ht="15.75" customHeight="1">
      <c r="A703" s="22"/>
      <c r="B703" s="22"/>
      <c r="C703" s="22"/>
      <c r="D703" s="22"/>
      <c r="E703" s="22"/>
      <c r="F703" s="22"/>
    </row>
    <row r="704" ht="15.75" customHeight="1">
      <c r="A704" s="22"/>
      <c r="B704" s="22"/>
      <c r="C704" s="22"/>
      <c r="D704" s="22"/>
      <c r="E704" s="22"/>
      <c r="F704" s="22"/>
    </row>
    <row r="705" ht="15.75" customHeight="1">
      <c r="A705" s="22"/>
      <c r="B705" s="22"/>
      <c r="C705" s="22"/>
      <c r="D705" s="22"/>
      <c r="E705" s="22"/>
      <c r="F705" s="22"/>
    </row>
    <row r="706" ht="15.75" customHeight="1">
      <c r="A706" s="22"/>
      <c r="B706" s="22"/>
      <c r="C706" s="22"/>
      <c r="D706" s="22"/>
      <c r="E706" s="22"/>
      <c r="F706" s="22"/>
    </row>
    <row r="707" ht="15.75" customHeight="1">
      <c r="A707" s="22"/>
      <c r="B707" s="22"/>
      <c r="C707" s="22"/>
      <c r="D707" s="22"/>
      <c r="E707" s="22"/>
      <c r="F707" s="22"/>
    </row>
    <row r="708" ht="15.75" customHeight="1">
      <c r="A708" s="22"/>
      <c r="B708" s="22"/>
      <c r="C708" s="22"/>
      <c r="D708" s="22"/>
      <c r="E708" s="22"/>
      <c r="F708" s="22"/>
    </row>
    <row r="709" ht="15.75" customHeight="1">
      <c r="A709" s="22"/>
      <c r="B709" s="22"/>
      <c r="C709" s="22"/>
      <c r="D709" s="22"/>
      <c r="E709" s="22"/>
      <c r="F709" s="22"/>
    </row>
    <row r="710" ht="15.75" customHeight="1">
      <c r="A710" s="22"/>
      <c r="B710" s="22"/>
      <c r="C710" s="22"/>
      <c r="D710" s="22"/>
      <c r="E710" s="22"/>
      <c r="F710" s="22"/>
    </row>
    <row r="711" ht="15.75" customHeight="1">
      <c r="A711" s="22"/>
      <c r="B711" s="22"/>
      <c r="C711" s="22"/>
      <c r="D711" s="22"/>
      <c r="E711" s="22"/>
      <c r="F711" s="22"/>
    </row>
    <row r="712" ht="15.75" customHeight="1">
      <c r="A712" s="22"/>
      <c r="B712" s="22"/>
      <c r="C712" s="22"/>
      <c r="D712" s="22"/>
      <c r="E712" s="22"/>
      <c r="F712" s="22"/>
    </row>
    <row r="713" ht="15.75" customHeight="1">
      <c r="A713" s="22"/>
      <c r="B713" s="22"/>
      <c r="C713" s="22"/>
      <c r="D713" s="22"/>
      <c r="E713" s="22"/>
      <c r="F713" s="22"/>
    </row>
    <row r="714" ht="15.75" customHeight="1">
      <c r="A714" s="22"/>
      <c r="B714" s="22"/>
      <c r="C714" s="22"/>
      <c r="D714" s="22"/>
      <c r="E714" s="22"/>
      <c r="F714" s="22"/>
    </row>
    <row r="715" ht="15.75" customHeight="1">
      <c r="A715" s="22"/>
      <c r="B715" s="22"/>
      <c r="C715" s="22"/>
      <c r="D715" s="22"/>
      <c r="E715" s="22"/>
      <c r="F715" s="22"/>
    </row>
    <row r="716" ht="15.75" customHeight="1">
      <c r="A716" s="22"/>
      <c r="B716" s="22"/>
      <c r="C716" s="22"/>
      <c r="D716" s="22"/>
      <c r="E716" s="22"/>
      <c r="F716" s="22"/>
    </row>
    <row r="717" ht="15.75" customHeight="1">
      <c r="A717" s="22"/>
      <c r="B717" s="22"/>
      <c r="C717" s="22"/>
      <c r="D717" s="22"/>
      <c r="E717" s="22"/>
      <c r="F717" s="22"/>
    </row>
    <row r="718" ht="15.75" customHeight="1">
      <c r="A718" s="22"/>
      <c r="B718" s="22"/>
      <c r="C718" s="22"/>
      <c r="D718" s="22"/>
      <c r="E718" s="22"/>
      <c r="F718" s="22"/>
    </row>
    <row r="719" ht="15.75" customHeight="1">
      <c r="A719" s="22"/>
      <c r="B719" s="22"/>
      <c r="C719" s="22"/>
      <c r="D719" s="22"/>
      <c r="E719" s="22"/>
      <c r="F719" s="22"/>
    </row>
    <row r="720" ht="15.75" customHeight="1">
      <c r="A720" s="22"/>
      <c r="B720" s="22"/>
      <c r="C720" s="22"/>
      <c r="D720" s="22"/>
      <c r="E720" s="22"/>
      <c r="F720" s="22"/>
    </row>
    <row r="721" ht="15.75" customHeight="1">
      <c r="A721" s="22"/>
      <c r="B721" s="22"/>
      <c r="C721" s="22"/>
      <c r="D721" s="22"/>
      <c r="E721" s="22"/>
      <c r="F721" s="22"/>
    </row>
    <row r="722" ht="15.75" customHeight="1">
      <c r="A722" s="22"/>
      <c r="B722" s="22"/>
      <c r="C722" s="22"/>
      <c r="D722" s="22"/>
      <c r="E722" s="22"/>
      <c r="F722" s="22"/>
    </row>
    <row r="723" ht="15.75" customHeight="1">
      <c r="A723" s="22"/>
      <c r="B723" s="22"/>
      <c r="C723" s="22"/>
      <c r="D723" s="22"/>
      <c r="E723" s="22"/>
      <c r="F723" s="22"/>
    </row>
    <row r="724" ht="15.75" customHeight="1">
      <c r="A724" s="22"/>
      <c r="B724" s="22"/>
      <c r="C724" s="22"/>
      <c r="D724" s="22"/>
      <c r="E724" s="22"/>
      <c r="F724" s="22"/>
    </row>
    <row r="725" ht="15.75" customHeight="1">
      <c r="A725" s="22"/>
      <c r="B725" s="22"/>
      <c r="C725" s="22"/>
      <c r="D725" s="22"/>
      <c r="E725" s="22"/>
      <c r="F725" s="22"/>
    </row>
    <row r="726" ht="15.75" customHeight="1">
      <c r="A726" s="22"/>
      <c r="B726" s="22"/>
      <c r="C726" s="22"/>
      <c r="D726" s="22"/>
      <c r="E726" s="22"/>
      <c r="F726" s="22"/>
    </row>
    <row r="727" ht="15.75" customHeight="1">
      <c r="A727" s="22"/>
      <c r="B727" s="22"/>
      <c r="C727" s="22"/>
      <c r="D727" s="22"/>
      <c r="E727" s="22"/>
      <c r="F727" s="22"/>
    </row>
    <row r="728" ht="15.75" customHeight="1">
      <c r="A728" s="22"/>
      <c r="B728" s="22"/>
      <c r="C728" s="22"/>
      <c r="D728" s="22"/>
      <c r="E728" s="22"/>
      <c r="F728" s="22"/>
    </row>
    <row r="729" ht="15.75" customHeight="1">
      <c r="A729" s="22"/>
      <c r="B729" s="22"/>
      <c r="C729" s="22"/>
      <c r="D729" s="22"/>
      <c r="E729" s="22"/>
      <c r="F729" s="22"/>
    </row>
    <row r="730" ht="15.75" customHeight="1">
      <c r="A730" s="22"/>
      <c r="B730" s="22"/>
      <c r="C730" s="22"/>
      <c r="D730" s="22"/>
      <c r="E730" s="22"/>
      <c r="F730" s="22"/>
    </row>
    <row r="731" ht="15.75" customHeight="1">
      <c r="A731" s="22"/>
      <c r="B731" s="22"/>
      <c r="C731" s="22"/>
      <c r="D731" s="22"/>
      <c r="E731" s="22"/>
      <c r="F731" s="22"/>
    </row>
    <row r="732" ht="15.75" customHeight="1">
      <c r="A732" s="22"/>
      <c r="B732" s="22"/>
      <c r="C732" s="22"/>
      <c r="D732" s="22"/>
      <c r="E732" s="22"/>
      <c r="F732" s="22"/>
    </row>
    <row r="733" ht="15.75" customHeight="1">
      <c r="A733" s="22"/>
      <c r="B733" s="22"/>
      <c r="C733" s="22"/>
      <c r="D733" s="22"/>
      <c r="E733" s="22"/>
      <c r="F733" s="22"/>
    </row>
    <row r="734" ht="15.75" customHeight="1">
      <c r="A734" s="22"/>
      <c r="B734" s="22"/>
      <c r="C734" s="22"/>
      <c r="D734" s="22"/>
      <c r="E734" s="22"/>
      <c r="F734" s="22"/>
    </row>
    <row r="735" ht="15.75" customHeight="1">
      <c r="A735" s="22"/>
      <c r="B735" s="22"/>
      <c r="C735" s="22"/>
      <c r="D735" s="22"/>
      <c r="E735" s="22"/>
      <c r="F735" s="22"/>
    </row>
    <row r="736" ht="15.75" customHeight="1">
      <c r="A736" s="22"/>
      <c r="B736" s="22"/>
      <c r="C736" s="22"/>
      <c r="D736" s="22"/>
      <c r="E736" s="22"/>
      <c r="F736" s="22"/>
    </row>
    <row r="737" ht="15.75" customHeight="1">
      <c r="A737" s="22"/>
      <c r="B737" s="22"/>
      <c r="C737" s="22"/>
      <c r="D737" s="22"/>
      <c r="E737" s="22"/>
      <c r="F737" s="22"/>
    </row>
    <row r="738" ht="15.75" customHeight="1">
      <c r="A738" s="22"/>
      <c r="B738" s="22"/>
      <c r="C738" s="22"/>
      <c r="D738" s="22"/>
      <c r="E738" s="22"/>
      <c r="F738" s="22"/>
    </row>
    <row r="739" ht="15.75" customHeight="1">
      <c r="A739" s="22"/>
      <c r="B739" s="22"/>
      <c r="C739" s="22"/>
      <c r="D739" s="22"/>
      <c r="E739" s="22"/>
      <c r="F739" s="22"/>
    </row>
    <row r="740" ht="15.75" customHeight="1">
      <c r="A740" s="22"/>
      <c r="B740" s="22"/>
      <c r="C740" s="22"/>
      <c r="D740" s="22"/>
      <c r="E740" s="22"/>
      <c r="F740" s="22"/>
    </row>
    <row r="741" ht="15.75" customHeight="1">
      <c r="A741" s="22"/>
      <c r="B741" s="22"/>
      <c r="C741" s="22"/>
      <c r="D741" s="22"/>
      <c r="E741" s="22"/>
      <c r="F741" s="22"/>
    </row>
    <row r="742" ht="15.75" customHeight="1">
      <c r="A742" s="22"/>
      <c r="B742" s="22"/>
      <c r="C742" s="22"/>
      <c r="D742" s="22"/>
      <c r="E742" s="22"/>
      <c r="F742" s="22"/>
    </row>
    <row r="743" ht="15.75" customHeight="1">
      <c r="A743" s="22"/>
      <c r="B743" s="22"/>
      <c r="C743" s="22"/>
      <c r="D743" s="22"/>
      <c r="E743" s="22"/>
      <c r="F743" s="22"/>
    </row>
    <row r="744" ht="15.75" customHeight="1">
      <c r="A744" s="22"/>
      <c r="B744" s="22"/>
      <c r="C744" s="22"/>
      <c r="D744" s="22"/>
      <c r="E744" s="22"/>
      <c r="F744" s="22"/>
    </row>
    <row r="745" ht="15.75" customHeight="1">
      <c r="A745" s="22"/>
      <c r="B745" s="22"/>
      <c r="C745" s="22"/>
      <c r="D745" s="22"/>
      <c r="E745" s="22"/>
      <c r="F745" s="22"/>
    </row>
    <row r="746" ht="15.75" customHeight="1">
      <c r="A746" s="22"/>
      <c r="B746" s="22"/>
      <c r="C746" s="22"/>
      <c r="D746" s="22"/>
      <c r="E746" s="22"/>
      <c r="F746" s="22"/>
    </row>
    <row r="747" ht="15.75" customHeight="1">
      <c r="A747" s="22"/>
      <c r="B747" s="22"/>
      <c r="C747" s="22"/>
      <c r="D747" s="22"/>
      <c r="E747" s="22"/>
      <c r="F747" s="22"/>
    </row>
    <row r="748" ht="15.75" customHeight="1">
      <c r="A748" s="22"/>
      <c r="B748" s="22"/>
      <c r="C748" s="22"/>
      <c r="D748" s="22"/>
      <c r="E748" s="22"/>
      <c r="F748" s="22"/>
    </row>
    <row r="749" ht="15.75" customHeight="1">
      <c r="A749" s="22"/>
      <c r="B749" s="22"/>
      <c r="C749" s="22"/>
      <c r="D749" s="22"/>
      <c r="E749" s="22"/>
      <c r="F749" s="22"/>
    </row>
    <row r="750" ht="15.75" customHeight="1">
      <c r="A750" s="22"/>
      <c r="B750" s="22"/>
      <c r="C750" s="22"/>
      <c r="D750" s="22"/>
      <c r="E750" s="22"/>
      <c r="F750" s="22"/>
    </row>
    <row r="751" ht="15.75" customHeight="1">
      <c r="A751" s="22"/>
      <c r="B751" s="22"/>
      <c r="C751" s="22"/>
      <c r="D751" s="22"/>
      <c r="E751" s="22"/>
      <c r="F751" s="22"/>
    </row>
    <row r="752" ht="15.75" customHeight="1">
      <c r="A752" s="22"/>
      <c r="B752" s="22"/>
      <c r="C752" s="22"/>
      <c r="D752" s="22"/>
      <c r="E752" s="22"/>
      <c r="F752" s="22"/>
    </row>
    <row r="753" ht="15.75" customHeight="1">
      <c r="A753" s="22"/>
      <c r="B753" s="22"/>
      <c r="C753" s="22"/>
      <c r="D753" s="22"/>
      <c r="E753" s="22"/>
      <c r="F753" s="22"/>
    </row>
    <row r="754" ht="15.75" customHeight="1">
      <c r="A754" s="22"/>
      <c r="B754" s="22"/>
      <c r="C754" s="22"/>
      <c r="D754" s="22"/>
      <c r="E754" s="22"/>
      <c r="F754" s="22"/>
    </row>
    <row r="755" ht="15.75" customHeight="1">
      <c r="A755" s="22"/>
      <c r="B755" s="22"/>
      <c r="C755" s="22"/>
      <c r="D755" s="22"/>
      <c r="E755" s="22"/>
      <c r="F755" s="22"/>
    </row>
    <row r="756" ht="15.75" customHeight="1">
      <c r="A756" s="22"/>
      <c r="B756" s="22"/>
      <c r="C756" s="22"/>
      <c r="D756" s="22"/>
      <c r="E756" s="22"/>
      <c r="F756" s="22"/>
    </row>
    <row r="757" ht="15.75" customHeight="1">
      <c r="A757" s="22"/>
      <c r="B757" s="22"/>
      <c r="C757" s="22"/>
      <c r="D757" s="22"/>
      <c r="E757" s="22"/>
      <c r="F757" s="22"/>
    </row>
    <row r="758" ht="15.75" customHeight="1">
      <c r="A758" s="22"/>
      <c r="B758" s="22"/>
      <c r="C758" s="22"/>
      <c r="D758" s="22"/>
      <c r="E758" s="22"/>
      <c r="F758" s="22"/>
    </row>
    <row r="759" ht="15.75" customHeight="1">
      <c r="A759" s="22"/>
      <c r="B759" s="22"/>
      <c r="C759" s="22"/>
      <c r="D759" s="22"/>
      <c r="E759" s="22"/>
      <c r="F759" s="22"/>
    </row>
    <row r="760" ht="15.75" customHeight="1">
      <c r="A760" s="22"/>
      <c r="B760" s="22"/>
      <c r="C760" s="22"/>
      <c r="D760" s="22"/>
      <c r="E760" s="22"/>
      <c r="F760" s="22"/>
    </row>
    <row r="761" ht="15.75" customHeight="1">
      <c r="A761" s="22"/>
      <c r="B761" s="22"/>
      <c r="C761" s="22"/>
      <c r="D761" s="22"/>
      <c r="E761" s="22"/>
      <c r="F761" s="22"/>
    </row>
    <row r="762" ht="15.75" customHeight="1">
      <c r="A762" s="22"/>
      <c r="B762" s="22"/>
      <c r="C762" s="22"/>
      <c r="D762" s="22"/>
      <c r="E762" s="22"/>
      <c r="F762" s="22"/>
    </row>
    <row r="763" ht="15.75" customHeight="1">
      <c r="A763" s="22"/>
      <c r="B763" s="22"/>
      <c r="C763" s="22"/>
      <c r="D763" s="22"/>
      <c r="E763" s="22"/>
      <c r="F763" s="22"/>
    </row>
    <row r="764" ht="15.75" customHeight="1">
      <c r="A764" s="22"/>
      <c r="B764" s="22"/>
      <c r="C764" s="22"/>
      <c r="D764" s="22"/>
      <c r="E764" s="22"/>
      <c r="F764" s="22"/>
    </row>
    <row r="765" ht="15.75" customHeight="1">
      <c r="A765" s="22"/>
      <c r="B765" s="22"/>
      <c r="C765" s="22"/>
      <c r="D765" s="22"/>
      <c r="E765" s="22"/>
      <c r="F765" s="22"/>
    </row>
    <row r="766" ht="15.75" customHeight="1">
      <c r="A766" s="22"/>
      <c r="B766" s="22"/>
      <c r="C766" s="22"/>
      <c r="D766" s="22"/>
      <c r="E766" s="22"/>
      <c r="F766" s="22"/>
    </row>
    <row r="767" ht="15.75" customHeight="1">
      <c r="A767" s="22"/>
      <c r="B767" s="22"/>
      <c r="C767" s="22"/>
      <c r="D767" s="22"/>
      <c r="E767" s="22"/>
      <c r="F767" s="22"/>
    </row>
    <row r="768" ht="15.75" customHeight="1">
      <c r="A768" s="22"/>
      <c r="B768" s="22"/>
      <c r="C768" s="22"/>
      <c r="D768" s="22"/>
      <c r="E768" s="22"/>
      <c r="F768" s="22"/>
    </row>
    <row r="769" ht="15.75" customHeight="1">
      <c r="A769" s="22"/>
      <c r="B769" s="22"/>
      <c r="C769" s="22"/>
      <c r="D769" s="22"/>
      <c r="E769" s="22"/>
      <c r="F769" s="22"/>
    </row>
    <row r="770" ht="15.75" customHeight="1">
      <c r="A770" s="22"/>
      <c r="B770" s="22"/>
      <c r="C770" s="22"/>
      <c r="D770" s="22"/>
      <c r="E770" s="22"/>
      <c r="F770" s="22"/>
    </row>
    <row r="771" ht="15.75" customHeight="1">
      <c r="A771" s="22"/>
      <c r="B771" s="22"/>
      <c r="C771" s="22"/>
      <c r="D771" s="22"/>
      <c r="E771" s="22"/>
      <c r="F771" s="22"/>
    </row>
    <row r="772" ht="15.75" customHeight="1">
      <c r="A772" s="22"/>
      <c r="B772" s="22"/>
      <c r="C772" s="22"/>
      <c r="D772" s="22"/>
      <c r="E772" s="22"/>
      <c r="F772" s="22"/>
    </row>
    <row r="773" ht="15.75" customHeight="1">
      <c r="A773" s="22"/>
      <c r="B773" s="22"/>
      <c r="C773" s="22"/>
      <c r="D773" s="22"/>
      <c r="E773" s="22"/>
      <c r="F773" s="22"/>
    </row>
    <row r="774" ht="15.75" customHeight="1">
      <c r="A774" s="22"/>
      <c r="B774" s="22"/>
      <c r="C774" s="22"/>
      <c r="D774" s="22"/>
      <c r="E774" s="22"/>
      <c r="F774" s="22"/>
    </row>
    <row r="775" ht="15.75" customHeight="1">
      <c r="A775" s="22"/>
      <c r="B775" s="22"/>
      <c r="C775" s="22"/>
      <c r="D775" s="22"/>
      <c r="E775" s="22"/>
      <c r="F775" s="22"/>
    </row>
    <row r="776" ht="15.75" customHeight="1">
      <c r="A776" s="22"/>
      <c r="B776" s="22"/>
      <c r="C776" s="22"/>
      <c r="D776" s="22"/>
      <c r="E776" s="22"/>
      <c r="F776" s="22"/>
    </row>
    <row r="777" ht="15.75" customHeight="1">
      <c r="A777" s="22"/>
      <c r="B777" s="22"/>
      <c r="C777" s="22"/>
      <c r="D777" s="22"/>
      <c r="E777" s="22"/>
      <c r="F777" s="22"/>
    </row>
    <row r="778" ht="15.75" customHeight="1">
      <c r="A778" s="22"/>
      <c r="B778" s="22"/>
      <c r="C778" s="22"/>
      <c r="D778" s="22"/>
      <c r="E778" s="22"/>
      <c r="F778" s="22"/>
    </row>
    <row r="779" ht="15.75" customHeight="1">
      <c r="A779" s="22"/>
      <c r="B779" s="22"/>
      <c r="C779" s="22"/>
      <c r="D779" s="22"/>
      <c r="E779" s="22"/>
      <c r="F779" s="22"/>
    </row>
    <row r="780" ht="15.75" customHeight="1">
      <c r="A780" s="22"/>
      <c r="B780" s="22"/>
      <c r="C780" s="22"/>
      <c r="D780" s="22"/>
      <c r="E780" s="22"/>
      <c r="F780" s="22"/>
    </row>
    <row r="781" ht="15.75" customHeight="1">
      <c r="A781" s="22"/>
      <c r="B781" s="22"/>
      <c r="C781" s="22"/>
      <c r="D781" s="22"/>
      <c r="E781" s="22"/>
      <c r="F781" s="22"/>
    </row>
    <row r="782" ht="15.75" customHeight="1">
      <c r="A782" s="22"/>
      <c r="B782" s="22"/>
      <c r="C782" s="22"/>
      <c r="D782" s="22"/>
      <c r="E782" s="22"/>
      <c r="F782" s="22"/>
    </row>
    <row r="783" ht="15.75" customHeight="1">
      <c r="A783" s="22"/>
      <c r="B783" s="22"/>
      <c r="C783" s="22"/>
      <c r="D783" s="22"/>
      <c r="E783" s="22"/>
      <c r="F783" s="22"/>
    </row>
    <row r="784" ht="15.75" customHeight="1">
      <c r="A784" s="22"/>
      <c r="B784" s="22"/>
      <c r="C784" s="22"/>
      <c r="D784" s="22"/>
      <c r="E784" s="22"/>
      <c r="F784" s="22"/>
    </row>
    <row r="785" ht="15.75" customHeight="1">
      <c r="A785" s="22"/>
      <c r="B785" s="22"/>
      <c r="C785" s="22"/>
      <c r="D785" s="22"/>
      <c r="E785" s="22"/>
      <c r="F785" s="22"/>
    </row>
    <row r="786" ht="15.75" customHeight="1">
      <c r="A786" s="22"/>
      <c r="B786" s="22"/>
      <c r="C786" s="22"/>
      <c r="D786" s="22"/>
      <c r="E786" s="22"/>
      <c r="F786" s="22"/>
    </row>
    <row r="787" ht="15.75" customHeight="1">
      <c r="A787" s="22"/>
      <c r="B787" s="22"/>
      <c r="C787" s="22"/>
      <c r="D787" s="22"/>
      <c r="E787" s="22"/>
      <c r="F787" s="22"/>
    </row>
    <row r="788" ht="15.75" customHeight="1">
      <c r="A788" s="22"/>
      <c r="B788" s="22"/>
      <c r="C788" s="22"/>
      <c r="D788" s="22"/>
      <c r="E788" s="22"/>
      <c r="F788" s="22"/>
    </row>
    <row r="789" ht="15.75" customHeight="1">
      <c r="A789" s="22"/>
      <c r="B789" s="22"/>
      <c r="C789" s="22"/>
      <c r="D789" s="22"/>
      <c r="E789" s="22"/>
      <c r="F789" s="22"/>
    </row>
    <row r="790" ht="15.75" customHeight="1">
      <c r="A790" s="22"/>
      <c r="B790" s="22"/>
      <c r="C790" s="22"/>
      <c r="D790" s="22"/>
      <c r="E790" s="22"/>
      <c r="F790" s="22"/>
    </row>
    <row r="791" ht="15.75" customHeight="1">
      <c r="A791" s="22"/>
      <c r="B791" s="22"/>
      <c r="C791" s="22"/>
      <c r="D791" s="22"/>
      <c r="E791" s="22"/>
      <c r="F791" s="22"/>
    </row>
    <row r="792" ht="15.75" customHeight="1">
      <c r="A792" s="22"/>
      <c r="B792" s="22"/>
      <c r="C792" s="22"/>
      <c r="D792" s="22"/>
      <c r="E792" s="22"/>
      <c r="F792" s="22"/>
    </row>
    <row r="793" ht="15.75" customHeight="1">
      <c r="A793" s="22"/>
      <c r="B793" s="22"/>
      <c r="C793" s="22"/>
      <c r="D793" s="22"/>
      <c r="E793" s="22"/>
      <c r="F793" s="22"/>
    </row>
    <row r="794" ht="15.75" customHeight="1">
      <c r="A794" s="22"/>
      <c r="B794" s="22"/>
      <c r="C794" s="22"/>
      <c r="D794" s="22"/>
      <c r="E794" s="22"/>
      <c r="F794" s="22"/>
    </row>
    <row r="795" ht="15.75" customHeight="1">
      <c r="A795" s="22"/>
      <c r="B795" s="22"/>
      <c r="C795" s="22"/>
      <c r="D795" s="22"/>
      <c r="E795" s="22"/>
      <c r="F795" s="22"/>
    </row>
    <row r="796" ht="15.75" customHeight="1">
      <c r="A796" s="22"/>
      <c r="B796" s="22"/>
      <c r="C796" s="22"/>
      <c r="D796" s="22"/>
      <c r="E796" s="22"/>
      <c r="F796" s="22"/>
    </row>
    <row r="797" ht="15.75" customHeight="1">
      <c r="A797" s="22"/>
      <c r="B797" s="22"/>
      <c r="C797" s="22"/>
      <c r="D797" s="22"/>
      <c r="E797" s="22"/>
      <c r="F797" s="22"/>
    </row>
    <row r="798" ht="15.75" customHeight="1">
      <c r="A798" s="22"/>
      <c r="B798" s="22"/>
      <c r="C798" s="22"/>
      <c r="D798" s="22"/>
      <c r="E798" s="22"/>
      <c r="F798" s="22"/>
    </row>
    <row r="799" ht="15.75" customHeight="1">
      <c r="A799" s="22"/>
      <c r="B799" s="22"/>
      <c r="C799" s="22"/>
      <c r="D799" s="22"/>
      <c r="E799" s="22"/>
      <c r="F799" s="22"/>
    </row>
    <row r="800" ht="15.75" customHeight="1">
      <c r="A800" s="22"/>
      <c r="B800" s="22"/>
      <c r="C800" s="22"/>
      <c r="D800" s="22"/>
      <c r="E800" s="22"/>
      <c r="F800" s="22"/>
    </row>
    <row r="801" ht="15.75" customHeight="1">
      <c r="A801" s="22"/>
      <c r="B801" s="22"/>
      <c r="C801" s="22"/>
      <c r="D801" s="22"/>
      <c r="E801" s="22"/>
      <c r="F801" s="22"/>
    </row>
    <row r="802" ht="15.75" customHeight="1">
      <c r="A802" s="22"/>
      <c r="B802" s="22"/>
      <c r="C802" s="22"/>
      <c r="D802" s="22"/>
      <c r="E802" s="22"/>
      <c r="F802" s="22"/>
    </row>
    <row r="803" ht="15.75" customHeight="1">
      <c r="A803" s="22"/>
      <c r="B803" s="22"/>
      <c r="C803" s="22"/>
      <c r="D803" s="22"/>
      <c r="E803" s="22"/>
      <c r="F803" s="22"/>
    </row>
    <row r="804" ht="15.75" customHeight="1">
      <c r="A804" s="22"/>
      <c r="B804" s="22"/>
      <c r="C804" s="22"/>
      <c r="D804" s="22"/>
      <c r="E804" s="22"/>
      <c r="F804" s="22"/>
    </row>
    <row r="805" ht="15.75" customHeight="1">
      <c r="A805" s="22"/>
      <c r="B805" s="22"/>
      <c r="C805" s="22"/>
      <c r="D805" s="22"/>
      <c r="E805" s="22"/>
      <c r="F805" s="22"/>
    </row>
    <row r="806" ht="15.75" customHeight="1">
      <c r="A806" s="22"/>
      <c r="B806" s="22"/>
      <c r="C806" s="22"/>
      <c r="D806" s="22"/>
      <c r="E806" s="22"/>
      <c r="F806" s="22"/>
    </row>
    <row r="807" ht="15.75" customHeight="1">
      <c r="A807" s="22"/>
      <c r="B807" s="22"/>
      <c r="C807" s="22"/>
      <c r="D807" s="22"/>
      <c r="E807" s="22"/>
      <c r="F807" s="22"/>
    </row>
    <row r="808" ht="15.75" customHeight="1">
      <c r="A808" s="22"/>
      <c r="B808" s="22"/>
      <c r="C808" s="22"/>
      <c r="D808" s="22"/>
      <c r="E808" s="22"/>
      <c r="F808" s="22"/>
    </row>
    <row r="809" ht="15.75" customHeight="1">
      <c r="A809" s="22"/>
      <c r="B809" s="22"/>
      <c r="C809" s="22"/>
      <c r="D809" s="22"/>
      <c r="E809" s="22"/>
      <c r="F809" s="22"/>
    </row>
    <row r="810" ht="15.75" customHeight="1">
      <c r="A810" s="22"/>
      <c r="B810" s="22"/>
      <c r="C810" s="22"/>
      <c r="D810" s="22"/>
      <c r="E810" s="22"/>
      <c r="F810" s="22"/>
    </row>
    <row r="811" ht="15.75" customHeight="1">
      <c r="A811" s="22"/>
      <c r="B811" s="22"/>
      <c r="C811" s="22"/>
      <c r="D811" s="22"/>
      <c r="E811" s="22"/>
      <c r="F811" s="22"/>
    </row>
    <row r="812" ht="15.75" customHeight="1">
      <c r="A812" s="22"/>
      <c r="B812" s="22"/>
      <c r="C812" s="22"/>
      <c r="D812" s="22"/>
      <c r="E812" s="22"/>
      <c r="F812" s="22"/>
    </row>
    <row r="813" ht="15.75" customHeight="1">
      <c r="A813" s="22"/>
      <c r="B813" s="22"/>
      <c r="C813" s="22"/>
      <c r="D813" s="22"/>
      <c r="E813" s="22"/>
      <c r="F813" s="22"/>
    </row>
    <row r="814" ht="15.75" customHeight="1">
      <c r="A814" s="22"/>
      <c r="B814" s="22"/>
      <c r="C814" s="22"/>
      <c r="D814" s="22"/>
      <c r="E814" s="22"/>
      <c r="F814" s="22"/>
    </row>
    <row r="815" ht="15.75" customHeight="1">
      <c r="A815" s="22"/>
      <c r="B815" s="22"/>
      <c r="C815" s="22"/>
      <c r="D815" s="22"/>
      <c r="E815" s="22"/>
      <c r="F815" s="22"/>
    </row>
    <row r="816" ht="15.75" customHeight="1">
      <c r="A816" s="22"/>
      <c r="B816" s="22"/>
      <c r="C816" s="22"/>
      <c r="D816" s="22"/>
      <c r="E816" s="22"/>
      <c r="F816" s="22"/>
    </row>
    <row r="817" ht="15.75" customHeight="1">
      <c r="A817" s="22"/>
      <c r="B817" s="22"/>
      <c r="C817" s="22"/>
      <c r="D817" s="22"/>
      <c r="E817" s="22"/>
      <c r="F817" s="22"/>
    </row>
    <row r="818" ht="15.75" customHeight="1">
      <c r="A818" s="22"/>
      <c r="B818" s="22"/>
      <c r="C818" s="22"/>
      <c r="D818" s="22"/>
      <c r="E818" s="22"/>
      <c r="F818" s="22"/>
    </row>
    <row r="819" ht="15.75" customHeight="1">
      <c r="A819" s="22"/>
      <c r="B819" s="22"/>
      <c r="C819" s="22"/>
      <c r="D819" s="22"/>
      <c r="E819" s="22"/>
      <c r="F819" s="22"/>
    </row>
    <row r="820" ht="15.75" customHeight="1">
      <c r="A820" s="22"/>
      <c r="B820" s="22"/>
      <c r="C820" s="22"/>
      <c r="D820" s="22"/>
      <c r="E820" s="22"/>
      <c r="F820" s="22"/>
    </row>
    <row r="821" ht="15.75" customHeight="1">
      <c r="A821" s="22"/>
      <c r="B821" s="22"/>
      <c r="C821" s="22"/>
      <c r="D821" s="22"/>
      <c r="E821" s="22"/>
      <c r="F821" s="22"/>
    </row>
    <row r="822" ht="15.75" customHeight="1">
      <c r="A822" s="22"/>
      <c r="B822" s="22"/>
      <c r="C822" s="22"/>
      <c r="D822" s="22"/>
      <c r="E822" s="22"/>
      <c r="F822" s="22"/>
    </row>
    <row r="823" ht="15.75" customHeight="1">
      <c r="A823" s="22"/>
      <c r="B823" s="22"/>
      <c r="C823" s="22"/>
      <c r="D823" s="22"/>
      <c r="E823" s="22"/>
      <c r="F823" s="22"/>
    </row>
    <row r="824" ht="15.75" customHeight="1">
      <c r="A824" s="22"/>
      <c r="B824" s="22"/>
      <c r="C824" s="22"/>
      <c r="D824" s="22"/>
      <c r="E824" s="22"/>
      <c r="F824" s="22"/>
    </row>
    <row r="825" ht="15.75" customHeight="1">
      <c r="A825" s="22"/>
      <c r="B825" s="22"/>
      <c r="C825" s="22"/>
      <c r="D825" s="22"/>
      <c r="E825" s="22"/>
      <c r="F825" s="22"/>
    </row>
    <row r="826" ht="15.75" customHeight="1">
      <c r="A826" s="22"/>
      <c r="B826" s="22"/>
      <c r="C826" s="22"/>
      <c r="D826" s="22"/>
      <c r="E826" s="22"/>
      <c r="F826" s="22"/>
    </row>
    <row r="827" ht="15.75" customHeight="1">
      <c r="A827" s="22"/>
      <c r="B827" s="22"/>
      <c r="C827" s="22"/>
      <c r="D827" s="22"/>
      <c r="E827" s="22"/>
      <c r="F827" s="22"/>
    </row>
    <row r="828" ht="15.75" customHeight="1">
      <c r="A828" s="22"/>
      <c r="B828" s="22"/>
      <c r="C828" s="22"/>
      <c r="D828" s="22"/>
      <c r="E828" s="22"/>
      <c r="F828" s="22"/>
    </row>
    <row r="829" ht="15.75" customHeight="1">
      <c r="A829" s="22"/>
      <c r="B829" s="22"/>
      <c r="C829" s="22"/>
      <c r="D829" s="22"/>
      <c r="E829" s="22"/>
      <c r="F829" s="22"/>
    </row>
    <row r="830" ht="15.75" customHeight="1">
      <c r="A830" s="22"/>
      <c r="B830" s="22"/>
      <c r="C830" s="22"/>
      <c r="D830" s="22"/>
      <c r="E830" s="22"/>
      <c r="F830" s="22"/>
    </row>
    <row r="831" ht="15.75" customHeight="1">
      <c r="A831" s="22"/>
      <c r="B831" s="22"/>
      <c r="C831" s="22"/>
      <c r="D831" s="22"/>
      <c r="E831" s="22"/>
      <c r="F831" s="22"/>
    </row>
    <row r="832" ht="15.75" customHeight="1">
      <c r="A832" s="22"/>
      <c r="B832" s="22"/>
      <c r="C832" s="22"/>
      <c r="D832" s="22"/>
      <c r="E832" s="22"/>
      <c r="F832" s="22"/>
    </row>
    <row r="833" ht="15.75" customHeight="1">
      <c r="A833" s="22"/>
      <c r="B833" s="22"/>
      <c r="C833" s="22"/>
      <c r="D833" s="22"/>
      <c r="E833" s="22"/>
      <c r="F833" s="22"/>
    </row>
    <row r="834" ht="15.75" customHeight="1">
      <c r="A834" s="22"/>
      <c r="B834" s="22"/>
      <c r="C834" s="22"/>
      <c r="D834" s="22"/>
      <c r="E834" s="22"/>
      <c r="F834" s="22"/>
    </row>
    <row r="835" ht="15.75" customHeight="1">
      <c r="A835" s="22"/>
      <c r="B835" s="22"/>
      <c r="C835" s="22"/>
      <c r="D835" s="22"/>
      <c r="E835" s="22"/>
      <c r="F835" s="22"/>
    </row>
    <row r="836" ht="15.75" customHeight="1">
      <c r="A836" s="22"/>
      <c r="B836" s="22"/>
      <c r="C836" s="22"/>
      <c r="D836" s="22"/>
      <c r="E836" s="22"/>
      <c r="F836" s="22"/>
    </row>
    <row r="837" ht="15.75" customHeight="1">
      <c r="A837" s="22"/>
      <c r="B837" s="22"/>
      <c r="C837" s="22"/>
      <c r="D837" s="22"/>
      <c r="E837" s="22"/>
      <c r="F837" s="22"/>
    </row>
    <row r="838" ht="15.75" customHeight="1">
      <c r="A838" s="22"/>
      <c r="B838" s="22"/>
      <c r="C838" s="22"/>
      <c r="D838" s="22"/>
      <c r="E838" s="22"/>
      <c r="F838" s="22"/>
    </row>
    <row r="839" ht="15.75" customHeight="1">
      <c r="A839" s="22"/>
      <c r="B839" s="22"/>
      <c r="C839" s="22"/>
      <c r="D839" s="22"/>
      <c r="E839" s="22"/>
      <c r="F839" s="22"/>
    </row>
    <row r="840" ht="15.75" customHeight="1">
      <c r="A840" s="22"/>
      <c r="B840" s="22"/>
      <c r="C840" s="22"/>
      <c r="D840" s="22"/>
      <c r="E840" s="22"/>
      <c r="F840" s="22"/>
    </row>
    <row r="841" ht="15.75" customHeight="1">
      <c r="A841" s="22"/>
      <c r="B841" s="22"/>
      <c r="C841" s="22"/>
      <c r="D841" s="22"/>
      <c r="E841" s="22"/>
      <c r="F841" s="22"/>
    </row>
    <row r="842" ht="15.75" customHeight="1">
      <c r="A842" s="22"/>
      <c r="B842" s="22"/>
      <c r="C842" s="22"/>
      <c r="D842" s="22"/>
      <c r="E842" s="22"/>
      <c r="F842" s="22"/>
    </row>
    <row r="843" ht="15.75" customHeight="1">
      <c r="A843" s="22"/>
      <c r="B843" s="22"/>
      <c r="C843" s="22"/>
      <c r="D843" s="22"/>
      <c r="E843" s="22"/>
      <c r="F843" s="22"/>
    </row>
    <row r="844" ht="15.75" customHeight="1">
      <c r="A844" s="22"/>
      <c r="B844" s="22"/>
      <c r="C844" s="22"/>
      <c r="D844" s="22"/>
      <c r="E844" s="22"/>
      <c r="F844" s="22"/>
    </row>
    <row r="845" ht="15.75" customHeight="1">
      <c r="A845" s="22"/>
      <c r="B845" s="22"/>
      <c r="C845" s="22"/>
      <c r="D845" s="22"/>
      <c r="E845" s="22"/>
      <c r="F845" s="22"/>
    </row>
    <row r="846" ht="15.75" customHeight="1">
      <c r="A846" s="22"/>
      <c r="B846" s="22"/>
      <c r="C846" s="22"/>
      <c r="D846" s="22"/>
      <c r="E846" s="22"/>
      <c r="F846" s="22"/>
    </row>
    <row r="847" ht="15.75" customHeight="1">
      <c r="A847" s="22"/>
      <c r="B847" s="22"/>
      <c r="C847" s="22"/>
      <c r="D847" s="22"/>
      <c r="E847" s="22"/>
      <c r="F847" s="22"/>
    </row>
    <row r="848" ht="15.75" customHeight="1">
      <c r="A848" s="22"/>
      <c r="B848" s="22"/>
      <c r="C848" s="22"/>
      <c r="D848" s="22"/>
      <c r="E848" s="22"/>
      <c r="F848" s="22"/>
    </row>
    <row r="849" ht="15.75" customHeight="1">
      <c r="A849" s="22"/>
      <c r="B849" s="22"/>
      <c r="C849" s="22"/>
      <c r="D849" s="22"/>
      <c r="E849" s="22"/>
      <c r="F849" s="22"/>
    </row>
    <row r="850" ht="15.75" customHeight="1">
      <c r="A850" s="22"/>
      <c r="B850" s="22"/>
      <c r="C850" s="22"/>
      <c r="D850" s="22"/>
      <c r="E850" s="22"/>
      <c r="F850" s="22"/>
    </row>
    <row r="851" ht="15.75" customHeight="1">
      <c r="A851" s="22"/>
      <c r="B851" s="22"/>
      <c r="C851" s="22"/>
      <c r="D851" s="22"/>
      <c r="E851" s="22"/>
      <c r="F851" s="22"/>
    </row>
    <row r="852" ht="15.75" customHeight="1">
      <c r="A852" s="22"/>
      <c r="B852" s="22"/>
      <c r="C852" s="22"/>
      <c r="D852" s="22"/>
      <c r="E852" s="22"/>
      <c r="F852" s="22"/>
    </row>
    <row r="853" ht="15.75" customHeight="1">
      <c r="A853" s="22"/>
      <c r="B853" s="22"/>
      <c r="C853" s="22"/>
      <c r="D853" s="22"/>
      <c r="E853" s="22"/>
      <c r="F853" s="22"/>
    </row>
    <row r="854" ht="15.75" customHeight="1">
      <c r="A854" s="22"/>
      <c r="B854" s="22"/>
      <c r="C854" s="22"/>
      <c r="D854" s="22"/>
      <c r="E854" s="22"/>
      <c r="F854" s="22"/>
    </row>
    <row r="855" ht="15.75" customHeight="1">
      <c r="A855" s="22"/>
      <c r="B855" s="22"/>
      <c r="C855" s="22"/>
      <c r="D855" s="22"/>
      <c r="E855" s="22"/>
      <c r="F855" s="22"/>
    </row>
    <row r="856" ht="15.75" customHeight="1">
      <c r="A856" s="22"/>
      <c r="B856" s="22"/>
      <c r="C856" s="22"/>
      <c r="D856" s="22"/>
      <c r="E856" s="22"/>
      <c r="F856" s="22"/>
    </row>
    <row r="857" ht="15.75" customHeight="1">
      <c r="A857" s="22"/>
      <c r="B857" s="22"/>
      <c r="C857" s="22"/>
      <c r="D857" s="22"/>
      <c r="E857" s="22"/>
      <c r="F857" s="22"/>
    </row>
    <row r="858" ht="15.75" customHeight="1">
      <c r="A858" s="22"/>
      <c r="B858" s="22"/>
      <c r="C858" s="22"/>
      <c r="D858" s="22"/>
      <c r="E858" s="22"/>
      <c r="F858" s="22"/>
    </row>
    <row r="859" ht="15.75" customHeight="1">
      <c r="A859" s="22"/>
      <c r="B859" s="22"/>
      <c r="C859" s="22"/>
      <c r="D859" s="22"/>
      <c r="E859" s="22"/>
      <c r="F859" s="22"/>
    </row>
    <row r="860" ht="15.75" customHeight="1">
      <c r="A860" s="22"/>
      <c r="B860" s="22"/>
      <c r="C860" s="22"/>
      <c r="D860" s="22"/>
      <c r="E860" s="22"/>
      <c r="F860" s="22"/>
    </row>
    <row r="861" ht="15.75" customHeight="1">
      <c r="A861" s="22"/>
      <c r="B861" s="22"/>
      <c r="C861" s="22"/>
      <c r="D861" s="22"/>
      <c r="E861" s="22"/>
      <c r="F861" s="22"/>
    </row>
    <row r="862" ht="15.75" customHeight="1">
      <c r="A862" s="22"/>
      <c r="B862" s="22"/>
      <c r="C862" s="22"/>
      <c r="D862" s="22"/>
      <c r="E862" s="22"/>
      <c r="F862" s="22"/>
    </row>
    <row r="863" ht="15.75" customHeight="1">
      <c r="A863" s="22"/>
      <c r="B863" s="22"/>
      <c r="C863" s="22"/>
      <c r="D863" s="22"/>
      <c r="E863" s="22"/>
      <c r="F863" s="22"/>
    </row>
    <row r="864" ht="15.75" customHeight="1">
      <c r="A864" s="22"/>
      <c r="B864" s="22"/>
      <c r="C864" s="22"/>
      <c r="D864" s="22"/>
      <c r="E864" s="22"/>
      <c r="F864" s="22"/>
    </row>
    <row r="865" ht="15.75" customHeight="1">
      <c r="A865" s="22"/>
      <c r="B865" s="22"/>
      <c r="C865" s="22"/>
      <c r="D865" s="22"/>
      <c r="E865" s="22"/>
      <c r="F865" s="22"/>
    </row>
    <row r="866" ht="15.75" customHeight="1">
      <c r="A866" s="22"/>
      <c r="B866" s="22"/>
      <c r="C866" s="22"/>
      <c r="D866" s="22"/>
      <c r="E866" s="22"/>
      <c r="F866" s="22"/>
    </row>
    <row r="867" ht="15.75" customHeight="1">
      <c r="A867" s="22"/>
      <c r="B867" s="22"/>
      <c r="C867" s="22"/>
      <c r="D867" s="22"/>
      <c r="E867" s="22"/>
      <c r="F867" s="22"/>
    </row>
    <row r="868" ht="15.75" customHeight="1">
      <c r="A868" s="22"/>
      <c r="B868" s="22"/>
      <c r="C868" s="22"/>
      <c r="D868" s="22"/>
      <c r="E868" s="22"/>
      <c r="F868" s="22"/>
    </row>
    <row r="869" ht="15.75" customHeight="1">
      <c r="A869" s="22"/>
      <c r="B869" s="22"/>
      <c r="C869" s="22"/>
      <c r="D869" s="22"/>
      <c r="E869" s="22"/>
      <c r="F869" s="22"/>
    </row>
    <row r="870" ht="15.75" customHeight="1">
      <c r="A870" s="22"/>
      <c r="B870" s="22"/>
      <c r="C870" s="22"/>
      <c r="D870" s="22"/>
      <c r="E870" s="22"/>
      <c r="F870" s="22"/>
    </row>
    <row r="871" ht="15.75" customHeight="1">
      <c r="A871" s="22"/>
      <c r="B871" s="22"/>
      <c r="C871" s="22"/>
      <c r="D871" s="22"/>
      <c r="E871" s="22"/>
      <c r="F871" s="22"/>
    </row>
    <row r="872" ht="15.75" customHeight="1">
      <c r="A872" s="22"/>
      <c r="B872" s="22"/>
      <c r="C872" s="22"/>
      <c r="D872" s="22"/>
      <c r="E872" s="22"/>
      <c r="F872" s="22"/>
    </row>
    <row r="873" ht="15.75" customHeight="1">
      <c r="A873" s="22"/>
      <c r="B873" s="22"/>
      <c r="C873" s="22"/>
      <c r="D873" s="22"/>
      <c r="E873" s="22"/>
      <c r="F873" s="22"/>
    </row>
    <row r="874" ht="15.75" customHeight="1">
      <c r="A874" s="22"/>
      <c r="B874" s="22"/>
      <c r="C874" s="22"/>
      <c r="D874" s="22"/>
      <c r="E874" s="22"/>
      <c r="F874" s="22"/>
    </row>
    <row r="875" ht="15.75" customHeight="1">
      <c r="A875" s="22"/>
      <c r="B875" s="22"/>
      <c r="C875" s="22"/>
      <c r="D875" s="22"/>
      <c r="E875" s="22"/>
      <c r="F875" s="22"/>
    </row>
    <row r="876" ht="15.75" customHeight="1">
      <c r="A876" s="22"/>
      <c r="B876" s="22"/>
      <c r="C876" s="22"/>
      <c r="D876" s="22"/>
      <c r="E876" s="22"/>
      <c r="F876" s="22"/>
    </row>
    <row r="877" ht="15.75" customHeight="1">
      <c r="A877" s="22"/>
      <c r="B877" s="22"/>
      <c r="C877" s="22"/>
      <c r="D877" s="22"/>
      <c r="E877" s="22"/>
      <c r="F877" s="22"/>
    </row>
    <row r="878" ht="15.75" customHeight="1">
      <c r="A878" s="22"/>
      <c r="B878" s="22"/>
      <c r="C878" s="22"/>
      <c r="D878" s="22"/>
      <c r="E878" s="22"/>
      <c r="F878" s="22"/>
    </row>
    <row r="879" ht="15.75" customHeight="1">
      <c r="A879" s="22"/>
      <c r="B879" s="22"/>
      <c r="C879" s="22"/>
      <c r="D879" s="22"/>
      <c r="E879" s="22"/>
      <c r="F879" s="22"/>
    </row>
    <row r="880" ht="15.75" customHeight="1">
      <c r="A880" s="22"/>
      <c r="B880" s="22"/>
      <c r="C880" s="22"/>
      <c r="D880" s="22"/>
      <c r="E880" s="22"/>
      <c r="F880" s="22"/>
    </row>
    <row r="881" ht="15.75" customHeight="1">
      <c r="A881" s="22"/>
      <c r="B881" s="22"/>
      <c r="C881" s="22"/>
      <c r="D881" s="22"/>
      <c r="E881" s="22"/>
      <c r="F881" s="22"/>
    </row>
    <row r="882" ht="15.75" customHeight="1">
      <c r="A882" s="22"/>
      <c r="B882" s="22"/>
      <c r="C882" s="22"/>
      <c r="D882" s="22"/>
      <c r="E882" s="22"/>
      <c r="F882" s="22"/>
    </row>
    <row r="883" ht="15.75" customHeight="1">
      <c r="A883" s="22"/>
      <c r="B883" s="22"/>
      <c r="C883" s="22"/>
      <c r="D883" s="22"/>
      <c r="E883" s="22"/>
      <c r="F883" s="22"/>
    </row>
    <row r="884" ht="15.75" customHeight="1">
      <c r="A884" s="22"/>
      <c r="B884" s="22"/>
      <c r="C884" s="22"/>
      <c r="D884" s="22"/>
      <c r="E884" s="22"/>
      <c r="F884" s="22"/>
    </row>
    <row r="885" ht="15.75" customHeight="1">
      <c r="A885" s="22"/>
      <c r="B885" s="22"/>
      <c r="C885" s="22"/>
      <c r="D885" s="22"/>
      <c r="E885" s="22"/>
      <c r="F885" s="22"/>
    </row>
    <row r="886" ht="15.75" customHeight="1">
      <c r="A886" s="22"/>
      <c r="B886" s="22"/>
      <c r="C886" s="22"/>
      <c r="D886" s="22"/>
      <c r="E886" s="22"/>
      <c r="F886" s="22"/>
    </row>
    <row r="887" ht="15.75" customHeight="1">
      <c r="A887" s="22"/>
      <c r="B887" s="22"/>
      <c r="C887" s="22"/>
      <c r="D887" s="22"/>
      <c r="E887" s="22"/>
      <c r="F887" s="22"/>
    </row>
    <row r="888" ht="15.75" customHeight="1">
      <c r="A888" s="22"/>
      <c r="B888" s="22"/>
      <c r="C888" s="22"/>
      <c r="D888" s="22"/>
      <c r="E888" s="22"/>
      <c r="F888" s="22"/>
    </row>
    <row r="889" ht="15.75" customHeight="1">
      <c r="A889" s="22"/>
      <c r="B889" s="22"/>
      <c r="C889" s="22"/>
      <c r="D889" s="22"/>
      <c r="E889" s="22"/>
      <c r="F889" s="22"/>
    </row>
    <row r="890" ht="15.75" customHeight="1">
      <c r="A890" s="22"/>
      <c r="B890" s="22"/>
      <c r="C890" s="22"/>
      <c r="D890" s="22"/>
      <c r="E890" s="22"/>
      <c r="F890" s="22"/>
    </row>
    <row r="891" ht="15.75" customHeight="1">
      <c r="A891" s="22"/>
      <c r="B891" s="22"/>
      <c r="C891" s="22"/>
      <c r="D891" s="22"/>
      <c r="E891" s="22"/>
      <c r="F891" s="22"/>
    </row>
    <row r="892" ht="15.75" customHeight="1">
      <c r="A892" s="22"/>
      <c r="B892" s="22"/>
      <c r="C892" s="22"/>
      <c r="D892" s="22"/>
      <c r="E892" s="22"/>
      <c r="F892" s="22"/>
    </row>
    <row r="893" ht="15.75" customHeight="1">
      <c r="A893" s="22"/>
      <c r="B893" s="22"/>
      <c r="C893" s="22"/>
      <c r="D893" s="22"/>
      <c r="E893" s="22"/>
      <c r="F893" s="22"/>
    </row>
    <row r="894" ht="15.75" customHeight="1">
      <c r="A894" s="22"/>
      <c r="B894" s="22"/>
      <c r="C894" s="22"/>
      <c r="D894" s="22"/>
      <c r="E894" s="22"/>
      <c r="F894" s="22"/>
    </row>
    <row r="895" ht="15.75" customHeight="1">
      <c r="A895" s="22"/>
      <c r="B895" s="22"/>
      <c r="C895" s="22"/>
      <c r="D895" s="22"/>
      <c r="E895" s="22"/>
      <c r="F895" s="22"/>
    </row>
    <row r="896" ht="15.75" customHeight="1">
      <c r="A896" s="22"/>
      <c r="B896" s="22"/>
      <c r="C896" s="22"/>
      <c r="D896" s="22"/>
      <c r="E896" s="22"/>
      <c r="F896" s="22"/>
    </row>
    <row r="897" ht="15.75" customHeight="1">
      <c r="A897" s="22"/>
      <c r="B897" s="22"/>
      <c r="C897" s="22"/>
      <c r="D897" s="22"/>
      <c r="E897" s="22"/>
      <c r="F897" s="22"/>
    </row>
    <row r="898" ht="15.75" customHeight="1">
      <c r="A898" s="22"/>
      <c r="B898" s="22"/>
      <c r="C898" s="22"/>
      <c r="D898" s="22"/>
      <c r="E898" s="22"/>
      <c r="F898" s="22"/>
    </row>
    <row r="899" ht="15.75" customHeight="1">
      <c r="A899" s="22"/>
      <c r="B899" s="22"/>
      <c r="C899" s="22"/>
      <c r="D899" s="22"/>
      <c r="E899" s="22"/>
      <c r="F899" s="22"/>
    </row>
    <row r="900" ht="15.75" customHeight="1">
      <c r="A900" s="22"/>
      <c r="B900" s="22"/>
      <c r="C900" s="22"/>
      <c r="D900" s="22"/>
      <c r="E900" s="22"/>
      <c r="F900" s="22"/>
    </row>
    <row r="901" ht="15.75" customHeight="1">
      <c r="A901" s="22"/>
      <c r="B901" s="22"/>
      <c r="C901" s="22"/>
      <c r="D901" s="22"/>
      <c r="E901" s="22"/>
      <c r="F901" s="22"/>
    </row>
    <row r="902" ht="15.75" customHeight="1">
      <c r="A902" s="22"/>
      <c r="B902" s="22"/>
      <c r="C902" s="22"/>
      <c r="D902" s="22"/>
      <c r="E902" s="22"/>
      <c r="F902" s="22"/>
    </row>
    <row r="903" ht="15.75" customHeight="1">
      <c r="A903" s="22"/>
      <c r="B903" s="22"/>
      <c r="C903" s="22"/>
      <c r="D903" s="22"/>
      <c r="E903" s="22"/>
      <c r="F903" s="22"/>
    </row>
    <row r="904" ht="15.75" customHeight="1">
      <c r="A904" s="22"/>
      <c r="B904" s="22"/>
      <c r="C904" s="22"/>
      <c r="D904" s="22"/>
      <c r="E904" s="22"/>
      <c r="F904" s="22"/>
    </row>
    <row r="905" ht="15.75" customHeight="1">
      <c r="A905" s="22"/>
      <c r="B905" s="22"/>
      <c r="C905" s="22"/>
      <c r="D905" s="22"/>
      <c r="E905" s="22"/>
      <c r="F905" s="22"/>
    </row>
    <row r="906" ht="15.75" customHeight="1">
      <c r="A906" s="22"/>
      <c r="B906" s="22"/>
      <c r="C906" s="22"/>
      <c r="D906" s="22"/>
      <c r="E906" s="22"/>
      <c r="F906" s="22"/>
    </row>
    <row r="907" ht="15.75" customHeight="1">
      <c r="A907" s="22"/>
      <c r="B907" s="22"/>
      <c r="C907" s="22"/>
      <c r="D907" s="22"/>
      <c r="E907" s="22"/>
      <c r="F907" s="22"/>
    </row>
    <row r="908" ht="15.75" customHeight="1">
      <c r="A908" s="22"/>
      <c r="B908" s="22"/>
      <c r="C908" s="22"/>
      <c r="D908" s="22"/>
      <c r="E908" s="22"/>
      <c r="F908" s="22"/>
    </row>
    <row r="909" ht="15.75" customHeight="1">
      <c r="A909" s="22"/>
      <c r="B909" s="22"/>
      <c r="C909" s="22"/>
      <c r="D909" s="22"/>
      <c r="E909" s="22"/>
      <c r="F909" s="22"/>
    </row>
    <row r="910" ht="15.75" customHeight="1">
      <c r="A910" s="22"/>
      <c r="B910" s="22"/>
      <c r="C910" s="22"/>
      <c r="D910" s="22"/>
      <c r="E910" s="22"/>
      <c r="F910" s="22"/>
    </row>
    <row r="911" ht="15.75" customHeight="1">
      <c r="A911" s="22"/>
      <c r="B911" s="22"/>
      <c r="C911" s="22"/>
      <c r="D911" s="22"/>
      <c r="E911" s="22"/>
      <c r="F911" s="22"/>
    </row>
    <row r="912" ht="15.75" customHeight="1">
      <c r="A912" s="22"/>
      <c r="B912" s="22"/>
      <c r="C912" s="22"/>
      <c r="D912" s="22"/>
      <c r="E912" s="22"/>
      <c r="F912" s="22"/>
    </row>
    <row r="913" ht="15.75" customHeight="1">
      <c r="A913" s="22"/>
      <c r="B913" s="22"/>
      <c r="C913" s="22"/>
      <c r="D913" s="22"/>
      <c r="E913" s="22"/>
      <c r="F913" s="22"/>
    </row>
    <row r="914" ht="15.75" customHeight="1">
      <c r="A914" s="22"/>
      <c r="B914" s="22"/>
      <c r="C914" s="22"/>
      <c r="D914" s="22"/>
      <c r="E914" s="22"/>
      <c r="F914" s="22"/>
    </row>
    <row r="915" ht="15.75" customHeight="1">
      <c r="A915" s="22"/>
      <c r="B915" s="22"/>
      <c r="C915" s="22"/>
      <c r="D915" s="22"/>
      <c r="E915" s="22"/>
      <c r="F915" s="22"/>
    </row>
    <row r="916" ht="15.75" customHeight="1">
      <c r="A916" s="22"/>
      <c r="B916" s="22"/>
      <c r="C916" s="22"/>
      <c r="D916" s="22"/>
      <c r="E916" s="22"/>
      <c r="F916" s="22"/>
    </row>
    <row r="917" ht="15.75" customHeight="1">
      <c r="A917" s="22"/>
      <c r="B917" s="22"/>
      <c r="C917" s="22"/>
      <c r="D917" s="22"/>
      <c r="E917" s="22"/>
      <c r="F917" s="22"/>
    </row>
    <row r="918" ht="15.75" customHeight="1">
      <c r="A918" s="22"/>
      <c r="B918" s="22"/>
      <c r="C918" s="22"/>
      <c r="D918" s="22"/>
      <c r="E918" s="22"/>
      <c r="F918" s="22"/>
    </row>
    <row r="919" ht="15.75" customHeight="1">
      <c r="A919" s="22"/>
      <c r="B919" s="22"/>
      <c r="C919" s="22"/>
      <c r="D919" s="22"/>
      <c r="E919" s="22"/>
      <c r="F919" s="22"/>
    </row>
    <row r="920" ht="15.75" customHeight="1">
      <c r="A920" s="22"/>
      <c r="B920" s="22"/>
      <c r="C920" s="22"/>
      <c r="D920" s="22"/>
      <c r="E920" s="22"/>
      <c r="F920" s="22"/>
    </row>
    <row r="921" ht="15.75" customHeight="1">
      <c r="A921" s="22"/>
      <c r="B921" s="22"/>
      <c r="C921" s="22"/>
      <c r="D921" s="22"/>
      <c r="E921" s="22"/>
      <c r="F921" s="22"/>
    </row>
    <row r="922" ht="15.75" customHeight="1">
      <c r="A922" s="22"/>
      <c r="B922" s="22"/>
      <c r="C922" s="22"/>
      <c r="D922" s="22"/>
      <c r="E922" s="22"/>
      <c r="F922" s="22"/>
    </row>
    <row r="923" ht="15.75" customHeight="1">
      <c r="A923" s="22"/>
      <c r="B923" s="22"/>
      <c r="C923" s="22"/>
      <c r="D923" s="22"/>
      <c r="E923" s="22"/>
      <c r="F923" s="22"/>
    </row>
    <row r="924" ht="15.75" customHeight="1">
      <c r="A924" s="22"/>
      <c r="B924" s="22"/>
      <c r="C924" s="22"/>
      <c r="D924" s="22"/>
      <c r="E924" s="22"/>
      <c r="F924" s="22"/>
    </row>
    <row r="925" ht="15.75" customHeight="1">
      <c r="A925" s="22"/>
      <c r="B925" s="22"/>
      <c r="C925" s="22"/>
      <c r="D925" s="22"/>
      <c r="E925" s="22"/>
      <c r="F925" s="22"/>
    </row>
    <row r="926" ht="15.75" customHeight="1">
      <c r="A926" s="22"/>
      <c r="B926" s="22"/>
      <c r="C926" s="22"/>
      <c r="D926" s="22"/>
      <c r="E926" s="22"/>
      <c r="F926" s="22"/>
    </row>
    <row r="927" ht="15.75" customHeight="1">
      <c r="A927" s="22"/>
      <c r="B927" s="22"/>
      <c r="C927" s="22"/>
      <c r="D927" s="22"/>
      <c r="E927" s="22"/>
      <c r="F927" s="22"/>
    </row>
    <row r="928" ht="15.75" customHeight="1">
      <c r="A928" s="22"/>
      <c r="B928" s="22"/>
      <c r="C928" s="22"/>
      <c r="D928" s="22"/>
      <c r="E928" s="22"/>
      <c r="F928" s="22"/>
    </row>
    <row r="929" ht="15.75" customHeight="1">
      <c r="A929" s="22"/>
      <c r="B929" s="22"/>
      <c r="C929" s="22"/>
      <c r="D929" s="22"/>
      <c r="E929" s="22"/>
      <c r="F929" s="22"/>
    </row>
    <row r="930" ht="15.75" customHeight="1">
      <c r="A930" s="22"/>
      <c r="B930" s="22"/>
      <c r="C930" s="22"/>
      <c r="D930" s="22"/>
      <c r="E930" s="22"/>
      <c r="F930" s="22"/>
    </row>
    <row r="931" ht="15.75" customHeight="1">
      <c r="A931" s="22"/>
      <c r="B931" s="22"/>
      <c r="C931" s="22"/>
      <c r="D931" s="22"/>
      <c r="E931" s="22"/>
      <c r="F931" s="22"/>
    </row>
    <row r="932" ht="15.75" customHeight="1">
      <c r="A932" s="22"/>
      <c r="B932" s="22"/>
      <c r="C932" s="22"/>
      <c r="D932" s="22"/>
      <c r="E932" s="22"/>
      <c r="F932" s="22"/>
    </row>
    <row r="933" ht="15.75" customHeight="1">
      <c r="A933" s="22"/>
      <c r="B933" s="22"/>
      <c r="C933" s="22"/>
      <c r="D933" s="22"/>
      <c r="E933" s="22"/>
      <c r="F933" s="22"/>
    </row>
    <row r="934" ht="15.75" customHeight="1">
      <c r="A934" s="22"/>
      <c r="B934" s="22"/>
      <c r="C934" s="22"/>
      <c r="D934" s="22"/>
      <c r="E934" s="22"/>
      <c r="F934" s="22"/>
    </row>
    <row r="935" ht="15.75" customHeight="1">
      <c r="A935" s="22"/>
      <c r="B935" s="22"/>
      <c r="C935" s="22"/>
      <c r="D935" s="22"/>
      <c r="E935" s="22"/>
      <c r="F935" s="22"/>
    </row>
    <row r="936" ht="15.75" customHeight="1">
      <c r="A936" s="22"/>
      <c r="B936" s="22"/>
      <c r="C936" s="22"/>
      <c r="D936" s="22"/>
      <c r="E936" s="22"/>
      <c r="F936" s="22"/>
    </row>
    <row r="937" ht="15.75" customHeight="1">
      <c r="A937" s="22"/>
      <c r="B937" s="22"/>
      <c r="C937" s="22"/>
      <c r="D937" s="22"/>
      <c r="E937" s="22"/>
      <c r="F937" s="22"/>
    </row>
    <row r="938" ht="15.75" customHeight="1">
      <c r="A938" s="22"/>
      <c r="B938" s="22"/>
      <c r="C938" s="22"/>
      <c r="D938" s="22"/>
      <c r="E938" s="22"/>
      <c r="F938" s="22"/>
    </row>
    <row r="939" ht="15.75" customHeight="1">
      <c r="A939" s="22"/>
      <c r="B939" s="22"/>
      <c r="C939" s="22"/>
      <c r="D939" s="22"/>
      <c r="E939" s="22"/>
      <c r="F939" s="22"/>
    </row>
    <row r="940" ht="15.75" customHeight="1">
      <c r="A940" s="22"/>
      <c r="B940" s="22"/>
      <c r="C940" s="22"/>
      <c r="D940" s="22"/>
      <c r="E940" s="22"/>
      <c r="F940" s="22"/>
    </row>
    <row r="941" ht="15.75" customHeight="1">
      <c r="A941" s="22"/>
      <c r="B941" s="22"/>
      <c r="C941" s="22"/>
      <c r="D941" s="22"/>
      <c r="E941" s="22"/>
      <c r="F941" s="22"/>
    </row>
    <row r="942" ht="15.75" customHeight="1">
      <c r="A942" s="22"/>
      <c r="B942" s="22"/>
      <c r="C942" s="22"/>
      <c r="D942" s="22"/>
      <c r="E942" s="22"/>
      <c r="F942" s="22"/>
    </row>
    <row r="943" ht="15.75" customHeight="1">
      <c r="A943" s="22"/>
      <c r="B943" s="22"/>
      <c r="C943" s="22"/>
      <c r="D943" s="22"/>
      <c r="E943" s="22"/>
      <c r="F943" s="22"/>
    </row>
    <row r="944" ht="15.75" customHeight="1">
      <c r="A944" s="22"/>
      <c r="B944" s="22"/>
      <c r="C944" s="22"/>
      <c r="D944" s="22"/>
      <c r="E944" s="22"/>
      <c r="F944" s="22"/>
    </row>
    <row r="945" ht="15.75" customHeight="1">
      <c r="A945" s="22"/>
      <c r="B945" s="22"/>
      <c r="C945" s="22"/>
      <c r="D945" s="22"/>
      <c r="E945" s="22"/>
      <c r="F945" s="22"/>
    </row>
    <row r="946" ht="15.75" customHeight="1">
      <c r="A946" s="22"/>
      <c r="B946" s="22"/>
      <c r="C946" s="22"/>
      <c r="D946" s="22"/>
      <c r="E946" s="22"/>
      <c r="F946" s="22"/>
    </row>
    <row r="947" ht="15.75" customHeight="1">
      <c r="A947" s="22"/>
      <c r="B947" s="22"/>
      <c r="C947" s="22"/>
      <c r="D947" s="22"/>
      <c r="E947" s="22"/>
      <c r="F947" s="22"/>
    </row>
    <row r="948" ht="15.75" customHeight="1">
      <c r="A948" s="22"/>
      <c r="B948" s="22"/>
      <c r="C948" s="22"/>
      <c r="D948" s="22"/>
      <c r="E948" s="22"/>
      <c r="F948" s="22"/>
    </row>
    <row r="949" ht="15.75" customHeight="1">
      <c r="A949" s="22"/>
      <c r="B949" s="22"/>
      <c r="C949" s="22"/>
      <c r="D949" s="22"/>
      <c r="E949" s="22"/>
      <c r="F949" s="22"/>
    </row>
    <row r="950" ht="15.75" customHeight="1">
      <c r="A950" s="22"/>
      <c r="B950" s="22"/>
      <c r="C950" s="22"/>
      <c r="D950" s="22"/>
      <c r="E950" s="22"/>
      <c r="F950" s="22"/>
    </row>
    <row r="951" ht="15.75" customHeight="1">
      <c r="A951" s="22"/>
      <c r="B951" s="22"/>
      <c r="C951" s="22"/>
      <c r="D951" s="22"/>
      <c r="E951" s="22"/>
      <c r="F951" s="22"/>
    </row>
    <row r="952" ht="15.75" customHeight="1">
      <c r="A952" s="22"/>
      <c r="B952" s="22"/>
      <c r="C952" s="22"/>
      <c r="D952" s="22"/>
      <c r="E952" s="22"/>
      <c r="F952" s="22"/>
    </row>
    <row r="953" ht="15.75" customHeight="1">
      <c r="A953" s="22"/>
      <c r="B953" s="22"/>
      <c r="C953" s="22"/>
      <c r="D953" s="22"/>
      <c r="E953" s="22"/>
      <c r="F953" s="22"/>
    </row>
    <row r="954" ht="15.75" customHeight="1">
      <c r="A954" s="22"/>
      <c r="B954" s="22"/>
      <c r="C954" s="22"/>
      <c r="D954" s="22"/>
      <c r="E954" s="22"/>
      <c r="F954" s="22"/>
    </row>
    <row r="955" ht="15.75" customHeight="1">
      <c r="A955" s="22"/>
      <c r="B955" s="22"/>
      <c r="C955" s="22"/>
      <c r="D955" s="22"/>
      <c r="E955" s="22"/>
      <c r="F955" s="22"/>
    </row>
    <row r="956" ht="15.75" customHeight="1">
      <c r="A956" s="22"/>
      <c r="B956" s="22"/>
      <c r="C956" s="22"/>
      <c r="D956" s="22"/>
      <c r="E956" s="22"/>
      <c r="F956" s="22"/>
    </row>
    <row r="957" ht="15.75" customHeight="1">
      <c r="A957" s="22"/>
      <c r="B957" s="22"/>
      <c r="C957" s="22"/>
      <c r="D957" s="22"/>
      <c r="E957" s="22"/>
      <c r="F957" s="22"/>
    </row>
    <row r="958" ht="15.75" customHeight="1">
      <c r="A958" s="22"/>
      <c r="B958" s="22"/>
      <c r="C958" s="22"/>
      <c r="D958" s="22"/>
      <c r="E958" s="22"/>
      <c r="F958" s="22"/>
    </row>
    <row r="959" ht="15.75" customHeight="1">
      <c r="A959" s="22"/>
      <c r="B959" s="22"/>
      <c r="C959" s="22"/>
      <c r="D959" s="22"/>
      <c r="E959" s="22"/>
      <c r="F959" s="22"/>
    </row>
    <row r="960" ht="15.75" customHeight="1">
      <c r="A960" s="22"/>
      <c r="B960" s="22"/>
      <c r="C960" s="22"/>
      <c r="D960" s="22"/>
      <c r="E960" s="22"/>
      <c r="F960" s="22"/>
    </row>
    <row r="961" ht="15.75" customHeight="1">
      <c r="A961" s="22"/>
      <c r="B961" s="22"/>
      <c r="C961" s="22"/>
      <c r="D961" s="22"/>
      <c r="E961" s="22"/>
      <c r="F961" s="22"/>
    </row>
    <row r="962" ht="15.75" customHeight="1">
      <c r="A962" s="22"/>
      <c r="B962" s="22"/>
      <c r="C962" s="22"/>
      <c r="D962" s="22"/>
      <c r="E962" s="22"/>
      <c r="F962" s="22"/>
    </row>
    <row r="963" ht="15.75" customHeight="1">
      <c r="A963" s="22"/>
      <c r="B963" s="22"/>
      <c r="C963" s="22"/>
      <c r="D963" s="22"/>
      <c r="E963" s="22"/>
      <c r="F963" s="22"/>
    </row>
    <row r="964" ht="15.75" customHeight="1">
      <c r="A964" s="22"/>
      <c r="B964" s="22"/>
      <c r="C964" s="22"/>
      <c r="D964" s="22"/>
      <c r="E964" s="22"/>
      <c r="F964" s="22"/>
    </row>
    <row r="965" ht="15.75" customHeight="1">
      <c r="A965" s="22"/>
      <c r="B965" s="22"/>
      <c r="C965" s="22"/>
      <c r="D965" s="22"/>
      <c r="E965" s="22"/>
      <c r="F965" s="22"/>
    </row>
    <row r="966" ht="15.75" customHeight="1">
      <c r="A966" s="22"/>
      <c r="B966" s="22"/>
      <c r="C966" s="22"/>
      <c r="D966" s="22"/>
      <c r="E966" s="22"/>
      <c r="F966" s="22"/>
    </row>
    <row r="967" ht="15.75" customHeight="1">
      <c r="A967" s="22"/>
      <c r="B967" s="22"/>
      <c r="C967" s="22"/>
      <c r="D967" s="22"/>
      <c r="E967" s="22"/>
      <c r="F967" s="22"/>
    </row>
    <row r="968" ht="15.75" customHeight="1">
      <c r="A968" s="22"/>
      <c r="B968" s="22"/>
      <c r="C968" s="22"/>
      <c r="D968" s="22"/>
      <c r="E968" s="22"/>
      <c r="F968" s="22"/>
    </row>
    <row r="969" ht="15.75" customHeight="1">
      <c r="A969" s="22"/>
      <c r="B969" s="22"/>
      <c r="C969" s="22"/>
      <c r="D969" s="22"/>
      <c r="E969" s="22"/>
      <c r="F969" s="22"/>
    </row>
    <row r="970" ht="15.75" customHeight="1">
      <c r="A970" s="22"/>
      <c r="B970" s="22"/>
      <c r="C970" s="22"/>
      <c r="D970" s="22"/>
      <c r="E970" s="22"/>
      <c r="F970" s="22"/>
    </row>
    <row r="971" ht="15.75" customHeight="1">
      <c r="A971" s="22"/>
      <c r="B971" s="22"/>
      <c r="C971" s="22"/>
      <c r="D971" s="22"/>
      <c r="E971" s="22"/>
      <c r="F971" s="22"/>
    </row>
    <row r="972" ht="15.75" customHeight="1">
      <c r="A972" s="22"/>
      <c r="B972" s="22"/>
      <c r="C972" s="22"/>
      <c r="D972" s="22"/>
      <c r="E972" s="22"/>
      <c r="F972" s="22"/>
    </row>
    <row r="973" ht="15.75" customHeight="1">
      <c r="A973" s="22"/>
      <c r="B973" s="22"/>
      <c r="C973" s="22"/>
      <c r="D973" s="22"/>
      <c r="E973" s="22"/>
      <c r="F973" s="22"/>
    </row>
    <row r="974" ht="15.75" customHeight="1">
      <c r="A974" s="22"/>
      <c r="B974" s="22"/>
      <c r="C974" s="22"/>
      <c r="D974" s="22"/>
      <c r="E974" s="22"/>
      <c r="F974" s="22"/>
    </row>
    <row r="975" ht="15.75" customHeight="1">
      <c r="A975" s="22"/>
      <c r="B975" s="22"/>
      <c r="C975" s="22"/>
      <c r="D975" s="22"/>
      <c r="E975" s="22"/>
      <c r="F975" s="22"/>
    </row>
    <row r="976" ht="15.75" customHeight="1">
      <c r="A976" s="22"/>
      <c r="B976" s="22"/>
      <c r="C976" s="22"/>
      <c r="D976" s="22"/>
      <c r="E976" s="22"/>
      <c r="F976" s="22"/>
    </row>
    <row r="977" ht="15.75" customHeight="1">
      <c r="A977" s="22"/>
      <c r="B977" s="22"/>
      <c r="C977" s="22"/>
      <c r="D977" s="22"/>
      <c r="E977" s="22"/>
      <c r="F977" s="22"/>
    </row>
    <row r="978" ht="15.75" customHeight="1">
      <c r="A978" s="22"/>
      <c r="B978" s="22"/>
      <c r="C978" s="22"/>
      <c r="D978" s="22"/>
      <c r="E978" s="22"/>
      <c r="F978" s="22"/>
    </row>
    <row r="979" ht="15.75" customHeight="1">
      <c r="A979" s="22"/>
      <c r="B979" s="22"/>
      <c r="C979" s="22"/>
      <c r="D979" s="22"/>
      <c r="E979" s="22"/>
      <c r="F979" s="22"/>
    </row>
    <row r="980" ht="15.75" customHeight="1">
      <c r="A980" s="22"/>
      <c r="B980" s="22"/>
      <c r="C980" s="22"/>
      <c r="D980" s="22"/>
      <c r="E980" s="22"/>
      <c r="F980" s="22"/>
    </row>
    <row r="981" ht="15.75" customHeight="1">
      <c r="A981" s="22"/>
      <c r="B981" s="22"/>
      <c r="C981" s="22"/>
      <c r="D981" s="22"/>
      <c r="E981" s="22"/>
      <c r="F981" s="22"/>
    </row>
    <row r="982" ht="15.75" customHeight="1">
      <c r="A982" s="22"/>
      <c r="B982" s="22"/>
      <c r="C982" s="22"/>
      <c r="D982" s="22"/>
      <c r="E982" s="22"/>
      <c r="F982" s="22"/>
    </row>
    <row r="983" ht="15.75" customHeight="1">
      <c r="A983" s="22"/>
      <c r="B983" s="22"/>
      <c r="C983" s="22"/>
      <c r="D983" s="22"/>
      <c r="E983" s="22"/>
      <c r="F983" s="22"/>
    </row>
    <row r="984" ht="15.75" customHeight="1">
      <c r="A984" s="22"/>
      <c r="B984" s="22"/>
      <c r="C984" s="22"/>
      <c r="D984" s="22"/>
      <c r="E984" s="22"/>
      <c r="F984" s="22"/>
    </row>
    <row r="985" ht="15.75" customHeight="1">
      <c r="A985" s="22"/>
      <c r="B985" s="22"/>
      <c r="C985" s="22"/>
      <c r="D985" s="22"/>
      <c r="E985" s="22"/>
      <c r="F985" s="22"/>
    </row>
    <row r="986" ht="15.75" customHeight="1">
      <c r="A986" s="22"/>
      <c r="B986" s="22"/>
      <c r="C986" s="22"/>
      <c r="D986" s="22"/>
      <c r="E986" s="22"/>
      <c r="F986" s="22"/>
    </row>
    <row r="987" ht="15.75" customHeight="1">
      <c r="A987" s="22"/>
      <c r="B987" s="22"/>
      <c r="C987" s="22"/>
      <c r="D987" s="22"/>
      <c r="E987" s="22"/>
      <c r="F987" s="22"/>
    </row>
    <row r="988" ht="15.75" customHeight="1">
      <c r="A988" s="22"/>
      <c r="B988" s="22"/>
      <c r="C988" s="22"/>
      <c r="D988" s="22"/>
      <c r="E988" s="22"/>
      <c r="F988" s="22"/>
    </row>
    <row r="989" ht="15.75" customHeight="1">
      <c r="A989" s="22"/>
      <c r="B989" s="22"/>
      <c r="C989" s="22"/>
      <c r="D989" s="22"/>
      <c r="E989" s="22"/>
      <c r="F989" s="22"/>
    </row>
    <row r="990" ht="15.75" customHeight="1">
      <c r="A990" s="22"/>
      <c r="B990" s="22"/>
      <c r="C990" s="22"/>
      <c r="D990" s="22"/>
      <c r="E990" s="22"/>
      <c r="F990" s="22"/>
    </row>
    <row r="991" ht="15.75" customHeight="1">
      <c r="A991" s="22"/>
      <c r="B991" s="22"/>
      <c r="C991" s="22"/>
      <c r="D991" s="22"/>
      <c r="E991" s="22"/>
      <c r="F991" s="22"/>
    </row>
    <row r="992" ht="15.75" customHeight="1">
      <c r="A992" s="22"/>
      <c r="B992" s="22"/>
      <c r="C992" s="22"/>
      <c r="D992" s="22"/>
      <c r="E992" s="22"/>
      <c r="F992" s="22"/>
    </row>
    <row r="993" ht="15.75" customHeight="1">
      <c r="A993" s="22"/>
      <c r="B993" s="22"/>
      <c r="C993" s="22"/>
      <c r="D993" s="22"/>
      <c r="E993" s="22"/>
      <c r="F993" s="22"/>
    </row>
    <row r="994" ht="15.75" customHeight="1">
      <c r="A994" s="22"/>
      <c r="B994" s="22"/>
      <c r="C994" s="22"/>
      <c r="D994" s="22"/>
      <c r="E994" s="22"/>
      <c r="F994" s="22"/>
    </row>
    <row r="995" ht="15.75" customHeight="1">
      <c r="A995" s="22"/>
      <c r="B995" s="22"/>
      <c r="C995" s="22"/>
      <c r="D995" s="22"/>
      <c r="E995" s="22"/>
      <c r="F995" s="22"/>
    </row>
    <row r="996" ht="15.75" customHeight="1">
      <c r="A996" s="22"/>
      <c r="B996" s="22"/>
      <c r="C996" s="22"/>
      <c r="D996" s="22"/>
      <c r="E996" s="22"/>
      <c r="F996" s="22"/>
    </row>
    <row r="997" ht="15.75" customHeight="1">
      <c r="A997" s="22"/>
      <c r="B997" s="22"/>
      <c r="C997" s="22"/>
      <c r="D997" s="22"/>
      <c r="E997" s="22"/>
      <c r="F997" s="22"/>
    </row>
    <row r="998" ht="15.75" customHeight="1">
      <c r="A998" s="22"/>
      <c r="B998" s="22"/>
      <c r="C998" s="22"/>
      <c r="D998" s="22"/>
      <c r="E998" s="22"/>
      <c r="F998" s="22"/>
    </row>
    <row r="999" ht="15.75" customHeight="1">
      <c r="A999" s="22"/>
      <c r="B999" s="22"/>
      <c r="C999" s="22"/>
      <c r="D999" s="22"/>
      <c r="E999" s="22"/>
      <c r="F999" s="22"/>
    </row>
    <row r="1000" ht="15.75" customHeight="1">
      <c r="A1000" s="22"/>
      <c r="B1000" s="22"/>
      <c r="C1000" s="22"/>
      <c r="D1000" s="22"/>
      <c r="E1000" s="22"/>
      <c r="F1000" s="22"/>
    </row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2" width="18.0"/>
    <col customWidth="1" min="13" max="13" width="60.0"/>
    <col customWidth="1" min="14" max="17" width="18.0"/>
  </cols>
  <sheetData>
    <row r="1">
      <c r="A1" s="40" t="s">
        <v>281</v>
      </c>
      <c r="B1" s="40" t="s">
        <v>262</v>
      </c>
      <c r="C1" s="40" t="s">
        <v>307</v>
      </c>
      <c r="D1" s="40" t="s">
        <v>309</v>
      </c>
      <c r="E1" s="40" t="s">
        <v>378</v>
      </c>
      <c r="F1" s="40" t="s">
        <v>379</v>
      </c>
      <c r="G1" s="40" t="s">
        <v>380</v>
      </c>
      <c r="H1" s="40" t="s">
        <v>381</v>
      </c>
      <c r="I1" s="40" t="s">
        <v>382</v>
      </c>
      <c r="J1" s="40" t="s">
        <v>383</v>
      </c>
      <c r="K1" s="40" t="s">
        <v>384</v>
      </c>
      <c r="L1" s="40" t="s">
        <v>385</v>
      </c>
      <c r="M1" s="40" t="s">
        <v>386</v>
      </c>
      <c r="N1" s="40" t="s">
        <v>387</v>
      </c>
      <c r="O1" s="40" t="s">
        <v>388</v>
      </c>
      <c r="P1" s="40" t="s">
        <v>389</v>
      </c>
      <c r="Q1" s="40" t="s">
        <v>390</v>
      </c>
      <c r="R1" s="22"/>
      <c r="S1" s="22"/>
      <c r="T1" s="22"/>
      <c r="U1" s="22"/>
      <c r="V1" s="22"/>
      <c r="W1" s="22"/>
      <c r="X1" s="22"/>
      <c r="Y1" s="22"/>
      <c r="Z1" s="22"/>
    </row>
    <row r="2">
      <c r="A2" s="40" t="s">
        <v>292</v>
      </c>
      <c r="B2" s="40" t="str">
        <f>IF($A2="","",IFERROR(VLOOKUP($A2,Orders!$A$4:$J$998,3,FALSE),""))</f>
        <v/>
      </c>
      <c r="C2" s="40" t="str">
        <f>IF($A2="","",IFERROR(VLOOKUP($A2,Orders!$A$4:$J$998,4,FALSE),""))</f>
        <v/>
      </c>
      <c r="D2" s="47" t="str">
        <f>IF($A2="","",IFERROR(VLOOKUP($A2,Orders!$A$4:$J$998,5,FALSE),""))</f>
        <v/>
      </c>
      <c r="E2" s="40" t="str">
        <f>IFERROR(__xludf.DUMMYFUNCTION("IFERROR(INDEX(FILTER(Queue_All!$J$6:$J$1000,Queue_All!$C$6:$C$1000=$A2,Queue_All!$AE$6:$AE$1000=""WINNER""),1),"""")"),"")</f>
        <v/>
      </c>
      <c r="F2" s="40" t="str">
        <f>IFERROR(__xludf.DUMMYFUNCTION("IFERROR(INDEX(FILTER(Queue_All!$L$6:$L$1000,Queue_All!$C$6:$C$1000=$A2,Queue_All!$AE$6:$AE$1000=""WINNER""),1),"""")"),"")</f>
        <v/>
      </c>
      <c r="G2" s="40" t="str">
        <f>IFERROR(__xludf.DUMMYFUNCTION("IFERROR(INDEX(FILTER(Queue_All!$S$6:$S$1000,Queue_All!$C$6:$C$1000=$A2,Queue_All!$AE$6:$AE$1000=""WINNER""),1),"""")"),"")</f>
        <v/>
      </c>
      <c r="H2" s="40" t="str">
        <f>IFERROR(__xludf.DUMMYFUNCTION("IFERROR(INDEX(FILTER(Queue_All!$U$6:$U$1000,Queue_All!$C$6:$C$1000=$A2,Queue_All!$AE$6:$AE$1000=""WINNER""),1),"""")"),"")</f>
        <v/>
      </c>
      <c r="I2" s="40" t="str">
        <f>IFERROR(__xludf.DUMMYFUNCTION("IFERROR(INDEX(FILTER(Queue_All!$N$6:$N$1000,Queue_All!$C$6:$C$1000=$A2,Queue_All!$AE$6:$AE$1000=""WINNER""),1),"""")&amp;""/""&amp;IFERROR(INDEX(FILTER(Queue_All!$M$6:$M$1000,Queue_All!$C$6:$C$1000=$A2,Queue_All!$AE$6:$AE$1000=""WINNER""),1),"""")"),"/")</f>
        <v>/</v>
      </c>
      <c r="J2" s="40" t="str">
        <f>IFERROR(__xludf.DUMMYFUNCTION("IFERROR(INDEX(FILTER(Queue_All!$P$6:$P$1000,Queue_All!$C$6:$C$1000=$A2,Queue_All!$AE$6:$AE$1000=""WINNER""),1),"""")"),"")</f>
        <v/>
      </c>
      <c r="K2" s="40" t="str">
        <f>IFERROR(__xludf.DUMMYFUNCTION("IFERROR(INDEX(FILTER(Queue_All!$T$6:$T$1000,Queue_All!$C$6:$C$1000=$A2,Queue_All!$AE$6:$AE$1000=""WINNER""),1),"""")"),"")</f>
        <v/>
      </c>
      <c r="L2" s="40" t="str">
        <f>IFERROR(__xludf.DUMMYFUNCTION("IFERROR(INDEX(FILTER(Queue_All!$AC$6:$AC$1000,Queue_All!$C$6:$C$1000=$A2,Queue_All!$AE$6:$AE$1000=""WINNER""),1),"""")"),"")</f>
        <v/>
      </c>
      <c r="M2" s="40" t="str">
        <f>IFERROR(__xludf.DUMMYFUNCTION("IFERROR(INDEX(FILTER(Queue_All!$AF$6:$AF$1000,Queue_All!$C$6:$C$1000=$A2,Queue_All!$AE$6:$AE$1000=""WINNER""),1),"""")"),"")</f>
        <v/>
      </c>
      <c r="N2" s="40" t="str">
        <f>IFERROR(__xludf.DUMMYFUNCTION("IFERROR(INDEX(FILTER(Queue_All!$J$6:$J$1000,Queue_All!$C$6:$C$1000=$A2,Queue_All!$AD$6:$AD$1000=2),1),"""")"),"")</f>
        <v/>
      </c>
      <c r="O2" s="40" t="str">
        <f>IFERROR(__xludf.DUMMYFUNCTION("IFERROR(INDEX(FILTER(Queue_All!$S$6:$S$1000,Queue_All!$C$6:$C$1000=$A2,Queue_All!$AD$6:$AD$1000=2),1),"""")"),"")</f>
        <v/>
      </c>
      <c r="P2" s="40" t="str">
        <f>IFERROR(__xludf.DUMMYFUNCTION("IFERROR(INDEX(FILTER(Queue_All!$AC$6:$AC$1000,Queue_All!$C$6:$C$1000=$A2,Queue_All!$AD$6:$AD$1000=2),1),"""")"),"")</f>
        <v/>
      </c>
      <c r="Q2" s="40" t="str">
        <f>IF(OR($L2="",$P2=""),"", $L2-$P2)</f>
        <v/>
      </c>
      <c r="R2" s="22"/>
      <c r="S2" s="22"/>
      <c r="T2" s="22"/>
      <c r="U2" s="22"/>
      <c r="V2" s="22"/>
      <c r="W2" s="22"/>
      <c r="X2" s="22"/>
      <c r="Y2" s="22"/>
      <c r="Z2" s="22"/>
    </row>
    <row r="3">
      <c r="A3" s="40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40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</row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57"/>
    <col customWidth="1" min="2" max="6" width="8.71"/>
  </cols>
  <sheetData>
    <row r="1">
      <c r="A1" s="40" t="s">
        <v>391</v>
      </c>
      <c r="B1" s="40" t="s">
        <v>392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40" t="s">
        <v>393</v>
      </c>
      <c r="B2" s="54">
        <f>Config!$B$3</f>
        <v>46071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40" t="s">
        <v>394</v>
      </c>
      <c r="B3" s="40">
        <f>COUNTIF(Assignments!$E$6:$E$305,"Active")</f>
        <v>1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40" t="s">
        <v>395</v>
      </c>
      <c r="B4" s="40">
        <f>COUNTIFS(Assignments!$D$6:$D$305,"&gt;="&amp;Config!$B$3-7,Assignments!$D$6:$D$305,"&lt;="&amp;Config!$B$3)</f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40" t="s">
        <v>396</v>
      </c>
      <c r="B5" s="40">
        <f>IFERROR(AVERAGEIF(Assignments!$J$6:$J$305,"&gt;0",Assignments!$J$6:$J$305),0)</f>
        <v>0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40" t="s">
        <v>397</v>
      </c>
      <c r="B6" s="40">
        <f>IFERROR(AVERAGEIFS(Grinders!$I$4:$I$303,Grinders!$C$4:$C$303,"Elite"),0)</f>
        <v>0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40" t="s">
        <v>398</v>
      </c>
      <c r="B7" s="40">
        <f>IFERROR(AVERAGEIF(Grinders!$I$4:$I$303,"&gt;=0",Grinders!$I$4:$I$303),0)</f>
        <v>0.004566210046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40" t="s">
        <v>399</v>
      </c>
      <c r="B8" s="40">
        <f>SUMPRODUCT(--(Grinders!$A$4:$A$303&lt;&gt;""),--(Grinders!$E$4:$E$303&gt;=Grinders!$D$4:$D$303))</f>
        <v>0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40" t="s">
        <v>400</v>
      </c>
      <c r="B9" s="40">
        <f>SUMPRODUCT(--(Grinders!$A$4:$A$303&lt;&gt;""),--(Grinders!$E$4:$E$303=0),--(Grinders!$F$4:$F$303=0))</f>
        <v>72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40" t="s">
        <v>401</v>
      </c>
      <c r="B10" s="40">
        <f>SUMPRODUCT(--(Grinders!$A$4:$A$303&lt;&gt;""),--(Grinders!$C$4:$C$303="Elite"),--(Grinders!$E$4:$E$303=0))</f>
        <v>8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  <row r="1001" ht="15.75" customHeight="1">
      <c r="A1001" s="39" t="s">
        <v>402</v>
      </c>
      <c r="B1001" s="39">
        <f>COUNTIF(Strike_Log!$H:$H,"Pending")</f>
        <v>0</v>
      </c>
      <c r="C1001" s="22"/>
      <c r="D1001" s="22"/>
      <c r="E1001" s="22"/>
      <c r="F1001" s="22"/>
    </row>
    <row r="1002" ht="15.75" customHeight="1">
      <c r="A1002" s="39" t="s">
        <v>403</v>
      </c>
      <c r="B1002" s="39">
        <f>COUNTIFS(Assignments!$AE:$AE, "Y", Assignments!$D:$D, "&gt;="&amp;TODAY()-30)</f>
        <v>0</v>
      </c>
      <c r="C1002" s="22"/>
      <c r="D1002" s="22"/>
      <c r="E1002" s="22"/>
      <c r="F1002" s="22"/>
    </row>
    <row r="1003" ht="15.75" customHeight="1">
      <c r="A1003" s="39" t="s">
        <v>404</v>
      </c>
      <c r="B1003" s="39">
        <f>COUNTIFS(Assignments!$AE:$AE, "Y", Assignments!$AF:$AF, "")</f>
        <v>0</v>
      </c>
      <c r="C1003" s="22"/>
      <c r="D1003" s="22"/>
      <c r="E1003" s="22"/>
      <c r="F1003" s="22"/>
    </row>
    <row r="1004" ht="15.75" customHeight="1">
      <c r="A1004" s="39" t="s">
        <v>405</v>
      </c>
      <c r="B1004" s="39">
        <f>COUNTIF(Assignments!$AU:$AU,1)</f>
        <v>0</v>
      </c>
      <c r="C1004" s="22"/>
      <c r="D1004" s="22"/>
      <c r="E1004" s="22"/>
      <c r="F1004" s="22"/>
    </row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0"/>
    <col customWidth="1" min="3" max="3" width="8.71"/>
    <col customWidth="1" min="4" max="4" width="12.43"/>
    <col customWidth="1" min="5" max="5" width="8.71"/>
    <col customWidth="1" min="6" max="6" width="17.14"/>
    <col customWidth="1" min="7" max="7" width="19.14"/>
    <col customWidth="1" min="8" max="8" width="10.29"/>
    <col customWidth="1" min="9" max="9" width="8.71"/>
    <col customWidth="1" min="10" max="10" width="13.14"/>
    <col customWidth="1" min="11" max="11" width="15.57"/>
    <col customWidth="1" min="12" max="12" width="21.71"/>
    <col customWidth="1" min="13" max="13" width="8.71"/>
  </cols>
  <sheetData>
    <row r="1">
      <c r="A1" s="55" t="s">
        <v>282</v>
      </c>
      <c r="B1" s="55" t="s">
        <v>339</v>
      </c>
      <c r="C1" s="55" t="s">
        <v>4</v>
      </c>
      <c r="D1" s="55" t="s">
        <v>340</v>
      </c>
      <c r="E1" s="55" t="s">
        <v>96</v>
      </c>
      <c r="F1" s="55" t="s">
        <v>341</v>
      </c>
      <c r="G1" s="55" t="s">
        <v>406</v>
      </c>
      <c r="H1" s="55" t="s">
        <v>101</v>
      </c>
      <c r="I1" s="55" t="s">
        <v>407</v>
      </c>
      <c r="J1" s="55" t="s">
        <v>408</v>
      </c>
      <c r="K1" s="55" t="s">
        <v>409</v>
      </c>
      <c r="L1" s="55" t="s">
        <v>410</v>
      </c>
      <c r="M1" s="55" t="s">
        <v>411</v>
      </c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>
      <c r="A2" s="55" t="str">
        <f>Grinders!A4</f>
        <v>GRD-01</v>
      </c>
      <c r="B2" s="55" t="str">
        <f>Grinders!B4</f>
        <v>7unds</v>
      </c>
      <c r="C2" s="55" t="str">
        <f>Grinders!C4</f>
        <v>Regular</v>
      </c>
      <c r="D2" s="55">
        <f>Grinders!E4</f>
        <v>1</v>
      </c>
      <c r="E2" s="55" t="str">
        <f>Grinders!D4</f>
        <v>3</v>
      </c>
      <c r="F2" s="55">
        <f>Grinders!F4</f>
        <v>0</v>
      </c>
      <c r="G2" s="57">
        <f>Grinders!H4</f>
        <v>-3</v>
      </c>
      <c r="H2" s="55">
        <f>Grinders!I4</f>
        <v>0.3333333333</v>
      </c>
      <c r="I2" s="55" t="str">
        <f t="shared" ref="I2:I201" si="1">IF(A2="","",IF(D2&gt;=E2,"🔥",IF(D2/E2&gt;=0.6,"🟡","🟢")))</f>
        <v>🟢</v>
      </c>
      <c r="J2" s="55" t="str">
        <f t="shared" ref="J2:J201" si="2">IF(A2="","",IF(D2&gt;=E2,"🔥 OVERLOADED",""))</f>
        <v/>
      </c>
      <c r="K2" s="55" t="str">
        <f t="shared" ref="K2:K201" si="3">IF(A2="","",IF(AND(D2=0,F2=0),"🟢 STARVING",""))</f>
        <v/>
      </c>
      <c r="L2" s="55" t="str">
        <f t="shared" ref="L2:L201" si="4">IF(A2="","",IF(AND(C2="Elite",D2=0),"🟣 ELITE UNDERUSED",""))</f>
        <v/>
      </c>
      <c r="M2" s="55" t="str">
        <f t="shared" ref="M2:M201" si="5">TEXTJOIN(" | ",TRUE,J2:L2)</f>
        <v/>
      </c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>
      <c r="A3" s="55" t="str">
        <f>Grinders!A5</f>
        <v>GRD-02</v>
      </c>
      <c r="B3" s="55" t="str">
        <f>Grinders!B5</f>
        <v>8fy1</v>
      </c>
      <c r="C3" s="55" t="str">
        <f>Grinders!C5</f>
        <v>Regular</v>
      </c>
      <c r="D3" s="55">
        <f>Grinders!E5</f>
        <v>0</v>
      </c>
      <c r="E3" s="55" t="str">
        <f>Grinders!D5</f>
        <v>3</v>
      </c>
      <c r="F3" s="55">
        <f>Grinders!F5</f>
        <v>0</v>
      </c>
      <c r="G3" s="57">
        <f>Grinders!H5</f>
        <v>46071</v>
      </c>
      <c r="H3" s="55">
        <f>Grinders!I5</f>
        <v>0</v>
      </c>
      <c r="I3" s="55" t="str">
        <f t="shared" si="1"/>
        <v>🟢</v>
      </c>
      <c r="J3" s="55" t="str">
        <f t="shared" si="2"/>
        <v/>
      </c>
      <c r="K3" s="55" t="str">
        <f t="shared" si="3"/>
        <v>🟢 STARVING</v>
      </c>
      <c r="L3" s="55" t="str">
        <f t="shared" si="4"/>
        <v/>
      </c>
      <c r="M3" s="55" t="str">
        <f t="shared" si="5"/>
        <v>🟢 STARVING</v>
      </c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>
      <c r="A4" s="55" t="str">
        <f>Grinders!A6</f>
        <v>GRD-03</v>
      </c>
      <c r="B4" s="55" t="str">
        <f>Grinders!B6</f>
        <v>ahdedazs</v>
      </c>
      <c r="C4" s="55" t="str">
        <f>Grinders!C6</f>
        <v>Regular</v>
      </c>
      <c r="D4" s="55">
        <f>Grinders!E6</f>
        <v>0</v>
      </c>
      <c r="E4" s="55" t="str">
        <f>Grinders!D6</f>
        <v>3</v>
      </c>
      <c r="F4" s="55">
        <f>Grinders!F6</f>
        <v>0</v>
      </c>
      <c r="G4" s="57">
        <f>Grinders!H6</f>
        <v>46071</v>
      </c>
      <c r="H4" s="55">
        <f>Grinders!I6</f>
        <v>0</v>
      </c>
      <c r="I4" s="55" t="str">
        <f t="shared" si="1"/>
        <v>🟢</v>
      </c>
      <c r="J4" s="55" t="str">
        <f t="shared" si="2"/>
        <v/>
      </c>
      <c r="K4" s="55" t="str">
        <f t="shared" si="3"/>
        <v>🟢 STARVING</v>
      </c>
      <c r="L4" s="55" t="str">
        <f t="shared" si="4"/>
        <v/>
      </c>
      <c r="M4" s="55" t="str">
        <f t="shared" si="5"/>
        <v>🟢 STARVING</v>
      </c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>
      <c r="A5" s="55" t="str">
        <f>Grinders!A7</f>
        <v>GRD-04</v>
      </c>
      <c r="B5" s="55" t="str">
        <f>Grinders!B7</f>
        <v>andydpoy</v>
      </c>
      <c r="C5" s="55" t="str">
        <f>Grinders!C7</f>
        <v>Regular</v>
      </c>
      <c r="D5" s="55">
        <f>Grinders!E7</f>
        <v>0</v>
      </c>
      <c r="E5" s="55" t="str">
        <f>Grinders!D7</f>
        <v>3</v>
      </c>
      <c r="F5" s="55">
        <f>Grinders!F7</f>
        <v>0</v>
      </c>
      <c r="G5" s="57">
        <f>Grinders!H7</f>
        <v>46071</v>
      </c>
      <c r="H5" s="55">
        <f>Grinders!I7</f>
        <v>0</v>
      </c>
      <c r="I5" s="55" t="str">
        <f t="shared" si="1"/>
        <v>🟢</v>
      </c>
      <c r="J5" s="55" t="str">
        <f t="shared" si="2"/>
        <v/>
      </c>
      <c r="K5" s="55" t="str">
        <f t="shared" si="3"/>
        <v>🟢 STARVING</v>
      </c>
      <c r="L5" s="55" t="str">
        <f t="shared" si="4"/>
        <v/>
      </c>
      <c r="M5" s="55" t="str">
        <f t="shared" si="5"/>
        <v>🟢 STARVING</v>
      </c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>
      <c r="A6" s="55" t="str">
        <f>Grinders!A8</f>
        <v>GRD-05</v>
      </c>
      <c r="B6" s="55" t="str">
        <f>Grinders!B8</f>
        <v>anklesreborn</v>
      </c>
      <c r="C6" s="55" t="str">
        <f>Grinders!C8</f>
        <v>Regular</v>
      </c>
      <c r="D6" s="55">
        <f>Grinders!E8</f>
        <v>0</v>
      </c>
      <c r="E6" s="55" t="str">
        <f>Grinders!D8</f>
        <v>3</v>
      </c>
      <c r="F6" s="55">
        <f>Grinders!F8</f>
        <v>0</v>
      </c>
      <c r="G6" s="57">
        <f>Grinders!H8</f>
        <v>46071</v>
      </c>
      <c r="H6" s="55">
        <f>Grinders!I8</f>
        <v>0</v>
      </c>
      <c r="I6" s="55" t="str">
        <f t="shared" si="1"/>
        <v>🟢</v>
      </c>
      <c r="J6" s="55" t="str">
        <f t="shared" si="2"/>
        <v/>
      </c>
      <c r="K6" s="55" t="str">
        <f t="shared" si="3"/>
        <v>🟢 STARVING</v>
      </c>
      <c r="L6" s="55" t="str">
        <f t="shared" si="4"/>
        <v/>
      </c>
      <c r="M6" s="55" t="str">
        <f t="shared" si="5"/>
        <v>🟢 STARVING</v>
      </c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>
      <c r="A7" s="55" t="str">
        <f>Grinders!A9</f>
        <v>GRD-06</v>
      </c>
      <c r="B7" s="55" t="str">
        <f>Grinders!B9</f>
        <v>ant0513</v>
      </c>
      <c r="C7" s="55" t="str">
        <f>Grinders!C9</f>
        <v>Regular</v>
      </c>
      <c r="D7" s="55">
        <f>Grinders!E9</f>
        <v>0</v>
      </c>
      <c r="E7" s="55" t="str">
        <f>Grinders!D9</f>
        <v>3</v>
      </c>
      <c r="F7" s="55">
        <f>Grinders!F9</f>
        <v>0</v>
      </c>
      <c r="G7" s="57">
        <f>Grinders!H9</f>
        <v>46071</v>
      </c>
      <c r="H7" s="55">
        <f>Grinders!I9</f>
        <v>0</v>
      </c>
      <c r="I7" s="55" t="str">
        <f t="shared" si="1"/>
        <v>🟢</v>
      </c>
      <c r="J7" s="55" t="str">
        <f t="shared" si="2"/>
        <v/>
      </c>
      <c r="K7" s="55" t="str">
        <f t="shared" si="3"/>
        <v>🟢 STARVING</v>
      </c>
      <c r="L7" s="55" t="str">
        <f t="shared" si="4"/>
        <v/>
      </c>
      <c r="M7" s="55" t="str">
        <f t="shared" si="5"/>
        <v>🟢 STARVING</v>
      </c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>
      <c r="A8" s="55" t="str">
        <f>Grinders!A10</f>
        <v>GRD-07</v>
      </c>
      <c r="B8" s="55" t="str">
        <f>Grinders!B10</f>
        <v>asierxx</v>
      </c>
      <c r="C8" s="55" t="str">
        <f>Grinders!C10</f>
        <v>Regular</v>
      </c>
      <c r="D8" s="55">
        <f>Grinders!E10</f>
        <v>0</v>
      </c>
      <c r="E8" s="55" t="str">
        <f>Grinders!D10</f>
        <v>3</v>
      </c>
      <c r="F8" s="55">
        <f>Grinders!F10</f>
        <v>0</v>
      </c>
      <c r="G8" s="57">
        <f>Grinders!H10</f>
        <v>46071</v>
      </c>
      <c r="H8" s="55">
        <f>Grinders!I10</f>
        <v>0</v>
      </c>
      <c r="I8" s="55" t="str">
        <f t="shared" si="1"/>
        <v>🟢</v>
      </c>
      <c r="J8" s="55" t="str">
        <f t="shared" si="2"/>
        <v/>
      </c>
      <c r="K8" s="55" t="str">
        <f t="shared" si="3"/>
        <v>🟢 STARVING</v>
      </c>
      <c r="L8" s="55" t="str">
        <f t="shared" si="4"/>
        <v/>
      </c>
      <c r="M8" s="55" t="str">
        <f t="shared" si="5"/>
        <v>🟢 STARVING</v>
      </c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>
      <c r="A9" s="55" t="str">
        <f>Grinders!A11</f>
        <v>GRD-08</v>
      </c>
      <c r="B9" s="55" t="str">
        <f>Grinders!B11</f>
        <v>bigt20011_</v>
      </c>
      <c r="C9" s="55" t="str">
        <f>Grinders!C11</f>
        <v>Regular</v>
      </c>
      <c r="D9" s="55">
        <f>Grinders!E11</f>
        <v>0</v>
      </c>
      <c r="E9" s="55" t="str">
        <f>Grinders!D11</f>
        <v>3</v>
      </c>
      <c r="F9" s="55">
        <f>Grinders!F11</f>
        <v>0</v>
      </c>
      <c r="G9" s="57">
        <f>Grinders!H11</f>
        <v>46071</v>
      </c>
      <c r="H9" s="55">
        <f>Grinders!I11</f>
        <v>0</v>
      </c>
      <c r="I9" s="55" t="str">
        <f t="shared" si="1"/>
        <v>🟢</v>
      </c>
      <c r="J9" s="55" t="str">
        <f t="shared" si="2"/>
        <v/>
      </c>
      <c r="K9" s="55" t="str">
        <f t="shared" si="3"/>
        <v>🟢 STARVING</v>
      </c>
      <c r="L9" s="55" t="str">
        <f t="shared" si="4"/>
        <v/>
      </c>
      <c r="M9" s="55" t="str">
        <f t="shared" si="5"/>
        <v>🟢 STARVING</v>
      </c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>
      <c r="A10" s="55" t="str">
        <f>Grinders!A12</f>
        <v>GRD-09</v>
      </c>
      <c r="B10" s="55" t="str">
        <f>Grinders!B12</f>
        <v>boards4238</v>
      </c>
      <c r="C10" s="55" t="str">
        <f>Grinders!C12</f>
        <v>Regular</v>
      </c>
      <c r="D10" s="55">
        <f>Grinders!E12</f>
        <v>0</v>
      </c>
      <c r="E10" s="55" t="str">
        <f>Grinders!D12</f>
        <v>3</v>
      </c>
      <c r="F10" s="55">
        <f>Grinders!F12</f>
        <v>0</v>
      </c>
      <c r="G10" s="57">
        <f>Grinders!H12</f>
        <v>46071</v>
      </c>
      <c r="H10" s="55">
        <f>Grinders!I12</f>
        <v>0</v>
      </c>
      <c r="I10" s="55" t="str">
        <f t="shared" si="1"/>
        <v>🟢</v>
      </c>
      <c r="J10" s="55" t="str">
        <f t="shared" si="2"/>
        <v/>
      </c>
      <c r="K10" s="55" t="str">
        <f t="shared" si="3"/>
        <v>🟢 STARVING</v>
      </c>
      <c r="L10" s="55" t="str">
        <f t="shared" si="4"/>
        <v/>
      </c>
      <c r="M10" s="55" t="str">
        <f t="shared" si="5"/>
        <v>🟢 STARVING</v>
      </c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>
      <c r="A11" s="55" t="str">
        <f>Grinders!A13</f>
        <v>GRD-10</v>
      </c>
      <c r="B11" s="55" t="str">
        <f>Grinders!B13</f>
        <v>bumped240hz</v>
      </c>
      <c r="C11" s="55" t="str">
        <f>Grinders!C13</f>
        <v>Regular</v>
      </c>
      <c r="D11" s="55">
        <f>Grinders!E13</f>
        <v>0</v>
      </c>
      <c r="E11" s="55" t="str">
        <f>Grinders!D13</f>
        <v>3</v>
      </c>
      <c r="F11" s="55">
        <f>Grinders!F13</f>
        <v>0</v>
      </c>
      <c r="G11" s="57">
        <f>Grinders!H13</f>
        <v>46071</v>
      </c>
      <c r="H11" s="55">
        <f>Grinders!I13</f>
        <v>0</v>
      </c>
      <c r="I11" s="55" t="str">
        <f t="shared" si="1"/>
        <v>🟢</v>
      </c>
      <c r="J11" s="55" t="str">
        <f t="shared" si="2"/>
        <v/>
      </c>
      <c r="K11" s="55" t="str">
        <f t="shared" si="3"/>
        <v>🟢 STARVING</v>
      </c>
      <c r="L11" s="55" t="str">
        <f t="shared" si="4"/>
        <v/>
      </c>
      <c r="M11" s="55" t="str">
        <f t="shared" si="5"/>
        <v>🟢 STARVING</v>
      </c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>
      <c r="A12" s="55" t="str">
        <f>Grinders!A14</f>
        <v>GRD-11</v>
      </c>
      <c r="B12" s="55" t="str">
        <f>Grinders!B14</f>
        <v>bumpincombos</v>
      </c>
      <c r="C12" s="55" t="str">
        <f>Grinders!C14</f>
        <v>Regular</v>
      </c>
      <c r="D12" s="55">
        <f>Grinders!E14</f>
        <v>0</v>
      </c>
      <c r="E12" s="55" t="str">
        <f>Grinders!D14</f>
        <v>3</v>
      </c>
      <c r="F12" s="55">
        <f>Grinders!F14</f>
        <v>0</v>
      </c>
      <c r="G12" s="57">
        <f>Grinders!H14</f>
        <v>46071</v>
      </c>
      <c r="H12" s="55">
        <f>Grinders!I14</f>
        <v>0</v>
      </c>
      <c r="I12" s="55" t="str">
        <f t="shared" si="1"/>
        <v>🟢</v>
      </c>
      <c r="J12" s="55" t="str">
        <f t="shared" si="2"/>
        <v/>
      </c>
      <c r="K12" s="55" t="str">
        <f t="shared" si="3"/>
        <v>🟢 STARVING</v>
      </c>
      <c r="L12" s="55" t="str">
        <f t="shared" si="4"/>
        <v/>
      </c>
      <c r="M12" s="55" t="str">
        <f t="shared" si="5"/>
        <v>🟢 STARVING</v>
      </c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>
      <c r="A13" s="55" t="str">
        <f>Grinders!A15</f>
        <v>GRD-12</v>
      </c>
      <c r="B13" s="55" t="str">
        <f>Grinders!B15</f>
        <v>cerhzn</v>
      </c>
      <c r="C13" s="55" t="str">
        <f>Grinders!C15</f>
        <v>Regular</v>
      </c>
      <c r="D13" s="55">
        <f>Grinders!E15</f>
        <v>0</v>
      </c>
      <c r="E13" s="55" t="str">
        <f>Grinders!D15</f>
        <v>3</v>
      </c>
      <c r="F13" s="55">
        <f>Grinders!F15</f>
        <v>0</v>
      </c>
      <c r="G13" s="57">
        <f>Grinders!H15</f>
        <v>46071</v>
      </c>
      <c r="H13" s="55">
        <f>Grinders!I15</f>
        <v>0</v>
      </c>
      <c r="I13" s="55" t="str">
        <f t="shared" si="1"/>
        <v>🟢</v>
      </c>
      <c r="J13" s="55" t="str">
        <f t="shared" si="2"/>
        <v/>
      </c>
      <c r="K13" s="55" t="str">
        <f t="shared" si="3"/>
        <v>🟢 STARVING</v>
      </c>
      <c r="L13" s="55" t="str">
        <f t="shared" si="4"/>
        <v/>
      </c>
      <c r="M13" s="55" t="str">
        <f t="shared" si="5"/>
        <v>🟢 STARVING</v>
      </c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>
      <c r="A14" s="55" t="str">
        <f t="shared" ref="A14:H14" si="6">#REF!</f>
        <v>#REF!</v>
      </c>
      <c r="B14" s="55" t="str">
        <f t="shared" si="6"/>
        <v>#REF!</v>
      </c>
      <c r="C14" s="55" t="str">
        <f t="shared" si="6"/>
        <v>#REF!</v>
      </c>
      <c r="D14" s="55" t="str">
        <f t="shared" si="6"/>
        <v>#REF!</v>
      </c>
      <c r="E14" s="55" t="str">
        <f t="shared" si="6"/>
        <v>#REF!</v>
      </c>
      <c r="F14" s="55" t="str">
        <f t="shared" si="6"/>
        <v>#REF!</v>
      </c>
      <c r="G14" s="55" t="str">
        <f t="shared" si="6"/>
        <v>#REF!</v>
      </c>
      <c r="H14" s="55" t="str">
        <f t="shared" si="6"/>
        <v>#REF!</v>
      </c>
      <c r="I14" s="55" t="str">
        <f t="shared" si="1"/>
        <v>#REF!</v>
      </c>
      <c r="J14" s="55" t="str">
        <f t="shared" si="2"/>
        <v>#REF!</v>
      </c>
      <c r="K14" s="55" t="str">
        <f t="shared" si="3"/>
        <v>#REF!</v>
      </c>
      <c r="L14" s="55" t="str">
        <f t="shared" si="4"/>
        <v>#REF!</v>
      </c>
      <c r="M14" s="55" t="str">
        <f t="shared" si="5"/>
        <v>#REF!</v>
      </c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>
      <c r="A15" s="55" t="str">
        <f>Grinders!A16</f>
        <v>GRD-13</v>
      </c>
      <c r="B15" s="55" t="str">
        <f>Grinders!B16</f>
        <v>comptomuch</v>
      </c>
      <c r="C15" s="55" t="str">
        <f>Grinders!C16</f>
        <v>Elite</v>
      </c>
      <c r="D15" s="55">
        <f>Grinders!E16</f>
        <v>0</v>
      </c>
      <c r="E15" s="55" t="str">
        <f>Grinders!D16</f>
        <v>5</v>
      </c>
      <c r="F15" s="55">
        <f>Grinders!F16</f>
        <v>0</v>
      </c>
      <c r="G15" s="57">
        <f>Grinders!H16</f>
        <v>46071</v>
      </c>
      <c r="H15" s="55">
        <f>Grinders!I16</f>
        <v>0</v>
      </c>
      <c r="I15" s="55" t="str">
        <f t="shared" si="1"/>
        <v>🟢</v>
      </c>
      <c r="J15" s="55" t="str">
        <f t="shared" si="2"/>
        <v/>
      </c>
      <c r="K15" s="55" t="str">
        <f t="shared" si="3"/>
        <v>🟢 STARVING</v>
      </c>
      <c r="L15" s="55" t="str">
        <f t="shared" si="4"/>
        <v>🟣 ELITE UNDERUSED</v>
      </c>
      <c r="M15" s="55" t="str">
        <f t="shared" si="5"/>
        <v>🟢 STARVING | 🟣 ELITE UNDERUSED</v>
      </c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>
      <c r="A16" s="55" t="str">
        <f>Grinders!A17</f>
        <v>GRD-14</v>
      </c>
      <c r="B16" s="55" t="str">
        <f>Grinders!B17</f>
        <v>crazyrunz</v>
      </c>
      <c r="C16" s="55" t="str">
        <f>Grinders!C17</f>
        <v>Regular</v>
      </c>
      <c r="D16" s="55">
        <f>Grinders!E17</f>
        <v>0</v>
      </c>
      <c r="E16" s="55" t="str">
        <f>Grinders!D17</f>
        <v>3</v>
      </c>
      <c r="F16" s="55">
        <f>Grinders!F17</f>
        <v>0</v>
      </c>
      <c r="G16" s="57">
        <f>Grinders!H17</f>
        <v>46071</v>
      </c>
      <c r="H16" s="55">
        <f>Grinders!I17</f>
        <v>0</v>
      </c>
      <c r="I16" s="55" t="str">
        <f t="shared" si="1"/>
        <v>🟢</v>
      </c>
      <c r="J16" s="55" t="str">
        <f t="shared" si="2"/>
        <v/>
      </c>
      <c r="K16" s="55" t="str">
        <f t="shared" si="3"/>
        <v>🟢 STARVING</v>
      </c>
      <c r="L16" s="55" t="str">
        <f t="shared" si="4"/>
        <v/>
      </c>
      <c r="M16" s="55" t="str">
        <f t="shared" si="5"/>
        <v>🟢 STARVING</v>
      </c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>
      <c r="A17" s="55" t="str">
        <f>Grinders!A18</f>
        <v>GRD-15</v>
      </c>
      <c r="B17" s="55" t="str">
        <f>Grinders!B18</f>
        <v>darts.7</v>
      </c>
      <c r="C17" s="55" t="str">
        <f>Grinders!C18</f>
        <v>Regular</v>
      </c>
      <c r="D17" s="55">
        <f>Grinders!E18</f>
        <v>0</v>
      </c>
      <c r="E17" s="55" t="str">
        <f>Grinders!D18</f>
        <v>3</v>
      </c>
      <c r="F17" s="55">
        <f>Grinders!F18</f>
        <v>0</v>
      </c>
      <c r="G17" s="57">
        <f>Grinders!H18</f>
        <v>46071</v>
      </c>
      <c r="H17" s="55">
        <f>Grinders!I18</f>
        <v>0</v>
      </c>
      <c r="I17" s="55" t="str">
        <f t="shared" si="1"/>
        <v>🟢</v>
      </c>
      <c r="J17" s="55" t="str">
        <f t="shared" si="2"/>
        <v/>
      </c>
      <c r="K17" s="55" t="str">
        <f t="shared" si="3"/>
        <v>🟢 STARVING</v>
      </c>
      <c r="L17" s="55" t="str">
        <f t="shared" si="4"/>
        <v/>
      </c>
      <c r="M17" s="55" t="str">
        <f t="shared" si="5"/>
        <v>🟢 STARVING</v>
      </c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>
      <c r="A18" s="55" t="str">
        <f>Grinders!A19</f>
        <v>GRD-16</v>
      </c>
      <c r="B18" s="55" t="str">
        <f>Grinders!B19</f>
        <v>773tc</v>
      </c>
      <c r="C18" s="55" t="str">
        <f>Grinders!C19</f>
        <v>Regular</v>
      </c>
      <c r="D18" s="55">
        <f>Grinders!E19</f>
        <v>0</v>
      </c>
      <c r="E18" s="55" t="str">
        <f>Grinders!D19</f>
        <v>3</v>
      </c>
      <c r="F18" s="55">
        <f>Grinders!F19</f>
        <v>0</v>
      </c>
      <c r="G18" s="57">
        <f>Grinders!H19</f>
        <v>46071</v>
      </c>
      <c r="H18" s="55">
        <f>Grinders!I19</f>
        <v>0</v>
      </c>
      <c r="I18" s="55" t="str">
        <f t="shared" si="1"/>
        <v>🟢</v>
      </c>
      <c r="J18" s="55" t="str">
        <f t="shared" si="2"/>
        <v/>
      </c>
      <c r="K18" s="55" t="str">
        <f t="shared" si="3"/>
        <v>🟢 STARVING</v>
      </c>
      <c r="L18" s="55" t="str">
        <f t="shared" si="4"/>
        <v/>
      </c>
      <c r="M18" s="55" t="str">
        <f t="shared" si="5"/>
        <v>🟢 STARVING</v>
      </c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>
      <c r="A19" s="55" t="str">
        <f>Grinders!A20</f>
        <v>GRD-17</v>
      </c>
      <c r="B19" s="55" t="str">
        <f>Grinders!B20</f>
        <v>drew___x</v>
      </c>
      <c r="C19" s="55" t="str">
        <f>Grinders!C20</f>
        <v>Regular</v>
      </c>
      <c r="D19" s="55">
        <f>Grinders!E20</f>
        <v>0</v>
      </c>
      <c r="E19" s="55" t="str">
        <f>Grinders!D20</f>
        <v>3</v>
      </c>
      <c r="F19" s="55">
        <f>Grinders!F20</f>
        <v>0</v>
      </c>
      <c r="G19" s="57">
        <f>Grinders!H20</f>
        <v>46071</v>
      </c>
      <c r="H19" s="55">
        <f>Grinders!I20</f>
        <v>0</v>
      </c>
      <c r="I19" s="55" t="str">
        <f t="shared" si="1"/>
        <v>🟢</v>
      </c>
      <c r="J19" s="55" t="str">
        <f t="shared" si="2"/>
        <v/>
      </c>
      <c r="K19" s="55" t="str">
        <f t="shared" si="3"/>
        <v>🟢 STARVING</v>
      </c>
      <c r="L19" s="55" t="str">
        <f t="shared" si="4"/>
        <v/>
      </c>
      <c r="M19" s="55" t="str">
        <f t="shared" si="5"/>
        <v>🟢 STARVING</v>
      </c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>
      <c r="A20" s="55" t="str">
        <f>Grinders!A21</f>
        <v>GRD-18</v>
      </c>
      <c r="B20" s="55" t="str">
        <f>Grinders!B21</f>
        <v>drilluh__</v>
      </c>
      <c r="C20" s="55" t="str">
        <f>Grinders!C21</f>
        <v>Elite</v>
      </c>
      <c r="D20" s="55">
        <f>Grinders!E21</f>
        <v>0</v>
      </c>
      <c r="E20" s="55" t="str">
        <f>Grinders!D21</f>
        <v>5</v>
      </c>
      <c r="F20" s="55">
        <f>Grinders!F21</f>
        <v>0</v>
      </c>
      <c r="G20" s="57">
        <f>Grinders!H21</f>
        <v>46071</v>
      </c>
      <c r="H20" s="55">
        <f>Grinders!I21</f>
        <v>0</v>
      </c>
      <c r="I20" s="55" t="str">
        <f t="shared" si="1"/>
        <v>🟢</v>
      </c>
      <c r="J20" s="55" t="str">
        <f t="shared" si="2"/>
        <v/>
      </c>
      <c r="K20" s="55" t="str">
        <f t="shared" si="3"/>
        <v>🟢 STARVING</v>
      </c>
      <c r="L20" s="55" t="str">
        <f t="shared" si="4"/>
        <v>🟣 ELITE UNDERUSED</v>
      </c>
      <c r="M20" s="55" t="str">
        <f t="shared" si="5"/>
        <v>🟢 STARVING | 🟣 ELITE UNDERUSED</v>
      </c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5.75" customHeight="1">
      <c r="A21" s="55" t="str">
        <f>Grinders!A22</f>
        <v>GRD-19</v>
      </c>
      <c r="B21" s="55" t="str">
        <f>Grinders!B22</f>
        <v>earns2490</v>
      </c>
      <c r="C21" s="55" t="str">
        <f>Grinders!C22</f>
        <v>Regular</v>
      </c>
      <c r="D21" s="55">
        <f>Grinders!E22</f>
        <v>0</v>
      </c>
      <c r="E21" s="55" t="str">
        <f>Grinders!D22</f>
        <v>3</v>
      </c>
      <c r="F21" s="55">
        <f>Grinders!F22</f>
        <v>0</v>
      </c>
      <c r="G21" s="57">
        <f>Grinders!H22</f>
        <v>46071</v>
      </c>
      <c r="H21" s="55">
        <f>Grinders!I22</f>
        <v>0</v>
      </c>
      <c r="I21" s="55" t="str">
        <f t="shared" si="1"/>
        <v>🟢</v>
      </c>
      <c r="J21" s="55" t="str">
        <f t="shared" si="2"/>
        <v/>
      </c>
      <c r="K21" s="55" t="str">
        <f t="shared" si="3"/>
        <v>🟢 STARVING</v>
      </c>
      <c r="L21" s="55" t="str">
        <f t="shared" si="4"/>
        <v/>
      </c>
      <c r="M21" s="55" t="str">
        <f t="shared" si="5"/>
        <v>🟢 STARVING</v>
      </c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15.75" customHeight="1">
      <c r="A22" s="55" t="str">
        <f>Grinders!A23</f>
        <v>GRD-20</v>
      </c>
      <c r="B22" s="55" t="str">
        <f>Grinders!B23</f>
        <v>egotito</v>
      </c>
      <c r="C22" s="55" t="str">
        <f>Grinders!C23</f>
        <v>Regular</v>
      </c>
      <c r="D22" s="55">
        <f>Grinders!E23</f>
        <v>0</v>
      </c>
      <c r="E22" s="55" t="str">
        <f>Grinders!D23</f>
        <v>3</v>
      </c>
      <c r="F22" s="55">
        <f>Grinders!F23</f>
        <v>0</v>
      </c>
      <c r="G22" s="57">
        <f>Grinders!H23</f>
        <v>46071</v>
      </c>
      <c r="H22" s="55">
        <f>Grinders!I23</f>
        <v>0</v>
      </c>
      <c r="I22" s="55" t="str">
        <f t="shared" si="1"/>
        <v>🟢</v>
      </c>
      <c r="J22" s="55" t="str">
        <f t="shared" si="2"/>
        <v/>
      </c>
      <c r="K22" s="55" t="str">
        <f t="shared" si="3"/>
        <v>🟢 STARVING</v>
      </c>
      <c r="L22" s="55" t="str">
        <f t="shared" si="4"/>
        <v/>
      </c>
      <c r="M22" s="55" t="str">
        <f t="shared" si="5"/>
        <v>🟢 STARVING</v>
      </c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15.75" customHeight="1">
      <c r="A23" s="55" t="str">
        <f>Grinders!A24</f>
        <v>GRD-21</v>
      </c>
      <c r="B23" s="55" t="str">
        <f>Grinders!B24</f>
        <v>flyestt</v>
      </c>
      <c r="C23" s="55" t="str">
        <f>Grinders!C24</f>
        <v>Regular</v>
      </c>
      <c r="D23" s="55">
        <f>Grinders!E24</f>
        <v>0</v>
      </c>
      <c r="E23" s="55" t="str">
        <f>Grinders!D24</f>
        <v>3</v>
      </c>
      <c r="F23" s="55">
        <f>Grinders!F24</f>
        <v>0</v>
      </c>
      <c r="G23" s="57">
        <f>Grinders!H24</f>
        <v>46071</v>
      </c>
      <c r="H23" s="55">
        <f>Grinders!I24</f>
        <v>0</v>
      </c>
      <c r="I23" s="55" t="str">
        <f t="shared" si="1"/>
        <v>🟢</v>
      </c>
      <c r="J23" s="55" t="str">
        <f t="shared" si="2"/>
        <v/>
      </c>
      <c r="K23" s="55" t="str">
        <f t="shared" si="3"/>
        <v>🟢 STARVING</v>
      </c>
      <c r="L23" s="55" t="str">
        <f t="shared" si="4"/>
        <v/>
      </c>
      <c r="M23" s="55" t="str">
        <f t="shared" si="5"/>
        <v>🟢 STARVING</v>
      </c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5.75" customHeight="1">
      <c r="A24" s="55" t="str">
        <f>Grinders!A25</f>
        <v>GRD-22</v>
      </c>
      <c r="B24" s="55" t="str">
        <f>Grinders!B25</f>
        <v>freeblessedtv</v>
      </c>
      <c r="C24" s="55" t="str">
        <f>Grinders!C25</f>
        <v>Elite</v>
      </c>
      <c r="D24" s="55">
        <f>Grinders!E25</f>
        <v>0</v>
      </c>
      <c r="E24" s="55" t="str">
        <f>Grinders!D25</f>
        <v>5</v>
      </c>
      <c r="F24" s="55">
        <f>Grinders!F25</f>
        <v>0</v>
      </c>
      <c r="G24" s="57">
        <f>Grinders!H25</f>
        <v>46071</v>
      </c>
      <c r="H24" s="55">
        <f>Grinders!I25</f>
        <v>0</v>
      </c>
      <c r="I24" s="55" t="str">
        <f t="shared" si="1"/>
        <v>🟢</v>
      </c>
      <c r="J24" s="55" t="str">
        <f t="shared" si="2"/>
        <v/>
      </c>
      <c r="K24" s="55" t="str">
        <f t="shared" si="3"/>
        <v>🟢 STARVING</v>
      </c>
      <c r="L24" s="55" t="str">
        <f t="shared" si="4"/>
        <v>🟣 ELITE UNDERUSED</v>
      </c>
      <c r="M24" s="55" t="str">
        <f t="shared" si="5"/>
        <v>🟢 STARVING | 🟣 ELITE UNDERUSED</v>
      </c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5.75" customHeight="1">
      <c r="A25" s="55" t="str">
        <f>Grinders!A26</f>
        <v>GRD-23</v>
      </c>
      <c r="B25" s="55" t="str">
        <f>Grinders!B26</f>
        <v>gamblynnn</v>
      </c>
      <c r="C25" s="55" t="str">
        <f>Grinders!C26</f>
        <v>Regular</v>
      </c>
      <c r="D25" s="55">
        <f>Grinders!E26</f>
        <v>0</v>
      </c>
      <c r="E25" s="55" t="str">
        <f>Grinders!D26</f>
        <v>3</v>
      </c>
      <c r="F25" s="55">
        <f>Grinders!F26</f>
        <v>0</v>
      </c>
      <c r="G25" s="57">
        <f>Grinders!H26</f>
        <v>46071</v>
      </c>
      <c r="H25" s="55">
        <f>Grinders!I26</f>
        <v>0</v>
      </c>
      <c r="I25" s="55" t="str">
        <f t="shared" si="1"/>
        <v>🟢</v>
      </c>
      <c r="J25" s="55" t="str">
        <f t="shared" si="2"/>
        <v/>
      </c>
      <c r="K25" s="55" t="str">
        <f t="shared" si="3"/>
        <v>🟢 STARVING</v>
      </c>
      <c r="L25" s="55" t="str">
        <f t="shared" si="4"/>
        <v/>
      </c>
      <c r="M25" s="55" t="str">
        <f t="shared" si="5"/>
        <v>🟢 STARVING</v>
      </c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5.75" customHeight="1">
      <c r="A26" s="55" t="str">
        <f>Grinders!A27</f>
        <v>GRD-24</v>
      </c>
      <c r="B26" s="55" t="str">
        <f>Grinders!B27</f>
        <v>gannon4868</v>
      </c>
      <c r="C26" s="55" t="str">
        <f>Grinders!C27</f>
        <v>Regular</v>
      </c>
      <c r="D26" s="55">
        <f>Grinders!E27</f>
        <v>0</v>
      </c>
      <c r="E26" s="55" t="str">
        <f>Grinders!D27</f>
        <v>3</v>
      </c>
      <c r="F26" s="55">
        <f>Grinders!F27</f>
        <v>0</v>
      </c>
      <c r="G26" s="57">
        <f>Grinders!H27</f>
        <v>46071</v>
      </c>
      <c r="H26" s="55">
        <f>Grinders!I27</f>
        <v>0</v>
      </c>
      <c r="I26" s="55" t="str">
        <f t="shared" si="1"/>
        <v>🟢</v>
      </c>
      <c r="J26" s="55" t="str">
        <f t="shared" si="2"/>
        <v/>
      </c>
      <c r="K26" s="55" t="str">
        <f t="shared" si="3"/>
        <v>🟢 STARVING</v>
      </c>
      <c r="L26" s="55" t="str">
        <f t="shared" si="4"/>
        <v/>
      </c>
      <c r="M26" s="55" t="str">
        <f t="shared" si="5"/>
        <v>🟢 STARVING</v>
      </c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5.75" customHeight="1">
      <c r="A27" s="55" t="str">
        <f>Grinders!A28</f>
        <v>GRD-25</v>
      </c>
      <c r="B27" s="55" t="str">
        <f>Grinders!B28</f>
        <v>gexism</v>
      </c>
      <c r="C27" s="55" t="str">
        <f>Grinders!C28</f>
        <v>Regular</v>
      </c>
      <c r="D27" s="55">
        <f>Grinders!E28</f>
        <v>0</v>
      </c>
      <c r="E27" s="55" t="str">
        <f>Grinders!D28</f>
        <v>3</v>
      </c>
      <c r="F27" s="55">
        <f>Grinders!F28</f>
        <v>0</v>
      </c>
      <c r="G27" s="57">
        <f>Grinders!H28</f>
        <v>46071</v>
      </c>
      <c r="H27" s="55">
        <f>Grinders!I28</f>
        <v>0</v>
      </c>
      <c r="I27" s="55" t="str">
        <f t="shared" si="1"/>
        <v>🟢</v>
      </c>
      <c r="J27" s="55" t="str">
        <f t="shared" si="2"/>
        <v/>
      </c>
      <c r="K27" s="55" t="str">
        <f t="shared" si="3"/>
        <v>🟢 STARVING</v>
      </c>
      <c r="L27" s="55" t="str">
        <f t="shared" si="4"/>
        <v/>
      </c>
      <c r="M27" s="55" t="str">
        <f t="shared" si="5"/>
        <v>🟢 STARVING</v>
      </c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5.75" customHeight="1">
      <c r="A28" s="55" t="str">
        <f>Grinders!A29</f>
        <v>GRD-26</v>
      </c>
      <c r="B28" s="55" t="str">
        <f>Grinders!B29</f>
        <v>gxufy</v>
      </c>
      <c r="C28" s="55" t="str">
        <f>Grinders!C29</f>
        <v>Regular</v>
      </c>
      <c r="D28" s="55">
        <f>Grinders!E29</f>
        <v>0</v>
      </c>
      <c r="E28" s="55" t="str">
        <f>Grinders!D29</f>
        <v>3</v>
      </c>
      <c r="F28" s="55">
        <f>Grinders!F29</f>
        <v>0</v>
      </c>
      <c r="G28" s="57">
        <f>Grinders!H29</f>
        <v>46071</v>
      </c>
      <c r="H28" s="55">
        <f>Grinders!I29</f>
        <v>0</v>
      </c>
      <c r="I28" s="55" t="str">
        <f t="shared" si="1"/>
        <v>🟢</v>
      </c>
      <c r="J28" s="55" t="str">
        <f t="shared" si="2"/>
        <v/>
      </c>
      <c r="K28" s="55" t="str">
        <f t="shared" si="3"/>
        <v>🟢 STARVING</v>
      </c>
      <c r="L28" s="55" t="str">
        <f t="shared" si="4"/>
        <v/>
      </c>
      <c r="M28" s="55" t="str">
        <f t="shared" si="5"/>
        <v>🟢 STARVING</v>
      </c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5.75" customHeight="1">
      <c r="A29" s="55" t="str">
        <f>Grinders!A30</f>
        <v>GRD-27</v>
      </c>
      <c r="B29" s="55" t="str">
        <f>Grinders!B30</f>
        <v>hemisssometimes</v>
      </c>
      <c r="C29" s="55" t="str">
        <f>Grinders!C30</f>
        <v>Regular</v>
      </c>
      <c r="D29" s="55">
        <f>Grinders!E30</f>
        <v>0</v>
      </c>
      <c r="E29" s="55" t="str">
        <f>Grinders!D30</f>
        <v>3</v>
      </c>
      <c r="F29" s="55">
        <f>Grinders!F30</f>
        <v>0</v>
      </c>
      <c r="G29" s="57">
        <f>Grinders!H30</f>
        <v>46071</v>
      </c>
      <c r="H29" s="55">
        <f>Grinders!I30</f>
        <v>0</v>
      </c>
      <c r="I29" s="55" t="str">
        <f t="shared" si="1"/>
        <v>🟢</v>
      </c>
      <c r="J29" s="55" t="str">
        <f t="shared" si="2"/>
        <v/>
      </c>
      <c r="K29" s="55" t="str">
        <f t="shared" si="3"/>
        <v>🟢 STARVING</v>
      </c>
      <c r="L29" s="55" t="str">
        <f t="shared" si="4"/>
        <v/>
      </c>
      <c r="M29" s="55" t="str">
        <f t="shared" si="5"/>
        <v>🟢 STARVING</v>
      </c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5.75" customHeight="1">
      <c r="A30" s="55" t="str">
        <f>Grinders!A31</f>
        <v>GRD-28</v>
      </c>
      <c r="B30" s="55" t="str">
        <f>Grinders!B31</f>
        <v>homiekirk</v>
      </c>
      <c r="C30" s="55" t="str">
        <f>Grinders!C31</f>
        <v>Elite</v>
      </c>
      <c r="D30" s="55">
        <f>Grinders!E31</f>
        <v>0</v>
      </c>
      <c r="E30" s="55" t="str">
        <f>Grinders!D31</f>
        <v>5</v>
      </c>
      <c r="F30" s="55">
        <f>Grinders!F31</f>
        <v>0</v>
      </c>
      <c r="G30" s="57">
        <f>Grinders!H31</f>
        <v>46071</v>
      </c>
      <c r="H30" s="55">
        <f>Grinders!I31</f>
        <v>0</v>
      </c>
      <c r="I30" s="55" t="str">
        <f t="shared" si="1"/>
        <v>🟢</v>
      </c>
      <c r="J30" s="55" t="str">
        <f t="shared" si="2"/>
        <v/>
      </c>
      <c r="K30" s="55" t="str">
        <f t="shared" si="3"/>
        <v>🟢 STARVING</v>
      </c>
      <c r="L30" s="55" t="str">
        <f t="shared" si="4"/>
        <v>🟣 ELITE UNDERUSED</v>
      </c>
      <c r="M30" s="55" t="str">
        <f t="shared" si="5"/>
        <v>🟢 STARVING | 🟣 ELITE UNDERUSED</v>
      </c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5.75" customHeight="1">
      <c r="A31" s="55" t="str">
        <f>Grinders!A32</f>
        <v>GRD-29</v>
      </c>
      <c r="B31" s="55" t="str">
        <f>Grinders!B32</f>
        <v>hoop7663</v>
      </c>
      <c r="C31" s="55" t="str">
        <f>Grinders!C32</f>
        <v>Regular</v>
      </c>
      <c r="D31" s="55">
        <f>Grinders!E32</f>
        <v>0</v>
      </c>
      <c r="E31" s="55" t="str">
        <f>Grinders!D32</f>
        <v>3</v>
      </c>
      <c r="F31" s="55">
        <f>Grinders!F32</f>
        <v>0</v>
      </c>
      <c r="G31" s="57">
        <f>Grinders!H32</f>
        <v>46071</v>
      </c>
      <c r="H31" s="55">
        <f>Grinders!I32</f>
        <v>0</v>
      </c>
      <c r="I31" s="55" t="str">
        <f t="shared" si="1"/>
        <v>🟢</v>
      </c>
      <c r="J31" s="55" t="str">
        <f t="shared" si="2"/>
        <v/>
      </c>
      <c r="K31" s="55" t="str">
        <f t="shared" si="3"/>
        <v>🟢 STARVING</v>
      </c>
      <c r="L31" s="55" t="str">
        <f t="shared" si="4"/>
        <v/>
      </c>
      <c r="M31" s="55" t="str">
        <f t="shared" si="5"/>
        <v>🟢 STARVING</v>
      </c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15.75" customHeight="1">
      <c r="A32" s="55" t="str">
        <f>Grinders!A33</f>
        <v>GRD-30</v>
      </c>
      <c r="B32" s="55" t="str">
        <f>Grinders!B33</f>
        <v>iiirxpctiii</v>
      </c>
      <c r="C32" s="55" t="str">
        <f>Grinders!C33</f>
        <v>Elite</v>
      </c>
      <c r="D32" s="55">
        <f>Grinders!E33</f>
        <v>0</v>
      </c>
      <c r="E32" s="55" t="str">
        <f>Grinders!D33</f>
        <v>5</v>
      </c>
      <c r="F32" s="55">
        <f>Grinders!F33</f>
        <v>0</v>
      </c>
      <c r="G32" s="57">
        <f>Grinders!H33</f>
        <v>46071</v>
      </c>
      <c r="H32" s="55">
        <f>Grinders!I33</f>
        <v>0</v>
      </c>
      <c r="I32" s="55" t="str">
        <f t="shared" si="1"/>
        <v>🟢</v>
      </c>
      <c r="J32" s="55" t="str">
        <f t="shared" si="2"/>
        <v/>
      </c>
      <c r="K32" s="55" t="str">
        <f t="shared" si="3"/>
        <v>🟢 STARVING</v>
      </c>
      <c r="L32" s="55" t="str">
        <f t="shared" si="4"/>
        <v>🟣 ELITE UNDERUSED</v>
      </c>
      <c r="M32" s="55" t="str">
        <f t="shared" si="5"/>
        <v>🟢 STARVING | 🟣 ELITE UNDERUSED</v>
      </c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5.75" customHeight="1">
      <c r="A33" s="55" t="str">
        <f>Grinders!A34</f>
        <v>GRD-31</v>
      </c>
      <c r="B33" s="55" t="str">
        <f>Grinders!B34</f>
        <v>plqytake</v>
      </c>
      <c r="C33" s="55" t="str">
        <f>Grinders!C34</f>
        <v>Regular</v>
      </c>
      <c r="D33" s="55">
        <f>Grinders!E34</f>
        <v>0</v>
      </c>
      <c r="E33" s="55" t="str">
        <f>Grinders!D34</f>
        <v>3</v>
      </c>
      <c r="F33" s="55">
        <f>Grinders!F34</f>
        <v>0</v>
      </c>
      <c r="G33" s="57">
        <f>Grinders!H34</f>
        <v>46071</v>
      </c>
      <c r="H33" s="55">
        <f>Grinders!I34</f>
        <v>0</v>
      </c>
      <c r="I33" s="55" t="str">
        <f t="shared" si="1"/>
        <v>🟢</v>
      </c>
      <c r="J33" s="55" t="str">
        <f t="shared" si="2"/>
        <v/>
      </c>
      <c r="K33" s="55" t="str">
        <f t="shared" si="3"/>
        <v>🟢 STARVING</v>
      </c>
      <c r="L33" s="55" t="str">
        <f t="shared" si="4"/>
        <v/>
      </c>
      <c r="M33" s="55" t="str">
        <f t="shared" si="5"/>
        <v>🟢 STARVING</v>
      </c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ht="15.75" customHeight="1">
      <c r="A34" s="55" t="str">
        <f>Grinders!A35</f>
        <v>GRD-32</v>
      </c>
      <c r="B34" s="55" t="str">
        <f>Grinders!B35</f>
        <v>jalen7985</v>
      </c>
      <c r="C34" s="55" t="str">
        <f>Grinders!C35</f>
        <v>Regular</v>
      </c>
      <c r="D34" s="55">
        <f>Grinders!E35</f>
        <v>0</v>
      </c>
      <c r="E34" s="55" t="str">
        <f>Grinders!D35</f>
        <v>3</v>
      </c>
      <c r="F34" s="55">
        <f>Grinders!F35</f>
        <v>0</v>
      </c>
      <c r="G34" s="57">
        <f>Grinders!H35</f>
        <v>46071</v>
      </c>
      <c r="H34" s="55">
        <f>Grinders!I35</f>
        <v>0</v>
      </c>
      <c r="I34" s="55" t="str">
        <f t="shared" si="1"/>
        <v>🟢</v>
      </c>
      <c r="J34" s="55" t="str">
        <f t="shared" si="2"/>
        <v/>
      </c>
      <c r="K34" s="55" t="str">
        <f t="shared" si="3"/>
        <v>🟢 STARVING</v>
      </c>
      <c r="L34" s="55" t="str">
        <f t="shared" si="4"/>
        <v/>
      </c>
      <c r="M34" s="55" t="str">
        <f t="shared" si="5"/>
        <v>🟢 STARVING</v>
      </c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ht="15.75" customHeight="1">
      <c r="A35" s="55" t="str">
        <f>Grinders!A36</f>
        <v>GRD-33</v>
      </c>
      <c r="B35" s="55" t="str">
        <f>Grinders!B36</f>
        <v>jwrldx</v>
      </c>
      <c r="C35" s="55" t="str">
        <f>Grinders!C36</f>
        <v>Regular</v>
      </c>
      <c r="D35" s="55">
        <f>Grinders!E36</f>
        <v>0</v>
      </c>
      <c r="E35" s="55" t="str">
        <f>Grinders!D36</f>
        <v>3</v>
      </c>
      <c r="F35" s="55">
        <f>Grinders!F36</f>
        <v>0</v>
      </c>
      <c r="G35" s="57">
        <f>Grinders!H36</f>
        <v>46071</v>
      </c>
      <c r="H35" s="55">
        <f>Grinders!I36</f>
        <v>0</v>
      </c>
      <c r="I35" s="55" t="str">
        <f t="shared" si="1"/>
        <v>🟢</v>
      </c>
      <c r="J35" s="55" t="str">
        <f t="shared" si="2"/>
        <v/>
      </c>
      <c r="K35" s="55" t="str">
        <f t="shared" si="3"/>
        <v>🟢 STARVING</v>
      </c>
      <c r="L35" s="55" t="str">
        <f t="shared" si="4"/>
        <v/>
      </c>
      <c r="M35" s="55" t="str">
        <f t="shared" si="5"/>
        <v>🟢 STARVING</v>
      </c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ht="15.75" customHeight="1">
      <c r="A36" s="55" t="str">
        <f>Grinders!A37</f>
        <v>GRD-34</v>
      </c>
      <c r="B36" s="55" t="str">
        <f>Grinders!B37</f>
        <v>jitxx</v>
      </c>
      <c r="C36" s="55" t="str">
        <f>Grinders!C37</f>
        <v>Regular</v>
      </c>
      <c r="D36" s="55">
        <f>Grinders!E37</f>
        <v>0</v>
      </c>
      <c r="E36" s="55" t="str">
        <f>Grinders!D37</f>
        <v>3</v>
      </c>
      <c r="F36" s="55">
        <f>Grinders!F37</f>
        <v>0</v>
      </c>
      <c r="G36" s="57">
        <f>Grinders!H37</f>
        <v>46071</v>
      </c>
      <c r="H36" s="55">
        <f>Grinders!I37</f>
        <v>0</v>
      </c>
      <c r="I36" s="55" t="str">
        <f t="shared" si="1"/>
        <v>🟢</v>
      </c>
      <c r="J36" s="55" t="str">
        <f t="shared" si="2"/>
        <v/>
      </c>
      <c r="K36" s="55" t="str">
        <f t="shared" si="3"/>
        <v>🟢 STARVING</v>
      </c>
      <c r="L36" s="55" t="str">
        <f t="shared" si="4"/>
        <v/>
      </c>
      <c r="M36" s="55" t="str">
        <f t="shared" si="5"/>
        <v>🟢 STARVING</v>
      </c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ht="15.75" customHeight="1">
      <c r="A37" s="55" t="str">
        <f>Grinders!A38</f>
        <v>GRD-35</v>
      </c>
      <c r="B37" s="58">
        <f>Grinders!B38</f>
        <v>768288</v>
      </c>
      <c r="C37" s="55" t="str">
        <f>Grinders!C38</f>
        <v>Regular</v>
      </c>
      <c r="D37" s="55">
        <f>Grinders!E38</f>
        <v>0</v>
      </c>
      <c r="E37" s="55" t="str">
        <f>Grinders!D38</f>
        <v>3</v>
      </c>
      <c r="F37" s="55">
        <f>Grinders!F38</f>
        <v>0</v>
      </c>
      <c r="G37" s="57">
        <f>Grinders!H38</f>
        <v>46071</v>
      </c>
      <c r="H37" s="55">
        <f>Grinders!I38</f>
        <v>0</v>
      </c>
      <c r="I37" s="55" t="str">
        <f t="shared" si="1"/>
        <v>🟢</v>
      </c>
      <c r="J37" s="55" t="str">
        <f t="shared" si="2"/>
        <v/>
      </c>
      <c r="K37" s="55" t="str">
        <f t="shared" si="3"/>
        <v>🟢 STARVING</v>
      </c>
      <c r="L37" s="55" t="str">
        <f t="shared" si="4"/>
        <v/>
      </c>
      <c r="M37" s="55" t="str">
        <f t="shared" si="5"/>
        <v>🟢 STARVING</v>
      </c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ht="15.75" customHeight="1">
      <c r="A38" s="55" t="str">
        <f>Grinders!A39</f>
        <v>GRD-36</v>
      </c>
      <c r="B38" s="55" t="str">
        <f>Grinders!B39</f>
        <v>xoticashes</v>
      </c>
      <c r="C38" s="55" t="str">
        <f>Grinders!C39</f>
        <v>Regular</v>
      </c>
      <c r="D38" s="55">
        <f>Grinders!E39</f>
        <v>0</v>
      </c>
      <c r="E38" s="55" t="str">
        <f>Grinders!D39</f>
        <v>3</v>
      </c>
      <c r="F38" s="55">
        <f>Grinders!F39</f>
        <v>0</v>
      </c>
      <c r="G38" s="57">
        <f>Grinders!H39</f>
        <v>46071</v>
      </c>
      <c r="H38" s="55">
        <f>Grinders!I39</f>
        <v>0</v>
      </c>
      <c r="I38" s="55" t="str">
        <f t="shared" si="1"/>
        <v>🟢</v>
      </c>
      <c r="J38" s="55" t="str">
        <f t="shared" si="2"/>
        <v/>
      </c>
      <c r="K38" s="55" t="str">
        <f t="shared" si="3"/>
        <v>🟢 STARVING</v>
      </c>
      <c r="L38" s="55" t="str">
        <f t="shared" si="4"/>
        <v/>
      </c>
      <c r="M38" s="55" t="str">
        <f t="shared" si="5"/>
        <v>🟢 STARVING</v>
      </c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ht="15.75" customHeight="1">
      <c r="A39" s="55" t="str">
        <f>Grinders!A40</f>
        <v>GRD-37</v>
      </c>
      <c r="B39" s="55" t="str">
        <f>Grinders!B40</f>
        <v>kolioh</v>
      </c>
      <c r="C39" s="55" t="str">
        <f>Grinders!C40</f>
        <v>Regular</v>
      </c>
      <c r="D39" s="55">
        <f>Grinders!E40</f>
        <v>0</v>
      </c>
      <c r="E39" s="55" t="str">
        <f>Grinders!D40</f>
        <v>3</v>
      </c>
      <c r="F39" s="55">
        <f>Grinders!F40</f>
        <v>0</v>
      </c>
      <c r="G39" s="57">
        <f>Grinders!H40</f>
        <v>46071</v>
      </c>
      <c r="H39" s="55">
        <f>Grinders!I40</f>
        <v>0</v>
      </c>
      <c r="I39" s="55" t="str">
        <f t="shared" si="1"/>
        <v>🟢</v>
      </c>
      <c r="J39" s="55" t="str">
        <f t="shared" si="2"/>
        <v/>
      </c>
      <c r="K39" s="55" t="str">
        <f t="shared" si="3"/>
        <v>🟢 STARVING</v>
      </c>
      <c r="L39" s="55" t="str">
        <f t="shared" si="4"/>
        <v/>
      </c>
      <c r="M39" s="55" t="str">
        <f t="shared" si="5"/>
        <v>🟢 STARVING</v>
      </c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ht="15.75" customHeight="1">
      <c r="A40" s="55" t="str">
        <f>Grinders!A41</f>
        <v>GRD-38</v>
      </c>
      <c r="B40" s="55" t="str">
        <f>Grinders!B41</f>
        <v>korean_zombiie</v>
      </c>
      <c r="C40" s="55" t="str">
        <f>Grinders!C41</f>
        <v>Regular</v>
      </c>
      <c r="D40" s="55">
        <f>Grinders!E41</f>
        <v>0</v>
      </c>
      <c r="E40" s="55" t="str">
        <f>Grinders!D41</f>
        <v>3</v>
      </c>
      <c r="F40" s="55">
        <f>Grinders!F41</f>
        <v>0</v>
      </c>
      <c r="G40" s="57">
        <f>Grinders!H41</f>
        <v>46071</v>
      </c>
      <c r="H40" s="55">
        <f>Grinders!I41</f>
        <v>0</v>
      </c>
      <c r="I40" s="55" t="str">
        <f t="shared" si="1"/>
        <v>🟢</v>
      </c>
      <c r="J40" s="55" t="str">
        <f t="shared" si="2"/>
        <v/>
      </c>
      <c r="K40" s="55" t="str">
        <f t="shared" si="3"/>
        <v>🟢 STARVING</v>
      </c>
      <c r="L40" s="55" t="str">
        <f t="shared" si="4"/>
        <v/>
      </c>
      <c r="M40" s="55" t="str">
        <f t="shared" si="5"/>
        <v>🟢 STARVING</v>
      </c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ht="15.75" customHeight="1">
      <c r="A41" s="55" t="str">
        <f>Grinders!A42</f>
        <v>GRD-39</v>
      </c>
      <c r="B41" s="55" t="str">
        <f>Grinders!B42</f>
        <v>savage_telly</v>
      </c>
      <c r="C41" s="55" t="str">
        <f>Grinders!C42</f>
        <v>Regular</v>
      </c>
      <c r="D41" s="55">
        <f>Grinders!E42</f>
        <v>0</v>
      </c>
      <c r="E41" s="55" t="str">
        <f>Grinders!D42</f>
        <v>3</v>
      </c>
      <c r="F41" s="55">
        <f>Grinders!F42</f>
        <v>0</v>
      </c>
      <c r="G41" s="57">
        <f>Grinders!H42</f>
        <v>46071</v>
      </c>
      <c r="H41" s="55">
        <f>Grinders!I42</f>
        <v>0</v>
      </c>
      <c r="I41" s="55" t="str">
        <f t="shared" si="1"/>
        <v>🟢</v>
      </c>
      <c r="J41" s="55" t="str">
        <f t="shared" si="2"/>
        <v/>
      </c>
      <c r="K41" s="55" t="str">
        <f t="shared" si="3"/>
        <v>🟢 STARVING</v>
      </c>
      <c r="L41" s="55" t="str">
        <f t="shared" si="4"/>
        <v/>
      </c>
      <c r="M41" s="55" t="str">
        <f t="shared" si="5"/>
        <v>🟢 STARVING</v>
      </c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ht="15.75" customHeight="1">
      <c r="A42" s="55" t="str">
        <f>Grinders!A43</f>
        <v>GRD-40</v>
      </c>
      <c r="B42" s="55" t="str">
        <f>Grinders!B43</f>
        <v>notravelcalls</v>
      </c>
      <c r="C42" s="55" t="str">
        <f>Grinders!C43</f>
        <v>Regular</v>
      </c>
      <c r="D42" s="55">
        <f>Grinders!E43</f>
        <v>0</v>
      </c>
      <c r="E42" s="55" t="str">
        <f>Grinders!D43</f>
        <v>3</v>
      </c>
      <c r="F42" s="55">
        <f>Grinders!F43</f>
        <v>0</v>
      </c>
      <c r="G42" s="57">
        <f>Grinders!H43</f>
        <v>46071</v>
      </c>
      <c r="H42" s="55">
        <f>Grinders!I43</f>
        <v>0</v>
      </c>
      <c r="I42" s="55" t="str">
        <f t="shared" si="1"/>
        <v>🟢</v>
      </c>
      <c r="J42" s="55" t="str">
        <f t="shared" si="2"/>
        <v/>
      </c>
      <c r="K42" s="55" t="str">
        <f t="shared" si="3"/>
        <v>🟢 STARVING</v>
      </c>
      <c r="L42" s="55" t="str">
        <f t="shared" si="4"/>
        <v/>
      </c>
      <c r="M42" s="55" t="str">
        <f t="shared" si="5"/>
        <v>🟢 STARVING</v>
      </c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ht="15.75" customHeight="1">
      <c r="A43" s="55" t="str">
        <f>Grinders!A44</f>
        <v>GRD-41</v>
      </c>
      <c r="B43" s="55" t="str">
        <f>Grinders!B44</f>
        <v>rookietolegend</v>
      </c>
      <c r="C43" s="55" t="str">
        <f>Grinders!C44</f>
        <v>Regular</v>
      </c>
      <c r="D43" s="55">
        <f>Grinders!E44</f>
        <v>0</v>
      </c>
      <c r="E43" s="55" t="str">
        <f>Grinders!D44</f>
        <v>3</v>
      </c>
      <c r="F43" s="55">
        <f>Grinders!F44</f>
        <v>0</v>
      </c>
      <c r="G43" s="57">
        <f>Grinders!H44</f>
        <v>46071</v>
      </c>
      <c r="H43" s="55">
        <f>Grinders!I44</f>
        <v>0</v>
      </c>
      <c r="I43" s="55" t="str">
        <f t="shared" si="1"/>
        <v>🟢</v>
      </c>
      <c r="J43" s="55" t="str">
        <f t="shared" si="2"/>
        <v/>
      </c>
      <c r="K43" s="55" t="str">
        <f t="shared" si="3"/>
        <v>🟢 STARVING</v>
      </c>
      <c r="L43" s="55" t="str">
        <f t="shared" si="4"/>
        <v/>
      </c>
      <c r="M43" s="55" t="str">
        <f t="shared" si="5"/>
        <v>🟢 STARVING</v>
      </c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ht="15.75" customHeight="1">
      <c r="A44" s="55" t="str">
        <f>Grinders!A45</f>
        <v>GRD-42</v>
      </c>
      <c r="B44" s="55" t="str">
        <f>Grinders!B45</f>
        <v>nxsty4487</v>
      </c>
      <c r="C44" s="55" t="str">
        <f>Grinders!C45</f>
        <v>Regular</v>
      </c>
      <c r="D44" s="55">
        <f>Grinders!E45</f>
        <v>0</v>
      </c>
      <c r="E44" s="55" t="str">
        <f>Grinders!D45</f>
        <v>3</v>
      </c>
      <c r="F44" s="55">
        <f>Grinders!F45</f>
        <v>0</v>
      </c>
      <c r="G44" s="57">
        <f>Grinders!H45</f>
        <v>46071</v>
      </c>
      <c r="H44" s="55">
        <f>Grinders!I45</f>
        <v>0</v>
      </c>
      <c r="I44" s="55" t="str">
        <f t="shared" si="1"/>
        <v>🟢</v>
      </c>
      <c r="J44" s="55" t="str">
        <f t="shared" si="2"/>
        <v/>
      </c>
      <c r="K44" s="55" t="str">
        <f t="shared" si="3"/>
        <v>🟢 STARVING</v>
      </c>
      <c r="L44" s="55" t="str">
        <f t="shared" si="4"/>
        <v/>
      </c>
      <c r="M44" s="55" t="str">
        <f t="shared" si="5"/>
        <v>🟢 STARVING</v>
      </c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ht="15.75" customHeight="1">
      <c r="A45" s="55" t="str">
        <f>Grinders!A46</f>
        <v>GRD-43</v>
      </c>
      <c r="B45" s="55" t="str">
        <f>Grinders!B46</f>
        <v>idk566784</v>
      </c>
      <c r="C45" s="55" t="str">
        <f>Grinders!C46</f>
        <v>Regular</v>
      </c>
      <c r="D45" s="55">
        <f>Grinders!E46</f>
        <v>0</v>
      </c>
      <c r="E45" s="55" t="str">
        <f>Grinders!D46</f>
        <v>3</v>
      </c>
      <c r="F45" s="55">
        <f>Grinders!F46</f>
        <v>0</v>
      </c>
      <c r="G45" s="57">
        <f>Grinders!H46</f>
        <v>46071</v>
      </c>
      <c r="H45" s="55">
        <f>Grinders!I46</f>
        <v>0</v>
      </c>
      <c r="I45" s="55" t="str">
        <f t="shared" si="1"/>
        <v>🟢</v>
      </c>
      <c r="J45" s="55" t="str">
        <f t="shared" si="2"/>
        <v/>
      </c>
      <c r="K45" s="55" t="str">
        <f t="shared" si="3"/>
        <v>🟢 STARVING</v>
      </c>
      <c r="L45" s="55" t="str">
        <f t="shared" si="4"/>
        <v/>
      </c>
      <c r="M45" s="55" t="str">
        <f t="shared" si="5"/>
        <v>🟢 STARVING</v>
      </c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ht="15.75" customHeight="1">
      <c r="A46" s="55" t="str">
        <f>Grinders!A47</f>
        <v>GRD-44</v>
      </c>
      <c r="B46" s="55" t="str">
        <f>Grinders!B47</f>
        <v>plqckss</v>
      </c>
      <c r="C46" s="55" t="str">
        <f>Grinders!C47</f>
        <v>Elite</v>
      </c>
      <c r="D46" s="55">
        <f>Grinders!E47</f>
        <v>0</v>
      </c>
      <c r="E46" s="55" t="str">
        <f>Grinders!D47</f>
        <v>5</v>
      </c>
      <c r="F46" s="55">
        <f>Grinders!F47</f>
        <v>0</v>
      </c>
      <c r="G46" s="57">
        <f>Grinders!H47</f>
        <v>46071</v>
      </c>
      <c r="H46" s="55">
        <f>Grinders!I47</f>
        <v>0</v>
      </c>
      <c r="I46" s="55" t="str">
        <f t="shared" si="1"/>
        <v>🟢</v>
      </c>
      <c r="J46" s="55" t="str">
        <f t="shared" si="2"/>
        <v/>
      </c>
      <c r="K46" s="55" t="str">
        <f t="shared" si="3"/>
        <v>🟢 STARVING</v>
      </c>
      <c r="L46" s="55" t="str">
        <f t="shared" si="4"/>
        <v>🟣 ELITE UNDERUSED</v>
      </c>
      <c r="M46" s="55" t="str">
        <f t="shared" si="5"/>
        <v>🟢 STARVING | 🟣 ELITE UNDERUSED</v>
      </c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ht="15.75" customHeight="1">
      <c r="A47" s="55" t="str">
        <f>Grinders!A48</f>
        <v>GRD-45</v>
      </c>
      <c r="B47" s="55" t="str">
        <f>Grinders!B48</f>
        <v>poprevails</v>
      </c>
      <c r="C47" s="55" t="str">
        <f>Grinders!C48</f>
        <v>Regular</v>
      </c>
      <c r="D47" s="55">
        <f>Grinders!E48</f>
        <v>0</v>
      </c>
      <c r="E47" s="55" t="str">
        <f>Grinders!D48</f>
        <v>3</v>
      </c>
      <c r="F47" s="55">
        <f>Grinders!F48</f>
        <v>0</v>
      </c>
      <c r="G47" s="57">
        <f>Grinders!H48</f>
        <v>46071</v>
      </c>
      <c r="H47" s="55">
        <f>Grinders!I48</f>
        <v>0</v>
      </c>
      <c r="I47" s="55" t="str">
        <f t="shared" si="1"/>
        <v>🟢</v>
      </c>
      <c r="J47" s="55" t="str">
        <f t="shared" si="2"/>
        <v/>
      </c>
      <c r="K47" s="55" t="str">
        <f t="shared" si="3"/>
        <v>🟢 STARVING</v>
      </c>
      <c r="L47" s="55" t="str">
        <f t="shared" si="4"/>
        <v/>
      </c>
      <c r="M47" s="55" t="str">
        <f t="shared" si="5"/>
        <v>🟢 STARVING</v>
      </c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ht="15.75" customHeight="1">
      <c r="A48" s="55" t="str">
        <f>Grinders!A49</f>
        <v>GRD-46</v>
      </c>
      <c r="B48" s="55" t="str">
        <f>Grinders!B49</f>
        <v>pro5153</v>
      </c>
      <c r="C48" s="55" t="str">
        <f>Grinders!C49</f>
        <v>Regular</v>
      </c>
      <c r="D48" s="55">
        <f>Grinders!E49</f>
        <v>0</v>
      </c>
      <c r="E48" s="55" t="str">
        <f>Grinders!D49</f>
        <v>3</v>
      </c>
      <c r="F48" s="55">
        <f>Grinders!F49</f>
        <v>0</v>
      </c>
      <c r="G48" s="57">
        <f>Grinders!H49</f>
        <v>46071</v>
      </c>
      <c r="H48" s="55">
        <f>Grinders!I49</f>
        <v>0</v>
      </c>
      <c r="I48" s="55" t="str">
        <f t="shared" si="1"/>
        <v>🟢</v>
      </c>
      <c r="J48" s="55" t="str">
        <f t="shared" si="2"/>
        <v/>
      </c>
      <c r="K48" s="55" t="str">
        <f t="shared" si="3"/>
        <v>🟢 STARVING</v>
      </c>
      <c r="L48" s="55" t="str">
        <f t="shared" si="4"/>
        <v/>
      </c>
      <c r="M48" s="55" t="str">
        <f t="shared" si="5"/>
        <v>🟢 STARVING</v>
      </c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ht="15.75" customHeight="1">
      <c r="A49" s="55" t="str">
        <f>Grinders!A50</f>
        <v>GRD-47</v>
      </c>
      <c r="B49" s="55" t="str">
        <f>Grinders!B50</f>
        <v>provoke.</v>
      </c>
      <c r="C49" s="55" t="str">
        <f>Grinders!C50</f>
        <v>Regular</v>
      </c>
      <c r="D49" s="55">
        <f>Grinders!E50</f>
        <v>0</v>
      </c>
      <c r="E49" s="55" t="str">
        <f>Grinders!D50</f>
        <v>3</v>
      </c>
      <c r="F49" s="55">
        <f>Grinders!F50</f>
        <v>0</v>
      </c>
      <c r="G49" s="57">
        <f>Grinders!H50</f>
        <v>46071</v>
      </c>
      <c r="H49" s="55">
        <f>Grinders!I50</f>
        <v>0</v>
      </c>
      <c r="I49" s="55" t="str">
        <f t="shared" si="1"/>
        <v>🟢</v>
      </c>
      <c r="J49" s="55" t="str">
        <f t="shared" si="2"/>
        <v/>
      </c>
      <c r="K49" s="55" t="str">
        <f t="shared" si="3"/>
        <v>🟢 STARVING</v>
      </c>
      <c r="L49" s="55" t="str">
        <f t="shared" si="4"/>
        <v/>
      </c>
      <c r="M49" s="55" t="str">
        <f t="shared" si="5"/>
        <v>🟢 STARVING</v>
      </c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ht="15.75" customHeight="1">
      <c r="A50" s="55" t="str">
        <f>Grinders!A51</f>
        <v>GRD-48</v>
      </c>
      <c r="B50" s="55" t="str">
        <f>Grinders!B51</f>
        <v>qixoan</v>
      </c>
      <c r="C50" s="55" t="str">
        <f>Grinders!C51</f>
        <v>Regular</v>
      </c>
      <c r="D50" s="55">
        <f>Grinders!E51</f>
        <v>0</v>
      </c>
      <c r="E50" s="55" t="str">
        <f>Grinders!D51</f>
        <v>3</v>
      </c>
      <c r="F50" s="55">
        <f>Grinders!F51</f>
        <v>0</v>
      </c>
      <c r="G50" s="57">
        <f>Grinders!H51</f>
        <v>46071</v>
      </c>
      <c r="H50" s="55">
        <f>Grinders!I51</f>
        <v>0</v>
      </c>
      <c r="I50" s="55" t="str">
        <f t="shared" si="1"/>
        <v>🟢</v>
      </c>
      <c r="J50" s="55" t="str">
        <f t="shared" si="2"/>
        <v/>
      </c>
      <c r="K50" s="55" t="str">
        <f t="shared" si="3"/>
        <v>🟢 STARVING</v>
      </c>
      <c r="L50" s="55" t="str">
        <f t="shared" si="4"/>
        <v/>
      </c>
      <c r="M50" s="55" t="str">
        <f t="shared" si="5"/>
        <v>🟢 STARVING</v>
      </c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ht="15.75" customHeight="1">
      <c r="A51" s="55" t="str">
        <f>Grinders!A52</f>
        <v>GRD-49</v>
      </c>
      <c r="B51" s="55" t="str">
        <f>Grinders!B52</f>
        <v>quickslippp</v>
      </c>
      <c r="C51" s="55" t="str">
        <f>Grinders!C52</f>
        <v>Regular</v>
      </c>
      <c r="D51" s="55">
        <f>Grinders!E52</f>
        <v>0</v>
      </c>
      <c r="E51" s="55" t="str">
        <f>Grinders!D52</f>
        <v>3</v>
      </c>
      <c r="F51" s="55">
        <f>Grinders!F52</f>
        <v>0</v>
      </c>
      <c r="G51" s="57">
        <f>Grinders!H52</f>
        <v>46071</v>
      </c>
      <c r="H51" s="55">
        <f>Grinders!I52</f>
        <v>0</v>
      </c>
      <c r="I51" s="55" t="str">
        <f t="shared" si="1"/>
        <v>🟢</v>
      </c>
      <c r="J51" s="55" t="str">
        <f t="shared" si="2"/>
        <v/>
      </c>
      <c r="K51" s="55" t="str">
        <f t="shared" si="3"/>
        <v>🟢 STARVING</v>
      </c>
      <c r="L51" s="55" t="str">
        <f t="shared" si="4"/>
        <v/>
      </c>
      <c r="M51" s="55" t="str">
        <f t="shared" si="5"/>
        <v>🟢 STARVING</v>
      </c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ht="15.75" customHeight="1">
      <c r="A52" s="55" t="str">
        <f>Grinders!A53</f>
        <v>GRD-50</v>
      </c>
      <c r="B52" s="55" t="str">
        <f>Grinders!B53</f>
        <v>nodaysoffgrinder</v>
      </c>
      <c r="C52" s="55" t="str">
        <f>Grinders!C53</f>
        <v>Elite</v>
      </c>
      <c r="D52" s="55">
        <f>Grinders!E53</f>
        <v>0</v>
      </c>
      <c r="E52" s="55" t="str">
        <f>Grinders!D53</f>
        <v>5</v>
      </c>
      <c r="F52" s="55">
        <f>Grinders!F53</f>
        <v>0</v>
      </c>
      <c r="G52" s="57">
        <f>Grinders!H53</f>
        <v>46071</v>
      </c>
      <c r="H52" s="55">
        <f>Grinders!I53</f>
        <v>0</v>
      </c>
      <c r="I52" s="55" t="str">
        <f t="shared" si="1"/>
        <v>🟢</v>
      </c>
      <c r="J52" s="55" t="str">
        <f t="shared" si="2"/>
        <v/>
      </c>
      <c r="K52" s="55" t="str">
        <f t="shared" si="3"/>
        <v>🟢 STARVING</v>
      </c>
      <c r="L52" s="55" t="str">
        <f t="shared" si="4"/>
        <v>🟣 ELITE UNDERUSED</v>
      </c>
      <c r="M52" s="55" t="str">
        <f t="shared" si="5"/>
        <v>🟢 STARVING | 🟣 ELITE UNDERUSED</v>
      </c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ht="15.75" customHeight="1">
      <c r="A53" s="55" t="str">
        <f>Grinders!A54</f>
        <v>GRD-51</v>
      </c>
      <c r="B53" s="55" t="str">
        <f>Grinders!B54</f>
        <v>xorula</v>
      </c>
      <c r="C53" s="55" t="str">
        <f>Grinders!C54</f>
        <v>Regular</v>
      </c>
      <c r="D53" s="55">
        <f>Grinders!E54</f>
        <v>0</v>
      </c>
      <c r="E53" s="55" t="str">
        <f>Grinders!D54</f>
        <v>3</v>
      </c>
      <c r="F53" s="55">
        <f>Grinders!F54</f>
        <v>0</v>
      </c>
      <c r="G53" s="57">
        <f>Grinders!H54</f>
        <v>46071</v>
      </c>
      <c r="H53" s="55">
        <f>Grinders!I54</f>
        <v>0</v>
      </c>
      <c r="I53" s="55" t="str">
        <f t="shared" si="1"/>
        <v>🟢</v>
      </c>
      <c r="J53" s="55" t="str">
        <f t="shared" si="2"/>
        <v/>
      </c>
      <c r="K53" s="55" t="str">
        <f t="shared" si="3"/>
        <v>🟢 STARVING</v>
      </c>
      <c r="L53" s="55" t="str">
        <f t="shared" si="4"/>
        <v/>
      </c>
      <c r="M53" s="55" t="str">
        <f t="shared" si="5"/>
        <v>🟢 STARVING</v>
      </c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ht="15.75" customHeight="1">
      <c r="A54" s="55" t="str">
        <f t="shared" ref="A54:H54" si="7">#REF!</f>
        <v>#REF!</v>
      </c>
      <c r="B54" s="55" t="str">
        <f t="shared" si="7"/>
        <v>#REF!</v>
      </c>
      <c r="C54" s="55" t="str">
        <f t="shared" si="7"/>
        <v>#REF!</v>
      </c>
      <c r="D54" s="55" t="str">
        <f t="shared" si="7"/>
        <v>#REF!</v>
      </c>
      <c r="E54" s="55" t="str">
        <f t="shared" si="7"/>
        <v>#REF!</v>
      </c>
      <c r="F54" s="55" t="str">
        <f t="shared" si="7"/>
        <v>#REF!</v>
      </c>
      <c r="G54" s="55" t="str">
        <f t="shared" si="7"/>
        <v>#REF!</v>
      </c>
      <c r="H54" s="55" t="str">
        <f t="shared" si="7"/>
        <v>#REF!</v>
      </c>
      <c r="I54" s="55" t="str">
        <f t="shared" si="1"/>
        <v>#REF!</v>
      </c>
      <c r="J54" s="55" t="str">
        <f t="shared" si="2"/>
        <v>#REF!</v>
      </c>
      <c r="K54" s="55" t="str">
        <f t="shared" si="3"/>
        <v>#REF!</v>
      </c>
      <c r="L54" s="55" t="str">
        <f t="shared" si="4"/>
        <v>#REF!</v>
      </c>
      <c r="M54" s="55" t="str">
        <f t="shared" si="5"/>
        <v>#REF!</v>
      </c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ht="15.75" customHeight="1">
      <c r="A55" s="55" t="str">
        <f>Grinders!A55</f>
        <v>GRD-52</v>
      </c>
      <c r="B55" s="55" t="str">
        <f>Grinders!B55</f>
        <v>plibert</v>
      </c>
      <c r="C55" s="55" t="str">
        <f>Grinders!C55</f>
        <v>Regular</v>
      </c>
      <c r="D55" s="55">
        <f>Grinders!E55</f>
        <v>0</v>
      </c>
      <c r="E55" s="55" t="str">
        <f>Grinders!D55</f>
        <v>3</v>
      </c>
      <c r="F55" s="55">
        <f>Grinders!F55</f>
        <v>0</v>
      </c>
      <c r="G55" s="57">
        <f>Grinders!H55</f>
        <v>46071</v>
      </c>
      <c r="H55" s="55">
        <f>Grinders!I55</f>
        <v>0</v>
      </c>
      <c r="I55" s="55" t="str">
        <f t="shared" si="1"/>
        <v>🟢</v>
      </c>
      <c r="J55" s="55" t="str">
        <f t="shared" si="2"/>
        <v/>
      </c>
      <c r="K55" s="55" t="str">
        <f t="shared" si="3"/>
        <v>🟢 STARVING</v>
      </c>
      <c r="L55" s="55" t="str">
        <f t="shared" si="4"/>
        <v/>
      </c>
      <c r="M55" s="55" t="str">
        <f t="shared" si="5"/>
        <v>🟢 STARVING</v>
      </c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ht="15.75" customHeight="1">
      <c r="A56" s="55" t="str">
        <f>Grinders!A56</f>
        <v>GRD-53</v>
      </c>
      <c r="B56" s="55" t="str">
        <f>Grinders!B56</f>
        <v>stayrdr</v>
      </c>
      <c r="C56" s="55" t="str">
        <f>Grinders!C56</f>
        <v>Regular</v>
      </c>
      <c r="D56" s="55">
        <f>Grinders!E56</f>
        <v>0</v>
      </c>
      <c r="E56" s="55" t="str">
        <f>Grinders!D56</f>
        <v>3</v>
      </c>
      <c r="F56" s="55">
        <f>Grinders!F56</f>
        <v>0</v>
      </c>
      <c r="G56" s="57">
        <f>Grinders!H56</f>
        <v>46071</v>
      </c>
      <c r="H56" s="55">
        <f>Grinders!I56</f>
        <v>0</v>
      </c>
      <c r="I56" s="55" t="str">
        <f t="shared" si="1"/>
        <v>🟢</v>
      </c>
      <c r="J56" s="55" t="str">
        <f t="shared" si="2"/>
        <v/>
      </c>
      <c r="K56" s="55" t="str">
        <f t="shared" si="3"/>
        <v>🟢 STARVING</v>
      </c>
      <c r="L56" s="55" t="str">
        <f t="shared" si="4"/>
        <v/>
      </c>
      <c r="M56" s="55" t="str">
        <f t="shared" si="5"/>
        <v>🟢 STARVING</v>
      </c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ht="15.75" customHeight="1">
      <c r="A57" s="55" t="str">
        <f>Grinders!A57</f>
        <v>GRD-54</v>
      </c>
      <c r="B57" s="55" t="str">
        <f>Grinders!B57</f>
        <v>llturboll</v>
      </c>
      <c r="C57" s="55" t="str">
        <f>Grinders!C57</f>
        <v>Regular</v>
      </c>
      <c r="D57" s="55">
        <f>Grinders!E57</f>
        <v>0</v>
      </c>
      <c r="E57" s="55" t="str">
        <f>Grinders!D57</f>
        <v>3</v>
      </c>
      <c r="F57" s="55">
        <f>Grinders!F57</f>
        <v>0</v>
      </c>
      <c r="G57" s="57">
        <f>Grinders!H57</f>
        <v>46071</v>
      </c>
      <c r="H57" s="55">
        <f>Grinders!I57</f>
        <v>0</v>
      </c>
      <c r="I57" s="55" t="str">
        <f t="shared" si="1"/>
        <v>🟢</v>
      </c>
      <c r="J57" s="55" t="str">
        <f t="shared" si="2"/>
        <v/>
      </c>
      <c r="K57" s="55" t="str">
        <f t="shared" si="3"/>
        <v>🟢 STARVING</v>
      </c>
      <c r="L57" s="55" t="str">
        <f t="shared" si="4"/>
        <v/>
      </c>
      <c r="M57" s="55" t="str">
        <f t="shared" si="5"/>
        <v>🟢 STARVING</v>
      </c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ht="15.75" customHeight="1">
      <c r="A58" s="55" t="str">
        <f>Grinders!A58</f>
        <v>GRD-55</v>
      </c>
      <c r="B58" s="55" t="str">
        <f>Grinders!B58</f>
        <v>teardagoat</v>
      </c>
      <c r="C58" s="55" t="str">
        <f>Grinders!C58</f>
        <v>Regular</v>
      </c>
      <c r="D58" s="55">
        <f>Grinders!E58</f>
        <v>0</v>
      </c>
      <c r="E58" s="55" t="str">
        <f>Grinders!D58</f>
        <v>3</v>
      </c>
      <c r="F58" s="55">
        <f>Grinders!F58</f>
        <v>0</v>
      </c>
      <c r="G58" s="57">
        <f>Grinders!H58</f>
        <v>46071</v>
      </c>
      <c r="H58" s="55">
        <f>Grinders!I58</f>
        <v>0</v>
      </c>
      <c r="I58" s="55" t="str">
        <f t="shared" si="1"/>
        <v>🟢</v>
      </c>
      <c r="J58" s="55" t="str">
        <f t="shared" si="2"/>
        <v/>
      </c>
      <c r="K58" s="55" t="str">
        <f t="shared" si="3"/>
        <v>🟢 STARVING</v>
      </c>
      <c r="L58" s="55" t="str">
        <f t="shared" si="4"/>
        <v/>
      </c>
      <c r="M58" s="55" t="str">
        <f t="shared" si="5"/>
        <v>🟢 STARVING</v>
      </c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ht="15.75" customHeight="1">
      <c r="A59" s="55" t="str">
        <f>Grinders!A59</f>
        <v>GRD-56</v>
      </c>
      <c r="B59" s="55" t="str">
        <f>Grinders!B59</f>
        <v>tengfg</v>
      </c>
      <c r="C59" s="55" t="str">
        <f>Grinders!C59</f>
        <v>Regular</v>
      </c>
      <c r="D59" s="55">
        <f>Grinders!E59</f>
        <v>0</v>
      </c>
      <c r="E59" s="55" t="str">
        <f>Grinders!D59</f>
        <v>3</v>
      </c>
      <c r="F59" s="55">
        <f>Grinders!F59</f>
        <v>0</v>
      </c>
      <c r="G59" s="57">
        <f>Grinders!H59</f>
        <v>46071</v>
      </c>
      <c r="H59" s="55">
        <f>Grinders!I59</f>
        <v>0</v>
      </c>
      <c r="I59" s="55" t="str">
        <f t="shared" si="1"/>
        <v>🟢</v>
      </c>
      <c r="J59" s="55" t="str">
        <f t="shared" si="2"/>
        <v/>
      </c>
      <c r="K59" s="55" t="str">
        <f t="shared" si="3"/>
        <v>🟢 STARVING</v>
      </c>
      <c r="L59" s="55" t="str">
        <f t="shared" si="4"/>
        <v/>
      </c>
      <c r="M59" s="55" t="str">
        <f t="shared" si="5"/>
        <v>🟢 STARVING</v>
      </c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ht="15.75" customHeight="1">
      <c r="A60" s="55" t="str">
        <f>Grinders!A60</f>
        <v>GRD-57</v>
      </c>
      <c r="B60" s="55" t="str">
        <f>Grinders!B60</f>
        <v>thanksevan</v>
      </c>
      <c r="C60" s="55" t="str">
        <f>Grinders!C60</f>
        <v>Regular</v>
      </c>
      <c r="D60" s="55">
        <f>Grinders!E60</f>
        <v>0</v>
      </c>
      <c r="E60" s="55" t="str">
        <f>Grinders!D60</f>
        <v>3</v>
      </c>
      <c r="F60" s="55">
        <f>Grinders!F60</f>
        <v>0</v>
      </c>
      <c r="G60" s="57">
        <f>Grinders!H60</f>
        <v>46071</v>
      </c>
      <c r="H60" s="55">
        <f>Grinders!I60</f>
        <v>0</v>
      </c>
      <c r="I60" s="55" t="str">
        <f t="shared" si="1"/>
        <v>🟢</v>
      </c>
      <c r="J60" s="55" t="str">
        <f t="shared" si="2"/>
        <v/>
      </c>
      <c r="K60" s="55" t="str">
        <f t="shared" si="3"/>
        <v>🟢 STARVING</v>
      </c>
      <c r="L60" s="55" t="str">
        <f t="shared" si="4"/>
        <v/>
      </c>
      <c r="M60" s="55" t="str">
        <f t="shared" si="5"/>
        <v>🟢 STARVING</v>
      </c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ht="15.75" customHeight="1">
      <c r="A61" s="55" t="str">
        <f>Grinders!A61</f>
        <v>GRD-58</v>
      </c>
      <c r="B61" s="55" t="str">
        <f>Grinders!B61</f>
        <v>tjack6291</v>
      </c>
      <c r="C61" s="55" t="str">
        <f>Grinders!C61</f>
        <v>Regular</v>
      </c>
      <c r="D61" s="55">
        <f>Grinders!E61</f>
        <v>0</v>
      </c>
      <c r="E61" s="55" t="str">
        <f>Grinders!D61</f>
        <v>3</v>
      </c>
      <c r="F61" s="55">
        <f>Grinders!F61</f>
        <v>0</v>
      </c>
      <c r="G61" s="57">
        <f>Grinders!H61</f>
        <v>46071</v>
      </c>
      <c r="H61" s="55">
        <f>Grinders!I61</f>
        <v>0</v>
      </c>
      <c r="I61" s="55" t="str">
        <f t="shared" si="1"/>
        <v>🟢</v>
      </c>
      <c r="J61" s="55" t="str">
        <f t="shared" si="2"/>
        <v/>
      </c>
      <c r="K61" s="55" t="str">
        <f t="shared" si="3"/>
        <v>🟢 STARVING</v>
      </c>
      <c r="L61" s="55" t="str">
        <f t="shared" si="4"/>
        <v/>
      </c>
      <c r="M61" s="55" t="str">
        <f t="shared" si="5"/>
        <v>🟢 STARVING</v>
      </c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ht="15.75" customHeight="1">
      <c r="A62" s="55" t="str">
        <f>Grinders!A62</f>
        <v>GRD-59</v>
      </c>
      <c r="B62" s="55" t="str">
        <f>Grinders!B62</f>
        <v>twizz1of1</v>
      </c>
      <c r="C62" s="55" t="str">
        <f>Grinders!C62</f>
        <v>Elite</v>
      </c>
      <c r="D62" s="55">
        <f>Grinders!E62</f>
        <v>0</v>
      </c>
      <c r="E62" s="55" t="str">
        <f>Grinders!D62</f>
        <v>5</v>
      </c>
      <c r="F62" s="55">
        <f>Grinders!F62</f>
        <v>0</v>
      </c>
      <c r="G62" s="57">
        <f>Grinders!H62</f>
        <v>46071</v>
      </c>
      <c r="H62" s="55">
        <f>Grinders!I62</f>
        <v>0</v>
      </c>
      <c r="I62" s="55" t="str">
        <f t="shared" si="1"/>
        <v>🟢</v>
      </c>
      <c r="J62" s="55" t="str">
        <f t="shared" si="2"/>
        <v/>
      </c>
      <c r="K62" s="55" t="str">
        <f t="shared" si="3"/>
        <v>🟢 STARVING</v>
      </c>
      <c r="L62" s="55" t="str">
        <f t="shared" si="4"/>
        <v>🟣 ELITE UNDERUSED</v>
      </c>
      <c r="M62" s="55" t="str">
        <f t="shared" si="5"/>
        <v>🟢 STARVING | 🟣 ELITE UNDERUSED</v>
      </c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ht="15.75" customHeight="1">
      <c r="A63" s="55" t="str">
        <f>Grinders!A63</f>
        <v>GRD-60</v>
      </c>
      <c r="B63" s="55" t="str">
        <f>Grinders!B63</f>
        <v>praisev6</v>
      </c>
      <c r="C63" s="55" t="str">
        <f>Grinders!C63</f>
        <v>Regular</v>
      </c>
      <c r="D63" s="55">
        <f>Grinders!E63</f>
        <v>0</v>
      </c>
      <c r="E63" s="55" t="str">
        <f>Grinders!D63</f>
        <v>3</v>
      </c>
      <c r="F63" s="55">
        <f>Grinders!F63</f>
        <v>0</v>
      </c>
      <c r="G63" s="57">
        <f>Grinders!H63</f>
        <v>46071</v>
      </c>
      <c r="H63" s="55">
        <f>Grinders!I63</f>
        <v>0</v>
      </c>
      <c r="I63" s="55" t="str">
        <f t="shared" si="1"/>
        <v>🟢</v>
      </c>
      <c r="J63" s="55" t="str">
        <f t="shared" si="2"/>
        <v/>
      </c>
      <c r="K63" s="55" t="str">
        <f t="shared" si="3"/>
        <v>🟢 STARVING</v>
      </c>
      <c r="L63" s="55" t="str">
        <f t="shared" si="4"/>
        <v/>
      </c>
      <c r="M63" s="55" t="str">
        <f t="shared" si="5"/>
        <v>🟢 STARVING</v>
      </c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ht="15.75" customHeight="1">
      <c r="A64" s="55" t="str">
        <f>Grinders!A64</f>
        <v>GRD-61</v>
      </c>
      <c r="B64" s="55" t="str">
        <f>Grinders!B64</f>
        <v>llwocky</v>
      </c>
      <c r="C64" s="55" t="str">
        <f>Grinders!C64</f>
        <v>Regular</v>
      </c>
      <c r="D64" s="55">
        <f>Grinders!E64</f>
        <v>0</v>
      </c>
      <c r="E64" s="55" t="str">
        <f>Grinders!D64</f>
        <v>3</v>
      </c>
      <c r="F64" s="55">
        <f>Grinders!F64</f>
        <v>0</v>
      </c>
      <c r="G64" s="57">
        <f>Grinders!H64</f>
        <v>46071</v>
      </c>
      <c r="H64" s="55">
        <f>Grinders!I64</f>
        <v>0</v>
      </c>
      <c r="I64" s="55" t="str">
        <f t="shared" si="1"/>
        <v>🟢</v>
      </c>
      <c r="J64" s="55" t="str">
        <f t="shared" si="2"/>
        <v/>
      </c>
      <c r="K64" s="55" t="str">
        <f t="shared" si="3"/>
        <v>🟢 STARVING</v>
      </c>
      <c r="L64" s="55" t="str">
        <f t="shared" si="4"/>
        <v/>
      </c>
      <c r="M64" s="55" t="str">
        <f t="shared" si="5"/>
        <v>🟢 STARVING</v>
      </c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ht="15.75" customHeight="1">
      <c r="A65" s="55" t="str">
        <f>Grinders!A65</f>
        <v>GRD-62</v>
      </c>
      <c r="B65" s="55" t="str">
        <f>Grinders!B65</f>
        <v>iiwolvezii</v>
      </c>
      <c r="C65" s="55" t="str">
        <f>Grinders!C65</f>
        <v>Regular</v>
      </c>
      <c r="D65" s="55">
        <f>Grinders!E65</f>
        <v>0</v>
      </c>
      <c r="E65" s="55" t="str">
        <f>Grinders!D65</f>
        <v>3</v>
      </c>
      <c r="F65" s="55">
        <f>Grinders!F65</f>
        <v>0</v>
      </c>
      <c r="G65" s="57">
        <f>Grinders!H65</f>
        <v>46071</v>
      </c>
      <c r="H65" s="55">
        <f>Grinders!I65</f>
        <v>0</v>
      </c>
      <c r="I65" s="55" t="str">
        <f t="shared" si="1"/>
        <v>🟢</v>
      </c>
      <c r="J65" s="55" t="str">
        <f t="shared" si="2"/>
        <v/>
      </c>
      <c r="K65" s="55" t="str">
        <f t="shared" si="3"/>
        <v>🟢 STARVING</v>
      </c>
      <c r="L65" s="55" t="str">
        <f t="shared" si="4"/>
        <v/>
      </c>
      <c r="M65" s="55" t="str">
        <f t="shared" si="5"/>
        <v>🟢 STARVING</v>
      </c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ht="15.75" customHeight="1">
      <c r="A66" s="55" t="str">
        <f>Grinders!A66</f>
        <v>GRD-63</v>
      </c>
      <c r="B66" s="55" t="str">
        <f>Grinders!B66</f>
        <v>xwuco</v>
      </c>
      <c r="C66" s="55" t="str">
        <f>Grinders!C66</f>
        <v>Regular</v>
      </c>
      <c r="D66" s="55">
        <f>Grinders!E66</f>
        <v>0</v>
      </c>
      <c r="E66" s="55" t="str">
        <f>Grinders!D66</f>
        <v>3</v>
      </c>
      <c r="F66" s="55">
        <f>Grinders!F66</f>
        <v>0</v>
      </c>
      <c r="G66" s="57">
        <f>Grinders!H66</f>
        <v>46071</v>
      </c>
      <c r="H66" s="55">
        <f>Grinders!I66</f>
        <v>0</v>
      </c>
      <c r="I66" s="55" t="str">
        <f t="shared" si="1"/>
        <v>🟢</v>
      </c>
      <c r="J66" s="55" t="str">
        <f t="shared" si="2"/>
        <v/>
      </c>
      <c r="K66" s="55" t="str">
        <f t="shared" si="3"/>
        <v>🟢 STARVING</v>
      </c>
      <c r="L66" s="55" t="str">
        <f t="shared" si="4"/>
        <v/>
      </c>
      <c r="M66" s="55" t="str">
        <f t="shared" si="5"/>
        <v>🟢 STARVING</v>
      </c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ht="15.75" customHeight="1">
      <c r="A67" s="55" t="str">
        <f>Grinders!A67</f>
        <v>GRD-64</v>
      </c>
      <c r="B67" s="55" t="str">
        <f>Grinders!B67</f>
        <v>xenon0038</v>
      </c>
      <c r="C67" s="55" t="str">
        <f>Grinders!C67</f>
        <v>Regular</v>
      </c>
      <c r="D67" s="55">
        <f>Grinders!E67</f>
        <v>0</v>
      </c>
      <c r="E67" s="55" t="str">
        <f>Grinders!D67</f>
        <v>3</v>
      </c>
      <c r="F67" s="55">
        <f>Grinders!F67</f>
        <v>0</v>
      </c>
      <c r="G67" s="57">
        <f>Grinders!H67</f>
        <v>46071</v>
      </c>
      <c r="H67" s="55">
        <f>Grinders!I67</f>
        <v>0</v>
      </c>
      <c r="I67" s="55" t="str">
        <f t="shared" si="1"/>
        <v>🟢</v>
      </c>
      <c r="J67" s="55" t="str">
        <f t="shared" si="2"/>
        <v/>
      </c>
      <c r="K67" s="55" t="str">
        <f t="shared" si="3"/>
        <v>🟢 STARVING</v>
      </c>
      <c r="L67" s="55" t="str">
        <f t="shared" si="4"/>
        <v/>
      </c>
      <c r="M67" s="55" t="str">
        <f t="shared" si="5"/>
        <v>🟢 STARVING</v>
      </c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ht="15.75" customHeight="1">
      <c r="A68" s="55" t="str">
        <f>Grinders!A68</f>
        <v>GRD-65</v>
      </c>
      <c r="B68" s="55" t="str">
        <f>Grinders!B68</f>
        <v>xlabgoat</v>
      </c>
      <c r="C68" s="55" t="str">
        <f>Grinders!C68</f>
        <v>Regular</v>
      </c>
      <c r="D68" s="55">
        <f>Grinders!E68</f>
        <v>0</v>
      </c>
      <c r="E68" s="55" t="str">
        <f>Grinders!D68</f>
        <v>3</v>
      </c>
      <c r="F68" s="55">
        <f>Grinders!F68</f>
        <v>0</v>
      </c>
      <c r="G68" s="57">
        <f>Grinders!H68</f>
        <v>46071</v>
      </c>
      <c r="H68" s="55">
        <f>Grinders!I68</f>
        <v>0</v>
      </c>
      <c r="I68" s="55" t="str">
        <f t="shared" si="1"/>
        <v>🟢</v>
      </c>
      <c r="J68" s="55" t="str">
        <f t="shared" si="2"/>
        <v/>
      </c>
      <c r="K68" s="55" t="str">
        <f t="shared" si="3"/>
        <v>🟢 STARVING</v>
      </c>
      <c r="L68" s="55" t="str">
        <f t="shared" si="4"/>
        <v/>
      </c>
      <c r="M68" s="55" t="str">
        <f t="shared" si="5"/>
        <v>🟢 STARVING</v>
      </c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ht="15.75" customHeight="1">
      <c r="A69" s="55" t="str">
        <f>Grinders!A69</f>
        <v>GRD-66</v>
      </c>
      <c r="B69" s="55" t="str">
        <f>Grinders!B69</f>
        <v>zb2kx</v>
      </c>
      <c r="C69" s="55" t="str">
        <f>Grinders!C69</f>
        <v>Regular</v>
      </c>
      <c r="D69" s="55">
        <f>Grinders!E69</f>
        <v>0</v>
      </c>
      <c r="E69" s="55" t="str">
        <f>Grinders!D69</f>
        <v>3</v>
      </c>
      <c r="F69" s="55">
        <f>Grinders!F69</f>
        <v>0</v>
      </c>
      <c r="G69" s="57">
        <f>Grinders!H69</f>
        <v>46071</v>
      </c>
      <c r="H69" s="55">
        <f>Grinders!I69</f>
        <v>0</v>
      </c>
      <c r="I69" s="55" t="str">
        <f t="shared" si="1"/>
        <v>🟢</v>
      </c>
      <c r="J69" s="55" t="str">
        <f t="shared" si="2"/>
        <v/>
      </c>
      <c r="K69" s="55" t="str">
        <f t="shared" si="3"/>
        <v>🟢 STARVING</v>
      </c>
      <c r="L69" s="55" t="str">
        <f t="shared" si="4"/>
        <v/>
      </c>
      <c r="M69" s="55" t="str">
        <f t="shared" si="5"/>
        <v>🟢 STARVING</v>
      </c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ht="15.75" customHeight="1">
      <c r="A70" s="55" t="str">
        <f>Grinders!A70</f>
        <v>GRD-67</v>
      </c>
      <c r="B70" s="55" t="str">
        <f>Grinders!B70</f>
        <v>jkrpt</v>
      </c>
      <c r="C70" s="55" t="str">
        <f>Grinders!C70</f>
        <v>Regular</v>
      </c>
      <c r="D70" s="55">
        <f>Grinders!E70</f>
        <v>0</v>
      </c>
      <c r="E70" s="55" t="str">
        <f>Grinders!D70</f>
        <v>3</v>
      </c>
      <c r="F70" s="55">
        <f>Grinders!F70</f>
        <v>0</v>
      </c>
      <c r="G70" s="57">
        <f>Grinders!H70</f>
        <v>46071</v>
      </c>
      <c r="H70" s="55">
        <f>Grinders!I70</f>
        <v>0</v>
      </c>
      <c r="I70" s="55" t="str">
        <f t="shared" si="1"/>
        <v>🟢</v>
      </c>
      <c r="J70" s="55" t="str">
        <f t="shared" si="2"/>
        <v/>
      </c>
      <c r="K70" s="55" t="str">
        <f t="shared" si="3"/>
        <v>🟢 STARVING</v>
      </c>
      <c r="L70" s="55" t="str">
        <f t="shared" si="4"/>
        <v/>
      </c>
      <c r="M70" s="55" t="str">
        <f t="shared" si="5"/>
        <v>🟢 STARVING</v>
      </c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ht="15.75" customHeight="1">
      <c r="A71" s="55" t="str">
        <f>Grinders!A71</f>
        <v>GRD-68</v>
      </c>
      <c r="B71" s="55" t="str">
        <f>Grinders!B71</f>
        <v>jumptv</v>
      </c>
      <c r="C71" s="55" t="str">
        <f>Grinders!C71</f>
        <v>Regular</v>
      </c>
      <c r="D71" s="55">
        <f>Grinders!E71</f>
        <v>0</v>
      </c>
      <c r="E71" s="55" t="str">
        <f>Grinders!D71</f>
        <v>3</v>
      </c>
      <c r="F71" s="55">
        <f>Grinders!F71</f>
        <v>0</v>
      </c>
      <c r="G71" s="57">
        <f>Grinders!H71</f>
        <v>46071</v>
      </c>
      <c r="H71" s="55">
        <f>Grinders!I71</f>
        <v>0</v>
      </c>
      <c r="I71" s="55" t="str">
        <f t="shared" si="1"/>
        <v>🟢</v>
      </c>
      <c r="J71" s="55" t="str">
        <f t="shared" si="2"/>
        <v/>
      </c>
      <c r="K71" s="55" t="str">
        <f t="shared" si="3"/>
        <v>🟢 STARVING</v>
      </c>
      <c r="L71" s="55" t="str">
        <f t="shared" si="4"/>
        <v/>
      </c>
      <c r="M71" s="55" t="str">
        <f t="shared" si="5"/>
        <v>🟢 STARVING</v>
      </c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ht="15.75" customHeight="1">
      <c r="A72" s="55" t="str">
        <f>Grinders!A72</f>
        <v>GRD-69</v>
      </c>
      <c r="B72" s="55" t="str">
        <f>Grinders!B72</f>
        <v>keemsx</v>
      </c>
      <c r="C72" s="55" t="str">
        <f>Grinders!C72</f>
        <v>Regular</v>
      </c>
      <c r="D72" s="55">
        <f>Grinders!E72</f>
        <v>0</v>
      </c>
      <c r="E72" s="55" t="str">
        <f>Grinders!D72</f>
        <v>3</v>
      </c>
      <c r="F72" s="55">
        <f>Grinders!F72</f>
        <v>0</v>
      </c>
      <c r="G72" s="57">
        <f>Grinders!H72</f>
        <v>46071</v>
      </c>
      <c r="H72" s="55">
        <f>Grinders!I72</f>
        <v>0</v>
      </c>
      <c r="I72" s="55" t="str">
        <f t="shared" si="1"/>
        <v>🟢</v>
      </c>
      <c r="J72" s="55" t="str">
        <f t="shared" si="2"/>
        <v/>
      </c>
      <c r="K72" s="55" t="str">
        <f t="shared" si="3"/>
        <v>🟢 STARVING</v>
      </c>
      <c r="L72" s="55" t="str">
        <f t="shared" si="4"/>
        <v/>
      </c>
      <c r="M72" s="55" t="str">
        <f t="shared" si="5"/>
        <v>🟢 STARVING</v>
      </c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ht="15.75" customHeight="1">
      <c r="A73" s="55" t="str">
        <f>Grinders!A73</f>
        <v>GRD-70</v>
      </c>
      <c r="B73" s="55" t="str">
        <f>Grinders!B73</f>
        <v>xbreezyy1</v>
      </c>
      <c r="C73" s="55" t="str">
        <f>Grinders!C73</f>
        <v>Regular</v>
      </c>
      <c r="D73" s="55">
        <f>Grinders!E73</f>
        <v>0</v>
      </c>
      <c r="E73" s="55" t="str">
        <f>Grinders!D73</f>
        <v>3</v>
      </c>
      <c r="F73" s="55">
        <f>Grinders!F73</f>
        <v>0</v>
      </c>
      <c r="G73" s="57">
        <f>Grinders!H73</f>
        <v>46071</v>
      </c>
      <c r="H73" s="55">
        <f>Grinders!I73</f>
        <v>0</v>
      </c>
      <c r="I73" s="55" t="str">
        <f t="shared" si="1"/>
        <v>🟢</v>
      </c>
      <c r="J73" s="55" t="str">
        <f t="shared" si="2"/>
        <v/>
      </c>
      <c r="K73" s="55" t="str">
        <f t="shared" si="3"/>
        <v>🟢 STARVING</v>
      </c>
      <c r="L73" s="55" t="str">
        <f t="shared" si="4"/>
        <v/>
      </c>
      <c r="M73" s="55" t="str">
        <f t="shared" si="5"/>
        <v>🟢 STARVING</v>
      </c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ht="15.75" customHeight="1">
      <c r="A74" s="55" t="str">
        <f>Grinders!A74</f>
        <v>GRD-71</v>
      </c>
      <c r="B74" s="55" t="str">
        <f>Grinders!B74</f>
        <v>luvgill</v>
      </c>
      <c r="C74" s="55" t="str">
        <f>Grinders!C74</f>
        <v>Regular</v>
      </c>
      <c r="D74" s="55">
        <f>Grinders!E74</f>
        <v>0</v>
      </c>
      <c r="E74" s="55" t="str">
        <f>Grinders!D74</f>
        <v>3</v>
      </c>
      <c r="F74" s="55">
        <f>Grinders!F74</f>
        <v>0</v>
      </c>
      <c r="G74" s="57">
        <f>Grinders!H74</f>
        <v>46071</v>
      </c>
      <c r="H74" s="55">
        <f>Grinders!I74</f>
        <v>0</v>
      </c>
      <c r="I74" s="55" t="str">
        <f t="shared" si="1"/>
        <v>🟢</v>
      </c>
      <c r="J74" s="55" t="str">
        <f t="shared" si="2"/>
        <v/>
      </c>
      <c r="K74" s="55" t="str">
        <f t="shared" si="3"/>
        <v>🟢 STARVING</v>
      </c>
      <c r="L74" s="55" t="str">
        <f t="shared" si="4"/>
        <v/>
      </c>
      <c r="M74" s="55" t="str">
        <f t="shared" si="5"/>
        <v>🟢 STARVING</v>
      </c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ht="15.75" customHeight="1">
      <c r="A75" s="55" t="str">
        <f>Grinders!A75</f>
        <v>GRD-72</v>
      </c>
      <c r="B75" s="55" t="str">
        <f>Grinders!B75</f>
        <v>philly223</v>
      </c>
      <c r="C75" s="55" t="str">
        <f>Grinders!C75</f>
        <v>Regular</v>
      </c>
      <c r="D75" s="55">
        <f>Grinders!E75</f>
        <v>0</v>
      </c>
      <c r="E75" s="55" t="str">
        <f>Grinders!D75</f>
        <v>3</v>
      </c>
      <c r="F75" s="55">
        <f>Grinders!F75</f>
        <v>0</v>
      </c>
      <c r="G75" s="57">
        <f>Grinders!H75</f>
        <v>46071</v>
      </c>
      <c r="H75" s="55">
        <f>Grinders!I75</f>
        <v>0</v>
      </c>
      <c r="I75" s="55" t="str">
        <f t="shared" si="1"/>
        <v>🟢</v>
      </c>
      <c r="J75" s="55" t="str">
        <f t="shared" si="2"/>
        <v/>
      </c>
      <c r="K75" s="55" t="str">
        <f t="shared" si="3"/>
        <v>🟢 STARVING</v>
      </c>
      <c r="L75" s="55" t="str">
        <f t="shared" si="4"/>
        <v/>
      </c>
      <c r="M75" s="55" t="str">
        <f t="shared" si="5"/>
        <v>🟢 STARVING</v>
      </c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ht="15.75" customHeight="1">
      <c r="A76" s="55" t="str">
        <f>Grinders!A76</f>
        <v>GRD-73</v>
      </c>
      <c r="B76" s="55" t="str">
        <f>Grinders!B76</f>
        <v>tr6nd</v>
      </c>
      <c r="C76" s="55" t="str">
        <f>Grinders!C76</f>
        <v>Regular</v>
      </c>
      <c r="D76" s="55">
        <f>Grinders!E76</f>
        <v>0</v>
      </c>
      <c r="E76" s="55" t="str">
        <f>Grinders!D76</f>
        <v>3</v>
      </c>
      <c r="F76" s="55">
        <f>Grinders!F76</f>
        <v>0</v>
      </c>
      <c r="G76" s="57">
        <f>Grinders!H76</f>
        <v>46071</v>
      </c>
      <c r="H76" s="55">
        <f>Grinders!I76</f>
        <v>0</v>
      </c>
      <c r="I76" s="55" t="str">
        <f t="shared" si="1"/>
        <v>🟢</v>
      </c>
      <c r="J76" s="55" t="str">
        <f t="shared" si="2"/>
        <v/>
      </c>
      <c r="K76" s="55" t="str">
        <f t="shared" si="3"/>
        <v>🟢 STARVING</v>
      </c>
      <c r="L76" s="55" t="str">
        <f t="shared" si="4"/>
        <v/>
      </c>
      <c r="M76" s="55" t="str">
        <f t="shared" si="5"/>
        <v>🟢 STARVING</v>
      </c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ht="15.75" customHeight="1">
      <c r="A77" s="55" t="str">
        <f>Grinders!A77</f>
        <v/>
      </c>
      <c r="B77" s="55" t="str">
        <f>Grinders!B77</f>
        <v/>
      </c>
      <c r="C77" s="55" t="str">
        <f>Grinders!C77</f>
        <v/>
      </c>
      <c r="D77" s="55" t="str">
        <f>Grinders!E77</f>
        <v/>
      </c>
      <c r="E77" s="55" t="str">
        <f>Grinders!D77</f>
        <v/>
      </c>
      <c r="F77" s="55" t="str">
        <f>Grinders!F77</f>
        <v/>
      </c>
      <c r="G77" s="55" t="str">
        <f>Grinders!H77</f>
        <v/>
      </c>
      <c r="H77" s="55" t="str">
        <f>Grinders!I77</f>
        <v/>
      </c>
      <c r="I77" s="55" t="str">
        <f t="shared" si="1"/>
        <v/>
      </c>
      <c r="J77" s="55" t="str">
        <f t="shared" si="2"/>
        <v/>
      </c>
      <c r="K77" s="55" t="str">
        <f t="shared" si="3"/>
        <v/>
      </c>
      <c r="L77" s="55" t="str">
        <f t="shared" si="4"/>
        <v/>
      </c>
      <c r="M77" s="55" t="str">
        <f t="shared" si="5"/>
        <v/>
      </c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ht="15.75" customHeight="1">
      <c r="A78" s="55" t="str">
        <f>Grinders!A78</f>
        <v/>
      </c>
      <c r="B78" s="55" t="str">
        <f>Grinders!B78</f>
        <v/>
      </c>
      <c r="C78" s="55" t="str">
        <f>Grinders!C78</f>
        <v/>
      </c>
      <c r="D78" s="55" t="str">
        <f>Grinders!E78</f>
        <v/>
      </c>
      <c r="E78" s="55" t="str">
        <f>Grinders!D78</f>
        <v/>
      </c>
      <c r="F78" s="55" t="str">
        <f>Grinders!F78</f>
        <v/>
      </c>
      <c r="G78" s="55" t="str">
        <f>Grinders!H78</f>
        <v/>
      </c>
      <c r="H78" s="55" t="str">
        <f>Grinders!I78</f>
        <v/>
      </c>
      <c r="I78" s="55" t="str">
        <f t="shared" si="1"/>
        <v/>
      </c>
      <c r="J78" s="55" t="str">
        <f t="shared" si="2"/>
        <v/>
      </c>
      <c r="K78" s="55" t="str">
        <f t="shared" si="3"/>
        <v/>
      </c>
      <c r="L78" s="55" t="str">
        <f t="shared" si="4"/>
        <v/>
      </c>
      <c r="M78" s="55" t="str">
        <f t="shared" si="5"/>
        <v/>
      </c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ht="15.75" customHeight="1">
      <c r="A79" s="55" t="str">
        <f>Grinders!A79</f>
        <v/>
      </c>
      <c r="B79" s="55" t="str">
        <f>Grinders!B79</f>
        <v/>
      </c>
      <c r="C79" s="55" t="str">
        <f>Grinders!C79</f>
        <v/>
      </c>
      <c r="D79" s="55" t="str">
        <f>Grinders!E79</f>
        <v/>
      </c>
      <c r="E79" s="55" t="str">
        <f>Grinders!D79</f>
        <v/>
      </c>
      <c r="F79" s="55" t="str">
        <f>Grinders!F79</f>
        <v/>
      </c>
      <c r="G79" s="55" t="str">
        <f>Grinders!H79</f>
        <v/>
      </c>
      <c r="H79" s="55" t="str">
        <f>Grinders!I79</f>
        <v/>
      </c>
      <c r="I79" s="55" t="str">
        <f t="shared" si="1"/>
        <v/>
      </c>
      <c r="J79" s="55" t="str">
        <f t="shared" si="2"/>
        <v/>
      </c>
      <c r="K79" s="55" t="str">
        <f t="shared" si="3"/>
        <v/>
      </c>
      <c r="L79" s="55" t="str">
        <f t="shared" si="4"/>
        <v/>
      </c>
      <c r="M79" s="55" t="str">
        <f t="shared" si="5"/>
        <v/>
      </c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ht="15.75" customHeight="1">
      <c r="A80" s="55" t="str">
        <f>Grinders!A80</f>
        <v/>
      </c>
      <c r="B80" s="55" t="str">
        <f>Grinders!B80</f>
        <v/>
      </c>
      <c r="C80" s="55" t="str">
        <f>Grinders!C80</f>
        <v/>
      </c>
      <c r="D80" s="55" t="str">
        <f>Grinders!E80</f>
        <v/>
      </c>
      <c r="E80" s="55" t="str">
        <f>Grinders!D80</f>
        <v/>
      </c>
      <c r="F80" s="55" t="str">
        <f>Grinders!F80</f>
        <v/>
      </c>
      <c r="G80" s="55" t="str">
        <f>Grinders!H80</f>
        <v/>
      </c>
      <c r="H80" s="55" t="str">
        <f>Grinders!I80</f>
        <v/>
      </c>
      <c r="I80" s="55" t="str">
        <f t="shared" si="1"/>
        <v/>
      </c>
      <c r="J80" s="55" t="str">
        <f t="shared" si="2"/>
        <v/>
      </c>
      <c r="K80" s="55" t="str">
        <f t="shared" si="3"/>
        <v/>
      </c>
      <c r="L80" s="55" t="str">
        <f t="shared" si="4"/>
        <v/>
      </c>
      <c r="M80" s="55" t="str">
        <f t="shared" si="5"/>
        <v/>
      </c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ht="15.75" customHeight="1">
      <c r="A81" s="55" t="str">
        <f>Grinders!A81</f>
        <v/>
      </c>
      <c r="B81" s="55" t="str">
        <f>Grinders!B81</f>
        <v/>
      </c>
      <c r="C81" s="55" t="str">
        <f>Grinders!C81</f>
        <v/>
      </c>
      <c r="D81" s="55" t="str">
        <f>Grinders!E81</f>
        <v/>
      </c>
      <c r="E81" s="55" t="str">
        <f>Grinders!D81</f>
        <v/>
      </c>
      <c r="F81" s="55" t="str">
        <f>Grinders!F81</f>
        <v/>
      </c>
      <c r="G81" s="55" t="str">
        <f>Grinders!H81</f>
        <v/>
      </c>
      <c r="H81" s="55" t="str">
        <f>Grinders!I81</f>
        <v/>
      </c>
      <c r="I81" s="55" t="str">
        <f t="shared" si="1"/>
        <v/>
      </c>
      <c r="J81" s="55" t="str">
        <f t="shared" si="2"/>
        <v/>
      </c>
      <c r="K81" s="55" t="str">
        <f t="shared" si="3"/>
        <v/>
      </c>
      <c r="L81" s="55" t="str">
        <f t="shared" si="4"/>
        <v/>
      </c>
      <c r="M81" s="55" t="str">
        <f t="shared" si="5"/>
        <v/>
      </c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ht="15.75" customHeight="1">
      <c r="A82" s="55" t="str">
        <f>Grinders!A82</f>
        <v/>
      </c>
      <c r="B82" s="55" t="str">
        <f>Grinders!B82</f>
        <v/>
      </c>
      <c r="C82" s="55" t="str">
        <f>Grinders!C82</f>
        <v/>
      </c>
      <c r="D82" s="55" t="str">
        <f>Grinders!E82</f>
        <v/>
      </c>
      <c r="E82" s="55" t="str">
        <f>Grinders!D82</f>
        <v/>
      </c>
      <c r="F82" s="55" t="str">
        <f>Grinders!F82</f>
        <v/>
      </c>
      <c r="G82" s="55" t="str">
        <f>Grinders!H82</f>
        <v/>
      </c>
      <c r="H82" s="55" t="str">
        <f>Grinders!I82</f>
        <v/>
      </c>
      <c r="I82" s="55" t="str">
        <f t="shared" si="1"/>
        <v/>
      </c>
      <c r="J82" s="55" t="str">
        <f t="shared" si="2"/>
        <v/>
      </c>
      <c r="K82" s="55" t="str">
        <f t="shared" si="3"/>
        <v/>
      </c>
      <c r="L82" s="55" t="str">
        <f t="shared" si="4"/>
        <v/>
      </c>
      <c r="M82" s="55" t="str">
        <f t="shared" si="5"/>
        <v/>
      </c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ht="15.75" customHeight="1">
      <c r="A83" s="55" t="str">
        <f>Grinders!A83</f>
        <v/>
      </c>
      <c r="B83" s="55" t="str">
        <f>Grinders!B83</f>
        <v/>
      </c>
      <c r="C83" s="55" t="str">
        <f>Grinders!C83</f>
        <v/>
      </c>
      <c r="D83" s="55" t="str">
        <f>Grinders!E83</f>
        <v/>
      </c>
      <c r="E83" s="55" t="str">
        <f>Grinders!D83</f>
        <v/>
      </c>
      <c r="F83" s="55" t="str">
        <f>Grinders!F83</f>
        <v/>
      </c>
      <c r="G83" s="55" t="str">
        <f>Grinders!H83</f>
        <v/>
      </c>
      <c r="H83" s="55" t="str">
        <f>Grinders!I83</f>
        <v/>
      </c>
      <c r="I83" s="55" t="str">
        <f t="shared" si="1"/>
        <v/>
      </c>
      <c r="J83" s="55" t="str">
        <f t="shared" si="2"/>
        <v/>
      </c>
      <c r="K83" s="55" t="str">
        <f t="shared" si="3"/>
        <v/>
      </c>
      <c r="L83" s="55" t="str">
        <f t="shared" si="4"/>
        <v/>
      </c>
      <c r="M83" s="55" t="str">
        <f t="shared" si="5"/>
        <v/>
      </c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ht="15.75" customHeight="1">
      <c r="A84" s="55" t="str">
        <f>Grinders!A84</f>
        <v/>
      </c>
      <c r="B84" s="55" t="str">
        <f>Grinders!B84</f>
        <v/>
      </c>
      <c r="C84" s="55" t="str">
        <f>Grinders!C84</f>
        <v/>
      </c>
      <c r="D84" s="55" t="str">
        <f>Grinders!E84</f>
        <v/>
      </c>
      <c r="E84" s="55" t="str">
        <f>Grinders!D84</f>
        <v/>
      </c>
      <c r="F84" s="55" t="str">
        <f>Grinders!F84</f>
        <v/>
      </c>
      <c r="G84" s="55" t="str">
        <f>Grinders!H84</f>
        <v/>
      </c>
      <c r="H84" s="55" t="str">
        <f>Grinders!I84</f>
        <v/>
      </c>
      <c r="I84" s="55" t="str">
        <f t="shared" si="1"/>
        <v/>
      </c>
      <c r="J84" s="55" t="str">
        <f t="shared" si="2"/>
        <v/>
      </c>
      <c r="K84" s="55" t="str">
        <f t="shared" si="3"/>
        <v/>
      </c>
      <c r="L84" s="55" t="str">
        <f t="shared" si="4"/>
        <v/>
      </c>
      <c r="M84" s="55" t="str">
        <f t="shared" si="5"/>
        <v/>
      </c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ht="15.75" customHeight="1">
      <c r="A85" s="55" t="str">
        <f>Grinders!A85</f>
        <v/>
      </c>
      <c r="B85" s="55" t="str">
        <f>Grinders!B85</f>
        <v/>
      </c>
      <c r="C85" s="55" t="str">
        <f>Grinders!C85</f>
        <v/>
      </c>
      <c r="D85" s="55" t="str">
        <f>Grinders!E85</f>
        <v/>
      </c>
      <c r="E85" s="55" t="str">
        <f>Grinders!D85</f>
        <v/>
      </c>
      <c r="F85" s="55" t="str">
        <f>Grinders!F85</f>
        <v/>
      </c>
      <c r="G85" s="55" t="str">
        <f>Grinders!H85</f>
        <v/>
      </c>
      <c r="H85" s="55" t="str">
        <f>Grinders!I85</f>
        <v/>
      </c>
      <c r="I85" s="55" t="str">
        <f t="shared" si="1"/>
        <v/>
      </c>
      <c r="J85" s="55" t="str">
        <f t="shared" si="2"/>
        <v/>
      </c>
      <c r="K85" s="55" t="str">
        <f t="shared" si="3"/>
        <v/>
      </c>
      <c r="L85" s="55" t="str">
        <f t="shared" si="4"/>
        <v/>
      </c>
      <c r="M85" s="55" t="str">
        <f t="shared" si="5"/>
        <v/>
      </c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ht="15.75" customHeight="1">
      <c r="A86" s="55" t="str">
        <f>Grinders!A86</f>
        <v/>
      </c>
      <c r="B86" s="55" t="str">
        <f>Grinders!B86</f>
        <v/>
      </c>
      <c r="C86" s="55" t="str">
        <f>Grinders!C86</f>
        <v/>
      </c>
      <c r="D86" s="55" t="str">
        <f>Grinders!E86</f>
        <v/>
      </c>
      <c r="E86" s="55" t="str">
        <f>Grinders!D86</f>
        <v/>
      </c>
      <c r="F86" s="55" t="str">
        <f>Grinders!F86</f>
        <v/>
      </c>
      <c r="G86" s="55" t="str">
        <f>Grinders!H86</f>
        <v/>
      </c>
      <c r="H86" s="55" t="str">
        <f>Grinders!I86</f>
        <v/>
      </c>
      <c r="I86" s="55" t="str">
        <f t="shared" si="1"/>
        <v/>
      </c>
      <c r="J86" s="55" t="str">
        <f t="shared" si="2"/>
        <v/>
      </c>
      <c r="K86" s="55" t="str">
        <f t="shared" si="3"/>
        <v/>
      </c>
      <c r="L86" s="55" t="str">
        <f t="shared" si="4"/>
        <v/>
      </c>
      <c r="M86" s="55" t="str">
        <f t="shared" si="5"/>
        <v/>
      </c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ht="15.75" customHeight="1">
      <c r="A87" s="55" t="str">
        <f>Grinders!A87</f>
        <v/>
      </c>
      <c r="B87" s="55" t="str">
        <f>Grinders!B87</f>
        <v/>
      </c>
      <c r="C87" s="55" t="str">
        <f>Grinders!C87</f>
        <v/>
      </c>
      <c r="D87" s="55" t="str">
        <f>Grinders!E87</f>
        <v/>
      </c>
      <c r="E87" s="55" t="str">
        <f>Grinders!D87</f>
        <v/>
      </c>
      <c r="F87" s="55" t="str">
        <f>Grinders!F87</f>
        <v/>
      </c>
      <c r="G87" s="55" t="str">
        <f>Grinders!H87</f>
        <v/>
      </c>
      <c r="H87" s="55" t="str">
        <f>Grinders!I87</f>
        <v/>
      </c>
      <c r="I87" s="55" t="str">
        <f t="shared" si="1"/>
        <v/>
      </c>
      <c r="J87" s="55" t="str">
        <f t="shared" si="2"/>
        <v/>
      </c>
      <c r="K87" s="55" t="str">
        <f t="shared" si="3"/>
        <v/>
      </c>
      <c r="L87" s="55" t="str">
        <f t="shared" si="4"/>
        <v/>
      </c>
      <c r="M87" s="55" t="str">
        <f t="shared" si="5"/>
        <v/>
      </c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ht="15.75" customHeight="1">
      <c r="A88" s="55" t="str">
        <f>Grinders!A88</f>
        <v/>
      </c>
      <c r="B88" s="55" t="str">
        <f>Grinders!B88</f>
        <v/>
      </c>
      <c r="C88" s="55" t="str">
        <f>Grinders!C88</f>
        <v/>
      </c>
      <c r="D88" s="55" t="str">
        <f>Grinders!E88</f>
        <v/>
      </c>
      <c r="E88" s="55" t="str">
        <f>Grinders!D88</f>
        <v/>
      </c>
      <c r="F88" s="55" t="str">
        <f>Grinders!F88</f>
        <v/>
      </c>
      <c r="G88" s="55" t="str">
        <f>Grinders!H88</f>
        <v/>
      </c>
      <c r="H88" s="55" t="str">
        <f>Grinders!I88</f>
        <v/>
      </c>
      <c r="I88" s="55" t="str">
        <f t="shared" si="1"/>
        <v/>
      </c>
      <c r="J88" s="55" t="str">
        <f t="shared" si="2"/>
        <v/>
      </c>
      <c r="K88" s="55" t="str">
        <f t="shared" si="3"/>
        <v/>
      </c>
      <c r="L88" s="55" t="str">
        <f t="shared" si="4"/>
        <v/>
      </c>
      <c r="M88" s="55" t="str">
        <f t="shared" si="5"/>
        <v/>
      </c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ht="15.75" customHeight="1">
      <c r="A89" s="55" t="str">
        <f>Grinders!A89</f>
        <v/>
      </c>
      <c r="B89" s="55" t="str">
        <f>Grinders!B89</f>
        <v/>
      </c>
      <c r="C89" s="55" t="str">
        <f>Grinders!C89</f>
        <v/>
      </c>
      <c r="D89" s="55" t="str">
        <f>Grinders!E89</f>
        <v/>
      </c>
      <c r="E89" s="55" t="str">
        <f>Grinders!D89</f>
        <v/>
      </c>
      <c r="F89" s="55" t="str">
        <f>Grinders!F89</f>
        <v/>
      </c>
      <c r="G89" s="55" t="str">
        <f>Grinders!H89</f>
        <v/>
      </c>
      <c r="H89" s="55" t="str">
        <f>Grinders!I89</f>
        <v/>
      </c>
      <c r="I89" s="55" t="str">
        <f t="shared" si="1"/>
        <v/>
      </c>
      <c r="J89" s="55" t="str">
        <f t="shared" si="2"/>
        <v/>
      </c>
      <c r="K89" s="55" t="str">
        <f t="shared" si="3"/>
        <v/>
      </c>
      <c r="L89" s="55" t="str">
        <f t="shared" si="4"/>
        <v/>
      </c>
      <c r="M89" s="55" t="str">
        <f t="shared" si="5"/>
        <v/>
      </c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ht="15.75" customHeight="1">
      <c r="A90" s="55" t="str">
        <f>Grinders!A90</f>
        <v/>
      </c>
      <c r="B90" s="55" t="str">
        <f>Grinders!B90</f>
        <v/>
      </c>
      <c r="C90" s="55" t="str">
        <f>Grinders!C90</f>
        <v/>
      </c>
      <c r="D90" s="55" t="str">
        <f>Grinders!E90</f>
        <v/>
      </c>
      <c r="E90" s="55" t="str">
        <f>Grinders!D90</f>
        <v/>
      </c>
      <c r="F90" s="55" t="str">
        <f>Grinders!F90</f>
        <v/>
      </c>
      <c r="G90" s="55" t="str">
        <f>Grinders!H90</f>
        <v/>
      </c>
      <c r="H90" s="55" t="str">
        <f>Grinders!I90</f>
        <v/>
      </c>
      <c r="I90" s="55" t="str">
        <f t="shared" si="1"/>
        <v/>
      </c>
      <c r="J90" s="55" t="str">
        <f t="shared" si="2"/>
        <v/>
      </c>
      <c r="K90" s="55" t="str">
        <f t="shared" si="3"/>
        <v/>
      </c>
      <c r="L90" s="55" t="str">
        <f t="shared" si="4"/>
        <v/>
      </c>
      <c r="M90" s="55" t="str">
        <f t="shared" si="5"/>
        <v/>
      </c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ht="15.75" customHeight="1">
      <c r="A91" s="55" t="str">
        <f>Grinders!A91</f>
        <v/>
      </c>
      <c r="B91" s="55" t="str">
        <f>Grinders!B91</f>
        <v/>
      </c>
      <c r="C91" s="55" t="str">
        <f>Grinders!C91</f>
        <v/>
      </c>
      <c r="D91" s="55" t="str">
        <f>Grinders!E91</f>
        <v/>
      </c>
      <c r="E91" s="55" t="str">
        <f>Grinders!D91</f>
        <v/>
      </c>
      <c r="F91" s="55" t="str">
        <f>Grinders!F91</f>
        <v/>
      </c>
      <c r="G91" s="55" t="str">
        <f>Grinders!H91</f>
        <v/>
      </c>
      <c r="H91" s="55" t="str">
        <f>Grinders!I91</f>
        <v/>
      </c>
      <c r="I91" s="55" t="str">
        <f t="shared" si="1"/>
        <v/>
      </c>
      <c r="J91" s="55" t="str">
        <f t="shared" si="2"/>
        <v/>
      </c>
      <c r="K91" s="55" t="str">
        <f t="shared" si="3"/>
        <v/>
      </c>
      <c r="L91" s="55" t="str">
        <f t="shared" si="4"/>
        <v/>
      </c>
      <c r="M91" s="55" t="str">
        <f t="shared" si="5"/>
        <v/>
      </c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ht="15.75" customHeight="1">
      <c r="A92" s="55" t="str">
        <f>Grinders!A92</f>
        <v/>
      </c>
      <c r="B92" s="55" t="str">
        <f>Grinders!B92</f>
        <v/>
      </c>
      <c r="C92" s="55" t="str">
        <f>Grinders!C92</f>
        <v/>
      </c>
      <c r="D92" s="55" t="str">
        <f>Grinders!E92</f>
        <v/>
      </c>
      <c r="E92" s="55" t="str">
        <f>Grinders!D92</f>
        <v/>
      </c>
      <c r="F92" s="55" t="str">
        <f>Grinders!F92</f>
        <v/>
      </c>
      <c r="G92" s="55" t="str">
        <f>Grinders!H92</f>
        <v/>
      </c>
      <c r="H92" s="55" t="str">
        <f>Grinders!I92</f>
        <v/>
      </c>
      <c r="I92" s="55" t="str">
        <f t="shared" si="1"/>
        <v/>
      </c>
      <c r="J92" s="55" t="str">
        <f t="shared" si="2"/>
        <v/>
      </c>
      <c r="K92" s="55" t="str">
        <f t="shared" si="3"/>
        <v/>
      </c>
      <c r="L92" s="55" t="str">
        <f t="shared" si="4"/>
        <v/>
      </c>
      <c r="M92" s="55" t="str">
        <f t="shared" si="5"/>
        <v/>
      </c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ht="15.75" customHeight="1">
      <c r="A93" s="55" t="str">
        <f>Grinders!A93</f>
        <v/>
      </c>
      <c r="B93" s="55" t="str">
        <f>Grinders!B93</f>
        <v/>
      </c>
      <c r="C93" s="55" t="str">
        <f>Grinders!C93</f>
        <v/>
      </c>
      <c r="D93" s="55" t="str">
        <f>Grinders!E93</f>
        <v/>
      </c>
      <c r="E93" s="55" t="str">
        <f>Grinders!D93</f>
        <v/>
      </c>
      <c r="F93" s="55" t="str">
        <f>Grinders!F93</f>
        <v/>
      </c>
      <c r="G93" s="55" t="str">
        <f>Grinders!H93</f>
        <v/>
      </c>
      <c r="H93" s="55" t="str">
        <f>Grinders!I93</f>
        <v/>
      </c>
      <c r="I93" s="55" t="str">
        <f t="shared" si="1"/>
        <v/>
      </c>
      <c r="J93" s="55" t="str">
        <f t="shared" si="2"/>
        <v/>
      </c>
      <c r="K93" s="55" t="str">
        <f t="shared" si="3"/>
        <v/>
      </c>
      <c r="L93" s="55" t="str">
        <f t="shared" si="4"/>
        <v/>
      </c>
      <c r="M93" s="55" t="str">
        <f t="shared" si="5"/>
        <v/>
      </c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ht="15.75" customHeight="1">
      <c r="A94" s="55" t="str">
        <f>Grinders!A94</f>
        <v/>
      </c>
      <c r="B94" s="55" t="str">
        <f>Grinders!B94</f>
        <v/>
      </c>
      <c r="C94" s="55" t="str">
        <f>Grinders!C94</f>
        <v/>
      </c>
      <c r="D94" s="55" t="str">
        <f>Grinders!E94</f>
        <v/>
      </c>
      <c r="E94" s="55" t="str">
        <f>Grinders!D94</f>
        <v/>
      </c>
      <c r="F94" s="55" t="str">
        <f>Grinders!F94</f>
        <v/>
      </c>
      <c r="G94" s="55" t="str">
        <f>Grinders!H94</f>
        <v/>
      </c>
      <c r="H94" s="55" t="str">
        <f>Grinders!I94</f>
        <v/>
      </c>
      <c r="I94" s="55" t="str">
        <f t="shared" si="1"/>
        <v/>
      </c>
      <c r="J94" s="55" t="str">
        <f t="shared" si="2"/>
        <v/>
      </c>
      <c r="K94" s="55" t="str">
        <f t="shared" si="3"/>
        <v/>
      </c>
      <c r="L94" s="55" t="str">
        <f t="shared" si="4"/>
        <v/>
      </c>
      <c r="M94" s="55" t="str">
        <f t="shared" si="5"/>
        <v/>
      </c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ht="15.75" customHeight="1">
      <c r="A95" s="55" t="str">
        <f>Grinders!A95</f>
        <v/>
      </c>
      <c r="B95" s="55" t="str">
        <f>Grinders!B95</f>
        <v/>
      </c>
      <c r="C95" s="55" t="str">
        <f>Grinders!C95</f>
        <v/>
      </c>
      <c r="D95" s="55" t="str">
        <f>Grinders!E95</f>
        <v/>
      </c>
      <c r="E95" s="55" t="str">
        <f>Grinders!D95</f>
        <v/>
      </c>
      <c r="F95" s="55" t="str">
        <f>Grinders!F95</f>
        <v/>
      </c>
      <c r="G95" s="55" t="str">
        <f>Grinders!H95</f>
        <v/>
      </c>
      <c r="H95" s="55" t="str">
        <f>Grinders!I95</f>
        <v/>
      </c>
      <c r="I95" s="55" t="str">
        <f t="shared" si="1"/>
        <v/>
      </c>
      <c r="J95" s="55" t="str">
        <f t="shared" si="2"/>
        <v/>
      </c>
      <c r="K95" s="55" t="str">
        <f t="shared" si="3"/>
        <v/>
      </c>
      <c r="L95" s="55" t="str">
        <f t="shared" si="4"/>
        <v/>
      </c>
      <c r="M95" s="55" t="str">
        <f t="shared" si="5"/>
        <v/>
      </c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ht="15.75" customHeight="1">
      <c r="A96" s="55" t="str">
        <f>Grinders!A96</f>
        <v/>
      </c>
      <c r="B96" s="55" t="str">
        <f>Grinders!B96</f>
        <v/>
      </c>
      <c r="C96" s="55" t="str">
        <f>Grinders!C96</f>
        <v/>
      </c>
      <c r="D96" s="55" t="str">
        <f>Grinders!E96</f>
        <v/>
      </c>
      <c r="E96" s="55" t="str">
        <f>Grinders!D96</f>
        <v/>
      </c>
      <c r="F96" s="55" t="str">
        <f>Grinders!F96</f>
        <v/>
      </c>
      <c r="G96" s="55" t="str">
        <f>Grinders!H96</f>
        <v/>
      </c>
      <c r="H96" s="55" t="str">
        <f>Grinders!I96</f>
        <v/>
      </c>
      <c r="I96" s="55" t="str">
        <f t="shared" si="1"/>
        <v/>
      </c>
      <c r="J96" s="55" t="str">
        <f t="shared" si="2"/>
        <v/>
      </c>
      <c r="K96" s="55" t="str">
        <f t="shared" si="3"/>
        <v/>
      </c>
      <c r="L96" s="55" t="str">
        <f t="shared" si="4"/>
        <v/>
      </c>
      <c r="M96" s="55" t="str">
        <f t="shared" si="5"/>
        <v/>
      </c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ht="15.75" customHeight="1">
      <c r="A97" s="55" t="str">
        <f>Grinders!A97</f>
        <v/>
      </c>
      <c r="B97" s="55" t="str">
        <f>Grinders!B97</f>
        <v/>
      </c>
      <c r="C97" s="55" t="str">
        <f>Grinders!C97</f>
        <v/>
      </c>
      <c r="D97" s="55" t="str">
        <f>Grinders!E97</f>
        <v/>
      </c>
      <c r="E97" s="55" t="str">
        <f>Grinders!D97</f>
        <v/>
      </c>
      <c r="F97" s="55" t="str">
        <f>Grinders!F97</f>
        <v/>
      </c>
      <c r="G97" s="55" t="str">
        <f>Grinders!H97</f>
        <v/>
      </c>
      <c r="H97" s="55" t="str">
        <f>Grinders!I97</f>
        <v/>
      </c>
      <c r="I97" s="55" t="str">
        <f t="shared" si="1"/>
        <v/>
      </c>
      <c r="J97" s="55" t="str">
        <f t="shared" si="2"/>
        <v/>
      </c>
      <c r="K97" s="55" t="str">
        <f t="shared" si="3"/>
        <v/>
      </c>
      <c r="L97" s="55" t="str">
        <f t="shared" si="4"/>
        <v/>
      </c>
      <c r="M97" s="55" t="str">
        <f t="shared" si="5"/>
        <v/>
      </c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ht="15.75" customHeight="1">
      <c r="A98" s="55" t="str">
        <f>Grinders!A98</f>
        <v/>
      </c>
      <c r="B98" s="55" t="str">
        <f>Grinders!B98</f>
        <v/>
      </c>
      <c r="C98" s="55" t="str">
        <f>Grinders!C98</f>
        <v/>
      </c>
      <c r="D98" s="55" t="str">
        <f>Grinders!E98</f>
        <v/>
      </c>
      <c r="E98" s="55" t="str">
        <f>Grinders!D98</f>
        <v/>
      </c>
      <c r="F98" s="55" t="str">
        <f>Grinders!F98</f>
        <v/>
      </c>
      <c r="G98" s="55" t="str">
        <f>Grinders!H98</f>
        <v/>
      </c>
      <c r="H98" s="55" t="str">
        <f>Grinders!I98</f>
        <v/>
      </c>
      <c r="I98" s="55" t="str">
        <f t="shared" si="1"/>
        <v/>
      </c>
      <c r="J98" s="55" t="str">
        <f t="shared" si="2"/>
        <v/>
      </c>
      <c r="K98" s="55" t="str">
        <f t="shared" si="3"/>
        <v/>
      </c>
      <c r="L98" s="55" t="str">
        <f t="shared" si="4"/>
        <v/>
      </c>
      <c r="M98" s="55" t="str">
        <f t="shared" si="5"/>
        <v/>
      </c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ht="15.75" customHeight="1">
      <c r="A99" s="55" t="str">
        <f>Grinders!A99</f>
        <v/>
      </c>
      <c r="B99" s="55" t="str">
        <f>Grinders!B99</f>
        <v/>
      </c>
      <c r="C99" s="55" t="str">
        <f>Grinders!C99</f>
        <v/>
      </c>
      <c r="D99" s="55" t="str">
        <f>Grinders!E99</f>
        <v/>
      </c>
      <c r="E99" s="55" t="str">
        <f>Grinders!D99</f>
        <v/>
      </c>
      <c r="F99" s="55" t="str">
        <f>Grinders!F99</f>
        <v/>
      </c>
      <c r="G99" s="55" t="str">
        <f>Grinders!H99</f>
        <v/>
      </c>
      <c r="H99" s="55" t="str">
        <f>Grinders!I99</f>
        <v/>
      </c>
      <c r="I99" s="55" t="str">
        <f t="shared" si="1"/>
        <v/>
      </c>
      <c r="J99" s="55" t="str">
        <f t="shared" si="2"/>
        <v/>
      </c>
      <c r="K99" s="55" t="str">
        <f t="shared" si="3"/>
        <v/>
      </c>
      <c r="L99" s="55" t="str">
        <f t="shared" si="4"/>
        <v/>
      </c>
      <c r="M99" s="55" t="str">
        <f t="shared" si="5"/>
        <v/>
      </c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ht="15.75" customHeight="1">
      <c r="A100" s="55" t="str">
        <f>Grinders!A100</f>
        <v/>
      </c>
      <c r="B100" s="55" t="str">
        <f>Grinders!B100</f>
        <v/>
      </c>
      <c r="C100" s="55" t="str">
        <f>Grinders!C100</f>
        <v/>
      </c>
      <c r="D100" s="55" t="str">
        <f>Grinders!E100</f>
        <v/>
      </c>
      <c r="E100" s="55" t="str">
        <f>Grinders!D100</f>
        <v/>
      </c>
      <c r="F100" s="55" t="str">
        <f>Grinders!F100</f>
        <v/>
      </c>
      <c r="G100" s="55" t="str">
        <f>Grinders!H100</f>
        <v/>
      </c>
      <c r="H100" s="55" t="str">
        <f>Grinders!I100</f>
        <v/>
      </c>
      <c r="I100" s="55" t="str">
        <f t="shared" si="1"/>
        <v/>
      </c>
      <c r="J100" s="55" t="str">
        <f t="shared" si="2"/>
        <v/>
      </c>
      <c r="K100" s="55" t="str">
        <f t="shared" si="3"/>
        <v/>
      </c>
      <c r="L100" s="55" t="str">
        <f t="shared" si="4"/>
        <v/>
      </c>
      <c r="M100" s="55" t="str">
        <f t="shared" si="5"/>
        <v/>
      </c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ht="15.75" customHeight="1">
      <c r="A101" s="55" t="str">
        <f>Grinders!A101</f>
        <v/>
      </c>
      <c r="B101" s="55" t="str">
        <f>Grinders!B101</f>
        <v/>
      </c>
      <c r="C101" s="55" t="str">
        <f>Grinders!C101</f>
        <v/>
      </c>
      <c r="D101" s="55" t="str">
        <f>Grinders!E101</f>
        <v/>
      </c>
      <c r="E101" s="55" t="str">
        <f>Grinders!D101</f>
        <v/>
      </c>
      <c r="F101" s="55" t="str">
        <f>Grinders!F101</f>
        <v/>
      </c>
      <c r="G101" s="55" t="str">
        <f>Grinders!H101</f>
        <v/>
      </c>
      <c r="H101" s="55" t="str">
        <f>Grinders!I101</f>
        <v/>
      </c>
      <c r="I101" s="55" t="str">
        <f t="shared" si="1"/>
        <v/>
      </c>
      <c r="J101" s="55" t="str">
        <f t="shared" si="2"/>
        <v/>
      </c>
      <c r="K101" s="55" t="str">
        <f t="shared" si="3"/>
        <v/>
      </c>
      <c r="L101" s="55" t="str">
        <f t="shared" si="4"/>
        <v/>
      </c>
      <c r="M101" s="55" t="str">
        <f t="shared" si="5"/>
        <v/>
      </c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ht="15.75" customHeight="1">
      <c r="A102" s="55" t="str">
        <f>Grinders!A102</f>
        <v/>
      </c>
      <c r="B102" s="55" t="str">
        <f>Grinders!B102</f>
        <v/>
      </c>
      <c r="C102" s="55" t="str">
        <f>Grinders!C102</f>
        <v/>
      </c>
      <c r="D102" s="55" t="str">
        <f>Grinders!E102</f>
        <v/>
      </c>
      <c r="E102" s="55" t="str">
        <f>Grinders!D102</f>
        <v/>
      </c>
      <c r="F102" s="55" t="str">
        <f>Grinders!F102</f>
        <v/>
      </c>
      <c r="G102" s="55" t="str">
        <f>Grinders!H102</f>
        <v/>
      </c>
      <c r="H102" s="55" t="str">
        <f>Grinders!I102</f>
        <v/>
      </c>
      <c r="I102" s="55" t="str">
        <f t="shared" si="1"/>
        <v/>
      </c>
      <c r="J102" s="55" t="str">
        <f t="shared" si="2"/>
        <v/>
      </c>
      <c r="K102" s="55" t="str">
        <f t="shared" si="3"/>
        <v/>
      </c>
      <c r="L102" s="55" t="str">
        <f t="shared" si="4"/>
        <v/>
      </c>
      <c r="M102" s="55" t="str">
        <f t="shared" si="5"/>
        <v/>
      </c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ht="15.75" customHeight="1">
      <c r="A103" s="55" t="str">
        <f>Grinders!A103</f>
        <v/>
      </c>
      <c r="B103" s="55" t="str">
        <f>Grinders!B103</f>
        <v/>
      </c>
      <c r="C103" s="55" t="str">
        <f>Grinders!C103</f>
        <v/>
      </c>
      <c r="D103" s="55" t="str">
        <f>Grinders!E103</f>
        <v/>
      </c>
      <c r="E103" s="55" t="str">
        <f>Grinders!D103</f>
        <v/>
      </c>
      <c r="F103" s="55" t="str">
        <f>Grinders!F103</f>
        <v/>
      </c>
      <c r="G103" s="55" t="str">
        <f>Grinders!H103</f>
        <v/>
      </c>
      <c r="H103" s="55" t="str">
        <f>Grinders!I103</f>
        <v/>
      </c>
      <c r="I103" s="55" t="str">
        <f t="shared" si="1"/>
        <v/>
      </c>
      <c r="J103" s="55" t="str">
        <f t="shared" si="2"/>
        <v/>
      </c>
      <c r="K103" s="55" t="str">
        <f t="shared" si="3"/>
        <v/>
      </c>
      <c r="L103" s="55" t="str">
        <f t="shared" si="4"/>
        <v/>
      </c>
      <c r="M103" s="55" t="str">
        <f t="shared" si="5"/>
        <v/>
      </c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ht="15.75" customHeight="1">
      <c r="A104" s="55" t="str">
        <f>Grinders!A104</f>
        <v/>
      </c>
      <c r="B104" s="55" t="str">
        <f>Grinders!B104</f>
        <v/>
      </c>
      <c r="C104" s="55" t="str">
        <f>Grinders!C104</f>
        <v/>
      </c>
      <c r="D104" s="55" t="str">
        <f>Grinders!E104</f>
        <v/>
      </c>
      <c r="E104" s="55" t="str">
        <f>Grinders!D104</f>
        <v/>
      </c>
      <c r="F104" s="55" t="str">
        <f>Grinders!F104</f>
        <v/>
      </c>
      <c r="G104" s="55" t="str">
        <f>Grinders!H104</f>
        <v/>
      </c>
      <c r="H104" s="55" t="str">
        <f>Grinders!I104</f>
        <v/>
      </c>
      <c r="I104" s="55" t="str">
        <f t="shared" si="1"/>
        <v/>
      </c>
      <c r="J104" s="55" t="str">
        <f t="shared" si="2"/>
        <v/>
      </c>
      <c r="K104" s="55" t="str">
        <f t="shared" si="3"/>
        <v/>
      </c>
      <c r="L104" s="55" t="str">
        <f t="shared" si="4"/>
        <v/>
      </c>
      <c r="M104" s="55" t="str">
        <f t="shared" si="5"/>
        <v/>
      </c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ht="15.75" customHeight="1">
      <c r="A105" s="55" t="str">
        <f>Grinders!A105</f>
        <v/>
      </c>
      <c r="B105" s="55" t="str">
        <f>Grinders!B105</f>
        <v/>
      </c>
      <c r="C105" s="55" t="str">
        <f>Grinders!C105</f>
        <v/>
      </c>
      <c r="D105" s="55" t="str">
        <f>Grinders!E105</f>
        <v/>
      </c>
      <c r="E105" s="55" t="str">
        <f>Grinders!D105</f>
        <v/>
      </c>
      <c r="F105" s="55" t="str">
        <f>Grinders!F105</f>
        <v/>
      </c>
      <c r="G105" s="55" t="str">
        <f>Grinders!H105</f>
        <v/>
      </c>
      <c r="H105" s="55" t="str">
        <f>Grinders!I105</f>
        <v/>
      </c>
      <c r="I105" s="55" t="str">
        <f t="shared" si="1"/>
        <v/>
      </c>
      <c r="J105" s="55" t="str">
        <f t="shared" si="2"/>
        <v/>
      </c>
      <c r="K105" s="55" t="str">
        <f t="shared" si="3"/>
        <v/>
      </c>
      <c r="L105" s="55" t="str">
        <f t="shared" si="4"/>
        <v/>
      </c>
      <c r="M105" s="55" t="str">
        <f t="shared" si="5"/>
        <v/>
      </c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ht="15.75" customHeight="1">
      <c r="A106" s="55" t="str">
        <f>Grinders!A106</f>
        <v/>
      </c>
      <c r="B106" s="55" t="str">
        <f>Grinders!B106</f>
        <v/>
      </c>
      <c r="C106" s="55" t="str">
        <f>Grinders!C106</f>
        <v/>
      </c>
      <c r="D106" s="55" t="str">
        <f>Grinders!E106</f>
        <v/>
      </c>
      <c r="E106" s="55" t="str">
        <f>Grinders!D106</f>
        <v/>
      </c>
      <c r="F106" s="55" t="str">
        <f>Grinders!F106</f>
        <v/>
      </c>
      <c r="G106" s="55" t="str">
        <f>Grinders!H106</f>
        <v/>
      </c>
      <c r="H106" s="55" t="str">
        <f>Grinders!I106</f>
        <v/>
      </c>
      <c r="I106" s="55" t="str">
        <f t="shared" si="1"/>
        <v/>
      </c>
      <c r="J106" s="55" t="str">
        <f t="shared" si="2"/>
        <v/>
      </c>
      <c r="K106" s="55" t="str">
        <f t="shared" si="3"/>
        <v/>
      </c>
      <c r="L106" s="55" t="str">
        <f t="shared" si="4"/>
        <v/>
      </c>
      <c r="M106" s="55" t="str">
        <f t="shared" si="5"/>
        <v/>
      </c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ht="15.75" customHeight="1">
      <c r="A107" s="55" t="str">
        <f>Grinders!A107</f>
        <v/>
      </c>
      <c r="B107" s="55" t="str">
        <f>Grinders!B107</f>
        <v/>
      </c>
      <c r="C107" s="55" t="str">
        <f>Grinders!C107</f>
        <v/>
      </c>
      <c r="D107" s="55" t="str">
        <f>Grinders!E107</f>
        <v/>
      </c>
      <c r="E107" s="55" t="str">
        <f>Grinders!D107</f>
        <v/>
      </c>
      <c r="F107" s="55" t="str">
        <f>Grinders!F107</f>
        <v/>
      </c>
      <c r="G107" s="55" t="str">
        <f>Grinders!H107</f>
        <v/>
      </c>
      <c r="H107" s="55" t="str">
        <f>Grinders!I107</f>
        <v/>
      </c>
      <c r="I107" s="55" t="str">
        <f t="shared" si="1"/>
        <v/>
      </c>
      <c r="J107" s="55" t="str">
        <f t="shared" si="2"/>
        <v/>
      </c>
      <c r="K107" s="55" t="str">
        <f t="shared" si="3"/>
        <v/>
      </c>
      <c r="L107" s="55" t="str">
        <f t="shared" si="4"/>
        <v/>
      </c>
      <c r="M107" s="55" t="str">
        <f t="shared" si="5"/>
        <v/>
      </c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ht="15.75" customHeight="1">
      <c r="A108" s="55" t="str">
        <f>Grinders!A108</f>
        <v/>
      </c>
      <c r="B108" s="55" t="str">
        <f>Grinders!B108</f>
        <v/>
      </c>
      <c r="C108" s="55" t="str">
        <f>Grinders!C108</f>
        <v/>
      </c>
      <c r="D108" s="55" t="str">
        <f>Grinders!E108</f>
        <v/>
      </c>
      <c r="E108" s="55" t="str">
        <f>Grinders!D108</f>
        <v/>
      </c>
      <c r="F108" s="55" t="str">
        <f>Grinders!F108</f>
        <v/>
      </c>
      <c r="G108" s="55" t="str">
        <f>Grinders!H108</f>
        <v/>
      </c>
      <c r="H108" s="55" t="str">
        <f>Grinders!I108</f>
        <v/>
      </c>
      <c r="I108" s="55" t="str">
        <f t="shared" si="1"/>
        <v/>
      </c>
      <c r="J108" s="55" t="str">
        <f t="shared" si="2"/>
        <v/>
      </c>
      <c r="K108" s="55" t="str">
        <f t="shared" si="3"/>
        <v/>
      </c>
      <c r="L108" s="55" t="str">
        <f t="shared" si="4"/>
        <v/>
      </c>
      <c r="M108" s="55" t="str">
        <f t="shared" si="5"/>
        <v/>
      </c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ht="15.75" customHeight="1">
      <c r="A109" s="55" t="str">
        <f>Grinders!A109</f>
        <v/>
      </c>
      <c r="B109" s="55" t="str">
        <f>Grinders!B109</f>
        <v/>
      </c>
      <c r="C109" s="55" t="str">
        <f>Grinders!C109</f>
        <v/>
      </c>
      <c r="D109" s="55" t="str">
        <f>Grinders!E109</f>
        <v/>
      </c>
      <c r="E109" s="55" t="str">
        <f>Grinders!D109</f>
        <v/>
      </c>
      <c r="F109" s="55" t="str">
        <f>Grinders!F109</f>
        <v/>
      </c>
      <c r="G109" s="55" t="str">
        <f>Grinders!H109</f>
        <v/>
      </c>
      <c r="H109" s="55" t="str">
        <f>Grinders!I109</f>
        <v/>
      </c>
      <c r="I109" s="55" t="str">
        <f t="shared" si="1"/>
        <v/>
      </c>
      <c r="J109" s="55" t="str">
        <f t="shared" si="2"/>
        <v/>
      </c>
      <c r="K109" s="55" t="str">
        <f t="shared" si="3"/>
        <v/>
      </c>
      <c r="L109" s="55" t="str">
        <f t="shared" si="4"/>
        <v/>
      </c>
      <c r="M109" s="55" t="str">
        <f t="shared" si="5"/>
        <v/>
      </c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ht="15.75" customHeight="1">
      <c r="A110" s="55" t="str">
        <f>Grinders!A110</f>
        <v/>
      </c>
      <c r="B110" s="55" t="str">
        <f>Grinders!B110</f>
        <v/>
      </c>
      <c r="C110" s="55" t="str">
        <f>Grinders!C110</f>
        <v/>
      </c>
      <c r="D110" s="55" t="str">
        <f>Grinders!E110</f>
        <v/>
      </c>
      <c r="E110" s="55" t="str">
        <f>Grinders!D110</f>
        <v/>
      </c>
      <c r="F110" s="55" t="str">
        <f>Grinders!F110</f>
        <v/>
      </c>
      <c r="G110" s="55" t="str">
        <f>Grinders!H110</f>
        <v/>
      </c>
      <c r="H110" s="55" t="str">
        <f>Grinders!I110</f>
        <v/>
      </c>
      <c r="I110" s="55" t="str">
        <f t="shared" si="1"/>
        <v/>
      </c>
      <c r="J110" s="55" t="str">
        <f t="shared" si="2"/>
        <v/>
      </c>
      <c r="K110" s="55" t="str">
        <f t="shared" si="3"/>
        <v/>
      </c>
      <c r="L110" s="55" t="str">
        <f t="shared" si="4"/>
        <v/>
      </c>
      <c r="M110" s="55" t="str">
        <f t="shared" si="5"/>
        <v/>
      </c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ht="15.75" customHeight="1">
      <c r="A111" s="55" t="str">
        <f>Grinders!A111</f>
        <v/>
      </c>
      <c r="B111" s="55" t="str">
        <f>Grinders!B111</f>
        <v/>
      </c>
      <c r="C111" s="55" t="str">
        <f>Grinders!C111</f>
        <v/>
      </c>
      <c r="D111" s="55" t="str">
        <f>Grinders!E111</f>
        <v/>
      </c>
      <c r="E111" s="55" t="str">
        <f>Grinders!D111</f>
        <v/>
      </c>
      <c r="F111" s="55" t="str">
        <f>Grinders!F111</f>
        <v/>
      </c>
      <c r="G111" s="55" t="str">
        <f>Grinders!H111</f>
        <v/>
      </c>
      <c r="H111" s="55" t="str">
        <f>Grinders!I111</f>
        <v/>
      </c>
      <c r="I111" s="55" t="str">
        <f t="shared" si="1"/>
        <v/>
      </c>
      <c r="J111" s="55" t="str">
        <f t="shared" si="2"/>
        <v/>
      </c>
      <c r="K111" s="55" t="str">
        <f t="shared" si="3"/>
        <v/>
      </c>
      <c r="L111" s="55" t="str">
        <f t="shared" si="4"/>
        <v/>
      </c>
      <c r="M111" s="55" t="str">
        <f t="shared" si="5"/>
        <v/>
      </c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ht="15.75" customHeight="1">
      <c r="A112" s="55" t="str">
        <f>Grinders!A112</f>
        <v/>
      </c>
      <c r="B112" s="55" t="str">
        <f>Grinders!B112</f>
        <v/>
      </c>
      <c r="C112" s="55" t="str">
        <f>Grinders!C112</f>
        <v/>
      </c>
      <c r="D112" s="55" t="str">
        <f>Grinders!E112</f>
        <v/>
      </c>
      <c r="E112" s="55" t="str">
        <f>Grinders!D112</f>
        <v/>
      </c>
      <c r="F112" s="55" t="str">
        <f>Grinders!F112</f>
        <v/>
      </c>
      <c r="G112" s="55" t="str">
        <f>Grinders!H112</f>
        <v/>
      </c>
      <c r="H112" s="55" t="str">
        <f>Grinders!I112</f>
        <v/>
      </c>
      <c r="I112" s="55" t="str">
        <f t="shared" si="1"/>
        <v/>
      </c>
      <c r="J112" s="55" t="str">
        <f t="shared" si="2"/>
        <v/>
      </c>
      <c r="K112" s="55" t="str">
        <f t="shared" si="3"/>
        <v/>
      </c>
      <c r="L112" s="55" t="str">
        <f t="shared" si="4"/>
        <v/>
      </c>
      <c r="M112" s="55" t="str">
        <f t="shared" si="5"/>
        <v/>
      </c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ht="15.75" customHeight="1">
      <c r="A113" s="55" t="str">
        <f>Grinders!A113</f>
        <v/>
      </c>
      <c r="B113" s="55" t="str">
        <f>Grinders!B113</f>
        <v/>
      </c>
      <c r="C113" s="55" t="str">
        <f>Grinders!C113</f>
        <v/>
      </c>
      <c r="D113" s="55" t="str">
        <f>Grinders!E113</f>
        <v/>
      </c>
      <c r="E113" s="55" t="str">
        <f>Grinders!D113</f>
        <v/>
      </c>
      <c r="F113" s="55" t="str">
        <f>Grinders!F113</f>
        <v/>
      </c>
      <c r="G113" s="55" t="str">
        <f>Grinders!H113</f>
        <v/>
      </c>
      <c r="H113" s="55" t="str">
        <f>Grinders!I113</f>
        <v/>
      </c>
      <c r="I113" s="55" t="str">
        <f t="shared" si="1"/>
        <v/>
      </c>
      <c r="J113" s="55" t="str">
        <f t="shared" si="2"/>
        <v/>
      </c>
      <c r="K113" s="55" t="str">
        <f t="shared" si="3"/>
        <v/>
      </c>
      <c r="L113" s="55" t="str">
        <f t="shared" si="4"/>
        <v/>
      </c>
      <c r="M113" s="55" t="str">
        <f t="shared" si="5"/>
        <v/>
      </c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ht="15.75" customHeight="1">
      <c r="A114" s="55" t="str">
        <f>Grinders!A114</f>
        <v/>
      </c>
      <c r="B114" s="55" t="str">
        <f>Grinders!B114</f>
        <v/>
      </c>
      <c r="C114" s="55" t="str">
        <f>Grinders!C114</f>
        <v/>
      </c>
      <c r="D114" s="55" t="str">
        <f>Grinders!E114</f>
        <v/>
      </c>
      <c r="E114" s="55" t="str">
        <f>Grinders!D114</f>
        <v/>
      </c>
      <c r="F114" s="55" t="str">
        <f>Grinders!F114</f>
        <v/>
      </c>
      <c r="G114" s="55" t="str">
        <f>Grinders!H114</f>
        <v/>
      </c>
      <c r="H114" s="55" t="str">
        <f>Grinders!I114</f>
        <v/>
      </c>
      <c r="I114" s="55" t="str">
        <f t="shared" si="1"/>
        <v/>
      </c>
      <c r="J114" s="55" t="str">
        <f t="shared" si="2"/>
        <v/>
      </c>
      <c r="K114" s="55" t="str">
        <f t="shared" si="3"/>
        <v/>
      </c>
      <c r="L114" s="55" t="str">
        <f t="shared" si="4"/>
        <v/>
      </c>
      <c r="M114" s="55" t="str">
        <f t="shared" si="5"/>
        <v/>
      </c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ht="15.75" customHeight="1">
      <c r="A115" s="55" t="str">
        <f>Grinders!A115</f>
        <v/>
      </c>
      <c r="B115" s="55" t="str">
        <f>Grinders!B115</f>
        <v/>
      </c>
      <c r="C115" s="55" t="str">
        <f>Grinders!C115</f>
        <v/>
      </c>
      <c r="D115" s="55" t="str">
        <f>Grinders!E115</f>
        <v/>
      </c>
      <c r="E115" s="55" t="str">
        <f>Grinders!D115</f>
        <v/>
      </c>
      <c r="F115" s="55" t="str">
        <f>Grinders!F115</f>
        <v/>
      </c>
      <c r="G115" s="55" t="str">
        <f>Grinders!H115</f>
        <v/>
      </c>
      <c r="H115" s="55" t="str">
        <f>Grinders!I115</f>
        <v/>
      </c>
      <c r="I115" s="55" t="str">
        <f t="shared" si="1"/>
        <v/>
      </c>
      <c r="J115" s="55" t="str">
        <f t="shared" si="2"/>
        <v/>
      </c>
      <c r="K115" s="55" t="str">
        <f t="shared" si="3"/>
        <v/>
      </c>
      <c r="L115" s="55" t="str">
        <f t="shared" si="4"/>
        <v/>
      </c>
      <c r="M115" s="55" t="str">
        <f t="shared" si="5"/>
        <v/>
      </c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ht="15.75" customHeight="1">
      <c r="A116" s="55" t="str">
        <f>Grinders!A116</f>
        <v/>
      </c>
      <c r="B116" s="55" t="str">
        <f>Grinders!B116</f>
        <v/>
      </c>
      <c r="C116" s="55" t="str">
        <f>Grinders!C116</f>
        <v/>
      </c>
      <c r="D116" s="55" t="str">
        <f>Grinders!E116</f>
        <v/>
      </c>
      <c r="E116" s="55" t="str">
        <f>Grinders!D116</f>
        <v/>
      </c>
      <c r="F116" s="55" t="str">
        <f>Grinders!F116</f>
        <v/>
      </c>
      <c r="G116" s="55" t="str">
        <f>Grinders!H116</f>
        <v/>
      </c>
      <c r="H116" s="55" t="str">
        <f>Grinders!I116</f>
        <v/>
      </c>
      <c r="I116" s="55" t="str">
        <f t="shared" si="1"/>
        <v/>
      </c>
      <c r="J116" s="55" t="str">
        <f t="shared" si="2"/>
        <v/>
      </c>
      <c r="K116" s="55" t="str">
        <f t="shared" si="3"/>
        <v/>
      </c>
      <c r="L116" s="55" t="str">
        <f t="shared" si="4"/>
        <v/>
      </c>
      <c r="M116" s="55" t="str">
        <f t="shared" si="5"/>
        <v/>
      </c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ht="15.75" customHeight="1">
      <c r="A117" s="55" t="str">
        <f>Grinders!A117</f>
        <v/>
      </c>
      <c r="B117" s="55" t="str">
        <f>Grinders!B117</f>
        <v/>
      </c>
      <c r="C117" s="55" t="str">
        <f>Grinders!C117</f>
        <v/>
      </c>
      <c r="D117" s="55" t="str">
        <f>Grinders!E117</f>
        <v/>
      </c>
      <c r="E117" s="55" t="str">
        <f>Grinders!D117</f>
        <v/>
      </c>
      <c r="F117" s="55" t="str">
        <f>Grinders!F117</f>
        <v/>
      </c>
      <c r="G117" s="55" t="str">
        <f>Grinders!H117</f>
        <v/>
      </c>
      <c r="H117" s="55" t="str">
        <f>Grinders!I117</f>
        <v/>
      </c>
      <c r="I117" s="55" t="str">
        <f t="shared" si="1"/>
        <v/>
      </c>
      <c r="J117" s="55" t="str">
        <f t="shared" si="2"/>
        <v/>
      </c>
      <c r="K117" s="55" t="str">
        <f t="shared" si="3"/>
        <v/>
      </c>
      <c r="L117" s="55" t="str">
        <f t="shared" si="4"/>
        <v/>
      </c>
      <c r="M117" s="55" t="str">
        <f t="shared" si="5"/>
        <v/>
      </c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ht="15.75" customHeight="1">
      <c r="A118" s="55" t="str">
        <f>Grinders!A118</f>
        <v/>
      </c>
      <c r="B118" s="55" t="str">
        <f>Grinders!B118</f>
        <v/>
      </c>
      <c r="C118" s="55" t="str">
        <f>Grinders!C118</f>
        <v/>
      </c>
      <c r="D118" s="55" t="str">
        <f>Grinders!E118</f>
        <v/>
      </c>
      <c r="E118" s="55" t="str">
        <f>Grinders!D118</f>
        <v/>
      </c>
      <c r="F118" s="55" t="str">
        <f>Grinders!F118</f>
        <v/>
      </c>
      <c r="G118" s="55" t="str">
        <f>Grinders!H118</f>
        <v/>
      </c>
      <c r="H118" s="55" t="str">
        <f>Grinders!I118</f>
        <v/>
      </c>
      <c r="I118" s="55" t="str">
        <f t="shared" si="1"/>
        <v/>
      </c>
      <c r="J118" s="55" t="str">
        <f t="shared" si="2"/>
        <v/>
      </c>
      <c r="K118" s="55" t="str">
        <f t="shared" si="3"/>
        <v/>
      </c>
      <c r="L118" s="55" t="str">
        <f t="shared" si="4"/>
        <v/>
      </c>
      <c r="M118" s="55" t="str">
        <f t="shared" si="5"/>
        <v/>
      </c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ht="15.75" customHeight="1">
      <c r="A119" s="55" t="str">
        <f>Grinders!A119</f>
        <v/>
      </c>
      <c r="B119" s="55" t="str">
        <f>Grinders!B119</f>
        <v/>
      </c>
      <c r="C119" s="55" t="str">
        <f>Grinders!C119</f>
        <v/>
      </c>
      <c r="D119" s="55" t="str">
        <f>Grinders!E119</f>
        <v/>
      </c>
      <c r="E119" s="55" t="str">
        <f>Grinders!D119</f>
        <v/>
      </c>
      <c r="F119" s="55" t="str">
        <f>Grinders!F119</f>
        <v/>
      </c>
      <c r="G119" s="55" t="str">
        <f>Grinders!H119</f>
        <v/>
      </c>
      <c r="H119" s="55" t="str">
        <f>Grinders!I119</f>
        <v/>
      </c>
      <c r="I119" s="55" t="str">
        <f t="shared" si="1"/>
        <v/>
      </c>
      <c r="J119" s="55" t="str">
        <f t="shared" si="2"/>
        <v/>
      </c>
      <c r="K119" s="55" t="str">
        <f t="shared" si="3"/>
        <v/>
      </c>
      <c r="L119" s="55" t="str">
        <f t="shared" si="4"/>
        <v/>
      </c>
      <c r="M119" s="55" t="str">
        <f t="shared" si="5"/>
        <v/>
      </c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ht="15.75" customHeight="1">
      <c r="A120" s="55" t="str">
        <f>Grinders!A120</f>
        <v/>
      </c>
      <c r="B120" s="55" t="str">
        <f>Grinders!B120</f>
        <v/>
      </c>
      <c r="C120" s="55" t="str">
        <f>Grinders!C120</f>
        <v/>
      </c>
      <c r="D120" s="55" t="str">
        <f>Grinders!E120</f>
        <v/>
      </c>
      <c r="E120" s="55" t="str">
        <f>Grinders!D120</f>
        <v/>
      </c>
      <c r="F120" s="55" t="str">
        <f>Grinders!F120</f>
        <v/>
      </c>
      <c r="G120" s="55" t="str">
        <f>Grinders!H120</f>
        <v/>
      </c>
      <c r="H120" s="55" t="str">
        <f>Grinders!I120</f>
        <v/>
      </c>
      <c r="I120" s="55" t="str">
        <f t="shared" si="1"/>
        <v/>
      </c>
      <c r="J120" s="55" t="str">
        <f t="shared" si="2"/>
        <v/>
      </c>
      <c r="K120" s="55" t="str">
        <f t="shared" si="3"/>
        <v/>
      </c>
      <c r="L120" s="55" t="str">
        <f t="shared" si="4"/>
        <v/>
      </c>
      <c r="M120" s="55" t="str">
        <f t="shared" si="5"/>
        <v/>
      </c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ht="15.75" customHeight="1">
      <c r="A121" s="55" t="str">
        <f>Grinders!A121</f>
        <v/>
      </c>
      <c r="B121" s="55" t="str">
        <f>Grinders!B121</f>
        <v/>
      </c>
      <c r="C121" s="55" t="str">
        <f>Grinders!C121</f>
        <v/>
      </c>
      <c r="D121" s="55" t="str">
        <f>Grinders!E121</f>
        <v/>
      </c>
      <c r="E121" s="55" t="str">
        <f>Grinders!D121</f>
        <v/>
      </c>
      <c r="F121" s="55" t="str">
        <f>Grinders!F121</f>
        <v/>
      </c>
      <c r="G121" s="55" t="str">
        <f>Grinders!H121</f>
        <v/>
      </c>
      <c r="H121" s="55" t="str">
        <f>Grinders!I121</f>
        <v/>
      </c>
      <c r="I121" s="55" t="str">
        <f t="shared" si="1"/>
        <v/>
      </c>
      <c r="J121" s="55" t="str">
        <f t="shared" si="2"/>
        <v/>
      </c>
      <c r="K121" s="55" t="str">
        <f t="shared" si="3"/>
        <v/>
      </c>
      <c r="L121" s="55" t="str">
        <f t="shared" si="4"/>
        <v/>
      </c>
      <c r="M121" s="55" t="str">
        <f t="shared" si="5"/>
        <v/>
      </c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ht="15.75" customHeight="1">
      <c r="A122" s="55" t="str">
        <f>Grinders!A122</f>
        <v/>
      </c>
      <c r="B122" s="55" t="str">
        <f>Grinders!B122</f>
        <v/>
      </c>
      <c r="C122" s="55" t="str">
        <f>Grinders!C122</f>
        <v/>
      </c>
      <c r="D122" s="55" t="str">
        <f>Grinders!E122</f>
        <v/>
      </c>
      <c r="E122" s="55" t="str">
        <f>Grinders!D122</f>
        <v/>
      </c>
      <c r="F122" s="55" t="str">
        <f>Grinders!F122</f>
        <v/>
      </c>
      <c r="G122" s="55" t="str">
        <f>Grinders!H122</f>
        <v/>
      </c>
      <c r="H122" s="55" t="str">
        <f>Grinders!I122</f>
        <v/>
      </c>
      <c r="I122" s="55" t="str">
        <f t="shared" si="1"/>
        <v/>
      </c>
      <c r="J122" s="55" t="str">
        <f t="shared" si="2"/>
        <v/>
      </c>
      <c r="K122" s="55" t="str">
        <f t="shared" si="3"/>
        <v/>
      </c>
      <c r="L122" s="55" t="str">
        <f t="shared" si="4"/>
        <v/>
      </c>
      <c r="M122" s="55" t="str">
        <f t="shared" si="5"/>
        <v/>
      </c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ht="15.75" customHeight="1">
      <c r="A123" s="55" t="str">
        <f>Grinders!A123</f>
        <v/>
      </c>
      <c r="B123" s="55" t="str">
        <f>Grinders!B123</f>
        <v/>
      </c>
      <c r="C123" s="55" t="str">
        <f>Grinders!C123</f>
        <v/>
      </c>
      <c r="D123" s="55" t="str">
        <f>Grinders!E123</f>
        <v/>
      </c>
      <c r="E123" s="55" t="str">
        <f>Grinders!D123</f>
        <v/>
      </c>
      <c r="F123" s="55" t="str">
        <f>Grinders!F123</f>
        <v/>
      </c>
      <c r="G123" s="55" t="str">
        <f>Grinders!H123</f>
        <v/>
      </c>
      <c r="H123" s="55" t="str">
        <f>Grinders!I123</f>
        <v/>
      </c>
      <c r="I123" s="55" t="str">
        <f t="shared" si="1"/>
        <v/>
      </c>
      <c r="J123" s="55" t="str">
        <f t="shared" si="2"/>
        <v/>
      </c>
      <c r="K123" s="55" t="str">
        <f t="shared" si="3"/>
        <v/>
      </c>
      <c r="L123" s="55" t="str">
        <f t="shared" si="4"/>
        <v/>
      </c>
      <c r="M123" s="55" t="str">
        <f t="shared" si="5"/>
        <v/>
      </c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ht="15.75" customHeight="1">
      <c r="A124" s="55" t="str">
        <f>Grinders!A124</f>
        <v/>
      </c>
      <c r="B124" s="55" t="str">
        <f>Grinders!B124</f>
        <v/>
      </c>
      <c r="C124" s="55" t="str">
        <f>Grinders!C124</f>
        <v/>
      </c>
      <c r="D124" s="55" t="str">
        <f>Grinders!E124</f>
        <v/>
      </c>
      <c r="E124" s="55" t="str">
        <f>Grinders!D124</f>
        <v/>
      </c>
      <c r="F124" s="55" t="str">
        <f>Grinders!F124</f>
        <v/>
      </c>
      <c r="G124" s="55" t="str">
        <f>Grinders!H124</f>
        <v/>
      </c>
      <c r="H124" s="55" t="str">
        <f>Grinders!I124</f>
        <v/>
      </c>
      <c r="I124" s="55" t="str">
        <f t="shared" si="1"/>
        <v/>
      </c>
      <c r="J124" s="55" t="str">
        <f t="shared" si="2"/>
        <v/>
      </c>
      <c r="K124" s="55" t="str">
        <f t="shared" si="3"/>
        <v/>
      </c>
      <c r="L124" s="55" t="str">
        <f t="shared" si="4"/>
        <v/>
      </c>
      <c r="M124" s="55" t="str">
        <f t="shared" si="5"/>
        <v/>
      </c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ht="15.75" customHeight="1">
      <c r="A125" s="55" t="str">
        <f>Grinders!A125</f>
        <v/>
      </c>
      <c r="B125" s="55" t="str">
        <f>Grinders!B125</f>
        <v/>
      </c>
      <c r="C125" s="55" t="str">
        <f>Grinders!C125</f>
        <v/>
      </c>
      <c r="D125" s="55" t="str">
        <f>Grinders!E125</f>
        <v/>
      </c>
      <c r="E125" s="55" t="str">
        <f>Grinders!D125</f>
        <v/>
      </c>
      <c r="F125" s="55" t="str">
        <f>Grinders!F125</f>
        <v/>
      </c>
      <c r="G125" s="55" t="str">
        <f>Grinders!H125</f>
        <v/>
      </c>
      <c r="H125" s="55" t="str">
        <f>Grinders!I125</f>
        <v/>
      </c>
      <c r="I125" s="55" t="str">
        <f t="shared" si="1"/>
        <v/>
      </c>
      <c r="J125" s="55" t="str">
        <f t="shared" si="2"/>
        <v/>
      </c>
      <c r="K125" s="55" t="str">
        <f t="shared" si="3"/>
        <v/>
      </c>
      <c r="L125" s="55" t="str">
        <f t="shared" si="4"/>
        <v/>
      </c>
      <c r="M125" s="55" t="str">
        <f t="shared" si="5"/>
        <v/>
      </c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ht="15.75" customHeight="1">
      <c r="A126" s="55" t="str">
        <f>Grinders!A126</f>
        <v/>
      </c>
      <c r="B126" s="55" t="str">
        <f>Grinders!B126</f>
        <v/>
      </c>
      <c r="C126" s="55" t="str">
        <f>Grinders!C126</f>
        <v/>
      </c>
      <c r="D126" s="55" t="str">
        <f>Grinders!E126</f>
        <v/>
      </c>
      <c r="E126" s="55" t="str">
        <f>Grinders!D126</f>
        <v/>
      </c>
      <c r="F126" s="55" t="str">
        <f>Grinders!F126</f>
        <v/>
      </c>
      <c r="G126" s="55" t="str">
        <f>Grinders!H126</f>
        <v/>
      </c>
      <c r="H126" s="55" t="str">
        <f>Grinders!I126</f>
        <v/>
      </c>
      <c r="I126" s="55" t="str">
        <f t="shared" si="1"/>
        <v/>
      </c>
      <c r="J126" s="55" t="str">
        <f t="shared" si="2"/>
        <v/>
      </c>
      <c r="K126" s="55" t="str">
        <f t="shared" si="3"/>
        <v/>
      </c>
      <c r="L126" s="55" t="str">
        <f t="shared" si="4"/>
        <v/>
      </c>
      <c r="M126" s="55" t="str">
        <f t="shared" si="5"/>
        <v/>
      </c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ht="15.75" customHeight="1">
      <c r="A127" s="55" t="str">
        <f>Grinders!A127</f>
        <v/>
      </c>
      <c r="B127" s="55" t="str">
        <f>Grinders!B127</f>
        <v/>
      </c>
      <c r="C127" s="55" t="str">
        <f>Grinders!C127</f>
        <v/>
      </c>
      <c r="D127" s="55" t="str">
        <f>Grinders!E127</f>
        <v/>
      </c>
      <c r="E127" s="55" t="str">
        <f>Grinders!D127</f>
        <v/>
      </c>
      <c r="F127" s="55" t="str">
        <f>Grinders!F127</f>
        <v/>
      </c>
      <c r="G127" s="55" t="str">
        <f>Grinders!H127</f>
        <v/>
      </c>
      <c r="H127" s="55" t="str">
        <f>Grinders!I127</f>
        <v/>
      </c>
      <c r="I127" s="55" t="str">
        <f t="shared" si="1"/>
        <v/>
      </c>
      <c r="J127" s="55" t="str">
        <f t="shared" si="2"/>
        <v/>
      </c>
      <c r="K127" s="55" t="str">
        <f t="shared" si="3"/>
        <v/>
      </c>
      <c r="L127" s="55" t="str">
        <f t="shared" si="4"/>
        <v/>
      </c>
      <c r="M127" s="55" t="str">
        <f t="shared" si="5"/>
        <v/>
      </c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ht="15.75" customHeight="1">
      <c r="A128" s="55" t="str">
        <f>Grinders!A128</f>
        <v/>
      </c>
      <c r="B128" s="55" t="str">
        <f>Grinders!B128</f>
        <v/>
      </c>
      <c r="C128" s="55" t="str">
        <f>Grinders!C128</f>
        <v/>
      </c>
      <c r="D128" s="55" t="str">
        <f>Grinders!E128</f>
        <v/>
      </c>
      <c r="E128" s="55" t="str">
        <f>Grinders!D128</f>
        <v/>
      </c>
      <c r="F128" s="55" t="str">
        <f>Grinders!F128</f>
        <v/>
      </c>
      <c r="G128" s="55" t="str">
        <f>Grinders!H128</f>
        <v/>
      </c>
      <c r="H128" s="55" t="str">
        <f>Grinders!I128</f>
        <v/>
      </c>
      <c r="I128" s="55" t="str">
        <f t="shared" si="1"/>
        <v/>
      </c>
      <c r="J128" s="55" t="str">
        <f t="shared" si="2"/>
        <v/>
      </c>
      <c r="K128" s="55" t="str">
        <f t="shared" si="3"/>
        <v/>
      </c>
      <c r="L128" s="55" t="str">
        <f t="shared" si="4"/>
        <v/>
      </c>
      <c r="M128" s="55" t="str">
        <f t="shared" si="5"/>
        <v/>
      </c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ht="15.75" customHeight="1">
      <c r="A129" s="55" t="str">
        <f>Grinders!A129</f>
        <v/>
      </c>
      <c r="B129" s="55" t="str">
        <f>Grinders!B129</f>
        <v/>
      </c>
      <c r="C129" s="55" t="str">
        <f>Grinders!C129</f>
        <v/>
      </c>
      <c r="D129" s="55" t="str">
        <f>Grinders!E129</f>
        <v/>
      </c>
      <c r="E129" s="55" t="str">
        <f>Grinders!D129</f>
        <v/>
      </c>
      <c r="F129" s="55" t="str">
        <f>Grinders!F129</f>
        <v/>
      </c>
      <c r="G129" s="55" t="str">
        <f>Grinders!H129</f>
        <v/>
      </c>
      <c r="H129" s="55" t="str">
        <f>Grinders!I129</f>
        <v/>
      </c>
      <c r="I129" s="55" t="str">
        <f t="shared" si="1"/>
        <v/>
      </c>
      <c r="J129" s="55" t="str">
        <f t="shared" si="2"/>
        <v/>
      </c>
      <c r="K129" s="55" t="str">
        <f t="shared" si="3"/>
        <v/>
      </c>
      <c r="L129" s="55" t="str">
        <f t="shared" si="4"/>
        <v/>
      </c>
      <c r="M129" s="55" t="str">
        <f t="shared" si="5"/>
        <v/>
      </c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ht="15.75" customHeight="1">
      <c r="A130" s="55" t="str">
        <f>Grinders!A130</f>
        <v/>
      </c>
      <c r="B130" s="55" t="str">
        <f>Grinders!B130</f>
        <v/>
      </c>
      <c r="C130" s="55" t="str">
        <f>Grinders!C130</f>
        <v/>
      </c>
      <c r="D130" s="55" t="str">
        <f>Grinders!E130</f>
        <v/>
      </c>
      <c r="E130" s="55" t="str">
        <f>Grinders!D130</f>
        <v/>
      </c>
      <c r="F130" s="55" t="str">
        <f>Grinders!F130</f>
        <v/>
      </c>
      <c r="G130" s="55" t="str">
        <f>Grinders!H130</f>
        <v/>
      </c>
      <c r="H130" s="55" t="str">
        <f>Grinders!I130</f>
        <v/>
      </c>
      <c r="I130" s="55" t="str">
        <f t="shared" si="1"/>
        <v/>
      </c>
      <c r="J130" s="55" t="str">
        <f t="shared" si="2"/>
        <v/>
      </c>
      <c r="K130" s="55" t="str">
        <f t="shared" si="3"/>
        <v/>
      </c>
      <c r="L130" s="55" t="str">
        <f t="shared" si="4"/>
        <v/>
      </c>
      <c r="M130" s="55" t="str">
        <f t="shared" si="5"/>
        <v/>
      </c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ht="15.75" customHeight="1">
      <c r="A131" s="55" t="str">
        <f>Grinders!A131</f>
        <v/>
      </c>
      <c r="B131" s="55" t="str">
        <f>Grinders!B131</f>
        <v/>
      </c>
      <c r="C131" s="55" t="str">
        <f>Grinders!C131</f>
        <v/>
      </c>
      <c r="D131" s="55" t="str">
        <f>Grinders!E131</f>
        <v/>
      </c>
      <c r="E131" s="55" t="str">
        <f>Grinders!D131</f>
        <v/>
      </c>
      <c r="F131" s="55" t="str">
        <f>Grinders!F131</f>
        <v/>
      </c>
      <c r="G131" s="55" t="str">
        <f>Grinders!H131</f>
        <v/>
      </c>
      <c r="H131" s="55" t="str">
        <f>Grinders!I131</f>
        <v/>
      </c>
      <c r="I131" s="55" t="str">
        <f t="shared" si="1"/>
        <v/>
      </c>
      <c r="J131" s="55" t="str">
        <f t="shared" si="2"/>
        <v/>
      </c>
      <c r="K131" s="55" t="str">
        <f t="shared" si="3"/>
        <v/>
      </c>
      <c r="L131" s="55" t="str">
        <f t="shared" si="4"/>
        <v/>
      </c>
      <c r="M131" s="55" t="str">
        <f t="shared" si="5"/>
        <v/>
      </c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ht="15.75" customHeight="1">
      <c r="A132" s="55" t="str">
        <f>Grinders!A132</f>
        <v/>
      </c>
      <c r="B132" s="55" t="str">
        <f>Grinders!B132</f>
        <v/>
      </c>
      <c r="C132" s="55" t="str">
        <f>Grinders!C132</f>
        <v/>
      </c>
      <c r="D132" s="55" t="str">
        <f>Grinders!E132</f>
        <v/>
      </c>
      <c r="E132" s="55" t="str">
        <f>Grinders!D132</f>
        <v/>
      </c>
      <c r="F132" s="55" t="str">
        <f>Grinders!F132</f>
        <v/>
      </c>
      <c r="G132" s="55" t="str">
        <f>Grinders!H132</f>
        <v/>
      </c>
      <c r="H132" s="55" t="str">
        <f>Grinders!I132</f>
        <v/>
      </c>
      <c r="I132" s="55" t="str">
        <f t="shared" si="1"/>
        <v/>
      </c>
      <c r="J132" s="55" t="str">
        <f t="shared" si="2"/>
        <v/>
      </c>
      <c r="K132" s="55" t="str">
        <f t="shared" si="3"/>
        <v/>
      </c>
      <c r="L132" s="55" t="str">
        <f t="shared" si="4"/>
        <v/>
      </c>
      <c r="M132" s="55" t="str">
        <f t="shared" si="5"/>
        <v/>
      </c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ht="15.75" customHeight="1">
      <c r="A133" s="55" t="str">
        <f>Grinders!A133</f>
        <v/>
      </c>
      <c r="B133" s="55" t="str">
        <f>Grinders!B133</f>
        <v/>
      </c>
      <c r="C133" s="55" t="str">
        <f>Grinders!C133</f>
        <v/>
      </c>
      <c r="D133" s="55" t="str">
        <f>Grinders!E133</f>
        <v/>
      </c>
      <c r="E133" s="55" t="str">
        <f>Grinders!D133</f>
        <v/>
      </c>
      <c r="F133" s="55" t="str">
        <f>Grinders!F133</f>
        <v/>
      </c>
      <c r="G133" s="55" t="str">
        <f>Grinders!H133</f>
        <v/>
      </c>
      <c r="H133" s="55" t="str">
        <f>Grinders!I133</f>
        <v/>
      </c>
      <c r="I133" s="55" t="str">
        <f t="shared" si="1"/>
        <v/>
      </c>
      <c r="J133" s="55" t="str">
        <f t="shared" si="2"/>
        <v/>
      </c>
      <c r="K133" s="55" t="str">
        <f t="shared" si="3"/>
        <v/>
      </c>
      <c r="L133" s="55" t="str">
        <f t="shared" si="4"/>
        <v/>
      </c>
      <c r="M133" s="55" t="str">
        <f t="shared" si="5"/>
        <v/>
      </c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ht="15.75" customHeight="1">
      <c r="A134" s="55" t="str">
        <f>Grinders!A134</f>
        <v/>
      </c>
      <c r="B134" s="55" t="str">
        <f>Grinders!B134</f>
        <v/>
      </c>
      <c r="C134" s="55" t="str">
        <f>Grinders!C134</f>
        <v/>
      </c>
      <c r="D134" s="55" t="str">
        <f>Grinders!E134</f>
        <v/>
      </c>
      <c r="E134" s="55" t="str">
        <f>Grinders!D134</f>
        <v/>
      </c>
      <c r="F134" s="55" t="str">
        <f>Grinders!F134</f>
        <v/>
      </c>
      <c r="G134" s="55" t="str">
        <f>Grinders!H134</f>
        <v/>
      </c>
      <c r="H134" s="55" t="str">
        <f>Grinders!I134</f>
        <v/>
      </c>
      <c r="I134" s="55" t="str">
        <f t="shared" si="1"/>
        <v/>
      </c>
      <c r="J134" s="55" t="str">
        <f t="shared" si="2"/>
        <v/>
      </c>
      <c r="K134" s="55" t="str">
        <f t="shared" si="3"/>
        <v/>
      </c>
      <c r="L134" s="55" t="str">
        <f t="shared" si="4"/>
        <v/>
      </c>
      <c r="M134" s="55" t="str">
        <f t="shared" si="5"/>
        <v/>
      </c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ht="15.75" customHeight="1">
      <c r="A135" s="55" t="str">
        <f>Grinders!A135</f>
        <v/>
      </c>
      <c r="B135" s="55" t="str">
        <f>Grinders!B135</f>
        <v/>
      </c>
      <c r="C135" s="55" t="str">
        <f>Grinders!C135</f>
        <v/>
      </c>
      <c r="D135" s="55" t="str">
        <f>Grinders!E135</f>
        <v/>
      </c>
      <c r="E135" s="55" t="str">
        <f>Grinders!D135</f>
        <v/>
      </c>
      <c r="F135" s="55" t="str">
        <f>Grinders!F135</f>
        <v/>
      </c>
      <c r="G135" s="55" t="str">
        <f>Grinders!H135</f>
        <v/>
      </c>
      <c r="H135" s="55" t="str">
        <f>Grinders!I135</f>
        <v/>
      </c>
      <c r="I135" s="55" t="str">
        <f t="shared" si="1"/>
        <v/>
      </c>
      <c r="J135" s="55" t="str">
        <f t="shared" si="2"/>
        <v/>
      </c>
      <c r="K135" s="55" t="str">
        <f t="shared" si="3"/>
        <v/>
      </c>
      <c r="L135" s="55" t="str">
        <f t="shared" si="4"/>
        <v/>
      </c>
      <c r="M135" s="55" t="str">
        <f t="shared" si="5"/>
        <v/>
      </c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ht="15.75" customHeight="1">
      <c r="A136" s="55" t="str">
        <f>Grinders!A136</f>
        <v/>
      </c>
      <c r="B136" s="55" t="str">
        <f>Grinders!B136</f>
        <v/>
      </c>
      <c r="C136" s="55" t="str">
        <f>Grinders!C136</f>
        <v/>
      </c>
      <c r="D136" s="55" t="str">
        <f>Grinders!E136</f>
        <v/>
      </c>
      <c r="E136" s="55" t="str">
        <f>Grinders!D136</f>
        <v/>
      </c>
      <c r="F136" s="55" t="str">
        <f>Grinders!F136</f>
        <v/>
      </c>
      <c r="G136" s="55" t="str">
        <f>Grinders!H136</f>
        <v/>
      </c>
      <c r="H136" s="55" t="str">
        <f>Grinders!I136</f>
        <v/>
      </c>
      <c r="I136" s="55" t="str">
        <f t="shared" si="1"/>
        <v/>
      </c>
      <c r="J136" s="55" t="str">
        <f t="shared" si="2"/>
        <v/>
      </c>
      <c r="K136" s="55" t="str">
        <f t="shared" si="3"/>
        <v/>
      </c>
      <c r="L136" s="55" t="str">
        <f t="shared" si="4"/>
        <v/>
      </c>
      <c r="M136" s="55" t="str">
        <f t="shared" si="5"/>
        <v/>
      </c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ht="15.75" customHeight="1">
      <c r="A137" s="55" t="str">
        <f>Grinders!A137</f>
        <v/>
      </c>
      <c r="B137" s="55" t="str">
        <f>Grinders!B137</f>
        <v/>
      </c>
      <c r="C137" s="55" t="str">
        <f>Grinders!C137</f>
        <v/>
      </c>
      <c r="D137" s="55" t="str">
        <f>Grinders!E137</f>
        <v/>
      </c>
      <c r="E137" s="55" t="str">
        <f>Grinders!D137</f>
        <v/>
      </c>
      <c r="F137" s="55" t="str">
        <f>Grinders!F137</f>
        <v/>
      </c>
      <c r="G137" s="55" t="str">
        <f>Grinders!H137</f>
        <v/>
      </c>
      <c r="H137" s="55" t="str">
        <f>Grinders!I137</f>
        <v/>
      </c>
      <c r="I137" s="55" t="str">
        <f t="shared" si="1"/>
        <v/>
      </c>
      <c r="J137" s="55" t="str">
        <f t="shared" si="2"/>
        <v/>
      </c>
      <c r="K137" s="55" t="str">
        <f t="shared" si="3"/>
        <v/>
      </c>
      <c r="L137" s="55" t="str">
        <f t="shared" si="4"/>
        <v/>
      </c>
      <c r="M137" s="55" t="str">
        <f t="shared" si="5"/>
        <v/>
      </c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ht="15.75" customHeight="1">
      <c r="A138" s="55" t="str">
        <f>Grinders!A138</f>
        <v/>
      </c>
      <c r="B138" s="55" t="str">
        <f>Grinders!B138</f>
        <v/>
      </c>
      <c r="C138" s="55" t="str">
        <f>Grinders!C138</f>
        <v/>
      </c>
      <c r="D138" s="55" t="str">
        <f>Grinders!E138</f>
        <v/>
      </c>
      <c r="E138" s="55" t="str">
        <f>Grinders!D138</f>
        <v/>
      </c>
      <c r="F138" s="55" t="str">
        <f>Grinders!F138</f>
        <v/>
      </c>
      <c r="G138" s="55" t="str">
        <f>Grinders!H138</f>
        <v/>
      </c>
      <c r="H138" s="55" t="str">
        <f>Grinders!I138</f>
        <v/>
      </c>
      <c r="I138" s="55" t="str">
        <f t="shared" si="1"/>
        <v/>
      </c>
      <c r="J138" s="55" t="str">
        <f t="shared" si="2"/>
        <v/>
      </c>
      <c r="K138" s="55" t="str">
        <f t="shared" si="3"/>
        <v/>
      </c>
      <c r="L138" s="55" t="str">
        <f t="shared" si="4"/>
        <v/>
      </c>
      <c r="M138" s="55" t="str">
        <f t="shared" si="5"/>
        <v/>
      </c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ht="15.75" customHeight="1">
      <c r="A139" s="55" t="str">
        <f>Grinders!A139</f>
        <v/>
      </c>
      <c r="B139" s="55" t="str">
        <f>Grinders!B139</f>
        <v/>
      </c>
      <c r="C139" s="55" t="str">
        <f>Grinders!C139</f>
        <v/>
      </c>
      <c r="D139" s="55" t="str">
        <f>Grinders!E139</f>
        <v/>
      </c>
      <c r="E139" s="55" t="str">
        <f>Grinders!D139</f>
        <v/>
      </c>
      <c r="F139" s="55" t="str">
        <f>Grinders!F139</f>
        <v/>
      </c>
      <c r="G139" s="55" t="str">
        <f>Grinders!H139</f>
        <v/>
      </c>
      <c r="H139" s="55" t="str">
        <f>Grinders!I139</f>
        <v/>
      </c>
      <c r="I139" s="55" t="str">
        <f t="shared" si="1"/>
        <v/>
      </c>
      <c r="J139" s="55" t="str">
        <f t="shared" si="2"/>
        <v/>
      </c>
      <c r="K139" s="55" t="str">
        <f t="shared" si="3"/>
        <v/>
      </c>
      <c r="L139" s="55" t="str">
        <f t="shared" si="4"/>
        <v/>
      </c>
      <c r="M139" s="55" t="str">
        <f t="shared" si="5"/>
        <v/>
      </c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ht="15.75" customHeight="1">
      <c r="A140" s="55" t="str">
        <f>Grinders!A140</f>
        <v/>
      </c>
      <c r="B140" s="55" t="str">
        <f>Grinders!B140</f>
        <v/>
      </c>
      <c r="C140" s="55" t="str">
        <f>Grinders!C140</f>
        <v/>
      </c>
      <c r="D140" s="55" t="str">
        <f>Grinders!E140</f>
        <v/>
      </c>
      <c r="E140" s="55" t="str">
        <f>Grinders!D140</f>
        <v/>
      </c>
      <c r="F140" s="55" t="str">
        <f>Grinders!F140</f>
        <v/>
      </c>
      <c r="G140" s="55" t="str">
        <f>Grinders!H140</f>
        <v/>
      </c>
      <c r="H140" s="55" t="str">
        <f>Grinders!I140</f>
        <v/>
      </c>
      <c r="I140" s="55" t="str">
        <f t="shared" si="1"/>
        <v/>
      </c>
      <c r="J140" s="55" t="str">
        <f t="shared" si="2"/>
        <v/>
      </c>
      <c r="K140" s="55" t="str">
        <f t="shared" si="3"/>
        <v/>
      </c>
      <c r="L140" s="55" t="str">
        <f t="shared" si="4"/>
        <v/>
      </c>
      <c r="M140" s="55" t="str">
        <f t="shared" si="5"/>
        <v/>
      </c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ht="15.75" customHeight="1">
      <c r="A141" s="55" t="str">
        <f>Grinders!A141</f>
        <v/>
      </c>
      <c r="B141" s="55" t="str">
        <f>Grinders!B141</f>
        <v/>
      </c>
      <c r="C141" s="55" t="str">
        <f>Grinders!C141</f>
        <v/>
      </c>
      <c r="D141" s="55" t="str">
        <f>Grinders!E141</f>
        <v/>
      </c>
      <c r="E141" s="55" t="str">
        <f>Grinders!D141</f>
        <v/>
      </c>
      <c r="F141" s="55" t="str">
        <f>Grinders!F141</f>
        <v/>
      </c>
      <c r="G141" s="55" t="str">
        <f>Grinders!H141</f>
        <v/>
      </c>
      <c r="H141" s="55" t="str">
        <f>Grinders!I141</f>
        <v/>
      </c>
      <c r="I141" s="55" t="str">
        <f t="shared" si="1"/>
        <v/>
      </c>
      <c r="J141" s="55" t="str">
        <f t="shared" si="2"/>
        <v/>
      </c>
      <c r="K141" s="55" t="str">
        <f t="shared" si="3"/>
        <v/>
      </c>
      <c r="L141" s="55" t="str">
        <f t="shared" si="4"/>
        <v/>
      </c>
      <c r="M141" s="55" t="str">
        <f t="shared" si="5"/>
        <v/>
      </c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ht="15.75" customHeight="1">
      <c r="A142" s="55" t="str">
        <f>Grinders!A142</f>
        <v/>
      </c>
      <c r="B142" s="55" t="str">
        <f>Grinders!B142</f>
        <v/>
      </c>
      <c r="C142" s="55" t="str">
        <f>Grinders!C142</f>
        <v/>
      </c>
      <c r="D142" s="55" t="str">
        <f>Grinders!E142</f>
        <v/>
      </c>
      <c r="E142" s="55" t="str">
        <f>Grinders!D142</f>
        <v/>
      </c>
      <c r="F142" s="55" t="str">
        <f>Grinders!F142</f>
        <v/>
      </c>
      <c r="G142" s="55" t="str">
        <f>Grinders!H142</f>
        <v/>
      </c>
      <c r="H142" s="55" t="str">
        <f>Grinders!I142</f>
        <v/>
      </c>
      <c r="I142" s="55" t="str">
        <f t="shared" si="1"/>
        <v/>
      </c>
      <c r="J142" s="55" t="str">
        <f t="shared" si="2"/>
        <v/>
      </c>
      <c r="K142" s="55" t="str">
        <f t="shared" si="3"/>
        <v/>
      </c>
      <c r="L142" s="55" t="str">
        <f t="shared" si="4"/>
        <v/>
      </c>
      <c r="M142" s="55" t="str">
        <f t="shared" si="5"/>
        <v/>
      </c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ht="15.75" customHeight="1">
      <c r="A143" s="55" t="str">
        <f>Grinders!A143</f>
        <v/>
      </c>
      <c r="B143" s="55" t="str">
        <f>Grinders!B143</f>
        <v/>
      </c>
      <c r="C143" s="55" t="str">
        <f>Grinders!C143</f>
        <v/>
      </c>
      <c r="D143" s="55" t="str">
        <f>Grinders!E143</f>
        <v/>
      </c>
      <c r="E143" s="55" t="str">
        <f>Grinders!D143</f>
        <v/>
      </c>
      <c r="F143" s="55" t="str">
        <f>Grinders!F143</f>
        <v/>
      </c>
      <c r="G143" s="55" t="str">
        <f>Grinders!H143</f>
        <v/>
      </c>
      <c r="H143" s="55" t="str">
        <f>Grinders!I143</f>
        <v/>
      </c>
      <c r="I143" s="55" t="str">
        <f t="shared" si="1"/>
        <v/>
      </c>
      <c r="J143" s="55" t="str">
        <f t="shared" si="2"/>
        <v/>
      </c>
      <c r="K143" s="55" t="str">
        <f t="shared" si="3"/>
        <v/>
      </c>
      <c r="L143" s="55" t="str">
        <f t="shared" si="4"/>
        <v/>
      </c>
      <c r="M143" s="55" t="str">
        <f t="shared" si="5"/>
        <v/>
      </c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ht="15.75" customHeight="1">
      <c r="A144" s="55" t="str">
        <f>Grinders!A144</f>
        <v/>
      </c>
      <c r="B144" s="55" t="str">
        <f>Grinders!B144</f>
        <v/>
      </c>
      <c r="C144" s="55" t="str">
        <f>Grinders!C144</f>
        <v/>
      </c>
      <c r="D144" s="55" t="str">
        <f>Grinders!E144</f>
        <v/>
      </c>
      <c r="E144" s="55" t="str">
        <f>Grinders!D144</f>
        <v/>
      </c>
      <c r="F144" s="55" t="str">
        <f>Grinders!F144</f>
        <v/>
      </c>
      <c r="G144" s="55" t="str">
        <f>Grinders!H144</f>
        <v/>
      </c>
      <c r="H144" s="55" t="str">
        <f>Grinders!I144</f>
        <v/>
      </c>
      <c r="I144" s="55" t="str">
        <f t="shared" si="1"/>
        <v/>
      </c>
      <c r="J144" s="55" t="str">
        <f t="shared" si="2"/>
        <v/>
      </c>
      <c r="K144" s="55" t="str">
        <f t="shared" si="3"/>
        <v/>
      </c>
      <c r="L144" s="55" t="str">
        <f t="shared" si="4"/>
        <v/>
      </c>
      <c r="M144" s="55" t="str">
        <f t="shared" si="5"/>
        <v/>
      </c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ht="15.75" customHeight="1">
      <c r="A145" s="55" t="str">
        <f>Grinders!A145</f>
        <v/>
      </c>
      <c r="B145" s="55" t="str">
        <f>Grinders!B145</f>
        <v/>
      </c>
      <c r="C145" s="55" t="str">
        <f>Grinders!C145</f>
        <v/>
      </c>
      <c r="D145" s="55" t="str">
        <f>Grinders!E145</f>
        <v/>
      </c>
      <c r="E145" s="55" t="str">
        <f>Grinders!D145</f>
        <v/>
      </c>
      <c r="F145" s="55" t="str">
        <f>Grinders!F145</f>
        <v/>
      </c>
      <c r="G145" s="55" t="str">
        <f>Grinders!H145</f>
        <v/>
      </c>
      <c r="H145" s="55" t="str">
        <f>Grinders!I145</f>
        <v/>
      </c>
      <c r="I145" s="55" t="str">
        <f t="shared" si="1"/>
        <v/>
      </c>
      <c r="J145" s="55" t="str">
        <f t="shared" si="2"/>
        <v/>
      </c>
      <c r="K145" s="55" t="str">
        <f t="shared" si="3"/>
        <v/>
      </c>
      <c r="L145" s="55" t="str">
        <f t="shared" si="4"/>
        <v/>
      </c>
      <c r="M145" s="55" t="str">
        <f t="shared" si="5"/>
        <v/>
      </c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ht="15.75" customHeight="1">
      <c r="A146" s="55" t="str">
        <f>Grinders!A146</f>
        <v/>
      </c>
      <c r="B146" s="55" t="str">
        <f>Grinders!B146</f>
        <v/>
      </c>
      <c r="C146" s="55" t="str">
        <f>Grinders!C146</f>
        <v/>
      </c>
      <c r="D146" s="55" t="str">
        <f>Grinders!E146</f>
        <v/>
      </c>
      <c r="E146" s="55" t="str">
        <f>Grinders!D146</f>
        <v/>
      </c>
      <c r="F146" s="55" t="str">
        <f>Grinders!F146</f>
        <v/>
      </c>
      <c r="G146" s="55" t="str">
        <f>Grinders!H146</f>
        <v/>
      </c>
      <c r="H146" s="55" t="str">
        <f>Grinders!I146</f>
        <v/>
      </c>
      <c r="I146" s="55" t="str">
        <f t="shared" si="1"/>
        <v/>
      </c>
      <c r="J146" s="55" t="str">
        <f t="shared" si="2"/>
        <v/>
      </c>
      <c r="K146" s="55" t="str">
        <f t="shared" si="3"/>
        <v/>
      </c>
      <c r="L146" s="55" t="str">
        <f t="shared" si="4"/>
        <v/>
      </c>
      <c r="M146" s="55" t="str">
        <f t="shared" si="5"/>
        <v/>
      </c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ht="15.75" customHeight="1">
      <c r="A147" s="55" t="str">
        <f>Grinders!A147</f>
        <v/>
      </c>
      <c r="B147" s="55" t="str">
        <f>Grinders!B147</f>
        <v/>
      </c>
      <c r="C147" s="55" t="str">
        <f>Grinders!C147</f>
        <v/>
      </c>
      <c r="D147" s="55" t="str">
        <f>Grinders!E147</f>
        <v/>
      </c>
      <c r="E147" s="55" t="str">
        <f>Grinders!D147</f>
        <v/>
      </c>
      <c r="F147" s="55" t="str">
        <f>Grinders!F147</f>
        <v/>
      </c>
      <c r="G147" s="55" t="str">
        <f>Grinders!H147</f>
        <v/>
      </c>
      <c r="H147" s="55" t="str">
        <f>Grinders!I147</f>
        <v/>
      </c>
      <c r="I147" s="55" t="str">
        <f t="shared" si="1"/>
        <v/>
      </c>
      <c r="J147" s="55" t="str">
        <f t="shared" si="2"/>
        <v/>
      </c>
      <c r="K147" s="55" t="str">
        <f t="shared" si="3"/>
        <v/>
      </c>
      <c r="L147" s="55" t="str">
        <f t="shared" si="4"/>
        <v/>
      </c>
      <c r="M147" s="55" t="str">
        <f t="shared" si="5"/>
        <v/>
      </c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ht="15.75" customHeight="1">
      <c r="A148" s="55" t="str">
        <f>Grinders!A148</f>
        <v/>
      </c>
      <c r="B148" s="55" t="str">
        <f>Grinders!B148</f>
        <v/>
      </c>
      <c r="C148" s="55" t="str">
        <f>Grinders!C148</f>
        <v/>
      </c>
      <c r="D148" s="55" t="str">
        <f>Grinders!E148</f>
        <v/>
      </c>
      <c r="E148" s="55" t="str">
        <f>Grinders!D148</f>
        <v/>
      </c>
      <c r="F148" s="55" t="str">
        <f>Grinders!F148</f>
        <v/>
      </c>
      <c r="G148" s="55" t="str">
        <f>Grinders!H148</f>
        <v/>
      </c>
      <c r="H148" s="55" t="str">
        <f>Grinders!I148</f>
        <v/>
      </c>
      <c r="I148" s="55" t="str">
        <f t="shared" si="1"/>
        <v/>
      </c>
      <c r="J148" s="55" t="str">
        <f t="shared" si="2"/>
        <v/>
      </c>
      <c r="K148" s="55" t="str">
        <f t="shared" si="3"/>
        <v/>
      </c>
      <c r="L148" s="55" t="str">
        <f t="shared" si="4"/>
        <v/>
      </c>
      <c r="M148" s="55" t="str">
        <f t="shared" si="5"/>
        <v/>
      </c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ht="15.75" customHeight="1">
      <c r="A149" s="55" t="str">
        <f>Grinders!A149</f>
        <v/>
      </c>
      <c r="B149" s="55" t="str">
        <f>Grinders!B149</f>
        <v/>
      </c>
      <c r="C149" s="55" t="str">
        <f>Grinders!C149</f>
        <v/>
      </c>
      <c r="D149" s="55" t="str">
        <f>Grinders!E149</f>
        <v/>
      </c>
      <c r="E149" s="55" t="str">
        <f>Grinders!D149</f>
        <v/>
      </c>
      <c r="F149" s="55" t="str">
        <f>Grinders!F149</f>
        <v/>
      </c>
      <c r="G149" s="55" t="str">
        <f>Grinders!H149</f>
        <v/>
      </c>
      <c r="H149" s="55" t="str">
        <f>Grinders!I149</f>
        <v/>
      </c>
      <c r="I149" s="55" t="str">
        <f t="shared" si="1"/>
        <v/>
      </c>
      <c r="J149" s="55" t="str">
        <f t="shared" si="2"/>
        <v/>
      </c>
      <c r="K149" s="55" t="str">
        <f t="shared" si="3"/>
        <v/>
      </c>
      <c r="L149" s="55" t="str">
        <f t="shared" si="4"/>
        <v/>
      </c>
      <c r="M149" s="55" t="str">
        <f t="shared" si="5"/>
        <v/>
      </c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ht="15.75" customHeight="1">
      <c r="A150" s="55" t="str">
        <f>Grinders!A150</f>
        <v/>
      </c>
      <c r="B150" s="55" t="str">
        <f>Grinders!B150</f>
        <v/>
      </c>
      <c r="C150" s="55" t="str">
        <f>Grinders!C150</f>
        <v/>
      </c>
      <c r="D150" s="55" t="str">
        <f>Grinders!E150</f>
        <v/>
      </c>
      <c r="E150" s="55" t="str">
        <f>Grinders!D150</f>
        <v/>
      </c>
      <c r="F150" s="55" t="str">
        <f>Grinders!F150</f>
        <v/>
      </c>
      <c r="G150" s="55" t="str">
        <f>Grinders!H150</f>
        <v/>
      </c>
      <c r="H150" s="55" t="str">
        <f>Grinders!I150</f>
        <v/>
      </c>
      <c r="I150" s="55" t="str">
        <f t="shared" si="1"/>
        <v/>
      </c>
      <c r="J150" s="55" t="str">
        <f t="shared" si="2"/>
        <v/>
      </c>
      <c r="K150" s="55" t="str">
        <f t="shared" si="3"/>
        <v/>
      </c>
      <c r="L150" s="55" t="str">
        <f t="shared" si="4"/>
        <v/>
      </c>
      <c r="M150" s="55" t="str">
        <f t="shared" si="5"/>
        <v/>
      </c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ht="15.75" customHeight="1">
      <c r="A151" s="55" t="str">
        <f>Grinders!A151</f>
        <v/>
      </c>
      <c r="B151" s="55" t="str">
        <f>Grinders!B151</f>
        <v/>
      </c>
      <c r="C151" s="55" t="str">
        <f>Grinders!C151</f>
        <v/>
      </c>
      <c r="D151" s="55" t="str">
        <f>Grinders!E151</f>
        <v/>
      </c>
      <c r="E151" s="55" t="str">
        <f>Grinders!D151</f>
        <v/>
      </c>
      <c r="F151" s="55" t="str">
        <f>Grinders!F151</f>
        <v/>
      </c>
      <c r="G151" s="55" t="str">
        <f>Grinders!H151</f>
        <v/>
      </c>
      <c r="H151" s="55" t="str">
        <f>Grinders!I151</f>
        <v/>
      </c>
      <c r="I151" s="55" t="str">
        <f t="shared" si="1"/>
        <v/>
      </c>
      <c r="J151" s="55" t="str">
        <f t="shared" si="2"/>
        <v/>
      </c>
      <c r="K151" s="55" t="str">
        <f t="shared" si="3"/>
        <v/>
      </c>
      <c r="L151" s="55" t="str">
        <f t="shared" si="4"/>
        <v/>
      </c>
      <c r="M151" s="55" t="str">
        <f t="shared" si="5"/>
        <v/>
      </c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ht="15.75" customHeight="1">
      <c r="A152" s="55" t="str">
        <f>Grinders!A152</f>
        <v/>
      </c>
      <c r="B152" s="55" t="str">
        <f>Grinders!B152</f>
        <v/>
      </c>
      <c r="C152" s="55" t="str">
        <f>Grinders!C152</f>
        <v/>
      </c>
      <c r="D152" s="55" t="str">
        <f>Grinders!E152</f>
        <v/>
      </c>
      <c r="E152" s="55" t="str">
        <f>Grinders!D152</f>
        <v/>
      </c>
      <c r="F152" s="55" t="str">
        <f>Grinders!F152</f>
        <v/>
      </c>
      <c r="G152" s="55" t="str">
        <f>Grinders!H152</f>
        <v/>
      </c>
      <c r="H152" s="55" t="str">
        <f>Grinders!I152</f>
        <v/>
      </c>
      <c r="I152" s="55" t="str">
        <f t="shared" si="1"/>
        <v/>
      </c>
      <c r="J152" s="55" t="str">
        <f t="shared" si="2"/>
        <v/>
      </c>
      <c r="K152" s="55" t="str">
        <f t="shared" si="3"/>
        <v/>
      </c>
      <c r="L152" s="55" t="str">
        <f t="shared" si="4"/>
        <v/>
      </c>
      <c r="M152" s="55" t="str">
        <f t="shared" si="5"/>
        <v/>
      </c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ht="15.75" customHeight="1">
      <c r="A153" s="55" t="str">
        <f>Grinders!A153</f>
        <v/>
      </c>
      <c r="B153" s="55" t="str">
        <f>Grinders!B153</f>
        <v/>
      </c>
      <c r="C153" s="55" t="str">
        <f>Grinders!C153</f>
        <v/>
      </c>
      <c r="D153" s="55" t="str">
        <f>Grinders!E153</f>
        <v/>
      </c>
      <c r="E153" s="55" t="str">
        <f>Grinders!D153</f>
        <v/>
      </c>
      <c r="F153" s="55" t="str">
        <f>Grinders!F153</f>
        <v/>
      </c>
      <c r="G153" s="55" t="str">
        <f>Grinders!H153</f>
        <v/>
      </c>
      <c r="H153" s="55" t="str">
        <f>Grinders!I153</f>
        <v/>
      </c>
      <c r="I153" s="55" t="str">
        <f t="shared" si="1"/>
        <v/>
      </c>
      <c r="J153" s="55" t="str">
        <f t="shared" si="2"/>
        <v/>
      </c>
      <c r="K153" s="55" t="str">
        <f t="shared" si="3"/>
        <v/>
      </c>
      <c r="L153" s="55" t="str">
        <f t="shared" si="4"/>
        <v/>
      </c>
      <c r="M153" s="55" t="str">
        <f t="shared" si="5"/>
        <v/>
      </c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ht="15.75" customHeight="1">
      <c r="A154" s="55" t="str">
        <f>Grinders!A154</f>
        <v/>
      </c>
      <c r="B154" s="55" t="str">
        <f>Grinders!B154</f>
        <v/>
      </c>
      <c r="C154" s="55" t="str">
        <f>Grinders!C154</f>
        <v/>
      </c>
      <c r="D154" s="55" t="str">
        <f>Grinders!E154</f>
        <v/>
      </c>
      <c r="E154" s="55" t="str">
        <f>Grinders!D154</f>
        <v/>
      </c>
      <c r="F154" s="55" t="str">
        <f>Grinders!F154</f>
        <v/>
      </c>
      <c r="G154" s="55" t="str">
        <f>Grinders!H154</f>
        <v/>
      </c>
      <c r="H154" s="55" t="str">
        <f>Grinders!I154</f>
        <v/>
      </c>
      <c r="I154" s="55" t="str">
        <f t="shared" si="1"/>
        <v/>
      </c>
      <c r="J154" s="55" t="str">
        <f t="shared" si="2"/>
        <v/>
      </c>
      <c r="K154" s="55" t="str">
        <f t="shared" si="3"/>
        <v/>
      </c>
      <c r="L154" s="55" t="str">
        <f t="shared" si="4"/>
        <v/>
      </c>
      <c r="M154" s="55" t="str">
        <f t="shared" si="5"/>
        <v/>
      </c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ht="15.75" customHeight="1">
      <c r="A155" s="55" t="str">
        <f>Grinders!A155</f>
        <v/>
      </c>
      <c r="B155" s="55" t="str">
        <f>Grinders!B155</f>
        <v/>
      </c>
      <c r="C155" s="55" t="str">
        <f>Grinders!C155</f>
        <v/>
      </c>
      <c r="D155" s="55" t="str">
        <f>Grinders!E155</f>
        <v/>
      </c>
      <c r="E155" s="55" t="str">
        <f>Grinders!D155</f>
        <v/>
      </c>
      <c r="F155" s="55" t="str">
        <f>Grinders!F155</f>
        <v/>
      </c>
      <c r="G155" s="55" t="str">
        <f>Grinders!H155</f>
        <v/>
      </c>
      <c r="H155" s="55" t="str">
        <f>Grinders!I155</f>
        <v/>
      </c>
      <c r="I155" s="55" t="str">
        <f t="shared" si="1"/>
        <v/>
      </c>
      <c r="J155" s="55" t="str">
        <f t="shared" si="2"/>
        <v/>
      </c>
      <c r="K155" s="55" t="str">
        <f t="shared" si="3"/>
        <v/>
      </c>
      <c r="L155" s="55" t="str">
        <f t="shared" si="4"/>
        <v/>
      </c>
      <c r="M155" s="55" t="str">
        <f t="shared" si="5"/>
        <v/>
      </c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ht="15.75" customHeight="1">
      <c r="A156" s="55" t="str">
        <f>Grinders!A156</f>
        <v/>
      </c>
      <c r="B156" s="55" t="str">
        <f>Grinders!B156</f>
        <v/>
      </c>
      <c r="C156" s="55" t="str">
        <f>Grinders!C156</f>
        <v/>
      </c>
      <c r="D156" s="55" t="str">
        <f>Grinders!E156</f>
        <v/>
      </c>
      <c r="E156" s="55" t="str">
        <f>Grinders!D156</f>
        <v/>
      </c>
      <c r="F156" s="55" t="str">
        <f>Grinders!F156</f>
        <v/>
      </c>
      <c r="G156" s="55" t="str">
        <f>Grinders!H156</f>
        <v/>
      </c>
      <c r="H156" s="55" t="str">
        <f>Grinders!I156</f>
        <v/>
      </c>
      <c r="I156" s="55" t="str">
        <f t="shared" si="1"/>
        <v/>
      </c>
      <c r="J156" s="55" t="str">
        <f t="shared" si="2"/>
        <v/>
      </c>
      <c r="K156" s="55" t="str">
        <f t="shared" si="3"/>
        <v/>
      </c>
      <c r="L156" s="55" t="str">
        <f t="shared" si="4"/>
        <v/>
      </c>
      <c r="M156" s="55" t="str">
        <f t="shared" si="5"/>
        <v/>
      </c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ht="15.75" customHeight="1">
      <c r="A157" s="55" t="str">
        <f>Grinders!A157</f>
        <v/>
      </c>
      <c r="B157" s="55" t="str">
        <f>Grinders!B157</f>
        <v/>
      </c>
      <c r="C157" s="55" t="str">
        <f>Grinders!C157</f>
        <v/>
      </c>
      <c r="D157" s="55" t="str">
        <f>Grinders!E157</f>
        <v/>
      </c>
      <c r="E157" s="55" t="str">
        <f>Grinders!D157</f>
        <v/>
      </c>
      <c r="F157" s="55" t="str">
        <f>Grinders!F157</f>
        <v/>
      </c>
      <c r="G157" s="55" t="str">
        <f>Grinders!H157</f>
        <v/>
      </c>
      <c r="H157" s="55" t="str">
        <f>Grinders!I157</f>
        <v/>
      </c>
      <c r="I157" s="55" t="str">
        <f t="shared" si="1"/>
        <v/>
      </c>
      <c r="J157" s="55" t="str">
        <f t="shared" si="2"/>
        <v/>
      </c>
      <c r="K157" s="55" t="str">
        <f t="shared" si="3"/>
        <v/>
      </c>
      <c r="L157" s="55" t="str">
        <f t="shared" si="4"/>
        <v/>
      </c>
      <c r="M157" s="55" t="str">
        <f t="shared" si="5"/>
        <v/>
      </c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ht="15.75" customHeight="1">
      <c r="A158" s="55" t="str">
        <f>Grinders!A158</f>
        <v/>
      </c>
      <c r="B158" s="55" t="str">
        <f>Grinders!B158</f>
        <v/>
      </c>
      <c r="C158" s="55" t="str">
        <f>Grinders!C158</f>
        <v/>
      </c>
      <c r="D158" s="55" t="str">
        <f>Grinders!E158</f>
        <v/>
      </c>
      <c r="E158" s="55" t="str">
        <f>Grinders!D158</f>
        <v/>
      </c>
      <c r="F158" s="55" t="str">
        <f>Grinders!F158</f>
        <v/>
      </c>
      <c r="G158" s="55" t="str">
        <f>Grinders!H158</f>
        <v/>
      </c>
      <c r="H158" s="55" t="str">
        <f>Grinders!I158</f>
        <v/>
      </c>
      <c r="I158" s="55" t="str">
        <f t="shared" si="1"/>
        <v/>
      </c>
      <c r="J158" s="55" t="str">
        <f t="shared" si="2"/>
        <v/>
      </c>
      <c r="K158" s="55" t="str">
        <f t="shared" si="3"/>
        <v/>
      </c>
      <c r="L158" s="55" t="str">
        <f t="shared" si="4"/>
        <v/>
      </c>
      <c r="M158" s="55" t="str">
        <f t="shared" si="5"/>
        <v/>
      </c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ht="15.75" customHeight="1">
      <c r="A159" s="55" t="str">
        <f>Grinders!A159</f>
        <v/>
      </c>
      <c r="B159" s="55" t="str">
        <f>Grinders!B159</f>
        <v/>
      </c>
      <c r="C159" s="55" t="str">
        <f>Grinders!C159</f>
        <v/>
      </c>
      <c r="D159" s="55" t="str">
        <f>Grinders!E159</f>
        <v/>
      </c>
      <c r="E159" s="55" t="str">
        <f>Grinders!D159</f>
        <v/>
      </c>
      <c r="F159" s="55" t="str">
        <f>Grinders!F159</f>
        <v/>
      </c>
      <c r="G159" s="55" t="str">
        <f>Grinders!H159</f>
        <v/>
      </c>
      <c r="H159" s="55" t="str">
        <f>Grinders!I159</f>
        <v/>
      </c>
      <c r="I159" s="55" t="str">
        <f t="shared" si="1"/>
        <v/>
      </c>
      <c r="J159" s="55" t="str">
        <f t="shared" si="2"/>
        <v/>
      </c>
      <c r="K159" s="55" t="str">
        <f t="shared" si="3"/>
        <v/>
      </c>
      <c r="L159" s="55" t="str">
        <f t="shared" si="4"/>
        <v/>
      </c>
      <c r="M159" s="55" t="str">
        <f t="shared" si="5"/>
        <v/>
      </c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ht="15.75" customHeight="1">
      <c r="A160" s="55" t="str">
        <f>Grinders!A160</f>
        <v/>
      </c>
      <c r="B160" s="55" t="str">
        <f>Grinders!B160</f>
        <v/>
      </c>
      <c r="C160" s="55" t="str">
        <f>Grinders!C160</f>
        <v/>
      </c>
      <c r="D160" s="55" t="str">
        <f>Grinders!E160</f>
        <v/>
      </c>
      <c r="E160" s="55" t="str">
        <f>Grinders!D160</f>
        <v/>
      </c>
      <c r="F160" s="55" t="str">
        <f>Grinders!F160</f>
        <v/>
      </c>
      <c r="G160" s="55" t="str">
        <f>Grinders!H160</f>
        <v/>
      </c>
      <c r="H160" s="55" t="str">
        <f>Grinders!I160</f>
        <v/>
      </c>
      <c r="I160" s="55" t="str">
        <f t="shared" si="1"/>
        <v/>
      </c>
      <c r="J160" s="55" t="str">
        <f t="shared" si="2"/>
        <v/>
      </c>
      <c r="K160" s="55" t="str">
        <f t="shared" si="3"/>
        <v/>
      </c>
      <c r="L160" s="55" t="str">
        <f t="shared" si="4"/>
        <v/>
      </c>
      <c r="M160" s="55" t="str">
        <f t="shared" si="5"/>
        <v/>
      </c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ht="15.75" customHeight="1">
      <c r="A161" s="55" t="str">
        <f>Grinders!A161</f>
        <v/>
      </c>
      <c r="B161" s="55" t="str">
        <f>Grinders!B161</f>
        <v/>
      </c>
      <c r="C161" s="55" t="str">
        <f>Grinders!C161</f>
        <v/>
      </c>
      <c r="D161" s="55" t="str">
        <f>Grinders!E161</f>
        <v/>
      </c>
      <c r="E161" s="55" t="str">
        <f>Grinders!D161</f>
        <v/>
      </c>
      <c r="F161" s="55" t="str">
        <f>Grinders!F161</f>
        <v/>
      </c>
      <c r="G161" s="55" t="str">
        <f>Grinders!H161</f>
        <v/>
      </c>
      <c r="H161" s="55" t="str">
        <f>Grinders!I161</f>
        <v/>
      </c>
      <c r="I161" s="55" t="str">
        <f t="shared" si="1"/>
        <v/>
      </c>
      <c r="J161" s="55" t="str">
        <f t="shared" si="2"/>
        <v/>
      </c>
      <c r="K161" s="55" t="str">
        <f t="shared" si="3"/>
        <v/>
      </c>
      <c r="L161" s="55" t="str">
        <f t="shared" si="4"/>
        <v/>
      </c>
      <c r="M161" s="55" t="str">
        <f t="shared" si="5"/>
        <v/>
      </c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ht="15.75" customHeight="1">
      <c r="A162" s="55" t="str">
        <f>Grinders!A162</f>
        <v/>
      </c>
      <c r="B162" s="55" t="str">
        <f>Grinders!B162</f>
        <v/>
      </c>
      <c r="C162" s="55" t="str">
        <f>Grinders!C162</f>
        <v/>
      </c>
      <c r="D162" s="55" t="str">
        <f>Grinders!E162</f>
        <v/>
      </c>
      <c r="E162" s="55" t="str">
        <f>Grinders!D162</f>
        <v/>
      </c>
      <c r="F162" s="55" t="str">
        <f>Grinders!F162</f>
        <v/>
      </c>
      <c r="G162" s="55" t="str">
        <f>Grinders!H162</f>
        <v/>
      </c>
      <c r="H162" s="55" t="str">
        <f>Grinders!I162</f>
        <v/>
      </c>
      <c r="I162" s="55" t="str">
        <f t="shared" si="1"/>
        <v/>
      </c>
      <c r="J162" s="55" t="str">
        <f t="shared" si="2"/>
        <v/>
      </c>
      <c r="K162" s="55" t="str">
        <f t="shared" si="3"/>
        <v/>
      </c>
      <c r="L162" s="55" t="str">
        <f t="shared" si="4"/>
        <v/>
      </c>
      <c r="M162" s="55" t="str">
        <f t="shared" si="5"/>
        <v/>
      </c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ht="15.75" customHeight="1">
      <c r="A163" s="55" t="str">
        <f>Grinders!A163</f>
        <v/>
      </c>
      <c r="B163" s="55" t="str">
        <f>Grinders!B163</f>
        <v/>
      </c>
      <c r="C163" s="55" t="str">
        <f>Grinders!C163</f>
        <v/>
      </c>
      <c r="D163" s="55" t="str">
        <f>Grinders!E163</f>
        <v/>
      </c>
      <c r="E163" s="55" t="str">
        <f>Grinders!D163</f>
        <v/>
      </c>
      <c r="F163" s="55" t="str">
        <f>Grinders!F163</f>
        <v/>
      </c>
      <c r="G163" s="55" t="str">
        <f>Grinders!H163</f>
        <v/>
      </c>
      <c r="H163" s="55" t="str">
        <f>Grinders!I163</f>
        <v/>
      </c>
      <c r="I163" s="55" t="str">
        <f t="shared" si="1"/>
        <v/>
      </c>
      <c r="J163" s="55" t="str">
        <f t="shared" si="2"/>
        <v/>
      </c>
      <c r="K163" s="55" t="str">
        <f t="shared" si="3"/>
        <v/>
      </c>
      <c r="L163" s="55" t="str">
        <f t="shared" si="4"/>
        <v/>
      </c>
      <c r="M163" s="55" t="str">
        <f t="shared" si="5"/>
        <v/>
      </c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ht="15.75" customHeight="1">
      <c r="A164" s="55" t="str">
        <f>Grinders!A164</f>
        <v/>
      </c>
      <c r="B164" s="55" t="str">
        <f>Grinders!B164</f>
        <v/>
      </c>
      <c r="C164" s="55" t="str">
        <f>Grinders!C164</f>
        <v/>
      </c>
      <c r="D164" s="55" t="str">
        <f>Grinders!E164</f>
        <v/>
      </c>
      <c r="E164" s="55" t="str">
        <f>Grinders!D164</f>
        <v/>
      </c>
      <c r="F164" s="55" t="str">
        <f>Grinders!F164</f>
        <v/>
      </c>
      <c r="G164" s="55" t="str">
        <f>Grinders!H164</f>
        <v/>
      </c>
      <c r="H164" s="55" t="str">
        <f>Grinders!I164</f>
        <v/>
      </c>
      <c r="I164" s="55" t="str">
        <f t="shared" si="1"/>
        <v/>
      </c>
      <c r="J164" s="55" t="str">
        <f t="shared" si="2"/>
        <v/>
      </c>
      <c r="K164" s="55" t="str">
        <f t="shared" si="3"/>
        <v/>
      </c>
      <c r="L164" s="55" t="str">
        <f t="shared" si="4"/>
        <v/>
      </c>
      <c r="M164" s="55" t="str">
        <f t="shared" si="5"/>
        <v/>
      </c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ht="15.75" customHeight="1">
      <c r="A165" s="55" t="str">
        <f>Grinders!A165</f>
        <v/>
      </c>
      <c r="B165" s="55" t="str">
        <f>Grinders!B165</f>
        <v/>
      </c>
      <c r="C165" s="55" t="str">
        <f>Grinders!C165</f>
        <v/>
      </c>
      <c r="D165" s="55" t="str">
        <f>Grinders!E165</f>
        <v/>
      </c>
      <c r="E165" s="55" t="str">
        <f>Grinders!D165</f>
        <v/>
      </c>
      <c r="F165" s="55" t="str">
        <f>Grinders!F165</f>
        <v/>
      </c>
      <c r="G165" s="55" t="str">
        <f>Grinders!H165</f>
        <v/>
      </c>
      <c r="H165" s="55" t="str">
        <f>Grinders!I165</f>
        <v/>
      </c>
      <c r="I165" s="55" t="str">
        <f t="shared" si="1"/>
        <v/>
      </c>
      <c r="J165" s="55" t="str">
        <f t="shared" si="2"/>
        <v/>
      </c>
      <c r="K165" s="55" t="str">
        <f t="shared" si="3"/>
        <v/>
      </c>
      <c r="L165" s="55" t="str">
        <f t="shared" si="4"/>
        <v/>
      </c>
      <c r="M165" s="55" t="str">
        <f t="shared" si="5"/>
        <v/>
      </c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ht="15.75" customHeight="1">
      <c r="A166" s="55" t="str">
        <f>Grinders!A166</f>
        <v/>
      </c>
      <c r="B166" s="55" t="str">
        <f>Grinders!B166</f>
        <v/>
      </c>
      <c r="C166" s="55" t="str">
        <f>Grinders!C166</f>
        <v/>
      </c>
      <c r="D166" s="55" t="str">
        <f>Grinders!E166</f>
        <v/>
      </c>
      <c r="E166" s="55" t="str">
        <f>Grinders!D166</f>
        <v/>
      </c>
      <c r="F166" s="55" t="str">
        <f>Grinders!F166</f>
        <v/>
      </c>
      <c r="G166" s="55" t="str">
        <f>Grinders!H166</f>
        <v/>
      </c>
      <c r="H166" s="55" t="str">
        <f>Grinders!I166</f>
        <v/>
      </c>
      <c r="I166" s="55" t="str">
        <f t="shared" si="1"/>
        <v/>
      </c>
      <c r="J166" s="55" t="str">
        <f t="shared" si="2"/>
        <v/>
      </c>
      <c r="K166" s="55" t="str">
        <f t="shared" si="3"/>
        <v/>
      </c>
      <c r="L166" s="55" t="str">
        <f t="shared" si="4"/>
        <v/>
      </c>
      <c r="M166" s="55" t="str">
        <f t="shared" si="5"/>
        <v/>
      </c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ht="15.75" customHeight="1">
      <c r="A167" s="55" t="str">
        <f>Grinders!A167</f>
        <v/>
      </c>
      <c r="B167" s="55" t="str">
        <f>Grinders!B167</f>
        <v/>
      </c>
      <c r="C167" s="55" t="str">
        <f>Grinders!C167</f>
        <v/>
      </c>
      <c r="D167" s="55" t="str">
        <f>Grinders!E167</f>
        <v/>
      </c>
      <c r="E167" s="55" t="str">
        <f>Grinders!D167</f>
        <v/>
      </c>
      <c r="F167" s="55" t="str">
        <f>Grinders!F167</f>
        <v/>
      </c>
      <c r="G167" s="55" t="str">
        <f>Grinders!H167</f>
        <v/>
      </c>
      <c r="H167" s="55" t="str">
        <f>Grinders!I167</f>
        <v/>
      </c>
      <c r="I167" s="55" t="str">
        <f t="shared" si="1"/>
        <v/>
      </c>
      <c r="J167" s="55" t="str">
        <f t="shared" si="2"/>
        <v/>
      </c>
      <c r="K167" s="55" t="str">
        <f t="shared" si="3"/>
        <v/>
      </c>
      <c r="L167" s="55" t="str">
        <f t="shared" si="4"/>
        <v/>
      </c>
      <c r="M167" s="55" t="str">
        <f t="shared" si="5"/>
        <v/>
      </c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ht="15.75" customHeight="1">
      <c r="A168" s="55" t="str">
        <f>Grinders!A168</f>
        <v/>
      </c>
      <c r="B168" s="55" t="str">
        <f>Grinders!B168</f>
        <v/>
      </c>
      <c r="C168" s="55" t="str">
        <f>Grinders!C168</f>
        <v/>
      </c>
      <c r="D168" s="55" t="str">
        <f>Grinders!E168</f>
        <v/>
      </c>
      <c r="E168" s="55" t="str">
        <f>Grinders!D168</f>
        <v/>
      </c>
      <c r="F168" s="55" t="str">
        <f>Grinders!F168</f>
        <v/>
      </c>
      <c r="G168" s="55" t="str">
        <f>Grinders!H168</f>
        <v/>
      </c>
      <c r="H168" s="55" t="str">
        <f>Grinders!I168</f>
        <v/>
      </c>
      <c r="I168" s="55" t="str">
        <f t="shared" si="1"/>
        <v/>
      </c>
      <c r="J168" s="55" t="str">
        <f t="shared" si="2"/>
        <v/>
      </c>
      <c r="K168" s="55" t="str">
        <f t="shared" si="3"/>
        <v/>
      </c>
      <c r="L168" s="55" t="str">
        <f t="shared" si="4"/>
        <v/>
      </c>
      <c r="M168" s="55" t="str">
        <f t="shared" si="5"/>
        <v/>
      </c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ht="15.75" customHeight="1">
      <c r="A169" s="55" t="str">
        <f>Grinders!A169</f>
        <v/>
      </c>
      <c r="B169" s="55" t="str">
        <f>Grinders!B169</f>
        <v/>
      </c>
      <c r="C169" s="55" t="str">
        <f>Grinders!C169</f>
        <v/>
      </c>
      <c r="D169" s="55" t="str">
        <f>Grinders!E169</f>
        <v/>
      </c>
      <c r="E169" s="55" t="str">
        <f>Grinders!D169</f>
        <v/>
      </c>
      <c r="F169" s="55" t="str">
        <f>Grinders!F169</f>
        <v/>
      </c>
      <c r="G169" s="55" t="str">
        <f>Grinders!H169</f>
        <v/>
      </c>
      <c r="H169" s="55" t="str">
        <f>Grinders!I169</f>
        <v/>
      </c>
      <c r="I169" s="55" t="str">
        <f t="shared" si="1"/>
        <v/>
      </c>
      <c r="J169" s="55" t="str">
        <f t="shared" si="2"/>
        <v/>
      </c>
      <c r="K169" s="55" t="str">
        <f t="shared" si="3"/>
        <v/>
      </c>
      <c r="L169" s="55" t="str">
        <f t="shared" si="4"/>
        <v/>
      </c>
      <c r="M169" s="55" t="str">
        <f t="shared" si="5"/>
        <v/>
      </c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ht="15.75" customHeight="1">
      <c r="A170" s="55" t="str">
        <f>Grinders!A170</f>
        <v/>
      </c>
      <c r="B170" s="55" t="str">
        <f>Grinders!B170</f>
        <v/>
      </c>
      <c r="C170" s="55" t="str">
        <f>Grinders!C170</f>
        <v/>
      </c>
      <c r="D170" s="55" t="str">
        <f>Grinders!E170</f>
        <v/>
      </c>
      <c r="E170" s="55" t="str">
        <f>Grinders!D170</f>
        <v/>
      </c>
      <c r="F170" s="55" t="str">
        <f>Grinders!F170</f>
        <v/>
      </c>
      <c r="G170" s="55" t="str">
        <f>Grinders!H170</f>
        <v/>
      </c>
      <c r="H170" s="55" t="str">
        <f>Grinders!I170</f>
        <v/>
      </c>
      <c r="I170" s="55" t="str">
        <f t="shared" si="1"/>
        <v/>
      </c>
      <c r="J170" s="55" t="str">
        <f t="shared" si="2"/>
        <v/>
      </c>
      <c r="K170" s="55" t="str">
        <f t="shared" si="3"/>
        <v/>
      </c>
      <c r="L170" s="55" t="str">
        <f t="shared" si="4"/>
        <v/>
      </c>
      <c r="M170" s="55" t="str">
        <f t="shared" si="5"/>
        <v/>
      </c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ht="15.75" customHeight="1">
      <c r="A171" s="55" t="str">
        <f>Grinders!A171</f>
        <v/>
      </c>
      <c r="B171" s="55" t="str">
        <f>Grinders!B171</f>
        <v/>
      </c>
      <c r="C171" s="55" t="str">
        <f>Grinders!C171</f>
        <v/>
      </c>
      <c r="D171" s="55" t="str">
        <f>Grinders!E171</f>
        <v/>
      </c>
      <c r="E171" s="55" t="str">
        <f>Grinders!D171</f>
        <v/>
      </c>
      <c r="F171" s="55" t="str">
        <f>Grinders!F171</f>
        <v/>
      </c>
      <c r="G171" s="55" t="str">
        <f>Grinders!H171</f>
        <v/>
      </c>
      <c r="H171" s="55" t="str">
        <f>Grinders!I171</f>
        <v/>
      </c>
      <c r="I171" s="55" t="str">
        <f t="shared" si="1"/>
        <v/>
      </c>
      <c r="J171" s="55" t="str">
        <f t="shared" si="2"/>
        <v/>
      </c>
      <c r="K171" s="55" t="str">
        <f t="shared" si="3"/>
        <v/>
      </c>
      <c r="L171" s="55" t="str">
        <f t="shared" si="4"/>
        <v/>
      </c>
      <c r="M171" s="55" t="str">
        <f t="shared" si="5"/>
        <v/>
      </c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ht="15.75" customHeight="1">
      <c r="A172" s="55" t="str">
        <f>Grinders!A172</f>
        <v/>
      </c>
      <c r="B172" s="55" t="str">
        <f>Grinders!B172</f>
        <v/>
      </c>
      <c r="C172" s="55" t="str">
        <f>Grinders!C172</f>
        <v/>
      </c>
      <c r="D172" s="55" t="str">
        <f>Grinders!E172</f>
        <v/>
      </c>
      <c r="E172" s="55" t="str">
        <f>Grinders!D172</f>
        <v/>
      </c>
      <c r="F172" s="55" t="str">
        <f>Grinders!F172</f>
        <v/>
      </c>
      <c r="G172" s="55" t="str">
        <f>Grinders!H172</f>
        <v/>
      </c>
      <c r="H172" s="55" t="str">
        <f>Grinders!I172</f>
        <v/>
      </c>
      <c r="I172" s="55" t="str">
        <f t="shared" si="1"/>
        <v/>
      </c>
      <c r="J172" s="55" t="str">
        <f t="shared" si="2"/>
        <v/>
      </c>
      <c r="K172" s="55" t="str">
        <f t="shared" si="3"/>
        <v/>
      </c>
      <c r="L172" s="55" t="str">
        <f t="shared" si="4"/>
        <v/>
      </c>
      <c r="M172" s="55" t="str">
        <f t="shared" si="5"/>
        <v/>
      </c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ht="15.75" customHeight="1">
      <c r="A173" s="55" t="str">
        <f>Grinders!A173</f>
        <v/>
      </c>
      <c r="B173" s="55" t="str">
        <f>Grinders!B173</f>
        <v/>
      </c>
      <c r="C173" s="55" t="str">
        <f>Grinders!C173</f>
        <v/>
      </c>
      <c r="D173" s="55" t="str">
        <f>Grinders!E173</f>
        <v/>
      </c>
      <c r="E173" s="55" t="str">
        <f>Grinders!D173</f>
        <v/>
      </c>
      <c r="F173" s="55" t="str">
        <f>Grinders!F173</f>
        <v/>
      </c>
      <c r="G173" s="55" t="str">
        <f>Grinders!H173</f>
        <v/>
      </c>
      <c r="H173" s="55" t="str">
        <f>Grinders!I173</f>
        <v/>
      </c>
      <c r="I173" s="55" t="str">
        <f t="shared" si="1"/>
        <v/>
      </c>
      <c r="J173" s="55" t="str">
        <f t="shared" si="2"/>
        <v/>
      </c>
      <c r="K173" s="55" t="str">
        <f t="shared" si="3"/>
        <v/>
      </c>
      <c r="L173" s="55" t="str">
        <f t="shared" si="4"/>
        <v/>
      </c>
      <c r="M173" s="55" t="str">
        <f t="shared" si="5"/>
        <v/>
      </c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ht="15.75" customHeight="1">
      <c r="A174" s="55" t="str">
        <f>Grinders!A174</f>
        <v/>
      </c>
      <c r="B174" s="55" t="str">
        <f>Grinders!B174</f>
        <v/>
      </c>
      <c r="C174" s="55" t="str">
        <f>Grinders!C174</f>
        <v/>
      </c>
      <c r="D174" s="55" t="str">
        <f>Grinders!E174</f>
        <v/>
      </c>
      <c r="E174" s="55" t="str">
        <f>Grinders!D174</f>
        <v/>
      </c>
      <c r="F174" s="55" t="str">
        <f>Grinders!F174</f>
        <v/>
      </c>
      <c r="G174" s="55" t="str">
        <f>Grinders!H174</f>
        <v/>
      </c>
      <c r="H174" s="55" t="str">
        <f>Grinders!I174</f>
        <v/>
      </c>
      <c r="I174" s="55" t="str">
        <f t="shared" si="1"/>
        <v/>
      </c>
      <c r="J174" s="55" t="str">
        <f t="shared" si="2"/>
        <v/>
      </c>
      <c r="K174" s="55" t="str">
        <f t="shared" si="3"/>
        <v/>
      </c>
      <c r="L174" s="55" t="str">
        <f t="shared" si="4"/>
        <v/>
      </c>
      <c r="M174" s="55" t="str">
        <f t="shared" si="5"/>
        <v/>
      </c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ht="15.75" customHeight="1">
      <c r="A175" s="55" t="str">
        <f>Grinders!A175</f>
        <v/>
      </c>
      <c r="B175" s="55" t="str">
        <f>Grinders!B175</f>
        <v/>
      </c>
      <c r="C175" s="55" t="str">
        <f>Grinders!C175</f>
        <v/>
      </c>
      <c r="D175" s="55" t="str">
        <f>Grinders!E175</f>
        <v/>
      </c>
      <c r="E175" s="55" t="str">
        <f>Grinders!D175</f>
        <v/>
      </c>
      <c r="F175" s="55" t="str">
        <f>Grinders!F175</f>
        <v/>
      </c>
      <c r="G175" s="55" t="str">
        <f>Grinders!H175</f>
        <v/>
      </c>
      <c r="H175" s="55" t="str">
        <f>Grinders!I175</f>
        <v/>
      </c>
      <c r="I175" s="55" t="str">
        <f t="shared" si="1"/>
        <v/>
      </c>
      <c r="J175" s="55" t="str">
        <f t="shared" si="2"/>
        <v/>
      </c>
      <c r="K175" s="55" t="str">
        <f t="shared" si="3"/>
        <v/>
      </c>
      <c r="L175" s="55" t="str">
        <f t="shared" si="4"/>
        <v/>
      </c>
      <c r="M175" s="55" t="str">
        <f t="shared" si="5"/>
        <v/>
      </c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ht="15.75" customHeight="1">
      <c r="A176" s="55" t="str">
        <f>Grinders!A176</f>
        <v/>
      </c>
      <c r="B176" s="55" t="str">
        <f>Grinders!B176</f>
        <v/>
      </c>
      <c r="C176" s="55" t="str">
        <f>Grinders!C176</f>
        <v/>
      </c>
      <c r="D176" s="55" t="str">
        <f>Grinders!E176</f>
        <v/>
      </c>
      <c r="E176" s="55" t="str">
        <f>Grinders!D176</f>
        <v/>
      </c>
      <c r="F176" s="55" t="str">
        <f>Grinders!F176</f>
        <v/>
      </c>
      <c r="G176" s="55" t="str">
        <f>Grinders!H176</f>
        <v/>
      </c>
      <c r="H176" s="55" t="str">
        <f>Grinders!I176</f>
        <v/>
      </c>
      <c r="I176" s="55" t="str">
        <f t="shared" si="1"/>
        <v/>
      </c>
      <c r="J176" s="55" t="str">
        <f t="shared" si="2"/>
        <v/>
      </c>
      <c r="K176" s="55" t="str">
        <f t="shared" si="3"/>
        <v/>
      </c>
      <c r="L176" s="55" t="str">
        <f t="shared" si="4"/>
        <v/>
      </c>
      <c r="M176" s="55" t="str">
        <f t="shared" si="5"/>
        <v/>
      </c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ht="15.75" customHeight="1">
      <c r="A177" s="55" t="str">
        <f>Grinders!A177</f>
        <v/>
      </c>
      <c r="B177" s="55" t="str">
        <f>Grinders!B177</f>
        <v/>
      </c>
      <c r="C177" s="55" t="str">
        <f>Grinders!C177</f>
        <v/>
      </c>
      <c r="D177" s="55" t="str">
        <f>Grinders!E177</f>
        <v/>
      </c>
      <c r="E177" s="55" t="str">
        <f>Grinders!D177</f>
        <v/>
      </c>
      <c r="F177" s="55" t="str">
        <f>Grinders!F177</f>
        <v/>
      </c>
      <c r="G177" s="55" t="str">
        <f>Grinders!H177</f>
        <v/>
      </c>
      <c r="H177" s="55" t="str">
        <f>Grinders!I177</f>
        <v/>
      </c>
      <c r="I177" s="55" t="str">
        <f t="shared" si="1"/>
        <v/>
      </c>
      <c r="J177" s="55" t="str">
        <f t="shared" si="2"/>
        <v/>
      </c>
      <c r="K177" s="55" t="str">
        <f t="shared" si="3"/>
        <v/>
      </c>
      <c r="L177" s="55" t="str">
        <f t="shared" si="4"/>
        <v/>
      </c>
      <c r="M177" s="55" t="str">
        <f t="shared" si="5"/>
        <v/>
      </c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ht="15.75" customHeight="1">
      <c r="A178" s="55" t="str">
        <f>Grinders!A178</f>
        <v/>
      </c>
      <c r="B178" s="55" t="str">
        <f>Grinders!B178</f>
        <v/>
      </c>
      <c r="C178" s="55" t="str">
        <f>Grinders!C178</f>
        <v/>
      </c>
      <c r="D178" s="55" t="str">
        <f>Grinders!E178</f>
        <v/>
      </c>
      <c r="E178" s="55" t="str">
        <f>Grinders!D178</f>
        <v/>
      </c>
      <c r="F178" s="55" t="str">
        <f>Grinders!F178</f>
        <v/>
      </c>
      <c r="G178" s="55" t="str">
        <f>Grinders!H178</f>
        <v/>
      </c>
      <c r="H178" s="55" t="str">
        <f>Grinders!I178</f>
        <v/>
      </c>
      <c r="I178" s="55" t="str">
        <f t="shared" si="1"/>
        <v/>
      </c>
      <c r="J178" s="55" t="str">
        <f t="shared" si="2"/>
        <v/>
      </c>
      <c r="K178" s="55" t="str">
        <f t="shared" si="3"/>
        <v/>
      </c>
      <c r="L178" s="55" t="str">
        <f t="shared" si="4"/>
        <v/>
      </c>
      <c r="M178" s="55" t="str">
        <f t="shared" si="5"/>
        <v/>
      </c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ht="15.75" customHeight="1">
      <c r="A179" s="55" t="str">
        <f>Grinders!A179</f>
        <v/>
      </c>
      <c r="B179" s="55" t="str">
        <f>Grinders!B179</f>
        <v/>
      </c>
      <c r="C179" s="55" t="str">
        <f>Grinders!C179</f>
        <v/>
      </c>
      <c r="D179" s="55" t="str">
        <f>Grinders!E179</f>
        <v/>
      </c>
      <c r="E179" s="55" t="str">
        <f>Grinders!D179</f>
        <v/>
      </c>
      <c r="F179" s="55" t="str">
        <f>Grinders!F179</f>
        <v/>
      </c>
      <c r="G179" s="55" t="str">
        <f>Grinders!H179</f>
        <v/>
      </c>
      <c r="H179" s="55" t="str">
        <f>Grinders!I179</f>
        <v/>
      </c>
      <c r="I179" s="55" t="str">
        <f t="shared" si="1"/>
        <v/>
      </c>
      <c r="J179" s="55" t="str">
        <f t="shared" si="2"/>
        <v/>
      </c>
      <c r="K179" s="55" t="str">
        <f t="shared" si="3"/>
        <v/>
      </c>
      <c r="L179" s="55" t="str">
        <f t="shared" si="4"/>
        <v/>
      </c>
      <c r="M179" s="55" t="str">
        <f t="shared" si="5"/>
        <v/>
      </c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ht="15.75" customHeight="1">
      <c r="A180" s="55" t="str">
        <f>Grinders!A180</f>
        <v/>
      </c>
      <c r="B180" s="55" t="str">
        <f>Grinders!B180</f>
        <v/>
      </c>
      <c r="C180" s="55" t="str">
        <f>Grinders!C180</f>
        <v/>
      </c>
      <c r="D180" s="55" t="str">
        <f>Grinders!E180</f>
        <v/>
      </c>
      <c r="E180" s="55" t="str">
        <f>Grinders!D180</f>
        <v/>
      </c>
      <c r="F180" s="55" t="str">
        <f>Grinders!F180</f>
        <v/>
      </c>
      <c r="G180" s="55" t="str">
        <f>Grinders!H180</f>
        <v/>
      </c>
      <c r="H180" s="55" t="str">
        <f>Grinders!I180</f>
        <v/>
      </c>
      <c r="I180" s="55" t="str">
        <f t="shared" si="1"/>
        <v/>
      </c>
      <c r="J180" s="55" t="str">
        <f t="shared" si="2"/>
        <v/>
      </c>
      <c r="K180" s="55" t="str">
        <f t="shared" si="3"/>
        <v/>
      </c>
      <c r="L180" s="55" t="str">
        <f t="shared" si="4"/>
        <v/>
      </c>
      <c r="M180" s="55" t="str">
        <f t="shared" si="5"/>
        <v/>
      </c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ht="15.75" customHeight="1">
      <c r="A181" s="55" t="str">
        <f>Grinders!A181</f>
        <v/>
      </c>
      <c r="B181" s="55" t="str">
        <f>Grinders!B181</f>
        <v/>
      </c>
      <c r="C181" s="55" t="str">
        <f>Grinders!C181</f>
        <v/>
      </c>
      <c r="D181" s="55" t="str">
        <f>Grinders!E181</f>
        <v/>
      </c>
      <c r="E181" s="55" t="str">
        <f>Grinders!D181</f>
        <v/>
      </c>
      <c r="F181" s="55" t="str">
        <f>Grinders!F181</f>
        <v/>
      </c>
      <c r="G181" s="55" t="str">
        <f>Grinders!H181</f>
        <v/>
      </c>
      <c r="H181" s="55" t="str">
        <f>Grinders!I181</f>
        <v/>
      </c>
      <c r="I181" s="55" t="str">
        <f t="shared" si="1"/>
        <v/>
      </c>
      <c r="J181" s="55" t="str">
        <f t="shared" si="2"/>
        <v/>
      </c>
      <c r="K181" s="55" t="str">
        <f t="shared" si="3"/>
        <v/>
      </c>
      <c r="L181" s="55" t="str">
        <f t="shared" si="4"/>
        <v/>
      </c>
      <c r="M181" s="55" t="str">
        <f t="shared" si="5"/>
        <v/>
      </c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ht="15.75" customHeight="1">
      <c r="A182" s="55" t="str">
        <f>Grinders!A182</f>
        <v/>
      </c>
      <c r="B182" s="55" t="str">
        <f>Grinders!B182</f>
        <v/>
      </c>
      <c r="C182" s="55" t="str">
        <f>Grinders!C182</f>
        <v/>
      </c>
      <c r="D182" s="55" t="str">
        <f>Grinders!E182</f>
        <v/>
      </c>
      <c r="E182" s="55" t="str">
        <f>Grinders!D182</f>
        <v/>
      </c>
      <c r="F182" s="55" t="str">
        <f>Grinders!F182</f>
        <v/>
      </c>
      <c r="G182" s="55" t="str">
        <f>Grinders!H182</f>
        <v/>
      </c>
      <c r="H182" s="55" t="str">
        <f>Grinders!I182</f>
        <v/>
      </c>
      <c r="I182" s="55" t="str">
        <f t="shared" si="1"/>
        <v/>
      </c>
      <c r="J182" s="55" t="str">
        <f t="shared" si="2"/>
        <v/>
      </c>
      <c r="K182" s="55" t="str">
        <f t="shared" si="3"/>
        <v/>
      </c>
      <c r="L182" s="55" t="str">
        <f t="shared" si="4"/>
        <v/>
      </c>
      <c r="M182" s="55" t="str">
        <f t="shared" si="5"/>
        <v/>
      </c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ht="15.75" customHeight="1">
      <c r="A183" s="55" t="str">
        <f>Grinders!A183</f>
        <v/>
      </c>
      <c r="B183" s="55" t="str">
        <f>Grinders!B183</f>
        <v/>
      </c>
      <c r="C183" s="55" t="str">
        <f>Grinders!C183</f>
        <v/>
      </c>
      <c r="D183" s="55" t="str">
        <f>Grinders!E183</f>
        <v/>
      </c>
      <c r="E183" s="55" t="str">
        <f>Grinders!D183</f>
        <v/>
      </c>
      <c r="F183" s="55" t="str">
        <f>Grinders!F183</f>
        <v/>
      </c>
      <c r="G183" s="55" t="str">
        <f>Grinders!H183</f>
        <v/>
      </c>
      <c r="H183" s="55" t="str">
        <f>Grinders!I183</f>
        <v/>
      </c>
      <c r="I183" s="55" t="str">
        <f t="shared" si="1"/>
        <v/>
      </c>
      <c r="J183" s="55" t="str">
        <f t="shared" si="2"/>
        <v/>
      </c>
      <c r="K183" s="55" t="str">
        <f t="shared" si="3"/>
        <v/>
      </c>
      <c r="L183" s="55" t="str">
        <f t="shared" si="4"/>
        <v/>
      </c>
      <c r="M183" s="55" t="str">
        <f t="shared" si="5"/>
        <v/>
      </c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ht="15.75" customHeight="1">
      <c r="A184" s="55" t="str">
        <f>Grinders!A184</f>
        <v/>
      </c>
      <c r="B184" s="55" t="str">
        <f>Grinders!B184</f>
        <v/>
      </c>
      <c r="C184" s="55" t="str">
        <f>Grinders!C184</f>
        <v/>
      </c>
      <c r="D184" s="55" t="str">
        <f>Grinders!E184</f>
        <v/>
      </c>
      <c r="E184" s="55" t="str">
        <f>Grinders!D184</f>
        <v/>
      </c>
      <c r="F184" s="55" t="str">
        <f>Grinders!F184</f>
        <v/>
      </c>
      <c r="G184" s="55" t="str">
        <f>Grinders!H184</f>
        <v/>
      </c>
      <c r="H184" s="55" t="str">
        <f>Grinders!I184</f>
        <v/>
      </c>
      <c r="I184" s="55" t="str">
        <f t="shared" si="1"/>
        <v/>
      </c>
      <c r="J184" s="55" t="str">
        <f t="shared" si="2"/>
        <v/>
      </c>
      <c r="K184" s="55" t="str">
        <f t="shared" si="3"/>
        <v/>
      </c>
      <c r="L184" s="55" t="str">
        <f t="shared" si="4"/>
        <v/>
      </c>
      <c r="M184" s="55" t="str">
        <f t="shared" si="5"/>
        <v/>
      </c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ht="15.75" customHeight="1">
      <c r="A185" s="55" t="str">
        <f>Grinders!A185</f>
        <v/>
      </c>
      <c r="B185" s="55" t="str">
        <f>Grinders!B185</f>
        <v/>
      </c>
      <c r="C185" s="55" t="str">
        <f>Grinders!C185</f>
        <v/>
      </c>
      <c r="D185" s="55" t="str">
        <f>Grinders!E185</f>
        <v/>
      </c>
      <c r="E185" s="55" t="str">
        <f>Grinders!D185</f>
        <v/>
      </c>
      <c r="F185" s="55" t="str">
        <f>Grinders!F185</f>
        <v/>
      </c>
      <c r="G185" s="55" t="str">
        <f>Grinders!H185</f>
        <v/>
      </c>
      <c r="H185" s="55" t="str">
        <f>Grinders!I185</f>
        <v/>
      </c>
      <c r="I185" s="55" t="str">
        <f t="shared" si="1"/>
        <v/>
      </c>
      <c r="J185" s="55" t="str">
        <f t="shared" si="2"/>
        <v/>
      </c>
      <c r="K185" s="55" t="str">
        <f t="shared" si="3"/>
        <v/>
      </c>
      <c r="L185" s="55" t="str">
        <f t="shared" si="4"/>
        <v/>
      </c>
      <c r="M185" s="55" t="str">
        <f t="shared" si="5"/>
        <v/>
      </c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ht="15.75" customHeight="1">
      <c r="A186" s="55" t="str">
        <f>Grinders!A186</f>
        <v/>
      </c>
      <c r="B186" s="55" t="str">
        <f>Grinders!B186</f>
        <v/>
      </c>
      <c r="C186" s="55" t="str">
        <f>Grinders!C186</f>
        <v/>
      </c>
      <c r="D186" s="55" t="str">
        <f>Grinders!E186</f>
        <v/>
      </c>
      <c r="E186" s="55" t="str">
        <f>Grinders!D186</f>
        <v/>
      </c>
      <c r="F186" s="55" t="str">
        <f>Grinders!F186</f>
        <v/>
      </c>
      <c r="G186" s="55" t="str">
        <f>Grinders!H186</f>
        <v/>
      </c>
      <c r="H186" s="55" t="str">
        <f>Grinders!I186</f>
        <v/>
      </c>
      <c r="I186" s="55" t="str">
        <f t="shared" si="1"/>
        <v/>
      </c>
      <c r="J186" s="55" t="str">
        <f t="shared" si="2"/>
        <v/>
      </c>
      <c r="K186" s="55" t="str">
        <f t="shared" si="3"/>
        <v/>
      </c>
      <c r="L186" s="55" t="str">
        <f t="shared" si="4"/>
        <v/>
      </c>
      <c r="M186" s="55" t="str">
        <f t="shared" si="5"/>
        <v/>
      </c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ht="15.75" customHeight="1">
      <c r="A187" s="55" t="str">
        <f>Grinders!A187</f>
        <v/>
      </c>
      <c r="B187" s="55" t="str">
        <f>Grinders!B187</f>
        <v/>
      </c>
      <c r="C187" s="55" t="str">
        <f>Grinders!C187</f>
        <v/>
      </c>
      <c r="D187" s="55" t="str">
        <f>Grinders!E187</f>
        <v/>
      </c>
      <c r="E187" s="55" t="str">
        <f>Grinders!D187</f>
        <v/>
      </c>
      <c r="F187" s="55" t="str">
        <f>Grinders!F187</f>
        <v/>
      </c>
      <c r="G187" s="55" t="str">
        <f>Grinders!H187</f>
        <v/>
      </c>
      <c r="H187" s="55" t="str">
        <f>Grinders!I187</f>
        <v/>
      </c>
      <c r="I187" s="55" t="str">
        <f t="shared" si="1"/>
        <v/>
      </c>
      <c r="J187" s="55" t="str">
        <f t="shared" si="2"/>
        <v/>
      </c>
      <c r="K187" s="55" t="str">
        <f t="shared" si="3"/>
        <v/>
      </c>
      <c r="L187" s="55" t="str">
        <f t="shared" si="4"/>
        <v/>
      </c>
      <c r="M187" s="55" t="str">
        <f t="shared" si="5"/>
        <v/>
      </c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ht="15.75" customHeight="1">
      <c r="A188" s="55" t="str">
        <f>Grinders!A188</f>
        <v/>
      </c>
      <c r="B188" s="55" t="str">
        <f>Grinders!B188</f>
        <v/>
      </c>
      <c r="C188" s="55" t="str">
        <f>Grinders!C188</f>
        <v/>
      </c>
      <c r="D188" s="55" t="str">
        <f>Grinders!E188</f>
        <v/>
      </c>
      <c r="E188" s="55" t="str">
        <f>Grinders!D188</f>
        <v/>
      </c>
      <c r="F188" s="55" t="str">
        <f>Grinders!F188</f>
        <v/>
      </c>
      <c r="G188" s="55" t="str">
        <f>Grinders!H188</f>
        <v/>
      </c>
      <c r="H188" s="55" t="str">
        <f>Grinders!I188</f>
        <v/>
      </c>
      <c r="I188" s="55" t="str">
        <f t="shared" si="1"/>
        <v/>
      </c>
      <c r="J188" s="55" t="str">
        <f t="shared" si="2"/>
        <v/>
      </c>
      <c r="K188" s="55" t="str">
        <f t="shared" si="3"/>
        <v/>
      </c>
      <c r="L188" s="55" t="str">
        <f t="shared" si="4"/>
        <v/>
      </c>
      <c r="M188" s="55" t="str">
        <f t="shared" si="5"/>
        <v/>
      </c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ht="15.75" customHeight="1">
      <c r="A189" s="55" t="str">
        <f>Grinders!A189</f>
        <v/>
      </c>
      <c r="B189" s="55" t="str">
        <f>Grinders!B189</f>
        <v/>
      </c>
      <c r="C189" s="55" t="str">
        <f>Grinders!C189</f>
        <v/>
      </c>
      <c r="D189" s="55" t="str">
        <f>Grinders!E189</f>
        <v/>
      </c>
      <c r="E189" s="55" t="str">
        <f>Grinders!D189</f>
        <v/>
      </c>
      <c r="F189" s="55" t="str">
        <f>Grinders!F189</f>
        <v/>
      </c>
      <c r="G189" s="55" t="str">
        <f>Grinders!H189</f>
        <v/>
      </c>
      <c r="H189" s="55" t="str">
        <f>Grinders!I189</f>
        <v/>
      </c>
      <c r="I189" s="55" t="str">
        <f t="shared" si="1"/>
        <v/>
      </c>
      <c r="J189" s="55" t="str">
        <f t="shared" si="2"/>
        <v/>
      </c>
      <c r="K189" s="55" t="str">
        <f t="shared" si="3"/>
        <v/>
      </c>
      <c r="L189" s="55" t="str">
        <f t="shared" si="4"/>
        <v/>
      </c>
      <c r="M189" s="55" t="str">
        <f t="shared" si="5"/>
        <v/>
      </c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ht="15.75" customHeight="1">
      <c r="A190" s="55" t="str">
        <f>Grinders!A190</f>
        <v/>
      </c>
      <c r="B190" s="55" t="str">
        <f>Grinders!B190</f>
        <v/>
      </c>
      <c r="C190" s="55" t="str">
        <f>Grinders!C190</f>
        <v/>
      </c>
      <c r="D190" s="55" t="str">
        <f>Grinders!E190</f>
        <v/>
      </c>
      <c r="E190" s="55" t="str">
        <f>Grinders!D190</f>
        <v/>
      </c>
      <c r="F190" s="55" t="str">
        <f>Grinders!F190</f>
        <v/>
      </c>
      <c r="G190" s="55" t="str">
        <f>Grinders!H190</f>
        <v/>
      </c>
      <c r="H190" s="55" t="str">
        <f>Grinders!I190</f>
        <v/>
      </c>
      <c r="I190" s="55" t="str">
        <f t="shared" si="1"/>
        <v/>
      </c>
      <c r="J190" s="55" t="str">
        <f t="shared" si="2"/>
        <v/>
      </c>
      <c r="K190" s="55" t="str">
        <f t="shared" si="3"/>
        <v/>
      </c>
      <c r="L190" s="55" t="str">
        <f t="shared" si="4"/>
        <v/>
      </c>
      <c r="M190" s="55" t="str">
        <f t="shared" si="5"/>
        <v/>
      </c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ht="15.75" customHeight="1">
      <c r="A191" s="55" t="str">
        <f>Grinders!A191</f>
        <v/>
      </c>
      <c r="B191" s="55" t="str">
        <f>Grinders!B191</f>
        <v/>
      </c>
      <c r="C191" s="55" t="str">
        <f>Grinders!C191</f>
        <v/>
      </c>
      <c r="D191" s="55" t="str">
        <f>Grinders!E191</f>
        <v/>
      </c>
      <c r="E191" s="55" t="str">
        <f>Grinders!D191</f>
        <v/>
      </c>
      <c r="F191" s="55" t="str">
        <f>Grinders!F191</f>
        <v/>
      </c>
      <c r="G191" s="55" t="str">
        <f>Grinders!H191</f>
        <v/>
      </c>
      <c r="H191" s="55" t="str">
        <f>Grinders!I191</f>
        <v/>
      </c>
      <c r="I191" s="55" t="str">
        <f t="shared" si="1"/>
        <v/>
      </c>
      <c r="J191" s="55" t="str">
        <f t="shared" si="2"/>
        <v/>
      </c>
      <c r="K191" s="55" t="str">
        <f t="shared" si="3"/>
        <v/>
      </c>
      <c r="L191" s="55" t="str">
        <f t="shared" si="4"/>
        <v/>
      </c>
      <c r="M191" s="55" t="str">
        <f t="shared" si="5"/>
        <v/>
      </c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ht="15.75" customHeight="1">
      <c r="A192" s="55" t="str">
        <f>Grinders!A192</f>
        <v/>
      </c>
      <c r="B192" s="55" t="str">
        <f>Grinders!B192</f>
        <v/>
      </c>
      <c r="C192" s="55" t="str">
        <f>Grinders!C192</f>
        <v/>
      </c>
      <c r="D192" s="55" t="str">
        <f>Grinders!E192</f>
        <v/>
      </c>
      <c r="E192" s="55" t="str">
        <f>Grinders!D192</f>
        <v/>
      </c>
      <c r="F192" s="55" t="str">
        <f>Grinders!F192</f>
        <v/>
      </c>
      <c r="G192" s="55" t="str">
        <f>Grinders!H192</f>
        <v/>
      </c>
      <c r="H192" s="55" t="str">
        <f>Grinders!I192</f>
        <v/>
      </c>
      <c r="I192" s="55" t="str">
        <f t="shared" si="1"/>
        <v/>
      </c>
      <c r="J192" s="55" t="str">
        <f t="shared" si="2"/>
        <v/>
      </c>
      <c r="K192" s="55" t="str">
        <f t="shared" si="3"/>
        <v/>
      </c>
      <c r="L192" s="55" t="str">
        <f t="shared" si="4"/>
        <v/>
      </c>
      <c r="M192" s="55" t="str">
        <f t="shared" si="5"/>
        <v/>
      </c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ht="15.75" customHeight="1">
      <c r="A193" s="55" t="str">
        <f>Grinders!A193</f>
        <v/>
      </c>
      <c r="B193" s="55" t="str">
        <f>Grinders!B193</f>
        <v/>
      </c>
      <c r="C193" s="55" t="str">
        <f>Grinders!C193</f>
        <v/>
      </c>
      <c r="D193" s="55" t="str">
        <f>Grinders!E193</f>
        <v/>
      </c>
      <c r="E193" s="55" t="str">
        <f>Grinders!D193</f>
        <v/>
      </c>
      <c r="F193" s="55" t="str">
        <f>Grinders!F193</f>
        <v/>
      </c>
      <c r="G193" s="55" t="str">
        <f>Grinders!H193</f>
        <v/>
      </c>
      <c r="H193" s="55" t="str">
        <f>Grinders!I193</f>
        <v/>
      </c>
      <c r="I193" s="55" t="str">
        <f t="shared" si="1"/>
        <v/>
      </c>
      <c r="J193" s="55" t="str">
        <f t="shared" si="2"/>
        <v/>
      </c>
      <c r="K193" s="55" t="str">
        <f t="shared" si="3"/>
        <v/>
      </c>
      <c r="L193" s="55" t="str">
        <f t="shared" si="4"/>
        <v/>
      </c>
      <c r="M193" s="55" t="str">
        <f t="shared" si="5"/>
        <v/>
      </c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ht="15.75" customHeight="1">
      <c r="A194" s="55" t="str">
        <f>Grinders!A194</f>
        <v/>
      </c>
      <c r="B194" s="55" t="str">
        <f>Grinders!B194</f>
        <v/>
      </c>
      <c r="C194" s="55" t="str">
        <f>Grinders!C194</f>
        <v/>
      </c>
      <c r="D194" s="55" t="str">
        <f>Grinders!E194</f>
        <v/>
      </c>
      <c r="E194" s="55" t="str">
        <f>Grinders!D194</f>
        <v/>
      </c>
      <c r="F194" s="55" t="str">
        <f>Grinders!F194</f>
        <v/>
      </c>
      <c r="G194" s="55" t="str">
        <f>Grinders!H194</f>
        <v/>
      </c>
      <c r="H194" s="55" t="str">
        <f>Grinders!I194</f>
        <v/>
      </c>
      <c r="I194" s="55" t="str">
        <f t="shared" si="1"/>
        <v/>
      </c>
      <c r="J194" s="55" t="str">
        <f t="shared" si="2"/>
        <v/>
      </c>
      <c r="K194" s="55" t="str">
        <f t="shared" si="3"/>
        <v/>
      </c>
      <c r="L194" s="55" t="str">
        <f t="shared" si="4"/>
        <v/>
      </c>
      <c r="M194" s="55" t="str">
        <f t="shared" si="5"/>
        <v/>
      </c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ht="15.75" customHeight="1">
      <c r="A195" s="55" t="str">
        <f>Grinders!A195</f>
        <v/>
      </c>
      <c r="B195" s="55" t="str">
        <f>Grinders!B195</f>
        <v/>
      </c>
      <c r="C195" s="55" t="str">
        <f>Grinders!C195</f>
        <v/>
      </c>
      <c r="D195" s="55" t="str">
        <f>Grinders!E195</f>
        <v/>
      </c>
      <c r="E195" s="55" t="str">
        <f>Grinders!D195</f>
        <v/>
      </c>
      <c r="F195" s="55" t="str">
        <f>Grinders!F195</f>
        <v/>
      </c>
      <c r="G195" s="55" t="str">
        <f>Grinders!H195</f>
        <v/>
      </c>
      <c r="H195" s="55" t="str">
        <f>Grinders!I195</f>
        <v/>
      </c>
      <c r="I195" s="55" t="str">
        <f t="shared" si="1"/>
        <v/>
      </c>
      <c r="J195" s="55" t="str">
        <f t="shared" si="2"/>
        <v/>
      </c>
      <c r="K195" s="55" t="str">
        <f t="shared" si="3"/>
        <v/>
      </c>
      <c r="L195" s="55" t="str">
        <f t="shared" si="4"/>
        <v/>
      </c>
      <c r="M195" s="55" t="str">
        <f t="shared" si="5"/>
        <v/>
      </c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ht="15.75" customHeight="1">
      <c r="A196" s="55" t="str">
        <f>Grinders!A196</f>
        <v/>
      </c>
      <c r="B196" s="55" t="str">
        <f>Grinders!B196</f>
        <v/>
      </c>
      <c r="C196" s="55" t="str">
        <f>Grinders!C196</f>
        <v/>
      </c>
      <c r="D196" s="55" t="str">
        <f>Grinders!E196</f>
        <v/>
      </c>
      <c r="E196" s="55" t="str">
        <f>Grinders!D196</f>
        <v/>
      </c>
      <c r="F196" s="55" t="str">
        <f>Grinders!F196</f>
        <v/>
      </c>
      <c r="G196" s="55" t="str">
        <f>Grinders!H196</f>
        <v/>
      </c>
      <c r="H196" s="55" t="str">
        <f>Grinders!I196</f>
        <v/>
      </c>
      <c r="I196" s="55" t="str">
        <f t="shared" si="1"/>
        <v/>
      </c>
      <c r="J196" s="55" t="str">
        <f t="shared" si="2"/>
        <v/>
      </c>
      <c r="K196" s="55" t="str">
        <f t="shared" si="3"/>
        <v/>
      </c>
      <c r="L196" s="55" t="str">
        <f t="shared" si="4"/>
        <v/>
      </c>
      <c r="M196" s="55" t="str">
        <f t="shared" si="5"/>
        <v/>
      </c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ht="15.75" customHeight="1">
      <c r="A197" s="55" t="str">
        <f>Grinders!A197</f>
        <v/>
      </c>
      <c r="B197" s="55" t="str">
        <f>Grinders!B197</f>
        <v/>
      </c>
      <c r="C197" s="55" t="str">
        <f>Grinders!C197</f>
        <v/>
      </c>
      <c r="D197" s="55" t="str">
        <f>Grinders!E197</f>
        <v/>
      </c>
      <c r="E197" s="55" t="str">
        <f>Grinders!D197</f>
        <v/>
      </c>
      <c r="F197" s="55" t="str">
        <f>Grinders!F197</f>
        <v/>
      </c>
      <c r="G197" s="55" t="str">
        <f>Grinders!H197</f>
        <v/>
      </c>
      <c r="H197" s="55" t="str">
        <f>Grinders!I197</f>
        <v/>
      </c>
      <c r="I197" s="55" t="str">
        <f t="shared" si="1"/>
        <v/>
      </c>
      <c r="J197" s="55" t="str">
        <f t="shared" si="2"/>
        <v/>
      </c>
      <c r="K197" s="55" t="str">
        <f t="shared" si="3"/>
        <v/>
      </c>
      <c r="L197" s="55" t="str">
        <f t="shared" si="4"/>
        <v/>
      </c>
      <c r="M197" s="55" t="str">
        <f t="shared" si="5"/>
        <v/>
      </c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ht="15.75" customHeight="1">
      <c r="A198" s="55" t="str">
        <f>Grinders!A198</f>
        <v/>
      </c>
      <c r="B198" s="55" t="str">
        <f>Grinders!B198</f>
        <v/>
      </c>
      <c r="C198" s="55" t="str">
        <f>Grinders!C198</f>
        <v/>
      </c>
      <c r="D198" s="55" t="str">
        <f>Grinders!E198</f>
        <v/>
      </c>
      <c r="E198" s="55" t="str">
        <f>Grinders!D198</f>
        <v/>
      </c>
      <c r="F198" s="55" t="str">
        <f>Grinders!F198</f>
        <v/>
      </c>
      <c r="G198" s="55" t="str">
        <f>Grinders!H198</f>
        <v/>
      </c>
      <c r="H198" s="55" t="str">
        <f>Grinders!I198</f>
        <v/>
      </c>
      <c r="I198" s="55" t="str">
        <f t="shared" si="1"/>
        <v/>
      </c>
      <c r="J198" s="55" t="str">
        <f t="shared" si="2"/>
        <v/>
      </c>
      <c r="K198" s="55" t="str">
        <f t="shared" si="3"/>
        <v/>
      </c>
      <c r="L198" s="55" t="str">
        <f t="shared" si="4"/>
        <v/>
      </c>
      <c r="M198" s="55" t="str">
        <f t="shared" si="5"/>
        <v/>
      </c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ht="15.75" customHeight="1">
      <c r="A199" s="55" t="str">
        <f>Grinders!A199</f>
        <v/>
      </c>
      <c r="B199" s="55" t="str">
        <f>Grinders!B199</f>
        <v/>
      </c>
      <c r="C199" s="55" t="str">
        <f>Grinders!C199</f>
        <v/>
      </c>
      <c r="D199" s="55" t="str">
        <f>Grinders!E199</f>
        <v/>
      </c>
      <c r="E199" s="55" t="str">
        <f>Grinders!D199</f>
        <v/>
      </c>
      <c r="F199" s="55" t="str">
        <f>Grinders!F199</f>
        <v/>
      </c>
      <c r="G199" s="55" t="str">
        <f>Grinders!H199</f>
        <v/>
      </c>
      <c r="H199" s="55" t="str">
        <f>Grinders!I199</f>
        <v/>
      </c>
      <c r="I199" s="55" t="str">
        <f t="shared" si="1"/>
        <v/>
      </c>
      <c r="J199" s="55" t="str">
        <f t="shared" si="2"/>
        <v/>
      </c>
      <c r="K199" s="55" t="str">
        <f t="shared" si="3"/>
        <v/>
      </c>
      <c r="L199" s="55" t="str">
        <f t="shared" si="4"/>
        <v/>
      </c>
      <c r="M199" s="55" t="str">
        <f t="shared" si="5"/>
        <v/>
      </c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ht="15.75" customHeight="1">
      <c r="A200" s="55" t="str">
        <f>Grinders!A200</f>
        <v/>
      </c>
      <c r="B200" s="55" t="str">
        <f>Grinders!B200</f>
        <v/>
      </c>
      <c r="C200" s="55" t="str">
        <f>Grinders!C200</f>
        <v/>
      </c>
      <c r="D200" s="55" t="str">
        <f>Grinders!E200</f>
        <v/>
      </c>
      <c r="E200" s="55" t="str">
        <f>Grinders!D200</f>
        <v/>
      </c>
      <c r="F200" s="55" t="str">
        <f>Grinders!F200</f>
        <v/>
      </c>
      <c r="G200" s="55" t="str">
        <f>Grinders!H200</f>
        <v/>
      </c>
      <c r="H200" s="55" t="str">
        <f>Grinders!I200</f>
        <v/>
      </c>
      <c r="I200" s="55" t="str">
        <f t="shared" si="1"/>
        <v/>
      </c>
      <c r="J200" s="55" t="str">
        <f t="shared" si="2"/>
        <v/>
      </c>
      <c r="K200" s="55" t="str">
        <f t="shared" si="3"/>
        <v/>
      </c>
      <c r="L200" s="55" t="str">
        <f t="shared" si="4"/>
        <v/>
      </c>
      <c r="M200" s="55" t="str">
        <f t="shared" si="5"/>
        <v/>
      </c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ht="15.75" customHeight="1">
      <c r="A201" s="55" t="str">
        <f>Grinders!A201</f>
        <v/>
      </c>
      <c r="B201" s="55" t="str">
        <f>Grinders!B201</f>
        <v/>
      </c>
      <c r="C201" s="55" t="str">
        <f>Grinders!C201</f>
        <v/>
      </c>
      <c r="D201" s="55" t="str">
        <f>Grinders!E201</f>
        <v/>
      </c>
      <c r="E201" s="55" t="str">
        <f>Grinders!D201</f>
        <v/>
      </c>
      <c r="F201" s="55" t="str">
        <f>Grinders!F201</f>
        <v/>
      </c>
      <c r="G201" s="55" t="str">
        <f>Grinders!H201</f>
        <v/>
      </c>
      <c r="H201" s="55" t="str">
        <f>Grinders!I201</f>
        <v/>
      </c>
      <c r="I201" s="55" t="str">
        <f t="shared" si="1"/>
        <v/>
      </c>
      <c r="J201" s="55" t="str">
        <f t="shared" si="2"/>
        <v/>
      </c>
      <c r="K201" s="55" t="str">
        <f t="shared" si="3"/>
        <v/>
      </c>
      <c r="L201" s="55" t="str">
        <f t="shared" si="4"/>
        <v/>
      </c>
      <c r="M201" s="55" t="str">
        <f t="shared" si="5"/>
        <v/>
      </c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ht="15.75" customHeight="1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ht="15.75" customHeight="1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ht="15.75" customHeight="1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ht="15.75" customHeight="1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ht="15.75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ht="15.75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ht="15.75" customHeight="1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ht="15.75" customHeight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ht="15.75" customHeight="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ht="15.75" customHeight="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ht="15.75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ht="15.75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ht="15.75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ht="15.75" customHeight="1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ht="15.75" customHeight="1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ht="15.75" customHeight="1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ht="15.75" customHeight="1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ht="15.75" customHeight="1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ht="15.75" customHeight="1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ht="15.75" customHeight="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ht="15.75" customHeight="1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ht="15.75" customHeight="1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ht="15.75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ht="15.75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ht="15.75" customHeight="1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ht="15.75" customHeight="1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ht="15.75" customHeight="1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ht="15.75" customHeight="1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ht="15.75" customHeight="1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ht="15.75" customHeight="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ht="15.75" customHeight="1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ht="15.75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ht="15.75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ht="15.75" customHeight="1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ht="15.75" customHeight="1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ht="15.75" customHeight="1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ht="15.75" customHeight="1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ht="15.75" customHeight="1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ht="15.75" customHeight="1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ht="15.75" customHeight="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ht="15.75" customHeigh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ht="15.75" customHeight="1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ht="15.75" customHeight="1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ht="15.75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ht="15.75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ht="15.75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ht="15.75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ht="15.75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ht="15.75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ht="15.75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ht="15.75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ht="15.75" customHeight="1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ht="15.75" customHeight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ht="15.75" customHeight="1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ht="15.75" customHeight="1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ht="15.75" customHeight="1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ht="15.75" customHeight="1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ht="15.75" customHeight="1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ht="15.75" customHeight="1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ht="15.75" customHeight="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ht="15.75" customHeight="1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ht="15.75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ht="15.75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ht="15.75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ht="15.75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ht="15.75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ht="15.75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ht="15.75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ht="15.75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ht="15.75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ht="15.75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ht="15.75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ht="15.75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ht="15.75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ht="15.75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ht="15.75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ht="15.75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ht="15.75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ht="15.75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ht="15.75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ht="15.75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ht="15.75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ht="15.75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ht="15.75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ht="15.75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ht="15.75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ht="15.75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ht="15.75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ht="15.75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ht="15.75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ht="15.75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ht="15.75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ht="15.75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ht="15.75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ht="15.75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ht="15.75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ht="15.75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ht="15.75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ht="15.75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ht="15.75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ht="15.75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ht="15.7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ht="15.75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ht="15.75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ht="15.7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ht="15.75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ht="15.7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ht="15.75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ht="15.75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ht="15.75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ht="15.75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ht="15.75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ht="15.75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ht="15.75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ht="15.75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ht="15.75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ht="15.75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ht="15.75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ht="15.75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ht="15.75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ht="15.7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ht="15.7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ht="15.7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ht="15.7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ht="15.7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ht="15.7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ht="15.7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ht="15.7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ht="15.7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ht="15.7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ht="15.7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ht="15.7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ht="15.7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ht="15.7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ht="15.7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ht="15.7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ht="15.7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ht="15.7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ht="15.7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ht="15.7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ht="15.7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ht="15.7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ht="15.7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ht="15.7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ht="15.7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ht="15.7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ht="15.7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ht="15.7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ht="15.7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ht="15.7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ht="15.7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ht="15.7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ht="15.7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ht="15.7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ht="15.7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ht="15.7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ht="15.7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ht="15.7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ht="15.7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ht="15.7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ht="15.7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ht="15.7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ht="15.7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ht="15.7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ht="15.7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ht="15.7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ht="15.7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ht="15.7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ht="15.7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ht="15.7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ht="15.7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ht="15.7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ht="15.7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ht="15.7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ht="15.7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ht="15.7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ht="15.7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ht="15.7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ht="15.7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ht="15.7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ht="15.7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ht="15.7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ht="15.7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ht="15.7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ht="15.7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ht="15.7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ht="15.7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ht="15.7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ht="15.7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ht="15.7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ht="15.7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ht="15.7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ht="15.7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ht="15.7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ht="15.7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ht="15.7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ht="15.7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ht="15.7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ht="15.7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ht="15.7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</row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8.71"/>
  </cols>
  <sheetData>
    <row r="1">
      <c r="A1" s="40" t="s">
        <v>282</v>
      </c>
      <c r="B1" s="40" t="s">
        <v>339</v>
      </c>
      <c r="C1" s="40" t="s">
        <v>4</v>
      </c>
      <c r="D1" s="40" t="s">
        <v>96</v>
      </c>
      <c r="E1" s="40" t="s">
        <v>340</v>
      </c>
      <c r="F1" s="40" t="s">
        <v>341</v>
      </c>
      <c r="G1" s="40" t="s">
        <v>412</v>
      </c>
      <c r="H1" s="40" t="s">
        <v>406</v>
      </c>
      <c r="I1" s="40" t="s">
        <v>101</v>
      </c>
      <c r="J1" s="40" t="s">
        <v>413</v>
      </c>
      <c r="K1" s="40" t="s">
        <v>414</v>
      </c>
      <c r="L1" s="40" t="s">
        <v>415</v>
      </c>
      <c r="M1" s="40" t="s">
        <v>416</v>
      </c>
      <c r="N1" s="40" t="s">
        <v>407</v>
      </c>
      <c r="O1" s="40" t="s">
        <v>417</v>
      </c>
      <c r="P1" s="40" t="s">
        <v>73</v>
      </c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40" t="str">
        <f>Grinders!A4</f>
        <v>GRD-01</v>
      </c>
      <c r="B2" s="40" t="str">
        <f>Grinders!B4</f>
        <v>7unds</v>
      </c>
      <c r="C2" s="40" t="str">
        <f>Grinders!C4</f>
        <v>Regular</v>
      </c>
      <c r="D2" s="40" t="str">
        <f>Grinders!D4</f>
        <v>3</v>
      </c>
      <c r="E2" s="40">
        <f>Grinders!E4</f>
        <v>1</v>
      </c>
      <c r="F2" s="40">
        <f>Grinders!F4</f>
        <v>0</v>
      </c>
      <c r="G2" s="40">
        <f>Grinders!G4</f>
        <v>46074</v>
      </c>
      <c r="H2" s="54">
        <f>Grinders!H4</f>
        <v>-3</v>
      </c>
      <c r="I2" s="40">
        <f>Grinders!I4</f>
        <v>0.3333333333</v>
      </c>
      <c r="J2" s="40" t="str">
        <f>Grinders!J4</f>
        <v/>
      </c>
      <c r="K2" s="40" t="str">
        <f>Grinders!K4</f>
        <v/>
      </c>
      <c r="L2" s="40">
        <f>Grinders!L4</f>
        <v>0</v>
      </c>
      <c r="M2" s="40" t="str">
        <f>Grinders!M4</f>
        <v/>
      </c>
      <c r="N2" s="40" t="str">
        <f t="shared" ref="N2:N201" si="1">IF(A2="","",IF(E2&gt;=D2,"🔥",IF(E2/D2&gt;=0.6,"🟡","🟢")))</f>
        <v>🟢</v>
      </c>
      <c r="O2" s="40" t="str">
        <f t="shared" ref="O2:O201" si="2">IF(A2="","",IF(E2&gt;=D2,"⛔ Unlikely (Over Capacity)",IF(AND(E2=0,F2=0),"✅ Likely (Needs Order)",IF(H2&gt;=3,"✅ Likely (Idle)", "⚖️ Neutral"))))</f>
        <v>⚖️ Neutral</v>
      </c>
      <c r="P2" s="40" t="str">
        <f t="shared" ref="P2:P201" si="3">IF(A2="","",IF(N2="🔥","Overloaded—cooldown",IF(AND(E2=0,F2=0),"New/idle—prioritize", "Balanced")) )</f>
        <v>Balanced</v>
      </c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40" t="str">
        <f>Grinders!A5</f>
        <v>GRD-02</v>
      </c>
      <c r="B3" s="40" t="str">
        <f>Grinders!B5</f>
        <v>8fy1</v>
      </c>
      <c r="C3" s="40" t="str">
        <f>Grinders!C5</f>
        <v>Regular</v>
      </c>
      <c r="D3" s="40" t="str">
        <f>Grinders!D5</f>
        <v>3</v>
      </c>
      <c r="E3" s="40">
        <f>Grinders!E5</f>
        <v>0</v>
      </c>
      <c r="F3" s="40">
        <f>Grinders!F5</f>
        <v>0</v>
      </c>
      <c r="G3" s="40">
        <f>Grinders!G5</f>
        <v>0</v>
      </c>
      <c r="H3" s="54">
        <f>Grinders!H5</f>
        <v>46071</v>
      </c>
      <c r="I3" s="40">
        <f>Grinders!I5</f>
        <v>0</v>
      </c>
      <c r="J3" s="40" t="str">
        <f>Grinders!J5</f>
        <v/>
      </c>
      <c r="K3" s="40" t="str">
        <f>Grinders!K5</f>
        <v/>
      </c>
      <c r="L3" s="40">
        <f>Grinders!L5</f>
        <v>0</v>
      </c>
      <c r="M3" s="40" t="str">
        <f>Grinders!M5</f>
        <v/>
      </c>
      <c r="N3" s="40" t="str">
        <f t="shared" si="1"/>
        <v>🟢</v>
      </c>
      <c r="O3" s="40" t="str">
        <f t="shared" si="2"/>
        <v>✅ Likely (Needs Order)</v>
      </c>
      <c r="P3" s="40" t="str">
        <f t="shared" si="3"/>
        <v>New/idle—prioritize</v>
      </c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40" t="str">
        <f>Grinders!A6</f>
        <v>GRD-03</v>
      </c>
      <c r="B4" s="40" t="str">
        <f>Grinders!B6</f>
        <v>ahdedazs</v>
      </c>
      <c r="C4" s="40" t="str">
        <f>Grinders!C6</f>
        <v>Regular</v>
      </c>
      <c r="D4" s="40" t="str">
        <f>Grinders!D6</f>
        <v>3</v>
      </c>
      <c r="E4" s="40">
        <f>Grinders!E6</f>
        <v>0</v>
      </c>
      <c r="F4" s="40">
        <f>Grinders!F6</f>
        <v>0</v>
      </c>
      <c r="G4" s="40">
        <f>Grinders!G6</f>
        <v>0</v>
      </c>
      <c r="H4" s="54">
        <f>Grinders!H6</f>
        <v>46071</v>
      </c>
      <c r="I4" s="40">
        <f>Grinders!I6</f>
        <v>0</v>
      </c>
      <c r="J4" s="40" t="str">
        <f>Grinders!J6</f>
        <v/>
      </c>
      <c r="K4" s="40" t="str">
        <f>Grinders!K6</f>
        <v/>
      </c>
      <c r="L4" s="40">
        <f>Grinders!L6</f>
        <v>0</v>
      </c>
      <c r="M4" s="40" t="str">
        <f>Grinders!M6</f>
        <v/>
      </c>
      <c r="N4" s="40" t="str">
        <f t="shared" si="1"/>
        <v>🟢</v>
      </c>
      <c r="O4" s="40" t="str">
        <f t="shared" si="2"/>
        <v>✅ Likely (Needs Order)</v>
      </c>
      <c r="P4" s="40" t="str">
        <f t="shared" si="3"/>
        <v>New/idle—prioritize</v>
      </c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40" t="str">
        <f>Grinders!A7</f>
        <v>GRD-04</v>
      </c>
      <c r="B5" s="40" t="str">
        <f>Grinders!B7</f>
        <v>andydpoy</v>
      </c>
      <c r="C5" s="40" t="str">
        <f>Grinders!C7</f>
        <v>Regular</v>
      </c>
      <c r="D5" s="40" t="str">
        <f>Grinders!D7</f>
        <v>3</v>
      </c>
      <c r="E5" s="40">
        <f>Grinders!E7</f>
        <v>0</v>
      </c>
      <c r="F5" s="40">
        <f>Grinders!F7</f>
        <v>0</v>
      </c>
      <c r="G5" s="40">
        <f>Grinders!G7</f>
        <v>0</v>
      </c>
      <c r="H5" s="54">
        <f>Grinders!H7</f>
        <v>46071</v>
      </c>
      <c r="I5" s="40">
        <f>Grinders!I7</f>
        <v>0</v>
      </c>
      <c r="J5" s="40" t="str">
        <f>Grinders!J7</f>
        <v/>
      </c>
      <c r="K5" s="40" t="str">
        <f>Grinders!K7</f>
        <v/>
      </c>
      <c r="L5" s="40">
        <f>Grinders!L7</f>
        <v>0</v>
      </c>
      <c r="M5" s="40" t="str">
        <f>Grinders!M7</f>
        <v/>
      </c>
      <c r="N5" s="40" t="str">
        <f t="shared" si="1"/>
        <v>🟢</v>
      </c>
      <c r="O5" s="40" t="str">
        <f t="shared" si="2"/>
        <v>✅ Likely (Needs Order)</v>
      </c>
      <c r="P5" s="40" t="str">
        <f t="shared" si="3"/>
        <v>New/idle—prioritize</v>
      </c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40" t="str">
        <f>Grinders!A8</f>
        <v>GRD-05</v>
      </c>
      <c r="B6" s="40" t="str">
        <f>Grinders!B8</f>
        <v>anklesreborn</v>
      </c>
      <c r="C6" s="40" t="str">
        <f>Grinders!C8</f>
        <v>Regular</v>
      </c>
      <c r="D6" s="40" t="str">
        <f>Grinders!D8</f>
        <v>3</v>
      </c>
      <c r="E6" s="40">
        <f>Grinders!E8</f>
        <v>0</v>
      </c>
      <c r="F6" s="40">
        <f>Grinders!F8</f>
        <v>0</v>
      </c>
      <c r="G6" s="40">
        <f>Grinders!G8</f>
        <v>0</v>
      </c>
      <c r="H6" s="54">
        <f>Grinders!H8</f>
        <v>46071</v>
      </c>
      <c r="I6" s="40">
        <f>Grinders!I8</f>
        <v>0</v>
      </c>
      <c r="J6" s="40" t="str">
        <f>Grinders!J8</f>
        <v/>
      </c>
      <c r="K6" s="40" t="str">
        <f>Grinders!K8</f>
        <v/>
      </c>
      <c r="L6" s="40">
        <f>Grinders!L8</f>
        <v>0</v>
      </c>
      <c r="M6" s="40" t="str">
        <f>Grinders!M8</f>
        <v/>
      </c>
      <c r="N6" s="40" t="str">
        <f t="shared" si="1"/>
        <v>🟢</v>
      </c>
      <c r="O6" s="40" t="str">
        <f t="shared" si="2"/>
        <v>✅ Likely (Needs Order)</v>
      </c>
      <c r="P6" s="40" t="str">
        <f t="shared" si="3"/>
        <v>New/idle—prioritize</v>
      </c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40" t="str">
        <f>Grinders!A9</f>
        <v>GRD-06</v>
      </c>
      <c r="B7" s="40" t="str">
        <f>Grinders!B9</f>
        <v>ant0513</v>
      </c>
      <c r="C7" s="40" t="str">
        <f>Grinders!C9</f>
        <v>Regular</v>
      </c>
      <c r="D7" s="40" t="str">
        <f>Grinders!D9</f>
        <v>3</v>
      </c>
      <c r="E7" s="40">
        <f>Grinders!E9</f>
        <v>0</v>
      </c>
      <c r="F7" s="40">
        <f>Grinders!F9</f>
        <v>0</v>
      </c>
      <c r="G7" s="40">
        <f>Grinders!G9</f>
        <v>0</v>
      </c>
      <c r="H7" s="54">
        <f>Grinders!H9</f>
        <v>46071</v>
      </c>
      <c r="I7" s="40">
        <f>Grinders!I9</f>
        <v>0</v>
      </c>
      <c r="J7" s="40" t="str">
        <f>Grinders!J9</f>
        <v/>
      </c>
      <c r="K7" s="40" t="str">
        <f>Grinders!K9</f>
        <v/>
      </c>
      <c r="L7" s="40">
        <f>Grinders!L9</f>
        <v>0</v>
      </c>
      <c r="M7" s="40" t="str">
        <f>Grinders!M9</f>
        <v/>
      </c>
      <c r="N7" s="40" t="str">
        <f t="shared" si="1"/>
        <v>🟢</v>
      </c>
      <c r="O7" s="40" t="str">
        <f t="shared" si="2"/>
        <v>✅ Likely (Needs Order)</v>
      </c>
      <c r="P7" s="40" t="str">
        <f t="shared" si="3"/>
        <v>New/idle—prioritize</v>
      </c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40" t="str">
        <f>Grinders!A10</f>
        <v>GRD-07</v>
      </c>
      <c r="B8" s="40" t="str">
        <f>Grinders!B10</f>
        <v>asierxx</v>
      </c>
      <c r="C8" s="40" t="str">
        <f>Grinders!C10</f>
        <v>Regular</v>
      </c>
      <c r="D8" s="40" t="str">
        <f>Grinders!D10</f>
        <v>3</v>
      </c>
      <c r="E8" s="40">
        <f>Grinders!E10</f>
        <v>0</v>
      </c>
      <c r="F8" s="40">
        <f>Grinders!F10</f>
        <v>0</v>
      </c>
      <c r="G8" s="40">
        <f>Grinders!G10</f>
        <v>0</v>
      </c>
      <c r="H8" s="54">
        <f>Grinders!H10</f>
        <v>46071</v>
      </c>
      <c r="I8" s="40">
        <f>Grinders!I10</f>
        <v>0</v>
      </c>
      <c r="J8" s="40" t="str">
        <f>Grinders!J10</f>
        <v/>
      </c>
      <c r="K8" s="40" t="str">
        <f>Grinders!K10</f>
        <v/>
      </c>
      <c r="L8" s="40">
        <f>Grinders!L10</f>
        <v>0</v>
      </c>
      <c r="M8" s="40" t="str">
        <f>Grinders!M10</f>
        <v/>
      </c>
      <c r="N8" s="40" t="str">
        <f t="shared" si="1"/>
        <v>🟢</v>
      </c>
      <c r="O8" s="40" t="str">
        <f t="shared" si="2"/>
        <v>✅ Likely (Needs Order)</v>
      </c>
      <c r="P8" s="40" t="str">
        <f t="shared" si="3"/>
        <v>New/idle—prioritize</v>
      </c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40" t="str">
        <f>Grinders!A11</f>
        <v>GRD-08</v>
      </c>
      <c r="B9" s="40" t="str">
        <f>Grinders!B11</f>
        <v>bigt20011_</v>
      </c>
      <c r="C9" s="40" t="str">
        <f>Grinders!C11</f>
        <v>Regular</v>
      </c>
      <c r="D9" s="40" t="str">
        <f>Grinders!D11</f>
        <v>3</v>
      </c>
      <c r="E9" s="40">
        <f>Grinders!E11</f>
        <v>0</v>
      </c>
      <c r="F9" s="40">
        <f>Grinders!F11</f>
        <v>0</v>
      </c>
      <c r="G9" s="40">
        <f>Grinders!G11</f>
        <v>0</v>
      </c>
      <c r="H9" s="54">
        <f>Grinders!H11</f>
        <v>46071</v>
      </c>
      <c r="I9" s="40">
        <f>Grinders!I11</f>
        <v>0</v>
      </c>
      <c r="J9" s="40" t="str">
        <f>Grinders!J11</f>
        <v/>
      </c>
      <c r="K9" s="40" t="str">
        <f>Grinders!K11</f>
        <v/>
      </c>
      <c r="L9" s="40">
        <f>Grinders!L11</f>
        <v>0</v>
      </c>
      <c r="M9" s="40" t="str">
        <f>Grinders!M11</f>
        <v/>
      </c>
      <c r="N9" s="40" t="str">
        <f t="shared" si="1"/>
        <v>🟢</v>
      </c>
      <c r="O9" s="40" t="str">
        <f t="shared" si="2"/>
        <v>✅ Likely (Needs Order)</v>
      </c>
      <c r="P9" s="40" t="str">
        <f t="shared" si="3"/>
        <v>New/idle—prioritize</v>
      </c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40" t="str">
        <f>Grinders!A12</f>
        <v>GRD-09</v>
      </c>
      <c r="B10" s="40" t="str">
        <f>Grinders!B12</f>
        <v>boards4238</v>
      </c>
      <c r="C10" s="40" t="str">
        <f>Grinders!C12</f>
        <v>Regular</v>
      </c>
      <c r="D10" s="40" t="str">
        <f>Grinders!D12</f>
        <v>3</v>
      </c>
      <c r="E10" s="40">
        <f>Grinders!E12</f>
        <v>0</v>
      </c>
      <c r="F10" s="40">
        <f>Grinders!F12</f>
        <v>0</v>
      </c>
      <c r="G10" s="40">
        <f>Grinders!G12</f>
        <v>0</v>
      </c>
      <c r="H10" s="54">
        <f>Grinders!H12</f>
        <v>46071</v>
      </c>
      <c r="I10" s="40">
        <f>Grinders!I12</f>
        <v>0</v>
      </c>
      <c r="J10" s="40" t="str">
        <f>Grinders!J12</f>
        <v/>
      </c>
      <c r="K10" s="40" t="str">
        <f>Grinders!K12</f>
        <v/>
      </c>
      <c r="L10" s="40">
        <f>Grinders!L12</f>
        <v>0</v>
      </c>
      <c r="M10" s="40" t="str">
        <f>Grinders!M12</f>
        <v/>
      </c>
      <c r="N10" s="40" t="str">
        <f t="shared" si="1"/>
        <v>🟢</v>
      </c>
      <c r="O10" s="40" t="str">
        <f t="shared" si="2"/>
        <v>✅ Likely (Needs Order)</v>
      </c>
      <c r="P10" s="40" t="str">
        <f t="shared" si="3"/>
        <v>New/idle—prioritize</v>
      </c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40" t="str">
        <f>Grinders!A13</f>
        <v>GRD-10</v>
      </c>
      <c r="B11" s="40" t="str">
        <f>Grinders!B13</f>
        <v>bumped240hz</v>
      </c>
      <c r="C11" s="40" t="str">
        <f>Grinders!C13</f>
        <v>Regular</v>
      </c>
      <c r="D11" s="40" t="str">
        <f>Grinders!D13</f>
        <v>3</v>
      </c>
      <c r="E11" s="40">
        <f>Grinders!E13</f>
        <v>0</v>
      </c>
      <c r="F11" s="40">
        <f>Grinders!F13</f>
        <v>0</v>
      </c>
      <c r="G11" s="40">
        <f>Grinders!G13</f>
        <v>0</v>
      </c>
      <c r="H11" s="54">
        <f>Grinders!H13</f>
        <v>46071</v>
      </c>
      <c r="I11" s="40">
        <f>Grinders!I13</f>
        <v>0</v>
      </c>
      <c r="J11" s="40" t="str">
        <f>Grinders!J13</f>
        <v/>
      </c>
      <c r="K11" s="40" t="str">
        <f>Grinders!K13</f>
        <v/>
      </c>
      <c r="L11" s="40">
        <f>Grinders!L13</f>
        <v>0</v>
      </c>
      <c r="M11" s="40" t="str">
        <f>Grinders!M13</f>
        <v/>
      </c>
      <c r="N11" s="40" t="str">
        <f t="shared" si="1"/>
        <v>🟢</v>
      </c>
      <c r="O11" s="40" t="str">
        <f t="shared" si="2"/>
        <v>✅ Likely (Needs Order)</v>
      </c>
      <c r="P11" s="40" t="str">
        <f t="shared" si="3"/>
        <v>New/idle—prioritize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40" t="str">
        <f>Grinders!A14</f>
        <v>GRD-11</v>
      </c>
      <c r="B12" s="40" t="str">
        <f>Grinders!B14</f>
        <v>bumpincombos</v>
      </c>
      <c r="C12" s="40" t="str">
        <f>Grinders!C14</f>
        <v>Regular</v>
      </c>
      <c r="D12" s="40" t="str">
        <f>Grinders!D14</f>
        <v>3</v>
      </c>
      <c r="E12" s="40">
        <f>Grinders!E14</f>
        <v>0</v>
      </c>
      <c r="F12" s="40">
        <f>Grinders!F14</f>
        <v>0</v>
      </c>
      <c r="G12" s="40">
        <f>Grinders!G14</f>
        <v>0</v>
      </c>
      <c r="H12" s="54">
        <f>Grinders!H14</f>
        <v>46071</v>
      </c>
      <c r="I12" s="40">
        <f>Grinders!I14</f>
        <v>0</v>
      </c>
      <c r="J12" s="40" t="str">
        <f>Grinders!J14</f>
        <v/>
      </c>
      <c r="K12" s="40" t="str">
        <f>Grinders!K14</f>
        <v/>
      </c>
      <c r="L12" s="40">
        <f>Grinders!L14</f>
        <v>0</v>
      </c>
      <c r="M12" s="40" t="str">
        <f>Grinders!M14</f>
        <v/>
      </c>
      <c r="N12" s="40" t="str">
        <f t="shared" si="1"/>
        <v>🟢</v>
      </c>
      <c r="O12" s="40" t="str">
        <f t="shared" si="2"/>
        <v>✅ Likely (Needs Order)</v>
      </c>
      <c r="P12" s="40" t="str">
        <f t="shared" si="3"/>
        <v>New/idle—prioritize</v>
      </c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40" t="str">
        <f>Grinders!A15</f>
        <v>GRD-12</v>
      </c>
      <c r="B13" s="40" t="str">
        <f>Grinders!B15</f>
        <v>cerhzn</v>
      </c>
      <c r="C13" s="40" t="str">
        <f>Grinders!C15</f>
        <v>Regular</v>
      </c>
      <c r="D13" s="40" t="str">
        <f>Grinders!D15</f>
        <v>3</v>
      </c>
      <c r="E13" s="40">
        <f>Grinders!E15</f>
        <v>0</v>
      </c>
      <c r="F13" s="40">
        <f>Grinders!F15</f>
        <v>0</v>
      </c>
      <c r="G13" s="40">
        <f>Grinders!G15</f>
        <v>0</v>
      </c>
      <c r="H13" s="54">
        <f>Grinders!H15</f>
        <v>46071</v>
      </c>
      <c r="I13" s="40">
        <f>Grinders!I15</f>
        <v>0</v>
      </c>
      <c r="J13" s="40" t="str">
        <f>Grinders!J15</f>
        <v/>
      </c>
      <c r="K13" s="40" t="str">
        <f>Grinders!K15</f>
        <v/>
      </c>
      <c r="L13" s="40">
        <f>Grinders!L15</f>
        <v>0</v>
      </c>
      <c r="M13" s="40" t="str">
        <f>Grinders!M15</f>
        <v/>
      </c>
      <c r="N13" s="40" t="str">
        <f t="shared" si="1"/>
        <v>🟢</v>
      </c>
      <c r="O13" s="40" t="str">
        <f t="shared" si="2"/>
        <v>✅ Likely (Needs Order)</v>
      </c>
      <c r="P13" s="40" t="str">
        <f t="shared" si="3"/>
        <v>New/idle—prioritize</v>
      </c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40" t="str">
        <f>Grinders!A16</f>
        <v>GRD-13</v>
      </c>
      <c r="B14" s="40" t="str">
        <f>Grinders!B16</f>
        <v>comptomuch</v>
      </c>
      <c r="C14" s="40" t="str">
        <f>Grinders!C16</f>
        <v>Elite</v>
      </c>
      <c r="D14" s="40" t="str">
        <f>Grinders!D16</f>
        <v>5</v>
      </c>
      <c r="E14" s="40">
        <f>Grinders!E16</f>
        <v>0</v>
      </c>
      <c r="F14" s="40">
        <f>Grinders!F16</f>
        <v>0</v>
      </c>
      <c r="G14" s="40">
        <f>Grinders!G16</f>
        <v>0</v>
      </c>
      <c r="H14" s="54">
        <f>Grinders!H16</f>
        <v>46071</v>
      </c>
      <c r="I14" s="40">
        <f>Grinders!I16</f>
        <v>0</v>
      </c>
      <c r="J14" s="40" t="str">
        <f>Grinders!J16</f>
        <v/>
      </c>
      <c r="K14" s="40" t="str">
        <f>Grinders!K16</f>
        <v/>
      </c>
      <c r="L14" s="40">
        <f>Grinders!L16</f>
        <v>0</v>
      </c>
      <c r="M14" s="40" t="str">
        <f>Grinders!M16</f>
        <v/>
      </c>
      <c r="N14" s="40" t="str">
        <f t="shared" si="1"/>
        <v>🟢</v>
      </c>
      <c r="O14" s="40" t="str">
        <f t="shared" si="2"/>
        <v>✅ Likely (Needs Order)</v>
      </c>
      <c r="P14" s="40" t="str">
        <f t="shared" si="3"/>
        <v>New/idle—prioritize</v>
      </c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40" t="str">
        <f>Grinders!A17</f>
        <v>GRD-14</v>
      </c>
      <c r="B15" s="40" t="str">
        <f>Grinders!B17</f>
        <v>crazyrunz</v>
      </c>
      <c r="C15" s="40" t="str">
        <f>Grinders!C17</f>
        <v>Regular</v>
      </c>
      <c r="D15" s="40" t="str">
        <f>Grinders!D17</f>
        <v>3</v>
      </c>
      <c r="E15" s="40">
        <f>Grinders!E17</f>
        <v>0</v>
      </c>
      <c r="F15" s="40">
        <f>Grinders!F17</f>
        <v>0</v>
      </c>
      <c r="G15" s="40">
        <f>Grinders!G17</f>
        <v>0</v>
      </c>
      <c r="H15" s="54">
        <f>Grinders!H17</f>
        <v>46071</v>
      </c>
      <c r="I15" s="40">
        <f>Grinders!I17</f>
        <v>0</v>
      </c>
      <c r="J15" s="40" t="str">
        <f>Grinders!J17</f>
        <v/>
      </c>
      <c r="K15" s="40" t="str">
        <f>Grinders!K17</f>
        <v/>
      </c>
      <c r="L15" s="40">
        <f>Grinders!L17</f>
        <v>0</v>
      </c>
      <c r="M15" s="40" t="str">
        <f>Grinders!M17</f>
        <v/>
      </c>
      <c r="N15" s="40" t="str">
        <f t="shared" si="1"/>
        <v>🟢</v>
      </c>
      <c r="O15" s="40" t="str">
        <f t="shared" si="2"/>
        <v>✅ Likely (Needs Order)</v>
      </c>
      <c r="P15" s="40" t="str">
        <f t="shared" si="3"/>
        <v>New/idle—prioritize</v>
      </c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40" t="str">
        <f>Grinders!A18</f>
        <v>GRD-15</v>
      </c>
      <c r="B16" s="40" t="str">
        <f>Grinders!B18</f>
        <v>darts.7</v>
      </c>
      <c r="C16" s="40" t="str">
        <f>Grinders!C18</f>
        <v>Regular</v>
      </c>
      <c r="D16" s="40" t="str">
        <f>Grinders!D18</f>
        <v>3</v>
      </c>
      <c r="E16" s="40">
        <f>Grinders!E18</f>
        <v>0</v>
      </c>
      <c r="F16" s="40">
        <f>Grinders!F18</f>
        <v>0</v>
      </c>
      <c r="G16" s="40">
        <f>Grinders!G18</f>
        <v>0</v>
      </c>
      <c r="H16" s="54">
        <f>Grinders!H18</f>
        <v>46071</v>
      </c>
      <c r="I16" s="40">
        <f>Grinders!I18</f>
        <v>0</v>
      </c>
      <c r="J16" s="40" t="str">
        <f>Grinders!J18</f>
        <v/>
      </c>
      <c r="K16" s="40" t="str">
        <f>Grinders!K18</f>
        <v/>
      </c>
      <c r="L16" s="40">
        <f>Grinders!L18</f>
        <v>0</v>
      </c>
      <c r="M16" s="40" t="str">
        <f>Grinders!M18</f>
        <v/>
      </c>
      <c r="N16" s="40" t="str">
        <f t="shared" si="1"/>
        <v>🟢</v>
      </c>
      <c r="O16" s="40" t="str">
        <f t="shared" si="2"/>
        <v>✅ Likely (Needs Order)</v>
      </c>
      <c r="P16" s="40" t="str">
        <f t="shared" si="3"/>
        <v>New/idle—prioritize</v>
      </c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40" t="str">
        <f>Grinders!A19</f>
        <v>GRD-16</v>
      </c>
      <c r="B17" s="40" t="str">
        <f>Grinders!B19</f>
        <v>773tc</v>
      </c>
      <c r="C17" s="40" t="str">
        <f>Grinders!C19</f>
        <v>Regular</v>
      </c>
      <c r="D17" s="40" t="str">
        <f>Grinders!D19</f>
        <v>3</v>
      </c>
      <c r="E17" s="40">
        <f>Grinders!E19</f>
        <v>0</v>
      </c>
      <c r="F17" s="40">
        <f>Grinders!F19</f>
        <v>0</v>
      </c>
      <c r="G17" s="40">
        <f>Grinders!G19</f>
        <v>0</v>
      </c>
      <c r="H17" s="54">
        <f>Grinders!H19</f>
        <v>46071</v>
      </c>
      <c r="I17" s="40">
        <f>Grinders!I19</f>
        <v>0</v>
      </c>
      <c r="J17" s="40" t="str">
        <f>Grinders!J19</f>
        <v/>
      </c>
      <c r="K17" s="40" t="str">
        <f>Grinders!K19</f>
        <v/>
      </c>
      <c r="L17" s="40">
        <f>Grinders!L19</f>
        <v>0</v>
      </c>
      <c r="M17" s="40" t="str">
        <f>Grinders!M19</f>
        <v/>
      </c>
      <c r="N17" s="40" t="str">
        <f t="shared" si="1"/>
        <v>🟢</v>
      </c>
      <c r="O17" s="40" t="str">
        <f t="shared" si="2"/>
        <v>✅ Likely (Needs Order)</v>
      </c>
      <c r="P17" s="40" t="str">
        <f t="shared" si="3"/>
        <v>New/idle—prioritize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40" t="str">
        <f>Grinders!A20</f>
        <v>GRD-17</v>
      </c>
      <c r="B18" s="40" t="str">
        <f>Grinders!B20</f>
        <v>drew___x</v>
      </c>
      <c r="C18" s="40" t="str">
        <f>Grinders!C20</f>
        <v>Regular</v>
      </c>
      <c r="D18" s="40" t="str">
        <f>Grinders!D20</f>
        <v>3</v>
      </c>
      <c r="E18" s="40">
        <f>Grinders!E20</f>
        <v>0</v>
      </c>
      <c r="F18" s="40">
        <f>Grinders!F20</f>
        <v>0</v>
      </c>
      <c r="G18" s="40">
        <f>Grinders!G20</f>
        <v>0</v>
      </c>
      <c r="H18" s="54">
        <f>Grinders!H20</f>
        <v>46071</v>
      </c>
      <c r="I18" s="40">
        <f>Grinders!I20</f>
        <v>0</v>
      </c>
      <c r="J18" s="40" t="str">
        <f>Grinders!J20</f>
        <v/>
      </c>
      <c r="K18" s="40" t="str">
        <f>Grinders!K20</f>
        <v/>
      </c>
      <c r="L18" s="40">
        <f>Grinders!L20</f>
        <v>0</v>
      </c>
      <c r="M18" s="40" t="str">
        <f>Grinders!M20</f>
        <v/>
      </c>
      <c r="N18" s="40" t="str">
        <f t="shared" si="1"/>
        <v>🟢</v>
      </c>
      <c r="O18" s="40" t="str">
        <f t="shared" si="2"/>
        <v>✅ Likely (Needs Order)</v>
      </c>
      <c r="P18" s="40" t="str">
        <f t="shared" si="3"/>
        <v>New/idle—prioritize</v>
      </c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40" t="str">
        <f>Grinders!A21</f>
        <v>GRD-18</v>
      </c>
      <c r="B19" s="40" t="str">
        <f>Grinders!B21</f>
        <v>drilluh__</v>
      </c>
      <c r="C19" s="40" t="str">
        <f>Grinders!C21</f>
        <v>Elite</v>
      </c>
      <c r="D19" s="40" t="str">
        <f>Grinders!D21</f>
        <v>5</v>
      </c>
      <c r="E19" s="40">
        <f>Grinders!E21</f>
        <v>0</v>
      </c>
      <c r="F19" s="40">
        <f>Grinders!F21</f>
        <v>0</v>
      </c>
      <c r="G19" s="40">
        <f>Grinders!G21</f>
        <v>0</v>
      </c>
      <c r="H19" s="54">
        <f>Grinders!H21</f>
        <v>46071</v>
      </c>
      <c r="I19" s="40">
        <f>Grinders!I21</f>
        <v>0</v>
      </c>
      <c r="J19" s="40" t="str">
        <f>Grinders!J21</f>
        <v/>
      </c>
      <c r="K19" s="40" t="str">
        <f>Grinders!K21</f>
        <v/>
      </c>
      <c r="L19" s="40">
        <f>Grinders!L21</f>
        <v>0</v>
      </c>
      <c r="M19" s="40" t="str">
        <f>Grinders!M21</f>
        <v/>
      </c>
      <c r="N19" s="40" t="str">
        <f t="shared" si="1"/>
        <v>🟢</v>
      </c>
      <c r="O19" s="40" t="str">
        <f t="shared" si="2"/>
        <v>✅ Likely (Needs Order)</v>
      </c>
      <c r="P19" s="40" t="str">
        <f t="shared" si="3"/>
        <v>New/idle—prioritize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40" t="str">
        <f>Grinders!A22</f>
        <v>GRD-19</v>
      </c>
      <c r="B20" s="40" t="str">
        <f>Grinders!B22</f>
        <v>earns2490</v>
      </c>
      <c r="C20" s="40" t="str">
        <f>Grinders!C22</f>
        <v>Regular</v>
      </c>
      <c r="D20" s="40" t="str">
        <f>Grinders!D22</f>
        <v>3</v>
      </c>
      <c r="E20" s="40">
        <f>Grinders!E22</f>
        <v>0</v>
      </c>
      <c r="F20" s="40">
        <f>Grinders!F22</f>
        <v>0</v>
      </c>
      <c r="G20" s="40">
        <f>Grinders!G22</f>
        <v>0</v>
      </c>
      <c r="H20" s="54">
        <f>Grinders!H22</f>
        <v>46071</v>
      </c>
      <c r="I20" s="40">
        <f>Grinders!I22</f>
        <v>0</v>
      </c>
      <c r="J20" s="40" t="str">
        <f>Grinders!J22</f>
        <v/>
      </c>
      <c r="K20" s="40" t="str">
        <f>Grinders!K22</f>
        <v/>
      </c>
      <c r="L20" s="40">
        <f>Grinders!L22</f>
        <v>0</v>
      </c>
      <c r="M20" s="40" t="str">
        <f>Grinders!M22</f>
        <v/>
      </c>
      <c r="N20" s="40" t="str">
        <f t="shared" si="1"/>
        <v>🟢</v>
      </c>
      <c r="O20" s="40" t="str">
        <f t="shared" si="2"/>
        <v>✅ Likely (Needs Order)</v>
      </c>
      <c r="P20" s="40" t="str">
        <f t="shared" si="3"/>
        <v>New/idle—prioritize</v>
      </c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40" t="str">
        <f>Grinders!A23</f>
        <v>GRD-20</v>
      </c>
      <c r="B21" s="40" t="str">
        <f>Grinders!B23</f>
        <v>egotito</v>
      </c>
      <c r="C21" s="40" t="str">
        <f>Grinders!C23</f>
        <v>Regular</v>
      </c>
      <c r="D21" s="40" t="str">
        <f>Grinders!D23</f>
        <v>3</v>
      </c>
      <c r="E21" s="40">
        <f>Grinders!E23</f>
        <v>0</v>
      </c>
      <c r="F21" s="40">
        <f>Grinders!F23</f>
        <v>0</v>
      </c>
      <c r="G21" s="40">
        <f>Grinders!G23</f>
        <v>0</v>
      </c>
      <c r="H21" s="54">
        <f>Grinders!H23</f>
        <v>46071</v>
      </c>
      <c r="I21" s="40">
        <f>Grinders!I23</f>
        <v>0</v>
      </c>
      <c r="J21" s="40" t="str">
        <f>Grinders!J23</f>
        <v/>
      </c>
      <c r="K21" s="40" t="str">
        <f>Grinders!K23</f>
        <v/>
      </c>
      <c r="L21" s="40">
        <f>Grinders!L23</f>
        <v>0</v>
      </c>
      <c r="M21" s="40" t="str">
        <f>Grinders!M23</f>
        <v/>
      </c>
      <c r="N21" s="40" t="str">
        <f t="shared" si="1"/>
        <v>🟢</v>
      </c>
      <c r="O21" s="40" t="str">
        <f t="shared" si="2"/>
        <v>✅ Likely (Needs Order)</v>
      </c>
      <c r="P21" s="40" t="str">
        <f t="shared" si="3"/>
        <v>New/idle—prioritize</v>
      </c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40" t="str">
        <f>Grinders!A24</f>
        <v>GRD-21</v>
      </c>
      <c r="B22" s="40" t="str">
        <f>Grinders!B24</f>
        <v>flyestt</v>
      </c>
      <c r="C22" s="40" t="str">
        <f>Grinders!C24</f>
        <v>Regular</v>
      </c>
      <c r="D22" s="40" t="str">
        <f>Grinders!D24</f>
        <v>3</v>
      </c>
      <c r="E22" s="40">
        <f>Grinders!E24</f>
        <v>0</v>
      </c>
      <c r="F22" s="40">
        <f>Grinders!F24</f>
        <v>0</v>
      </c>
      <c r="G22" s="40">
        <f>Grinders!G24</f>
        <v>0</v>
      </c>
      <c r="H22" s="54">
        <f>Grinders!H24</f>
        <v>46071</v>
      </c>
      <c r="I22" s="40">
        <f>Grinders!I24</f>
        <v>0</v>
      </c>
      <c r="J22" s="40" t="str">
        <f>Grinders!J24</f>
        <v/>
      </c>
      <c r="K22" s="40" t="str">
        <f>Grinders!K24</f>
        <v/>
      </c>
      <c r="L22" s="40">
        <f>Grinders!L24</f>
        <v>0</v>
      </c>
      <c r="M22" s="40" t="str">
        <f>Grinders!M24</f>
        <v/>
      </c>
      <c r="N22" s="40" t="str">
        <f t="shared" si="1"/>
        <v>🟢</v>
      </c>
      <c r="O22" s="40" t="str">
        <f t="shared" si="2"/>
        <v>✅ Likely (Needs Order)</v>
      </c>
      <c r="P22" s="40" t="str">
        <f t="shared" si="3"/>
        <v>New/idle—prioritize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5.75" customHeight="1">
      <c r="A23" s="40" t="str">
        <f>Grinders!A25</f>
        <v>GRD-22</v>
      </c>
      <c r="B23" s="40" t="str">
        <f>Grinders!B25</f>
        <v>freeblessedtv</v>
      </c>
      <c r="C23" s="40" t="str">
        <f>Grinders!C25</f>
        <v>Elite</v>
      </c>
      <c r="D23" s="40" t="str">
        <f>Grinders!D25</f>
        <v>5</v>
      </c>
      <c r="E23" s="40">
        <f>Grinders!E25</f>
        <v>0</v>
      </c>
      <c r="F23" s="40">
        <f>Grinders!F25</f>
        <v>0</v>
      </c>
      <c r="G23" s="40">
        <f>Grinders!G25</f>
        <v>0</v>
      </c>
      <c r="H23" s="54">
        <f>Grinders!H25</f>
        <v>46071</v>
      </c>
      <c r="I23" s="40">
        <f>Grinders!I25</f>
        <v>0</v>
      </c>
      <c r="J23" s="40" t="str">
        <f>Grinders!J25</f>
        <v/>
      </c>
      <c r="K23" s="40" t="str">
        <f>Grinders!K25</f>
        <v/>
      </c>
      <c r="L23" s="40">
        <f>Grinders!L25</f>
        <v>0</v>
      </c>
      <c r="M23" s="40" t="str">
        <f>Grinders!M25</f>
        <v/>
      </c>
      <c r="N23" s="40" t="str">
        <f t="shared" si="1"/>
        <v>🟢</v>
      </c>
      <c r="O23" s="40" t="str">
        <f t="shared" si="2"/>
        <v>✅ Likely (Needs Order)</v>
      </c>
      <c r="P23" s="40" t="str">
        <f t="shared" si="3"/>
        <v>New/idle—prioritize</v>
      </c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5.75" customHeight="1">
      <c r="A24" s="40" t="str">
        <f>Grinders!A26</f>
        <v>GRD-23</v>
      </c>
      <c r="B24" s="40" t="str">
        <f>Grinders!B26</f>
        <v>gamblynnn</v>
      </c>
      <c r="C24" s="40" t="str">
        <f>Grinders!C26</f>
        <v>Regular</v>
      </c>
      <c r="D24" s="40" t="str">
        <f>Grinders!D26</f>
        <v>3</v>
      </c>
      <c r="E24" s="40">
        <f>Grinders!E26</f>
        <v>0</v>
      </c>
      <c r="F24" s="40">
        <f>Grinders!F26</f>
        <v>0</v>
      </c>
      <c r="G24" s="40">
        <f>Grinders!G26</f>
        <v>0</v>
      </c>
      <c r="H24" s="54">
        <f>Grinders!H26</f>
        <v>46071</v>
      </c>
      <c r="I24" s="40">
        <f>Grinders!I26</f>
        <v>0</v>
      </c>
      <c r="J24" s="40" t="str">
        <f>Grinders!J26</f>
        <v/>
      </c>
      <c r="K24" s="40" t="str">
        <f>Grinders!K26</f>
        <v/>
      </c>
      <c r="L24" s="40">
        <f>Grinders!L26</f>
        <v>0</v>
      </c>
      <c r="M24" s="40" t="str">
        <f>Grinders!M26</f>
        <v/>
      </c>
      <c r="N24" s="40" t="str">
        <f t="shared" si="1"/>
        <v>🟢</v>
      </c>
      <c r="O24" s="40" t="str">
        <f t="shared" si="2"/>
        <v>✅ Likely (Needs Order)</v>
      </c>
      <c r="P24" s="40" t="str">
        <f t="shared" si="3"/>
        <v>New/idle—prioritize</v>
      </c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40" t="str">
        <f>Grinders!A27</f>
        <v>GRD-24</v>
      </c>
      <c r="B25" s="40" t="str">
        <f>Grinders!B27</f>
        <v>gannon4868</v>
      </c>
      <c r="C25" s="40" t="str">
        <f>Grinders!C27</f>
        <v>Regular</v>
      </c>
      <c r="D25" s="40" t="str">
        <f>Grinders!D27</f>
        <v>3</v>
      </c>
      <c r="E25" s="40">
        <f>Grinders!E27</f>
        <v>0</v>
      </c>
      <c r="F25" s="40">
        <f>Grinders!F27</f>
        <v>0</v>
      </c>
      <c r="G25" s="40">
        <f>Grinders!G27</f>
        <v>0</v>
      </c>
      <c r="H25" s="54">
        <f>Grinders!H27</f>
        <v>46071</v>
      </c>
      <c r="I25" s="40">
        <f>Grinders!I27</f>
        <v>0</v>
      </c>
      <c r="J25" s="40" t="str">
        <f>Grinders!J27</f>
        <v/>
      </c>
      <c r="K25" s="40" t="str">
        <f>Grinders!K27</f>
        <v/>
      </c>
      <c r="L25" s="40">
        <f>Grinders!L27</f>
        <v>0</v>
      </c>
      <c r="M25" s="40" t="str">
        <f>Grinders!M27</f>
        <v/>
      </c>
      <c r="N25" s="40" t="str">
        <f t="shared" si="1"/>
        <v>🟢</v>
      </c>
      <c r="O25" s="40" t="str">
        <f t="shared" si="2"/>
        <v>✅ Likely (Needs Order)</v>
      </c>
      <c r="P25" s="40" t="str">
        <f t="shared" si="3"/>
        <v>New/idle—prioritize</v>
      </c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40" t="str">
        <f>Grinders!A28</f>
        <v>GRD-25</v>
      </c>
      <c r="B26" s="40" t="str">
        <f>Grinders!B28</f>
        <v>gexism</v>
      </c>
      <c r="C26" s="40" t="str">
        <f>Grinders!C28</f>
        <v>Regular</v>
      </c>
      <c r="D26" s="40" t="str">
        <f>Grinders!D28</f>
        <v>3</v>
      </c>
      <c r="E26" s="40">
        <f>Grinders!E28</f>
        <v>0</v>
      </c>
      <c r="F26" s="40">
        <f>Grinders!F28</f>
        <v>0</v>
      </c>
      <c r="G26" s="40">
        <f>Grinders!G28</f>
        <v>0</v>
      </c>
      <c r="H26" s="54">
        <f>Grinders!H28</f>
        <v>46071</v>
      </c>
      <c r="I26" s="40">
        <f>Grinders!I28</f>
        <v>0</v>
      </c>
      <c r="J26" s="40" t="str">
        <f>Grinders!J28</f>
        <v/>
      </c>
      <c r="K26" s="40" t="str">
        <f>Grinders!K28</f>
        <v/>
      </c>
      <c r="L26" s="40">
        <f>Grinders!L28</f>
        <v>0</v>
      </c>
      <c r="M26" s="40" t="str">
        <f>Grinders!M28</f>
        <v/>
      </c>
      <c r="N26" s="40" t="str">
        <f t="shared" si="1"/>
        <v>🟢</v>
      </c>
      <c r="O26" s="40" t="str">
        <f t="shared" si="2"/>
        <v>✅ Likely (Needs Order)</v>
      </c>
      <c r="P26" s="40" t="str">
        <f t="shared" si="3"/>
        <v>New/idle—prioritize</v>
      </c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5.75" customHeight="1">
      <c r="A27" s="40" t="str">
        <f>Grinders!A29</f>
        <v>GRD-26</v>
      </c>
      <c r="B27" s="40" t="str">
        <f>Grinders!B29</f>
        <v>gxufy</v>
      </c>
      <c r="C27" s="40" t="str">
        <f>Grinders!C29</f>
        <v>Regular</v>
      </c>
      <c r="D27" s="40" t="str">
        <f>Grinders!D29</f>
        <v>3</v>
      </c>
      <c r="E27" s="40">
        <f>Grinders!E29</f>
        <v>0</v>
      </c>
      <c r="F27" s="40">
        <f>Grinders!F29</f>
        <v>0</v>
      </c>
      <c r="G27" s="40">
        <f>Grinders!G29</f>
        <v>0</v>
      </c>
      <c r="H27" s="54">
        <f>Grinders!H29</f>
        <v>46071</v>
      </c>
      <c r="I27" s="40">
        <f>Grinders!I29</f>
        <v>0</v>
      </c>
      <c r="J27" s="40" t="str">
        <f>Grinders!J29</f>
        <v/>
      </c>
      <c r="K27" s="40" t="str">
        <f>Grinders!K29</f>
        <v/>
      </c>
      <c r="L27" s="40">
        <f>Grinders!L29</f>
        <v>0</v>
      </c>
      <c r="M27" s="40" t="str">
        <f>Grinders!M29</f>
        <v/>
      </c>
      <c r="N27" s="40" t="str">
        <f t="shared" si="1"/>
        <v>🟢</v>
      </c>
      <c r="O27" s="40" t="str">
        <f t="shared" si="2"/>
        <v>✅ Likely (Needs Order)</v>
      </c>
      <c r="P27" s="40" t="str">
        <f t="shared" si="3"/>
        <v>New/idle—prioritize</v>
      </c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5.75" customHeight="1">
      <c r="A28" s="40" t="str">
        <f>Grinders!A30</f>
        <v>GRD-27</v>
      </c>
      <c r="B28" s="40" t="str">
        <f>Grinders!B30</f>
        <v>hemisssometimes</v>
      </c>
      <c r="C28" s="40" t="str">
        <f>Grinders!C30</f>
        <v>Regular</v>
      </c>
      <c r="D28" s="40" t="str">
        <f>Grinders!D30</f>
        <v>3</v>
      </c>
      <c r="E28" s="40">
        <f>Grinders!E30</f>
        <v>0</v>
      </c>
      <c r="F28" s="40">
        <f>Grinders!F30</f>
        <v>0</v>
      </c>
      <c r="G28" s="40">
        <f>Grinders!G30</f>
        <v>0</v>
      </c>
      <c r="H28" s="54">
        <f>Grinders!H30</f>
        <v>46071</v>
      </c>
      <c r="I28" s="40">
        <f>Grinders!I30</f>
        <v>0</v>
      </c>
      <c r="J28" s="40" t="str">
        <f>Grinders!J30</f>
        <v/>
      </c>
      <c r="K28" s="40" t="str">
        <f>Grinders!K30</f>
        <v/>
      </c>
      <c r="L28" s="40">
        <f>Grinders!L30</f>
        <v>0</v>
      </c>
      <c r="M28" s="40" t="str">
        <f>Grinders!M30</f>
        <v/>
      </c>
      <c r="N28" s="40" t="str">
        <f t="shared" si="1"/>
        <v>🟢</v>
      </c>
      <c r="O28" s="40" t="str">
        <f t="shared" si="2"/>
        <v>✅ Likely (Needs Order)</v>
      </c>
      <c r="P28" s="40" t="str">
        <f t="shared" si="3"/>
        <v>New/idle—prioritize</v>
      </c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5.75" customHeight="1">
      <c r="A29" s="40" t="str">
        <f>Grinders!A31</f>
        <v>GRD-28</v>
      </c>
      <c r="B29" s="40" t="str">
        <f>Grinders!B31</f>
        <v>homiekirk</v>
      </c>
      <c r="C29" s="40" t="str">
        <f>Grinders!C31</f>
        <v>Elite</v>
      </c>
      <c r="D29" s="40" t="str">
        <f>Grinders!D31</f>
        <v>5</v>
      </c>
      <c r="E29" s="40">
        <f>Grinders!E31</f>
        <v>0</v>
      </c>
      <c r="F29" s="40">
        <f>Grinders!F31</f>
        <v>0</v>
      </c>
      <c r="G29" s="40">
        <f>Grinders!G31</f>
        <v>0</v>
      </c>
      <c r="H29" s="54">
        <f>Grinders!H31</f>
        <v>46071</v>
      </c>
      <c r="I29" s="40">
        <f>Grinders!I31</f>
        <v>0</v>
      </c>
      <c r="J29" s="40" t="str">
        <f>Grinders!J31</f>
        <v/>
      </c>
      <c r="K29" s="40" t="str">
        <f>Grinders!K31</f>
        <v/>
      </c>
      <c r="L29" s="40">
        <f>Grinders!L31</f>
        <v>0</v>
      </c>
      <c r="M29" s="40" t="str">
        <f>Grinders!M31</f>
        <v/>
      </c>
      <c r="N29" s="40" t="str">
        <f t="shared" si="1"/>
        <v>🟢</v>
      </c>
      <c r="O29" s="40" t="str">
        <f t="shared" si="2"/>
        <v>✅ Likely (Needs Order)</v>
      </c>
      <c r="P29" s="40" t="str">
        <f t="shared" si="3"/>
        <v>New/idle—prioritize</v>
      </c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5.75" customHeight="1">
      <c r="A30" s="40" t="str">
        <f>Grinders!A32</f>
        <v>GRD-29</v>
      </c>
      <c r="B30" s="40" t="str">
        <f>Grinders!B32</f>
        <v>hoop7663</v>
      </c>
      <c r="C30" s="40" t="str">
        <f>Grinders!C32</f>
        <v>Regular</v>
      </c>
      <c r="D30" s="40" t="str">
        <f>Grinders!D32</f>
        <v>3</v>
      </c>
      <c r="E30" s="40">
        <f>Grinders!E32</f>
        <v>0</v>
      </c>
      <c r="F30" s="40">
        <f>Grinders!F32</f>
        <v>0</v>
      </c>
      <c r="G30" s="40">
        <f>Grinders!G32</f>
        <v>0</v>
      </c>
      <c r="H30" s="54">
        <f>Grinders!H32</f>
        <v>46071</v>
      </c>
      <c r="I30" s="40">
        <f>Grinders!I32</f>
        <v>0</v>
      </c>
      <c r="J30" s="40" t="str">
        <f>Grinders!J32</f>
        <v/>
      </c>
      <c r="K30" s="40" t="str">
        <f>Grinders!K32</f>
        <v/>
      </c>
      <c r="L30" s="40">
        <f>Grinders!L32</f>
        <v>0</v>
      </c>
      <c r="M30" s="40" t="str">
        <f>Grinders!M32</f>
        <v/>
      </c>
      <c r="N30" s="40" t="str">
        <f t="shared" si="1"/>
        <v>🟢</v>
      </c>
      <c r="O30" s="40" t="str">
        <f t="shared" si="2"/>
        <v>✅ Likely (Needs Order)</v>
      </c>
      <c r="P30" s="40" t="str">
        <f t="shared" si="3"/>
        <v>New/idle—prioritize</v>
      </c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5.75" customHeight="1">
      <c r="A31" s="40" t="str">
        <f>Grinders!A33</f>
        <v>GRD-30</v>
      </c>
      <c r="B31" s="40" t="str">
        <f>Grinders!B33</f>
        <v>iiirxpctiii</v>
      </c>
      <c r="C31" s="40" t="str">
        <f>Grinders!C33</f>
        <v>Elite</v>
      </c>
      <c r="D31" s="40" t="str">
        <f>Grinders!D33</f>
        <v>5</v>
      </c>
      <c r="E31" s="40">
        <f>Grinders!E33</f>
        <v>0</v>
      </c>
      <c r="F31" s="40">
        <f>Grinders!F33</f>
        <v>0</v>
      </c>
      <c r="G31" s="40">
        <f>Grinders!G33</f>
        <v>0</v>
      </c>
      <c r="H31" s="54">
        <f>Grinders!H33</f>
        <v>46071</v>
      </c>
      <c r="I31" s="40">
        <f>Grinders!I33</f>
        <v>0</v>
      </c>
      <c r="J31" s="40" t="str">
        <f>Grinders!J33</f>
        <v/>
      </c>
      <c r="K31" s="40" t="str">
        <f>Grinders!K33</f>
        <v/>
      </c>
      <c r="L31" s="40">
        <f>Grinders!L33</f>
        <v>0</v>
      </c>
      <c r="M31" s="40" t="str">
        <f>Grinders!M33</f>
        <v/>
      </c>
      <c r="N31" s="40" t="str">
        <f t="shared" si="1"/>
        <v>🟢</v>
      </c>
      <c r="O31" s="40" t="str">
        <f t="shared" si="2"/>
        <v>✅ Likely (Needs Order)</v>
      </c>
      <c r="P31" s="40" t="str">
        <f t="shared" si="3"/>
        <v>New/idle—prioritize</v>
      </c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5.75" customHeight="1">
      <c r="A32" s="40" t="str">
        <f>Grinders!A34</f>
        <v>GRD-31</v>
      </c>
      <c r="B32" s="40" t="str">
        <f>Grinders!B34</f>
        <v>plqytake</v>
      </c>
      <c r="C32" s="40" t="str">
        <f>Grinders!C34</f>
        <v>Regular</v>
      </c>
      <c r="D32" s="40" t="str">
        <f>Grinders!D34</f>
        <v>3</v>
      </c>
      <c r="E32" s="40">
        <f>Grinders!E34</f>
        <v>0</v>
      </c>
      <c r="F32" s="40">
        <f>Grinders!F34</f>
        <v>0</v>
      </c>
      <c r="G32" s="40">
        <f>Grinders!G34</f>
        <v>0</v>
      </c>
      <c r="H32" s="54">
        <f>Grinders!H34</f>
        <v>46071</v>
      </c>
      <c r="I32" s="40">
        <f>Grinders!I34</f>
        <v>0</v>
      </c>
      <c r="J32" s="40" t="str">
        <f>Grinders!J34</f>
        <v/>
      </c>
      <c r="K32" s="40" t="str">
        <f>Grinders!K34</f>
        <v/>
      </c>
      <c r="L32" s="40">
        <f>Grinders!L34</f>
        <v>0</v>
      </c>
      <c r="M32" s="40" t="str">
        <f>Grinders!M34</f>
        <v/>
      </c>
      <c r="N32" s="40" t="str">
        <f t="shared" si="1"/>
        <v>🟢</v>
      </c>
      <c r="O32" s="40" t="str">
        <f t="shared" si="2"/>
        <v>✅ Likely (Needs Order)</v>
      </c>
      <c r="P32" s="40" t="str">
        <f t="shared" si="3"/>
        <v>New/idle—prioritize</v>
      </c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5.75" customHeight="1">
      <c r="A33" s="40" t="str">
        <f>Grinders!A35</f>
        <v>GRD-32</v>
      </c>
      <c r="B33" s="40" t="str">
        <f>Grinders!B35</f>
        <v>jalen7985</v>
      </c>
      <c r="C33" s="40" t="str">
        <f>Grinders!C35</f>
        <v>Regular</v>
      </c>
      <c r="D33" s="40" t="str">
        <f>Grinders!D35</f>
        <v>3</v>
      </c>
      <c r="E33" s="40">
        <f>Grinders!E35</f>
        <v>0</v>
      </c>
      <c r="F33" s="40">
        <f>Grinders!F35</f>
        <v>0</v>
      </c>
      <c r="G33" s="40">
        <f>Grinders!G35</f>
        <v>0</v>
      </c>
      <c r="H33" s="54">
        <f>Grinders!H35</f>
        <v>46071</v>
      </c>
      <c r="I33" s="40">
        <f>Grinders!I35</f>
        <v>0</v>
      </c>
      <c r="J33" s="40" t="str">
        <f>Grinders!J35</f>
        <v/>
      </c>
      <c r="K33" s="40" t="str">
        <f>Grinders!K35</f>
        <v/>
      </c>
      <c r="L33" s="40">
        <f>Grinders!L35</f>
        <v>0</v>
      </c>
      <c r="M33" s="40" t="str">
        <f>Grinders!M35</f>
        <v/>
      </c>
      <c r="N33" s="40" t="str">
        <f t="shared" si="1"/>
        <v>🟢</v>
      </c>
      <c r="O33" s="40" t="str">
        <f t="shared" si="2"/>
        <v>✅ Likely (Needs Order)</v>
      </c>
      <c r="P33" s="40" t="str">
        <f t="shared" si="3"/>
        <v>New/idle—prioritize</v>
      </c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5.75" customHeight="1">
      <c r="A34" s="40" t="str">
        <f>Grinders!A36</f>
        <v>GRD-33</v>
      </c>
      <c r="B34" s="40" t="str">
        <f>Grinders!B36</f>
        <v>jwrldx</v>
      </c>
      <c r="C34" s="40" t="str">
        <f>Grinders!C36</f>
        <v>Regular</v>
      </c>
      <c r="D34" s="40" t="str">
        <f>Grinders!D36</f>
        <v>3</v>
      </c>
      <c r="E34" s="40">
        <f>Grinders!E36</f>
        <v>0</v>
      </c>
      <c r="F34" s="40">
        <f>Grinders!F36</f>
        <v>0</v>
      </c>
      <c r="G34" s="40">
        <f>Grinders!G36</f>
        <v>0</v>
      </c>
      <c r="H34" s="54">
        <f>Grinders!H36</f>
        <v>46071</v>
      </c>
      <c r="I34" s="40">
        <f>Grinders!I36</f>
        <v>0</v>
      </c>
      <c r="J34" s="40" t="str">
        <f>Grinders!J36</f>
        <v/>
      </c>
      <c r="K34" s="40" t="str">
        <f>Grinders!K36</f>
        <v/>
      </c>
      <c r="L34" s="40">
        <f>Grinders!L36</f>
        <v>0</v>
      </c>
      <c r="M34" s="40" t="str">
        <f>Grinders!M36</f>
        <v/>
      </c>
      <c r="N34" s="40" t="str">
        <f t="shared" si="1"/>
        <v>🟢</v>
      </c>
      <c r="O34" s="40" t="str">
        <f t="shared" si="2"/>
        <v>✅ Likely (Needs Order)</v>
      </c>
      <c r="P34" s="40" t="str">
        <f t="shared" si="3"/>
        <v>New/idle—prioritize</v>
      </c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5.75" customHeight="1">
      <c r="A35" s="40" t="str">
        <f>Grinders!A37</f>
        <v>GRD-34</v>
      </c>
      <c r="B35" s="40" t="str">
        <f>Grinders!B37</f>
        <v>jitxx</v>
      </c>
      <c r="C35" s="40" t="str">
        <f>Grinders!C37</f>
        <v>Regular</v>
      </c>
      <c r="D35" s="40" t="str">
        <f>Grinders!D37</f>
        <v>3</v>
      </c>
      <c r="E35" s="40">
        <f>Grinders!E37</f>
        <v>0</v>
      </c>
      <c r="F35" s="40">
        <f>Grinders!F37</f>
        <v>0</v>
      </c>
      <c r="G35" s="40">
        <f>Grinders!G37</f>
        <v>0</v>
      </c>
      <c r="H35" s="54">
        <f>Grinders!H37</f>
        <v>46071</v>
      </c>
      <c r="I35" s="40">
        <f>Grinders!I37</f>
        <v>0</v>
      </c>
      <c r="J35" s="40" t="str">
        <f>Grinders!J37</f>
        <v/>
      </c>
      <c r="K35" s="40" t="str">
        <f>Grinders!K37</f>
        <v/>
      </c>
      <c r="L35" s="40">
        <f>Grinders!L37</f>
        <v>0</v>
      </c>
      <c r="M35" s="40" t="str">
        <f>Grinders!M37</f>
        <v/>
      </c>
      <c r="N35" s="40" t="str">
        <f t="shared" si="1"/>
        <v>🟢</v>
      </c>
      <c r="O35" s="40" t="str">
        <f t="shared" si="2"/>
        <v>✅ Likely (Needs Order)</v>
      </c>
      <c r="P35" s="40" t="str">
        <f t="shared" si="3"/>
        <v>New/idle—prioritize</v>
      </c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5.75" customHeight="1">
      <c r="A36" s="40" t="str">
        <f>Grinders!A38</f>
        <v>GRD-35</v>
      </c>
      <c r="B36" s="59">
        <f>Grinders!B38</f>
        <v>768288</v>
      </c>
      <c r="C36" s="40" t="str">
        <f>Grinders!C38</f>
        <v>Regular</v>
      </c>
      <c r="D36" s="40" t="str">
        <f>Grinders!D38</f>
        <v>3</v>
      </c>
      <c r="E36" s="40">
        <f>Grinders!E38</f>
        <v>0</v>
      </c>
      <c r="F36" s="40">
        <f>Grinders!F38</f>
        <v>0</v>
      </c>
      <c r="G36" s="40">
        <f>Grinders!G38</f>
        <v>0</v>
      </c>
      <c r="H36" s="54">
        <f>Grinders!H38</f>
        <v>46071</v>
      </c>
      <c r="I36" s="40">
        <f>Grinders!I38</f>
        <v>0</v>
      </c>
      <c r="J36" s="40" t="str">
        <f>Grinders!J38</f>
        <v/>
      </c>
      <c r="K36" s="40" t="str">
        <f>Grinders!K38</f>
        <v/>
      </c>
      <c r="L36" s="40">
        <f>Grinders!L38</f>
        <v>0</v>
      </c>
      <c r="M36" s="40" t="str">
        <f>Grinders!M38</f>
        <v/>
      </c>
      <c r="N36" s="40" t="str">
        <f t="shared" si="1"/>
        <v>🟢</v>
      </c>
      <c r="O36" s="40" t="str">
        <f t="shared" si="2"/>
        <v>✅ Likely (Needs Order)</v>
      </c>
      <c r="P36" s="40" t="str">
        <f t="shared" si="3"/>
        <v>New/idle—prioritize</v>
      </c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5.75" customHeight="1">
      <c r="A37" s="40" t="str">
        <f>Grinders!A39</f>
        <v>GRD-36</v>
      </c>
      <c r="B37" s="40" t="str">
        <f>Grinders!B39</f>
        <v>xoticashes</v>
      </c>
      <c r="C37" s="40" t="str">
        <f>Grinders!C39</f>
        <v>Regular</v>
      </c>
      <c r="D37" s="40" t="str">
        <f>Grinders!D39</f>
        <v>3</v>
      </c>
      <c r="E37" s="40">
        <f>Grinders!E39</f>
        <v>0</v>
      </c>
      <c r="F37" s="40">
        <f>Grinders!F39</f>
        <v>0</v>
      </c>
      <c r="G37" s="40">
        <f>Grinders!G39</f>
        <v>0</v>
      </c>
      <c r="H37" s="54">
        <f>Grinders!H39</f>
        <v>46071</v>
      </c>
      <c r="I37" s="40">
        <f>Grinders!I39</f>
        <v>0</v>
      </c>
      <c r="J37" s="40" t="str">
        <f>Grinders!J39</f>
        <v/>
      </c>
      <c r="K37" s="40" t="str">
        <f>Grinders!K39</f>
        <v/>
      </c>
      <c r="L37" s="40">
        <f>Grinders!L39</f>
        <v>0</v>
      </c>
      <c r="M37" s="40" t="str">
        <f>Grinders!M39</f>
        <v/>
      </c>
      <c r="N37" s="40" t="str">
        <f t="shared" si="1"/>
        <v>🟢</v>
      </c>
      <c r="O37" s="40" t="str">
        <f t="shared" si="2"/>
        <v>✅ Likely (Needs Order)</v>
      </c>
      <c r="P37" s="40" t="str">
        <f t="shared" si="3"/>
        <v>New/idle—prioritize</v>
      </c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5.75" customHeight="1">
      <c r="A38" s="40" t="str">
        <f>Grinders!A40</f>
        <v>GRD-37</v>
      </c>
      <c r="B38" s="40" t="str">
        <f>Grinders!B40</f>
        <v>kolioh</v>
      </c>
      <c r="C38" s="40" t="str">
        <f>Grinders!C40</f>
        <v>Regular</v>
      </c>
      <c r="D38" s="40" t="str">
        <f>Grinders!D40</f>
        <v>3</v>
      </c>
      <c r="E38" s="40">
        <f>Grinders!E40</f>
        <v>0</v>
      </c>
      <c r="F38" s="40">
        <f>Grinders!F40</f>
        <v>0</v>
      </c>
      <c r="G38" s="40">
        <f>Grinders!G40</f>
        <v>0</v>
      </c>
      <c r="H38" s="54">
        <f>Grinders!H40</f>
        <v>46071</v>
      </c>
      <c r="I38" s="40">
        <f>Grinders!I40</f>
        <v>0</v>
      </c>
      <c r="J38" s="40" t="str">
        <f>Grinders!J40</f>
        <v/>
      </c>
      <c r="K38" s="40" t="str">
        <f>Grinders!K40</f>
        <v/>
      </c>
      <c r="L38" s="40">
        <f>Grinders!L40</f>
        <v>0</v>
      </c>
      <c r="M38" s="40" t="str">
        <f>Grinders!M40</f>
        <v/>
      </c>
      <c r="N38" s="40" t="str">
        <f t="shared" si="1"/>
        <v>🟢</v>
      </c>
      <c r="O38" s="40" t="str">
        <f t="shared" si="2"/>
        <v>✅ Likely (Needs Order)</v>
      </c>
      <c r="P38" s="40" t="str">
        <f t="shared" si="3"/>
        <v>New/idle—prioritize</v>
      </c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5.75" customHeight="1">
      <c r="A39" s="40" t="str">
        <f>Grinders!A41</f>
        <v>GRD-38</v>
      </c>
      <c r="B39" s="40" t="str">
        <f>Grinders!B41</f>
        <v>korean_zombiie</v>
      </c>
      <c r="C39" s="40" t="str">
        <f>Grinders!C41</f>
        <v>Regular</v>
      </c>
      <c r="D39" s="40" t="str">
        <f>Grinders!D41</f>
        <v>3</v>
      </c>
      <c r="E39" s="40">
        <f>Grinders!E41</f>
        <v>0</v>
      </c>
      <c r="F39" s="40">
        <f>Grinders!F41</f>
        <v>0</v>
      </c>
      <c r="G39" s="40">
        <f>Grinders!G41</f>
        <v>0</v>
      </c>
      <c r="H39" s="54">
        <f>Grinders!H41</f>
        <v>46071</v>
      </c>
      <c r="I39" s="40">
        <f>Grinders!I41</f>
        <v>0</v>
      </c>
      <c r="J39" s="40" t="str">
        <f>Grinders!J41</f>
        <v/>
      </c>
      <c r="K39" s="40" t="str">
        <f>Grinders!K41</f>
        <v/>
      </c>
      <c r="L39" s="40">
        <f>Grinders!L41</f>
        <v>0</v>
      </c>
      <c r="M39" s="40" t="str">
        <f>Grinders!M41</f>
        <v/>
      </c>
      <c r="N39" s="40" t="str">
        <f t="shared" si="1"/>
        <v>🟢</v>
      </c>
      <c r="O39" s="40" t="str">
        <f t="shared" si="2"/>
        <v>✅ Likely (Needs Order)</v>
      </c>
      <c r="P39" s="40" t="str">
        <f t="shared" si="3"/>
        <v>New/idle—prioritize</v>
      </c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5.75" customHeight="1">
      <c r="A40" s="40" t="str">
        <f>Grinders!A42</f>
        <v>GRD-39</v>
      </c>
      <c r="B40" s="40" t="str">
        <f>Grinders!B42</f>
        <v>savage_telly</v>
      </c>
      <c r="C40" s="40" t="str">
        <f>Grinders!C42</f>
        <v>Regular</v>
      </c>
      <c r="D40" s="40" t="str">
        <f>Grinders!D42</f>
        <v>3</v>
      </c>
      <c r="E40" s="40">
        <f>Grinders!E42</f>
        <v>0</v>
      </c>
      <c r="F40" s="40">
        <f>Grinders!F42</f>
        <v>0</v>
      </c>
      <c r="G40" s="40">
        <f>Grinders!G42</f>
        <v>0</v>
      </c>
      <c r="H40" s="54">
        <f>Grinders!H42</f>
        <v>46071</v>
      </c>
      <c r="I40" s="40">
        <f>Grinders!I42</f>
        <v>0</v>
      </c>
      <c r="J40" s="40" t="str">
        <f>Grinders!J42</f>
        <v/>
      </c>
      <c r="K40" s="40" t="str">
        <f>Grinders!K42</f>
        <v/>
      </c>
      <c r="L40" s="40">
        <f>Grinders!L42</f>
        <v>0</v>
      </c>
      <c r="M40" s="40" t="str">
        <f>Grinders!M42</f>
        <v/>
      </c>
      <c r="N40" s="40" t="str">
        <f t="shared" si="1"/>
        <v>🟢</v>
      </c>
      <c r="O40" s="40" t="str">
        <f t="shared" si="2"/>
        <v>✅ Likely (Needs Order)</v>
      </c>
      <c r="P40" s="40" t="str">
        <f t="shared" si="3"/>
        <v>New/idle—prioritize</v>
      </c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5.75" customHeight="1">
      <c r="A41" s="40" t="str">
        <f>Grinders!A43</f>
        <v>GRD-40</v>
      </c>
      <c r="B41" s="40" t="str">
        <f>Grinders!B43</f>
        <v>notravelcalls</v>
      </c>
      <c r="C41" s="40" t="str">
        <f>Grinders!C43</f>
        <v>Regular</v>
      </c>
      <c r="D41" s="40" t="str">
        <f>Grinders!D43</f>
        <v>3</v>
      </c>
      <c r="E41" s="40">
        <f>Grinders!E43</f>
        <v>0</v>
      </c>
      <c r="F41" s="40">
        <f>Grinders!F43</f>
        <v>0</v>
      </c>
      <c r="G41" s="40">
        <f>Grinders!G43</f>
        <v>0</v>
      </c>
      <c r="H41" s="54">
        <f>Grinders!H43</f>
        <v>46071</v>
      </c>
      <c r="I41" s="40">
        <f>Grinders!I43</f>
        <v>0</v>
      </c>
      <c r="J41" s="40" t="str">
        <f>Grinders!J43</f>
        <v/>
      </c>
      <c r="K41" s="40" t="str">
        <f>Grinders!K43</f>
        <v/>
      </c>
      <c r="L41" s="40">
        <f>Grinders!L43</f>
        <v>0</v>
      </c>
      <c r="M41" s="40" t="str">
        <f>Grinders!M43</f>
        <v/>
      </c>
      <c r="N41" s="40" t="str">
        <f t="shared" si="1"/>
        <v>🟢</v>
      </c>
      <c r="O41" s="40" t="str">
        <f t="shared" si="2"/>
        <v>✅ Likely (Needs Order)</v>
      </c>
      <c r="P41" s="40" t="str">
        <f t="shared" si="3"/>
        <v>New/idle—prioritize</v>
      </c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5.75" customHeight="1">
      <c r="A42" s="40" t="str">
        <f>Grinders!A44</f>
        <v>GRD-41</v>
      </c>
      <c r="B42" s="40" t="str">
        <f>Grinders!B44</f>
        <v>rookietolegend</v>
      </c>
      <c r="C42" s="40" t="str">
        <f>Grinders!C44</f>
        <v>Regular</v>
      </c>
      <c r="D42" s="40" t="str">
        <f>Grinders!D44</f>
        <v>3</v>
      </c>
      <c r="E42" s="40">
        <f>Grinders!E44</f>
        <v>0</v>
      </c>
      <c r="F42" s="40">
        <f>Grinders!F44</f>
        <v>0</v>
      </c>
      <c r="G42" s="40">
        <f>Grinders!G44</f>
        <v>0</v>
      </c>
      <c r="H42" s="54">
        <f>Grinders!H44</f>
        <v>46071</v>
      </c>
      <c r="I42" s="40">
        <f>Grinders!I44</f>
        <v>0</v>
      </c>
      <c r="J42" s="40" t="str">
        <f>Grinders!J44</f>
        <v/>
      </c>
      <c r="K42" s="40" t="str">
        <f>Grinders!K44</f>
        <v/>
      </c>
      <c r="L42" s="40">
        <f>Grinders!L44</f>
        <v>0</v>
      </c>
      <c r="M42" s="40" t="str">
        <f>Grinders!M44</f>
        <v/>
      </c>
      <c r="N42" s="40" t="str">
        <f t="shared" si="1"/>
        <v>🟢</v>
      </c>
      <c r="O42" s="40" t="str">
        <f t="shared" si="2"/>
        <v>✅ Likely (Needs Order)</v>
      </c>
      <c r="P42" s="40" t="str">
        <f t="shared" si="3"/>
        <v>New/idle—prioritize</v>
      </c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40" t="str">
        <f>Grinders!A45</f>
        <v>GRD-42</v>
      </c>
      <c r="B43" s="40" t="str">
        <f>Grinders!B45</f>
        <v>nxsty4487</v>
      </c>
      <c r="C43" s="40" t="str">
        <f>Grinders!C45</f>
        <v>Regular</v>
      </c>
      <c r="D43" s="40" t="str">
        <f>Grinders!D45</f>
        <v>3</v>
      </c>
      <c r="E43" s="40">
        <f>Grinders!E45</f>
        <v>0</v>
      </c>
      <c r="F43" s="40">
        <f>Grinders!F45</f>
        <v>0</v>
      </c>
      <c r="G43" s="40">
        <f>Grinders!G45</f>
        <v>0</v>
      </c>
      <c r="H43" s="54">
        <f>Grinders!H45</f>
        <v>46071</v>
      </c>
      <c r="I43" s="40">
        <f>Grinders!I45</f>
        <v>0</v>
      </c>
      <c r="J43" s="40" t="str">
        <f>Grinders!J45</f>
        <v/>
      </c>
      <c r="K43" s="40" t="str">
        <f>Grinders!K45</f>
        <v/>
      </c>
      <c r="L43" s="40">
        <f>Grinders!L45</f>
        <v>0</v>
      </c>
      <c r="M43" s="40" t="str">
        <f>Grinders!M45</f>
        <v/>
      </c>
      <c r="N43" s="40" t="str">
        <f t="shared" si="1"/>
        <v>🟢</v>
      </c>
      <c r="O43" s="40" t="str">
        <f t="shared" si="2"/>
        <v>✅ Likely (Needs Order)</v>
      </c>
      <c r="P43" s="40" t="str">
        <f t="shared" si="3"/>
        <v>New/idle—prioritize</v>
      </c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40" t="str">
        <f>Grinders!A46</f>
        <v>GRD-43</v>
      </c>
      <c r="B44" s="40" t="str">
        <f>Grinders!B46</f>
        <v>idk566784</v>
      </c>
      <c r="C44" s="40" t="str">
        <f>Grinders!C46</f>
        <v>Regular</v>
      </c>
      <c r="D44" s="40" t="str">
        <f>Grinders!D46</f>
        <v>3</v>
      </c>
      <c r="E44" s="40">
        <f>Grinders!E46</f>
        <v>0</v>
      </c>
      <c r="F44" s="40">
        <f>Grinders!F46</f>
        <v>0</v>
      </c>
      <c r="G44" s="40">
        <f>Grinders!G46</f>
        <v>0</v>
      </c>
      <c r="H44" s="54">
        <f>Grinders!H46</f>
        <v>46071</v>
      </c>
      <c r="I44" s="40">
        <f>Grinders!I46</f>
        <v>0</v>
      </c>
      <c r="J44" s="40" t="str">
        <f>Grinders!J46</f>
        <v/>
      </c>
      <c r="K44" s="40" t="str">
        <f>Grinders!K46</f>
        <v/>
      </c>
      <c r="L44" s="40">
        <f>Grinders!L46</f>
        <v>0</v>
      </c>
      <c r="M44" s="40" t="str">
        <f>Grinders!M46</f>
        <v/>
      </c>
      <c r="N44" s="40" t="str">
        <f t="shared" si="1"/>
        <v>🟢</v>
      </c>
      <c r="O44" s="40" t="str">
        <f t="shared" si="2"/>
        <v>✅ Likely (Needs Order)</v>
      </c>
      <c r="P44" s="40" t="str">
        <f t="shared" si="3"/>
        <v>New/idle—prioritize</v>
      </c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40" t="str">
        <f>Grinders!A47</f>
        <v>GRD-44</v>
      </c>
      <c r="B45" s="40" t="str">
        <f>Grinders!B47</f>
        <v>plqckss</v>
      </c>
      <c r="C45" s="40" t="str">
        <f>Grinders!C47</f>
        <v>Elite</v>
      </c>
      <c r="D45" s="40" t="str">
        <f>Grinders!D47</f>
        <v>5</v>
      </c>
      <c r="E45" s="40">
        <f>Grinders!E47</f>
        <v>0</v>
      </c>
      <c r="F45" s="40">
        <f>Grinders!F47</f>
        <v>0</v>
      </c>
      <c r="G45" s="40">
        <f>Grinders!G47</f>
        <v>0</v>
      </c>
      <c r="H45" s="54">
        <f>Grinders!H47</f>
        <v>46071</v>
      </c>
      <c r="I45" s="40">
        <f>Grinders!I47</f>
        <v>0</v>
      </c>
      <c r="J45" s="40" t="str">
        <f>Grinders!J47</f>
        <v/>
      </c>
      <c r="K45" s="40" t="str">
        <f>Grinders!K47</f>
        <v/>
      </c>
      <c r="L45" s="40">
        <f>Grinders!L47</f>
        <v>0</v>
      </c>
      <c r="M45" s="40" t="str">
        <f>Grinders!M47</f>
        <v/>
      </c>
      <c r="N45" s="40" t="str">
        <f t="shared" si="1"/>
        <v>🟢</v>
      </c>
      <c r="O45" s="40" t="str">
        <f t="shared" si="2"/>
        <v>✅ Likely (Needs Order)</v>
      </c>
      <c r="P45" s="40" t="str">
        <f t="shared" si="3"/>
        <v>New/idle—prioritize</v>
      </c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5.75" customHeight="1">
      <c r="A46" s="40" t="str">
        <f>Grinders!A48</f>
        <v>GRD-45</v>
      </c>
      <c r="B46" s="40" t="str">
        <f>Grinders!B48</f>
        <v>poprevails</v>
      </c>
      <c r="C46" s="40" t="str">
        <f>Grinders!C48</f>
        <v>Regular</v>
      </c>
      <c r="D46" s="40" t="str">
        <f>Grinders!D48</f>
        <v>3</v>
      </c>
      <c r="E46" s="40">
        <f>Grinders!E48</f>
        <v>0</v>
      </c>
      <c r="F46" s="40">
        <f>Grinders!F48</f>
        <v>0</v>
      </c>
      <c r="G46" s="40">
        <f>Grinders!G48</f>
        <v>0</v>
      </c>
      <c r="H46" s="54">
        <f>Grinders!H48</f>
        <v>46071</v>
      </c>
      <c r="I46" s="40">
        <f>Grinders!I48</f>
        <v>0</v>
      </c>
      <c r="J46" s="40" t="str">
        <f>Grinders!J48</f>
        <v/>
      </c>
      <c r="K46" s="40" t="str">
        <f>Grinders!K48</f>
        <v/>
      </c>
      <c r="L46" s="40">
        <f>Grinders!L48</f>
        <v>0</v>
      </c>
      <c r="M46" s="40" t="str">
        <f>Grinders!M48</f>
        <v/>
      </c>
      <c r="N46" s="40" t="str">
        <f t="shared" si="1"/>
        <v>🟢</v>
      </c>
      <c r="O46" s="40" t="str">
        <f t="shared" si="2"/>
        <v>✅ Likely (Needs Order)</v>
      </c>
      <c r="P46" s="40" t="str">
        <f t="shared" si="3"/>
        <v>New/idle—prioritize</v>
      </c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5.75" customHeight="1">
      <c r="A47" s="40" t="str">
        <f>Grinders!A49</f>
        <v>GRD-46</v>
      </c>
      <c r="B47" s="40" t="str">
        <f>Grinders!B49</f>
        <v>pro5153</v>
      </c>
      <c r="C47" s="40" t="str">
        <f>Grinders!C49</f>
        <v>Regular</v>
      </c>
      <c r="D47" s="40" t="str">
        <f>Grinders!D49</f>
        <v>3</v>
      </c>
      <c r="E47" s="40">
        <f>Grinders!E49</f>
        <v>0</v>
      </c>
      <c r="F47" s="40">
        <f>Grinders!F49</f>
        <v>0</v>
      </c>
      <c r="G47" s="40">
        <f>Grinders!G49</f>
        <v>0</v>
      </c>
      <c r="H47" s="54">
        <f>Grinders!H49</f>
        <v>46071</v>
      </c>
      <c r="I47" s="40">
        <f>Grinders!I49</f>
        <v>0</v>
      </c>
      <c r="J47" s="40" t="str">
        <f>Grinders!J49</f>
        <v/>
      </c>
      <c r="K47" s="40" t="str">
        <f>Grinders!K49</f>
        <v/>
      </c>
      <c r="L47" s="40">
        <f>Grinders!L49</f>
        <v>0</v>
      </c>
      <c r="M47" s="40" t="str">
        <f>Grinders!M49</f>
        <v/>
      </c>
      <c r="N47" s="40" t="str">
        <f t="shared" si="1"/>
        <v>🟢</v>
      </c>
      <c r="O47" s="40" t="str">
        <f t="shared" si="2"/>
        <v>✅ Likely (Needs Order)</v>
      </c>
      <c r="P47" s="40" t="str">
        <f t="shared" si="3"/>
        <v>New/idle—prioritize</v>
      </c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5.75" customHeight="1">
      <c r="A48" s="40" t="str">
        <f>Grinders!A50</f>
        <v>GRD-47</v>
      </c>
      <c r="B48" s="40" t="str">
        <f>Grinders!B50</f>
        <v>provoke.</v>
      </c>
      <c r="C48" s="40" t="str">
        <f>Grinders!C50</f>
        <v>Regular</v>
      </c>
      <c r="D48" s="40" t="str">
        <f>Grinders!D50</f>
        <v>3</v>
      </c>
      <c r="E48" s="40">
        <f>Grinders!E50</f>
        <v>0</v>
      </c>
      <c r="F48" s="40">
        <f>Grinders!F50</f>
        <v>0</v>
      </c>
      <c r="G48" s="40">
        <f>Grinders!G50</f>
        <v>0</v>
      </c>
      <c r="H48" s="54">
        <f>Grinders!H50</f>
        <v>46071</v>
      </c>
      <c r="I48" s="40">
        <f>Grinders!I50</f>
        <v>0</v>
      </c>
      <c r="J48" s="40" t="str">
        <f>Grinders!J50</f>
        <v/>
      </c>
      <c r="K48" s="40" t="str">
        <f>Grinders!K50</f>
        <v/>
      </c>
      <c r="L48" s="40">
        <f>Grinders!L50</f>
        <v>0</v>
      </c>
      <c r="M48" s="40" t="str">
        <f>Grinders!M50</f>
        <v/>
      </c>
      <c r="N48" s="40" t="str">
        <f t="shared" si="1"/>
        <v>🟢</v>
      </c>
      <c r="O48" s="40" t="str">
        <f t="shared" si="2"/>
        <v>✅ Likely (Needs Order)</v>
      </c>
      <c r="P48" s="40" t="str">
        <f t="shared" si="3"/>
        <v>New/idle—prioritize</v>
      </c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5.75" customHeight="1">
      <c r="A49" s="40" t="str">
        <f>Grinders!A51</f>
        <v>GRD-48</v>
      </c>
      <c r="B49" s="40" t="str">
        <f>Grinders!B51</f>
        <v>qixoan</v>
      </c>
      <c r="C49" s="40" t="str">
        <f>Grinders!C51</f>
        <v>Regular</v>
      </c>
      <c r="D49" s="40" t="str">
        <f>Grinders!D51</f>
        <v>3</v>
      </c>
      <c r="E49" s="40">
        <f>Grinders!E51</f>
        <v>0</v>
      </c>
      <c r="F49" s="40">
        <f>Grinders!F51</f>
        <v>0</v>
      </c>
      <c r="G49" s="40">
        <f>Grinders!G51</f>
        <v>0</v>
      </c>
      <c r="H49" s="54">
        <f>Grinders!H51</f>
        <v>46071</v>
      </c>
      <c r="I49" s="40">
        <f>Grinders!I51</f>
        <v>0</v>
      </c>
      <c r="J49" s="40" t="str">
        <f>Grinders!J51</f>
        <v/>
      </c>
      <c r="K49" s="40" t="str">
        <f>Grinders!K51</f>
        <v/>
      </c>
      <c r="L49" s="40">
        <f>Grinders!L51</f>
        <v>0</v>
      </c>
      <c r="M49" s="40" t="str">
        <f>Grinders!M51</f>
        <v/>
      </c>
      <c r="N49" s="40" t="str">
        <f t="shared" si="1"/>
        <v>🟢</v>
      </c>
      <c r="O49" s="40" t="str">
        <f t="shared" si="2"/>
        <v>✅ Likely (Needs Order)</v>
      </c>
      <c r="P49" s="40" t="str">
        <f t="shared" si="3"/>
        <v>New/idle—prioritize</v>
      </c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5.75" customHeight="1">
      <c r="A50" s="40" t="str">
        <f>Grinders!A52</f>
        <v>GRD-49</v>
      </c>
      <c r="B50" s="40" t="str">
        <f>Grinders!B52</f>
        <v>quickslippp</v>
      </c>
      <c r="C50" s="40" t="str">
        <f>Grinders!C52</f>
        <v>Regular</v>
      </c>
      <c r="D50" s="40" t="str">
        <f>Grinders!D52</f>
        <v>3</v>
      </c>
      <c r="E50" s="40">
        <f>Grinders!E52</f>
        <v>0</v>
      </c>
      <c r="F50" s="40">
        <f>Grinders!F52</f>
        <v>0</v>
      </c>
      <c r="G50" s="40">
        <f>Grinders!G52</f>
        <v>0</v>
      </c>
      <c r="H50" s="54">
        <f>Grinders!H52</f>
        <v>46071</v>
      </c>
      <c r="I50" s="40">
        <f>Grinders!I52</f>
        <v>0</v>
      </c>
      <c r="J50" s="40" t="str">
        <f>Grinders!J52</f>
        <v/>
      </c>
      <c r="K50" s="40" t="str">
        <f>Grinders!K52</f>
        <v/>
      </c>
      <c r="L50" s="40">
        <f>Grinders!L52</f>
        <v>0</v>
      </c>
      <c r="M50" s="40" t="str">
        <f>Grinders!M52</f>
        <v/>
      </c>
      <c r="N50" s="40" t="str">
        <f t="shared" si="1"/>
        <v>🟢</v>
      </c>
      <c r="O50" s="40" t="str">
        <f t="shared" si="2"/>
        <v>✅ Likely (Needs Order)</v>
      </c>
      <c r="P50" s="40" t="str">
        <f t="shared" si="3"/>
        <v>New/idle—prioritize</v>
      </c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5.75" customHeight="1">
      <c r="A51" s="40" t="str">
        <f>Grinders!A53</f>
        <v>GRD-50</v>
      </c>
      <c r="B51" s="40" t="str">
        <f>Grinders!B53</f>
        <v>nodaysoffgrinder</v>
      </c>
      <c r="C51" s="40" t="str">
        <f>Grinders!C53</f>
        <v>Elite</v>
      </c>
      <c r="D51" s="40" t="str">
        <f>Grinders!D53</f>
        <v>5</v>
      </c>
      <c r="E51" s="40">
        <f>Grinders!E53</f>
        <v>0</v>
      </c>
      <c r="F51" s="40">
        <f>Grinders!F53</f>
        <v>0</v>
      </c>
      <c r="G51" s="40">
        <f>Grinders!G53</f>
        <v>0</v>
      </c>
      <c r="H51" s="54">
        <f>Grinders!H53</f>
        <v>46071</v>
      </c>
      <c r="I51" s="40">
        <f>Grinders!I53</f>
        <v>0</v>
      </c>
      <c r="J51" s="40" t="str">
        <f>Grinders!J53</f>
        <v/>
      </c>
      <c r="K51" s="40" t="str">
        <f>Grinders!K53</f>
        <v/>
      </c>
      <c r="L51" s="40">
        <f>Grinders!L53</f>
        <v>0</v>
      </c>
      <c r="M51" s="40" t="str">
        <f>Grinders!M53</f>
        <v/>
      </c>
      <c r="N51" s="40" t="str">
        <f t="shared" si="1"/>
        <v>🟢</v>
      </c>
      <c r="O51" s="40" t="str">
        <f t="shared" si="2"/>
        <v>✅ Likely (Needs Order)</v>
      </c>
      <c r="P51" s="40" t="str">
        <f t="shared" si="3"/>
        <v>New/idle—prioritize</v>
      </c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5.75" customHeight="1">
      <c r="A52" s="40" t="str">
        <f>Grinders!A54</f>
        <v>GRD-51</v>
      </c>
      <c r="B52" s="40" t="str">
        <f>Grinders!B54</f>
        <v>xorula</v>
      </c>
      <c r="C52" s="40" t="str">
        <f>Grinders!C54</f>
        <v>Regular</v>
      </c>
      <c r="D52" s="40" t="str">
        <f>Grinders!D54</f>
        <v>3</v>
      </c>
      <c r="E52" s="40">
        <f>Grinders!E54</f>
        <v>0</v>
      </c>
      <c r="F52" s="40">
        <f>Grinders!F54</f>
        <v>0</v>
      </c>
      <c r="G52" s="40">
        <f>Grinders!G54</f>
        <v>0</v>
      </c>
      <c r="H52" s="54">
        <f>Grinders!H54</f>
        <v>46071</v>
      </c>
      <c r="I52" s="40">
        <f>Grinders!I54</f>
        <v>0</v>
      </c>
      <c r="J52" s="40" t="str">
        <f>Grinders!J54</f>
        <v/>
      </c>
      <c r="K52" s="40" t="str">
        <f>Grinders!K54</f>
        <v/>
      </c>
      <c r="L52" s="40">
        <f>Grinders!L54</f>
        <v>0</v>
      </c>
      <c r="M52" s="40" t="str">
        <f>Grinders!M54</f>
        <v/>
      </c>
      <c r="N52" s="40" t="str">
        <f t="shared" si="1"/>
        <v>🟢</v>
      </c>
      <c r="O52" s="40" t="str">
        <f t="shared" si="2"/>
        <v>✅ Likely (Needs Order)</v>
      </c>
      <c r="P52" s="40" t="str">
        <f t="shared" si="3"/>
        <v>New/idle—prioritize</v>
      </c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5.75" customHeight="1">
      <c r="A53" s="40" t="str">
        <f>Grinders!A55</f>
        <v>GRD-52</v>
      </c>
      <c r="B53" s="40" t="str">
        <f>Grinders!B55</f>
        <v>plibert</v>
      </c>
      <c r="C53" s="40" t="str">
        <f>Grinders!C55</f>
        <v>Regular</v>
      </c>
      <c r="D53" s="40" t="str">
        <f>Grinders!D55</f>
        <v>3</v>
      </c>
      <c r="E53" s="40">
        <f>Grinders!E55</f>
        <v>0</v>
      </c>
      <c r="F53" s="40">
        <f>Grinders!F55</f>
        <v>0</v>
      </c>
      <c r="G53" s="40">
        <f>Grinders!G55</f>
        <v>0</v>
      </c>
      <c r="H53" s="54">
        <f>Grinders!H55</f>
        <v>46071</v>
      </c>
      <c r="I53" s="40">
        <f>Grinders!I55</f>
        <v>0</v>
      </c>
      <c r="J53" s="40" t="str">
        <f>Grinders!J55</f>
        <v/>
      </c>
      <c r="K53" s="40" t="str">
        <f>Grinders!K55</f>
        <v/>
      </c>
      <c r="L53" s="40">
        <f>Grinders!L55</f>
        <v>0</v>
      </c>
      <c r="M53" s="40" t="str">
        <f>Grinders!M55</f>
        <v/>
      </c>
      <c r="N53" s="40" t="str">
        <f t="shared" si="1"/>
        <v>🟢</v>
      </c>
      <c r="O53" s="40" t="str">
        <f t="shared" si="2"/>
        <v>✅ Likely (Needs Order)</v>
      </c>
      <c r="P53" s="40" t="str">
        <f t="shared" si="3"/>
        <v>New/idle—prioritize</v>
      </c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5.75" customHeight="1">
      <c r="A54" s="40" t="str">
        <f>Grinders!A56</f>
        <v>GRD-53</v>
      </c>
      <c r="B54" s="40" t="str">
        <f>Grinders!B56</f>
        <v>stayrdr</v>
      </c>
      <c r="C54" s="40" t="str">
        <f>Grinders!C56</f>
        <v>Regular</v>
      </c>
      <c r="D54" s="40" t="str">
        <f>Grinders!D56</f>
        <v>3</v>
      </c>
      <c r="E54" s="40">
        <f>Grinders!E56</f>
        <v>0</v>
      </c>
      <c r="F54" s="40">
        <f>Grinders!F56</f>
        <v>0</v>
      </c>
      <c r="G54" s="40">
        <f>Grinders!G56</f>
        <v>0</v>
      </c>
      <c r="H54" s="54">
        <f>Grinders!H56</f>
        <v>46071</v>
      </c>
      <c r="I54" s="40">
        <f>Grinders!I56</f>
        <v>0</v>
      </c>
      <c r="J54" s="40" t="str">
        <f>Grinders!J56</f>
        <v/>
      </c>
      <c r="K54" s="40" t="str">
        <f>Grinders!K56</f>
        <v/>
      </c>
      <c r="L54" s="40">
        <f>Grinders!L56</f>
        <v>0</v>
      </c>
      <c r="M54" s="40" t="str">
        <f>Grinders!M56</f>
        <v/>
      </c>
      <c r="N54" s="40" t="str">
        <f t="shared" si="1"/>
        <v>🟢</v>
      </c>
      <c r="O54" s="40" t="str">
        <f t="shared" si="2"/>
        <v>✅ Likely (Needs Order)</v>
      </c>
      <c r="P54" s="40" t="str">
        <f t="shared" si="3"/>
        <v>New/idle—prioritize</v>
      </c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5.75" customHeight="1">
      <c r="A55" s="40" t="str">
        <f>Grinders!A57</f>
        <v>GRD-54</v>
      </c>
      <c r="B55" s="40" t="str">
        <f>Grinders!B57</f>
        <v>llturboll</v>
      </c>
      <c r="C55" s="40" t="str">
        <f>Grinders!C57</f>
        <v>Regular</v>
      </c>
      <c r="D55" s="40" t="str">
        <f>Grinders!D57</f>
        <v>3</v>
      </c>
      <c r="E55" s="40">
        <f>Grinders!E57</f>
        <v>0</v>
      </c>
      <c r="F55" s="40">
        <f>Grinders!F57</f>
        <v>0</v>
      </c>
      <c r="G55" s="40">
        <f>Grinders!G57</f>
        <v>0</v>
      </c>
      <c r="H55" s="54">
        <f>Grinders!H57</f>
        <v>46071</v>
      </c>
      <c r="I55" s="40">
        <f>Grinders!I57</f>
        <v>0</v>
      </c>
      <c r="J55" s="40" t="str">
        <f>Grinders!J57</f>
        <v/>
      </c>
      <c r="K55" s="40" t="str">
        <f>Grinders!K57</f>
        <v/>
      </c>
      <c r="L55" s="40">
        <f>Grinders!L57</f>
        <v>0</v>
      </c>
      <c r="M55" s="40" t="str">
        <f>Grinders!M57</f>
        <v/>
      </c>
      <c r="N55" s="40" t="str">
        <f t="shared" si="1"/>
        <v>🟢</v>
      </c>
      <c r="O55" s="40" t="str">
        <f t="shared" si="2"/>
        <v>✅ Likely (Needs Order)</v>
      </c>
      <c r="P55" s="40" t="str">
        <f t="shared" si="3"/>
        <v>New/idle—prioritize</v>
      </c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5.75" customHeight="1">
      <c r="A56" s="40" t="str">
        <f>Grinders!A58</f>
        <v>GRD-55</v>
      </c>
      <c r="B56" s="40" t="str">
        <f>Grinders!B58</f>
        <v>teardagoat</v>
      </c>
      <c r="C56" s="40" t="str">
        <f>Grinders!C58</f>
        <v>Regular</v>
      </c>
      <c r="D56" s="40" t="str">
        <f>Grinders!D58</f>
        <v>3</v>
      </c>
      <c r="E56" s="40">
        <f>Grinders!E58</f>
        <v>0</v>
      </c>
      <c r="F56" s="40">
        <f>Grinders!F58</f>
        <v>0</v>
      </c>
      <c r="G56" s="40">
        <f>Grinders!G58</f>
        <v>0</v>
      </c>
      <c r="H56" s="54">
        <f>Grinders!H58</f>
        <v>46071</v>
      </c>
      <c r="I56" s="40">
        <f>Grinders!I58</f>
        <v>0</v>
      </c>
      <c r="J56" s="40" t="str">
        <f>Grinders!J58</f>
        <v/>
      </c>
      <c r="K56" s="40" t="str">
        <f>Grinders!K58</f>
        <v/>
      </c>
      <c r="L56" s="40">
        <f>Grinders!L58</f>
        <v>0</v>
      </c>
      <c r="M56" s="40" t="str">
        <f>Grinders!M58</f>
        <v/>
      </c>
      <c r="N56" s="40" t="str">
        <f t="shared" si="1"/>
        <v>🟢</v>
      </c>
      <c r="O56" s="40" t="str">
        <f t="shared" si="2"/>
        <v>✅ Likely (Needs Order)</v>
      </c>
      <c r="P56" s="40" t="str">
        <f t="shared" si="3"/>
        <v>New/idle—prioritize</v>
      </c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5.75" customHeight="1">
      <c r="A57" s="40" t="str">
        <f>Grinders!A59</f>
        <v>GRD-56</v>
      </c>
      <c r="B57" s="40" t="str">
        <f>Grinders!B59</f>
        <v>tengfg</v>
      </c>
      <c r="C57" s="40" t="str">
        <f>Grinders!C59</f>
        <v>Regular</v>
      </c>
      <c r="D57" s="40" t="str">
        <f>Grinders!D59</f>
        <v>3</v>
      </c>
      <c r="E57" s="40">
        <f>Grinders!E59</f>
        <v>0</v>
      </c>
      <c r="F57" s="40">
        <f>Grinders!F59</f>
        <v>0</v>
      </c>
      <c r="G57" s="40">
        <f>Grinders!G59</f>
        <v>0</v>
      </c>
      <c r="H57" s="54">
        <f>Grinders!H59</f>
        <v>46071</v>
      </c>
      <c r="I57" s="40">
        <f>Grinders!I59</f>
        <v>0</v>
      </c>
      <c r="J57" s="40" t="str">
        <f>Grinders!J59</f>
        <v/>
      </c>
      <c r="K57" s="40" t="str">
        <f>Grinders!K59</f>
        <v/>
      </c>
      <c r="L57" s="40">
        <f>Grinders!L59</f>
        <v>0</v>
      </c>
      <c r="M57" s="40" t="str">
        <f>Grinders!M59</f>
        <v/>
      </c>
      <c r="N57" s="40" t="str">
        <f t="shared" si="1"/>
        <v>🟢</v>
      </c>
      <c r="O57" s="40" t="str">
        <f t="shared" si="2"/>
        <v>✅ Likely (Needs Order)</v>
      </c>
      <c r="P57" s="40" t="str">
        <f t="shared" si="3"/>
        <v>New/idle—prioritize</v>
      </c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5.75" customHeight="1">
      <c r="A58" s="40" t="str">
        <f>Grinders!A60</f>
        <v>GRD-57</v>
      </c>
      <c r="B58" s="40" t="str">
        <f>Grinders!B60</f>
        <v>thanksevan</v>
      </c>
      <c r="C58" s="40" t="str">
        <f>Grinders!C60</f>
        <v>Regular</v>
      </c>
      <c r="D58" s="40" t="str">
        <f>Grinders!D60</f>
        <v>3</v>
      </c>
      <c r="E58" s="40">
        <f>Grinders!E60</f>
        <v>0</v>
      </c>
      <c r="F58" s="40">
        <f>Grinders!F60</f>
        <v>0</v>
      </c>
      <c r="G58" s="40">
        <f>Grinders!G60</f>
        <v>0</v>
      </c>
      <c r="H58" s="54">
        <f>Grinders!H60</f>
        <v>46071</v>
      </c>
      <c r="I58" s="40">
        <f>Grinders!I60</f>
        <v>0</v>
      </c>
      <c r="J58" s="40" t="str">
        <f>Grinders!J60</f>
        <v/>
      </c>
      <c r="K58" s="40" t="str">
        <f>Grinders!K60</f>
        <v/>
      </c>
      <c r="L58" s="40">
        <f>Grinders!L60</f>
        <v>0</v>
      </c>
      <c r="M58" s="40" t="str">
        <f>Grinders!M60</f>
        <v/>
      </c>
      <c r="N58" s="40" t="str">
        <f t="shared" si="1"/>
        <v>🟢</v>
      </c>
      <c r="O58" s="40" t="str">
        <f t="shared" si="2"/>
        <v>✅ Likely (Needs Order)</v>
      </c>
      <c r="P58" s="40" t="str">
        <f t="shared" si="3"/>
        <v>New/idle—prioritize</v>
      </c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5.75" customHeight="1">
      <c r="A59" s="40" t="str">
        <f>Grinders!A61</f>
        <v>GRD-58</v>
      </c>
      <c r="B59" s="40" t="str">
        <f>Grinders!B61</f>
        <v>tjack6291</v>
      </c>
      <c r="C59" s="40" t="str">
        <f>Grinders!C61</f>
        <v>Regular</v>
      </c>
      <c r="D59" s="40" t="str">
        <f>Grinders!D61</f>
        <v>3</v>
      </c>
      <c r="E59" s="40">
        <f>Grinders!E61</f>
        <v>0</v>
      </c>
      <c r="F59" s="40">
        <f>Grinders!F61</f>
        <v>0</v>
      </c>
      <c r="G59" s="40">
        <f>Grinders!G61</f>
        <v>0</v>
      </c>
      <c r="H59" s="54">
        <f>Grinders!H61</f>
        <v>46071</v>
      </c>
      <c r="I59" s="40">
        <f>Grinders!I61</f>
        <v>0</v>
      </c>
      <c r="J59" s="40" t="str">
        <f>Grinders!J61</f>
        <v/>
      </c>
      <c r="K59" s="40" t="str">
        <f>Grinders!K61</f>
        <v/>
      </c>
      <c r="L59" s="40">
        <f>Grinders!L61</f>
        <v>0</v>
      </c>
      <c r="M59" s="40" t="str">
        <f>Grinders!M61</f>
        <v/>
      </c>
      <c r="N59" s="40" t="str">
        <f t="shared" si="1"/>
        <v>🟢</v>
      </c>
      <c r="O59" s="40" t="str">
        <f t="shared" si="2"/>
        <v>✅ Likely (Needs Order)</v>
      </c>
      <c r="P59" s="40" t="str">
        <f t="shared" si="3"/>
        <v>New/idle—prioritize</v>
      </c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5.75" customHeight="1">
      <c r="A60" s="40" t="str">
        <f>Grinders!A62</f>
        <v>GRD-59</v>
      </c>
      <c r="B60" s="40" t="str">
        <f>Grinders!B62</f>
        <v>twizz1of1</v>
      </c>
      <c r="C60" s="40" t="str">
        <f>Grinders!C62</f>
        <v>Elite</v>
      </c>
      <c r="D60" s="40" t="str">
        <f>Grinders!D62</f>
        <v>5</v>
      </c>
      <c r="E60" s="40">
        <f>Grinders!E62</f>
        <v>0</v>
      </c>
      <c r="F60" s="40">
        <f>Grinders!F62</f>
        <v>0</v>
      </c>
      <c r="G60" s="40">
        <f>Grinders!G62</f>
        <v>0</v>
      </c>
      <c r="H60" s="54">
        <f>Grinders!H62</f>
        <v>46071</v>
      </c>
      <c r="I60" s="40">
        <f>Grinders!I62</f>
        <v>0</v>
      </c>
      <c r="J60" s="40" t="str">
        <f>Grinders!J62</f>
        <v/>
      </c>
      <c r="K60" s="40" t="str">
        <f>Grinders!K62</f>
        <v/>
      </c>
      <c r="L60" s="40">
        <f>Grinders!L62</f>
        <v>0</v>
      </c>
      <c r="M60" s="40" t="str">
        <f>Grinders!M62</f>
        <v/>
      </c>
      <c r="N60" s="40" t="str">
        <f t="shared" si="1"/>
        <v>🟢</v>
      </c>
      <c r="O60" s="40" t="str">
        <f t="shared" si="2"/>
        <v>✅ Likely (Needs Order)</v>
      </c>
      <c r="P60" s="40" t="str">
        <f t="shared" si="3"/>
        <v>New/idle—prioritize</v>
      </c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5.75" customHeight="1">
      <c r="A61" s="40" t="str">
        <f>Grinders!A63</f>
        <v>GRD-60</v>
      </c>
      <c r="B61" s="40" t="str">
        <f>Grinders!B63</f>
        <v>praisev6</v>
      </c>
      <c r="C61" s="40" t="str">
        <f>Grinders!C63</f>
        <v>Regular</v>
      </c>
      <c r="D61" s="40" t="str">
        <f>Grinders!D63</f>
        <v>3</v>
      </c>
      <c r="E61" s="40">
        <f>Grinders!E63</f>
        <v>0</v>
      </c>
      <c r="F61" s="40">
        <f>Grinders!F63</f>
        <v>0</v>
      </c>
      <c r="G61" s="40">
        <f>Grinders!G63</f>
        <v>0</v>
      </c>
      <c r="H61" s="54">
        <f>Grinders!H63</f>
        <v>46071</v>
      </c>
      <c r="I61" s="40">
        <f>Grinders!I63</f>
        <v>0</v>
      </c>
      <c r="J61" s="40" t="str">
        <f>Grinders!J63</f>
        <v/>
      </c>
      <c r="K61" s="40" t="str">
        <f>Grinders!K63</f>
        <v/>
      </c>
      <c r="L61" s="40">
        <f>Grinders!L63</f>
        <v>0</v>
      </c>
      <c r="M61" s="40" t="str">
        <f>Grinders!M63</f>
        <v/>
      </c>
      <c r="N61" s="40" t="str">
        <f t="shared" si="1"/>
        <v>🟢</v>
      </c>
      <c r="O61" s="40" t="str">
        <f t="shared" si="2"/>
        <v>✅ Likely (Needs Order)</v>
      </c>
      <c r="P61" s="40" t="str">
        <f t="shared" si="3"/>
        <v>New/idle—prioritize</v>
      </c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5.75" customHeight="1">
      <c r="A62" s="40" t="str">
        <f>Grinders!A64</f>
        <v>GRD-61</v>
      </c>
      <c r="B62" s="40" t="str">
        <f>Grinders!B64</f>
        <v>llwocky</v>
      </c>
      <c r="C62" s="40" t="str">
        <f>Grinders!C64</f>
        <v>Regular</v>
      </c>
      <c r="D62" s="40" t="str">
        <f>Grinders!D64</f>
        <v>3</v>
      </c>
      <c r="E62" s="40">
        <f>Grinders!E64</f>
        <v>0</v>
      </c>
      <c r="F62" s="40">
        <f>Grinders!F64</f>
        <v>0</v>
      </c>
      <c r="G62" s="40">
        <f>Grinders!G64</f>
        <v>0</v>
      </c>
      <c r="H62" s="54">
        <f>Grinders!H64</f>
        <v>46071</v>
      </c>
      <c r="I62" s="40">
        <f>Grinders!I64</f>
        <v>0</v>
      </c>
      <c r="J62" s="40" t="str">
        <f>Grinders!J64</f>
        <v/>
      </c>
      <c r="K62" s="40" t="str">
        <f>Grinders!K64</f>
        <v/>
      </c>
      <c r="L62" s="40">
        <f>Grinders!L64</f>
        <v>0</v>
      </c>
      <c r="M62" s="40" t="str">
        <f>Grinders!M64</f>
        <v/>
      </c>
      <c r="N62" s="40" t="str">
        <f t="shared" si="1"/>
        <v>🟢</v>
      </c>
      <c r="O62" s="40" t="str">
        <f t="shared" si="2"/>
        <v>✅ Likely (Needs Order)</v>
      </c>
      <c r="P62" s="40" t="str">
        <f t="shared" si="3"/>
        <v>New/idle—prioritize</v>
      </c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40" t="str">
        <f>Grinders!A65</f>
        <v>GRD-62</v>
      </c>
      <c r="B63" s="40" t="str">
        <f>Grinders!B65</f>
        <v>iiwolvezii</v>
      </c>
      <c r="C63" s="40" t="str">
        <f>Grinders!C65</f>
        <v>Regular</v>
      </c>
      <c r="D63" s="40" t="str">
        <f>Grinders!D65</f>
        <v>3</v>
      </c>
      <c r="E63" s="40">
        <f>Grinders!E65</f>
        <v>0</v>
      </c>
      <c r="F63" s="40">
        <f>Grinders!F65</f>
        <v>0</v>
      </c>
      <c r="G63" s="40">
        <f>Grinders!G65</f>
        <v>0</v>
      </c>
      <c r="H63" s="54">
        <f>Grinders!H65</f>
        <v>46071</v>
      </c>
      <c r="I63" s="40">
        <f>Grinders!I65</f>
        <v>0</v>
      </c>
      <c r="J63" s="40" t="str">
        <f>Grinders!J65</f>
        <v/>
      </c>
      <c r="K63" s="40" t="str">
        <f>Grinders!K65</f>
        <v/>
      </c>
      <c r="L63" s="40">
        <f>Grinders!L65</f>
        <v>0</v>
      </c>
      <c r="M63" s="40" t="str">
        <f>Grinders!M65</f>
        <v/>
      </c>
      <c r="N63" s="40" t="str">
        <f t="shared" si="1"/>
        <v>🟢</v>
      </c>
      <c r="O63" s="40" t="str">
        <f t="shared" si="2"/>
        <v>✅ Likely (Needs Order)</v>
      </c>
      <c r="P63" s="40" t="str">
        <f t="shared" si="3"/>
        <v>New/idle—prioritize</v>
      </c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40" t="str">
        <f>Grinders!A66</f>
        <v>GRD-63</v>
      </c>
      <c r="B64" s="40" t="str">
        <f>Grinders!B66</f>
        <v>xwuco</v>
      </c>
      <c r="C64" s="40" t="str">
        <f>Grinders!C66</f>
        <v>Regular</v>
      </c>
      <c r="D64" s="40" t="str">
        <f>Grinders!D66</f>
        <v>3</v>
      </c>
      <c r="E64" s="40">
        <f>Grinders!E66</f>
        <v>0</v>
      </c>
      <c r="F64" s="40">
        <f>Grinders!F66</f>
        <v>0</v>
      </c>
      <c r="G64" s="40">
        <f>Grinders!G66</f>
        <v>0</v>
      </c>
      <c r="H64" s="54">
        <f>Grinders!H66</f>
        <v>46071</v>
      </c>
      <c r="I64" s="40">
        <f>Grinders!I66</f>
        <v>0</v>
      </c>
      <c r="J64" s="40" t="str">
        <f>Grinders!J66</f>
        <v/>
      </c>
      <c r="K64" s="40" t="str">
        <f>Grinders!K66</f>
        <v/>
      </c>
      <c r="L64" s="40">
        <f>Grinders!L66</f>
        <v>0</v>
      </c>
      <c r="M64" s="40" t="str">
        <f>Grinders!M66</f>
        <v/>
      </c>
      <c r="N64" s="40" t="str">
        <f t="shared" si="1"/>
        <v>🟢</v>
      </c>
      <c r="O64" s="40" t="str">
        <f t="shared" si="2"/>
        <v>✅ Likely (Needs Order)</v>
      </c>
      <c r="P64" s="40" t="str">
        <f t="shared" si="3"/>
        <v>New/idle—prioritize</v>
      </c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40" t="str">
        <f>Grinders!A67</f>
        <v>GRD-64</v>
      </c>
      <c r="B65" s="40" t="str">
        <f>Grinders!B67</f>
        <v>xenon0038</v>
      </c>
      <c r="C65" s="40" t="str">
        <f>Grinders!C67</f>
        <v>Regular</v>
      </c>
      <c r="D65" s="40" t="str">
        <f>Grinders!D67</f>
        <v>3</v>
      </c>
      <c r="E65" s="40">
        <f>Grinders!E67</f>
        <v>0</v>
      </c>
      <c r="F65" s="40">
        <f>Grinders!F67</f>
        <v>0</v>
      </c>
      <c r="G65" s="40">
        <f>Grinders!G67</f>
        <v>0</v>
      </c>
      <c r="H65" s="54">
        <f>Grinders!H67</f>
        <v>46071</v>
      </c>
      <c r="I65" s="40">
        <f>Grinders!I67</f>
        <v>0</v>
      </c>
      <c r="J65" s="40" t="str">
        <f>Grinders!J67</f>
        <v/>
      </c>
      <c r="K65" s="40" t="str">
        <f>Grinders!K67</f>
        <v/>
      </c>
      <c r="L65" s="40">
        <f>Grinders!L67</f>
        <v>0</v>
      </c>
      <c r="M65" s="40" t="str">
        <f>Grinders!M67</f>
        <v/>
      </c>
      <c r="N65" s="40" t="str">
        <f t="shared" si="1"/>
        <v>🟢</v>
      </c>
      <c r="O65" s="40" t="str">
        <f t="shared" si="2"/>
        <v>✅ Likely (Needs Order)</v>
      </c>
      <c r="P65" s="40" t="str">
        <f t="shared" si="3"/>
        <v>New/idle—prioritize</v>
      </c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40" t="str">
        <f>Grinders!A68</f>
        <v>GRD-65</v>
      </c>
      <c r="B66" s="40" t="str">
        <f>Grinders!B68</f>
        <v>xlabgoat</v>
      </c>
      <c r="C66" s="40" t="str">
        <f>Grinders!C68</f>
        <v>Regular</v>
      </c>
      <c r="D66" s="40" t="str">
        <f>Grinders!D68</f>
        <v>3</v>
      </c>
      <c r="E66" s="40">
        <f>Grinders!E68</f>
        <v>0</v>
      </c>
      <c r="F66" s="40">
        <f>Grinders!F68</f>
        <v>0</v>
      </c>
      <c r="G66" s="40">
        <f>Grinders!G68</f>
        <v>0</v>
      </c>
      <c r="H66" s="54">
        <f>Grinders!H68</f>
        <v>46071</v>
      </c>
      <c r="I66" s="40">
        <f>Grinders!I68</f>
        <v>0</v>
      </c>
      <c r="J66" s="40" t="str">
        <f>Grinders!J68</f>
        <v/>
      </c>
      <c r="K66" s="40" t="str">
        <f>Grinders!K68</f>
        <v/>
      </c>
      <c r="L66" s="40">
        <f>Grinders!L68</f>
        <v>0</v>
      </c>
      <c r="M66" s="40" t="str">
        <f>Grinders!M68</f>
        <v/>
      </c>
      <c r="N66" s="40" t="str">
        <f t="shared" si="1"/>
        <v>🟢</v>
      </c>
      <c r="O66" s="40" t="str">
        <f t="shared" si="2"/>
        <v>✅ Likely (Needs Order)</v>
      </c>
      <c r="P66" s="40" t="str">
        <f t="shared" si="3"/>
        <v>New/idle—prioritize</v>
      </c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40" t="str">
        <f>Grinders!A69</f>
        <v>GRD-66</v>
      </c>
      <c r="B67" s="40" t="str">
        <f>Grinders!B69</f>
        <v>zb2kx</v>
      </c>
      <c r="C67" s="40" t="str">
        <f>Grinders!C69</f>
        <v>Regular</v>
      </c>
      <c r="D67" s="40" t="str">
        <f>Grinders!D69</f>
        <v>3</v>
      </c>
      <c r="E67" s="40">
        <f>Grinders!E69</f>
        <v>0</v>
      </c>
      <c r="F67" s="40">
        <f>Grinders!F69</f>
        <v>0</v>
      </c>
      <c r="G67" s="40">
        <f>Grinders!G69</f>
        <v>0</v>
      </c>
      <c r="H67" s="54">
        <f>Grinders!H69</f>
        <v>46071</v>
      </c>
      <c r="I67" s="40">
        <f>Grinders!I69</f>
        <v>0</v>
      </c>
      <c r="J67" s="40" t="str">
        <f>Grinders!J69</f>
        <v/>
      </c>
      <c r="K67" s="40" t="str">
        <f>Grinders!K69</f>
        <v/>
      </c>
      <c r="L67" s="40">
        <f>Grinders!L69</f>
        <v>0</v>
      </c>
      <c r="M67" s="40" t="str">
        <f>Grinders!M69</f>
        <v/>
      </c>
      <c r="N67" s="40" t="str">
        <f t="shared" si="1"/>
        <v>🟢</v>
      </c>
      <c r="O67" s="40" t="str">
        <f t="shared" si="2"/>
        <v>✅ Likely (Needs Order)</v>
      </c>
      <c r="P67" s="40" t="str">
        <f t="shared" si="3"/>
        <v>New/idle—prioritize</v>
      </c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40" t="str">
        <f>Grinders!A70</f>
        <v>GRD-67</v>
      </c>
      <c r="B68" s="40" t="str">
        <f>Grinders!B70</f>
        <v>jkrpt</v>
      </c>
      <c r="C68" s="40" t="str">
        <f>Grinders!C70</f>
        <v>Regular</v>
      </c>
      <c r="D68" s="40" t="str">
        <f>Grinders!D70</f>
        <v>3</v>
      </c>
      <c r="E68" s="40">
        <f>Grinders!E70</f>
        <v>0</v>
      </c>
      <c r="F68" s="40">
        <f>Grinders!F70</f>
        <v>0</v>
      </c>
      <c r="G68" s="40">
        <f>Grinders!G70</f>
        <v>0</v>
      </c>
      <c r="H68" s="54">
        <f>Grinders!H70</f>
        <v>46071</v>
      </c>
      <c r="I68" s="40">
        <f>Grinders!I70</f>
        <v>0</v>
      </c>
      <c r="J68" s="40" t="str">
        <f>Grinders!J70</f>
        <v/>
      </c>
      <c r="K68" s="40" t="str">
        <f>Grinders!K70</f>
        <v/>
      </c>
      <c r="L68" s="40">
        <f>Grinders!L70</f>
        <v>0</v>
      </c>
      <c r="M68" s="40" t="str">
        <f>Grinders!M70</f>
        <v/>
      </c>
      <c r="N68" s="40" t="str">
        <f t="shared" si="1"/>
        <v>🟢</v>
      </c>
      <c r="O68" s="40" t="str">
        <f t="shared" si="2"/>
        <v>✅ Likely (Needs Order)</v>
      </c>
      <c r="P68" s="40" t="str">
        <f t="shared" si="3"/>
        <v>New/idle—prioritize</v>
      </c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40" t="str">
        <f>Grinders!A71</f>
        <v>GRD-68</v>
      </c>
      <c r="B69" s="40" t="str">
        <f>Grinders!B71</f>
        <v>jumptv</v>
      </c>
      <c r="C69" s="40" t="str">
        <f>Grinders!C71</f>
        <v>Regular</v>
      </c>
      <c r="D69" s="40" t="str">
        <f>Grinders!D71</f>
        <v>3</v>
      </c>
      <c r="E69" s="40">
        <f>Grinders!E71</f>
        <v>0</v>
      </c>
      <c r="F69" s="40">
        <f>Grinders!F71</f>
        <v>0</v>
      </c>
      <c r="G69" s="40">
        <f>Grinders!G71</f>
        <v>0</v>
      </c>
      <c r="H69" s="54">
        <f>Grinders!H71</f>
        <v>46071</v>
      </c>
      <c r="I69" s="40">
        <f>Grinders!I71</f>
        <v>0</v>
      </c>
      <c r="J69" s="40" t="str">
        <f>Grinders!J71</f>
        <v/>
      </c>
      <c r="K69" s="40" t="str">
        <f>Grinders!K71</f>
        <v/>
      </c>
      <c r="L69" s="40">
        <f>Grinders!L71</f>
        <v>0</v>
      </c>
      <c r="M69" s="40" t="str">
        <f>Grinders!M71</f>
        <v/>
      </c>
      <c r="N69" s="40" t="str">
        <f t="shared" si="1"/>
        <v>🟢</v>
      </c>
      <c r="O69" s="40" t="str">
        <f t="shared" si="2"/>
        <v>✅ Likely (Needs Order)</v>
      </c>
      <c r="P69" s="40" t="str">
        <f t="shared" si="3"/>
        <v>New/idle—prioritize</v>
      </c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40" t="str">
        <f>Grinders!A72</f>
        <v>GRD-69</v>
      </c>
      <c r="B70" s="40" t="str">
        <f>Grinders!B72</f>
        <v>keemsx</v>
      </c>
      <c r="C70" s="40" t="str">
        <f>Grinders!C72</f>
        <v>Regular</v>
      </c>
      <c r="D70" s="40" t="str">
        <f>Grinders!D72</f>
        <v>3</v>
      </c>
      <c r="E70" s="40">
        <f>Grinders!E72</f>
        <v>0</v>
      </c>
      <c r="F70" s="40">
        <f>Grinders!F72</f>
        <v>0</v>
      </c>
      <c r="G70" s="40">
        <f>Grinders!G72</f>
        <v>0</v>
      </c>
      <c r="H70" s="54">
        <f>Grinders!H72</f>
        <v>46071</v>
      </c>
      <c r="I70" s="40">
        <f>Grinders!I72</f>
        <v>0</v>
      </c>
      <c r="J70" s="40" t="str">
        <f>Grinders!J72</f>
        <v/>
      </c>
      <c r="K70" s="40" t="str">
        <f>Grinders!K72</f>
        <v/>
      </c>
      <c r="L70" s="40">
        <f>Grinders!L72</f>
        <v>0</v>
      </c>
      <c r="M70" s="40" t="str">
        <f>Grinders!M72</f>
        <v/>
      </c>
      <c r="N70" s="40" t="str">
        <f t="shared" si="1"/>
        <v>🟢</v>
      </c>
      <c r="O70" s="40" t="str">
        <f t="shared" si="2"/>
        <v>✅ Likely (Needs Order)</v>
      </c>
      <c r="P70" s="40" t="str">
        <f t="shared" si="3"/>
        <v>New/idle—prioritize</v>
      </c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40" t="str">
        <f>Grinders!A73</f>
        <v>GRD-70</v>
      </c>
      <c r="B71" s="40" t="str">
        <f>Grinders!B73</f>
        <v>xbreezyy1</v>
      </c>
      <c r="C71" s="40" t="str">
        <f>Grinders!C73</f>
        <v>Regular</v>
      </c>
      <c r="D71" s="40" t="str">
        <f>Grinders!D73</f>
        <v>3</v>
      </c>
      <c r="E71" s="40">
        <f>Grinders!E73</f>
        <v>0</v>
      </c>
      <c r="F71" s="40">
        <f>Grinders!F73</f>
        <v>0</v>
      </c>
      <c r="G71" s="40">
        <f>Grinders!G73</f>
        <v>0</v>
      </c>
      <c r="H71" s="54">
        <f>Grinders!H73</f>
        <v>46071</v>
      </c>
      <c r="I71" s="40">
        <f>Grinders!I73</f>
        <v>0</v>
      </c>
      <c r="J71" s="40" t="str">
        <f>Grinders!J73</f>
        <v/>
      </c>
      <c r="K71" s="40" t="str">
        <f>Grinders!K73</f>
        <v/>
      </c>
      <c r="L71" s="40">
        <f>Grinders!L73</f>
        <v>0</v>
      </c>
      <c r="M71" s="40" t="str">
        <f>Grinders!M73</f>
        <v/>
      </c>
      <c r="N71" s="40" t="str">
        <f t="shared" si="1"/>
        <v>🟢</v>
      </c>
      <c r="O71" s="40" t="str">
        <f t="shared" si="2"/>
        <v>✅ Likely (Needs Order)</v>
      </c>
      <c r="P71" s="40" t="str">
        <f t="shared" si="3"/>
        <v>New/idle—prioritize</v>
      </c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40" t="str">
        <f>Grinders!A74</f>
        <v>GRD-71</v>
      </c>
      <c r="B72" s="40" t="str">
        <f>Grinders!B74</f>
        <v>luvgill</v>
      </c>
      <c r="C72" s="40" t="str">
        <f>Grinders!C74</f>
        <v>Regular</v>
      </c>
      <c r="D72" s="40" t="str">
        <f>Grinders!D74</f>
        <v>3</v>
      </c>
      <c r="E72" s="40">
        <f>Grinders!E74</f>
        <v>0</v>
      </c>
      <c r="F72" s="40">
        <f>Grinders!F74</f>
        <v>0</v>
      </c>
      <c r="G72" s="40">
        <f>Grinders!G74</f>
        <v>0</v>
      </c>
      <c r="H72" s="54">
        <f>Grinders!H74</f>
        <v>46071</v>
      </c>
      <c r="I72" s="40">
        <f>Grinders!I74</f>
        <v>0</v>
      </c>
      <c r="J72" s="40" t="str">
        <f>Grinders!J74</f>
        <v/>
      </c>
      <c r="K72" s="40" t="str">
        <f>Grinders!K74</f>
        <v/>
      </c>
      <c r="L72" s="40">
        <f>Grinders!L74</f>
        <v>0</v>
      </c>
      <c r="M72" s="40" t="str">
        <f>Grinders!M74</f>
        <v/>
      </c>
      <c r="N72" s="40" t="str">
        <f t="shared" si="1"/>
        <v>🟢</v>
      </c>
      <c r="O72" s="40" t="str">
        <f t="shared" si="2"/>
        <v>✅ Likely (Needs Order)</v>
      </c>
      <c r="P72" s="40" t="str">
        <f t="shared" si="3"/>
        <v>New/idle—prioritize</v>
      </c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40" t="str">
        <f>Grinders!A75</f>
        <v>GRD-72</v>
      </c>
      <c r="B73" s="40" t="str">
        <f>Grinders!B75</f>
        <v>philly223</v>
      </c>
      <c r="C73" s="40" t="str">
        <f>Grinders!C75</f>
        <v>Regular</v>
      </c>
      <c r="D73" s="40" t="str">
        <f>Grinders!D75</f>
        <v>3</v>
      </c>
      <c r="E73" s="40">
        <f>Grinders!E75</f>
        <v>0</v>
      </c>
      <c r="F73" s="40">
        <f>Grinders!F75</f>
        <v>0</v>
      </c>
      <c r="G73" s="40">
        <f>Grinders!G75</f>
        <v>0</v>
      </c>
      <c r="H73" s="54">
        <f>Grinders!H75</f>
        <v>46071</v>
      </c>
      <c r="I73" s="40">
        <f>Grinders!I75</f>
        <v>0</v>
      </c>
      <c r="J73" s="40" t="str">
        <f>Grinders!J75</f>
        <v/>
      </c>
      <c r="K73" s="40" t="str">
        <f>Grinders!K75</f>
        <v/>
      </c>
      <c r="L73" s="40">
        <f>Grinders!L75</f>
        <v>0</v>
      </c>
      <c r="M73" s="40" t="str">
        <f>Grinders!M75</f>
        <v/>
      </c>
      <c r="N73" s="40" t="str">
        <f t="shared" si="1"/>
        <v>🟢</v>
      </c>
      <c r="O73" s="40" t="str">
        <f t="shared" si="2"/>
        <v>✅ Likely (Needs Order)</v>
      </c>
      <c r="P73" s="40" t="str">
        <f t="shared" si="3"/>
        <v>New/idle—prioritize</v>
      </c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40" t="str">
        <f>Grinders!A76</f>
        <v>GRD-73</v>
      </c>
      <c r="B74" s="40" t="str">
        <f>Grinders!B76</f>
        <v>tr6nd</v>
      </c>
      <c r="C74" s="40" t="str">
        <f>Grinders!C76</f>
        <v>Regular</v>
      </c>
      <c r="D74" s="40" t="str">
        <f>Grinders!D76</f>
        <v>3</v>
      </c>
      <c r="E74" s="40">
        <f>Grinders!E76</f>
        <v>0</v>
      </c>
      <c r="F74" s="40">
        <f>Grinders!F76</f>
        <v>0</v>
      </c>
      <c r="G74" s="40">
        <f>Grinders!G76</f>
        <v>0</v>
      </c>
      <c r="H74" s="54">
        <f>Grinders!H76</f>
        <v>46071</v>
      </c>
      <c r="I74" s="40">
        <f>Grinders!I76</f>
        <v>0</v>
      </c>
      <c r="J74" s="40" t="str">
        <f>Grinders!J76</f>
        <v/>
      </c>
      <c r="K74" s="40" t="str">
        <f>Grinders!K76</f>
        <v/>
      </c>
      <c r="L74" s="40">
        <f>Grinders!L76</f>
        <v>0</v>
      </c>
      <c r="M74" s="40" t="str">
        <f>Grinders!M76</f>
        <v/>
      </c>
      <c r="N74" s="40" t="str">
        <f t="shared" si="1"/>
        <v>🟢</v>
      </c>
      <c r="O74" s="40" t="str">
        <f t="shared" si="2"/>
        <v>✅ Likely (Needs Order)</v>
      </c>
      <c r="P74" s="40" t="str">
        <f t="shared" si="3"/>
        <v>New/idle—prioritize</v>
      </c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40" t="str">
        <f>Grinders!A77</f>
        <v/>
      </c>
      <c r="B75" s="40" t="str">
        <f>Grinders!B77</f>
        <v/>
      </c>
      <c r="C75" s="40" t="str">
        <f>Grinders!C77</f>
        <v/>
      </c>
      <c r="D75" s="40" t="str">
        <f>Grinders!D77</f>
        <v/>
      </c>
      <c r="E75" s="40" t="str">
        <f>Grinders!E77</f>
        <v/>
      </c>
      <c r="F75" s="40" t="str">
        <f>Grinders!F77</f>
        <v/>
      </c>
      <c r="G75" s="40" t="str">
        <f>Grinders!G77</f>
        <v/>
      </c>
      <c r="H75" s="40" t="str">
        <f>Grinders!H77</f>
        <v/>
      </c>
      <c r="I75" s="40" t="str">
        <f>Grinders!I77</f>
        <v/>
      </c>
      <c r="J75" s="40" t="str">
        <f>Grinders!J77</f>
        <v/>
      </c>
      <c r="K75" s="40" t="str">
        <f>Grinders!K77</f>
        <v/>
      </c>
      <c r="L75" s="40" t="str">
        <f>Grinders!L77</f>
        <v/>
      </c>
      <c r="M75" s="40" t="str">
        <f>Grinders!M77</f>
        <v/>
      </c>
      <c r="N75" s="40" t="str">
        <f t="shared" si="1"/>
        <v/>
      </c>
      <c r="O75" s="40" t="str">
        <f t="shared" si="2"/>
        <v/>
      </c>
      <c r="P75" s="40" t="str">
        <f t="shared" si="3"/>
        <v/>
      </c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40" t="str">
        <f>Grinders!A78</f>
        <v/>
      </c>
      <c r="B76" s="40" t="str">
        <f>Grinders!B78</f>
        <v/>
      </c>
      <c r="C76" s="40" t="str">
        <f>Grinders!C78</f>
        <v/>
      </c>
      <c r="D76" s="40" t="str">
        <f>Grinders!D78</f>
        <v/>
      </c>
      <c r="E76" s="40" t="str">
        <f>Grinders!E78</f>
        <v/>
      </c>
      <c r="F76" s="40" t="str">
        <f>Grinders!F78</f>
        <v/>
      </c>
      <c r="G76" s="40" t="str">
        <f>Grinders!G78</f>
        <v/>
      </c>
      <c r="H76" s="40" t="str">
        <f>Grinders!H78</f>
        <v/>
      </c>
      <c r="I76" s="40" t="str">
        <f>Grinders!I78</f>
        <v/>
      </c>
      <c r="J76" s="40" t="str">
        <f>Grinders!J78</f>
        <v/>
      </c>
      <c r="K76" s="40" t="str">
        <f>Grinders!K78</f>
        <v/>
      </c>
      <c r="L76" s="40" t="str">
        <f>Grinders!L78</f>
        <v/>
      </c>
      <c r="M76" s="40" t="str">
        <f>Grinders!M78</f>
        <v/>
      </c>
      <c r="N76" s="40" t="str">
        <f t="shared" si="1"/>
        <v/>
      </c>
      <c r="O76" s="40" t="str">
        <f t="shared" si="2"/>
        <v/>
      </c>
      <c r="P76" s="40" t="str">
        <f t="shared" si="3"/>
        <v/>
      </c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40" t="str">
        <f>Grinders!A79</f>
        <v/>
      </c>
      <c r="B77" s="40" t="str">
        <f>Grinders!B79</f>
        <v/>
      </c>
      <c r="C77" s="40" t="str">
        <f>Grinders!C79</f>
        <v/>
      </c>
      <c r="D77" s="40" t="str">
        <f>Grinders!D79</f>
        <v/>
      </c>
      <c r="E77" s="40" t="str">
        <f>Grinders!E79</f>
        <v/>
      </c>
      <c r="F77" s="40" t="str">
        <f>Grinders!F79</f>
        <v/>
      </c>
      <c r="G77" s="40" t="str">
        <f>Grinders!G79</f>
        <v/>
      </c>
      <c r="H77" s="40" t="str">
        <f>Grinders!H79</f>
        <v/>
      </c>
      <c r="I77" s="40" t="str">
        <f>Grinders!I79</f>
        <v/>
      </c>
      <c r="J77" s="40" t="str">
        <f>Grinders!J79</f>
        <v/>
      </c>
      <c r="K77" s="40" t="str">
        <f>Grinders!K79</f>
        <v/>
      </c>
      <c r="L77" s="40" t="str">
        <f>Grinders!L79</f>
        <v/>
      </c>
      <c r="M77" s="40" t="str">
        <f>Grinders!M79</f>
        <v/>
      </c>
      <c r="N77" s="40" t="str">
        <f t="shared" si="1"/>
        <v/>
      </c>
      <c r="O77" s="40" t="str">
        <f t="shared" si="2"/>
        <v/>
      </c>
      <c r="P77" s="40" t="str">
        <f t="shared" si="3"/>
        <v/>
      </c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40" t="str">
        <f>Grinders!A78</f>
        <v/>
      </c>
      <c r="B78" s="40" t="str">
        <f>Grinders!B78</f>
        <v/>
      </c>
      <c r="C78" s="40" t="str">
        <f>Grinders!C78</f>
        <v/>
      </c>
      <c r="D78" s="40" t="str">
        <f>Grinders!D78</f>
        <v/>
      </c>
      <c r="E78" s="40" t="str">
        <f>Grinders!E78</f>
        <v/>
      </c>
      <c r="F78" s="40" t="str">
        <f>Grinders!F78</f>
        <v/>
      </c>
      <c r="G78" s="40" t="str">
        <f>Grinders!G78</f>
        <v/>
      </c>
      <c r="H78" s="40" t="str">
        <f>Grinders!H78</f>
        <v/>
      </c>
      <c r="I78" s="40" t="str">
        <f>Grinders!I78</f>
        <v/>
      </c>
      <c r="J78" s="40" t="str">
        <f>Grinders!J78</f>
        <v/>
      </c>
      <c r="K78" s="40" t="str">
        <f>Grinders!K78</f>
        <v/>
      </c>
      <c r="L78" s="40" t="str">
        <f>Grinders!L78</f>
        <v/>
      </c>
      <c r="M78" s="40" t="str">
        <f>Grinders!M78</f>
        <v/>
      </c>
      <c r="N78" s="40" t="str">
        <f t="shared" si="1"/>
        <v/>
      </c>
      <c r="O78" s="40" t="str">
        <f t="shared" si="2"/>
        <v/>
      </c>
      <c r="P78" s="40" t="str">
        <f t="shared" si="3"/>
        <v/>
      </c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40" t="str">
        <f>Grinders!A79</f>
        <v/>
      </c>
      <c r="B79" s="40" t="str">
        <f>Grinders!B79</f>
        <v/>
      </c>
      <c r="C79" s="40" t="str">
        <f>Grinders!C79</f>
        <v/>
      </c>
      <c r="D79" s="40" t="str">
        <f>Grinders!D79</f>
        <v/>
      </c>
      <c r="E79" s="40" t="str">
        <f>Grinders!E79</f>
        <v/>
      </c>
      <c r="F79" s="40" t="str">
        <f>Grinders!F79</f>
        <v/>
      </c>
      <c r="G79" s="40" t="str">
        <f>Grinders!G79</f>
        <v/>
      </c>
      <c r="H79" s="40" t="str">
        <f>Grinders!H79</f>
        <v/>
      </c>
      <c r="I79" s="40" t="str">
        <f>Grinders!I79</f>
        <v/>
      </c>
      <c r="J79" s="40" t="str">
        <f>Grinders!J79</f>
        <v/>
      </c>
      <c r="K79" s="40" t="str">
        <f>Grinders!K79</f>
        <v/>
      </c>
      <c r="L79" s="40" t="str">
        <f>Grinders!L79</f>
        <v/>
      </c>
      <c r="M79" s="40" t="str">
        <f>Grinders!M79</f>
        <v/>
      </c>
      <c r="N79" s="40" t="str">
        <f t="shared" si="1"/>
        <v/>
      </c>
      <c r="O79" s="40" t="str">
        <f t="shared" si="2"/>
        <v/>
      </c>
      <c r="P79" s="40" t="str">
        <f t="shared" si="3"/>
        <v/>
      </c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40" t="str">
        <f>Grinders!A80</f>
        <v/>
      </c>
      <c r="B80" s="40" t="str">
        <f>Grinders!B80</f>
        <v/>
      </c>
      <c r="C80" s="40" t="str">
        <f>Grinders!C80</f>
        <v/>
      </c>
      <c r="D80" s="40" t="str">
        <f>Grinders!D80</f>
        <v/>
      </c>
      <c r="E80" s="40" t="str">
        <f>Grinders!E80</f>
        <v/>
      </c>
      <c r="F80" s="40" t="str">
        <f>Grinders!F80</f>
        <v/>
      </c>
      <c r="G80" s="40" t="str">
        <f>Grinders!G80</f>
        <v/>
      </c>
      <c r="H80" s="40" t="str">
        <f>Grinders!H80</f>
        <v/>
      </c>
      <c r="I80" s="40" t="str">
        <f>Grinders!I80</f>
        <v/>
      </c>
      <c r="J80" s="40" t="str">
        <f>Grinders!J80</f>
        <v/>
      </c>
      <c r="K80" s="40" t="str">
        <f>Grinders!K80</f>
        <v/>
      </c>
      <c r="L80" s="40" t="str">
        <f>Grinders!L80</f>
        <v/>
      </c>
      <c r="M80" s="40" t="str">
        <f>Grinders!M80</f>
        <v/>
      </c>
      <c r="N80" s="40" t="str">
        <f t="shared" si="1"/>
        <v/>
      </c>
      <c r="O80" s="40" t="str">
        <f t="shared" si="2"/>
        <v/>
      </c>
      <c r="P80" s="40" t="str">
        <f t="shared" si="3"/>
        <v/>
      </c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40" t="str">
        <f>Grinders!A81</f>
        <v/>
      </c>
      <c r="B81" s="40" t="str">
        <f>Grinders!B81</f>
        <v/>
      </c>
      <c r="C81" s="40" t="str">
        <f>Grinders!C81</f>
        <v/>
      </c>
      <c r="D81" s="40" t="str">
        <f>Grinders!D81</f>
        <v/>
      </c>
      <c r="E81" s="40" t="str">
        <f>Grinders!E81</f>
        <v/>
      </c>
      <c r="F81" s="40" t="str">
        <f>Grinders!F81</f>
        <v/>
      </c>
      <c r="G81" s="40" t="str">
        <f>Grinders!G81</f>
        <v/>
      </c>
      <c r="H81" s="40" t="str">
        <f>Grinders!H81</f>
        <v/>
      </c>
      <c r="I81" s="40" t="str">
        <f>Grinders!I81</f>
        <v/>
      </c>
      <c r="J81" s="40" t="str">
        <f>Grinders!J81</f>
        <v/>
      </c>
      <c r="K81" s="40" t="str">
        <f>Grinders!K81</f>
        <v/>
      </c>
      <c r="L81" s="40" t="str">
        <f>Grinders!L81</f>
        <v/>
      </c>
      <c r="M81" s="40" t="str">
        <f>Grinders!M81</f>
        <v/>
      </c>
      <c r="N81" s="40" t="str">
        <f t="shared" si="1"/>
        <v/>
      </c>
      <c r="O81" s="40" t="str">
        <f t="shared" si="2"/>
        <v/>
      </c>
      <c r="P81" s="40" t="str">
        <f t="shared" si="3"/>
        <v/>
      </c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40" t="str">
        <f>Grinders!A82</f>
        <v/>
      </c>
      <c r="B82" s="40" t="str">
        <f>Grinders!B82</f>
        <v/>
      </c>
      <c r="C82" s="40" t="str">
        <f>Grinders!C82</f>
        <v/>
      </c>
      <c r="D82" s="40" t="str">
        <f>Grinders!D82</f>
        <v/>
      </c>
      <c r="E82" s="40" t="str">
        <f>Grinders!E82</f>
        <v/>
      </c>
      <c r="F82" s="40" t="str">
        <f>Grinders!F82</f>
        <v/>
      </c>
      <c r="G82" s="40" t="str">
        <f>Grinders!G82</f>
        <v/>
      </c>
      <c r="H82" s="40" t="str">
        <f>Grinders!H82</f>
        <v/>
      </c>
      <c r="I82" s="40" t="str">
        <f>Grinders!I82</f>
        <v/>
      </c>
      <c r="J82" s="40" t="str">
        <f>Grinders!J82</f>
        <v/>
      </c>
      <c r="K82" s="40" t="str">
        <f>Grinders!K82</f>
        <v/>
      </c>
      <c r="L82" s="40" t="str">
        <f>Grinders!L82</f>
        <v/>
      </c>
      <c r="M82" s="40" t="str">
        <f>Grinders!M82</f>
        <v/>
      </c>
      <c r="N82" s="40" t="str">
        <f t="shared" si="1"/>
        <v/>
      </c>
      <c r="O82" s="40" t="str">
        <f t="shared" si="2"/>
        <v/>
      </c>
      <c r="P82" s="40" t="str">
        <f t="shared" si="3"/>
        <v/>
      </c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40" t="str">
        <f>Grinders!A83</f>
        <v/>
      </c>
      <c r="B83" s="40" t="str">
        <f>Grinders!B83</f>
        <v/>
      </c>
      <c r="C83" s="40" t="str">
        <f>Grinders!C83</f>
        <v/>
      </c>
      <c r="D83" s="40" t="str">
        <f>Grinders!D83</f>
        <v/>
      </c>
      <c r="E83" s="40" t="str">
        <f>Grinders!E83</f>
        <v/>
      </c>
      <c r="F83" s="40" t="str">
        <f>Grinders!F83</f>
        <v/>
      </c>
      <c r="G83" s="40" t="str">
        <f>Grinders!G83</f>
        <v/>
      </c>
      <c r="H83" s="40" t="str">
        <f>Grinders!H83</f>
        <v/>
      </c>
      <c r="I83" s="40" t="str">
        <f>Grinders!I83</f>
        <v/>
      </c>
      <c r="J83" s="40" t="str">
        <f>Grinders!J83</f>
        <v/>
      </c>
      <c r="K83" s="40" t="str">
        <f>Grinders!K83</f>
        <v/>
      </c>
      <c r="L83" s="40" t="str">
        <f>Grinders!L83</f>
        <v/>
      </c>
      <c r="M83" s="40" t="str">
        <f>Grinders!M83</f>
        <v/>
      </c>
      <c r="N83" s="40" t="str">
        <f t="shared" si="1"/>
        <v/>
      </c>
      <c r="O83" s="40" t="str">
        <f t="shared" si="2"/>
        <v/>
      </c>
      <c r="P83" s="40" t="str">
        <f t="shared" si="3"/>
        <v/>
      </c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40" t="str">
        <f>Grinders!A84</f>
        <v/>
      </c>
      <c r="B84" s="40" t="str">
        <f>Grinders!B84</f>
        <v/>
      </c>
      <c r="C84" s="40" t="str">
        <f>Grinders!C84</f>
        <v/>
      </c>
      <c r="D84" s="40" t="str">
        <f>Grinders!D84</f>
        <v/>
      </c>
      <c r="E84" s="40" t="str">
        <f>Grinders!E84</f>
        <v/>
      </c>
      <c r="F84" s="40" t="str">
        <f>Grinders!F84</f>
        <v/>
      </c>
      <c r="G84" s="40" t="str">
        <f>Grinders!G84</f>
        <v/>
      </c>
      <c r="H84" s="40" t="str">
        <f>Grinders!H84</f>
        <v/>
      </c>
      <c r="I84" s="40" t="str">
        <f>Grinders!I84</f>
        <v/>
      </c>
      <c r="J84" s="40" t="str">
        <f>Grinders!J84</f>
        <v/>
      </c>
      <c r="K84" s="40" t="str">
        <f>Grinders!K84</f>
        <v/>
      </c>
      <c r="L84" s="40" t="str">
        <f>Grinders!L84</f>
        <v/>
      </c>
      <c r="M84" s="40" t="str">
        <f>Grinders!M84</f>
        <v/>
      </c>
      <c r="N84" s="40" t="str">
        <f t="shared" si="1"/>
        <v/>
      </c>
      <c r="O84" s="40" t="str">
        <f t="shared" si="2"/>
        <v/>
      </c>
      <c r="P84" s="40" t="str">
        <f t="shared" si="3"/>
        <v/>
      </c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40" t="str">
        <f>Grinders!A85</f>
        <v/>
      </c>
      <c r="B85" s="40" t="str">
        <f>Grinders!B85</f>
        <v/>
      </c>
      <c r="C85" s="40" t="str">
        <f>Grinders!C85</f>
        <v/>
      </c>
      <c r="D85" s="40" t="str">
        <f>Grinders!D85</f>
        <v/>
      </c>
      <c r="E85" s="40" t="str">
        <f>Grinders!E85</f>
        <v/>
      </c>
      <c r="F85" s="40" t="str">
        <f>Grinders!F85</f>
        <v/>
      </c>
      <c r="G85" s="40" t="str">
        <f>Grinders!G85</f>
        <v/>
      </c>
      <c r="H85" s="40" t="str">
        <f>Grinders!H85</f>
        <v/>
      </c>
      <c r="I85" s="40" t="str">
        <f>Grinders!I85</f>
        <v/>
      </c>
      <c r="J85" s="40" t="str">
        <f>Grinders!J85</f>
        <v/>
      </c>
      <c r="K85" s="40" t="str">
        <f>Grinders!K85</f>
        <v/>
      </c>
      <c r="L85" s="40" t="str">
        <f>Grinders!L85</f>
        <v/>
      </c>
      <c r="M85" s="40" t="str">
        <f>Grinders!M85</f>
        <v/>
      </c>
      <c r="N85" s="40" t="str">
        <f t="shared" si="1"/>
        <v/>
      </c>
      <c r="O85" s="40" t="str">
        <f t="shared" si="2"/>
        <v/>
      </c>
      <c r="P85" s="40" t="str">
        <f t="shared" si="3"/>
        <v/>
      </c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40" t="str">
        <f>Grinders!A86</f>
        <v/>
      </c>
      <c r="B86" s="40" t="str">
        <f>Grinders!B86</f>
        <v/>
      </c>
      <c r="C86" s="40" t="str">
        <f>Grinders!C86</f>
        <v/>
      </c>
      <c r="D86" s="40" t="str">
        <f>Grinders!D86</f>
        <v/>
      </c>
      <c r="E86" s="40" t="str">
        <f>Grinders!E86</f>
        <v/>
      </c>
      <c r="F86" s="40" t="str">
        <f>Grinders!F86</f>
        <v/>
      </c>
      <c r="G86" s="40" t="str">
        <f>Grinders!G86</f>
        <v/>
      </c>
      <c r="H86" s="40" t="str">
        <f>Grinders!H86</f>
        <v/>
      </c>
      <c r="I86" s="40" t="str">
        <f>Grinders!I86</f>
        <v/>
      </c>
      <c r="J86" s="40" t="str">
        <f>Grinders!J86</f>
        <v/>
      </c>
      <c r="K86" s="40" t="str">
        <f>Grinders!K86</f>
        <v/>
      </c>
      <c r="L86" s="40" t="str">
        <f>Grinders!L86</f>
        <v/>
      </c>
      <c r="M86" s="40" t="str">
        <f>Grinders!M86</f>
        <v/>
      </c>
      <c r="N86" s="40" t="str">
        <f t="shared" si="1"/>
        <v/>
      </c>
      <c r="O86" s="40" t="str">
        <f t="shared" si="2"/>
        <v/>
      </c>
      <c r="P86" s="40" t="str">
        <f t="shared" si="3"/>
        <v/>
      </c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40" t="str">
        <f>Grinders!A87</f>
        <v/>
      </c>
      <c r="B87" s="40" t="str">
        <f>Grinders!B87</f>
        <v/>
      </c>
      <c r="C87" s="40" t="str">
        <f>Grinders!C87</f>
        <v/>
      </c>
      <c r="D87" s="40" t="str">
        <f>Grinders!D87</f>
        <v/>
      </c>
      <c r="E87" s="40" t="str">
        <f>Grinders!E87</f>
        <v/>
      </c>
      <c r="F87" s="40" t="str">
        <f>Grinders!F87</f>
        <v/>
      </c>
      <c r="G87" s="40" t="str">
        <f>Grinders!G87</f>
        <v/>
      </c>
      <c r="H87" s="40" t="str">
        <f>Grinders!H87</f>
        <v/>
      </c>
      <c r="I87" s="40" t="str">
        <f>Grinders!I87</f>
        <v/>
      </c>
      <c r="J87" s="40" t="str">
        <f>Grinders!J87</f>
        <v/>
      </c>
      <c r="K87" s="40" t="str">
        <f>Grinders!K87</f>
        <v/>
      </c>
      <c r="L87" s="40" t="str">
        <f>Grinders!L87</f>
        <v/>
      </c>
      <c r="M87" s="40" t="str">
        <f>Grinders!M87</f>
        <v/>
      </c>
      <c r="N87" s="40" t="str">
        <f t="shared" si="1"/>
        <v/>
      </c>
      <c r="O87" s="40" t="str">
        <f t="shared" si="2"/>
        <v/>
      </c>
      <c r="P87" s="40" t="str">
        <f t="shared" si="3"/>
        <v/>
      </c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40" t="str">
        <f>Grinders!A88</f>
        <v/>
      </c>
      <c r="B88" s="40" t="str">
        <f>Grinders!B88</f>
        <v/>
      </c>
      <c r="C88" s="40" t="str">
        <f>Grinders!C88</f>
        <v/>
      </c>
      <c r="D88" s="40" t="str">
        <f>Grinders!D88</f>
        <v/>
      </c>
      <c r="E88" s="40" t="str">
        <f>Grinders!E88</f>
        <v/>
      </c>
      <c r="F88" s="40" t="str">
        <f>Grinders!F88</f>
        <v/>
      </c>
      <c r="G88" s="40" t="str">
        <f>Grinders!G88</f>
        <v/>
      </c>
      <c r="H88" s="40" t="str">
        <f>Grinders!H88</f>
        <v/>
      </c>
      <c r="I88" s="40" t="str">
        <f>Grinders!I88</f>
        <v/>
      </c>
      <c r="J88" s="40" t="str">
        <f>Grinders!J88</f>
        <v/>
      </c>
      <c r="K88" s="40" t="str">
        <f>Grinders!K88</f>
        <v/>
      </c>
      <c r="L88" s="40" t="str">
        <f>Grinders!L88</f>
        <v/>
      </c>
      <c r="M88" s="40" t="str">
        <f>Grinders!M88</f>
        <v/>
      </c>
      <c r="N88" s="40" t="str">
        <f t="shared" si="1"/>
        <v/>
      </c>
      <c r="O88" s="40" t="str">
        <f t="shared" si="2"/>
        <v/>
      </c>
      <c r="P88" s="40" t="str">
        <f t="shared" si="3"/>
        <v/>
      </c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40" t="str">
        <f>Grinders!A89</f>
        <v/>
      </c>
      <c r="B89" s="40" t="str">
        <f>Grinders!B89</f>
        <v/>
      </c>
      <c r="C89" s="40" t="str">
        <f>Grinders!C89</f>
        <v/>
      </c>
      <c r="D89" s="40" t="str">
        <f>Grinders!D89</f>
        <v/>
      </c>
      <c r="E89" s="40" t="str">
        <f>Grinders!E89</f>
        <v/>
      </c>
      <c r="F89" s="40" t="str">
        <f>Grinders!F89</f>
        <v/>
      </c>
      <c r="G89" s="40" t="str">
        <f>Grinders!G89</f>
        <v/>
      </c>
      <c r="H89" s="40" t="str">
        <f>Grinders!H89</f>
        <v/>
      </c>
      <c r="I89" s="40" t="str">
        <f>Grinders!I89</f>
        <v/>
      </c>
      <c r="J89" s="40" t="str">
        <f>Grinders!J89</f>
        <v/>
      </c>
      <c r="K89" s="40" t="str">
        <f>Grinders!K89</f>
        <v/>
      </c>
      <c r="L89" s="40" t="str">
        <f>Grinders!L89</f>
        <v/>
      </c>
      <c r="M89" s="40" t="str">
        <f>Grinders!M89</f>
        <v/>
      </c>
      <c r="N89" s="40" t="str">
        <f t="shared" si="1"/>
        <v/>
      </c>
      <c r="O89" s="40" t="str">
        <f t="shared" si="2"/>
        <v/>
      </c>
      <c r="P89" s="40" t="str">
        <f t="shared" si="3"/>
        <v/>
      </c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40" t="str">
        <f>Grinders!A90</f>
        <v/>
      </c>
      <c r="B90" s="40" t="str">
        <f>Grinders!B90</f>
        <v/>
      </c>
      <c r="C90" s="40" t="str">
        <f>Grinders!C90</f>
        <v/>
      </c>
      <c r="D90" s="40" t="str">
        <f>Grinders!D90</f>
        <v/>
      </c>
      <c r="E90" s="40" t="str">
        <f>Grinders!E90</f>
        <v/>
      </c>
      <c r="F90" s="40" t="str">
        <f>Grinders!F90</f>
        <v/>
      </c>
      <c r="G90" s="40" t="str">
        <f>Grinders!G90</f>
        <v/>
      </c>
      <c r="H90" s="40" t="str">
        <f>Grinders!H90</f>
        <v/>
      </c>
      <c r="I90" s="40" t="str">
        <f>Grinders!I90</f>
        <v/>
      </c>
      <c r="J90" s="40" t="str">
        <f>Grinders!J90</f>
        <v/>
      </c>
      <c r="K90" s="40" t="str">
        <f>Grinders!K90</f>
        <v/>
      </c>
      <c r="L90" s="40" t="str">
        <f>Grinders!L90</f>
        <v/>
      </c>
      <c r="M90" s="40" t="str">
        <f>Grinders!M90</f>
        <v/>
      </c>
      <c r="N90" s="40" t="str">
        <f t="shared" si="1"/>
        <v/>
      </c>
      <c r="O90" s="40" t="str">
        <f t="shared" si="2"/>
        <v/>
      </c>
      <c r="P90" s="40" t="str">
        <f t="shared" si="3"/>
        <v/>
      </c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40" t="str">
        <f>Grinders!A91</f>
        <v/>
      </c>
      <c r="B91" s="40" t="str">
        <f>Grinders!B91</f>
        <v/>
      </c>
      <c r="C91" s="40" t="str">
        <f>Grinders!C91</f>
        <v/>
      </c>
      <c r="D91" s="40" t="str">
        <f>Grinders!D91</f>
        <v/>
      </c>
      <c r="E91" s="40" t="str">
        <f>Grinders!E91</f>
        <v/>
      </c>
      <c r="F91" s="40" t="str">
        <f>Grinders!F91</f>
        <v/>
      </c>
      <c r="G91" s="40" t="str">
        <f>Grinders!G91</f>
        <v/>
      </c>
      <c r="H91" s="40" t="str">
        <f>Grinders!H91</f>
        <v/>
      </c>
      <c r="I91" s="40" t="str">
        <f>Grinders!I91</f>
        <v/>
      </c>
      <c r="J91" s="40" t="str">
        <f>Grinders!J91</f>
        <v/>
      </c>
      <c r="K91" s="40" t="str">
        <f>Grinders!K91</f>
        <v/>
      </c>
      <c r="L91" s="40" t="str">
        <f>Grinders!L91</f>
        <v/>
      </c>
      <c r="M91" s="40" t="str">
        <f>Grinders!M91</f>
        <v/>
      </c>
      <c r="N91" s="40" t="str">
        <f t="shared" si="1"/>
        <v/>
      </c>
      <c r="O91" s="40" t="str">
        <f t="shared" si="2"/>
        <v/>
      </c>
      <c r="P91" s="40" t="str">
        <f t="shared" si="3"/>
        <v/>
      </c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40" t="str">
        <f>Grinders!A92</f>
        <v/>
      </c>
      <c r="B92" s="40" t="str">
        <f>Grinders!B92</f>
        <v/>
      </c>
      <c r="C92" s="40" t="str">
        <f>Grinders!C92</f>
        <v/>
      </c>
      <c r="D92" s="40" t="str">
        <f>Grinders!D92</f>
        <v/>
      </c>
      <c r="E92" s="40" t="str">
        <f>Grinders!E92</f>
        <v/>
      </c>
      <c r="F92" s="40" t="str">
        <f>Grinders!F92</f>
        <v/>
      </c>
      <c r="G92" s="40" t="str">
        <f>Grinders!G92</f>
        <v/>
      </c>
      <c r="H92" s="40" t="str">
        <f>Grinders!H92</f>
        <v/>
      </c>
      <c r="I92" s="40" t="str">
        <f>Grinders!I92</f>
        <v/>
      </c>
      <c r="J92" s="40" t="str">
        <f>Grinders!J92</f>
        <v/>
      </c>
      <c r="K92" s="40" t="str">
        <f>Grinders!K92</f>
        <v/>
      </c>
      <c r="L92" s="40" t="str">
        <f>Grinders!L92</f>
        <v/>
      </c>
      <c r="M92" s="40" t="str">
        <f>Grinders!M92</f>
        <v/>
      </c>
      <c r="N92" s="40" t="str">
        <f t="shared" si="1"/>
        <v/>
      </c>
      <c r="O92" s="40" t="str">
        <f t="shared" si="2"/>
        <v/>
      </c>
      <c r="P92" s="40" t="str">
        <f t="shared" si="3"/>
        <v/>
      </c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40" t="str">
        <f>Grinders!A93</f>
        <v/>
      </c>
      <c r="B93" s="40" t="str">
        <f>Grinders!B93</f>
        <v/>
      </c>
      <c r="C93" s="40" t="str">
        <f>Grinders!C93</f>
        <v/>
      </c>
      <c r="D93" s="40" t="str">
        <f>Grinders!D93</f>
        <v/>
      </c>
      <c r="E93" s="40" t="str">
        <f>Grinders!E93</f>
        <v/>
      </c>
      <c r="F93" s="40" t="str">
        <f>Grinders!F93</f>
        <v/>
      </c>
      <c r="G93" s="40" t="str">
        <f>Grinders!G93</f>
        <v/>
      </c>
      <c r="H93" s="40" t="str">
        <f>Grinders!H93</f>
        <v/>
      </c>
      <c r="I93" s="40" t="str">
        <f>Grinders!I93</f>
        <v/>
      </c>
      <c r="J93" s="40" t="str">
        <f>Grinders!J93</f>
        <v/>
      </c>
      <c r="K93" s="40" t="str">
        <f>Grinders!K93</f>
        <v/>
      </c>
      <c r="L93" s="40" t="str">
        <f>Grinders!L93</f>
        <v/>
      </c>
      <c r="M93" s="40" t="str">
        <f>Grinders!M93</f>
        <v/>
      </c>
      <c r="N93" s="40" t="str">
        <f t="shared" si="1"/>
        <v/>
      </c>
      <c r="O93" s="40" t="str">
        <f t="shared" si="2"/>
        <v/>
      </c>
      <c r="P93" s="40" t="str">
        <f t="shared" si="3"/>
        <v/>
      </c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40" t="str">
        <f>Grinders!A94</f>
        <v/>
      </c>
      <c r="B94" s="40" t="str">
        <f>Grinders!B94</f>
        <v/>
      </c>
      <c r="C94" s="40" t="str">
        <f>Grinders!C94</f>
        <v/>
      </c>
      <c r="D94" s="40" t="str">
        <f>Grinders!D94</f>
        <v/>
      </c>
      <c r="E94" s="40" t="str">
        <f>Grinders!E94</f>
        <v/>
      </c>
      <c r="F94" s="40" t="str">
        <f>Grinders!F94</f>
        <v/>
      </c>
      <c r="G94" s="40" t="str">
        <f>Grinders!G94</f>
        <v/>
      </c>
      <c r="H94" s="40" t="str">
        <f>Grinders!H94</f>
        <v/>
      </c>
      <c r="I94" s="40" t="str">
        <f>Grinders!I94</f>
        <v/>
      </c>
      <c r="J94" s="40" t="str">
        <f>Grinders!J94</f>
        <v/>
      </c>
      <c r="K94" s="40" t="str">
        <f>Grinders!K94</f>
        <v/>
      </c>
      <c r="L94" s="40" t="str">
        <f>Grinders!L94</f>
        <v/>
      </c>
      <c r="M94" s="40" t="str">
        <f>Grinders!M94</f>
        <v/>
      </c>
      <c r="N94" s="40" t="str">
        <f t="shared" si="1"/>
        <v/>
      </c>
      <c r="O94" s="40" t="str">
        <f t="shared" si="2"/>
        <v/>
      </c>
      <c r="P94" s="40" t="str">
        <f t="shared" si="3"/>
        <v/>
      </c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40" t="str">
        <f>Grinders!A95</f>
        <v/>
      </c>
      <c r="B95" s="40" t="str">
        <f>Grinders!B95</f>
        <v/>
      </c>
      <c r="C95" s="40" t="str">
        <f>Grinders!C95</f>
        <v/>
      </c>
      <c r="D95" s="40" t="str">
        <f>Grinders!D95</f>
        <v/>
      </c>
      <c r="E95" s="40" t="str">
        <f>Grinders!E95</f>
        <v/>
      </c>
      <c r="F95" s="40" t="str">
        <f>Grinders!F95</f>
        <v/>
      </c>
      <c r="G95" s="40" t="str">
        <f>Grinders!G95</f>
        <v/>
      </c>
      <c r="H95" s="40" t="str">
        <f>Grinders!H95</f>
        <v/>
      </c>
      <c r="I95" s="40" t="str">
        <f>Grinders!I95</f>
        <v/>
      </c>
      <c r="J95" s="40" t="str">
        <f>Grinders!J95</f>
        <v/>
      </c>
      <c r="K95" s="40" t="str">
        <f>Grinders!K95</f>
        <v/>
      </c>
      <c r="L95" s="40" t="str">
        <f>Grinders!L95</f>
        <v/>
      </c>
      <c r="M95" s="40" t="str">
        <f>Grinders!M95</f>
        <v/>
      </c>
      <c r="N95" s="40" t="str">
        <f t="shared" si="1"/>
        <v/>
      </c>
      <c r="O95" s="40" t="str">
        <f t="shared" si="2"/>
        <v/>
      </c>
      <c r="P95" s="40" t="str">
        <f t="shared" si="3"/>
        <v/>
      </c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40" t="str">
        <f>Grinders!A96</f>
        <v/>
      </c>
      <c r="B96" s="40" t="str">
        <f>Grinders!B96</f>
        <v/>
      </c>
      <c r="C96" s="40" t="str">
        <f>Grinders!C96</f>
        <v/>
      </c>
      <c r="D96" s="40" t="str">
        <f>Grinders!D96</f>
        <v/>
      </c>
      <c r="E96" s="40" t="str">
        <f>Grinders!E96</f>
        <v/>
      </c>
      <c r="F96" s="40" t="str">
        <f>Grinders!F96</f>
        <v/>
      </c>
      <c r="G96" s="40" t="str">
        <f>Grinders!G96</f>
        <v/>
      </c>
      <c r="H96" s="40" t="str">
        <f>Grinders!H96</f>
        <v/>
      </c>
      <c r="I96" s="40" t="str">
        <f>Grinders!I96</f>
        <v/>
      </c>
      <c r="J96" s="40" t="str">
        <f>Grinders!J96</f>
        <v/>
      </c>
      <c r="K96" s="40" t="str">
        <f>Grinders!K96</f>
        <v/>
      </c>
      <c r="L96" s="40" t="str">
        <f>Grinders!L96</f>
        <v/>
      </c>
      <c r="M96" s="40" t="str">
        <f>Grinders!M96</f>
        <v/>
      </c>
      <c r="N96" s="40" t="str">
        <f t="shared" si="1"/>
        <v/>
      </c>
      <c r="O96" s="40" t="str">
        <f t="shared" si="2"/>
        <v/>
      </c>
      <c r="P96" s="40" t="str">
        <f t="shared" si="3"/>
        <v/>
      </c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40" t="str">
        <f>Grinders!A97</f>
        <v/>
      </c>
      <c r="B97" s="40" t="str">
        <f>Grinders!B97</f>
        <v/>
      </c>
      <c r="C97" s="40" t="str">
        <f>Grinders!C97</f>
        <v/>
      </c>
      <c r="D97" s="40" t="str">
        <f>Grinders!D97</f>
        <v/>
      </c>
      <c r="E97" s="40" t="str">
        <f>Grinders!E97</f>
        <v/>
      </c>
      <c r="F97" s="40" t="str">
        <f>Grinders!F97</f>
        <v/>
      </c>
      <c r="G97" s="40" t="str">
        <f>Grinders!G97</f>
        <v/>
      </c>
      <c r="H97" s="40" t="str">
        <f>Grinders!H97</f>
        <v/>
      </c>
      <c r="I97" s="40" t="str">
        <f>Grinders!I97</f>
        <v/>
      </c>
      <c r="J97" s="40" t="str">
        <f>Grinders!J97</f>
        <v/>
      </c>
      <c r="K97" s="40" t="str">
        <f>Grinders!K97</f>
        <v/>
      </c>
      <c r="L97" s="40" t="str">
        <f>Grinders!L97</f>
        <v/>
      </c>
      <c r="M97" s="40" t="str">
        <f>Grinders!M97</f>
        <v/>
      </c>
      <c r="N97" s="40" t="str">
        <f t="shared" si="1"/>
        <v/>
      </c>
      <c r="O97" s="40" t="str">
        <f t="shared" si="2"/>
        <v/>
      </c>
      <c r="P97" s="40" t="str">
        <f t="shared" si="3"/>
        <v/>
      </c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40" t="str">
        <f>Grinders!A98</f>
        <v/>
      </c>
      <c r="B98" s="40" t="str">
        <f>Grinders!B98</f>
        <v/>
      </c>
      <c r="C98" s="40" t="str">
        <f>Grinders!C98</f>
        <v/>
      </c>
      <c r="D98" s="40" t="str">
        <f>Grinders!D98</f>
        <v/>
      </c>
      <c r="E98" s="40" t="str">
        <f>Grinders!E98</f>
        <v/>
      </c>
      <c r="F98" s="40" t="str">
        <f>Grinders!F98</f>
        <v/>
      </c>
      <c r="G98" s="40" t="str">
        <f>Grinders!G98</f>
        <v/>
      </c>
      <c r="H98" s="40" t="str">
        <f>Grinders!H98</f>
        <v/>
      </c>
      <c r="I98" s="40" t="str">
        <f>Grinders!I98</f>
        <v/>
      </c>
      <c r="J98" s="40" t="str">
        <f>Grinders!J98</f>
        <v/>
      </c>
      <c r="K98" s="40" t="str">
        <f>Grinders!K98</f>
        <v/>
      </c>
      <c r="L98" s="40" t="str">
        <f>Grinders!L98</f>
        <v/>
      </c>
      <c r="M98" s="40" t="str">
        <f>Grinders!M98</f>
        <v/>
      </c>
      <c r="N98" s="40" t="str">
        <f t="shared" si="1"/>
        <v/>
      </c>
      <c r="O98" s="40" t="str">
        <f t="shared" si="2"/>
        <v/>
      </c>
      <c r="P98" s="40" t="str">
        <f t="shared" si="3"/>
        <v/>
      </c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40" t="str">
        <f>Grinders!A99</f>
        <v/>
      </c>
      <c r="B99" s="40" t="str">
        <f>Grinders!B99</f>
        <v/>
      </c>
      <c r="C99" s="40" t="str">
        <f>Grinders!C99</f>
        <v/>
      </c>
      <c r="D99" s="40" t="str">
        <f>Grinders!D99</f>
        <v/>
      </c>
      <c r="E99" s="40" t="str">
        <f>Grinders!E99</f>
        <v/>
      </c>
      <c r="F99" s="40" t="str">
        <f>Grinders!F99</f>
        <v/>
      </c>
      <c r="G99" s="40" t="str">
        <f>Grinders!G99</f>
        <v/>
      </c>
      <c r="H99" s="40" t="str">
        <f>Grinders!H99</f>
        <v/>
      </c>
      <c r="I99" s="40" t="str">
        <f>Grinders!I99</f>
        <v/>
      </c>
      <c r="J99" s="40" t="str">
        <f>Grinders!J99</f>
        <v/>
      </c>
      <c r="K99" s="40" t="str">
        <f>Grinders!K99</f>
        <v/>
      </c>
      <c r="L99" s="40" t="str">
        <f>Grinders!L99</f>
        <v/>
      </c>
      <c r="M99" s="40" t="str">
        <f>Grinders!M99</f>
        <v/>
      </c>
      <c r="N99" s="40" t="str">
        <f t="shared" si="1"/>
        <v/>
      </c>
      <c r="O99" s="40" t="str">
        <f t="shared" si="2"/>
        <v/>
      </c>
      <c r="P99" s="40" t="str">
        <f t="shared" si="3"/>
        <v/>
      </c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40" t="str">
        <f>Grinders!A100</f>
        <v/>
      </c>
      <c r="B100" s="40" t="str">
        <f>Grinders!B100</f>
        <v/>
      </c>
      <c r="C100" s="40" t="str">
        <f>Grinders!C100</f>
        <v/>
      </c>
      <c r="D100" s="40" t="str">
        <f>Grinders!D100</f>
        <v/>
      </c>
      <c r="E100" s="40" t="str">
        <f>Grinders!E100</f>
        <v/>
      </c>
      <c r="F100" s="40" t="str">
        <f>Grinders!F100</f>
        <v/>
      </c>
      <c r="G100" s="40" t="str">
        <f>Grinders!G100</f>
        <v/>
      </c>
      <c r="H100" s="40" t="str">
        <f>Grinders!H100</f>
        <v/>
      </c>
      <c r="I100" s="40" t="str">
        <f>Grinders!I100</f>
        <v/>
      </c>
      <c r="J100" s="40" t="str">
        <f>Grinders!J100</f>
        <v/>
      </c>
      <c r="K100" s="40" t="str">
        <f>Grinders!K100</f>
        <v/>
      </c>
      <c r="L100" s="40" t="str">
        <f>Grinders!L100</f>
        <v/>
      </c>
      <c r="M100" s="40" t="str">
        <f>Grinders!M100</f>
        <v/>
      </c>
      <c r="N100" s="40" t="str">
        <f t="shared" si="1"/>
        <v/>
      </c>
      <c r="O100" s="40" t="str">
        <f t="shared" si="2"/>
        <v/>
      </c>
      <c r="P100" s="40" t="str">
        <f t="shared" si="3"/>
        <v/>
      </c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40" t="str">
        <f>Grinders!A101</f>
        <v/>
      </c>
      <c r="B101" s="40" t="str">
        <f>Grinders!B101</f>
        <v/>
      </c>
      <c r="C101" s="40" t="str">
        <f>Grinders!C101</f>
        <v/>
      </c>
      <c r="D101" s="40" t="str">
        <f>Grinders!D101</f>
        <v/>
      </c>
      <c r="E101" s="40" t="str">
        <f>Grinders!E101</f>
        <v/>
      </c>
      <c r="F101" s="40" t="str">
        <f>Grinders!F101</f>
        <v/>
      </c>
      <c r="G101" s="40" t="str">
        <f>Grinders!G101</f>
        <v/>
      </c>
      <c r="H101" s="40" t="str">
        <f>Grinders!H101</f>
        <v/>
      </c>
      <c r="I101" s="40" t="str">
        <f>Grinders!I101</f>
        <v/>
      </c>
      <c r="J101" s="40" t="str">
        <f>Grinders!J101</f>
        <v/>
      </c>
      <c r="K101" s="40" t="str">
        <f>Grinders!K101</f>
        <v/>
      </c>
      <c r="L101" s="40" t="str">
        <f>Grinders!L101</f>
        <v/>
      </c>
      <c r="M101" s="40" t="str">
        <f>Grinders!M101</f>
        <v/>
      </c>
      <c r="N101" s="40" t="str">
        <f t="shared" si="1"/>
        <v/>
      </c>
      <c r="O101" s="40" t="str">
        <f t="shared" si="2"/>
        <v/>
      </c>
      <c r="P101" s="40" t="str">
        <f t="shared" si="3"/>
        <v/>
      </c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40" t="str">
        <f>Grinders!A102</f>
        <v/>
      </c>
      <c r="B102" s="40" t="str">
        <f>Grinders!B102</f>
        <v/>
      </c>
      <c r="C102" s="40" t="str">
        <f>Grinders!C102</f>
        <v/>
      </c>
      <c r="D102" s="40" t="str">
        <f>Grinders!D102</f>
        <v/>
      </c>
      <c r="E102" s="40" t="str">
        <f>Grinders!E102</f>
        <v/>
      </c>
      <c r="F102" s="40" t="str">
        <f>Grinders!F102</f>
        <v/>
      </c>
      <c r="G102" s="40" t="str">
        <f>Grinders!G102</f>
        <v/>
      </c>
      <c r="H102" s="40" t="str">
        <f>Grinders!H102</f>
        <v/>
      </c>
      <c r="I102" s="40" t="str">
        <f>Grinders!I102</f>
        <v/>
      </c>
      <c r="J102" s="40" t="str">
        <f>Grinders!J102</f>
        <v/>
      </c>
      <c r="K102" s="40" t="str">
        <f>Grinders!K102</f>
        <v/>
      </c>
      <c r="L102" s="40" t="str">
        <f>Grinders!L102</f>
        <v/>
      </c>
      <c r="M102" s="40" t="str">
        <f>Grinders!M102</f>
        <v/>
      </c>
      <c r="N102" s="40" t="str">
        <f t="shared" si="1"/>
        <v/>
      </c>
      <c r="O102" s="40" t="str">
        <f t="shared" si="2"/>
        <v/>
      </c>
      <c r="P102" s="40" t="str">
        <f t="shared" si="3"/>
        <v/>
      </c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40" t="str">
        <f>Grinders!A103</f>
        <v/>
      </c>
      <c r="B103" s="40" t="str">
        <f>Grinders!B103</f>
        <v/>
      </c>
      <c r="C103" s="40" t="str">
        <f>Grinders!C103</f>
        <v/>
      </c>
      <c r="D103" s="40" t="str">
        <f>Grinders!D103</f>
        <v/>
      </c>
      <c r="E103" s="40" t="str">
        <f>Grinders!E103</f>
        <v/>
      </c>
      <c r="F103" s="40" t="str">
        <f>Grinders!F103</f>
        <v/>
      </c>
      <c r="G103" s="40" t="str">
        <f>Grinders!G103</f>
        <v/>
      </c>
      <c r="H103" s="40" t="str">
        <f>Grinders!H103</f>
        <v/>
      </c>
      <c r="I103" s="40" t="str">
        <f>Grinders!I103</f>
        <v/>
      </c>
      <c r="J103" s="40" t="str">
        <f>Grinders!J103</f>
        <v/>
      </c>
      <c r="K103" s="40" t="str">
        <f>Grinders!K103</f>
        <v/>
      </c>
      <c r="L103" s="40" t="str">
        <f>Grinders!L103</f>
        <v/>
      </c>
      <c r="M103" s="40" t="str">
        <f>Grinders!M103</f>
        <v/>
      </c>
      <c r="N103" s="40" t="str">
        <f t="shared" si="1"/>
        <v/>
      </c>
      <c r="O103" s="40" t="str">
        <f t="shared" si="2"/>
        <v/>
      </c>
      <c r="P103" s="40" t="str">
        <f t="shared" si="3"/>
        <v/>
      </c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40" t="str">
        <f>Grinders!A104</f>
        <v/>
      </c>
      <c r="B104" s="40" t="str">
        <f>Grinders!B104</f>
        <v/>
      </c>
      <c r="C104" s="40" t="str">
        <f>Grinders!C104</f>
        <v/>
      </c>
      <c r="D104" s="40" t="str">
        <f>Grinders!D104</f>
        <v/>
      </c>
      <c r="E104" s="40" t="str">
        <f>Grinders!E104</f>
        <v/>
      </c>
      <c r="F104" s="40" t="str">
        <f>Grinders!F104</f>
        <v/>
      </c>
      <c r="G104" s="40" t="str">
        <f>Grinders!G104</f>
        <v/>
      </c>
      <c r="H104" s="40" t="str">
        <f>Grinders!H104</f>
        <v/>
      </c>
      <c r="I104" s="40" t="str">
        <f>Grinders!I104</f>
        <v/>
      </c>
      <c r="J104" s="40" t="str">
        <f>Grinders!J104</f>
        <v/>
      </c>
      <c r="K104" s="40" t="str">
        <f>Grinders!K104</f>
        <v/>
      </c>
      <c r="L104" s="40" t="str">
        <f>Grinders!L104</f>
        <v/>
      </c>
      <c r="M104" s="40" t="str">
        <f>Grinders!M104</f>
        <v/>
      </c>
      <c r="N104" s="40" t="str">
        <f t="shared" si="1"/>
        <v/>
      </c>
      <c r="O104" s="40" t="str">
        <f t="shared" si="2"/>
        <v/>
      </c>
      <c r="P104" s="40" t="str">
        <f t="shared" si="3"/>
        <v/>
      </c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40" t="str">
        <f>Grinders!A105</f>
        <v/>
      </c>
      <c r="B105" s="40" t="str">
        <f>Grinders!B105</f>
        <v/>
      </c>
      <c r="C105" s="40" t="str">
        <f>Grinders!C105</f>
        <v/>
      </c>
      <c r="D105" s="40" t="str">
        <f>Grinders!D105</f>
        <v/>
      </c>
      <c r="E105" s="40" t="str">
        <f>Grinders!E105</f>
        <v/>
      </c>
      <c r="F105" s="40" t="str">
        <f>Grinders!F105</f>
        <v/>
      </c>
      <c r="G105" s="40" t="str">
        <f>Grinders!G105</f>
        <v/>
      </c>
      <c r="H105" s="40" t="str">
        <f>Grinders!H105</f>
        <v/>
      </c>
      <c r="I105" s="40" t="str">
        <f>Grinders!I105</f>
        <v/>
      </c>
      <c r="J105" s="40" t="str">
        <f>Grinders!J105</f>
        <v/>
      </c>
      <c r="K105" s="40" t="str">
        <f>Grinders!K105</f>
        <v/>
      </c>
      <c r="L105" s="40" t="str">
        <f>Grinders!L105</f>
        <v/>
      </c>
      <c r="M105" s="40" t="str">
        <f>Grinders!M105</f>
        <v/>
      </c>
      <c r="N105" s="40" t="str">
        <f t="shared" si="1"/>
        <v/>
      </c>
      <c r="O105" s="40" t="str">
        <f t="shared" si="2"/>
        <v/>
      </c>
      <c r="P105" s="40" t="str">
        <f t="shared" si="3"/>
        <v/>
      </c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40" t="str">
        <f>Grinders!A106</f>
        <v/>
      </c>
      <c r="B106" s="40" t="str">
        <f>Grinders!B106</f>
        <v/>
      </c>
      <c r="C106" s="40" t="str">
        <f>Grinders!C106</f>
        <v/>
      </c>
      <c r="D106" s="40" t="str">
        <f>Grinders!D106</f>
        <v/>
      </c>
      <c r="E106" s="40" t="str">
        <f>Grinders!E106</f>
        <v/>
      </c>
      <c r="F106" s="40" t="str">
        <f>Grinders!F106</f>
        <v/>
      </c>
      <c r="G106" s="40" t="str">
        <f>Grinders!G106</f>
        <v/>
      </c>
      <c r="H106" s="40" t="str">
        <f>Grinders!H106</f>
        <v/>
      </c>
      <c r="I106" s="40" t="str">
        <f>Grinders!I106</f>
        <v/>
      </c>
      <c r="J106" s="40" t="str">
        <f>Grinders!J106</f>
        <v/>
      </c>
      <c r="K106" s="40" t="str">
        <f>Grinders!K106</f>
        <v/>
      </c>
      <c r="L106" s="40" t="str">
        <f>Grinders!L106</f>
        <v/>
      </c>
      <c r="M106" s="40" t="str">
        <f>Grinders!M106</f>
        <v/>
      </c>
      <c r="N106" s="40" t="str">
        <f t="shared" si="1"/>
        <v/>
      </c>
      <c r="O106" s="40" t="str">
        <f t="shared" si="2"/>
        <v/>
      </c>
      <c r="P106" s="40" t="str">
        <f t="shared" si="3"/>
        <v/>
      </c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40" t="str">
        <f>Grinders!A107</f>
        <v/>
      </c>
      <c r="B107" s="40" t="str">
        <f>Grinders!B107</f>
        <v/>
      </c>
      <c r="C107" s="40" t="str">
        <f>Grinders!C107</f>
        <v/>
      </c>
      <c r="D107" s="40" t="str">
        <f>Grinders!D107</f>
        <v/>
      </c>
      <c r="E107" s="40" t="str">
        <f>Grinders!E107</f>
        <v/>
      </c>
      <c r="F107" s="40" t="str">
        <f>Grinders!F107</f>
        <v/>
      </c>
      <c r="G107" s="40" t="str">
        <f>Grinders!G107</f>
        <v/>
      </c>
      <c r="H107" s="40" t="str">
        <f>Grinders!H107</f>
        <v/>
      </c>
      <c r="I107" s="40" t="str">
        <f>Grinders!I107</f>
        <v/>
      </c>
      <c r="J107" s="40" t="str">
        <f>Grinders!J107</f>
        <v/>
      </c>
      <c r="K107" s="40" t="str">
        <f>Grinders!K107</f>
        <v/>
      </c>
      <c r="L107" s="40" t="str">
        <f>Grinders!L107</f>
        <v/>
      </c>
      <c r="M107" s="40" t="str">
        <f>Grinders!M107</f>
        <v/>
      </c>
      <c r="N107" s="40" t="str">
        <f t="shared" si="1"/>
        <v/>
      </c>
      <c r="O107" s="40" t="str">
        <f t="shared" si="2"/>
        <v/>
      </c>
      <c r="P107" s="40" t="str">
        <f t="shared" si="3"/>
        <v/>
      </c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40" t="str">
        <f>Grinders!A108</f>
        <v/>
      </c>
      <c r="B108" s="40" t="str">
        <f>Grinders!B108</f>
        <v/>
      </c>
      <c r="C108" s="40" t="str">
        <f>Grinders!C108</f>
        <v/>
      </c>
      <c r="D108" s="40" t="str">
        <f>Grinders!D108</f>
        <v/>
      </c>
      <c r="E108" s="40" t="str">
        <f>Grinders!E108</f>
        <v/>
      </c>
      <c r="F108" s="40" t="str">
        <f>Grinders!F108</f>
        <v/>
      </c>
      <c r="G108" s="40" t="str">
        <f>Grinders!G108</f>
        <v/>
      </c>
      <c r="H108" s="40" t="str">
        <f>Grinders!H108</f>
        <v/>
      </c>
      <c r="I108" s="40" t="str">
        <f>Grinders!I108</f>
        <v/>
      </c>
      <c r="J108" s="40" t="str">
        <f>Grinders!J108</f>
        <v/>
      </c>
      <c r="K108" s="40" t="str">
        <f>Grinders!K108</f>
        <v/>
      </c>
      <c r="L108" s="40" t="str">
        <f>Grinders!L108</f>
        <v/>
      </c>
      <c r="M108" s="40" t="str">
        <f>Grinders!M108</f>
        <v/>
      </c>
      <c r="N108" s="40" t="str">
        <f t="shared" si="1"/>
        <v/>
      </c>
      <c r="O108" s="40" t="str">
        <f t="shared" si="2"/>
        <v/>
      </c>
      <c r="P108" s="40" t="str">
        <f t="shared" si="3"/>
        <v/>
      </c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40" t="str">
        <f>Grinders!A109</f>
        <v/>
      </c>
      <c r="B109" s="40" t="str">
        <f>Grinders!B109</f>
        <v/>
      </c>
      <c r="C109" s="40" t="str">
        <f>Grinders!C109</f>
        <v/>
      </c>
      <c r="D109" s="40" t="str">
        <f>Grinders!D109</f>
        <v/>
      </c>
      <c r="E109" s="40" t="str">
        <f>Grinders!E109</f>
        <v/>
      </c>
      <c r="F109" s="40" t="str">
        <f>Grinders!F109</f>
        <v/>
      </c>
      <c r="G109" s="40" t="str">
        <f>Grinders!G109</f>
        <v/>
      </c>
      <c r="H109" s="40" t="str">
        <f>Grinders!H109</f>
        <v/>
      </c>
      <c r="I109" s="40" t="str">
        <f>Grinders!I109</f>
        <v/>
      </c>
      <c r="J109" s="40" t="str">
        <f>Grinders!J109</f>
        <v/>
      </c>
      <c r="K109" s="40" t="str">
        <f>Grinders!K109</f>
        <v/>
      </c>
      <c r="L109" s="40" t="str">
        <f>Grinders!L109</f>
        <v/>
      </c>
      <c r="M109" s="40" t="str">
        <f>Grinders!M109</f>
        <v/>
      </c>
      <c r="N109" s="40" t="str">
        <f t="shared" si="1"/>
        <v/>
      </c>
      <c r="O109" s="40" t="str">
        <f t="shared" si="2"/>
        <v/>
      </c>
      <c r="P109" s="40" t="str">
        <f t="shared" si="3"/>
        <v/>
      </c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40" t="str">
        <f>Grinders!A110</f>
        <v/>
      </c>
      <c r="B110" s="40" t="str">
        <f>Grinders!B110</f>
        <v/>
      </c>
      <c r="C110" s="40" t="str">
        <f>Grinders!C110</f>
        <v/>
      </c>
      <c r="D110" s="40" t="str">
        <f>Grinders!D110</f>
        <v/>
      </c>
      <c r="E110" s="40" t="str">
        <f>Grinders!E110</f>
        <v/>
      </c>
      <c r="F110" s="40" t="str">
        <f>Grinders!F110</f>
        <v/>
      </c>
      <c r="G110" s="40" t="str">
        <f>Grinders!G110</f>
        <v/>
      </c>
      <c r="H110" s="40" t="str">
        <f>Grinders!H110</f>
        <v/>
      </c>
      <c r="I110" s="40" t="str">
        <f>Grinders!I110</f>
        <v/>
      </c>
      <c r="J110" s="40" t="str">
        <f>Grinders!J110</f>
        <v/>
      </c>
      <c r="K110" s="40" t="str">
        <f>Grinders!K110</f>
        <v/>
      </c>
      <c r="L110" s="40" t="str">
        <f>Grinders!L110</f>
        <v/>
      </c>
      <c r="M110" s="40" t="str">
        <f>Grinders!M110</f>
        <v/>
      </c>
      <c r="N110" s="40" t="str">
        <f t="shared" si="1"/>
        <v/>
      </c>
      <c r="O110" s="40" t="str">
        <f t="shared" si="2"/>
        <v/>
      </c>
      <c r="P110" s="40" t="str">
        <f t="shared" si="3"/>
        <v/>
      </c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40" t="str">
        <f>Grinders!A111</f>
        <v/>
      </c>
      <c r="B111" s="40" t="str">
        <f>Grinders!B111</f>
        <v/>
      </c>
      <c r="C111" s="40" t="str">
        <f>Grinders!C111</f>
        <v/>
      </c>
      <c r="D111" s="40" t="str">
        <f>Grinders!D111</f>
        <v/>
      </c>
      <c r="E111" s="40" t="str">
        <f>Grinders!E111</f>
        <v/>
      </c>
      <c r="F111" s="40" t="str">
        <f>Grinders!F111</f>
        <v/>
      </c>
      <c r="G111" s="40" t="str">
        <f>Grinders!G111</f>
        <v/>
      </c>
      <c r="H111" s="40" t="str">
        <f>Grinders!H111</f>
        <v/>
      </c>
      <c r="I111" s="40" t="str">
        <f>Grinders!I111</f>
        <v/>
      </c>
      <c r="J111" s="40" t="str">
        <f>Grinders!J111</f>
        <v/>
      </c>
      <c r="K111" s="40" t="str">
        <f>Grinders!K111</f>
        <v/>
      </c>
      <c r="L111" s="40" t="str">
        <f>Grinders!L111</f>
        <v/>
      </c>
      <c r="M111" s="40" t="str">
        <f>Grinders!M111</f>
        <v/>
      </c>
      <c r="N111" s="40" t="str">
        <f t="shared" si="1"/>
        <v/>
      </c>
      <c r="O111" s="40" t="str">
        <f t="shared" si="2"/>
        <v/>
      </c>
      <c r="P111" s="40" t="str">
        <f t="shared" si="3"/>
        <v/>
      </c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40" t="str">
        <f>Grinders!A112</f>
        <v/>
      </c>
      <c r="B112" s="40" t="str">
        <f>Grinders!B112</f>
        <v/>
      </c>
      <c r="C112" s="40" t="str">
        <f>Grinders!C112</f>
        <v/>
      </c>
      <c r="D112" s="40" t="str">
        <f>Grinders!D112</f>
        <v/>
      </c>
      <c r="E112" s="40" t="str">
        <f>Grinders!E112</f>
        <v/>
      </c>
      <c r="F112" s="40" t="str">
        <f>Grinders!F112</f>
        <v/>
      </c>
      <c r="G112" s="40" t="str">
        <f>Grinders!G112</f>
        <v/>
      </c>
      <c r="H112" s="40" t="str">
        <f>Grinders!H112</f>
        <v/>
      </c>
      <c r="I112" s="40" t="str">
        <f>Grinders!I112</f>
        <v/>
      </c>
      <c r="J112" s="40" t="str">
        <f>Grinders!J112</f>
        <v/>
      </c>
      <c r="K112" s="40" t="str">
        <f>Grinders!K112</f>
        <v/>
      </c>
      <c r="L112" s="40" t="str">
        <f>Grinders!L112</f>
        <v/>
      </c>
      <c r="M112" s="40" t="str">
        <f>Grinders!M112</f>
        <v/>
      </c>
      <c r="N112" s="40" t="str">
        <f t="shared" si="1"/>
        <v/>
      </c>
      <c r="O112" s="40" t="str">
        <f t="shared" si="2"/>
        <v/>
      </c>
      <c r="P112" s="40" t="str">
        <f t="shared" si="3"/>
        <v/>
      </c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40" t="str">
        <f>Grinders!A113</f>
        <v/>
      </c>
      <c r="B113" s="40" t="str">
        <f>Grinders!B113</f>
        <v/>
      </c>
      <c r="C113" s="40" t="str">
        <f>Grinders!C113</f>
        <v/>
      </c>
      <c r="D113" s="40" t="str">
        <f>Grinders!D113</f>
        <v/>
      </c>
      <c r="E113" s="40" t="str">
        <f>Grinders!E113</f>
        <v/>
      </c>
      <c r="F113" s="40" t="str">
        <f>Grinders!F113</f>
        <v/>
      </c>
      <c r="G113" s="40" t="str">
        <f>Grinders!G113</f>
        <v/>
      </c>
      <c r="H113" s="40" t="str">
        <f>Grinders!H113</f>
        <v/>
      </c>
      <c r="I113" s="40" t="str">
        <f>Grinders!I113</f>
        <v/>
      </c>
      <c r="J113" s="40" t="str">
        <f>Grinders!J113</f>
        <v/>
      </c>
      <c r="K113" s="40" t="str">
        <f>Grinders!K113</f>
        <v/>
      </c>
      <c r="L113" s="40" t="str">
        <f>Grinders!L113</f>
        <v/>
      </c>
      <c r="M113" s="40" t="str">
        <f>Grinders!M113</f>
        <v/>
      </c>
      <c r="N113" s="40" t="str">
        <f t="shared" si="1"/>
        <v/>
      </c>
      <c r="O113" s="40" t="str">
        <f t="shared" si="2"/>
        <v/>
      </c>
      <c r="P113" s="40" t="str">
        <f t="shared" si="3"/>
        <v/>
      </c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40" t="str">
        <f>Grinders!A114</f>
        <v/>
      </c>
      <c r="B114" s="40" t="str">
        <f>Grinders!B114</f>
        <v/>
      </c>
      <c r="C114" s="40" t="str">
        <f>Grinders!C114</f>
        <v/>
      </c>
      <c r="D114" s="40" t="str">
        <f>Grinders!D114</f>
        <v/>
      </c>
      <c r="E114" s="40" t="str">
        <f>Grinders!E114</f>
        <v/>
      </c>
      <c r="F114" s="40" t="str">
        <f>Grinders!F114</f>
        <v/>
      </c>
      <c r="G114" s="40" t="str">
        <f>Grinders!G114</f>
        <v/>
      </c>
      <c r="H114" s="40" t="str">
        <f>Grinders!H114</f>
        <v/>
      </c>
      <c r="I114" s="40" t="str">
        <f>Grinders!I114</f>
        <v/>
      </c>
      <c r="J114" s="40" t="str">
        <f>Grinders!J114</f>
        <v/>
      </c>
      <c r="K114" s="40" t="str">
        <f>Grinders!K114</f>
        <v/>
      </c>
      <c r="L114" s="40" t="str">
        <f>Grinders!L114</f>
        <v/>
      </c>
      <c r="M114" s="40" t="str">
        <f>Grinders!M114</f>
        <v/>
      </c>
      <c r="N114" s="40" t="str">
        <f t="shared" si="1"/>
        <v/>
      </c>
      <c r="O114" s="40" t="str">
        <f t="shared" si="2"/>
        <v/>
      </c>
      <c r="P114" s="40" t="str">
        <f t="shared" si="3"/>
        <v/>
      </c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40" t="str">
        <f>Grinders!A115</f>
        <v/>
      </c>
      <c r="B115" s="40" t="str">
        <f>Grinders!B115</f>
        <v/>
      </c>
      <c r="C115" s="40" t="str">
        <f>Grinders!C115</f>
        <v/>
      </c>
      <c r="D115" s="40" t="str">
        <f>Grinders!D115</f>
        <v/>
      </c>
      <c r="E115" s="40" t="str">
        <f>Grinders!E115</f>
        <v/>
      </c>
      <c r="F115" s="40" t="str">
        <f>Grinders!F115</f>
        <v/>
      </c>
      <c r="G115" s="40" t="str">
        <f>Grinders!G115</f>
        <v/>
      </c>
      <c r="H115" s="40" t="str">
        <f>Grinders!H115</f>
        <v/>
      </c>
      <c r="I115" s="40" t="str">
        <f>Grinders!I115</f>
        <v/>
      </c>
      <c r="J115" s="40" t="str">
        <f>Grinders!J115</f>
        <v/>
      </c>
      <c r="K115" s="40" t="str">
        <f>Grinders!K115</f>
        <v/>
      </c>
      <c r="L115" s="40" t="str">
        <f>Grinders!L115</f>
        <v/>
      </c>
      <c r="M115" s="40" t="str">
        <f>Grinders!M115</f>
        <v/>
      </c>
      <c r="N115" s="40" t="str">
        <f t="shared" si="1"/>
        <v/>
      </c>
      <c r="O115" s="40" t="str">
        <f t="shared" si="2"/>
        <v/>
      </c>
      <c r="P115" s="40" t="str">
        <f t="shared" si="3"/>
        <v/>
      </c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40" t="str">
        <f>Grinders!A116</f>
        <v/>
      </c>
      <c r="B116" s="40" t="str">
        <f>Grinders!B116</f>
        <v/>
      </c>
      <c r="C116" s="40" t="str">
        <f>Grinders!C116</f>
        <v/>
      </c>
      <c r="D116" s="40" t="str">
        <f>Grinders!D116</f>
        <v/>
      </c>
      <c r="E116" s="40" t="str">
        <f>Grinders!E116</f>
        <v/>
      </c>
      <c r="F116" s="40" t="str">
        <f>Grinders!F116</f>
        <v/>
      </c>
      <c r="G116" s="40" t="str">
        <f>Grinders!G116</f>
        <v/>
      </c>
      <c r="H116" s="40" t="str">
        <f>Grinders!H116</f>
        <v/>
      </c>
      <c r="I116" s="40" t="str">
        <f>Grinders!I116</f>
        <v/>
      </c>
      <c r="J116" s="40" t="str">
        <f>Grinders!J116</f>
        <v/>
      </c>
      <c r="K116" s="40" t="str">
        <f>Grinders!K116</f>
        <v/>
      </c>
      <c r="L116" s="40" t="str">
        <f>Grinders!L116</f>
        <v/>
      </c>
      <c r="M116" s="40" t="str">
        <f>Grinders!M116</f>
        <v/>
      </c>
      <c r="N116" s="40" t="str">
        <f t="shared" si="1"/>
        <v/>
      </c>
      <c r="O116" s="40" t="str">
        <f t="shared" si="2"/>
        <v/>
      </c>
      <c r="P116" s="40" t="str">
        <f t="shared" si="3"/>
        <v/>
      </c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40" t="str">
        <f>Grinders!A117</f>
        <v/>
      </c>
      <c r="B117" s="40" t="str">
        <f>Grinders!B117</f>
        <v/>
      </c>
      <c r="C117" s="40" t="str">
        <f>Grinders!C117</f>
        <v/>
      </c>
      <c r="D117" s="40" t="str">
        <f>Grinders!D117</f>
        <v/>
      </c>
      <c r="E117" s="40" t="str">
        <f>Grinders!E117</f>
        <v/>
      </c>
      <c r="F117" s="40" t="str">
        <f>Grinders!F117</f>
        <v/>
      </c>
      <c r="G117" s="40" t="str">
        <f>Grinders!G117</f>
        <v/>
      </c>
      <c r="H117" s="40" t="str">
        <f>Grinders!H117</f>
        <v/>
      </c>
      <c r="I117" s="40" t="str">
        <f>Grinders!I117</f>
        <v/>
      </c>
      <c r="J117" s="40" t="str">
        <f>Grinders!J117</f>
        <v/>
      </c>
      <c r="K117" s="40" t="str">
        <f>Grinders!K117</f>
        <v/>
      </c>
      <c r="L117" s="40" t="str">
        <f>Grinders!L117</f>
        <v/>
      </c>
      <c r="M117" s="40" t="str">
        <f>Grinders!M117</f>
        <v/>
      </c>
      <c r="N117" s="40" t="str">
        <f t="shared" si="1"/>
        <v/>
      </c>
      <c r="O117" s="40" t="str">
        <f t="shared" si="2"/>
        <v/>
      </c>
      <c r="P117" s="40" t="str">
        <f t="shared" si="3"/>
        <v/>
      </c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40" t="str">
        <f>Grinders!A118</f>
        <v/>
      </c>
      <c r="B118" s="40" t="str">
        <f>Grinders!B118</f>
        <v/>
      </c>
      <c r="C118" s="40" t="str">
        <f>Grinders!C118</f>
        <v/>
      </c>
      <c r="D118" s="40" t="str">
        <f>Grinders!D118</f>
        <v/>
      </c>
      <c r="E118" s="40" t="str">
        <f>Grinders!E118</f>
        <v/>
      </c>
      <c r="F118" s="40" t="str">
        <f>Grinders!F118</f>
        <v/>
      </c>
      <c r="G118" s="40" t="str">
        <f>Grinders!G118</f>
        <v/>
      </c>
      <c r="H118" s="40" t="str">
        <f>Grinders!H118</f>
        <v/>
      </c>
      <c r="I118" s="40" t="str">
        <f>Grinders!I118</f>
        <v/>
      </c>
      <c r="J118" s="40" t="str">
        <f>Grinders!J118</f>
        <v/>
      </c>
      <c r="K118" s="40" t="str">
        <f>Grinders!K118</f>
        <v/>
      </c>
      <c r="L118" s="40" t="str">
        <f>Grinders!L118</f>
        <v/>
      </c>
      <c r="M118" s="40" t="str">
        <f>Grinders!M118</f>
        <v/>
      </c>
      <c r="N118" s="40" t="str">
        <f t="shared" si="1"/>
        <v/>
      </c>
      <c r="O118" s="40" t="str">
        <f t="shared" si="2"/>
        <v/>
      </c>
      <c r="P118" s="40" t="str">
        <f t="shared" si="3"/>
        <v/>
      </c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40" t="str">
        <f>Grinders!A119</f>
        <v/>
      </c>
      <c r="B119" s="40" t="str">
        <f>Grinders!B119</f>
        <v/>
      </c>
      <c r="C119" s="40" t="str">
        <f>Grinders!C119</f>
        <v/>
      </c>
      <c r="D119" s="40" t="str">
        <f>Grinders!D119</f>
        <v/>
      </c>
      <c r="E119" s="40" t="str">
        <f>Grinders!E119</f>
        <v/>
      </c>
      <c r="F119" s="40" t="str">
        <f>Grinders!F119</f>
        <v/>
      </c>
      <c r="G119" s="40" t="str">
        <f>Grinders!G119</f>
        <v/>
      </c>
      <c r="H119" s="40" t="str">
        <f>Grinders!H119</f>
        <v/>
      </c>
      <c r="I119" s="40" t="str">
        <f>Grinders!I119</f>
        <v/>
      </c>
      <c r="J119" s="40" t="str">
        <f>Grinders!J119</f>
        <v/>
      </c>
      <c r="K119" s="40" t="str">
        <f>Grinders!K119</f>
        <v/>
      </c>
      <c r="L119" s="40" t="str">
        <f>Grinders!L119</f>
        <v/>
      </c>
      <c r="M119" s="40" t="str">
        <f>Grinders!M119</f>
        <v/>
      </c>
      <c r="N119" s="40" t="str">
        <f t="shared" si="1"/>
        <v/>
      </c>
      <c r="O119" s="40" t="str">
        <f t="shared" si="2"/>
        <v/>
      </c>
      <c r="P119" s="40" t="str">
        <f t="shared" si="3"/>
        <v/>
      </c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40" t="str">
        <f>Grinders!A120</f>
        <v/>
      </c>
      <c r="B120" s="40" t="str">
        <f>Grinders!B120</f>
        <v/>
      </c>
      <c r="C120" s="40" t="str">
        <f>Grinders!C120</f>
        <v/>
      </c>
      <c r="D120" s="40" t="str">
        <f>Grinders!D120</f>
        <v/>
      </c>
      <c r="E120" s="40" t="str">
        <f>Grinders!E120</f>
        <v/>
      </c>
      <c r="F120" s="40" t="str">
        <f>Grinders!F120</f>
        <v/>
      </c>
      <c r="G120" s="40" t="str">
        <f>Grinders!G120</f>
        <v/>
      </c>
      <c r="H120" s="40" t="str">
        <f>Grinders!H120</f>
        <v/>
      </c>
      <c r="I120" s="40" t="str">
        <f>Grinders!I120</f>
        <v/>
      </c>
      <c r="J120" s="40" t="str">
        <f>Grinders!J120</f>
        <v/>
      </c>
      <c r="K120" s="40" t="str">
        <f>Grinders!K120</f>
        <v/>
      </c>
      <c r="L120" s="40" t="str">
        <f>Grinders!L120</f>
        <v/>
      </c>
      <c r="M120" s="40" t="str">
        <f>Grinders!M120</f>
        <v/>
      </c>
      <c r="N120" s="40" t="str">
        <f t="shared" si="1"/>
        <v/>
      </c>
      <c r="O120" s="40" t="str">
        <f t="shared" si="2"/>
        <v/>
      </c>
      <c r="P120" s="40" t="str">
        <f t="shared" si="3"/>
        <v/>
      </c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40" t="str">
        <f>Grinders!A121</f>
        <v/>
      </c>
      <c r="B121" s="40" t="str">
        <f>Grinders!B121</f>
        <v/>
      </c>
      <c r="C121" s="40" t="str">
        <f>Grinders!C121</f>
        <v/>
      </c>
      <c r="D121" s="40" t="str">
        <f>Grinders!D121</f>
        <v/>
      </c>
      <c r="E121" s="40" t="str">
        <f>Grinders!E121</f>
        <v/>
      </c>
      <c r="F121" s="40" t="str">
        <f>Grinders!F121</f>
        <v/>
      </c>
      <c r="G121" s="40" t="str">
        <f>Grinders!G121</f>
        <v/>
      </c>
      <c r="H121" s="40" t="str">
        <f>Grinders!H121</f>
        <v/>
      </c>
      <c r="I121" s="40" t="str">
        <f>Grinders!I121</f>
        <v/>
      </c>
      <c r="J121" s="40" t="str">
        <f>Grinders!J121</f>
        <v/>
      </c>
      <c r="K121" s="40" t="str">
        <f>Grinders!K121</f>
        <v/>
      </c>
      <c r="L121" s="40" t="str">
        <f>Grinders!L121</f>
        <v/>
      </c>
      <c r="M121" s="40" t="str">
        <f>Grinders!M121</f>
        <v/>
      </c>
      <c r="N121" s="40" t="str">
        <f t="shared" si="1"/>
        <v/>
      </c>
      <c r="O121" s="40" t="str">
        <f t="shared" si="2"/>
        <v/>
      </c>
      <c r="P121" s="40" t="str">
        <f t="shared" si="3"/>
        <v/>
      </c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40" t="str">
        <f>Grinders!A122</f>
        <v/>
      </c>
      <c r="B122" s="40" t="str">
        <f>Grinders!B122</f>
        <v/>
      </c>
      <c r="C122" s="40" t="str">
        <f>Grinders!C122</f>
        <v/>
      </c>
      <c r="D122" s="40" t="str">
        <f>Grinders!D122</f>
        <v/>
      </c>
      <c r="E122" s="40" t="str">
        <f>Grinders!E122</f>
        <v/>
      </c>
      <c r="F122" s="40" t="str">
        <f>Grinders!F122</f>
        <v/>
      </c>
      <c r="G122" s="40" t="str">
        <f>Grinders!G122</f>
        <v/>
      </c>
      <c r="H122" s="40" t="str">
        <f>Grinders!H122</f>
        <v/>
      </c>
      <c r="I122" s="40" t="str">
        <f>Grinders!I122</f>
        <v/>
      </c>
      <c r="J122" s="40" t="str">
        <f>Grinders!J122</f>
        <v/>
      </c>
      <c r="K122" s="40" t="str">
        <f>Grinders!K122</f>
        <v/>
      </c>
      <c r="L122" s="40" t="str">
        <f>Grinders!L122</f>
        <v/>
      </c>
      <c r="M122" s="40" t="str">
        <f>Grinders!M122</f>
        <v/>
      </c>
      <c r="N122" s="40" t="str">
        <f t="shared" si="1"/>
        <v/>
      </c>
      <c r="O122" s="40" t="str">
        <f t="shared" si="2"/>
        <v/>
      </c>
      <c r="P122" s="40" t="str">
        <f t="shared" si="3"/>
        <v/>
      </c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40" t="str">
        <f>Grinders!A123</f>
        <v/>
      </c>
      <c r="B123" s="40" t="str">
        <f>Grinders!B123</f>
        <v/>
      </c>
      <c r="C123" s="40" t="str">
        <f>Grinders!C123</f>
        <v/>
      </c>
      <c r="D123" s="40" t="str">
        <f>Grinders!D123</f>
        <v/>
      </c>
      <c r="E123" s="40" t="str">
        <f>Grinders!E123</f>
        <v/>
      </c>
      <c r="F123" s="40" t="str">
        <f>Grinders!F123</f>
        <v/>
      </c>
      <c r="G123" s="40" t="str">
        <f>Grinders!G123</f>
        <v/>
      </c>
      <c r="H123" s="40" t="str">
        <f>Grinders!H123</f>
        <v/>
      </c>
      <c r="I123" s="40" t="str">
        <f>Grinders!I123</f>
        <v/>
      </c>
      <c r="J123" s="40" t="str">
        <f>Grinders!J123</f>
        <v/>
      </c>
      <c r="K123" s="40" t="str">
        <f>Grinders!K123</f>
        <v/>
      </c>
      <c r="L123" s="40" t="str">
        <f>Grinders!L123</f>
        <v/>
      </c>
      <c r="M123" s="40" t="str">
        <f>Grinders!M123</f>
        <v/>
      </c>
      <c r="N123" s="40" t="str">
        <f t="shared" si="1"/>
        <v/>
      </c>
      <c r="O123" s="40" t="str">
        <f t="shared" si="2"/>
        <v/>
      </c>
      <c r="P123" s="40" t="str">
        <f t="shared" si="3"/>
        <v/>
      </c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40" t="str">
        <f>Grinders!A124</f>
        <v/>
      </c>
      <c r="B124" s="40" t="str">
        <f>Grinders!B124</f>
        <v/>
      </c>
      <c r="C124" s="40" t="str">
        <f>Grinders!C124</f>
        <v/>
      </c>
      <c r="D124" s="40" t="str">
        <f>Grinders!D124</f>
        <v/>
      </c>
      <c r="E124" s="40" t="str">
        <f>Grinders!E124</f>
        <v/>
      </c>
      <c r="F124" s="40" t="str">
        <f>Grinders!F124</f>
        <v/>
      </c>
      <c r="G124" s="40" t="str">
        <f>Grinders!G124</f>
        <v/>
      </c>
      <c r="H124" s="40" t="str">
        <f>Grinders!H124</f>
        <v/>
      </c>
      <c r="I124" s="40" t="str">
        <f>Grinders!I124</f>
        <v/>
      </c>
      <c r="J124" s="40" t="str">
        <f>Grinders!J124</f>
        <v/>
      </c>
      <c r="K124" s="40" t="str">
        <f>Grinders!K124</f>
        <v/>
      </c>
      <c r="L124" s="40" t="str">
        <f>Grinders!L124</f>
        <v/>
      </c>
      <c r="M124" s="40" t="str">
        <f>Grinders!M124</f>
        <v/>
      </c>
      <c r="N124" s="40" t="str">
        <f t="shared" si="1"/>
        <v/>
      </c>
      <c r="O124" s="40" t="str">
        <f t="shared" si="2"/>
        <v/>
      </c>
      <c r="P124" s="40" t="str">
        <f t="shared" si="3"/>
        <v/>
      </c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40" t="str">
        <f>Grinders!A125</f>
        <v/>
      </c>
      <c r="B125" s="40" t="str">
        <f>Grinders!B125</f>
        <v/>
      </c>
      <c r="C125" s="40" t="str">
        <f>Grinders!C125</f>
        <v/>
      </c>
      <c r="D125" s="40" t="str">
        <f>Grinders!D125</f>
        <v/>
      </c>
      <c r="E125" s="40" t="str">
        <f>Grinders!E125</f>
        <v/>
      </c>
      <c r="F125" s="40" t="str">
        <f>Grinders!F125</f>
        <v/>
      </c>
      <c r="G125" s="40" t="str">
        <f>Grinders!G125</f>
        <v/>
      </c>
      <c r="H125" s="40" t="str">
        <f>Grinders!H125</f>
        <v/>
      </c>
      <c r="I125" s="40" t="str">
        <f>Grinders!I125</f>
        <v/>
      </c>
      <c r="J125" s="40" t="str">
        <f>Grinders!J125</f>
        <v/>
      </c>
      <c r="K125" s="40" t="str">
        <f>Grinders!K125</f>
        <v/>
      </c>
      <c r="L125" s="40" t="str">
        <f>Grinders!L125</f>
        <v/>
      </c>
      <c r="M125" s="40" t="str">
        <f>Grinders!M125</f>
        <v/>
      </c>
      <c r="N125" s="40" t="str">
        <f t="shared" si="1"/>
        <v/>
      </c>
      <c r="O125" s="40" t="str">
        <f t="shared" si="2"/>
        <v/>
      </c>
      <c r="P125" s="40" t="str">
        <f t="shared" si="3"/>
        <v/>
      </c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40" t="str">
        <f>Grinders!A126</f>
        <v/>
      </c>
      <c r="B126" s="40" t="str">
        <f>Grinders!B126</f>
        <v/>
      </c>
      <c r="C126" s="40" t="str">
        <f>Grinders!C126</f>
        <v/>
      </c>
      <c r="D126" s="40" t="str">
        <f>Grinders!D126</f>
        <v/>
      </c>
      <c r="E126" s="40" t="str">
        <f>Grinders!E126</f>
        <v/>
      </c>
      <c r="F126" s="40" t="str">
        <f>Grinders!F126</f>
        <v/>
      </c>
      <c r="G126" s="40" t="str">
        <f>Grinders!G126</f>
        <v/>
      </c>
      <c r="H126" s="40" t="str">
        <f>Grinders!H126</f>
        <v/>
      </c>
      <c r="I126" s="40" t="str">
        <f>Grinders!I126</f>
        <v/>
      </c>
      <c r="J126" s="40" t="str">
        <f>Grinders!J126</f>
        <v/>
      </c>
      <c r="K126" s="40" t="str">
        <f>Grinders!K126</f>
        <v/>
      </c>
      <c r="L126" s="40" t="str">
        <f>Grinders!L126</f>
        <v/>
      </c>
      <c r="M126" s="40" t="str">
        <f>Grinders!M126</f>
        <v/>
      </c>
      <c r="N126" s="40" t="str">
        <f t="shared" si="1"/>
        <v/>
      </c>
      <c r="O126" s="40" t="str">
        <f t="shared" si="2"/>
        <v/>
      </c>
      <c r="P126" s="40" t="str">
        <f t="shared" si="3"/>
        <v/>
      </c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40" t="str">
        <f>Grinders!A127</f>
        <v/>
      </c>
      <c r="B127" s="40" t="str">
        <f>Grinders!B127</f>
        <v/>
      </c>
      <c r="C127" s="40" t="str">
        <f>Grinders!C127</f>
        <v/>
      </c>
      <c r="D127" s="40" t="str">
        <f>Grinders!D127</f>
        <v/>
      </c>
      <c r="E127" s="40" t="str">
        <f>Grinders!E127</f>
        <v/>
      </c>
      <c r="F127" s="40" t="str">
        <f>Grinders!F127</f>
        <v/>
      </c>
      <c r="G127" s="40" t="str">
        <f>Grinders!G127</f>
        <v/>
      </c>
      <c r="H127" s="40" t="str">
        <f>Grinders!H127</f>
        <v/>
      </c>
      <c r="I127" s="40" t="str">
        <f>Grinders!I127</f>
        <v/>
      </c>
      <c r="J127" s="40" t="str">
        <f>Grinders!J127</f>
        <v/>
      </c>
      <c r="K127" s="40" t="str">
        <f>Grinders!K127</f>
        <v/>
      </c>
      <c r="L127" s="40" t="str">
        <f>Grinders!L127</f>
        <v/>
      </c>
      <c r="M127" s="40" t="str">
        <f>Grinders!M127</f>
        <v/>
      </c>
      <c r="N127" s="40" t="str">
        <f t="shared" si="1"/>
        <v/>
      </c>
      <c r="O127" s="40" t="str">
        <f t="shared" si="2"/>
        <v/>
      </c>
      <c r="P127" s="40" t="str">
        <f t="shared" si="3"/>
        <v/>
      </c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40" t="str">
        <f>Grinders!A128</f>
        <v/>
      </c>
      <c r="B128" s="40" t="str">
        <f>Grinders!B128</f>
        <v/>
      </c>
      <c r="C128" s="40" t="str">
        <f>Grinders!C128</f>
        <v/>
      </c>
      <c r="D128" s="40" t="str">
        <f>Grinders!D128</f>
        <v/>
      </c>
      <c r="E128" s="40" t="str">
        <f>Grinders!E128</f>
        <v/>
      </c>
      <c r="F128" s="40" t="str">
        <f>Grinders!F128</f>
        <v/>
      </c>
      <c r="G128" s="40" t="str">
        <f>Grinders!G128</f>
        <v/>
      </c>
      <c r="H128" s="40" t="str">
        <f>Grinders!H128</f>
        <v/>
      </c>
      <c r="I128" s="40" t="str">
        <f>Grinders!I128</f>
        <v/>
      </c>
      <c r="J128" s="40" t="str">
        <f>Grinders!J128</f>
        <v/>
      </c>
      <c r="K128" s="40" t="str">
        <f>Grinders!K128</f>
        <v/>
      </c>
      <c r="L128" s="40" t="str">
        <f>Grinders!L128</f>
        <v/>
      </c>
      <c r="M128" s="40" t="str">
        <f>Grinders!M128</f>
        <v/>
      </c>
      <c r="N128" s="40" t="str">
        <f t="shared" si="1"/>
        <v/>
      </c>
      <c r="O128" s="40" t="str">
        <f t="shared" si="2"/>
        <v/>
      </c>
      <c r="P128" s="40" t="str">
        <f t="shared" si="3"/>
        <v/>
      </c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40" t="str">
        <f>Grinders!A129</f>
        <v/>
      </c>
      <c r="B129" s="40" t="str">
        <f>Grinders!B129</f>
        <v/>
      </c>
      <c r="C129" s="40" t="str">
        <f>Grinders!C129</f>
        <v/>
      </c>
      <c r="D129" s="40" t="str">
        <f>Grinders!D129</f>
        <v/>
      </c>
      <c r="E129" s="40" t="str">
        <f>Grinders!E129</f>
        <v/>
      </c>
      <c r="F129" s="40" t="str">
        <f>Grinders!F129</f>
        <v/>
      </c>
      <c r="G129" s="40" t="str">
        <f>Grinders!G129</f>
        <v/>
      </c>
      <c r="H129" s="40" t="str">
        <f>Grinders!H129</f>
        <v/>
      </c>
      <c r="I129" s="40" t="str">
        <f>Grinders!I129</f>
        <v/>
      </c>
      <c r="J129" s="40" t="str">
        <f>Grinders!J129</f>
        <v/>
      </c>
      <c r="K129" s="40" t="str">
        <f>Grinders!K129</f>
        <v/>
      </c>
      <c r="L129" s="40" t="str">
        <f>Grinders!L129</f>
        <v/>
      </c>
      <c r="M129" s="40" t="str">
        <f>Grinders!M129</f>
        <v/>
      </c>
      <c r="N129" s="40" t="str">
        <f t="shared" si="1"/>
        <v/>
      </c>
      <c r="O129" s="40" t="str">
        <f t="shared" si="2"/>
        <v/>
      </c>
      <c r="P129" s="40" t="str">
        <f t="shared" si="3"/>
        <v/>
      </c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40" t="str">
        <f>Grinders!A130</f>
        <v/>
      </c>
      <c r="B130" s="40" t="str">
        <f>Grinders!B130</f>
        <v/>
      </c>
      <c r="C130" s="40" t="str">
        <f>Grinders!C130</f>
        <v/>
      </c>
      <c r="D130" s="40" t="str">
        <f>Grinders!D130</f>
        <v/>
      </c>
      <c r="E130" s="40" t="str">
        <f>Grinders!E130</f>
        <v/>
      </c>
      <c r="F130" s="40" t="str">
        <f>Grinders!F130</f>
        <v/>
      </c>
      <c r="G130" s="40" t="str">
        <f>Grinders!G130</f>
        <v/>
      </c>
      <c r="H130" s="40" t="str">
        <f>Grinders!H130</f>
        <v/>
      </c>
      <c r="I130" s="40" t="str">
        <f>Grinders!I130</f>
        <v/>
      </c>
      <c r="J130" s="40" t="str">
        <f>Grinders!J130</f>
        <v/>
      </c>
      <c r="K130" s="40" t="str">
        <f>Grinders!K130</f>
        <v/>
      </c>
      <c r="L130" s="40" t="str">
        <f>Grinders!L130</f>
        <v/>
      </c>
      <c r="M130" s="40" t="str">
        <f>Grinders!M130</f>
        <v/>
      </c>
      <c r="N130" s="40" t="str">
        <f t="shared" si="1"/>
        <v/>
      </c>
      <c r="O130" s="40" t="str">
        <f t="shared" si="2"/>
        <v/>
      </c>
      <c r="P130" s="40" t="str">
        <f t="shared" si="3"/>
        <v/>
      </c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40" t="str">
        <f>Grinders!A131</f>
        <v/>
      </c>
      <c r="B131" s="40" t="str">
        <f>Grinders!B131</f>
        <v/>
      </c>
      <c r="C131" s="40" t="str">
        <f>Grinders!C131</f>
        <v/>
      </c>
      <c r="D131" s="40" t="str">
        <f>Grinders!D131</f>
        <v/>
      </c>
      <c r="E131" s="40" t="str">
        <f>Grinders!E131</f>
        <v/>
      </c>
      <c r="F131" s="40" t="str">
        <f>Grinders!F131</f>
        <v/>
      </c>
      <c r="G131" s="40" t="str">
        <f>Grinders!G131</f>
        <v/>
      </c>
      <c r="H131" s="40" t="str">
        <f>Grinders!H131</f>
        <v/>
      </c>
      <c r="I131" s="40" t="str">
        <f>Grinders!I131</f>
        <v/>
      </c>
      <c r="J131" s="40" t="str">
        <f>Grinders!J131</f>
        <v/>
      </c>
      <c r="K131" s="40" t="str">
        <f>Grinders!K131</f>
        <v/>
      </c>
      <c r="L131" s="40" t="str">
        <f>Grinders!L131</f>
        <v/>
      </c>
      <c r="M131" s="40" t="str">
        <f>Grinders!M131</f>
        <v/>
      </c>
      <c r="N131" s="40" t="str">
        <f t="shared" si="1"/>
        <v/>
      </c>
      <c r="O131" s="40" t="str">
        <f t="shared" si="2"/>
        <v/>
      </c>
      <c r="P131" s="40" t="str">
        <f t="shared" si="3"/>
        <v/>
      </c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40" t="str">
        <f>Grinders!A132</f>
        <v/>
      </c>
      <c r="B132" s="40" t="str">
        <f>Grinders!B132</f>
        <v/>
      </c>
      <c r="C132" s="40" t="str">
        <f>Grinders!C132</f>
        <v/>
      </c>
      <c r="D132" s="40" t="str">
        <f>Grinders!D132</f>
        <v/>
      </c>
      <c r="E132" s="40" t="str">
        <f>Grinders!E132</f>
        <v/>
      </c>
      <c r="F132" s="40" t="str">
        <f>Grinders!F132</f>
        <v/>
      </c>
      <c r="G132" s="40" t="str">
        <f>Grinders!G132</f>
        <v/>
      </c>
      <c r="H132" s="40" t="str">
        <f>Grinders!H132</f>
        <v/>
      </c>
      <c r="I132" s="40" t="str">
        <f>Grinders!I132</f>
        <v/>
      </c>
      <c r="J132" s="40" t="str">
        <f>Grinders!J132</f>
        <v/>
      </c>
      <c r="K132" s="40" t="str">
        <f>Grinders!K132</f>
        <v/>
      </c>
      <c r="L132" s="40" t="str">
        <f>Grinders!L132</f>
        <v/>
      </c>
      <c r="M132" s="40" t="str">
        <f>Grinders!M132</f>
        <v/>
      </c>
      <c r="N132" s="40" t="str">
        <f t="shared" si="1"/>
        <v/>
      </c>
      <c r="O132" s="40" t="str">
        <f t="shared" si="2"/>
        <v/>
      </c>
      <c r="P132" s="40" t="str">
        <f t="shared" si="3"/>
        <v/>
      </c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40" t="str">
        <f>Grinders!A133</f>
        <v/>
      </c>
      <c r="B133" s="40" t="str">
        <f>Grinders!B133</f>
        <v/>
      </c>
      <c r="C133" s="40" t="str">
        <f>Grinders!C133</f>
        <v/>
      </c>
      <c r="D133" s="40" t="str">
        <f>Grinders!D133</f>
        <v/>
      </c>
      <c r="E133" s="40" t="str">
        <f>Grinders!E133</f>
        <v/>
      </c>
      <c r="F133" s="40" t="str">
        <f>Grinders!F133</f>
        <v/>
      </c>
      <c r="G133" s="40" t="str">
        <f>Grinders!G133</f>
        <v/>
      </c>
      <c r="H133" s="40" t="str">
        <f>Grinders!H133</f>
        <v/>
      </c>
      <c r="I133" s="40" t="str">
        <f>Grinders!I133</f>
        <v/>
      </c>
      <c r="J133" s="40" t="str">
        <f>Grinders!J133</f>
        <v/>
      </c>
      <c r="K133" s="40" t="str">
        <f>Grinders!K133</f>
        <v/>
      </c>
      <c r="L133" s="40" t="str">
        <f>Grinders!L133</f>
        <v/>
      </c>
      <c r="M133" s="40" t="str">
        <f>Grinders!M133</f>
        <v/>
      </c>
      <c r="N133" s="40" t="str">
        <f t="shared" si="1"/>
        <v/>
      </c>
      <c r="O133" s="40" t="str">
        <f t="shared" si="2"/>
        <v/>
      </c>
      <c r="P133" s="40" t="str">
        <f t="shared" si="3"/>
        <v/>
      </c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40" t="str">
        <f>Grinders!A134</f>
        <v/>
      </c>
      <c r="B134" s="40" t="str">
        <f>Grinders!B134</f>
        <v/>
      </c>
      <c r="C134" s="40" t="str">
        <f>Grinders!C134</f>
        <v/>
      </c>
      <c r="D134" s="40" t="str">
        <f>Grinders!D134</f>
        <v/>
      </c>
      <c r="E134" s="40" t="str">
        <f>Grinders!E134</f>
        <v/>
      </c>
      <c r="F134" s="40" t="str">
        <f>Grinders!F134</f>
        <v/>
      </c>
      <c r="G134" s="40" t="str">
        <f>Grinders!G134</f>
        <v/>
      </c>
      <c r="H134" s="40" t="str">
        <f>Grinders!H134</f>
        <v/>
      </c>
      <c r="I134" s="40" t="str">
        <f>Grinders!I134</f>
        <v/>
      </c>
      <c r="J134" s="40" t="str">
        <f>Grinders!J134</f>
        <v/>
      </c>
      <c r="K134" s="40" t="str">
        <f>Grinders!K134</f>
        <v/>
      </c>
      <c r="L134" s="40" t="str">
        <f>Grinders!L134</f>
        <v/>
      </c>
      <c r="M134" s="40" t="str">
        <f>Grinders!M134</f>
        <v/>
      </c>
      <c r="N134" s="40" t="str">
        <f t="shared" si="1"/>
        <v/>
      </c>
      <c r="O134" s="40" t="str">
        <f t="shared" si="2"/>
        <v/>
      </c>
      <c r="P134" s="40" t="str">
        <f t="shared" si="3"/>
        <v/>
      </c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40" t="str">
        <f>Grinders!A135</f>
        <v/>
      </c>
      <c r="B135" s="40" t="str">
        <f>Grinders!B135</f>
        <v/>
      </c>
      <c r="C135" s="40" t="str">
        <f>Grinders!C135</f>
        <v/>
      </c>
      <c r="D135" s="40" t="str">
        <f>Grinders!D135</f>
        <v/>
      </c>
      <c r="E135" s="40" t="str">
        <f>Grinders!E135</f>
        <v/>
      </c>
      <c r="F135" s="40" t="str">
        <f>Grinders!F135</f>
        <v/>
      </c>
      <c r="G135" s="40" t="str">
        <f>Grinders!G135</f>
        <v/>
      </c>
      <c r="H135" s="40" t="str">
        <f>Grinders!H135</f>
        <v/>
      </c>
      <c r="I135" s="40" t="str">
        <f>Grinders!I135</f>
        <v/>
      </c>
      <c r="J135" s="40" t="str">
        <f>Grinders!J135</f>
        <v/>
      </c>
      <c r="K135" s="40" t="str">
        <f>Grinders!K135</f>
        <v/>
      </c>
      <c r="L135" s="40" t="str">
        <f>Grinders!L135</f>
        <v/>
      </c>
      <c r="M135" s="40" t="str">
        <f>Grinders!M135</f>
        <v/>
      </c>
      <c r="N135" s="40" t="str">
        <f t="shared" si="1"/>
        <v/>
      </c>
      <c r="O135" s="40" t="str">
        <f t="shared" si="2"/>
        <v/>
      </c>
      <c r="P135" s="40" t="str">
        <f t="shared" si="3"/>
        <v/>
      </c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40" t="str">
        <f>Grinders!A136</f>
        <v/>
      </c>
      <c r="B136" s="40" t="str">
        <f>Grinders!B136</f>
        <v/>
      </c>
      <c r="C136" s="40" t="str">
        <f>Grinders!C136</f>
        <v/>
      </c>
      <c r="D136" s="40" t="str">
        <f>Grinders!D136</f>
        <v/>
      </c>
      <c r="E136" s="40" t="str">
        <f>Grinders!E136</f>
        <v/>
      </c>
      <c r="F136" s="40" t="str">
        <f>Grinders!F136</f>
        <v/>
      </c>
      <c r="G136" s="40" t="str">
        <f>Grinders!G136</f>
        <v/>
      </c>
      <c r="H136" s="40" t="str">
        <f>Grinders!H136</f>
        <v/>
      </c>
      <c r="I136" s="40" t="str">
        <f>Grinders!I136</f>
        <v/>
      </c>
      <c r="J136" s="40" t="str">
        <f>Grinders!J136</f>
        <v/>
      </c>
      <c r="K136" s="40" t="str">
        <f>Grinders!K136</f>
        <v/>
      </c>
      <c r="L136" s="40" t="str">
        <f>Grinders!L136</f>
        <v/>
      </c>
      <c r="M136" s="40" t="str">
        <f>Grinders!M136</f>
        <v/>
      </c>
      <c r="N136" s="40" t="str">
        <f t="shared" si="1"/>
        <v/>
      </c>
      <c r="O136" s="40" t="str">
        <f t="shared" si="2"/>
        <v/>
      </c>
      <c r="P136" s="40" t="str">
        <f t="shared" si="3"/>
        <v/>
      </c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40" t="str">
        <f>Grinders!A137</f>
        <v/>
      </c>
      <c r="B137" s="40" t="str">
        <f>Grinders!B137</f>
        <v/>
      </c>
      <c r="C137" s="40" t="str">
        <f>Grinders!C137</f>
        <v/>
      </c>
      <c r="D137" s="40" t="str">
        <f>Grinders!D137</f>
        <v/>
      </c>
      <c r="E137" s="40" t="str">
        <f>Grinders!E137</f>
        <v/>
      </c>
      <c r="F137" s="40" t="str">
        <f>Grinders!F137</f>
        <v/>
      </c>
      <c r="G137" s="40" t="str">
        <f>Grinders!G137</f>
        <v/>
      </c>
      <c r="H137" s="40" t="str">
        <f>Grinders!H137</f>
        <v/>
      </c>
      <c r="I137" s="40" t="str">
        <f>Grinders!I137</f>
        <v/>
      </c>
      <c r="J137" s="40" t="str">
        <f>Grinders!J137</f>
        <v/>
      </c>
      <c r="K137" s="40" t="str">
        <f>Grinders!K137</f>
        <v/>
      </c>
      <c r="L137" s="40" t="str">
        <f>Grinders!L137</f>
        <v/>
      </c>
      <c r="M137" s="40" t="str">
        <f>Grinders!M137</f>
        <v/>
      </c>
      <c r="N137" s="40" t="str">
        <f t="shared" si="1"/>
        <v/>
      </c>
      <c r="O137" s="40" t="str">
        <f t="shared" si="2"/>
        <v/>
      </c>
      <c r="P137" s="40" t="str">
        <f t="shared" si="3"/>
        <v/>
      </c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40" t="str">
        <f>Grinders!A138</f>
        <v/>
      </c>
      <c r="B138" s="40" t="str">
        <f>Grinders!B138</f>
        <v/>
      </c>
      <c r="C138" s="40" t="str">
        <f>Grinders!C138</f>
        <v/>
      </c>
      <c r="D138" s="40" t="str">
        <f>Grinders!D138</f>
        <v/>
      </c>
      <c r="E138" s="40" t="str">
        <f>Grinders!E138</f>
        <v/>
      </c>
      <c r="F138" s="40" t="str">
        <f>Grinders!F138</f>
        <v/>
      </c>
      <c r="G138" s="40" t="str">
        <f>Grinders!G138</f>
        <v/>
      </c>
      <c r="H138" s="40" t="str">
        <f>Grinders!H138</f>
        <v/>
      </c>
      <c r="I138" s="40" t="str">
        <f>Grinders!I138</f>
        <v/>
      </c>
      <c r="J138" s="40" t="str">
        <f>Grinders!J138</f>
        <v/>
      </c>
      <c r="K138" s="40" t="str">
        <f>Grinders!K138</f>
        <v/>
      </c>
      <c r="L138" s="40" t="str">
        <f>Grinders!L138</f>
        <v/>
      </c>
      <c r="M138" s="40" t="str">
        <f>Grinders!M138</f>
        <v/>
      </c>
      <c r="N138" s="40" t="str">
        <f t="shared" si="1"/>
        <v/>
      </c>
      <c r="O138" s="40" t="str">
        <f t="shared" si="2"/>
        <v/>
      </c>
      <c r="P138" s="40" t="str">
        <f t="shared" si="3"/>
        <v/>
      </c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40" t="str">
        <f>Grinders!A139</f>
        <v/>
      </c>
      <c r="B139" s="40" t="str">
        <f>Grinders!B139</f>
        <v/>
      </c>
      <c r="C139" s="40" t="str">
        <f>Grinders!C139</f>
        <v/>
      </c>
      <c r="D139" s="40" t="str">
        <f>Grinders!D139</f>
        <v/>
      </c>
      <c r="E139" s="40" t="str">
        <f>Grinders!E139</f>
        <v/>
      </c>
      <c r="F139" s="40" t="str">
        <f>Grinders!F139</f>
        <v/>
      </c>
      <c r="G139" s="40" t="str">
        <f>Grinders!G139</f>
        <v/>
      </c>
      <c r="H139" s="40" t="str">
        <f>Grinders!H139</f>
        <v/>
      </c>
      <c r="I139" s="40" t="str">
        <f>Grinders!I139</f>
        <v/>
      </c>
      <c r="J139" s="40" t="str">
        <f>Grinders!J139</f>
        <v/>
      </c>
      <c r="K139" s="40" t="str">
        <f>Grinders!K139</f>
        <v/>
      </c>
      <c r="L139" s="40" t="str">
        <f>Grinders!L139</f>
        <v/>
      </c>
      <c r="M139" s="40" t="str">
        <f>Grinders!M139</f>
        <v/>
      </c>
      <c r="N139" s="40" t="str">
        <f t="shared" si="1"/>
        <v/>
      </c>
      <c r="O139" s="40" t="str">
        <f t="shared" si="2"/>
        <v/>
      </c>
      <c r="P139" s="40" t="str">
        <f t="shared" si="3"/>
        <v/>
      </c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40" t="str">
        <f>Grinders!A140</f>
        <v/>
      </c>
      <c r="B140" s="40" t="str">
        <f>Grinders!B140</f>
        <v/>
      </c>
      <c r="C140" s="40" t="str">
        <f>Grinders!C140</f>
        <v/>
      </c>
      <c r="D140" s="40" t="str">
        <f>Grinders!D140</f>
        <v/>
      </c>
      <c r="E140" s="40" t="str">
        <f>Grinders!E140</f>
        <v/>
      </c>
      <c r="F140" s="40" t="str">
        <f>Grinders!F140</f>
        <v/>
      </c>
      <c r="G140" s="40" t="str">
        <f>Grinders!G140</f>
        <v/>
      </c>
      <c r="H140" s="40" t="str">
        <f>Grinders!H140</f>
        <v/>
      </c>
      <c r="I140" s="40" t="str">
        <f>Grinders!I140</f>
        <v/>
      </c>
      <c r="J140" s="40" t="str">
        <f>Grinders!J140</f>
        <v/>
      </c>
      <c r="K140" s="40" t="str">
        <f>Grinders!K140</f>
        <v/>
      </c>
      <c r="L140" s="40" t="str">
        <f>Grinders!L140</f>
        <v/>
      </c>
      <c r="M140" s="40" t="str">
        <f>Grinders!M140</f>
        <v/>
      </c>
      <c r="N140" s="40" t="str">
        <f t="shared" si="1"/>
        <v/>
      </c>
      <c r="O140" s="40" t="str">
        <f t="shared" si="2"/>
        <v/>
      </c>
      <c r="P140" s="40" t="str">
        <f t="shared" si="3"/>
        <v/>
      </c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40" t="str">
        <f>Grinders!A141</f>
        <v/>
      </c>
      <c r="B141" s="40" t="str">
        <f>Grinders!B141</f>
        <v/>
      </c>
      <c r="C141" s="40" t="str">
        <f>Grinders!C141</f>
        <v/>
      </c>
      <c r="D141" s="40" t="str">
        <f>Grinders!D141</f>
        <v/>
      </c>
      <c r="E141" s="40" t="str">
        <f>Grinders!E141</f>
        <v/>
      </c>
      <c r="F141" s="40" t="str">
        <f>Grinders!F141</f>
        <v/>
      </c>
      <c r="G141" s="40" t="str">
        <f>Grinders!G141</f>
        <v/>
      </c>
      <c r="H141" s="40" t="str">
        <f>Grinders!H141</f>
        <v/>
      </c>
      <c r="I141" s="40" t="str">
        <f>Grinders!I141</f>
        <v/>
      </c>
      <c r="J141" s="40" t="str">
        <f>Grinders!J141</f>
        <v/>
      </c>
      <c r="K141" s="40" t="str">
        <f>Grinders!K141</f>
        <v/>
      </c>
      <c r="L141" s="40" t="str">
        <f>Grinders!L141</f>
        <v/>
      </c>
      <c r="M141" s="40" t="str">
        <f>Grinders!M141</f>
        <v/>
      </c>
      <c r="N141" s="40" t="str">
        <f t="shared" si="1"/>
        <v/>
      </c>
      <c r="O141" s="40" t="str">
        <f t="shared" si="2"/>
        <v/>
      </c>
      <c r="P141" s="40" t="str">
        <f t="shared" si="3"/>
        <v/>
      </c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40" t="str">
        <f>Grinders!A142</f>
        <v/>
      </c>
      <c r="B142" s="40" t="str">
        <f>Grinders!B142</f>
        <v/>
      </c>
      <c r="C142" s="40" t="str">
        <f>Grinders!C142</f>
        <v/>
      </c>
      <c r="D142" s="40" t="str">
        <f>Grinders!D142</f>
        <v/>
      </c>
      <c r="E142" s="40" t="str">
        <f>Grinders!E142</f>
        <v/>
      </c>
      <c r="F142" s="40" t="str">
        <f>Grinders!F142</f>
        <v/>
      </c>
      <c r="G142" s="40" t="str">
        <f>Grinders!G142</f>
        <v/>
      </c>
      <c r="H142" s="40" t="str">
        <f>Grinders!H142</f>
        <v/>
      </c>
      <c r="I142" s="40" t="str">
        <f>Grinders!I142</f>
        <v/>
      </c>
      <c r="J142" s="40" t="str">
        <f>Grinders!J142</f>
        <v/>
      </c>
      <c r="K142" s="40" t="str">
        <f>Grinders!K142</f>
        <v/>
      </c>
      <c r="L142" s="40" t="str">
        <f>Grinders!L142</f>
        <v/>
      </c>
      <c r="M142" s="40" t="str">
        <f>Grinders!M142</f>
        <v/>
      </c>
      <c r="N142" s="40" t="str">
        <f t="shared" si="1"/>
        <v/>
      </c>
      <c r="O142" s="40" t="str">
        <f t="shared" si="2"/>
        <v/>
      </c>
      <c r="P142" s="40" t="str">
        <f t="shared" si="3"/>
        <v/>
      </c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40" t="str">
        <f>Grinders!A143</f>
        <v/>
      </c>
      <c r="B143" s="40" t="str">
        <f>Grinders!B143</f>
        <v/>
      </c>
      <c r="C143" s="40" t="str">
        <f>Grinders!C143</f>
        <v/>
      </c>
      <c r="D143" s="40" t="str">
        <f>Grinders!D143</f>
        <v/>
      </c>
      <c r="E143" s="40" t="str">
        <f>Grinders!E143</f>
        <v/>
      </c>
      <c r="F143" s="40" t="str">
        <f>Grinders!F143</f>
        <v/>
      </c>
      <c r="G143" s="40" t="str">
        <f>Grinders!G143</f>
        <v/>
      </c>
      <c r="H143" s="40" t="str">
        <f>Grinders!H143</f>
        <v/>
      </c>
      <c r="I143" s="40" t="str">
        <f>Grinders!I143</f>
        <v/>
      </c>
      <c r="J143" s="40" t="str">
        <f>Grinders!J143</f>
        <v/>
      </c>
      <c r="K143" s="40" t="str">
        <f>Grinders!K143</f>
        <v/>
      </c>
      <c r="L143" s="40" t="str">
        <f>Grinders!L143</f>
        <v/>
      </c>
      <c r="M143" s="40" t="str">
        <f>Grinders!M143</f>
        <v/>
      </c>
      <c r="N143" s="40" t="str">
        <f t="shared" si="1"/>
        <v/>
      </c>
      <c r="O143" s="40" t="str">
        <f t="shared" si="2"/>
        <v/>
      </c>
      <c r="P143" s="40" t="str">
        <f t="shared" si="3"/>
        <v/>
      </c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40" t="str">
        <f>Grinders!A144</f>
        <v/>
      </c>
      <c r="B144" s="40" t="str">
        <f>Grinders!B144</f>
        <v/>
      </c>
      <c r="C144" s="40" t="str">
        <f>Grinders!C144</f>
        <v/>
      </c>
      <c r="D144" s="40" t="str">
        <f>Grinders!D144</f>
        <v/>
      </c>
      <c r="E144" s="40" t="str">
        <f>Grinders!E144</f>
        <v/>
      </c>
      <c r="F144" s="40" t="str">
        <f>Grinders!F144</f>
        <v/>
      </c>
      <c r="G144" s="40" t="str">
        <f>Grinders!G144</f>
        <v/>
      </c>
      <c r="H144" s="40" t="str">
        <f>Grinders!H144</f>
        <v/>
      </c>
      <c r="I144" s="40" t="str">
        <f>Grinders!I144</f>
        <v/>
      </c>
      <c r="J144" s="40" t="str">
        <f>Grinders!J144</f>
        <v/>
      </c>
      <c r="K144" s="40" t="str">
        <f>Grinders!K144</f>
        <v/>
      </c>
      <c r="L144" s="40" t="str">
        <f>Grinders!L144</f>
        <v/>
      </c>
      <c r="M144" s="40" t="str">
        <f>Grinders!M144</f>
        <v/>
      </c>
      <c r="N144" s="40" t="str">
        <f t="shared" si="1"/>
        <v/>
      </c>
      <c r="O144" s="40" t="str">
        <f t="shared" si="2"/>
        <v/>
      </c>
      <c r="P144" s="40" t="str">
        <f t="shared" si="3"/>
        <v/>
      </c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40" t="str">
        <f>Grinders!A145</f>
        <v/>
      </c>
      <c r="B145" s="40" t="str">
        <f>Grinders!B145</f>
        <v/>
      </c>
      <c r="C145" s="40" t="str">
        <f>Grinders!C145</f>
        <v/>
      </c>
      <c r="D145" s="40" t="str">
        <f>Grinders!D145</f>
        <v/>
      </c>
      <c r="E145" s="40" t="str">
        <f>Grinders!E145</f>
        <v/>
      </c>
      <c r="F145" s="40" t="str">
        <f>Grinders!F145</f>
        <v/>
      </c>
      <c r="G145" s="40" t="str">
        <f>Grinders!G145</f>
        <v/>
      </c>
      <c r="H145" s="40" t="str">
        <f>Grinders!H145</f>
        <v/>
      </c>
      <c r="I145" s="40" t="str">
        <f>Grinders!I145</f>
        <v/>
      </c>
      <c r="J145" s="40" t="str">
        <f>Grinders!J145</f>
        <v/>
      </c>
      <c r="K145" s="40" t="str">
        <f>Grinders!K145</f>
        <v/>
      </c>
      <c r="L145" s="40" t="str">
        <f>Grinders!L145</f>
        <v/>
      </c>
      <c r="M145" s="40" t="str">
        <f>Grinders!M145</f>
        <v/>
      </c>
      <c r="N145" s="40" t="str">
        <f t="shared" si="1"/>
        <v/>
      </c>
      <c r="O145" s="40" t="str">
        <f t="shared" si="2"/>
        <v/>
      </c>
      <c r="P145" s="40" t="str">
        <f t="shared" si="3"/>
        <v/>
      </c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40" t="str">
        <f>Grinders!A146</f>
        <v/>
      </c>
      <c r="B146" s="40" t="str">
        <f>Grinders!B146</f>
        <v/>
      </c>
      <c r="C146" s="40" t="str">
        <f>Grinders!C146</f>
        <v/>
      </c>
      <c r="D146" s="40" t="str">
        <f>Grinders!D146</f>
        <v/>
      </c>
      <c r="E146" s="40" t="str">
        <f>Grinders!E146</f>
        <v/>
      </c>
      <c r="F146" s="40" t="str">
        <f>Grinders!F146</f>
        <v/>
      </c>
      <c r="G146" s="40" t="str">
        <f>Grinders!G146</f>
        <v/>
      </c>
      <c r="H146" s="40" t="str">
        <f>Grinders!H146</f>
        <v/>
      </c>
      <c r="I146" s="40" t="str">
        <f>Grinders!I146</f>
        <v/>
      </c>
      <c r="J146" s="40" t="str">
        <f>Grinders!J146</f>
        <v/>
      </c>
      <c r="K146" s="40" t="str">
        <f>Grinders!K146</f>
        <v/>
      </c>
      <c r="L146" s="40" t="str">
        <f>Grinders!L146</f>
        <v/>
      </c>
      <c r="M146" s="40" t="str">
        <f>Grinders!M146</f>
        <v/>
      </c>
      <c r="N146" s="40" t="str">
        <f t="shared" si="1"/>
        <v/>
      </c>
      <c r="O146" s="40" t="str">
        <f t="shared" si="2"/>
        <v/>
      </c>
      <c r="P146" s="40" t="str">
        <f t="shared" si="3"/>
        <v/>
      </c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40" t="str">
        <f>Grinders!A147</f>
        <v/>
      </c>
      <c r="B147" s="40" t="str">
        <f>Grinders!B147</f>
        <v/>
      </c>
      <c r="C147" s="40" t="str">
        <f>Grinders!C147</f>
        <v/>
      </c>
      <c r="D147" s="40" t="str">
        <f>Grinders!D147</f>
        <v/>
      </c>
      <c r="E147" s="40" t="str">
        <f>Grinders!E147</f>
        <v/>
      </c>
      <c r="F147" s="40" t="str">
        <f>Grinders!F147</f>
        <v/>
      </c>
      <c r="G147" s="40" t="str">
        <f>Grinders!G147</f>
        <v/>
      </c>
      <c r="H147" s="40" t="str">
        <f>Grinders!H147</f>
        <v/>
      </c>
      <c r="I147" s="40" t="str">
        <f>Grinders!I147</f>
        <v/>
      </c>
      <c r="J147" s="40" t="str">
        <f>Grinders!J147</f>
        <v/>
      </c>
      <c r="K147" s="40" t="str">
        <f>Grinders!K147</f>
        <v/>
      </c>
      <c r="L147" s="40" t="str">
        <f>Grinders!L147</f>
        <v/>
      </c>
      <c r="M147" s="40" t="str">
        <f>Grinders!M147</f>
        <v/>
      </c>
      <c r="N147" s="40" t="str">
        <f t="shared" si="1"/>
        <v/>
      </c>
      <c r="O147" s="40" t="str">
        <f t="shared" si="2"/>
        <v/>
      </c>
      <c r="P147" s="40" t="str">
        <f t="shared" si="3"/>
        <v/>
      </c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40" t="str">
        <f>Grinders!A148</f>
        <v/>
      </c>
      <c r="B148" s="40" t="str">
        <f>Grinders!B148</f>
        <v/>
      </c>
      <c r="C148" s="40" t="str">
        <f>Grinders!C148</f>
        <v/>
      </c>
      <c r="D148" s="40" t="str">
        <f>Grinders!D148</f>
        <v/>
      </c>
      <c r="E148" s="40" t="str">
        <f>Grinders!E148</f>
        <v/>
      </c>
      <c r="F148" s="40" t="str">
        <f>Grinders!F148</f>
        <v/>
      </c>
      <c r="G148" s="40" t="str">
        <f>Grinders!G148</f>
        <v/>
      </c>
      <c r="H148" s="40" t="str">
        <f>Grinders!H148</f>
        <v/>
      </c>
      <c r="I148" s="40" t="str">
        <f>Grinders!I148</f>
        <v/>
      </c>
      <c r="J148" s="40" t="str">
        <f>Grinders!J148</f>
        <v/>
      </c>
      <c r="K148" s="40" t="str">
        <f>Grinders!K148</f>
        <v/>
      </c>
      <c r="L148" s="40" t="str">
        <f>Grinders!L148</f>
        <v/>
      </c>
      <c r="M148" s="40" t="str">
        <f>Grinders!M148</f>
        <v/>
      </c>
      <c r="N148" s="40" t="str">
        <f t="shared" si="1"/>
        <v/>
      </c>
      <c r="O148" s="40" t="str">
        <f t="shared" si="2"/>
        <v/>
      </c>
      <c r="P148" s="40" t="str">
        <f t="shared" si="3"/>
        <v/>
      </c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40" t="str">
        <f>Grinders!A149</f>
        <v/>
      </c>
      <c r="B149" s="40" t="str">
        <f>Grinders!B149</f>
        <v/>
      </c>
      <c r="C149" s="40" t="str">
        <f>Grinders!C149</f>
        <v/>
      </c>
      <c r="D149" s="40" t="str">
        <f>Grinders!D149</f>
        <v/>
      </c>
      <c r="E149" s="40" t="str">
        <f>Grinders!E149</f>
        <v/>
      </c>
      <c r="F149" s="40" t="str">
        <f>Grinders!F149</f>
        <v/>
      </c>
      <c r="G149" s="40" t="str">
        <f>Grinders!G149</f>
        <v/>
      </c>
      <c r="H149" s="40" t="str">
        <f>Grinders!H149</f>
        <v/>
      </c>
      <c r="I149" s="40" t="str">
        <f>Grinders!I149</f>
        <v/>
      </c>
      <c r="J149" s="40" t="str">
        <f>Grinders!J149</f>
        <v/>
      </c>
      <c r="K149" s="40" t="str">
        <f>Grinders!K149</f>
        <v/>
      </c>
      <c r="L149" s="40" t="str">
        <f>Grinders!L149</f>
        <v/>
      </c>
      <c r="M149" s="40" t="str">
        <f>Grinders!M149</f>
        <v/>
      </c>
      <c r="N149" s="40" t="str">
        <f t="shared" si="1"/>
        <v/>
      </c>
      <c r="O149" s="40" t="str">
        <f t="shared" si="2"/>
        <v/>
      </c>
      <c r="P149" s="40" t="str">
        <f t="shared" si="3"/>
        <v/>
      </c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40" t="str">
        <f>Grinders!A150</f>
        <v/>
      </c>
      <c r="B150" s="40" t="str">
        <f>Grinders!B150</f>
        <v/>
      </c>
      <c r="C150" s="40" t="str">
        <f>Grinders!C150</f>
        <v/>
      </c>
      <c r="D150" s="40" t="str">
        <f>Grinders!D150</f>
        <v/>
      </c>
      <c r="E150" s="40" t="str">
        <f>Grinders!E150</f>
        <v/>
      </c>
      <c r="F150" s="40" t="str">
        <f>Grinders!F150</f>
        <v/>
      </c>
      <c r="G150" s="40" t="str">
        <f>Grinders!G150</f>
        <v/>
      </c>
      <c r="H150" s="40" t="str">
        <f>Grinders!H150</f>
        <v/>
      </c>
      <c r="I150" s="40" t="str">
        <f>Grinders!I150</f>
        <v/>
      </c>
      <c r="J150" s="40" t="str">
        <f>Grinders!J150</f>
        <v/>
      </c>
      <c r="K150" s="40" t="str">
        <f>Grinders!K150</f>
        <v/>
      </c>
      <c r="L150" s="40" t="str">
        <f>Grinders!L150</f>
        <v/>
      </c>
      <c r="M150" s="40" t="str">
        <f>Grinders!M150</f>
        <v/>
      </c>
      <c r="N150" s="40" t="str">
        <f t="shared" si="1"/>
        <v/>
      </c>
      <c r="O150" s="40" t="str">
        <f t="shared" si="2"/>
        <v/>
      </c>
      <c r="P150" s="40" t="str">
        <f t="shared" si="3"/>
        <v/>
      </c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40" t="str">
        <f>Grinders!A151</f>
        <v/>
      </c>
      <c r="B151" s="40" t="str">
        <f>Grinders!B151</f>
        <v/>
      </c>
      <c r="C151" s="40" t="str">
        <f>Grinders!C151</f>
        <v/>
      </c>
      <c r="D151" s="40" t="str">
        <f>Grinders!D151</f>
        <v/>
      </c>
      <c r="E151" s="40" t="str">
        <f>Grinders!E151</f>
        <v/>
      </c>
      <c r="F151" s="40" t="str">
        <f>Grinders!F151</f>
        <v/>
      </c>
      <c r="G151" s="40" t="str">
        <f>Grinders!G151</f>
        <v/>
      </c>
      <c r="H151" s="40" t="str">
        <f>Grinders!H151</f>
        <v/>
      </c>
      <c r="I151" s="40" t="str">
        <f>Grinders!I151</f>
        <v/>
      </c>
      <c r="J151" s="40" t="str">
        <f>Grinders!J151</f>
        <v/>
      </c>
      <c r="K151" s="40" t="str">
        <f>Grinders!K151</f>
        <v/>
      </c>
      <c r="L151" s="40" t="str">
        <f>Grinders!L151</f>
        <v/>
      </c>
      <c r="M151" s="40" t="str">
        <f>Grinders!M151</f>
        <v/>
      </c>
      <c r="N151" s="40" t="str">
        <f t="shared" si="1"/>
        <v/>
      </c>
      <c r="O151" s="40" t="str">
        <f t="shared" si="2"/>
        <v/>
      </c>
      <c r="P151" s="40" t="str">
        <f t="shared" si="3"/>
        <v/>
      </c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40" t="str">
        <f>Grinders!A152</f>
        <v/>
      </c>
      <c r="B152" s="40" t="str">
        <f>Grinders!B152</f>
        <v/>
      </c>
      <c r="C152" s="40" t="str">
        <f>Grinders!C152</f>
        <v/>
      </c>
      <c r="D152" s="40" t="str">
        <f>Grinders!D152</f>
        <v/>
      </c>
      <c r="E152" s="40" t="str">
        <f>Grinders!E152</f>
        <v/>
      </c>
      <c r="F152" s="40" t="str">
        <f>Grinders!F152</f>
        <v/>
      </c>
      <c r="G152" s="40" t="str">
        <f>Grinders!G152</f>
        <v/>
      </c>
      <c r="H152" s="40" t="str">
        <f>Grinders!H152</f>
        <v/>
      </c>
      <c r="I152" s="40" t="str">
        <f>Grinders!I152</f>
        <v/>
      </c>
      <c r="J152" s="40" t="str">
        <f>Grinders!J152</f>
        <v/>
      </c>
      <c r="K152" s="40" t="str">
        <f>Grinders!K152</f>
        <v/>
      </c>
      <c r="L152" s="40" t="str">
        <f>Grinders!L152</f>
        <v/>
      </c>
      <c r="M152" s="40" t="str">
        <f>Grinders!M152</f>
        <v/>
      </c>
      <c r="N152" s="40" t="str">
        <f t="shared" si="1"/>
        <v/>
      </c>
      <c r="O152" s="40" t="str">
        <f t="shared" si="2"/>
        <v/>
      </c>
      <c r="P152" s="40" t="str">
        <f t="shared" si="3"/>
        <v/>
      </c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40" t="str">
        <f>Grinders!A153</f>
        <v/>
      </c>
      <c r="B153" s="40" t="str">
        <f>Grinders!B153</f>
        <v/>
      </c>
      <c r="C153" s="40" t="str">
        <f>Grinders!C153</f>
        <v/>
      </c>
      <c r="D153" s="40" t="str">
        <f>Grinders!D153</f>
        <v/>
      </c>
      <c r="E153" s="40" t="str">
        <f>Grinders!E153</f>
        <v/>
      </c>
      <c r="F153" s="40" t="str">
        <f>Grinders!F153</f>
        <v/>
      </c>
      <c r="G153" s="40" t="str">
        <f>Grinders!G153</f>
        <v/>
      </c>
      <c r="H153" s="40" t="str">
        <f>Grinders!H153</f>
        <v/>
      </c>
      <c r="I153" s="40" t="str">
        <f>Grinders!I153</f>
        <v/>
      </c>
      <c r="J153" s="40" t="str">
        <f>Grinders!J153</f>
        <v/>
      </c>
      <c r="K153" s="40" t="str">
        <f>Grinders!K153</f>
        <v/>
      </c>
      <c r="L153" s="40" t="str">
        <f>Grinders!L153</f>
        <v/>
      </c>
      <c r="M153" s="40" t="str">
        <f>Grinders!M153</f>
        <v/>
      </c>
      <c r="N153" s="40" t="str">
        <f t="shared" si="1"/>
        <v/>
      </c>
      <c r="O153" s="40" t="str">
        <f t="shared" si="2"/>
        <v/>
      </c>
      <c r="P153" s="40" t="str">
        <f t="shared" si="3"/>
        <v/>
      </c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40" t="str">
        <f>Grinders!A154</f>
        <v/>
      </c>
      <c r="B154" s="40" t="str">
        <f>Grinders!B154</f>
        <v/>
      </c>
      <c r="C154" s="40" t="str">
        <f>Grinders!C154</f>
        <v/>
      </c>
      <c r="D154" s="40" t="str">
        <f>Grinders!D154</f>
        <v/>
      </c>
      <c r="E154" s="40" t="str">
        <f>Grinders!E154</f>
        <v/>
      </c>
      <c r="F154" s="40" t="str">
        <f>Grinders!F154</f>
        <v/>
      </c>
      <c r="G154" s="40" t="str">
        <f>Grinders!G154</f>
        <v/>
      </c>
      <c r="H154" s="40" t="str">
        <f>Grinders!H154</f>
        <v/>
      </c>
      <c r="I154" s="40" t="str">
        <f>Grinders!I154</f>
        <v/>
      </c>
      <c r="J154" s="40" t="str">
        <f>Grinders!J154</f>
        <v/>
      </c>
      <c r="K154" s="40" t="str">
        <f>Grinders!K154</f>
        <v/>
      </c>
      <c r="L154" s="40" t="str">
        <f>Grinders!L154</f>
        <v/>
      </c>
      <c r="M154" s="40" t="str">
        <f>Grinders!M154</f>
        <v/>
      </c>
      <c r="N154" s="40" t="str">
        <f t="shared" si="1"/>
        <v/>
      </c>
      <c r="O154" s="40" t="str">
        <f t="shared" si="2"/>
        <v/>
      </c>
      <c r="P154" s="40" t="str">
        <f t="shared" si="3"/>
        <v/>
      </c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40" t="str">
        <f>Grinders!A155</f>
        <v/>
      </c>
      <c r="B155" s="40" t="str">
        <f>Grinders!B155</f>
        <v/>
      </c>
      <c r="C155" s="40" t="str">
        <f>Grinders!C155</f>
        <v/>
      </c>
      <c r="D155" s="40" t="str">
        <f>Grinders!D155</f>
        <v/>
      </c>
      <c r="E155" s="40" t="str">
        <f>Grinders!E155</f>
        <v/>
      </c>
      <c r="F155" s="40" t="str">
        <f>Grinders!F155</f>
        <v/>
      </c>
      <c r="G155" s="40" t="str">
        <f>Grinders!G155</f>
        <v/>
      </c>
      <c r="H155" s="40" t="str">
        <f>Grinders!H155</f>
        <v/>
      </c>
      <c r="I155" s="40" t="str">
        <f>Grinders!I155</f>
        <v/>
      </c>
      <c r="J155" s="40" t="str">
        <f>Grinders!J155</f>
        <v/>
      </c>
      <c r="K155" s="40" t="str">
        <f>Grinders!K155</f>
        <v/>
      </c>
      <c r="L155" s="40" t="str">
        <f>Grinders!L155</f>
        <v/>
      </c>
      <c r="M155" s="40" t="str">
        <f>Grinders!M155</f>
        <v/>
      </c>
      <c r="N155" s="40" t="str">
        <f t="shared" si="1"/>
        <v/>
      </c>
      <c r="O155" s="40" t="str">
        <f t="shared" si="2"/>
        <v/>
      </c>
      <c r="P155" s="40" t="str">
        <f t="shared" si="3"/>
        <v/>
      </c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40" t="str">
        <f>Grinders!A156</f>
        <v/>
      </c>
      <c r="B156" s="40" t="str">
        <f>Grinders!B156</f>
        <v/>
      </c>
      <c r="C156" s="40" t="str">
        <f>Grinders!C156</f>
        <v/>
      </c>
      <c r="D156" s="40" t="str">
        <f>Grinders!D156</f>
        <v/>
      </c>
      <c r="E156" s="40" t="str">
        <f>Grinders!E156</f>
        <v/>
      </c>
      <c r="F156" s="40" t="str">
        <f>Grinders!F156</f>
        <v/>
      </c>
      <c r="G156" s="40" t="str">
        <f>Grinders!G156</f>
        <v/>
      </c>
      <c r="H156" s="40" t="str">
        <f>Grinders!H156</f>
        <v/>
      </c>
      <c r="I156" s="40" t="str">
        <f>Grinders!I156</f>
        <v/>
      </c>
      <c r="J156" s="40" t="str">
        <f>Grinders!J156</f>
        <v/>
      </c>
      <c r="K156" s="40" t="str">
        <f>Grinders!K156</f>
        <v/>
      </c>
      <c r="L156" s="40" t="str">
        <f>Grinders!L156</f>
        <v/>
      </c>
      <c r="M156" s="40" t="str">
        <f>Grinders!M156</f>
        <v/>
      </c>
      <c r="N156" s="40" t="str">
        <f t="shared" si="1"/>
        <v/>
      </c>
      <c r="O156" s="40" t="str">
        <f t="shared" si="2"/>
        <v/>
      </c>
      <c r="P156" s="40" t="str">
        <f t="shared" si="3"/>
        <v/>
      </c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40" t="str">
        <f>Grinders!A157</f>
        <v/>
      </c>
      <c r="B157" s="40" t="str">
        <f>Grinders!B157</f>
        <v/>
      </c>
      <c r="C157" s="40" t="str">
        <f>Grinders!C157</f>
        <v/>
      </c>
      <c r="D157" s="40" t="str">
        <f>Grinders!D157</f>
        <v/>
      </c>
      <c r="E157" s="40" t="str">
        <f>Grinders!E157</f>
        <v/>
      </c>
      <c r="F157" s="40" t="str">
        <f>Grinders!F157</f>
        <v/>
      </c>
      <c r="G157" s="40" t="str">
        <f>Grinders!G157</f>
        <v/>
      </c>
      <c r="H157" s="40" t="str">
        <f>Grinders!H157</f>
        <v/>
      </c>
      <c r="I157" s="40" t="str">
        <f>Grinders!I157</f>
        <v/>
      </c>
      <c r="J157" s="40" t="str">
        <f>Grinders!J157</f>
        <v/>
      </c>
      <c r="K157" s="40" t="str">
        <f>Grinders!K157</f>
        <v/>
      </c>
      <c r="L157" s="40" t="str">
        <f>Grinders!L157</f>
        <v/>
      </c>
      <c r="M157" s="40" t="str">
        <f>Grinders!M157</f>
        <v/>
      </c>
      <c r="N157" s="40" t="str">
        <f t="shared" si="1"/>
        <v/>
      </c>
      <c r="O157" s="40" t="str">
        <f t="shared" si="2"/>
        <v/>
      </c>
      <c r="P157" s="40" t="str">
        <f t="shared" si="3"/>
        <v/>
      </c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40" t="str">
        <f>Grinders!A158</f>
        <v/>
      </c>
      <c r="B158" s="40" t="str">
        <f>Grinders!B158</f>
        <v/>
      </c>
      <c r="C158" s="40" t="str">
        <f>Grinders!C158</f>
        <v/>
      </c>
      <c r="D158" s="40" t="str">
        <f>Grinders!D158</f>
        <v/>
      </c>
      <c r="E158" s="40" t="str">
        <f>Grinders!E158</f>
        <v/>
      </c>
      <c r="F158" s="40" t="str">
        <f>Grinders!F158</f>
        <v/>
      </c>
      <c r="G158" s="40" t="str">
        <f>Grinders!G158</f>
        <v/>
      </c>
      <c r="H158" s="40" t="str">
        <f>Grinders!H158</f>
        <v/>
      </c>
      <c r="I158" s="40" t="str">
        <f>Grinders!I158</f>
        <v/>
      </c>
      <c r="J158" s="40" t="str">
        <f>Grinders!J158</f>
        <v/>
      </c>
      <c r="K158" s="40" t="str">
        <f>Grinders!K158</f>
        <v/>
      </c>
      <c r="L158" s="40" t="str">
        <f>Grinders!L158</f>
        <v/>
      </c>
      <c r="M158" s="40" t="str">
        <f>Grinders!M158</f>
        <v/>
      </c>
      <c r="N158" s="40" t="str">
        <f t="shared" si="1"/>
        <v/>
      </c>
      <c r="O158" s="40" t="str">
        <f t="shared" si="2"/>
        <v/>
      </c>
      <c r="P158" s="40" t="str">
        <f t="shared" si="3"/>
        <v/>
      </c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40" t="str">
        <f>Grinders!A159</f>
        <v/>
      </c>
      <c r="B159" s="40" t="str">
        <f>Grinders!B159</f>
        <v/>
      </c>
      <c r="C159" s="40" t="str">
        <f>Grinders!C159</f>
        <v/>
      </c>
      <c r="D159" s="40" t="str">
        <f>Grinders!D159</f>
        <v/>
      </c>
      <c r="E159" s="40" t="str">
        <f>Grinders!E159</f>
        <v/>
      </c>
      <c r="F159" s="40" t="str">
        <f>Grinders!F159</f>
        <v/>
      </c>
      <c r="G159" s="40" t="str">
        <f>Grinders!G159</f>
        <v/>
      </c>
      <c r="H159" s="40" t="str">
        <f>Grinders!H159</f>
        <v/>
      </c>
      <c r="I159" s="40" t="str">
        <f>Grinders!I159</f>
        <v/>
      </c>
      <c r="J159" s="40" t="str">
        <f>Grinders!J159</f>
        <v/>
      </c>
      <c r="K159" s="40" t="str">
        <f>Grinders!K159</f>
        <v/>
      </c>
      <c r="L159" s="40" t="str">
        <f>Grinders!L159</f>
        <v/>
      </c>
      <c r="M159" s="40" t="str">
        <f>Grinders!M159</f>
        <v/>
      </c>
      <c r="N159" s="40" t="str">
        <f t="shared" si="1"/>
        <v/>
      </c>
      <c r="O159" s="40" t="str">
        <f t="shared" si="2"/>
        <v/>
      </c>
      <c r="P159" s="40" t="str">
        <f t="shared" si="3"/>
        <v/>
      </c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40" t="str">
        <f>Grinders!A160</f>
        <v/>
      </c>
      <c r="B160" s="40" t="str">
        <f>Grinders!B160</f>
        <v/>
      </c>
      <c r="C160" s="40" t="str">
        <f>Grinders!C160</f>
        <v/>
      </c>
      <c r="D160" s="40" t="str">
        <f>Grinders!D160</f>
        <v/>
      </c>
      <c r="E160" s="40" t="str">
        <f>Grinders!E160</f>
        <v/>
      </c>
      <c r="F160" s="40" t="str">
        <f>Grinders!F160</f>
        <v/>
      </c>
      <c r="G160" s="40" t="str">
        <f>Grinders!G160</f>
        <v/>
      </c>
      <c r="H160" s="40" t="str">
        <f>Grinders!H160</f>
        <v/>
      </c>
      <c r="I160" s="40" t="str">
        <f>Grinders!I160</f>
        <v/>
      </c>
      <c r="J160" s="40" t="str">
        <f>Grinders!J160</f>
        <v/>
      </c>
      <c r="K160" s="40" t="str">
        <f>Grinders!K160</f>
        <v/>
      </c>
      <c r="L160" s="40" t="str">
        <f>Grinders!L160</f>
        <v/>
      </c>
      <c r="M160" s="40" t="str">
        <f>Grinders!M160</f>
        <v/>
      </c>
      <c r="N160" s="40" t="str">
        <f t="shared" si="1"/>
        <v/>
      </c>
      <c r="O160" s="40" t="str">
        <f t="shared" si="2"/>
        <v/>
      </c>
      <c r="P160" s="40" t="str">
        <f t="shared" si="3"/>
        <v/>
      </c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40" t="str">
        <f>Grinders!A161</f>
        <v/>
      </c>
      <c r="B161" s="40" t="str">
        <f>Grinders!B161</f>
        <v/>
      </c>
      <c r="C161" s="40" t="str">
        <f>Grinders!C161</f>
        <v/>
      </c>
      <c r="D161" s="40" t="str">
        <f>Grinders!D161</f>
        <v/>
      </c>
      <c r="E161" s="40" t="str">
        <f>Grinders!E161</f>
        <v/>
      </c>
      <c r="F161" s="40" t="str">
        <f>Grinders!F161</f>
        <v/>
      </c>
      <c r="G161" s="40" t="str">
        <f>Grinders!G161</f>
        <v/>
      </c>
      <c r="H161" s="40" t="str">
        <f>Grinders!H161</f>
        <v/>
      </c>
      <c r="I161" s="40" t="str">
        <f>Grinders!I161</f>
        <v/>
      </c>
      <c r="J161" s="40" t="str">
        <f>Grinders!J161</f>
        <v/>
      </c>
      <c r="K161" s="40" t="str">
        <f>Grinders!K161</f>
        <v/>
      </c>
      <c r="L161" s="40" t="str">
        <f>Grinders!L161</f>
        <v/>
      </c>
      <c r="M161" s="40" t="str">
        <f>Grinders!M161</f>
        <v/>
      </c>
      <c r="N161" s="40" t="str">
        <f t="shared" si="1"/>
        <v/>
      </c>
      <c r="O161" s="40" t="str">
        <f t="shared" si="2"/>
        <v/>
      </c>
      <c r="P161" s="40" t="str">
        <f t="shared" si="3"/>
        <v/>
      </c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40" t="str">
        <f>Grinders!A162</f>
        <v/>
      </c>
      <c r="B162" s="40" t="str">
        <f>Grinders!B162</f>
        <v/>
      </c>
      <c r="C162" s="40" t="str">
        <f>Grinders!C162</f>
        <v/>
      </c>
      <c r="D162" s="40" t="str">
        <f>Grinders!D162</f>
        <v/>
      </c>
      <c r="E162" s="40" t="str">
        <f>Grinders!E162</f>
        <v/>
      </c>
      <c r="F162" s="40" t="str">
        <f>Grinders!F162</f>
        <v/>
      </c>
      <c r="G162" s="40" t="str">
        <f>Grinders!G162</f>
        <v/>
      </c>
      <c r="H162" s="40" t="str">
        <f>Grinders!H162</f>
        <v/>
      </c>
      <c r="I162" s="40" t="str">
        <f>Grinders!I162</f>
        <v/>
      </c>
      <c r="J162" s="40" t="str">
        <f>Grinders!J162</f>
        <v/>
      </c>
      <c r="K162" s="40" t="str">
        <f>Grinders!K162</f>
        <v/>
      </c>
      <c r="L162" s="40" t="str">
        <f>Grinders!L162</f>
        <v/>
      </c>
      <c r="M162" s="40" t="str">
        <f>Grinders!M162</f>
        <v/>
      </c>
      <c r="N162" s="40" t="str">
        <f t="shared" si="1"/>
        <v/>
      </c>
      <c r="O162" s="40" t="str">
        <f t="shared" si="2"/>
        <v/>
      </c>
      <c r="P162" s="40" t="str">
        <f t="shared" si="3"/>
        <v/>
      </c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40" t="str">
        <f>Grinders!A163</f>
        <v/>
      </c>
      <c r="B163" s="40" t="str">
        <f>Grinders!B163</f>
        <v/>
      </c>
      <c r="C163" s="40" t="str">
        <f>Grinders!C163</f>
        <v/>
      </c>
      <c r="D163" s="40" t="str">
        <f>Grinders!D163</f>
        <v/>
      </c>
      <c r="E163" s="40" t="str">
        <f>Grinders!E163</f>
        <v/>
      </c>
      <c r="F163" s="40" t="str">
        <f>Grinders!F163</f>
        <v/>
      </c>
      <c r="G163" s="40" t="str">
        <f>Grinders!G163</f>
        <v/>
      </c>
      <c r="H163" s="40" t="str">
        <f>Grinders!H163</f>
        <v/>
      </c>
      <c r="I163" s="40" t="str">
        <f>Grinders!I163</f>
        <v/>
      </c>
      <c r="J163" s="40" t="str">
        <f>Grinders!J163</f>
        <v/>
      </c>
      <c r="K163" s="40" t="str">
        <f>Grinders!K163</f>
        <v/>
      </c>
      <c r="L163" s="40" t="str">
        <f>Grinders!L163</f>
        <v/>
      </c>
      <c r="M163" s="40" t="str">
        <f>Grinders!M163</f>
        <v/>
      </c>
      <c r="N163" s="40" t="str">
        <f t="shared" si="1"/>
        <v/>
      </c>
      <c r="O163" s="40" t="str">
        <f t="shared" si="2"/>
        <v/>
      </c>
      <c r="P163" s="40" t="str">
        <f t="shared" si="3"/>
        <v/>
      </c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40" t="str">
        <f>Grinders!A164</f>
        <v/>
      </c>
      <c r="B164" s="40" t="str">
        <f>Grinders!B164</f>
        <v/>
      </c>
      <c r="C164" s="40" t="str">
        <f>Grinders!C164</f>
        <v/>
      </c>
      <c r="D164" s="40" t="str">
        <f>Grinders!D164</f>
        <v/>
      </c>
      <c r="E164" s="40" t="str">
        <f>Grinders!E164</f>
        <v/>
      </c>
      <c r="F164" s="40" t="str">
        <f>Grinders!F164</f>
        <v/>
      </c>
      <c r="G164" s="40" t="str">
        <f>Grinders!G164</f>
        <v/>
      </c>
      <c r="H164" s="40" t="str">
        <f>Grinders!H164</f>
        <v/>
      </c>
      <c r="I164" s="40" t="str">
        <f>Grinders!I164</f>
        <v/>
      </c>
      <c r="J164" s="40" t="str">
        <f>Grinders!J164</f>
        <v/>
      </c>
      <c r="K164" s="40" t="str">
        <f>Grinders!K164</f>
        <v/>
      </c>
      <c r="L164" s="40" t="str">
        <f>Grinders!L164</f>
        <v/>
      </c>
      <c r="M164" s="40" t="str">
        <f>Grinders!M164</f>
        <v/>
      </c>
      <c r="N164" s="40" t="str">
        <f t="shared" si="1"/>
        <v/>
      </c>
      <c r="O164" s="40" t="str">
        <f t="shared" si="2"/>
        <v/>
      </c>
      <c r="P164" s="40" t="str">
        <f t="shared" si="3"/>
        <v/>
      </c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40" t="str">
        <f>Grinders!A165</f>
        <v/>
      </c>
      <c r="B165" s="40" t="str">
        <f>Grinders!B165</f>
        <v/>
      </c>
      <c r="C165" s="40" t="str">
        <f>Grinders!C165</f>
        <v/>
      </c>
      <c r="D165" s="40" t="str">
        <f>Grinders!D165</f>
        <v/>
      </c>
      <c r="E165" s="40" t="str">
        <f>Grinders!E165</f>
        <v/>
      </c>
      <c r="F165" s="40" t="str">
        <f>Grinders!F165</f>
        <v/>
      </c>
      <c r="G165" s="40" t="str">
        <f>Grinders!G165</f>
        <v/>
      </c>
      <c r="H165" s="40" t="str">
        <f>Grinders!H165</f>
        <v/>
      </c>
      <c r="I165" s="40" t="str">
        <f>Grinders!I165</f>
        <v/>
      </c>
      <c r="J165" s="40" t="str">
        <f>Grinders!J165</f>
        <v/>
      </c>
      <c r="K165" s="40" t="str">
        <f>Grinders!K165</f>
        <v/>
      </c>
      <c r="L165" s="40" t="str">
        <f>Grinders!L165</f>
        <v/>
      </c>
      <c r="M165" s="40" t="str">
        <f>Grinders!M165</f>
        <v/>
      </c>
      <c r="N165" s="40" t="str">
        <f t="shared" si="1"/>
        <v/>
      </c>
      <c r="O165" s="40" t="str">
        <f t="shared" si="2"/>
        <v/>
      </c>
      <c r="P165" s="40" t="str">
        <f t="shared" si="3"/>
        <v/>
      </c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40" t="str">
        <f>Grinders!A166</f>
        <v/>
      </c>
      <c r="B166" s="40" t="str">
        <f>Grinders!B166</f>
        <v/>
      </c>
      <c r="C166" s="40" t="str">
        <f>Grinders!C166</f>
        <v/>
      </c>
      <c r="D166" s="40" t="str">
        <f>Grinders!D166</f>
        <v/>
      </c>
      <c r="E166" s="40" t="str">
        <f>Grinders!E166</f>
        <v/>
      </c>
      <c r="F166" s="40" t="str">
        <f>Grinders!F166</f>
        <v/>
      </c>
      <c r="G166" s="40" t="str">
        <f>Grinders!G166</f>
        <v/>
      </c>
      <c r="H166" s="40" t="str">
        <f>Grinders!H166</f>
        <v/>
      </c>
      <c r="I166" s="40" t="str">
        <f>Grinders!I166</f>
        <v/>
      </c>
      <c r="J166" s="40" t="str">
        <f>Grinders!J166</f>
        <v/>
      </c>
      <c r="K166" s="40" t="str">
        <f>Grinders!K166</f>
        <v/>
      </c>
      <c r="L166" s="40" t="str">
        <f>Grinders!L166</f>
        <v/>
      </c>
      <c r="M166" s="40" t="str">
        <f>Grinders!M166</f>
        <v/>
      </c>
      <c r="N166" s="40" t="str">
        <f t="shared" si="1"/>
        <v/>
      </c>
      <c r="O166" s="40" t="str">
        <f t="shared" si="2"/>
        <v/>
      </c>
      <c r="P166" s="40" t="str">
        <f t="shared" si="3"/>
        <v/>
      </c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40" t="str">
        <f>Grinders!A167</f>
        <v/>
      </c>
      <c r="B167" s="40" t="str">
        <f>Grinders!B167</f>
        <v/>
      </c>
      <c r="C167" s="40" t="str">
        <f>Grinders!C167</f>
        <v/>
      </c>
      <c r="D167" s="40" t="str">
        <f>Grinders!D167</f>
        <v/>
      </c>
      <c r="E167" s="40" t="str">
        <f>Grinders!E167</f>
        <v/>
      </c>
      <c r="F167" s="40" t="str">
        <f>Grinders!F167</f>
        <v/>
      </c>
      <c r="G167" s="40" t="str">
        <f>Grinders!G167</f>
        <v/>
      </c>
      <c r="H167" s="40" t="str">
        <f>Grinders!H167</f>
        <v/>
      </c>
      <c r="I167" s="40" t="str">
        <f>Grinders!I167</f>
        <v/>
      </c>
      <c r="J167" s="40" t="str">
        <f>Grinders!J167</f>
        <v/>
      </c>
      <c r="K167" s="40" t="str">
        <f>Grinders!K167</f>
        <v/>
      </c>
      <c r="L167" s="40" t="str">
        <f>Grinders!L167</f>
        <v/>
      </c>
      <c r="M167" s="40" t="str">
        <f>Grinders!M167</f>
        <v/>
      </c>
      <c r="N167" s="40" t="str">
        <f t="shared" si="1"/>
        <v/>
      </c>
      <c r="O167" s="40" t="str">
        <f t="shared" si="2"/>
        <v/>
      </c>
      <c r="P167" s="40" t="str">
        <f t="shared" si="3"/>
        <v/>
      </c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40" t="str">
        <f>Grinders!A168</f>
        <v/>
      </c>
      <c r="B168" s="40" t="str">
        <f>Grinders!B168</f>
        <v/>
      </c>
      <c r="C168" s="40" t="str">
        <f>Grinders!C168</f>
        <v/>
      </c>
      <c r="D168" s="40" t="str">
        <f>Grinders!D168</f>
        <v/>
      </c>
      <c r="E168" s="40" t="str">
        <f>Grinders!E168</f>
        <v/>
      </c>
      <c r="F168" s="40" t="str">
        <f>Grinders!F168</f>
        <v/>
      </c>
      <c r="G168" s="40" t="str">
        <f>Grinders!G168</f>
        <v/>
      </c>
      <c r="H168" s="40" t="str">
        <f>Grinders!H168</f>
        <v/>
      </c>
      <c r="I168" s="40" t="str">
        <f>Grinders!I168</f>
        <v/>
      </c>
      <c r="J168" s="40" t="str">
        <f>Grinders!J168</f>
        <v/>
      </c>
      <c r="K168" s="40" t="str">
        <f>Grinders!K168</f>
        <v/>
      </c>
      <c r="L168" s="40" t="str">
        <f>Grinders!L168</f>
        <v/>
      </c>
      <c r="M168" s="40" t="str">
        <f>Grinders!M168</f>
        <v/>
      </c>
      <c r="N168" s="40" t="str">
        <f t="shared" si="1"/>
        <v/>
      </c>
      <c r="O168" s="40" t="str">
        <f t="shared" si="2"/>
        <v/>
      </c>
      <c r="P168" s="40" t="str">
        <f t="shared" si="3"/>
        <v/>
      </c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40" t="str">
        <f>Grinders!A169</f>
        <v/>
      </c>
      <c r="B169" s="40" t="str">
        <f>Grinders!B169</f>
        <v/>
      </c>
      <c r="C169" s="40" t="str">
        <f>Grinders!C169</f>
        <v/>
      </c>
      <c r="D169" s="40" t="str">
        <f>Grinders!D169</f>
        <v/>
      </c>
      <c r="E169" s="40" t="str">
        <f>Grinders!E169</f>
        <v/>
      </c>
      <c r="F169" s="40" t="str">
        <f>Grinders!F169</f>
        <v/>
      </c>
      <c r="G169" s="40" t="str">
        <f>Grinders!G169</f>
        <v/>
      </c>
      <c r="H169" s="40" t="str">
        <f>Grinders!H169</f>
        <v/>
      </c>
      <c r="I169" s="40" t="str">
        <f>Grinders!I169</f>
        <v/>
      </c>
      <c r="J169" s="40" t="str">
        <f>Grinders!J169</f>
        <v/>
      </c>
      <c r="K169" s="40" t="str">
        <f>Grinders!K169</f>
        <v/>
      </c>
      <c r="L169" s="40" t="str">
        <f>Grinders!L169</f>
        <v/>
      </c>
      <c r="M169" s="40" t="str">
        <f>Grinders!M169</f>
        <v/>
      </c>
      <c r="N169" s="40" t="str">
        <f t="shared" si="1"/>
        <v/>
      </c>
      <c r="O169" s="40" t="str">
        <f t="shared" si="2"/>
        <v/>
      </c>
      <c r="P169" s="40" t="str">
        <f t="shared" si="3"/>
        <v/>
      </c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40" t="str">
        <f>Grinders!A170</f>
        <v/>
      </c>
      <c r="B170" s="40" t="str">
        <f>Grinders!B170</f>
        <v/>
      </c>
      <c r="C170" s="40" t="str">
        <f>Grinders!C170</f>
        <v/>
      </c>
      <c r="D170" s="40" t="str">
        <f>Grinders!D170</f>
        <v/>
      </c>
      <c r="E170" s="40" t="str">
        <f>Grinders!E170</f>
        <v/>
      </c>
      <c r="F170" s="40" t="str">
        <f>Grinders!F170</f>
        <v/>
      </c>
      <c r="G170" s="40" t="str">
        <f>Grinders!G170</f>
        <v/>
      </c>
      <c r="H170" s="40" t="str">
        <f>Grinders!H170</f>
        <v/>
      </c>
      <c r="I170" s="40" t="str">
        <f>Grinders!I170</f>
        <v/>
      </c>
      <c r="J170" s="40" t="str">
        <f>Grinders!J170</f>
        <v/>
      </c>
      <c r="K170" s="40" t="str">
        <f>Grinders!K170</f>
        <v/>
      </c>
      <c r="L170" s="40" t="str">
        <f>Grinders!L170</f>
        <v/>
      </c>
      <c r="M170" s="40" t="str">
        <f>Grinders!M170</f>
        <v/>
      </c>
      <c r="N170" s="40" t="str">
        <f t="shared" si="1"/>
        <v/>
      </c>
      <c r="O170" s="40" t="str">
        <f t="shared" si="2"/>
        <v/>
      </c>
      <c r="P170" s="40" t="str">
        <f t="shared" si="3"/>
        <v/>
      </c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40" t="str">
        <f>Grinders!A171</f>
        <v/>
      </c>
      <c r="B171" s="40" t="str">
        <f>Grinders!B171</f>
        <v/>
      </c>
      <c r="C171" s="40" t="str">
        <f>Grinders!C171</f>
        <v/>
      </c>
      <c r="D171" s="40" t="str">
        <f>Grinders!D171</f>
        <v/>
      </c>
      <c r="E171" s="40" t="str">
        <f>Grinders!E171</f>
        <v/>
      </c>
      <c r="F171" s="40" t="str">
        <f>Grinders!F171</f>
        <v/>
      </c>
      <c r="G171" s="40" t="str">
        <f>Grinders!G171</f>
        <v/>
      </c>
      <c r="H171" s="40" t="str">
        <f>Grinders!H171</f>
        <v/>
      </c>
      <c r="I171" s="40" t="str">
        <f>Grinders!I171</f>
        <v/>
      </c>
      <c r="J171" s="40" t="str">
        <f>Grinders!J171</f>
        <v/>
      </c>
      <c r="K171" s="40" t="str">
        <f>Grinders!K171</f>
        <v/>
      </c>
      <c r="L171" s="40" t="str">
        <f>Grinders!L171</f>
        <v/>
      </c>
      <c r="M171" s="40" t="str">
        <f>Grinders!M171</f>
        <v/>
      </c>
      <c r="N171" s="40" t="str">
        <f t="shared" si="1"/>
        <v/>
      </c>
      <c r="O171" s="40" t="str">
        <f t="shared" si="2"/>
        <v/>
      </c>
      <c r="P171" s="40" t="str">
        <f t="shared" si="3"/>
        <v/>
      </c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40" t="str">
        <f>Grinders!A172</f>
        <v/>
      </c>
      <c r="B172" s="40" t="str">
        <f>Grinders!B172</f>
        <v/>
      </c>
      <c r="C172" s="40" t="str">
        <f>Grinders!C172</f>
        <v/>
      </c>
      <c r="D172" s="40" t="str">
        <f>Grinders!D172</f>
        <v/>
      </c>
      <c r="E172" s="40" t="str">
        <f>Grinders!E172</f>
        <v/>
      </c>
      <c r="F172" s="40" t="str">
        <f>Grinders!F172</f>
        <v/>
      </c>
      <c r="G172" s="40" t="str">
        <f>Grinders!G172</f>
        <v/>
      </c>
      <c r="H172" s="40" t="str">
        <f>Grinders!H172</f>
        <v/>
      </c>
      <c r="I172" s="40" t="str">
        <f>Grinders!I172</f>
        <v/>
      </c>
      <c r="J172" s="40" t="str">
        <f>Grinders!J172</f>
        <v/>
      </c>
      <c r="K172" s="40" t="str">
        <f>Grinders!K172</f>
        <v/>
      </c>
      <c r="L172" s="40" t="str">
        <f>Grinders!L172</f>
        <v/>
      </c>
      <c r="M172" s="40" t="str">
        <f>Grinders!M172</f>
        <v/>
      </c>
      <c r="N172" s="40" t="str">
        <f t="shared" si="1"/>
        <v/>
      </c>
      <c r="O172" s="40" t="str">
        <f t="shared" si="2"/>
        <v/>
      </c>
      <c r="P172" s="40" t="str">
        <f t="shared" si="3"/>
        <v/>
      </c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40" t="str">
        <f>Grinders!A173</f>
        <v/>
      </c>
      <c r="B173" s="40" t="str">
        <f>Grinders!B173</f>
        <v/>
      </c>
      <c r="C173" s="40" t="str">
        <f>Grinders!C173</f>
        <v/>
      </c>
      <c r="D173" s="40" t="str">
        <f>Grinders!D173</f>
        <v/>
      </c>
      <c r="E173" s="40" t="str">
        <f>Grinders!E173</f>
        <v/>
      </c>
      <c r="F173" s="40" t="str">
        <f>Grinders!F173</f>
        <v/>
      </c>
      <c r="G173" s="40" t="str">
        <f>Grinders!G173</f>
        <v/>
      </c>
      <c r="H173" s="40" t="str">
        <f>Grinders!H173</f>
        <v/>
      </c>
      <c r="I173" s="40" t="str">
        <f>Grinders!I173</f>
        <v/>
      </c>
      <c r="J173" s="40" t="str">
        <f>Grinders!J173</f>
        <v/>
      </c>
      <c r="K173" s="40" t="str">
        <f>Grinders!K173</f>
        <v/>
      </c>
      <c r="L173" s="40" t="str">
        <f>Grinders!L173</f>
        <v/>
      </c>
      <c r="M173" s="40" t="str">
        <f>Grinders!M173</f>
        <v/>
      </c>
      <c r="N173" s="40" t="str">
        <f t="shared" si="1"/>
        <v/>
      </c>
      <c r="O173" s="40" t="str">
        <f t="shared" si="2"/>
        <v/>
      </c>
      <c r="P173" s="40" t="str">
        <f t="shared" si="3"/>
        <v/>
      </c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40" t="str">
        <f>Grinders!A174</f>
        <v/>
      </c>
      <c r="B174" s="40" t="str">
        <f>Grinders!B174</f>
        <v/>
      </c>
      <c r="C174" s="40" t="str">
        <f>Grinders!C174</f>
        <v/>
      </c>
      <c r="D174" s="40" t="str">
        <f>Grinders!D174</f>
        <v/>
      </c>
      <c r="E174" s="40" t="str">
        <f>Grinders!E174</f>
        <v/>
      </c>
      <c r="F174" s="40" t="str">
        <f>Grinders!F174</f>
        <v/>
      </c>
      <c r="G174" s="40" t="str">
        <f>Grinders!G174</f>
        <v/>
      </c>
      <c r="H174" s="40" t="str">
        <f>Grinders!H174</f>
        <v/>
      </c>
      <c r="I174" s="40" t="str">
        <f>Grinders!I174</f>
        <v/>
      </c>
      <c r="J174" s="40" t="str">
        <f>Grinders!J174</f>
        <v/>
      </c>
      <c r="K174" s="40" t="str">
        <f>Grinders!K174</f>
        <v/>
      </c>
      <c r="L174" s="40" t="str">
        <f>Grinders!L174</f>
        <v/>
      </c>
      <c r="M174" s="40" t="str">
        <f>Grinders!M174</f>
        <v/>
      </c>
      <c r="N174" s="40" t="str">
        <f t="shared" si="1"/>
        <v/>
      </c>
      <c r="O174" s="40" t="str">
        <f t="shared" si="2"/>
        <v/>
      </c>
      <c r="P174" s="40" t="str">
        <f t="shared" si="3"/>
        <v/>
      </c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40" t="str">
        <f>Grinders!A175</f>
        <v/>
      </c>
      <c r="B175" s="40" t="str">
        <f>Grinders!B175</f>
        <v/>
      </c>
      <c r="C175" s="40" t="str">
        <f>Grinders!C175</f>
        <v/>
      </c>
      <c r="D175" s="40" t="str">
        <f>Grinders!D175</f>
        <v/>
      </c>
      <c r="E175" s="40" t="str">
        <f>Grinders!E175</f>
        <v/>
      </c>
      <c r="F175" s="40" t="str">
        <f>Grinders!F175</f>
        <v/>
      </c>
      <c r="G175" s="40" t="str">
        <f>Grinders!G175</f>
        <v/>
      </c>
      <c r="H175" s="40" t="str">
        <f>Grinders!H175</f>
        <v/>
      </c>
      <c r="I175" s="40" t="str">
        <f>Grinders!I175</f>
        <v/>
      </c>
      <c r="J175" s="40" t="str">
        <f>Grinders!J175</f>
        <v/>
      </c>
      <c r="K175" s="40" t="str">
        <f>Grinders!K175</f>
        <v/>
      </c>
      <c r="L175" s="40" t="str">
        <f>Grinders!L175</f>
        <v/>
      </c>
      <c r="M175" s="40" t="str">
        <f>Grinders!M175</f>
        <v/>
      </c>
      <c r="N175" s="40" t="str">
        <f t="shared" si="1"/>
        <v/>
      </c>
      <c r="O175" s="40" t="str">
        <f t="shared" si="2"/>
        <v/>
      </c>
      <c r="P175" s="40" t="str">
        <f t="shared" si="3"/>
        <v/>
      </c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40" t="str">
        <f>Grinders!A176</f>
        <v/>
      </c>
      <c r="B176" s="40" t="str">
        <f>Grinders!B176</f>
        <v/>
      </c>
      <c r="C176" s="40" t="str">
        <f>Grinders!C176</f>
        <v/>
      </c>
      <c r="D176" s="40" t="str">
        <f>Grinders!D176</f>
        <v/>
      </c>
      <c r="E176" s="40" t="str">
        <f>Grinders!E176</f>
        <v/>
      </c>
      <c r="F176" s="40" t="str">
        <f>Grinders!F176</f>
        <v/>
      </c>
      <c r="G176" s="40" t="str">
        <f>Grinders!G176</f>
        <v/>
      </c>
      <c r="H176" s="40" t="str">
        <f>Grinders!H176</f>
        <v/>
      </c>
      <c r="I176" s="40" t="str">
        <f>Grinders!I176</f>
        <v/>
      </c>
      <c r="J176" s="40" t="str">
        <f>Grinders!J176</f>
        <v/>
      </c>
      <c r="K176" s="40" t="str">
        <f>Grinders!K176</f>
        <v/>
      </c>
      <c r="L176" s="40" t="str">
        <f>Grinders!L176</f>
        <v/>
      </c>
      <c r="M176" s="40" t="str">
        <f>Grinders!M176</f>
        <v/>
      </c>
      <c r="N176" s="40" t="str">
        <f t="shared" si="1"/>
        <v/>
      </c>
      <c r="O176" s="40" t="str">
        <f t="shared" si="2"/>
        <v/>
      </c>
      <c r="P176" s="40" t="str">
        <f t="shared" si="3"/>
        <v/>
      </c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40" t="str">
        <f>Grinders!A177</f>
        <v/>
      </c>
      <c r="B177" s="40" t="str">
        <f>Grinders!B177</f>
        <v/>
      </c>
      <c r="C177" s="40" t="str">
        <f>Grinders!C177</f>
        <v/>
      </c>
      <c r="D177" s="40" t="str">
        <f>Grinders!D177</f>
        <v/>
      </c>
      <c r="E177" s="40" t="str">
        <f>Grinders!E177</f>
        <v/>
      </c>
      <c r="F177" s="40" t="str">
        <f>Grinders!F177</f>
        <v/>
      </c>
      <c r="G177" s="40" t="str">
        <f>Grinders!G177</f>
        <v/>
      </c>
      <c r="H177" s="40" t="str">
        <f>Grinders!H177</f>
        <v/>
      </c>
      <c r="I177" s="40" t="str">
        <f>Grinders!I177</f>
        <v/>
      </c>
      <c r="J177" s="40" t="str">
        <f>Grinders!J177</f>
        <v/>
      </c>
      <c r="K177" s="40" t="str">
        <f>Grinders!K177</f>
        <v/>
      </c>
      <c r="L177" s="40" t="str">
        <f>Grinders!L177</f>
        <v/>
      </c>
      <c r="M177" s="40" t="str">
        <f>Grinders!M177</f>
        <v/>
      </c>
      <c r="N177" s="40" t="str">
        <f t="shared" si="1"/>
        <v/>
      </c>
      <c r="O177" s="40" t="str">
        <f t="shared" si="2"/>
        <v/>
      </c>
      <c r="P177" s="40" t="str">
        <f t="shared" si="3"/>
        <v/>
      </c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40" t="str">
        <f>Grinders!A178</f>
        <v/>
      </c>
      <c r="B178" s="40" t="str">
        <f>Grinders!B178</f>
        <v/>
      </c>
      <c r="C178" s="40" t="str">
        <f>Grinders!C178</f>
        <v/>
      </c>
      <c r="D178" s="40" t="str">
        <f>Grinders!D178</f>
        <v/>
      </c>
      <c r="E178" s="40" t="str">
        <f>Grinders!E178</f>
        <v/>
      </c>
      <c r="F178" s="40" t="str">
        <f>Grinders!F178</f>
        <v/>
      </c>
      <c r="G178" s="40" t="str">
        <f>Grinders!G178</f>
        <v/>
      </c>
      <c r="H178" s="40" t="str">
        <f>Grinders!H178</f>
        <v/>
      </c>
      <c r="I178" s="40" t="str">
        <f>Grinders!I178</f>
        <v/>
      </c>
      <c r="J178" s="40" t="str">
        <f>Grinders!J178</f>
        <v/>
      </c>
      <c r="K178" s="40" t="str">
        <f>Grinders!K178</f>
        <v/>
      </c>
      <c r="L178" s="40" t="str">
        <f>Grinders!L178</f>
        <v/>
      </c>
      <c r="M178" s="40" t="str">
        <f>Grinders!M178</f>
        <v/>
      </c>
      <c r="N178" s="40" t="str">
        <f t="shared" si="1"/>
        <v/>
      </c>
      <c r="O178" s="40" t="str">
        <f t="shared" si="2"/>
        <v/>
      </c>
      <c r="P178" s="40" t="str">
        <f t="shared" si="3"/>
        <v/>
      </c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40" t="str">
        <f>Grinders!A179</f>
        <v/>
      </c>
      <c r="B179" s="40" t="str">
        <f>Grinders!B179</f>
        <v/>
      </c>
      <c r="C179" s="40" t="str">
        <f>Grinders!C179</f>
        <v/>
      </c>
      <c r="D179" s="40" t="str">
        <f>Grinders!D179</f>
        <v/>
      </c>
      <c r="E179" s="40" t="str">
        <f>Grinders!E179</f>
        <v/>
      </c>
      <c r="F179" s="40" t="str">
        <f>Grinders!F179</f>
        <v/>
      </c>
      <c r="G179" s="40" t="str">
        <f>Grinders!G179</f>
        <v/>
      </c>
      <c r="H179" s="40" t="str">
        <f>Grinders!H179</f>
        <v/>
      </c>
      <c r="I179" s="40" t="str">
        <f>Grinders!I179</f>
        <v/>
      </c>
      <c r="J179" s="40" t="str">
        <f>Grinders!J179</f>
        <v/>
      </c>
      <c r="K179" s="40" t="str">
        <f>Grinders!K179</f>
        <v/>
      </c>
      <c r="L179" s="40" t="str">
        <f>Grinders!L179</f>
        <v/>
      </c>
      <c r="M179" s="40" t="str">
        <f>Grinders!M179</f>
        <v/>
      </c>
      <c r="N179" s="40" t="str">
        <f t="shared" si="1"/>
        <v/>
      </c>
      <c r="O179" s="40" t="str">
        <f t="shared" si="2"/>
        <v/>
      </c>
      <c r="P179" s="40" t="str">
        <f t="shared" si="3"/>
        <v/>
      </c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40" t="str">
        <f>Grinders!A180</f>
        <v/>
      </c>
      <c r="B180" s="40" t="str">
        <f>Grinders!B180</f>
        <v/>
      </c>
      <c r="C180" s="40" t="str">
        <f>Grinders!C180</f>
        <v/>
      </c>
      <c r="D180" s="40" t="str">
        <f>Grinders!D180</f>
        <v/>
      </c>
      <c r="E180" s="40" t="str">
        <f>Grinders!E180</f>
        <v/>
      </c>
      <c r="F180" s="40" t="str">
        <f>Grinders!F180</f>
        <v/>
      </c>
      <c r="G180" s="40" t="str">
        <f>Grinders!G180</f>
        <v/>
      </c>
      <c r="H180" s="40" t="str">
        <f>Grinders!H180</f>
        <v/>
      </c>
      <c r="I180" s="40" t="str">
        <f>Grinders!I180</f>
        <v/>
      </c>
      <c r="J180" s="40" t="str">
        <f>Grinders!J180</f>
        <v/>
      </c>
      <c r="K180" s="40" t="str">
        <f>Grinders!K180</f>
        <v/>
      </c>
      <c r="L180" s="40" t="str">
        <f>Grinders!L180</f>
        <v/>
      </c>
      <c r="M180" s="40" t="str">
        <f>Grinders!M180</f>
        <v/>
      </c>
      <c r="N180" s="40" t="str">
        <f t="shared" si="1"/>
        <v/>
      </c>
      <c r="O180" s="40" t="str">
        <f t="shared" si="2"/>
        <v/>
      </c>
      <c r="P180" s="40" t="str">
        <f t="shared" si="3"/>
        <v/>
      </c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40" t="str">
        <f>Grinders!A181</f>
        <v/>
      </c>
      <c r="B181" s="40" t="str">
        <f>Grinders!B181</f>
        <v/>
      </c>
      <c r="C181" s="40" t="str">
        <f>Grinders!C181</f>
        <v/>
      </c>
      <c r="D181" s="40" t="str">
        <f>Grinders!D181</f>
        <v/>
      </c>
      <c r="E181" s="40" t="str">
        <f>Grinders!E181</f>
        <v/>
      </c>
      <c r="F181" s="40" t="str">
        <f>Grinders!F181</f>
        <v/>
      </c>
      <c r="G181" s="40" t="str">
        <f>Grinders!G181</f>
        <v/>
      </c>
      <c r="H181" s="40" t="str">
        <f>Grinders!H181</f>
        <v/>
      </c>
      <c r="I181" s="40" t="str">
        <f>Grinders!I181</f>
        <v/>
      </c>
      <c r="J181" s="40" t="str">
        <f>Grinders!J181</f>
        <v/>
      </c>
      <c r="K181" s="40" t="str">
        <f>Grinders!K181</f>
        <v/>
      </c>
      <c r="L181" s="40" t="str">
        <f>Grinders!L181</f>
        <v/>
      </c>
      <c r="M181" s="40" t="str">
        <f>Grinders!M181</f>
        <v/>
      </c>
      <c r="N181" s="40" t="str">
        <f t="shared" si="1"/>
        <v/>
      </c>
      <c r="O181" s="40" t="str">
        <f t="shared" si="2"/>
        <v/>
      </c>
      <c r="P181" s="40" t="str">
        <f t="shared" si="3"/>
        <v/>
      </c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40" t="str">
        <f>Grinders!A182</f>
        <v/>
      </c>
      <c r="B182" s="40" t="str">
        <f>Grinders!B182</f>
        <v/>
      </c>
      <c r="C182" s="40" t="str">
        <f>Grinders!C182</f>
        <v/>
      </c>
      <c r="D182" s="40" t="str">
        <f>Grinders!D182</f>
        <v/>
      </c>
      <c r="E182" s="40" t="str">
        <f>Grinders!E182</f>
        <v/>
      </c>
      <c r="F182" s="40" t="str">
        <f>Grinders!F182</f>
        <v/>
      </c>
      <c r="G182" s="40" t="str">
        <f>Grinders!G182</f>
        <v/>
      </c>
      <c r="H182" s="40" t="str">
        <f>Grinders!H182</f>
        <v/>
      </c>
      <c r="I182" s="40" t="str">
        <f>Grinders!I182</f>
        <v/>
      </c>
      <c r="J182" s="40" t="str">
        <f>Grinders!J182</f>
        <v/>
      </c>
      <c r="K182" s="40" t="str">
        <f>Grinders!K182</f>
        <v/>
      </c>
      <c r="L182" s="40" t="str">
        <f>Grinders!L182</f>
        <v/>
      </c>
      <c r="M182" s="40" t="str">
        <f>Grinders!M182</f>
        <v/>
      </c>
      <c r="N182" s="40" t="str">
        <f t="shared" si="1"/>
        <v/>
      </c>
      <c r="O182" s="40" t="str">
        <f t="shared" si="2"/>
        <v/>
      </c>
      <c r="P182" s="40" t="str">
        <f t="shared" si="3"/>
        <v/>
      </c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40" t="str">
        <f>Grinders!A183</f>
        <v/>
      </c>
      <c r="B183" s="40" t="str">
        <f>Grinders!B183</f>
        <v/>
      </c>
      <c r="C183" s="40" t="str">
        <f>Grinders!C183</f>
        <v/>
      </c>
      <c r="D183" s="40" t="str">
        <f>Grinders!D183</f>
        <v/>
      </c>
      <c r="E183" s="40" t="str">
        <f>Grinders!E183</f>
        <v/>
      </c>
      <c r="F183" s="40" t="str">
        <f>Grinders!F183</f>
        <v/>
      </c>
      <c r="G183" s="40" t="str">
        <f>Grinders!G183</f>
        <v/>
      </c>
      <c r="H183" s="40" t="str">
        <f>Grinders!H183</f>
        <v/>
      </c>
      <c r="I183" s="40" t="str">
        <f>Grinders!I183</f>
        <v/>
      </c>
      <c r="J183" s="40" t="str">
        <f>Grinders!J183</f>
        <v/>
      </c>
      <c r="K183" s="40" t="str">
        <f>Grinders!K183</f>
        <v/>
      </c>
      <c r="L183" s="40" t="str">
        <f>Grinders!L183</f>
        <v/>
      </c>
      <c r="M183" s="40" t="str">
        <f>Grinders!M183</f>
        <v/>
      </c>
      <c r="N183" s="40" t="str">
        <f t="shared" si="1"/>
        <v/>
      </c>
      <c r="O183" s="40" t="str">
        <f t="shared" si="2"/>
        <v/>
      </c>
      <c r="P183" s="40" t="str">
        <f t="shared" si="3"/>
        <v/>
      </c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40" t="str">
        <f>Grinders!A184</f>
        <v/>
      </c>
      <c r="B184" s="40" t="str">
        <f>Grinders!B184</f>
        <v/>
      </c>
      <c r="C184" s="40" t="str">
        <f>Grinders!C184</f>
        <v/>
      </c>
      <c r="D184" s="40" t="str">
        <f>Grinders!D184</f>
        <v/>
      </c>
      <c r="E184" s="40" t="str">
        <f>Grinders!E184</f>
        <v/>
      </c>
      <c r="F184" s="40" t="str">
        <f>Grinders!F184</f>
        <v/>
      </c>
      <c r="G184" s="40" t="str">
        <f>Grinders!G184</f>
        <v/>
      </c>
      <c r="H184" s="40" t="str">
        <f>Grinders!H184</f>
        <v/>
      </c>
      <c r="I184" s="40" t="str">
        <f>Grinders!I184</f>
        <v/>
      </c>
      <c r="J184" s="40" t="str">
        <f>Grinders!J184</f>
        <v/>
      </c>
      <c r="K184" s="40" t="str">
        <f>Grinders!K184</f>
        <v/>
      </c>
      <c r="L184" s="40" t="str">
        <f>Grinders!L184</f>
        <v/>
      </c>
      <c r="M184" s="40" t="str">
        <f>Grinders!M184</f>
        <v/>
      </c>
      <c r="N184" s="40" t="str">
        <f t="shared" si="1"/>
        <v/>
      </c>
      <c r="O184" s="40" t="str">
        <f t="shared" si="2"/>
        <v/>
      </c>
      <c r="P184" s="40" t="str">
        <f t="shared" si="3"/>
        <v/>
      </c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40" t="str">
        <f>Grinders!A185</f>
        <v/>
      </c>
      <c r="B185" s="40" t="str">
        <f>Grinders!B185</f>
        <v/>
      </c>
      <c r="C185" s="40" t="str">
        <f>Grinders!C185</f>
        <v/>
      </c>
      <c r="D185" s="40" t="str">
        <f>Grinders!D185</f>
        <v/>
      </c>
      <c r="E185" s="40" t="str">
        <f>Grinders!E185</f>
        <v/>
      </c>
      <c r="F185" s="40" t="str">
        <f>Grinders!F185</f>
        <v/>
      </c>
      <c r="G185" s="40" t="str">
        <f>Grinders!G185</f>
        <v/>
      </c>
      <c r="H185" s="40" t="str">
        <f>Grinders!H185</f>
        <v/>
      </c>
      <c r="I185" s="40" t="str">
        <f>Grinders!I185</f>
        <v/>
      </c>
      <c r="J185" s="40" t="str">
        <f>Grinders!J185</f>
        <v/>
      </c>
      <c r="K185" s="40" t="str">
        <f>Grinders!K185</f>
        <v/>
      </c>
      <c r="L185" s="40" t="str">
        <f>Grinders!L185</f>
        <v/>
      </c>
      <c r="M185" s="40" t="str">
        <f>Grinders!M185</f>
        <v/>
      </c>
      <c r="N185" s="40" t="str">
        <f t="shared" si="1"/>
        <v/>
      </c>
      <c r="O185" s="40" t="str">
        <f t="shared" si="2"/>
        <v/>
      </c>
      <c r="P185" s="40" t="str">
        <f t="shared" si="3"/>
        <v/>
      </c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40" t="str">
        <f>Grinders!A186</f>
        <v/>
      </c>
      <c r="B186" s="40" t="str">
        <f>Grinders!B186</f>
        <v/>
      </c>
      <c r="C186" s="40" t="str">
        <f>Grinders!C186</f>
        <v/>
      </c>
      <c r="D186" s="40" t="str">
        <f>Grinders!D186</f>
        <v/>
      </c>
      <c r="E186" s="40" t="str">
        <f>Grinders!E186</f>
        <v/>
      </c>
      <c r="F186" s="40" t="str">
        <f>Grinders!F186</f>
        <v/>
      </c>
      <c r="G186" s="40" t="str">
        <f>Grinders!G186</f>
        <v/>
      </c>
      <c r="H186" s="40" t="str">
        <f>Grinders!H186</f>
        <v/>
      </c>
      <c r="I186" s="40" t="str">
        <f>Grinders!I186</f>
        <v/>
      </c>
      <c r="J186" s="40" t="str">
        <f>Grinders!J186</f>
        <v/>
      </c>
      <c r="K186" s="40" t="str">
        <f>Grinders!K186</f>
        <v/>
      </c>
      <c r="L186" s="40" t="str">
        <f>Grinders!L186</f>
        <v/>
      </c>
      <c r="M186" s="40" t="str">
        <f>Grinders!M186</f>
        <v/>
      </c>
      <c r="N186" s="40" t="str">
        <f t="shared" si="1"/>
        <v/>
      </c>
      <c r="O186" s="40" t="str">
        <f t="shared" si="2"/>
        <v/>
      </c>
      <c r="P186" s="40" t="str">
        <f t="shared" si="3"/>
        <v/>
      </c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40" t="str">
        <f>Grinders!A187</f>
        <v/>
      </c>
      <c r="B187" s="40" t="str">
        <f>Grinders!B187</f>
        <v/>
      </c>
      <c r="C187" s="40" t="str">
        <f>Grinders!C187</f>
        <v/>
      </c>
      <c r="D187" s="40" t="str">
        <f>Grinders!D187</f>
        <v/>
      </c>
      <c r="E187" s="40" t="str">
        <f>Grinders!E187</f>
        <v/>
      </c>
      <c r="F187" s="40" t="str">
        <f>Grinders!F187</f>
        <v/>
      </c>
      <c r="G187" s="40" t="str">
        <f>Grinders!G187</f>
        <v/>
      </c>
      <c r="H187" s="40" t="str">
        <f>Grinders!H187</f>
        <v/>
      </c>
      <c r="I187" s="40" t="str">
        <f>Grinders!I187</f>
        <v/>
      </c>
      <c r="J187" s="40" t="str">
        <f>Grinders!J187</f>
        <v/>
      </c>
      <c r="K187" s="40" t="str">
        <f>Grinders!K187</f>
        <v/>
      </c>
      <c r="L187" s="40" t="str">
        <f>Grinders!L187</f>
        <v/>
      </c>
      <c r="M187" s="40" t="str">
        <f>Grinders!M187</f>
        <v/>
      </c>
      <c r="N187" s="40" t="str">
        <f t="shared" si="1"/>
        <v/>
      </c>
      <c r="O187" s="40" t="str">
        <f t="shared" si="2"/>
        <v/>
      </c>
      <c r="P187" s="40" t="str">
        <f t="shared" si="3"/>
        <v/>
      </c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40" t="str">
        <f>Grinders!A188</f>
        <v/>
      </c>
      <c r="B188" s="40" t="str">
        <f>Grinders!B188</f>
        <v/>
      </c>
      <c r="C188" s="40" t="str">
        <f>Grinders!C188</f>
        <v/>
      </c>
      <c r="D188" s="40" t="str">
        <f>Grinders!D188</f>
        <v/>
      </c>
      <c r="E188" s="40" t="str">
        <f>Grinders!E188</f>
        <v/>
      </c>
      <c r="F188" s="40" t="str">
        <f>Grinders!F188</f>
        <v/>
      </c>
      <c r="G188" s="40" t="str">
        <f>Grinders!G188</f>
        <v/>
      </c>
      <c r="H188" s="40" t="str">
        <f>Grinders!H188</f>
        <v/>
      </c>
      <c r="I188" s="40" t="str">
        <f>Grinders!I188</f>
        <v/>
      </c>
      <c r="J188" s="40" t="str">
        <f>Grinders!J188</f>
        <v/>
      </c>
      <c r="K188" s="40" t="str">
        <f>Grinders!K188</f>
        <v/>
      </c>
      <c r="L188" s="40" t="str">
        <f>Grinders!L188</f>
        <v/>
      </c>
      <c r="M188" s="40" t="str">
        <f>Grinders!M188</f>
        <v/>
      </c>
      <c r="N188" s="40" t="str">
        <f t="shared" si="1"/>
        <v/>
      </c>
      <c r="O188" s="40" t="str">
        <f t="shared" si="2"/>
        <v/>
      </c>
      <c r="P188" s="40" t="str">
        <f t="shared" si="3"/>
        <v/>
      </c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40" t="str">
        <f>Grinders!A189</f>
        <v/>
      </c>
      <c r="B189" s="40" t="str">
        <f>Grinders!B189</f>
        <v/>
      </c>
      <c r="C189" s="40" t="str">
        <f>Grinders!C189</f>
        <v/>
      </c>
      <c r="D189" s="40" t="str">
        <f>Grinders!D189</f>
        <v/>
      </c>
      <c r="E189" s="40" t="str">
        <f>Grinders!E189</f>
        <v/>
      </c>
      <c r="F189" s="40" t="str">
        <f>Grinders!F189</f>
        <v/>
      </c>
      <c r="G189" s="40" t="str">
        <f>Grinders!G189</f>
        <v/>
      </c>
      <c r="H189" s="40" t="str">
        <f>Grinders!H189</f>
        <v/>
      </c>
      <c r="I189" s="40" t="str">
        <f>Grinders!I189</f>
        <v/>
      </c>
      <c r="J189" s="40" t="str">
        <f>Grinders!J189</f>
        <v/>
      </c>
      <c r="K189" s="40" t="str">
        <f>Grinders!K189</f>
        <v/>
      </c>
      <c r="L189" s="40" t="str">
        <f>Grinders!L189</f>
        <v/>
      </c>
      <c r="M189" s="40" t="str">
        <f>Grinders!M189</f>
        <v/>
      </c>
      <c r="N189" s="40" t="str">
        <f t="shared" si="1"/>
        <v/>
      </c>
      <c r="O189" s="40" t="str">
        <f t="shared" si="2"/>
        <v/>
      </c>
      <c r="P189" s="40" t="str">
        <f t="shared" si="3"/>
        <v/>
      </c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40" t="str">
        <f>Grinders!A190</f>
        <v/>
      </c>
      <c r="B190" s="40" t="str">
        <f>Grinders!B190</f>
        <v/>
      </c>
      <c r="C190" s="40" t="str">
        <f>Grinders!C190</f>
        <v/>
      </c>
      <c r="D190" s="40" t="str">
        <f>Grinders!D190</f>
        <v/>
      </c>
      <c r="E190" s="40" t="str">
        <f>Grinders!E190</f>
        <v/>
      </c>
      <c r="F190" s="40" t="str">
        <f>Grinders!F190</f>
        <v/>
      </c>
      <c r="G190" s="40" t="str">
        <f>Grinders!G190</f>
        <v/>
      </c>
      <c r="H190" s="40" t="str">
        <f>Grinders!H190</f>
        <v/>
      </c>
      <c r="I190" s="40" t="str">
        <f>Grinders!I190</f>
        <v/>
      </c>
      <c r="J190" s="40" t="str">
        <f>Grinders!J190</f>
        <v/>
      </c>
      <c r="K190" s="40" t="str">
        <f>Grinders!K190</f>
        <v/>
      </c>
      <c r="L190" s="40" t="str">
        <f>Grinders!L190</f>
        <v/>
      </c>
      <c r="M190" s="40" t="str">
        <f>Grinders!M190</f>
        <v/>
      </c>
      <c r="N190" s="40" t="str">
        <f t="shared" si="1"/>
        <v/>
      </c>
      <c r="O190" s="40" t="str">
        <f t="shared" si="2"/>
        <v/>
      </c>
      <c r="P190" s="40" t="str">
        <f t="shared" si="3"/>
        <v/>
      </c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40" t="str">
        <f>Grinders!A191</f>
        <v/>
      </c>
      <c r="B191" s="40" t="str">
        <f>Grinders!B191</f>
        <v/>
      </c>
      <c r="C191" s="40" t="str">
        <f>Grinders!C191</f>
        <v/>
      </c>
      <c r="D191" s="40" t="str">
        <f>Grinders!D191</f>
        <v/>
      </c>
      <c r="E191" s="40" t="str">
        <f>Grinders!E191</f>
        <v/>
      </c>
      <c r="F191" s="40" t="str">
        <f>Grinders!F191</f>
        <v/>
      </c>
      <c r="G191" s="40" t="str">
        <f>Grinders!G191</f>
        <v/>
      </c>
      <c r="H191" s="40" t="str">
        <f>Grinders!H191</f>
        <v/>
      </c>
      <c r="I191" s="40" t="str">
        <f>Grinders!I191</f>
        <v/>
      </c>
      <c r="J191" s="40" t="str">
        <f>Grinders!J191</f>
        <v/>
      </c>
      <c r="K191" s="40" t="str">
        <f>Grinders!K191</f>
        <v/>
      </c>
      <c r="L191" s="40" t="str">
        <f>Grinders!L191</f>
        <v/>
      </c>
      <c r="M191" s="40" t="str">
        <f>Grinders!M191</f>
        <v/>
      </c>
      <c r="N191" s="40" t="str">
        <f t="shared" si="1"/>
        <v/>
      </c>
      <c r="O191" s="40" t="str">
        <f t="shared" si="2"/>
        <v/>
      </c>
      <c r="P191" s="40" t="str">
        <f t="shared" si="3"/>
        <v/>
      </c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40" t="str">
        <f>Grinders!A192</f>
        <v/>
      </c>
      <c r="B192" s="40" t="str">
        <f>Grinders!B192</f>
        <v/>
      </c>
      <c r="C192" s="40" t="str">
        <f>Grinders!C192</f>
        <v/>
      </c>
      <c r="D192" s="40" t="str">
        <f>Grinders!D192</f>
        <v/>
      </c>
      <c r="E192" s="40" t="str">
        <f>Grinders!E192</f>
        <v/>
      </c>
      <c r="F192" s="40" t="str">
        <f>Grinders!F192</f>
        <v/>
      </c>
      <c r="G192" s="40" t="str">
        <f>Grinders!G192</f>
        <v/>
      </c>
      <c r="H192" s="40" t="str">
        <f>Grinders!H192</f>
        <v/>
      </c>
      <c r="I192" s="40" t="str">
        <f>Grinders!I192</f>
        <v/>
      </c>
      <c r="J192" s="40" t="str">
        <f>Grinders!J192</f>
        <v/>
      </c>
      <c r="K192" s="40" t="str">
        <f>Grinders!K192</f>
        <v/>
      </c>
      <c r="L192" s="40" t="str">
        <f>Grinders!L192</f>
        <v/>
      </c>
      <c r="M192" s="40" t="str">
        <f>Grinders!M192</f>
        <v/>
      </c>
      <c r="N192" s="40" t="str">
        <f t="shared" si="1"/>
        <v/>
      </c>
      <c r="O192" s="40" t="str">
        <f t="shared" si="2"/>
        <v/>
      </c>
      <c r="P192" s="40" t="str">
        <f t="shared" si="3"/>
        <v/>
      </c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40" t="str">
        <f>Grinders!A193</f>
        <v/>
      </c>
      <c r="B193" s="40" t="str">
        <f>Grinders!B193</f>
        <v/>
      </c>
      <c r="C193" s="40" t="str">
        <f>Grinders!C193</f>
        <v/>
      </c>
      <c r="D193" s="40" t="str">
        <f>Grinders!D193</f>
        <v/>
      </c>
      <c r="E193" s="40" t="str">
        <f>Grinders!E193</f>
        <v/>
      </c>
      <c r="F193" s="40" t="str">
        <f>Grinders!F193</f>
        <v/>
      </c>
      <c r="G193" s="40" t="str">
        <f>Grinders!G193</f>
        <v/>
      </c>
      <c r="H193" s="40" t="str">
        <f>Grinders!H193</f>
        <v/>
      </c>
      <c r="I193" s="40" t="str">
        <f>Grinders!I193</f>
        <v/>
      </c>
      <c r="J193" s="40" t="str">
        <f>Grinders!J193</f>
        <v/>
      </c>
      <c r="K193" s="40" t="str">
        <f>Grinders!K193</f>
        <v/>
      </c>
      <c r="L193" s="40" t="str">
        <f>Grinders!L193</f>
        <v/>
      </c>
      <c r="M193" s="40" t="str">
        <f>Grinders!M193</f>
        <v/>
      </c>
      <c r="N193" s="40" t="str">
        <f t="shared" si="1"/>
        <v/>
      </c>
      <c r="O193" s="40" t="str">
        <f t="shared" si="2"/>
        <v/>
      </c>
      <c r="P193" s="40" t="str">
        <f t="shared" si="3"/>
        <v/>
      </c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40" t="str">
        <f>Grinders!A194</f>
        <v/>
      </c>
      <c r="B194" s="40" t="str">
        <f>Grinders!B194</f>
        <v/>
      </c>
      <c r="C194" s="40" t="str">
        <f>Grinders!C194</f>
        <v/>
      </c>
      <c r="D194" s="40" t="str">
        <f>Grinders!D194</f>
        <v/>
      </c>
      <c r="E194" s="40" t="str">
        <f>Grinders!E194</f>
        <v/>
      </c>
      <c r="F194" s="40" t="str">
        <f>Grinders!F194</f>
        <v/>
      </c>
      <c r="G194" s="40" t="str">
        <f>Grinders!G194</f>
        <v/>
      </c>
      <c r="H194" s="40" t="str">
        <f>Grinders!H194</f>
        <v/>
      </c>
      <c r="I194" s="40" t="str">
        <f>Grinders!I194</f>
        <v/>
      </c>
      <c r="J194" s="40" t="str">
        <f>Grinders!J194</f>
        <v/>
      </c>
      <c r="K194" s="40" t="str">
        <f>Grinders!K194</f>
        <v/>
      </c>
      <c r="L194" s="40" t="str">
        <f>Grinders!L194</f>
        <v/>
      </c>
      <c r="M194" s="40" t="str">
        <f>Grinders!M194</f>
        <v/>
      </c>
      <c r="N194" s="40" t="str">
        <f t="shared" si="1"/>
        <v/>
      </c>
      <c r="O194" s="40" t="str">
        <f t="shared" si="2"/>
        <v/>
      </c>
      <c r="P194" s="40" t="str">
        <f t="shared" si="3"/>
        <v/>
      </c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40" t="str">
        <f>Grinders!A195</f>
        <v/>
      </c>
      <c r="B195" s="40" t="str">
        <f>Grinders!B195</f>
        <v/>
      </c>
      <c r="C195" s="40" t="str">
        <f>Grinders!C195</f>
        <v/>
      </c>
      <c r="D195" s="40" t="str">
        <f>Grinders!D195</f>
        <v/>
      </c>
      <c r="E195" s="40" t="str">
        <f>Grinders!E195</f>
        <v/>
      </c>
      <c r="F195" s="40" t="str">
        <f>Grinders!F195</f>
        <v/>
      </c>
      <c r="G195" s="40" t="str">
        <f>Grinders!G195</f>
        <v/>
      </c>
      <c r="H195" s="40" t="str">
        <f>Grinders!H195</f>
        <v/>
      </c>
      <c r="I195" s="40" t="str">
        <f>Grinders!I195</f>
        <v/>
      </c>
      <c r="J195" s="40" t="str">
        <f>Grinders!J195</f>
        <v/>
      </c>
      <c r="K195" s="40" t="str">
        <f>Grinders!K195</f>
        <v/>
      </c>
      <c r="L195" s="40" t="str">
        <f>Grinders!L195</f>
        <v/>
      </c>
      <c r="M195" s="40" t="str">
        <f>Grinders!M195</f>
        <v/>
      </c>
      <c r="N195" s="40" t="str">
        <f t="shared" si="1"/>
        <v/>
      </c>
      <c r="O195" s="40" t="str">
        <f t="shared" si="2"/>
        <v/>
      </c>
      <c r="P195" s="40" t="str">
        <f t="shared" si="3"/>
        <v/>
      </c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40" t="str">
        <f>Grinders!A196</f>
        <v/>
      </c>
      <c r="B196" s="40" t="str">
        <f>Grinders!B196</f>
        <v/>
      </c>
      <c r="C196" s="40" t="str">
        <f>Grinders!C196</f>
        <v/>
      </c>
      <c r="D196" s="40" t="str">
        <f>Grinders!D196</f>
        <v/>
      </c>
      <c r="E196" s="40" t="str">
        <f>Grinders!E196</f>
        <v/>
      </c>
      <c r="F196" s="40" t="str">
        <f>Grinders!F196</f>
        <v/>
      </c>
      <c r="G196" s="40" t="str">
        <f>Grinders!G196</f>
        <v/>
      </c>
      <c r="H196" s="40" t="str">
        <f>Grinders!H196</f>
        <v/>
      </c>
      <c r="I196" s="40" t="str">
        <f>Grinders!I196</f>
        <v/>
      </c>
      <c r="J196" s="40" t="str">
        <f>Grinders!J196</f>
        <v/>
      </c>
      <c r="K196" s="40" t="str">
        <f>Grinders!K196</f>
        <v/>
      </c>
      <c r="L196" s="40" t="str">
        <f>Grinders!L196</f>
        <v/>
      </c>
      <c r="M196" s="40" t="str">
        <f>Grinders!M196</f>
        <v/>
      </c>
      <c r="N196" s="40" t="str">
        <f t="shared" si="1"/>
        <v/>
      </c>
      <c r="O196" s="40" t="str">
        <f t="shared" si="2"/>
        <v/>
      </c>
      <c r="P196" s="40" t="str">
        <f t="shared" si="3"/>
        <v/>
      </c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40" t="str">
        <f>Grinders!A197</f>
        <v/>
      </c>
      <c r="B197" s="40" t="str">
        <f>Grinders!B197</f>
        <v/>
      </c>
      <c r="C197" s="40" t="str">
        <f>Grinders!C197</f>
        <v/>
      </c>
      <c r="D197" s="40" t="str">
        <f>Grinders!D197</f>
        <v/>
      </c>
      <c r="E197" s="40" t="str">
        <f>Grinders!E197</f>
        <v/>
      </c>
      <c r="F197" s="40" t="str">
        <f>Grinders!F197</f>
        <v/>
      </c>
      <c r="G197" s="40" t="str">
        <f>Grinders!G197</f>
        <v/>
      </c>
      <c r="H197" s="40" t="str">
        <f>Grinders!H197</f>
        <v/>
      </c>
      <c r="I197" s="40" t="str">
        <f>Grinders!I197</f>
        <v/>
      </c>
      <c r="J197" s="40" t="str">
        <f>Grinders!J197</f>
        <v/>
      </c>
      <c r="K197" s="40" t="str">
        <f>Grinders!K197</f>
        <v/>
      </c>
      <c r="L197" s="40" t="str">
        <f>Grinders!L197</f>
        <v/>
      </c>
      <c r="M197" s="40" t="str">
        <f>Grinders!M197</f>
        <v/>
      </c>
      <c r="N197" s="40" t="str">
        <f t="shared" si="1"/>
        <v/>
      </c>
      <c r="O197" s="40" t="str">
        <f t="shared" si="2"/>
        <v/>
      </c>
      <c r="P197" s="40" t="str">
        <f t="shared" si="3"/>
        <v/>
      </c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40" t="str">
        <f>Grinders!A198</f>
        <v/>
      </c>
      <c r="B198" s="40" t="str">
        <f>Grinders!B198</f>
        <v/>
      </c>
      <c r="C198" s="40" t="str">
        <f>Grinders!C198</f>
        <v/>
      </c>
      <c r="D198" s="40" t="str">
        <f>Grinders!D198</f>
        <v/>
      </c>
      <c r="E198" s="40" t="str">
        <f>Grinders!E198</f>
        <v/>
      </c>
      <c r="F198" s="40" t="str">
        <f>Grinders!F198</f>
        <v/>
      </c>
      <c r="G198" s="40" t="str">
        <f>Grinders!G198</f>
        <v/>
      </c>
      <c r="H198" s="40" t="str">
        <f>Grinders!H198</f>
        <v/>
      </c>
      <c r="I198" s="40" t="str">
        <f>Grinders!I198</f>
        <v/>
      </c>
      <c r="J198" s="40" t="str">
        <f>Grinders!J198</f>
        <v/>
      </c>
      <c r="K198" s="40" t="str">
        <f>Grinders!K198</f>
        <v/>
      </c>
      <c r="L198" s="40" t="str">
        <f>Grinders!L198</f>
        <v/>
      </c>
      <c r="M198" s="40" t="str">
        <f>Grinders!M198</f>
        <v/>
      </c>
      <c r="N198" s="40" t="str">
        <f t="shared" si="1"/>
        <v/>
      </c>
      <c r="O198" s="40" t="str">
        <f t="shared" si="2"/>
        <v/>
      </c>
      <c r="P198" s="40" t="str">
        <f t="shared" si="3"/>
        <v/>
      </c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40" t="str">
        <f>Grinders!A199</f>
        <v/>
      </c>
      <c r="B199" s="40" t="str">
        <f>Grinders!B199</f>
        <v/>
      </c>
      <c r="C199" s="40" t="str">
        <f>Grinders!C199</f>
        <v/>
      </c>
      <c r="D199" s="40" t="str">
        <f>Grinders!D199</f>
        <v/>
      </c>
      <c r="E199" s="40" t="str">
        <f>Grinders!E199</f>
        <v/>
      </c>
      <c r="F199" s="40" t="str">
        <f>Grinders!F199</f>
        <v/>
      </c>
      <c r="G199" s="40" t="str">
        <f>Grinders!G199</f>
        <v/>
      </c>
      <c r="H199" s="40" t="str">
        <f>Grinders!H199</f>
        <v/>
      </c>
      <c r="I199" s="40" t="str">
        <f>Grinders!I199</f>
        <v/>
      </c>
      <c r="J199" s="40" t="str">
        <f>Grinders!J199</f>
        <v/>
      </c>
      <c r="K199" s="40" t="str">
        <f>Grinders!K199</f>
        <v/>
      </c>
      <c r="L199" s="40" t="str">
        <f>Grinders!L199</f>
        <v/>
      </c>
      <c r="M199" s="40" t="str">
        <f>Grinders!M199</f>
        <v/>
      </c>
      <c r="N199" s="40" t="str">
        <f t="shared" si="1"/>
        <v/>
      </c>
      <c r="O199" s="40" t="str">
        <f t="shared" si="2"/>
        <v/>
      </c>
      <c r="P199" s="40" t="str">
        <f t="shared" si="3"/>
        <v/>
      </c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40" t="str">
        <f>Grinders!A200</f>
        <v/>
      </c>
      <c r="B200" s="40" t="str">
        <f>Grinders!B200</f>
        <v/>
      </c>
      <c r="C200" s="40" t="str">
        <f>Grinders!C200</f>
        <v/>
      </c>
      <c r="D200" s="40" t="str">
        <f>Grinders!D200</f>
        <v/>
      </c>
      <c r="E200" s="40" t="str">
        <f>Grinders!E200</f>
        <v/>
      </c>
      <c r="F200" s="40" t="str">
        <f>Grinders!F200</f>
        <v/>
      </c>
      <c r="G200" s="40" t="str">
        <f>Grinders!G200</f>
        <v/>
      </c>
      <c r="H200" s="40" t="str">
        <f>Grinders!H200</f>
        <v/>
      </c>
      <c r="I200" s="40" t="str">
        <f>Grinders!I200</f>
        <v/>
      </c>
      <c r="J200" s="40" t="str">
        <f>Grinders!J200</f>
        <v/>
      </c>
      <c r="K200" s="40" t="str">
        <f>Grinders!K200</f>
        <v/>
      </c>
      <c r="L200" s="40" t="str">
        <f>Grinders!L200</f>
        <v/>
      </c>
      <c r="M200" s="40" t="str">
        <f>Grinders!M200</f>
        <v/>
      </c>
      <c r="N200" s="40" t="str">
        <f t="shared" si="1"/>
        <v/>
      </c>
      <c r="O200" s="40" t="str">
        <f t="shared" si="2"/>
        <v/>
      </c>
      <c r="P200" s="40" t="str">
        <f t="shared" si="3"/>
        <v/>
      </c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40" t="str">
        <f>Grinders!A201</f>
        <v/>
      </c>
      <c r="B201" s="40" t="str">
        <f>Grinders!B201</f>
        <v/>
      </c>
      <c r="C201" s="40" t="str">
        <f>Grinders!C201</f>
        <v/>
      </c>
      <c r="D201" s="40" t="str">
        <f>Grinders!D201</f>
        <v/>
      </c>
      <c r="E201" s="40" t="str">
        <f>Grinders!E201</f>
        <v/>
      </c>
      <c r="F201" s="40" t="str">
        <f>Grinders!F201</f>
        <v/>
      </c>
      <c r="G201" s="40" t="str">
        <f>Grinders!G201</f>
        <v/>
      </c>
      <c r="H201" s="40" t="str">
        <f>Grinders!H201</f>
        <v/>
      </c>
      <c r="I201" s="40" t="str">
        <f>Grinders!I201</f>
        <v/>
      </c>
      <c r="J201" s="40" t="str">
        <f>Grinders!J201</f>
        <v/>
      </c>
      <c r="K201" s="40" t="str">
        <f>Grinders!K201</f>
        <v/>
      </c>
      <c r="L201" s="40" t="str">
        <f>Grinders!L201</f>
        <v/>
      </c>
      <c r="M201" s="40" t="str">
        <f>Grinders!M201</f>
        <v/>
      </c>
      <c r="N201" s="40" t="str">
        <f t="shared" si="1"/>
        <v/>
      </c>
      <c r="O201" s="40" t="str">
        <f t="shared" si="2"/>
        <v/>
      </c>
      <c r="P201" s="40" t="str">
        <f t="shared" si="3"/>
        <v/>
      </c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</row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40" t="s">
        <v>282</v>
      </c>
      <c r="B1" s="40" t="s">
        <v>275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22"/>
      <c r="B221" s="22"/>
      <c r="C221" s="22"/>
      <c r="D221" s="22"/>
      <c r="E221" s="22"/>
      <c r="F221" s="22"/>
    </row>
    <row r="222" ht="15.75" customHeight="1">
      <c r="A222" s="22"/>
      <c r="B222" s="22"/>
      <c r="C222" s="22"/>
      <c r="D222" s="22"/>
      <c r="E222" s="22"/>
      <c r="F222" s="22"/>
    </row>
    <row r="223" ht="15.75" customHeight="1">
      <c r="A223" s="22"/>
      <c r="B223" s="22"/>
      <c r="C223" s="22"/>
      <c r="D223" s="22"/>
      <c r="E223" s="22"/>
      <c r="F223" s="22"/>
    </row>
    <row r="224" ht="15.75" customHeight="1">
      <c r="A224" s="22"/>
      <c r="B224" s="22"/>
      <c r="C224" s="22"/>
      <c r="D224" s="22"/>
      <c r="E224" s="22"/>
      <c r="F224" s="22"/>
    </row>
    <row r="225" ht="15.75" customHeight="1">
      <c r="A225" s="22"/>
      <c r="B225" s="22"/>
      <c r="C225" s="22"/>
      <c r="D225" s="22"/>
      <c r="E225" s="22"/>
      <c r="F225" s="22"/>
    </row>
    <row r="226" ht="15.75" customHeight="1">
      <c r="A226" s="22"/>
      <c r="B226" s="22"/>
      <c r="C226" s="22"/>
      <c r="D226" s="22"/>
      <c r="E226" s="22"/>
      <c r="F226" s="22"/>
    </row>
    <row r="227" ht="15.75" customHeight="1">
      <c r="A227" s="22"/>
      <c r="B227" s="22"/>
      <c r="C227" s="22"/>
      <c r="D227" s="22"/>
      <c r="E227" s="22"/>
      <c r="F227" s="22"/>
    </row>
    <row r="228" ht="15.75" customHeight="1">
      <c r="A228" s="22"/>
      <c r="B228" s="22"/>
      <c r="C228" s="22"/>
      <c r="D228" s="22"/>
      <c r="E228" s="22"/>
      <c r="F228" s="22"/>
    </row>
    <row r="229" ht="15.75" customHeight="1">
      <c r="A229" s="22"/>
      <c r="B229" s="22"/>
      <c r="C229" s="22"/>
      <c r="D229" s="22"/>
      <c r="E229" s="22"/>
      <c r="F229" s="22"/>
    </row>
    <row r="230" ht="15.75" customHeight="1">
      <c r="A230" s="22"/>
      <c r="B230" s="22"/>
      <c r="C230" s="22"/>
      <c r="D230" s="22"/>
      <c r="E230" s="22"/>
      <c r="F230" s="22"/>
    </row>
    <row r="231" ht="15.75" customHeight="1">
      <c r="A231" s="22"/>
      <c r="B231" s="22"/>
      <c r="C231" s="22"/>
      <c r="D231" s="22"/>
      <c r="E231" s="22"/>
      <c r="F231" s="22"/>
    </row>
    <row r="232" ht="15.75" customHeight="1">
      <c r="A232" s="22"/>
      <c r="B232" s="22"/>
      <c r="C232" s="22"/>
      <c r="D232" s="22"/>
      <c r="E232" s="22"/>
      <c r="F232" s="22"/>
    </row>
    <row r="233" ht="15.75" customHeight="1">
      <c r="A233" s="22"/>
      <c r="B233" s="22"/>
      <c r="C233" s="22"/>
      <c r="D233" s="22"/>
      <c r="E233" s="22"/>
      <c r="F233" s="22"/>
    </row>
    <row r="234" ht="15.75" customHeight="1">
      <c r="A234" s="22"/>
      <c r="B234" s="22"/>
      <c r="C234" s="22"/>
      <c r="D234" s="22"/>
      <c r="E234" s="22"/>
      <c r="F234" s="22"/>
    </row>
    <row r="235" ht="15.75" customHeight="1">
      <c r="A235" s="22"/>
      <c r="B235" s="22"/>
      <c r="C235" s="22"/>
      <c r="D235" s="22"/>
      <c r="E235" s="22"/>
      <c r="F235" s="22"/>
    </row>
    <row r="236" ht="15.75" customHeight="1">
      <c r="A236" s="22"/>
      <c r="B236" s="22"/>
      <c r="C236" s="22"/>
      <c r="D236" s="22"/>
      <c r="E236" s="22"/>
      <c r="F236" s="22"/>
    </row>
    <row r="237" ht="15.75" customHeight="1">
      <c r="A237" s="22"/>
      <c r="B237" s="22"/>
      <c r="C237" s="22"/>
      <c r="D237" s="22"/>
      <c r="E237" s="22"/>
      <c r="F237" s="22"/>
    </row>
    <row r="238" ht="15.75" customHeight="1">
      <c r="A238" s="22"/>
      <c r="B238" s="22"/>
      <c r="C238" s="22"/>
      <c r="D238" s="22"/>
      <c r="E238" s="22"/>
      <c r="F238" s="22"/>
    </row>
    <row r="239" ht="15.75" customHeight="1">
      <c r="A239" s="22"/>
      <c r="B239" s="22"/>
      <c r="C239" s="22"/>
      <c r="D239" s="22"/>
      <c r="E239" s="22"/>
      <c r="F239" s="22"/>
    </row>
    <row r="240" ht="15.75" customHeight="1">
      <c r="A240" s="22"/>
      <c r="B240" s="22"/>
      <c r="C240" s="22"/>
      <c r="D240" s="22"/>
      <c r="E240" s="22"/>
      <c r="F240" s="22"/>
    </row>
    <row r="241" ht="15.75" customHeight="1">
      <c r="A241" s="22"/>
      <c r="B241" s="22"/>
      <c r="C241" s="22"/>
      <c r="D241" s="22"/>
      <c r="E241" s="22"/>
      <c r="F241" s="22"/>
    </row>
    <row r="242" ht="15.75" customHeight="1">
      <c r="A242" s="22"/>
      <c r="B242" s="22"/>
      <c r="C242" s="22"/>
      <c r="D242" s="22"/>
      <c r="E242" s="22"/>
      <c r="F242" s="22"/>
    </row>
    <row r="243" ht="15.75" customHeight="1">
      <c r="A243" s="22"/>
      <c r="B243" s="22"/>
      <c r="C243" s="22"/>
      <c r="D243" s="22"/>
      <c r="E243" s="22"/>
      <c r="F243" s="22"/>
    </row>
    <row r="244" ht="15.75" customHeight="1">
      <c r="A244" s="22"/>
      <c r="B244" s="22"/>
      <c r="C244" s="22"/>
      <c r="D244" s="22"/>
      <c r="E244" s="22"/>
      <c r="F244" s="22"/>
    </row>
    <row r="245" ht="15.75" customHeight="1">
      <c r="A245" s="22"/>
      <c r="B245" s="22"/>
      <c r="C245" s="22"/>
      <c r="D245" s="22"/>
      <c r="E245" s="22"/>
      <c r="F245" s="22"/>
    </row>
    <row r="246" ht="15.75" customHeight="1">
      <c r="A246" s="22"/>
      <c r="B246" s="22"/>
      <c r="C246" s="22"/>
      <c r="D246" s="22"/>
      <c r="E246" s="22"/>
      <c r="F246" s="22"/>
    </row>
    <row r="247" ht="15.75" customHeight="1">
      <c r="A247" s="22"/>
      <c r="B247" s="22"/>
      <c r="C247" s="22"/>
      <c r="D247" s="22"/>
      <c r="E247" s="22"/>
      <c r="F247" s="22"/>
    </row>
    <row r="248" ht="15.75" customHeight="1">
      <c r="A248" s="22"/>
      <c r="B248" s="22"/>
      <c r="C248" s="22"/>
      <c r="D248" s="22"/>
      <c r="E248" s="22"/>
      <c r="F248" s="22"/>
    </row>
    <row r="249" ht="15.75" customHeight="1">
      <c r="A249" s="22"/>
      <c r="B249" s="22"/>
      <c r="C249" s="22"/>
      <c r="D249" s="22"/>
      <c r="E249" s="22"/>
      <c r="F249" s="22"/>
    </row>
    <row r="250" ht="15.75" customHeight="1">
      <c r="A250" s="22"/>
      <c r="B250" s="22"/>
      <c r="C250" s="22"/>
      <c r="D250" s="22"/>
      <c r="E250" s="22"/>
      <c r="F250" s="22"/>
    </row>
    <row r="251" ht="15.75" customHeight="1">
      <c r="A251" s="22"/>
      <c r="B251" s="22"/>
      <c r="C251" s="22"/>
      <c r="D251" s="22"/>
      <c r="E251" s="22"/>
      <c r="F251" s="22"/>
    </row>
    <row r="252" ht="15.75" customHeight="1">
      <c r="A252" s="22"/>
      <c r="B252" s="22"/>
      <c r="C252" s="22"/>
      <c r="D252" s="22"/>
      <c r="E252" s="22"/>
      <c r="F252" s="22"/>
    </row>
    <row r="253" ht="15.75" customHeight="1">
      <c r="A253" s="22"/>
      <c r="B253" s="22"/>
      <c r="C253" s="22"/>
      <c r="D253" s="22"/>
      <c r="E253" s="22"/>
      <c r="F253" s="22"/>
    </row>
    <row r="254" ht="15.75" customHeight="1">
      <c r="A254" s="22"/>
      <c r="B254" s="22"/>
      <c r="C254" s="22"/>
      <c r="D254" s="22"/>
      <c r="E254" s="22"/>
      <c r="F254" s="22"/>
    </row>
    <row r="255" ht="15.75" customHeight="1">
      <c r="A255" s="22"/>
      <c r="B255" s="22"/>
      <c r="C255" s="22"/>
      <c r="D255" s="22"/>
      <c r="E255" s="22"/>
      <c r="F255" s="22"/>
    </row>
    <row r="256" ht="15.75" customHeight="1">
      <c r="A256" s="22"/>
      <c r="B256" s="22"/>
      <c r="C256" s="22"/>
      <c r="D256" s="22"/>
      <c r="E256" s="22"/>
      <c r="F256" s="22"/>
    </row>
    <row r="257" ht="15.75" customHeight="1">
      <c r="A257" s="22"/>
      <c r="B257" s="22"/>
      <c r="C257" s="22"/>
      <c r="D257" s="22"/>
      <c r="E257" s="22"/>
      <c r="F257" s="22"/>
    </row>
    <row r="258" ht="15.75" customHeight="1">
      <c r="A258" s="22"/>
      <c r="B258" s="22"/>
      <c r="C258" s="22"/>
      <c r="D258" s="22"/>
      <c r="E258" s="22"/>
      <c r="F258" s="22"/>
    </row>
    <row r="259" ht="15.75" customHeight="1">
      <c r="A259" s="22"/>
      <c r="B259" s="22"/>
      <c r="C259" s="22"/>
      <c r="D259" s="22"/>
      <c r="E259" s="22"/>
      <c r="F259" s="22"/>
    </row>
    <row r="260" ht="15.75" customHeight="1">
      <c r="A260" s="22"/>
      <c r="B260" s="22"/>
      <c r="C260" s="22"/>
      <c r="D260" s="22"/>
      <c r="E260" s="22"/>
      <c r="F260" s="22"/>
    </row>
    <row r="261" ht="15.75" customHeight="1">
      <c r="A261" s="22"/>
      <c r="B261" s="22"/>
      <c r="C261" s="22"/>
      <c r="D261" s="22"/>
      <c r="E261" s="22"/>
      <c r="F261" s="22"/>
    </row>
    <row r="262" ht="15.75" customHeight="1">
      <c r="A262" s="22"/>
      <c r="B262" s="22"/>
      <c r="C262" s="22"/>
      <c r="D262" s="22"/>
      <c r="E262" s="22"/>
      <c r="F262" s="22"/>
    </row>
    <row r="263" ht="15.75" customHeight="1">
      <c r="A263" s="22"/>
      <c r="B263" s="22"/>
      <c r="C263" s="22"/>
      <c r="D263" s="22"/>
      <c r="E263" s="22"/>
      <c r="F263" s="22"/>
    </row>
    <row r="264" ht="15.75" customHeight="1">
      <c r="A264" s="22"/>
      <c r="B264" s="22"/>
      <c r="C264" s="22"/>
      <c r="D264" s="22"/>
      <c r="E264" s="22"/>
      <c r="F264" s="22"/>
    </row>
    <row r="265" ht="15.75" customHeight="1">
      <c r="A265" s="22"/>
      <c r="B265" s="22"/>
      <c r="C265" s="22"/>
      <c r="D265" s="22"/>
      <c r="E265" s="22"/>
      <c r="F265" s="22"/>
    </row>
    <row r="266" ht="15.75" customHeight="1">
      <c r="A266" s="22"/>
      <c r="B266" s="22"/>
      <c r="C266" s="22"/>
      <c r="D266" s="22"/>
      <c r="E266" s="22"/>
      <c r="F266" s="22"/>
    </row>
    <row r="267" ht="15.75" customHeight="1">
      <c r="A267" s="22"/>
      <c r="B267" s="22"/>
      <c r="C267" s="22"/>
      <c r="D267" s="22"/>
      <c r="E267" s="22"/>
      <c r="F267" s="22"/>
    </row>
    <row r="268" ht="15.75" customHeight="1">
      <c r="A268" s="22"/>
      <c r="B268" s="22"/>
      <c r="C268" s="22"/>
      <c r="D268" s="22"/>
      <c r="E268" s="22"/>
      <c r="F268" s="22"/>
    </row>
    <row r="269" ht="15.75" customHeight="1">
      <c r="A269" s="22"/>
      <c r="B269" s="22"/>
      <c r="C269" s="22"/>
      <c r="D269" s="22"/>
      <c r="E269" s="22"/>
      <c r="F269" s="22"/>
    </row>
    <row r="270" ht="15.75" customHeight="1">
      <c r="A270" s="22"/>
      <c r="B270" s="22"/>
      <c r="C270" s="22"/>
      <c r="D270" s="22"/>
      <c r="E270" s="22"/>
      <c r="F270" s="22"/>
    </row>
    <row r="271" ht="15.75" customHeight="1">
      <c r="A271" s="22"/>
      <c r="B271" s="22"/>
      <c r="C271" s="22"/>
      <c r="D271" s="22"/>
      <c r="E271" s="22"/>
      <c r="F271" s="22"/>
    </row>
    <row r="272" ht="15.75" customHeight="1">
      <c r="A272" s="22"/>
      <c r="B272" s="22"/>
      <c r="C272" s="22"/>
      <c r="D272" s="22"/>
      <c r="E272" s="22"/>
      <c r="F272" s="22"/>
    </row>
    <row r="273" ht="15.75" customHeight="1">
      <c r="A273" s="22"/>
      <c r="B273" s="22"/>
      <c r="C273" s="22"/>
      <c r="D273" s="22"/>
      <c r="E273" s="22"/>
      <c r="F273" s="22"/>
    </row>
    <row r="274" ht="15.75" customHeight="1">
      <c r="A274" s="22"/>
      <c r="B274" s="22"/>
      <c r="C274" s="22"/>
      <c r="D274" s="22"/>
      <c r="E274" s="22"/>
      <c r="F274" s="22"/>
    </row>
    <row r="275" ht="15.75" customHeight="1">
      <c r="A275" s="22"/>
      <c r="B275" s="22"/>
      <c r="C275" s="22"/>
      <c r="D275" s="22"/>
      <c r="E275" s="22"/>
      <c r="F275" s="22"/>
    </row>
    <row r="276" ht="15.75" customHeight="1">
      <c r="A276" s="22"/>
      <c r="B276" s="22"/>
      <c r="C276" s="22"/>
      <c r="D276" s="22"/>
      <c r="E276" s="22"/>
      <c r="F276" s="22"/>
    </row>
    <row r="277" ht="15.75" customHeight="1">
      <c r="A277" s="22"/>
      <c r="B277" s="22"/>
      <c r="C277" s="22"/>
      <c r="D277" s="22"/>
      <c r="E277" s="22"/>
      <c r="F277" s="22"/>
    </row>
    <row r="278" ht="15.75" customHeight="1">
      <c r="A278" s="22"/>
      <c r="B278" s="22"/>
      <c r="C278" s="22"/>
      <c r="D278" s="22"/>
      <c r="E278" s="22"/>
      <c r="F278" s="22"/>
    </row>
    <row r="279" ht="15.75" customHeight="1">
      <c r="A279" s="22"/>
      <c r="B279" s="22"/>
      <c r="C279" s="22"/>
      <c r="D279" s="22"/>
      <c r="E279" s="22"/>
      <c r="F279" s="22"/>
    </row>
    <row r="280" ht="15.75" customHeight="1">
      <c r="A280" s="22"/>
      <c r="B280" s="22"/>
      <c r="C280" s="22"/>
      <c r="D280" s="22"/>
      <c r="E280" s="22"/>
      <c r="F280" s="22"/>
    </row>
    <row r="281" ht="15.75" customHeight="1">
      <c r="A281" s="22"/>
      <c r="B281" s="22"/>
      <c r="C281" s="22"/>
      <c r="D281" s="22"/>
      <c r="E281" s="22"/>
      <c r="F281" s="22"/>
    </row>
    <row r="282" ht="15.75" customHeight="1">
      <c r="A282" s="22"/>
      <c r="B282" s="22"/>
      <c r="C282" s="22"/>
      <c r="D282" s="22"/>
      <c r="E282" s="22"/>
      <c r="F282" s="22"/>
    </row>
    <row r="283" ht="15.75" customHeight="1">
      <c r="A283" s="22"/>
      <c r="B283" s="22"/>
      <c r="C283" s="22"/>
      <c r="D283" s="22"/>
      <c r="E283" s="22"/>
      <c r="F283" s="22"/>
    </row>
    <row r="284" ht="15.75" customHeight="1">
      <c r="A284" s="22"/>
      <c r="B284" s="22"/>
      <c r="C284" s="22"/>
      <c r="D284" s="22"/>
      <c r="E284" s="22"/>
      <c r="F284" s="22"/>
    </row>
    <row r="285" ht="15.75" customHeight="1">
      <c r="A285" s="22"/>
      <c r="B285" s="22"/>
      <c r="C285" s="22"/>
      <c r="D285" s="22"/>
      <c r="E285" s="22"/>
      <c r="F285" s="22"/>
    </row>
    <row r="286" ht="15.75" customHeight="1">
      <c r="A286" s="22"/>
      <c r="B286" s="22"/>
      <c r="C286" s="22"/>
      <c r="D286" s="22"/>
      <c r="E286" s="22"/>
      <c r="F286" s="22"/>
    </row>
    <row r="287" ht="15.75" customHeight="1">
      <c r="A287" s="22"/>
      <c r="B287" s="22"/>
      <c r="C287" s="22"/>
      <c r="D287" s="22"/>
      <c r="E287" s="22"/>
      <c r="F287" s="22"/>
    </row>
    <row r="288" ht="15.75" customHeight="1">
      <c r="A288" s="22"/>
      <c r="B288" s="22"/>
      <c r="C288" s="22"/>
      <c r="D288" s="22"/>
      <c r="E288" s="22"/>
      <c r="F288" s="22"/>
    </row>
    <row r="289" ht="15.75" customHeight="1">
      <c r="A289" s="22"/>
      <c r="B289" s="22"/>
      <c r="C289" s="22"/>
      <c r="D289" s="22"/>
      <c r="E289" s="22"/>
      <c r="F289" s="22"/>
    </row>
    <row r="290" ht="15.75" customHeight="1">
      <c r="A290" s="22"/>
      <c r="B290" s="22"/>
      <c r="C290" s="22"/>
      <c r="D290" s="22"/>
      <c r="E290" s="22"/>
      <c r="F290" s="22"/>
    </row>
    <row r="291" ht="15.75" customHeight="1">
      <c r="A291" s="22"/>
      <c r="B291" s="22"/>
      <c r="C291" s="22"/>
      <c r="D291" s="22"/>
      <c r="E291" s="22"/>
      <c r="F291" s="22"/>
    </row>
    <row r="292" ht="15.75" customHeight="1">
      <c r="A292" s="22"/>
      <c r="B292" s="22"/>
      <c r="C292" s="22"/>
      <c r="D292" s="22"/>
      <c r="E292" s="22"/>
      <c r="F292" s="22"/>
    </row>
    <row r="293" ht="15.75" customHeight="1">
      <c r="A293" s="22"/>
      <c r="B293" s="22"/>
      <c r="C293" s="22"/>
      <c r="D293" s="22"/>
      <c r="E293" s="22"/>
      <c r="F293" s="22"/>
    </row>
    <row r="294" ht="15.75" customHeight="1">
      <c r="A294" s="22"/>
      <c r="B294" s="22"/>
      <c r="C294" s="22"/>
      <c r="D294" s="22"/>
      <c r="E294" s="22"/>
      <c r="F294" s="22"/>
    </row>
    <row r="295" ht="15.75" customHeight="1">
      <c r="A295" s="22"/>
      <c r="B295" s="22"/>
      <c r="C295" s="22"/>
      <c r="D295" s="22"/>
      <c r="E295" s="22"/>
      <c r="F295" s="22"/>
    </row>
    <row r="296" ht="15.75" customHeight="1">
      <c r="A296" s="22"/>
      <c r="B296" s="22"/>
      <c r="C296" s="22"/>
      <c r="D296" s="22"/>
      <c r="E296" s="22"/>
      <c r="F296" s="22"/>
    </row>
    <row r="297" ht="15.75" customHeight="1">
      <c r="A297" s="22"/>
      <c r="B297" s="22"/>
      <c r="C297" s="22"/>
      <c r="D297" s="22"/>
      <c r="E297" s="22"/>
      <c r="F297" s="22"/>
    </row>
    <row r="298" ht="15.75" customHeight="1">
      <c r="A298" s="22"/>
      <c r="B298" s="22"/>
      <c r="C298" s="22"/>
      <c r="D298" s="22"/>
      <c r="E298" s="22"/>
      <c r="F298" s="22"/>
    </row>
    <row r="299" ht="15.75" customHeight="1">
      <c r="A299" s="22"/>
      <c r="B299" s="22"/>
      <c r="C299" s="22"/>
      <c r="D299" s="22"/>
      <c r="E299" s="22"/>
      <c r="F299" s="22"/>
    </row>
    <row r="300" ht="15.75" customHeight="1">
      <c r="A300" s="22"/>
      <c r="B300" s="22"/>
      <c r="C300" s="22"/>
      <c r="D300" s="22"/>
      <c r="E300" s="22"/>
      <c r="F300" s="22"/>
    </row>
    <row r="301" ht="15.75" customHeight="1">
      <c r="A301" s="22"/>
      <c r="B301" s="22"/>
      <c r="C301" s="22"/>
      <c r="D301" s="22"/>
      <c r="E301" s="22"/>
      <c r="F301" s="22"/>
    </row>
    <row r="302" ht="15.75" customHeight="1">
      <c r="A302" s="22"/>
      <c r="B302" s="22"/>
      <c r="C302" s="22"/>
      <c r="D302" s="22"/>
      <c r="E302" s="22"/>
      <c r="F302" s="22"/>
    </row>
    <row r="303" ht="15.75" customHeight="1">
      <c r="A303" s="22"/>
      <c r="B303" s="22"/>
      <c r="C303" s="22"/>
      <c r="D303" s="22"/>
      <c r="E303" s="22"/>
      <c r="F303" s="22"/>
    </row>
    <row r="304" ht="15.75" customHeight="1">
      <c r="A304" s="22"/>
      <c r="B304" s="22"/>
      <c r="C304" s="22"/>
      <c r="D304" s="22"/>
      <c r="E304" s="22"/>
      <c r="F304" s="22"/>
    </row>
    <row r="305" ht="15.75" customHeight="1">
      <c r="A305" s="22"/>
      <c r="B305" s="22"/>
      <c r="C305" s="22"/>
      <c r="D305" s="22"/>
      <c r="E305" s="22"/>
      <c r="F305" s="22"/>
    </row>
    <row r="306" ht="15.75" customHeight="1">
      <c r="A306" s="22"/>
      <c r="B306" s="22"/>
      <c r="C306" s="22"/>
      <c r="D306" s="22"/>
      <c r="E306" s="22"/>
      <c r="F306" s="22"/>
    </row>
    <row r="307" ht="15.75" customHeight="1">
      <c r="A307" s="22"/>
      <c r="B307" s="22"/>
      <c r="C307" s="22"/>
      <c r="D307" s="22"/>
      <c r="E307" s="22"/>
      <c r="F307" s="22"/>
    </row>
    <row r="308" ht="15.75" customHeight="1">
      <c r="A308" s="22"/>
      <c r="B308" s="22"/>
      <c r="C308" s="22"/>
      <c r="D308" s="22"/>
      <c r="E308" s="22"/>
      <c r="F308" s="22"/>
    </row>
    <row r="309" ht="15.75" customHeight="1">
      <c r="A309" s="22"/>
      <c r="B309" s="22"/>
      <c r="C309" s="22"/>
      <c r="D309" s="22"/>
      <c r="E309" s="22"/>
      <c r="F309" s="22"/>
    </row>
    <row r="310" ht="15.75" customHeight="1">
      <c r="A310" s="22"/>
      <c r="B310" s="22"/>
      <c r="C310" s="22"/>
      <c r="D310" s="22"/>
      <c r="E310" s="22"/>
      <c r="F310" s="22"/>
    </row>
    <row r="311" ht="15.75" customHeight="1">
      <c r="A311" s="22"/>
      <c r="B311" s="22"/>
      <c r="C311" s="22"/>
      <c r="D311" s="22"/>
      <c r="E311" s="22"/>
      <c r="F311" s="22"/>
    </row>
    <row r="312" ht="15.75" customHeight="1">
      <c r="A312" s="22"/>
      <c r="B312" s="22"/>
      <c r="C312" s="22"/>
      <c r="D312" s="22"/>
      <c r="E312" s="22"/>
      <c r="F312" s="22"/>
    </row>
    <row r="313" ht="15.75" customHeight="1">
      <c r="A313" s="22"/>
      <c r="B313" s="22"/>
      <c r="C313" s="22"/>
      <c r="D313" s="22"/>
      <c r="E313" s="22"/>
      <c r="F313" s="22"/>
    </row>
    <row r="314" ht="15.75" customHeight="1">
      <c r="A314" s="22"/>
      <c r="B314" s="22"/>
      <c r="C314" s="22"/>
      <c r="D314" s="22"/>
      <c r="E314" s="22"/>
      <c r="F314" s="22"/>
    </row>
    <row r="315" ht="15.75" customHeight="1">
      <c r="A315" s="22"/>
      <c r="B315" s="22"/>
      <c r="C315" s="22"/>
      <c r="D315" s="22"/>
      <c r="E315" s="22"/>
      <c r="F315" s="22"/>
    </row>
    <row r="316" ht="15.75" customHeight="1">
      <c r="A316" s="22"/>
      <c r="B316" s="22"/>
      <c r="C316" s="22"/>
      <c r="D316" s="22"/>
      <c r="E316" s="22"/>
      <c r="F316" s="22"/>
    </row>
    <row r="317" ht="15.75" customHeight="1">
      <c r="A317" s="22"/>
      <c r="B317" s="22"/>
      <c r="C317" s="22"/>
      <c r="D317" s="22"/>
      <c r="E317" s="22"/>
      <c r="F317" s="22"/>
    </row>
    <row r="318" ht="15.75" customHeight="1">
      <c r="A318" s="22"/>
      <c r="B318" s="22"/>
      <c r="C318" s="22"/>
      <c r="D318" s="22"/>
      <c r="E318" s="22"/>
      <c r="F318" s="22"/>
    </row>
    <row r="319" ht="15.75" customHeight="1">
      <c r="A319" s="22"/>
      <c r="B319" s="22"/>
      <c r="C319" s="22"/>
      <c r="D319" s="22"/>
      <c r="E319" s="22"/>
      <c r="F319" s="22"/>
    </row>
    <row r="320" ht="15.75" customHeight="1">
      <c r="A320" s="22"/>
      <c r="B320" s="22"/>
      <c r="C320" s="22"/>
      <c r="D320" s="22"/>
      <c r="E320" s="22"/>
      <c r="F320" s="22"/>
    </row>
    <row r="321" ht="15.75" customHeight="1">
      <c r="A321" s="22"/>
      <c r="B321" s="22"/>
      <c r="C321" s="22"/>
      <c r="D321" s="22"/>
      <c r="E321" s="22"/>
      <c r="F321" s="22"/>
    </row>
    <row r="322" ht="15.75" customHeight="1">
      <c r="A322" s="22"/>
      <c r="B322" s="22"/>
      <c r="C322" s="22"/>
      <c r="D322" s="22"/>
      <c r="E322" s="22"/>
      <c r="F322" s="22"/>
    </row>
    <row r="323" ht="15.75" customHeight="1">
      <c r="A323" s="22"/>
      <c r="B323" s="22"/>
      <c r="C323" s="22"/>
      <c r="D323" s="22"/>
      <c r="E323" s="22"/>
      <c r="F323" s="22"/>
    </row>
    <row r="324" ht="15.75" customHeight="1">
      <c r="A324" s="22"/>
      <c r="B324" s="22"/>
      <c r="C324" s="22"/>
      <c r="D324" s="22"/>
      <c r="E324" s="22"/>
      <c r="F324" s="22"/>
    </row>
    <row r="325" ht="15.75" customHeight="1">
      <c r="A325" s="22"/>
      <c r="B325" s="22"/>
      <c r="C325" s="22"/>
      <c r="D325" s="22"/>
      <c r="E325" s="22"/>
      <c r="F325" s="22"/>
    </row>
    <row r="326" ht="15.75" customHeight="1">
      <c r="A326" s="22"/>
      <c r="B326" s="22"/>
      <c r="C326" s="22"/>
      <c r="D326" s="22"/>
      <c r="E326" s="22"/>
      <c r="F326" s="22"/>
    </row>
    <row r="327" ht="15.75" customHeight="1">
      <c r="A327" s="22"/>
      <c r="B327" s="22"/>
      <c r="C327" s="22"/>
      <c r="D327" s="22"/>
      <c r="E327" s="22"/>
      <c r="F327" s="22"/>
    </row>
    <row r="328" ht="15.75" customHeight="1">
      <c r="A328" s="22"/>
      <c r="B328" s="22"/>
      <c r="C328" s="22"/>
      <c r="D328" s="22"/>
      <c r="E328" s="22"/>
      <c r="F328" s="22"/>
    </row>
    <row r="329" ht="15.75" customHeight="1">
      <c r="A329" s="22"/>
      <c r="B329" s="22"/>
      <c r="C329" s="22"/>
      <c r="D329" s="22"/>
      <c r="E329" s="22"/>
      <c r="F329" s="22"/>
    </row>
    <row r="330" ht="15.75" customHeight="1">
      <c r="A330" s="22"/>
      <c r="B330" s="22"/>
      <c r="C330" s="22"/>
      <c r="D330" s="22"/>
      <c r="E330" s="22"/>
      <c r="F330" s="22"/>
    </row>
    <row r="331" ht="15.75" customHeight="1">
      <c r="A331" s="22"/>
      <c r="B331" s="22"/>
      <c r="C331" s="22"/>
      <c r="D331" s="22"/>
      <c r="E331" s="22"/>
      <c r="F331" s="22"/>
    </row>
    <row r="332" ht="15.75" customHeight="1">
      <c r="A332" s="22"/>
      <c r="B332" s="22"/>
      <c r="C332" s="22"/>
      <c r="D332" s="22"/>
      <c r="E332" s="22"/>
      <c r="F332" s="22"/>
    </row>
    <row r="333" ht="15.75" customHeight="1">
      <c r="A333" s="22"/>
      <c r="B333" s="22"/>
      <c r="C333" s="22"/>
      <c r="D333" s="22"/>
      <c r="E333" s="22"/>
      <c r="F333" s="22"/>
    </row>
    <row r="334" ht="15.75" customHeight="1">
      <c r="A334" s="22"/>
      <c r="B334" s="22"/>
      <c r="C334" s="22"/>
      <c r="D334" s="22"/>
      <c r="E334" s="22"/>
      <c r="F334" s="22"/>
    </row>
    <row r="335" ht="15.75" customHeight="1">
      <c r="A335" s="22"/>
      <c r="B335" s="22"/>
      <c r="C335" s="22"/>
      <c r="D335" s="22"/>
      <c r="E335" s="22"/>
      <c r="F335" s="22"/>
    </row>
    <row r="336" ht="15.75" customHeight="1">
      <c r="A336" s="22"/>
      <c r="B336" s="22"/>
      <c r="C336" s="22"/>
      <c r="D336" s="22"/>
      <c r="E336" s="22"/>
      <c r="F336" s="22"/>
    </row>
    <row r="337" ht="15.75" customHeight="1">
      <c r="A337" s="22"/>
      <c r="B337" s="22"/>
      <c r="C337" s="22"/>
      <c r="D337" s="22"/>
      <c r="E337" s="22"/>
      <c r="F337" s="22"/>
    </row>
    <row r="338" ht="15.75" customHeight="1">
      <c r="A338" s="22"/>
      <c r="B338" s="22"/>
      <c r="C338" s="22"/>
      <c r="D338" s="22"/>
      <c r="E338" s="22"/>
      <c r="F338" s="22"/>
    </row>
    <row r="339" ht="15.75" customHeight="1">
      <c r="A339" s="22"/>
      <c r="B339" s="22"/>
      <c r="C339" s="22"/>
      <c r="D339" s="22"/>
      <c r="E339" s="22"/>
      <c r="F339" s="22"/>
    </row>
    <row r="340" ht="15.75" customHeight="1">
      <c r="A340" s="22"/>
      <c r="B340" s="22"/>
      <c r="C340" s="22"/>
      <c r="D340" s="22"/>
      <c r="E340" s="22"/>
      <c r="F340" s="22"/>
    </row>
    <row r="341" ht="15.75" customHeight="1">
      <c r="A341" s="22"/>
      <c r="B341" s="22"/>
      <c r="C341" s="22"/>
      <c r="D341" s="22"/>
      <c r="E341" s="22"/>
      <c r="F341" s="22"/>
    </row>
    <row r="342" ht="15.75" customHeight="1">
      <c r="A342" s="22"/>
      <c r="B342" s="22"/>
      <c r="C342" s="22"/>
      <c r="D342" s="22"/>
      <c r="E342" s="22"/>
      <c r="F342" s="22"/>
    </row>
    <row r="343" ht="15.75" customHeight="1">
      <c r="A343" s="22"/>
      <c r="B343" s="22"/>
      <c r="C343" s="22"/>
      <c r="D343" s="22"/>
      <c r="E343" s="22"/>
      <c r="F343" s="22"/>
    </row>
    <row r="344" ht="15.75" customHeight="1">
      <c r="A344" s="22"/>
      <c r="B344" s="22"/>
      <c r="C344" s="22"/>
      <c r="D344" s="22"/>
      <c r="E344" s="22"/>
      <c r="F344" s="22"/>
    </row>
    <row r="345" ht="15.75" customHeight="1">
      <c r="A345" s="22"/>
      <c r="B345" s="22"/>
      <c r="C345" s="22"/>
      <c r="D345" s="22"/>
      <c r="E345" s="22"/>
      <c r="F345" s="22"/>
    </row>
    <row r="346" ht="15.75" customHeight="1">
      <c r="A346" s="22"/>
      <c r="B346" s="22"/>
      <c r="C346" s="22"/>
      <c r="D346" s="22"/>
      <c r="E346" s="22"/>
      <c r="F346" s="22"/>
    </row>
    <row r="347" ht="15.75" customHeight="1">
      <c r="A347" s="22"/>
      <c r="B347" s="22"/>
      <c r="C347" s="22"/>
      <c r="D347" s="22"/>
      <c r="E347" s="22"/>
      <c r="F347" s="22"/>
    </row>
    <row r="348" ht="15.75" customHeight="1">
      <c r="A348" s="22"/>
      <c r="B348" s="22"/>
      <c r="C348" s="22"/>
      <c r="D348" s="22"/>
      <c r="E348" s="22"/>
      <c r="F348" s="22"/>
    </row>
    <row r="349" ht="15.75" customHeight="1">
      <c r="A349" s="22"/>
      <c r="B349" s="22"/>
      <c r="C349" s="22"/>
      <c r="D349" s="22"/>
      <c r="E349" s="22"/>
      <c r="F349" s="22"/>
    </row>
    <row r="350" ht="15.75" customHeight="1">
      <c r="A350" s="22"/>
      <c r="B350" s="22"/>
      <c r="C350" s="22"/>
      <c r="D350" s="22"/>
      <c r="E350" s="22"/>
      <c r="F350" s="22"/>
    </row>
    <row r="351" ht="15.75" customHeight="1">
      <c r="A351" s="22"/>
      <c r="B351" s="22"/>
      <c r="C351" s="22"/>
      <c r="D351" s="22"/>
      <c r="E351" s="22"/>
      <c r="F351" s="22"/>
    </row>
    <row r="352" ht="15.75" customHeight="1">
      <c r="A352" s="22"/>
      <c r="B352" s="22"/>
      <c r="C352" s="22"/>
      <c r="D352" s="22"/>
      <c r="E352" s="22"/>
      <c r="F352" s="22"/>
    </row>
    <row r="353" ht="15.75" customHeight="1">
      <c r="A353" s="22"/>
      <c r="B353" s="22"/>
      <c r="C353" s="22"/>
      <c r="D353" s="22"/>
      <c r="E353" s="22"/>
      <c r="F353" s="22"/>
    </row>
    <row r="354" ht="15.75" customHeight="1">
      <c r="A354" s="22"/>
      <c r="B354" s="22"/>
      <c r="C354" s="22"/>
      <c r="D354" s="22"/>
      <c r="E354" s="22"/>
      <c r="F354" s="22"/>
    </row>
    <row r="355" ht="15.75" customHeight="1">
      <c r="A355" s="22"/>
      <c r="B355" s="22"/>
      <c r="C355" s="22"/>
      <c r="D355" s="22"/>
      <c r="E355" s="22"/>
      <c r="F355" s="22"/>
    </row>
    <row r="356" ht="15.75" customHeight="1">
      <c r="A356" s="22"/>
      <c r="B356" s="22"/>
      <c r="C356" s="22"/>
      <c r="D356" s="22"/>
      <c r="E356" s="22"/>
      <c r="F356" s="22"/>
    </row>
    <row r="357" ht="15.75" customHeight="1">
      <c r="A357" s="22"/>
      <c r="B357" s="22"/>
      <c r="C357" s="22"/>
      <c r="D357" s="22"/>
      <c r="E357" s="22"/>
      <c r="F357" s="22"/>
    </row>
    <row r="358" ht="15.75" customHeight="1">
      <c r="A358" s="22"/>
      <c r="B358" s="22"/>
      <c r="C358" s="22"/>
      <c r="D358" s="22"/>
      <c r="E358" s="22"/>
      <c r="F358" s="22"/>
    </row>
    <row r="359" ht="15.75" customHeight="1">
      <c r="A359" s="22"/>
      <c r="B359" s="22"/>
      <c r="C359" s="22"/>
      <c r="D359" s="22"/>
      <c r="E359" s="22"/>
      <c r="F359" s="22"/>
    </row>
    <row r="360" ht="15.75" customHeight="1">
      <c r="A360" s="22"/>
      <c r="B360" s="22"/>
      <c r="C360" s="22"/>
      <c r="D360" s="22"/>
      <c r="E360" s="22"/>
      <c r="F360" s="22"/>
    </row>
    <row r="361" ht="15.75" customHeight="1">
      <c r="A361" s="22"/>
      <c r="B361" s="22"/>
      <c r="C361" s="22"/>
      <c r="D361" s="22"/>
      <c r="E361" s="22"/>
      <c r="F361" s="22"/>
    </row>
    <row r="362" ht="15.75" customHeight="1">
      <c r="A362" s="22"/>
      <c r="B362" s="22"/>
      <c r="C362" s="22"/>
      <c r="D362" s="22"/>
      <c r="E362" s="22"/>
      <c r="F362" s="22"/>
    </row>
    <row r="363" ht="15.75" customHeight="1">
      <c r="A363" s="22"/>
      <c r="B363" s="22"/>
      <c r="C363" s="22"/>
      <c r="D363" s="22"/>
      <c r="E363" s="22"/>
      <c r="F363" s="22"/>
    </row>
    <row r="364" ht="15.75" customHeight="1">
      <c r="A364" s="22"/>
      <c r="B364" s="22"/>
      <c r="C364" s="22"/>
      <c r="D364" s="22"/>
      <c r="E364" s="22"/>
      <c r="F364" s="22"/>
    </row>
    <row r="365" ht="15.75" customHeight="1">
      <c r="A365" s="22"/>
      <c r="B365" s="22"/>
      <c r="C365" s="22"/>
      <c r="D365" s="22"/>
      <c r="E365" s="22"/>
      <c r="F365" s="22"/>
    </row>
    <row r="366" ht="15.75" customHeight="1">
      <c r="A366" s="22"/>
      <c r="B366" s="22"/>
      <c r="C366" s="22"/>
      <c r="D366" s="22"/>
      <c r="E366" s="22"/>
      <c r="F366" s="22"/>
    </row>
    <row r="367" ht="15.75" customHeight="1">
      <c r="A367" s="22"/>
      <c r="B367" s="22"/>
      <c r="C367" s="22"/>
      <c r="D367" s="22"/>
      <c r="E367" s="22"/>
      <c r="F367" s="22"/>
    </row>
    <row r="368" ht="15.75" customHeight="1">
      <c r="A368" s="22"/>
      <c r="B368" s="22"/>
      <c r="C368" s="22"/>
      <c r="D368" s="22"/>
      <c r="E368" s="22"/>
      <c r="F368" s="22"/>
    </row>
    <row r="369" ht="15.75" customHeight="1">
      <c r="A369" s="22"/>
      <c r="B369" s="22"/>
      <c r="C369" s="22"/>
      <c r="D369" s="22"/>
      <c r="E369" s="22"/>
      <c r="F369" s="22"/>
    </row>
    <row r="370" ht="15.75" customHeight="1">
      <c r="A370" s="22"/>
      <c r="B370" s="22"/>
      <c r="C370" s="22"/>
      <c r="D370" s="22"/>
      <c r="E370" s="22"/>
      <c r="F370" s="22"/>
    </row>
    <row r="371" ht="15.75" customHeight="1">
      <c r="A371" s="22"/>
      <c r="B371" s="22"/>
      <c r="C371" s="22"/>
      <c r="D371" s="22"/>
      <c r="E371" s="22"/>
      <c r="F371" s="22"/>
    </row>
    <row r="372" ht="15.75" customHeight="1">
      <c r="A372" s="22"/>
      <c r="B372" s="22"/>
      <c r="C372" s="22"/>
      <c r="D372" s="22"/>
      <c r="E372" s="22"/>
      <c r="F372" s="22"/>
    </row>
    <row r="373" ht="15.75" customHeight="1">
      <c r="A373" s="22"/>
      <c r="B373" s="22"/>
      <c r="C373" s="22"/>
      <c r="D373" s="22"/>
      <c r="E373" s="22"/>
      <c r="F373" s="22"/>
    </row>
    <row r="374" ht="15.75" customHeight="1">
      <c r="A374" s="22"/>
      <c r="B374" s="22"/>
      <c r="C374" s="22"/>
      <c r="D374" s="22"/>
      <c r="E374" s="22"/>
      <c r="F374" s="22"/>
    </row>
    <row r="375" ht="15.75" customHeight="1">
      <c r="A375" s="22"/>
      <c r="B375" s="22"/>
      <c r="C375" s="22"/>
      <c r="D375" s="22"/>
      <c r="E375" s="22"/>
      <c r="F375" s="22"/>
    </row>
    <row r="376" ht="15.75" customHeight="1">
      <c r="A376" s="22"/>
      <c r="B376" s="22"/>
      <c r="C376" s="22"/>
      <c r="D376" s="22"/>
      <c r="E376" s="22"/>
      <c r="F376" s="22"/>
    </row>
    <row r="377" ht="15.75" customHeight="1">
      <c r="A377" s="22"/>
      <c r="B377" s="22"/>
      <c r="C377" s="22"/>
      <c r="D377" s="22"/>
      <c r="E377" s="22"/>
      <c r="F377" s="22"/>
    </row>
    <row r="378" ht="15.75" customHeight="1">
      <c r="A378" s="22"/>
      <c r="B378" s="22"/>
      <c r="C378" s="22"/>
      <c r="D378" s="22"/>
      <c r="E378" s="22"/>
      <c r="F378" s="22"/>
    </row>
    <row r="379" ht="15.75" customHeight="1">
      <c r="A379" s="22"/>
      <c r="B379" s="22"/>
      <c r="C379" s="22"/>
      <c r="D379" s="22"/>
      <c r="E379" s="22"/>
      <c r="F379" s="22"/>
    </row>
    <row r="380" ht="15.75" customHeight="1">
      <c r="A380" s="22"/>
      <c r="B380" s="22"/>
      <c r="C380" s="22"/>
      <c r="D380" s="22"/>
      <c r="E380" s="22"/>
      <c r="F380" s="22"/>
    </row>
    <row r="381" ht="15.75" customHeight="1">
      <c r="A381" s="22"/>
      <c r="B381" s="22"/>
      <c r="C381" s="22"/>
      <c r="D381" s="22"/>
      <c r="E381" s="22"/>
      <c r="F381" s="22"/>
    </row>
    <row r="382" ht="15.75" customHeight="1">
      <c r="A382" s="22"/>
      <c r="B382" s="22"/>
      <c r="C382" s="22"/>
      <c r="D382" s="22"/>
      <c r="E382" s="22"/>
      <c r="F382" s="22"/>
    </row>
    <row r="383" ht="15.75" customHeight="1">
      <c r="A383" s="22"/>
      <c r="B383" s="22"/>
      <c r="C383" s="22"/>
      <c r="D383" s="22"/>
      <c r="E383" s="22"/>
      <c r="F383" s="22"/>
    </row>
    <row r="384" ht="15.75" customHeight="1">
      <c r="A384" s="22"/>
      <c r="B384" s="22"/>
      <c r="C384" s="22"/>
      <c r="D384" s="22"/>
      <c r="E384" s="22"/>
      <c r="F384" s="22"/>
    </row>
    <row r="385" ht="15.75" customHeight="1">
      <c r="A385" s="22"/>
      <c r="B385" s="22"/>
      <c r="C385" s="22"/>
      <c r="D385" s="22"/>
      <c r="E385" s="22"/>
      <c r="F385" s="22"/>
    </row>
    <row r="386" ht="15.75" customHeight="1">
      <c r="A386" s="22"/>
      <c r="B386" s="22"/>
      <c r="C386" s="22"/>
      <c r="D386" s="22"/>
      <c r="E386" s="22"/>
      <c r="F386" s="22"/>
    </row>
    <row r="387" ht="15.75" customHeight="1">
      <c r="A387" s="22"/>
      <c r="B387" s="22"/>
      <c r="C387" s="22"/>
      <c r="D387" s="22"/>
      <c r="E387" s="22"/>
      <c r="F387" s="22"/>
    </row>
    <row r="388" ht="15.75" customHeight="1">
      <c r="A388" s="22"/>
      <c r="B388" s="22"/>
      <c r="C388" s="22"/>
      <c r="D388" s="22"/>
      <c r="E388" s="22"/>
      <c r="F388" s="22"/>
    </row>
    <row r="389" ht="15.75" customHeight="1">
      <c r="A389" s="22"/>
      <c r="B389" s="22"/>
      <c r="C389" s="22"/>
      <c r="D389" s="22"/>
      <c r="E389" s="22"/>
      <c r="F389" s="22"/>
    </row>
    <row r="390" ht="15.75" customHeight="1">
      <c r="A390" s="22"/>
      <c r="B390" s="22"/>
      <c r="C390" s="22"/>
      <c r="D390" s="22"/>
      <c r="E390" s="22"/>
      <c r="F390" s="22"/>
    </row>
    <row r="391" ht="15.75" customHeight="1">
      <c r="A391" s="22"/>
      <c r="B391" s="22"/>
      <c r="C391" s="22"/>
      <c r="D391" s="22"/>
      <c r="E391" s="22"/>
      <c r="F391" s="22"/>
    </row>
    <row r="392" ht="15.75" customHeight="1">
      <c r="A392" s="22"/>
      <c r="B392" s="22"/>
      <c r="C392" s="22"/>
      <c r="D392" s="22"/>
      <c r="E392" s="22"/>
      <c r="F392" s="22"/>
    </row>
    <row r="393" ht="15.75" customHeight="1">
      <c r="A393" s="22"/>
      <c r="B393" s="22"/>
      <c r="C393" s="22"/>
      <c r="D393" s="22"/>
      <c r="E393" s="22"/>
      <c r="F393" s="22"/>
    </row>
    <row r="394" ht="15.75" customHeight="1">
      <c r="A394" s="22"/>
      <c r="B394" s="22"/>
      <c r="C394" s="22"/>
      <c r="D394" s="22"/>
      <c r="E394" s="22"/>
      <c r="F394" s="22"/>
    </row>
    <row r="395" ht="15.75" customHeight="1">
      <c r="A395" s="22"/>
      <c r="B395" s="22"/>
      <c r="C395" s="22"/>
      <c r="D395" s="22"/>
      <c r="E395" s="22"/>
      <c r="F395" s="22"/>
    </row>
    <row r="396" ht="15.75" customHeight="1">
      <c r="A396" s="22"/>
      <c r="B396" s="22"/>
      <c r="C396" s="22"/>
      <c r="D396" s="22"/>
      <c r="E396" s="22"/>
      <c r="F396" s="22"/>
    </row>
    <row r="397" ht="15.75" customHeight="1">
      <c r="A397" s="22"/>
      <c r="B397" s="22"/>
      <c r="C397" s="22"/>
      <c r="D397" s="22"/>
      <c r="E397" s="22"/>
      <c r="F397" s="22"/>
    </row>
    <row r="398" ht="15.75" customHeight="1">
      <c r="A398" s="22"/>
      <c r="B398" s="22"/>
      <c r="C398" s="22"/>
      <c r="D398" s="22"/>
      <c r="E398" s="22"/>
      <c r="F398" s="22"/>
    </row>
    <row r="399" ht="15.75" customHeight="1">
      <c r="A399" s="22"/>
      <c r="B399" s="22"/>
      <c r="C399" s="22"/>
      <c r="D399" s="22"/>
      <c r="E399" s="22"/>
      <c r="F399" s="22"/>
    </row>
    <row r="400" ht="15.75" customHeight="1">
      <c r="A400" s="22"/>
      <c r="B400" s="22"/>
      <c r="C400" s="22"/>
      <c r="D400" s="22"/>
      <c r="E400" s="22"/>
      <c r="F400" s="22"/>
    </row>
    <row r="401" ht="15.75" customHeight="1">
      <c r="A401" s="22"/>
      <c r="B401" s="22"/>
      <c r="C401" s="22"/>
      <c r="D401" s="22"/>
      <c r="E401" s="22"/>
      <c r="F401" s="22"/>
    </row>
    <row r="402" ht="15.75" customHeight="1">
      <c r="A402" s="22"/>
      <c r="B402" s="22"/>
      <c r="C402" s="22"/>
      <c r="D402" s="22"/>
      <c r="E402" s="22"/>
      <c r="F402" s="22"/>
    </row>
    <row r="403" ht="15.75" customHeight="1">
      <c r="A403" s="22"/>
      <c r="B403" s="22"/>
      <c r="C403" s="22"/>
      <c r="D403" s="22"/>
      <c r="E403" s="22"/>
      <c r="F403" s="22"/>
    </row>
    <row r="404" ht="15.75" customHeight="1">
      <c r="A404" s="22"/>
      <c r="B404" s="22"/>
      <c r="C404" s="22"/>
      <c r="D404" s="22"/>
      <c r="E404" s="22"/>
      <c r="F404" s="22"/>
    </row>
    <row r="405" ht="15.75" customHeight="1">
      <c r="A405" s="22"/>
      <c r="B405" s="22"/>
      <c r="C405" s="22"/>
      <c r="D405" s="22"/>
      <c r="E405" s="22"/>
      <c r="F405" s="22"/>
    </row>
    <row r="406" ht="15.75" customHeight="1">
      <c r="A406" s="22"/>
      <c r="B406" s="22"/>
      <c r="C406" s="22"/>
      <c r="D406" s="22"/>
      <c r="E406" s="22"/>
      <c r="F406" s="22"/>
    </row>
    <row r="407" ht="15.75" customHeight="1">
      <c r="A407" s="22"/>
      <c r="B407" s="22"/>
      <c r="C407" s="22"/>
      <c r="D407" s="22"/>
      <c r="E407" s="22"/>
      <c r="F407" s="22"/>
    </row>
    <row r="408" ht="15.75" customHeight="1">
      <c r="A408" s="22"/>
      <c r="B408" s="22"/>
      <c r="C408" s="22"/>
      <c r="D408" s="22"/>
      <c r="E408" s="22"/>
      <c r="F408" s="22"/>
    </row>
    <row r="409" ht="15.75" customHeight="1">
      <c r="A409" s="22"/>
      <c r="B409" s="22"/>
      <c r="C409" s="22"/>
      <c r="D409" s="22"/>
      <c r="E409" s="22"/>
      <c r="F409" s="22"/>
    </row>
    <row r="410" ht="15.75" customHeight="1">
      <c r="A410" s="22"/>
      <c r="B410" s="22"/>
      <c r="C410" s="22"/>
      <c r="D410" s="22"/>
      <c r="E410" s="22"/>
      <c r="F410" s="22"/>
    </row>
    <row r="411" ht="15.75" customHeight="1">
      <c r="A411" s="22"/>
      <c r="B411" s="22"/>
      <c r="C411" s="22"/>
      <c r="D411" s="22"/>
      <c r="E411" s="22"/>
      <c r="F411" s="22"/>
    </row>
    <row r="412" ht="15.75" customHeight="1">
      <c r="A412" s="22"/>
      <c r="B412" s="22"/>
      <c r="C412" s="22"/>
      <c r="D412" s="22"/>
      <c r="E412" s="22"/>
      <c r="F412" s="22"/>
    </row>
    <row r="413" ht="15.75" customHeight="1">
      <c r="A413" s="22"/>
      <c r="B413" s="22"/>
      <c r="C413" s="22"/>
      <c r="D413" s="22"/>
      <c r="E413" s="22"/>
      <c r="F413" s="22"/>
    </row>
    <row r="414" ht="15.75" customHeight="1">
      <c r="A414" s="22"/>
      <c r="B414" s="22"/>
      <c r="C414" s="22"/>
      <c r="D414" s="22"/>
      <c r="E414" s="22"/>
      <c r="F414" s="22"/>
    </row>
    <row r="415" ht="15.75" customHeight="1">
      <c r="A415" s="22"/>
      <c r="B415" s="22"/>
      <c r="C415" s="22"/>
      <c r="D415" s="22"/>
      <c r="E415" s="22"/>
      <c r="F415" s="22"/>
    </row>
    <row r="416" ht="15.75" customHeight="1">
      <c r="A416" s="22"/>
      <c r="B416" s="22"/>
      <c r="C416" s="22"/>
      <c r="D416" s="22"/>
      <c r="E416" s="22"/>
      <c r="F416" s="22"/>
    </row>
    <row r="417" ht="15.75" customHeight="1">
      <c r="A417" s="22"/>
      <c r="B417" s="22"/>
      <c r="C417" s="22"/>
      <c r="D417" s="22"/>
      <c r="E417" s="22"/>
      <c r="F417" s="22"/>
    </row>
    <row r="418" ht="15.75" customHeight="1">
      <c r="A418" s="22"/>
      <c r="B418" s="22"/>
      <c r="C418" s="22"/>
      <c r="D418" s="22"/>
      <c r="E418" s="22"/>
      <c r="F418" s="22"/>
    </row>
    <row r="419" ht="15.75" customHeight="1">
      <c r="A419" s="22"/>
      <c r="B419" s="22"/>
      <c r="C419" s="22"/>
      <c r="D419" s="22"/>
      <c r="E419" s="22"/>
      <c r="F419" s="22"/>
    </row>
    <row r="420" ht="15.75" customHeight="1">
      <c r="A420" s="22"/>
      <c r="B420" s="22"/>
      <c r="C420" s="22"/>
      <c r="D420" s="22"/>
      <c r="E420" s="22"/>
      <c r="F420" s="22"/>
    </row>
    <row r="421" ht="15.75" customHeight="1">
      <c r="A421" s="22"/>
      <c r="B421" s="22"/>
      <c r="C421" s="22"/>
      <c r="D421" s="22"/>
      <c r="E421" s="22"/>
      <c r="F421" s="22"/>
    </row>
    <row r="422" ht="15.75" customHeight="1">
      <c r="A422" s="22"/>
      <c r="B422" s="22"/>
      <c r="C422" s="22"/>
      <c r="D422" s="22"/>
      <c r="E422" s="22"/>
      <c r="F422" s="22"/>
    </row>
    <row r="423" ht="15.75" customHeight="1">
      <c r="A423" s="22"/>
      <c r="B423" s="22"/>
      <c r="C423" s="22"/>
      <c r="D423" s="22"/>
      <c r="E423" s="22"/>
      <c r="F423" s="22"/>
    </row>
    <row r="424" ht="15.75" customHeight="1">
      <c r="A424" s="22"/>
      <c r="B424" s="22"/>
      <c r="C424" s="22"/>
      <c r="D424" s="22"/>
      <c r="E424" s="22"/>
      <c r="F424" s="22"/>
    </row>
    <row r="425" ht="15.75" customHeight="1">
      <c r="A425" s="22"/>
      <c r="B425" s="22"/>
      <c r="C425" s="22"/>
      <c r="D425" s="22"/>
      <c r="E425" s="22"/>
      <c r="F425" s="22"/>
    </row>
    <row r="426" ht="15.75" customHeight="1">
      <c r="A426" s="22"/>
      <c r="B426" s="22"/>
      <c r="C426" s="22"/>
      <c r="D426" s="22"/>
      <c r="E426" s="22"/>
      <c r="F426" s="22"/>
    </row>
    <row r="427" ht="15.75" customHeight="1">
      <c r="A427" s="22"/>
      <c r="B427" s="22"/>
      <c r="C427" s="22"/>
      <c r="D427" s="22"/>
      <c r="E427" s="22"/>
      <c r="F427" s="22"/>
    </row>
    <row r="428" ht="15.75" customHeight="1">
      <c r="A428" s="22"/>
      <c r="B428" s="22"/>
      <c r="C428" s="22"/>
      <c r="D428" s="22"/>
      <c r="E428" s="22"/>
      <c r="F428" s="22"/>
    </row>
    <row r="429" ht="15.75" customHeight="1">
      <c r="A429" s="22"/>
      <c r="B429" s="22"/>
      <c r="C429" s="22"/>
      <c r="D429" s="22"/>
      <c r="E429" s="22"/>
      <c r="F429" s="22"/>
    </row>
    <row r="430" ht="15.75" customHeight="1">
      <c r="A430" s="22"/>
      <c r="B430" s="22"/>
      <c r="C430" s="22"/>
      <c r="D430" s="22"/>
      <c r="E430" s="22"/>
      <c r="F430" s="22"/>
    </row>
    <row r="431" ht="15.75" customHeight="1">
      <c r="A431" s="22"/>
      <c r="B431" s="22"/>
      <c r="C431" s="22"/>
      <c r="D431" s="22"/>
      <c r="E431" s="22"/>
      <c r="F431" s="22"/>
    </row>
    <row r="432" ht="15.75" customHeight="1">
      <c r="A432" s="22"/>
      <c r="B432" s="22"/>
      <c r="C432" s="22"/>
      <c r="D432" s="22"/>
      <c r="E432" s="22"/>
      <c r="F432" s="22"/>
    </row>
    <row r="433" ht="15.75" customHeight="1">
      <c r="A433" s="22"/>
      <c r="B433" s="22"/>
      <c r="C433" s="22"/>
      <c r="D433" s="22"/>
      <c r="E433" s="22"/>
      <c r="F433" s="22"/>
    </row>
    <row r="434" ht="15.75" customHeight="1">
      <c r="A434" s="22"/>
      <c r="B434" s="22"/>
      <c r="C434" s="22"/>
      <c r="D434" s="22"/>
      <c r="E434" s="22"/>
      <c r="F434" s="22"/>
    </row>
    <row r="435" ht="15.75" customHeight="1">
      <c r="A435" s="22"/>
      <c r="B435" s="22"/>
      <c r="C435" s="22"/>
      <c r="D435" s="22"/>
      <c r="E435" s="22"/>
      <c r="F435" s="22"/>
    </row>
    <row r="436" ht="15.75" customHeight="1">
      <c r="A436" s="22"/>
      <c r="B436" s="22"/>
      <c r="C436" s="22"/>
      <c r="D436" s="22"/>
      <c r="E436" s="22"/>
      <c r="F436" s="22"/>
    </row>
    <row r="437" ht="15.75" customHeight="1">
      <c r="A437" s="22"/>
      <c r="B437" s="22"/>
      <c r="C437" s="22"/>
      <c r="D437" s="22"/>
      <c r="E437" s="22"/>
      <c r="F437" s="22"/>
    </row>
    <row r="438" ht="15.75" customHeight="1">
      <c r="A438" s="22"/>
      <c r="B438" s="22"/>
      <c r="C438" s="22"/>
      <c r="D438" s="22"/>
      <c r="E438" s="22"/>
      <c r="F438" s="22"/>
    </row>
    <row r="439" ht="15.75" customHeight="1">
      <c r="A439" s="22"/>
      <c r="B439" s="22"/>
      <c r="C439" s="22"/>
      <c r="D439" s="22"/>
      <c r="E439" s="22"/>
      <c r="F439" s="22"/>
    </row>
    <row r="440" ht="15.75" customHeight="1">
      <c r="A440" s="22"/>
      <c r="B440" s="22"/>
      <c r="C440" s="22"/>
      <c r="D440" s="22"/>
      <c r="E440" s="22"/>
      <c r="F440" s="22"/>
    </row>
    <row r="441" ht="15.75" customHeight="1">
      <c r="A441" s="22"/>
      <c r="B441" s="22"/>
      <c r="C441" s="22"/>
      <c r="D441" s="22"/>
      <c r="E441" s="22"/>
      <c r="F441" s="22"/>
    </row>
    <row r="442" ht="15.75" customHeight="1">
      <c r="A442" s="22"/>
      <c r="B442" s="22"/>
      <c r="C442" s="22"/>
      <c r="D442" s="22"/>
      <c r="E442" s="22"/>
      <c r="F442" s="22"/>
    </row>
    <row r="443" ht="15.75" customHeight="1">
      <c r="A443" s="22"/>
      <c r="B443" s="22"/>
      <c r="C443" s="22"/>
      <c r="D443" s="22"/>
      <c r="E443" s="22"/>
      <c r="F443" s="22"/>
    </row>
    <row r="444" ht="15.75" customHeight="1">
      <c r="A444" s="22"/>
      <c r="B444" s="22"/>
      <c r="C444" s="22"/>
      <c r="D444" s="22"/>
      <c r="E444" s="22"/>
      <c r="F444" s="22"/>
    </row>
    <row r="445" ht="15.75" customHeight="1">
      <c r="A445" s="22"/>
      <c r="B445" s="22"/>
      <c r="C445" s="22"/>
      <c r="D445" s="22"/>
      <c r="E445" s="22"/>
      <c r="F445" s="22"/>
    </row>
    <row r="446" ht="15.75" customHeight="1">
      <c r="A446" s="22"/>
      <c r="B446" s="22"/>
      <c r="C446" s="22"/>
      <c r="D446" s="22"/>
      <c r="E446" s="22"/>
      <c r="F446" s="22"/>
    </row>
    <row r="447" ht="15.75" customHeight="1">
      <c r="A447" s="22"/>
      <c r="B447" s="22"/>
      <c r="C447" s="22"/>
      <c r="D447" s="22"/>
      <c r="E447" s="22"/>
      <c r="F447" s="22"/>
    </row>
    <row r="448" ht="15.75" customHeight="1">
      <c r="A448" s="22"/>
      <c r="B448" s="22"/>
      <c r="C448" s="22"/>
      <c r="D448" s="22"/>
      <c r="E448" s="22"/>
      <c r="F448" s="22"/>
    </row>
    <row r="449" ht="15.75" customHeight="1">
      <c r="A449" s="22"/>
      <c r="B449" s="22"/>
      <c r="C449" s="22"/>
      <c r="D449" s="22"/>
      <c r="E449" s="22"/>
      <c r="F449" s="22"/>
    </row>
    <row r="450" ht="15.75" customHeight="1">
      <c r="A450" s="22"/>
      <c r="B450" s="22"/>
      <c r="C450" s="22"/>
      <c r="D450" s="22"/>
      <c r="E450" s="22"/>
      <c r="F450" s="22"/>
    </row>
    <row r="451" ht="15.75" customHeight="1">
      <c r="A451" s="22"/>
      <c r="B451" s="22"/>
      <c r="C451" s="22"/>
      <c r="D451" s="22"/>
      <c r="E451" s="22"/>
      <c r="F451" s="22"/>
    </row>
    <row r="452" ht="15.75" customHeight="1">
      <c r="A452" s="22"/>
      <c r="B452" s="22"/>
      <c r="C452" s="22"/>
      <c r="D452" s="22"/>
      <c r="E452" s="22"/>
      <c r="F452" s="22"/>
    </row>
    <row r="453" ht="15.75" customHeight="1">
      <c r="A453" s="22"/>
      <c r="B453" s="22"/>
      <c r="C453" s="22"/>
      <c r="D453" s="22"/>
      <c r="E453" s="22"/>
      <c r="F453" s="22"/>
    </row>
    <row r="454" ht="15.75" customHeight="1">
      <c r="A454" s="22"/>
      <c r="B454" s="22"/>
      <c r="C454" s="22"/>
      <c r="D454" s="22"/>
      <c r="E454" s="22"/>
      <c r="F454" s="22"/>
    </row>
    <row r="455" ht="15.75" customHeight="1">
      <c r="A455" s="22"/>
      <c r="B455" s="22"/>
      <c r="C455" s="22"/>
      <c r="D455" s="22"/>
      <c r="E455" s="22"/>
      <c r="F455" s="22"/>
    </row>
    <row r="456" ht="15.75" customHeight="1">
      <c r="A456" s="22"/>
      <c r="B456" s="22"/>
      <c r="C456" s="22"/>
      <c r="D456" s="22"/>
      <c r="E456" s="22"/>
      <c r="F456" s="22"/>
    </row>
    <row r="457" ht="15.75" customHeight="1">
      <c r="A457" s="22"/>
      <c r="B457" s="22"/>
      <c r="C457" s="22"/>
      <c r="D457" s="22"/>
      <c r="E457" s="22"/>
      <c r="F457" s="22"/>
    </row>
    <row r="458" ht="15.75" customHeight="1">
      <c r="A458" s="22"/>
      <c r="B458" s="22"/>
      <c r="C458" s="22"/>
      <c r="D458" s="22"/>
      <c r="E458" s="22"/>
      <c r="F458" s="22"/>
    </row>
    <row r="459" ht="15.75" customHeight="1">
      <c r="A459" s="22"/>
      <c r="B459" s="22"/>
      <c r="C459" s="22"/>
      <c r="D459" s="22"/>
      <c r="E459" s="22"/>
      <c r="F459" s="22"/>
    </row>
    <row r="460" ht="15.75" customHeight="1">
      <c r="A460" s="22"/>
      <c r="B460" s="22"/>
      <c r="C460" s="22"/>
      <c r="D460" s="22"/>
      <c r="E460" s="22"/>
      <c r="F460" s="22"/>
    </row>
    <row r="461" ht="15.75" customHeight="1">
      <c r="A461" s="22"/>
      <c r="B461" s="22"/>
      <c r="C461" s="22"/>
      <c r="D461" s="22"/>
      <c r="E461" s="22"/>
      <c r="F461" s="22"/>
    </row>
    <row r="462" ht="15.75" customHeight="1">
      <c r="A462" s="22"/>
      <c r="B462" s="22"/>
      <c r="C462" s="22"/>
      <c r="D462" s="22"/>
      <c r="E462" s="22"/>
      <c r="F462" s="22"/>
    </row>
    <row r="463" ht="15.75" customHeight="1">
      <c r="A463" s="22"/>
      <c r="B463" s="22"/>
      <c r="C463" s="22"/>
      <c r="D463" s="22"/>
      <c r="E463" s="22"/>
      <c r="F463" s="22"/>
    </row>
    <row r="464" ht="15.75" customHeight="1">
      <c r="A464" s="22"/>
      <c r="B464" s="22"/>
      <c r="C464" s="22"/>
      <c r="D464" s="22"/>
      <c r="E464" s="22"/>
      <c r="F464" s="22"/>
    </row>
    <row r="465" ht="15.75" customHeight="1">
      <c r="A465" s="22"/>
      <c r="B465" s="22"/>
      <c r="C465" s="22"/>
      <c r="D465" s="22"/>
      <c r="E465" s="22"/>
      <c r="F465" s="22"/>
    </row>
    <row r="466" ht="15.75" customHeight="1">
      <c r="A466" s="22"/>
      <c r="B466" s="22"/>
      <c r="C466" s="22"/>
      <c r="D466" s="22"/>
      <c r="E466" s="22"/>
      <c r="F466" s="22"/>
    </row>
    <row r="467" ht="15.75" customHeight="1">
      <c r="A467" s="22"/>
      <c r="B467" s="22"/>
      <c r="C467" s="22"/>
      <c r="D467" s="22"/>
      <c r="E467" s="22"/>
      <c r="F467" s="22"/>
    </row>
    <row r="468" ht="15.75" customHeight="1">
      <c r="A468" s="22"/>
      <c r="B468" s="22"/>
      <c r="C468" s="22"/>
      <c r="D468" s="22"/>
      <c r="E468" s="22"/>
      <c r="F468" s="22"/>
    </row>
    <row r="469" ht="15.75" customHeight="1">
      <c r="A469" s="22"/>
      <c r="B469" s="22"/>
      <c r="C469" s="22"/>
      <c r="D469" s="22"/>
      <c r="E469" s="22"/>
      <c r="F469" s="22"/>
    </row>
    <row r="470" ht="15.75" customHeight="1">
      <c r="A470" s="22"/>
      <c r="B470" s="22"/>
      <c r="C470" s="22"/>
      <c r="D470" s="22"/>
      <c r="E470" s="22"/>
      <c r="F470" s="22"/>
    </row>
    <row r="471" ht="15.75" customHeight="1">
      <c r="A471" s="22"/>
      <c r="B471" s="22"/>
      <c r="C471" s="22"/>
      <c r="D471" s="22"/>
      <c r="E471" s="22"/>
      <c r="F471" s="22"/>
    </row>
    <row r="472" ht="15.75" customHeight="1">
      <c r="A472" s="22"/>
      <c r="B472" s="22"/>
      <c r="C472" s="22"/>
      <c r="D472" s="22"/>
      <c r="E472" s="22"/>
      <c r="F472" s="22"/>
    </row>
    <row r="473" ht="15.75" customHeight="1">
      <c r="A473" s="22"/>
      <c r="B473" s="22"/>
      <c r="C473" s="22"/>
      <c r="D473" s="22"/>
      <c r="E473" s="22"/>
      <c r="F473" s="22"/>
    </row>
    <row r="474" ht="15.75" customHeight="1">
      <c r="A474" s="22"/>
      <c r="B474" s="22"/>
      <c r="C474" s="22"/>
      <c r="D474" s="22"/>
      <c r="E474" s="22"/>
      <c r="F474" s="22"/>
    </row>
    <row r="475" ht="15.75" customHeight="1">
      <c r="A475" s="22"/>
      <c r="B475" s="22"/>
      <c r="C475" s="22"/>
      <c r="D475" s="22"/>
      <c r="E475" s="22"/>
      <c r="F475" s="22"/>
    </row>
    <row r="476" ht="15.75" customHeight="1">
      <c r="A476" s="22"/>
      <c r="B476" s="22"/>
      <c r="C476" s="22"/>
      <c r="D476" s="22"/>
      <c r="E476" s="22"/>
      <c r="F476" s="22"/>
    </row>
    <row r="477" ht="15.75" customHeight="1">
      <c r="A477" s="22"/>
      <c r="B477" s="22"/>
      <c r="C477" s="22"/>
      <c r="D477" s="22"/>
      <c r="E477" s="22"/>
      <c r="F477" s="22"/>
    </row>
    <row r="478" ht="15.75" customHeight="1">
      <c r="A478" s="22"/>
      <c r="B478" s="22"/>
      <c r="C478" s="22"/>
      <c r="D478" s="22"/>
      <c r="E478" s="22"/>
      <c r="F478" s="22"/>
    </row>
    <row r="479" ht="15.75" customHeight="1">
      <c r="A479" s="22"/>
      <c r="B479" s="22"/>
      <c r="C479" s="22"/>
      <c r="D479" s="22"/>
      <c r="E479" s="22"/>
      <c r="F479" s="22"/>
    </row>
    <row r="480" ht="15.75" customHeight="1">
      <c r="A480" s="22"/>
      <c r="B480" s="22"/>
      <c r="C480" s="22"/>
      <c r="D480" s="22"/>
      <c r="E480" s="22"/>
      <c r="F480" s="22"/>
    </row>
    <row r="481" ht="15.75" customHeight="1">
      <c r="A481" s="22"/>
      <c r="B481" s="22"/>
      <c r="C481" s="22"/>
      <c r="D481" s="22"/>
      <c r="E481" s="22"/>
      <c r="F481" s="22"/>
    </row>
    <row r="482" ht="15.75" customHeight="1">
      <c r="A482" s="22"/>
      <c r="B482" s="22"/>
      <c r="C482" s="22"/>
      <c r="D482" s="22"/>
      <c r="E482" s="22"/>
      <c r="F482" s="22"/>
    </row>
    <row r="483" ht="15.75" customHeight="1">
      <c r="A483" s="22"/>
      <c r="B483" s="22"/>
      <c r="C483" s="22"/>
      <c r="D483" s="22"/>
      <c r="E483" s="22"/>
      <c r="F483" s="22"/>
    </row>
    <row r="484" ht="15.75" customHeight="1">
      <c r="A484" s="22"/>
      <c r="B484" s="22"/>
      <c r="C484" s="22"/>
      <c r="D484" s="22"/>
      <c r="E484" s="22"/>
      <c r="F484" s="22"/>
    </row>
    <row r="485" ht="15.75" customHeight="1">
      <c r="A485" s="22"/>
      <c r="B485" s="22"/>
      <c r="C485" s="22"/>
      <c r="D485" s="22"/>
      <c r="E485" s="22"/>
      <c r="F485" s="22"/>
    </row>
    <row r="486" ht="15.75" customHeight="1">
      <c r="A486" s="22"/>
      <c r="B486" s="22"/>
      <c r="C486" s="22"/>
      <c r="D486" s="22"/>
      <c r="E486" s="22"/>
      <c r="F486" s="22"/>
    </row>
    <row r="487" ht="15.75" customHeight="1">
      <c r="A487" s="22"/>
      <c r="B487" s="22"/>
      <c r="C487" s="22"/>
      <c r="D487" s="22"/>
      <c r="E487" s="22"/>
      <c r="F487" s="22"/>
    </row>
    <row r="488" ht="15.75" customHeight="1">
      <c r="A488" s="22"/>
      <c r="B488" s="22"/>
      <c r="C488" s="22"/>
      <c r="D488" s="22"/>
      <c r="E488" s="22"/>
      <c r="F488" s="22"/>
    </row>
    <row r="489" ht="15.75" customHeight="1">
      <c r="A489" s="22"/>
      <c r="B489" s="22"/>
      <c r="C489" s="22"/>
      <c r="D489" s="22"/>
      <c r="E489" s="22"/>
      <c r="F489" s="22"/>
    </row>
    <row r="490" ht="15.75" customHeight="1">
      <c r="A490" s="22"/>
      <c r="B490" s="22"/>
      <c r="C490" s="22"/>
      <c r="D490" s="22"/>
      <c r="E490" s="22"/>
      <c r="F490" s="22"/>
    </row>
    <row r="491" ht="15.75" customHeight="1">
      <c r="A491" s="22"/>
      <c r="B491" s="22"/>
      <c r="C491" s="22"/>
      <c r="D491" s="22"/>
      <c r="E491" s="22"/>
      <c r="F491" s="22"/>
    </row>
    <row r="492" ht="15.75" customHeight="1">
      <c r="A492" s="22"/>
      <c r="B492" s="22"/>
      <c r="C492" s="22"/>
      <c r="D492" s="22"/>
      <c r="E492" s="22"/>
      <c r="F492" s="22"/>
    </row>
    <row r="493" ht="15.75" customHeight="1">
      <c r="A493" s="22"/>
      <c r="B493" s="22"/>
      <c r="C493" s="22"/>
      <c r="D493" s="22"/>
      <c r="E493" s="22"/>
      <c r="F493" s="22"/>
    </row>
    <row r="494" ht="15.75" customHeight="1">
      <c r="A494" s="22"/>
      <c r="B494" s="22"/>
      <c r="C494" s="22"/>
      <c r="D494" s="22"/>
      <c r="E494" s="22"/>
      <c r="F494" s="22"/>
    </row>
    <row r="495" ht="15.75" customHeight="1">
      <c r="A495" s="22"/>
      <c r="B495" s="22"/>
      <c r="C495" s="22"/>
      <c r="D495" s="22"/>
      <c r="E495" s="22"/>
      <c r="F495" s="22"/>
    </row>
    <row r="496" ht="15.75" customHeight="1">
      <c r="A496" s="22"/>
      <c r="B496" s="22"/>
      <c r="C496" s="22"/>
      <c r="D496" s="22"/>
      <c r="E496" s="22"/>
      <c r="F496" s="22"/>
    </row>
    <row r="497" ht="15.75" customHeight="1">
      <c r="A497" s="22"/>
      <c r="B497" s="22"/>
      <c r="C497" s="22"/>
      <c r="D497" s="22"/>
      <c r="E497" s="22"/>
      <c r="F497" s="22"/>
    </row>
    <row r="498" ht="15.75" customHeight="1">
      <c r="A498" s="22"/>
      <c r="B498" s="22"/>
      <c r="C498" s="22"/>
      <c r="D498" s="22"/>
      <c r="E498" s="22"/>
      <c r="F498" s="22"/>
    </row>
    <row r="499" ht="15.75" customHeight="1">
      <c r="A499" s="22"/>
      <c r="B499" s="22"/>
      <c r="C499" s="22"/>
      <c r="D499" s="22"/>
      <c r="E499" s="22"/>
      <c r="F499" s="22"/>
    </row>
    <row r="500" ht="15.75" customHeight="1">
      <c r="A500" s="22"/>
      <c r="B500" s="22"/>
      <c r="C500" s="22"/>
      <c r="D500" s="22"/>
      <c r="E500" s="22"/>
      <c r="F500" s="22"/>
    </row>
    <row r="501" ht="15.75" customHeight="1">
      <c r="A501" s="22"/>
      <c r="B501" s="22"/>
      <c r="C501" s="22"/>
      <c r="D501" s="22"/>
      <c r="E501" s="22"/>
      <c r="F501" s="22"/>
    </row>
    <row r="502" ht="15.75" customHeight="1">
      <c r="A502" s="22"/>
      <c r="B502" s="22"/>
      <c r="C502" s="22"/>
      <c r="D502" s="22"/>
      <c r="E502" s="22"/>
      <c r="F502" s="22"/>
    </row>
    <row r="503" ht="15.75" customHeight="1">
      <c r="A503" s="22"/>
      <c r="B503" s="22"/>
      <c r="C503" s="22"/>
      <c r="D503" s="22"/>
      <c r="E503" s="22"/>
      <c r="F503" s="22"/>
    </row>
    <row r="504" ht="15.75" customHeight="1">
      <c r="A504" s="22"/>
      <c r="B504" s="22"/>
      <c r="C504" s="22"/>
      <c r="D504" s="22"/>
      <c r="E504" s="22"/>
      <c r="F504" s="22"/>
    </row>
    <row r="505" ht="15.75" customHeight="1">
      <c r="A505" s="22"/>
      <c r="B505" s="22"/>
      <c r="C505" s="22"/>
      <c r="D505" s="22"/>
      <c r="E505" s="22"/>
      <c r="F505" s="22"/>
    </row>
    <row r="506" ht="15.75" customHeight="1">
      <c r="A506" s="22"/>
      <c r="B506" s="22"/>
      <c r="C506" s="22"/>
      <c r="D506" s="22"/>
      <c r="E506" s="22"/>
      <c r="F506" s="22"/>
    </row>
    <row r="507" ht="15.75" customHeight="1">
      <c r="A507" s="22"/>
      <c r="B507" s="22"/>
      <c r="C507" s="22"/>
      <c r="D507" s="22"/>
      <c r="E507" s="22"/>
      <c r="F507" s="22"/>
    </row>
    <row r="508" ht="15.75" customHeight="1">
      <c r="A508" s="22"/>
      <c r="B508" s="22"/>
      <c r="C508" s="22"/>
      <c r="D508" s="22"/>
      <c r="E508" s="22"/>
      <c r="F508" s="22"/>
    </row>
    <row r="509" ht="15.75" customHeight="1">
      <c r="A509" s="22"/>
      <c r="B509" s="22"/>
      <c r="C509" s="22"/>
      <c r="D509" s="22"/>
      <c r="E509" s="22"/>
      <c r="F509" s="22"/>
    </row>
    <row r="510" ht="15.75" customHeight="1">
      <c r="A510" s="22"/>
      <c r="B510" s="22"/>
      <c r="C510" s="22"/>
      <c r="D510" s="22"/>
      <c r="E510" s="22"/>
      <c r="F510" s="22"/>
    </row>
    <row r="511" ht="15.75" customHeight="1">
      <c r="A511" s="22"/>
      <c r="B511" s="22"/>
      <c r="C511" s="22"/>
      <c r="D511" s="22"/>
      <c r="E511" s="22"/>
      <c r="F511" s="22"/>
    </row>
    <row r="512" ht="15.75" customHeight="1">
      <c r="A512" s="22"/>
      <c r="B512" s="22"/>
      <c r="C512" s="22"/>
      <c r="D512" s="22"/>
      <c r="E512" s="22"/>
      <c r="F512" s="22"/>
    </row>
    <row r="513" ht="15.75" customHeight="1">
      <c r="A513" s="22"/>
      <c r="B513" s="22"/>
      <c r="C513" s="22"/>
      <c r="D513" s="22"/>
      <c r="E513" s="22"/>
      <c r="F513" s="22"/>
    </row>
    <row r="514" ht="15.75" customHeight="1">
      <c r="A514" s="22"/>
      <c r="B514" s="22"/>
      <c r="C514" s="22"/>
      <c r="D514" s="22"/>
      <c r="E514" s="22"/>
      <c r="F514" s="22"/>
    </row>
    <row r="515" ht="15.75" customHeight="1">
      <c r="A515" s="22"/>
      <c r="B515" s="22"/>
      <c r="C515" s="22"/>
      <c r="D515" s="22"/>
      <c r="E515" s="22"/>
      <c r="F515" s="22"/>
    </row>
    <row r="516" ht="15.75" customHeight="1">
      <c r="A516" s="22"/>
      <c r="B516" s="22"/>
      <c r="C516" s="22"/>
      <c r="D516" s="22"/>
      <c r="E516" s="22"/>
      <c r="F516" s="22"/>
    </row>
    <row r="517" ht="15.75" customHeight="1">
      <c r="A517" s="22"/>
      <c r="B517" s="22"/>
      <c r="C517" s="22"/>
      <c r="D517" s="22"/>
      <c r="E517" s="22"/>
      <c r="F517" s="22"/>
    </row>
    <row r="518" ht="15.75" customHeight="1">
      <c r="A518" s="22"/>
      <c r="B518" s="22"/>
      <c r="C518" s="22"/>
      <c r="D518" s="22"/>
      <c r="E518" s="22"/>
      <c r="F518" s="22"/>
    </row>
    <row r="519" ht="15.75" customHeight="1">
      <c r="A519" s="22"/>
      <c r="B519" s="22"/>
      <c r="C519" s="22"/>
      <c r="D519" s="22"/>
      <c r="E519" s="22"/>
      <c r="F519" s="22"/>
    </row>
    <row r="520" ht="15.75" customHeight="1">
      <c r="A520" s="22"/>
      <c r="B520" s="22"/>
      <c r="C520" s="22"/>
      <c r="D520" s="22"/>
      <c r="E520" s="22"/>
      <c r="F520" s="22"/>
    </row>
    <row r="521" ht="15.75" customHeight="1">
      <c r="A521" s="22"/>
      <c r="B521" s="22"/>
      <c r="C521" s="22"/>
      <c r="D521" s="22"/>
      <c r="E521" s="22"/>
      <c r="F521" s="22"/>
    </row>
    <row r="522" ht="15.75" customHeight="1">
      <c r="A522" s="22"/>
      <c r="B522" s="22"/>
      <c r="C522" s="22"/>
      <c r="D522" s="22"/>
      <c r="E522" s="22"/>
      <c r="F522" s="22"/>
    </row>
    <row r="523" ht="15.75" customHeight="1">
      <c r="A523" s="22"/>
      <c r="B523" s="22"/>
      <c r="C523" s="22"/>
      <c r="D523" s="22"/>
      <c r="E523" s="22"/>
      <c r="F523" s="22"/>
    </row>
    <row r="524" ht="15.75" customHeight="1">
      <c r="A524" s="22"/>
      <c r="B524" s="22"/>
      <c r="C524" s="22"/>
      <c r="D524" s="22"/>
      <c r="E524" s="22"/>
      <c r="F524" s="22"/>
    </row>
    <row r="525" ht="15.75" customHeight="1">
      <c r="A525" s="22"/>
      <c r="B525" s="22"/>
      <c r="C525" s="22"/>
      <c r="D525" s="22"/>
      <c r="E525" s="22"/>
      <c r="F525" s="22"/>
    </row>
    <row r="526" ht="15.75" customHeight="1">
      <c r="A526" s="22"/>
      <c r="B526" s="22"/>
      <c r="C526" s="22"/>
      <c r="D526" s="22"/>
      <c r="E526" s="22"/>
      <c r="F526" s="22"/>
    </row>
    <row r="527" ht="15.75" customHeight="1">
      <c r="A527" s="22"/>
      <c r="B527" s="22"/>
      <c r="C527" s="22"/>
      <c r="D527" s="22"/>
      <c r="E527" s="22"/>
      <c r="F527" s="22"/>
    </row>
    <row r="528" ht="15.75" customHeight="1">
      <c r="A528" s="22"/>
      <c r="B528" s="22"/>
      <c r="C528" s="22"/>
      <c r="D528" s="22"/>
      <c r="E528" s="22"/>
      <c r="F528" s="22"/>
    </row>
    <row r="529" ht="15.75" customHeight="1">
      <c r="A529" s="22"/>
      <c r="B529" s="22"/>
      <c r="C529" s="22"/>
      <c r="D529" s="22"/>
      <c r="E529" s="22"/>
      <c r="F529" s="22"/>
    </row>
    <row r="530" ht="15.75" customHeight="1">
      <c r="A530" s="22"/>
      <c r="B530" s="22"/>
      <c r="C530" s="22"/>
      <c r="D530" s="22"/>
      <c r="E530" s="22"/>
      <c r="F530" s="22"/>
    </row>
    <row r="531" ht="15.75" customHeight="1">
      <c r="A531" s="22"/>
      <c r="B531" s="22"/>
      <c r="C531" s="22"/>
      <c r="D531" s="22"/>
      <c r="E531" s="22"/>
      <c r="F531" s="22"/>
    </row>
    <row r="532" ht="15.75" customHeight="1">
      <c r="A532" s="22"/>
      <c r="B532" s="22"/>
      <c r="C532" s="22"/>
      <c r="D532" s="22"/>
      <c r="E532" s="22"/>
      <c r="F532" s="22"/>
    </row>
    <row r="533" ht="15.75" customHeight="1">
      <c r="A533" s="22"/>
      <c r="B533" s="22"/>
      <c r="C533" s="22"/>
      <c r="D533" s="22"/>
      <c r="E533" s="22"/>
      <c r="F533" s="22"/>
    </row>
    <row r="534" ht="15.75" customHeight="1">
      <c r="A534" s="22"/>
      <c r="B534" s="22"/>
      <c r="C534" s="22"/>
      <c r="D534" s="22"/>
      <c r="E534" s="22"/>
      <c r="F534" s="22"/>
    </row>
    <row r="535" ht="15.75" customHeight="1">
      <c r="A535" s="22"/>
      <c r="B535" s="22"/>
      <c r="C535" s="22"/>
      <c r="D535" s="22"/>
      <c r="E535" s="22"/>
      <c r="F535" s="22"/>
    </row>
    <row r="536" ht="15.75" customHeight="1">
      <c r="A536" s="22"/>
      <c r="B536" s="22"/>
      <c r="C536" s="22"/>
      <c r="D536" s="22"/>
      <c r="E536" s="22"/>
      <c r="F536" s="22"/>
    </row>
    <row r="537" ht="15.75" customHeight="1">
      <c r="A537" s="22"/>
      <c r="B537" s="22"/>
      <c r="C537" s="22"/>
      <c r="D537" s="22"/>
      <c r="E537" s="22"/>
      <c r="F537" s="22"/>
    </row>
    <row r="538" ht="15.75" customHeight="1">
      <c r="A538" s="22"/>
      <c r="B538" s="22"/>
      <c r="C538" s="22"/>
      <c r="D538" s="22"/>
      <c r="E538" s="22"/>
      <c r="F538" s="22"/>
    </row>
    <row r="539" ht="15.75" customHeight="1">
      <c r="A539" s="22"/>
      <c r="B539" s="22"/>
      <c r="C539" s="22"/>
      <c r="D539" s="22"/>
      <c r="E539" s="22"/>
      <c r="F539" s="22"/>
    </row>
    <row r="540" ht="15.75" customHeight="1">
      <c r="A540" s="22"/>
      <c r="B540" s="22"/>
      <c r="C540" s="22"/>
      <c r="D540" s="22"/>
      <c r="E540" s="22"/>
      <c r="F540" s="22"/>
    </row>
    <row r="541" ht="15.75" customHeight="1">
      <c r="A541" s="22"/>
      <c r="B541" s="22"/>
      <c r="C541" s="22"/>
      <c r="D541" s="22"/>
      <c r="E541" s="22"/>
      <c r="F541" s="22"/>
    </row>
    <row r="542" ht="15.75" customHeight="1">
      <c r="A542" s="22"/>
      <c r="B542" s="22"/>
      <c r="C542" s="22"/>
      <c r="D542" s="22"/>
      <c r="E542" s="22"/>
      <c r="F542" s="22"/>
    </row>
    <row r="543" ht="15.75" customHeight="1">
      <c r="A543" s="22"/>
      <c r="B543" s="22"/>
      <c r="C543" s="22"/>
      <c r="D543" s="22"/>
      <c r="E543" s="22"/>
      <c r="F543" s="22"/>
    </row>
    <row r="544" ht="15.75" customHeight="1">
      <c r="A544" s="22"/>
      <c r="B544" s="22"/>
      <c r="C544" s="22"/>
      <c r="D544" s="22"/>
      <c r="E544" s="22"/>
      <c r="F544" s="22"/>
    </row>
    <row r="545" ht="15.75" customHeight="1">
      <c r="A545" s="22"/>
      <c r="B545" s="22"/>
      <c r="C545" s="22"/>
      <c r="D545" s="22"/>
      <c r="E545" s="22"/>
      <c r="F545" s="22"/>
    </row>
    <row r="546" ht="15.75" customHeight="1">
      <c r="A546" s="22"/>
      <c r="B546" s="22"/>
      <c r="C546" s="22"/>
      <c r="D546" s="22"/>
      <c r="E546" s="22"/>
      <c r="F546" s="22"/>
    </row>
    <row r="547" ht="15.75" customHeight="1">
      <c r="A547" s="22"/>
      <c r="B547" s="22"/>
      <c r="C547" s="22"/>
      <c r="D547" s="22"/>
      <c r="E547" s="22"/>
      <c r="F547" s="22"/>
    </row>
    <row r="548" ht="15.75" customHeight="1">
      <c r="A548" s="22"/>
      <c r="B548" s="22"/>
      <c r="C548" s="22"/>
      <c r="D548" s="22"/>
      <c r="E548" s="22"/>
      <c r="F548" s="22"/>
    </row>
    <row r="549" ht="15.75" customHeight="1">
      <c r="A549" s="22"/>
      <c r="B549" s="22"/>
      <c r="C549" s="22"/>
      <c r="D549" s="22"/>
      <c r="E549" s="22"/>
      <c r="F549" s="22"/>
    </row>
    <row r="550" ht="15.75" customHeight="1">
      <c r="A550" s="22"/>
      <c r="B550" s="22"/>
      <c r="C550" s="22"/>
      <c r="D550" s="22"/>
      <c r="E550" s="22"/>
      <c r="F550" s="22"/>
    </row>
    <row r="551" ht="15.75" customHeight="1">
      <c r="A551" s="22"/>
      <c r="B551" s="22"/>
      <c r="C551" s="22"/>
      <c r="D551" s="22"/>
      <c r="E551" s="22"/>
      <c r="F551" s="22"/>
    </row>
    <row r="552" ht="15.75" customHeight="1">
      <c r="A552" s="22"/>
      <c r="B552" s="22"/>
      <c r="C552" s="22"/>
      <c r="D552" s="22"/>
      <c r="E552" s="22"/>
      <c r="F552" s="22"/>
    </row>
    <row r="553" ht="15.75" customHeight="1">
      <c r="A553" s="22"/>
      <c r="B553" s="22"/>
      <c r="C553" s="22"/>
      <c r="D553" s="22"/>
      <c r="E553" s="22"/>
      <c r="F553" s="22"/>
    </row>
    <row r="554" ht="15.75" customHeight="1">
      <c r="A554" s="22"/>
      <c r="B554" s="22"/>
      <c r="C554" s="22"/>
      <c r="D554" s="22"/>
      <c r="E554" s="22"/>
      <c r="F554" s="22"/>
    </row>
    <row r="555" ht="15.75" customHeight="1">
      <c r="A555" s="22"/>
      <c r="B555" s="22"/>
      <c r="C555" s="22"/>
      <c r="D555" s="22"/>
      <c r="E555" s="22"/>
      <c r="F555" s="22"/>
    </row>
    <row r="556" ht="15.75" customHeight="1">
      <c r="A556" s="22"/>
      <c r="B556" s="22"/>
      <c r="C556" s="22"/>
      <c r="D556" s="22"/>
      <c r="E556" s="22"/>
      <c r="F556" s="22"/>
    </row>
    <row r="557" ht="15.75" customHeight="1">
      <c r="A557" s="22"/>
      <c r="B557" s="22"/>
      <c r="C557" s="22"/>
      <c r="D557" s="22"/>
      <c r="E557" s="22"/>
      <c r="F557" s="22"/>
    </row>
    <row r="558" ht="15.75" customHeight="1">
      <c r="A558" s="22"/>
      <c r="B558" s="22"/>
      <c r="C558" s="22"/>
      <c r="D558" s="22"/>
      <c r="E558" s="22"/>
      <c r="F558" s="22"/>
    </row>
    <row r="559" ht="15.75" customHeight="1">
      <c r="A559" s="22"/>
      <c r="B559" s="22"/>
      <c r="C559" s="22"/>
      <c r="D559" s="22"/>
      <c r="E559" s="22"/>
      <c r="F559" s="22"/>
    </row>
    <row r="560" ht="15.75" customHeight="1">
      <c r="A560" s="22"/>
      <c r="B560" s="22"/>
      <c r="C560" s="22"/>
      <c r="D560" s="22"/>
      <c r="E560" s="22"/>
      <c r="F560" s="22"/>
    </row>
    <row r="561" ht="15.75" customHeight="1">
      <c r="A561" s="22"/>
      <c r="B561" s="22"/>
      <c r="C561" s="22"/>
      <c r="D561" s="22"/>
      <c r="E561" s="22"/>
      <c r="F561" s="22"/>
    </row>
    <row r="562" ht="15.75" customHeight="1">
      <c r="A562" s="22"/>
      <c r="B562" s="22"/>
      <c r="C562" s="22"/>
      <c r="D562" s="22"/>
      <c r="E562" s="22"/>
      <c r="F562" s="22"/>
    </row>
    <row r="563" ht="15.75" customHeight="1">
      <c r="A563" s="22"/>
      <c r="B563" s="22"/>
      <c r="C563" s="22"/>
      <c r="D563" s="22"/>
      <c r="E563" s="22"/>
      <c r="F563" s="22"/>
    </row>
    <row r="564" ht="15.75" customHeight="1">
      <c r="A564" s="22"/>
      <c r="B564" s="22"/>
      <c r="C564" s="22"/>
      <c r="D564" s="22"/>
      <c r="E564" s="22"/>
      <c r="F564" s="22"/>
    </row>
    <row r="565" ht="15.75" customHeight="1">
      <c r="A565" s="22"/>
      <c r="B565" s="22"/>
      <c r="C565" s="22"/>
      <c r="D565" s="22"/>
      <c r="E565" s="22"/>
      <c r="F565" s="22"/>
    </row>
    <row r="566" ht="15.75" customHeight="1">
      <c r="A566" s="22"/>
      <c r="B566" s="22"/>
      <c r="C566" s="22"/>
      <c r="D566" s="22"/>
      <c r="E566" s="22"/>
      <c r="F566" s="22"/>
    </row>
    <row r="567" ht="15.75" customHeight="1">
      <c r="A567" s="22"/>
      <c r="B567" s="22"/>
      <c r="C567" s="22"/>
      <c r="D567" s="22"/>
      <c r="E567" s="22"/>
      <c r="F567" s="22"/>
    </row>
    <row r="568" ht="15.75" customHeight="1">
      <c r="A568" s="22"/>
      <c r="B568" s="22"/>
      <c r="C568" s="22"/>
      <c r="D568" s="22"/>
      <c r="E568" s="22"/>
      <c r="F568" s="22"/>
    </row>
    <row r="569" ht="15.75" customHeight="1">
      <c r="A569" s="22"/>
      <c r="B569" s="22"/>
      <c r="C569" s="22"/>
      <c r="D569" s="22"/>
      <c r="E569" s="22"/>
      <c r="F569" s="22"/>
    </row>
    <row r="570" ht="15.75" customHeight="1">
      <c r="A570" s="22"/>
      <c r="B570" s="22"/>
      <c r="C570" s="22"/>
      <c r="D570" s="22"/>
      <c r="E570" s="22"/>
      <c r="F570" s="22"/>
    </row>
    <row r="571" ht="15.75" customHeight="1">
      <c r="A571" s="22"/>
      <c r="B571" s="22"/>
      <c r="C571" s="22"/>
      <c r="D571" s="22"/>
      <c r="E571" s="22"/>
      <c r="F571" s="22"/>
    </row>
    <row r="572" ht="15.75" customHeight="1">
      <c r="A572" s="22"/>
      <c r="B572" s="22"/>
      <c r="C572" s="22"/>
      <c r="D572" s="22"/>
      <c r="E572" s="22"/>
      <c r="F572" s="22"/>
    </row>
    <row r="573" ht="15.75" customHeight="1">
      <c r="A573" s="22"/>
      <c r="B573" s="22"/>
      <c r="C573" s="22"/>
      <c r="D573" s="22"/>
      <c r="E573" s="22"/>
      <c r="F573" s="22"/>
    </row>
    <row r="574" ht="15.75" customHeight="1">
      <c r="A574" s="22"/>
      <c r="B574" s="22"/>
      <c r="C574" s="22"/>
      <c r="D574" s="22"/>
      <c r="E574" s="22"/>
      <c r="F574" s="22"/>
    </row>
    <row r="575" ht="15.75" customHeight="1">
      <c r="A575" s="22"/>
      <c r="B575" s="22"/>
      <c r="C575" s="22"/>
      <c r="D575" s="22"/>
      <c r="E575" s="22"/>
      <c r="F575" s="22"/>
    </row>
    <row r="576" ht="15.75" customHeight="1">
      <c r="A576" s="22"/>
      <c r="B576" s="22"/>
      <c r="C576" s="22"/>
      <c r="D576" s="22"/>
      <c r="E576" s="22"/>
      <c r="F576" s="22"/>
    </row>
    <row r="577" ht="15.75" customHeight="1">
      <c r="A577" s="22"/>
      <c r="B577" s="22"/>
      <c r="C577" s="22"/>
      <c r="D577" s="22"/>
      <c r="E577" s="22"/>
      <c r="F577" s="22"/>
    </row>
    <row r="578" ht="15.75" customHeight="1">
      <c r="A578" s="22"/>
      <c r="B578" s="22"/>
      <c r="C578" s="22"/>
      <c r="D578" s="22"/>
      <c r="E578" s="22"/>
      <c r="F578" s="22"/>
    </row>
    <row r="579" ht="15.75" customHeight="1">
      <c r="A579" s="22"/>
      <c r="B579" s="22"/>
      <c r="C579" s="22"/>
      <c r="D579" s="22"/>
      <c r="E579" s="22"/>
      <c r="F579" s="22"/>
    </row>
    <row r="580" ht="15.75" customHeight="1">
      <c r="A580" s="22"/>
      <c r="B580" s="22"/>
      <c r="C580" s="22"/>
      <c r="D580" s="22"/>
      <c r="E580" s="22"/>
      <c r="F580" s="22"/>
    </row>
    <row r="581" ht="15.75" customHeight="1">
      <c r="A581" s="22"/>
      <c r="B581" s="22"/>
      <c r="C581" s="22"/>
      <c r="D581" s="22"/>
      <c r="E581" s="22"/>
      <c r="F581" s="22"/>
    </row>
    <row r="582" ht="15.75" customHeight="1">
      <c r="A582" s="22"/>
      <c r="B582" s="22"/>
      <c r="C582" s="22"/>
      <c r="D582" s="22"/>
      <c r="E582" s="22"/>
      <c r="F582" s="22"/>
    </row>
    <row r="583" ht="15.75" customHeight="1">
      <c r="A583" s="22"/>
      <c r="B583" s="22"/>
      <c r="C583" s="22"/>
      <c r="D583" s="22"/>
      <c r="E583" s="22"/>
      <c r="F583" s="22"/>
    </row>
    <row r="584" ht="15.75" customHeight="1">
      <c r="A584" s="22"/>
      <c r="B584" s="22"/>
      <c r="C584" s="22"/>
      <c r="D584" s="22"/>
      <c r="E584" s="22"/>
      <c r="F584" s="22"/>
    </row>
    <row r="585" ht="15.75" customHeight="1">
      <c r="A585" s="22"/>
      <c r="B585" s="22"/>
      <c r="C585" s="22"/>
      <c r="D585" s="22"/>
      <c r="E585" s="22"/>
      <c r="F585" s="22"/>
    </row>
    <row r="586" ht="15.75" customHeight="1">
      <c r="A586" s="22"/>
      <c r="B586" s="22"/>
      <c r="C586" s="22"/>
      <c r="D586" s="22"/>
      <c r="E586" s="22"/>
      <c r="F586" s="22"/>
    </row>
    <row r="587" ht="15.75" customHeight="1">
      <c r="A587" s="22"/>
      <c r="B587" s="22"/>
      <c r="C587" s="22"/>
      <c r="D587" s="22"/>
      <c r="E587" s="22"/>
      <c r="F587" s="22"/>
    </row>
    <row r="588" ht="15.75" customHeight="1">
      <c r="A588" s="22"/>
      <c r="B588" s="22"/>
      <c r="C588" s="22"/>
      <c r="D588" s="22"/>
      <c r="E588" s="22"/>
      <c r="F588" s="22"/>
    </row>
    <row r="589" ht="15.75" customHeight="1">
      <c r="A589" s="22"/>
      <c r="B589" s="22"/>
      <c r="C589" s="22"/>
      <c r="D589" s="22"/>
      <c r="E589" s="22"/>
      <c r="F589" s="22"/>
    </row>
    <row r="590" ht="15.75" customHeight="1">
      <c r="A590" s="22"/>
      <c r="B590" s="22"/>
      <c r="C590" s="22"/>
      <c r="D590" s="22"/>
      <c r="E590" s="22"/>
      <c r="F590" s="22"/>
    </row>
    <row r="591" ht="15.75" customHeight="1">
      <c r="A591" s="22"/>
      <c r="B591" s="22"/>
      <c r="C591" s="22"/>
      <c r="D591" s="22"/>
      <c r="E591" s="22"/>
      <c r="F591" s="22"/>
    </row>
    <row r="592" ht="15.75" customHeight="1">
      <c r="A592" s="22"/>
      <c r="B592" s="22"/>
      <c r="C592" s="22"/>
      <c r="D592" s="22"/>
      <c r="E592" s="22"/>
      <c r="F592" s="22"/>
    </row>
    <row r="593" ht="15.75" customHeight="1">
      <c r="A593" s="22"/>
      <c r="B593" s="22"/>
      <c r="C593" s="22"/>
      <c r="D593" s="22"/>
      <c r="E593" s="22"/>
      <c r="F593" s="22"/>
    </row>
    <row r="594" ht="15.75" customHeight="1">
      <c r="A594" s="22"/>
      <c r="B594" s="22"/>
      <c r="C594" s="22"/>
      <c r="D594" s="22"/>
      <c r="E594" s="22"/>
      <c r="F594" s="22"/>
    </row>
    <row r="595" ht="15.75" customHeight="1">
      <c r="A595" s="22"/>
      <c r="B595" s="22"/>
      <c r="C595" s="22"/>
      <c r="D595" s="22"/>
      <c r="E595" s="22"/>
      <c r="F595" s="22"/>
    </row>
    <row r="596" ht="15.75" customHeight="1">
      <c r="A596" s="22"/>
      <c r="B596" s="22"/>
      <c r="C596" s="22"/>
      <c r="D596" s="22"/>
      <c r="E596" s="22"/>
      <c r="F596" s="22"/>
    </row>
    <row r="597" ht="15.75" customHeight="1">
      <c r="A597" s="22"/>
      <c r="B597" s="22"/>
      <c r="C597" s="22"/>
      <c r="D597" s="22"/>
      <c r="E597" s="22"/>
      <c r="F597" s="22"/>
    </row>
    <row r="598" ht="15.75" customHeight="1">
      <c r="A598" s="22"/>
      <c r="B598" s="22"/>
      <c r="C598" s="22"/>
      <c r="D598" s="22"/>
      <c r="E598" s="22"/>
      <c r="F598" s="22"/>
    </row>
    <row r="599" ht="15.75" customHeight="1">
      <c r="A599" s="22"/>
      <c r="B599" s="22"/>
      <c r="C599" s="22"/>
      <c r="D599" s="22"/>
      <c r="E599" s="22"/>
      <c r="F599" s="22"/>
    </row>
    <row r="600" ht="15.75" customHeight="1">
      <c r="A600" s="22"/>
      <c r="B600" s="22"/>
      <c r="C600" s="22"/>
      <c r="D600" s="22"/>
      <c r="E600" s="22"/>
      <c r="F600" s="22"/>
    </row>
    <row r="601" ht="15.75" customHeight="1">
      <c r="A601" s="22"/>
      <c r="B601" s="22"/>
      <c r="C601" s="22"/>
      <c r="D601" s="22"/>
      <c r="E601" s="22"/>
      <c r="F601" s="22"/>
    </row>
    <row r="602" ht="15.75" customHeight="1">
      <c r="A602" s="22"/>
      <c r="B602" s="22"/>
      <c r="C602" s="22"/>
      <c r="D602" s="22"/>
      <c r="E602" s="22"/>
      <c r="F602" s="22"/>
    </row>
    <row r="603" ht="15.75" customHeight="1">
      <c r="A603" s="22"/>
      <c r="B603" s="22"/>
      <c r="C603" s="22"/>
      <c r="D603" s="22"/>
      <c r="E603" s="22"/>
      <c r="F603" s="22"/>
    </row>
    <row r="604" ht="15.75" customHeight="1">
      <c r="A604" s="22"/>
      <c r="B604" s="22"/>
      <c r="C604" s="22"/>
      <c r="D604" s="22"/>
      <c r="E604" s="22"/>
      <c r="F604" s="22"/>
    </row>
    <row r="605" ht="15.75" customHeight="1">
      <c r="A605" s="22"/>
      <c r="B605" s="22"/>
      <c r="C605" s="22"/>
      <c r="D605" s="22"/>
      <c r="E605" s="22"/>
      <c r="F605" s="22"/>
    </row>
    <row r="606" ht="15.75" customHeight="1">
      <c r="A606" s="22"/>
      <c r="B606" s="22"/>
      <c r="C606" s="22"/>
      <c r="D606" s="22"/>
      <c r="E606" s="22"/>
      <c r="F606" s="22"/>
    </row>
    <row r="607" ht="15.75" customHeight="1">
      <c r="A607" s="22"/>
      <c r="B607" s="22"/>
      <c r="C607" s="22"/>
      <c r="D607" s="22"/>
      <c r="E607" s="22"/>
      <c r="F607" s="22"/>
    </row>
    <row r="608" ht="15.75" customHeight="1">
      <c r="A608" s="22"/>
      <c r="B608" s="22"/>
      <c r="C608" s="22"/>
      <c r="D608" s="22"/>
      <c r="E608" s="22"/>
      <c r="F608" s="22"/>
    </row>
    <row r="609" ht="15.75" customHeight="1">
      <c r="A609" s="22"/>
      <c r="B609" s="22"/>
      <c r="C609" s="22"/>
      <c r="D609" s="22"/>
      <c r="E609" s="22"/>
      <c r="F609" s="22"/>
    </row>
    <row r="610" ht="15.75" customHeight="1">
      <c r="A610" s="22"/>
      <c r="B610" s="22"/>
      <c r="C610" s="22"/>
      <c r="D610" s="22"/>
      <c r="E610" s="22"/>
      <c r="F610" s="22"/>
    </row>
    <row r="611" ht="15.75" customHeight="1">
      <c r="A611" s="22"/>
      <c r="B611" s="22"/>
      <c r="C611" s="22"/>
      <c r="D611" s="22"/>
      <c r="E611" s="22"/>
      <c r="F611" s="22"/>
    </row>
    <row r="612" ht="15.75" customHeight="1">
      <c r="A612" s="22"/>
      <c r="B612" s="22"/>
      <c r="C612" s="22"/>
      <c r="D612" s="22"/>
      <c r="E612" s="22"/>
      <c r="F612" s="22"/>
    </row>
    <row r="613" ht="15.75" customHeight="1">
      <c r="A613" s="22"/>
      <c r="B613" s="22"/>
      <c r="C613" s="22"/>
      <c r="D613" s="22"/>
      <c r="E613" s="22"/>
      <c r="F613" s="22"/>
    </row>
    <row r="614" ht="15.75" customHeight="1">
      <c r="A614" s="22"/>
      <c r="B614" s="22"/>
      <c r="C614" s="22"/>
      <c r="D614" s="22"/>
      <c r="E614" s="22"/>
      <c r="F614" s="22"/>
    </row>
    <row r="615" ht="15.75" customHeight="1">
      <c r="A615" s="22"/>
      <c r="B615" s="22"/>
      <c r="C615" s="22"/>
      <c r="D615" s="22"/>
      <c r="E615" s="22"/>
      <c r="F615" s="22"/>
    </row>
    <row r="616" ht="15.75" customHeight="1">
      <c r="A616" s="22"/>
      <c r="B616" s="22"/>
      <c r="C616" s="22"/>
      <c r="D616" s="22"/>
      <c r="E616" s="22"/>
      <c r="F616" s="22"/>
    </row>
    <row r="617" ht="15.75" customHeight="1">
      <c r="A617" s="22"/>
      <c r="B617" s="22"/>
      <c r="C617" s="22"/>
      <c r="D617" s="22"/>
      <c r="E617" s="22"/>
      <c r="F617" s="22"/>
    </row>
    <row r="618" ht="15.75" customHeight="1">
      <c r="A618" s="22"/>
      <c r="B618" s="22"/>
      <c r="C618" s="22"/>
      <c r="D618" s="22"/>
      <c r="E618" s="22"/>
      <c r="F618" s="22"/>
    </row>
    <row r="619" ht="15.75" customHeight="1">
      <c r="A619" s="22"/>
      <c r="B619" s="22"/>
      <c r="C619" s="22"/>
      <c r="D619" s="22"/>
      <c r="E619" s="22"/>
      <c r="F619" s="22"/>
    </row>
    <row r="620" ht="15.75" customHeight="1">
      <c r="A620" s="22"/>
      <c r="B620" s="22"/>
      <c r="C620" s="22"/>
      <c r="D620" s="22"/>
      <c r="E620" s="22"/>
      <c r="F620" s="22"/>
    </row>
    <row r="621" ht="15.75" customHeight="1">
      <c r="A621" s="22"/>
      <c r="B621" s="22"/>
      <c r="C621" s="22"/>
      <c r="D621" s="22"/>
      <c r="E621" s="22"/>
      <c r="F621" s="22"/>
    </row>
    <row r="622" ht="15.75" customHeight="1">
      <c r="A622" s="22"/>
      <c r="B622" s="22"/>
      <c r="C622" s="22"/>
      <c r="D622" s="22"/>
      <c r="E622" s="22"/>
      <c r="F622" s="22"/>
    </row>
    <row r="623" ht="15.75" customHeight="1">
      <c r="A623" s="22"/>
      <c r="B623" s="22"/>
      <c r="C623" s="22"/>
      <c r="D623" s="22"/>
      <c r="E623" s="22"/>
      <c r="F623" s="22"/>
    </row>
    <row r="624" ht="15.75" customHeight="1">
      <c r="A624" s="22"/>
      <c r="B624" s="22"/>
      <c r="C624" s="22"/>
      <c r="D624" s="22"/>
      <c r="E624" s="22"/>
      <c r="F624" s="22"/>
    </row>
    <row r="625" ht="15.75" customHeight="1">
      <c r="A625" s="22"/>
      <c r="B625" s="22"/>
      <c r="C625" s="22"/>
      <c r="D625" s="22"/>
      <c r="E625" s="22"/>
      <c r="F625" s="22"/>
    </row>
    <row r="626" ht="15.75" customHeight="1">
      <c r="A626" s="22"/>
      <c r="B626" s="22"/>
      <c r="C626" s="22"/>
      <c r="D626" s="22"/>
      <c r="E626" s="22"/>
      <c r="F626" s="22"/>
    </row>
    <row r="627" ht="15.75" customHeight="1">
      <c r="A627" s="22"/>
      <c r="B627" s="22"/>
      <c r="C627" s="22"/>
      <c r="D627" s="22"/>
      <c r="E627" s="22"/>
      <c r="F627" s="22"/>
    </row>
    <row r="628" ht="15.75" customHeight="1">
      <c r="A628" s="22"/>
      <c r="B628" s="22"/>
      <c r="C628" s="22"/>
      <c r="D628" s="22"/>
      <c r="E628" s="22"/>
      <c r="F628" s="22"/>
    </row>
    <row r="629" ht="15.75" customHeight="1">
      <c r="A629" s="22"/>
      <c r="B629" s="22"/>
      <c r="C629" s="22"/>
      <c r="D629" s="22"/>
      <c r="E629" s="22"/>
      <c r="F629" s="22"/>
    </row>
    <row r="630" ht="15.75" customHeight="1">
      <c r="A630" s="22"/>
      <c r="B630" s="22"/>
      <c r="C630" s="22"/>
      <c r="D630" s="22"/>
      <c r="E630" s="22"/>
      <c r="F630" s="22"/>
    </row>
    <row r="631" ht="15.75" customHeight="1">
      <c r="A631" s="22"/>
      <c r="B631" s="22"/>
      <c r="C631" s="22"/>
      <c r="D631" s="22"/>
      <c r="E631" s="22"/>
      <c r="F631" s="22"/>
    </row>
    <row r="632" ht="15.75" customHeight="1">
      <c r="A632" s="22"/>
      <c r="B632" s="22"/>
      <c r="C632" s="22"/>
      <c r="D632" s="22"/>
      <c r="E632" s="22"/>
      <c r="F632" s="22"/>
    </row>
    <row r="633" ht="15.75" customHeight="1">
      <c r="A633" s="22"/>
      <c r="B633" s="22"/>
      <c r="C633" s="22"/>
      <c r="D633" s="22"/>
      <c r="E633" s="22"/>
      <c r="F633" s="22"/>
    </row>
    <row r="634" ht="15.75" customHeight="1">
      <c r="A634" s="22"/>
      <c r="B634" s="22"/>
      <c r="C634" s="22"/>
      <c r="D634" s="22"/>
      <c r="E634" s="22"/>
      <c r="F634" s="22"/>
    </row>
    <row r="635" ht="15.75" customHeight="1">
      <c r="A635" s="22"/>
      <c r="B635" s="22"/>
      <c r="C635" s="22"/>
      <c r="D635" s="22"/>
      <c r="E635" s="22"/>
      <c r="F635" s="22"/>
    </row>
    <row r="636" ht="15.75" customHeight="1">
      <c r="A636" s="22"/>
      <c r="B636" s="22"/>
      <c r="C636" s="22"/>
      <c r="D636" s="22"/>
      <c r="E636" s="22"/>
      <c r="F636" s="22"/>
    </row>
    <row r="637" ht="15.75" customHeight="1">
      <c r="A637" s="22"/>
      <c r="B637" s="22"/>
      <c r="C637" s="22"/>
      <c r="D637" s="22"/>
      <c r="E637" s="22"/>
      <c r="F637" s="22"/>
    </row>
    <row r="638" ht="15.75" customHeight="1">
      <c r="A638" s="22"/>
      <c r="B638" s="22"/>
      <c r="C638" s="22"/>
      <c r="D638" s="22"/>
      <c r="E638" s="22"/>
      <c r="F638" s="22"/>
    </row>
    <row r="639" ht="15.75" customHeight="1">
      <c r="A639" s="22"/>
      <c r="B639" s="22"/>
      <c r="C639" s="22"/>
      <c r="D639" s="22"/>
      <c r="E639" s="22"/>
      <c r="F639" s="22"/>
    </row>
    <row r="640" ht="15.75" customHeight="1">
      <c r="A640" s="22"/>
      <c r="B640" s="22"/>
      <c r="C640" s="22"/>
      <c r="D640" s="22"/>
      <c r="E640" s="22"/>
      <c r="F640" s="22"/>
    </row>
    <row r="641" ht="15.75" customHeight="1">
      <c r="A641" s="22"/>
      <c r="B641" s="22"/>
      <c r="C641" s="22"/>
      <c r="D641" s="22"/>
      <c r="E641" s="22"/>
      <c r="F641" s="22"/>
    </row>
    <row r="642" ht="15.75" customHeight="1">
      <c r="A642" s="22"/>
      <c r="B642" s="22"/>
      <c r="C642" s="22"/>
      <c r="D642" s="22"/>
      <c r="E642" s="22"/>
      <c r="F642" s="22"/>
    </row>
    <row r="643" ht="15.75" customHeight="1">
      <c r="A643" s="22"/>
      <c r="B643" s="22"/>
      <c r="C643" s="22"/>
      <c r="D643" s="22"/>
      <c r="E643" s="22"/>
      <c r="F643" s="22"/>
    </row>
    <row r="644" ht="15.75" customHeight="1">
      <c r="A644" s="22"/>
      <c r="B644" s="22"/>
      <c r="C644" s="22"/>
      <c r="D644" s="22"/>
      <c r="E644" s="22"/>
      <c r="F644" s="22"/>
    </row>
    <row r="645" ht="15.75" customHeight="1">
      <c r="A645" s="22"/>
      <c r="B645" s="22"/>
      <c r="C645" s="22"/>
      <c r="D645" s="22"/>
      <c r="E645" s="22"/>
      <c r="F645" s="22"/>
    </row>
    <row r="646" ht="15.75" customHeight="1">
      <c r="A646" s="22"/>
      <c r="B646" s="22"/>
      <c r="C646" s="22"/>
      <c r="D646" s="22"/>
      <c r="E646" s="22"/>
      <c r="F646" s="22"/>
    </row>
    <row r="647" ht="15.75" customHeight="1">
      <c r="A647" s="22"/>
      <c r="B647" s="22"/>
      <c r="C647" s="22"/>
      <c r="D647" s="22"/>
      <c r="E647" s="22"/>
      <c r="F647" s="22"/>
    </row>
    <row r="648" ht="15.75" customHeight="1">
      <c r="A648" s="22"/>
      <c r="B648" s="22"/>
      <c r="C648" s="22"/>
      <c r="D648" s="22"/>
      <c r="E648" s="22"/>
      <c r="F648" s="22"/>
    </row>
    <row r="649" ht="15.75" customHeight="1">
      <c r="A649" s="22"/>
      <c r="B649" s="22"/>
      <c r="C649" s="22"/>
      <c r="D649" s="22"/>
      <c r="E649" s="22"/>
      <c r="F649" s="22"/>
    </row>
    <row r="650" ht="15.75" customHeight="1">
      <c r="A650" s="22"/>
      <c r="B650" s="22"/>
      <c r="C650" s="22"/>
      <c r="D650" s="22"/>
      <c r="E650" s="22"/>
      <c r="F650" s="22"/>
    </row>
    <row r="651" ht="15.75" customHeight="1">
      <c r="A651" s="22"/>
      <c r="B651" s="22"/>
      <c r="C651" s="22"/>
      <c r="D651" s="22"/>
      <c r="E651" s="22"/>
      <c r="F651" s="22"/>
    </row>
    <row r="652" ht="15.75" customHeight="1">
      <c r="A652" s="22"/>
      <c r="B652" s="22"/>
      <c r="C652" s="22"/>
      <c r="D652" s="22"/>
      <c r="E652" s="22"/>
      <c r="F652" s="22"/>
    </row>
    <row r="653" ht="15.75" customHeight="1">
      <c r="A653" s="22"/>
      <c r="B653" s="22"/>
      <c r="C653" s="22"/>
      <c r="D653" s="22"/>
      <c r="E653" s="22"/>
      <c r="F653" s="22"/>
    </row>
    <row r="654" ht="15.75" customHeight="1">
      <c r="A654" s="22"/>
      <c r="B654" s="22"/>
      <c r="C654" s="22"/>
      <c r="D654" s="22"/>
      <c r="E654" s="22"/>
      <c r="F654" s="22"/>
    </row>
    <row r="655" ht="15.75" customHeight="1">
      <c r="A655" s="22"/>
      <c r="B655" s="22"/>
      <c r="C655" s="22"/>
      <c r="D655" s="22"/>
      <c r="E655" s="22"/>
      <c r="F655" s="22"/>
    </row>
    <row r="656" ht="15.75" customHeight="1">
      <c r="A656" s="22"/>
      <c r="B656" s="22"/>
      <c r="C656" s="22"/>
      <c r="D656" s="22"/>
      <c r="E656" s="22"/>
      <c r="F656" s="22"/>
    </row>
    <row r="657" ht="15.75" customHeight="1">
      <c r="A657" s="22"/>
      <c r="B657" s="22"/>
      <c r="C657" s="22"/>
      <c r="D657" s="22"/>
      <c r="E657" s="22"/>
      <c r="F657" s="22"/>
    </row>
    <row r="658" ht="15.75" customHeight="1">
      <c r="A658" s="22"/>
      <c r="B658" s="22"/>
      <c r="C658" s="22"/>
      <c r="D658" s="22"/>
      <c r="E658" s="22"/>
      <c r="F658" s="22"/>
    </row>
    <row r="659" ht="15.75" customHeight="1">
      <c r="A659" s="22"/>
      <c r="B659" s="22"/>
      <c r="C659" s="22"/>
      <c r="D659" s="22"/>
      <c r="E659" s="22"/>
      <c r="F659" s="22"/>
    </row>
    <row r="660" ht="15.75" customHeight="1">
      <c r="A660" s="22"/>
      <c r="B660" s="22"/>
      <c r="C660" s="22"/>
      <c r="D660" s="22"/>
      <c r="E660" s="22"/>
      <c r="F660" s="22"/>
    </row>
    <row r="661" ht="15.75" customHeight="1">
      <c r="A661" s="22"/>
      <c r="B661" s="22"/>
      <c r="C661" s="22"/>
      <c r="D661" s="22"/>
      <c r="E661" s="22"/>
      <c r="F661" s="22"/>
    </row>
    <row r="662" ht="15.75" customHeight="1">
      <c r="A662" s="22"/>
      <c r="B662" s="22"/>
      <c r="C662" s="22"/>
      <c r="D662" s="22"/>
      <c r="E662" s="22"/>
      <c r="F662" s="22"/>
    </row>
    <row r="663" ht="15.75" customHeight="1">
      <c r="A663" s="22"/>
      <c r="B663" s="22"/>
      <c r="C663" s="22"/>
      <c r="D663" s="22"/>
      <c r="E663" s="22"/>
      <c r="F663" s="22"/>
    </row>
    <row r="664" ht="15.75" customHeight="1">
      <c r="A664" s="22"/>
      <c r="B664" s="22"/>
      <c r="C664" s="22"/>
      <c r="D664" s="22"/>
      <c r="E664" s="22"/>
      <c r="F664" s="22"/>
    </row>
    <row r="665" ht="15.75" customHeight="1">
      <c r="A665" s="22"/>
      <c r="B665" s="22"/>
      <c r="C665" s="22"/>
      <c r="D665" s="22"/>
      <c r="E665" s="22"/>
      <c r="F665" s="22"/>
    </row>
    <row r="666" ht="15.75" customHeight="1">
      <c r="A666" s="22"/>
      <c r="B666" s="22"/>
      <c r="C666" s="22"/>
      <c r="D666" s="22"/>
      <c r="E666" s="22"/>
      <c r="F666" s="22"/>
    </row>
    <row r="667" ht="15.75" customHeight="1">
      <c r="A667" s="22"/>
      <c r="B667" s="22"/>
      <c r="C667" s="22"/>
      <c r="D667" s="22"/>
      <c r="E667" s="22"/>
      <c r="F667" s="22"/>
    </row>
    <row r="668" ht="15.75" customHeight="1">
      <c r="A668" s="22"/>
      <c r="B668" s="22"/>
      <c r="C668" s="22"/>
      <c r="D668" s="22"/>
      <c r="E668" s="22"/>
      <c r="F668" s="22"/>
    </row>
    <row r="669" ht="15.75" customHeight="1">
      <c r="A669" s="22"/>
      <c r="B669" s="22"/>
      <c r="C669" s="22"/>
      <c r="D669" s="22"/>
      <c r="E669" s="22"/>
      <c r="F669" s="22"/>
    </row>
    <row r="670" ht="15.75" customHeight="1">
      <c r="A670" s="22"/>
      <c r="B670" s="22"/>
      <c r="C670" s="22"/>
      <c r="D670" s="22"/>
      <c r="E670" s="22"/>
      <c r="F670" s="22"/>
    </row>
    <row r="671" ht="15.75" customHeight="1">
      <c r="A671" s="22"/>
      <c r="B671" s="22"/>
      <c r="C671" s="22"/>
      <c r="D671" s="22"/>
      <c r="E671" s="22"/>
      <c r="F671" s="22"/>
    </row>
    <row r="672" ht="15.75" customHeight="1">
      <c r="A672" s="22"/>
      <c r="B672" s="22"/>
      <c r="C672" s="22"/>
      <c r="D672" s="22"/>
      <c r="E672" s="22"/>
      <c r="F672" s="22"/>
    </row>
    <row r="673" ht="15.75" customHeight="1">
      <c r="A673" s="22"/>
      <c r="B673" s="22"/>
      <c r="C673" s="22"/>
      <c r="D673" s="22"/>
      <c r="E673" s="22"/>
      <c r="F673" s="22"/>
    </row>
    <row r="674" ht="15.75" customHeight="1">
      <c r="A674" s="22"/>
      <c r="B674" s="22"/>
      <c r="C674" s="22"/>
      <c r="D674" s="22"/>
      <c r="E674" s="22"/>
      <c r="F674" s="22"/>
    </row>
    <row r="675" ht="15.75" customHeight="1">
      <c r="A675" s="22"/>
      <c r="B675" s="22"/>
      <c r="C675" s="22"/>
      <c r="D675" s="22"/>
      <c r="E675" s="22"/>
      <c r="F675" s="22"/>
    </row>
    <row r="676" ht="15.75" customHeight="1">
      <c r="A676" s="22"/>
      <c r="B676" s="22"/>
      <c r="C676" s="22"/>
      <c r="D676" s="22"/>
      <c r="E676" s="22"/>
      <c r="F676" s="22"/>
    </row>
    <row r="677" ht="15.75" customHeight="1">
      <c r="A677" s="22"/>
      <c r="B677" s="22"/>
      <c r="C677" s="22"/>
      <c r="D677" s="22"/>
      <c r="E677" s="22"/>
      <c r="F677" s="22"/>
    </row>
    <row r="678" ht="15.75" customHeight="1">
      <c r="A678" s="22"/>
      <c r="B678" s="22"/>
      <c r="C678" s="22"/>
      <c r="D678" s="22"/>
      <c r="E678" s="22"/>
      <c r="F678" s="22"/>
    </row>
    <row r="679" ht="15.75" customHeight="1">
      <c r="A679" s="22"/>
      <c r="B679" s="22"/>
      <c r="C679" s="22"/>
      <c r="D679" s="22"/>
      <c r="E679" s="22"/>
      <c r="F679" s="22"/>
    </row>
    <row r="680" ht="15.75" customHeight="1">
      <c r="A680" s="22"/>
      <c r="B680" s="22"/>
      <c r="C680" s="22"/>
      <c r="D680" s="22"/>
      <c r="E680" s="22"/>
      <c r="F680" s="22"/>
    </row>
    <row r="681" ht="15.75" customHeight="1">
      <c r="A681" s="22"/>
      <c r="B681" s="22"/>
      <c r="C681" s="22"/>
      <c r="D681" s="22"/>
      <c r="E681" s="22"/>
      <c r="F681" s="22"/>
    </row>
    <row r="682" ht="15.75" customHeight="1">
      <c r="A682" s="22"/>
      <c r="B682" s="22"/>
      <c r="C682" s="22"/>
      <c r="D682" s="22"/>
      <c r="E682" s="22"/>
      <c r="F682" s="22"/>
    </row>
    <row r="683" ht="15.75" customHeight="1">
      <c r="A683" s="22"/>
      <c r="B683" s="22"/>
      <c r="C683" s="22"/>
      <c r="D683" s="22"/>
      <c r="E683" s="22"/>
      <c r="F683" s="22"/>
    </row>
    <row r="684" ht="15.75" customHeight="1">
      <c r="A684" s="22"/>
      <c r="B684" s="22"/>
      <c r="C684" s="22"/>
      <c r="D684" s="22"/>
      <c r="E684" s="22"/>
      <c r="F684" s="22"/>
    </row>
    <row r="685" ht="15.75" customHeight="1">
      <c r="A685" s="22"/>
      <c r="B685" s="22"/>
      <c r="C685" s="22"/>
      <c r="D685" s="22"/>
      <c r="E685" s="22"/>
      <c r="F685" s="22"/>
    </row>
    <row r="686" ht="15.75" customHeight="1">
      <c r="A686" s="22"/>
      <c r="B686" s="22"/>
      <c r="C686" s="22"/>
      <c r="D686" s="22"/>
      <c r="E686" s="22"/>
      <c r="F686" s="22"/>
    </row>
    <row r="687" ht="15.75" customHeight="1">
      <c r="A687" s="22"/>
      <c r="B687" s="22"/>
      <c r="C687" s="22"/>
      <c r="D687" s="22"/>
      <c r="E687" s="22"/>
      <c r="F687" s="22"/>
    </row>
    <row r="688" ht="15.75" customHeight="1">
      <c r="A688" s="22"/>
      <c r="B688" s="22"/>
      <c r="C688" s="22"/>
      <c r="D688" s="22"/>
      <c r="E688" s="22"/>
      <c r="F688" s="22"/>
    </row>
    <row r="689" ht="15.75" customHeight="1">
      <c r="A689" s="22"/>
      <c r="B689" s="22"/>
      <c r="C689" s="22"/>
      <c r="D689" s="22"/>
      <c r="E689" s="22"/>
      <c r="F689" s="22"/>
    </row>
    <row r="690" ht="15.75" customHeight="1">
      <c r="A690" s="22"/>
      <c r="B690" s="22"/>
      <c r="C690" s="22"/>
      <c r="D690" s="22"/>
      <c r="E690" s="22"/>
      <c r="F690" s="22"/>
    </row>
    <row r="691" ht="15.75" customHeight="1">
      <c r="A691" s="22"/>
      <c r="B691" s="22"/>
      <c r="C691" s="22"/>
      <c r="D691" s="22"/>
      <c r="E691" s="22"/>
      <c r="F691" s="22"/>
    </row>
    <row r="692" ht="15.75" customHeight="1">
      <c r="A692" s="22"/>
      <c r="B692" s="22"/>
      <c r="C692" s="22"/>
      <c r="D692" s="22"/>
      <c r="E692" s="22"/>
      <c r="F692" s="22"/>
    </row>
    <row r="693" ht="15.75" customHeight="1">
      <c r="A693" s="22"/>
      <c r="B693" s="22"/>
      <c r="C693" s="22"/>
      <c r="D693" s="22"/>
      <c r="E693" s="22"/>
      <c r="F693" s="22"/>
    </row>
    <row r="694" ht="15.75" customHeight="1">
      <c r="A694" s="22"/>
      <c r="B694" s="22"/>
      <c r="C694" s="22"/>
      <c r="D694" s="22"/>
      <c r="E694" s="22"/>
      <c r="F694" s="22"/>
    </row>
    <row r="695" ht="15.75" customHeight="1">
      <c r="A695" s="22"/>
      <c r="B695" s="22"/>
      <c r="C695" s="22"/>
      <c r="D695" s="22"/>
      <c r="E695" s="22"/>
      <c r="F695" s="22"/>
    </row>
    <row r="696" ht="15.75" customHeight="1">
      <c r="A696" s="22"/>
      <c r="B696" s="22"/>
      <c r="C696" s="22"/>
      <c r="D696" s="22"/>
      <c r="E696" s="22"/>
      <c r="F696" s="22"/>
    </row>
    <row r="697" ht="15.75" customHeight="1">
      <c r="A697" s="22"/>
      <c r="B697" s="22"/>
      <c r="C697" s="22"/>
      <c r="D697" s="22"/>
      <c r="E697" s="22"/>
      <c r="F697" s="22"/>
    </row>
    <row r="698" ht="15.75" customHeight="1">
      <c r="A698" s="22"/>
      <c r="B698" s="22"/>
      <c r="C698" s="22"/>
      <c r="D698" s="22"/>
      <c r="E698" s="22"/>
      <c r="F698" s="22"/>
    </row>
    <row r="699" ht="15.75" customHeight="1">
      <c r="A699" s="22"/>
      <c r="B699" s="22"/>
      <c r="C699" s="22"/>
      <c r="D699" s="22"/>
      <c r="E699" s="22"/>
      <c r="F699" s="22"/>
    </row>
    <row r="700" ht="15.75" customHeight="1">
      <c r="A700" s="22"/>
      <c r="B700" s="22"/>
      <c r="C700" s="22"/>
      <c r="D700" s="22"/>
      <c r="E700" s="22"/>
      <c r="F700" s="22"/>
    </row>
    <row r="701" ht="15.75" customHeight="1">
      <c r="A701" s="22"/>
      <c r="B701" s="22"/>
      <c r="C701" s="22"/>
      <c r="D701" s="22"/>
      <c r="E701" s="22"/>
      <c r="F701" s="22"/>
    </row>
    <row r="702" ht="15.75" customHeight="1">
      <c r="A702" s="22"/>
      <c r="B702" s="22"/>
      <c r="C702" s="22"/>
      <c r="D702" s="22"/>
      <c r="E702" s="22"/>
      <c r="F702" s="22"/>
    </row>
    <row r="703" ht="15.75" customHeight="1">
      <c r="A703" s="22"/>
      <c r="B703" s="22"/>
      <c r="C703" s="22"/>
      <c r="D703" s="22"/>
      <c r="E703" s="22"/>
      <c r="F703" s="22"/>
    </row>
    <row r="704" ht="15.75" customHeight="1">
      <c r="A704" s="22"/>
      <c r="B704" s="22"/>
      <c r="C704" s="22"/>
      <c r="D704" s="22"/>
      <c r="E704" s="22"/>
      <c r="F704" s="22"/>
    </row>
    <row r="705" ht="15.75" customHeight="1">
      <c r="A705" s="22"/>
      <c r="B705" s="22"/>
      <c r="C705" s="22"/>
      <c r="D705" s="22"/>
      <c r="E705" s="22"/>
      <c r="F705" s="22"/>
    </row>
    <row r="706" ht="15.75" customHeight="1">
      <c r="A706" s="22"/>
      <c r="B706" s="22"/>
      <c r="C706" s="22"/>
      <c r="D706" s="22"/>
      <c r="E706" s="22"/>
      <c r="F706" s="22"/>
    </row>
    <row r="707" ht="15.75" customHeight="1">
      <c r="A707" s="22"/>
      <c r="B707" s="22"/>
      <c r="C707" s="22"/>
      <c r="D707" s="22"/>
      <c r="E707" s="22"/>
      <c r="F707" s="22"/>
    </row>
    <row r="708" ht="15.75" customHeight="1">
      <c r="A708" s="22"/>
      <c r="B708" s="22"/>
      <c r="C708" s="22"/>
      <c r="D708" s="22"/>
      <c r="E708" s="22"/>
      <c r="F708" s="22"/>
    </row>
    <row r="709" ht="15.75" customHeight="1">
      <c r="A709" s="22"/>
      <c r="B709" s="22"/>
      <c r="C709" s="22"/>
      <c r="D709" s="22"/>
      <c r="E709" s="22"/>
      <c r="F709" s="22"/>
    </row>
    <row r="710" ht="15.75" customHeight="1">
      <c r="A710" s="22"/>
      <c r="B710" s="22"/>
      <c r="C710" s="22"/>
      <c r="D710" s="22"/>
      <c r="E710" s="22"/>
      <c r="F710" s="22"/>
    </row>
    <row r="711" ht="15.75" customHeight="1">
      <c r="A711" s="22"/>
      <c r="B711" s="22"/>
      <c r="C711" s="22"/>
      <c r="D711" s="22"/>
      <c r="E711" s="22"/>
      <c r="F711" s="22"/>
    </row>
    <row r="712" ht="15.75" customHeight="1">
      <c r="A712" s="22"/>
      <c r="B712" s="22"/>
      <c r="C712" s="22"/>
      <c r="D712" s="22"/>
      <c r="E712" s="22"/>
      <c r="F712" s="22"/>
    </row>
    <row r="713" ht="15.75" customHeight="1">
      <c r="A713" s="22"/>
      <c r="B713" s="22"/>
      <c r="C713" s="22"/>
      <c r="D713" s="22"/>
      <c r="E713" s="22"/>
      <c r="F713" s="22"/>
    </row>
    <row r="714" ht="15.75" customHeight="1">
      <c r="A714" s="22"/>
      <c r="B714" s="22"/>
      <c r="C714" s="22"/>
      <c r="D714" s="22"/>
      <c r="E714" s="22"/>
      <c r="F714" s="22"/>
    </row>
    <row r="715" ht="15.75" customHeight="1">
      <c r="A715" s="22"/>
      <c r="B715" s="22"/>
      <c r="C715" s="22"/>
      <c r="D715" s="22"/>
      <c r="E715" s="22"/>
      <c r="F715" s="22"/>
    </row>
    <row r="716" ht="15.75" customHeight="1">
      <c r="A716" s="22"/>
      <c r="B716" s="22"/>
      <c r="C716" s="22"/>
      <c r="D716" s="22"/>
      <c r="E716" s="22"/>
      <c r="F716" s="22"/>
    </row>
    <row r="717" ht="15.75" customHeight="1">
      <c r="A717" s="22"/>
      <c r="B717" s="22"/>
      <c r="C717" s="22"/>
      <c r="D717" s="22"/>
      <c r="E717" s="22"/>
      <c r="F717" s="22"/>
    </row>
    <row r="718" ht="15.75" customHeight="1">
      <c r="A718" s="22"/>
      <c r="B718" s="22"/>
      <c r="C718" s="22"/>
      <c r="D718" s="22"/>
      <c r="E718" s="22"/>
      <c r="F718" s="22"/>
    </row>
    <row r="719" ht="15.75" customHeight="1">
      <c r="A719" s="22"/>
      <c r="B719" s="22"/>
      <c r="C719" s="22"/>
      <c r="D719" s="22"/>
      <c r="E719" s="22"/>
      <c r="F719" s="22"/>
    </row>
    <row r="720" ht="15.75" customHeight="1">
      <c r="A720" s="22"/>
      <c r="B720" s="22"/>
      <c r="C720" s="22"/>
      <c r="D720" s="22"/>
      <c r="E720" s="22"/>
      <c r="F720" s="22"/>
    </row>
    <row r="721" ht="15.75" customHeight="1">
      <c r="A721" s="22"/>
      <c r="B721" s="22"/>
      <c r="C721" s="22"/>
      <c r="D721" s="22"/>
      <c r="E721" s="22"/>
      <c r="F721" s="22"/>
    </row>
    <row r="722" ht="15.75" customHeight="1">
      <c r="A722" s="22"/>
      <c r="B722" s="22"/>
      <c r="C722" s="22"/>
      <c r="D722" s="22"/>
      <c r="E722" s="22"/>
      <c r="F722" s="22"/>
    </row>
    <row r="723" ht="15.75" customHeight="1">
      <c r="A723" s="22"/>
      <c r="B723" s="22"/>
      <c r="C723" s="22"/>
      <c r="D723" s="22"/>
      <c r="E723" s="22"/>
      <c r="F723" s="22"/>
    </row>
    <row r="724" ht="15.75" customHeight="1">
      <c r="A724" s="22"/>
      <c r="B724" s="22"/>
      <c r="C724" s="22"/>
      <c r="D724" s="22"/>
      <c r="E724" s="22"/>
      <c r="F724" s="22"/>
    </row>
    <row r="725" ht="15.75" customHeight="1">
      <c r="A725" s="22"/>
      <c r="B725" s="22"/>
      <c r="C725" s="22"/>
      <c r="D725" s="22"/>
      <c r="E725" s="22"/>
      <c r="F725" s="22"/>
    </row>
    <row r="726" ht="15.75" customHeight="1">
      <c r="A726" s="22"/>
      <c r="B726" s="22"/>
      <c r="C726" s="22"/>
      <c r="D726" s="22"/>
      <c r="E726" s="22"/>
      <c r="F726" s="22"/>
    </row>
    <row r="727" ht="15.75" customHeight="1">
      <c r="A727" s="22"/>
      <c r="B727" s="22"/>
      <c r="C727" s="22"/>
      <c r="D727" s="22"/>
      <c r="E727" s="22"/>
      <c r="F727" s="22"/>
    </row>
    <row r="728" ht="15.75" customHeight="1">
      <c r="A728" s="22"/>
      <c r="B728" s="22"/>
      <c r="C728" s="22"/>
      <c r="D728" s="22"/>
      <c r="E728" s="22"/>
      <c r="F728" s="22"/>
    </row>
    <row r="729" ht="15.75" customHeight="1">
      <c r="A729" s="22"/>
      <c r="B729" s="22"/>
      <c r="C729" s="22"/>
      <c r="D729" s="22"/>
      <c r="E729" s="22"/>
      <c r="F729" s="22"/>
    </row>
    <row r="730" ht="15.75" customHeight="1">
      <c r="A730" s="22"/>
      <c r="B730" s="22"/>
      <c r="C730" s="22"/>
      <c r="D730" s="22"/>
      <c r="E730" s="22"/>
      <c r="F730" s="22"/>
    </row>
    <row r="731" ht="15.75" customHeight="1">
      <c r="A731" s="22"/>
      <c r="B731" s="22"/>
      <c r="C731" s="22"/>
      <c r="D731" s="22"/>
      <c r="E731" s="22"/>
      <c r="F731" s="22"/>
    </row>
    <row r="732" ht="15.75" customHeight="1">
      <c r="A732" s="22"/>
      <c r="B732" s="22"/>
      <c r="C732" s="22"/>
      <c r="D732" s="22"/>
      <c r="E732" s="22"/>
      <c r="F732" s="22"/>
    </row>
    <row r="733" ht="15.75" customHeight="1">
      <c r="A733" s="22"/>
      <c r="B733" s="22"/>
      <c r="C733" s="22"/>
      <c r="D733" s="22"/>
      <c r="E733" s="22"/>
      <c r="F733" s="22"/>
    </row>
    <row r="734" ht="15.75" customHeight="1">
      <c r="A734" s="22"/>
      <c r="B734" s="22"/>
      <c r="C734" s="22"/>
      <c r="D734" s="22"/>
      <c r="E734" s="22"/>
      <c r="F734" s="22"/>
    </row>
    <row r="735" ht="15.75" customHeight="1">
      <c r="A735" s="22"/>
      <c r="B735" s="22"/>
      <c r="C735" s="22"/>
      <c r="D735" s="22"/>
      <c r="E735" s="22"/>
      <c r="F735" s="22"/>
    </row>
    <row r="736" ht="15.75" customHeight="1">
      <c r="A736" s="22"/>
      <c r="B736" s="22"/>
      <c r="C736" s="22"/>
      <c r="D736" s="22"/>
      <c r="E736" s="22"/>
      <c r="F736" s="22"/>
    </row>
    <row r="737" ht="15.75" customHeight="1">
      <c r="A737" s="22"/>
      <c r="B737" s="22"/>
      <c r="C737" s="22"/>
      <c r="D737" s="22"/>
      <c r="E737" s="22"/>
      <c r="F737" s="22"/>
    </row>
    <row r="738" ht="15.75" customHeight="1">
      <c r="A738" s="22"/>
      <c r="B738" s="22"/>
      <c r="C738" s="22"/>
      <c r="D738" s="22"/>
      <c r="E738" s="22"/>
      <c r="F738" s="22"/>
    </row>
    <row r="739" ht="15.75" customHeight="1">
      <c r="A739" s="22"/>
      <c r="B739" s="22"/>
      <c r="C739" s="22"/>
      <c r="D739" s="22"/>
      <c r="E739" s="22"/>
      <c r="F739" s="22"/>
    </row>
    <row r="740" ht="15.75" customHeight="1">
      <c r="A740" s="22"/>
      <c r="B740" s="22"/>
      <c r="C740" s="22"/>
      <c r="D740" s="22"/>
      <c r="E740" s="22"/>
      <c r="F740" s="22"/>
    </row>
    <row r="741" ht="15.75" customHeight="1">
      <c r="A741" s="22"/>
      <c r="B741" s="22"/>
      <c r="C741" s="22"/>
      <c r="D741" s="22"/>
      <c r="E741" s="22"/>
      <c r="F741" s="22"/>
    </row>
    <row r="742" ht="15.75" customHeight="1">
      <c r="A742" s="22"/>
      <c r="B742" s="22"/>
      <c r="C742" s="22"/>
      <c r="D742" s="22"/>
      <c r="E742" s="22"/>
      <c r="F742" s="22"/>
    </row>
    <row r="743" ht="15.75" customHeight="1">
      <c r="A743" s="22"/>
      <c r="B743" s="22"/>
      <c r="C743" s="22"/>
      <c r="D743" s="22"/>
      <c r="E743" s="22"/>
      <c r="F743" s="22"/>
    </row>
    <row r="744" ht="15.75" customHeight="1">
      <c r="A744" s="22"/>
      <c r="B744" s="22"/>
      <c r="C744" s="22"/>
      <c r="D744" s="22"/>
      <c r="E744" s="22"/>
      <c r="F744" s="22"/>
    </row>
    <row r="745" ht="15.75" customHeight="1">
      <c r="A745" s="22"/>
      <c r="B745" s="22"/>
      <c r="C745" s="22"/>
      <c r="D745" s="22"/>
      <c r="E745" s="22"/>
      <c r="F745" s="22"/>
    </row>
    <row r="746" ht="15.75" customHeight="1">
      <c r="A746" s="22"/>
      <c r="B746" s="22"/>
      <c r="C746" s="22"/>
      <c r="D746" s="22"/>
      <c r="E746" s="22"/>
      <c r="F746" s="22"/>
    </row>
    <row r="747" ht="15.75" customHeight="1">
      <c r="A747" s="22"/>
      <c r="B747" s="22"/>
      <c r="C747" s="22"/>
      <c r="D747" s="22"/>
      <c r="E747" s="22"/>
      <c r="F747" s="22"/>
    </row>
    <row r="748" ht="15.75" customHeight="1">
      <c r="A748" s="22"/>
      <c r="B748" s="22"/>
      <c r="C748" s="22"/>
      <c r="D748" s="22"/>
      <c r="E748" s="22"/>
      <c r="F748" s="22"/>
    </row>
    <row r="749" ht="15.75" customHeight="1">
      <c r="A749" s="22"/>
      <c r="B749" s="22"/>
      <c r="C749" s="22"/>
      <c r="D749" s="22"/>
      <c r="E749" s="22"/>
      <c r="F749" s="22"/>
    </row>
    <row r="750" ht="15.75" customHeight="1">
      <c r="A750" s="22"/>
      <c r="B750" s="22"/>
      <c r="C750" s="22"/>
      <c r="D750" s="22"/>
      <c r="E750" s="22"/>
      <c r="F750" s="22"/>
    </row>
    <row r="751" ht="15.75" customHeight="1">
      <c r="A751" s="22"/>
      <c r="B751" s="22"/>
      <c r="C751" s="22"/>
      <c r="D751" s="22"/>
      <c r="E751" s="22"/>
      <c r="F751" s="22"/>
    </row>
    <row r="752" ht="15.75" customHeight="1">
      <c r="A752" s="22"/>
      <c r="B752" s="22"/>
      <c r="C752" s="22"/>
      <c r="D752" s="22"/>
      <c r="E752" s="22"/>
      <c r="F752" s="22"/>
    </row>
    <row r="753" ht="15.75" customHeight="1">
      <c r="A753" s="22"/>
      <c r="B753" s="22"/>
      <c r="C753" s="22"/>
      <c r="D753" s="22"/>
      <c r="E753" s="22"/>
      <c r="F753" s="22"/>
    </row>
    <row r="754" ht="15.75" customHeight="1">
      <c r="A754" s="22"/>
      <c r="B754" s="22"/>
      <c r="C754" s="22"/>
      <c r="D754" s="22"/>
      <c r="E754" s="22"/>
      <c r="F754" s="22"/>
    </row>
    <row r="755" ht="15.75" customHeight="1">
      <c r="A755" s="22"/>
      <c r="B755" s="22"/>
      <c r="C755" s="22"/>
      <c r="D755" s="22"/>
      <c r="E755" s="22"/>
      <c r="F755" s="22"/>
    </row>
    <row r="756" ht="15.75" customHeight="1">
      <c r="A756" s="22"/>
      <c r="B756" s="22"/>
      <c r="C756" s="22"/>
      <c r="D756" s="22"/>
      <c r="E756" s="22"/>
      <c r="F756" s="22"/>
    </row>
    <row r="757" ht="15.75" customHeight="1">
      <c r="A757" s="22"/>
      <c r="B757" s="22"/>
      <c r="C757" s="22"/>
      <c r="D757" s="22"/>
      <c r="E757" s="22"/>
      <c r="F757" s="22"/>
    </row>
    <row r="758" ht="15.75" customHeight="1">
      <c r="A758" s="22"/>
      <c r="B758" s="22"/>
      <c r="C758" s="22"/>
      <c r="D758" s="22"/>
      <c r="E758" s="22"/>
      <c r="F758" s="22"/>
    </row>
    <row r="759" ht="15.75" customHeight="1">
      <c r="A759" s="22"/>
      <c r="B759" s="22"/>
      <c r="C759" s="22"/>
      <c r="D759" s="22"/>
      <c r="E759" s="22"/>
      <c r="F759" s="22"/>
    </row>
    <row r="760" ht="15.75" customHeight="1">
      <c r="A760" s="22"/>
      <c r="B760" s="22"/>
      <c r="C760" s="22"/>
      <c r="D760" s="22"/>
      <c r="E760" s="22"/>
      <c r="F760" s="22"/>
    </row>
    <row r="761" ht="15.75" customHeight="1">
      <c r="A761" s="22"/>
      <c r="B761" s="22"/>
      <c r="C761" s="22"/>
      <c r="D761" s="22"/>
      <c r="E761" s="22"/>
      <c r="F761" s="22"/>
    </row>
    <row r="762" ht="15.75" customHeight="1">
      <c r="A762" s="22"/>
      <c r="B762" s="22"/>
      <c r="C762" s="22"/>
      <c r="D762" s="22"/>
      <c r="E762" s="22"/>
      <c r="F762" s="22"/>
    </row>
    <row r="763" ht="15.75" customHeight="1">
      <c r="A763" s="22"/>
      <c r="B763" s="22"/>
      <c r="C763" s="22"/>
      <c r="D763" s="22"/>
      <c r="E763" s="22"/>
      <c r="F763" s="22"/>
    </row>
    <row r="764" ht="15.75" customHeight="1">
      <c r="A764" s="22"/>
      <c r="B764" s="22"/>
      <c r="C764" s="22"/>
      <c r="D764" s="22"/>
      <c r="E764" s="22"/>
      <c r="F764" s="22"/>
    </row>
    <row r="765" ht="15.75" customHeight="1">
      <c r="A765" s="22"/>
      <c r="B765" s="22"/>
      <c r="C765" s="22"/>
      <c r="D765" s="22"/>
      <c r="E765" s="22"/>
      <c r="F765" s="22"/>
    </row>
    <row r="766" ht="15.75" customHeight="1">
      <c r="A766" s="22"/>
      <c r="B766" s="22"/>
      <c r="C766" s="22"/>
      <c r="D766" s="22"/>
      <c r="E766" s="22"/>
      <c r="F766" s="22"/>
    </row>
    <row r="767" ht="15.75" customHeight="1">
      <c r="A767" s="22"/>
      <c r="B767" s="22"/>
      <c r="C767" s="22"/>
      <c r="D767" s="22"/>
      <c r="E767" s="22"/>
      <c r="F767" s="22"/>
    </row>
    <row r="768" ht="15.75" customHeight="1">
      <c r="A768" s="22"/>
      <c r="B768" s="22"/>
      <c r="C768" s="22"/>
      <c r="D768" s="22"/>
      <c r="E768" s="22"/>
      <c r="F768" s="22"/>
    </row>
    <row r="769" ht="15.75" customHeight="1">
      <c r="A769" s="22"/>
      <c r="B769" s="22"/>
      <c r="C769" s="22"/>
      <c r="D769" s="22"/>
      <c r="E769" s="22"/>
      <c r="F769" s="22"/>
    </row>
    <row r="770" ht="15.75" customHeight="1">
      <c r="A770" s="22"/>
      <c r="B770" s="22"/>
      <c r="C770" s="22"/>
      <c r="D770" s="22"/>
      <c r="E770" s="22"/>
      <c r="F770" s="22"/>
    </row>
    <row r="771" ht="15.75" customHeight="1">
      <c r="A771" s="22"/>
      <c r="B771" s="22"/>
      <c r="C771" s="22"/>
      <c r="D771" s="22"/>
      <c r="E771" s="22"/>
      <c r="F771" s="22"/>
    </row>
    <row r="772" ht="15.75" customHeight="1">
      <c r="A772" s="22"/>
      <c r="B772" s="22"/>
      <c r="C772" s="22"/>
      <c r="D772" s="22"/>
      <c r="E772" s="22"/>
      <c r="F772" s="22"/>
    </row>
    <row r="773" ht="15.75" customHeight="1">
      <c r="A773" s="22"/>
      <c r="B773" s="22"/>
      <c r="C773" s="22"/>
      <c r="D773" s="22"/>
      <c r="E773" s="22"/>
      <c r="F773" s="22"/>
    </row>
    <row r="774" ht="15.75" customHeight="1">
      <c r="A774" s="22"/>
      <c r="B774" s="22"/>
      <c r="C774" s="22"/>
      <c r="D774" s="22"/>
      <c r="E774" s="22"/>
      <c r="F774" s="22"/>
    </row>
    <row r="775" ht="15.75" customHeight="1">
      <c r="A775" s="22"/>
      <c r="B775" s="22"/>
      <c r="C775" s="22"/>
      <c r="D775" s="22"/>
      <c r="E775" s="22"/>
      <c r="F775" s="22"/>
    </row>
    <row r="776" ht="15.75" customHeight="1">
      <c r="A776" s="22"/>
      <c r="B776" s="22"/>
      <c r="C776" s="22"/>
      <c r="D776" s="22"/>
      <c r="E776" s="22"/>
      <c r="F776" s="22"/>
    </row>
    <row r="777" ht="15.75" customHeight="1">
      <c r="A777" s="22"/>
      <c r="B777" s="22"/>
      <c r="C777" s="22"/>
      <c r="D777" s="22"/>
      <c r="E777" s="22"/>
      <c r="F777" s="22"/>
    </row>
    <row r="778" ht="15.75" customHeight="1">
      <c r="A778" s="22"/>
      <c r="B778" s="22"/>
      <c r="C778" s="22"/>
      <c r="D778" s="22"/>
      <c r="E778" s="22"/>
      <c r="F778" s="22"/>
    </row>
    <row r="779" ht="15.75" customHeight="1">
      <c r="A779" s="22"/>
      <c r="B779" s="22"/>
      <c r="C779" s="22"/>
      <c r="D779" s="22"/>
      <c r="E779" s="22"/>
      <c r="F779" s="22"/>
    </row>
    <row r="780" ht="15.75" customHeight="1">
      <c r="A780" s="22"/>
      <c r="B780" s="22"/>
      <c r="C780" s="22"/>
      <c r="D780" s="22"/>
      <c r="E780" s="22"/>
      <c r="F780" s="22"/>
    </row>
    <row r="781" ht="15.75" customHeight="1">
      <c r="A781" s="22"/>
      <c r="B781" s="22"/>
      <c r="C781" s="22"/>
      <c r="D781" s="22"/>
      <c r="E781" s="22"/>
      <c r="F781" s="22"/>
    </row>
    <row r="782" ht="15.75" customHeight="1">
      <c r="A782" s="22"/>
      <c r="B782" s="22"/>
      <c r="C782" s="22"/>
      <c r="D782" s="22"/>
      <c r="E782" s="22"/>
      <c r="F782" s="22"/>
    </row>
    <row r="783" ht="15.75" customHeight="1">
      <c r="A783" s="22"/>
      <c r="B783" s="22"/>
      <c r="C783" s="22"/>
      <c r="D783" s="22"/>
      <c r="E783" s="22"/>
      <c r="F783" s="22"/>
    </row>
    <row r="784" ht="15.75" customHeight="1">
      <c r="A784" s="22"/>
      <c r="B784" s="22"/>
      <c r="C784" s="22"/>
      <c r="D784" s="22"/>
      <c r="E784" s="22"/>
      <c r="F784" s="22"/>
    </row>
    <row r="785" ht="15.75" customHeight="1">
      <c r="A785" s="22"/>
      <c r="B785" s="22"/>
      <c r="C785" s="22"/>
      <c r="D785" s="22"/>
      <c r="E785" s="22"/>
      <c r="F785" s="22"/>
    </row>
    <row r="786" ht="15.75" customHeight="1">
      <c r="A786" s="22"/>
      <c r="B786" s="22"/>
      <c r="C786" s="22"/>
      <c r="D786" s="22"/>
      <c r="E786" s="22"/>
      <c r="F786" s="22"/>
    </row>
    <row r="787" ht="15.75" customHeight="1">
      <c r="A787" s="22"/>
      <c r="B787" s="22"/>
      <c r="C787" s="22"/>
      <c r="D787" s="22"/>
      <c r="E787" s="22"/>
      <c r="F787" s="22"/>
    </row>
    <row r="788" ht="15.75" customHeight="1">
      <c r="A788" s="22"/>
      <c r="B788" s="22"/>
      <c r="C788" s="22"/>
      <c r="D788" s="22"/>
      <c r="E788" s="22"/>
      <c r="F788" s="22"/>
    </row>
    <row r="789" ht="15.75" customHeight="1">
      <c r="A789" s="22"/>
      <c r="B789" s="22"/>
      <c r="C789" s="22"/>
      <c r="D789" s="22"/>
      <c r="E789" s="22"/>
      <c r="F789" s="22"/>
    </row>
    <row r="790" ht="15.75" customHeight="1">
      <c r="A790" s="22"/>
      <c r="B790" s="22"/>
      <c r="C790" s="22"/>
      <c r="D790" s="22"/>
      <c r="E790" s="22"/>
      <c r="F790" s="22"/>
    </row>
    <row r="791" ht="15.75" customHeight="1">
      <c r="A791" s="22"/>
      <c r="B791" s="22"/>
      <c r="C791" s="22"/>
      <c r="D791" s="22"/>
      <c r="E791" s="22"/>
      <c r="F791" s="22"/>
    </row>
    <row r="792" ht="15.75" customHeight="1">
      <c r="A792" s="22"/>
      <c r="B792" s="22"/>
      <c r="C792" s="22"/>
      <c r="D792" s="22"/>
      <c r="E792" s="22"/>
      <c r="F792" s="22"/>
    </row>
    <row r="793" ht="15.75" customHeight="1">
      <c r="A793" s="22"/>
      <c r="B793" s="22"/>
      <c r="C793" s="22"/>
      <c r="D793" s="22"/>
      <c r="E793" s="22"/>
      <c r="F793" s="22"/>
    </row>
    <row r="794" ht="15.75" customHeight="1">
      <c r="A794" s="22"/>
      <c r="B794" s="22"/>
      <c r="C794" s="22"/>
      <c r="D794" s="22"/>
      <c r="E794" s="22"/>
      <c r="F794" s="22"/>
    </row>
    <row r="795" ht="15.75" customHeight="1">
      <c r="A795" s="22"/>
      <c r="B795" s="22"/>
      <c r="C795" s="22"/>
      <c r="D795" s="22"/>
      <c r="E795" s="22"/>
      <c r="F795" s="22"/>
    </row>
    <row r="796" ht="15.75" customHeight="1">
      <c r="A796" s="22"/>
      <c r="B796" s="22"/>
      <c r="C796" s="22"/>
      <c r="D796" s="22"/>
      <c r="E796" s="22"/>
      <c r="F796" s="22"/>
    </row>
    <row r="797" ht="15.75" customHeight="1">
      <c r="A797" s="22"/>
      <c r="B797" s="22"/>
      <c r="C797" s="22"/>
      <c r="D797" s="22"/>
      <c r="E797" s="22"/>
      <c r="F797" s="22"/>
    </row>
    <row r="798" ht="15.75" customHeight="1">
      <c r="A798" s="22"/>
      <c r="B798" s="22"/>
      <c r="C798" s="22"/>
      <c r="D798" s="22"/>
      <c r="E798" s="22"/>
      <c r="F798" s="22"/>
    </row>
    <row r="799" ht="15.75" customHeight="1">
      <c r="A799" s="22"/>
      <c r="B799" s="22"/>
      <c r="C799" s="22"/>
      <c r="D799" s="22"/>
      <c r="E799" s="22"/>
      <c r="F799" s="22"/>
    </row>
    <row r="800" ht="15.75" customHeight="1">
      <c r="A800" s="22"/>
      <c r="B800" s="22"/>
      <c r="C800" s="22"/>
      <c r="D800" s="22"/>
      <c r="E800" s="22"/>
      <c r="F800" s="22"/>
    </row>
    <row r="801" ht="15.75" customHeight="1">
      <c r="A801" s="22"/>
      <c r="B801" s="22"/>
      <c r="C801" s="22"/>
      <c r="D801" s="22"/>
      <c r="E801" s="22"/>
      <c r="F801" s="22"/>
    </row>
    <row r="802" ht="15.75" customHeight="1">
      <c r="A802" s="22"/>
      <c r="B802" s="22"/>
      <c r="C802" s="22"/>
      <c r="D802" s="22"/>
      <c r="E802" s="22"/>
      <c r="F802" s="22"/>
    </row>
    <row r="803" ht="15.75" customHeight="1">
      <c r="A803" s="22"/>
      <c r="B803" s="22"/>
      <c r="C803" s="22"/>
      <c r="D803" s="22"/>
      <c r="E803" s="22"/>
      <c r="F803" s="22"/>
    </row>
    <row r="804" ht="15.75" customHeight="1">
      <c r="A804" s="22"/>
      <c r="B804" s="22"/>
      <c r="C804" s="22"/>
      <c r="D804" s="22"/>
      <c r="E804" s="22"/>
      <c r="F804" s="22"/>
    </row>
    <row r="805" ht="15.75" customHeight="1">
      <c r="A805" s="22"/>
      <c r="B805" s="22"/>
      <c r="C805" s="22"/>
      <c r="D805" s="22"/>
      <c r="E805" s="22"/>
      <c r="F805" s="22"/>
    </row>
    <row r="806" ht="15.75" customHeight="1">
      <c r="A806" s="22"/>
      <c r="B806" s="22"/>
      <c r="C806" s="22"/>
      <c r="D806" s="22"/>
      <c r="E806" s="22"/>
      <c r="F806" s="22"/>
    </row>
    <row r="807" ht="15.75" customHeight="1">
      <c r="A807" s="22"/>
      <c r="B807" s="22"/>
      <c r="C807" s="22"/>
      <c r="D807" s="22"/>
      <c r="E807" s="22"/>
      <c r="F807" s="22"/>
    </row>
    <row r="808" ht="15.75" customHeight="1">
      <c r="A808" s="22"/>
      <c r="B808" s="22"/>
      <c r="C808" s="22"/>
      <c r="D808" s="22"/>
      <c r="E808" s="22"/>
      <c r="F808" s="22"/>
    </row>
    <row r="809" ht="15.75" customHeight="1">
      <c r="A809" s="22"/>
      <c r="B809" s="22"/>
      <c r="C809" s="22"/>
      <c r="D809" s="22"/>
      <c r="E809" s="22"/>
      <c r="F809" s="22"/>
    </row>
    <row r="810" ht="15.75" customHeight="1">
      <c r="A810" s="22"/>
      <c r="B810" s="22"/>
      <c r="C810" s="22"/>
      <c r="D810" s="22"/>
      <c r="E810" s="22"/>
      <c r="F810" s="22"/>
    </row>
    <row r="811" ht="15.75" customHeight="1">
      <c r="A811" s="22"/>
      <c r="B811" s="22"/>
      <c r="C811" s="22"/>
      <c r="D811" s="22"/>
      <c r="E811" s="22"/>
      <c r="F811" s="22"/>
    </row>
    <row r="812" ht="15.75" customHeight="1">
      <c r="A812" s="22"/>
      <c r="B812" s="22"/>
      <c r="C812" s="22"/>
      <c r="D812" s="22"/>
      <c r="E812" s="22"/>
      <c r="F812" s="22"/>
    </row>
    <row r="813" ht="15.75" customHeight="1">
      <c r="A813" s="22"/>
      <c r="B813" s="22"/>
      <c r="C813" s="22"/>
      <c r="D813" s="22"/>
      <c r="E813" s="22"/>
      <c r="F813" s="22"/>
    </row>
    <row r="814" ht="15.75" customHeight="1">
      <c r="A814" s="22"/>
      <c r="B814" s="22"/>
      <c r="C814" s="22"/>
      <c r="D814" s="22"/>
      <c r="E814" s="22"/>
      <c r="F814" s="22"/>
    </row>
    <row r="815" ht="15.75" customHeight="1">
      <c r="A815" s="22"/>
      <c r="B815" s="22"/>
      <c r="C815" s="22"/>
      <c r="D815" s="22"/>
      <c r="E815" s="22"/>
      <c r="F815" s="22"/>
    </row>
    <row r="816" ht="15.75" customHeight="1">
      <c r="A816" s="22"/>
      <c r="B816" s="22"/>
      <c r="C816" s="22"/>
      <c r="D816" s="22"/>
      <c r="E816" s="22"/>
      <c r="F816" s="22"/>
    </row>
    <row r="817" ht="15.75" customHeight="1">
      <c r="A817" s="22"/>
      <c r="B817" s="22"/>
      <c r="C817" s="22"/>
      <c r="D817" s="22"/>
      <c r="E817" s="22"/>
      <c r="F817" s="22"/>
    </row>
    <row r="818" ht="15.75" customHeight="1">
      <c r="A818" s="22"/>
      <c r="B818" s="22"/>
      <c r="C818" s="22"/>
      <c r="D818" s="22"/>
      <c r="E818" s="22"/>
      <c r="F818" s="22"/>
    </row>
    <row r="819" ht="15.75" customHeight="1">
      <c r="A819" s="22"/>
      <c r="B819" s="22"/>
      <c r="C819" s="22"/>
      <c r="D819" s="22"/>
      <c r="E819" s="22"/>
      <c r="F819" s="22"/>
    </row>
    <row r="820" ht="15.75" customHeight="1">
      <c r="A820" s="22"/>
      <c r="B820" s="22"/>
      <c r="C820" s="22"/>
      <c r="D820" s="22"/>
      <c r="E820" s="22"/>
      <c r="F820" s="22"/>
    </row>
    <row r="821" ht="15.75" customHeight="1">
      <c r="A821" s="22"/>
      <c r="B821" s="22"/>
      <c r="C821" s="22"/>
      <c r="D821" s="22"/>
      <c r="E821" s="22"/>
      <c r="F821" s="22"/>
    </row>
    <row r="822" ht="15.75" customHeight="1">
      <c r="A822" s="22"/>
      <c r="B822" s="22"/>
      <c r="C822" s="22"/>
      <c r="D822" s="22"/>
      <c r="E822" s="22"/>
      <c r="F822" s="22"/>
    </row>
    <row r="823" ht="15.75" customHeight="1">
      <c r="A823" s="22"/>
      <c r="B823" s="22"/>
      <c r="C823" s="22"/>
      <c r="D823" s="22"/>
      <c r="E823" s="22"/>
      <c r="F823" s="22"/>
    </row>
    <row r="824" ht="15.75" customHeight="1">
      <c r="A824" s="22"/>
      <c r="B824" s="22"/>
      <c r="C824" s="22"/>
      <c r="D824" s="22"/>
      <c r="E824" s="22"/>
      <c r="F824" s="22"/>
    </row>
    <row r="825" ht="15.75" customHeight="1">
      <c r="A825" s="22"/>
      <c r="B825" s="22"/>
      <c r="C825" s="22"/>
      <c r="D825" s="22"/>
      <c r="E825" s="22"/>
      <c r="F825" s="22"/>
    </row>
    <row r="826" ht="15.75" customHeight="1">
      <c r="A826" s="22"/>
      <c r="B826" s="22"/>
      <c r="C826" s="22"/>
      <c r="D826" s="22"/>
      <c r="E826" s="22"/>
      <c r="F826" s="22"/>
    </row>
    <row r="827" ht="15.75" customHeight="1">
      <c r="A827" s="22"/>
      <c r="B827" s="22"/>
      <c r="C827" s="22"/>
      <c r="D827" s="22"/>
      <c r="E827" s="22"/>
      <c r="F827" s="22"/>
    </row>
    <row r="828" ht="15.75" customHeight="1">
      <c r="A828" s="22"/>
      <c r="B828" s="22"/>
      <c r="C828" s="22"/>
      <c r="D828" s="22"/>
      <c r="E828" s="22"/>
      <c r="F828" s="22"/>
    </row>
    <row r="829" ht="15.75" customHeight="1">
      <c r="A829" s="22"/>
      <c r="B829" s="22"/>
      <c r="C829" s="22"/>
      <c r="D829" s="22"/>
      <c r="E829" s="22"/>
      <c r="F829" s="22"/>
    </row>
    <row r="830" ht="15.75" customHeight="1">
      <c r="A830" s="22"/>
      <c r="B830" s="22"/>
      <c r="C830" s="22"/>
      <c r="D830" s="22"/>
      <c r="E830" s="22"/>
      <c r="F830" s="22"/>
    </row>
    <row r="831" ht="15.75" customHeight="1">
      <c r="A831" s="22"/>
      <c r="B831" s="22"/>
      <c r="C831" s="22"/>
      <c r="D831" s="22"/>
      <c r="E831" s="22"/>
      <c r="F831" s="22"/>
    </row>
    <row r="832" ht="15.75" customHeight="1">
      <c r="A832" s="22"/>
      <c r="B832" s="22"/>
      <c r="C832" s="22"/>
      <c r="D832" s="22"/>
      <c r="E832" s="22"/>
      <c r="F832" s="22"/>
    </row>
    <row r="833" ht="15.75" customHeight="1">
      <c r="A833" s="22"/>
      <c r="B833" s="22"/>
      <c r="C833" s="22"/>
      <c r="D833" s="22"/>
      <c r="E833" s="22"/>
      <c r="F833" s="22"/>
    </row>
    <row r="834" ht="15.75" customHeight="1">
      <c r="A834" s="22"/>
      <c r="B834" s="22"/>
      <c r="C834" s="22"/>
      <c r="D834" s="22"/>
      <c r="E834" s="22"/>
      <c r="F834" s="22"/>
    </row>
    <row r="835" ht="15.75" customHeight="1">
      <c r="A835" s="22"/>
      <c r="B835" s="22"/>
      <c r="C835" s="22"/>
      <c r="D835" s="22"/>
      <c r="E835" s="22"/>
      <c r="F835" s="22"/>
    </row>
    <row r="836" ht="15.75" customHeight="1">
      <c r="A836" s="22"/>
      <c r="B836" s="22"/>
      <c r="C836" s="22"/>
      <c r="D836" s="22"/>
      <c r="E836" s="22"/>
      <c r="F836" s="22"/>
    </row>
    <row r="837" ht="15.75" customHeight="1">
      <c r="A837" s="22"/>
      <c r="B837" s="22"/>
      <c r="C837" s="22"/>
      <c r="D837" s="22"/>
      <c r="E837" s="22"/>
      <c r="F837" s="22"/>
    </row>
    <row r="838" ht="15.75" customHeight="1">
      <c r="A838" s="22"/>
      <c r="B838" s="22"/>
      <c r="C838" s="22"/>
      <c r="D838" s="22"/>
      <c r="E838" s="22"/>
      <c r="F838" s="22"/>
    </row>
    <row r="839" ht="15.75" customHeight="1">
      <c r="A839" s="22"/>
      <c r="B839" s="22"/>
      <c r="C839" s="22"/>
      <c r="D839" s="22"/>
      <c r="E839" s="22"/>
      <c r="F839" s="22"/>
    </row>
    <row r="840" ht="15.75" customHeight="1">
      <c r="A840" s="22"/>
      <c r="B840" s="22"/>
      <c r="C840" s="22"/>
      <c r="D840" s="22"/>
      <c r="E840" s="22"/>
      <c r="F840" s="22"/>
    </row>
    <row r="841" ht="15.75" customHeight="1">
      <c r="A841" s="22"/>
      <c r="B841" s="22"/>
      <c r="C841" s="22"/>
      <c r="D841" s="22"/>
      <c r="E841" s="22"/>
      <c r="F841" s="22"/>
    </row>
    <row r="842" ht="15.75" customHeight="1">
      <c r="A842" s="22"/>
      <c r="B842" s="22"/>
      <c r="C842" s="22"/>
      <c r="D842" s="22"/>
      <c r="E842" s="22"/>
      <c r="F842" s="22"/>
    </row>
    <row r="843" ht="15.75" customHeight="1">
      <c r="A843" s="22"/>
      <c r="B843" s="22"/>
      <c r="C843" s="22"/>
      <c r="D843" s="22"/>
      <c r="E843" s="22"/>
      <c r="F843" s="22"/>
    </row>
    <row r="844" ht="15.75" customHeight="1">
      <c r="A844" s="22"/>
      <c r="B844" s="22"/>
      <c r="C844" s="22"/>
      <c r="D844" s="22"/>
      <c r="E844" s="22"/>
      <c r="F844" s="22"/>
    </row>
    <row r="845" ht="15.75" customHeight="1">
      <c r="A845" s="22"/>
      <c r="B845" s="22"/>
      <c r="C845" s="22"/>
      <c r="D845" s="22"/>
      <c r="E845" s="22"/>
      <c r="F845" s="22"/>
    </row>
    <row r="846" ht="15.75" customHeight="1">
      <c r="A846" s="22"/>
      <c r="B846" s="22"/>
      <c r="C846" s="22"/>
      <c r="D846" s="22"/>
      <c r="E846" s="22"/>
      <c r="F846" s="22"/>
    </row>
    <row r="847" ht="15.75" customHeight="1">
      <c r="A847" s="22"/>
      <c r="B847" s="22"/>
      <c r="C847" s="22"/>
      <c r="D847" s="22"/>
      <c r="E847" s="22"/>
      <c r="F847" s="22"/>
    </row>
    <row r="848" ht="15.75" customHeight="1">
      <c r="A848" s="22"/>
      <c r="B848" s="22"/>
      <c r="C848" s="22"/>
      <c r="D848" s="22"/>
      <c r="E848" s="22"/>
      <c r="F848" s="22"/>
    </row>
    <row r="849" ht="15.75" customHeight="1">
      <c r="A849" s="22"/>
      <c r="B849" s="22"/>
      <c r="C849" s="22"/>
      <c r="D849" s="22"/>
      <c r="E849" s="22"/>
      <c r="F849" s="22"/>
    </row>
    <row r="850" ht="15.75" customHeight="1">
      <c r="A850" s="22"/>
      <c r="B850" s="22"/>
      <c r="C850" s="22"/>
      <c r="D850" s="22"/>
      <c r="E850" s="22"/>
      <c r="F850" s="22"/>
    </row>
    <row r="851" ht="15.75" customHeight="1">
      <c r="A851" s="22"/>
      <c r="B851" s="22"/>
      <c r="C851" s="22"/>
      <c r="D851" s="22"/>
      <c r="E851" s="22"/>
      <c r="F851" s="22"/>
    </row>
    <row r="852" ht="15.75" customHeight="1">
      <c r="A852" s="22"/>
      <c r="B852" s="22"/>
      <c r="C852" s="22"/>
      <c r="D852" s="22"/>
      <c r="E852" s="22"/>
      <c r="F852" s="22"/>
    </row>
    <row r="853" ht="15.75" customHeight="1">
      <c r="A853" s="22"/>
      <c r="B853" s="22"/>
      <c r="C853" s="22"/>
      <c r="D853" s="22"/>
      <c r="E853" s="22"/>
      <c r="F853" s="22"/>
    </row>
    <row r="854" ht="15.75" customHeight="1">
      <c r="A854" s="22"/>
      <c r="B854" s="22"/>
      <c r="C854" s="22"/>
      <c r="D854" s="22"/>
      <c r="E854" s="22"/>
      <c r="F854" s="22"/>
    </row>
    <row r="855" ht="15.75" customHeight="1">
      <c r="A855" s="22"/>
      <c r="B855" s="22"/>
      <c r="C855" s="22"/>
      <c r="D855" s="22"/>
      <c r="E855" s="22"/>
      <c r="F855" s="22"/>
    </row>
    <row r="856" ht="15.75" customHeight="1">
      <c r="A856" s="22"/>
      <c r="B856" s="22"/>
      <c r="C856" s="22"/>
      <c r="D856" s="22"/>
      <c r="E856" s="22"/>
      <c r="F856" s="22"/>
    </row>
    <row r="857" ht="15.75" customHeight="1">
      <c r="A857" s="22"/>
      <c r="B857" s="22"/>
      <c r="C857" s="22"/>
      <c r="D857" s="22"/>
      <c r="E857" s="22"/>
      <c r="F857" s="22"/>
    </row>
    <row r="858" ht="15.75" customHeight="1">
      <c r="A858" s="22"/>
      <c r="B858" s="22"/>
      <c r="C858" s="22"/>
      <c r="D858" s="22"/>
      <c r="E858" s="22"/>
      <c r="F858" s="22"/>
    </row>
    <row r="859" ht="15.75" customHeight="1">
      <c r="A859" s="22"/>
      <c r="B859" s="22"/>
      <c r="C859" s="22"/>
      <c r="D859" s="22"/>
      <c r="E859" s="22"/>
      <c r="F859" s="22"/>
    </row>
    <row r="860" ht="15.75" customHeight="1">
      <c r="A860" s="22"/>
      <c r="B860" s="22"/>
      <c r="C860" s="22"/>
      <c r="D860" s="22"/>
      <c r="E860" s="22"/>
      <c r="F860" s="22"/>
    </row>
    <row r="861" ht="15.75" customHeight="1">
      <c r="A861" s="22"/>
      <c r="B861" s="22"/>
      <c r="C861" s="22"/>
      <c r="D861" s="22"/>
      <c r="E861" s="22"/>
      <c r="F861" s="22"/>
    </row>
    <row r="862" ht="15.75" customHeight="1">
      <c r="A862" s="22"/>
      <c r="B862" s="22"/>
      <c r="C862" s="22"/>
      <c r="D862" s="22"/>
      <c r="E862" s="22"/>
      <c r="F862" s="22"/>
    </row>
    <row r="863" ht="15.75" customHeight="1">
      <c r="A863" s="22"/>
      <c r="B863" s="22"/>
      <c r="C863" s="22"/>
      <c r="D863" s="22"/>
      <c r="E863" s="22"/>
      <c r="F863" s="22"/>
    </row>
    <row r="864" ht="15.75" customHeight="1">
      <c r="A864" s="22"/>
      <c r="B864" s="22"/>
      <c r="C864" s="22"/>
      <c r="D864" s="22"/>
      <c r="E864" s="22"/>
      <c r="F864" s="22"/>
    </row>
    <row r="865" ht="15.75" customHeight="1">
      <c r="A865" s="22"/>
      <c r="B865" s="22"/>
      <c r="C865" s="22"/>
      <c r="D865" s="22"/>
      <c r="E865" s="22"/>
      <c r="F865" s="22"/>
    </row>
    <row r="866" ht="15.75" customHeight="1">
      <c r="A866" s="22"/>
      <c r="B866" s="22"/>
      <c r="C866" s="22"/>
      <c r="D866" s="22"/>
      <c r="E866" s="22"/>
      <c r="F866" s="22"/>
    </row>
    <row r="867" ht="15.75" customHeight="1">
      <c r="A867" s="22"/>
      <c r="B867" s="22"/>
      <c r="C867" s="22"/>
      <c r="D867" s="22"/>
      <c r="E867" s="22"/>
      <c r="F867" s="22"/>
    </row>
    <row r="868" ht="15.75" customHeight="1">
      <c r="A868" s="22"/>
      <c r="B868" s="22"/>
      <c r="C868" s="22"/>
      <c r="D868" s="22"/>
      <c r="E868" s="22"/>
      <c r="F868" s="22"/>
    </row>
    <row r="869" ht="15.75" customHeight="1">
      <c r="A869" s="22"/>
      <c r="B869" s="22"/>
      <c r="C869" s="22"/>
      <c r="D869" s="22"/>
      <c r="E869" s="22"/>
      <c r="F869" s="22"/>
    </row>
    <row r="870" ht="15.75" customHeight="1">
      <c r="A870" s="22"/>
      <c r="B870" s="22"/>
      <c r="C870" s="22"/>
      <c r="D870" s="22"/>
      <c r="E870" s="22"/>
      <c r="F870" s="22"/>
    </row>
    <row r="871" ht="15.75" customHeight="1">
      <c r="A871" s="22"/>
      <c r="B871" s="22"/>
      <c r="C871" s="22"/>
      <c r="D871" s="22"/>
      <c r="E871" s="22"/>
      <c r="F871" s="22"/>
    </row>
    <row r="872" ht="15.75" customHeight="1">
      <c r="A872" s="22"/>
      <c r="B872" s="22"/>
      <c r="C872" s="22"/>
      <c r="D872" s="22"/>
      <c r="E872" s="22"/>
      <c r="F872" s="22"/>
    </row>
    <row r="873" ht="15.75" customHeight="1">
      <c r="A873" s="22"/>
      <c r="B873" s="22"/>
      <c r="C873" s="22"/>
      <c r="D873" s="22"/>
      <c r="E873" s="22"/>
      <c r="F873" s="22"/>
    </row>
    <row r="874" ht="15.75" customHeight="1">
      <c r="A874" s="22"/>
      <c r="B874" s="22"/>
      <c r="C874" s="22"/>
      <c r="D874" s="22"/>
      <c r="E874" s="22"/>
      <c r="F874" s="22"/>
    </row>
    <row r="875" ht="15.75" customHeight="1">
      <c r="A875" s="22"/>
      <c r="B875" s="22"/>
      <c r="C875" s="22"/>
      <c r="D875" s="22"/>
      <c r="E875" s="22"/>
      <c r="F875" s="22"/>
    </row>
    <row r="876" ht="15.75" customHeight="1">
      <c r="A876" s="22"/>
      <c r="B876" s="22"/>
      <c r="C876" s="22"/>
      <c r="D876" s="22"/>
      <c r="E876" s="22"/>
      <c r="F876" s="22"/>
    </row>
    <row r="877" ht="15.75" customHeight="1">
      <c r="A877" s="22"/>
      <c r="B877" s="22"/>
      <c r="C877" s="22"/>
      <c r="D877" s="22"/>
      <c r="E877" s="22"/>
      <c r="F877" s="22"/>
    </row>
    <row r="878" ht="15.75" customHeight="1">
      <c r="A878" s="22"/>
      <c r="B878" s="22"/>
      <c r="C878" s="22"/>
      <c r="D878" s="22"/>
      <c r="E878" s="22"/>
      <c r="F878" s="22"/>
    </row>
    <row r="879" ht="15.75" customHeight="1">
      <c r="A879" s="22"/>
      <c r="B879" s="22"/>
      <c r="C879" s="22"/>
      <c r="D879" s="22"/>
      <c r="E879" s="22"/>
      <c r="F879" s="22"/>
    </row>
    <row r="880" ht="15.75" customHeight="1">
      <c r="A880" s="22"/>
      <c r="B880" s="22"/>
      <c r="C880" s="22"/>
      <c r="D880" s="22"/>
      <c r="E880" s="22"/>
      <c r="F880" s="22"/>
    </row>
    <row r="881" ht="15.75" customHeight="1">
      <c r="A881" s="22"/>
      <c r="B881" s="22"/>
      <c r="C881" s="22"/>
      <c r="D881" s="22"/>
      <c r="E881" s="22"/>
      <c r="F881" s="22"/>
    </row>
    <row r="882" ht="15.75" customHeight="1">
      <c r="A882" s="22"/>
      <c r="B882" s="22"/>
      <c r="C882" s="22"/>
      <c r="D882" s="22"/>
      <c r="E882" s="22"/>
      <c r="F882" s="22"/>
    </row>
    <row r="883" ht="15.75" customHeight="1">
      <c r="A883" s="22"/>
      <c r="B883" s="22"/>
      <c r="C883" s="22"/>
      <c r="D883" s="22"/>
      <c r="E883" s="22"/>
      <c r="F883" s="22"/>
    </row>
    <row r="884" ht="15.75" customHeight="1">
      <c r="A884" s="22"/>
      <c r="B884" s="22"/>
      <c r="C884" s="22"/>
      <c r="D884" s="22"/>
      <c r="E884" s="22"/>
      <c r="F884" s="22"/>
    </row>
    <row r="885" ht="15.75" customHeight="1">
      <c r="A885" s="22"/>
      <c r="B885" s="22"/>
      <c r="C885" s="22"/>
      <c r="D885" s="22"/>
      <c r="E885" s="22"/>
      <c r="F885" s="22"/>
    </row>
    <row r="886" ht="15.75" customHeight="1">
      <c r="A886" s="22"/>
      <c r="B886" s="22"/>
      <c r="C886" s="22"/>
      <c r="D886" s="22"/>
      <c r="E886" s="22"/>
      <c r="F886" s="22"/>
    </row>
    <row r="887" ht="15.75" customHeight="1">
      <c r="A887" s="22"/>
      <c r="B887" s="22"/>
      <c r="C887" s="22"/>
      <c r="D887" s="22"/>
      <c r="E887" s="22"/>
      <c r="F887" s="22"/>
    </row>
    <row r="888" ht="15.75" customHeight="1">
      <c r="A888" s="22"/>
      <c r="B888" s="22"/>
      <c r="C888" s="22"/>
      <c r="D888" s="22"/>
      <c r="E888" s="22"/>
      <c r="F888" s="22"/>
    </row>
    <row r="889" ht="15.75" customHeight="1">
      <c r="A889" s="22"/>
      <c r="B889" s="22"/>
      <c r="C889" s="22"/>
      <c r="D889" s="22"/>
      <c r="E889" s="22"/>
      <c r="F889" s="22"/>
    </row>
    <row r="890" ht="15.75" customHeight="1">
      <c r="A890" s="22"/>
      <c r="B890" s="22"/>
      <c r="C890" s="22"/>
      <c r="D890" s="22"/>
      <c r="E890" s="22"/>
      <c r="F890" s="22"/>
    </row>
    <row r="891" ht="15.75" customHeight="1">
      <c r="A891" s="22"/>
      <c r="B891" s="22"/>
      <c r="C891" s="22"/>
      <c r="D891" s="22"/>
      <c r="E891" s="22"/>
      <c r="F891" s="22"/>
    </row>
    <row r="892" ht="15.75" customHeight="1">
      <c r="A892" s="22"/>
      <c r="B892" s="22"/>
      <c r="C892" s="22"/>
      <c r="D892" s="22"/>
      <c r="E892" s="22"/>
      <c r="F892" s="22"/>
    </row>
    <row r="893" ht="15.75" customHeight="1">
      <c r="A893" s="22"/>
      <c r="B893" s="22"/>
      <c r="C893" s="22"/>
      <c r="D893" s="22"/>
      <c r="E893" s="22"/>
      <c r="F893" s="22"/>
    </row>
    <row r="894" ht="15.75" customHeight="1">
      <c r="A894" s="22"/>
      <c r="B894" s="22"/>
      <c r="C894" s="22"/>
      <c r="D894" s="22"/>
      <c r="E894" s="22"/>
      <c r="F894" s="22"/>
    </row>
    <row r="895" ht="15.75" customHeight="1">
      <c r="A895" s="22"/>
      <c r="B895" s="22"/>
      <c r="C895" s="22"/>
      <c r="D895" s="22"/>
      <c r="E895" s="22"/>
      <c r="F895" s="22"/>
    </row>
    <row r="896" ht="15.75" customHeight="1">
      <c r="A896" s="22"/>
      <c r="B896" s="22"/>
      <c r="C896" s="22"/>
      <c r="D896" s="22"/>
      <c r="E896" s="22"/>
      <c r="F896" s="22"/>
    </row>
    <row r="897" ht="15.75" customHeight="1">
      <c r="A897" s="22"/>
      <c r="B897" s="22"/>
      <c r="C897" s="22"/>
      <c r="D897" s="22"/>
      <c r="E897" s="22"/>
      <c r="F897" s="22"/>
    </row>
    <row r="898" ht="15.75" customHeight="1">
      <c r="A898" s="22"/>
      <c r="B898" s="22"/>
      <c r="C898" s="22"/>
      <c r="D898" s="22"/>
      <c r="E898" s="22"/>
      <c r="F898" s="22"/>
    </row>
    <row r="899" ht="15.75" customHeight="1">
      <c r="A899" s="22"/>
      <c r="B899" s="22"/>
      <c r="C899" s="22"/>
      <c r="D899" s="22"/>
      <c r="E899" s="22"/>
      <c r="F899" s="22"/>
    </row>
    <row r="900" ht="15.75" customHeight="1">
      <c r="A900" s="22"/>
      <c r="B900" s="22"/>
      <c r="C900" s="22"/>
      <c r="D900" s="22"/>
      <c r="E900" s="22"/>
      <c r="F900" s="22"/>
    </row>
    <row r="901" ht="15.75" customHeight="1">
      <c r="A901" s="22"/>
      <c r="B901" s="22"/>
      <c r="C901" s="22"/>
      <c r="D901" s="22"/>
      <c r="E901" s="22"/>
      <c r="F901" s="22"/>
    </row>
    <row r="902" ht="15.75" customHeight="1">
      <c r="A902" s="22"/>
      <c r="B902" s="22"/>
      <c r="C902" s="22"/>
      <c r="D902" s="22"/>
      <c r="E902" s="22"/>
      <c r="F902" s="22"/>
    </row>
    <row r="903" ht="15.75" customHeight="1">
      <c r="A903" s="22"/>
      <c r="B903" s="22"/>
      <c r="C903" s="22"/>
      <c r="D903" s="22"/>
      <c r="E903" s="22"/>
      <c r="F903" s="22"/>
    </row>
    <row r="904" ht="15.75" customHeight="1">
      <c r="A904" s="22"/>
      <c r="B904" s="22"/>
      <c r="C904" s="22"/>
      <c r="D904" s="22"/>
      <c r="E904" s="22"/>
      <c r="F904" s="22"/>
    </row>
    <row r="905" ht="15.75" customHeight="1">
      <c r="A905" s="22"/>
      <c r="B905" s="22"/>
      <c r="C905" s="22"/>
      <c r="D905" s="22"/>
      <c r="E905" s="22"/>
      <c r="F905" s="22"/>
    </row>
    <row r="906" ht="15.75" customHeight="1">
      <c r="A906" s="22"/>
      <c r="B906" s="22"/>
      <c r="C906" s="22"/>
      <c r="D906" s="22"/>
      <c r="E906" s="22"/>
      <c r="F906" s="22"/>
    </row>
    <row r="907" ht="15.75" customHeight="1">
      <c r="A907" s="22"/>
      <c r="B907" s="22"/>
      <c r="C907" s="22"/>
      <c r="D907" s="22"/>
      <c r="E907" s="22"/>
      <c r="F907" s="22"/>
    </row>
    <row r="908" ht="15.75" customHeight="1">
      <c r="A908" s="22"/>
      <c r="B908" s="22"/>
      <c r="C908" s="22"/>
      <c r="D908" s="22"/>
      <c r="E908" s="22"/>
      <c r="F908" s="22"/>
    </row>
    <row r="909" ht="15.75" customHeight="1">
      <c r="A909" s="22"/>
      <c r="B909" s="22"/>
      <c r="C909" s="22"/>
      <c r="D909" s="22"/>
      <c r="E909" s="22"/>
      <c r="F909" s="22"/>
    </row>
    <row r="910" ht="15.75" customHeight="1">
      <c r="A910" s="22"/>
      <c r="B910" s="22"/>
      <c r="C910" s="22"/>
      <c r="D910" s="22"/>
      <c r="E910" s="22"/>
      <c r="F910" s="22"/>
    </row>
    <row r="911" ht="15.75" customHeight="1">
      <c r="A911" s="22"/>
      <c r="B911" s="22"/>
      <c r="C911" s="22"/>
      <c r="D911" s="22"/>
      <c r="E911" s="22"/>
      <c r="F911" s="22"/>
    </row>
    <row r="912" ht="15.75" customHeight="1">
      <c r="A912" s="22"/>
      <c r="B912" s="22"/>
      <c r="C912" s="22"/>
      <c r="D912" s="22"/>
      <c r="E912" s="22"/>
      <c r="F912" s="22"/>
    </row>
    <row r="913" ht="15.75" customHeight="1">
      <c r="A913" s="22"/>
      <c r="B913" s="22"/>
      <c r="C913" s="22"/>
      <c r="D913" s="22"/>
      <c r="E913" s="22"/>
      <c r="F913" s="22"/>
    </row>
    <row r="914" ht="15.75" customHeight="1">
      <c r="A914" s="22"/>
      <c r="B914" s="22"/>
      <c r="C914" s="22"/>
      <c r="D914" s="22"/>
      <c r="E914" s="22"/>
      <c r="F914" s="22"/>
    </row>
    <row r="915" ht="15.75" customHeight="1">
      <c r="A915" s="22"/>
      <c r="B915" s="22"/>
      <c r="C915" s="22"/>
      <c r="D915" s="22"/>
      <c r="E915" s="22"/>
      <c r="F915" s="22"/>
    </row>
    <row r="916" ht="15.75" customHeight="1">
      <c r="A916" s="22"/>
      <c r="B916" s="22"/>
      <c r="C916" s="22"/>
      <c r="D916" s="22"/>
      <c r="E916" s="22"/>
      <c r="F916" s="22"/>
    </row>
    <row r="917" ht="15.75" customHeight="1">
      <c r="A917" s="22"/>
      <c r="B917" s="22"/>
      <c r="C917" s="22"/>
      <c r="D917" s="22"/>
      <c r="E917" s="22"/>
      <c r="F917" s="22"/>
    </row>
    <row r="918" ht="15.75" customHeight="1">
      <c r="A918" s="22"/>
      <c r="B918" s="22"/>
      <c r="C918" s="22"/>
      <c r="D918" s="22"/>
      <c r="E918" s="22"/>
      <c r="F918" s="22"/>
    </row>
    <row r="919" ht="15.75" customHeight="1">
      <c r="A919" s="22"/>
      <c r="B919" s="22"/>
      <c r="C919" s="22"/>
      <c r="D919" s="22"/>
      <c r="E919" s="22"/>
      <c r="F919" s="22"/>
    </row>
    <row r="920" ht="15.75" customHeight="1">
      <c r="A920" s="22"/>
      <c r="B920" s="22"/>
      <c r="C920" s="22"/>
      <c r="D920" s="22"/>
      <c r="E920" s="22"/>
      <c r="F920" s="22"/>
    </row>
    <row r="921" ht="15.75" customHeight="1">
      <c r="A921" s="22"/>
      <c r="B921" s="22"/>
      <c r="C921" s="22"/>
      <c r="D921" s="22"/>
      <c r="E921" s="22"/>
      <c r="F921" s="22"/>
    </row>
    <row r="922" ht="15.75" customHeight="1">
      <c r="A922" s="22"/>
      <c r="B922" s="22"/>
      <c r="C922" s="22"/>
      <c r="D922" s="22"/>
      <c r="E922" s="22"/>
      <c r="F922" s="22"/>
    </row>
    <row r="923" ht="15.75" customHeight="1">
      <c r="A923" s="22"/>
      <c r="B923" s="22"/>
      <c r="C923" s="22"/>
      <c r="D923" s="22"/>
      <c r="E923" s="22"/>
      <c r="F923" s="22"/>
    </row>
    <row r="924" ht="15.75" customHeight="1">
      <c r="A924" s="22"/>
      <c r="B924" s="22"/>
      <c r="C924" s="22"/>
      <c r="D924" s="22"/>
      <c r="E924" s="22"/>
      <c r="F924" s="22"/>
    </row>
    <row r="925" ht="15.75" customHeight="1">
      <c r="A925" s="22"/>
      <c r="B925" s="22"/>
      <c r="C925" s="22"/>
      <c r="D925" s="22"/>
      <c r="E925" s="22"/>
      <c r="F925" s="22"/>
    </row>
    <row r="926" ht="15.75" customHeight="1">
      <c r="A926" s="22"/>
      <c r="B926" s="22"/>
      <c r="C926" s="22"/>
      <c r="D926" s="22"/>
      <c r="E926" s="22"/>
      <c r="F926" s="22"/>
    </row>
    <row r="927" ht="15.75" customHeight="1">
      <c r="A927" s="22"/>
      <c r="B927" s="22"/>
      <c r="C927" s="22"/>
      <c r="D927" s="22"/>
      <c r="E927" s="22"/>
      <c r="F927" s="22"/>
    </row>
    <row r="928" ht="15.75" customHeight="1">
      <c r="A928" s="22"/>
      <c r="B928" s="22"/>
      <c r="C928" s="22"/>
      <c r="D928" s="22"/>
      <c r="E928" s="22"/>
      <c r="F928" s="22"/>
    </row>
    <row r="929" ht="15.75" customHeight="1">
      <c r="A929" s="22"/>
      <c r="B929" s="22"/>
      <c r="C929" s="22"/>
      <c r="D929" s="22"/>
      <c r="E929" s="22"/>
      <c r="F929" s="22"/>
    </row>
    <row r="930" ht="15.75" customHeight="1">
      <c r="A930" s="22"/>
      <c r="B930" s="22"/>
      <c r="C930" s="22"/>
      <c r="D930" s="22"/>
      <c r="E930" s="22"/>
      <c r="F930" s="22"/>
    </row>
    <row r="931" ht="15.75" customHeight="1">
      <c r="A931" s="22"/>
      <c r="B931" s="22"/>
      <c r="C931" s="22"/>
      <c r="D931" s="22"/>
      <c r="E931" s="22"/>
      <c r="F931" s="22"/>
    </row>
    <row r="932" ht="15.75" customHeight="1">
      <c r="A932" s="22"/>
      <c r="B932" s="22"/>
      <c r="C932" s="22"/>
      <c r="D932" s="22"/>
      <c r="E932" s="22"/>
      <c r="F932" s="22"/>
    </row>
    <row r="933" ht="15.75" customHeight="1">
      <c r="A933" s="22"/>
      <c r="B933" s="22"/>
      <c r="C933" s="22"/>
      <c r="D933" s="22"/>
      <c r="E933" s="22"/>
      <c r="F933" s="22"/>
    </row>
    <row r="934" ht="15.75" customHeight="1">
      <c r="A934" s="22"/>
      <c r="B934" s="22"/>
      <c r="C934" s="22"/>
      <c r="D934" s="22"/>
      <c r="E934" s="22"/>
      <c r="F934" s="22"/>
    </row>
    <row r="935" ht="15.75" customHeight="1">
      <c r="A935" s="22"/>
      <c r="B935" s="22"/>
      <c r="C935" s="22"/>
      <c r="D935" s="22"/>
      <c r="E935" s="22"/>
      <c r="F935" s="22"/>
    </row>
    <row r="936" ht="15.75" customHeight="1">
      <c r="A936" s="22"/>
      <c r="B936" s="22"/>
      <c r="C936" s="22"/>
      <c r="D936" s="22"/>
      <c r="E936" s="22"/>
      <c r="F936" s="22"/>
    </row>
    <row r="937" ht="15.75" customHeight="1">
      <c r="A937" s="22"/>
      <c r="B937" s="22"/>
      <c r="C937" s="22"/>
      <c r="D937" s="22"/>
      <c r="E937" s="22"/>
      <c r="F937" s="22"/>
    </row>
    <row r="938" ht="15.75" customHeight="1">
      <c r="A938" s="22"/>
      <c r="B938" s="22"/>
      <c r="C938" s="22"/>
      <c r="D938" s="22"/>
      <c r="E938" s="22"/>
      <c r="F938" s="22"/>
    </row>
    <row r="939" ht="15.75" customHeight="1">
      <c r="A939" s="22"/>
      <c r="B939" s="22"/>
      <c r="C939" s="22"/>
      <c r="D939" s="22"/>
      <c r="E939" s="22"/>
      <c r="F939" s="22"/>
    </row>
    <row r="940" ht="15.75" customHeight="1">
      <c r="A940" s="22"/>
      <c r="B940" s="22"/>
      <c r="C940" s="22"/>
      <c r="D940" s="22"/>
      <c r="E940" s="22"/>
      <c r="F940" s="22"/>
    </row>
    <row r="941" ht="15.75" customHeight="1">
      <c r="A941" s="22"/>
      <c r="B941" s="22"/>
      <c r="C941" s="22"/>
      <c r="D941" s="22"/>
      <c r="E941" s="22"/>
      <c r="F941" s="22"/>
    </row>
    <row r="942" ht="15.75" customHeight="1">
      <c r="A942" s="22"/>
      <c r="B942" s="22"/>
      <c r="C942" s="22"/>
      <c r="D942" s="22"/>
      <c r="E942" s="22"/>
      <c r="F942" s="22"/>
    </row>
    <row r="943" ht="15.75" customHeight="1">
      <c r="A943" s="22"/>
      <c r="B943" s="22"/>
      <c r="C943" s="22"/>
      <c r="D943" s="22"/>
      <c r="E943" s="22"/>
      <c r="F943" s="22"/>
    </row>
    <row r="944" ht="15.75" customHeight="1">
      <c r="A944" s="22"/>
      <c r="B944" s="22"/>
      <c r="C944" s="22"/>
      <c r="D944" s="22"/>
      <c r="E944" s="22"/>
      <c r="F944" s="22"/>
    </row>
    <row r="945" ht="15.75" customHeight="1">
      <c r="A945" s="22"/>
      <c r="B945" s="22"/>
      <c r="C945" s="22"/>
      <c r="D945" s="22"/>
      <c r="E945" s="22"/>
      <c r="F945" s="22"/>
    </row>
    <row r="946" ht="15.75" customHeight="1">
      <c r="A946" s="22"/>
      <c r="B946" s="22"/>
      <c r="C946" s="22"/>
      <c r="D946" s="22"/>
      <c r="E946" s="22"/>
      <c r="F946" s="22"/>
    </row>
    <row r="947" ht="15.75" customHeight="1">
      <c r="A947" s="22"/>
      <c r="B947" s="22"/>
      <c r="C947" s="22"/>
      <c r="D947" s="22"/>
      <c r="E947" s="22"/>
      <c r="F947" s="22"/>
    </row>
    <row r="948" ht="15.75" customHeight="1">
      <c r="A948" s="22"/>
      <c r="B948" s="22"/>
      <c r="C948" s="22"/>
      <c r="D948" s="22"/>
      <c r="E948" s="22"/>
      <c r="F948" s="22"/>
    </row>
    <row r="949" ht="15.75" customHeight="1">
      <c r="A949" s="22"/>
      <c r="B949" s="22"/>
      <c r="C949" s="22"/>
      <c r="D949" s="22"/>
      <c r="E949" s="22"/>
      <c r="F949" s="22"/>
    </row>
    <row r="950" ht="15.75" customHeight="1">
      <c r="A950" s="22"/>
      <c r="B950" s="22"/>
      <c r="C950" s="22"/>
      <c r="D950" s="22"/>
      <c r="E950" s="22"/>
      <c r="F950" s="22"/>
    </row>
    <row r="951" ht="15.75" customHeight="1">
      <c r="A951" s="22"/>
      <c r="B951" s="22"/>
      <c r="C951" s="22"/>
      <c r="D951" s="22"/>
      <c r="E951" s="22"/>
      <c r="F951" s="22"/>
    </row>
    <row r="952" ht="15.75" customHeight="1">
      <c r="A952" s="22"/>
      <c r="B952" s="22"/>
      <c r="C952" s="22"/>
      <c r="D952" s="22"/>
      <c r="E952" s="22"/>
      <c r="F952" s="22"/>
    </row>
    <row r="953" ht="15.75" customHeight="1">
      <c r="A953" s="22"/>
      <c r="B953" s="22"/>
      <c r="C953" s="22"/>
      <c r="D953" s="22"/>
      <c r="E953" s="22"/>
      <c r="F953" s="22"/>
    </row>
    <row r="954" ht="15.75" customHeight="1">
      <c r="A954" s="22"/>
      <c r="B954" s="22"/>
      <c r="C954" s="22"/>
      <c r="D954" s="22"/>
      <c r="E954" s="22"/>
      <c r="F954" s="22"/>
    </row>
    <row r="955" ht="15.75" customHeight="1">
      <c r="A955" s="22"/>
      <c r="B955" s="22"/>
      <c r="C955" s="22"/>
      <c r="D955" s="22"/>
      <c r="E955" s="22"/>
      <c r="F955" s="22"/>
    </row>
    <row r="956" ht="15.75" customHeight="1">
      <c r="A956" s="22"/>
      <c r="B956" s="22"/>
      <c r="C956" s="22"/>
      <c r="D956" s="22"/>
      <c r="E956" s="22"/>
      <c r="F956" s="22"/>
    </row>
    <row r="957" ht="15.75" customHeight="1">
      <c r="A957" s="22"/>
      <c r="B957" s="22"/>
      <c r="C957" s="22"/>
      <c r="D957" s="22"/>
      <c r="E957" s="22"/>
      <c r="F957" s="22"/>
    </row>
    <row r="958" ht="15.75" customHeight="1">
      <c r="A958" s="22"/>
      <c r="B958" s="22"/>
      <c r="C958" s="22"/>
      <c r="D958" s="22"/>
      <c r="E958" s="22"/>
      <c r="F958" s="22"/>
    </row>
    <row r="959" ht="15.75" customHeight="1">
      <c r="A959" s="22"/>
      <c r="B959" s="22"/>
      <c r="C959" s="22"/>
      <c r="D959" s="22"/>
      <c r="E959" s="22"/>
      <c r="F959" s="22"/>
    </row>
    <row r="960" ht="15.75" customHeight="1">
      <c r="A960" s="22"/>
      <c r="B960" s="22"/>
      <c r="C960" s="22"/>
      <c r="D960" s="22"/>
      <c r="E960" s="22"/>
      <c r="F960" s="22"/>
    </row>
    <row r="961" ht="15.75" customHeight="1">
      <c r="A961" s="22"/>
      <c r="B961" s="22"/>
      <c r="C961" s="22"/>
      <c r="D961" s="22"/>
      <c r="E961" s="22"/>
      <c r="F961" s="22"/>
    </row>
    <row r="962" ht="15.75" customHeight="1">
      <c r="A962" s="22"/>
      <c r="B962" s="22"/>
      <c r="C962" s="22"/>
      <c r="D962" s="22"/>
      <c r="E962" s="22"/>
      <c r="F962" s="22"/>
    </row>
    <row r="963" ht="15.75" customHeight="1">
      <c r="A963" s="22"/>
      <c r="B963" s="22"/>
      <c r="C963" s="22"/>
      <c r="D963" s="22"/>
      <c r="E963" s="22"/>
      <c r="F963" s="22"/>
    </row>
    <row r="964" ht="15.75" customHeight="1">
      <c r="A964" s="22"/>
      <c r="B964" s="22"/>
      <c r="C964" s="22"/>
      <c r="D964" s="22"/>
      <c r="E964" s="22"/>
      <c r="F964" s="22"/>
    </row>
    <row r="965" ht="15.75" customHeight="1">
      <c r="A965" s="22"/>
      <c r="B965" s="22"/>
      <c r="C965" s="22"/>
      <c r="D965" s="22"/>
      <c r="E965" s="22"/>
      <c r="F965" s="22"/>
    </row>
    <row r="966" ht="15.75" customHeight="1">
      <c r="A966" s="22"/>
      <c r="B966" s="22"/>
      <c r="C966" s="22"/>
      <c r="D966" s="22"/>
      <c r="E966" s="22"/>
      <c r="F966" s="22"/>
    </row>
    <row r="967" ht="15.75" customHeight="1">
      <c r="A967" s="22"/>
      <c r="B967" s="22"/>
      <c r="C967" s="22"/>
      <c r="D967" s="22"/>
      <c r="E967" s="22"/>
      <c r="F967" s="22"/>
    </row>
    <row r="968" ht="15.75" customHeight="1">
      <c r="A968" s="22"/>
      <c r="B968" s="22"/>
      <c r="C968" s="22"/>
      <c r="D968" s="22"/>
      <c r="E968" s="22"/>
      <c r="F968" s="22"/>
    </row>
    <row r="969" ht="15.75" customHeight="1">
      <c r="A969" s="22"/>
      <c r="B969" s="22"/>
      <c r="C969" s="22"/>
      <c r="D969" s="22"/>
      <c r="E969" s="22"/>
      <c r="F969" s="22"/>
    </row>
    <row r="970" ht="15.75" customHeight="1">
      <c r="A970" s="22"/>
      <c r="B970" s="22"/>
      <c r="C970" s="22"/>
      <c r="D970" s="22"/>
      <c r="E970" s="22"/>
      <c r="F970" s="22"/>
    </row>
    <row r="971" ht="15.75" customHeight="1">
      <c r="A971" s="22"/>
      <c r="B971" s="22"/>
      <c r="C971" s="22"/>
      <c r="D971" s="22"/>
      <c r="E971" s="22"/>
      <c r="F971" s="22"/>
    </row>
    <row r="972" ht="15.75" customHeight="1">
      <c r="A972" s="22"/>
      <c r="B972" s="22"/>
      <c r="C972" s="22"/>
      <c r="D972" s="22"/>
      <c r="E972" s="22"/>
      <c r="F972" s="22"/>
    </row>
    <row r="973" ht="15.75" customHeight="1">
      <c r="A973" s="22"/>
      <c r="B973" s="22"/>
      <c r="C973" s="22"/>
      <c r="D973" s="22"/>
      <c r="E973" s="22"/>
      <c r="F973" s="22"/>
    </row>
    <row r="974" ht="15.75" customHeight="1">
      <c r="A974" s="22"/>
      <c r="B974" s="22"/>
      <c r="C974" s="22"/>
      <c r="D974" s="22"/>
      <c r="E974" s="22"/>
      <c r="F974" s="22"/>
    </row>
    <row r="975" ht="15.75" customHeight="1">
      <c r="A975" s="22"/>
      <c r="B975" s="22"/>
      <c r="C975" s="22"/>
      <c r="D975" s="22"/>
      <c r="E975" s="22"/>
      <c r="F975" s="22"/>
    </row>
    <row r="976" ht="15.75" customHeight="1">
      <c r="A976" s="22"/>
      <c r="B976" s="22"/>
      <c r="C976" s="22"/>
      <c r="D976" s="22"/>
      <c r="E976" s="22"/>
      <c r="F976" s="22"/>
    </row>
    <row r="977" ht="15.75" customHeight="1">
      <c r="A977" s="22"/>
      <c r="B977" s="22"/>
      <c r="C977" s="22"/>
      <c r="D977" s="22"/>
      <c r="E977" s="22"/>
      <c r="F977" s="22"/>
    </row>
    <row r="978" ht="15.75" customHeight="1">
      <c r="A978" s="22"/>
      <c r="B978" s="22"/>
      <c r="C978" s="22"/>
      <c r="D978" s="22"/>
      <c r="E978" s="22"/>
      <c r="F978" s="22"/>
    </row>
    <row r="979" ht="15.75" customHeight="1">
      <c r="A979" s="22"/>
      <c r="B979" s="22"/>
      <c r="C979" s="22"/>
      <c r="D979" s="22"/>
      <c r="E979" s="22"/>
      <c r="F979" s="22"/>
    </row>
    <row r="980" ht="15.75" customHeight="1">
      <c r="A980" s="22"/>
      <c r="B980" s="22"/>
      <c r="C980" s="22"/>
      <c r="D980" s="22"/>
      <c r="E980" s="22"/>
      <c r="F980" s="22"/>
    </row>
    <row r="981" ht="15.75" customHeight="1">
      <c r="A981" s="22"/>
      <c r="B981" s="22"/>
      <c r="C981" s="22"/>
      <c r="D981" s="22"/>
      <c r="E981" s="22"/>
      <c r="F981" s="22"/>
    </row>
    <row r="982" ht="15.75" customHeight="1">
      <c r="A982" s="22"/>
      <c r="B982" s="22"/>
      <c r="C982" s="22"/>
      <c r="D982" s="22"/>
      <c r="E982" s="22"/>
      <c r="F982" s="22"/>
    </row>
    <row r="983" ht="15.75" customHeight="1">
      <c r="A983" s="22"/>
      <c r="B983" s="22"/>
      <c r="C983" s="22"/>
      <c r="D983" s="22"/>
      <c r="E983" s="22"/>
      <c r="F983" s="22"/>
    </row>
    <row r="984" ht="15.75" customHeight="1">
      <c r="A984" s="22"/>
      <c r="B984" s="22"/>
      <c r="C984" s="22"/>
      <c r="D984" s="22"/>
      <c r="E984" s="22"/>
      <c r="F984" s="22"/>
    </row>
    <row r="985" ht="15.75" customHeight="1">
      <c r="A985" s="22"/>
      <c r="B985" s="22"/>
      <c r="C985" s="22"/>
      <c r="D985" s="22"/>
      <c r="E985" s="22"/>
      <c r="F985" s="22"/>
    </row>
    <row r="986" ht="15.75" customHeight="1">
      <c r="A986" s="22"/>
      <c r="B986" s="22"/>
      <c r="C986" s="22"/>
      <c r="D986" s="22"/>
      <c r="E986" s="22"/>
      <c r="F986" s="22"/>
    </row>
    <row r="987" ht="15.75" customHeight="1">
      <c r="A987" s="22"/>
      <c r="B987" s="22"/>
      <c r="C987" s="22"/>
      <c r="D987" s="22"/>
      <c r="E987" s="22"/>
      <c r="F987" s="22"/>
    </row>
    <row r="988" ht="15.75" customHeight="1">
      <c r="A988" s="22"/>
      <c r="B988" s="22"/>
      <c r="C988" s="22"/>
      <c r="D988" s="22"/>
      <c r="E988" s="22"/>
      <c r="F988" s="22"/>
    </row>
    <row r="989" ht="15.75" customHeight="1">
      <c r="A989" s="22"/>
      <c r="B989" s="22"/>
      <c r="C989" s="22"/>
      <c r="D989" s="22"/>
      <c r="E989" s="22"/>
      <c r="F989" s="22"/>
    </row>
    <row r="990" ht="15.75" customHeight="1">
      <c r="A990" s="22"/>
      <c r="B990" s="22"/>
      <c r="C990" s="22"/>
      <c r="D990" s="22"/>
      <c r="E990" s="22"/>
      <c r="F990" s="22"/>
    </row>
    <row r="991" ht="15.75" customHeight="1">
      <c r="A991" s="22"/>
      <c r="B991" s="22"/>
      <c r="C991" s="22"/>
      <c r="D991" s="22"/>
      <c r="E991" s="22"/>
      <c r="F991" s="22"/>
    </row>
    <row r="992" ht="15.75" customHeight="1">
      <c r="A992" s="22"/>
      <c r="B992" s="22"/>
      <c r="C992" s="22"/>
      <c r="D992" s="22"/>
      <c r="E992" s="22"/>
      <c r="F992" s="22"/>
    </row>
    <row r="993" ht="15.75" customHeight="1">
      <c r="A993" s="22"/>
      <c r="B993" s="22"/>
      <c r="C993" s="22"/>
      <c r="D993" s="22"/>
      <c r="E993" s="22"/>
      <c r="F993" s="22"/>
    </row>
    <row r="994" ht="15.75" customHeight="1">
      <c r="A994" s="22"/>
      <c r="B994" s="22"/>
      <c r="C994" s="22"/>
      <c r="D994" s="22"/>
      <c r="E994" s="22"/>
      <c r="F994" s="22"/>
    </row>
    <row r="995" ht="15.75" customHeight="1">
      <c r="A995" s="22"/>
      <c r="B995" s="22"/>
      <c r="C995" s="22"/>
      <c r="D995" s="22"/>
      <c r="E995" s="22"/>
      <c r="F995" s="22"/>
    </row>
    <row r="996" ht="15.75" customHeight="1">
      <c r="A996" s="22"/>
      <c r="B996" s="22"/>
      <c r="C996" s="22"/>
      <c r="D996" s="22"/>
      <c r="E996" s="22"/>
      <c r="F996" s="22"/>
    </row>
    <row r="997" ht="15.75" customHeight="1">
      <c r="A997" s="22"/>
      <c r="B997" s="22"/>
      <c r="C997" s="22"/>
      <c r="D997" s="22"/>
      <c r="E997" s="22"/>
      <c r="F997" s="22"/>
    </row>
    <row r="998" ht="15.75" customHeight="1">
      <c r="A998" s="22"/>
      <c r="B998" s="22"/>
      <c r="C998" s="22"/>
      <c r="D998" s="22"/>
      <c r="E998" s="22"/>
      <c r="F998" s="22"/>
    </row>
    <row r="999" ht="15.75" customHeight="1">
      <c r="A999" s="22"/>
      <c r="B999" s="22"/>
      <c r="C999" s="22"/>
      <c r="D999" s="22"/>
      <c r="E999" s="22"/>
      <c r="F999" s="22"/>
    </row>
    <row r="1000" ht="15.75" customHeight="1">
      <c r="A1000" s="22"/>
      <c r="B1000" s="22"/>
      <c r="C1000" s="22"/>
      <c r="D1000" s="22"/>
      <c r="E1000" s="22"/>
      <c r="F1000" s="22"/>
    </row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9" t="s">
        <v>418</v>
      </c>
      <c r="B1" s="39" t="s">
        <v>282</v>
      </c>
      <c r="C1" s="39" t="s">
        <v>419</v>
      </c>
      <c r="D1" s="39" t="s">
        <v>420</v>
      </c>
      <c r="E1" s="39" t="s">
        <v>421</v>
      </c>
      <c r="F1" s="39" t="s">
        <v>422</v>
      </c>
      <c r="G1" s="39" t="s">
        <v>73</v>
      </c>
      <c r="H1" s="39" t="s">
        <v>423</v>
      </c>
      <c r="I1" s="39" t="s">
        <v>424</v>
      </c>
      <c r="J1" s="39" t="s">
        <v>425</v>
      </c>
      <c r="K1" s="39" t="s">
        <v>426</v>
      </c>
      <c r="L1" s="39" t="s">
        <v>427</v>
      </c>
      <c r="M1" s="39" t="s">
        <v>428</v>
      </c>
    </row>
    <row r="2">
      <c r="C2" s="39"/>
      <c r="D2" s="39" t="str">
        <f>IF(OR(B2="",A2=""),"",MAX(0,MIN(3,SUMIFS($C$2:$C$1000,$B$2:$B$1000,B2,$A$2:$A$1000,"&lt;="&amp;A2,$A$2:$A$1000,"&gt;="&amp;IF(Config!$B$1004="Y",A2-Config!$B$1005,DATE(1900,1,1)),$I$2:$I$1000,1)))))</f>
        <v>#ERROR!</v>
      </c>
      <c r="H2" s="39"/>
      <c r="I2" s="39">
        <f t="shared" ref="I2:I1000" si="1">IF(C2=-1,1,IF(OR(K2="",K2="Counts"),1,IF(OR(K2="Pending",K2="Approved"),0,1)))</f>
        <v>1</v>
      </c>
      <c r="J2" s="39" t="str">
        <f t="shared" ref="J2:J1000" si="2">IF(B2="","",ROW()-1)</f>
        <v/>
      </c>
      <c r="K2" s="39" t="str">
        <f t="array" ref="K2">IF(J2="","",IF(XLOOKUP(J2,Strike_Review_Queue!$I:$I,Strike_Review_Queue!$J:$J,"")="Approve","Approved",IF(XLOOKUP(J2,Strike_Review_Queue!$I:$I,Strike_Review_Queue!$J:$J,"")="Deny","Counts",H2)))</f>
        <v/>
      </c>
      <c r="L2" s="39" t="str">
        <f t="array" ref="L2">IF(J2="","",XLOOKUP(J2,Strike_Review_Queue!$I:$I,Strike_Review_Queue!$L:$L,""))</f>
        <v/>
      </c>
      <c r="M2" s="39" t="str">
        <f t="array" ref="M2">IF(J2="","",XLOOKUP(J2,Strike_Review_Queue!$I:$I,Strike_Review_Queue!$M:$M,""))</f>
        <v/>
      </c>
    </row>
    <row r="3">
      <c r="C3" s="39"/>
      <c r="D3" s="39" t="str">
        <f>IF(OR(B3="",A3=""),"",MAX(0,MIN(3,SUMIFS($C$2:$C$1000,$B$2:$B$1000,B3,$A$2:$A$1000,"&lt;="&amp;A3,$A$2:$A$1000,"&gt;="&amp;IF(Config!$B$1004="Y",A3-Config!$B$1005,DATE(1900,1,1)),$I$2:$I$1000,1)))))</f>
        <v>#ERROR!</v>
      </c>
      <c r="H3" s="39"/>
      <c r="I3" s="39">
        <f t="shared" si="1"/>
        <v>1</v>
      </c>
      <c r="J3" s="39" t="str">
        <f t="shared" si="2"/>
        <v/>
      </c>
      <c r="K3" s="39" t="str">
        <f t="array" ref="K3">IF(J3="","",IF(XLOOKUP(J3,Strike_Review_Queue!$I:$I,Strike_Review_Queue!$J:$J,"")="Approve","Approved",IF(XLOOKUP(J3,Strike_Review_Queue!$I:$I,Strike_Review_Queue!$J:$J,"")="Deny","Counts",H3)))</f>
        <v/>
      </c>
      <c r="L3" s="39" t="str">
        <f t="array" ref="L3">IF(J3="","",XLOOKUP(J3,Strike_Review_Queue!$I:$I,Strike_Review_Queue!$L:$L,""))</f>
        <v/>
      </c>
      <c r="M3" s="39" t="str">
        <f t="array" ref="M3">IF(J3="","",XLOOKUP(J3,Strike_Review_Queue!$I:$I,Strike_Review_Queue!$M:$M,""))</f>
        <v/>
      </c>
    </row>
    <row r="4">
      <c r="C4" s="39"/>
      <c r="D4" s="39" t="str">
        <f>IF(OR(B4="",A4=""),"",MAX(0,MIN(3,SUMIFS($C$2:$C$1000,$B$2:$B$1000,B4,$A$2:$A$1000,"&lt;="&amp;A4,$A$2:$A$1000,"&gt;="&amp;IF(Config!$B$1004="Y",A4-Config!$B$1005,DATE(1900,1,1)),$I$2:$I$1000,1)))))</f>
        <v>#ERROR!</v>
      </c>
      <c r="H4" s="39"/>
      <c r="I4" s="39">
        <f t="shared" si="1"/>
        <v>1</v>
      </c>
      <c r="J4" s="39" t="str">
        <f t="shared" si="2"/>
        <v/>
      </c>
      <c r="K4" s="39" t="str">
        <f t="array" ref="K4">IF(J4="","",IF(XLOOKUP(J4,Strike_Review_Queue!$I:$I,Strike_Review_Queue!$J:$J,"")="Approve","Approved",IF(XLOOKUP(J4,Strike_Review_Queue!$I:$I,Strike_Review_Queue!$J:$J,"")="Deny","Counts",H4)))</f>
        <v/>
      </c>
      <c r="L4" s="39" t="str">
        <f t="array" ref="L4">IF(J4="","",XLOOKUP(J4,Strike_Review_Queue!$I:$I,Strike_Review_Queue!$L:$L,""))</f>
        <v/>
      </c>
      <c r="M4" s="39" t="str">
        <f t="array" ref="M4">IF(J4="","",XLOOKUP(J4,Strike_Review_Queue!$I:$I,Strike_Review_Queue!$M:$M,""))</f>
        <v/>
      </c>
    </row>
    <row r="5">
      <c r="C5" s="39"/>
      <c r="D5" s="39" t="str">
        <f>IF(OR(B5="",A5=""),"",MAX(0,MIN(3,SUMIFS($C$2:$C$1000,$B$2:$B$1000,B5,$A$2:$A$1000,"&lt;="&amp;A5,$A$2:$A$1000,"&gt;="&amp;IF(Config!$B$1004="Y",A5-Config!$B$1005,DATE(1900,1,1)),$I$2:$I$1000,1)))))</f>
        <v>#ERROR!</v>
      </c>
      <c r="H5" s="39"/>
      <c r="I5" s="39">
        <f t="shared" si="1"/>
        <v>1</v>
      </c>
      <c r="J5" s="39" t="str">
        <f t="shared" si="2"/>
        <v/>
      </c>
      <c r="K5" s="39" t="str">
        <f t="array" ref="K5">IF(J5="","",IF(XLOOKUP(J5,Strike_Review_Queue!$I:$I,Strike_Review_Queue!$J:$J,"")="Approve","Approved",IF(XLOOKUP(J5,Strike_Review_Queue!$I:$I,Strike_Review_Queue!$J:$J,"")="Deny","Counts",H5)))</f>
        <v/>
      </c>
      <c r="L5" s="39" t="str">
        <f t="array" ref="L5">IF(J5="","",XLOOKUP(J5,Strike_Review_Queue!$I:$I,Strike_Review_Queue!$L:$L,""))</f>
        <v/>
      </c>
      <c r="M5" s="39" t="str">
        <f t="array" ref="M5">IF(J5="","",XLOOKUP(J5,Strike_Review_Queue!$I:$I,Strike_Review_Queue!$M:$M,""))</f>
        <v/>
      </c>
    </row>
    <row r="6">
      <c r="C6" s="39"/>
      <c r="D6" s="39" t="str">
        <f>IF(OR(B6="",A6=""),"",MAX(0,MIN(3,SUMIFS($C$2:$C$1000,$B$2:$B$1000,B6,$A$2:$A$1000,"&lt;="&amp;A6,$A$2:$A$1000,"&gt;="&amp;IF(Config!$B$1004="Y",A6-Config!$B$1005,DATE(1900,1,1)),$I$2:$I$1000,1)))))</f>
        <v>#ERROR!</v>
      </c>
      <c r="H6" s="39"/>
      <c r="I6" s="39">
        <f t="shared" si="1"/>
        <v>1</v>
      </c>
      <c r="J6" s="39" t="str">
        <f t="shared" si="2"/>
        <v/>
      </c>
      <c r="K6" s="39" t="str">
        <f t="array" ref="K6">IF(J6="","",IF(XLOOKUP(J6,Strike_Review_Queue!$I:$I,Strike_Review_Queue!$J:$J,"")="Approve","Approved",IF(XLOOKUP(J6,Strike_Review_Queue!$I:$I,Strike_Review_Queue!$J:$J,"")="Deny","Counts",H6)))</f>
        <v/>
      </c>
      <c r="L6" s="39" t="str">
        <f t="array" ref="L6">IF(J6="","",XLOOKUP(J6,Strike_Review_Queue!$I:$I,Strike_Review_Queue!$L:$L,""))</f>
        <v/>
      </c>
      <c r="M6" s="39" t="str">
        <f t="array" ref="M6">IF(J6="","",XLOOKUP(J6,Strike_Review_Queue!$I:$I,Strike_Review_Queue!$M:$M,""))</f>
        <v/>
      </c>
    </row>
    <row r="7">
      <c r="C7" s="39"/>
      <c r="D7" s="39" t="str">
        <f>IF(OR(B7="",A7=""),"",MAX(0,MIN(3,SUMIFS($C$2:$C$1000,$B$2:$B$1000,B7,$A$2:$A$1000,"&lt;="&amp;A7,$A$2:$A$1000,"&gt;="&amp;IF(Config!$B$1004="Y",A7-Config!$B$1005,DATE(1900,1,1)),$I$2:$I$1000,1)))))</f>
        <v>#ERROR!</v>
      </c>
      <c r="H7" s="39"/>
      <c r="I7" s="39">
        <f t="shared" si="1"/>
        <v>1</v>
      </c>
      <c r="J7" s="39" t="str">
        <f t="shared" si="2"/>
        <v/>
      </c>
      <c r="K7" s="39" t="str">
        <f t="array" ref="K7">IF(J7="","",IF(XLOOKUP(J7,Strike_Review_Queue!$I:$I,Strike_Review_Queue!$J:$J,"")="Approve","Approved",IF(XLOOKUP(J7,Strike_Review_Queue!$I:$I,Strike_Review_Queue!$J:$J,"")="Deny","Counts",H7)))</f>
        <v/>
      </c>
      <c r="L7" s="39" t="str">
        <f t="array" ref="L7">IF(J7="","",XLOOKUP(J7,Strike_Review_Queue!$I:$I,Strike_Review_Queue!$L:$L,""))</f>
        <v/>
      </c>
      <c r="M7" s="39" t="str">
        <f t="array" ref="M7">IF(J7="","",XLOOKUP(J7,Strike_Review_Queue!$I:$I,Strike_Review_Queue!$M:$M,""))</f>
        <v/>
      </c>
    </row>
    <row r="8">
      <c r="C8" s="39"/>
      <c r="D8" s="39" t="str">
        <f>IF(OR(B8="",A8=""),"",MAX(0,MIN(3,SUMIFS($C$2:$C$1000,$B$2:$B$1000,B8,$A$2:$A$1000,"&lt;="&amp;A8,$A$2:$A$1000,"&gt;="&amp;IF(Config!$B$1004="Y",A8-Config!$B$1005,DATE(1900,1,1)),$I$2:$I$1000,1)))))</f>
        <v>#ERROR!</v>
      </c>
      <c r="H8" s="39"/>
      <c r="I8" s="39">
        <f t="shared" si="1"/>
        <v>1</v>
      </c>
      <c r="J8" s="39" t="str">
        <f t="shared" si="2"/>
        <v/>
      </c>
      <c r="K8" s="39" t="str">
        <f t="array" ref="K8">IF(J8="","",IF(XLOOKUP(J8,Strike_Review_Queue!$I:$I,Strike_Review_Queue!$J:$J,"")="Approve","Approved",IF(XLOOKUP(J8,Strike_Review_Queue!$I:$I,Strike_Review_Queue!$J:$J,"")="Deny","Counts",H8)))</f>
        <v/>
      </c>
      <c r="L8" s="39" t="str">
        <f t="array" ref="L8">IF(J8="","",XLOOKUP(J8,Strike_Review_Queue!$I:$I,Strike_Review_Queue!$L:$L,""))</f>
        <v/>
      </c>
      <c r="M8" s="39" t="str">
        <f t="array" ref="M8">IF(J8="","",XLOOKUP(J8,Strike_Review_Queue!$I:$I,Strike_Review_Queue!$M:$M,""))</f>
        <v/>
      </c>
    </row>
    <row r="9">
      <c r="C9" s="39"/>
      <c r="D9" s="39" t="str">
        <f>IF(OR(B9="",A9=""),"",MAX(0,MIN(3,SUMIFS($C$2:$C$1000,$B$2:$B$1000,B9,$A$2:$A$1000,"&lt;="&amp;A9,$A$2:$A$1000,"&gt;="&amp;IF(Config!$B$1004="Y",A9-Config!$B$1005,DATE(1900,1,1)),$I$2:$I$1000,1)))))</f>
        <v>#ERROR!</v>
      </c>
      <c r="H9" s="39"/>
      <c r="I9" s="39">
        <f t="shared" si="1"/>
        <v>1</v>
      </c>
      <c r="J9" s="39" t="str">
        <f t="shared" si="2"/>
        <v/>
      </c>
      <c r="K9" s="39" t="str">
        <f t="array" ref="K9">IF(J9="","",IF(XLOOKUP(J9,Strike_Review_Queue!$I:$I,Strike_Review_Queue!$J:$J,"")="Approve","Approved",IF(XLOOKUP(J9,Strike_Review_Queue!$I:$I,Strike_Review_Queue!$J:$J,"")="Deny","Counts",H9)))</f>
        <v/>
      </c>
      <c r="L9" s="39" t="str">
        <f t="array" ref="L9">IF(J9="","",XLOOKUP(J9,Strike_Review_Queue!$I:$I,Strike_Review_Queue!$L:$L,""))</f>
        <v/>
      </c>
      <c r="M9" s="39" t="str">
        <f t="array" ref="M9">IF(J9="","",XLOOKUP(J9,Strike_Review_Queue!$I:$I,Strike_Review_Queue!$M:$M,""))</f>
        <v/>
      </c>
    </row>
    <row r="10">
      <c r="C10" s="39"/>
      <c r="D10" s="39" t="str">
        <f>IF(OR(B10="",A10=""),"",MAX(0,MIN(3,SUMIFS($C$2:$C$1000,$B$2:$B$1000,B10,$A$2:$A$1000,"&lt;="&amp;A10,$A$2:$A$1000,"&gt;="&amp;IF(Config!$B$1004="Y",A10-Config!$B$1005,DATE(1900,1,1)),$I$2:$I$1000,1)))))</f>
        <v>#ERROR!</v>
      </c>
      <c r="H10" s="39"/>
      <c r="I10" s="39">
        <f t="shared" si="1"/>
        <v>1</v>
      </c>
      <c r="J10" s="39" t="str">
        <f t="shared" si="2"/>
        <v/>
      </c>
      <c r="K10" s="39" t="str">
        <f t="array" ref="K10">IF(J10="","",IF(XLOOKUP(J10,Strike_Review_Queue!$I:$I,Strike_Review_Queue!$J:$J,"")="Approve","Approved",IF(XLOOKUP(J10,Strike_Review_Queue!$I:$I,Strike_Review_Queue!$J:$J,"")="Deny","Counts",H10)))</f>
        <v/>
      </c>
      <c r="L10" s="39" t="str">
        <f t="array" ref="L10">IF(J10="","",XLOOKUP(J10,Strike_Review_Queue!$I:$I,Strike_Review_Queue!$L:$L,""))</f>
        <v/>
      </c>
      <c r="M10" s="39" t="str">
        <f t="array" ref="M10">IF(J10="","",XLOOKUP(J10,Strike_Review_Queue!$I:$I,Strike_Review_Queue!$M:$M,""))</f>
        <v/>
      </c>
    </row>
    <row r="11">
      <c r="C11" s="39"/>
      <c r="D11" s="39" t="str">
        <f>IF(OR(B11="",A11=""),"",MAX(0,MIN(3,SUMIFS($C$2:$C$1000,$B$2:$B$1000,B11,$A$2:$A$1000,"&lt;="&amp;A11,$A$2:$A$1000,"&gt;="&amp;IF(Config!$B$1004="Y",A11-Config!$B$1005,DATE(1900,1,1)),$I$2:$I$1000,1)))))</f>
        <v>#ERROR!</v>
      </c>
      <c r="H11" s="39"/>
      <c r="I11" s="39">
        <f t="shared" si="1"/>
        <v>1</v>
      </c>
      <c r="J11" s="39" t="str">
        <f t="shared" si="2"/>
        <v/>
      </c>
      <c r="K11" s="39" t="str">
        <f t="array" ref="K11">IF(J11="","",IF(XLOOKUP(J11,Strike_Review_Queue!$I:$I,Strike_Review_Queue!$J:$J,"")="Approve","Approved",IF(XLOOKUP(J11,Strike_Review_Queue!$I:$I,Strike_Review_Queue!$J:$J,"")="Deny","Counts",H11)))</f>
        <v/>
      </c>
      <c r="L11" s="39" t="str">
        <f t="array" ref="L11">IF(J11="","",XLOOKUP(J11,Strike_Review_Queue!$I:$I,Strike_Review_Queue!$L:$L,""))</f>
        <v/>
      </c>
      <c r="M11" s="39" t="str">
        <f t="array" ref="M11">IF(J11="","",XLOOKUP(J11,Strike_Review_Queue!$I:$I,Strike_Review_Queue!$M:$M,""))</f>
        <v/>
      </c>
    </row>
    <row r="12">
      <c r="C12" s="39"/>
      <c r="D12" s="39" t="str">
        <f>IF(OR(B12="",A12=""),"",MAX(0,MIN(3,SUMIFS($C$2:$C$1000,$B$2:$B$1000,B12,$A$2:$A$1000,"&lt;="&amp;A12,$A$2:$A$1000,"&gt;="&amp;IF(Config!$B$1004="Y",A12-Config!$B$1005,DATE(1900,1,1)),$I$2:$I$1000,1)))))</f>
        <v>#ERROR!</v>
      </c>
      <c r="H12" s="39"/>
      <c r="I12" s="39">
        <f t="shared" si="1"/>
        <v>1</v>
      </c>
      <c r="J12" s="39" t="str">
        <f t="shared" si="2"/>
        <v/>
      </c>
      <c r="K12" s="39" t="str">
        <f t="array" ref="K12">IF(J12="","",IF(XLOOKUP(J12,Strike_Review_Queue!$I:$I,Strike_Review_Queue!$J:$J,"")="Approve","Approved",IF(XLOOKUP(J12,Strike_Review_Queue!$I:$I,Strike_Review_Queue!$J:$J,"")="Deny","Counts",H12)))</f>
        <v/>
      </c>
      <c r="L12" s="39" t="str">
        <f t="array" ref="L12">IF(J12="","",XLOOKUP(J12,Strike_Review_Queue!$I:$I,Strike_Review_Queue!$L:$L,""))</f>
        <v/>
      </c>
      <c r="M12" s="39" t="str">
        <f t="array" ref="M12">IF(J12="","",XLOOKUP(J12,Strike_Review_Queue!$I:$I,Strike_Review_Queue!$M:$M,""))</f>
        <v/>
      </c>
    </row>
    <row r="13">
      <c r="C13" s="39"/>
      <c r="D13" s="39" t="str">
        <f>IF(OR(B13="",A13=""),"",MAX(0,MIN(3,SUMIFS($C$2:$C$1000,$B$2:$B$1000,B13,$A$2:$A$1000,"&lt;="&amp;A13,$A$2:$A$1000,"&gt;="&amp;IF(Config!$B$1004="Y",A13-Config!$B$1005,DATE(1900,1,1)),$I$2:$I$1000,1)))))</f>
        <v>#ERROR!</v>
      </c>
      <c r="H13" s="39"/>
      <c r="I13" s="39">
        <f t="shared" si="1"/>
        <v>1</v>
      </c>
      <c r="J13" s="39" t="str">
        <f t="shared" si="2"/>
        <v/>
      </c>
      <c r="K13" s="39" t="str">
        <f t="array" ref="K13">IF(J13="","",IF(XLOOKUP(J13,Strike_Review_Queue!$I:$I,Strike_Review_Queue!$J:$J,"")="Approve","Approved",IF(XLOOKUP(J13,Strike_Review_Queue!$I:$I,Strike_Review_Queue!$J:$J,"")="Deny","Counts",H13)))</f>
        <v/>
      </c>
      <c r="L13" s="39" t="str">
        <f t="array" ref="L13">IF(J13="","",XLOOKUP(J13,Strike_Review_Queue!$I:$I,Strike_Review_Queue!$L:$L,""))</f>
        <v/>
      </c>
      <c r="M13" s="39" t="str">
        <f t="array" ref="M13">IF(J13="","",XLOOKUP(J13,Strike_Review_Queue!$I:$I,Strike_Review_Queue!$M:$M,""))</f>
        <v/>
      </c>
    </row>
    <row r="14">
      <c r="C14" s="39"/>
      <c r="D14" s="39" t="str">
        <f>IF(OR(B14="",A14=""),"",MAX(0,MIN(3,SUMIFS($C$2:$C$1000,$B$2:$B$1000,B14,$A$2:$A$1000,"&lt;="&amp;A14,$A$2:$A$1000,"&gt;="&amp;IF(Config!$B$1004="Y",A14-Config!$B$1005,DATE(1900,1,1)),$I$2:$I$1000,1)))))</f>
        <v>#ERROR!</v>
      </c>
      <c r="H14" s="39"/>
      <c r="I14" s="39">
        <f t="shared" si="1"/>
        <v>1</v>
      </c>
      <c r="J14" s="39" t="str">
        <f t="shared" si="2"/>
        <v/>
      </c>
      <c r="K14" s="39" t="str">
        <f t="array" ref="K14">IF(J14="","",IF(XLOOKUP(J14,Strike_Review_Queue!$I:$I,Strike_Review_Queue!$J:$J,"")="Approve","Approved",IF(XLOOKUP(J14,Strike_Review_Queue!$I:$I,Strike_Review_Queue!$J:$J,"")="Deny","Counts",H14)))</f>
        <v/>
      </c>
      <c r="L14" s="39" t="str">
        <f t="array" ref="L14">IF(J14="","",XLOOKUP(J14,Strike_Review_Queue!$I:$I,Strike_Review_Queue!$L:$L,""))</f>
        <v/>
      </c>
      <c r="M14" s="39" t="str">
        <f t="array" ref="M14">IF(J14="","",XLOOKUP(J14,Strike_Review_Queue!$I:$I,Strike_Review_Queue!$M:$M,""))</f>
        <v/>
      </c>
    </row>
    <row r="15">
      <c r="C15" s="39"/>
      <c r="D15" s="39" t="str">
        <f>IF(OR(B15="",A15=""),"",MAX(0,MIN(3,SUMIFS($C$2:$C$1000,$B$2:$B$1000,B15,$A$2:$A$1000,"&lt;="&amp;A15,$A$2:$A$1000,"&gt;="&amp;IF(Config!$B$1004="Y",A15-Config!$B$1005,DATE(1900,1,1)),$I$2:$I$1000,1)))))</f>
        <v>#ERROR!</v>
      </c>
      <c r="H15" s="39"/>
      <c r="I15" s="39">
        <f t="shared" si="1"/>
        <v>1</v>
      </c>
      <c r="J15" s="39" t="str">
        <f t="shared" si="2"/>
        <v/>
      </c>
      <c r="K15" s="39" t="str">
        <f t="array" ref="K15">IF(J15="","",IF(XLOOKUP(J15,Strike_Review_Queue!$I:$I,Strike_Review_Queue!$J:$J,"")="Approve","Approved",IF(XLOOKUP(J15,Strike_Review_Queue!$I:$I,Strike_Review_Queue!$J:$J,"")="Deny","Counts",H15)))</f>
        <v/>
      </c>
      <c r="L15" s="39" t="str">
        <f t="array" ref="L15">IF(J15="","",XLOOKUP(J15,Strike_Review_Queue!$I:$I,Strike_Review_Queue!$L:$L,""))</f>
        <v/>
      </c>
      <c r="M15" s="39" t="str">
        <f t="array" ref="M15">IF(J15="","",XLOOKUP(J15,Strike_Review_Queue!$I:$I,Strike_Review_Queue!$M:$M,""))</f>
        <v/>
      </c>
    </row>
    <row r="16">
      <c r="C16" s="39"/>
      <c r="D16" s="39" t="str">
        <f>IF(OR(B16="",A16=""),"",MAX(0,MIN(3,SUMIFS($C$2:$C$1000,$B$2:$B$1000,B16,$A$2:$A$1000,"&lt;="&amp;A16,$A$2:$A$1000,"&gt;="&amp;IF(Config!$B$1004="Y",A16-Config!$B$1005,DATE(1900,1,1)),$I$2:$I$1000,1)))))</f>
        <v>#ERROR!</v>
      </c>
      <c r="H16" s="39"/>
      <c r="I16" s="39">
        <f t="shared" si="1"/>
        <v>1</v>
      </c>
      <c r="J16" s="39" t="str">
        <f t="shared" si="2"/>
        <v/>
      </c>
      <c r="K16" s="39" t="str">
        <f t="array" ref="K16">IF(J16="","",IF(XLOOKUP(J16,Strike_Review_Queue!$I:$I,Strike_Review_Queue!$J:$J,"")="Approve","Approved",IF(XLOOKUP(J16,Strike_Review_Queue!$I:$I,Strike_Review_Queue!$J:$J,"")="Deny","Counts",H16)))</f>
        <v/>
      </c>
      <c r="L16" s="39" t="str">
        <f t="array" ref="L16">IF(J16="","",XLOOKUP(J16,Strike_Review_Queue!$I:$I,Strike_Review_Queue!$L:$L,""))</f>
        <v/>
      </c>
      <c r="M16" s="39" t="str">
        <f t="array" ref="M16">IF(J16="","",XLOOKUP(J16,Strike_Review_Queue!$I:$I,Strike_Review_Queue!$M:$M,""))</f>
        <v/>
      </c>
    </row>
    <row r="17">
      <c r="C17" s="39"/>
      <c r="D17" s="39" t="str">
        <f>IF(OR(B17="",A17=""),"",MAX(0,MIN(3,SUMIFS($C$2:$C$1000,$B$2:$B$1000,B17,$A$2:$A$1000,"&lt;="&amp;A17,$A$2:$A$1000,"&gt;="&amp;IF(Config!$B$1004="Y",A17-Config!$B$1005,DATE(1900,1,1)),$I$2:$I$1000,1)))))</f>
        <v>#ERROR!</v>
      </c>
      <c r="H17" s="39"/>
      <c r="I17" s="39">
        <f t="shared" si="1"/>
        <v>1</v>
      </c>
      <c r="J17" s="39" t="str">
        <f t="shared" si="2"/>
        <v/>
      </c>
      <c r="K17" s="39" t="str">
        <f t="array" ref="K17">IF(J17="","",IF(XLOOKUP(J17,Strike_Review_Queue!$I:$I,Strike_Review_Queue!$J:$J,"")="Approve","Approved",IF(XLOOKUP(J17,Strike_Review_Queue!$I:$I,Strike_Review_Queue!$J:$J,"")="Deny","Counts",H17)))</f>
        <v/>
      </c>
      <c r="L17" s="39" t="str">
        <f t="array" ref="L17">IF(J17="","",XLOOKUP(J17,Strike_Review_Queue!$I:$I,Strike_Review_Queue!$L:$L,""))</f>
        <v/>
      </c>
      <c r="M17" s="39" t="str">
        <f t="array" ref="M17">IF(J17="","",XLOOKUP(J17,Strike_Review_Queue!$I:$I,Strike_Review_Queue!$M:$M,""))</f>
        <v/>
      </c>
    </row>
    <row r="18">
      <c r="C18" s="39"/>
      <c r="D18" s="39" t="str">
        <f>IF(OR(B18="",A18=""),"",MAX(0,MIN(3,SUMIFS($C$2:$C$1000,$B$2:$B$1000,B18,$A$2:$A$1000,"&lt;="&amp;A18,$A$2:$A$1000,"&gt;="&amp;IF(Config!$B$1004="Y",A18-Config!$B$1005,DATE(1900,1,1)),$I$2:$I$1000,1)))))</f>
        <v>#ERROR!</v>
      </c>
      <c r="H18" s="39"/>
      <c r="I18" s="39">
        <f t="shared" si="1"/>
        <v>1</v>
      </c>
      <c r="J18" s="39" t="str">
        <f t="shared" si="2"/>
        <v/>
      </c>
      <c r="K18" s="39" t="str">
        <f t="array" ref="K18">IF(J18="","",IF(XLOOKUP(J18,Strike_Review_Queue!$I:$I,Strike_Review_Queue!$J:$J,"")="Approve","Approved",IF(XLOOKUP(J18,Strike_Review_Queue!$I:$I,Strike_Review_Queue!$J:$J,"")="Deny","Counts",H18)))</f>
        <v/>
      </c>
      <c r="L18" s="39" t="str">
        <f t="array" ref="L18">IF(J18="","",XLOOKUP(J18,Strike_Review_Queue!$I:$I,Strike_Review_Queue!$L:$L,""))</f>
        <v/>
      </c>
      <c r="M18" s="39" t="str">
        <f t="array" ref="M18">IF(J18="","",XLOOKUP(J18,Strike_Review_Queue!$I:$I,Strike_Review_Queue!$M:$M,""))</f>
        <v/>
      </c>
    </row>
    <row r="19">
      <c r="C19" s="39"/>
      <c r="D19" s="39" t="str">
        <f>IF(OR(B19="",A19=""),"",MAX(0,MIN(3,SUMIFS($C$2:$C$1000,$B$2:$B$1000,B19,$A$2:$A$1000,"&lt;="&amp;A19,$A$2:$A$1000,"&gt;="&amp;IF(Config!$B$1004="Y",A19-Config!$B$1005,DATE(1900,1,1)),$I$2:$I$1000,1)))))</f>
        <v>#ERROR!</v>
      </c>
      <c r="H19" s="39"/>
      <c r="I19" s="39">
        <f t="shared" si="1"/>
        <v>1</v>
      </c>
      <c r="J19" s="39" t="str">
        <f t="shared" si="2"/>
        <v/>
      </c>
      <c r="K19" s="39" t="str">
        <f t="array" ref="K19">IF(J19="","",IF(XLOOKUP(J19,Strike_Review_Queue!$I:$I,Strike_Review_Queue!$J:$J,"")="Approve","Approved",IF(XLOOKUP(J19,Strike_Review_Queue!$I:$I,Strike_Review_Queue!$J:$J,"")="Deny","Counts",H19)))</f>
        <v/>
      </c>
      <c r="L19" s="39" t="str">
        <f t="array" ref="L19">IF(J19="","",XLOOKUP(J19,Strike_Review_Queue!$I:$I,Strike_Review_Queue!$L:$L,""))</f>
        <v/>
      </c>
      <c r="M19" s="39" t="str">
        <f t="array" ref="M19">IF(J19="","",XLOOKUP(J19,Strike_Review_Queue!$I:$I,Strike_Review_Queue!$M:$M,""))</f>
        <v/>
      </c>
    </row>
    <row r="20">
      <c r="C20" s="39"/>
      <c r="D20" s="39" t="str">
        <f>IF(OR(B20="",A20=""),"",MAX(0,MIN(3,SUMIFS($C$2:$C$1000,$B$2:$B$1000,B20,$A$2:$A$1000,"&lt;="&amp;A20,$A$2:$A$1000,"&gt;="&amp;IF(Config!$B$1004="Y",A20-Config!$B$1005,DATE(1900,1,1)),$I$2:$I$1000,1)))))</f>
        <v>#ERROR!</v>
      </c>
      <c r="H20" s="39"/>
      <c r="I20" s="39">
        <f t="shared" si="1"/>
        <v>1</v>
      </c>
      <c r="J20" s="39" t="str">
        <f t="shared" si="2"/>
        <v/>
      </c>
      <c r="K20" s="39" t="str">
        <f t="array" ref="K20">IF(J20="","",IF(XLOOKUP(J20,Strike_Review_Queue!$I:$I,Strike_Review_Queue!$J:$J,"")="Approve","Approved",IF(XLOOKUP(J20,Strike_Review_Queue!$I:$I,Strike_Review_Queue!$J:$J,"")="Deny","Counts",H20)))</f>
        <v/>
      </c>
      <c r="L20" s="39" t="str">
        <f t="array" ref="L20">IF(J20="","",XLOOKUP(J20,Strike_Review_Queue!$I:$I,Strike_Review_Queue!$L:$L,""))</f>
        <v/>
      </c>
      <c r="M20" s="39" t="str">
        <f t="array" ref="M20">IF(J20="","",XLOOKUP(J20,Strike_Review_Queue!$I:$I,Strike_Review_Queue!$M:$M,""))</f>
        <v/>
      </c>
    </row>
    <row r="21" ht="15.75" customHeight="1">
      <c r="C21" s="39"/>
      <c r="D21" s="39" t="str">
        <f>IF(OR(B21="",A21=""),"",MAX(0,MIN(3,SUMIFS($C$2:$C$1000,$B$2:$B$1000,B21,$A$2:$A$1000,"&lt;="&amp;A21,$A$2:$A$1000,"&gt;="&amp;IF(Config!$B$1004="Y",A21-Config!$B$1005,DATE(1900,1,1)),$I$2:$I$1000,1)))))</f>
        <v>#ERROR!</v>
      </c>
      <c r="H21" s="39"/>
      <c r="I21" s="39">
        <f t="shared" si="1"/>
        <v>1</v>
      </c>
      <c r="J21" s="39" t="str">
        <f t="shared" si="2"/>
        <v/>
      </c>
      <c r="K21" s="39" t="str">
        <f t="array" ref="K21">IF(J21="","",IF(XLOOKUP(J21,Strike_Review_Queue!$I:$I,Strike_Review_Queue!$J:$J,"")="Approve","Approved",IF(XLOOKUP(J21,Strike_Review_Queue!$I:$I,Strike_Review_Queue!$J:$J,"")="Deny","Counts",H21)))</f>
        <v/>
      </c>
      <c r="L21" s="39" t="str">
        <f t="array" ref="L21">IF(J21="","",XLOOKUP(J21,Strike_Review_Queue!$I:$I,Strike_Review_Queue!$L:$L,""))</f>
        <v/>
      </c>
      <c r="M21" s="39" t="str">
        <f t="array" ref="M21">IF(J21="","",XLOOKUP(J21,Strike_Review_Queue!$I:$I,Strike_Review_Queue!$M:$M,""))</f>
        <v/>
      </c>
    </row>
    <row r="22" ht="15.75" customHeight="1">
      <c r="C22" s="39"/>
      <c r="D22" s="39" t="str">
        <f>IF(OR(B22="",A22=""),"",MAX(0,MIN(3,SUMIFS($C$2:$C$1000,$B$2:$B$1000,B22,$A$2:$A$1000,"&lt;="&amp;A22,$A$2:$A$1000,"&gt;="&amp;IF(Config!$B$1004="Y",A22-Config!$B$1005,DATE(1900,1,1)),$I$2:$I$1000,1)))))</f>
        <v>#ERROR!</v>
      </c>
      <c r="H22" s="39"/>
      <c r="I22" s="39">
        <f t="shared" si="1"/>
        <v>1</v>
      </c>
      <c r="J22" s="39" t="str">
        <f t="shared" si="2"/>
        <v/>
      </c>
      <c r="K22" s="39" t="str">
        <f t="array" ref="K22">IF(J22="","",IF(XLOOKUP(J22,Strike_Review_Queue!$I:$I,Strike_Review_Queue!$J:$J,"")="Approve","Approved",IF(XLOOKUP(J22,Strike_Review_Queue!$I:$I,Strike_Review_Queue!$J:$J,"")="Deny","Counts",H22)))</f>
        <v/>
      </c>
      <c r="L22" s="39" t="str">
        <f t="array" ref="L22">IF(J22="","",XLOOKUP(J22,Strike_Review_Queue!$I:$I,Strike_Review_Queue!$L:$L,""))</f>
        <v/>
      </c>
      <c r="M22" s="39" t="str">
        <f t="array" ref="M22">IF(J22="","",XLOOKUP(J22,Strike_Review_Queue!$I:$I,Strike_Review_Queue!$M:$M,""))</f>
        <v/>
      </c>
    </row>
    <row r="23" ht="15.75" customHeight="1">
      <c r="C23" s="39"/>
      <c r="D23" s="39" t="str">
        <f>IF(OR(B23="",A23=""),"",MAX(0,MIN(3,SUMIFS($C$2:$C$1000,$B$2:$B$1000,B23,$A$2:$A$1000,"&lt;="&amp;A23,$A$2:$A$1000,"&gt;="&amp;IF(Config!$B$1004="Y",A23-Config!$B$1005,DATE(1900,1,1)),$I$2:$I$1000,1)))))</f>
        <v>#ERROR!</v>
      </c>
      <c r="H23" s="39"/>
      <c r="I23" s="39">
        <f t="shared" si="1"/>
        <v>1</v>
      </c>
      <c r="J23" s="39" t="str">
        <f t="shared" si="2"/>
        <v/>
      </c>
      <c r="K23" s="39" t="str">
        <f t="array" ref="K23">IF(J23="","",IF(XLOOKUP(J23,Strike_Review_Queue!$I:$I,Strike_Review_Queue!$J:$J,"")="Approve","Approved",IF(XLOOKUP(J23,Strike_Review_Queue!$I:$I,Strike_Review_Queue!$J:$J,"")="Deny","Counts",H23)))</f>
        <v/>
      </c>
      <c r="L23" s="39" t="str">
        <f t="array" ref="L23">IF(J23="","",XLOOKUP(J23,Strike_Review_Queue!$I:$I,Strike_Review_Queue!$L:$L,""))</f>
        <v/>
      </c>
      <c r="M23" s="39" t="str">
        <f t="array" ref="M23">IF(J23="","",XLOOKUP(J23,Strike_Review_Queue!$I:$I,Strike_Review_Queue!$M:$M,""))</f>
        <v/>
      </c>
    </row>
    <row r="24" ht="15.75" customHeight="1">
      <c r="C24" s="39"/>
      <c r="D24" s="39" t="str">
        <f>IF(OR(B24="",A24=""),"",MAX(0,MIN(3,SUMIFS($C$2:$C$1000,$B$2:$B$1000,B24,$A$2:$A$1000,"&lt;="&amp;A24,$A$2:$A$1000,"&gt;="&amp;IF(Config!$B$1004="Y",A24-Config!$B$1005,DATE(1900,1,1)),$I$2:$I$1000,1)))))</f>
        <v>#ERROR!</v>
      </c>
      <c r="H24" s="39"/>
      <c r="I24" s="39">
        <f t="shared" si="1"/>
        <v>1</v>
      </c>
      <c r="J24" s="39" t="str">
        <f t="shared" si="2"/>
        <v/>
      </c>
      <c r="K24" s="39" t="str">
        <f t="array" ref="K24">IF(J24="","",IF(XLOOKUP(J24,Strike_Review_Queue!$I:$I,Strike_Review_Queue!$J:$J,"")="Approve","Approved",IF(XLOOKUP(J24,Strike_Review_Queue!$I:$I,Strike_Review_Queue!$J:$J,"")="Deny","Counts",H24)))</f>
        <v/>
      </c>
      <c r="L24" s="39" t="str">
        <f t="array" ref="L24">IF(J24="","",XLOOKUP(J24,Strike_Review_Queue!$I:$I,Strike_Review_Queue!$L:$L,""))</f>
        <v/>
      </c>
      <c r="M24" s="39" t="str">
        <f t="array" ref="M24">IF(J24="","",XLOOKUP(J24,Strike_Review_Queue!$I:$I,Strike_Review_Queue!$M:$M,""))</f>
        <v/>
      </c>
    </row>
    <row r="25" ht="15.75" customHeight="1">
      <c r="C25" s="39"/>
      <c r="D25" s="39" t="str">
        <f>IF(OR(B25="",A25=""),"",MAX(0,MIN(3,SUMIFS($C$2:$C$1000,$B$2:$B$1000,B25,$A$2:$A$1000,"&lt;="&amp;A25,$A$2:$A$1000,"&gt;="&amp;IF(Config!$B$1004="Y",A25-Config!$B$1005,DATE(1900,1,1)),$I$2:$I$1000,1)))))</f>
        <v>#ERROR!</v>
      </c>
      <c r="H25" s="39"/>
      <c r="I25" s="39">
        <f t="shared" si="1"/>
        <v>1</v>
      </c>
      <c r="J25" s="39" t="str">
        <f t="shared" si="2"/>
        <v/>
      </c>
      <c r="K25" s="39" t="str">
        <f t="array" ref="K25">IF(J25="","",IF(XLOOKUP(J25,Strike_Review_Queue!$I:$I,Strike_Review_Queue!$J:$J,"")="Approve","Approved",IF(XLOOKUP(J25,Strike_Review_Queue!$I:$I,Strike_Review_Queue!$J:$J,"")="Deny","Counts",H25)))</f>
        <v/>
      </c>
      <c r="L25" s="39" t="str">
        <f t="array" ref="L25">IF(J25="","",XLOOKUP(J25,Strike_Review_Queue!$I:$I,Strike_Review_Queue!$L:$L,""))</f>
        <v/>
      </c>
      <c r="M25" s="39" t="str">
        <f t="array" ref="M25">IF(J25="","",XLOOKUP(J25,Strike_Review_Queue!$I:$I,Strike_Review_Queue!$M:$M,""))</f>
        <v/>
      </c>
    </row>
    <row r="26" ht="15.75" customHeight="1">
      <c r="C26" s="39"/>
      <c r="D26" s="39" t="str">
        <f>IF(OR(B26="",A26=""),"",MAX(0,MIN(3,SUMIFS($C$2:$C$1000,$B$2:$B$1000,B26,$A$2:$A$1000,"&lt;="&amp;A26,$A$2:$A$1000,"&gt;="&amp;IF(Config!$B$1004="Y",A26-Config!$B$1005,DATE(1900,1,1)),$I$2:$I$1000,1)))))</f>
        <v>#ERROR!</v>
      </c>
      <c r="H26" s="39"/>
      <c r="I26" s="39">
        <f t="shared" si="1"/>
        <v>1</v>
      </c>
      <c r="J26" s="39" t="str">
        <f t="shared" si="2"/>
        <v/>
      </c>
      <c r="K26" s="39" t="str">
        <f t="array" ref="K26">IF(J26="","",IF(XLOOKUP(J26,Strike_Review_Queue!$I:$I,Strike_Review_Queue!$J:$J,"")="Approve","Approved",IF(XLOOKUP(J26,Strike_Review_Queue!$I:$I,Strike_Review_Queue!$J:$J,"")="Deny","Counts",H26)))</f>
        <v/>
      </c>
      <c r="L26" s="39" t="str">
        <f t="array" ref="L26">IF(J26="","",XLOOKUP(J26,Strike_Review_Queue!$I:$I,Strike_Review_Queue!$L:$L,""))</f>
        <v/>
      </c>
      <c r="M26" s="39" t="str">
        <f t="array" ref="M26">IF(J26="","",XLOOKUP(J26,Strike_Review_Queue!$I:$I,Strike_Review_Queue!$M:$M,""))</f>
        <v/>
      </c>
    </row>
    <row r="27" ht="15.75" customHeight="1">
      <c r="C27" s="39"/>
      <c r="D27" s="39" t="str">
        <f>IF(OR(B27="",A27=""),"",MAX(0,MIN(3,SUMIFS($C$2:$C$1000,$B$2:$B$1000,B27,$A$2:$A$1000,"&lt;="&amp;A27,$A$2:$A$1000,"&gt;="&amp;IF(Config!$B$1004="Y",A27-Config!$B$1005,DATE(1900,1,1)),$I$2:$I$1000,1)))))</f>
        <v>#ERROR!</v>
      </c>
      <c r="H27" s="39"/>
      <c r="I27" s="39">
        <f t="shared" si="1"/>
        <v>1</v>
      </c>
      <c r="J27" s="39" t="str">
        <f t="shared" si="2"/>
        <v/>
      </c>
      <c r="K27" s="39" t="str">
        <f t="array" ref="K27">IF(J27="","",IF(XLOOKUP(J27,Strike_Review_Queue!$I:$I,Strike_Review_Queue!$J:$J,"")="Approve","Approved",IF(XLOOKUP(J27,Strike_Review_Queue!$I:$I,Strike_Review_Queue!$J:$J,"")="Deny","Counts",H27)))</f>
        <v/>
      </c>
      <c r="L27" s="39" t="str">
        <f t="array" ref="L27">IF(J27="","",XLOOKUP(J27,Strike_Review_Queue!$I:$I,Strike_Review_Queue!$L:$L,""))</f>
        <v/>
      </c>
      <c r="M27" s="39" t="str">
        <f t="array" ref="M27">IF(J27="","",XLOOKUP(J27,Strike_Review_Queue!$I:$I,Strike_Review_Queue!$M:$M,""))</f>
        <v/>
      </c>
    </row>
    <row r="28" ht="15.75" customHeight="1">
      <c r="C28" s="39"/>
      <c r="D28" s="39" t="str">
        <f>IF(OR(B28="",A28=""),"",MAX(0,MIN(3,SUMIFS($C$2:$C$1000,$B$2:$B$1000,B28,$A$2:$A$1000,"&lt;="&amp;A28,$A$2:$A$1000,"&gt;="&amp;IF(Config!$B$1004="Y",A28-Config!$B$1005,DATE(1900,1,1)),$I$2:$I$1000,1)))))</f>
        <v>#ERROR!</v>
      </c>
      <c r="H28" s="39"/>
      <c r="I28" s="39">
        <f t="shared" si="1"/>
        <v>1</v>
      </c>
      <c r="J28" s="39" t="str">
        <f t="shared" si="2"/>
        <v/>
      </c>
      <c r="K28" s="39" t="str">
        <f t="array" ref="K28">IF(J28="","",IF(XLOOKUP(J28,Strike_Review_Queue!$I:$I,Strike_Review_Queue!$J:$J,"")="Approve","Approved",IF(XLOOKUP(J28,Strike_Review_Queue!$I:$I,Strike_Review_Queue!$J:$J,"")="Deny","Counts",H28)))</f>
        <v/>
      </c>
      <c r="L28" s="39" t="str">
        <f t="array" ref="L28">IF(J28="","",XLOOKUP(J28,Strike_Review_Queue!$I:$I,Strike_Review_Queue!$L:$L,""))</f>
        <v/>
      </c>
      <c r="M28" s="39" t="str">
        <f t="array" ref="M28">IF(J28="","",XLOOKUP(J28,Strike_Review_Queue!$I:$I,Strike_Review_Queue!$M:$M,""))</f>
        <v/>
      </c>
    </row>
    <row r="29" ht="15.75" customHeight="1">
      <c r="C29" s="39"/>
      <c r="D29" s="39" t="str">
        <f>IF(OR(B29="",A29=""),"",MAX(0,MIN(3,SUMIFS($C$2:$C$1000,$B$2:$B$1000,B29,$A$2:$A$1000,"&lt;="&amp;A29,$A$2:$A$1000,"&gt;="&amp;IF(Config!$B$1004="Y",A29-Config!$B$1005,DATE(1900,1,1)),$I$2:$I$1000,1)))))</f>
        <v>#ERROR!</v>
      </c>
      <c r="H29" s="39"/>
      <c r="I29" s="39">
        <f t="shared" si="1"/>
        <v>1</v>
      </c>
      <c r="J29" s="39" t="str">
        <f t="shared" si="2"/>
        <v/>
      </c>
      <c r="K29" s="39" t="str">
        <f t="array" ref="K29">IF(J29="","",IF(XLOOKUP(J29,Strike_Review_Queue!$I:$I,Strike_Review_Queue!$J:$J,"")="Approve","Approved",IF(XLOOKUP(J29,Strike_Review_Queue!$I:$I,Strike_Review_Queue!$J:$J,"")="Deny","Counts",H29)))</f>
        <v/>
      </c>
      <c r="L29" s="39" t="str">
        <f t="array" ref="L29">IF(J29="","",XLOOKUP(J29,Strike_Review_Queue!$I:$I,Strike_Review_Queue!$L:$L,""))</f>
        <v/>
      </c>
      <c r="M29" s="39" t="str">
        <f t="array" ref="M29">IF(J29="","",XLOOKUP(J29,Strike_Review_Queue!$I:$I,Strike_Review_Queue!$M:$M,""))</f>
        <v/>
      </c>
    </row>
    <row r="30" ht="15.75" customHeight="1">
      <c r="C30" s="39"/>
      <c r="D30" s="39" t="str">
        <f>IF(OR(B30="",A30=""),"",MAX(0,MIN(3,SUMIFS($C$2:$C$1000,$B$2:$B$1000,B30,$A$2:$A$1000,"&lt;="&amp;A30,$A$2:$A$1000,"&gt;="&amp;IF(Config!$B$1004="Y",A30-Config!$B$1005,DATE(1900,1,1)),$I$2:$I$1000,1)))))</f>
        <v>#ERROR!</v>
      </c>
      <c r="H30" s="39"/>
      <c r="I30" s="39">
        <f t="shared" si="1"/>
        <v>1</v>
      </c>
      <c r="J30" s="39" t="str">
        <f t="shared" si="2"/>
        <v/>
      </c>
      <c r="K30" s="39" t="str">
        <f t="array" ref="K30">IF(J30="","",IF(XLOOKUP(J30,Strike_Review_Queue!$I:$I,Strike_Review_Queue!$J:$J,"")="Approve","Approved",IF(XLOOKUP(J30,Strike_Review_Queue!$I:$I,Strike_Review_Queue!$J:$J,"")="Deny","Counts",H30)))</f>
        <v/>
      </c>
      <c r="L30" s="39" t="str">
        <f t="array" ref="L30">IF(J30="","",XLOOKUP(J30,Strike_Review_Queue!$I:$I,Strike_Review_Queue!$L:$L,""))</f>
        <v/>
      </c>
      <c r="M30" s="39" t="str">
        <f t="array" ref="M30">IF(J30="","",XLOOKUP(J30,Strike_Review_Queue!$I:$I,Strike_Review_Queue!$M:$M,""))</f>
        <v/>
      </c>
    </row>
    <row r="31" ht="15.75" customHeight="1">
      <c r="C31" s="39"/>
      <c r="D31" s="39" t="str">
        <f>IF(OR(B31="",A31=""),"",MAX(0,MIN(3,SUMIFS($C$2:$C$1000,$B$2:$B$1000,B31,$A$2:$A$1000,"&lt;="&amp;A31,$A$2:$A$1000,"&gt;="&amp;IF(Config!$B$1004="Y",A31-Config!$B$1005,DATE(1900,1,1)),$I$2:$I$1000,1)))))</f>
        <v>#ERROR!</v>
      </c>
      <c r="H31" s="39"/>
      <c r="I31" s="39">
        <f t="shared" si="1"/>
        <v>1</v>
      </c>
      <c r="J31" s="39" t="str">
        <f t="shared" si="2"/>
        <v/>
      </c>
      <c r="K31" s="39" t="str">
        <f t="array" ref="K31">IF(J31="","",IF(XLOOKUP(J31,Strike_Review_Queue!$I:$I,Strike_Review_Queue!$J:$J,"")="Approve","Approved",IF(XLOOKUP(J31,Strike_Review_Queue!$I:$I,Strike_Review_Queue!$J:$J,"")="Deny","Counts",H31)))</f>
        <v/>
      </c>
      <c r="L31" s="39" t="str">
        <f t="array" ref="L31">IF(J31="","",XLOOKUP(J31,Strike_Review_Queue!$I:$I,Strike_Review_Queue!$L:$L,""))</f>
        <v/>
      </c>
      <c r="M31" s="39" t="str">
        <f t="array" ref="M31">IF(J31="","",XLOOKUP(J31,Strike_Review_Queue!$I:$I,Strike_Review_Queue!$M:$M,""))</f>
        <v/>
      </c>
    </row>
    <row r="32" ht="15.75" customHeight="1">
      <c r="C32" s="39"/>
      <c r="D32" s="39" t="str">
        <f>IF(OR(B32="",A32=""),"",MAX(0,MIN(3,SUMIFS($C$2:$C$1000,$B$2:$B$1000,B32,$A$2:$A$1000,"&lt;="&amp;A32,$A$2:$A$1000,"&gt;="&amp;IF(Config!$B$1004="Y",A32-Config!$B$1005,DATE(1900,1,1)),$I$2:$I$1000,1)))))</f>
        <v>#ERROR!</v>
      </c>
      <c r="H32" s="39"/>
      <c r="I32" s="39">
        <f t="shared" si="1"/>
        <v>1</v>
      </c>
      <c r="J32" s="39" t="str">
        <f t="shared" si="2"/>
        <v/>
      </c>
      <c r="K32" s="39" t="str">
        <f t="array" ref="K32">IF(J32="","",IF(XLOOKUP(J32,Strike_Review_Queue!$I:$I,Strike_Review_Queue!$J:$J,"")="Approve","Approved",IF(XLOOKUP(J32,Strike_Review_Queue!$I:$I,Strike_Review_Queue!$J:$J,"")="Deny","Counts",H32)))</f>
        <v/>
      </c>
      <c r="L32" s="39" t="str">
        <f t="array" ref="L32">IF(J32="","",XLOOKUP(J32,Strike_Review_Queue!$I:$I,Strike_Review_Queue!$L:$L,""))</f>
        <v/>
      </c>
      <c r="M32" s="39" t="str">
        <f t="array" ref="M32">IF(J32="","",XLOOKUP(J32,Strike_Review_Queue!$I:$I,Strike_Review_Queue!$M:$M,""))</f>
        <v/>
      </c>
    </row>
    <row r="33" ht="15.75" customHeight="1">
      <c r="C33" s="39"/>
      <c r="D33" s="39" t="str">
        <f>IF(OR(B33="",A33=""),"",MAX(0,MIN(3,SUMIFS($C$2:$C$1000,$B$2:$B$1000,B33,$A$2:$A$1000,"&lt;="&amp;A33,$A$2:$A$1000,"&gt;="&amp;IF(Config!$B$1004="Y",A33-Config!$B$1005,DATE(1900,1,1)),$I$2:$I$1000,1)))))</f>
        <v>#ERROR!</v>
      </c>
      <c r="H33" s="39"/>
      <c r="I33" s="39">
        <f t="shared" si="1"/>
        <v>1</v>
      </c>
      <c r="J33" s="39" t="str">
        <f t="shared" si="2"/>
        <v/>
      </c>
      <c r="K33" s="39" t="str">
        <f t="array" ref="K33">IF(J33="","",IF(XLOOKUP(J33,Strike_Review_Queue!$I:$I,Strike_Review_Queue!$J:$J,"")="Approve","Approved",IF(XLOOKUP(J33,Strike_Review_Queue!$I:$I,Strike_Review_Queue!$J:$J,"")="Deny","Counts",H33)))</f>
        <v/>
      </c>
      <c r="L33" s="39" t="str">
        <f t="array" ref="L33">IF(J33="","",XLOOKUP(J33,Strike_Review_Queue!$I:$I,Strike_Review_Queue!$L:$L,""))</f>
        <v/>
      </c>
      <c r="M33" s="39" t="str">
        <f t="array" ref="M33">IF(J33="","",XLOOKUP(J33,Strike_Review_Queue!$I:$I,Strike_Review_Queue!$M:$M,""))</f>
        <v/>
      </c>
    </row>
    <row r="34" ht="15.75" customHeight="1">
      <c r="C34" s="39"/>
      <c r="D34" s="39" t="str">
        <f>IF(OR(B34="",A34=""),"",MAX(0,MIN(3,SUMIFS($C$2:$C$1000,$B$2:$B$1000,B34,$A$2:$A$1000,"&lt;="&amp;A34,$A$2:$A$1000,"&gt;="&amp;IF(Config!$B$1004="Y",A34-Config!$B$1005,DATE(1900,1,1)),$I$2:$I$1000,1)))))</f>
        <v>#ERROR!</v>
      </c>
      <c r="H34" s="39"/>
      <c r="I34" s="39">
        <f t="shared" si="1"/>
        <v>1</v>
      </c>
      <c r="J34" s="39" t="str">
        <f t="shared" si="2"/>
        <v/>
      </c>
      <c r="K34" s="39" t="str">
        <f t="array" ref="K34">IF(J34="","",IF(XLOOKUP(J34,Strike_Review_Queue!$I:$I,Strike_Review_Queue!$J:$J,"")="Approve","Approved",IF(XLOOKUP(J34,Strike_Review_Queue!$I:$I,Strike_Review_Queue!$J:$J,"")="Deny","Counts",H34)))</f>
        <v/>
      </c>
      <c r="L34" s="39" t="str">
        <f t="array" ref="L34">IF(J34="","",XLOOKUP(J34,Strike_Review_Queue!$I:$I,Strike_Review_Queue!$L:$L,""))</f>
        <v/>
      </c>
      <c r="M34" s="39" t="str">
        <f t="array" ref="M34">IF(J34="","",XLOOKUP(J34,Strike_Review_Queue!$I:$I,Strike_Review_Queue!$M:$M,""))</f>
        <v/>
      </c>
    </row>
    <row r="35" ht="15.75" customHeight="1">
      <c r="C35" s="39"/>
      <c r="D35" s="39" t="str">
        <f>IF(OR(B35="",A35=""),"",MAX(0,MIN(3,SUMIFS($C$2:$C$1000,$B$2:$B$1000,B35,$A$2:$A$1000,"&lt;="&amp;A35,$A$2:$A$1000,"&gt;="&amp;IF(Config!$B$1004="Y",A35-Config!$B$1005,DATE(1900,1,1)),$I$2:$I$1000,1)))))</f>
        <v>#ERROR!</v>
      </c>
      <c r="H35" s="39"/>
      <c r="I35" s="39">
        <f t="shared" si="1"/>
        <v>1</v>
      </c>
      <c r="J35" s="39" t="str">
        <f t="shared" si="2"/>
        <v/>
      </c>
      <c r="K35" s="39" t="str">
        <f t="array" ref="K35">IF(J35="","",IF(XLOOKUP(J35,Strike_Review_Queue!$I:$I,Strike_Review_Queue!$J:$J,"")="Approve","Approved",IF(XLOOKUP(J35,Strike_Review_Queue!$I:$I,Strike_Review_Queue!$J:$J,"")="Deny","Counts",H35)))</f>
        <v/>
      </c>
      <c r="L35" s="39" t="str">
        <f t="array" ref="L35">IF(J35="","",XLOOKUP(J35,Strike_Review_Queue!$I:$I,Strike_Review_Queue!$L:$L,""))</f>
        <v/>
      </c>
      <c r="M35" s="39" t="str">
        <f t="array" ref="M35">IF(J35="","",XLOOKUP(J35,Strike_Review_Queue!$I:$I,Strike_Review_Queue!$M:$M,""))</f>
        <v/>
      </c>
    </row>
    <row r="36" ht="15.75" customHeight="1">
      <c r="C36" s="39"/>
      <c r="D36" s="39" t="str">
        <f>IF(OR(B36="",A36=""),"",MAX(0,MIN(3,SUMIFS($C$2:$C$1000,$B$2:$B$1000,B36,$A$2:$A$1000,"&lt;="&amp;A36,$A$2:$A$1000,"&gt;="&amp;IF(Config!$B$1004="Y",A36-Config!$B$1005,DATE(1900,1,1)),$I$2:$I$1000,1)))))</f>
        <v>#ERROR!</v>
      </c>
      <c r="H36" s="39"/>
      <c r="I36" s="39">
        <f t="shared" si="1"/>
        <v>1</v>
      </c>
      <c r="J36" s="39" t="str">
        <f t="shared" si="2"/>
        <v/>
      </c>
      <c r="K36" s="39" t="str">
        <f t="array" ref="K36">IF(J36="","",IF(XLOOKUP(J36,Strike_Review_Queue!$I:$I,Strike_Review_Queue!$J:$J,"")="Approve","Approved",IF(XLOOKUP(J36,Strike_Review_Queue!$I:$I,Strike_Review_Queue!$J:$J,"")="Deny","Counts",H36)))</f>
        <v/>
      </c>
      <c r="L36" s="39" t="str">
        <f t="array" ref="L36">IF(J36="","",XLOOKUP(J36,Strike_Review_Queue!$I:$I,Strike_Review_Queue!$L:$L,""))</f>
        <v/>
      </c>
      <c r="M36" s="39" t="str">
        <f t="array" ref="M36">IF(J36="","",XLOOKUP(J36,Strike_Review_Queue!$I:$I,Strike_Review_Queue!$M:$M,""))</f>
        <v/>
      </c>
    </row>
    <row r="37" ht="15.75" customHeight="1">
      <c r="C37" s="39"/>
      <c r="D37" s="39" t="str">
        <f>IF(OR(B37="",A37=""),"",MAX(0,MIN(3,SUMIFS($C$2:$C$1000,$B$2:$B$1000,B37,$A$2:$A$1000,"&lt;="&amp;A37,$A$2:$A$1000,"&gt;="&amp;IF(Config!$B$1004="Y",A37-Config!$B$1005,DATE(1900,1,1)),$I$2:$I$1000,1)))))</f>
        <v>#ERROR!</v>
      </c>
      <c r="H37" s="39"/>
      <c r="I37" s="39">
        <f t="shared" si="1"/>
        <v>1</v>
      </c>
      <c r="J37" s="39" t="str">
        <f t="shared" si="2"/>
        <v/>
      </c>
      <c r="K37" s="39" t="str">
        <f t="array" ref="K37">IF(J37="","",IF(XLOOKUP(J37,Strike_Review_Queue!$I:$I,Strike_Review_Queue!$J:$J,"")="Approve","Approved",IF(XLOOKUP(J37,Strike_Review_Queue!$I:$I,Strike_Review_Queue!$J:$J,"")="Deny","Counts",H37)))</f>
        <v/>
      </c>
      <c r="L37" s="39" t="str">
        <f t="array" ref="L37">IF(J37="","",XLOOKUP(J37,Strike_Review_Queue!$I:$I,Strike_Review_Queue!$L:$L,""))</f>
        <v/>
      </c>
      <c r="M37" s="39" t="str">
        <f t="array" ref="M37">IF(J37="","",XLOOKUP(J37,Strike_Review_Queue!$I:$I,Strike_Review_Queue!$M:$M,""))</f>
        <v/>
      </c>
    </row>
    <row r="38" ht="15.75" customHeight="1">
      <c r="C38" s="39"/>
      <c r="D38" s="39" t="str">
        <f>IF(OR(B38="",A38=""),"",MAX(0,MIN(3,SUMIFS($C$2:$C$1000,$B$2:$B$1000,B38,$A$2:$A$1000,"&lt;="&amp;A38,$A$2:$A$1000,"&gt;="&amp;IF(Config!$B$1004="Y",A38-Config!$B$1005,DATE(1900,1,1)),$I$2:$I$1000,1)))))</f>
        <v>#ERROR!</v>
      </c>
      <c r="H38" s="39"/>
      <c r="I38" s="39">
        <f t="shared" si="1"/>
        <v>1</v>
      </c>
      <c r="J38" s="39" t="str">
        <f t="shared" si="2"/>
        <v/>
      </c>
      <c r="K38" s="39" t="str">
        <f t="array" ref="K38">IF(J38="","",IF(XLOOKUP(J38,Strike_Review_Queue!$I:$I,Strike_Review_Queue!$J:$J,"")="Approve","Approved",IF(XLOOKUP(J38,Strike_Review_Queue!$I:$I,Strike_Review_Queue!$J:$J,"")="Deny","Counts",H38)))</f>
        <v/>
      </c>
      <c r="L38" s="39" t="str">
        <f t="array" ref="L38">IF(J38="","",XLOOKUP(J38,Strike_Review_Queue!$I:$I,Strike_Review_Queue!$L:$L,""))</f>
        <v/>
      </c>
      <c r="M38" s="39" t="str">
        <f t="array" ref="M38">IF(J38="","",XLOOKUP(J38,Strike_Review_Queue!$I:$I,Strike_Review_Queue!$M:$M,""))</f>
        <v/>
      </c>
    </row>
    <row r="39" ht="15.75" customHeight="1">
      <c r="C39" s="39"/>
      <c r="D39" s="39" t="str">
        <f>IF(OR(B39="",A39=""),"",MAX(0,MIN(3,SUMIFS($C$2:$C$1000,$B$2:$B$1000,B39,$A$2:$A$1000,"&lt;="&amp;A39,$A$2:$A$1000,"&gt;="&amp;IF(Config!$B$1004="Y",A39-Config!$B$1005,DATE(1900,1,1)),$I$2:$I$1000,1)))))</f>
        <v>#ERROR!</v>
      </c>
      <c r="H39" s="39"/>
      <c r="I39" s="39">
        <f t="shared" si="1"/>
        <v>1</v>
      </c>
      <c r="J39" s="39" t="str">
        <f t="shared" si="2"/>
        <v/>
      </c>
      <c r="K39" s="39" t="str">
        <f t="array" ref="K39">IF(J39="","",IF(XLOOKUP(J39,Strike_Review_Queue!$I:$I,Strike_Review_Queue!$J:$J,"")="Approve","Approved",IF(XLOOKUP(J39,Strike_Review_Queue!$I:$I,Strike_Review_Queue!$J:$J,"")="Deny","Counts",H39)))</f>
        <v/>
      </c>
      <c r="L39" s="39" t="str">
        <f t="array" ref="L39">IF(J39="","",XLOOKUP(J39,Strike_Review_Queue!$I:$I,Strike_Review_Queue!$L:$L,""))</f>
        <v/>
      </c>
      <c r="M39" s="39" t="str">
        <f t="array" ref="M39">IF(J39="","",XLOOKUP(J39,Strike_Review_Queue!$I:$I,Strike_Review_Queue!$M:$M,""))</f>
        <v/>
      </c>
    </row>
    <row r="40" ht="15.75" customHeight="1">
      <c r="C40" s="39"/>
      <c r="D40" s="39" t="str">
        <f>IF(OR(B40="",A40=""),"",MAX(0,MIN(3,SUMIFS($C$2:$C$1000,$B$2:$B$1000,B40,$A$2:$A$1000,"&lt;="&amp;A40,$A$2:$A$1000,"&gt;="&amp;IF(Config!$B$1004="Y",A40-Config!$B$1005,DATE(1900,1,1)),$I$2:$I$1000,1)))))</f>
        <v>#ERROR!</v>
      </c>
      <c r="H40" s="39"/>
      <c r="I40" s="39">
        <f t="shared" si="1"/>
        <v>1</v>
      </c>
      <c r="J40" s="39" t="str">
        <f t="shared" si="2"/>
        <v/>
      </c>
      <c r="K40" s="39" t="str">
        <f t="array" ref="K40">IF(J40="","",IF(XLOOKUP(J40,Strike_Review_Queue!$I:$I,Strike_Review_Queue!$J:$J,"")="Approve","Approved",IF(XLOOKUP(J40,Strike_Review_Queue!$I:$I,Strike_Review_Queue!$J:$J,"")="Deny","Counts",H40)))</f>
        <v/>
      </c>
      <c r="L40" s="39" t="str">
        <f t="array" ref="L40">IF(J40="","",XLOOKUP(J40,Strike_Review_Queue!$I:$I,Strike_Review_Queue!$L:$L,""))</f>
        <v/>
      </c>
      <c r="M40" s="39" t="str">
        <f t="array" ref="M40">IF(J40="","",XLOOKUP(J40,Strike_Review_Queue!$I:$I,Strike_Review_Queue!$M:$M,""))</f>
        <v/>
      </c>
    </row>
    <row r="41" ht="15.75" customHeight="1">
      <c r="C41" s="39"/>
      <c r="D41" s="39" t="str">
        <f>IF(OR(B41="",A41=""),"",MAX(0,MIN(3,SUMIFS($C$2:$C$1000,$B$2:$B$1000,B41,$A$2:$A$1000,"&lt;="&amp;A41,$A$2:$A$1000,"&gt;="&amp;IF(Config!$B$1004="Y",A41-Config!$B$1005,DATE(1900,1,1)),$I$2:$I$1000,1)))))</f>
        <v>#ERROR!</v>
      </c>
      <c r="H41" s="39"/>
      <c r="I41" s="39">
        <f t="shared" si="1"/>
        <v>1</v>
      </c>
      <c r="J41" s="39" t="str">
        <f t="shared" si="2"/>
        <v/>
      </c>
      <c r="K41" s="39" t="str">
        <f t="array" ref="K41">IF(J41="","",IF(XLOOKUP(J41,Strike_Review_Queue!$I:$I,Strike_Review_Queue!$J:$J,"")="Approve","Approved",IF(XLOOKUP(J41,Strike_Review_Queue!$I:$I,Strike_Review_Queue!$J:$J,"")="Deny","Counts",H41)))</f>
        <v/>
      </c>
      <c r="L41" s="39" t="str">
        <f t="array" ref="L41">IF(J41="","",XLOOKUP(J41,Strike_Review_Queue!$I:$I,Strike_Review_Queue!$L:$L,""))</f>
        <v/>
      </c>
      <c r="M41" s="39" t="str">
        <f t="array" ref="M41">IF(J41="","",XLOOKUP(J41,Strike_Review_Queue!$I:$I,Strike_Review_Queue!$M:$M,""))</f>
        <v/>
      </c>
    </row>
    <row r="42" ht="15.75" customHeight="1">
      <c r="C42" s="39"/>
      <c r="D42" s="39" t="str">
        <f>IF(OR(B42="",A42=""),"",MAX(0,MIN(3,SUMIFS($C$2:$C$1000,$B$2:$B$1000,B42,$A$2:$A$1000,"&lt;="&amp;A42,$A$2:$A$1000,"&gt;="&amp;IF(Config!$B$1004="Y",A42-Config!$B$1005,DATE(1900,1,1)),$I$2:$I$1000,1)))))</f>
        <v>#ERROR!</v>
      </c>
      <c r="H42" s="39"/>
      <c r="I42" s="39">
        <f t="shared" si="1"/>
        <v>1</v>
      </c>
      <c r="J42" s="39" t="str">
        <f t="shared" si="2"/>
        <v/>
      </c>
      <c r="K42" s="39" t="str">
        <f t="array" ref="K42">IF(J42="","",IF(XLOOKUP(J42,Strike_Review_Queue!$I:$I,Strike_Review_Queue!$J:$J,"")="Approve","Approved",IF(XLOOKUP(J42,Strike_Review_Queue!$I:$I,Strike_Review_Queue!$J:$J,"")="Deny","Counts",H42)))</f>
        <v/>
      </c>
      <c r="L42" s="39" t="str">
        <f t="array" ref="L42">IF(J42="","",XLOOKUP(J42,Strike_Review_Queue!$I:$I,Strike_Review_Queue!$L:$L,""))</f>
        <v/>
      </c>
      <c r="M42" s="39" t="str">
        <f t="array" ref="M42">IF(J42="","",XLOOKUP(J42,Strike_Review_Queue!$I:$I,Strike_Review_Queue!$M:$M,""))</f>
        <v/>
      </c>
    </row>
    <row r="43" ht="15.75" customHeight="1">
      <c r="C43" s="39"/>
      <c r="D43" s="39" t="str">
        <f>IF(OR(B43="",A43=""),"",MAX(0,MIN(3,SUMIFS($C$2:$C$1000,$B$2:$B$1000,B43,$A$2:$A$1000,"&lt;="&amp;A43,$A$2:$A$1000,"&gt;="&amp;IF(Config!$B$1004="Y",A43-Config!$B$1005,DATE(1900,1,1)),$I$2:$I$1000,1)))))</f>
        <v>#ERROR!</v>
      </c>
      <c r="H43" s="39"/>
      <c r="I43" s="39">
        <f t="shared" si="1"/>
        <v>1</v>
      </c>
      <c r="J43" s="39" t="str">
        <f t="shared" si="2"/>
        <v/>
      </c>
      <c r="K43" s="39" t="str">
        <f t="array" ref="K43">IF(J43="","",IF(XLOOKUP(J43,Strike_Review_Queue!$I:$I,Strike_Review_Queue!$J:$J,"")="Approve","Approved",IF(XLOOKUP(J43,Strike_Review_Queue!$I:$I,Strike_Review_Queue!$J:$J,"")="Deny","Counts",H43)))</f>
        <v/>
      </c>
      <c r="L43" s="39" t="str">
        <f t="array" ref="L43">IF(J43="","",XLOOKUP(J43,Strike_Review_Queue!$I:$I,Strike_Review_Queue!$L:$L,""))</f>
        <v/>
      </c>
      <c r="M43" s="39" t="str">
        <f t="array" ref="M43">IF(J43="","",XLOOKUP(J43,Strike_Review_Queue!$I:$I,Strike_Review_Queue!$M:$M,""))</f>
        <v/>
      </c>
    </row>
    <row r="44" ht="15.75" customHeight="1">
      <c r="C44" s="39"/>
      <c r="D44" s="39" t="str">
        <f>IF(OR(B44="",A44=""),"",MAX(0,MIN(3,SUMIFS($C$2:$C$1000,$B$2:$B$1000,B44,$A$2:$A$1000,"&lt;="&amp;A44,$A$2:$A$1000,"&gt;="&amp;IF(Config!$B$1004="Y",A44-Config!$B$1005,DATE(1900,1,1)),$I$2:$I$1000,1)))))</f>
        <v>#ERROR!</v>
      </c>
      <c r="H44" s="39"/>
      <c r="I44" s="39">
        <f t="shared" si="1"/>
        <v>1</v>
      </c>
      <c r="J44" s="39" t="str">
        <f t="shared" si="2"/>
        <v/>
      </c>
      <c r="K44" s="39" t="str">
        <f t="array" ref="K44">IF(J44="","",IF(XLOOKUP(J44,Strike_Review_Queue!$I:$I,Strike_Review_Queue!$J:$J,"")="Approve","Approved",IF(XLOOKUP(J44,Strike_Review_Queue!$I:$I,Strike_Review_Queue!$J:$J,"")="Deny","Counts",H44)))</f>
        <v/>
      </c>
      <c r="L44" s="39" t="str">
        <f t="array" ref="L44">IF(J44="","",XLOOKUP(J44,Strike_Review_Queue!$I:$I,Strike_Review_Queue!$L:$L,""))</f>
        <v/>
      </c>
      <c r="M44" s="39" t="str">
        <f t="array" ref="M44">IF(J44="","",XLOOKUP(J44,Strike_Review_Queue!$I:$I,Strike_Review_Queue!$M:$M,""))</f>
        <v/>
      </c>
    </row>
    <row r="45" ht="15.75" customHeight="1">
      <c r="C45" s="39"/>
      <c r="D45" s="39" t="str">
        <f>IF(OR(B45="",A45=""),"",MAX(0,MIN(3,SUMIFS($C$2:$C$1000,$B$2:$B$1000,B45,$A$2:$A$1000,"&lt;="&amp;A45,$A$2:$A$1000,"&gt;="&amp;IF(Config!$B$1004="Y",A45-Config!$B$1005,DATE(1900,1,1)),$I$2:$I$1000,1)))))</f>
        <v>#ERROR!</v>
      </c>
      <c r="H45" s="39"/>
      <c r="I45" s="39">
        <f t="shared" si="1"/>
        <v>1</v>
      </c>
      <c r="J45" s="39" t="str">
        <f t="shared" si="2"/>
        <v/>
      </c>
      <c r="K45" s="39" t="str">
        <f t="array" ref="K45">IF(J45="","",IF(XLOOKUP(J45,Strike_Review_Queue!$I:$I,Strike_Review_Queue!$J:$J,"")="Approve","Approved",IF(XLOOKUP(J45,Strike_Review_Queue!$I:$I,Strike_Review_Queue!$J:$J,"")="Deny","Counts",H45)))</f>
        <v/>
      </c>
      <c r="L45" s="39" t="str">
        <f t="array" ref="L45">IF(J45="","",XLOOKUP(J45,Strike_Review_Queue!$I:$I,Strike_Review_Queue!$L:$L,""))</f>
        <v/>
      </c>
      <c r="M45" s="39" t="str">
        <f t="array" ref="M45">IF(J45="","",XLOOKUP(J45,Strike_Review_Queue!$I:$I,Strike_Review_Queue!$M:$M,""))</f>
        <v/>
      </c>
    </row>
    <row r="46" ht="15.75" customHeight="1">
      <c r="C46" s="39"/>
      <c r="D46" s="39" t="str">
        <f>IF(OR(B46="",A46=""),"",MAX(0,MIN(3,SUMIFS($C$2:$C$1000,$B$2:$B$1000,B46,$A$2:$A$1000,"&lt;="&amp;A46,$A$2:$A$1000,"&gt;="&amp;IF(Config!$B$1004="Y",A46-Config!$B$1005,DATE(1900,1,1)),$I$2:$I$1000,1)))))</f>
        <v>#ERROR!</v>
      </c>
      <c r="H46" s="39"/>
      <c r="I46" s="39">
        <f t="shared" si="1"/>
        <v>1</v>
      </c>
      <c r="J46" s="39" t="str">
        <f t="shared" si="2"/>
        <v/>
      </c>
      <c r="K46" s="39" t="str">
        <f t="array" ref="K46">IF(J46="","",IF(XLOOKUP(J46,Strike_Review_Queue!$I:$I,Strike_Review_Queue!$J:$J,"")="Approve","Approved",IF(XLOOKUP(J46,Strike_Review_Queue!$I:$I,Strike_Review_Queue!$J:$J,"")="Deny","Counts",H46)))</f>
        <v/>
      </c>
      <c r="L46" s="39" t="str">
        <f t="array" ref="L46">IF(J46="","",XLOOKUP(J46,Strike_Review_Queue!$I:$I,Strike_Review_Queue!$L:$L,""))</f>
        <v/>
      </c>
      <c r="M46" s="39" t="str">
        <f t="array" ref="M46">IF(J46="","",XLOOKUP(J46,Strike_Review_Queue!$I:$I,Strike_Review_Queue!$M:$M,""))</f>
        <v/>
      </c>
    </row>
    <row r="47" ht="15.75" customHeight="1">
      <c r="C47" s="39"/>
      <c r="D47" s="39" t="str">
        <f>IF(OR(B47="",A47=""),"",MAX(0,MIN(3,SUMIFS($C$2:$C$1000,$B$2:$B$1000,B47,$A$2:$A$1000,"&lt;="&amp;A47,$A$2:$A$1000,"&gt;="&amp;IF(Config!$B$1004="Y",A47-Config!$B$1005,DATE(1900,1,1)),$I$2:$I$1000,1)))))</f>
        <v>#ERROR!</v>
      </c>
      <c r="H47" s="39"/>
      <c r="I47" s="39">
        <f t="shared" si="1"/>
        <v>1</v>
      </c>
      <c r="J47" s="39" t="str">
        <f t="shared" si="2"/>
        <v/>
      </c>
      <c r="K47" s="39" t="str">
        <f t="array" ref="K47">IF(J47="","",IF(XLOOKUP(J47,Strike_Review_Queue!$I:$I,Strike_Review_Queue!$J:$J,"")="Approve","Approved",IF(XLOOKUP(J47,Strike_Review_Queue!$I:$I,Strike_Review_Queue!$J:$J,"")="Deny","Counts",H47)))</f>
        <v/>
      </c>
      <c r="L47" s="39" t="str">
        <f t="array" ref="L47">IF(J47="","",XLOOKUP(J47,Strike_Review_Queue!$I:$I,Strike_Review_Queue!$L:$L,""))</f>
        <v/>
      </c>
      <c r="M47" s="39" t="str">
        <f t="array" ref="M47">IF(J47="","",XLOOKUP(J47,Strike_Review_Queue!$I:$I,Strike_Review_Queue!$M:$M,""))</f>
        <v/>
      </c>
    </row>
    <row r="48" ht="15.75" customHeight="1">
      <c r="C48" s="39"/>
      <c r="D48" s="39" t="str">
        <f>IF(OR(B48="",A48=""),"",MAX(0,MIN(3,SUMIFS($C$2:$C$1000,$B$2:$B$1000,B48,$A$2:$A$1000,"&lt;="&amp;A48,$A$2:$A$1000,"&gt;="&amp;IF(Config!$B$1004="Y",A48-Config!$B$1005,DATE(1900,1,1)),$I$2:$I$1000,1)))))</f>
        <v>#ERROR!</v>
      </c>
      <c r="H48" s="39"/>
      <c r="I48" s="39">
        <f t="shared" si="1"/>
        <v>1</v>
      </c>
      <c r="J48" s="39" t="str">
        <f t="shared" si="2"/>
        <v/>
      </c>
      <c r="K48" s="39" t="str">
        <f t="array" ref="K48">IF(J48="","",IF(XLOOKUP(J48,Strike_Review_Queue!$I:$I,Strike_Review_Queue!$J:$J,"")="Approve","Approved",IF(XLOOKUP(J48,Strike_Review_Queue!$I:$I,Strike_Review_Queue!$J:$J,"")="Deny","Counts",H48)))</f>
        <v/>
      </c>
      <c r="L48" s="39" t="str">
        <f t="array" ref="L48">IF(J48="","",XLOOKUP(J48,Strike_Review_Queue!$I:$I,Strike_Review_Queue!$L:$L,""))</f>
        <v/>
      </c>
      <c r="M48" s="39" t="str">
        <f t="array" ref="M48">IF(J48="","",XLOOKUP(J48,Strike_Review_Queue!$I:$I,Strike_Review_Queue!$M:$M,""))</f>
        <v/>
      </c>
    </row>
    <row r="49" ht="15.75" customHeight="1">
      <c r="C49" s="39"/>
      <c r="D49" s="39" t="str">
        <f>IF(OR(B49="",A49=""),"",MAX(0,MIN(3,SUMIFS($C$2:$C$1000,$B$2:$B$1000,B49,$A$2:$A$1000,"&lt;="&amp;A49,$A$2:$A$1000,"&gt;="&amp;IF(Config!$B$1004="Y",A49-Config!$B$1005,DATE(1900,1,1)),$I$2:$I$1000,1)))))</f>
        <v>#ERROR!</v>
      </c>
      <c r="H49" s="39"/>
      <c r="I49" s="39">
        <f t="shared" si="1"/>
        <v>1</v>
      </c>
      <c r="J49" s="39" t="str">
        <f t="shared" si="2"/>
        <v/>
      </c>
      <c r="K49" s="39" t="str">
        <f t="array" ref="K49">IF(J49="","",IF(XLOOKUP(J49,Strike_Review_Queue!$I:$I,Strike_Review_Queue!$J:$J,"")="Approve","Approved",IF(XLOOKUP(J49,Strike_Review_Queue!$I:$I,Strike_Review_Queue!$J:$J,"")="Deny","Counts",H49)))</f>
        <v/>
      </c>
      <c r="L49" s="39" t="str">
        <f t="array" ref="L49">IF(J49="","",XLOOKUP(J49,Strike_Review_Queue!$I:$I,Strike_Review_Queue!$L:$L,""))</f>
        <v/>
      </c>
      <c r="M49" s="39" t="str">
        <f t="array" ref="M49">IF(J49="","",XLOOKUP(J49,Strike_Review_Queue!$I:$I,Strike_Review_Queue!$M:$M,""))</f>
        <v/>
      </c>
    </row>
    <row r="50" ht="15.75" customHeight="1">
      <c r="C50" s="39"/>
      <c r="D50" s="39" t="str">
        <f>IF(OR(B50="",A50=""),"",MAX(0,MIN(3,SUMIFS($C$2:$C$1000,$B$2:$B$1000,B50,$A$2:$A$1000,"&lt;="&amp;A50,$A$2:$A$1000,"&gt;="&amp;IF(Config!$B$1004="Y",A50-Config!$B$1005,DATE(1900,1,1)),$I$2:$I$1000,1)))))</f>
        <v>#ERROR!</v>
      </c>
      <c r="H50" s="39"/>
      <c r="I50" s="39">
        <f t="shared" si="1"/>
        <v>1</v>
      </c>
      <c r="J50" s="39" t="str">
        <f t="shared" si="2"/>
        <v/>
      </c>
      <c r="K50" s="39" t="str">
        <f t="array" ref="K50">IF(J50="","",IF(XLOOKUP(J50,Strike_Review_Queue!$I:$I,Strike_Review_Queue!$J:$J,"")="Approve","Approved",IF(XLOOKUP(J50,Strike_Review_Queue!$I:$I,Strike_Review_Queue!$J:$J,"")="Deny","Counts",H50)))</f>
        <v/>
      </c>
      <c r="L50" s="39" t="str">
        <f t="array" ref="L50">IF(J50="","",XLOOKUP(J50,Strike_Review_Queue!$I:$I,Strike_Review_Queue!$L:$L,""))</f>
        <v/>
      </c>
      <c r="M50" s="39" t="str">
        <f t="array" ref="M50">IF(J50="","",XLOOKUP(J50,Strike_Review_Queue!$I:$I,Strike_Review_Queue!$M:$M,""))</f>
        <v/>
      </c>
    </row>
    <row r="51" ht="15.75" customHeight="1">
      <c r="C51" s="39"/>
      <c r="D51" s="39" t="str">
        <f>IF(OR(B51="",A51=""),"",MAX(0,MIN(3,SUMIFS($C$2:$C$1000,$B$2:$B$1000,B51,$A$2:$A$1000,"&lt;="&amp;A51,$A$2:$A$1000,"&gt;="&amp;IF(Config!$B$1004="Y",A51-Config!$B$1005,DATE(1900,1,1)),$I$2:$I$1000,1)))))</f>
        <v>#ERROR!</v>
      </c>
      <c r="H51" s="39"/>
      <c r="I51" s="39">
        <f t="shared" si="1"/>
        <v>1</v>
      </c>
      <c r="J51" s="39" t="str">
        <f t="shared" si="2"/>
        <v/>
      </c>
      <c r="K51" s="39" t="str">
        <f t="array" ref="K51">IF(J51="","",IF(XLOOKUP(J51,Strike_Review_Queue!$I:$I,Strike_Review_Queue!$J:$J,"")="Approve","Approved",IF(XLOOKUP(J51,Strike_Review_Queue!$I:$I,Strike_Review_Queue!$J:$J,"")="Deny","Counts",H51)))</f>
        <v/>
      </c>
      <c r="L51" s="39" t="str">
        <f t="array" ref="L51">IF(J51="","",XLOOKUP(J51,Strike_Review_Queue!$I:$I,Strike_Review_Queue!$L:$L,""))</f>
        <v/>
      </c>
      <c r="M51" s="39" t="str">
        <f t="array" ref="M51">IF(J51="","",XLOOKUP(J51,Strike_Review_Queue!$I:$I,Strike_Review_Queue!$M:$M,""))</f>
        <v/>
      </c>
    </row>
    <row r="52" ht="15.75" customHeight="1">
      <c r="C52" s="39"/>
      <c r="D52" s="39" t="str">
        <f>IF(OR(B52="",A52=""),"",MAX(0,MIN(3,SUMIFS($C$2:$C$1000,$B$2:$B$1000,B52,$A$2:$A$1000,"&lt;="&amp;A52,$A$2:$A$1000,"&gt;="&amp;IF(Config!$B$1004="Y",A52-Config!$B$1005,DATE(1900,1,1)),$I$2:$I$1000,1)))))</f>
        <v>#ERROR!</v>
      </c>
      <c r="H52" s="39"/>
      <c r="I52" s="39">
        <f t="shared" si="1"/>
        <v>1</v>
      </c>
      <c r="J52" s="39" t="str">
        <f t="shared" si="2"/>
        <v/>
      </c>
      <c r="K52" s="39" t="str">
        <f t="array" ref="K52">IF(J52="","",IF(XLOOKUP(J52,Strike_Review_Queue!$I:$I,Strike_Review_Queue!$J:$J,"")="Approve","Approved",IF(XLOOKUP(J52,Strike_Review_Queue!$I:$I,Strike_Review_Queue!$J:$J,"")="Deny","Counts",H52)))</f>
        <v/>
      </c>
      <c r="L52" s="39" t="str">
        <f t="array" ref="L52">IF(J52="","",XLOOKUP(J52,Strike_Review_Queue!$I:$I,Strike_Review_Queue!$L:$L,""))</f>
        <v/>
      </c>
      <c r="M52" s="39" t="str">
        <f t="array" ref="M52">IF(J52="","",XLOOKUP(J52,Strike_Review_Queue!$I:$I,Strike_Review_Queue!$M:$M,""))</f>
        <v/>
      </c>
    </row>
    <row r="53" ht="15.75" customHeight="1">
      <c r="C53" s="39"/>
      <c r="D53" s="39" t="str">
        <f>IF(OR(B53="",A53=""),"",MAX(0,MIN(3,SUMIFS($C$2:$C$1000,$B$2:$B$1000,B53,$A$2:$A$1000,"&lt;="&amp;A53,$A$2:$A$1000,"&gt;="&amp;IF(Config!$B$1004="Y",A53-Config!$B$1005,DATE(1900,1,1)),$I$2:$I$1000,1)))))</f>
        <v>#ERROR!</v>
      </c>
      <c r="H53" s="39"/>
      <c r="I53" s="39">
        <f t="shared" si="1"/>
        <v>1</v>
      </c>
      <c r="J53" s="39" t="str">
        <f t="shared" si="2"/>
        <v/>
      </c>
      <c r="K53" s="39" t="str">
        <f t="array" ref="K53">IF(J53="","",IF(XLOOKUP(J53,Strike_Review_Queue!$I:$I,Strike_Review_Queue!$J:$J,"")="Approve","Approved",IF(XLOOKUP(J53,Strike_Review_Queue!$I:$I,Strike_Review_Queue!$J:$J,"")="Deny","Counts",H53)))</f>
        <v/>
      </c>
      <c r="L53" s="39" t="str">
        <f t="array" ref="L53">IF(J53="","",XLOOKUP(J53,Strike_Review_Queue!$I:$I,Strike_Review_Queue!$L:$L,""))</f>
        <v/>
      </c>
      <c r="M53" s="39" t="str">
        <f t="array" ref="M53">IF(J53="","",XLOOKUP(J53,Strike_Review_Queue!$I:$I,Strike_Review_Queue!$M:$M,""))</f>
        <v/>
      </c>
    </row>
    <row r="54" ht="15.75" customHeight="1">
      <c r="C54" s="39"/>
      <c r="D54" s="39" t="str">
        <f>IF(OR(B54="",A54=""),"",MAX(0,MIN(3,SUMIFS($C$2:$C$1000,$B$2:$B$1000,B54,$A$2:$A$1000,"&lt;="&amp;A54,$A$2:$A$1000,"&gt;="&amp;IF(Config!$B$1004="Y",A54-Config!$B$1005,DATE(1900,1,1)),$I$2:$I$1000,1)))))</f>
        <v>#ERROR!</v>
      </c>
      <c r="H54" s="39"/>
      <c r="I54" s="39">
        <f t="shared" si="1"/>
        <v>1</v>
      </c>
      <c r="J54" s="39" t="str">
        <f t="shared" si="2"/>
        <v/>
      </c>
      <c r="K54" s="39" t="str">
        <f t="array" ref="K54">IF(J54="","",IF(XLOOKUP(J54,Strike_Review_Queue!$I:$I,Strike_Review_Queue!$J:$J,"")="Approve","Approved",IF(XLOOKUP(J54,Strike_Review_Queue!$I:$I,Strike_Review_Queue!$J:$J,"")="Deny","Counts",H54)))</f>
        <v/>
      </c>
      <c r="L54" s="39" t="str">
        <f t="array" ref="L54">IF(J54="","",XLOOKUP(J54,Strike_Review_Queue!$I:$I,Strike_Review_Queue!$L:$L,""))</f>
        <v/>
      </c>
      <c r="M54" s="39" t="str">
        <f t="array" ref="M54">IF(J54="","",XLOOKUP(J54,Strike_Review_Queue!$I:$I,Strike_Review_Queue!$M:$M,""))</f>
        <v/>
      </c>
    </row>
    <row r="55" ht="15.75" customHeight="1">
      <c r="C55" s="39"/>
      <c r="D55" s="39" t="str">
        <f>IF(OR(B55="",A55=""),"",MAX(0,MIN(3,SUMIFS($C$2:$C$1000,$B$2:$B$1000,B55,$A$2:$A$1000,"&lt;="&amp;A55,$A$2:$A$1000,"&gt;="&amp;IF(Config!$B$1004="Y",A55-Config!$B$1005,DATE(1900,1,1)),$I$2:$I$1000,1)))))</f>
        <v>#ERROR!</v>
      </c>
      <c r="H55" s="39"/>
      <c r="I55" s="39">
        <f t="shared" si="1"/>
        <v>1</v>
      </c>
      <c r="J55" s="39" t="str">
        <f t="shared" si="2"/>
        <v/>
      </c>
      <c r="K55" s="39" t="str">
        <f t="array" ref="K55">IF(J55="","",IF(XLOOKUP(J55,Strike_Review_Queue!$I:$I,Strike_Review_Queue!$J:$J,"")="Approve","Approved",IF(XLOOKUP(J55,Strike_Review_Queue!$I:$I,Strike_Review_Queue!$J:$J,"")="Deny","Counts",H55)))</f>
        <v/>
      </c>
      <c r="L55" s="39" t="str">
        <f t="array" ref="L55">IF(J55="","",XLOOKUP(J55,Strike_Review_Queue!$I:$I,Strike_Review_Queue!$L:$L,""))</f>
        <v/>
      </c>
      <c r="M55" s="39" t="str">
        <f t="array" ref="M55">IF(J55="","",XLOOKUP(J55,Strike_Review_Queue!$I:$I,Strike_Review_Queue!$M:$M,""))</f>
        <v/>
      </c>
    </row>
    <row r="56" ht="15.75" customHeight="1">
      <c r="C56" s="39"/>
      <c r="D56" s="39" t="str">
        <f>IF(OR(B56="",A56=""),"",MAX(0,MIN(3,SUMIFS($C$2:$C$1000,$B$2:$B$1000,B56,$A$2:$A$1000,"&lt;="&amp;A56,$A$2:$A$1000,"&gt;="&amp;IF(Config!$B$1004="Y",A56-Config!$B$1005,DATE(1900,1,1)),$I$2:$I$1000,1)))))</f>
        <v>#ERROR!</v>
      </c>
      <c r="H56" s="39"/>
      <c r="I56" s="39">
        <f t="shared" si="1"/>
        <v>1</v>
      </c>
      <c r="J56" s="39" t="str">
        <f t="shared" si="2"/>
        <v/>
      </c>
      <c r="K56" s="39" t="str">
        <f t="array" ref="K56">IF(J56="","",IF(XLOOKUP(J56,Strike_Review_Queue!$I:$I,Strike_Review_Queue!$J:$J,"")="Approve","Approved",IF(XLOOKUP(J56,Strike_Review_Queue!$I:$I,Strike_Review_Queue!$J:$J,"")="Deny","Counts",H56)))</f>
        <v/>
      </c>
      <c r="L56" s="39" t="str">
        <f t="array" ref="L56">IF(J56="","",XLOOKUP(J56,Strike_Review_Queue!$I:$I,Strike_Review_Queue!$L:$L,""))</f>
        <v/>
      </c>
      <c r="M56" s="39" t="str">
        <f t="array" ref="M56">IF(J56="","",XLOOKUP(J56,Strike_Review_Queue!$I:$I,Strike_Review_Queue!$M:$M,""))</f>
        <v/>
      </c>
    </row>
    <row r="57" ht="15.75" customHeight="1">
      <c r="C57" s="39"/>
      <c r="D57" s="39" t="str">
        <f>IF(OR(B57="",A57=""),"",MAX(0,MIN(3,SUMIFS($C$2:$C$1000,$B$2:$B$1000,B57,$A$2:$A$1000,"&lt;="&amp;A57,$A$2:$A$1000,"&gt;="&amp;IF(Config!$B$1004="Y",A57-Config!$B$1005,DATE(1900,1,1)),$I$2:$I$1000,1)))))</f>
        <v>#ERROR!</v>
      </c>
      <c r="H57" s="39"/>
      <c r="I57" s="39">
        <f t="shared" si="1"/>
        <v>1</v>
      </c>
      <c r="J57" s="39" t="str">
        <f t="shared" si="2"/>
        <v/>
      </c>
      <c r="K57" s="39" t="str">
        <f t="array" ref="K57">IF(J57="","",IF(XLOOKUP(J57,Strike_Review_Queue!$I:$I,Strike_Review_Queue!$J:$J,"")="Approve","Approved",IF(XLOOKUP(J57,Strike_Review_Queue!$I:$I,Strike_Review_Queue!$J:$J,"")="Deny","Counts",H57)))</f>
        <v/>
      </c>
      <c r="L57" s="39" t="str">
        <f t="array" ref="L57">IF(J57="","",XLOOKUP(J57,Strike_Review_Queue!$I:$I,Strike_Review_Queue!$L:$L,""))</f>
        <v/>
      </c>
      <c r="M57" s="39" t="str">
        <f t="array" ref="M57">IF(J57="","",XLOOKUP(J57,Strike_Review_Queue!$I:$I,Strike_Review_Queue!$M:$M,""))</f>
        <v/>
      </c>
    </row>
    <row r="58" ht="15.75" customHeight="1">
      <c r="C58" s="39"/>
      <c r="D58" s="39" t="str">
        <f>IF(OR(B58="",A58=""),"",MAX(0,MIN(3,SUMIFS($C$2:$C$1000,$B$2:$B$1000,B58,$A$2:$A$1000,"&lt;="&amp;A58,$A$2:$A$1000,"&gt;="&amp;IF(Config!$B$1004="Y",A58-Config!$B$1005,DATE(1900,1,1)),$I$2:$I$1000,1)))))</f>
        <v>#ERROR!</v>
      </c>
      <c r="H58" s="39"/>
      <c r="I58" s="39">
        <f t="shared" si="1"/>
        <v>1</v>
      </c>
      <c r="J58" s="39" t="str">
        <f t="shared" si="2"/>
        <v/>
      </c>
      <c r="K58" s="39" t="str">
        <f t="array" ref="K58">IF(J58="","",IF(XLOOKUP(J58,Strike_Review_Queue!$I:$I,Strike_Review_Queue!$J:$J,"")="Approve","Approved",IF(XLOOKUP(J58,Strike_Review_Queue!$I:$I,Strike_Review_Queue!$J:$J,"")="Deny","Counts",H58)))</f>
        <v/>
      </c>
      <c r="L58" s="39" t="str">
        <f t="array" ref="L58">IF(J58="","",XLOOKUP(J58,Strike_Review_Queue!$I:$I,Strike_Review_Queue!$L:$L,""))</f>
        <v/>
      </c>
      <c r="M58" s="39" t="str">
        <f t="array" ref="M58">IF(J58="","",XLOOKUP(J58,Strike_Review_Queue!$I:$I,Strike_Review_Queue!$M:$M,""))</f>
        <v/>
      </c>
    </row>
    <row r="59" ht="15.75" customHeight="1">
      <c r="C59" s="39"/>
      <c r="D59" s="39" t="str">
        <f>IF(OR(B59="",A59=""),"",MAX(0,MIN(3,SUMIFS($C$2:$C$1000,$B$2:$B$1000,B59,$A$2:$A$1000,"&lt;="&amp;A59,$A$2:$A$1000,"&gt;="&amp;IF(Config!$B$1004="Y",A59-Config!$B$1005,DATE(1900,1,1)),$I$2:$I$1000,1)))))</f>
        <v>#ERROR!</v>
      </c>
      <c r="H59" s="39"/>
      <c r="I59" s="39">
        <f t="shared" si="1"/>
        <v>1</v>
      </c>
      <c r="J59" s="39" t="str">
        <f t="shared" si="2"/>
        <v/>
      </c>
      <c r="K59" s="39" t="str">
        <f t="array" ref="K59">IF(J59="","",IF(XLOOKUP(J59,Strike_Review_Queue!$I:$I,Strike_Review_Queue!$J:$J,"")="Approve","Approved",IF(XLOOKUP(J59,Strike_Review_Queue!$I:$I,Strike_Review_Queue!$J:$J,"")="Deny","Counts",H59)))</f>
        <v/>
      </c>
      <c r="L59" s="39" t="str">
        <f t="array" ref="L59">IF(J59="","",XLOOKUP(J59,Strike_Review_Queue!$I:$I,Strike_Review_Queue!$L:$L,""))</f>
        <v/>
      </c>
      <c r="M59" s="39" t="str">
        <f t="array" ref="M59">IF(J59="","",XLOOKUP(J59,Strike_Review_Queue!$I:$I,Strike_Review_Queue!$M:$M,""))</f>
        <v/>
      </c>
    </row>
    <row r="60" ht="15.75" customHeight="1">
      <c r="C60" s="39"/>
      <c r="D60" s="39" t="str">
        <f>IF(OR(B60="",A60=""),"",MAX(0,MIN(3,SUMIFS($C$2:$C$1000,$B$2:$B$1000,B60,$A$2:$A$1000,"&lt;="&amp;A60,$A$2:$A$1000,"&gt;="&amp;IF(Config!$B$1004="Y",A60-Config!$B$1005,DATE(1900,1,1)),$I$2:$I$1000,1)))))</f>
        <v>#ERROR!</v>
      </c>
      <c r="H60" s="39"/>
      <c r="I60" s="39">
        <f t="shared" si="1"/>
        <v>1</v>
      </c>
      <c r="J60" s="39" t="str">
        <f t="shared" si="2"/>
        <v/>
      </c>
      <c r="K60" s="39" t="str">
        <f t="array" ref="K60">IF(J60="","",IF(XLOOKUP(J60,Strike_Review_Queue!$I:$I,Strike_Review_Queue!$J:$J,"")="Approve","Approved",IF(XLOOKUP(J60,Strike_Review_Queue!$I:$I,Strike_Review_Queue!$J:$J,"")="Deny","Counts",H60)))</f>
        <v/>
      </c>
      <c r="L60" s="39" t="str">
        <f t="array" ref="L60">IF(J60="","",XLOOKUP(J60,Strike_Review_Queue!$I:$I,Strike_Review_Queue!$L:$L,""))</f>
        <v/>
      </c>
      <c r="M60" s="39" t="str">
        <f t="array" ref="M60">IF(J60="","",XLOOKUP(J60,Strike_Review_Queue!$I:$I,Strike_Review_Queue!$M:$M,""))</f>
        <v/>
      </c>
    </row>
    <row r="61" ht="15.75" customHeight="1">
      <c r="C61" s="39"/>
      <c r="D61" s="39" t="str">
        <f>IF(OR(B61="",A61=""),"",MAX(0,MIN(3,SUMIFS($C$2:$C$1000,$B$2:$B$1000,B61,$A$2:$A$1000,"&lt;="&amp;A61,$A$2:$A$1000,"&gt;="&amp;IF(Config!$B$1004="Y",A61-Config!$B$1005,DATE(1900,1,1)),$I$2:$I$1000,1)))))</f>
        <v>#ERROR!</v>
      </c>
      <c r="H61" s="39"/>
      <c r="I61" s="39">
        <f t="shared" si="1"/>
        <v>1</v>
      </c>
      <c r="J61" s="39" t="str">
        <f t="shared" si="2"/>
        <v/>
      </c>
      <c r="K61" s="39" t="str">
        <f t="array" ref="K61">IF(J61="","",IF(XLOOKUP(J61,Strike_Review_Queue!$I:$I,Strike_Review_Queue!$J:$J,"")="Approve","Approved",IF(XLOOKUP(J61,Strike_Review_Queue!$I:$I,Strike_Review_Queue!$J:$J,"")="Deny","Counts",H61)))</f>
        <v/>
      </c>
      <c r="L61" s="39" t="str">
        <f t="array" ref="L61">IF(J61="","",XLOOKUP(J61,Strike_Review_Queue!$I:$I,Strike_Review_Queue!$L:$L,""))</f>
        <v/>
      </c>
      <c r="M61" s="39" t="str">
        <f t="array" ref="M61">IF(J61="","",XLOOKUP(J61,Strike_Review_Queue!$I:$I,Strike_Review_Queue!$M:$M,""))</f>
        <v/>
      </c>
    </row>
    <row r="62" ht="15.75" customHeight="1">
      <c r="C62" s="39"/>
      <c r="D62" s="39" t="str">
        <f>IF(OR(B62="",A62=""),"",MAX(0,MIN(3,SUMIFS($C$2:$C$1000,$B$2:$B$1000,B62,$A$2:$A$1000,"&lt;="&amp;A62,$A$2:$A$1000,"&gt;="&amp;IF(Config!$B$1004="Y",A62-Config!$B$1005,DATE(1900,1,1)),$I$2:$I$1000,1)))))</f>
        <v>#ERROR!</v>
      </c>
      <c r="H62" s="39"/>
      <c r="I62" s="39">
        <f t="shared" si="1"/>
        <v>1</v>
      </c>
      <c r="J62" s="39" t="str">
        <f t="shared" si="2"/>
        <v/>
      </c>
      <c r="K62" s="39" t="str">
        <f t="array" ref="K62">IF(J62="","",IF(XLOOKUP(J62,Strike_Review_Queue!$I:$I,Strike_Review_Queue!$J:$J,"")="Approve","Approved",IF(XLOOKUP(J62,Strike_Review_Queue!$I:$I,Strike_Review_Queue!$J:$J,"")="Deny","Counts",H62)))</f>
        <v/>
      </c>
      <c r="L62" s="39" t="str">
        <f t="array" ref="L62">IF(J62="","",XLOOKUP(J62,Strike_Review_Queue!$I:$I,Strike_Review_Queue!$L:$L,""))</f>
        <v/>
      </c>
      <c r="M62" s="39" t="str">
        <f t="array" ref="M62">IF(J62="","",XLOOKUP(J62,Strike_Review_Queue!$I:$I,Strike_Review_Queue!$M:$M,""))</f>
        <v/>
      </c>
    </row>
    <row r="63" ht="15.75" customHeight="1">
      <c r="C63" s="39"/>
      <c r="D63" s="39" t="str">
        <f>IF(OR(B63="",A63=""),"",MAX(0,MIN(3,SUMIFS($C$2:$C$1000,$B$2:$B$1000,B63,$A$2:$A$1000,"&lt;="&amp;A63,$A$2:$A$1000,"&gt;="&amp;IF(Config!$B$1004="Y",A63-Config!$B$1005,DATE(1900,1,1)),$I$2:$I$1000,1)))))</f>
        <v>#ERROR!</v>
      </c>
      <c r="H63" s="39"/>
      <c r="I63" s="39">
        <f t="shared" si="1"/>
        <v>1</v>
      </c>
      <c r="J63" s="39" t="str">
        <f t="shared" si="2"/>
        <v/>
      </c>
      <c r="K63" s="39" t="str">
        <f t="array" ref="K63">IF(J63="","",IF(XLOOKUP(J63,Strike_Review_Queue!$I:$I,Strike_Review_Queue!$J:$J,"")="Approve","Approved",IF(XLOOKUP(J63,Strike_Review_Queue!$I:$I,Strike_Review_Queue!$J:$J,"")="Deny","Counts",H63)))</f>
        <v/>
      </c>
      <c r="L63" s="39" t="str">
        <f t="array" ref="L63">IF(J63="","",XLOOKUP(J63,Strike_Review_Queue!$I:$I,Strike_Review_Queue!$L:$L,""))</f>
        <v/>
      </c>
      <c r="M63" s="39" t="str">
        <f t="array" ref="M63">IF(J63="","",XLOOKUP(J63,Strike_Review_Queue!$I:$I,Strike_Review_Queue!$M:$M,""))</f>
        <v/>
      </c>
    </row>
    <row r="64" ht="15.75" customHeight="1">
      <c r="C64" s="39"/>
      <c r="D64" s="39" t="str">
        <f>IF(OR(B64="",A64=""),"",MAX(0,MIN(3,SUMIFS($C$2:$C$1000,$B$2:$B$1000,B64,$A$2:$A$1000,"&lt;="&amp;A64,$A$2:$A$1000,"&gt;="&amp;IF(Config!$B$1004="Y",A64-Config!$B$1005,DATE(1900,1,1)),$I$2:$I$1000,1)))))</f>
        <v>#ERROR!</v>
      </c>
      <c r="H64" s="39"/>
      <c r="I64" s="39">
        <f t="shared" si="1"/>
        <v>1</v>
      </c>
      <c r="J64" s="39" t="str">
        <f t="shared" si="2"/>
        <v/>
      </c>
      <c r="K64" s="39" t="str">
        <f t="array" ref="K64">IF(J64="","",IF(XLOOKUP(J64,Strike_Review_Queue!$I:$I,Strike_Review_Queue!$J:$J,"")="Approve","Approved",IF(XLOOKUP(J64,Strike_Review_Queue!$I:$I,Strike_Review_Queue!$J:$J,"")="Deny","Counts",H64)))</f>
        <v/>
      </c>
      <c r="L64" s="39" t="str">
        <f t="array" ref="L64">IF(J64="","",XLOOKUP(J64,Strike_Review_Queue!$I:$I,Strike_Review_Queue!$L:$L,""))</f>
        <v/>
      </c>
      <c r="M64" s="39" t="str">
        <f t="array" ref="M64">IF(J64="","",XLOOKUP(J64,Strike_Review_Queue!$I:$I,Strike_Review_Queue!$M:$M,""))</f>
        <v/>
      </c>
    </row>
    <row r="65" ht="15.75" customHeight="1">
      <c r="C65" s="39"/>
      <c r="D65" s="39" t="str">
        <f>IF(OR(B65="",A65=""),"",MAX(0,MIN(3,SUMIFS($C$2:$C$1000,$B$2:$B$1000,B65,$A$2:$A$1000,"&lt;="&amp;A65,$A$2:$A$1000,"&gt;="&amp;IF(Config!$B$1004="Y",A65-Config!$B$1005,DATE(1900,1,1)),$I$2:$I$1000,1)))))</f>
        <v>#ERROR!</v>
      </c>
      <c r="H65" s="39"/>
      <c r="I65" s="39">
        <f t="shared" si="1"/>
        <v>1</v>
      </c>
      <c r="J65" s="39" t="str">
        <f t="shared" si="2"/>
        <v/>
      </c>
      <c r="K65" s="39" t="str">
        <f t="array" ref="K65">IF(J65="","",IF(XLOOKUP(J65,Strike_Review_Queue!$I:$I,Strike_Review_Queue!$J:$J,"")="Approve","Approved",IF(XLOOKUP(J65,Strike_Review_Queue!$I:$I,Strike_Review_Queue!$J:$J,"")="Deny","Counts",H65)))</f>
        <v/>
      </c>
      <c r="L65" s="39" t="str">
        <f t="array" ref="L65">IF(J65="","",XLOOKUP(J65,Strike_Review_Queue!$I:$I,Strike_Review_Queue!$L:$L,""))</f>
        <v/>
      </c>
      <c r="M65" s="39" t="str">
        <f t="array" ref="M65">IF(J65="","",XLOOKUP(J65,Strike_Review_Queue!$I:$I,Strike_Review_Queue!$M:$M,""))</f>
        <v/>
      </c>
    </row>
    <row r="66" ht="15.75" customHeight="1">
      <c r="C66" s="39"/>
      <c r="D66" s="39" t="str">
        <f>IF(OR(B66="",A66=""),"",MAX(0,MIN(3,SUMIFS($C$2:$C$1000,$B$2:$B$1000,B66,$A$2:$A$1000,"&lt;="&amp;A66,$A$2:$A$1000,"&gt;="&amp;IF(Config!$B$1004="Y",A66-Config!$B$1005,DATE(1900,1,1)),$I$2:$I$1000,1)))))</f>
        <v>#ERROR!</v>
      </c>
      <c r="H66" s="39"/>
      <c r="I66" s="39">
        <f t="shared" si="1"/>
        <v>1</v>
      </c>
      <c r="J66" s="39" t="str">
        <f t="shared" si="2"/>
        <v/>
      </c>
      <c r="K66" s="39" t="str">
        <f t="array" ref="K66">IF(J66="","",IF(XLOOKUP(J66,Strike_Review_Queue!$I:$I,Strike_Review_Queue!$J:$J,"")="Approve","Approved",IF(XLOOKUP(J66,Strike_Review_Queue!$I:$I,Strike_Review_Queue!$J:$J,"")="Deny","Counts",H66)))</f>
        <v/>
      </c>
      <c r="L66" s="39" t="str">
        <f t="array" ref="L66">IF(J66="","",XLOOKUP(J66,Strike_Review_Queue!$I:$I,Strike_Review_Queue!$L:$L,""))</f>
        <v/>
      </c>
      <c r="M66" s="39" t="str">
        <f t="array" ref="M66">IF(J66="","",XLOOKUP(J66,Strike_Review_Queue!$I:$I,Strike_Review_Queue!$M:$M,""))</f>
        <v/>
      </c>
    </row>
    <row r="67" ht="15.75" customHeight="1">
      <c r="C67" s="39"/>
      <c r="D67" s="39" t="str">
        <f>IF(OR(B67="",A67=""),"",MAX(0,MIN(3,SUMIFS($C$2:$C$1000,$B$2:$B$1000,B67,$A$2:$A$1000,"&lt;="&amp;A67,$A$2:$A$1000,"&gt;="&amp;IF(Config!$B$1004="Y",A67-Config!$B$1005,DATE(1900,1,1)),$I$2:$I$1000,1)))))</f>
        <v>#ERROR!</v>
      </c>
      <c r="H67" s="39"/>
      <c r="I67" s="39">
        <f t="shared" si="1"/>
        <v>1</v>
      </c>
      <c r="J67" s="39" t="str">
        <f t="shared" si="2"/>
        <v/>
      </c>
      <c r="K67" s="39" t="str">
        <f t="array" ref="K67">IF(J67="","",IF(XLOOKUP(J67,Strike_Review_Queue!$I:$I,Strike_Review_Queue!$J:$J,"")="Approve","Approved",IF(XLOOKUP(J67,Strike_Review_Queue!$I:$I,Strike_Review_Queue!$J:$J,"")="Deny","Counts",H67)))</f>
        <v/>
      </c>
      <c r="L67" s="39" t="str">
        <f t="array" ref="L67">IF(J67="","",XLOOKUP(J67,Strike_Review_Queue!$I:$I,Strike_Review_Queue!$L:$L,""))</f>
        <v/>
      </c>
      <c r="M67" s="39" t="str">
        <f t="array" ref="M67">IF(J67="","",XLOOKUP(J67,Strike_Review_Queue!$I:$I,Strike_Review_Queue!$M:$M,""))</f>
        <v/>
      </c>
    </row>
    <row r="68" ht="15.75" customHeight="1">
      <c r="C68" s="39"/>
      <c r="D68" s="39" t="str">
        <f>IF(OR(B68="",A68=""),"",MAX(0,MIN(3,SUMIFS($C$2:$C$1000,$B$2:$B$1000,B68,$A$2:$A$1000,"&lt;="&amp;A68,$A$2:$A$1000,"&gt;="&amp;IF(Config!$B$1004="Y",A68-Config!$B$1005,DATE(1900,1,1)),$I$2:$I$1000,1)))))</f>
        <v>#ERROR!</v>
      </c>
      <c r="H68" s="39"/>
      <c r="I68" s="39">
        <f t="shared" si="1"/>
        <v>1</v>
      </c>
      <c r="J68" s="39" t="str">
        <f t="shared" si="2"/>
        <v/>
      </c>
      <c r="K68" s="39" t="str">
        <f t="array" ref="K68">IF(J68="","",IF(XLOOKUP(J68,Strike_Review_Queue!$I:$I,Strike_Review_Queue!$J:$J,"")="Approve","Approved",IF(XLOOKUP(J68,Strike_Review_Queue!$I:$I,Strike_Review_Queue!$J:$J,"")="Deny","Counts",H68)))</f>
        <v/>
      </c>
      <c r="L68" s="39" t="str">
        <f t="array" ref="L68">IF(J68="","",XLOOKUP(J68,Strike_Review_Queue!$I:$I,Strike_Review_Queue!$L:$L,""))</f>
        <v/>
      </c>
      <c r="M68" s="39" t="str">
        <f t="array" ref="M68">IF(J68="","",XLOOKUP(J68,Strike_Review_Queue!$I:$I,Strike_Review_Queue!$M:$M,""))</f>
        <v/>
      </c>
    </row>
    <row r="69" ht="15.75" customHeight="1">
      <c r="C69" s="39"/>
      <c r="D69" s="39" t="str">
        <f>IF(OR(B69="",A69=""),"",MAX(0,MIN(3,SUMIFS($C$2:$C$1000,$B$2:$B$1000,B69,$A$2:$A$1000,"&lt;="&amp;A69,$A$2:$A$1000,"&gt;="&amp;IF(Config!$B$1004="Y",A69-Config!$B$1005,DATE(1900,1,1)),$I$2:$I$1000,1)))))</f>
        <v>#ERROR!</v>
      </c>
      <c r="H69" s="39"/>
      <c r="I69" s="39">
        <f t="shared" si="1"/>
        <v>1</v>
      </c>
      <c r="J69" s="39" t="str">
        <f t="shared" si="2"/>
        <v/>
      </c>
      <c r="K69" s="39" t="str">
        <f t="array" ref="K69">IF(J69="","",IF(XLOOKUP(J69,Strike_Review_Queue!$I:$I,Strike_Review_Queue!$J:$J,"")="Approve","Approved",IF(XLOOKUP(J69,Strike_Review_Queue!$I:$I,Strike_Review_Queue!$J:$J,"")="Deny","Counts",H69)))</f>
        <v/>
      </c>
      <c r="L69" s="39" t="str">
        <f t="array" ref="L69">IF(J69="","",XLOOKUP(J69,Strike_Review_Queue!$I:$I,Strike_Review_Queue!$L:$L,""))</f>
        <v/>
      </c>
      <c r="M69" s="39" t="str">
        <f t="array" ref="M69">IF(J69="","",XLOOKUP(J69,Strike_Review_Queue!$I:$I,Strike_Review_Queue!$M:$M,""))</f>
        <v/>
      </c>
    </row>
    <row r="70" ht="15.75" customHeight="1">
      <c r="C70" s="39"/>
      <c r="D70" s="39" t="str">
        <f>IF(OR(B70="",A70=""),"",MAX(0,MIN(3,SUMIFS($C$2:$C$1000,$B$2:$B$1000,B70,$A$2:$A$1000,"&lt;="&amp;A70,$A$2:$A$1000,"&gt;="&amp;IF(Config!$B$1004="Y",A70-Config!$B$1005,DATE(1900,1,1)),$I$2:$I$1000,1)))))</f>
        <v>#ERROR!</v>
      </c>
      <c r="H70" s="39"/>
      <c r="I70" s="39">
        <f t="shared" si="1"/>
        <v>1</v>
      </c>
      <c r="J70" s="39" t="str">
        <f t="shared" si="2"/>
        <v/>
      </c>
      <c r="K70" s="39" t="str">
        <f t="array" ref="K70">IF(J70="","",IF(XLOOKUP(J70,Strike_Review_Queue!$I:$I,Strike_Review_Queue!$J:$J,"")="Approve","Approved",IF(XLOOKUP(J70,Strike_Review_Queue!$I:$I,Strike_Review_Queue!$J:$J,"")="Deny","Counts",H70)))</f>
        <v/>
      </c>
      <c r="L70" s="39" t="str">
        <f t="array" ref="L70">IF(J70="","",XLOOKUP(J70,Strike_Review_Queue!$I:$I,Strike_Review_Queue!$L:$L,""))</f>
        <v/>
      </c>
      <c r="M70" s="39" t="str">
        <f t="array" ref="M70">IF(J70="","",XLOOKUP(J70,Strike_Review_Queue!$I:$I,Strike_Review_Queue!$M:$M,""))</f>
        <v/>
      </c>
    </row>
    <row r="71" ht="15.75" customHeight="1">
      <c r="C71" s="39"/>
      <c r="D71" s="39" t="str">
        <f>IF(OR(B71="",A71=""),"",MAX(0,MIN(3,SUMIFS($C$2:$C$1000,$B$2:$B$1000,B71,$A$2:$A$1000,"&lt;="&amp;A71,$A$2:$A$1000,"&gt;="&amp;IF(Config!$B$1004="Y",A71-Config!$B$1005,DATE(1900,1,1)),$I$2:$I$1000,1)))))</f>
        <v>#ERROR!</v>
      </c>
      <c r="H71" s="39"/>
      <c r="I71" s="39">
        <f t="shared" si="1"/>
        <v>1</v>
      </c>
      <c r="J71" s="39" t="str">
        <f t="shared" si="2"/>
        <v/>
      </c>
      <c r="K71" s="39" t="str">
        <f t="array" ref="K71">IF(J71="","",IF(XLOOKUP(J71,Strike_Review_Queue!$I:$I,Strike_Review_Queue!$J:$J,"")="Approve","Approved",IF(XLOOKUP(J71,Strike_Review_Queue!$I:$I,Strike_Review_Queue!$J:$J,"")="Deny","Counts",H71)))</f>
        <v/>
      </c>
      <c r="L71" s="39" t="str">
        <f t="array" ref="L71">IF(J71="","",XLOOKUP(J71,Strike_Review_Queue!$I:$I,Strike_Review_Queue!$L:$L,""))</f>
        <v/>
      </c>
      <c r="M71" s="39" t="str">
        <f t="array" ref="M71">IF(J71="","",XLOOKUP(J71,Strike_Review_Queue!$I:$I,Strike_Review_Queue!$M:$M,""))</f>
        <v/>
      </c>
    </row>
    <row r="72" ht="15.75" customHeight="1">
      <c r="C72" s="39"/>
      <c r="D72" s="39" t="str">
        <f>IF(OR(B72="",A72=""),"",MAX(0,MIN(3,SUMIFS($C$2:$C$1000,$B$2:$B$1000,B72,$A$2:$A$1000,"&lt;="&amp;A72,$A$2:$A$1000,"&gt;="&amp;IF(Config!$B$1004="Y",A72-Config!$B$1005,DATE(1900,1,1)),$I$2:$I$1000,1)))))</f>
        <v>#ERROR!</v>
      </c>
      <c r="H72" s="39"/>
      <c r="I72" s="39">
        <f t="shared" si="1"/>
        <v>1</v>
      </c>
      <c r="J72" s="39" t="str">
        <f t="shared" si="2"/>
        <v/>
      </c>
      <c r="K72" s="39" t="str">
        <f t="array" ref="K72">IF(J72="","",IF(XLOOKUP(J72,Strike_Review_Queue!$I:$I,Strike_Review_Queue!$J:$J,"")="Approve","Approved",IF(XLOOKUP(J72,Strike_Review_Queue!$I:$I,Strike_Review_Queue!$J:$J,"")="Deny","Counts",H72)))</f>
        <v/>
      </c>
      <c r="L72" s="39" t="str">
        <f t="array" ref="L72">IF(J72="","",XLOOKUP(J72,Strike_Review_Queue!$I:$I,Strike_Review_Queue!$L:$L,""))</f>
        <v/>
      </c>
      <c r="M72" s="39" t="str">
        <f t="array" ref="M72">IF(J72="","",XLOOKUP(J72,Strike_Review_Queue!$I:$I,Strike_Review_Queue!$M:$M,""))</f>
        <v/>
      </c>
    </row>
    <row r="73" ht="15.75" customHeight="1">
      <c r="C73" s="39"/>
      <c r="D73" s="39" t="str">
        <f>IF(OR(B73="",A73=""),"",MAX(0,MIN(3,SUMIFS($C$2:$C$1000,$B$2:$B$1000,B73,$A$2:$A$1000,"&lt;="&amp;A73,$A$2:$A$1000,"&gt;="&amp;IF(Config!$B$1004="Y",A73-Config!$B$1005,DATE(1900,1,1)),$I$2:$I$1000,1)))))</f>
        <v>#ERROR!</v>
      </c>
      <c r="H73" s="39"/>
      <c r="I73" s="39">
        <f t="shared" si="1"/>
        <v>1</v>
      </c>
      <c r="J73" s="39" t="str">
        <f t="shared" si="2"/>
        <v/>
      </c>
      <c r="K73" s="39" t="str">
        <f t="array" ref="K73">IF(J73="","",IF(XLOOKUP(J73,Strike_Review_Queue!$I:$I,Strike_Review_Queue!$J:$J,"")="Approve","Approved",IF(XLOOKUP(J73,Strike_Review_Queue!$I:$I,Strike_Review_Queue!$J:$J,"")="Deny","Counts",H73)))</f>
        <v/>
      </c>
      <c r="L73" s="39" t="str">
        <f t="array" ref="L73">IF(J73="","",XLOOKUP(J73,Strike_Review_Queue!$I:$I,Strike_Review_Queue!$L:$L,""))</f>
        <v/>
      </c>
      <c r="M73" s="39" t="str">
        <f t="array" ref="M73">IF(J73="","",XLOOKUP(J73,Strike_Review_Queue!$I:$I,Strike_Review_Queue!$M:$M,""))</f>
        <v/>
      </c>
    </row>
    <row r="74" ht="15.75" customHeight="1">
      <c r="C74" s="39"/>
      <c r="D74" s="39" t="str">
        <f>IF(OR(B74="",A74=""),"",MAX(0,MIN(3,SUMIFS($C$2:$C$1000,$B$2:$B$1000,B74,$A$2:$A$1000,"&lt;="&amp;A74,$A$2:$A$1000,"&gt;="&amp;IF(Config!$B$1004="Y",A74-Config!$B$1005,DATE(1900,1,1)),$I$2:$I$1000,1)))))</f>
        <v>#ERROR!</v>
      </c>
      <c r="H74" s="39"/>
      <c r="I74" s="39">
        <f t="shared" si="1"/>
        <v>1</v>
      </c>
      <c r="J74" s="39" t="str">
        <f t="shared" si="2"/>
        <v/>
      </c>
      <c r="K74" s="39" t="str">
        <f t="array" ref="K74">IF(J74="","",IF(XLOOKUP(J74,Strike_Review_Queue!$I:$I,Strike_Review_Queue!$J:$J,"")="Approve","Approved",IF(XLOOKUP(J74,Strike_Review_Queue!$I:$I,Strike_Review_Queue!$J:$J,"")="Deny","Counts",H74)))</f>
        <v/>
      </c>
      <c r="L74" s="39" t="str">
        <f t="array" ref="L74">IF(J74="","",XLOOKUP(J74,Strike_Review_Queue!$I:$I,Strike_Review_Queue!$L:$L,""))</f>
        <v/>
      </c>
      <c r="M74" s="39" t="str">
        <f t="array" ref="M74">IF(J74="","",XLOOKUP(J74,Strike_Review_Queue!$I:$I,Strike_Review_Queue!$M:$M,""))</f>
        <v/>
      </c>
    </row>
    <row r="75" ht="15.75" customHeight="1">
      <c r="C75" s="39"/>
      <c r="D75" s="39" t="str">
        <f>IF(OR(B75="",A75=""),"",MAX(0,MIN(3,SUMIFS($C$2:$C$1000,$B$2:$B$1000,B75,$A$2:$A$1000,"&lt;="&amp;A75,$A$2:$A$1000,"&gt;="&amp;IF(Config!$B$1004="Y",A75-Config!$B$1005,DATE(1900,1,1)),$I$2:$I$1000,1)))))</f>
        <v>#ERROR!</v>
      </c>
      <c r="H75" s="39"/>
      <c r="I75" s="39">
        <f t="shared" si="1"/>
        <v>1</v>
      </c>
      <c r="J75" s="39" t="str">
        <f t="shared" si="2"/>
        <v/>
      </c>
      <c r="K75" s="39" t="str">
        <f t="array" ref="K75">IF(J75="","",IF(XLOOKUP(J75,Strike_Review_Queue!$I:$I,Strike_Review_Queue!$J:$J,"")="Approve","Approved",IF(XLOOKUP(J75,Strike_Review_Queue!$I:$I,Strike_Review_Queue!$J:$J,"")="Deny","Counts",H75)))</f>
        <v/>
      </c>
      <c r="L75" s="39" t="str">
        <f t="array" ref="L75">IF(J75="","",XLOOKUP(J75,Strike_Review_Queue!$I:$I,Strike_Review_Queue!$L:$L,""))</f>
        <v/>
      </c>
      <c r="M75" s="39" t="str">
        <f t="array" ref="M75">IF(J75="","",XLOOKUP(J75,Strike_Review_Queue!$I:$I,Strike_Review_Queue!$M:$M,""))</f>
        <v/>
      </c>
    </row>
    <row r="76" ht="15.75" customHeight="1">
      <c r="C76" s="39"/>
      <c r="D76" s="39" t="str">
        <f>IF(OR(B76="",A76=""),"",MAX(0,MIN(3,SUMIFS($C$2:$C$1000,$B$2:$B$1000,B76,$A$2:$A$1000,"&lt;="&amp;A76,$A$2:$A$1000,"&gt;="&amp;IF(Config!$B$1004="Y",A76-Config!$B$1005,DATE(1900,1,1)),$I$2:$I$1000,1)))))</f>
        <v>#ERROR!</v>
      </c>
      <c r="H76" s="39"/>
      <c r="I76" s="39">
        <f t="shared" si="1"/>
        <v>1</v>
      </c>
      <c r="J76" s="39" t="str">
        <f t="shared" si="2"/>
        <v/>
      </c>
      <c r="K76" s="39" t="str">
        <f t="array" ref="K76">IF(J76="","",IF(XLOOKUP(J76,Strike_Review_Queue!$I:$I,Strike_Review_Queue!$J:$J,"")="Approve","Approved",IF(XLOOKUP(J76,Strike_Review_Queue!$I:$I,Strike_Review_Queue!$J:$J,"")="Deny","Counts",H76)))</f>
        <v/>
      </c>
      <c r="L76" s="39" t="str">
        <f t="array" ref="L76">IF(J76="","",XLOOKUP(J76,Strike_Review_Queue!$I:$I,Strike_Review_Queue!$L:$L,""))</f>
        <v/>
      </c>
      <c r="M76" s="39" t="str">
        <f t="array" ref="M76">IF(J76="","",XLOOKUP(J76,Strike_Review_Queue!$I:$I,Strike_Review_Queue!$M:$M,""))</f>
        <v/>
      </c>
    </row>
    <row r="77" ht="15.75" customHeight="1">
      <c r="C77" s="39"/>
      <c r="D77" s="39" t="str">
        <f>IF(OR(B77="",A77=""),"",MAX(0,MIN(3,SUMIFS($C$2:$C$1000,$B$2:$B$1000,B77,$A$2:$A$1000,"&lt;="&amp;A77,$A$2:$A$1000,"&gt;="&amp;IF(Config!$B$1004="Y",A77-Config!$B$1005,DATE(1900,1,1)),$I$2:$I$1000,1)))))</f>
        <v>#ERROR!</v>
      </c>
      <c r="H77" s="39"/>
      <c r="I77" s="39">
        <f t="shared" si="1"/>
        <v>1</v>
      </c>
      <c r="J77" s="39" t="str">
        <f t="shared" si="2"/>
        <v/>
      </c>
      <c r="K77" s="39" t="str">
        <f t="array" ref="K77">IF(J77="","",IF(XLOOKUP(J77,Strike_Review_Queue!$I:$I,Strike_Review_Queue!$J:$J,"")="Approve","Approved",IF(XLOOKUP(J77,Strike_Review_Queue!$I:$I,Strike_Review_Queue!$J:$J,"")="Deny","Counts",H77)))</f>
        <v/>
      </c>
      <c r="L77" s="39" t="str">
        <f t="array" ref="L77">IF(J77="","",XLOOKUP(J77,Strike_Review_Queue!$I:$I,Strike_Review_Queue!$L:$L,""))</f>
        <v/>
      </c>
      <c r="M77" s="39" t="str">
        <f t="array" ref="M77">IF(J77="","",XLOOKUP(J77,Strike_Review_Queue!$I:$I,Strike_Review_Queue!$M:$M,""))</f>
        <v/>
      </c>
    </row>
    <row r="78" ht="15.75" customHeight="1">
      <c r="C78" s="39"/>
      <c r="D78" s="39" t="str">
        <f>IF(OR(B78="",A78=""),"",MAX(0,MIN(3,SUMIFS($C$2:$C$1000,$B$2:$B$1000,B78,$A$2:$A$1000,"&lt;="&amp;A78,$A$2:$A$1000,"&gt;="&amp;IF(Config!$B$1004="Y",A78-Config!$B$1005,DATE(1900,1,1)),$I$2:$I$1000,1)))))</f>
        <v>#ERROR!</v>
      </c>
      <c r="H78" s="39"/>
      <c r="I78" s="39">
        <f t="shared" si="1"/>
        <v>1</v>
      </c>
      <c r="J78" s="39" t="str">
        <f t="shared" si="2"/>
        <v/>
      </c>
      <c r="K78" s="39" t="str">
        <f t="array" ref="K78">IF(J78="","",IF(XLOOKUP(J78,Strike_Review_Queue!$I:$I,Strike_Review_Queue!$J:$J,"")="Approve","Approved",IF(XLOOKUP(J78,Strike_Review_Queue!$I:$I,Strike_Review_Queue!$J:$J,"")="Deny","Counts",H78)))</f>
        <v/>
      </c>
      <c r="L78" s="39" t="str">
        <f t="array" ref="L78">IF(J78="","",XLOOKUP(J78,Strike_Review_Queue!$I:$I,Strike_Review_Queue!$L:$L,""))</f>
        <v/>
      </c>
      <c r="M78" s="39" t="str">
        <f t="array" ref="M78">IF(J78="","",XLOOKUP(J78,Strike_Review_Queue!$I:$I,Strike_Review_Queue!$M:$M,""))</f>
        <v/>
      </c>
    </row>
    <row r="79" ht="15.75" customHeight="1">
      <c r="C79" s="39"/>
      <c r="D79" s="39" t="str">
        <f>IF(OR(B79="",A79=""),"",MAX(0,MIN(3,SUMIFS($C$2:$C$1000,$B$2:$B$1000,B79,$A$2:$A$1000,"&lt;="&amp;A79,$A$2:$A$1000,"&gt;="&amp;IF(Config!$B$1004="Y",A79-Config!$B$1005,DATE(1900,1,1)),$I$2:$I$1000,1)))))</f>
        <v>#ERROR!</v>
      </c>
      <c r="H79" s="39"/>
      <c r="I79" s="39">
        <f t="shared" si="1"/>
        <v>1</v>
      </c>
      <c r="J79" s="39" t="str">
        <f t="shared" si="2"/>
        <v/>
      </c>
      <c r="K79" s="39" t="str">
        <f t="array" ref="K79">IF(J79="","",IF(XLOOKUP(J79,Strike_Review_Queue!$I:$I,Strike_Review_Queue!$J:$J,"")="Approve","Approved",IF(XLOOKUP(J79,Strike_Review_Queue!$I:$I,Strike_Review_Queue!$J:$J,"")="Deny","Counts",H79)))</f>
        <v/>
      </c>
      <c r="L79" s="39" t="str">
        <f t="array" ref="L79">IF(J79="","",XLOOKUP(J79,Strike_Review_Queue!$I:$I,Strike_Review_Queue!$L:$L,""))</f>
        <v/>
      </c>
      <c r="M79" s="39" t="str">
        <f t="array" ref="M79">IF(J79="","",XLOOKUP(J79,Strike_Review_Queue!$I:$I,Strike_Review_Queue!$M:$M,""))</f>
        <v/>
      </c>
    </row>
    <row r="80" ht="15.75" customHeight="1">
      <c r="C80" s="39"/>
      <c r="D80" s="39" t="str">
        <f>IF(OR(B80="",A80=""),"",MAX(0,MIN(3,SUMIFS($C$2:$C$1000,$B$2:$B$1000,B80,$A$2:$A$1000,"&lt;="&amp;A80,$A$2:$A$1000,"&gt;="&amp;IF(Config!$B$1004="Y",A80-Config!$B$1005,DATE(1900,1,1)),$I$2:$I$1000,1)))))</f>
        <v>#ERROR!</v>
      </c>
      <c r="H80" s="39"/>
      <c r="I80" s="39">
        <f t="shared" si="1"/>
        <v>1</v>
      </c>
      <c r="J80" s="39" t="str">
        <f t="shared" si="2"/>
        <v/>
      </c>
      <c r="K80" s="39" t="str">
        <f t="array" ref="K80">IF(J80="","",IF(XLOOKUP(J80,Strike_Review_Queue!$I:$I,Strike_Review_Queue!$J:$J,"")="Approve","Approved",IF(XLOOKUP(J80,Strike_Review_Queue!$I:$I,Strike_Review_Queue!$J:$J,"")="Deny","Counts",H80)))</f>
        <v/>
      </c>
      <c r="L80" s="39" t="str">
        <f t="array" ref="L80">IF(J80="","",XLOOKUP(J80,Strike_Review_Queue!$I:$I,Strike_Review_Queue!$L:$L,""))</f>
        <v/>
      </c>
      <c r="M80" s="39" t="str">
        <f t="array" ref="M80">IF(J80="","",XLOOKUP(J80,Strike_Review_Queue!$I:$I,Strike_Review_Queue!$M:$M,""))</f>
        <v/>
      </c>
    </row>
    <row r="81" ht="15.75" customHeight="1">
      <c r="C81" s="39"/>
      <c r="D81" s="39" t="str">
        <f>IF(OR(B81="",A81=""),"",MAX(0,MIN(3,SUMIFS($C$2:$C$1000,$B$2:$B$1000,B81,$A$2:$A$1000,"&lt;="&amp;A81,$A$2:$A$1000,"&gt;="&amp;IF(Config!$B$1004="Y",A81-Config!$B$1005,DATE(1900,1,1)),$I$2:$I$1000,1)))))</f>
        <v>#ERROR!</v>
      </c>
      <c r="H81" s="39"/>
      <c r="I81" s="39">
        <f t="shared" si="1"/>
        <v>1</v>
      </c>
      <c r="J81" s="39" t="str">
        <f t="shared" si="2"/>
        <v/>
      </c>
      <c r="K81" s="39" t="str">
        <f t="array" ref="K81">IF(J81="","",IF(XLOOKUP(J81,Strike_Review_Queue!$I:$I,Strike_Review_Queue!$J:$J,"")="Approve","Approved",IF(XLOOKUP(J81,Strike_Review_Queue!$I:$I,Strike_Review_Queue!$J:$J,"")="Deny","Counts",H81)))</f>
        <v/>
      </c>
      <c r="L81" s="39" t="str">
        <f t="array" ref="L81">IF(J81="","",XLOOKUP(J81,Strike_Review_Queue!$I:$I,Strike_Review_Queue!$L:$L,""))</f>
        <v/>
      </c>
      <c r="M81" s="39" t="str">
        <f t="array" ref="M81">IF(J81="","",XLOOKUP(J81,Strike_Review_Queue!$I:$I,Strike_Review_Queue!$M:$M,""))</f>
        <v/>
      </c>
    </row>
    <row r="82" ht="15.75" customHeight="1">
      <c r="C82" s="39"/>
      <c r="D82" s="39" t="str">
        <f>IF(OR(B82="",A82=""),"",MAX(0,MIN(3,SUMIFS($C$2:$C$1000,$B$2:$B$1000,B82,$A$2:$A$1000,"&lt;="&amp;A82,$A$2:$A$1000,"&gt;="&amp;IF(Config!$B$1004="Y",A82-Config!$B$1005,DATE(1900,1,1)),$I$2:$I$1000,1)))))</f>
        <v>#ERROR!</v>
      </c>
      <c r="H82" s="39"/>
      <c r="I82" s="39">
        <f t="shared" si="1"/>
        <v>1</v>
      </c>
      <c r="J82" s="39" t="str">
        <f t="shared" si="2"/>
        <v/>
      </c>
      <c r="K82" s="39" t="str">
        <f t="array" ref="K82">IF(J82="","",IF(XLOOKUP(J82,Strike_Review_Queue!$I:$I,Strike_Review_Queue!$J:$J,"")="Approve","Approved",IF(XLOOKUP(J82,Strike_Review_Queue!$I:$I,Strike_Review_Queue!$J:$J,"")="Deny","Counts",H82)))</f>
        <v/>
      </c>
      <c r="L82" s="39" t="str">
        <f t="array" ref="L82">IF(J82="","",XLOOKUP(J82,Strike_Review_Queue!$I:$I,Strike_Review_Queue!$L:$L,""))</f>
        <v/>
      </c>
      <c r="M82" s="39" t="str">
        <f t="array" ref="M82">IF(J82="","",XLOOKUP(J82,Strike_Review_Queue!$I:$I,Strike_Review_Queue!$M:$M,""))</f>
        <v/>
      </c>
    </row>
    <row r="83" ht="15.75" customHeight="1">
      <c r="C83" s="39"/>
      <c r="D83" s="39" t="str">
        <f>IF(OR(B83="",A83=""),"",MAX(0,MIN(3,SUMIFS($C$2:$C$1000,$B$2:$B$1000,B83,$A$2:$A$1000,"&lt;="&amp;A83,$A$2:$A$1000,"&gt;="&amp;IF(Config!$B$1004="Y",A83-Config!$B$1005,DATE(1900,1,1)),$I$2:$I$1000,1)))))</f>
        <v>#ERROR!</v>
      </c>
      <c r="H83" s="39"/>
      <c r="I83" s="39">
        <f t="shared" si="1"/>
        <v>1</v>
      </c>
      <c r="J83" s="39" t="str">
        <f t="shared" si="2"/>
        <v/>
      </c>
      <c r="K83" s="39" t="str">
        <f t="array" ref="K83">IF(J83="","",IF(XLOOKUP(J83,Strike_Review_Queue!$I:$I,Strike_Review_Queue!$J:$J,"")="Approve","Approved",IF(XLOOKUP(J83,Strike_Review_Queue!$I:$I,Strike_Review_Queue!$J:$J,"")="Deny","Counts",H83)))</f>
        <v/>
      </c>
      <c r="L83" s="39" t="str">
        <f t="array" ref="L83">IF(J83="","",XLOOKUP(J83,Strike_Review_Queue!$I:$I,Strike_Review_Queue!$L:$L,""))</f>
        <v/>
      </c>
      <c r="M83" s="39" t="str">
        <f t="array" ref="M83">IF(J83="","",XLOOKUP(J83,Strike_Review_Queue!$I:$I,Strike_Review_Queue!$M:$M,""))</f>
        <v/>
      </c>
    </row>
    <row r="84" ht="15.75" customHeight="1">
      <c r="C84" s="39"/>
      <c r="D84" s="39" t="str">
        <f>IF(OR(B84="",A84=""),"",MAX(0,MIN(3,SUMIFS($C$2:$C$1000,$B$2:$B$1000,B84,$A$2:$A$1000,"&lt;="&amp;A84,$A$2:$A$1000,"&gt;="&amp;IF(Config!$B$1004="Y",A84-Config!$B$1005,DATE(1900,1,1)),$I$2:$I$1000,1)))))</f>
        <v>#ERROR!</v>
      </c>
      <c r="H84" s="39"/>
      <c r="I84" s="39">
        <f t="shared" si="1"/>
        <v>1</v>
      </c>
      <c r="J84" s="39" t="str">
        <f t="shared" si="2"/>
        <v/>
      </c>
      <c r="K84" s="39" t="str">
        <f t="array" ref="K84">IF(J84="","",IF(XLOOKUP(J84,Strike_Review_Queue!$I:$I,Strike_Review_Queue!$J:$J,"")="Approve","Approved",IF(XLOOKUP(J84,Strike_Review_Queue!$I:$I,Strike_Review_Queue!$J:$J,"")="Deny","Counts",H84)))</f>
        <v/>
      </c>
      <c r="L84" s="39" t="str">
        <f t="array" ref="L84">IF(J84="","",XLOOKUP(J84,Strike_Review_Queue!$I:$I,Strike_Review_Queue!$L:$L,""))</f>
        <v/>
      </c>
      <c r="M84" s="39" t="str">
        <f t="array" ref="M84">IF(J84="","",XLOOKUP(J84,Strike_Review_Queue!$I:$I,Strike_Review_Queue!$M:$M,""))</f>
        <v/>
      </c>
    </row>
    <row r="85" ht="15.75" customHeight="1">
      <c r="C85" s="39"/>
      <c r="D85" s="39" t="str">
        <f>IF(OR(B85="",A85=""),"",MAX(0,MIN(3,SUMIFS($C$2:$C$1000,$B$2:$B$1000,B85,$A$2:$A$1000,"&lt;="&amp;A85,$A$2:$A$1000,"&gt;="&amp;IF(Config!$B$1004="Y",A85-Config!$B$1005,DATE(1900,1,1)),$I$2:$I$1000,1)))))</f>
        <v>#ERROR!</v>
      </c>
      <c r="H85" s="39"/>
      <c r="I85" s="39">
        <f t="shared" si="1"/>
        <v>1</v>
      </c>
      <c r="J85" s="39" t="str">
        <f t="shared" si="2"/>
        <v/>
      </c>
      <c r="K85" s="39" t="str">
        <f t="array" ref="K85">IF(J85="","",IF(XLOOKUP(J85,Strike_Review_Queue!$I:$I,Strike_Review_Queue!$J:$J,"")="Approve","Approved",IF(XLOOKUP(J85,Strike_Review_Queue!$I:$I,Strike_Review_Queue!$J:$J,"")="Deny","Counts",H85)))</f>
        <v/>
      </c>
      <c r="L85" s="39" t="str">
        <f t="array" ref="L85">IF(J85="","",XLOOKUP(J85,Strike_Review_Queue!$I:$I,Strike_Review_Queue!$L:$L,""))</f>
        <v/>
      </c>
      <c r="M85" s="39" t="str">
        <f t="array" ref="M85">IF(J85="","",XLOOKUP(J85,Strike_Review_Queue!$I:$I,Strike_Review_Queue!$M:$M,""))</f>
        <v/>
      </c>
    </row>
    <row r="86" ht="15.75" customHeight="1">
      <c r="C86" s="39"/>
      <c r="D86" s="39" t="str">
        <f>IF(OR(B86="",A86=""),"",MAX(0,MIN(3,SUMIFS($C$2:$C$1000,$B$2:$B$1000,B86,$A$2:$A$1000,"&lt;="&amp;A86,$A$2:$A$1000,"&gt;="&amp;IF(Config!$B$1004="Y",A86-Config!$B$1005,DATE(1900,1,1)),$I$2:$I$1000,1)))))</f>
        <v>#ERROR!</v>
      </c>
      <c r="H86" s="39"/>
      <c r="I86" s="39">
        <f t="shared" si="1"/>
        <v>1</v>
      </c>
      <c r="J86" s="39" t="str">
        <f t="shared" si="2"/>
        <v/>
      </c>
      <c r="K86" s="39" t="str">
        <f t="array" ref="K86">IF(J86="","",IF(XLOOKUP(J86,Strike_Review_Queue!$I:$I,Strike_Review_Queue!$J:$J,"")="Approve","Approved",IF(XLOOKUP(J86,Strike_Review_Queue!$I:$I,Strike_Review_Queue!$J:$J,"")="Deny","Counts",H86)))</f>
        <v/>
      </c>
      <c r="L86" s="39" t="str">
        <f t="array" ref="L86">IF(J86="","",XLOOKUP(J86,Strike_Review_Queue!$I:$I,Strike_Review_Queue!$L:$L,""))</f>
        <v/>
      </c>
      <c r="M86" s="39" t="str">
        <f t="array" ref="M86">IF(J86="","",XLOOKUP(J86,Strike_Review_Queue!$I:$I,Strike_Review_Queue!$M:$M,""))</f>
        <v/>
      </c>
    </row>
    <row r="87" ht="15.75" customHeight="1">
      <c r="C87" s="39"/>
      <c r="D87" s="39" t="str">
        <f>IF(OR(B87="",A87=""),"",MAX(0,MIN(3,SUMIFS($C$2:$C$1000,$B$2:$B$1000,B87,$A$2:$A$1000,"&lt;="&amp;A87,$A$2:$A$1000,"&gt;="&amp;IF(Config!$B$1004="Y",A87-Config!$B$1005,DATE(1900,1,1)),$I$2:$I$1000,1)))))</f>
        <v>#ERROR!</v>
      </c>
      <c r="H87" s="39"/>
      <c r="I87" s="39">
        <f t="shared" si="1"/>
        <v>1</v>
      </c>
      <c r="J87" s="39" t="str">
        <f t="shared" si="2"/>
        <v/>
      </c>
      <c r="K87" s="39" t="str">
        <f t="array" ref="K87">IF(J87="","",IF(XLOOKUP(J87,Strike_Review_Queue!$I:$I,Strike_Review_Queue!$J:$J,"")="Approve","Approved",IF(XLOOKUP(J87,Strike_Review_Queue!$I:$I,Strike_Review_Queue!$J:$J,"")="Deny","Counts",H87)))</f>
        <v/>
      </c>
      <c r="L87" s="39" t="str">
        <f t="array" ref="L87">IF(J87="","",XLOOKUP(J87,Strike_Review_Queue!$I:$I,Strike_Review_Queue!$L:$L,""))</f>
        <v/>
      </c>
      <c r="M87" s="39" t="str">
        <f t="array" ref="M87">IF(J87="","",XLOOKUP(J87,Strike_Review_Queue!$I:$I,Strike_Review_Queue!$M:$M,""))</f>
        <v/>
      </c>
    </row>
    <row r="88" ht="15.75" customHeight="1">
      <c r="C88" s="39"/>
      <c r="D88" s="39" t="str">
        <f>IF(OR(B88="",A88=""),"",MAX(0,MIN(3,SUMIFS($C$2:$C$1000,$B$2:$B$1000,B88,$A$2:$A$1000,"&lt;="&amp;A88,$A$2:$A$1000,"&gt;="&amp;IF(Config!$B$1004="Y",A88-Config!$B$1005,DATE(1900,1,1)),$I$2:$I$1000,1)))))</f>
        <v>#ERROR!</v>
      </c>
      <c r="H88" s="39"/>
      <c r="I88" s="39">
        <f t="shared" si="1"/>
        <v>1</v>
      </c>
      <c r="J88" s="39" t="str">
        <f t="shared" si="2"/>
        <v/>
      </c>
      <c r="K88" s="39" t="str">
        <f t="array" ref="K88">IF(J88="","",IF(XLOOKUP(J88,Strike_Review_Queue!$I:$I,Strike_Review_Queue!$J:$J,"")="Approve","Approved",IF(XLOOKUP(J88,Strike_Review_Queue!$I:$I,Strike_Review_Queue!$J:$J,"")="Deny","Counts",H88)))</f>
        <v/>
      </c>
      <c r="L88" s="39" t="str">
        <f t="array" ref="L88">IF(J88="","",XLOOKUP(J88,Strike_Review_Queue!$I:$I,Strike_Review_Queue!$L:$L,""))</f>
        <v/>
      </c>
      <c r="M88" s="39" t="str">
        <f t="array" ref="M88">IF(J88="","",XLOOKUP(J88,Strike_Review_Queue!$I:$I,Strike_Review_Queue!$M:$M,""))</f>
        <v/>
      </c>
    </row>
    <row r="89" ht="15.75" customHeight="1">
      <c r="C89" s="39"/>
      <c r="D89" s="39" t="str">
        <f>IF(OR(B89="",A89=""),"",MAX(0,MIN(3,SUMIFS($C$2:$C$1000,$B$2:$B$1000,B89,$A$2:$A$1000,"&lt;="&amp;A89,$A$2:$A$1000,"&gt;="&amp;IF(Config!$B$1004="Y",A89-Config!$B$1005,DATE(1900,1,1)),$I$2:$I$1000,1)))))</f>
        <v>#ERROR!</v>
      </c>
      <c r="H89" s="39"/>
      <c r="I89" s="39">
        <f t="shared" si="1"/>
        <v>1</v>
      </c>
      <c r="J89" s="39" t="str">
        <f t="shared" si="2"/>
        <v/>
      </c>
      <c r="K89" s="39" t="str">
        <f t="array" ref="K89">IF(J89="","",IF(XLOOKUP(J89,Strike_Review_Queue!$I:$I,Strike_Review_Queue!$J:$J,"")="Approve","Approved",IF(XLOOKUP(J89,Strike_Review_Queue!$I:$I,Strike_Review_Queue!$J:$J,"")="Deny","Counts",H89)))</f>
        <v/>
      </c>
      <c r="L89" s="39" t="str">
        <f t="array" ref="L89">IF(J89="","",XLOOKUP(J89,Strike_Review_Queue!$I:$I,Strike_Review_Queue!$L:$L,""))</f>
        <v/>
      </c>
      <c r="M89" s="39" t="str">
        <f t="array" ref="M89">IF(J89="","",XLOOKUP(J89,Strike_Review_Queue!$I:$I,Strike_Review_Queue!$M:$M,""))</f>
        <v/>
      </c>
    </row>
    <row r="90" ht="15.75" customHeight="1">
      <c r="C90" s="39"/>
      <c r="D90" s="39" t="str">
        <f>IF(OR(B90="",A90=""),"",MAX(0,MIN(3,SUMIFS($C$2:$C$1000,$B$2:$B$1000,B90,$A$2:$A$1000,"&lt;="&amp;A90,$A$2:$A$1000,"&gt;="&amp;IF(Config!$B$1004="Y",A90-Config!$B$1005,DATE(1900,1,1)),$I$2:$I$1000,1)))))</f>
        <v>#ERROR!</v>
      </c>
      <c r="H90" s="39"/>
      <c r="I90" s="39">
        <f t="shared" si="1"/>
        <v>1</v>
      </c>
      <c r="J90" s="39" t="str">
        <f t="shared" si="2"/>
        <v/>
      </c>
      <c r="K90" s="39" t="str">
        <f t="array" ref="K90">IF(J90="","",IF(XLOOKUP(J90,Strike_Review_Queue!$I:$I,Strike_Review_Queue!$J:$J,"")="Approve","Approved",IF(XLOOKUP(J90,Strike_Review_Queue!$I:$I,Strike_Review_Queue!$J:$J,"")="Deny","Counts",H90)))</f>
        <v/>
      </c>
      <c r="L90" s="39" t="str">
        <f t="array" ref="L90">IF(J90="","",XLOOKUP(J90,Strike_Review_Queue!$I:$I,Strike_Review_Queue!$L:$L,""))</f>
        <v/>
      </c>
      <c r="M90" s="39" t="str">
        <f t="array" ref="M90">IF(J90="","",XLOOKUP(J90,Strike_Review_Queue!$I:$I,Strike_Review_Queue!$M:$M,""))</f>
        <v/>
      </c>
    </row>
    <row r="91" ht="15.75" customHeight="1">
      <c r="C91" s="39"/>
      <c r="D91" s="39" t="str">
        <f>IF(OR(B91="",A91=""),"",MAX(0,MIN(3,SUMIFS($C$2:$C$1000,$B$2:$B$1000,B91,$A$2:$A$1000,"&lt;="&amp;A91,$A$2:$A$1000,"&gt;="&amp;IF(Config!$B$1004="Y",A91-Config!$B$1005,DATE(1900,1,1)),$I$2:$I$1000,1)))))</f>
        <v>#ERROR!</v>
      </c>
      <c r="H91" s="39"/>
      <c r="I91" s="39">
        <f t="shared" si="1"/>
        <v>1</v>
      </c>
      <c r="J91" s="39" t="str">
        <f t="shared" si="2"/>
        <v/>
      </c>
      <c r="K91" s="39" t="str">
        <f t="array" ref="K91">IF(J91="","",IF(XLOOKUP(J91,Strike_Review_Queue!$I:$I,Strike_Review_Queue!$J:$J,"")="Approve","Approved",IF(XLOOKUP(J91,Strike_Review_Queue!$I:$I,Strike_Review_Queue!$J:$J,"")="Deny","Counts",H91)))</f>
        <v/>
      </c>
      <c r="L91" s="39" t="str">
        <f t="array" ref="L91">IF(J91="","",XLOOKUP(J91,Strike_Review_Queue!$I:$I,Strike_Review_Queue!$L:$L,""))</f>
        <v/>
      </c>
      <c r="M91" s="39" t="str">
        <f t="array" ref="M91">IF(J91="","",XLOOKUP(J91,Strike_Review_Queue!$I:$I,Strike_Review_Queue!$M:$M,""))</f>
        <v/>
      </c>
    </row>
    <row r="92" ht="15.75" customHeight="1">
      <c r="C92" s="39"/>
      <c r="D92" s="39" t="str">
        <f>IF(OR(B92="",A92=""),"",MAX(0,MIN(3,SUMIFS($C$2:$C$1000,$B$2:$B$1000,B92,$A$2:$A$1000,"&lt;="&amp;A92,$A$2:$A$1000,"&gt;="&amp;IF(Config!$B$1004="Y",A92-Config!$B$1005,DATE(1900,1,1)),$I$2:$I$1000,1)))))</f>
        <v>#ERROR!</v>
      </c>
      <c r="H92" s="39"/>
      <c r="I92" s="39">
        <f t="shared" si="1"/>
        <v>1</v>
      </c>
      <c r="J92" s="39" t="str">
        <f t="shared" si="2"/>
        <v/>
      </c>
      <c r="K92" s="39" t="str">
        <f t="array" ref="K92">IF(J92="","",IF(XLOOKUP(J92,Strike_Review_Queue!$I:$I,Strike_Review_Queue!$J:$J,"")="Approve","Approved",IF(XLOOKUP(J92,Strike_Review_Queue!$I:$I,Strike_Review_Queue!$J:$J,"")="Deny","Counts",H92)))</f>
        <v/>
      </c>
      <c r="L92" s="39" t="str">
        <f t="array" ref="L92">IF(J92="","",XLOOKUP(J92,Strike_Review_Queue!$I:$I,Strike_Review_Queue!$L:$L,""))</f>
        <v/>
      </c>
      <c r="M92" s="39" t="str">
        <f t="array" ref="M92">IF(J92="","",XLOOKUP(J92,Strike_Review_Queue!$I:$I,Strike_Review_Queue!$M:$M,""))</f>
        <v/>
      </c>
    </row>
    <row r="93" ht="15.75" customHeight="1">
      <c r="C93" s="39"/>
      <c r="D93" s="39" t="str">
        <f>IF(OR(B93="",A93=""),"",MAX(0,MIN(3,SUMIFS($C$2:$C$1000,$B$2:$B$1000,B93,$A$2:$A$1000,"&lt;="&amp;A93,$A$2:$A$1000,"&gt;="&amp;IF(Config!$B$1004="Y",A93-Config!$B$1005,DATE(1900,1,1)),$I$2:$I$1000,1)))))</f>
        <v>#ERROR!</v>
      </c>
      <c r="H93" s="39"/>
      <c r="I93" s="39">
        <f t="shared" si="1"/>
        <v>1</v>
      </c>
      <c r="J93" s="39" t="str">
        <f t="shared" si="2"/>
        <v/>
      </c>
      <c r="K93" s="39" t="str">
        <f t="array" ref="K93">IF(J93="","",IF(XLOOKUP(J93,Strike_Review_Queue!$I:$I,Strike_Review_Queue!$J:$J,"")="Approve","Approved",IF(XLOOKUP(J93,Strike_Review_Queue!$I:$I,Strike_Review_Queue!$J:$J,"")="Deny","Counts",H93)))</f>
        <v/>
      </c>
      <c r="L93" s="39" t="str">
        <f t="array" ref="L93">IF(J93="","",XLOOKUP(J93,Strike_Review_Queue!$I:$I,Strike_Review_Queue!$L:$L,""))</f>
        <v/>
      </c>
      <c r="M93" s="39" t="str">
        <f t="array" ref="M93">IF(J93="","",XLOOKUP(J93,Strike_Review_Queue!$I:$I,Strike_Review_Queue!$M:$M,""))</f>
        <v/>
      </c>
    </row>
    <row r="94" ht="15.75" customHeight="1">
      <c r="C94" s="39"/>
      <c r="D94" s="39" t="str">
        <f>IF(OR(B94="",A94=""),"",MAX(0,MIN(3,SUMIFS($C$2:$C$1000,$B$2:$B$1000,B94,$A$2:$A$1000,"&lt;="&amp;A94,$A$2:$A$1000,"&gt;="&amp;IF(Config!$B$1004="Y",A94-Config!$B$1005,DATE(1900,1,1)),$I$2:$I$1000,1)))))</f>
        <v>#ERROR!</v>
      </c>
      <c r="H94" s="39"/>
      <c r="I94" s="39">
        <f t="shared" si="1"/>
        <v>1</v>
      </c>
      <c r="J94" s="39" t="str">
        <f t="shared" si="2"/>
        <v/>
      </c>
      <c r="K94" s="39" t="str">
        <f t="array" ref="K94">IF(J94="","",IF(XLOOKUP(J94,Strike_Review_Queue!$I:$I,Strike_Review_Queue!$J:$J,"")="Approve","Approved",IF(XLOOKUP(J94,Strike_Review_Queue!$I:$I,Strike_Review_Queue!$J:$J,"")="Deny","Counts",H94)))</f>
        <v/>
      </c>
      <c r="L94" s="39" t="str">
        <f t="array" ref="L94">IF(J94="","",XLOOKUP(J94,Strike_Review_Queue!$I:$I,Strike_Review_Queue!$L:$L,""))</f>
        <v/>
      </c>
      <c r="M94" s="39" t="str">
        <f t="array" ref="M94">IF(J94="","",XLOOKUP(J94,Strike_Review_Queue!$I:$I,Strike_Review_Queue!$M:$M,""))</f>
        <v/>
      </c>
    </row>
    <row r="95" ht="15.75" customHeight="1">
      <c r="C95" s="39"/>
      <c r="D95" s="39" t="str">
        <f>IF(OR(B95="",A95=""),"",MAX(0,MIN(3,SUMIFS($C$2:$C$1000,$B$2:$B$1000,B95,$A$2:$A$1000,"&lt;="&amp;A95,$A$2:$A$1000,"&gt;="&amp;IF(Config!$B$1004="Y",A95-Config!$B$1005,DATE(1900,1,1)),$I$2:$I$1000,1)))))</f>
        <v>#ERROR!</v>
      </c>
      <c r="H95" s="39"/>
      <c r="I95" s="39">
        <f t="shared" si="1"/>
        <v>1</v>
      </c>
      <c r="J95" s="39" t="str">
        <f t="shared" si="2"/>
        <v/>
      </c>
      <c r="K95" s="39" t="str">
        <f t="array" ref="K95">IF(J95="","",IF(XLOOKUP(J95,Strike_Review_Queue!$I:$I,Strike_Review_Queue!$J:$J,"")="Approve","Approved",IF(XLOOKUP(J95,Strike_Review_Queue!$I:$I,Strike_Review_Queue!$J:$J,"")="Deny","Counts",H95)))</f>
        <v/>
      </c>
      <c r="L95" s="39" t="str">
        <f t="array" ref="L95">IF(J95="","",XLOOKUP(J95,Strike_Review_Queue!$I:$I,Strike_Review_Queue!$L:$L,""))</f>
        <v/>
      </c>
      <c r="M95" s="39" t="str">
        <f t="array" ref="M95">IF(J95="","",XLOOKUP(J95,Strike_Review_Queue!$I:$I,Strike_Review_Queue!$M:$M,""))</f>
        <v/>
      </c>
    </row>
    <row r="96" ht="15.75" customHeight="1">
      <c r="C96" s="39"/>
      <c r="D96" s="39" t="str">
        <f>IF(OR(B96="",A96=""),"",MAX(0,MIN(3,SUMIFS($C$2:$C$1000,$B$2:$B$1000,B96,$A$2:$A$1000,"&lt;="&amp;A96,$A$2:$A$1000,"&gt;="&amp;IF(Config!$B$1004="Y",A96-Config!$B$1005,DATE(1900,1,1)),$I$2:$I$1000,1)))))</f>
        <v>#ERROR!</v>
      </c>
      <c r="H96" s="39"/>
      <c r="I96" s="39">
        <f t="shared" si="1"/>
        <v>1</v>
      </c>
      <c r="J96" s="39" t="str">
        <f t="shared" si="2"/>
        <v/>
      </c>
      <c r="K96" s="39" t="str">
        <f t="array" ref="K96">IF(J96="","",IF(XLOOKUP(J96,Strike_Review_Queue!$I:$I,Strike_Review_Queue!$J:$J,"")="Approve","Approved",IF(XLOOKUP(J96,Strike_Review_Queue!$I:$I,Strike_Review_Queue!$J:$J,"")="Deny","Counts",H96)))</f>
        <v/>
      </c>
      <c r="L96" s="39" t="str">
        <f t="array" ref="L96">IF(J96="","",XLOOKUP(J96,Strike_Review_Queue!$I:$I,Strike_Review_Queue!$L:$L,""))</f>
        <v/>
      </c>
      <c r="M96" s="39" t="str">
        <f t="array" ref="M96">IF(J96="","",XLOOKUP(J96,Strike_Review_Queue!$I:$I,Strike_Review_Queue!$M:$M,""))</f>
        <v/>
      </c>
    </row>
    <row r="97" ht="15.75" customHeight="1">
      <c r="C97" s="39"/>
      <c r="D97" s="39" t="str">
        <f>IF(OR(B97="",A97=""),"",MAX(0,MIN(3,SUMIFS($C$2:$C$1000,$B$2:$B$1000,B97,$A$2:$A$1000,"&lt;="&amp;A97,$A$2:$A$1000,"&gt;="&amp;IF(Config!$B$1004="Y",A97-Config!$B$1005,DATE(1900,1,1)),$I$2:$I$1000,1)))))</f>
        <v>#ERROR!</v>
      </c>
      <c r="H97" s="39"/>
      <c r="I97" s="39">
        <f t="shared" si="1"/>
        <v>1</v>
      </c>
      <c r="J97" s="39" t="str">
        <f t="shared" si="2"/>
        <v/>
      </c>
      <c r="K97" s="39" t="str">
        <f t="array" ref="K97">IF(J97="","",IF(XLOOKUP(J97,Strike_Review_Queue!$I:$I,Strike_Review_Queue!$J:$J,"")="Approve","Approved",IF(XLOOKUP(J97,Strike_Review_Queue!$I:$I,Strike_Review_Queue!$J:$J,"")="Deny","Counts",H97)))</f>
        <v/>
      </c>
      <c r="L97" s="39" t="str">
        <f t="array" ref="L97">IF(J97="","",XLOOKUP(J97,Strike_Review_Queue!$I:$I,Strike_Review_Queue!$L:$L,""))</f>
        <v/>
      </c>
      <c r="M97" s="39" t="str">
        <f t="array" ref="M97">IF(J97="","",XLOOKUP(J97,Strike_Review_Queue!$I:$I,Strike_Review_Queue!$M:$M,""))</f>
        <v/>
      </c>
    </row>
    <row r="98" ht="15.75" customHeight="1">
      <c r="C98" s="39"/>
      <c r="D98" s="39" t="str">
        <f>IF(OR(B98="",A98=""),"",MAX(0,MIN(3,SUMIFS($C$2:$C$1000,$B$2:$B$1000,B98,$A$2:$A$1000,"&lt;="&amp;A98,$A$2:$A$1000,"&gt;="&amp;IF(Config!$B$1004="Y",A98-Config!$B$1005,DATE(1900,1,1)),$I$2:$I$1000,1)))))</f>
        <v>#ERROR!</v>
      </c>
      <c r="H98" s="39"/>
      <c r="I98" s="39">
        <f t="shared" si="1"/>
        <v>1</v>
      </c>
      <c r="J98" s="39" t="str">
        <f t="shared" si="2"/>
        <v/>
      </c>
      <c r="K98" s="39" t="str">
        <f t="array" ref="K98">IF(J98="","",IF(XLOOKUP(J98,Strike_Review_Queue!$I:$I,Strike_Review_Queue!$J:$J,"")="Approve","Approved",IF(XLOOKUP(J98,Strike_Review_Queue!$I:$I,Strike_Review_Queue!$J:$J,"")="Deny","Counts",H98)))</f>
        <v/>
      </c>
      <c r="L98" s="39" t="str">
        <f t="array" ref="L98">IF(J98="","",XLOOKUP(J98,Strike_Review_Queue!$I:$I,Strike_Review_Queue!$L:$L,""))</f>
        <v/>
      </c>
      <c r="M98" s="39" t="str">
        <f t="array" ref="M98">IF(J98="","",XLOOKUP(J98,Strike_Review_Queue!$I:$I,Strike_Review_Queue!$M:$M,""))</f>
        <v/>
      </c>
    </row>
    <row r="99" ht="15.75" customHeight="1">
      <c r="C99" s="39"/>
      <c r="D99" s="39" t="str">
        <f>IF(OR(B99="",A99=""),"",MAX(0,MIN(3,SUMIFS($C$2:$C$1000,$B$2:$B$1000,B99,$A$2:$A$1000,"&lt;="&amp;A99,$A$2:$A$1000,"&gt;="&amp;IF(Config!$B$1004="Y",A99-Config!$B$1005,DATE(1900,1,1)),$I$2:$I$1000,1)))))</f>
        <v>#ERROR!</v>
      </c>
      <c r="H99" s="39"/>
      <c r="I99" s="39">
        <f t="shared" si="1"/>
        <v>1</v>
      </c>
      <c r="J99" s="39" t="str">
        <f t="shared" si="2"/>
        <v/>
      </c>
      <c r="K99" s="39" t="str">
        <f t="array" ref="K99">IF(J99="","",IF(XLOOKUP(J99,Strike_Review_Queue!$I:$I,Strike_Review_Queue!$J:$J,"")="Approve","Approved",IF(XLOOKUP(J99,Strike_Review_Queue!$I:$I,Strike_Review_Queue!$J:$J,"")="Deny","Counts",H99)))</f>
        <v/>
      </c>
      <c r="L99" s="39" t="str">
        <f t="array" ref="L99">IF(J99="","",XLOOKUP(J99,Strike_Review_Queue!$I:$I,Strike_Review_Queue!$L:$L,""))</f>
        <v/>
      </c>
      <c r="M99" s="39" t="str">
        <f t="array" ref="M99">IF(J99="","",XLOOKUP(J99,Strike_Review_Queue!$I:$I,Strike_Review_Queue!$M:$M,""))</f>
        <v/>
      </c>
    </row>
    <row r="100" ht="15.75" customHeight="1">
      <c r="C100" s="39"/>
      <c r="D100" s="39" t="str">
        <f>IF(OR(B100="",A100=""),"",MAX(0,MIN(3,SUMIFS($C$2:$C$1000,$B$2:$B$1000,B100,$A$2:$A$1000,"&lt;="&amp;A100,$A$2:$A$1000,"&gt;="&amp;IF(Config!$B$1004="Y",A100-Config!$B$1005,DATE(1900,1,1)),$I$2:$I$1000,1)))))</f>
        <v>#ERROR!</v>
      </c>
      <c r="H100" s="39"/>
      <c r="I100" s="39">
        <f t="shared" si="1"/>
        <v>1</v>
      </c>
      <c r="J100" s="39" t="str">
        <f t="shared" si="2"/>
        <v/>
      </c>
      <c r="K100" s="39" t="str">
        <f t="array" ref="K100">IF(J100="","",IF(XLOOKUP(J100,Strike_Review_Queue!$I:$I,Strike_Review_Queue!$J:$J,"")="Approve","Approved",IF(XLOOKUP(J100,Strike_Review_Queue!$I:$I,Strike_Review_Queue!$J:$J,"")="Deny","Counts",H100)))</f>
        <v/>
      </c>
      <c r="L100" s="39" t="str">
        <f t="array" ref="L100">IF(J100="","",XLOOKUP(J100,Strike_Review_Queue!$I:$I,Strike_Review_Queue!$L:$L,""))</f>
        <v/>
      </c>
      <c r="M100" s="39" t="str">
        <f t="array" ref="M100">IF(J100="","",XLOOKUP(J100,Strike_Review_Queue!$I:$I,Strike_Review_Queue!$M:$M,""))</f>
        <v/>
      </c>
    </row>
    <row r="101" ht="15.75" customHeight="1">
      <c r="C101" s="39"/>
      <c r="D101" s="39" t="str">
        <f>IF(OR(B101="",A101=""),"",MAX(0,MIN(3,SUMIFS($C$2:$C$1000,$B$2:$B$1000,B101,$A$2:$A$1000,"&lt;="&amp;A101,$A$2:$A$1000,"&gt;="&amp;IF(Config!$B$1004="Y",A101-Config!$B$1005,DATE(1900,1,1)),$I$2:$I$1000,1)))))</f>
        <v>#ERROR!</v>
      </c>
      <c r="H101" s="39"/>
      <c r="I101" s="39">
        <f t="shared" si="1"/>
        <v>1</v>
      </c>
      <c r="J101" s="39" t="str">
        <f t="shared" si="2"/>
        <v/>
      </c>
      <c r="K101" s="39" t="str">
        <f t="array" ref="K101">IF(J101="","",IF(XLOOKUP(J101,Strike_Review_Queue!$I:$I,Strike_Review_Queue!$J:$J,"")="Approve","Approved",IF(XLOOKUP(J101,Strike_Review_Queue!$I:$I,Strike_Review_Queue!$J:$J,"")="Deny","Counts",H101)))</f>
        <v/>
      </c>
      <c r="L101" s="39" t="str">
        <f t="array" ref="L101">IF(J101="","",XLOOKUP(J101,Strike_Review_Queue!$I:$I,Strike_Review_Queue!$L:$L,""))</f>
        <v/>
      </c>
      <c r="M101" s="39" t="str">
        <f t="array" ref="M101">IF(J101="","",XLOOKUP(J101,Strike_Review_Queue!$I:$I,Strike_Review_Queue!$M:$M,""))</f>
        <v/>
      </c>
    </row>
    <row r="102" ht="15.75" customHeight="1">
      <c r="C102" s="39"/>
      <c r="D102" s="39" t="str">
        <f>IF(OR(B102="",A102=""),"",MAX(0,MIN(3,SUMIFS($C$2:$C$1000,$B$2:$B$1000,B102,$A$2:$A$1000,"&lt;="&amp;A102,$A$2:$A$1000,"&gt;="&amp;IF(Config!$B$1004="Y",A102-Config!$B$1005,DATE(1900,1,1)),$I$2:$I$1000,1)))))</f>
        <v>#ERROR!</v>
      </c>
      <c r="H102" s="39"/>
      <c r="I102" s="39">
        <f t="shared" si="1"/>
        <v>1</v>
      </c>
      <c r="J102" s="39" t="str">
        <f t="shared" si="2"/>
        <v/>
      </c>
      <c r="K102" s="39" t="str">
        <f t="array" ref="K102">IF(J102="","",IF(XLOOKUP(J102,Strike_Review_Queue!$I:$I,Strike_Review_Queue!$J:$J,"")="Approve","Approved",IF(XLOOKUP(J102,Strike_Review_Queue!$I:$I,Strike_Review_Queue!$J:$J,"")="Deny","Counts",H102)))</f>
        <v/>
      </c>
      <c r="L102" s="39" t="str">
        <f t="array" ref="L102">IF(J102="","",XLOOKUP(J102,Strike_Review_Queue!$I:$I,Strike_Review_Queue!$L:$L,""))</f>
        <v/>
      </c>
      <c r="M102" s="39" t="str">
        <f t="array" ref="M102">IF(J102="","",XLOOKUP(J102,Strike_Review_Queue!$I:$I,Strike_Review_Queue!$M:$M,""))</f>
        <v/>
      </c>
    </row>
    <row r="103" ht="15.75" customHeight="1">
      <c r="C103" s="39"/>
      <c r="D103" s="39" t="str">
        <f>IF(OR(B103="",A103=""),"",MAX(0,MIN(3,SUMIFS($C$2:$C$1000,$B$2:$B$1000,B103,$A$2:$A$1000,"&lt;="&amp;A103,$A$2:$A$1000,"&gt;="&amp;IF(Config!$B$1004="Y",A103-Config!$B$1005,DATE(1900,1,1)),$I$2:$I$1000,1)))))</f>
        <v>#ERROR!</v>
      </c>
      <c r="H103" s="39"/>
      <c r="I103" s="39">
        <f t="shared" si="1"/>
        <v>1</v>
      </c>
      <c r="J103" s="39" t="str">
        <f t="shared" si="2"/>
        <v/>
      </c>
      <c r="K103" s="39" t="str">
        <f t="array" ref="K103">IF(J103="","",IF(XLOOKUP(J103,Strike_Review_Queue!$I:$I,Strike_Review_Queue!$J:$J,"")="Approve","Approved",IF(XLOOKUP(J103,Strike_Review_Queue!$I:$I,Strike_Review_Queue!$J:$J,"")="Deny","Counts",H103)))</f>
        <v/>
      </c>
      <c r="L103" s="39" t="str">
        <f t="array" ref="L103">IF(J103="","",XLOOKUP(J103,Strike_Review_Queue!$I:$I,Strike_Review_Queue!$L:$L,""))</f>
        <v/>
      </c>
      <c r="M103" s="39" t="str">
        <f t="array" ref="M103">IF(J103="","",XLOOKUP(J103,Strike_Review_Queue!$I:$I,Strike_Review_Queue!$M:$M,""))</f>
        <v/>
      </c>
    </row>
    <row r="104" ht="15.75" customHeight="1">
      <c r="C104" s="39"/>
      <c r="D104" s="39" t="str">
        <f>IF(OR(B104="",A104=""),"",MAX(0,MIN(3,SUMIFS($C$2:$C$1000,$B$2:$B$1000,B104,$A$2:$A$1000,"&lt;="&amp;A104,$A$2:$A$1000,"&gt;="&amp;IF(Config!$B$1004="Y",A104-Config!$B$1005,DATE(1900,1,1)),$I$2:$I$1000,1)))))</f>
        <v>#ERROR!</v>
      </c>
      <c r="H104" s="39"/>
      <c r="I104" s="39">
        <f t="shared" si="1"/>
        <v>1</v>
      </c>
      <c r="J104" s="39" t="str">
        <f t="shared" si="2"/>
        <v/>
      </c>
      <c r="K104" s="39" t="str">
        <f t="array" ref="K104">IF(J104="","",IF(XLOOKUP(J104,Strike_Review_Queue!$I:$I,Strike_Review_Queue!$J:$J,"")="Approve","Approved",IF(XLOOKUP(J104,Strike_Review_Queue!$I:$I,Strike_Review_Queue!$J:$J,"")="Deny","Counts",H104)))</f>
        <v/>
      </c>
      <c r="L104" s="39" t="str">
        <f t="array" ref="L104">IF(J104="","",XLOOKUP(J104,Strike_Review_Queue!$I:$I,Strike_Review_Queue!$L:$L,""))</f>
        <v/>
      </c>
      <c r="M104" s="39" t="str">
        <f t="array" ref="M104">IF(J104="","",XLOOKUP(J104,Strike_Review_Queue!$I:$I,Strike_Review_Queue!$M:$M,""))</f>
        <v/>
      </c>
    </row>
    <row r="105" ht="15.75" customHeight="1">
      <c r="C105" s="39"/>
      <c r="D105" s="39" t="str">
        <f>IF(OR(B105="",A105=""),"",MAX(0,MIN(3,SUMIFS($C$2:$C$1000,$B$2:$B$1000,B105,$A$2:$A$1000,"&lt;="&amp;A105,$A$2:$A$1000,"&gt;="&amp;IF(Config!$B$1004="Y",A105-Config!$B$1005,DATE(1900,1,1)),$I$2:$I$1000,1)))))</f>
        <v>#ERROR!</v>
      </c>
      <c r="H105" s="39"/>
      <c r="I105" s="39">
        <f t="shared" si="1"/>
        <v>1</v>
      </c>
      <c r="J105" s="39" t="str">
        <f t="shared" si="2"/>
        <v/>
      </c>
      <c r="K105" s="39" t="str">
        <f t="array" ref="K105">IF(J105="","",IF(XLOOKUP(J105,Strike_Review_Queue!$I:$I,Strike_Review_Queue!$J:$J,"")="Approve","Approved",IF(XLOOKUP(J105,Strike_Review_Queue!$I:$I,Strike_Review_Queue!$J:$J,"")="Deny","Counts",H105)))</f>
        <v/>
      </c>
      <c r="L105" s="39" t="str">
        <f t="array" ref="L105">IF(J105="","",XLOOKUP(J105,Strike_Review_Queue!$I:$I,Strike_Review_Queue!$L:$L,""))</f>
        <v/>
      </c>
      <c r="M105" s="39" t="str">
        <f t="array" ref="M105">IF(J105="","",XLOOKUP(J105,Strike_Review_Queue!$I:$I,Strike_Review_Queue!$M:$M,""))</f>
        <v/>
      </c>
    </row>
    <row r="106" ht="15.75" customHeight="1">
      <c r="C106" s="39"/>
      <c r="D106" s="39" t="str">
        <f>IF(OR(B106="",A106=""),"",MAX(0,MIN(3,SUMIFS($C$2:$C$1000,$B$2:$B$1000,B106,$A$2:$A$1000,"&lt;="&amp;A106,$A$2:$A$1000,"&gt;="&amp;IF(Config!$B$1004="Y",A106-Config!$B$1005,DATE(1900,1,1)),$I$2:$I$1000,1)))))</f>
        <v>#ERROR!</v>
      </c>
      <c r="H106" s="39"/>
      <c r="I106" s="39">
        <f t="shared" si="1"/>
        <v>1</v>
      </c>
      <c r="J106" s="39" t="str">
        <f t="shared" si="2"/>
        <v/>
      </c>
      <c r="K106" s="39" t="str">
        <f t="array" ref="K106">IF(J106="","",IF(XLOOKUP(J106,Strike_Review_Queue!$I:$I,Strike_Review_Queue!$J:$J,"")="Approve","Approved",IF(XLOOKUP(J106,Strike_Review_Queue!$I:$I,Strike_Review_Queue!$J:$J,"")="Deny","Counts",H106)))</f>
        <v/>
      </c>
      <c r="L106" s="39" t="str">
        <f t="array" ref="L106">IF(J106="","",XLOOKUP(J106,Strike_Review_Queue!$I:$I,Strike_Review_Queue!$L:$L,""))</f>
        <v/>
      </c>
      <c r="M106" s="39" t="str">
        <f t="array" ref="M106">IF(J106="","",XLOOKUP(J106,Strike_Review_Queue!$I:$I,Strike_Review_Queue!$M:$M,""))</f>
        <v/>
      </c>
    </row>
    <row r="107" ht="15.75" customHeight="1">
      <c r="C107" s="39"/>
      <c r="D107" s="39" t="str">
        <f>IF(OR(B107="",A107=""),"",MAX(0,MIN(3,SUMIFS($C$2:$C$1000,$B$2:$B$1000,B107,$A$2:$A$1000,"&lt;="&amp;A107,$A$2:$A$1000,"&gt;="&amp;IF(Config!$B$1004="Y",A107-Config!$B$1005,DATE(1900,1,1)),$I$2:$I$1000,1)))))</f>
        <v>#ERROR!</v>
      </c>
      <c r="H107" s="39"/>
      <c r="I107" s="39">
        <f t="shared" si="1"/>
        <v>1</v>
      </c>
      <c r="J107" s="39" t="str">
        <f t="shared" si="2"/>
        <v/>
      </c>
      <c r="K107" s="39" t="str">
        <f t="array" ref="K107">IF(J107="","",IF(XLOOKUP(J107,Strike_Review_Queue!$I:$I,Strike_Review_Queue!$J:$J,"")="Approve","Approved",IF(XLOOKUP(J107,Strike_Review_Queue!$I:$I,Strike_Review_Queue!$J:$J,"")="Deny","Counts",H107)))</f>
        <v/>
      </c>
      <c r="L107" s="39" t="str">
        <f t="array" ref="L107">IF(J107="","",XLOOKUP(J107,Strike_Review_Queue!$I:$I,Strike_Review_Queue!$L:$L,""))</f>
        <v/>
      </c>
      <c r="M107" s="39" t="str">
        <f t="array" ref="M107">IF(J107="","",XLOOKUP(J107,Strike_Review_Queue!$I:$I,Strike_Review_Queue!$M:$M,""))</f>
        <v/>
      </c>
    </row>
    <row r="108" ht="15.75" customHeight="1">
      <c r="C108" s="39"/>
      <c r="D108" s="39" t="str">
        <f>IF(OR(B108="",A108=""),"",MAX(0,MIN(3,SUMIFS($C$2:$C$1000,$B$2:$B$1000,B108,$A$2:$A$1000,"&lt;="&amp;A108,$A$2:$A$1000,"&gt;="&amp;IF(Config!$B$1004="Y",A108-Config!$B$1005,DATE(1900,1,1)),$I$2:$I$1000,1)))))</f>
        <v>#ERROR!</v>
      </c>
      <c r="H108" s="39"/>
      <c r="I108" s="39">
        <f t="shared" si="1"/>
        <v>1</v>
      </c>
      <c r="J108" s="39" t="str">
        <f t="shared" si="2"/>
        <v/>
      </c>
      <c r="K108" s="39" t="str">
        <f t="array" ref="K108">IF(J108="","",IF(XLOOKUP(J108,Strike_Review_Queue!$I:$I,Strike_Review_Queue!$J:$J,"")="Approve","Approved",IF(XLOOKUP(J108,Strike_Review_Queue!$I:$I,Strike_Review_Queue!$J:$J,"")="Deny","Counts",H108)))</f>
        <v/>
      </c>
      <c r="L108" s="39" t="str">
        <f t="array" ref="L108">IF(J108="","",XLOOKUP(J108,Strike_Review_Queue!$I:$I,Strike_Review_Queue!$L:$L,""))</f>
        <v/>
      </c>
      <c r="M108" s="39" t="str">
        <f t="array" ref="M108">IF(J108="","",XLOOKUP(J108,Strike_Review_Queue!$I:$I,Strike_Review_Queue!$M:$M,""))</f>
        <v/>
      </c>
    </row>
    <row r="109" ht="15.75" customHeight="1">
      <c r="C109" s="39"/>
      <c r="D109" s="39" t="str">
        <f>IF(OR(B109="",A109=""),"",MAX(0,MIN(3,SUMIFS($C$2:$C$1000,$B$2:$B$1000,B109,$A$2:$A$1000,"&lt;="&amp;A109,$A$2:$A$1000,"&gt;="&amp;IF(Config!$B$1004="Y",A109-Config!$B$1005,DATE(1900,1,1)),$I$2:$I$1000,1)))))</f>
        <v>#ERROR!</v>
      </c>
      <c r="H109" s="39"/>
      <c r="I109" s="39">
        <f t="shared" si="1"/>
        <v>1</v>
      </c>
      <c r="J109" s="39" t="str">
        <f t="shared" si="2"/>
        <v/>
      </c>
      <c r="K109" s="39" t="str">
        <f t="array" ref="K109">IF(J109="","",IF(XLOOKUP(J109,Strike_Review_Queue!$I:$I,Strike_Review_Queue!$J:$J,"")="Approve","Approved",IF(XLOOKUP(J109,Strike_Review_Queue!$I:$I,Strike_Review_Queue!$J:$J,"")="Deny","Counts",H109)))</f>
        <v/>
      </c>
      <c r="L109" s="39" t="str">
        <f t="array" ref="L109">IF(J109="","",XLOOKUP(J109,Strike_Review_Queue!$I:$I,Strike_Review_Queue!$L:$L,""))</f>
        <v/>
      </c>
      <c r="M109" s="39" t="str">
        <f t="array" ref="M109">IF(J109="","",XLOOKUP(J109,Strike_Review_Queue!$I:$I,Strike_Review_Queue!$M:$M,""))</f>
        <v/>
      </c>
    </row>
    <row r="110" ht="15.75" customHeight="1">
      <c r="C110" s="39"/>
      <c r="D110" s="39" t="str">
        <f>IF(OR(B110="",A110=""),"",MAX(0,MIN(3,SUMIFS($C$2:$C$1000,$B$2:$B$1000,B110,$A$2:$A$1000,"&lt;="&amp;A110,$A$2:$A$1000,"&gt;="&amp;IF(Config!$B$1004="Y",A110-Config!$B$1005,DATE(1900,1,1)),$I$2:$I$1000,1)))))</f>
        <v>#ERROR!</v>
      </c>
      <c r="H110" s="39"/>
      <c r="I110" s="39">
        <f t="shared" si="1"/>
        <v>1</v>
      </c>
      <c r="J110" s="39" t="str">
        <f t="shared" si="2"/>
        <v/>
      </c>
      <c r="K110" s="39" t="str">
        <f t="array" ref="K110">IF(J110="","",IF(XLOOKUP(J110,Strike_Review_Queue!$I:$I,Strike_Review_Queue!$J:$J,"")="Approve","Approved",IF(XLOOKUP(J110,Strike_Review_Queue!$I:$I,Strike_Review_Queue!$J:$J,"")="Deny","Counts",H110)))</f>
        <v/>
      </c>
      <c r="L110" s="39" t="str">
        <f t="array" ref="L110">IF(J110="","",XLOOKUP(J110,Strike_Review_Queue!$I:$I,Strike_Review_Queue!$L:$L,""))</f>
        <v/>
      </c>
      <c r="M110" s="39" t="str">
        <f t="array" ref="M110">IF(J110="","",XLOOKUP(J110,Strike_Review_Queue!$I:$I,Strike_Review_Queue!$M:$M,""))</f>
        <v/>
      </c>
    </row>
    <row r="111" ht="15.75" customHeight="1">
      <c r="C111" s="39"/>
      <c r="D111" s="39" t="str">
        <f>IF(OR(B111="",A111=""),"",MAX(0,MIN(3,SUMIFS($C$2:$C$1000,$B$2:$B$1000,B111,$A$2:$A$1000,"&lt;="&amp;A111,$A$2:$A$1000,"&gt;="&amp;IF(Config!$B$1004="Y",A111-Config!$B$1005,DATE(1900,1,1)),$I$2:$I$1000,1)))))</f>
        <v>#ERROR!</v>
      </c>
      <c r="H111" s="39"/>
      <c r="I111" s="39">
        <f t="shared" si="1"/>
        <v>1</v>
      </c>
      <c r="J111" s="39" t="str">
        <f t="shared" si="2"/>
        <v/>
      </c>
      <c r="K111" s="39" t="str">
        <f t="array" ref="K111">IF(J111="","",IF(XLOOKUP(J111,Strike_Review_Queue!$I:$I,Strike_Review_Queue!$J:$J,"")="Approve","Approved",IF(XLOOKUP(J111,Strike_Review_Queue!$I:$I,Strike_Review_Queue!$J:$J,"")="Deny","Counts",H111)))</f>
        <v/>
      </c>
      <c r="L111" s="39" t="str">
        <f t="array" ref="L111">IF(J111="","",XLOOKUP(J111,Strike_Review_Queue!$I:$I,Strike_Review_Queue!$L:$L,""))</f>
        <v/>
      </c>
      <c r="M111" s="39" t="str">
        <f t="array" ref="M111">IF(J111="","",XLOOKUP(J111,Strike_Review_Queue!$I:$I,Strike_Review_Queue!$M:$M,""))</f>
        <v/>
      </c>
    </row>
    <row r="112" ht="15.75" customHeight="1">
      <c r="C112" s="39"/>
      <c r="D112" s="39" t="str">
        <f>IF(OR(B112="",A112=""),"",MAX(0,MIN(3,SUMIFS($C$2:$C$1000,$B$2:$B$1000,B112,$A$2:$A$1000,"&lt;="&amp;A112,$A$2:$A$1000,"&gt;="&amp;IF(Config!$B$1004="Y",A112-Config!$B$1005,DATE(1900,1,1)),$I$2:$I$1000,1)))))</f>
        <v>#ERROR!</v>
      </c>
      <c r="H112" s="39"/>
      <c r="I112" s="39">
        <f t="shared" si="1"/>
        <v>1</v>
      </c>
      <c r="J112" s="39" t="str">
        <f t="shared" si="2"/>
        <v/>
      </c>
      <c r="K112" s="39" t="str">
        <f t="array" ref="K112">IF(J112="","",IF(XLOOKUP(J112,Strike_Review_Queue!$I:$I,Strike_Review_Queue!$J:$J,"")="Approve","Approved",IF(XLOOKUP(J112,Strike_Review_Queue!$I:$I,Strike_Review_Queue!$J:$J,"")="Deny","Counts",H112)))</f>
        <v/>
      </c>
      <c r="L112" s="39" t="str">
        <f t="array" ref="L112">IF(J112="","",XLOOKUP(J112,Strike_Review_Queue!$I:$I,Strike_Review_Queue!$L:$L,""))</f>
        <v/>
      </c>
      <c r="M112" s="39" t="str">
        <f t="array" ref="M112">IF(J112="","",XLOOKUP(J112,Strike_Review_Queue!$I:$I,Strike_Review_Queue!$M:$M,""))</f>
        <v/>
      </c>
    </row>
    <row r="113" ht="15.75" customHeight="1">
      <c r="C113" s="39"/>
      <c r="D113" s="39" t="str">
        <f>IF(OR(B113="",A113=""),"",MAX(0,MIN(3,SUMIFS($C$2:$C$1000,$B$2:$B$1000,B113,$A$2:$A$1000,"&lt;="&amp;A113,$A$2:$A$1000,"&gt;="&amp;IF(Config!$B$1004="Y",A113-Config!$B$1005,DATE(1900,1,1)),$I$2:$I$1000,1)))))</f>
        <v>#ERROR!</v>
      </c>
      <c r="H113" s="39"/>
      <c r="I113" s="39">
        <f t="shared" si="1"/>
        <v>1</v>
      </c>
      <c r="J113" s="39" t="str">
        <f t="shared" si="2"/>
        <v/>
      </c>
      <c r="K113" s="39" t="str">
        <f t="array" ref="K113">IF(J113="","",IF(XLOOKUP(J113,Strike_Review_Queue!$I:$I,Strike_Review_Queue!$J:$J,"")="Approve","Approved",IF(XLOOKUP(J113,Strike_Review_Queue!$I:$I,Strike_Review_Queue!$J:$J,"")="Deny","Counts",H113)))</f>
        <v/>
      </c>
      <c r="L113" s="39" t="str">
        <f t="array" ref="L113">IF(J113="","",XLOOKUP(J113,Strike_Review_Queue!$I:$I,Strike_Review_Queue!$L:$L,""))</f>
        <v/>
      </c>
      <c r="M113" s="39" t="str">
        <f t="array" ref="M113">IF(J113="","",XLOOKUP(J113,Strike_Review_Queue!$I:$I,Strike_Review_Queue!$M:$M,""))</f>
        <v/>
      </c>
    </row>
    <row r="114" ht="15.75" customHeight="1">
      <c r="C114" s="39"/>
      <c r="D114" s="39" t="str">
        <f>IF(OR(B114="",A114=""),"",MAX(0,MIN(3,SUMIFS($C$2:$C$1000,$B$2:$B$1000,B114,$A$2:$A$1000,"&lt;="&amp;A114,$A$2:$A$1000,"&gt;="&amp;IF(Config!$B$1004="Y",A114-Config!$B$1005,DATE(1900,1,1)),$I$2:$I$1000,1)))))</f>
        <v>#ERROR!</v>
      </c>
      <c r="H114" s="39"/>
      <c r="I114" s="39">
        <f t="shared" si="1"/>
        <v>1</v>
      </c>
      <c r="J114" s="39" t="str">
        <f t="shared" si="2"/>
        <v/>
      </c>
      <c r="K114" s="39" t="str">
        <f t="array" ref="K114">IF(J114="","",IF(XLOOKUP(J114,Strike_Review_Queue!$I:$I,Strike_Review_Queue!$J:$J,"")="Approve","Approved",IF(XLOOKUP(J114,Strike_Review_Queue!$I:$I,Strike_Review_Queue!$J:$J,"")="Deny","Counts",H114)))</f>
        <v/>
      </c>
      <c r="L114" s="39" t="str">
        <f t="array" ref="L114">IF(J114="","",XLOOKUP(J114,Strike_Review_Queue!$I:$I,Strike_Review_Queue!$L:$L,""))</f>
        <v/>
      </c>
      <c r="M114" s="39" t="str">
        <f t="array" ref="M114">IF(J114="","",XLOOKUP(J114,Strike_Review_Queue!$I:$I,Strike_Review_Queue!$M:$M,""))</f>
        <v/>
      </c>
    </row>
    <row r="115" ht="15.75" customHeight="1">
      <c r="C115" s="39"/>
      <c r="D115" s="39" t="str">
        <f>IF(OR(B115="",A115=""),"",MAX(0,MIN(3,SUMIFS($C$2:$C$1000,$B$2:$B$1000,B115,$A$2:$A$1000,"&lt;="&amp;A115,$A$2:$A$1000,"&gt;="&amp;IF(Config!$B$1004="Y",A115-Config!$B$1005,DATE(1900,1,1)),$I$2:$I$1000,1)))))</f>
        <v>#ERROR!</v>
      </c>
      <c r="H115" s="39"/>
      <c r="I115" s="39">
        <f t="shared" si="1"/>
        <v>1</v>
      </c>
      <c r="J115" s="39" t="str">
        <f t="shared" si="2"/>
        <v/>
      </c>
      <c r="K115" s="39" t="str">
        <f t="array" ref="K115">IF(J115="","",IF(XLOOKUP(J115,Strike_Review_Queue!$I:$I,Strike_Review_Queue!$J:$J,"")="Approve","Approved",IF(XLOOKUP(J115,Strike_Review_Queue!$I:$I,Strike_Review_Queue!$J:$J,"")="Deny","Counts",H115)))</f>
        <v/>
      </c>
      <c r="L115" s="39" t="str">
        <f t="array" ref="L115">IF(J115="","",XLOOKUP(J115,Strike_Review_Queue!$I:$I,Strike_Review_Queue!$L:$L,""))</f>
        <v/>
      </c>
      <c r="M115" s="39" t="str">
        <f t="array" ref="M115">IF(J115="","",XLOOKUP(J115,Strike_Review_Queue!$I:$I,Strike_Review_Queue!$M:$M,""))</f>
        <v/>
      </c>
    </row>
    <row r="116" ht="15.75" customHeight="1">
      <c r="C116" s="39"/>
      <c r="D116" s="39" t="str">
        <f>IF(OR(B116="",A116=""),"",MAX(0,MIN(3,SUMIFS($C$2:$C$1000,$B$2:$B$1000,B116,$A$2:$A$1000,"&lt;="&amp;A116,$A$2:$A$1000,"&gt;="&amp;IF(Config!$B$1004="Y",A116-Config!$B$1005,DATE(1900,1,1)),$I$2:$I$1000,1)))))</f>
        <v>#ERROR!</v>
      </c>
      <c r="H116" s="39"/>
      <c r="I116" s="39">
        <f t="shared" si="1"/>
        <v>1</v>
      </c>
      <c r="J116" s="39" t="str">
        <f t="shared" si="2"/>
        <v/>
      </c>
      <c r="K116" s="39" t="str">
        <f t="array" ref="K116">IF(J116="","",IF(XLOOKUP(J116,Strike_Review_Queue!$I:$I,Strike_Review_Queue!$J:$J,"")="Approve","Approved",IF(XLOOKUP(J116,Strike_Review_Queue!$I:$I,Strike_Review_Queue!$J:$J,"")="Deny","Counts",H116)))</f>
        <v/>
      </c>
      <c r="L116" s="39" t="str">
        <f t="array" ref="L116">IF(J116="","",XLOOKUP(J116,Strike_Review_Queue!$I:$I,Strike_Review_Queue!$L:$L,""))</f>
        <v/>
      </c>
      <c r="M116" s="39" t="str">
        <f t="array" ref="M116">IF(J116="","",XLOOKUP(J116,Strike_Review_Queue!$I:$I,Strike_Review_Queue!$M:$M,""))</f>
        <v/>
      </c>
    </row>
    <row r="117" ht="15.75" customHeight="1">
      <c r="C117" s="39"/>
      <c r="D117" s="39" t="str">
        <f>IF(OR(B117="",A117=""),"",MAX(0,MIN(3,SUMIFS($C$2:$C$1000,$B$2:$B$1000,B117,$A$2:$A$1000,"&lt;="&amp;A117,$A$2:$A$1000,"&gt;="&amp;IF(Config!$B$1004="Y",A117-Config!$B$1005,DATE(1900,1,1)),$I$2:$I$1000,1)))))</f>
        <v>#ERROR!</v>
      </c>
      <c r="H117" s="39"/>
      <c r="I117" s="39">
        <f t="shared" si="1"/>
        <v>1</v>
      </c>
      <c r="J117" s="39" t="str">
        <f t="shared" si="2"/>
        <v/>
      </c>
      <c r="K117" s="39" t="str">
        <f t="array" ref="K117">IF(J117="","",IF(XLOOKUP(J117,Strike_Review_Queue!$I:$I,Strike_Review_Queue!$J:$J,"")="Approve","Approved",IF(XLOOKUP(J117,Strike_Review_Queue!$I:$I,Strike_Review_Queue!$J:$J,"")="Deny","Counts",H117)))</f>
        <v/>
      </c>
      <c r="L117" s="39" t="str">
        <f t="array" ref="L117">IF(J117="","",XLOOKUP(J117,Strike_Review_Queue!$I:$I,Strike_Review_Queue!$L:$L,""))</f>
        <v/>
      </c>
      <c r="M117" s="39" t="str">
        <f t="array" ref="M117">IF(J117="","",XLOOKUP(J117,Strike_Review_Queue!$I:$I,Strike_Review_Queue!$M:$M,""))</f>
        <v/>
      </c>
    </row>
    <row r="118" ht="15.75" customHeight="1">
      <c r="C118" s="39"/>
      <c r="D118" s="39" t="str">
        <f>IF(OR(B118="",A118=""),"",MAX(0,MIN(3,SUMIFS($C$2:$C$1000,$B$2:$B$1000,B118,$A$2:$A$1000,"&lt;="&amp;A118,$A$2:$A$1000,"&gt;="&amp;IF(Config!$B$1004="Y",A118-Config!$B$1005,DATE(1900,1,1)),$I$2:$I$1000,1)))))</f>
        <v>#ERROR!</v>
      </c>
      <c r="H118" s="39"/>
      <c r="I118" s="39">
        <f t="shared" si="1"/>
        <v>1</v>
      </c>
      <c r="J118" s="39" t="str">
        <f t="shared" si="2"/>
        <v/>
      </c>
      <c r="K118" s="39" t="str">
        <f t="array" ref="K118">IF(J118="","",IF(XLOOKUP(J118,Strike_Review_Queue!$I:$I,Strike_Review_Queue!$J:$J,"")="Approve","Approved",IF(XLOOKUP(J118,Strike_Review_Queue!$I:$I,Strike_Review_Queue!$J:$J,"")="Deny","Counts",H118)))</f>
        <v/>
      </c>
      <c r="L118" s="39" t="str">
        <f t="array" ref="L118">IF(J118="","",XLOOKUP(J118,Strike_Review_Queue!$I:$I,Strike_Review_Queue!$L:$L,""))</f>
        <v/>
      </c>
      <c r="M118" s="39" t="str">
        <f t="array" ref="M118">IF(J118="","",XLOOKUP(J118,Strike_Review_Queue!$I:$I,Strike_Review_Queue!$M:$M,""))</f>
        <v/>
      </c>
    </row>
    <row r="119" ht="15.75" customHeight="1">
      <c r="C119" s="39"/>
      <c r="D119" s="39" t="str">
        <f>IF(OR(B119="",A119=""),"",MAX(0,MIN(3,SUMIFS($C$2:$C$1000,$B$2:$B$1000,B119,$A$2:$A$1000,"&lt;="&amp;A119,$A$2:$A$1000,"&gt;="&amp;IF(Config!$B$1004="Y",A119-Config!$B$1005,DATE(1900,1,1)),$I$2:$I$1000,1)))))</f>
        <v>#ERROR!</v>
      </c>
      <c r="H119" s="39"/>
      <c r="I119" s="39">
        <f t="shared" si="1"/>
        <v>1</v>
      </c>
      <c r="J119" s="39" t="str">
        <f t="shared" si="2"/>
        <v/>
      </c>
      <c r="K119" s="39" t="str">
        <f t="array" ref="K119">IF(J119="","",IF(XLOOKUP(J119,Strike_Review_Queue!$I:$I,Strike_Review_Queue!$J:$J,"")="Approve","Approved",IF(XLOOKUP(J119,Strike_Review_Queue!$I:$I,Strike_Review_Queue!$J:$J,"")="Deny","Counts",H119)))</f>
        <v/>
      </c>
      <c r="L119" s="39" t="str">
        <f t="array" ref="L119">IF(J119="","",XLOOKUP(J119,Strike_Review_Queue!$I:$I,Strike_Review_Queue!$L:$L,""))</f>
        <v/>
      </c>
      <c r="M119" s="39" t="str">
        <f t="array" ref="M119">IF(J119="","",XLOOKUP(J119,Strike_Review_Queue!$I:$I,Strike_Review_Queue!$M:$M,""))</f>
        <v/>
      </c>
    </row>
    <row r="120" ht="15.75" customHeight="1">
      <c r="C120" s="39"/>
      <c r="D120" s="39" t="str">
        <f>IF(OR(B120="",A120=""),"",MAX(0,MIN(3,SUMIFS($C$2:$C$1000,$B$2:$B$1000,B120,$A$2:$A$1000,"&lt;="&amp;A120,$A$2:$A$1000,"&gt;="&amp;IF(Config!$B$1004="Y",A120-Config!$B$1005,DATE(1900,1,1)),$I$2:$I$1000,1)))))</f>
        <v>#ERROR!</v>
      </c>
      <c r="H120" s="39"/>
      <c r="I120" s="39">
        <f t="shared" si="1"/>
        <v>1</v>
      </c>
      <c r="J120" s="39" t="str">
        <f t="shared" si="2"/>
        <v/>
      </c>
      <c r="K120" s="39" t="str">
        <f t="array" ref="K120">IF(J120="","",IF(XLOOKUP(J120,Strike_Review_Queue!$I:$I,Strike_Review_Queue!$J:$J,"")="Approve","Approved",IF(XLOOKUP(J120,Strike_Review_Queue!$I:$I,Strike_Review_Queue!$J:$J,"")="Deny","Counts",H120)))</f>
        <v/>
      </c>
      <c r="L120" s="39" t="str">
        <f t="array" ref="L120">IF(J120="","",XLOOKUP(J120,Strike_Review_Queue!$I:$I,Strike_Review_Queue!$L:$L,""))</f>
        <v/>
      </c>
      <c r="M120" s="39" t="str">
        <f t="array" ref="M120">IF(J120="","",XLOOKUP(J120,Strike_Review_Queue!$I:$I,Strike_Review_Queue!$M:$M,""))</f>
        <v/>
      </c>
    </row>
    <row r="121" ht="15.75" customHeight="1">
      <c r="C121" s="39"/>
      <c r="D121" s="39" t="str">
        <f>IF(OR(B121="",A121=""),"",MAX(0,MIN(3,SUMIFS($C$2:$C$1000,$B$2:$B$1000,B121,$A$2:$A$1000,"&lt;="&amp;A121,$A$2:$A$1000,"&gt;="&amp;IF(Config!$B$1004="Y",A121-Config!$B$1005,DATE(1900,1,1)),$I$2:$I$1000,1)))))</f>
        <v>#ERROR!</v>
      </c>
      <c r="H121" s="39"/>
      <c r="I121" s="39">
        <f t="shared" si="1"/>
        <v>1</v>
      </c>
      <c r="J121" s="39" t="str">
        <f t="shared" si="2"/>
        <v/>
      </c>
      <c r="K121" s="39" t="str">
        <f t="array" ref="K121">IF(J121="","",IF(XLOOKUP(J121,Strike_Review_Queue!$I:$I,Strike_Review_Queue!$J:$J,"")="Approve","Approved",IF(XLOOKUP(J121,Strike_Review_Queue!$I:$I,Strike_Review_Queue!$J:$J,"")="Deny","Counts",H121)))</f>
        <v/>
      </c>
      <c r="L121" s="39" t="str">
        <f t="array" ref="L121">IF(J121="","",XLOOKUP(J121,Strike_Review_Queue!$I:$I,Strike_Review_Queue!$L:$L,""))</f>
        <v/>
      </c>
      <c r="M121" s="39" t="str">
        <f t="array" ref="M121">IF(J121="","",XLOOKUP(J121,Strike_Review_Queue!$I:$I,Strike_Review_Queue!$M:$M,""))</f>
        <v/>
      </c>
    </row>
    <row r="122" ht="15.75" customHeight="1">
      <c r="C122" s="39"/>
      <c r="D122" s="39" t="str">
        <f>IF(OR(B122="",A122=""),"",MAX(0,MIN(3,SUMIFS($C$2:$C$1000,$B$2:$B$1000,B122,$A$2:$A$1000,"&lt;="&amp;A122,$A$2:$A$1000,"&gt;="&amp;IF(Config!$B$1004="Y",A122-Config!$B$1005,DATE(1900,1,1)),$I$2:$I$1000,1)))))</f>
        <v>#ERROR!</v>
      </c>
      <c r="H122" s="39"/>
      <c r="I122" s="39">
        <f t="shared" si="1"/>
        <v>1</v>
      </c>
      <c r="J122" s="39" t="str">
        <f t="shared" si="2"/>
        <v/>
      </c>
      <c r="K122" s="39" t="str">
        <f t="array" ref="K122">IF(J122="","",IF(XLOOKUP(J122,Strike_Review_Queue!$I:$I,Strike_Review_Queue!$J:$J,"")="Approve","Approved",IF(XLOOKUP(J122,Strike_Review_Queue!$I:$I,Strike_Review_Queue!$J:$J,"")="Deny","Counts",H122)))</f>
        <v/>
      </c>
      <c r="L122" s="39" t="str">
        <f t="array" ref="L122">IF(J122="","",XLOOKUP(J122,Strike_Review_Queue!$I:$I,Strike_Review_Queue!$L:$L,""))</f>
        <v/>
      </c>
      <c r="M122" s="39" t="str">
        <f t="array" ref="M122">IF(J122="","",XLOOKUP(J122,Strike_Review_Queue!$I:$I,Strike_Review_Queue!$M:$M,""))</f>
        <v/>
      </c>
    </row>
    <row r="123" ht="15.75" customHeight="1">
      <c r="C123" s="39"/>
      <c r="D123" s="39" t="str">
        <f>IF(OR(B123="",A123=""),"",MAX(0,MIN(3,SUMIFS($C$2:$C$1000,$B$2:$B$1000,B123,$A$2:$A$1000,"&lt;="&amp;A123,$A$2:$A$1000,"&gt;="&amp;IF(Config!$B$1004="Y",A123-Config!$B$1005,DATE(1900,1,1)),$I$2:$I$1000,1)))))</f>
        <v>#ERROR!</v>
      </c>
      <c r="H123" s="39"/>
      <c r="I123" s="39">
        <f t="shared" si="1"/>
        <v>1</v>
      </c>
      <c r="J123" s="39" t="str">
        <f t="shared" si="2"/>
        <v/>
      </c>
      <c r="K123" s="39" t="str">
        <f t="array" ref="K123">IF(J123="","",IF(XLOOKUP(J123,Strike_Review_Queue!$I:$I,Strike_Review_Queue!$J:$J,"")="Approve","Approved",IF(XLOOKUP(J123,Strike_Review_Queue!$I:$I,Strike_Review_Queue!$J:$J,"")="Deny","Counts",H123)))</f>
        <v/>
      </c>
      <c r="L123" s="39" t="str">
        <f t="array" ref="L123">IF(J123="","",XLOOKUP(J123,Strike_Review_Queue!$I:$I,Strike_Review_Queue!$L:$L,""))</f>
        <v/>
      </c>
      <c r="M123" s="39" t="str">
        <f t="array" ref="M123">IF(J123="","",XLOOKUP(J123,Strike_Review_Queue!$I:$I,Strike_Review_Queue!$M:$M,""))</f>
        <v/>
      </c>
    </row>
    <row r="124" ht="15.75" customHeight="1">
      <c r="C124" s="39"/>
      <c r="D124" s="39" t="str">
        <f>IF(OR(B124="",A124=""),"",MAX(0,MIN(3,SUMIFS($C$2:$C$1000,$B$2:$B$1000,B124,$A$2:$A$1000,"&lt;="&amp;A124,$A$2:$A$1000,"&gt;="&amp;IF(Config!$B$1004="Y",A124-Config!$B$1005,DATE(1900,1,1)),$I$2:$I$1000,1)))))</f>
        <v>#ERROR!</v>
      </c>
      <c r="H124" s="39"/>
      <c r="I124" s="39">
        <f t="shared" si="1"/>
        <v>1</v>
      </c>
      <c r="J124" s="39" t="str">
        <f t="shared" si="2"/>
        <v/>
      </c>
      <c r="K124" s="39" t="str">
        <f t="array" ref="K124">IF(J124="","",IF(XLOOKUP(J124,Strike_Review_Queue!$I:$I,Strike_Review_Queue!$J:$J,"")="Approve","Approved",IF(XLOOKUP(J124,Strike_Review_Queue!$I:$I,Strike_Review_Queue!$J:$J,"")="Deny","Counts",H124)))</f>
        <v/>
      </c>
      <c r="L124" s="39" t="str">
        <f t="array" ref="L124">IF(J124="","",XLOOKUP(J124,Strike_Review_Queue!$I:$I,Strike_Review_Queue!$L:$L,""))</f>
        <v/>
      </c>
      <c r="M124" s="39" t="str">
        <f t="array" ref="M124">IF(J124="","",XLOOKUP(J124,Strike_Review_Queue!$I:$I,Strike_Review_Queue!$M:$M,""))</f>
        <v/>
      </c>
    </row>
    <row r="125" ht="15.75" customHeight="1">
      <c r="C125" s="39"/>
      <c r="D125" s="39" t="str">
        <f>IF(OR(B125="",A125=""),"",MAX(0,MIN(3,SUMIFS($C$2:$C$1000,$B$2:$B$1000,B125,$A$2:$A$1000,"&lt;="&amp;A125,$A$2:$A$1000,"&gt;="&amp;IF(Config!$B$1004="Y",A125-Config!$B$1005,DATE(1900,1,1)),$I$2:$I$1000,1)))))</f>
        <v>#ERROR!</v>
      </c>
      <c r="H125" s="39"/>
      <c r="I125" s="39">
        <f t="shared" si="1"/>
        <v>1</v>
      </c>
      <c r="J125" s="39" t="str">
        <f t="shared" si="2"/>
        <v/>
      </c>
      <c r="K125" s="39" t="str">
        <f t="array" ref="K125">IF(J125="","",IF(XLOOKUP(J125,Strike_Review_Queue!$I:$I,Strike_Review_Queue!$J:$J,"")="Approve","Approved",IF(XLOOKUP(J125,Strike_Review_Queue!$I:$I,Strike_Review_Queue!$J:$J,"")="Deny","Counts",H125)))</f>
        <v/>
      </c>
      <c r="L125" s="39" t="str">
        <f t="array" ref="L125">IF(J125="","",XLOOKUP(J125,Strike_Review_Queue!$I:$I,Strike_Review_Queue!$L:$L,""))</f>
        <v/>
      </c>
      <c r="M125" s="39" t="str">
        <f t="array" ref="M125">IF(J125="","",XLOOKUP(J125,Strike_Review_Queue!$I:$I,Strike_Review_Queue!$M:$M,""))</f>
        <v/>
      </c>
    </row>
    <row r="126" ht="15.75" customHeight="1">
      <c r="C126" s="39"/>
      <c r="D126" s="39" t="str">
        <f>IF(OR(B126="",A126=""),"",MAX(0,MIN(3,SUMIFS($C$2:$C$1000,$B$2:$B$1000,B126,$A$2:$A$1000,"&lt;="&amp;A126,$A$2:$A$1000,"&gt;="&amp;IF(Config!$B$1004="Y",A126-Config!$B$1005,DATE(1900,1,1)),$I$2:$I$1000,1)))))</f>
        <v>#ERROR!</v>
      </c>
      <c r="H126" s="39"/>
      <c r="I126" s="39">
        <f t="shared" si="1"/>
        <v>1</v>
      </c>
      <c r="J126" s="39" t="str">
        <f t="shared" si="2"/>
        <v/>
      </c>
      <c r="K126" s="39" t="str">
        <f t="array" ref="K126">IF(J126="","",IF(XLOOKUP(J126,Strike_Review_Queue!$I:$I,Strike_Review_Queue!$J:$J,"")="Approve","Approved",IF(XLOOKUP(J126,Strike_Review_Queue!$I:$I,Strike_Review_Queue!$J:$J,"")="Deny","Counts",H126)))</f>
        <v/>
      </c>
      <c r="L126" s="39" t="str">
        <f t="array" ref="L126">IF(J126="","",XLOOKUP(J126,Strike_Review_Queue!$I:$I,Strike_Review_Queue!$L:$L,""))</f>
        <v/>
      </c>
      <c r="M126" s="39" t="str">
        <f t="array" ref="M126">IF(J126="","",XLOOKUP(J126,Strike_Review_Queue!$I:$I,Strike_Review_Queue!$M:$M,""))</f>
        <v/>
      </c>
    </row>
    <row r="127" ht="15.75" customHeight="1">
      <c r="C127" s="39"/>
      <c r="D127" s="39" t="str">
        <f>IF(OR(B127="",A127=""),"",MAX(0,MIN(3,SUMIFS($C$2:$C$1000,$B$2:$B$1000,B127,$A$2:$A$1000,"&lt;="&amp;A127,$A$2:$A$1000,"&gt;="&amp;IF(Config!$B$1004="Y",A127-Config!$B$1005,DATE(1900,1,1)),$I$2:$I$1000,1)))))</f>
        <v>#ERROR!</v>
      </c>
      <c r="H127" s="39"/>
      <c r="I127" s="39">
        <f t="shared" si="1"/>
        <v>1</v>
      </c>
      <c r="J127" s="39" t="str">
        <f t="shared" si="2"/>
        <v/>
      </c>
      <c r="K127" s="39" t="str">
        <f t="array" ref="K127">IF(J127="","",IF(XLOOKUP(J127,Strike_Review_Queue!$I:$I,Strike_Review_Queue!$J:$J,"")="Approve","Approved",IF(XLOOKUP(J127,Strike_Review_Queue!$I:$I,Strike_Review_Queue!$J:$J,"")="Deny","Counts",H127)))</f>
        <v/>
      </c>
      <c r="L127" s="39" t="str">
        <f t="array" ref="L127">IF(J127="","",XLOOKUP(J127,Strike_Review_Queue!$I:$I,Strike_Review_Queue!$L:$L,""))</f>
        <v/>
      </c>
      <c r="M127" s="39" t="str">
        <f t="array" ref="M127">IF(J127="","",XLOOKUP(J127,Strike_Review_Queue!$I:$I,Strike_Review_Queue!$M:$M,""))</f>
        <v/>
      </c>
    </row>
    <row r="128" ht="15.75" customHeight="1">
      <c r="C128" s="39"/>
      <c r="D128" s="39" t="str">
        <f>IF(OR(B128="",A128=""),"",MAX(0,MIN(3,SUMIFS($C$2:$C$1000,$B$2:$B$1000,B128,$A$2:$A$1000,"&lt;="&amp;A128,$A$2:$A$1000,"&gt;="&amp;IF(Config!$B$1004="Y",A128-Config!$B$1005,DATE(1900,1,1)),$I$2:$I$1000,1)))))</f>
        <v>#ERROR!</v>
      </c>
      <c r="H128" s="39"/>
      <c r="I128" s="39">
        <f t="shared" si="1"/>
        <v>1</v>
      </c>
      <c r="J128" s="39" t="str">
        <f t="shared" si="2"/>
        <v/>
      </c>
      <c r="K128" s="39" t="str">
        <f t="array" ref="K128">IF(J128="","",IF(XLOOKUP(J128,Strike_Review_Queue!$I:$I,Strike_Review_Queue!$J:$J,"")="Approve","Approved",IF(XLOOKUP(J128,Strike_Review_Queue!$I:$I,Strike_Review_Queue!$J:$J,"")="Deny","Counts",H128)))</f>
        <v/>
      </c>
      <c r="L128" s="39" t="str">
        <f t="array" ref="L128">IF(J128="","",XLOOKUP(J128,Strike_Review_Queue!$I:$I,Strike_Review_Queue!$L:$L,""))</f>
        <v/>
      </c>
      <c r="M128" s="39" t="str">
        <f t="array" ref="M128">IF(J128="","",XLOOKUP(J128,Strike_Review_Queue!$I:$I,Strike_Review_Queue!$M:$M,""))</f>
        <v/>
      </c>
    </row>
    <row r="129" ht="15.75" customHeight="1">
      <c r="C129" s="39"/>
      <c r="D129" s="39" t="str">
        <f>IF(OR(B129="",A129=""),"",MAX(0,MIN(3,SUMIFS($C$2:$C$1000,$B$2:$B$1000,B129,$A$2:$A$1000,"&lt;="&amp;A129,$A$2:$A$1000,"&gt;="&amp;IF(Config!$B$1004="Y",A129-Config!$B$1005,DATE(1900,1,1)),$I$2:$I$1000,1)))))</f>
        <v>#ERROR!</v>
      </c>
      <c r="H129" s="39"/>
      <c r="I129" s="39">
        <f t="shared" si="1"/>
        <v>1</v>
      </c>
      <c r="J129" s="39" t="str">
        <f t="shared" si="2"/>
        <v/>
      </c>
      <c r="K129" s="39" t="str">
        <f t="array" ref="K129">IF(J129="","",IF(XLOOKUP(J129,Strike_Review_Queue!$I:$I,Strike_Review_Queue!$J:$J,"")="Approve","Approved",IF(XLOOKUP(J129,Strike_Review_Queue!$I:$I,Strike_Review_Queue!$J:$J,"")="Deny","Counts",H129)))</f>
        <v/>
      </c>
      <c r="L129" s="39" t="str">
        <f t="array" ref="L129">IF(J129="","",XLOOKUP(J129,Strike_Review_Queue!$I:$I,Strike_Review_Queue!$L:$L,""))</f>
        <v/>
      </c>
      <c r="M129" s="39" t="str">
        <f t="array" ref="M129">IF(J129="","",XLOOKUP(J129,Strike_Review_Queue!$I:$I,Strike_Review_Queue!$M:$M,""))</f>
        <v/>
      </c>
    </row>
    <row r="130" ht="15.75" customHeight="1">
      <c r="C130" s="39"/>
      <c r="D130" s="39" t="str">
        <f>IF(OR(B130="",A130=""),"",MAX(0,MIN(3,SUMIFS($C$2:$C$1000,$B$2:$B$1000,B130,$A$2:$A$1000,"&lt;="&amp;A130,$A$2:$A$1000,"&gt;="&amp;IF(Config!$B$1004="Y",A130-Config!$B$1005,DATE(1900,1,1)),$I$2:$I$1000,1)))))</f>
        <v>#ERROR!</v>
      </c>
      <c r="H130" s="39"/>
      <c r="I130" s="39">
        <f t="shared" si="1"/>
        <v>1</v>
      </c>
      <c r="J130" s="39" t="str">
        <f t="shared" si="2"/>
        <v/>
      </c>
      <c r="K130" s="39" t="str">
        <f t="array" ref="K130">IF(J130="","",IF(XLOOKUP(J130,Strike_Review_Queue!$I:$I,Strike_Review_Queue!$J:$J,"")="Approve","Approved",IF(XLOOKUP(J130,Strike_Review_Queue!$I:$I,Strike_Review_Queue!$J:$J,"")="Deny","Counts",H130)))</f>
        <v/>
      </c>
      <c r="L130" s="39" t="str">
        <f t="array" ref="L130">IF(J130="","",XLOOKUP(J130,Strike_Review_Queue!$I:$I,Strike_Review_Queue!$L:$L,""))</f>
        <v/>
      </c>
      <c r="M130" s="39" t="str">
        <f t="array" ref="M130">IF(J130="","",XLOOKUP(J130,Strike_Review_Queue!$I:$I,Strike_Review_Queue!$M:$M,""))</f>
        <v/>
      </c>
    </row>
    <row r="131" ht="15.75" customHeight="1">
      <c r="C131" s="39"/>
      <c r="D131" s="39" t="str">
        <f>IF(OR(B131="",A131=""),"",MAX(0,MIN(3,SUMIFS($C$2:$C$1000,$B$2:$B$1000,B131,$A$2:$A$1000,"&lt;="&amp;A131,$A$2:$A$1000,"&gt;="&amp;IF(Config!$B$1004="Y",A131-Config!$B$1005,DATE(1900,1,1)),$I$2:$I$1000,1)))))</f>
        <v>#ERROR!</v>
      </c>
      <c r="H131" s="39"/>
      <c r="I131" s="39">
        <f t="shared" si="1"/>
        <v>1</v>
      </c>
      <c r="J131" s="39" t="str">
        <f t="shared" si="2"/>
        <v/>
      </c>
      <c r="K131" s="39" t="str">
        <f t="array" ref="K131">IF(J131="","",IF(XLOOKUP(J131,Strike_Review_Queue!$I:$I,Strike_Review_Queue!$J:$J,"")="Approve","Approved",IF(XLOOKUP(J131,Strike_Review_Queue!$I:$I,Strike_Review_Queue!$J:$J,"")="Deny","Counts",H131)))</f>
        <v/>
      </c>
      <c r="L131" s="39" t="str">
        <f t="array" ref="L131">IF(J131="","",XLOOKUP(J131,Strike_Review_Queue!$I:$I,Strike_Review_Queue!$L:$L,""))</f>
        <v/>
      </c>
      <c r="M131" s="39" t="str">
        <f t="array" ref="M131">IF(J131="","",XLOOKUP(J131,Strike_Review_Queue!$I:$I,Strike_Review_Queue!$M:$M,""))</f>
        <v/>
      </c>
    </row>
    <row r="132" ht="15.75" customHeight="1">
      <c r="C132" s="39"/>
      <c r="D132" s="39" t="str">
        <f>IF(OR(B132="",A132=""),"",MAX(0,MIN(3,SUMIFS($C$2:$C$1000,$B$2:$B$1000,B132,$A$2:$A$1000,"&lt;="&amp;A132,$A$2:$A$1000,"&gt;="&amp;IF(Config!$B$1004="Y",A132-Config!$B$1005,DATE(1900,1,1)),$I$2:$I$1000,1)))))</f>
        <v>#ERROR!</v>
      </c>
      <c r="H132" s="39"/>
      <c r="I132" s="39">
        <f t="shared" si="1"/>
        <v>1</v>
      </c>
      <c r="J132" s="39" t="str">
        <f t="shared" si="2"/>
        <v/>
      </c>
      <c r="K132" s="39" t="str">
        <f t="array" ref="K132">IF(J132="","",IF(XLOOKUP(J132,Strike_Review_Queue!$I:$I,Strike_Review_Queue!$J:$J,"")="Approve","Approved",IF(XLOOKUP(J132,Strike_Review_Queue!$I:$I,Strike_Review_Queue!$J:$J,"")="Deny","Counts",H132)))</f>
        <v/>
      </c>
      <c r="L132" s="39" t="str">
        <f t="array" ref="L132">IF(J132="","",XLOOKUP(J132,Strike_Review_Queue!$I:$I,Strike_Review_Queue!$L:$L,""))</f>
        <v/>
      </c>
      <c r="M132" s="39" t="str">
        <f t="array" ref="M132">IF(J132="","",XLOOKUP(J132,Strike_Review_Queue!$I:$I,Strike_Review_Queue!$M:$M,""))</f>
        <v/>
      </c>
    </row>
    <row r="133" ht="15.75" customHeight="1">
      <c r="C133" s="39"/>
      <c r="D133" s="39" t="str">
        <f>IF(OR(B133="",A133=""),"",MAX(0,MIN(3,SUMIFS($C$2:$C$1000,$B$2:$B$1000,B133,$A$2:$A$1000,"&lt;="&amp;A133,$A$2:$A$1000,"&gt;="&amp;IF(Config!$B$1004="Y",A133-Config!$B$1005,DATE(1900,1,1)),$I$2:$I$1000,1)))))</f>
        <v>#ERROR!</v>
      </c>
      <c r="H133" s="39"/>
      <c r="I133" s="39">
        <f t="shared" si="1"/>
        <v>1</v>
      </c>
      <c r="J133" s="39" t="str">
        <f t="shared" si="2"/>
        <v/>
      </c>
      <c r="K133" s="39" t="str">
        <f t="array" ref="K133">IF(J133="","",IF(XLOOKUP(J133,Strike_Review_Queue!$I:$I,Strike_Review_Queue!$J:$J,"")="Approve","Approved",IF(XLOOKUP(J133,Strike_Review_Queue!$I:$I,Strike_Review_Queue!$J:$J,"")="Deny","Counts",H133)))</f>
        <v/>
      </c>
      <c r="L133" s="39" t="str">
        <f t="array" ref="L133">IF(J133="","",XLOOKUP(J133,Strike_Review_Queue!$I:$I,Strike_Review_Queue!$L:$L,""))</f>
        <v/>
      </c>
      <c r="M133" s="39" t="str">
        <f t="array" ref="M133">IF(J133="","",XLOOKUP(J133,Strike_Review_Queue!$I:$I,Strike_Review_Queue!$M:$M,""))</f>
        <v/>
      </c>
    </row>
    <row r="134" ht="15.75" customHeight="1">
      <c r="C134" s="39"/>
      <c r="D134" s="39" t="str">
        <f>IF(OR(B134="",A134=""),"",MAX(0,MIN(3,SUMIFS($C$2:$C$1000,$B$2:$B$1000,B134,$A$2:$A$1000,"&lt;="&amp;A134,$A$2:$A$1000,"&gt;="&amp;IF(Config!$B$1004="Y",A134-Config!$B$1005,DATE(1900,1,1)),$I$2:$I$1000,1)))))</f>
        <v>#ERROR!</v>
      </c>
      <c r="H134" s="39"/>
      <c r="I134" s="39">
        <f t="shared" si="1"/>
        <v>1</v>
      </c>
      <c r="J134" s="39" t="str">
        <f t="shared" si="2"/>
        <v/>
      </c>
      <c r="K134" s="39" t="str">
        <f t="array" ref="K134">IF(J134="","",IF(XLOOKUP(J134,Strike_Review_Queue!$I:$I,Strike_Review_Queue!$J:$J,"")="Approve","Approved",IF(XLOOKUP(J134,Strike_Review_Queue!$I:$I,Strike_Review_Queue!$J:$J,"")="Deny","Counts",H134)))</f>
        <v/>
      </c>
      <c r="L134" s="39" t="str">
        <f t="array" ref="L134">IF(J134="","",XLOOKUP(J134,Strike_Review_Queue!$I:$I,Strike_Review_Queue!$L:$L,""))</f>
        <v/>
      </c>
      <c r="M134" s="39" t="str">
        <f t="array" ref="M134">IF(J134="","",XLOOKUP(J134,Strike_Review_Queue!$I:$I,Strike_Review_Queue!$M:$M,""))</f>
        <v/>
      </c>
    </row>
    <row r="135" ht="15.75" customHeight="1">
      <c r="C135" s="39"/>
      <c r="D135" s="39" t="str">
        <f>IF(OR(B135="",A135=""),"",MAX(0,MIN(3,SUMIFS($C$2:$C$1000,$B$2:$B$1000,B135,$A$2:$A$1000,"&lt;="&amp;A135,$A$2:$A$1000,"&gt;="&amp;IF(Config!$B$1004="Y",A135-Config!$B$1005,DATE(1900,1,1)),$I$2:$I$1000,1)))))</f>
        <v>#ERROR!</v>
      </c>
      <c r="H135" s="39"/>
      <c r="I135" s="39">
        <f t="shared" si="1"/>
        <v>1</v>
      </c>
      <c r="J135" s="39" t="str">
        <f t="shared" si="2"/>
        <v/>
      </c>
      <c r="K135" s="39" t="str">
        <f t="array" ref="K135">IF(J135="","",IF(XLOOKUP(J135,Strike_Review_Queue!$I:$I,Strike_Review_Queue!$J:$J,"")="Approve","Approved",IF(XLOOKUP(J135,Strike_Review_Queue!$I:$I,Strike_Review_Queue!$J:$J,"")="Deny","Counts",H135)))</f>
        <v/>
      </c>
      <c r="L135" s="39" t="str">
        <f t="array" ref="L135">IF(J135="","",XLOOKUP(J135,Strike_Review_Queue!$I:$I,Strike_Review_Queue!$L:$L,""))</f>
        <v/>
      </c>
      <c r="M135" s="39" t="str">
        <f t="array" ref="M135">IF(J135="","",XLOOKUP(J135,Strike_Review_Queue!$I:$I,Strike_Review_Queue!$M:$M,""))</f>
        <v/>
      </c>
    </row>
    <row r="136" ht="15.75" customHeight="1">
      <c r="C136" s="39"/>
      <c r="D136" s="39" t="str">
        <f>IF(OR(B136="",A136=""),"",MAX(0,MIN(3,SUMIFS($C$2:$C$1000,$B$2:$B$1000,B136,$A$2:$A$1000,"&lt;="&amp;A136,$A$2:$A$1000,"&gt;="&amp;IF(Config!$B$1004="Y",A136-Config!$B$1005,DATE(1900,1,1)),$I$2:$I$1000,1)))))</f>
        <v>#ERROR!</v>
      </c>
      <c r="H136" s="39"/>
      <c r="I136" s="39">
        <f t="shared" si="1"/>
        <v>1</v>
      </c>
      <c r="J136" s="39" t="str">
        <f t="shared" si="2"/>
        <v/>
      </c>
      <c r="K136" s="39" t="str">
        <f t="array" ref="K136">IF(J136="","",IF(XLOOKUP(J136,Strike_Review_Queue!$I:$I,Strike_Review_Queue!$J:$J,"")="Approve","Approved",IF(XLOOKUP(J136,Strike_Review_Queue!$I:$I,Strike_Review_Queue!$J:$J,"")="Deny","Counts",H136)))</f>
        <v/>
      </c>
      <c r="L136" s="39" t="str">
        <f t="array" ref="L136">IF(J136="","",XLOOKUP(J136,Strike_Review_Queue!$I:$I,Strike_Review_Queue!$L:$L,""))</f>
        <v/>
      </c>
      <c r="M136" s="39" t="str">
        <f t="array" ref="M136">IF(J136="","",XLOOKUP(J136,Strike_Review_Queue!$I:$I,Strike_Review_Queue!$M:$M,""))</f>
        <v/>
      </c>
    </row>
    <row r="137" ht="15.75" customHeight="1">
      <c r="C137" s="39"/>
      <c r="D137" s="39" t="str">
        <f>IF(OR(B137="",A137=""),"",MAX(0,MIN(3,SUMIFS($C$2:$C$1000,$B$2:$B$1000,B137,$A$2:$A$1000,"&lt;="&amp;A137,$A$2:$A$1000,"&gt;="&amp;IF(Config!$B$1004="Y",A137-Config!$B$1005,DATE(1900,1,1)),$I$2:$I$1000,1)))))</f>
        <v>#ERROR!</v>
      </c>
      <c r="H137" s="39"/>
      <c r="I137" s="39">
        <f t="shared" si="1"/>
        <v>1</v>
      </c>
      <c r="J137" s="39" t="str">
        <f t="shared" si="2"/>
        <v/>
      </c>
      <c r="K137" s="39" t="str">
        <f t="array" ref="K137">IF(J137="","",IF(XLOOKUP(J137,Strike_Review_Queue!$I:$I,Strike_Review_Queue!$J:$J,"")="Approve","Approved",IF(XLOOKUP(J137,Strike_Review_Queue!$I:$I,Strike_Review_Queue!$J:$J,"")="Deny","Counts",H137)))</f>
        <v/>
      </c>
      <c r="L137" s="39" t="str">
        <f t="array" ref="L137">IF(J137="","",XLOOKUP(J137,Strike_Review_Queue!$I:$I,Strike_Review_Queue!$L:$L,""))</f>
        <v/>
      </c>
      <c r="M137" s="39" t="str">
        <f t="array" ref="M137">IF(J137="","",XLOOKUP(J137,Strike_Review_Queue!$I:$I,Strike_Review_Queue!$M:$M,""))</f>
        <v/>
      </c>
    </row>
    <row r="138" ht="15.75" customHeight="1">
      <c r="C138" s="39"/>
      <c r="D138" s="39" t="str">
        <f>IF(OR(B138="",A138=""),"",MAX(0,MIN(3,SUMIFS($C$2:$C$1000,$B$2:$B$1000,B138,$A$2:$A$1000,"&lt;="&amp;A138,$A$2:$A$1000,"&gt;="&amp;IF(Config!$B$1004="Y",A138-Config!$B$1005,DATE(1900,1,1)),$I$2:$I$1000,1)))))</f>
        <v>#ERROR!</v>
      </c>
      <c r="H138" s="39"/>
      <c r="I138" s="39">
        <f t="shared" si="1"/>
        <v>1</v>
      </c>
      <c r="J138" s="39" t="str">
        <f t="shared" si="2"/>
        <v/>
      </c>
      <c r="K138" s="39" t="str">
        <f t="array" ref="K138">IF(J138="","",IF(XLOOKUP(J138,Strike_Review_Queue!$I:$I,Strike_Review_Queue!$J:$J,"")="Approve","Approved",IF(XLOOKUP(J138,Strike_Review_Queue!$I:$I,Strike_Review_Queue!$J:$J,"")="Deny","Counts",H138)))</f>
        <v/>
      </c>
      <c r="L138" s="39" t="str">
        <f t="array" ref="L138">IF(J138="","",XLOOKUP(J138,Strike_Review_Queue!$I:$I,Strike_Review_Queue!$L:$L,""))</f>
        <v/>
      </c>
      <c r="M138" s="39" t="str">
        <f t="array" ref="M138">IF(J138="","",XLOOKUP(J138,Strike_Review_Queue!$I:$I,Strike_Review_Queue!$M:$M,""))</f>
        <v/>
      </c>
    </row>
    <row r="139" ht="15.75" customHeight="1">
      <c r="C139" s="39"/>
      <c r="D139" s="39" t="str">
        <f>IF(OR(B139="",A139=""),"",MAX(0,MIN(3,SUMIFS($C$2:$C$1000,$B$2:$B$1000,B139,$A$2:$A$1000,"&lt;="&amp;A139,$A$2:$A$1000,"&gt;="&amp;IF(Config!$B$1004="Y",A139-Config!$B$1005,DATE(1900,1,1)),$I$2:$I$1000,1)))))</f>
        <v>#ERROR!</v>
      </c>
      <c r="H139" s="39"/>
      <c r="I139" s="39">
        <f t="shared" si="1"/>
        <v>1</v>
      </c>
      <c r="J139" s="39" t="str">
        <f t="shared" si="2"/>
        <v/>
      </c>
      <c r="K139" s="39" t="str">
        <f t="array" ref="K139">IF(J139="","",IF(XLOOKUP(J139,Strike_Review_Queue!$I:$I,Strike_Review_Queue!$J:$J,"")="Approve","Approved",IF(XLOOKUP(J139,Strike_Review_Queue!$I:$I,Strike_Review_Queue!$J:$J,"")="Deny","Counts",H139)))</f>
        <v/>
      </c>
      <c r="L139" s="39" t="str">
        <f t="array" ref="L139">IF(J139="","",XLOOKUP(J139,Strike_Review_Queue!$I:$I,Strike_Review_Queue!$L:$L,""))</f>
        <v/>
      </c>
      <c r="M139" s="39" t="str">
        <f t="array" ref="M139">IF(J139="","",XLOOKUP(J139,Strike_Review_Queue!$I:$I,Strike_Review_Queue!$M:$M,""))</f>
        <v/>
      </c>
    </row>
    <row r="140" ht="15.75" customHeight="1">
      <c r="C140" s="39"/>
      <c r="D140" s="39" t="str">
        <f>IF(OR(B140="",A140=""),"",MAX(0,MIN(3,SUMIFS($C$2:$C$1000,$B$2:$B$1000,B140,$A$2:$A$1000,"&lt;="&amp;A140,$A$2:$A$1000,"&gt;="&amp;IF(Config!$B$1004="Y",A140-Config!$B$1005,DATE(1900,1,1)),$I$2:$I$1000,1)))))</f>
        <v>#ERROR!</v>
      </c>
      <c r="H140" s="39"/>
      <c r="I140" s="39">
        <f t="shared" si="1"/>
        <v>1</v>
      </c>
      <c r="J140" s="39" t="str">
        <f t="shared" si="2"/>
        <v/>
      </c>
      <c r="K140" s="39" t="str">
        <f t="array" ref="K140">IF(J140="","",IF(XLOOKUP(J140,Strike_Review_Queue!$I:$I,Strike_Review_Queue!$J:$J,"")="Approve","Approved",IF(XLOOKUP(J140,Strike_Review_Queue!$I:$I,Strike_Review_Queue!$J:$J,"")="Deny","Counts",H140)))</f>
        <v/>
      </c>
      <c r="L140" s="39" t="str">
        <f t="array" ref="L140">IF(J140="","",XLOOKUP(J140,Strike_Review_Queue!$I:$I,Strike_Review_Queue!$L:$L,""))</f>
        <v/>
      </c>
      <c r="M140" s="39" t="str">
        <f t="array" ref="M140">IF(J140="","",XLOOKUP(J140,Strike_Review_Queue!$I:$I,Strike_Review_Queue!$M:$M,""))</f>
        <v/>
      </c>
    </row>
    <row r="141" ht="15.75" customHeight="1">
      <c r="C141" s="39"/>
      <c r="D141" s="39" t="str">
        <f>IF(OR(B141="",A141=""),"",MAX(0,MIN(3,SUMIFS($C$2:$C$1000,$B$2:$B$1000,B141,$A$2:$A$1000,"&lt;="&amp;A141,$A$2:$A$1000,"&gt;="&amp;IF(Config!$B$1004="Y",A141-Config!$B$1005,DATE(1900,1,1)),$I$2:$I$1000,1)))))</f>
        <v>#ERROR!</v>
      </c>
      <c r="H141" s="39"/>
      <c r="I141" s="39">
        <f t="shared" si="1"/>
        <v>1</v>
      </c>
      <c r="J141" s="39" t="str">
        <f t="shared" si="2"/>
        <v/>
      </c>
      <c r="K141" s="39" t="str">
        <f t="array" ref="K141">IF(J141="","",IF(XLOOKUP(J141,Strike_Review_Queue!$I:$I,Strike_Review_Queue!$J:$J,"")="Approve","Approved",IF(XLOOKUP(J141,Strike_Review_Queue!$I:$I,Strike_Review_Queue!$J:$J,"")="Deny","Counts",H141)))</f>
        <v/>
      </c>
      <c r="L141" s="39" t="str">
        <f t="array" ref="L141">IF(J141="","",XLOOKUP(J141,Strike_Review_Queue!$I:$I,Strike_Review_Queue!$L:$L,""))</f>
        <v/>
      </c>
      <c r="M141" s="39" t="str">
        <f t="array" ref="M141">IF(J141="","",XLOOKUP(J141,Strike_Review_Queue!$I:$I,Strike_Review_Queue!$M:$M,""))</f>
        <v/>
      </c>
    </row>
    <row r="142" ht="15.75" customHeight="1">
      <c r="C142" s="39"/>
      <c r="D142" s="39" t="str">
        <f>IF(OR(B142="",A142=""),"",MAX(0,MIN(3,SUMIFS($C$2:$C$1000,$B$2:$B$1000,B142,$A$2:$A$1000,"&lt;="&amp;A142,$A$2:$A$1000,"&gt;="&amp;IF(Config!$B$1004="Y",A142-Config!$B$1005,DATE(1900,1,1)),$I$2:$I$1000,1)))))</f>
        <v>#ERROR!</v>
      </c>
      <c r="H142" s="39"/>
      <c r="I142" s="39">
        <f t="shared" si="1"/>
        <v>1</v>
      </c>
      <c r="J142" s="39" t="str">
        <f t="shared" si="2"/>
        <v/>
      </c>
      <c r="K142" s="39" t="str">
        <f t="array" ref="K142">IF(J142="","",IF(XLOOKUP(J142,Strike_Review_Queue!$I:$I,Strike_Review_Queue!$J:$J,"")="Approve","Approved",IF(XLOOKUP(J142,Strike_Review_Queue!$I:$I,Strike_Review_Queue!$J:$J,"")="Deny","Counts",H142)))</f>
        <v/>
      </c>
      <c r="L142" s="39" t="str">
        <f t="array" ref="L142">IF(J142="","",XLOOKUP(J142,Strike_Review_Queue!$I:$I,Strike_Review_Queue!$L:$L,""))</f>
        <v/>
      </c>
      <c r="M142" s="39" t="str">
        <f t="array" ref="M142">IF(J142="","",XLOOKUP(J142,Strike_Review_Queue!$I:$I,Strike_Review_Queue!$M:$M,""))</f>
        <v/>
      </c>
    </row>
    <row r="143" ht="15.75" customHeight="1">
      <c r="C143" s="39"/>
      <c r="D143" s="39" t="str">
        <f>IF(OR(B143="",A143=""),"",MAX(0,MIN(3,SUMIFS($C$2:$C$1000,$B$2:$B$1000,B143,$A$2:$A$1000,"&lt;="&amp;A143,$A$2:$A$1000,"&gt;="&amp;IF(Config!$B$1004="Y",A143-Config!$B$1005,DATE(1900,1,1)),$I$2:$I$1000,1)))))</f>
        <v>#ERROR!</v>
      </c>
      <c r="H143" s="39"/>
      <c r="I143" s="39">
        <f t="shared" si="1"/>
        <v>1</v>
      </c>
      <c r="J143" s="39" t="str">
        <f t="shared" si="2"/>
        <v/>
      </c>
      <c r="K143" s="39" t="str">
        <f t="array" ref="K143">IF(J143="","",IF(XLOOKUP(J143,Strike_Review_Queue!$I:$I,Strike_Review_Queue!$J:$J,"")="Approve","Approved",IF(XLOOKUP(J143,Strike_Review_Queue!$I:$I,Strike_Review_Queue!$J:$J,"")="Deny","Counts",H143)))</f>
        <v/>
      </c>
      <c r="L143" s="39" t="str">
        <f t="array" ref="L143">IF(J143="","",XLOOKUP(J143,Strike_Review_Queue!$I:$I,Strike_Review_Queue!$L:$L,""))</f>
        <v/>
      </c>
      <c r="M143" s="39" t="str">
        <f t="array" ref="M143">IF(J143="","",XLOOKUP(J143,Strike_Review_Queue!$I:$I,Strike_Review_Queue!$M:$M,""))</f>
        <v/>
      </c>
    </row>
    <row r="144" ht="15.75" customHeight="1">
      <c r="C144" s="39"/>
      <c r="D144" s="39" t="str">
        <f>IF(OR(B144="",A144=""),"",MAX(0,MIN(3,SUMIFS($C$2:$C$1000,$B$2:$B$1000,B144,$A$2:$A$1000,"&lt;="&amp;A144,$A$2:$A$1000,"&gt;="&amp;IF(Config!$B$1004="Y",A144-Config!$B$1005,DATE(1900,1,1)),$I$2:$I$1000,1)))))</f>
        <v>#ERROR!</v>
      </c>
      <c r="H144" s="39"/>
      <c r="I144" s="39">
        <f t="shared" si="1"/>
        <v>1</v>
      </c>
      <c r="J144" s="39" t="str">
        <f t="shared" si="2"/>
        <v/>
      </c>
      <c r="K144" s="39" t="str">
        <f t="array" ref="K144">IF(J144="","",IF(XLOOKUP(J144,Strike_Review_Queue!$I:$I,Strike_Review_Queue!$J:$J,"")="Approve","Approved",IF(XLOOKUP(J144,Strike_Review_Queue!$I:$I,Strike_Review_Queue!$J:$J,"")="Deny","Counts",H144)))</f>
        <v/>
      </c>
      <c r="L144" s="39" t="str">
        <f t="array" ref="L144">IF(J144="","",XLOOKUP(J144,Strike_Review_Queue!$I:$I,Strike_Review_Queue!$L:$L,""))</f>
        <v/>
      </c>
      <c r="M144" s="39" t="str">
        <f t="array" ref="M144">IF(J144="","",XLOOKUP(J144,Strike_Review_Queue!$I:$I,Strike_Review_Queue!$M:$M,""))</f>
        <v/>
      </c>
    </row>
    <row r="145" ht="15.75" customHeight="1">
      <c r="C145" s="39"/>
      <c r="D145" s="39" t="str">
        <f>IF(OR(B145="",A145=""),"",MAX(0,MIN(3,SUMIFS($C$2:$C$1000,$B$2:$B$1000,B145,$A$2:$A$1000,"&lt;="&amp;A145,$A$2:$A$1000,"&gt;="&amp;IF(Config!$B$1004="Y",A145-Config!$B$1005,DATE(1900,1,1)),$I$2:$I$1000,1)))))</f>
        <v>#ERROR!</v>
      </c>
      <c r="H145" s="39"/>
      <c r="I145" s="39">
        <f t="shared" si="1"/>
        <v>1</v>
      </c>
      <c r="J145" s="39" t="str">
        <f t="shared" si="2"/>
        <v/>
      </c>
      <c r="K145" s="39" t="str">
        <f t="array" ref="K145">IF(J145="","",IF(XLOOKUP(J145,Strike_Review_Queue!$I:$I,Strike_Review_Queue!$J:$J,"")="Approve","Approved",IF(XLOOKUP(J145,Strike_Review_Queue!$I:$I,Strike_Review_Queue!$J:$J,"")="Deny","Counts",H145)))</f>
        <v/>
      </c>
      <c r="L145" s="39" t="str">
        <f t="array" ref="L145">IF(J145="","",XLOOKUP(J145,Strike_Review_Queue!$I:$I,Strike_Review_Queue!$L:$L,""))</f>
        <v/>
      </c>
      <c r="M145" s="39" t="str">
        <f t="array" ref="M145">IF(J145="","",XLOOKUP(J145,Strike_Review_Queue!$I:$I,Strike_Review_Queue!$M:$M,""))</f>
        <v/>
      </c>
    </row>
    <row r="146" ht="15.75" customHeight="1">
      <c r="C146" s="39"/>
      <c r="D146" s="39" t="str">
        <f>IF(OR(B146="",A146=""),"",MAX(0,MIN(3,SUMIFS($C$2:$C$1000,$B$2:$B$1000,B146,$A$2:$A$1000,"&lt;="&amp;A146,$A$2:$A$1000,"&gt;="&amp;IF(Config!$B$1004="Y",A146-Config!$B$1005,DATE(1900,1,1)),$I$2:$I$1000,1)))))</f>
        <v>#ERROR!</v>
      </c>
      <c r="H146" s="39"/>
      <c r="I146" s="39">
        <f t="shared" si="1"/>
        <v>1</v>
      </c>
      <c r="J146" s="39" t="str">
        <f t="shared" si="2"/>
        <v/>
      </c>
      <c r="K146" s="39" t="str">
        <f t="array" ref="K146">IF(J146="","",IF(XLOOKUP(J146,Strike_Review_Queue!$I:$I,Strike_Review_Queue!$J:$J,"")="Approve","Approved",IF(XLOOKUP(J146,Strike_Review_Queue!$I:$I,Strike_Review_Queue!$J:$J,"")="Deny","Counts",H146)))</f>
        <v/>
      </c>
      <c r="L146" s="39" t="str">
        <f t="array" ref="L146">IF(J146="","",XLOOKUP(J146,Strike_Review_Queue!$I:$I,Strike_Review_Queue!$L:$L,""))</f>
        <v/>
      </c>
      <c r="M146" s="39" t="str">
        <f t="array" ref="M146">IF(J146="","",XLOOKUP(J146,Strike_Review_Queue!$I:$I,Strike_Review_Queue!$M:$M,""))</f>
        <v/>
      </c>
    </row>
    <row r="147" ht="15.75" customHeight="1">
      <c r="C147" s="39"/>
      <c r="D147" s="39" t="str">
        <f>IF(OR(B147="",A147=""),"",MAX(0,MIN(3,SUMIFS($C$2:$C$1000,$B$2:$B$1000,B147,$A$2:$A$1000,"&lt;="&amp;A147,$A$2:$A$1000,"&gt;="&amp;IF(Config!$B$1004="Y",A147-Config!$B$1005,DATE(1900,1,1)),$I$2:$I$1000,1)))))</f>
        <v>#ERROR!</v>
      </c>
      <c r="H147" s="39"/>
      <c r="I147" s="39">
        <f t="shared" si="1"/>
        <v>1</v>
      </c>
      <c r="J147" s="39" t="str">
        <f t="shared" si="2"/>
        <v/>
      </c>
      <c r="K147" s="39" t="str">
        <f t="array" ref="K147">IF(J147="","",IF(XLOOKUP(J147,Strike_Review_Queue!$I:$I,Strike_Review_Queue!$J:$J,"")="Approve","Approved",IF(XLOOKUP(J147,Strike_Review_Queue!$I:$I,Strike_Review_Queue!$J:$J,"")="Deny","Counts",H147)))</f>
        <v/>
      </c>
      <c r="L147" s="39" t="str">
        <f t="array" ref="L147">IF(J147="","",XLOOKUP(J147,Strike_Review_Queue!$I:$I,Strike_Review_Queue!$L:$L,""))</f>
        <v/>
      </c>
      <c r="M147" s="39" t="str">
        <f t="array" ref="M147">IF(J147="","",XLOOKUP(J147,Strike_Review_Queue!$I:$I,Strike_Review_Queue!$M:$M,""))</f>
        <v/>
      </c>
    </row>
    <row r="148" ht="15.75" customHeight="1">
      <c r="C148" s="39"/>
      <c r="D148" s="39" t="str">
        <f>IF(OR(B148="",A148=""),"",MAX(0,MIN(3,SUMIFS($C$2:$C$1000,$B$2:$B$1000,B148,$A$2:$A$1000,"&lt;="&amp;A148,$A$2:$A$1000,"&gt;="&amp;IF(Config!$B$1004="Y",A148-Config!$B$1005,DATE(1900,1,1)),$I$2:$I$1000,1)))))</f>
        <v>#ERROR!</v>
      </c>
      <c r="H148" s="39"/>
      <c r="I148" s="39">
        <f t="shared" si="1"/>
        <v>1</v>
      </c>
      <c r="J148" s="39" t="str">
        <f t="shared" si="2"/>
        <v/>
      </c>
      <c r="K148" s="39" t="str">
        <f t="array" ref="K148">IF(J148="","",IF(XLOOKUP(J148,Strike_Review_Queue!$I:$I,Strike_Review_Queue!$J:$J,"")="Approve","Approved",IF(XLOOKUP(J148,Strike_Review_Queue!$I:$I,Strike_Review_Queue!$J:$J,"")="Deny","Counts",H148)))</f>
        <v/>
      </c>
      <c r="L148" s="39" t="str">
        <f t="array" ref="L148">IF(J148="","",XLOOKUP(J148,Strike_Review_Queue!$I:$I,Strike_Review_Queue!$L:$L,""))</f>
        <v/>
      </c>
      <c r="M148" s="39" t="str">
        <f t="array" ref="M148">IF(J148="","",XLOOKUP(J148,Strike_Review_Queue!$I:$I,Strike_Review_Queue!$M:$M,""))</f>
        <v/>
      </c>
    </row>
    <row r="149" ht="15.75" customHeight="1">
      <c r="C149" s="39"/>
      <c r="D149" s="39" t="str">
        <f>IF(OR(B149="",A149=""),"",MAX(0,MIN(3,SUMIFS($C$2:$C$1000,$B$2:$B$1000,B149,$A$2:$A$1000,"&lt;="&amp;A149,$A$2:$A$1000,"&gt;="&amp;IF(Config!$B$1004="Y",A149-Config!$B$1005,DATE(1900,1,1)),$I$2:$I$1000,1)))))</f>
        <v>#ERROR!</v>
      </c>
      <c r="H149" s="39"/>
      <c r="I149" s="39">
        <f t="shared" si="1"/>
        <v>1</v>
      </c>
      <c r="J149" s="39" t="str">
        <f t="shared" si="2"/>
        <v/>
      </c>
      <c r="K149" s="39" t="str">
        <f t="array" ref="K149">IF(J149="","",IF(XLOOKUP(J149,Strike_Review_Queue!$I:$I,Strike_Review_Queue!$J:$J,"")="Approve","Approved",IF(XLOOKUP(J149,Strike_Review_Queue!$I:$I,Strike_Review_Queue!$J:$J,"")="Deny","Counts",H149)))</f>
        <v/>
      </c>
      <c r="L149" s="39" t="str">
        <f t="array" ref="L149">IF(J149="","",XLOOKUP(J149,Strike_Review_Queue!$I:$I,Strike_Review_Queue!$L:$L,""))</f>
        <v/>
      </c>
      <c r="M149" s="39" t="str">
        <f t="array" ref="M149">IF(J149="","",XLOOKUP(J149,Strike_Review_Queue!$I:$I,Strike_Review_Queue!$M:$M,""))</f>
        <v/>
      </c>
    </row>
    <row r="150" ht="15.75" customHeight="1">
      <c r="C150" s="39"/>
      <c r="D150" s="39" t="str">
        <f>IF(OR(B150="",A150=""),"",MAX(0,MIN(3,SUMIFS($C$2:$C$1000,$B$2:$B$1000,B150,$A$2:$A$1000,"&lt;="&amp;A150,$A$2:$A$1000,"&gt;="&amp;IF(Config!$B$1004="Y",A150-Config!$B$1005,DATE(1900,1,1)),$I$2:$I$1000,1)))))</f>
        <v>#ERROR!</v>
      </c>
      <c r="H150" s="39"/>
      <c r="I150" s="39">
        <f t="shared" si="1"/>
        <v>1</v>
      </c>
      <c r="J150" s="39" t="str">
        <f t="shared" si="2"/>
        <v/>
      </c>
      <c r="K150" s="39" t="str">
        <f t="array" ref="K150">IF(J150="","",IF(XLOOKUP(J150,Strike_Review_Queue!$I:$I,Strike_Review_Queue!$J:$J,"")="Approve","Approved",IF(XLOOKUP(J150,Strike_Review_Queue!$I:$I,Strike_Review_Queue!$J:$J,"")="Deny","Counts",H150)))</f>
        <v/>
      </c>
      <c r="L150" s="39" t="str">
        <f t="array" ref="L150">IF(J150="","",XLOOKUP(J150,Strike_Review_Queue!$I:$I,Strike_Review_Queue!$L:$L,""))</f>
        <v/>
      </c>
      <c r="M150" s="39" t="str">
        <f t="array" ref="M150">IF(J150="","",XLOOKUP(J150,Strike_Review_Queue!$I:$I,Strike_Review_Queue!$M:$M,""))</f>
        <v/>
      </c>
    </row>
    <row r="151" ht="15.75" customHeight="1">
      <c r="C151" s="39"/>
      <c r="D151" s="39" t="str">
        <f>IF(OR(B151="",A151=""),"",MAX(0,MIN(3,SUMIFS($C$2:$C$1000,$B$2:$B$1000,B151,$A$2:$A$1000,"&lt;="&amp;A151,$A$2:$A$1000,"&gt;="&amp;IF(Config!$B$1004="Y",A151-Config!$B$1005,DATE(1900,1,1)),$I$2:$I$1000,1)))))</f>
        <v>#ERROR!</v>
      </c>
      <c r="H151" s="39"/>
      <c r="I151" s="39">
        <f t="shared" si="1"/>
        <v>1</v>
      </c>
      <c r="J151" s="39" t="str">
        <f t="shared" si="2"/>
        <v/>
      </c>
      <c r="K151" s="39" t="str">
        <f t="array" ref="K151">IF(J151="","",IF(XLOOKUP(J151,Strike_Review_Queue!$I:$I,Strike_Review_Queue!$J:$J,"")="Approve","Approved",IF(XLOOKUP(J151,Strike_Review_Queue!$I:$I,Strike_Review_Queue!$J:$J,"")="Deny","Counts",H151)))</f>
        <v/>
      </c>
      <c r="L151" s="39" t="str">
        <f t="array" ref="L151">IF(J151="","",XLOOKUP(J151,Strike_Review_Queue!$I:$I,Strike_Review_Queue!$L:$L,""))</f>
        <v/>
      </c>
      <c r="M151" s="39" t="str">
        <f t="array" ref="M151">IF(J151="","",XLOOKUP(J151,Strike_Review_Queue!$I:$I,Strike_Review_Queue!$M:$M,""))</f>
        <v/>
      </c>
    </row>
    <row r="152" ht="15.75" customHeight="1">
      <c r="C152" s="39"/>
      <c r="D152" s="39" t="str">
        <f>IF(OR(B152="",A152=""),"",MAX(0,MIN(3,SUMIFS($C$2:$C$1000,$B$2:$B$1000,B152,$A$2:$A$1000,"&lt;="&amp;A152,$A$2:$A$1000,"&gt;="&amp;IF(Config!$B$1004="Y",A152-Config!$B$1005,DATE(1900,1,1)),$I$2:$I$1000,1)))))</f>
        <v>#ERROR!</v>
      </c>
      <c r="H152" s="39"/>
      <c r="I152" s="39">
        <f t="shared" si="1"/>
        <v>1</v>
      </c>
      <c r="J152" s="39" t="str">
        <f t="shared" si="2"/>
        <v/>
      </c>
      <c r="K152" s="39" t="str">
        <f t="array" ref="K152">IF(J152="","",IF(XLOOKUP(J152,Strike_Review_Queue!$I:$I,Strike_Review_Queue!$J:$J,"")="Approve","Approved",IF(XLOOKUP(J152,Strike_Review_Queue!$I:$I,Strike_Review_Queue!$J:$J,"")="Deny","Counts",H152)))</f>
        <v/>
      </c>
      <c r="L152" s="39" t="str">
        <f t="array" ref="L152">IF(J152="","",XLOOKUP(J152,Strike_Review_Queue!$I:$I,Strike_Review_Queue!$L:$L,""))</f>
        <v/>
      </c>
      <c r="M152" s="39" t="str">
        <f t="array" ref="M152">IF(J152="","",XLOOKUP(J152,Strike_Review_Queue!$I:$I,Strike_Review_Queue!$M:$M,""))</f>
        <v/>
      </c>
    </row>
    <row r="153" ht="15.75" customHeight="1">
      <c r="C153" s="39"/>
      <c r="D153" s="39" t="str">
        <f>IF(OR(B153="",A153=""),"",MAX(0,MIN(3,SUMIFS($C$2:$C$1000,$B$2:$B$1000,B153,$A$2:$A$1000,"&lt;="&amp;A153,$A$2:$A$1000,"&gt;="&amp;IF(Config!$B$1004="Y",A153-Config!$B$1005,DATE(1900,1,1)),$I$2:$I$1000,1)))))</f>
        <v>#ERROR!</v>
      </c>
      <c r="H153" s="39"/>
      <c r="I153" s="39">
        <f t="shared" si="1"/>
        <v>1</v>
      </c>
      <c r="J153" s="39" t="str">
        <f t="shared" si="2"/>
        <v/>
      </c>
      <c r="K153" s="39" t="str">
        <f t="array" ref="K153">IF(J153="","",IF(XLOOKUP(J153,Strike_Review_Queue!$I:$I,Strike_Review_Queue!$J:$J,"")="Approve","Approved",IF(XLOOKUP(J153,Strike_Review_Queue!$I:$I,Strike_Review_Queue!$J:$J,"")="Deny","Counts",H153)))</f>
        <v/>
      </c>
      <c r="L153" s="39" t="str">
        <f t="array" ref="L153">IF(J153="","",XLOOKUP(J153,Strike_Review_Queue!$I:$I,Strike_Review_Queue!$L:$L,""))</f>
        <v/>
      </c>
      <c r="M153" s="39" t="str">
        <f t="array" ref="M153">IF(J153="","",XLOOKUP(J153,Strike_Review_Queue!$I:$I,Strike_Review_Queue!$M:$M,""))</f>
        <v/>
      </c>
    </row>
    <row r="154" ht="15.75" customHeight="1">
      <c r="C154" s="39"/>
      <c r="D154" s="39" t="str">
        <f>IF(OR(B154="",A154=""),"",MAX(0,MIN(3,SUMIFS($C$2:$C$1000,$B$2:$B$1000,B154,$A$2:$A$1000,"&lt;="&amp;A154,$A$2:$A$1000,"&gt;="&amp;IF(Config!$B$1004="Y",A154-Config!$B$1005,DATE(1900,1,1)),$I$2:$I$1000,1)))))</f>
        <v>#ERROR!</v>
      </c>
      <c r="H154" s="39"/>
      <c r="I154" s="39">
        <f t="shared" si="1"/>
        <v>1</v>
      </c>
      <c r="J154" s="39" t="str">
        <f t="shared" si="2"/>
        <v/>
      </c>
      <c r="K154" s="39" t="str">
        <f t="array" ref="K154">IF(J154="","",IF(XLOOKUP(J154,Strike_Review_Queue!$I:$I,Strike_Review_Queue!$J:$J,"")="Approve","Approved",IF(XLOOKUP(J154,Strike_Review_Queue!$I:$I,Strike_Review_Queue!$J:$J,"")="Deny","Counts",H154)))</f>
        <v/>
      </c>
      <c r="L154" s="39" t="str">
        <f t="array" ref="L154">IF(J154="","",XLOOKUP(J154,Strike_Review_Queue!$I:$I,Strike_Review_Queue!$L:$L,""))</f>
        <v/>
      </c>
      <c r="M154" s="39" t="str">
        <f t="array" ref="M154">IF(J154="","",XLOOKUP(J154,Strike_Review_Queue!$I:$I,Strike_Review_Queue!$M:$M,""))</f>
        <v/>
      </c>
    </row>
    <row r="155" ht="15.75" customHeight="1">
      <c r="C155" s="39"/>
      <c r="D155" s="39" t="str">
        <f>IF(OR(B155="",A155=""),"",MAX(0,MIN(3,SUMIFS($C$2:$C$1000,$B$2:$B$1000,B155,$A$2:$A$1000,"&lt;="&amp;A155,$A$2:$A$1000,"&gt;="&amp;IF(Config!$B$1004="Y",A155-Config!$B$1005,DATE(1900,1,1)),$I$2:$I$1000,1)))))</f>
        <v>#ERROR!</v>
      </c>
      <c r="H155" s="39"/>
      <c r="I155" s="39">
        <f t="shared" si="1"/>
        <v>1</v>
      </c>
      <c r="J155" s="39" t="str">
        <f t="shared" si="2"/>
        <v/>
      </c>
      <c r="K155" s="39" t="str">
        <f t="array" ref="K155">IF(J155="","",IF(XLOOKUP(J155,Strike_Review_Queue!$I:$I,Strike_Review_Queue!$J:$J,"")="Approve","Approved",IF(XLOOKUP(J155,Strike_Review_Queue!$I:$I,Strike_Review_Queue!$J:$J,"")="Deny","Counts",H155)))</f>
        <v/>
      </c>
      <c r="L155" s="39" t="str">
        <f t="array" ref="L155">IF(J155="","",XLOOKUP(J155,Strike_Review_Queue!$I:$I,Strike_Review_Queue!$L:$L,""))</f>
        <v/>
      </c>
      <c r="M155" s="39" t="str">
        <f t="array" ref="M155">IF(J155="","",XLOOKUP(J155,Strike_Review_Queue!$I:$I,Strike_Review_Queue!$M:$M,""))</f>
        <v/>
      </c>
    </row>
    <row r="156" ht="15.75" customHeight="1">
      <c r="C156" s="39"/>
      <c r="D156" s="39" t="str">
        <f>IF(OR(B156="",A156=""),"",MAX(0,MIN(3,SUMIFS($C$2:$C$1000,$B$2:$B$1000,B156,$A$2:$A$1000,"&lt;="&amp;A156,$A$2:$A$1000,"&gt;="&amp;IF(Config!$B$1004="Y",A156-Config!$B$1005,DATE(1900,1,1)),$I$2:$I$1000,1)))))</f>
        <v>#ERROR!</v>
      </c>
      <c r="H156" s="39"/>
      <c r="I156" s="39">
        <f t="shared" si="1"/>
        <v>1</v>
      </c>
      <c r="J156" s="39" t="str">
        <f t="shared" si="2"/>
        <v/>
      </c>
      <c r="K156" s="39" t="str">
        <f t="array" ref="K156">IF(J156="","",IF(XLOOKUP(J156,Strike_Review_Queue!$I:$I,Strike_Review_Queue!$J:$J,"")="Approve","Approved",IF(XLOOKUP(J156,Strike_Review_Queue!$I:$I,Strike_Review_Queue!$J:$J,"")="Deny","Counts",H156)))</f>
        <v/>
      </c>
      <c r="L156" s="39" t="str">
        <f t="array" ref="L156">IF(J156="","",XLOOKUP(J156,Strike_Review_Queue!$I:$I,Strike_Review_Queue!$L:$L,""))</f>
        <v/>
      </c>
      <c r="M156" s="39" t="str">
        <f t="array" ref="M156">IF(J156="","",XLOOKUP(J156,Strike_Review_Queue!$I:$I,Strike_Review_Queue!$M:$M,""))</f>
        <v/>
      </c>
    </row>
    <row r="157" ht="15.75" customHeight="1">
      <c r="C157" s="39"/>
      <c r="D157" s="39" t="str">
        <f>IF(OR(B157="",A157=""),"",MAX(0,MIN(3,SUMIFS($C$2:$C$1000,$B$2:$B$1000,B157,$A$2:$A$1000,"&lt;="&amp;A157,$A$2:$A$1000,"&gt;="&amp;IF(Config!$B$1004="Y",A157-Config!$B$1005,DATE(1900,1,1)),$I$2:$I$1000,1)))))</f>
        <v>#ERROR!</v>
      </c>
      <c r="H157" s="39"/>
      <c r="I157" s="39">
        <f t="shared" si="1"/>
        <v>1</v>
      </c>
      <c r="J157" s="39" t="str">
        <f t="shared" si="2"/>
        <v/>
      </c>
      <c r="K157" s="39" t="str">
        <f t="array" ref="K157">IF(J157="","",IF(XLOOKUP(J157,Strike_Review_Queue!$I:$I,Strike_Review_Queue!$J:$J,"")="Approve","Approved",IF(XLOOKUP(J157,Strike_Review_Queue!$I:$I,Strike_Review_Queue!$J:$J,"")="Deny","Counts",H157)))</f>
        <v/>
      </c>
      <c r="L157" s="39" t="str">
        <f t="array" ref="L157">IF(J157="","",XLOOKUP(J157,Strike_Review_Queue!$I:$I,Strike_Review_Queue!$L:$L,""))</f>
        <v/>
      </c>
      <c r="M157" s="39" t="str">
        <f t="array" ref="M157">IF(J157="","",XLOOKUP(J157,Strike_Review_Queue!$I:$I,Strike_Review_Queue!$M:$M,""))</f>
        <v/>
      </c>
    </row>
    <row r="158" ht="15.75" customHeight="1">
      <c r="C158" s="39"/>
      <c r="D158" s="39" t="str">
        <f>IF(OR(B158="",A158=""),"",MAX(0,MIN(3,SUMIFS($C$2:$C$1000,$B$2:$B$1000,B158,$A$2:$A$1000,"&lt;="&amp;A158,$A$2:$A$1000,"&gt;="&amp;IF(Config!$B$1004="Y",A158-Config!$B$1005,DATE(1900,1,1)),$I$2:$I$1000,1)))))</f>
        <v>#ERROR!</v>
      </c>
      <c r="H158" s="39"/>
      <c r="I158" s="39">
        <f t="shared" si="1"/>
        <v>1</v>
      </c>
      <c r="J158" s="39" t="str">
        <f t="shared" si="2"/>
        <v/>
      </c>
      <c r="K158" s="39" t="str">
        <f t="array" ref="K158">IF(J158="","",IF(XLOOKUP(J158,Strike_Review_Queue!$I:$I,Strike_Review_Queue!$J:$J,"")="Approve","Approved",IF(XLOOKUP(J158,Strike_Review_Queue!$I:$I,Strike_Review_Queue!$J:$J,"")="Deny","Counts",H158)))</f>
        <v/>
      </c>
      <c r="L158" s="39" t="str">
        <f t="array" ref="L158">IF(J158="","",XLOOKUP(J158,Strike_Review_Queue!$I:$I,Strike_Review_Queue!$L:$L,""))</f>
        <v/>
      </c>
      <c r="M158" s="39" t="str">
        <f t="array" ref="M158">IF(J158="","",XLOOKUP(J158,Strike_Review_Queue!$I:$I,Strike_Review_Queue!$M:$M,""))</f>
        <v/>
      </c>
    </row>
    <row r="159" ht="15.75" customHeight="1">
      <c r="C159" s="39"/>
      <c r="D159" s="39" t="str">
        <f>IF(OR(B159="",A159=""),"",MAX(0,MIN(3,SUMIFS($C$2:$C$1000,$B$2:$B$1000,B159,$A$2:$A$1000,"&lt;="&amp;A159,$A$2:$A$1000,"&gt;="&amp;IF(Config!$B$1004="Y",A159-Config!$B$1005,DATE(1900,1,1)),$I$2:$I$1000,1)))))</f>
        <v>#ERROR!</v>
      </c>
      <c r="H159" s="39"/>
      <c r="I159" s="39">
        <f t="shared" si="1"/>
        <v>1</v>
      </c>
      <c r="J159" s="39" t="str">
        <f t="shared" si="2"/>
        <v/>
      </c>
      <c r="K159" s="39" t="str">
        <f t="array" ref="K159">IF(J159="","",IF(XLOOKUP(J159,Strike_Review_Queue!$I:$I,Strike_Review_Queue!$J:$J,"")="Approve","Approved",IF(XLOOKUP(J159,Strike_Review_Queue!$I:$I,Strike_Review_Queue!$J:$J,"")="Deny","Counts",H159)))</f>
        <v/>
      </c>
      <c r="L159" s="39" t="str">
        <f t="array" ref="L159">IF(J159="","",XLOOKUP(J159,Strike_Review_Queue!$I:$I,Strike_Review_Queue!$L:$L,""))</f>
        <v/>
      </c>
      <c r="M159" s="39" t="str">
        <f t="array" ref="M159">IF(J159="","",XLOOKUP(J159,Strike_Review_Queue!$I:$I,Strike_Review_Queue!$M:$M,""))</f>
        <v/>
      </c>
    </row>
    <row r="160" ht="15.75" customHeight="1">
      <c r="C160" s="39"/>
      <c r="D160" s="39" t="str">
        <f>IF(OR(B160="",A160=""),"",MAX(0,MIN(3,SUMIFS($C$2:$C$1000,$B$2:$B$1000,B160,$A$2:$A$1000,"&lt;="&amp;A160,$A$2:$A$1000,"&gt;="&amp;IF(Config!$B$1004="Y",A160-Config!$B$1005,DATE(1900,1,1)),$I$2:$I$1000,1)))))</f>
        <v>#ERROR!</v>
      </c>
      <c r="H160" s="39"/>
      <c r="I160" s="39">
        <f t="shared" si="1"/>
        <v>1</v>
      </c>
      <c r="J160" s="39" t="str">
        <f t="shared" si="2"/>
        <v/>
      </c>
      <c r="K160" s="39" t="str">
        <f t="array" ref="K160">IF(J160="","",IF(XLOOKUP(J160,Strike_Review_Queue!$I:$I,Strike_Review_Queue!$J:$J,"")="Approve","Approved",IF(XLOOKUP(J160,Strike_Review_Queue!$I:$I,Strike_Review_Queue!$J:$J,"")="Deny","Counts",H160)))</f>
        <v/>
      </c>
      <c r="L160" s="39" t="str">
        <f t="array" ref="L160">IF(J160="","",XLOOKUP(J160,Strike_Review_Queue!$I:$I,Strike_Review_Queue!$L:$L,""))</f>
        <v/>
      </c>
      <c r="M160" s="39" t="str">
        <f t="array" ref="M160">IF(J160="","",XLOOKUP(J160,Strike_Review_Queue!$I:$I,Strike_Review_Queue!$M:$M,""))</f>
        <v/>
      </c>
    </row>
    <row r="161" ht="15.75" customHeight="1">
      <c r="C161" s="39"/>
      <c r="D161" s="39" t="str">
        <f>IF(OR(B161="",A161=""),"",MAX(0,MIN(3,SUMIFS($C$2:$C$1000,$B$2:$B$1000,B161,$A$2:$A$1000,"&lt;="&amp;A161,$A$2:$A$1000,"&gt;="&amp;IF(Config!$B$1004="Y",A161-Config!$B$1005,DATE(1900,1,1)),$I$2:$I$1000,1)))))</f>
        <v>#ERROR!</v>
      </c>
      <c r="H161" s="39"/>
      <c r="I161" s="39">
        <f t="shared" si="1"/>
        <v>1</v>
      </c>
      <c r="J161" s="39" t="str">
        <f t="shared" si="2"/>
        <v/>
      </c>
      <c r="K161" s="39" t="str">
        <f t="array" ref="K161">IF(J161="","",IF(XLOOKUP(J161,Strike_Review_Queue!$I:$I,Strike_Review_Queue!$J:$J,"")="Approve","Approved",IF(XLOOKUP(J161,Strike_Review_Queue!$I:$I,Strike_Review_Queue!$J:$J,"")="Deny","Counts",H161)))</f>
        <v/>
      </c>
      <c r="L161" s="39" t="str">
        <f t="array" ref="L161">IF(J161="","",XLOOKUP(J161,Strike_Review_Queue!$I:$I,Strike_Review_Queue!$L:$L,""))</f>
        <v/>
      </c>
      <c r="M161" s="39" t="str">
        <f t="array" ref="M161">IF(J161="","",XLOOKUP(J161,Strike_Review_Queue!$I:$I,Strike_Review_Queue!$M:$M,""))</f>
        <v/>
      </c>
    </row>
    <row r="162" ht="15.75" customHeight="1">
      <c r="C162" s="39"/>
      <c r="D162" s="39" t="str">
        <f>IF(OR(B162="",A162=""),"",MAX(0,MIN(3,SUMIFS($C$2:$C$1000,$B$2:$B$1000,B162,$A$2:$A$1000,"&lt;="&amp;A162,$A$2:$A$1000,"&gt;="&amp;IF(Config!$B$1004="Y",A162-Config!$B$1005,DATE(1900,1,1)),$I$2:$I$1000,1)))))</f>
        <v>#ERROR!</v>
      </c>
      <c r="H162" s="39"/>
      <c r="I162" s="39">
        <f t="shared" si="1"/>
        <v>1</v>
      </c>
      <c r="J162" s="39" t="str">
        <f t="shared" si="2"/>
        <v/>
      </c>
      <c r="K162" s="39" t="str">
        <f t="array" ref="K162">IF(J162="","",IF(XLOOKUP(J162,Strike_Review_Queue!$I:$I,Strike_Review_Queue!$J:$J,"")="Approve","Approved",IF(XLOOKUP(J162,Strike_Review_Queue!$I:$I,Strike_Review_Queue!$J:$J,"")="Deny","Counts",H162)))</f>
        <v/>
      </c>
      <c r="L162" s="39" t="str">
        <f t="array" ref="L162">IF(J162="","",XLOOKUP(J162,Strike_Review_Queue!$I:$I,Strike_Review_Queue!$L:$L,""))</f>
        <v/>
      </c>
      <c r="M162" s="39" t="str">
        <f t="array" ref="M162">IF(J162="","",XLOOKUP(J162,Strike_Review_Queue!$I:$I,Strike_Review_Queue!$M:$M,""))</f>
        <v/>
      </c>
    </row>
    <row r="163" ht="15.75" customHeight="1">
      <c r="C163" s="39"/>
      <c r="D163" s="39" t="str">
        <f>IF(OR(B163="",A163=""),"",MAX(0,MIN(3,SUMIFS($C$2:$C$1000,$B$2:$B$1000,B163,$A$2:$A$1000,"&lt;="&amp;A163,$A$2:$A$1000,"&gt;="&amp;IF(Config!$B$1004="Y",A163-Config!$B$1005,DATE(1900,1,1)),$I$2:$I$1000,1)))))</f>
        <v>#ERROR!</v>
      </c>
      <c r="H163" s="39"/>
      <c r="I163" s="39">
        <f t="shared" si="1"/>
        <v>1</v>
      </c>
      <c r="J163" s="39" t="str">
        <f t="shared" si="2"/>
        <v/>
      </c>
      <c r="K163" s="39" t="str">
        <f t="array" ref="K163">IF(J163="","",IF(XLOOKUP(J163,Strike_Review_Queue!$I:$I,Strike_Review_Queue!$J:$J,"")="Approve","Approved",IF(XLOOKUP(J163,Strike_Review_Queue!$I:$I,Strike_Review_Queue!$J:$J,"")="Deny","Counts",H163)))</f>
        <v/>
      </c>
      <c r="L163" s="39" t="str">
        <f t="array" ref="L163">IF(J163="","",XLOOKUP(J163,Strike_Review_Queue!$I:$I,Strike_Review_Queue!$L:$L,""))</f>
        <v/>
      </c>
      <c r="M163" s="39" t="str">
        <f t="array" ref="M163">IF(J163="","",XLOOKUP(J163,Strike_Review_Queue!$I:$I,Strike_Review_Queue!$M:$M,""))</f>
        <v/>
      </c>
    </row>
    <row r="164" ht="15.75" customHeight="1">
      <c r="C164" s="39"/>
      <c r="D164" s="39" t="str">
        <f>IF(OR(B164="",A164=""),"",MAX(0,MIN(3,SUMIFS($C$2:$C$1000,$B$2:$B$1000,B164,$A$2:$A$1000,"&lt;="&amp;A164,$A$2:$A$1000,"&gt;="&amp;IF(Config!$B$1004="Y",A164-Config!$B$1005,DATE(1900,1,1)),$I$2:$I$1000,1)))))</f>
        <v>#ERROR!</v>
      </c>
      <c r="H164" s="39"/>
      <c r="I164" s="39">
        <f t="shared" si="1"/>
        <v>1</v>
      </c>
      <c r="J164" s="39" t="str">
        <f t="shared" si="2"/>
        <v/>
      </c>
      <c r="K164" s="39" t="str">
        <f t="array" ref="K164">IF(J164="","",IF(XLOOKUP(J164,Strike_Review_Queue!$I:$I,Strike_Review_Queue!$J:$J,"")="Approve","Approved",IF(XLOOKUP(J164,Strike_Review_Queue!$I:$I,Strike_Review_Queue!$J:$J,"")="Deny","Counts",H164)))</f>
        <v/>
      </c>
      <c r="L164" s="39" t="str">
        <f t="array" ref="L164">IF(J164="","",XLOOKUP(J164,Strike_Review_Queue!$I:$I,Strike_Review_Queue!$L:$L,""))</f>
        <v/>
      </c>
      <c r="M164" s="39" t="str">
        <f t="array" ref="M164">IF(J164="","",XLOOKUP(J164,Strike_Review_Queue!$I:$I,Strike_Review_Queue!$M:$M,""))</f>
        <v/>
      </c>
    </row>
    <row r="165" ht="15.75" customHeight="1">
      <c r="C165" s="39"/>
      <c r="D165" s="39" t="str">
        <f>IF(OR(B165="",A165=""),"",MAX(0,MIN(3,SUMIFS($C$2:$C$1000,$B$2:$B$1000,B165,$A$2:$A$1000,"&lt;="&amp;A165,$A$2:$A$1000,"&gt;="&amp;IF(Config!$B$1004="Y",A165-Config!$B$1005,DATE(1900,1,1)),$I$2:$I$1000,1)))))</f>
        <v>#ERROR!</v>
      </c>
      <c r="H165" s="39"/>
      <c r="I165" s="39">
        <f t="shared" si="1"/>
        <v>1</v>
      </c>
      <c r="J165" s="39" t="str">
        <f t="shared" si="2"/>
        <v/>
      </c>
      <c r="K165" s="39" t="str">
        <f t="array" ref="K165">IF(J165="","",IF(XLOOKUP(J165,Strike_Review_Queue!$I:$I,Strike_Review_Queue!$J:$J,"")="Approve","Approved",IF(XLOOKUP(J165,Strike_Review_Queue!$I:$I,Strike_Review_Queue!$J:$J,"")="Deny","Counts",H165)))</f>
        <v/>
      </c>
      <c r="L165" s="39" t="str">
        <f t="array" ref="L165">IF(J165="","",XLOOKUP(J165,Strike_Review_Queue!$I:$I,Strike_Review_Queue!$L:$L,""))</f>
        <v/>
      </c>
      <c r="M165" s="39" t="str">
        <f t="array" ref="M165">IF(J165="","",XLOOKUP(J165,Strike_Review_Queue!$I:$I,Strike_Review_Queue!$M:$M,""))</f>
        <v/>
      </c>
    </row>
    <row r="166" ht="15.75" customHeight="1">
      <c r="C166" s="39"/>
      <c r="D166" s="39" t="str">
        <f>IF(OR(B166="",A166=""),"",MAX(0,MIN(3,SUMIFS($C$2:$C$1000,$B$2:$B$1000,B166,$A$2:$A$1000,"&lt;="&amp;A166,$A$2:$A$1000,"&gt;="&amp;IF(Config!$B$1004="Y",A166-Config!$B$1005,DATE(1900,1,1)),$I$2:$I$1000,1)))))</f>
        <v>#ERROR!</v>
      </c>
      <c r="H166" s="39"/>
      <c r="I166" s="39">
        <f t="shared" si="1"/>
        <v>1</v>
      </c>
      <c r="J166" s="39" t="str">
        <f t="shared" si="2"/>
        <v/>
      </c>
      <c r="K166" s="39" t="str">
        <f t="array" ref="K166">IF(J166="","",IF(XLOOKUP(J166,Strike_Review_Queue!$I:$I,Strike_Review_Queue!$J:$J,"")="Approve","Approved",IF(XLOOKUP(J166,Strike_Review_Queue!$I:$I,Strike_Review_Queue!$J:$J,"")="Deny","Counts",H166)))</f>
        <v/>
      </c>
      <c r="L166" s="39" t="str">
        <f t="array" ref="L166">IF(J166="","",XLOOKUP(J166,Strike_Review_Queue!$I:$I,Strike_Review_Queue!$L:$L,""))</f>
        <v/>
      </c>
      <c r="M166" s="39" t="str">
        <f t="array" ref="M166">IF(J166="","",XLOOKUP(J166,Strike_Review_Queue!$I:$I,Strike_Review_Queue!$M:$M,""))</f>
        <v/>
      </c>
    </row>
    <row r="167" ht="15.75" customHeight="1">
      <c r="C167" s="39"/>
      <c r="D167" s="39" t="str">
        <f>IF(OR(B167="",A167=""),"",MAX(0,MIN(3,SUMIFS($C$2:$C$1000,$B$2:$B$1000,B167,$A$2:$A$1000,"&lt;="&amp;A167,$A$2:$A$1000,"&gt;="&amp;IF(Config!$B$1004="Y",A167-Config!$B$1005,DATE(1900,1,1)),$I$2:$I$1000,1)))))</f>
        <v>#ERROR!</v>
      </c>
      <c r="H167" s="39"/>
      <c r="I167" s="39">
        <f t="shared" si="1"/>
        <v>1</v>
      </c>
      <c r="J167" s="39" t="str">
        <f t="shared" si="2"/>
        <v/>
      </c>
      <c r="K167" s="39" t="str">
        <f t="array" ref="K167">IF(J167="","",IF(XLOOKUP(J167,Strike_Review_Queue!$I:$I,Strike_Review_Queue!$J:$J,"")="Approve","Approved",IF(XLOOKUP(J167,Strike_Review_Queue!$I:$I,Strike_Review_Queue!$J:$J,"")="Deny","Counts",H167)))</f>
        <v/>
      </c>
      <c r="L167" s="39" t="str">
        <f t="array" ref="L167">IF(J167="","",XLOOKUP(J167,Strike_Review_Queue!$I:$I,Strike_Review_Queue!$L:$L,""))</f>
        <v/>
      </c>
      <c r="M167" s="39" t="str">
        <f t="array" ref="M167">IF(J167="","",XLOOKUP(J167,Strike_Review_Queue!$I:$I,Strike_Review_Queue!$M:$M,""))</f>
        <v/>
      </c>
    </row>
    <row r="168" ht="15.75" customHeight="1">
      <c r="C168" s="39"/>
      <c r="D168" s="39" t="str">
        <f>IF(OR(B168="",A168=""),"",MAX(0,MIN(3,SUMIFS($C$2:$C$1000,$B$2:$B$1000,B168,$A$2:$A$1000,"&lt;="&amp;A168,$A$2:$A$1000,"&gt;="&amp;IF(Config!$B$1004="Y",A168-Config!$B$1005,DATE(1900,1,1)),$I$2:$I$1000,1)))))</f>
        <v>#ERROR!</v>
      </c>
      <c r="H168" s="39"/>
      <c r="I168" s="39">
        <f t="shared" si="1"/>
        <v>1</v>
      </c>
      <c r="J168" s="39" t="str">
        <f t="shared" si="2"/>
        <v/>
      </c>
      <c r="K168" s="39" t="str">
        <f t="array" ref="K168">IF(J168="","",IF(XLOOKUP(J168,Strike_Review_Queue!$I:$I,Strike_Review_Queue!$J:$J,"")="Approve","Approved",IF(XLOOKUP(J168,Strike_Review_Queue!$I:$I,Strike_Review_Queue!$J:$J,"")="Deny","Counts",H168)))</f>
        <v/>
      </c>
      <c r="L168" s="39" t="str">
        <f t="array" ref="L168">IF(J168="","",XLOOKUP(J168,Strike_Review_Queue!$I:$I,Strike_Review_Queue!$L:$L,""))</f>
        <v/>
      </c>
      <c r="M168" s="39" t="str">
        <f t="array" ref="M168">IF(J168="","",XLOOKUP(J168,Strike_Review_Queue!$I:$I,Strike_Review_Queue!$M:$M,""))</f>
        <v/>
      </c>
    </row>
    <row r="169" ht="15.75" customHeight="1">
      <c r="C169" s="39"/>
      <c r="D169" s="39" t="str">
        <f>IF(OR(B169="",A169=""),"",MAX(0,MIN(3,SUMIFS($C$2:$C$1000,$B$2:$B$1000,B169,$A$2:$A$1000,"&lt;="&amp;A169,$A$2:$A$1000,"&gt;="&amp;IF(Config!$B$1004="Y",A169-Config!$B$1005,DATE(1900,1,1)),$I$2:$I$1000,1)))))</f>
        <v>#ERROR!</v>
      </c>
      <c r="H169" s="39"/>
      <c r="I169" s="39">
        <f t="shared" si="1"/>
        <v>1</v>
      </c>
      <c r="J169" s="39" t="str">
        <f t="shared" si="2"/>
        <v/>
      </c>
      <c r="K169" s="39" t="str">
        <f t="array" ref="K169">IF(J169="","",IF(XLOOKUP(J169,Strike_Review_Queue!$I:$I,Strike_Review_Queue!$J:$J,"")="Approve","Approved",IF(XLOOKUP(J169,Strike_Review_Queue!$I:$I,Strike_Review_Queue!$J:$J,"")="Deny","Counts",H169)))</f>
        <v/>
      </c>
      <c r="L169" s="39" t="str">
        <f t="array" ref="L169">IF(J169="","",XLOOKUP(J169,Strike_Review_Queue!$I:$I,Strike_Review_Queue!$L:$L,""))</f>
        <v/>
      </c>
      <c r="M169" s="39" t="str">
        <f t="array" ref="M169">IF(J169="","",XLOOKUP(J169,Strike_Review_Queue!$I:$I,Strike_Review_Queue!$M:$M,""))</f>
        <v/>
      </c>
    </row>
    <row r="170" ht="15.75" customHeight="1">
      <c r="C170" s="39"/>
      <c r="D170" s="39" t="str">
        <f>IF(OR(B170="",A170=""),"",MAX(0,MIN(3,SUMIFS($C$2:$C$1000,$B$2:$B$1000,B170,$A$2:$A$1000,"&lt;="&amp;A170,$A$2:$A$1000,"&gt;="&amp;IF(Config!$B$1004="Y",A170-Config!$B$1005,DATE(1900,1,1)),$I$2:$I$1000,1)))))</f>
        <v>#ERROR!</v>
      </c>
      <c r="H170" s="39"/>
      <c r="I170" s="39">
        <f t="shared" si="1"/>
        <v>1</v>
      </c>
      <c r="J170" s="39" t="str">
        <f t="shared" si="2"/>
        <v/>
      </c>
      <c r="K170" s="39" t="str">
        <f t="array" ref="K170">IF(J170="","",IF(XLOOKUP(J170,Strike_Review_Queue!$I:$I,Strike_Review_Queue!$J:$J,"")="Approve","Approved",IF(XLOOKUP(J170,Strike_Review_Queue!$I:$I,Strike_Review_Queue!$J:$J,"")="Deny","Counts",H170)))</f>
        <v/>
      </c>
      <c r="L170" s="39" t="str">
        <f t="array" ref="L170">IF(J170="","",XLOOKUP(J170,Strike_Review_Queue!$I:$I,Strike_Review_Queue!$L:$L,""))</f>
        <v/>
      </c>
      <c r="M170" s="39" t="str">
        <f t="array" ref="M170">IF(J170="","",XLOOKUP(J170,Strike_Review_Queue!$I:$I,Strike_Review_Queue!$M:$M,""))</f>
        <v/>
      </c>
    </row>
    <row r="171" ht="15.75" customHeight="1">
      <c r="C171" s="39"/>
      <c r="D171" s="39" t="str">
        <f>IF(OR(B171="",A171=""),"",MAX(0,MIN(3,SUMIFS($C$2:$C$1000,$B$2:$B$1000,B171,$A$2:$A$1000,"&lt;="&amp;A171,$A$2:$A$1000,"&gt;="&amp;IF(Config!$B$1004="Y",A171-Config!$B$1005,DATE(1900,1,1)),$I$2:$I$1000,1)))))</f>
        <v>#ERROR!</v>
      </c>
      <c r="H171" s="39"/>
      <c r="I171" s="39">
        <f t="shared" si="1"/>
        <v>1</v>
      </c>
      <c r="J171" s="39" t="str">
        <f t="shared" si="2"/>
        <v/>
      </c>
      <c r="K171" s="39" t="str">
        <f t="array" ref="K171">IF(J171="","",IF(XLOOKUP(J171,Strike_Review_Queue!$I:$I,Strike_Review_Queue!$J:$J,"")="Approve","Approved",IF(XLOOKUP(J171,Strike_Review_Queue!$I:$I,Strike_Review_Queue!$J:$J,"")="Deny","Counts",H171)))</f>
        <v/>
      </c>
      <c r="L171" s="39" t="str">
        <f t="array" ref="L171">IF(J171="","",XLOOKUP(J171,Strike_Review_Queue!$I:$I,Strike_Review_Queue!$L:$L,""))</f>
        <v/>
      </c>
      <c r="M171" s="39" t="str">
        <f t="array" ref="M171">IF(J171="","",XLOOKUP(J171,Strike_Review_Queue!$I:$I,Strike_Review_Queue!$M:$M,""))</f>
        <v/>
      </c>
    </row>
    <row r="172" ht="15.75" customHeight="1">
      <c r="C172" s="39"/>
      <c r="D172" s="39" t="str">
        <f>IF(OR(B172="",A172=""),"",MAX(0,MIN(3,SUMIFS($C$2:$C$1000,$B$2:$B$1000,B172,$A$2:$A$1000,"&lt;="&amp;A172,$A$2:$A$1000,"&gt;="&amp;IF(Config!$B$1004="Y",A172-Config!$B$1005,DATE(1900,1,1)),$I$2:$I$1000,1)))))</f>
        <v>#ERROR!</v>
      </c>
      <c r="H172" s="39"/>
      <c r="I172" s="39">
        <f t="shared" si="1"/>
        <v>1</v>
      </c>
      <c r="J172" s="39" t="str">
        <f t="shared" si="2"/>
        <v/>
      </c>
      <c r="K172" s="39" t="str">
        <f t="array" ref="K172">IF(J172="","",IF(XLOOKUP(J172,Strike_Review_Queue!$I:$I,Strike_Review_Queue!$J:$J,"")="Approve","Approved",IF(XLOOKUP(J172,Strike_Review_Queue!$I:$I,Strike_Review_Queue!$J:$J,"")="Deny","Counts",H172)))</f>
        <v/>
      </c>
      <c r="L172" s="39" t="str">
        <f t="array" ref="L172">IF(J172="","",XLOOKUP(J172,Strike_Review_Queue!$I:$I,Strike_Review_Queue!$L:$L,""))</f>
        <v/>
      </c>
      <c r="M172" s="39" t="str">
        <f t="array" ref="M172">IF(J172="","",XLOOKUP(J172,Strike_Review_Queue!$I:$I,Strike_Review_Queue!$M:$M,""))</f>
        <v/>
      </c>
    </row>
    <row r="173" ht="15.75" customHeight="1">
      <c r="C173" s="39"/>
      <c r="D173" s="39" t="str">
        <f>IF(OR(B173="",A173=""),"",MAX(0,MIN(3,SUMIFS($C$2:$C$1000,$B$2:$B$1000,B173,$A$2:$A$1000,"&lt;="&amp;A173,$A$2:$A$1000,"&gt;="&amp;IF(Config!$B$1004="Y",A173-Config!$B$1005,DATE(1900,1,1)),$I$2:$I$1000,1)))))</f>
        <v>#ERROR!</v>
      </c>
      <c r="H173" s="39"/>
      <c r="I173" s="39">
        <f t="shared" si="1"/>
        <v>1</v>
      </c>
      <c r="J173" s="39" t="str">
        <f t="shared" si="2"/>
        <v/>
      </c>
      <c r="K173" s="39" t="str">
        <f t="array" ref="K173">IF(J173="","",IF(XLOOKUP(J173,Strike_Review_Queue!$I:$I,Strike_Review_Queue!$J:$J,"")="Approve","Approved",IF(XLOOKUP(J173,Strike_Review_Queue!$I:$I,Strike_Review_Queue!$J:$J,"")="Deny","Counts",H173)))</f>
        <v/>
      </c>
      <c r="L173" s="39" t="str">
        <f t="array" ref="L173">IF(J173="","",XLOOKUP(J173,Strike_Review_Queue!$I:$I,Strike_Review_Queue!$L:$L,""))</f>
        <v/>
      </c>
      <c r="M173" s="39" t="str">
        <f t="array" ref="M173">IF(J173="","",XLOOKUP(J173,Strike_Review_Queue!$I:$I,Strike_Review_Queue!$M:$M,""))</f>
        <v/>
      </c>
    </row>
    <row r="174" ht="15.75" customHeight="1">
      <c r="C174" s="39"/>
      <c r="D174" s="39" t="str">
        <f>IF(OR(B174="",A174=""),"",MAX(0,MIN(3,SUMIFS($C$2:$C$1000,$B$2:$B$1000,B174,$A$2:$A$1000,"&lt;="&amp;A174,$A$2:$A$1000,"&gt;="&amp;IF(Config!$B$1004="Y",A174-Config!$B$1005,DATE(1900,1,1)),$I$2:$I$1000,1)))))</f>
        <v>#ERROR!</v>
      </c>
      <c r="H174" s="39"/>
      <c r="I174" s="39">
        <f t="shared" si="1"/>
        <v>1</v>
      </c>
      <c r="J174" s="39" t="str">
        <f t="shared" si="2"/>
        <v/>
      </c>
      <c r="K174" s="39" t="str">
        <f t="array" ref="K174">IF(J174="","",IF(XLOOKUP(J174,Strike_Review_Queue!$I:$I,Strike_Review_Queue!$J:$J,"")="Approve","Approved",IF(XLOOKUP(J174,Strike_Review_Queue!$I:$I,Strike_Review_Queue!$J:$J,"")="Deny","Counts",H174)))</f>
        <v/>
      </c>
      <c r="L174" s="39" t="str">
        <f t="array" ref="L174">IF(J174="","",XLOOKUP(J174,Strike_Review_Queue!$I:$I,Strike_Review_Queue!$L:$L,""))</f>
        <v/>
      </c>
      <c r="M174" s="39" t="str">
        <f t="array" ref="M174">IF(J174="","",XLOOKUP(J174,Strike_Review_Queue!$I:$I,Strike_Review_Queue!$M:$M,""))</f>
        <v/>
      </c>
    </row>
    <row r="175" ht="15.75" customHeight="1">
      <c r="C175" s="39"/>
      <c r="D175" s="39" t="str">
        <f>IF(OR(B175="",A175=""),"",MAX(0,MIN(3,SUMIFS($C$2:$C$1000,$B$2:$B$1000,B175,$A$2:$A$1000,"&lt;="&amp;A175,$A$2:$A$1000,"&gt;="&amp;IF(Config!$B$1004="Y",A175-Config!$B$1005,DATE(1900,1,1)),$I$2:$I$1000,1)))))</f>
        <v>#ERROR!</v>
      </c>
      <c r="H175" s="39"/>
      <c r="I175" s="39">
        <f t="shared" si="1"/>
        <v>1</v>
      </c>
      <c r="J175" s="39" t="str">
        <f t="shared" si="2"/>
        <v/>
      </c>
      <c r="K175" s="39" t="str">
        <f t="array" ref="K175">IF(J175="","",IF(XLOOKUP(J175,Strike_Review_Queue!$I:$I,Strike_Review_Queue!$J:$J,"")="Approve","Approved",IF(XLOOKUP(J175,Strike_Review_Queue!$I:$I,Strike_Review_Queue!$J:$J,"")="Deny","Counts",H175)))</f>
        <v/>
      </c>
      <c r="L175" s="39" t="str">
        <f t="array" ref="L175">IF(J175="","",XLOOKUP(J175,Strike_Review_Queue!$I:$I,Strike_Review_Queue!$L:$L,""))</f>
        <v/>
      </c>
      <c r="M175" s="39" t="str">
        <f t="array" ref="M175">IF(J175="","",XLOOKUP(J175,Strike_Review_Queue!$I:$I,Strike_Review_Queue!$M:$M,""))</f>
        <v/>
      </c>
    </row>
    <row r="176" ht="15.75" customHeight="1">
      <c r="C176" s="39"/>
      <c r="D176" s="39" t="str">
        <f>IF(OR(B176="",A176=""),"",MAX(0,MIN(3,SUMIFS($C$2:$C$1000,$B$2:$B$1000,B176,$A$2:$A$1000,"&lt;="&amp;A176,$A$2:$A$1000,"&gt;="&amp;IF(Config!$B$1004="Y",A176-Config!$B$1005,DATE(1900,1,1)),$I$2:$I$1000,1)))))</f>
        <v>#ERROR!</v>
      </c>
      <c r="H176" s="39"/>
      <c r="I176" s="39">
        <f t="shared" si="1"/>
        <v>1</v>
      </c>
      <c r="J176" s="39" t="str">
        <f t="shared" si="2"/>
        <v/>
      </c>
      <c r="K176" s="39" t="str">
        <f t="array" ref="K176">IF(J176="","",IF(XLOOKUP(J176,Strike_Review_Queue!$I:$I,Strike_Review_Queue!$J:$J,"")="Approve","Approved",IF(XLOOKUP(J176,Strike_Review_Queue!$I:$I,Strike_Review_Queue!$J:$J,"")="Deny","Counts",H176)))</f>
        <v/>
      </c>
      <c r="L176" s="39" t="str">
        <f t="array" ref="L176">IF(J176="","",XLOOKUP(J176,Strike_Review_Queue!$I:$I,Strike_Review_Queue!$L:$L,""))</f>
        <v/>
      </c>
      <c r="M176" s="39" t="str">
        <f t="array" ref="M176">IF(J176="","",XLOOKUP(J176,Strike_Review_Queue!$I:$I,Strike_Review_Queue!$M:$M,""))</f>
        <v/>
      </c>
    </row>
    <row r="177" ht="15.75" customHeight="1">
      <c r="C177" s="39"/>
      <c r="D177" s="39" t="str">
        <f>IF(OR(B177="",A177=""),"",MAX(0,MIN(3,SUMIFS($C$2:$C$1000,$B$2:$B$1000,B177,$A$2:$A$1000,"&lt;="&amp;A177,$A$2:$A$1000,"&gt;="&amp;IF(Config!$B$1004="Y",A177-Config!$B$1005,DATE(1900,1,1)),$I$2:$I$1000,1)))))</f>
        <v>#ERROR!</v>
      </c>
      <c r="H177" s="39"/>
      <c r="I177" s="39">
        <f t="shared" si="1"/>
        <v>1</v>
      </c>
      <c r="J177" s="39" t="str">
        <f t="shared" si="2"/>
        <v/>
      </c>
      <c r="K177" s="39" t="str">
        <f t="array" ref="K177">IF(J177="","",IF(XLOOKUP(J177,Strike_Review_Queue!$I:$I,Strike_Review_Queue!$J:$J,"")="Approve","Approved",IF(XLOOKUP(J177,Strike_Review_Queue!$I:$I,Strike_Review_Queue!$J:$J,"")="Deny","Counts",H177)))</f>
        <v/>
      </c>
      <c r="L177" s="39" t="str">
        <f t="array" ref="L177">IF(J177="","",XLOOKUP(J177,Strike_Review_Queue!$I:$I,Strike_Review_Queue!$L:$L,""))</f>
        <v/>
      </c>
      <c r="M177" s="39" t="str">
        <f t="array" ref="M177">IF(J177="","",XLOOKUP(J177,Strike_Review_Queue!$I:$I,Strike_Review_Queue!$M:$M,""))</f>
        <v/>
      </c>
    </row>
    <row r="178" ht="15.75" customHeight="1">
      <c r="C178" s="39"/>
      <c r="D178" s="39" t="str">
        <f>IF(OR(B178="",A178=""),"",MAX(0,MIN(3,SUMIFS($C$2:$C$1000,$B$2:$B$1000,B178,$A$2:$A$1000,"&lt;="&amp;A178,$A$2:$A$1000,"&gt;="&amp;IF(Config!$B$1004="Y",A178-Config!$B$1005,DATE(1900,1,1)),$I$2:$I$1000,1)))))</f>
        <v>#ERROR!</v>
      </c>
      <c r="H178" s="39"/>
      <c r="I178" s="39">
        <f t="shared" si="1"/>
        <v>1</v>
      </c>
      <c r="J178" s="39" t="str">
        <f t="shared" si="2"/>
        <v/>
      </c>
      <c r="K178" s="39" t="str">
        <f t="array" ref="K178">IF(J178="","",IF(XLOOKUP(J178,Strike_Review_Queue!$I:$I,Strike_Review_Queue!$J:$J,"")="Approve","Approved",IF(XLOOKUP(J178,Strike_Review_Queue!$I:$I,Strike_Review_Queue!$J:$J,"")="Deny","Counts",H178)))</f>
        <v/>
      </c>
      <c r="L178" s="39" t="str">
        <f t="array" ref="L178">IF(J178="","",XLOOKUP(J178,Strike_Review_Queue!$I:$I,Strike_Review_Queue!$L:$L,""))</f>
        <v/>
      </c>
      <c r="M178" s="39" t="str">
        <f t="array" ref="M178">IF(J178="","",XLOOKUP(J178,Strike_Review_Queue!$I:$I,Strike_Review_Queue!$M:$M,""))</f>
        <v/>
      </c>
    </row>
    <row r="179" ht="15.75" customHeight="1">
      <c r="C179" s="39"/>
      <c r="D179" s="39" t="str">
        <f>IF(OR(B179="",A179=""),"",MAX(0,MIN(3,SUMIFS($C$2:$C$1000,$B$2:$B$1000,B179,$A$2:$A$1000,"&lt;="&amp;A179,$A$2:$A$1000,"&gt;="&amp;IF(Config!$B$1004="Y",A179-Config!$B$1005,DATE(1900,1,1)),$I$2:$I$1000,1)))))</f>
        <v>#ERROR!</v>
      </c>
      <c r="H179" s="39"/>
      <c r="I179" s="39">
        <f t="shared" si="1"/>
        <v>1</v>
      </c>
      <c r="J179" s="39" t="str">
        <f t="shared" si="2"/>
        <v/>
      </c>
      <c r="K179" s="39" t="str">
        <f t="array" ref="K179">IF(J179="","",IF(XLOOKUP(J179,Strike_Review_Queue!$I:$I,Strike_Review_Queue!$J:$J,"")="Approve","Approved",IF(XLOOKUP(J179,Strike_Review_Queue!$I:$I,Strike_Review_Queue!$J:$J,"")="Deny","Counts",H179)))</f>
        <v/>
      </c>
      <c r="L179" s="39" t="str">
        <f t="array" ref="L179">IF(J179="","",XLOOKUP(J179,Strike_Review_Queue!$I:$I,Strike_Review_Queue!$L:$L,""))</f>
        <v/>
      </c>
      <c r="M179" s="39" t="str">
        <f t="array" ref="M179">IF(J179="","",XLOOKUP(J179,Strike_Review_Queue!$I:$I,Strike_Review_Queue!$M:$M,""))</f>
        <v/>
      </c>
    </row>
    <row r="180" ht="15.75" customHeight="1">
      <c r="C180" s="39"/>
      <c r="D180" s="39" t="str">
        <f>IF(OR(B180="",A180=""),"",MAX(0,MIN(3,SUMIFS($C$2:$C$1000,$B$2:$B$1000,B180,$A$2:$A$1000,"&lt;="&amp;A180,$A$2:$A$1000,"&gt;="&amp;IF(Config!$B$1004="Y",A180-Config!$B$1005,DATE(1900,1,1)),$I$2:$I$1000,1)))))</f>
        <v>#ERROR!</v>
      </c>
      <c r="H180" s="39"/>
      <c r="I180" s="39">
        <f t="shared" si="1"/>
        <v>1</v>
      </c>
      <c r="J180" s="39" t="str">
        <f t="shared" si="2"/>
        <v/>
      </c>
      <c r="K180" s="39" t="str">
        <f t="array" ref="K180">IF(J180="","",IF(XLOOKUP(J180,Strike_Review_Queue!$I:$I,Strike_Review_Queue!$J:$J,"")="Approve","Approved",IF(XLOOKUP(J180,Strike_Review_Queue!$I:$I,Strike_Review_Queue!$J:$J,"")="Deny","Counts",H180)))</f>
        <v/>
      </c>
      <c r="L180" s="39" t="str">
        <f t="array" ref="L180">IF(J180="","",XLOOKUP(J180,Strike_Review_Queue!$I:$I,Strike_Review_Queue!$L:$L,""))</f>
        <v/>
      </c>
      <c r="M180" s="39" t="str">
        <f t="array" ref="M180">IF(J180="","",XLOOKUP(J180,Strike_Review_Queue!$I:$I,Strike_Review_Queue!$M:$M,""))</f>
        <v/>
      </c>
    </row>
    <row r="181" ht="15.75" customHeight="1">
      <c r="C181" s="39"/>
      <c r="D181" s="39" t="str">
        <f>IF(OR(B181="",A181=""),"",MAX(0,MIN(3,SUMIFS($C$2:$C$1000,$B$2:$B$1000,B181,$A$2:$A$1000,"&lt;="&amp;A181,$A$2:$A$1000,"&gt;="&amp;IF(Config!$B$1004="Y",A181-Config!$B$1005,DATE(1900,1,1)),$I$2:$I$1000,1)))))</f>
        <v>#ERROR!</v>
      </c>
      <c r="H181" s="39"/>
      <c r="I181" s="39">
        <f t="shared" si="1"/>
        <v>1</v>
      </c>
      <c r="J181" s="39" t="str">
        <f t="shared" si="2"/>
        <v/>
      </c>
      <c r="K181" s="39" t="str">
        <f t="array" ref="K181">IF(J181="","",IF(XLOOKUP(J181,Strike_Review_Queue!$I:$I,Strike_Review_Queue!$J:$J,"")="Approve","Approved",IF(XLOOKUP(J181,Strike_Review_Queue!$I:$I,Strike_Review_Queue!$J:$J,"")="Deny","Counts",H181)))</f>
        <v/>
      </c>
      <c r="L181" s="39" t="str">
        <f t="array" ref="L181">IF(J181="","",XLOOKUP(J181,Strike_Review_Queue!$I:$I,Strike_Review_Queue!$L:$L,""))</f>
        <v/>
      </c>
      <c r="M181" s="39" t="str">
        <f t="array" ref="M181">IF(J181="","",XLOOKUP(J181,Strike_Review_Queue!$I:$I,Strike_Review_Queue!$M:$M,""))</f>
        <v/>
      </c>
    </row>
    <row r="182" ht="15.75" customHeight="1">
      <c r="C182" s="39"/>
      <c r="D182" s="39" t="str">
        <f>IF(OR(B182="",A182=""),"",MAX(0,MIN(3,SUMIFS($C$2:$C$1000,$B$2:$B$1000,B182,$A$2:$A$1000,"&lt;="&amp;A182,$A$2:$A$1000,"&gt;="&amp;IF(Config!$B$1004="Y",A182-Config!$B$1005,DATE(1900,1,1)),$I$2:$I$1000,1)))))</f>
        <v>#ERROR!</v>
      </c>
      <c r="H182" s="39"/>
      <c r="I182" s="39">
        <f t="shared" si="1"/>
        <v>1</v>
      </c>
      <c r="J182" s="39" t="str">
        <f t="shared" si="2"/>
        <v/>
      </c>
      <c r="K182" s="39" t="str">
        <f t="array" ref="K182">IF(J182="","",IF(XLOOKUP(J182,Strike_Review_Queue!$I:$I,Strike_Review_Queue!$J:$J,"")="Approve","Approved",IF(XLOOKUP(J182,Strike_Review_Queue!$I:$I,Strike_Review_Queue!$J:$J,"")="Deny","Counts",H182)))</f>
        <v/>
      </c>
      <c r="L182" s="39" t="str">
        <f t="array" ref="L182">IF(J182="","",XLOOKUP(J182,Strike_Review_Queue!$I:$I,Strike_Review_Queue!$L:$L,""))</f>
        <v/>
      </c>
      <c r="M182" s="39" t="str">
        <f t="array" ref="M182">IF(J182="","",XLOOKUP(J182,Strike_Review_Queue!$I:$I,Strike_Review_Queue!$M:$M,""))</f>
        <v/>
      </c>
    </row>
    <row r="183" ht="15.75" customHeight="1">
      <c r="C183" s="39"/>
      <c r="D183" s="39" t="str">
        <f>IF(OR(B183="",A183=""),"",MAX(0,MIN(3,SUMIFS($C$2:$C$1000,$B$2:$B$1000,B183,$A$2:$A$1000,"&lt;="&amp;A183,$A$2:$A$1000,"&gt;="&amp;IF(Config!$B$1004="Y",A183-Config!$B$1005,DATE(1900,1,1)),$I$2:$I$1000,1)))))</f>
        <v>#ERROR!</v>
      </c>
      <c r="H183" s="39"/>
      <c r="I183" s="39">
        <f t="shared" si="1"/>
        <v>1</v>
      </c>
      <c r="J183" s="39" t="str">
        <f t="shared" si="2"/>
        <v/>
      </c>
      <c r="K183" s="39" t="str">
        <f t="array" ref="K183">IF(J183="","",IF(XLOOKUP(J183,Strike_Review_Queue!$I:$I,Strike_Review_Queue!$J:$J,"")="Approve","Approved",IF(XLOOKUP(J183,Strike_Review_Queue!$I:$I,Strike_Review_Queue!$J:$J,"")="Deny","Counts",H183)))</f>
        <v/>
      </c>
      <c r="L183" s="39" t="str">
        <f t="array" ref="L183">IF(J183="","",XLOOKUP(J183,Strike_Review_Queue!$I:$I,Strike_Review_Queue!$L:$L,""))</f>
        <v/>
      </c>
      <c r="M183" s="39" t="str">
        <f t="array" ref="M183">IF(J183="","",XLOOKUP(J183,Strike_Review_Queue!$I:$I,Strike_Review_Queue!$M:$M,""))</f>
        <v/>
      </c>
    </row>
    <row r="184" ht="15.75" customHeight="1">
      <c r="C184" s="39"/>
      <c r="D184" s="39" t="str">
        <f>IF(OR(B184="",A184=""),"",MAX(0,MIN(3,SUMIFS($C$2:$C$1000,$B$2:$B$1000,B184,$A$2:$A$1000,"&lt;="&amp;A184,$A$2:$A$1000,"&gt;="&amp;IF(Config!$B$1004="Y",A184-Config!$B$1005,DATE(1900,1,1)),$I$2:$I$1000,1)))))</f>
        <v>#ERROR!</v>
      </c>
      <c r="H184" s="39"/>
      <c r="I184" s="39">
        <f t="shared" si="1"/>
        <v>1</v>
      </c>
      <c r="J184" s="39" t="str">
        <f t="shared" si="2"/>
        <v/>
      </c>
      <c r="K184" s="39" t="str">
        <f t="array" ref="K184">IF(J184="","",IF(XLOOKUP(J184,Strike_Review_Queue!$I:$I,Strike_Review_Queue!$J:$J,"")="Approve","Approved",IF(XLOOKUP(J184,Strike_Review_Queue!$I:$I,Strike_Review_Queue!$J:$J,"")="Deny","Counts",H184)))</f>
        <v/>
      </c>
      <c r="L184" s="39" t="str">
        <f t="array" ref="L184">IF(J184="","",XLOOKUP(J184,Strike_Review_Queue!$I:$I,Strike_Review_Queue!$L:$L,""))</f>
        <v/>
      </c>
      <c r="M184" s="39" t="str">
        <f t="array" ref="M184">IF(J184="","",XLOOKUP(J184,Strike_Review_Queue!$I:$I,Strike_Review_Queue!$M:$M,""))</f>
        <v/>
      </c>
    </row>
    <row r="185" ht="15.75" customHeight="1">
      <c r="C185" s="39"/>
      <c r="D185" s="39" t="str">
        <f>IF(OR(B185="",A185=""),"",MAX(0,MIN(3,SUMIFS($C$2:$C$1000,$B$2:$B$1000,B185,$A$2:$A$1000,"&lt;="&amp;A185,$A$2:$A$1000,"&gt;="&amp;IF(Config!$B$1004="Y",A185-Config!$B$1005,DATE(1900,1,1)),$I$2:$I$1000,1)))))</f>
        <v>#ERROR!</v>
      </c>
      <c r="H185" s="39"/>
      <c r="I185" s="39">
        <f t="shared" si="1"/>
        <v>1</v>
      </c>
      <c r="J185" s="39" t="str">
        <f t="shared" si="2"/>
        <v/>
      </c>
      <c r="K185" s="39" t="str">
        <f t="array" ref="K185">IF(J185="","",IF(XLOOKUP(J185,Strike_Review_Queue!$I:$I,Strike_Review_Queue!$J:$J,"")="Approve","Approved",IF(XLOOKUP(J185,Strike_Review_Queue!$I:$I,Strike_Review_Queue!$J:$J,"")="Deny","Counts",H185)))</f>
        <v/>
      </c>
      <c r="L185" s="39" t="str">
        <f t="array" ref="L185">IF(J185="","",XLOOKUP(J185,Strike_Review_Queue!$I:$I,Strike_Review_Queue!$L:$L,""))</f>
        <v/>
      </c>
      <c r="M185" s="39" t="str">
        <f t="array" ref="M185">IF(J185="","",XLOOKUP(J185,Strike_Review_Queue!$I:$I,Strike_Review_Queue!$M:$M,""))</f>
        <v/>
      </c>
    </row>
    <row r="186" ht="15.75" customHeight="1">
      <c r="C186" s="39"/>
      <c r="D186" s="39" t="str">
        <f>IF(OR(B186="",A186=""),"",MAX(0,MIN(3,SUMIFS($C$2:$C$1000,$B$2:$B$1000,B186,$A$2:$A$1000,"&lt;="&amp;A186,$A$2:$A$1000,"&gt;="&amp;IF(Config!$B$1004="Y",A186-Config!$B$1005,DATE(1900,1,1)),$I$2:$I$1000,1)))))</f>
        <v>#ERROR!</v>
      </c>
      <c r="H186" s="39"/>
      <c r="I186" s="39">
        <f t="shared" si="1"/>
        <v>1</v>
      </c>
      <c r="J186" s="39" t="str">
        <f t="shared" si="2"/>
        <v/>
      </c>
      <c r="K186" s="39" t="str">
        <f t="array" ref="K186">IF(J186="","",IF(XLOOKUP(J186,Strike_Review_Queue!$I:$I,Strike_Review_Queue!$J:$J,"")="Approve","Approved",IF(XLOOKUP(J186,Strike_Review_Queue!$I:$I,Strike_Review_Queue!$J:$J,"")="Deny","Counts",H186)))</f>
        <v/>
      </c>
      <c r="L186" s="39" t="str">
        <f t="array" ref="L186">IF(J186="","",XLOOKUP(J186,Strike_Review_Queue!$I:$I,Strike_Review_Queue!$L:$L,""))</f>
        <v/>
      </c>
      <c r="M186" s="39" t="str">
        <f t="array" ref="M186">IF(J186="","",XLOOKUP(J186,Strike_Review_Queue!$I:$I,Strike_Review_Queue!$M:$M,""))</f>
        <v/>
      </c>
    </row>
    <row r="187" ht="15.75" customHeight="1">
      <c r="C187" s="39"/>
      <c r="D187" s="39" t="str">
        <f>IF(OR(B187="",A187=""),"",MAX(0,MIN(3,SUMIFS($C$2:$C$1000,$B$2:$B$1000,B187,$A$2:$A$1000,"&lt;="&amp;A187,$A$2:$A$1000,"&gt;="&amp;IF(Config!$B$1004="Y",A187-Config!$B$1005,DATE(1900,1,1)),$I$2:$I$1000,1)))))</f>
        <v>#ERROR!</v>
      </c>
      <c r="H187" s="39"/>
      <c r="I187" s="39">
        <f t="shared" si="1"/>
        <v>1</v>
      </c>
      <c r="J187" s="39" t="str">
        <f t="shared" si="2"/>
        <v/>
      </c>
      <c r="K187" s="39" t="str">
        <f t="array" ref="K187">IF(J187="","",IF(XLOOKUP(J187,Strike_Review_Queue!$I:$I,Strike_Review_Queue!$J:$J,"")="Approve","Approved",IF(XLOOKUP(J187,Strike_Review_Queue!$I:$I,Strike_Review_Queue!$J:$J,"")="Deny","Counts",H187)))</f>
        <v/>
      </c>
      <c r="L187" s="39" t="str">
        <f t="array" ref="L187">IF(J187="","",XLOOKUP(J187,Strike_Review_Queue!$I:$I,Strike_Review_Queue!$L:$L,""))</f>
        <v/>
      </c>
      <c r="M187" s="39" t="str">
        <f t="array" ref="M187">IF(J187="","",XLOOKUP(J187,Strike_Review_Queue!$I:$I,Strike_Review_Queue!$M:$M,""))</f>
        <v/>
      </c>
    </row>
    <row r="188" ht="15.75" customHeight="1">
      <c r="C188" s="39"/>
      <c r="D188" s="39" t="str">
        <f>IF(OR(B188="",A188=""),"",MAX(0,MIN(3,SUMIFS($C$2:$C$1000,$B$2:$B$1000,B188,$A$2:$A$1000,"&lt;="&amp;A188,$A$2:$A$1000,"&gt;="&amp;IF(Config!$B$1004="Y",A188-Config!$B$1005,DATE(1900,1,1)),$I$2:$I$1000,1)))))</f>
        <v>#ERROR!</v>
      </c>
      <c r="H188" s="39"/>
      <c r="I188" s="39">
        <f t="shared" si="1"/>
        <v>1</v>
      </c>
      <c r="J188" s="39" t="str">
        <f t="shared" si="2"/>
        <v/>
      </c>
      <c r="K188" s="39" t="str">
        <f t="array" ref="K188">IF(J188="","",IF(XLOOKUP(J188,Strike_Review_Queue!$I:$I,Strike_Review_Queue!$J:$J,"")="Approve","Approved",IF(XLOOKUP(J188,Strike_Review_Queue!$I:$I,Strike_Review_Queue!$J:$J,"")="Deny","Counts",H188)))</f>
        <v/>
      </c>
      <c r="L188" s="39" t="str">
        <f t="array" ref="L188">IF(J188="","",XLOOKUP(J188,Strike_Review_Queue!$I:$I,Strike_Review_Queue!$L:$L,""))</f>
        <v/>
      </c>
      <c r="M188" s="39" t="str">
        <f t="array" ref="M188">IF(J188="","",XLOOKUP(J188,Strike_Review_Queue!$I:$I,Strike_Review_Queue!$M:$M,""))</f>
        <v/>
      </c>
    </row>
    <row r="189" ht="15.75" customHeight="1">
      <c r="C189" s="39"/>
      <c r="D189" s="39" t="str">
        <f>IF(OR(B189="",A189=""),"",MAX(0,MIN(3,SUMIFS($C$2:$C$1000,$B$2:$B$1000,B189,$A$2:$A$1000,"&lt;="&amp;A189,$A$2:$A$1000,"&gt;="&amp;IF(Config!$B$1004="Y",A189-Config!$B$1005,DATE(1900,1,1)),$I$2:$I$1000,1)))))</f>
        <v>#ERROR!</v>
      </c>
      <c r="H189" s="39"/>
      <c r="I189" s="39">
        <f t="shared" si="1"/>
        <v>1</v>
      </c>
      <c r="J189" s="39" t="str">
        <f t="shared" si="2"/>
        <v/>
      </c>
      <c r="K189" s="39" t="str">
        <f t="array" ref="K189">IF(J189="","",IF(XLOOKUP(J189,Strike_Review_Queue!$I:$I,Strike_Review_Queue!$J:$J,"")="Approve","Approved",IF(XLOOKUP(J189,Strike_Review_Queue!$I:$I,Strike_Review_Queue!$J:$J,"")="Deny","Counts",H189)))</f>
        <v/>
      </c>
      <c r="L189" s="39" t="str">
        <f t="array" ref="L189">IF(J189="","",XLOOKUP(J189,Strike_Review_Queue!$I:$I,Strike_Review_Queue!$L:$L,""))</f>
        <v/>
      </c>
      <c r="M189" s="39" t="str">
        <f t="array" ref="M189">IF(J189="","",XLOOKUP(J189,Strike_Review_Queue!$I:$I,Strike_Review_Queue!$M:$M,""))</f>
        <v/>
      </c>
    </row>
    <row r="190" ht="15.75" customHeight="1">
      <c r="C190" s="39"/>
      <c r="D190" s="39" t="str">
        <f>IF(OR(B190="",A190=""),"",MAX(0,MIN(3,SUMIFS($C$2:$C$1000,$B$2:$B$1000,B190,$A$2:$A$1000,"&lt;="&amp;A190,$A$2:$A$1000,"&gt;="&amp;IF(Config!$B$1004="Y",A190-Config!$B$1005,DATE(1900,1,1)),$I$2:$I$1000,1)))))</f>
        <v>#ERROR!</v>
      </c>
      <c r="H190" s="39"/>
      <c r="I190" s="39">
        <f t="shared" si="1"/>
        <v>1</v>
      </c>
      <c r="J190" s="39" t="str">
        <f t="shared" si="2"/>
        <v/>
      </c>
      <c r="K190" s="39" t="str">
        <f t="array" ref="K190">IF(J190="","",IF(XLOOKUP(J190,Strike_Review_Queue!$I:$I,Strike_Review_Queue!$J:$J,"")="Approve","Approved",IF(XLOOKUP(J190,Strike_Review_Queue!$I:$I,Strike_Review_Queue!$J:$J,"")="Deny","Counts",H190)))</f>
        <v/>
      </c>
      <c r="L190" s="39" t="str">
        <f t="array" ref="L190">IF(J190="","",XLOOKUP(J190,Strike_Review_Queue!$I:$I,Strike_Review_Queue!$L:$L,""))</f>
        <v/>
      </c>
      <c r="M190" s="39" t="str">
        <f t="array" ref="M190">IF(J190="","",XLOOKUP(J190,Strike_Review_Queue!$I:$I,Strike_Review_Queue!$M:$M,""))</f>
        <v/>
      </c>
    </row>
    <row r="191" ht="15.75" customHeight="1">
      <c r="C191" s="39"/>
      <c r="D191" s="39" t="str">
        <f>IF(OR(B191="",A191=""),"",MAX(0,MIN(3,SUMIFS($C$2:$C$1000,$B$2:$B$1000,B191,$A$2:$A$1000,"&lt;="&amp;A191,$A$2:$A$1000,"&gt;="&amp;IF(Config!$B$1004="Y",A191-Config!$B$1005,DATE(1900,1,1)),$I$2:$I$1000,1)))))</f>
        <v>#ERROR!</v>
      </c>
      <c r="H191" s="39"/>
      <c r="I191" s="39">
        <f t="shared" si="1"/>
        <v>1</v>
      </c>
      <c r="J191" s="39" t="str">
        <f t="shared" si="2"/>
        <v/>
      </c>
      <c r="K191" s="39" t="str">
        <f t="array" ref="K191">IF(J191="","",IF(XLOOKUP(J191,Strike_Review_Queue!$I:$I,Strike_Review_Queue!$J:$J,"")="Approve","Approved",IF(XLOOKUP(J191,Strike_Review_Queue!$I:$I,Strike_Review_Queue!$J:$J,"")="Deny","Counts",H191)))</f>
        <v/>
      </c>
      <c r="L191" s="39" t="str">
        <f t="array" ref="L191">IF(J191="","",XLOOKUP(J191,Strike_Review_Queue!$I:$I,Strike_Review_Queue!$L:$L,""))</f>
        <v/>
      </c>
      <c r="M191" s="39" t="str">
        <f t="array" ref="M191">IF(J191="","",XLOOKUP(J191,Strike_Review_Queue!$I:$I,Strike_Review_Queue!$M:$M,""))</f>
        <v/>
      </c>
    </row>
    <row r="192" ht="15.75" customHeight="1">
      <c r="C192" s="39"/>
      <c r="D192" s="39" t="str">
        <f>IF(OR(B192="",A192=""),"",MAX(0,MIN(3,SUMIFS($C$2:$C$1000,$B$2:$B$1000,B192,$A$2:$A$1000,"&lt;="&amp;A192,$A$2:$A$1000,"&gt;="&amp;IF(Config!$B$1004="Y",A192-Config!$B$1005,DATE(1900,1,1)),$I$2:$I$1000,1)))))</f>
        <v>#ERROR!</v>
      </c>
      <c r="H192" s="39"/>
      <c r="I192" s="39">
        <f t="shared" si="1"/>
        <v>1</v>
      </c>
      <c r="J192" s="39" t="str">
        <f t="shared" si="2"/>
        <v/>
      </c>
      <c r="K192" s="39" t="str">
        <f t="array" ref="K192">IF(J192="","",IF(XLOOKUP(J192,Strike_Review_Queue!$I:$I,Strike_Review_Queue!$J:$J,"")="Approve","Approved",IF(XLOOKUP(J192,Strike_Review_Queue!$I:$I,Strike_Review_Queue!$J:$J,"")="Deny","Counts",H192)))</f>
        <v/>
      </c>
      <c r="L192" s="39" t="str">
        <f t="array" ref="L192">IF(J192="","",XLOOKUP(J192,Strike_Review_Queue!$I:$I,Strike_Review_Queue!$L:$L,""))</f>
        <v/>
      </c>
      <c r="M192" s="39" t="str">
        <f t="array" ref="M192">IF(J192="","",XLOOKUP(J192,Strike_Review_Queue!$I:$I,Strike_Review_Queue!$M:$M,""))</f>
        <v/>
      </c>
    </row>
    <row r="193" ht="15.75" customHeight="1">
      <c r="C193" s="39"/>
      <c r="D193" s="39" t="str">
        <f>IF(OR(B193="",A193=""),"",MAX(0,MIN(3,SUMIFS($C$2:$C$1000,$B$2:$B$1000,B193,$A$2:$A$1000,"&lt;="&amp;A193,$A$2:$A$1000,"&gt;="&amp;IF(Config!$B$1004="Y",A193-Config!$B$1005,DATE(1900,1,1)),$I$2:$I$1000,1)))))</f>
        <v>#ERROR!</v>
      </c>
      <c r="H193" s="39"/>
      <c r="I193" s="39">
        <f t="shared" si="1"/>
        <v>1</v>
      </c>
      <c r="J193" s="39" t="str">
        <f t="shared" si="2"/>
        <v/>
      </c>
      <c r="K193" s="39" t="str">
        <f t="array" ref="K193">IF(J193="","",IF(XLOOKUP(J193,Strike_Review_Queue!$I:$I,Strike_Review_Queue!$J:$J,"")="Approve","Approved",IF(XLOOKUP(J193,Strike_Review_Queue!$I:$I,Strike_Review_Queue!$J:$J,"")="Deny","Counts",H193)))</f>
        <v/>
      </c>
      <c r="L193" s="39" t="str">
        <f t="array" ref="L193">IF(J193="","",XLOOKUP(J193,Strike_Review_Queue!$I:$I,Strike_Review_Queue!$L:$L,""))</f>
        <v/>
      </c>
      <c r="M193" s="39" t="str">
        <f t="array" ref="M193">IF(J193="","",XLOOKUP(J193,Strike_Review_Queue!$I:$I,Strike_Review_Queue!$M:$M,""))</f>
        <v/>
      </c>
    </row>
    <row r="194" ht="15.75" customHeight="1">
      <c r="C194" s="39"/>
      <c r="D194" s="39" t="str">
        <f>IF(OR(B194="",A194=""),"",MAX(0,MIN(3,SUMIFS($C$2:$C$1000,$B$2:$B$1000,B194,$A$2:$A$1000,"&lt;="&amp;A194,$A$2:$A$1000,"&gt;="&amp;IF(Config!$B$1004="Y",A194-Config!$B$1005,DATE(1900,1,1)),$I$2:$I$1000,1)))))</f>
        <v>#ERROR!</v>
      </c>
      <c r="H194" s="39"/>
      <c r="I194" s="39">
        <f t="shared" si="1"/>
        <v>1</v>
      </c>
      <c r="J194" s="39" t="str">
        <f t="shared" si="2"/>
        <v/>
      </c>
      <c r="K194" s="39" t="str">
        <f t="array" ref="K194">IF(J194="","",IF(XLOOKUP(J194,Strike_Review_Queue!$I:$I,Strike_Review_Queue!$J:$J,"")="Approve","Approved",IF(XLOOKUP(J194,Strike_Review_Queue!$I:$I,Strike_Review_Queue!$J:$J,"")="Deny","Counts",H194)))</f>
        <v/>
      </c>
      <c r="L194" s="39" t="str">
        <f t="array" ref="L194">IF(J194="","",XLOOKUP(J194,Strike_Review_Queue!$I:$I,Strike_Review_Queue!$L:$L,""))</f>
        <v/>
      </c>
      <c r="M194" s="39" t="str">
        <f t="array" ref="M194">IF(J194="","",XLOOKUP(J194,Strike_Review_Queue!$I:$I,Strike_Review_Queue!$M:$M,""))</f>
        <v/>
      </c>
    </row>
    <row r="195" ht="15.75" customHeight="1">
      <c r="C195" s="39"/>
      <c r="D195" s="39" t="str">
        <f>IF(OR(B195="",A195=""),"",MAX(0,MIN(3,SUMIFS($C$2:$C$1000,$B$2:$B$1000,B195,$A$2:$A$1000,"&lt;="&amp;A195,$A$2:$A$1000,"&gt;="&amp;IF(Config!$B$1004="Y",A195-Config!$B$1005,DATE(1900,1,1)),$I$2:$I$1000,1)))))</f>
        <v>#ERROR!</v>
      </c>
      <c r="H195" s="39"/>
      <c r="I195" s="39">
        <f t="shared" si="1"/>
        <v>1</v>
      </c>
      <c r="J195" s="39" t="str">
        <f t="shared" si="2"/>
        <v/>
      </c>
      <c r="K195" s="39" t="str">
        <f t="array" ref="K195">IF(J195="","",IF(XLOOKUP(J195,Strike_Review_Queue!$I:$I,Strike_Review_Queue!$J:$J,"")="Approve","Approved",IF(XLOOKUP(J195,Strike_Review_Queue!$I:$I,Strike_Review_Queue!$J:$J,"")="Deny","Counts",H195)))</f>
        <v/>
      </c>
      <c r="L195" s="39" t="str">
        <f t="array" ref="L195">IF(J195="","",XLOOKUP(J195,Strike_Review_Queue!$I:$I,Strike_Review_Queue!$L:$L,""))</f>
        <v/>
      </c>
      <c r="M195" s="39" t="str">
        <f t="array" ref="M195">IF(J195="","",XLOOKUP(J195,Strike_Review_Queue!$I:$I,Strike_Review_Queue!$M:$M,""))</f>
        <v/>
      </c>
    </row>
    <row r="196" ht="15.75" customHeight="1">
      <c r="C196" s="39"/>
      <c r="D196" s="39" t="str">
        <f>IF(OR(B196="",A196=""),"",MAX(0,MIN(3,SUMIFS($C$2:$C$1000,$B$2:$B$1000,B196,$A$2:$A$1000,"&lt;="&amp;A196,$A$2:$A$1000,"&gt;="&amp;IF(Config!$B$1004="Y",A196-Config!$B$1005,DATE(1900,1,1)),$I$2:$I$1000,1)))))</f>
        <v>#ERROR!</v>
      </c>
      <c r="H196" s="39"/>
      <c r="I196" s="39">
        <f t="shared" si="1"/>
        <v>1</v>
      </c>
      <c r="J196" s="39" t="str">
        <f t="shared" si="2"/>
        <v/>
      </c>
      <c r="K196" s="39" t="str">
        <f t="array" ref="K196">IF(J196="","",IF(XLOOKUP(J196,Strike_Review_Queue!$I:$I,Strike_Review_Queue!$J:$J,"")="Approve","Approved",IF(XLOOKUP(J196,Strike_Review_Queue!$I:$I,Strike_Review_Queue!$J:$J,"")="Deny","Counts",H196)))</f>
        <v/>
      </c>
      <c r="L196" s="39" t="str">
        <f t="array" ref="L196">IF(J196="","",XLOOKUP(J196,Strike_Review_Queue!$I:$I,Strike_Review_Queue!$L:$L,""))</f>
        <v/>
      </c>
      <c r="M196" s="39" t="str">
        <f t="array" ref="M196">IF(J196="","",XLOOKUP(J196,Strike_Review_Queue!$I:$I,Strike_Review_Queue!$M:$M,""))</f>
        <v/>
      </c>
    </row>
    <row r="197" ht="15.75" customHeight="1">
      <c r="C197" s="39"/>
      <c r="D197" s="39" t="str">
        <f>IF(OR(B197="",A197=""),"",MAX(0,MIN(3,SUMIFS($C$2:$C$1000,$B$2:$B$1000,B197,$A$2:$A$1000,"&lt;="&amp;A197,$A$2:$A$1000,"&gt;="&amp;IF(Config!$B$1004="Y",A197-Config!$B$1005,DATE(1900,1,1)),$I$2:$I$1000,1)))))</f>
        <v>#ERROR!</v>
      </c>
      <c r="H197" s="39"/>
      <c r="I197" s="39">
        <f t="shared" si="1"/>
        <v>1</v>
      </c>
      <c r="J197" s="39" t="str">
        <f t="shared" si="2"/>
        <v/>
      </c>
      <c r="K197" s="39" t="str">
        <f t="array" ref="K197">IF(J197="","",IF(XLOOKUP(J197,Strike_Review_Queue!$I:$I,Strike_Review_Queue!$J:$J,"")="Approve","Approved",IF(XLOOKUP(J197,Strike_Review_Queue!$I:$I,Strike_Review_Queue!$J:$J,"")="Deny","Counts",H197)))</f>
        <v/>
      </c>
      <c r="L197" s="39" t="str">
        <f t="array" ref="L197">IF(J197="","",XLOOKUP(J197,Strike_Review_Queue!$I:$I,Strike_Review_Queue!$L:$L,""))</f>
        <v/>
      </c>
      <c r="M197" s="39" t="str">
        <f t="array" ref="M197">IF(J197="","",XLOOKUP(J197,Strike_Review_Queue!$I:$I,Strike_Review_Queue!$M:$M,""))</f>
        <v/>
      </c>
    </row>
    <row r="198" ht="15.75" customHeight="1">
      <c r="C198" s="39"/>
      <c r="D198" s="39" t="str">
        <f>IF(OR(B198="",A198=""),"",MAX(0,MIN(3,SUMIFS($C$2:$C$1000,$B$2:$B$1000,B198,$A$2:$A$1000,"&lt;="&amp;A198,$A$2:$A$1000,"&gt;="&amp;IF(Config!$B$1004="Y",A198-Config!$B$1005,DATE(1900,1,1)),$I$2:$I$1000,1)))))</f>
        <v>#ERROR!</v>
      </c>
      <c r="H198" s="39"/>
      <c r="I198" s="39">
        <f t="shared" si="1"/>
        <v>1</v>
      </c>
      <c r="J198" s="39" t="str">
        <f t="shared" si="2"/>
        <v/>
      </c>
      <c r="K198" s="39" t="str">
        <f t="array" ref="K198">IF(J198="","",IF(XLOOKUP(J198,Strike_Review_Queue!$I:$I,Strike_Review_Queue!$J:$J,"")="Approve","Approved",IF(XLOOKUP(J198,Strike_Review_Queue!$I:$I,Strike_Review_Queue!$J:$J,"")="Deny","Counts",H198)))</f>
        <v/>
      </c>
      <c r="L198" s="39" t="str">
        <f t="array" ref="L198">IF(J198="","",XLOOKUP(J198,Strike_Review_Queue!$I:$I,Strike_Review_Queue!$L:$L,""))</f>
        <v/>
      </c>
      <c r="M198" s="39" t="str">
        <f t="array" ref="M198">IF(J198="","",XLOOKUP(J198,Strike_Review_Queue!$I:$I,Strike_Review_Queue!$M:$M,""))</f>
        <v/>
      </c>
    </row>
    <row r="199" ht="15.75" customHeight="1">
      <c r="C199" s="39"/>
      <c r="D199" s="39" t="str">
        <f>IF(OR(B199="",A199=""),"",MAX(0,MIN(3,SUMIFS($C$2:$C$1000,$B$2:$B$1000,B199,$A$2:$A$1000,"&lt;="&amp;A199,$A$2:$A$1000,"&gt;="&amp;IF(Config!$B$1004="Y",A199-Config!$B$1005,DATE(1900,1,1)),$I$2:$I$1000,1)))))</f>
        <v>#ERROR!</v>
      </c>
      <c r="H199" s="39"/>
      <c r="I199" s="39">
        <f t="shared" si="1"/>
        <v>1</v>
      </c>
      <c r="J199" s="39" t="str">
        <f t="shared" si="2"/>
        <v/>
      </c>
      <c r="K199" s="39" t="str">
        <f t="array" ref="K199">IF(J199="","",IF(XLOOKUP(J199,Strike_Review_Queue!$I:$I,Strike_Review_Queue!$J:$J,"")="Approve","Approved",IF(XLOOKUP(J199,Strike_Review_Queue!$I:$I,Strike_Review_Queue!$J:$J,"")="Deny","Counts",H199)))</f>
        <v/>
      </c>
      <c r="L199" s="39" t="str">
        <f t="array" ref="L199">IF(J199="","",XLOOKUP(J199,Strike_Review_Queue!$I:$I,Strike_Review_Queue!$L:$L,""))</f>
        <v/>
      </c>
      <c r="M199" s="39" t="str">
        <f t="array" ref="M199">IF(J199="","",XLOOKUP(J199,Strike_Review_Queue!$I:$I,Strike_Review_Queue!$M:$M,""))</f>
        <v/>
      </c>
    </row>
    <row r="200" ht="15.75" customHeight="1">
      <c r="C200" s="39"/>
      <c r="D200" s="39" t="str">
        <f>IF(OR(B200="",A200=""),"",MAX(0,MIN(3,SUMIFS($C$2:$C$1000,$B$2:$B$1000,B200,$A$2:$A$1000,"&lt;="&amp;A200,$A$2:$A$1000,"&gt;="&amp;IF(Config!$B$1004="Y",A200-Config!$B$1005,DATE(1900,1,1)),$I$2:$I$1000,1)))))</f>
        <v>#ERROR!</v>
      </c>
      <c r="H200" s="39"/>
      <c r="I200" s="39">
        <f t="shared" si="1"/>
        <v>1</v>
      </c>
      <c r="J200" s="39" t="str">
        <f t="shared" si="2"/>
        <v/>
      </c>
      <c r="K200" s="39" t="str">
        <f t="array" ref="K200">IF(J200="","",IF(XLOOKUP(J200,Strike_Review_Queue!$I:$I,Strike_Review_Queue!$J:$J,"")="Approve","Approved",IF(XLOOKUP(J200,Strike_Review_Queue!$I:$I,Strike_Review_Queue!$J:$J,"")="Deny","Counts",H200)))</f>
        <v/>
      </c>
      <c r="L200" s="39" t="str">
        <f t="array" ref="L200">IF(J200="","",XLOOKUP(J200,Strike_Review_Queue!$I:$I,Strike_Review_Queue!$L:$L,""))</f>
        <v/>
      </c>
      <c r="M200" s="39" t="str">
        <f t="array" ref="M200">IF(J200="","",XLOOKUP(J200,Strike_Review_Queue!$I:$I,Strike_Review_Queue!$M:$M,""))</f>
        <v/>
      </c>
    </row>
    <row r="201" ht="15.75" customHeight="1">
      <c r="C201" s="39"/>
      <c r="D201" s="39" t="str">
        <f>IF(OR(B201="",A201=""),"",MAX(0,MIN(3,SUMIFS($C$2:$C$1000,$B$2:$B$1000,B201,$A$2:$A$1000,"&lt;="&amp;A201,$A$2:$A$1000,"&gt;="&amp;IF(Config!$B$1004="Y",A201-Config!$B$1005,DATE(1900,1,1)),$I$2:$I$1000,1)))))</f>
        <v>#ERROR!</v>
      </c>
      <c r="H201" s="39"/>
      <c r="I201" s="39">
        <f t="shared" si="1"/>
        <v>1</v>
      </c>
      <c r="J201" s="39" t="str">
        <f t="shared" si="2"/>
        <v/>
      </c>
      <c r="K201" s="39" t="str">
        <f t="array" ref="K201">IF(J201="","",IF(XLOOKUP(J201,Strike_Review_Queue!$I:$I,Strike_Review_Queue!$J:$J,"")="Approve","Approved",IF(XLOOKUP(J201,Strike_Review_Queue!$I:$I,Strike_Review_Queue!$J:$J,"")="Deny","Counts",H201)))</f>
        <v/>
      </c>
      <c r="L201" s="39" t="str">
        <f t="array" ref="L201">IF(J201="","",XLOOKUP(J201,Strike_Review_Queue!$I:$I,Strike_Review_Queue!$L:$L,""))</f>
        <v/>
      </c>
      <c r="M201" s="39" t="str">
        <f t="array" ref="M201">IF(J201="","",XLOOKUP(J201,Strike_Review_Queue!$I:$I,Strike_Review_Queue!$M:$M,""))</f>
        <v/>
      </c>
    </row>
    <row r="202" ht="15.75" customHeight="1">
      <c r="C202" s="39"/>
      <c r="D202" s="39" t="str">
        <f>IF(OR(B202="",A202=""),"",MAX(0,MIN(3,SUMIFS($C$2:$C$1000,$B$2:$B$1000,B202,$A$2:$A$1000,"&lt;="&amp;A202,$A$2:$A$1000,"&gt;="&amp;IF(Config!$B$1004="Y",A202-Config!$B$1005,DATE(1900,1,1)),$I$2:$I$1000,1)))))</f>
        <v>#ERROR!</v>
      </c>
      <c r="H202" s="39"/>
      <c r="I202" s="39">
        <f t="shared" si="1"/>
        <v>1</v>
      </c>
      <c r="J202" s="39" t="str">
        <f t="shared" si="2"/>
        <v/>
      </c>
      <c r="K202" s="39" t="str">
        <f t="array" ref="K202">IF(J202="","",IF(XLOOKUP(J202,Strike_Review_Queue!$I:$I,Strike_Review_Queue!$J:$J,"")="Approve","Approved",IF(XLOOKUP(J202,Strike_Review_Queue!$I:$I,Strike_Review_Queue!$J:$J,"")="Deny","Counts",H202)))</f>
        <v/>
      </c>
      <c r="L202" s="39" t="str">
        <f t="array" ref="L202">IF(J202="","",XLOOKUP(J202,Strike_Review_Queue!$I:$I,Strike_Review_Queue!$L:$L,""))</f>
        <v/>
      </c>
      <c r="M202" s="39" t="str">
        <f t="array" ref="M202">IF(J202="","",XLOOKUP(J202,Strike_Review_Queue!$I:$I,Strike_Review_Queue!$M:$M,""))</f>
        <v/>
      </c>
    </row>
    <row r="203" ht="15.75" customHeight="1">
      <c r="C203" s="39"/>
      <c r="D203" s="39" t="str">
        <f>IF(OR(B203="",A203=""),"",MAX(0,MIN(3,SUMIFS($C$2:$C$1000,$B$2:$B$1000,B203,$A$2:$A$1000,"&lt;="&amp;A203,$A$2:$A$1000,"&gt;="&amp;IF(Config!$B$1004="Y",A203-Config!$B$1005,DATE(1900,1,1)),$I$2:$I$1000,1)))))</f>
        <v>#ERROR!</v>
      </c>
      <c r="H203" s="39"/>
      <c r="I203" s="39">
        <f t="shared" si="1"/>
        <v>1</v>
      </c>
      <c r="J203" s="39" t="str">
        <f t="shared" si="2"/>
        <v/>
      </c>
      <c r="K203" s="39" t="str">
        <f t="array" ref="K203">IF(J203="","",IF(XLOOKUP(J203,Strike_Review_Queue!$I:$I,Strike_Review_Queue!$J:$J,"")="Approve","Approved",IF(XLOOKUP(J203,Strike_Review_Queue!$I:$I,Strike_Review_Queue!$J:$J,"")="Deny","Counts",H203)))</f>
        <v/>
      </c>
      <c r="L203" s="39" t="str">
        <f t="array" ref="L203">IF(J203="","",XLOOKUP(J203,Strike_Review_Queue!$I:$I,Strike_Review_Queue!$L:$L,""))</f>
        <v/>
      </c>
      <c r="M203" s="39" t="str">
        <f t="array" ref="M203">IF(J203="","",XLOOKUP(J203,Strike_Review_Queue!$I:$I,Strike_Review_Queue!$M:$M,""))</f>
        <v/>
      </c>
    </row>
    <row r="204" ht="15.75" customHeight="1">
      <c r="C204" s="39"/>
      <c r="D204" s="39" t="str">
        <f>IF(OR(B204="",A204=""),"",MAX(0,MIN(3,SUMIFS($C$2:$C$1000,$B$2:$B$1000,B204,$A$2:$A$1000,"&lt;="&amp;A204,$A$2:$A$1000,"&gt;="&amp;IF(Config!$B$1004="Y",A204-Config!$B$1005,DATE(1900,1,1)),$I$2:$I$1000,1)))))</f>
        <v>#ERROR!</v>
      </c>
      <c r="H204" s="39"/>
      <c r="I204" s="39">
        <f t="shared" si="1"/>
        <v>1</v>
      </c>
      <c r="J204" s="39" t="str">
        <f t="shared" si="2"/>
        <v/>
      </c>
      <c r="K204" s="39" t="str">
        <f t="array" ref="K204">IF(J204="","",IF(XLOOKUP(J204,Strike_Review_Queue!$I:$I,Strike_Review_Queue!$J:$J,"")="Approve","Approved",IF(XLOOKUP(J204,Strike_Review_Queue!$I:$I,Strike_Review_Queue!$J:$J,"")="Deny","Counts",H204)))</f>
        <v/>
      </c>
      <c r="L204" s="39" t="str">
        <f t="array" ref="L204">IF(J204="","",XLOOKUP(J204,Strike_Review_Queue!$I:$I,Strike_Review_Queue!$L:$L,""))</f>
        <v/>
      </c>
      <c r="M204" s="39" t="str">
        <f t="array" ref="M204">IF(J204="","",XLOOKUP(J204,Strike_Review_Queue!$I:$I,Strike_Review_Queue!$M:$M,""))</f>
        <v/>
      </c>
    </row>
    <row r="205" ht="15.75" customHeight="1">
      <c r="C205" s="39"/>
      <c r="D205" s="39" t="str">
        <f>IF(OR(B205="",A205=""),"",MAX(0,MIN(3,SUMIFS($C$2:$C$1000,$B$2:$B$1000,B205,$A$2:$A$1000,"&lt;="&amp;A205,$A$2:$A$1000,"&gt;="&amp;IF(Config!$B$1004="Y",A205-Config!$B$1005,DATE(1900,1,1)),$I$2:$I$1000,1)))))</f>
        <v>#ERROR!</v>
      </c>
      <c r="H205" s="39"/>
      <c r="I205" s="39">
        <f t="shared" si="1"/>
        <v>1</v>
      </c>
      <c r="J205" s="39" t="str">
        <f t="shared" si="2"/>
        <v/>
      </c>
      <c r="K205" s="39" t="str">
        <f t="array" ref="K205">IF(J205="","",IF(XLOOKUP(J205,Strike_Review_Queue!$I:$I,Strike_Review_Queue!$J:$J,"")="Approve","Approved",IF(XLOOKUP(J205,Strike_Review_Queue!$I:$I,Strike_Review_Queue!$J:$J,"")="Deny","Counts",H205)))</f>
        <v/>
      </c>
      <c r="L205" s="39" t="str">
        <f t="array" ref="L205">IF(J205="","",XLOOKUP(J205,Strike_Review_Queue!$I:$I,Strike_Review_Queue!$L:$L,""))</f>
        <v/>
      </c>
      <c r="M205" s="39" t="str">
        <f t="array" ref="M205">IF(J205="","",XLOOKUP(J205,Strike_Review_Queue!$I:$I,Strike_Review_Queue!$M:$M,""))</f>
        <v/>
      </c>
    </row>
    <row r="206" ht="15.75" customHeight="1">
      <c r="C206" s="39"/>
      <c r="D206" s="39" t="str">
        <f>IF(OR(B206="",A206=""),"",MAX(0,MIN(3,SUMIFS($C$2:$C$1000,$B$2:$B$1000,B206,$A$2:$A$1000,"&lt;="&amp;A206,$A$2:$A$1000,"&gt;="&amp;IF(Config!$B$1004="Y",A206-Config!$B$1005,DATE(1900,1,1)),$I$2:$I$1000,1)))))</f>
        <v>#ERROR!</v>
      </c>
      <c r="H206" s="39"/>
      <c r="I206" s="39">
        <f t="shared" si="1"/>
        <v>1</v>
      </c>
      <c r="J206" s="39" t="str">
        <f t="shared" si="2"/>
        <v/>
      </c>
      <c r="K206" s="39" t="str">
        <f t="array" ref="K206">IF(J206="","",IF(XLOOKUP(J206,Strike_Review_Queue!$I:$I,Strike_Review_Queue!$J:$J,"")="Approve","Approved",IF(XLOOKUP(J206,Strike_Review_Queue!$I:$I,Strike_Review_Queue!$J:$J,"")="Deny","Counts",H206)))</f>
        <v/>
      </c>
      <c r="L206" s="39" t="str">
        <f t="array" ref="L206">IF(J206="","",XLOOKUP(J206,Strike_Review_Queue!$I:$I,Strike_Review_Queue!$L:$L,""))</f>
        <v/>
      </c>
      <c r="M206" s="39" t="str">
        <f t="array" ref="M206">IF(J206="","",XLOOKUP(J206,Strike_Review_Queue!$I:$I,Strike_Review_Queue!$M:$M,""))</f>
        <v/>
      </c>
    </row>
    <row r="207" ht="15.75" customHeight="1">
      <c r="C207" s="39"/>
      <c r="D207" s="39" t="str">
        <f>IF(OR(B207="",A207=""),"",MAX(0,MIN(3,SUMIFS($C$2:$C$1000,$B$2:$B$1000,B207,$A$2:$A$1000,"&lt;="&amp;A207,$A$2:$A$1000,"&gt;="&amp;IF(Config!$B$1004="Y",A207-Config!$B$1005,DATE(1900,1,1)),$I$2:$I$1000,1)))))</f>
        <v>#ERROR!</v>
      </c>
      <c r="H207" s="39"/>
      <c r="I207" s="39">
        <f t="shared" si="1"/>
        <v>1</v>
      </c>
      <c r="J207" s="39" t="str">
        <f t="shared" si="2"/>
        <v/>
      </c>
      <c r="K207" s="39" t="str">
        <f t="array" ref="K207">IF(J207="","",IF(XLOOKUP(J207,Strike_Review_Queue!$I:$I,Strike_Review_Queue!$J:$J,"")="Approve","Approved",IF(XLOOKUP(J207,Strike_Review_Queue!$I:$I,Strike_Review_Queue!$J:$J,"")="Deny","Counts",H207)))</f>
        <v/>
      </c>
      <c r="L207" s="39" t="str">
        <f t="array" ref="L207">IF(J207="","",XLOOKUP(J207,Strike_Review_Queue!$I:$I,Strike_Review_Queue!$L:$L,""))</f>
        <v/>
      </c>
      <c r="M207" s="39" t="str">
        <f t="array" ref="M207">IF(J207="","",XLOOKUP(J207,Strike_Review_Queue!$I:$I,Strike_Review_Queue!$M:$M,""))</f>
        <v/>
      </c>
    </row>
    <row r="208" ht="15.75" customHeight="1">
      <c r="C208" s="39"/>
      <c r="D208" s="39" t="str">
        <f>IF(OR(B208="",A208=""),"",MAX(0,MIN(3,SUMIFS($C$2:$C$1000,$B$2:$B$1000,B208,$A$2:$A$1000,"&lt;="&amp;A208,$A$2:$A$1000,"&gt;="&amp;IF(Config!$B$1004="Y",A208-Config!$B$1005,DATE(1900,1,1)),$I$2:$I$1000,1)))))</f>
        <v>#ERROR!</v>
      </c>
      <c r="H208" s="39"/>
      <c r="I208" s="39">
        <f t="shared" si="1"/>
        <v>1</v>
      </c>
      <c r="J208" s="39" t="str">
        <f t="shared" si="2"/>
        <v/>
      </c>
      <c r="K208" s="39" t="str">
        <f t="array" ref="K208">IF(J208="","",IF(XLOOKUP(J208,Strike_Review_Queue!$I:$I,Strike_Review_Queue!$J:$J,"")="Approve","Approved",IF(XLOOKUP(J208,Strike_Review_Queue!$I:$I,Strike_Review_Queue!$J:$J,"")="Deny","Counts",H208)))</f>
        <v/>
      </c>
      <c r="L208" s="39" t="str">
        <f t="array" ref="L208">IF(J208="","",XLOOKUP(J208,Strike_Review_Queue!$I:$I,Strike_Review_Queue!$L:$L,""))</f>
        <v/>
      </c>
      <c r="M208" s="39" t="str">
        <f t="array" ref="M208">IF(J208="","",XLOOKUP(J208,Strike_Review_Queue!$I:$I,Strike_Review_Queue!$M:$M,""))</f>
        <v/>
      </c>
    </row>
    <row r="209" ht="15.75" customHeight="1">
      <c r="C209" s="39"/>
      <c r="D209" s="39" t="str">
        <f>IF(OR(B209="",A209=""),"",MAX(0,MIN(3,SUMIFS($C$2:$C$1000,$B$2:$B$1000,B209,$A$2:$A$1000,"&lt;="&amp;A209,$A$2:$A$1000,"&gt;="&amp;IF(Config!$B$1004="Y",A209-Config!$B$1005,DATE(1900,1,1)),$I$2:$I$1000,1)))))</f>
        <v>#ERROR!</v>
      </c>
      <c r="H209" s="39"/>
      <c r="I209" s="39">
        <f t="shared" si="1"/>
        <v>1</v>
      </c>
      <c r="J209" s="39" t="str">
        <f t="shared" si="2"/>
        <v/>
      </c>
      <c r="K209" s="39" t="str">
        <f t="array" ref="K209">IF(J209="","",IF(XLOOKUP(J209,Strike_Review_Queue!$I:$I,Strike_Review_Queue!$J:$J,"")="Approve","Approved",IF(XLOOKUP(J209,Strike_Review_Queue!$I:$I,Strike_Review_Queue!$J:$J,"")="Deny","Counts",H209)))</f>
        <v/>
      </c>
      <c r="L209" s="39" t="str">
        <f t="array" ref="L209">IF(J209="","",XLOOKUP(J209,Strike_Review_Queue!$I:$I,Strike_Review_Queue!$L:$L,""))</f>
        <v/>
      </c>
      <c r="M209" s="39" t="str">
        <f t="array" ref="M209">IF(J209="","",XLOOKUP(J209,Strike_Review_Queue!$I:$I,Strike_Review_Queue!$M:$M,""))</f>
        <v/>
      </c>
    </row>
    <row r="210" ht="15.75" customHeight="1">
      <c r="C210" s="39"/>
      <c r="D210" s="39" t="str">
        <f>IF(OR(B210="",A210=""),"",MAX(0,MIN(3,SUMIFS($C$2:$C$1000,$B$2:$B$1000,B210,$A$2:$A$1000,"&lt;="&amp;A210,$A$2:$A$1000,"&gt;="&amp;IF(Config!$B$1004="Y",A210-Config!$B$1005,DATE(1900,1,1)),$I$2:$I$1000,1)))))</f>
        <v>#ERROR!</v>
      </c>
      <c r="H210" s="39"/>
      <c r="I210" s="39">
        <f t="shared" si="1"/>
        <v>1</v>
      </c>
      <c r="J210" s="39" t="str">
        <f t="shared" si="2"/>
        <v/>
      </c>
      <c r="K210" s="39" t="str">
        <f t="array" ref="K210">IF(J210="","",IF(XLOOKUP(J210,Strike_Review_Queue!$I:$I,Strike_Review_Queue!$J:$J,"")="Approve","Approved",IF(XLOOKUP(J210,Strike_Review_Queue!$I:$I,Strike_Review_Queue!$J:$J,"")="Deny","Counts",H210)))</f>
        <v/>
      </c>
      <c r="L210" s="39" t="str">
        <f t="array" ref="L210">IF(J210="","",XLOOKUP(J210,Strike_Review_Queue!$I:$I,Strike_Review_Queue!$L:$L,""))</f>
        <v/>
      </c>
      <c r="M210" s="39" t="str">
        <f t="array" ref="M210">IF(J210="","",XLOOKUP(J210,Strike_Review_Queue!$I:$I,Strike_Review_Queue!$M:$M,""))</f>
        <v/>
      </c>
    </row>
    <row r="211" ht="15.75" customHeight="1">
      <c r="C211" s="39"/>
      <c r="D211" s="39" t="str">
        <f>IF(OR(B211="",A211=""),"",MAX(0,MIN(3,SUMIFS($C$2:$C$1000,$B$2:$B$1000,B211,$A$2:$A$1000,"&lt;="&amp;A211,$A$2:$A$1000,"&gt;="&amp;IF(Config!$B$1004="Y",A211-Config!$B$1005,DATE(1900,1,1)),$I$2:$I$1000,1)))))</f>
        <v>#ERROR!</v>
      </c>
      <c r="H211" s="39"/>
      <c r="I211" s="39">
        <f t="shared" si="1"/>
        <v>1</v>
      </c>
      <c r="J211" s="39" t="str">
        <f t="shared" si="2"/>
        <v/>
      </c>
      <c r="K211" s="39" t="str">
        <f t="array" ref="K211">IF(J211="","",IF(XLOOKUP(J211,Strike_Review_Queue!$I:$I,Strike_Review_Queue!$J:$J,"")="Approve","Approved",IF(XLOOKUP(J211,Strike_Review_Queue!$I:$I,Strike_Review_Queue!$J:$J,"")="Deny","Counts",H211)))</f>
        <v/>
      </c>
      <c r="L211" s="39" t="str">
        <f t="array" ref="L211">IF(J211="","",XLOOKUP(J211,Strike_Review_Queue!$I:$I,Strike_Review_Queue!$L:$L,""))</f>
        <v/>
      </c>
      <c r="M211" s="39" t="str">
        <f t="array" ref="M211">IF(J211="","",XLOOKUP(J211,Strike_Review_Queue!$I:$I,Strike_Review_Queue!$M:$M,""))</f>
        <v/>
      </c>
    </row>
    <row r="212" ht="15.75" customHeight="1">
      <c r="C212" s="39"/>
      <c r="D212" s="39" t="str">
        <f>IF(OR(B212="",A212=""),"",MAX(0,MIN(3,SUMIFS($C$2:$C$1000,$B$2:$B$1000,B212,$A$2:$A$1000,"&lt;="&amp;A212,$A$2:$A$1000,"&gt;="&amp;IF(Config!$B$1004="Y",A212-Config!$B$1005,DATE(1900,1,1)),$I$2:$I$1000,1)))))</f>
        <v>#ERROR!</v>
      </c>
      <c r="H212" s="39"/>
      <c r="I212" s="39">
        <f t="shared" si="1"/>
        <v>1</v>
      </c>
      <c r="J212" s="39" t="str">
        <f t="shared" si="2"/>
        <v/>
      </c>
      <c r="K212" s="39" t="str">
        <f t="array" ref="K212">IF(J212="","",IF(XLOOKUP(J212,Strike_Review_Queue!$I:$I,Strike_Review_Queue!$J:$J,"")="Approve","Approved",IF(XLOOKUP(J212,Strike_Review_Queue!$I:$I,Strike_Review_Queue!$J:$J,"")="Deny","Counts",H212)))</f>
        <v/>
      </c>
      <c r="L212" s="39" t="str">
        <f t="array" ref="L212">IF(J212="","",XLOOKUP(J212,Strike_Review_Queue!$I:$I,Strike_Review_Queue!$L:$L,""))</f>
        <v/>
      </c>
      <c r="M212" s="39" t="str">
        <f t="array" ref="M212">IF(J212="","",XLOOKUP(J212,Strike_Review_Queue!$I:$I,Strike_Review_Queue!$M:$M,""))</f>
        <v/>
      </c>
    </row>
    <row r="213" ht="15.75" customHeight="1">
      <c r="C213" s="39"/>
      <c r="D213" s="39" t="str">
        <f>IF(OR(B213="",A213=""),"",MAX(0,MIN(3,SUMIFS($C$2:$C$1000,$B$2:$B$1000,B213,$A$2:$A$1000,"&lt;="&amp;A213,$A$2:$A$1000,"&gt;="&amp;IF(Config!$B$1004="Y",A213-Config!$B$1005,DATE(1900,1,1)),$I$2:$I$1000,1)))))</f>
        <v>#ERROR!</v>
      </c>
      <c r="H213" s="39"/>
      <c r="I213" s="39">
        <f t="shared" si="1"/>
        <v>1</v>
      </c>
      <c r="J213" s="39" t="str">
        <f t="shared" si="2"/>
        <v/>
      </c>
      <c r="K213" s="39" t="str">
        <f t="array" ref="K213">IF(J213="","",IF(XLOOKUP(J213,Strike_Review_Queue!$I:$I,Strike_Review_Queue!$J:$J,"")="Approve","Approved",IF(XLOOKUP(J213,Strike_Review_Queue!$I:$I,Strike_Review_Queue!$J:$J,"")="Deny","Counts",H213)))</f>
        <v/>
      </c>
      <c r="L213" s="39" t="str">
        <f t="array" ref="L213">IF(J213="","",XLOOKUP(J213,Strike_Review_Queue!$I:$I,Strike_Review_Queue!$L:$L,""))</f>
        <v/>
      </c>
      <c r="M213" s="39" t="str">
        <f t="array" ref="M213">IF(J213="","",XLOOKUP(J213,Strike_Review_Queue!$I:$I,Strike_Review_Queue!$M:$M,""))</f>
        <v/>
      </c>
    </row>
    <row r="214" ht="15.75" customHeight="1">
      <c r="C214" s="39"/>
      <c r="D214" s="39" t="str">
        <f>IF(OR(B214="",A214=""),"",MAX(0,MIN(3,SUMIFS($C$2:$C$1000,$B$2:$B$1000,B214,$A$2:$A$1000,"&lt;="&amp;A214,$A$2:$A$1000,"&gt;="&amp;IF(Config!$B$1004="Y",A214-Config!$B$1005,DATE(1900,1,1)),$I$2:$I$1000,1)))))</f>
        <v>#ERROR!</v>
      </c>
      <c r="H214" s="39"/>
      <c r="I214" s="39">
        <f t="shared" si="1"/>
        <v>1</v>
      </c>
      <c r="J214" s="39" t="str">
        <f t="shared" si="2"/>
        <v/>
      </c>
      <c r="K214" s="39" t="str">
        <f t="array" ref="K214">IF(J214="","",IF(XLOOKUP(J214,Strike_Review_Queue!$I:$I,Strike_Review_Queue!$J:$J,"")="Approve","Approved",IF(XLOOKUP(J214,Strike_Review_Queue!$I:$I,Strike_Review_Queue!$J:$J,"")="Deny","Counts",H214)))</f>
        <v/>
      </c>
      <c r="L214" s="39" t="str">
        <f t="array" ref="L214">IF(J214="","",XLOOKUP(J214,Strike_Review_Queue!$I:$I,Strike_Review_Queue!$L:$L,""))</f>
        <v/>
      </c>
      <c r="M214" s="39" t="str">
        <f t="array" ref="M214">IF(J214="","",XLOOKUP(J214,Strike_Review_Queue!$I:$I,Strike_Review_Queue!$M:$M,""))</f>
        <v/>
      </c>
    </row>
    <row r="215" ht="15.75" customHeight="1">
      <c r="C215" s="39"/>
      <c r="D215" s="39" t="str">
        <f>IF(OR(B215="",A215=""),"",MAX(0,MIN(3,SUMIFS($C$2:$C$1000,$B$2:$B$1000,B215,$A$2:$A$1000,"&lt;="&amp;A215,$A$2:$A$1000,"&gt;="&amp;IF(Config!$B$1004="Y",A215-Config!$B$1005,DATE(1900,1,1)),$I$2:$I$1000,1)))))</f>
        <v>#ERROR!</v>
      </c>
      <c r="H215" s="39"/>
      <c r="I215" s="39">
        <f t="shared" si="1"/>
        <v>1</v>
      </c>
      <c r="J215" s="39" t="str">
        <f t="shared" si="2"/>
        <v/>
      </c>
      <c r="K215" s="39" t="str">
        <f t="array" ref="K215">IF(J215="","",IF(XLOOKUP(J215,Strike_Review_Queue!$I:$I,Strike_Review_Queue!$J:$J,"")="Approve","Approved",IF(XLOOKUP(J215,Strike_Review_Queue!$I:$I,Strike_Review_Queue!$J:$J,"")="Deny","Counts",H215)))</f>
        <v/>
      </c>
      <c r="L215" s="39" t="str">
        <f t="array" ref="L215">IF(J215="","",XLOOKUP(J215,Strike_Review_Queue!$I:$I,Strike_Review_Queue!$L:$L,""))</f>
        <v/>
      </c>
      <c r="M215" s="39" t="str">
        <f t="array" ref="M215">IF(J215="","",XLOOKUP(J215,Strike_Review_Queue!$I:$I,Strike_Review_Queue!$M:$M,""))</f>
        <v/>
      </c>
    </row>
    <row r="216" ht="15.75" customHeight="1">
      <c r="C216" s="39"/>
      <c r="D216" s="39" t="str">
        <f>IF(OR(B216="",A216=""),"",MAX(0,MIN(3,SUMIFS($C$2:$C$1000,$B$2:$B$1000,B216,$A$2:$A$1000,"&lt;="&amp;A216,$A$2:$A$1000,"&gt;="&amp;IF(Config!$B$1004="Y",A216-Config!$B$1005,DATE(1900,1,1)),$I$2:$I$1000,1)))))</f>
        <v>#ERROR!</v>
      </c>
      <c r="H216" s="39"/>
      <c r="I216" s="39">
        <f t="shared" si="1"/>
        <v>1</v>
      </c>
      <c r="J216" s="39" t="str">
        <f t="shared" si="2"/>
        <v/>
      </c>
      <c r="K216" s="39" t="str">
        <f t="array" ref="K216">IF(J216="","",IF(XLOOKUP(J216,Strike_Review_Queue!$I:$I,Strike_Review_Queue!$J:$J,"")="Approve","Approved",IF(XLOOKUP(J216,Strike_Review_Queue!$I:$I,Strike_Review_Queue!$J:$J,"")="Deny","Counts",H216)))</f>
        <v/>
      </c>
      <c r="L216" s="39" t="str">
        <f t="array" ref="L216">IF(J216="","",XLOOKUP(J216,Strike_Review_Queue!$I:$I,Strike_Review_Queue!$L:$L,""))</f>
        <v/>
      </c>
      <c r="M216" s="39" t="str">
        <f t="array" ref="M216">IF(J216="","",XLOOKUP(J216,Strike_Review_Queue!$I:$I,Strike_Review_Queue!$M:$M,""))</f>
        <v/>
      </c>
    </row>
    <row r="217" ht="15.75" customHeight="1">
      <c r="C217" s="39"/>
      <c r="D217" s="39" t="str">
        <f>IF(OR(B217="",A217=""),"",MAX(0,MIN(3,SUMIFS($C$2:$C$1000,$B$2:$B$1000,B217,$A$2:$A$1000,"&lt;="&amp;A217,$A$2:$A$1000,"&gt;="&amp;IF(Config!$B$1004="Y",A217-Config!$B$1005,DATE(1900,1,1)),$I$2:$I$1000,1)))))</f>
        <v>#ERROR!</v>
      </c>
      <c r="H217" s="39"/>
      <c r="I217" s="39">
        <f t="shared" si="1"/>
        <v>1</v>
      </c>
      <c r="J217" s="39" t="str">
        <f t="shared" si="2"/>
        <v/>
      </c>
      <c r="K217" s="39" t="str">
        <f t="array" ref="K217">IF(J217="","",IF(XLOOKUP(J217,Strike_Review_Queue!$I:$I,Strike_Review_Queue!$J:$J,"")="Approve","Approved",IF(XLOOKUP(J217,Strike_Review_Queue!$I:$I,Strike_Review_Queue!$J:$J,"")="Deny","Counts",H217)))</f>
        <v/>
      </c>
      <c r="L217" s="39" t="str">
        <f t="array" ref="L217">IF(J217="","",XLOOKUP(J217,Strike_Review_Queue!$I:$I,Strike_Review_Queue!$L:$L,""))</f>
        <v/>
      </c>
      <c r="M217" s="39" t="str">
        <f t="array" ref="M217">IF(J217="","",XLOOKUP(J217,Strike_Review_Queue!$I:$I,Strike_Review_Queue!$M:$M,""))</f>
        <v/>
      </c>
    </row>
    <row r="218" ht="15.75" customHeight="1">
      <c r="C218" s="39"/>
      <c r="D218" s="39" t="str">
        <f>IF(OR(B218="",A218=""),"",MAX(0,MIN(3,SUMIFS($C$2:$C$1000,$B$2:$B$1000,B218,$A$2:$A$1000,"&lt;="&amp;A218,$A$2:$A$1000,"&gt;="&amp;IF(Config!$B$1004="Y",A218-Config!$B$1005,DATE(1900,1,1)),$I$2:$I$1000,1)))))</f>
        <v>#ERROR!</v>
      </c>
      <c r="H218" s="39"/>
      <c r="I218" s="39">
        <f t="shared" si="1"/>
        <v>1</v>
      </c>
      <c r="J218" s="39" t="str">
        <f t="shared" si="2"/>
        <v/>
      </c>
      <c r="K218" s="39" t="str">
        <f t="array" ref="K218">IF(J218="","",IF(XLOOKUP(J218,Strike_Review_Queue!$I:$I,Strike_Review_Queue!$J:$J,"")="Approve","Approved",IF(XLOOKUP(J218,Strike_Review_Queue!$I:$I,Strike_Review_Queue!$J:$J,"")="Deny","Counts",H218)))</f>
        <v/>
      </c>
      <c r="L218" s="39" t="str">
        <f t="array" ref="L218">IF(J218="","",XLOOKUP(J218,Strike_Review_Queue!$I:$I,Strike_Review_Queue!$L:$L,""))</f>
        <v/>
      </c>
      <c r="M218" s="39" t="str">
        <f t="array" ref="M218">IF(J218="","",XLOOKUP(J218,Strike_Review_Queue!$I:$I,Strike_Review_Queue!$M:$M,""))</f>
        <v/>
      </c>
    </row>
    <row r="219" ht="15.75" customHeight="1">
      <c r="C219" s="39"/>
      <c r="D219" s="39" t="str">
        <f>IF(OR(B219="",A219=""),"",MAX(0,MIN(3,SUMIFS($C$2:$C$1000,$B$2:$B$1000,B219,$A$2:$A$1000,"&lt;="&amp;A219,$A$2:$A$1000,"&gt;="&amp;IF(Config!$B$1004="Y",A219-Config!$B$1005,DATE(1900,1,1)),$I$2:$I$1000,1)))))</f>
        <v>#ERROR!</v>
      </c>
      <c r="H219" s="39"/>
      <c r="I219" s="39">
        <f t="shared" si="1"/>
        <v>1</v>
      </c>
      <c r="J219" s="39" t="str">
        <f t="shared" si="2"/>
        <v/>
      </c>
      <c r="K219" s="39" t="str">
        <f t="array" ref="K219">IF(J219="","",IF(XLOOKUP(J219,Strike_Review_Queue!$I:$I,Strike_Review_Queue!$J:$J,"")="Approve","Approved",IF(XLOOKUP(J219,Strike_Review_Queue!$I:$I,Strike_Review_Queue!$J:$J,"")="Deny","Counts",H219)))</f>
        <v/>
      </c>
      <c r="L219" s="39" t="str">
        <f t="array" ref="L219">IF(J219="","",XLOOKUP(J219,Strike_Review_Queue!$I:$I,Strike_Review_Queue!$L:$L,""))</f>
        <v/>
      </c>
      <c r="M219" s="39" t="str">
        <f t="array" ref="M219">IF(J219="","",XLOOKUP(J219,Strike_Review_Queue!$I:$I,Strike_Review_Queue!$M:$M,""))</f>
        <v/>
      </c>
    </row>
    <row r="220" ht="15.75" customHeight="1">
      <c r="C220" s="39"/>
      <c r="D220" s="39" t="str">
        <f>IF(OR(B220="",A220=""),"",MAX(0,MIN(3,SUMIFS($C$2:$C$1000,$B$2:$B$1000,B220,$A$2:$A$1000,"&lt;="&amp;A220,$A$2:$A$1000,"&gt;="&amp;IF(Config!$B$1004="Y",A220-Config!$B$1005,DATE(1900,1,1)),$I$2:$I$1000,1)))))</f>
        <v>#ERROR!</v>
      </c>
      <c r="H220" s="39"/>
      <c r="I220" s="39">
        <f t="shared" si="1"/>
        <v>1</v>
      </c>
      <c r="J220" s="39" t="str">
        <f t="shared" si="2"/>
        <v/>
      </c>
      <c r="K220" s="39" t="str">
        <f t="array" ref="K220">IF(J220="","",IF(XLOOKUP(J220,Strike_Review_Queue!$I:$I,Strike_Review_Queue!$J:$J,"")="Approve","Approved",IF(XLOOKUP(J220,Strike_Review_Queue!$I:$I,Strike_Review_Queue!$J:$J,"")="Deny","Counts",H220)))</f>
        <v/>
      </c>
      <c r="L220" s="39" t="str">
        <f t="array" ref="L220">IF(J220="","",XLOOKUP(J220,Strike_Review_Queue!$I:$I,Strike_Review_Queue!$L:$L,""))</f>
        <v/>
      </c>
      <c r="M220" s="39" t="str">
        <f t="array" ref="M220">IF(J220="","",XLOOKUP(J220,Strike_Review_Queue!$I:$I,Strike_Review_Queue!$M:$M,""))</f>
        <v/>
      </c>
    </row>
    <row r="221" ht="15.75" customHeight="1">
      <c r="C221" s="39"/>
      <c r="D221" s="39" t="str">
        <f>IF(OR(B221="",A221=""),"",MAX(0,MIN(3,SUMIFS($C$2:$C$1000,$B$2:$B$1000,B221,$A$2:$A$1000,"&lt;="&amp;A221,$A$2:$A$1000,"&gt;="&amp;IF(Config!$B$1004="Y",A221-Config!$B$1005,DATE(1900,1,1)),$I$2:$I$1000,1)))))</f>
        <v>#ERROR!</v>
      </c>
      <c r="H221" s="39"/>
      <c r="I221" s="39">
        <f t="shared" si="1"/>
        <v>1</v>
      </c>
      <c r="J221" s="39" t="str">
        <f t="shared" si="2"/>
        <v/>
      </c>
      <c r="K221" s="39" t="str">
        <f t="array" ref="K221">IF(J221="","",IF(XLOOKUP(J221,Strike_Review_Queue!$I:$I,Strike_Review_Queue!$J:$J,"")="Approve","Approved",IF(XLOOKUP(J221,Strike_Review_Queue!$I:$I,Strike_Review_Queue!$J:$J,"")="Deny","Counts",H221)))</f>
        <v/>
      </c>
      <c r="L221" s="39" t="str">
        <f t="array" ref="L221">IF(J221="","",XLOOKUP(J221,Strike_Review_Queue!$I:$I,Strike_Review_Queue!$L:$L,""))</f>
        <v/>
      </c>
      <c r="M221" s="39" t="str">
        <f t="array" ref="M221">IF(J221="","",XLOOKUP(J221,Strike_Review_Queue!$I:$I,Strike_Review_Queue!$M:$M,""))</f>
        <v/>
      </c>
    </row>
    <row r="222" ht="15.75" customHeight="1">
      <c r="C222" s="39"/>
      <c r="D222" s="39" t="str">
        <f>IF(OR(B222="",A222=""),"",MAX(0,MIN(3,SUMIFS($C$2:$C$1000,$B$2:$B$1000,B222,$A$2:$A$1000,"&lt;="&amp;A222,$A$2:$A$1000,"&gt;="&amp;IF(Config!$B$1004="Y",A222-Config!$B$1005,DATE(1900,1,1)),$I$2:$I$1000,1)))))</f>
        <v>#ERROR!</v>
      </c>
      <c r="H222" s="39"/>
      <c r="I222" s="39">
        <f t="shared" si="1"/>
        <v>1</v>
      </c>
      <c r="J222" s="39" t="str">
        <f t="shared" si="2"/>
        <v/>
      </c>
      <c r="K222" s="39" t="str">
        <f t="array" ref="K222">IF(J222="","",IF(XLOOKUP(J222,Strike_Review_Queue!$I:$I,Strike_Review_Queue!$J:$J,"")="Approve","Approved",IF(XLOOKUP(J222,Strike_Review_Queue!$I:$I,Strike_Review_Queue!$J:$J,"")="Deny","Counts",H222)))</f>
        <v/>
      </c>
      <c r="L222" s="39" t="str">
        <f t="array" ref="L222">IF(J222="","",XLOOKUP(J222,Strike_Review_Queue!$I:$I,Strike_Review_Queue!$L:$L,""))</f>
        <v/>
      </c>
      <c r="M222" s="39" t="str">
        <f t="array" ref="M222">IF(J222="","",XLOOKUP(J222,Strike_Review_Queue!$I:$I,Strike_Review_Queue!$M:$M,""))</f>
        <v/>
      </c>
    </row>
    <row r="223" ht="15.75" customHeight="1">
      <c r="C223" s="39"/>
      <c r="D223" s="39" t="str">
        <f>IF(OR(B223="",A223=""),"",MAX(0,MIN(3,SUMIFS($C$2:$C$1000,$B$2:$B$1000,B223,$A$2:$A$1000,"&lt;="&amp;A223,$A$2:$A$1000,"&gt;="&amp;IF(Config!$B$1004="Y",A223-Config!$B$1005,DATE(1900,1,1)),$I$2:$I$1000,1)))))</f>
        <v>#ERROR!</v>
      </c>
      <c r="H223" s="39"/>
      <c r="I223" s="39">
        <f t="shared" si="1"/>
        <v>1</v>
      </c>
      <c r="J223" s="39" t="str">
        <f t="shared" si="2"/>
        <v/>
      </c>
      <c r="K223" s="39" t="str">
        <f t="array" ref="K223">IF(J223="","",IF(XLOOKUP(J223,Strike_Review_Queue!$I:$I,Strike_Review_Queue!$J:$J,"")="Approve","Approved",IF(XLOOKUP(J223,Strike_Review_Queue!$I:$I,Strike_Review_Queue!$J:$J,"")="Deny","Counts",H223)))</f>
        <v/>
      </c>
      <c r="L223" s="39" t="str">
        <f t="array" ref="L223">IF(J223="","",XLOOKUP(J223,Strike_Review_Queue!$I:$I,Strike_Review_Queue!$L:$L,""))</f>
        <v/>
      </c>
      <c r="M223" s="39" t="str">
        <f t="array" ref="M223">IF(J223="","",XLOOKUP(J223,Strike_Review_Queue!$I:$I,Strike_Review_Queue!$M:$M,""))</f>
        <v/>
      </c>
    </row>
    <row r="224" ht="15.75" customHeight="1">
      <c r="C224" s="39"/>
      <c r="D224" s="39" t="str">
        <f>IF(OR(B224="",A224=""),"",MAX(0,MIN(3,SUMIFS($C$2:$C$1000,$B$2:$B$1000,B224,$A$2:$A$1000,"&lt;="&amp;A224,$A$2:$A$1000,"&gt;="&amp;IF(Config!$B$1004="Y",A224-Config!$B$1005,DATE(1900,1,1)),$I$2:$I$1000,1)))))</f>
        <v>#ERROR!</v>
      </c>
      <c r="H224" s="39"/>
      <c r="I224" s="39">
        <f t="shared" si="1"/>
        <v>1</v>
      </c>
      <c r="J224" s="39" t="str">
        <f t="shared" si="2"/>
        <v/>
      </c>
      <c r="K224" s="39" t="str">
        <f t="array" ref="K224">IF(J224="","",IF(XLOOKUP(J224,Strike_Review_Queue!$I:$I,Strike_Review_Queue!$J:$J,"")="Approve","Approved",IF(XLOOKUP(J224,Strike_Review_Queue!$I:$I,Strike_Review_Queue!$J:$J,"")="Deny","Counts",H224)))</f>
        <v/>
      </c>
      <c r="L224" s="39" t="str">
        <f t="array" ref="L224">IF(J224="","",XLOOKUP(J224,Strike_Review_Queue!$I:$I,Strike_Review_Queue!$L:$L,""))</f>
        <v/>
      </c>
      <c r="M224" s="39" t="str">
        <f t="array" ref="M224">IF(J224="","",XLOOKUP(J224,Strike_Review_Queue!$I:$I,Strike_Review_Queue!$M:$M,""))</f>
        <v/>
      </c>
    </row>
    <row r="225" ht="15.75" customHeight="1">
      <c r="C225" s="39"/>
      <c r="D225" s="39" t="str">
        <f>IF(OR(B225="",A225=""),"",MAX(0,MIN(3,SUMIFS($C$2:$C$1000,$B$2:$B$1000,B225,$A$2:$A$1000,"&lt;="&amp;A225,$A$2:$A$1000,"&gt;="&amp;IF(Config!$B$1004="Y",A225-Config!$B$1005,DATE(1900,1,1)),$I$2:$I$1000,1)))))</f>
        <v>#ERROR!</v>
      </c>
      <c r="H225" s="39"/>
      <c r="I225" s="39">
        <f t="shared" si="1"/>
        <v>1</v>
      </c>
      <c r="J225" s="39" t="str">
        <f t="shared" si="2"/>
        <v/>
      </c>
      <c r="K225" s="39" t="str">
        <f t="array" ref="K225">IF(J225="","",IF(XLOOKUP(J225,Strike_Review_Queue!$I:$I,Strike_Review_Queue!$J:$J,"")="Approve","Approved",IF(XLOOKUP(J225,Strike_Review_Queue!$I:$I,Strike_Review_Queue!$J:$J,"")="Deny","Counts",H225)))</f>
        <v/>
      </c>
      <c r="L225" s="39" t="str">
        <f t="array" ref="L225">IF(J225="","",XLOOKUP(J225,Strike_Review_Queue!$I:$I,Strike_Review_Queue!$L:$L,""))</f>
        <v/>
      </c>
      <c r="M225" s="39" t="str">
        <f t="array" ref="M225">IF(J225="","",XLOOKUP(J225,Strike_Review_Queue!$I:$I,Strike_Review_Queue!$M:$M,""))</f>
        <v/>
      </c>
    </row>
    <row r="226" ht="15.75" customHeight="1">
      <c r="C226" s="39"/>
      <c r="D226" s="39" t="str">
        <f>IF(OR(B226="",A226=""),"",MAX(0,MIN(3,SUMIFS($C$2:$C$1000,$B$2:$B$1000,B226,$A$2:$A$1000,"&lt;="&amp;A226,$A$2:$A$1000,"&gt;="&amp;IF(Config!$B$1004="Y",A226-Config!$B$1005,DATE(1900,1,1)),$I$2:$I$1000,1)))))</f>
        <v>#ERROR!</v>
      </c>
      <c r="H226" s="39"/>
      <c r="I226" s="39">
        <f t="shared" si="1"/>
        <v>1</v>
      </c>
      <c r="J226" s="39" t="str">
        <f t="shared" si="2"/>
        <v/>
      </c>
      <c r="K226" s="39" t="str">
        <f t="array" ref="K226">IF(J226="","",IF(XLOOKUP(J226,Strike_Review_Queue!$I:$I,Strike_Review_Queue!$J:$J,"")="Approve","Approved",IF(XLOOKUP(J226,Strike_Review_Queue!$I:$I,Strike_Review_Queue!$J:$J,"")="Deny","Counts",H226)))</f>
        <v/>
      </c>
      <c r="L226" s="39" t="str">
        <f t="array" ref="L226">IF(J226="","",XLOOKUP(J226,Strike_Review_Queue!$I:$I,Strike_Review_Queue!$L:$L,""))</f>
        <v/>
      </c>
      <c r="M226" s="39" t="str">
        <f t="array" ref="M226">IF(J226="","",XLOOKUP(J226,Strike_Review_Queue!$I:$I,Strike_Review_Queue!$M:$M,""))</f>
        <v/>
      </c>
    </row>
    <row r="227" ht="15.75" customHeight="1">
      <c r="C227" s="39"/>
      <c r="D227" s="39" t="str">
        <f>IF(OR(B227="",A227=""),"",MAX(0,MIN(3,SUMIFS($C$2:$C$1000,$B$2:$B$1000,B227,$A$2:$A$1000,"&lt;="&amp;A227,$A$2:$A$1000,"&gt;="&amp;IF(Config!$B$1004="Y",A227-Config!$B$1005,DATE(1900,1,1)),$I$2:$I$1000,1)))))</f>
        <v>#ERROR!</v>
      </c>
      <c r="H227" s="39"/>
      <c r="I227" s="39">
        <f t="shared" si="1"/>
        <v>1</v>
      </c>
      <c r="J227" s="39" t="str">
        <f t="shared" si="2"/>
        <v/>
      </c>
      <c r="K227" s="39" t="str">
        <f t="array" ref="K227">IF(J227="","",IF(XLOOKUP(J227,Strike_Review_Queue!$I:$I,Strike_Review_Queue!$J:$J,"")="Approve","Approved",IF(XLOOKUP(J227,Strike_Review_Queue!$I:$I,Strike_Review_Queue!$J:$J,"")="Deny","Counts",H227)))</f>
        <v/>
      </c>
      <c r="L227" s="39" t="str">
        <f t="array" ref="L227">IF(J227="","",XLOOKUP(J227,Strike_Review_Queue!$I:$I,Strike_Review_Queue!$L:$L,""))</f>
        <v/>
      </c>
      <c r="M227" s="39" t="str">
        <f t="array" ref="M227">IF(J227="","",XLOOKUP(J227,Strike_Review_Queue!$I:$I,Strike_Review_Queue!$M:$M,""))</f>
        <v/>
      </c>
    </row>
    <row r="228" ht="15.75" customHeight="1">
      <c r="C228" s="39"/>
      <c r="D228" s="39" t="str">
        <f>IF(OR(B228="",A228=""),"",MAX(0,MIN(3,SUMIFS($C$2:$C$1000,$B$2:$B$1000,B228,$A$2:$A$1000,"&lt;="&amp;A228,$A$2:$A$1000,"&gt;="&amp;IF(Config!$B$1004="Y",A228-Config!$B$1005,DATE(1900,1,1)),$I$2:$I$1000,1)))))</f>
        <v>#ERROR!</v>
      </c>
      <c r="H228" s="39"/>
      <c r="I228" s="39">
        <f t="shared" si="1"/>
        <v>1</v>
      </c>
      <c r="J228" s="39" t="str">
        <f t="shared" si="2"/>
        <v/>
      </c>
      <c r="K228" s="39" t="str">
        <f t="array" ref="K228">IF(J228="","",IF(XLOOKUP(J228,Strike_Review_Queue!$I:$I,Strike_Review_Queue!$J:$J,"")="Approve","Approved",IF(XLOOKUP(J228,Strike_Review_Queue!$I:$I,Strike_Review_Queue!$J:$J,"")="Deny","Counts",H228)))</f>
        <v/>
      </c>
      <c r="L228" s="39" t="str">
        <f t="array" ref="L228">IF(J228="","",XLOOKUP(J228,Strike_Review_Queue!$I:$I,Strike_Review_Queue!$L:$L,""))</f>
        <v/>
      </c>
      <c r="M228" s="39" t="str">
        <f t="array" ref="M228">IF(J228="","",XLOOKUP(J228,Strike_Review_Queue!$I:$I,Strike_Review_Queue!$M:$M,""))</f>
        <v/>
      </c>
    </row>
    <row r="229" ht="15.75" customHeight="1">
      <c r="C229" s="39"/>
      <c r="D229" s="39" t="str">
        <f>IF(OR(B229="",A229=""),"",MAX(0,MIN(3,SUMIFS($C$2:$C$1000,$B$2:$B$1000,B229,$A$2:$A$1000,"&lt;="&amp;A229,$A$2:$A$1000,"&gt;="&amp;IF(Config!$B$1004="Y",A229-Config!$B$1005,DATE(1900,1,1)),$I$2:$I$1000,1)))))</f>
        <v>#ERROR!</v>
      </c>
      <c r="H229" s="39"/>
      <c r="I229" s="39">
        <f t="shared" si="1"/>
        <v>1</v>
      </c>
      <c r="J229" s="39" t="str">
        <f t="shared" si="2"/>
        <v/>
      </c>
      <c r="K229" s="39" t="str">
        <f t="array" ref="K229">IF(J229="","",IF(XLOOKUP(J229,Strike_Review_Queue!$I:$I,Strike_Review_Queue!$J:$J,"")="Approve","Approved",IF(XLOOKUP(J229,Strike_Review_Queue!$I:$I,Strike_Review_Queue!$J:$J,"")="Deny","Counts",H229)))</f>
        <v/>
      </c>
      <c r="L229" s="39" t="str">
        <f t="array" ref="L229">IF(J229="","",XLOOKUP(J229,Strike_Review_Queue!$I:$I,Strike_Review_Queue!$L:$L,""))</f>
        <v/>
      </c>
      <c r="M229" s="39" t="str">
        <f t="array" ref="M229">IF(J229="","",XLOOKUP(J229,Strike_Review_Queue!$I:$I,Strike_Review_Queue!$M:$M,""))</f>
        <v/>
      </c>
    </row>
    <row r="230" ht="15.75" customHeight="1">
      <c r="C230" s="39"/>
      <c r="D230" s="39" t="str">
        <f>IF(OR(B230="",A230=""),"",MAX(0,MIN(3,SUMIFS($C$2:$C$1000,$B$2:$B$1000,B230,$A$2:$A$1000,"&lt;="&amp;A230,$A$2:$A$1000,"&gt;="&amp;IF(Config!$B$1004="Y",A230-Config!$B$1005,DATE(1900,1,1)),$I$2:$I$1000,1)))))</f>
        <v>#ERROR!</v>
      </c>
      <c r="H230" s="39"/>
      <c r="I230" s="39">
        <f t="shared" si="1"/>
        <v>1</v>
      </c>
      <c r="J230" s="39" t="str">
        <f t="shared" si="2"/>
        <v/>
      </c>
      <c r="K230" s="39" t="str">
        <f t="array" ref="K230">IF(J230="","",IF(XLOOKUP(J230,Strike_Review_Queue!$I:$I,Strike_Review_Queue!$J:$J,"")="Approve","Approved",IF(XLOOKUP(J230,Strike_Review_Queue!$I:$I,Strike_Review_Queue!$J:$J,"")="Deny","Counts",H230)))</f>
        <v/>
      </c>
      <c r="L230" s="39" t="str">
        <f t="array" ref="L230">IF(J230="","",XLOOKUP(J230,Strike_Review_Queue!$I:$I,Strike_Review_Queue!$L:$L,""))</f>
        <v/>
      </c>
      <c r="M230" s="39" t="str">
        <f t="array" ref="M230">IF(J230="","",XLOOKUP(J230,Strike_Review_Queue!$I:$I,Strike_Review_Queue!$M:$M,""))</f>
        <v/>
      </c>
    </row>
    <row r="231" ht="15.75" customHeight="1">
      <c r="C231" s="39"/>
      <c r="D231" s="39" t="str">
        <f>IF(OR(B231="",A231=""),"",MAX(0,MIN(3,SUMIFS($C$2:$C$1000,$B$2:$B$1000,B231,$A$2:$A$1000,"&lt;="&amp;A231,$A$2:$A$1000,"&gt;="&amp;IF(Config!$B$1004="Y",A231-Config!$B$1005,DATE(1900,1,1)),$I$2:$I$1000,1)))))</f>
        <v>#ERROR!</v>
      </c>
      <c r="H231" s="39"/>
      <c r="I231" s="39">
        <f t="shared" si="1"/>
        <v>1</v>
      </c>
      <c r="J231" s="39" t="str">
        <f t="shared" si="2"/>
        <v/>
      </c>
      <c r="K231" s="39" t="str">
        <f t="array" ref="K231">IF(J231="","",IF(XLOOKUP(J231,Strike_Review_Queue!$I:$I,Strike_Review_Queue!$J:$J,"")="Approve","Approved",IF(XLOOKUP(J231,Strike_Review_Queue!$I:$I,Strike_Review_Queue!$J:$J,"")="Deny","Counts",H231)))</f>
        <v/>
      </c>
      <c r="L231" s="39" t="str">
        <f t="array" ref="L231">IF(J231="","",XLOOKUP(J231,Strike_Review_Queue!$I:$I,Strike_Review_Queue!$L:$L,""))</f>
        <v/>
      </c>
      <c r="M231" s="39" t="str">
        <f t="array" ref="M231">IF(J231="","",XLOOKUP(J231,Strike_Review_Queue!$I:$I,Strike_Review_Queue!$M:$M,""))</f>
        <v/>
      </c>
    </row>
    <row r="232" ht="15.75" customHeight="1">
      <c r="C232" s="39"/>
      <c r="D232" s="39" t="str">
        <f>IF(OR(B232="",A232=""),"",MAX(0,MIN(3,SUMIFS($C$2:$C$1000,$B$2:$B$1000,B232,$A$2:$A$1000,"&lt;="&amp;A232,$A$2:$A$1000,"&gt;="&amp;IF(Config!$B$1004="Y",A232-Config!$B$1005,DATE(1900,1,1)),$I$2:$I$1000,1)))))</f>
        <v>#ERROR!</v>
      </c>
      <c r="H232" s="39"/>
      <c r="I232" s="39">
        <f t="shared" si="1"/>
        <v>1</v>
      </c>
      <c r="J232" s="39" t="str">
        <f t="shared" si="2"/>
        <v/>
      </c>
      <c r="K232" s="39" t="str">
        <f t="array" ref="K232">IF(J232="","",IF(XLOOKUP(J232,Strike_Review_Queue!$I:$I,Strike_Review_Queue!$J:$J,"")="Approve","Approved",IF(XLOOKUP(J232,Strike_Review_Queue!$I:$I,Strike_Review_Queue!$J:$J,"")="Deny","Counts",H232)))</f>
        <v/>
      </c>
      <c r="L232" s="39" t="str">
        <f t="array" ref="L232">IF(J232="","",XLOOKUP(J232,Strike_Review_Queue!$I:$I,Strike_Review_Queue!$L:$L,""))</f>
        <v/>
      </c>
      <c r="M232" s="39" t="str">
        <f t="array" ref="M232">IF(J232="","",XLOOKUP(J232,Strike_Review_Queue!$I:$I,Strike_Review_Queue!$M:$M,""))</f>
        <v/>
      </c>
    </row>
    <row r="233" ht="15.75" customHeight="1">
      <c r="C233" s="39"/>
      <c r="D233" s="39" t="str">
        <f>IF(OR(B233="",A233=""),"",MAX(0,MIN(3,SUMIFS($C$2:$C$1000,$B$2:$B$1000,B233,$A$2:$A$1000,"&lt;="&amp;A233,$A$2:$A$1000,"&gt;="&amp;IF(Config!$B$1004="Y",A233-Config!$B$1005,DATE(1900,1,1)),$I$2:$I$1000,1)))))</f>
        <v>#ERROR!</v>
      </c>
      <c r="H233" s="39"/>
      <c r="I233" s="39">
        <f t="shared" si="1"/>
        <v>1</v>
      </c>
      <c r="J233" s="39" t="str">
        <f t="shared" si="2"/>
        <v/>
      </c>
      <c r="K233" s="39" t="str">
        <f t="array" ref="K233">IF(J233="","",IF(XLOOKUP(J233,Strike_Review_Queue!$I:$I,Strike_Review_Queue!$J:$J,"")="Approve","Approved",IF(XLOOKUP(J233,Strike_Review_Queue!$I:$I,Strike_Review_Queue!$J:$J,"")="Deny","Counts",H233)))</f>
        <v/>
      </c>
      <c r="L233" s="39" t="str">
        <f t="array" ref="L233">IF(J233="","",XLOOKUP(J233,Strike_Review_Queue!$I:$I,Strike_Review_Queue!$L:$L,""))</f>
        <v/>
      </c>
      <c r="M233" s="39" t="str">
        <f t="array" ref="M233">IF(J233="","",XLOOKUP(J233,Strike_Review_Queue!$I:$I,Strike_Review_Queue!$M:$M,""))</f>
        <v/>
      </c>
    </row>
    <row r="234" ht="15.75" customHeight="1">
      <c r="C234" s="39"/>
      <c r="D234" s="39" t="str">
        <f>IF(OR(B234="",A234=""),"",MAX(0,MIN(3,SUMIFS($C$2:$C$1000,$B$2:$B$1000,B234,$A$2:$A$1000,"&lt;="&amp;A234,$A$2:$A$1000,"&gt;="&amp;IF(Config!$B$1004="Y",A234-Config!$B$1005,DATE(1900,1,1)),$I$2:$I$1000,1)))))</f>
        <v>#ERROR!</v>
      </c>
      <c r="H234" s="39"/>
      <c r="I234" s="39">
        <f t="shared" si="1"/>
        <v>1</v>
      </c>
      <c r="J234" s="39" t="str">
        <f t="shared" si="2"/>
        <v/>
      </c>
      <c r="K234" s="39" t="str">
        <f t="array" ref="K234">IF(J234="","",IF(XLOOKUP(J234,Strike_Review_Queue!$I:$I,Strike_Review_Queue!$J:$J,"")="Approve","Approved",IF(XLOOKUP(J234,Strike_Review_Queue!$I:$I,Strike_Review_Queue!$J:$J,"")="Deny","Counts",H234)))</f>
        <v/>
      </c>
      <c r="L234" s="39" t="str">
        <f t="array" ref="L234">IF(J234="","",XLOOKUP(J234,Strike_Review_Queue!$I:$I,Strike_Review_Queue!$L:$L,""))</f>
        <v/>
      </c>
      <c r="M234" s="39" t="str">
        <f t="array" ref="M234">IF(J234="","",XLOOKUP(J234,Strike_Review_Queue!$I:$I,Strike_Review_Queue!$M:$M,""))</f>
        <v/>
      </c>
    </row>
    <row r="235" ht="15.75" customHeight="1">
      <c r="C235" s="39"/>
      <c r="D235" s="39" t="str">
        <f>IF(OR(B235="",A235=""),"",MAX(0,MIN(3,SUMIFS($C$2:$C$1000,$B$2:$B$1000,B235,$A$2:$A$1000,"&lt;="&amp;A235,$A$2:$A$1000,"&gt;="&amp;IF(Config!$B$1004="Y",A235-Config!$B$1005,DATE(1900,1,1)),$I$2:$I$1000,1)))))</f>
        <v>#ERROR!</v>
      </c>
      <c r="H235" s="39"/>
      <c r="I235" s="39">
        <f t="shared" si="1"/>
        <v>1</v>
      </c>
      <c r="J235" s="39" t="str">
        <f t="shared" si="2"/>
        <v/>
      </c>
      <c r="K235" s="39" t="str">
        <f t="array" ref="K235">IF(J235="","",IF(XLOOKUP(J235,Strike_Review_Queue!$I:$I,Strike_Review_Queue!$J:$J,"")="Approve","Approved",IF(XLOOKUP(J235,Strike_Review_Queue!$I:$I,Strike_Review_Queue!$J:$J,"")="Deny","Counts",H235)))</f>
        <v/>
      </c>
      <c r="L235" s="39" t="str">
        <f t="array" ref="L235">IF(J235="","",XLOOKUP(J235,Strike_Review_Queue!$I:$I,Strike_Review_Queue!$L:$L,""))</f>
        <v/>
      </c>
      <c r="M235" s="39" t="str">
        <f t="array" ref="M235">IF(J235="","",XLOOKUP(J235,Strike_Review_Queue!$I:$I,Strike_Review_Queue!$M:$M,""))</f>
        <v/>
      </c>
    </row>
    <row r="236" ht="15.75" customHeight="1">
      <c r="C236" s="39"/>
      <c r="D236" s="39" t="str">
        <f>IF(OR(B236="",A236=""),"",MAX(0,MIN(3,SUMIFS($C$2:$C$1000,$B$2:$B$1000,B236,$A$2:$A$1000,"&lt;="&amp;A236,$A$2:$A$1000,"&gt;="&amp;IF(Config!$B$1004="Y",A236-Config!$B$1005,DATE(1900,1,1)),$I$2:$I$1000,1)))))</f>
        <v>#ERROR!</v>
      </c>
      <c r="H236" s="39"/>
      <c r="I236" s="39">
        <f t="shared" si="1"/>
        <v>1</v>
      </c>
      <c r="J236" s="39" t="str">
        <f t="shared" si="2"/>
        <v/>
      </c>
      <c r="K236" s="39" t="str">
        <f t="array" ref="K236">IF(J236="","",IF(XLOOKUP(J236,Strike_Review_Queue!$I:$I,Strike_Review_Queue!$J:$J,"")="Approve","Approved",IF(XLOOKUP(J236,Strike_Review_Queue!$I:$I,Strike_Review_Queue!$J:$J,"")="Deny","Counts",H236)))</f>
        <v/>
      </c>
      <c r="L236" s="39" t="str">
        <f t="array" ref="L236">IF(J236="","",XLOOKUP(J236,Strike_Review_Queue!$I:$I,Strike_Review_Queue!$L:$L,""))</f>
        <v/>
      </c>
      <c r="M236" s="39" t="str">
        <f t="array" ref="M236">IF(J236="","",XLOOKUP(J236,Strike_Review_Queue!$I:$I,Strike_Review_Queue!$M:$M,""))</f>
        <v/>
      </c>
    </row>
    <row r="237" ht="15.75" customHeight="1">
      <c r="C237" s="39"/>
      <c r="D237" s="39" t="str">
        <f>IF(OR(B237="",A237=""),"",MAX(0,MIN(3,SUMIFS($C$2:$C$1000,$B$2:$B$1000,B237,$A$2:$A$1000,"&lt;="&amp;A237,$A$2:$A$1000,"&gt;="&amp;IF(Config!$B$1004="Y",A237-Config!$B$1005,DATE(1900,1,1)),$I$2:$I$1000,1)))))</f>
        <v>#ERROR!</v>
      </c>
      <c r="H237" s="39"/>
      <c r="I237" s="39">
        <f t="shared" si="1"/>
        <v>1</v>
      </c>
      <c r="J237" s="39" t="str">
        <f t="shared" si="2"/>
        <v/>
      </c>
      <c r="K237" s="39" t="str">
        <f t="array" ref="K237">IF(J237="","",IF(XLOOKUP(J237,Strike_Review_Queue!$I:$I,Strike_Review_Queue!$J:$J,"")="Approve","Approved",IF(XLOOKUP(J237,Strike_Review_Queue!$I:$I,Strike_Review_Queue!$J:$J,"")="Deny","Counts",H237)))</f>
        <v/>
      </c>
      <c r="L237" s="39" t="str">
        <f t="array" ref="L237">IF(J237="","",XLOOKUP(J237,Strike_Review_Queue!$I:$I,Strike_Review_Queue!$L:$L,""))</f>
        <v/>
      </c>
      <c r="M237" s="39" t="str">
        <f t="array" ref="M237">IF(J237="","",XLOOKUP(J237,Strike_Review_Queue!$I:$I,Strike_Review_Queue!$M:$M,""))</f>
        <v/>
      </c>
    </row>
    <row r="238" ht="15.75" customHeight="1">
      <c r="C238" s="39"/>
      <c r="D238" s="39" t="str">
        <f>IF(OR(B238="",A238=""),"",MAX(0,MIN(3,SUMIFS($C$2:$C$1000,$B$2:$B$1000,B238,$A$2:$A$1000,"&lt;="&amp;A238,$A$2:$A$1000,"&gt;="&amp;IF(Config!$B$1004="Y",A238-Config!$B$1005,DATE(1900,1,1)),$I$2:$I$1000,1)))))</f>
        <v>#ERROR!</v>
      </c>
      <c r="H238" s="39"/>
      <c r="I238" s="39">
        <f t="shared" si="1"/>
        <v>1</v>
      </c>
      <c r="J238" s="39" t="str">
        <f t="shared" si="2"/>
        <v/>
      </c>
      <c r="K238" s="39" t="str">
        <f t="array" ref="K238">IF(J238="","",IF(XLOOKUP(J238,Strike_Review_Queue!$I:$I,Strike_Review_Queue!$J:$J,"")="Approve","Approved",IF(XLOOKUP(J238,Strike_Review_Queue!$I:$I,Strike_Review_Queue!$J:$J,"")="Deny","Counts",H238)))</f>
        <v/>
      </c>
      <c r="L238" s="39" t="str">
        <f t="array" ref="L238">IF(J238="","",XLOOKUP(J238,Strike_Review_Queue!$I:$I,Strike_Review_Queue!$L:$L,""))</f>
        <v/>
      </c>
      <c r="M238" s="39" t="str">
        <f t="array" ref="M238">IF(J238="","",XLOOKUP(J238,Strike_Review_Queue!$I:$I,Strike_Review_Queue!$M:$M,""))</f>
        <v/>
      </c>
    </row>
    <row r="239" ht="15.75" customHeight="1">
      <c r="C239" s="39"/>
      <c r="D239" s="39" t="str">
        <f>IF(OR(B239="",A239=""),"",MAX(0,MIN(3,SUMIFS($C$2:$C$1000,$B$2:$B$1000,B239,$A$2:$A$1000,"&lt;="&amp;A239,$A$2:$A$1000,"&gt;="&amp;IF(Config!$B$1004="Y",A239-Config!$B$1005,DATE(1900,1,1)),$I$2:$I$1000,1)))))</f>
        <v>#ERROR!</v>
      </c>
      <c r="H239" s="39"/>
      <c r="I239" s="39">
        <f t="shared" si="1"/>
        <v>1</v>
      </c>
      <c r="J239" s="39" t="str">
        <f t="shared" si="2"/>
        <v/>
      </c>
      <c r="K239" s="39" t="str">
        <f t="array" ref="K239">IF(J239="","",IF(XLOOKUP(J239,Strike_Review_Queue!$I:$I,Strike_Review_Queue!$J:$J,"")="Approve","Approved",IF(XLOOKUP(J239,Strike_Review_Queue!$I:$I,Strike_Review_Queue!$J:$J,"")="Deny","Counts",H239)))</f>
        <v/>
      </c>
      <c r="L239" s="39" t="str">
        <f t="array" ref="L239">IF(J239="","",XLOOKUP(J239,Strike_Review_Queue!$I:$I,Strike_Review_Queue!$L:$L,""))</f>
        <v/>
      </c>
      <c r="M239" s="39" t="str">
        <f t="array" ref="M239">IF(J239="","",XLOOKUP(J239,Strike_Review_Queue!$I:$I,Strike_Review_Queue!$M:$M,""))</f>
        <v/>
      </c>
    </row>
    <row r="240" ht="15.75" customHeight="1">
      <c r="C240" s="39"/>
      <c r="D240" s="39" t="str">
        <f>IF(OR(B240="",A240=""),"",MAX(0,MIN(3,SUMIFS($C$2:$C$1000,$B$2:$B$1000,B240,$A$2:$A$1000,"&lt;="&amp;A240,$A$2:$A$1000,"&gt;="&amp;IF(Config!$B$1004="Y",A240-Config!$B$1005,DATE(1900,1,1)),$I$2:$I$1000,1)))))</f>
        <v>#ERROR!</v>
      </c>
      <c r="H240" s="39"/>
      <c r="I240" s="39">
        <f t="shared" si="1"/>
        <v>1</v>
      </c>
      <c r="J240" s="39" t="str">
        <f t="shared" si="2"/>
        <v/>
      </c>
      <c r="K240" s="39" t="str">
        <f t="array" ref="K240">IF(J240="","",IF(XLOOKUP(J240,Strike_Review_Queue!$I:$I,Strike_Review_Queue!$J:$J,"")="Approve","Approved",IF(XLOOKUP(J240,Strike_Review_Queue!$I:$I,Strike_Review_Queue!$J:$J,"")="Deny","Counts",H240)))</f>
        <v/>
      </c>
      <c r="L240" s="39" t="str">
        <f t="array" ref="L240">IF(J240="","",XLOOKUP(J240,Strike_Review_Queue!$I:$I,Strike_Review_Queue!$L:$L,""))</f>
        <v/>
      </c>
      <c r="M240" s="39" t="str">
        <f t="array" ref="M240">IF(J240="","",XLOOKUP(J240,Strike_Review_Queue!$I:$I,Strike_Review_Queue!$M:$M,""))</f>
        <v/>
      </c>
    </row>
    <row r="241" ht="15.75" customHeight="1">
      <c r="C241" s="39"/>
      <c r="D241" s="39" t="str">
        <f>IF(OR(B241="",A241=""),"",MAX(0,MIN(3,SUMIFS($C$2:$C$1000,$B$2:$B$1000,B241,$A$2:$A$1000,"&lt;="&amp;A241,$A$2:$A$1000,"&gt;="&amp;IF(Config!$B$1004="Y",A241-Config!$B$1005,DATE(1900,1,1)),$I$2:$I$1000,1)))))</f>
        <v>#ERROR!</v>
      </c>
      <c r="H241" s="39"/>
      <c r="I241" s="39">
        <f t="shared" si="1"/>
        <v>1</v>
      </c>
      <c r="J241" s="39" t="str">
        <f t="shared" si="2"/>
        <v/>
      </c>
      <c r="K241" s="39" t="str">
        <f t="array" ref="K241">IF(J241="","",IF(XLOOKUP(J241,Strike_Review_Queue!$I:$I,Strike_Review_Queue!$J:$J,"")="Approve","Approved",IF(XLOOKUP(J241,Strike_Review_Queue!$I:$I,Strike_Review_Queue!$J:$J,"")="Deny","Counts",H241)))</f>
        <v/>
      </c>
      <c r="L241" s="39" t="str">
        <f t="array" ref="L241">IF(J241="","",XLOOKUP(J241,Strike_Review_Queue!$I:$I,Strike_Review_Queue!$L:$L,""))</f>
        <v/>
      </c>
      <c r="M241" s="39" t="str">
        <f t="array" ref="M241">IF(J241="","",XLOOKUP(J241,Strike_Review_Queue!$I:$I,Strike_Review_Queue!$M:$M,""))</f>
        <v/>
      </c>
    </row>
    <row r="242" ht="15.75" customHeight="1">
      <c r="C242" s="39"/>
      <c r="D242" s="39" t="str">
        <f>IF(OR(B242="",A242=""),"",MAX(0,MIN(3,SUMIFS($C$2:$C$1000,$B$2:$B$1000,B242,$A$2:$A$1000,"&lt;="&amp;A242,$A$2:$A$1000,"&gt;="&amp;IF(Config!$B$1004="Y",A242-Config!$B$1005,DATE(1900,1,1)),$I$2:$I$1000,1)))))</f>
        <v>#ERROR!</v>
      </c>
      <c r="H242" s="39"/>
      <c r="I242" s="39">
        <f t="shared" si="1"/>
        <v>1</v>
      </c>
      <c r="J242" s="39" t="str">
        <f t="shared" si="2"/>
        <v/>
      </c>
      <c r="K242" s="39" t="str">
        <f t="array" ref="K242">IF(J242="","",IF(XLOOKUP(J242,Strike_Review_Queue!$I:$I,Strike_Review_Queue!$J:$J,"")="Approve","Approved",IF(XLOOKUP(J242,Strike_Review_Queue!$I:$I,Strike_Review_Queue!$J:$J,"")="Deny","Counts",H242)))</f>
        <v/>
      </c>
      <c r="L242" s="39" t="str">
        <f t="array" ref="L242">IF(J242="","",XLOOKUP(J242,Strike_Review_Queue!$I:$I,Strike_Review_Queue!$L:$L,""))</f>
        <v/>
      </c>
      <c r="M242" s="39" t="str">
        <f t="array" ref="M242">IF(J242="","",XLOOKUP(J242,Strike_Review_Queue!$I:$I,Strike_Review_Queue!$M:$M,""))</f>
        <v/>
      </c>
    </row>
    <row r="243" ht="15.75" customHeight="1">
      <c r="C243" s="39"/>
      <c r="D243" s="39" t="str">
        <f>IF(OR(B243="",A243=""),"",MAX(0,MIN(3,SUMIFS($C$2:$C$1000,$B$2:$B$1000,B243,$A$2:$A$1000,"&lt;="&amp;A243,$A$2:$A$1000,"&gt;="&amp;IF(Config!$B$1004="Y",A243-Config!$B$1005,DATE(1900,1,1)),$I$2:$I$1000,1)))))</f>
        <v>#ERROR!</v>
      </c>
      <c r="H243" s="39"/>
      <c r="I243" s="39">
        <f t="shared" si="1"/>
        <v>1</v>
      </c>
      <c r="J243" s="39" t="str">
        <f t="shared" si="2"/>
        <v/>
      </c>
      <c r="K243" s="39" t="str">
        <f t="array" ref="K243">IF(J243="","",IF(XLOOKUP(J243,Strike_Review_Queue!$I:$I,Strike_Review_Queue!$J:$J,"")="Approve","Approved",IF(XLOOKUP(J243,Strike_Review_Queue!$I:$I,Strike_Review_Queue!$J:$J,"")="Deny","Counts",H243)))</f>
        <v/>
      </c>
      <c r="L243" s="39" t="str">
        <f t="array" ref="L243">IF(J243="","",XLOOKUP(J243,Strike_Review_Queue!$I:$I,Strike_Review_Queue!$L:$L,""))</f>
        <v/>
      </c>
      <c r="M243" s="39" t="str">
        <f t="array" ref="M243">IF(J243="","",XLOOKUP(J243,Strike_Review_Queue!$I:$I,Strike_Review_Queue!$M:$M,""))</f>
        <v/>
      </c>
    </row>
    <row r="244" ht="15.75" customHeight="1">
      <c r="C244" s="39"/>
      <c r="D244" s="39" t="str">
        <f>IF(OR(B244="",A244=""),"",MAX(0,MIN(3,SUMIFS($C$2:$C$1000,$B$2:$B$1000,B244,$A$2:$A$1000,"&lt;="&amp;A244,$A$2:$A$1000,"&gt;="&amp;IF(Config!$B$1004="Y",A244-Config!$B$1005,DATE(1900,1,1)),$I$2:$I$1000,1)))))</f>
        <v>#ERROR!</v>
      </c>
      <c r="H244" s="39"/>
      <c r="I244" s="39">
        <f t="shared" si="1"/>
        <v>1</v>
      </c>
      <c r="J244" s="39" t="str">
        <f t="shared" si="2"/>
        <v/>
      </c>
      <c r="K244" s="39" t="str">
        <f t="array" ref="K244">IF(J244="","",IF(XLOOKUP(J244,Strike_Review_Queue!$I:$I,Strike_Review_Queue!$J:$J,"")="Approve","Approved",IF(XLOOKUP(J244,Strike_Review_Queue!$I:$I,Strike_Review_Queue!$J:$J,"")="Deny","Counts",H244)))</f>
        <v/>
      </c>
      <c r="L244" s="39" t="str">
        <f t="array" ref="L244">IF(J244="","",XLOOKUP(J244,Strike_Review_Queue!$I:$I,Strike_Review_Queue!$L:$L,""))</f>
        <v/>
      </c>
      <c r="M244" s="39" t="str">
        <f t="array" ref="M244">IF(J244="","",XLOOKUP(J244,Strike_Review_Queue!$I:$I,Strike_Review_Queue!$M:$M,""))</f>
        <v/>
      </c>
    </row>
    <row r="245" ht="15.75" customHeight="1">
      <c r="C245" s="39"/>
      <c r="D245" s="39" t="str">
        <f>IF(OR(B245="",A245=""),"",MAX(0,MIN(3,SUMIFS($C$2:$C$1000,$B$2:$B$1000,B245,$A$2:$A$1000,"&lt;="&amp;A245,$A$2:$A$1000,"&gt;="&amp;IF(Config!$B$1004="Y",A245-Config!$B$1005,DATE(1900,1,1)),$I$2:$I$1000,1)))))</f>
        <v>#ERROR!</v>
      </c>
      <c r="H245" s="39"/>
      <c r="I245" s="39">
        <f t="shared" si="1"/>
        <v>1</v>
      </c>
      <c r="J245" s="39" t="str">
        <f t="shared" si="2"/>
        <v/>
      </c>
      <c r="K245" s="39" t="str">
        <f t="array" ref="K245">IF(J245="","",IF(XLOOKUP(J245,Strike_Review_Queue!$I:$I,Strike_Review_Queue!$J:$J,"")="Approve","Approved",IF(XLOOKUP(J245,Strike_Review_Queue!$I:$I,Strike_Review_Queue!$J:$J,"")="Deny","Counts",H245)))</f>
        <v/>
      </c>
      <c r="L245" s="39" t="str">
        <f t="array" ref="L245">IF(J245="","",XLOOKUP(J245,Strike_Review_Queue!$I:$I,Strike_Review_Queue!$L:$L,""))</f>
        <v/>
      </c>
      <c r="M245" s="39" t="str">
        <f t="array" ref="M245">IF(J245="","",XLOOKUP(J245,Strike_Review_Queue!$I:$I,Strike_Review_Queue!$M:$M,""))</f>
        <v/>
      </c>
    </row>
    <row r="246" ht="15.75" customHeight="1">
      <c r="C246" s="39"/>
      <c r="D246" s="39" t="str">
        <f>IF(OR(B246="",A246=""),"",MAX(0,MIN(3,SUMIFS($C$2:$C$1000,$B$2:$B$1000,B246,$A$2:$A$1000,"&lt;="&amp;A246,$A$2:$A$1000,"&gt;="&amp;IF(Config!$B$1004="Y",A246-Config!$B$1005,DATE(1900,1,1)),$I$2:$I$1000,1)))))</f>
        <v>#ERROR!</v>
      </c>
      <c r="H246" s="39"/>
      <c r="I246" s="39">
        <f t="shared" si="1"/>
        <v>1</v>
      </c>
      <c r="J246" s="39" t="str">
        <f t="shared" si="2"/>
        <v/>
      </c>
      <c r="K246" s="39" t="str">
        <f t="array" ref="K246">IF(J246="","",IF(XLOOKUP(J246,Strike_Review_Queue!$I:$I,Strike_Review_Queue!$J:$J,"")="Approve","Approved",IF(XLOOKUP(J246,Strike_Review_Queue!$I:$I,Strike_Review_Queue!$J:$J,"")="Deny","Counts",H246)))</f>
        <v/>
      </c>
      <c r="L246" s="39" t="str">
        <f t="array" ref="L246">IF(J246="","",XLOOKUP(J246,Strike_Review_Queue!$I:$I,Strike_Review_Queue!$L:$L,""))</f>
        <v/>
      </c>
      <c r="M246" s="39" t="str">
        <f t="array" ref="M246">IF(J246="","",XLOOKUP(J246,Strike_Review_Queue!$I:$I,Strike_Review_Queue!$M:$M,""))</f>
        <v/>
      </c>
    </row>
    <row r="247" ht="15.75" customHeight="1">
      <c r="C247" s="39"/>
      <c r="D247" s="39" t="str">
        <f>IF(OR(B247="",A247=""),"",MAX(0,MIN(3,SUMIFS($C$2:$C$1000,$B$2:$B$1000,B247,$A$2:$A$1000,"&lt;="&amp;A247,$A$2:$A$1000,"&gt;="&amp;IF(Config!$B$1004="Y",A247-Config!$B$1005,DATE(1900,1,1)),$I$2:$I$1000,1)))))</f>
        <v>#ERROR!</v>
      </c>
      <c r="H247" s="39"/>
      <c r="I247" s="39">
        <f t="shared" si="1"/>
        <v>1</v>
      </c>
      <c r="J247" s="39" t="str">
        <f t="shared" si="2"/>
        <v/>
      </c>
      <c r="K247" s="39" t="str">
        <f t="array" ref="K247">IF(J247="","",IF(XLOOKUP(J247,Strike_Review_Queue!$I:$I,Strike_Review_Queue!$J:$J,"")="Approve","Approved",IF(XLOOKUP(J247,Strike_Review_Queue!$I:$I,Strike_Review_Queue!$J:$J,"")="Deny","Counts",H247)))</f>
        <v/>
      </c>
      <c r="L247" s="39" t="str">
        <f t="array" ref="L247">IF(J247="","",XLOOKUP(J247,Strike_Review_Queue!$I:$I,Strike_Review_Queue!$L:$L,""))</f>
        <v/>
      </c>
      <c r="M247" s="39" t="str">
        <f t="array" ref="M247">IF(J247="","",XLOOKUP(J247,Strike_Review_Queue!$I:$I,Strike_Review_Queue!$M:$M,""))</f>
        <v/>
      </c>
    </row>
    <row r="248" ht="15.75" customHeight="1">
      <c r="C248" s="39"/>
      <c r="D248" s="39" t="str">
        <f>IF(OR(B248="",A248=""),"",MAX(0,MIN(3,SUMIFS($C$2:$C$1000,$B$2:$B$1000,B248,$A$2:$A$1000,"&lt;="&amp;A248,$A$2:$A$1000,"&gt;="&amp;IF(Config!$B$1004="Y",A248-Config!$B$1005,DATE(1900,1,1)),$I$2:$I$1000,1)))))</f>
        <v>#ERROR!</v>
      </c>
      <c r="H248" s="39"/>
      <c r="I248" s="39">
        <f t="shared" si="1"/>
        <v>1</v>
      </c>
      <c r="J248" s="39" t="str">
        <f t="shared" si="2"/>
        <v/>
      </c>
      <c r="K248" s="39" t="str">
        <f t="array" ref="K248">IF(J248="","",IF(XLOOKUP(J248,Strike_Review_Queue!$I:$I,Strike_Review_Queue!$J:$J,"")="Approve","Approved",IF(XLOOKUP(J248,Strike_Review_Queue!$I:$I,Strike_Review_Queue!$J:$J,"")="Deny","Counts",H248)))</f>
        <v/>
      </c>
      <c r="L248" s="39" t="str">
        <f t="array" ref="L248">IF(J248="","",XLOOKUP(J248,Strike_Review_Queue!$I:$I,Strike_Review_Queue!$L:$L,""))</f>
        <v/>
      </c>
      <c r="M248" s="39" t="str">
        <f t="array" ref="M248">IF(J248="","",XLOOKUP(J248,Strike_Review_Queue!$I:$I,Strike_Review_Queue!$M:$M,""))</f>
        <v/>
      </c>
    </row>
    <row r="249" ht="15.75" customHeight="1">
      <c r="C249" s="39"/>
      <c r="D249" s="39" t="str">
        <f>IF(OR(B249="",A249=""),"",MAX(0,MIN(3,SUMIFS($C$2:$C$1000,$B$2:$B$1000,B249,$A$2:$A$1000,"&lt;="&amp;A249,$A$2:$A$1000,"&gt;="&amp;IF(Config!$B$1004="Y",A249-Config!$B$1005,DATE(1900,1,1)),$I$2:$I$1000,1)))))</f>
        <v>#ERROR!</v>
      </c>
      <c r="H249" s="39"/>
      <c r="I249" s="39">
        <f t="shared" si="1"/>
        <v>1</v>
      </c>
      <c r="J249" s="39" t="str">
        <f t="shared" si="2"/>
        <v/>
      </c>
      <c r="K249" s="39" t="str">
        <f t="array" ref="K249">IF(J249="","",IF(XLOOKUP(J249,Strike_Review_Queue!$I:$I,Strike_Review_Queue!$J:$J,"")="Approve","Approved",IF(XLOOKUP(J249,Strike_Review_Queue!$I:$I,Strike_Review_Queue!$J:$J,"")="Deny","Counts",H249)))</f>
        <v/>
      </c>
      <c r="L249" s="39" t="str">
        <f t="array" ref="L249">IF(J249="","",XLOOKUP(J249,Strike_Review_Queue!$I:$I,Strike_Review_Queue!$L:$L,""))</f>
        <v/>
      </c>
      <c r="M249" s="39" t="str">
        <f t="array" ref="M249">IF(J249="","",XLOOKUP(J249,Strike_Review_Queue!$I:$I,Strike_Review_Queue!$M:$M,""))</f>
        <v/>
      </c>
    </row>
    <row r="250" ht="15.75" customHeight="1">
      <c r="C250" s="39"/>
      <c r="D250" s="39" t="str">
        <f>IF(OR(B250="",A250=""),"",MAX(0,MIN(3,SUMIFS($C$2:$C$1000,$B$2:$B$1000,B250,$A$2:$A$1000,"&lt;="&amp;A250,$A$2:$A$1000,"&gt;="&amp;IF(Config!$B$1004="Y",A250-Config!$B$1005,DATE(1900,1,1)),$I$2:$I$1000,1)))))</f>
        <v>#ERROR!</v>
      </c>
      <c r="H250" s="39"/>
      <c r="I250" s="39">
        <f t="shared" si="1"/>
        <v>1</v>
      </c>
      <c r="J250" s="39" t="str">
        <f t="shared" si="2"/>
        <v/>
      </c>
      <c r="K250" s="39" t="str">
        <f t="array" ref="K250">IF(J250="","",IF(XLOOKUP(J250,Strike_Review_Queue!$I:$I,Strike_Review_Queue!$J:$J,"")="Approve","Approved",IF(XLOOKUP(J250,Strike_Review_Queue!$I:$I,Strike_Review_Queue!$J:$J,"")="Deny","Counts",H250)))</f>
        <v/>
      </c>
      <c r="L250" s="39" t="str">
        <f t="array" ref="L250">IF(J250="","",XLOOKUP(J250,Strike_Review_Queue!$I:$I,Strike_Review_Queue!$L:$L,""))</f>
        <v/>
      </c>
      <c r="M250" s="39" t="str">
        <f t="array" ref="M250">IF(J250="","",XLOOKUP(J250,Strike_Review_Queue!$I:$I,Strike_Review_Queue!$M:$M,""))</f>
        <v/>
      </c>
    </row>
    <row r="251" ht="15.75" customHeight="1">
      <c r="C251" s="39"/>
      <c r="D251" s="39" t="str">
        <f>IF(OR(B251="",A251=""),"",MAX(0,MIN(3,SUMIFS($C$2:$C$1000,$B$2:$B$1000,B251,$A$2:$A$1000,"&lt;="&amp;A251,$A$2:$A$1000,"&gt;="&amp;IF(Config!$B$1004="Y",A251-Config!$B$1005,DATE(1900,1,1)),$I$2:$I$1000,1)))))</f>
        <v>#ERROR!</v>
      </c>
      <c r="H251" s="39"/>
      <c r="I251" s="39">
        <f t="shared" si="1"/>
        <v>1</v>
      </c>
      <c r="J251" s="39" t="str">
        <f t="shared" si="2"/>
        <v/>
      </c>
      <c r="K251" s="39" t="str">
        <f t="array" ref="K251">IF(J251="","",IF(XLOOKUP(J251,Strike_Review_Queue!$I:$I,Strike_Review_Queue!$J:$J,"")="Approve","Approved",IF(XLOOKUP(J251,Strike_Review_Queue!$I:$I,Strike_Review_Queue!$J:$J,"")="Deny","Counts",H251)))</f>
        <v/>
      </c>
      <c r="L251" s="39" t="str">
        <f t="array" ref="L251">IF(J251="","",XLOOKUP(J251,Strike_Review_Queue!$I:$I,Strike_Review_Queue!$L:$L,""))</f>
        <v/>
      </c>
      <c r="M251" s="39" t="str">
        <f t="array" ref="M251">IF(J251="","",XLOOKUP(J251,Strike_Review_Queue!$I:$I,Strike_Review_Queue!$M:$M,""))</f>
        <v/>
      </c>
    </row>
    <row r="252" ht="15.75" customHeight="1">
      <c r="C252" s="39"/>
      <c r="D252" s="39" t="str">
        <f>IF(OR(B252="",A252=""),"",MAX(0,MIN(3,SUMIFS($C$2:$C$1000,$B$2:$B$1000,B252,$A$2:$A$1000,"&lt;="&amp;A252,$A$2:$A$1000,"&gt;="&amp;IF(Config!$B$1004="Y",A252-Config!$B$1005,DATE(1900,1,1)),$I$2:$I$1000,1)))))</f>
        <v>#ERROR!</v>
      </c>
      <c r="H252" s="39"/>
      <c r="I252" s="39">
        <f t="shared" si="1"/>
        <v>1</v>
      </c>
      <c r="J252" s="39" t="str">
        <f t="shared" si="2"/>
        <v/>
      </c>
      <c r="K252" s="39" t="str">
        <f t="array" ref="K252">IF(J252="","",IF(XLOOKUP(J252,Strike_Review_Queue!$I:$I,Strike_Review_Queue!$J:$J,"")="Approve","Approved",IF(XLOOKUP(J252,Strike_Review_Queue!$I:$I,Strike_Review_Queue!$J:$J,"")="Deny","Counts",H252)))</f>
        <v/>
      </c>
      <c r="L252" s="39" t="str">
        <f t="array" ref="L252">IF(J252="","",XLOOKUP(J252,Strike_Review_Queue!$I:$I,Strike_Review_Queue!$L:$L,""))</f>
        <v/>
      </c>
      <c r="M252" s="39" t="str">
        <f t="array" ref="M252">IF(J252="","",XLOOKUP(J252,Strike_Review_Queue!$I:$I,Strike_Review_Queue!$M:$M,""))</f>
        <v/>
      </c>
    </row>
    <row r="253" ht="15.75" customHeight="1">
      <c r="C253" s="39"/>
      <c r="D253" s="39" t="str">
        <f>IF(OR(B253="",A253=""),"",MAX(0,MIN(3,SUMIFS($C$2:$C$1000,$B$2:$B$1000,B253,$A$2:$A$1000,"&lt;="&amp;A253,$A$2:$A$1000,"&gt;="&amp;IF(Config!$B$1004="Y",A253-Config!$B$1005,DATE(1900,1,1)),$I$2:$I$1000,1)))))</f>
        <v>#ERROR!</v>
      </c>
      <c r="H253" s="39"/>
      <c r="I253" s="39">
        <f t="shared" si="1"/>
        <v>1</v>
      </c>
      <c r="J253" s="39" t="str">
        <f t="shared" si="2"/>
        <v/>
      </c>
      <c r="K253" s="39" t="str">
        <f t="array" ref="K253">IF(J253="","",IF(XLOOKUP(J253,Strike_Review_Queue!$I:$I,Strike_Review_Queue!$J:$J,"")="Approve","Approved",IF(XLOOKUP(J253,Strike_Review_Queue!$I:$I,Strike_Review_Queue!$J:$J,"")="Deny","Counts",H253)))</f>
        <v/>
      </c>
      <c r="L253" s="39" t="str">
        <f t="array" ref="L253">IF(J253="","",XLOOKUP(J253,Strike_Review_Queue!$I:$I,Strike_Review_Queue!$L:$L,""))</f>
        <v/>
      </c>
      <c r="M253" s="39" t="str">
        <f t="array" ref="M253">IF(J253="","",XLOOKUP(J253,Strike_Review_Queue!$I:$I,Strike_Review_Queue!$M:$M,""))</f>
        <v/>
      </c>
    </row>
    <row r="254" ht="15.75" customHeight="1">
      <c r="C254" s="39"/>
      <c r="D254" s="39" t="str">
        <f>IF(OR(B254="",A254=""),"",MAX(0,MIN(3,SUMIFS($C$2:$C$1000,$B$2:$B$1000,B254,$A$2:$A$1000,"&lt;="&amp;A254,$A$2:$A$1000,"&gt;="&amp;IF(Config!$B$1004="Y",A254-Config!$B$1005,DATE(1900,1,1)),$I$2:$I$1000,1)))))</f>
        <v>#ERROR!</v>
      </c>
      <c r="H254" s="39"/>
      <c r="I254" s="39">
        <f t="shared" si="1"/>
        <v>1</v>
      </c>
      <c r="J254" s="39" t="str">
        <f t="shared" si="2"/>
        <v/>
      </c>
      <c r="K254" s="39" t="str">
        <f t="array" ref="K254">IF(J254="","",IF(XLOOKUP(J254,Strike_Review_Queue!$I:$I,Strike_Review_Queue!$J:$J,"")="Approve","Approved",IF(XLOOKUP(J254,Strike_Review_Queue!$I:$I,Strike_Review_Queue!$J:$J,"")="Deny","Counts",H254)))</f>
        <v/>
      </c>
      <c r="L254" s="39" t="str">
        <f t="array" ref="L254">IF(J254="","",XLOOKUP(J254,Strike_Review_Queue!$I:$I,Strike_Review_Queue!$L:$L,""))</f>
        <v/>
      </c>
      <c r="M254" s="39" t="str">
        <f t="array" ref="M254">IF(J254="","",XLOOKUP(J254,Strike_Review_Queue!$I:$I,Strike_Review_Queue!$M:$M,""))</f>
        <v/>
      </c>
    </row>
    <row r="255" ht="15.75" customHeight="1">
      <c r="C255" s="39"/>
      <c r="D255" s="39" t="str">
        <f>IF(OR(B255="",A255=""),"",MAX(0,MIN(3,SUMIFS($C$2:$C$1000,$B$2:$B$1000,B255,$A$2:$A$1000,"&lt;="&amp;A255,$A$2:$A$1000,"&gt;="&amp;IF(Config!$B$1004="Y",A255-Config!$B$1005,DATE(1900,1,1)),$I$2:$I$1000,1)))))</f>
        <v>#ERROR!</v>
      </c>
      <c r="H255" s="39"/>
      <c r="I255" s="39">
        <f t="shared" si="1"/>
        <v>1</v>
      </c>
      <c r="J255" s="39" t="str">
        <f t="shared" si="2"/>
        <v/>
      </c>
      <c r="K255" s="39" t="str">
        <f t="array" ref="K255">IF(J255="","",IF(XLOOKUP(J255,Strike_Review_Queue!$I:$I,Strike_Review_Queue!$J:$J,"")="Approve","Approved",IF(XLOOKUP(J255,Strike_Review_Queue!$I:$I,Strike_Review_Queue!$J:$J,"")="Deny","Counts",H255)))</f>
        <v/>
      </c>
      <c r="L255" s="39" t="str">
        <f t="array" ref="L255">IF(J255="","",XLOOKUP(J255,Strike_Review_Queue!$I:$I,Strike_Review_Queue!$L:$L,""))</f>
        <v/>
      </c>
      <c r="M255" s="39" t="str">
        <f t="array" ref="M255">IF(J255="","",XLOOKUP(J255,Strike_Review_Queue!$I:$I,Strike_Review_Queue!$M:$M,""))</f>
        <v/>
      </c>
    </row>
    <row r="256" ht="15.75" customHeight="1">
      <c r="C256" s="39"/>
      <c r="D256" s="39" t="str">
        <f>IF(OR(B256="",A256=""),"",MAX(0,MIN(3,SUMIFS($C$2:$C$1000,$B$2:$B$1000,B256,$A$2:$A$1000,"&lt;="&amp;A256,$A$2:$A$1000,"&gt;="&amp;IF(Config!$B$1004="Y",A256-Config!$B$1005,DATE(1900,1,1)),$I$2:$I$1000,1)))))</f>
        <v>#ERROR!</v>
      </c>
      <c r="H256" s="39"/>
      <c r="I256" s="39">
        <f t="shared" si="1"/>
        <v>1</v>
      </c>
      <c r="J256" s="39" t="str">
        <f t="shared" si="2"/>
        <v/>
      </c>
      <c r="K256" s="39" t="str">
        <f t="array" ref="K256">IF(J256="","",IF(XLOOKUP(J256,Strike_Review_Queue!$I:$I,Strike_Review_Queue!$J:$J,"")="Approve","Approved",IF(XLOOKUP(J256,Strike_Review_Queue!$I:$I,Strike_Review_Queue!$J:$J,"")="Deny","Counts",H256)))</f>
        <v/>
      </c>
      <c r="L256" s="39" t="str">
        <f t="array" ref="L256">IF(J256="","",XLOOKUP(J256,Strike_Review_Queue!$I:$I,Strike_Review_Queue!$L:$L,""))</f>
        <v/>
      </c>
      <c r="M256" s="39" t="str">
        <f t="array" ref="M256">IF(J256="","",XLOOKUP(J256,Strike_Review_Queue!$I:$I,Strike_Review_Queue!$M:$M,""))</f>
        <v/>
      </c>
    </row>
    <row r="257" ht="15.75" customHeight="1">
      <c r="C257" s="39"/>
      <c r="D257" s="39" t="str">
        <f>IF(OR(B257="",A257=""),"",MAX(0,MIN(3,SUMIFS($C$2:$C$1000,$B$2:$B$1000,B257,$A$2:$A$1000,"&lt;="&amp;A257,$A$2:$A$1000,"&gt;="&amp;IF(Config!$B$1004="Y",A257-Config!$B$1005,DATE(1900,1,1)),$I$2:$I$1000,1)))))</f>
        <v>#ERROR!</v>
      </c>
      <c r="H257" s="39"/>
      <c r="I257" s="39">
        <f t="shared" si="1"/>
        <v>1</v>
      </c>
      <c r="J257" s="39" t="str">
        <f t="shared" si="2"/>
        <v/>
      </c>
      <c r="K257" s="39" t="str">
        <f t="array" ref="K257">IF(J257="","",IF(XLOOKUP(J257,Strike_Review_Queue!$I:$I,Strike_Review_Queue!$J:$J,"")="Approve","Approved",IF(XLOOKUP(J257,Strike_Review_Queue!$I:$I,Strike_Review_Queue!$J:$J,"")="Deny","Counts",H257)))</f>
        <v/>
      </c>
      <c r="L257" s="39" t="str">
        <f t="array" ref="L257">IF(J257="","",XLOOKUP(J257,Strike_Review_Queue!$I:$I,Strike_Review_Queue!$L:$L,""))</f>
        <v/>
      </c>
      <c r="M257" s="39" t="str">
        <f t="array" ref="M257">IF(J257="","",XLOOKUP(J257,Strike_Review_Queue!$I:$I,Strike_Review_Queue!$M:$M,""))</f>
        <v/>
      </c>
    </row>
    <row r="258" ht="15.75" customHeight="1">
      <c r="C258" s="39"/>
      <c r="D258" s="39" t="str">
        <f>IF(OR(B258="",A258=""),"",MAX(0,MIN(3,SUMIFS($C$2:$C$1000,$B$2:$B$1000,B258,$A$2:$A$1000,"&lt;="&amp;A258,$A$2:$A$1000,"&gt;="&amp;IF(Config!$B$1004="Y",A258-Config!$B$1005,DATE(1900,1,1)),$I$2:$I$1000,1)))))</f>
        <v>#ERROR!</v>
      </c>
      <c r="H258" s="39"/>
      <c r="I258" s="39">
        <f t="shared" si="1"/>
        <v>1</v>
      </c>
      <c r="J258" s="39" t="str">
        <f t="shared" si="2"/>
        <v/>
      </c>
      <c r="K258" s="39" t="str">
        <f t="array" ref="K258">IF(J258="","",IF(XLOOKUP(J258,Strike_Review_Queue!$I:$I,Strike_Review_Queue!$J:$J,"")="Approve","Approved",IF(XLOOKUP(J258,Strike_Review_Queue!$I:$I,Strike_Review_Queue!$J:$J,"")="Deny","Counts",H258)))</f>
        <v/>
      </c>
      <c r="L258" s="39" t="str">
        <f t="array" ref="L258">IF(J258="","",XLOOKUP(J258,Strike_Review_Queue!$I:$I,Strike_Review_Queue!$L:$L,""))</f>
        <v/>
      </c>
      <c r="M258" s="39" t="str">
        <f t="array" ref="M258">IF(J258="","",XLOOKUP(J258,Strike_Review_Queue!$I:$I,Strike_Review_Queue!$M:$M,""))</f>
        <v/>
      </c>
    </row>
    <row r="259" ht="15.75" customHeight="1">
      <c r="C259" s="39"/>
      <c r="D259" s="39" t="str">
        <f>IF(OR(B259="",A259=""),"",MAX(0,MIN(3,SUMIFS($C$2:$C$1000,$B$2:$B$1000,B259,$A$2:$A$1000,"&lt;="&amp;A259,$A$2:$A$1000,"&gt;="&amp;IF(Config!$B$1004="Y",A259-Config!$B$1005,DATE(1900,1,1)),$I$2:$I$1000,1)))))</f>
        <v>#ERROR!</v>
      </c>
      <c r="H259" s="39"/>
      <c r="I259" s="39">
        <f t="shared" si="1"/>
        <v>1</v>
      </c>
      <c r="J259" s="39" t="str">
        <f t="shared" si="2"/>
        <v/>
      </c>
      <c r="K259" s="39" t="str">
        <f t="array" ref="K259">IF(J259="","",IF(XLOOKUP(J259,Strike_Review_Queue!$I:$I,Strike_Review_Queue!$J:$J,"")="Approve","Approved",IF(XLOOKUP(J259,Strike_Review_Queue!$I:$I,Strike_Review_Queue!$J:$J,"")="Deny","Counts",H259)))</f>
        <v/>
      </c>
      <c r="L259" s="39" t="str">
        <f t="array" ref="L259">IF(J259="","",XLOOKUP(J259,Strike_Review_Queue!$I:$I,Strike_Review_Queue!$L:$L,""))</f>
        <v/>
      </c>
      <c r="M259" s="39" t="str">
        <f t="array" ref="M259">IF(J259="","",XLOOKUP(J259,Strike_Review_Queue!$I:$I,Strike_Review_Queue!$M:$M,""))</f>
        <v/>
      </c>
    </row>
    <row r="260" ht="15.75" customHeight="1">
      <c r="C260" s="39"/>
      <c r="D260" s="39" t="str">
        <f>IF(OR(B260="",A260=""),"",MAX(0,MIN(3,SUMIFS($C$2:$C$1000,$B$2:$B$1000,B260,$A$2:$A$1000,"&lt;="&amp;A260,$A$2:$A$1000,"&gt;="&amp;IF(Config!$B$1004="Y",A260-Config!$B$1005,DATE(1900,1,1)),$I$2:$I$1000,1)))))</f>
        <v>#ERROR!</v>
      </c>
      <c r="H260" s="39"/>
      <c r="I260" s="39">
        <f t="shared" si="1"/>
        <v>1</v>
      </c>
      <c r="J260" s="39" t="str">
        <f t="shared" si="2"/>
        <v/>
      </c>
      <c r="K260" s="39" t="str">
        <f t="array" ref="K260">IF(J260="","",IF(XLOOKUP(J260,Strike_Review_Queue!$I:$I,Strike_Review_Queue!$J:$J,"")="Approve","Approved",IF(XLOOKUP(J260,Strike_Review_Queue!$I:$I,Strike_Review_Queue!$J:$J,"")="Deny","Counts",H260)))</f>
        <v/>
      </c>
      <c r="L260" s="39" t="str">
        <f t="array" ref="L260">IF(J260="","",XLOOKUP(J260,Strike_Review_Queue!$I:$I,Strike_Review_Queue!$L:$L,""))</f>
        <v/>
      </c>
      <c r="M260" s="39" t="str">
        <f t="array" ref="M260">IF(J260="","",XLOOKUP(J260,Strike_Review_Queue!$I:$I,Strike_Review_Queue!$M:$M,""))</f>
        <v/>
      </c>
    </row>
    <row r="261" ht="15.75" customHeight="1">
      <c r="C261" s="39"/>
      <c r="D261" s="39" t="str">
        <f>IF(OR(B261="",A261=""),"",MAX(0,MIN(3,SUMIFS($C$2:$C$1000,$B$2:$B$1000,B261,$A$2:$A$1000,"&lt;="&amp;A261,$A$2:$A$1000,"&gt;="&amp;IF(Config!$B$1004="Y",A261-Config!$B$1005,DATE(1900,1,1)),$I$2:$I$1000,1)))))</f>
        <v>#ERROR!</v>
      </c>
      <c r="H261" s="39"/>
      <c r="I261" s="39">
        <f t="shared" si="1"/>
        <v>1</v>
      </c>
      <c r="J261" s="39" t="str">
        <f t="shared" si="2"/>
        <v/>
      </c>
      <c r="K261" s="39" t="str">
        <f t="array" ref="K261">IF(J261="","",IF(XLOOKUP(J261,Strike_Review_Queue!$I:$I,Strike_Review_Queue!$J:$J,"")="Approve","Approved",IF(XLOOKUP(J261,Strike_Review_Queue!$I:$I,Strike_Review_Queue!$J:$J,"")="Deny","Counts",H261)))</f>
        <v/>
      </c>
      <c r="L261" s="39" t="str">
        <f t="array" ref="L261">IF(J261="","",XLOOKUP(J261,Strike_Review_Queue!$I:$I,Strike_Review_Queue!$L:$L,""))</f>
        <v/>
      </c>
      <c r="M261" s="39" t="str">
        <f t="array" ref="M261">IF(J261="","",XLOOKUP(J261,Strike_Review_Queue!$I:$I,Strike_Review_Queue!$M:$M,""))</f>
        <v/>
      </c>
    </row>
    <row r="262" ht="15.75" customHeight="1">
      <c r="C262" s="39"/>
      <c r="D262" s="39" t="str">
        <f>IF(OR(B262="",A262=""),"",MAX(0,MIN(3,SUMIFS($C$2:$C$1000,$B$2:$B$1000,B262,$A$2:$A$1000,"&lt;="&amp;A262,$A$2:$A$1000,"&gt;="&amp;IF(Config!$B$1004="Y",A262-Config!$B$1005,DATE(1900,1,1)),$I$2:$I$1000,1)))))</f>
        <v>#ERROR!</v>
      </c>
      <c r="H262" s="39"/>
      <c r="I262" s="39">
        <f t="shared" si="1"/>
        <v>1</v>
      </c>
      <c r="J262" s="39" t="str">
        <f t="shared" si="2"/>
        <v/>
      </c>
      <c r="K262" s="39" t="str">
        <f t="array" ref="K262">IF(J262="","",IF(XLOOKUP(J262,Strike_Review_Queue!$I:$I,Strike_Review_Queue!$J:$J,"")="Approve","Approved",IF(XLOOKUP(J262,Strike_Review_Queue!$I:$I,Strike_Review_Queue!$J:$J,"")="Deny","Counts",H262)))</f>
        <v/>
      </c>
      <c r="L262" s="39" t="str">
        <f t="array" ref="L262">IF(J262="","",XLOOKUP(J262,Strike_Review_Queue!$I:$I,Strike_Review_Queue!$L:$L,""))</f>
        <v/>
      </c>
      <c r="M262" s="39" t="str">
        <f t="array" ref="M262">IF(J262="","",XLOOKUP(J262,Strike_Review_Queue!$I:$I,Strike_Review_Queue!$M:$M,""))</f>
        <v/>
      </c>
    </row>
    <row r="263" ht="15.75" customHeight="1">
      <c r="C263" s="39"/>
      <c r="D263" s="39" t="str">
        <f>IF(OR(B263="",A263=""),"",MAX(0,MIN(3,SUMIFS($C$2:$C$1000,$B$2:$B$1000,B263,$A$2:$A$1000,"&lt;="&amp;A263,$A$2:$A$1000,"&gt;="&amp;IF(Config!$B$1004="Y",A263-Config!$B$1005,DATE(1900,1,1)),$I$2:$I$1000,1)))))</f>
        <v>#ERROR!</v>
      </c>
      <c r="H263" s="39"/>
      <c r="I263" s="39">
        <f t="shared" si="1"/>
        <v>1</v>
      </c>
      <c r="J263" s="39" t="str">
        <f t="shared" si="2"/>
        <v/>
      </c>
      <c r="K263" s="39" t="str">
        <f t="array" ref="K263">IF(J263="","",IF(XLOOKUP(J263,Strike_Review_Queue!$I:$I,Strike_Review_Queue!$J:$J,"")="Approve","Approved",IF(XLOOKUP(J263,Strike_Review_Queue!$I:$I,Strike_Review_Queue!$J:$J,"")="Deny","Counts",H263)))</f>
        <v/>
      </c>
      <c r="L263" s="39" t="str">
        <f t="array" ref="L263">IF(J263="","",XLOOKUP(J263,Strike_Review_Queue!$I:$I,Strike_Review_Queue!$L:$L,""))</f>
        <v/>
      </c>
      <c r="M263" s="39" t="str">
        <f t="array" ref="M263">IF(J263="","",XLOOKUP(J263,Strike_Review_Queue!$I:$I,Strike_Review_Queue!$M:$M,""))</f>
        <v/>
      </c>
    </row>
    <row r="264" ht="15.75" customHeight="1">
      <c r="C264" s="39"/>
      <c r="D264" s="39" t="str">
        <f>IF(OR(B264="",A264=""),"",MAX(0,MIN(3,SUMIFS($C$2:$C$1000,$B$2:$B$1000,B264,$A$2:$A$1000,"&lt;="&amp;A264,$A$2:$A$1000,"&gt;="&amp;IF(Config!$B$1004="Y",A264-Config!$B$1005,DATE(1900,1,1)),$I$2:$I$1000,1)))))</f>
        <v>#ERROR!</v>
      </c>
      <c r="H264" s="39"/>
      <c r="I264" s="39">
        <f t="shared" si="1"/>
        <v>1</v>
      </c>
      <c r="J264" s="39" t="str">
        <f t="shared" si="2"/>
        <v/>
      </c>
      <c r="K264" s="39" t="str">
        <f t="array" ref="K264">IF(J264="","",IF(XLOOKUP(J264,Strike_Review_Queue!$I:$I,Strike_Review_Queue!$J:$J,"")="Approve","Approved",IF(XLOOKUP(J264,Strike_Review_Queue!$I:$I,Strike_Review_Queue!$J:$J,"")="Deny","Counts",H264)))</f>
        <v/>
      </c>
      <c r="L264" s="39" t="str">
        <f t="array" ref="L264">IF(J264="","",XLOOKUP(J264,Strike_Review_Queue!$I:$I,Strike_Review_Queue!$L:$L,""))</f>
        <v/>
      </c>
      <c r="M264" s="39" t="str">
        <f t="array" ref="M264">IF(J264="","",XLOOKUP(J264,Strike_Review_Queue!$I:$I,Strike_Review_Queue!$M:$M,""))</f>
        <v/>
      </c>
    </row>
    <row r="265" ht="15.75" customHeight="1">
      <c r="C265" s="39"/>
      <c r="D265" s="39" t="str">
        <f>IF(OR(B265="",A265=""),"",MAX(0,MIN(3,SUMIFS($C$2:$C$1000,$B$2:$B$1000,B265,$A$2:$A$1000,"&lt;="&amp;A265,$A$2:$A$1000,"&gt;="&amp;IF(Config!$B$1004="Y",A265-Config!$B$1005,DATE(1900,1,1)),$I$2:$I$1000,1)))))</f>
        <v>#ERROR!</v>
      </c>
      <c r="H265" s="39"/>
      <c r="I265" s="39">
        <f t="shared" si="1"/>
        <v>1</v>
      </c>
      <c r="J265" s="39" t="str">
        <f t="shared" si="2"/>
        <v/>
      </c>
      <c r="K265" s="39" t="str">
        <f t="array" ref="K265">IF(J265="","",IF(XLOOKUP(J265,Strike_Review_Queue!$I:$I,Strike_Review_Queue!$J:$J,"")="Approve","Approved",IF(XLOOKUP(J265,Strike_Review_Queue!$I:$I,Strike_Review_Queue!$J:$J,"")="Deny","Counts",H265)))</f>
        <v/>
      </c>
      <c r="L265" s="39" t="str">
        <f t="array" ref="L265">IF(J265="","",XLOOKUP(J265,Strike_Review_Queue!$I:$I,Strike_Review_Queue!$L:$L,""))</f>
        <v/>
      </c>
      <c r="M265" s="39" t="str">
        <f t="array" ref="M265">IF(J265="","",XLOOKUP(J265,Strike_Review_Queue!$I:$I,Strike_Review_Queue!$M:$M,""))</f>
        <v/>
      </c>
    </row>
    <row r="266" ht="15.75" customHeight="1">
      <c r="C266" s="39"/>
      <c r="D266" s="39" t="str">
        <f>IF(OR(B266="",A266=""),"",MAX(0,MIN(3,SUMIFS($C$2:$C$1000,$B$2:$B$1000,B266,$A$2:$A$1000,"&lt;="&amp;A266,$A$2:$A$1000,"&gt;="&amp;IF(Config!$B$1004="Y",A266-Config!$B$1005,DATE(1900,1,1)),$I$2:$I$1000,1)))))</f>
        <v>#ERROR!</v>
      </c>
      <c r="H266" s="39"/>
      <c r="I266" s="39">
        <f t="shared" si="1"/>
        <v>1</v>
      </c>
      <c r="J266" s="39" t="str">
        <f t="shared" si="2"/>
        <v/>
      </c>
      <c r="K266" s="39" t="str">
        <f t="array" ref="K266">IF(J266="","",IF(XLOOKUP(J266,Strike_Review_Queue!$I:$I,Strike_Review_Queue!$J:$J,"")="Approve","Approved",IF(XLOOKUP(J266,Strike_Review_Queue!$I:$I,Strike_Review_Queue!$J:$J,"")="Deny","Counts",H266)))</f>
        <v/>
      </c>
      <c r="L266" s="39" t="str">
        <f t="array" ref="L266">IF(J266="","",XLOOKUP(J266,Strike_Review_Queue!$I:$I,Strike_Review_Queue!$L:$L,""))</f>
        <v/>
      </c>
      <c r="M266" s="39" t="str">
        <f t="array" ref="M266">IF(J266="","",XLOOKUP(J266,Strike_Review_Queue!$I:$I,Strike_Review_Queue!$M:$M,""))</f>
        <v/>
      </c>
    </row>
    <row r="267" ht="15.75" customHeight="1">
      <c r="C267" s="39"/>
      <c r="D267" s="39" t="str">
        <f>IF(OR(B267="",A267=""),"",MAX(0,MIN(3,SUMIFS($C$2:$C$1000,$B$2:$B$1000,B267,$A$2:$A$1000,"&lt;="&amp;A267,$A$2:$A$1000,"&gt;="&amp;IF(Config!$B$1004="Y",A267-Config!$B$1005,DATE(1900,1,1)),$I$2:$I$1000,1)))))</f>
        <v>#ERROR!</v>
      </c>
      <c r="H267" s="39"/>
      <c r="I267" s="39">
        <f t="shared" si="1"/>
        <v>1</v>
      </c>
      <c r="J267" s="39" t="str">
        <f t="shared" si="2"/>
        <v/>
      </c>
      <c r="K267" s="39" t="str">
        <f t="array" ref="K267">IF(J267="","",IF(XLOOKUP(J267,Strike_Review_Queue!$I:$I,Strike_Review_Queue!$J:$J,"")="Approve","Approved",IF(XLOOKUP(J267,Strike_Review_Queue!$I:$I,Strike_Review_Queue!$J:$J,"")="Deny","Counts",H267)))</f>
        <v/>
      </c>
      <c r="L267" s="39" t="str">
        <f t="array" ref="L267">IF(J267="","",XLOOKUP(J267,Strike_Review_Queue!$I:$I,Strike_Review_Queue!$L:$L,""))</f>
        <v/>
      </c>
      <c r="M267" s="39" t="str">
        <f t="array" ref="M267">IF(J267="","",XLOOKUP(J267,Strike_Review_Queue!$I:$I,Strike_Review_Queue!$M:$M,""))</f>
        <v/>
      </c>
    </row>
    <row r="268" ht="15.75" customHeight="1">
      <c r="C268" s="39"/>
      <c r="D268" s="39" t="str">
        <f>IF(OR(B268="",A268=""),"",MAX(0,MIN(3,SUMIFS($C$2:$C$1000,$B$2:$B$1000,B268,$A$2:$A$1000,"&lt;="&amp;A268,$A$2:$A$1000,"&gt;="&amp;IF(Config!$B$1004="Y",A268-Config!$B$1005,DATE(1900,1,1)),$I$2:$I$1000,1)))))</f>
        <v>#ERROR!</v>
      </c>
      <c r="H268" s="39"/>
      <c r="I268" s="39">
        <f t="shared" si="1"/>
        <v>1</v>
      </c>
      <c r="J268" s="39" t="str">
        <f t="shared" si="2"/>
        <v/>
      </c>
      <c r="K268" s="39" t="str">
        <f t="array" ref="K268">IF(J268="","",IF(XLOOKUP(J268,Strike_Review_Queue!$I:$I,Strike_Review_Queue!$J:$J,"")="Approve","Approved",IF(XLOOKUP(J268,Strike_Review_Queue!$I:$I,Strike_Review_Queue!$J:$J,"")="Deny","Counts",H268)))</f>
        <v/>
      </c>
      <c r="L268" s="39" t="str">
        <f t="array" ref="L268">IF(J268="","",XLOOKUP(J268,Strike_Review_Queue!$I:$I,Strike_Review_Queue!$L:$L,""))</f>
        <v/>
      </c>
      <c r="M268" s="39" t="str">
        <f t="array" ref="M268">IF(J268="","",XLOOKUP(J268,Strike_Review_Queue!$I:$I,Strike_Review_Queue!$M:$M,""))</f>
        <v/>
      </c>
    </row>
    <row r="269" ht="15.75" customHeight="1">
      <c r="C269" s="39"/>
      <c r="D269" s="39" t="str">
        <f>IF(OR(B269="",A269=""),"",MAX(0,MIN(3,SUMIFS($C$2:$C$1000,$B$2:$B$1000,B269,$A$2:$A$1000,"&lt;="&amp;A269,$A$2:$A$1000,"&gt;="&amp;IF(Config!$B$1004="Y",A269-Config!$B$1005,DATE(1900,1,1)),$I$2:$I$1000,1)))))</f>
        <v>#ERROR!</v>
      </c>
      <c r="H269" s="39"/>
      <c r="I269" s="39">
        <f t="shared" si="1"/>
        <v>1</v>
      </c>
      <c r="J269" s="39" t="str">
        <f t="shared" si="2"/>
        <v/>
      </c>
      <c r="K269" s="39" t="str">
        <f t="array" ref="K269">IF(J269="","",IF(XLOOKUP(J269,Strike_Review_Queue!$I:$I,Strike_Review_Queue!$J:$J,"")="Approve","Approved",IF(XLOOKUP(J269,Strike_Review_Queue!$I:$I,Strike_Review_Queue!$J:$J,"")="Deny","Counts",H269)))</f>
        <v/>
      </c>
      <c r="L269" s="39" t="str">
        <f t="array" ref="L269">IF(J269="","",XLOOKUP(J269,Strike_Review_Queue!$I:$I,Strike_Review_Queue!$L:$L,""))</f>
        <v/>
      </c>
      <c r="M269" s="39" t="str">
        <f t="array" ref="M269">IF(J269="","",XLOOKUP(J269,Strike_Review_Queue!$I:$I,Strike_Review_Queue!$M:$M,""))</f>
        <v/>
      </c>
    </row>
    <row r="270" ht="15.75" customHeight="1">
      <c r="C270" s="39"/>
      <c r="D270" s="39" t="str">
        <f>IF(OR(B270="",A270=""),"",MAX(0,MIN(3,SUMIFS($C$2:$C$1000,$B$2:$B$1000,B270,$A$2:$A$1000,"&lt;="&amp;A270,$A$2:$A$1000,"&gt;="&amp;IF(Config!$B$1004="Y",A270-Config!$B$1005,DATE(1900,1,1)),$I$2:$I$1000,1)))))</f>
        <v>#ERROR!</v>
      </c>
      <c r="H270" s="39"/>
      <c r="I270" s="39">
        <f t="shared" si="1"/>
        <v>1</v>
      </c>
      <c r="J270" s="39" t="str">
        <f t="shared" si="2"/>
        <v/>
      </c>
      <c r="K270" s="39" t="str">
        <f t="array" ref="K270">IF(J270="","",IF(XLOOKUP(J270,Strike_Review_Queue!$I:$I,Strike_Review_Queue!$J:$J,"")="Approve","Approved",IF(XLOOKUP(J270,Strike_Review_Queue!$I:$I,Strike_Review_Queue!$J:$J,"")="Deny","Counts",H270)))</f>
        <v/>
      </c>
      <c r="L270" s="39" t="str">
        <f t="array" ref="L270">IF(J270="","",XLOOKUP(J270,Strike_Review_Queue!$I:$I,Strike_Review_Queue!$L:$L,""))</f>
        <v/>
      </c>
      <c r="M270" s="39" t="str">
        <f t="array" ref="M270">IF(J270="","",XLOOKUP(J270,Strike_Review_Queue!$I:$I,Strike_Review_Queue!$M:$M,""))</f>
        <v/>
      </c>
    </row>
    <row r="271" ht="15.75" customHeight="1">
      <c r="C271" s="39"/>
      <c r="D271" s="39" t="str">
        <f>IF(OR(B271="",A271=""),"",MAX(0,MIN(3,SUMIFS($C$2:$C$1000,$B$2:$B$1000,B271,$A$2:$A$1000,"&lt;="&amp;A271,$A$2:$A$1000,"&gt;="&amp;IF(Config!$B$1004="Y",A271-Config!$B$1005,DATE(1900,1,1)),$I$2:$I$1000,1)))))</f>
        <v>#ERROR!</v>
      </c>
      <c r="H271" s="39"/>
      <c r="I271" s="39">
        <f t="shared" si="1"/>
        <v>1</v>
      </c>
      <c r="J271" s="39" t="str">
        <f t="shared" si="2"/>
        <v/>
      </c>
      <c r="K271" s="39" t="str">
        <f t="array" ref="K271">IF(J271="","",IF(XLOOKUP(J271,Strike_Review_Queue!$I:$I,Strike_Review_Queue!$J:$J,"")="Approve","Approved",IF(XLOOKUP(J271,Strike_Review_Queue!$I:$I,Strike_Review_Queue!$J:$J,"")="Deny","Counts",H271)))</f>
        <v/>
      </c>
      <c r="L271" s="39" t="str">
        <f t="array" ref="L271">IF(J271="","",XLOOKUP(J271,Strike_Review_Queue!$I:$I,Strike_Review_Queue!$L:$L,""))</f>
        <v/>
      </c>
      <c r="M271" s="39" t="str">
        <f t="array" ref="M271">IF(J271="","",XLOOKUP(J271,Strike_Review_Queue!$I:$I,Strike_Review_Queue!$M:$M,""))</f>
        <v/>
      </c>
    </row>
    <row r="272" ht="15.75" customHeight="1">
      <c r="C272" s="39"/>
      <c r="D272" s="39" t="str">
        <f>IF(OR(B272="",A272=""),"",MAX(0,MIN(3,SUMIFS($C$2:$C$1000,$B$2:$B$1000,B272,$A$2:$A$1000,"&lt;="&amp;A272,$A$2:$A$1000,"&gt;="&amp;IF(Config!$B$1004="Y",A272-Config!$B$1005,DATE(1900,1,1)),$I$2:$I$1000,1)))))</f>
        <v>#ERROR!</v>
      </c>
      <c r="H272" s="39"/>
      <c r="I272" s="39">
        <f t="shared" si="1"/>
        <v>1</v>
      </c>
      <c r="J272" s="39" t="str">
        <f t="shared" si="2"/>
        <v/>
      </c>
      <c r="K272" s="39" t="str">
        <f t="array" ref="K272">IF(J272="","",IF(XLOOKUP(J272,Strike_Review_Queue!$I:$I,Strike_Review_Queue!$J:$J,"")="Approve","Approved",IF(XLOOKUP(J272,Strike_Review_Queue!$I:$I,Strike_Review_Queue!$J:$J,"")="Deny","Counts",H272)))</f>
        <v/>
      </c>
      <c r="L272" s="39" t="str">
        <f t="array" ref="L272">IF(J272="","",XLOOKUP(J272,Strike_Review_Queue!$I:$I,Strike_Review_Queue!$L:$L,""))</f>
        <v/>
      </c>
      <c r="M272" s="39" t="str">
        <f t="array" ref="M272">IF(J272="","",XLOOKUP(J272,Strike_Review_Queue!$I:$I,Strike_Review_Queue!$M:$M,""))</f>
        <v/>
      </c>
    </row>
    <row r="273" ht="15.75" customHeight="1">
      <c r="C273" s="39"/>
      <c r="D273" s="39" t="str">
        <f>IF(OR(B273="",A273=""),"",MAX(0,MIN(3,SUMIFS($C$2:$C$1000,$B$2:$B$1000,B273,$A$2:$A$1000,"&lt;="&amp;A273,$A$2:$A$1000,"&gt;="&amp;IF(Config!$B$1004="Y",A273-Config!$B$1005,DATE(1900,1,1)),$I$2:$I$1000,1)))))</f>
        <v>#ERROR!</v>
      </c>
      <c r="H273" s="39"/>
      <c r="I273" s="39">
        <f t="shared" si="1"/>
        <v>1</v>
      </c>
      <c r="J273" s="39" t="str">
        <f t="shared" si="2"/>
        <v/>
      </c>
      <c r="K273" s="39" t="str">
        <f t="array" ref="K273">IF(J273="","",IF(XLOOKUP(J273,Strike_Review_Queue!$I:$I,Strike_Review_Queue!$J:$J,"")="Approve","Approved",IF(XLOOKUP(J273,Strike_Review_Queue!$I:$I,Strike_Review_Queue!$J:$J,"")="Deny","Counts",H273)))</f>
        <v/>
      </c>
      <c r="L273" s="39" t="str">
        <f t="array" ref="L273">IF(J273="","",XLOOKUP(J273,Strike_Review_Queue!$I:$I,Strike_Review_Queue!$L:$L,""))</f>
        <v/>
      </c>
      <c r="M273" s="39" t="str">
        <f t="array" ref="M273">IF(J273="","",XLOOKUP(J273,Strike_Review_Queue!$I:$I,Strike_Review_Queue!$M:$M,""))</f>
        <v/>
      </c>
    </row>
    <row r="274" ht="15.75" customHeight="1">
      <c r="C274" s="39"/>
      <c r="D274" s="39" t="str">
        <f>IF(OR(B274="",A274=""),"",MAX(0,MIN(3,SUMIFS($C$2:$C$1000,$B$2:$B$1000,B274,$A$2:$A$1000,"&lt;="&amp;A274,$A$2:$A$1000,"&gt;="&amp;IF(Config!$B$1004="Y",A274-Config!$B$1005,DATE(1900,1,1)),$I$2:$I$1000,1)))))</f>
        <v>#ERROR!</v>
      </c>
      <c r="H274" s="39"/>
      <c r="I274" s="39">
        <f t="shared" si="1"/>
        <v>1</v>
      </c>
      <c r="J274" s="39" t="str">
        <f t="shared" si="2"/>
        <v/>
      </c>
      <c r="K274" s="39" t="str">
        <f t="array" ref="K274">IF(J274="","",IF(XLOOKUP(J274,Strike_Review_Queue!$I:$I,Strike_Review_Queue!$J:$J,"")="Approve","Approved",IF(XLOOKUP(J274,Strike_Review_Queue!$I:$I,Strike_Review_Queue!$J:$J,"")="Deny","Counts",H274)))</f>
        <v/>
      </c>
      <c r="L274" s="39" t="str">
        <f t="array" ref="L274">IF(J274="","",XLOOKUP(J274,Strike_Review_Queue!$I:$I,Strike_Review_Queue!$L:$L,""))</f>
        <v/>
      </c>
      <c r="M274" s="39" t="str">
        <f t="array" ref="M274">IF(J274="","",XLOOKUP(J274,Strike_Review_Queue!$I:$I,Strike_Review_Queue!$M:$M,""))</f>
        <v/>
      </c>
    </row>
    <row r="275" ht="15.75" customHeight="1">
      <c r="C275" s="39"/>
      <c r="D275" s="39" t="str">
        <f>IF(OR(B275="",A275=""),"",MAX(0,MIN(3,SUMIFS($C$2:$C$1000,$B$2:$B$1000,B275,$A$2:$A$1000,"&lt;="&amp;A275,$A$2:$A$1000,"&gt;="&amp;IF(Config!$B$1004="Y",A275-Config!$B$1005,DATE(1900,1,1)),$I$2:$I$1000,1)))))</f>
        <v>#ERROR!</v>
      </c>
      <c r="H275" s="39"/>
      <c r="I275" s="39">
        <f t="shared" si="1"/>
        <v>1</v>
      </c>
      <c r="J275" s="39" t="str">
        <f t="shared" si="2"/>
        <v/>
      </c>
      <c r="K275" s="39" t="str">
        <f t="array" ref="K275">IF(J275="","",IF(XLOOKUP(J275,Strike_Review_Queue!$I:$I,Strike_Review_Queue!$J:$J,"")="Approve","Approved",IF(XLOOKUP(J275,Strike_Review_Queue!$I:$I,Strike_Review_Queue!$J:$J,"")="Deny","Counts",H275)))</f>
        <v/>
      </c>
      <c r="L275" s="39" t="str">
        <f t="array" ref="L275">IF(J275="","",XLOOKUP(J275,Strike_Review_Queue!$I:$I,Strike_Review_Queue!$L:$L,""))</f>
        <v/>
      </c>
      <c r="M275" s="39" t="str">
        <f t="array" ref="M275">IF(J275="","",XLOOKUP(J275,Strike_Review_Queue!$I:$I,Strike_Review_Queue!$M:$M,""))</f>
        <v/>
      </c>
    </row>
    <row r="276" ht="15.75" customHeight="1">
      <c r="C276" s="39"/>
      <c r="D276" s="39" t="str">
        <f>IF(OR(B276="",A276=""),"",MAX(0,MIN(3,SUMIFS($C$2:$C$1000,$B$2:$B$1000,B276,$A$2:$A$1000,"&lt;="&amp;A276,$A$2:$A$1000,"&gt;="&amp;IF(Config!$B$1004="Y",A276-Config!$B$1005,DATE(1900,1,1)),$I$2:$I$1000,1)))))</f>
        <v>#ERROR!</v>
      </c>
      <c r="H276" s="39"/>
      <c r="I276" s="39">
        <f t="shared" si="1"/>
        <v>1</v>
      </c>
      <c r="J276" s="39" t="str">
        <f t="shared" si="2"/>
        <v/>
      </c>
      <c r="K276" s="39" t="str">
        <f t="array" ref="K276">IF(J276="","",IF(XLOOKUP(J276,Strike_Review_Queue!$I:$I,Strike_Review_Queue!$J:$J,"")="Approve","Approved",IF(XLOOKUP(J276,Strike_Review_Queue!$I:$I,Strike_Review_Queue!$J:$J,"")="Deny","Counts",H276)))</f>
        <v/>
      </c>
      <c r="L276" s="39" t="str">
        <f t="array" ref="L276">IF(J276="","",XLOOKUP(J276,Strike_Review_Queue!$I:$I,Strike_Review_Queue!$L:$L,""))</f>
        <v/>
      </c>
      <c r="M276" s="39" t="str">
        <f t="array" ref="M276">IF(J276="","",XLOOKUP(J276,Strike_Review_Queue!$I:$I,Strike_Review_Queue!$M:$M,""))</f>
        <v/>
      </c>
    </row>
    <row r="277" ht="15.75" customHeight="1">
      <c r="C277" s="39"/>
      <c r="D277" s="39" t="str">
        <f>IF(OR(B277="",A277=""),"",MAX(0,MIN(3,SUMIFS($C$2:$C$1000,$B$2:$B$1000,B277,$A$2:$A$1000,"&lt;="&amp;A277,$A$2:$A$1000,"&gt;="&amp;IF(Config!$B$1004="Y",A277-Config!$B$1005,DATE(1900,1,1)),$I$2:$I$1000,1)))))</f>
        <v>#ERROR!</v>
      </c>
      <c r="H277" s="39"/>
      <c r="I277" s="39">
        <f t="shared" si="1"/>
        <v>1</v>
      </c>
      <c r="J277" s="39" t="str">
        <f t="shared" si="2"/>
        <v/>
      </c>
      <c r="K277" s="39" t="str">
        <f t="array" ref="K277">IF(J277="","",IF(XLOOKUP(J277,Strike_Review_Queue!$I:$I,Strike_Review_Queue!$J:$J,"")="Approve","Approved",IF(XLOOKUP(J277,Strike_Review_Queue!$I:$I,Strike_Review_Queue!$J:$J,"")="Deny","Counts",H277)))</f>
        <v/>
      </c>
      <c r="L277" s="39" t="str">
        <f t="array" ref="L277">IF(J277="","",XLOOKUP(J277,Strike_Review_Queue!$I:$I,Strike_Review_Queue!$L:$L,""))</f>
        <v/>
      </c>
      <c r="M277" s="39" t="str">
        <f t="array" ref="M277">IF(J277="","",XLOOKUP(J277,Strike_Review_Queue!$I:$I,Strike_Review_Queue!$M:$M,""))</f>
        <v/>
      </c>
    </row>
    <row r="278" ht="15.75" customHeight="1">
      <c r="C278" s="39"/>
      <c r="D278" s="39" t="str">
        <f>IF(OR(B278="",A278=""),"",MAX(0,MIN(3,SUMIFS($C$2:$C$1000,$B$2:$B$1000,B278,$A$2:$A$1000,"&lt;="&amp;A278,$A$2:$A$1000,"&gt;="&amp;IF(Config!$B$1004="Y",A278-Config!$B$1005,DATE(1900,1,1)),$I$2:$I$1000,1)))))</f>
        <v>#ERROR!</v>
      </c>
      <c r="H278" s="39"/>
      <c r="I278" s="39">
        <f t="shared" si="1"/>
        <v>1</v>
      </c>
      <c r="J278" s="39" t="str">
        <f t="shared" si="2"/>
        <v/>
      </c>
      <c r="K278" s="39" t="str">
        <f t="array" ref="K278">IF(J278="","",IF(XLOOKUP(J278,Strike_Review_Queue!$I:$I,Strike_Review_Queue!$J:$J,"")="Approve","Approved",IF(XLOOKUP(J278,Strike_Review_Queue!$I:$I,Strike_Review_Queue!$J:$J,"")="Deny","Counts",H278)))</f>
        <v/>
      </c>
      <c r="L278" s="39" t="str">
        <f t="array" ref="L278">IF(J278="","",XLOOKUP(J278,Strike_Review_Queue!$I:$I,Strike_Review_Queue!$L:$L,""))</f>
        <v/>
      </c>
      <c r="M278" s="39" t="str">
        <f t="array" ref="M278">IF(J278="","",XLOOKUP(J278,Strike_Review_Queue!$I:$I,Strike_Review_Queue!$M:$M,""))</f>
        <v/>
      </c>
    </row>
    <row r="279" ht="15.75" customHeight="1">
      <c r="C279" s="39"/>
      <c r="D279" s="39" t="str">
        <f>IF(OR(B279="",A279=""),"",MAX(0,MIN(3,SUMIFS($C$2:$C$1000,$B$2:$B$1000,B279,$A$2:$A$1000,"&lt;="&amp;A279,$A$2:$A$1000,"&gt;="&amp;IF(Config!$B$1004="Y",A279-Config!$B$1005,DATE(1900,1,1)),$I$2:$I$1000,1)))))</f>
        <v>#ERROR!</v>
      </c>
      <c r="H279" s="39"/>
      <c r="I279" s="39">
        <f t="shared" si="1"/>
        <v>1</v>
      </c>
      <c r="J279" s="39" t="str">
        <f t="shared" si="2"/>
        <v/>
      </c>
      <c r="K279" s="39" t="str">
        <f t="array" ref="K279">IF(J279="","",IF(XLOOKUP(J279,Strike_Review_Queue!$I:$I,Strike_Review_Queue!$J:$J,"")="Approve","Approved",IF(XLOOKUP(J279,Strike_Review_Queue!$I:$I,Strike_Review_Queue!$J:$J,"")="Deny","Counts",H279)))</f>
        <v/>
      </c>
      <c r="L279" s="39" t="str">
        <f t="array" ref="L279">IF(J279="","",XLOOKUP(J279,Strike_Review_Queue!$I:$I,Strike_Review_Queue!$L:$L,""))</f>
        <v/>
      </c>
      <c r="M279" s="39" t="str">
        <f t="array" ref="M279">IF(J279="","",XLOOKUP(J279,Strike_Review_Queue!$I:$I,Strike_Review_Queue!$M:$M,""))</f>
        <v/>
      </c>
    </row>
    <row r="280" ht="15.75" customHeight="1">
      <c r="C280" s="39"/>
      <c r="D280" s="39" t="str">
        <f>IF(OR(B280="",A280=""),"",MAX(0,MIN(3,SUMIFS($C$2:$C$1000,$B$2:$B$1000,B280,$A$2:$A$1000,"&lt;="&amp;A280,$A$2:$A$1000,"&gt;="&amp;IF(Config!$B$1004="Y",A280-Config!$B$1005,DATE(1900,1,1)),$I$2:$I$1000,1)))))</f>
        <v>#ERROR!</v>
      </c>
      <c r="H280" s="39"/>
      <c r="I280" s="39">
        <f t="shared" si="1"/>
        <v>1</v>
      </c>
      <c r="J280" s="39" t="str">
        <f t="shared" si="2"/>
        <v/>
      </c>
      <c r="K280" s="39" t="str">
        <f t="array" ref="K280">IF(J280="","",IF(XLOOKUP(J280,Strike_Review_Queue!$I:$I,Strike_Review_Queue!$J:$J,"")="Approve","Approved",IF(XLOOKUP(J280,Strike_Review_Queue!$I:$I,Strike_Review_Queue!$J:$J,"")="Deny","Counts",H280)))</f>
        <v/>
      </c>
      <c r="L280" s="39" t="str">
        <f t="array" ref="L280">IF(J280="","",XLOOKUP(J280,Strike_Review_Queue!$I:$I,Strike_Review_Queue!$L:$L,""))</f>
        <v/>
      </c>
      <c r="M280" s="39" t="str">
        <f t="array" ref="M280">IF(J280="","",XLOOKUP(J280,Strike_Review_Queue!$I:$I,Strike_Review_Queue!$M:$M,""))</f>
        <v/>
      </c>
    </row>
    <row r="281" ht="15.75" customHeight="1">
      <c r="C281" s="39"/>
      <c r="D281" s="39" t="str">
        <f>IF(OR(B281="",A281=""),"",MAX(0,MIN(3,SUMIFS($C$2:$C$1000,$B$2:$B$1000,B281,$A$2:$A$1000,"&lt;="&amp;A281,$A$2:$A$1000,"&gt;="&amp;IF(Config!$B$1004="Y",A281-Config!$B$1005,DATE(1900,1,1)),$I$2:$I$1000,1)))))</f>
        <v>#ERROR!</v>
      </c>
      <c r="H281" s="39"/>
      <c r="I281" s="39">
        <f t="shared" si="1"/>
        <v>1</v>
      </c>
      <c r="J281" s="39" t="str">
        <f t="shared" si="2"/>
        <v/>
      </c>
      <c r="K281" s="39" t="str">
        <f t="array" ref="K281">IF(J281="","",IF(XLOOKUP(J281,Strike_Review_Queue!$I:$I,Strike_Review_Queue!$J:$J,"")="Approve","Approved",IF(XLOOKUP(J281,Strike_Review_Queue!$I:$I,Strike_Review_Queue!$J:$J,"")="Deny","Counts",H281)))</f>
        <v/>
      </c>
      <c r="L281" s="39" t="str">
        <f t="array" ref="L281">IF(J281="","",XLOOKUP(J281,Strike_Review_Queue!$I:$I,Strike_Review_Queue!$L:$L,""))</f>
        <v/>
      </c>
      <c r="M281" s="39" t="str">
        <f t="array" ref="M281">IF(J281="","",XLOOKUP(J281,Strike_Review_Queue!$I:$I,Strike_Review_Queue!$M:$M,""))</f>
        <v/>
      </c>
    </row>
    <row r="282" ht="15.75" customHeight="1">
      <c r="C282" s="39"/>
      <c r="D282" s="39" t="str">
        <f>IF(OR(B282="",A282=""),"",MAX(0,MIN(3,SUMIFS($C$2:$C$1000,$B$2:$B$1000,B282,$A$2:$A$1000,"&lt;="&amp;A282,$A$2:$A$1000,"&gt;="&amp;IF(Config!$B$1004="Y",A282-Config!$B$1005,DATE(1900,1,1)),$I$2:$I$1000,1)))))</f>
        <v>#ERROR!</v>
      </c>
      <c r="H282" s="39"/>
      <c r="I282" s="39">
        <f t="shared" si="1"/>
        <v>1</v>
      </c>
      <c r="J282" s="39" t="str">
        <f t="shared" si="2"/>
        <v/>
      </c>
      <c r="K282" s="39" t="str">
        <f t="array" ref="K282">IF(J282="","",IF(XLOOKUP(J282,Strike_Review_Queue!$I:$I,Strike_Review_Queue!$J:$J,"")="Approve","Approved",IF(XLOOKUP(J282,Strike_Review_Queue!$I:$I,Strike_Review_Queue!$J:$J,"")="Deny","Counts",H282)))</f>
        <v/>
      </c>
      <c r="L282" s="39" t="str">
        <f t="array" ref="L282">IF(J282="","",XLOOKUP(J282,Strike_Review_Queue!$I:$I,Strike_Review_Queue!$L:$L,""))</f>
        <v/>
      </c>
      <c r="M282" s="39" t="str">
        <f t="array" ref="M282">IF(J282="","",XLOOKUP(J282,Strike_Review_Queue!$I:$I,Strike_Review_Queue!$M:$M,""))</f>
        <v/>
      </c>
    </row>
    <row r="283" ht="15.75" customHeight="1">
      <c r="C283" s="39"/>
      <c r="D283" s="39" t="str">
        <f>IF(OR(B283="",A283=""),"",MAX(0,MIN(3,SUMIFS($C$2:$C$1000,$B$2:$B$1000,B283,$A$2:$A$1000,"&lt;="&amp;A283,$A$2:$A$1000,"&gt;="&amp;IF(Config!$B$1004="Y",A283-Config!$B$1005,DATE(1900,1,1)),$I$2:$I$1000,1)))))</f>
        <v>#ERROR!</v>
      </c>
      <c r="H283" s="39"/>
      <c r="I283" s="39">
        <f t="shared" si="1"/>
        <v>1</v>
      </c>
      <c r="J283" s="39" t="str">
        <f t="shared" si="2"/>
        <v/>
      </c>
      <c r="K283" s="39" t="str">
        <f t="array" ref="K283">IF(J283="","",IF(XLOOKUP(J283,Strike_Review_Queue!$I:$I,Strike_Review_Queue!$J:$J,"")="Approve","Approved",IF(XLOOKUP(J283,Strike_Review_Queue!$I:$I,Strike_Review_Queue!$J:$J,"")="Deny","Counts",H283)))</f>
        <v/>
      </c>
      <c r="L283" s="39" t="str">
        <f t="array" ref="L283">IF(J283="","",XLOOKUP(J283,Strike_Review_Queue!$I:$I,Strike_Review_Queue!$L:$L,""))</f>
        <v/>
      </c>
      <c r="M283" s="39" t="str">
        <f t="array" ref="M283">IF(J283="","",XLOOKUP(J283,Strike_Review_Queue!$I:$I,Strike_Review_Queue!$M:$M,""))</f>
        <v/>
      </c>
    </row>
    <row r="284" ht="15.75" customHeight="1">
      <c r="C284" s="39"/>
      <c r="D284" s="39" t="str">
        <f>IF(OR(B284="",A284=""),"",MAX(0,MIN(3,SUMIFS($C$2:$C$1000,$B$2:$B$1000,B284,$A$2:$A$1000,"&lt;="&amp;A284,$A$2:$A$1000,"&gt;="&amp;IF(Config!$B$1004="Y",A284-Config!$B$1005,DATE(1900,1,1)),$I$2:$I$1000,1)))))</f>
        <v>#ERROR!</v>
      </c>
      <c r="H284" s="39"/>
      <c r="I284" s="39">
        <f t="shared" si="1"/>
        <v>1</v>
      </c>
      <c r="J284" s="39" t="str">
        <f t="shared" si="2"/>
        <v/>
      </c>
      <c r="K284" s="39" t="str">
        <f t="array" ref="K284">IF(J284="","",IF(XLOOKUP(J284,Strike_Review_Queue!$I:$I,Strike_Review_Queue!$J:$J,"")="Approve","Approved",IF(XLOOKUP(J284,Strike_Review_Queue!$I:$I,Strike_Review_Queue!$J:$J,"")="Deny","Counts",H284)))</f>
        <v/>
      </c>
      <c r="L284" s="39" t="str">
        <f t="array" ref="L284">IF(J284="","",XLOOKUP(J284,Strike_Review_Queue!$I:$I,Strike_Review_Queue!$L:$L,""))</f>
        <v/>
      </c>
      <c r="M284" s="39" t="str">
        <f t="array" ref="M284">IF(J284="","",XLOOKUP(J284,Strike_Review_Queue!$I:$I,Strike_Review_Queue!$M:$M,""))</f>
        <v/>
      </c>
    </row>
    <row r="285" ht="15.75" customHeight="1">
      <c r="C285" s="39"/>
      <c r="D285" s="39" t="str">
        <f>IF(OR(B285="",A285=""),"",MAX(0,MIN(3,SUMIFS($C$2:$C$1000,$B$2:$B$1000,B285,$A$2:$A$1000,"&lt;="&amp;A285,$A$2:$A$1000,"&gt;="&amp;IF(Config!$B$1004="Y",A285-Config!$B$1005,DATE(1900,1,1)),$I$2:$I$1000,1)))))</f>
        <v>#ERROR!</v>
      </c>
      <c r="H285" s="39"/>
      <c r="I285" s="39">
        <f t="shared" si="1"/>
        <v>1</v>
      </c>
      <c r="J285" s="39" t="str">
        <f t="shared" si="2"/>
        <v/>
      </c>
      <c r="K285" s="39" t="str">
        <f t="array" ref="K285">IF(J285="","",IF(XLOOKUP(J285,Strike_Review_Queue!$I:$I,Strike_Review_Queue!$J:$J,"")="Approve","Approved",IF(XLOOKUP(J285,Strike_Review_Queue!$I:$I,Strike_Review_Queue!$J:$J,"")="Deny","Counts",H285)))</f>
        <v/>
      </c>
      <c r="L285" s="39" t="str">
        <f t="array" ref="L285">IF(J285="","",XLOOKUP(J285,Strike_Review_Queue!$I:$I,Strike_Review_Queue!$L:$L,""))</f>
        <v/>
      </c>
      <c r="M285" s="39" t="str">
        <f t="array" ref="M285">IF(J285="","",XLOOKUP(J285,Strike_Review_Queue!$I:$I,Strike_Review_Queue!$M:$M,""))</f>
        <v/>
      </c>
    </row>
    <row r="286" ht="15.75" customHeight="1">
      <c r="C286" s="39"/>
      <c r="D286" s="39" t="str">
        <f>IF(OR(B286="",A286=""),"",MAX(0,MIN(3,SUMIFS($C$2:$C$1000,$B$2:$B$1000,B286,$A$2:$A$1000,"&lt;="&amp;A286,$A$2:$A$1000,"&gt;="&amp;IF(Config!$B$1004="Y",A286-Config!$B$1005,DATE(1900,1,1)),$I$2:$I$1000,1)))))</f>
        <v>#ERROR!</v>
      </c>
      <c r="H286" s="39"/>
      <c r="I286" s="39">
        <f t="shared" si="1"/>
        <v>1</v>
      </c>
      <c r="J286" s="39" t="str">
        <f t="shared" si="2"/>
        <v/>
      </c>
      <c r="K286" s="39" t="str">
        <f t="array" ref="K286">IF(J286="","",IF(XLOOKUP(J286,Strike_Review_Queue!$I:$I,Strike_Review_Queue!$J:$J,"")="Approve","Approved",IF(XLOOKUP(J286,Strike_Review_Queue!$I:$I,Strike_Review_Queue!$J:$J,"")="Deny","Counts",H286)))</f>
        <v/>
      </c>
      <c r="L286" s="39" t="str">
        <f t="array" ref="L286">IF(J286="","",XLOOKUP(J286,Strike_Review_Queue!$I:$I,Strike_Review_Queue!$L:$L,""))</f>
        <v/>
      </c>
      <c r="M286" s="39" t="str">
        <f t="array" ref="M286">IF(J286="","",XLOOKUP(J286,Strike_Review_Queue!$I:$I,Strike_Review_Queue!$M:$M,""))</f>
        <v/>
      </c>
    </row>
    <row r="287" ht="15.75" customHeight="1">
      <c r="C287" s="39"/>
      <c r="D287" s="39" t="str">
        <f>IF(OR(B287="",A287=""),"",MAX(0,MIN(3,SUMIFS($C$2:$C$1000,$B$2:$B$1000,B287,$A$2:$A$1000,"&lt;="&amp;A287,$A$2:$A$1000,"&gt;="&amp;IF(Config!$B$1004="Y",A287-Config!$B$1005,DATE(1900,1,1)),$I$2:$I$1000,1)))))</f>
        <v>#ERROR!</v>
      </c>
      <c r="H287" s="39"/>
      <c r="I287" s="39">
        <f t="shared" si="1"/>
        <v>1</v>
      </c>
      <c r="J287" s="39" t="str">
        <f t="shared" si="2"/>
        <v/>
      </c>
      <c r="K287" s="39" t="str">
        <f t="array" ref="K287">IF(J287="","",IF(XLOOKUP(J287,Strike_Review_Queue!$I:$I,Strike_Review_Queue!$J:$J,"")="Approve","Approved",IF(XLOOKUP(J287,Strike_Review_Queue!$I:$I,Strike_Review_Queue!$J:$J,"")="Deny","Counts",H287)))</f>
        <v/>
      </c>
      <c r="L287" s="39" t="str">
        <f t="array" ref="L287">IF(J287="","",XLOOKUP(J287,Strike_Review_Queue!$I:$I,Strike_Review_Queue!$L:$L,""))</f>
        <v/>
      </c>
      <c r="M287" s="39" t="str">
        <f t="array" ref="M287">IF(J287="","",XLOOKUP(J287,Strike_Review_Queue!$I:$I,Strike_Review_Queue!$M:$M,""))</f>
        <v/>
      </c>
    </row>
    <row r="288" ht="15.75" customHeight="1">
      <c r="C288" s="39"/>
      <c r="D288" s="39" t="str">
        <f>IF(OR(B288="",A288=""),"",MAX(0,MIN(3,SUMIFS($C$2:$C$1000,$B$2:$B$1000,B288,$A$2:$A$1000,"&lt;="&amp;A288,$A$2:$A$1000,"&gt;="&amp;IF(Config!$B$1004="Y",A288-Config!$B$1005,DATE(1900,1,1)),$I$2:$I$1000,1)))))</f>
        <v>#ERROR!</v>
      </c>
      <c r="H288" s="39"/>
      <c r="I288" s="39">
        <f t="shared" si="1"/>
        <v>1</v>
      </c>
      <c r="J288" s="39" t="str">
        <f t="shared" si="2"/>
        <v/>
      </c>
      <c r="K288" s="39" t="str">
        <f t="array" ref="K288">IF(J288="","",IF(XLOOKUP(J288,Strike_Review_Queue!$I:$I,Strike_Review_Queue!$J:$J,"")="Approve","Approved",IF(XLOOKUP(J288,Strike_Review_Queue!$I:$I,Strike_Review_Queue!$J:$J,"")="Deny","Counts",H288)))</f>
        <v/>
      </c>
      <c r="L288" s="39" t="str">
        <f t="array" ref="L288">IF(J288="","",XLOOKUP(J288,Strike_Review_Queue!$I:$I,Strike_Review_Queue!$L:$L,""))</f>
        <v/>
      </c>
      <c r="M288" s="39" t="str">
        <f t="array" ref="M288">IF(J288="","",XLOOKUP(J288,Strike_Review_Queue!$I:$I,Strike_Review_Queue!$M:$M,""))</f>
        <v/>
      </c>
    </row>
    <row r="289" ht="15.75" customHeight="1">
      <c r="C289" s="39"/>
      <c r="D289" s="39" t="str">
        <f>IF(OR(B289="",A289=""),"",MAX(0,MIN(3,SUMIFS($C$2:$C$1000,$B$2:$B$1000,B289,$A$2:$A$1000,"&lt;="&amp;A289,$A$2:$A$1000,"&gt;="&amp;IF(Config!$B$1004="Y",A289-Config!$B$1005,DATE(1900,1,1)),$I$2:$I$1000,1)))))</f>
        <v>#ERROR!</v>
      </c>
      <c r="H289" s="39"/>
      <c r="I289" s="39">
        <f t="shared" si="1"/>
        <v>1</v>
      </c>
      <c r="J289" s="39" t="str">
        <f t="shared" si="2"/>
        <v/>
      </c>
      <c r="K289" s="39" t="str">
        <f t="array" ref="K289">IF(J289="","",IF(XLOOKUP(J289,Strike_Review_Queue!$I:$I,Strike_Review_Queue!$J:$J,"")="Approve","Approved",IF(XLOOKUP(J289,Strike_Review_Queue!$I:$I,Strike_Review_Queue!$J:$J,"")="Deny","Counts",H289)))</f>
        <v/>
      </c>
      <c r="L289" s="39" t="str">
        <f t="array" ref="L289">IF(J289="","",XLOOKUP(J289,Strike_Review_Queue!$I:$I,Strike_Review_Queue!$L:$L,""))</f>
        <v/>
      </c>
      <c r="M289" s="39" t="str">
        <f t="array" ref="M289">IF(J289="","",XLOOKUP(J289,Strike_Review_Queue!$I:$I,Strike_Review_Queue!$M:$M,""))</f>
        <v/>
      </c>
    </row>
    <row r="290" ht="15.75" customHeight="1">
      <c r="C290" s="39"/>
      <c r="D290" s="39" t="str">
        <f>IF(OR(B290="",A290=""),"",MAX(0,MIN(3,SUMIFS($C$2:$C$1000,$B$2:$B$1000,B290,$A$2:$A$1000,"&lt;="&amp;A290,$A$2:$A$1000,"&gt;="&amp;IF(Config!$B$1004="Y",A290-Config!$B$1005,DATE(1900,1,1)),$I$2:$I$1000,1)))))</f>
        <v>#ERROR!</v>
      </c>
      <c r="H290" s="39"/>
      <c r="I290" s="39">
        <f t="shared" si="1"/>
        <v>1</v>
      </c>
      <c r="J290" s="39" t="str">
        <f t="shared" si="2"/>
        <v/>
      </c>
      <c r="K290" s="39" t="str">
        <f t="array" ref="K290">IF(J290="","",IF(XLOOKUP(J290,Strike_Review_Queue!$I:$I,Strike_Review_Queue!$J:$J,"")="Approve","Approved",IF(XLOOKUP(J290,Strike_Review_Queue!$I:$I,Strike_Review_Queue!$J:$J,"")="Deny","Counts",H290)))</f>
        <v/>
      </c>
      <c r="L290" s="39" t="str">
        <f t="array" ref="L290">IF(J290="","",XLOOKUP(J290,Strike_Review_Queue!$I:$I,Strike_Review_Queue!$L:$L,""))</f>
        <v/>
      </c>
      <c r="M290" s="39" t="str">
        <f t="array" ref="M290">IF(J290="","",XLOOKUP(J290,Strike_Review_Queue!$I:$I,Strike_Review_Queue!$M:$M,""))</f>
        <v/>
      </c>
    </row>
    <row r="291" ht="15.75" customHeight="1">
      <c r="C291" s="39"/>
      <c r="D291" s="39" t="str">
        <f>IF(OR(B291="",A291=""),"",MAX(0,MIN(3,SUMIFS($C$2:$C$1000,$B$2:$B$1000,B291,$A$2:$A$1000,"&lt;="&amp;A291,$A$2:$A$1000,"&gt;="&amp;IF(Config!$B$1004="Y",A291-Config!$B$1005,DATE(1900,1,1)),$I$2:$I$1000,1)))))</f>
        <v>#ERROR!</v>
      </c>
      <c r="H291" s="39"/>
      <c r="I291" s="39">
        <f t="shared" si="1"/>
        <v>1</v>
      </c>
      <c r="J291" s="39" t="str">
        <f t="shared" si="2"/>
        <v/>
      </c>
      <c r="K291" s="39" t="str">
        <f t="array" ref="K291">IF(J291="","",IF(XLOOKUP(J291,Strike_Review_Queue!$I:$I,Strike_Review_Queue!$J:$J,"")="Approve","Approved",IF(XLOOKUP(J291,Strike_Review_Queue!$I:$I,Strike_Review_Queue!$J:$J,"")="Deny","Counts",H291)))</f>
        <v/>
      </c>
      <c r="L291" s="39" t="str">
        <f t="array" ref="L291">IF(J291="","",XLOOKUP(J291,Strike_Review_Queue!$I:$I,Strike_Review_Queue!$L:$L,""))</f>
        <v/>
      </c>
      <c r="M291" s="39" t="str">
        <f t="array" ref="M291">IF(J291="","",XLOOKUP(J291,Strike_Review_Queue!$I:$I,Strike_Review_Queue!$M:$M,""))</f>
        <v/>
      </c>
    </row>
    <row r="292" ht="15.75" customHeight="1">
      <c r="C292" s="39"/>
      <c r="D292" s="39" t="str">
        <f>IF(OR(B292="",A292=""),"",MAX(0,MIN(3,SUMIFS($C$2:$C$1000,$B$2:$B$1000,B292,$A$2:$A$1000,"&lt;="&amp;A292,$A$2:$A$1000,"&gt;="&amp;IF(Config!$B$1004="Y",A292-Config!$B$1005,DATE(1900,1,1)),$I$2:$I$1000,1)))))</f>
        <v>#ERROR!</v>
      </c>
      <c r="H292" s="39"/>
      <c r="I292" s="39">
        <f t="shared" si="1"/>
        <v>1</v>
      </c>
      <c r="J292" s="39" t="str">
        <f t="shared" si="2"/>
        <v/>
      </c>
      <c r="K292" s="39" t="str">
        <f t="array" ref="K292">IF(J292="","",IF(XLOOKUP(J292,Strike_Review_Queue!$I:$I,Strike_Review_Queue!$J:$J,"")="Approve","Approved",IF(XLOOKUP(J292,Strike_Review_Queue!$I:$I,Strike_Review_Queue!$J:$J,"")="Deny","Counts",H292)))</f>
        <v/>
      </c>
      <c r="L292" s="39" t="str">
        <f t="array" ref="L292">IF(J292="","",XLOOKUP(J292,Strike_Review_Queue!$I:$I,Strike_Review_Queue!$L:$L,""))</f>
        <v/>
      </c>
      <c r="M292" s="39" t="str">
        <f t="array" ref="M292">IF(J292="","",XLOOKUP(J292,Strike_Review_Queue!$I:$I,Strike_Review_Queue!$M:$M,""))</f>
        <v/>
      </c>
    </row>
    <row r="293" ht="15.75" customHeight="1">
      <c r="C293" s="39"/>
      <c r="D293" s="39" t="str">
        <f>IF(OR(B293="",A293=""),"",MAX(0,MIN(3,SUMIFS($C$2:$C$1000,$B$2:$B$1000,B293,$A$2:$A$1000,"&lt;="&amp;A293,$A$2:$A$1000,"&gt;="&amp;IF(Config!$B$1004="Y",A293-Config!$B$1005,DATE(1900,1,1)),$I$2:$I$1000,1)))))</f>
        <v>#ERROR!</v>
      </c>
      <c r="H293" s="39"/>
      <c r="I293" s="39">
        <f t="shared" si="1"/>
        <v>1</v>
      </c>
      <c r="J293" s="39" t="str">
        <f t="shared" si="2"/>
        <v/>
      </c>
      <c r="K293" s="39" t="str">
        <f t="array" ref="K293">IF(J293="","",IF(XLOOKUP(J293,Strike_Review_Queue!$I:$I,Strike_Review_Queue!$J:$J,"")="Approve","Approved",IF(XLOOKUP(J293,Strike_Review_Queue!$I:$I,Strike_Review_Queue!$J:$J,"")="Deny","Counts",H293)))</f>
        <v/>
      </c>
      <c r="L293" s="39" t="str">
        <f t="array" ref="L293">IF(J293="","",XLOOKUP(J293,Strike_Review_Queue!$I:$I,Strike_Review_Queue!$L:$L,""))</f>
        <v/>
      </c>
      <c r="M293" s="39" t="str">
        <f t="array" ref="M293">IF(J293="","",XLOOKUP(J293,Strike_Review_Queue!$I:$I,Strike_Review_Queue!$M:$M,""))</f>
        <v/>
      </c>
    </row>
    <row r="294" ht="15.75" customHeight="1">
      <c r="C294" s="39"/>
      <c r="D294" s="39" t="str">
        <f>IF(OR(B294="",A294=""),"",MAX(0,MIN(3,SUMIFS($C$2:$C$1000,$B$2:$B$1000,B294,$A$2:$A$1000,"&lt;="&amp;A294,$A$2:$A$1000,"&gt;="&amp;IF(Config!$B$1004="Y",A294-Config!$B$1005,DATE(1900,1,1)),$I$2:$I$1000,1)))))</f>
        <v>#ERROR!</v>
      </c>
      <c r="H294" s="39"/>
      <c r="I294" s="39">
        <f t="shared" si="1"/>
        <v>1</v>
      </c>
      <c r="J294" s="39" t="str">
        <f t="shared" si="2"/>
        <v/>
      </c>
      <c r="K294" s="39" t="str">
        <f t="array" ref="K294">IF(J294="","",IF(XLOOKUP(J294,Strike_Review_Queue!$I:$I,Strike_Review_Queue!$J:$J,"")="Approve","Approved",IF(XLOOKUP(J294,Strike_Review_Queue!$I:$I,Strike_Review_Queue!$J:$J,"")="Deny","Counts",H294)))</f>
        <v/>
      </c>
      <c r="L294" s="39" t="str">
        <f t="array" ref="L294">IF(J294="","",XLOOKUP(J294,Strike_Review_Queue!$I:$I,Strike_Review_Queue!$L:$L,""))</f>
        <v/>
      </c>
      <c r="M294" s="39" t="str">
        <f t="array" ref="M294">IF(J294="","",XLOOKUP(J294,Strike_Review_Queue!$I:$I,Strike_Review_Queue!$M:$M,""))</f>
        <v/>
      </c>
    </row>
    <row r="295" ht="15.75" customHeight="1">
      <c r="C295" s="39"/>
      <c r="D295" s="39" t="str">
        <f>IF(OR(B295="",A295=""),"",MAX(0,MIN(3,SUMIFS($C$2:$C$1000,$B$2:$B$1000,B295,$A$2:$A$1000,"&lt;="&amp;A295,$A$2:$A$1000,"&gt;="&amp;IF(Config!$B$1004="Y",A295-Config!$B$1005,DATE(1900,1,1)),$I$2:$I$1000,1)))))</f>
        <v>#ERROR!</v>
      </c>
      <c r="H295" s="39"/>
      <c r="I295" s="39">
        <f t="shared" si="1"/>
        <v>1</v>
      </c>
      <c r="J295" s="39" t="str">
        <f t="shared" si="2"/>
        <v/>
      </c>
      <c r="K295" s="39" t="str">
        <f t="array" ref="K295">IF(J295="","",IF(XLOOKUP(J295,Strike_Review_Queue!$I:$I,Strike_Review_Queue!$J:$J,"")="Approve","Approved",IF(XLOOKUP(J295,Strike_Review_Queue!$I:$I,Strike_Review_Queue!$J:$J,"")="Deny","Counts",H295)))</f>
        <v/>
      </c>
      <c r="L295" s="39" t="str">
        <f t="array" ref="L295">IF(J295="","",XLOOKUP(J295,Strike_Review_Queue!$I:$I,Strike_Review_Queue!$L:$L,""))</f>
        <v/>
      </c>
      <c r="M295" s="39" t="str">
        <f t="array" ref="M295">IF(J295="","",XLOOKUP(J295,Strike_Review_Queue!$I:$I,Strike_Review_Queue!$M:$M,""))</f>
        <v/>
      </c>
    </row>
    <row r="296" ht="15.75" customHeight="1">
      <c r="C296" s="39"/>
      <c r="D296" s="39" t="str">
        <f>IF(OR(B296="",A296=""),"",MAX(0,MIN(3,SUMIFS($C$2:$C$1000,$B$2:$B$1000,B296,$A$2:$A$1000,"&lt;="&amp;A296,$A$2:$A$1000,"&gt;="&amp;IF(Config!$B$1004="Y",A296-Config!$B$1005,DATE(1900,1,1)),$I$2:$I$1000,1)))))</f>
        <v>#ERROR!</v>
      </c>
      <c r="H296" s="39"/>
      <c r="I296" s="39">
        <f t="shared" si="1"/>
        <v>1</v>
      </c>
      <c r="J296" s="39" t="str">
        <f t="shared" si="2"/>
        <v/>
      </c>
      <c r="K296" s="39" t="str">
        <f t="array" ref="K296">IF(J296="","",IF(XLOOKUP(J296,Strike_Review_Queue!$I:$I,Strike_Review_Queue!$J:$J,"")="Approve","Approved",IF(XLOOKUP(J296,Strike_Review_Queue!$I:$I,Strike_Review_Queue!$J:$J,"")="Deny","Counts",H296)))</f>
        <v/>
      </c>
      <c r="L296" s="39" t="str">
        <f t="array" ref="L296">IF(J296="","",XLOOKUP(J296,Strike_Review_Queue!$I:$I,Strike_Review_Queue!$L:$L,""))</f>
        <v/>
      </c>
      <c r="M296" s="39" t="str">
        <f t="array" ref="M296">IF(J296="","",XLOOKUP(J296,Strike_Review_Queue!$I:$I,Strike_Review_Queue!$M:$M,""))</f>
        <v/>
      </c>
    </row>
    <row r="297" ht="15.75" customHeight="1">
      <c r="C297" s="39"/>
      <c r="D297" s="39" t="str">
        <f>IF(OR(B297="",A297=""),"",MAX(0,MIN(3,SUMIFS($C$2:$C$1000,$B$2:$B$1000,B297,$A$2:$A$1000,"&lt;="&amp;A297,$A$2:$A$1000,"&gt;="&amp;IF(Config!$B$1004="Y",A297-Config!$B$1005,DATE(1900,1,1)),$I$2:$I$1000,1)))))</f>
        <v>#ERROR!</v>
      </c>
      <c r="H297" s="39"/>
      <c r="I297" s="39">
        <f t="shared" si="1"/>
        <v>1</v>
      </c>
      <c r="J297" s="39" t="str">
        <f t="shared" si="2"/>
        <v/>
      </c>
      <c r="K297" s="39" t="str">
        <f t="array" ref="K297">IF(J297="","",IF(XLOOKUP(J297,Strike_Review_Queue!$I:$I,Strike_Review_Queue!$J:$J,"")="Approve","Approved",IF(XLOOKUP(J297,Strike_Review_Queue!$I:$I,Strike_Review_Queue!$J:$J,"")="Deny","Counts",H297)))</f>
        <v/>
      </c>
      <c r="L297" s="39" t="str">
        <f t="array" ref="L297">IF(J297="","",XLOOKUP(J297,Strike_Review_Queue!$I:$I,Strike_Review_Queue!$L:$L,""))</f>
        <v/>
      </c>
      <c r="M297" s="39" t="str">
        <f t="array" ref="M297">IF(J297="","",XLOOKUP(J297,Strike_Review_Queue!$I:$I,Strike_Review_Queue!$M:$M,""))</f>
        <v/>
      </c>
    </row>
    <row r="298" ht="15.75" customHeight="1">
      <c r="C298" s="39"/>
      <c r="D298" s="39" t="str">
        <f>IF(OR(B298="",A298=""),"",MAX(0,MIN(3,SUMIFS($C$2:$C$1000,$B$2:$B$1000,B298,$A$2:$A$1000,"&lt;="&amp;A298,$A$2:$A$1000,"&gt;="&amp;IF(Config!$B$1004="Y",A298-Config!$B$1005,DATE(1900,1,1)),$I$2:$I$1000,1)))))</f>
        <v>#ERROR!</v>
      </c>
      <c r="H298" s="39"/>
      <c r="I298" s="39">
        <f t="shared" si="1"/>
        <v>1</v>
      </c>
      <c r="J298" s="39" t="str">
        <f t="shared" si="2"/>
        <v/>
      </c>
      <c r="K298" s="39" t="str">
        <f t="array" ref="K298">IF(J298="","",IF(XLOOKUP(J298,Strike_Review_Queue!$I:$I,Strike_Review_Queue!$J:$J,"")="Approve","Approved",IF(XLOOKUP(J298,Strike_Review_Queue!$I:$I,Strike_Review_Queue!$J:$J,"")="Deny","Counts",H298)))</f>
        <v/>
      </c>
      <c r="L298" s="39" t="str">
        <f t="array" ref="L298">IF(J298="","",XLOOKUP(J298,Strike_Review_Queue!$I:$I,Strike_Review_Queue!$L:$L,""))</f>
        <v/>
      </c>
      <c r="M298" s="39" t="str">
        <f t="array" ref="M298">IF(J298="","",XLOOKUP(J298,Strike_Review_Queue!$I:$I,Strike_Review_Queue!$M:$M,""))</f>
        <v/>
      </c>
    </row>
    <row r="299" ht="15.75" customHeight="1">
      <c r="C299" s="39"/>
      <c r="D299" s="39" t="str">
        <f>IF(OR(B299="",A299=""),"",MAX(0,MIN(3,SUMIFS($C$2:$C$1000,$B$2:$B$1000,B299,$A$2:$A$1000,"&lt;="&amp;A299,$A$2:$A$1000,"&gt;="&amp;IF(Config!$B$1004="Y",A299-Config!$B$1005,DATE(1900,1,1)),$I$2:$I$1000,1)))))</f>
        <v>#ERROR!</v>
      </c>
      <c r="H299" s="39"/>
      <c r="I299" s="39">
        <f t="shared" si="1"/>
        <v>1</v>
      </c>
      <c r="J299" s="39" t="str">
        <f t="shared" si="2"/>
        <v/>
      </c>
      <c r="K299" s="39" t="str">
        <f t="array" ref="K299">IF(J299="","",IF(XLOOKUP(J299,Strike_Review_Queue!$I:$I,Strike_Review_Queue!$J:$J,"")="Approve","Approved",IF(XLOOKUP(J299,Strike_Review_Queue!$I:$I,Strike_Review_Queue!$J:$J,"")="Deny","Counts",H299)))</f>
        <v/>
      </c>
      <c r="L299" s="39" t="str">
        <f t="array" ref="L299">IF(J299="","",XLOOKUP(J299,Strike_Review_Queue!$I:$I,Strike_Review_Queue!$L:$L,""))</f>
        <v/>
      </c>
      <c r="M299" s="39" t="str">
        <f t="array" ref="M299">IF(J299="","",XLOOKUP(J299,Strike_Review_Queue!$I:$I,Strike_Review_Queue!$M:$M,""))</f>
        <v/>
      </c>
    </row>
    <row r="300" ht="15.75" customHeight="1">
      <c r="C300" s="39"/>
      <c r="D300" s="39" t="str">
        <f>IF(OR(B300="",A300=""),"",MAX(0,MIN(3,SUMIFS($C$2:$C$1000,$B$2:$B$1000,B300,$A$2:$A$1000,"&lt;="&amp;A300,$A$2:$A$1000,"&gt;="&amp;IF(Config!$B$1004="Y",A300-Config!$B$1005,DATE(1900,1,1)),$I$2:$I$1000,1)))))</f>
        <v>#ERROR!</v>
      </c>
      <c r="H300" s="39"/>
      <c r="I300" s="39">
        <f t="shared" si="1"/>
        <v>1</v>
      </c>
      <c r="J300" s="39" t="str">
        <f t="shared" si="2"/>
        <v/>
      </c>
      <c r="K300" s="39" t="str">
        <f t="array" ref="K300">IF(J300="","",IF(XLOOKUP(J300,Strike_Review_Queue!$I:$I,Strike_Review_Queue!$J:$J,"")="Approve","Approved",IF(XLOOKUP(J300,Strike_Review_Queue!$I:$I,Strike_Review_Queue!$J:$J,"")="Deny","Counts",H300)))</f>
        <v/>
      </c>
      <c r="L300" s="39" t="str">
        <f t="array" ref="L300">IF(J300="","",XLOOKUP(J300,Strike_Review_Queue!$I:$I,Strike_Review_Queue!$L:$L,""))</f>
        <v/>
      </c>
      <c r="M300" s="39" t="str">
        <f t="array" ref="M300">IF(J300="","",XLOOKUP(J300,Strike_Review_Queue!$I:$I,Strike_Review_Queue!$M:$M,""))</f>
        <v/>
      </c>
    </row>
    <row r="301" ht="15.75" customHeight="1">
      <c r="C301" s="39"/>
      <c r="D301" s="39" t="str">
        <f>IF(OR(B301="",A301=""),"",MAX(0,MIN(3,SUMIFS($C$2:$C$1000,$B$2:$B$1000,B301,$A$2:$A$1000,"&lt;="&amp;A301,$A$2:$A$1000,"&gt;="&amp;IF(Config!$B$1004="Y",A301-Config!$B$1005,DATE(1900,1,1)),$I$2:$I$1000,1)))))</f>
        <v>#ERROR!</v>
      </c>
      <c r="H301" s="39"/>
      <c r="I301" s="39">
        <f t="shared" si="1"/>
        <v>1</v>
      </c>
      <c r="J301" s="39" t="str">
        <f t="shared" si="2"/>
        <v/>
      </c>
      <c r="K301" s="39" t="str">
        <f t="array" ref="K301">IF(J301="","",IF(XLOOKUP(J301,Strike_Review_Queue!$I:$I,Strike_Review_Queue!$J:$J,"")="Approve","Approved",IF(XLOOKUP(J301,Strike_Review_Queue!$I:$I,Strike_Review_Queue!$J:$J,"")="Deny","Counts",H301)))</f>
        <v/>
      </c>
      <c r="L301" s="39" t="str">
        <f t="array" ref="L301">IF(J301="","",XLOOKUP(J301,Strike_Review_Queue!$I:$I,Strike_Review_Queue!$L:$L,""))</f>
        <v/>
      </c>
      <c r="M301" s="39" t="str">
        <f t="array" ref="M301">IF(J301="","",XLOOKUP(J301,Strike_Review_Queue!$I:$I,Strike_Review_Queue!$M:$M,""))</f>
        <v/>
      </c>
    </row>
    <row r="302" ht="15.75" customHeight="1">
      <c r="C302" s="39"/>
      <c r="D302" s="39" t="str">
        <f>IF(OR(B302="",A302=""),"",MAX(0,MIN(3,SUMIFS($C$2:$C$1000,$B$2:$B$1000,B302,$A$2:$A$1000,"&lt;="&amp;A302,$A$2:$A$1000,"&gt;="&amp;IF(Config!$B$1004="Y",A302-Config!$B$1005,DATE(1900,1,1)),$I$2:$I$1000,1)))))</f>
        <v>#ERROR!</v>
      </c>
      <c r="H302" s="39"/>
      <c r="I302" s="39">
        <f t="shared" si="1"/>
        <v>1</v>
      </c>
      <c r="J302" s="39" t="str">
        <f t="shared" si="2"/>
        <v/>
      </c>
      <c r="K302" s="39" t="str">
        <f t="array" ref="K302">IF(J302="","",IF(XLOOKUP(J302,Strike_Review_Queue!$I:$I,Strike_Review_Queue!$J:$J,"")="Approve","Approved",IF(XLOOKUP(J302,Strike_Review_Queue!$I:$I,Strike_Review_Queue!$J:$J,"")="Deny","Counts",H302)))</f>
        <v/>
      </c>
      <c r="L302" s="39" t="str">
        <f t="array" ref="L302">IF(J302="","",XLOOKUP(J302,Strike_Review_Queue!$I:$I,Strike_Review_Queue!$L:$L,""))</f>
        <v/>
      </c>
      <c r="M302" s="39" t="str">
        <f t="array" ref="M302">IF(J302="","",XLOOKUP(J302,Strike_Review_Queue!$I:$I,Strike_Review_Queue!$M:$M,""))</f>
        <v/>
      </c>
    </row>
    <row r="303" ht="15.75" customHeight="1">
      <c r="C303" s="39"/>
      <c r="D303" s="39" t="str">
        <f>IF(OR(B303="",A303=""),"",MAX(0,MIN(3,SUMIFS($C$2:$C$1000,$B$2:$B$1000,B303,$A$2:$A$1000,"&lt;="&amp;A303,$A$2:$A$1000,"&gt;="&amp;IF(Config!$B$1004="Y",A303-Config!$B$1005,DATE(1900,1,1)),$I$2:$I$1000,1)))))</f>
        <v>#ERROR!</v>
      </c>
      <c r="H303" s="39"/>
      <c r="I303" s="39">
        <f t="shared" si="1"/>
        <v>1</v>
      </c>
      <c r="J303" s="39" t="str">
        <f t="shared" si="2"/>
        <v/>
      </c>
      <c r="K303" s="39" t="str">
        <f t="array" ref="K303">IF(J303="","",IF(XLOOKUP(J303,Strike_Review_Queue!$I:$I,Strike_Review_Queue!$J:$J,"")="Approve","Approved",IF(XLOOKUP(J303,Strike_Review_Queue!$I:$I,Strike_Review_Queue!$J:$J,"")="Deny","Counts",H303)))</f>
        <v/>
      </c>
      <c r="L303" s="39" t="str">
        <f t="array" ref="L303">IF(J303="","",XLOOKUP(J303,Strike_Review_Queue!$I:$I,Strike_Review_Queue!$L:$L,""))</f>
        <v/>
      </c>
      <c r="M303" s="39" t="str">
        <f t="array" ref="M303">IF(J303="","",XLOOKUP(J303,Strike_Review_Queue!$I:$I,Strike_Review_Queue!$M:$M,""))</f>
        <v/>
      </c>
    </row>
    <row r="304" ht="15.75" customHeight="1">
      <c r="C304" s="39"/>
      <c r="D304" s="39" t="str">
        <f>IF(OR(B304="",A304=""),"",MAX(0,MIN(3,SUMIFS($C$2:$C$1000,$B$2:$B$1000,B304,$A$2:$A$1000,"&lt;="&amp;A304,$A$2:$A$1000,"&gt;="&amp;IF(Config!$B$1004="Y",A304-Config!$B$1005,DATE(1900,1,1)),$I$2:$I$1000,1)))))</f>
        <v>#ERROR!</v>
      </c>
      <c r="H304" s="39"/>
      <c r="I304" s="39">
        <f t="shared" si="1"/>
        <v>1</v>
      </c>
      <c r="J304" s="39" t="str">
        <f t="shared" si="2"/>
        <v/>
      </c>
      <c r="K304" s="39" t="str">
        <f t="array" ref="K304">IF(J304="","",IF(XLOOKUP(J304,Strike_Review_Queue!$I:$I,Strike_Review_Queue!$J:$J,"")="Approve","Approved",IF(XLOOKUP(J304,Strike_Review_Queue!$I:$I,Strike_Review_Queue!$J:$J,"")="Deny","Counts",H304)))</f>
        <v/>
      </c>
      <c r="L304" s="39" t="str">
        <f t="array" ref="L304">IF(J304="","",XLOOKUP(J304,Strike_Review_Queue!$I:$I,Strike_Review_Queue!$L:$L,""))</f>
        <v/>
      </c>
      <c r="M304" s="39" t="str">
        <f t="array" ref="M304">IF(J304="","",XLOOKUP(J304,Strike_Review_Queue!$I:$I,Strike_Review_Queue!$M:$M,""))</f>
        <v/>
      </c>
    </row>
    <row r="305" ht="15.75" customHeight="1">
      <c r="C305" s="39"/>
      <c r="D305" s="39" t="str">
        <f>IF(OR(B305="",A305=""),"",MAX(0,MIN(3,SUMIFS($C$2:$C$1000,$B$2:$B$1000,B305,$A$2:$A$1000,"&lt;="&amp;A305,$A$2:$A$1000,"&gt;="&amp;IF(Config!$B$1004="Y",A305-Config!$B$1005,DATE(1900,1,1)),$I$2:$I$1000,1)))))</f>
        <v>#ERROR!</v>
      </c>
      <c r="H305" s="39"/>
      <c r="I305" s="39">
        <f t="shared" si="1"/>
        <v>1</v>
      </c>
      <c r="J305" s="39" t="str">
        <f t="shared" si="2"/>
        <v/>
      </c>
      <c r="K305" s="39" t="str">
        <f t="array" ref="K305">IF(J305="","",IF(XLOOKUP(J305,Strike_Review_Queue!$I:$I,Strike_Review_Queue!$J:$J,"")="Approve","Approved",IF(XLOOKUP(J305,Strike_Review_Queue!$I:$I,Strike_Review_Queue!$J:$J,"")="Deny","Counts",H305)))</f>
        <v/>
      </c>
      <c r="L305" s="39" t="str">
        <f t="array" ref="L305">IF(J305="","",XLOOKUP(J305,Strike_Review_Queue!$I:$I,Strike_Review_Queue!$L:$L,""))</f>
        <v/>
      </c>
      <c r="M305" s="39" t="str">
        <f t="array" ref="M305">IF(J305="","",XLOOKUP(J305,Strike_Review_Queue!$I:$I,Strike_Review_Queue!$M:$M,""))</f>
        <v/>
      </c>
    </row>
    <row r="306" ht="15.75" customHeight="1">
      <c r="C306" s="39"/>
      <c r="D306" s="39" t="str">
        <f>IF(OR(B306="",A306=""),"",MAX(0,MIN(3,SUMIFS($C$2:$C$1000,$B$2:$B$1000,B306,$A$2:$A$1000,"&lt;="&amp;A306,$A$2:$A$1000,"&gt;="&amp;IF(Config!$B$1004="Y",A306-Config!$B$1005,DATE(1900,1,1)),$I$2:$I$1000,1)))))</f>
        <v>#ERROR!</v>
      </c>
      <c r="H306" s="39"/>
      <c r="I306" s="39">
        <f t="shared" si="1"/>
        <v>1</v>
      </c>
      <c r="J306" s="39" t="str">
        <f t="shared" si="2"/>
        <v/>
      </c>
      <c r="K306" s="39" t="str">
        <f t="array" ref="K306">IF(J306="","",IF(XLOOKUP(J306,Strike_Review_Queue!$I:$I,Strike_Review_Queue!$J:$J,"")="Approve","Approved",IF(XLOOKUP(J306,Strike_Review_Queue!$I:$I,Strike_Review_Queue!$J:$J,"")="Deny","Counts",H306)))</f>
        <v/>
      </c>
      <c r="L306" s="39" t="str">
        <f t="array" ref="L306">IF(J306="","",XLOOKUP(J306,Strike_Review_Queue!$I:$I,Strike_Review_Queue!$L:$L,""))</f>
        <v/>
      </c>
      <c r="M306" s="39" t="str">
        <f t="array" ref="M306">IF(J306="","",XLOOKUP(J306,Strike_Review_Queue!$I:$I,Strike_Review_Queue!$M:$M,""))</f>
        <v/>
      </c>
    </row>
    <row r="307" ht="15.75" customHeight="1">
      <c r="C307" s="39"/>
      <c r="D307" s="39" t="str">
        <f>IF(OR(B307="",A307=""),"",MAX(0,MIN(3,SUMIFS($C$2:$C$1000,$B$2:$B$1000,B307,$A$2:$A$1000,"&lt;="&amp;A307,$A$2:$A$1000,"&gt;="&amp;IF(Config!$B$1004="Y",A307-Config!$B$1005,DATE(1900,1,1)),$I$2:$I$1000,1)))))</f>
        <v>#ERROR!</v>
      </c>
      <c r="H307" s="39"/>
      <c r="I307" s="39">
        <f t="shared" si="1"/>
        <v>1</v>
      </c>
      <c r="J307" s="39" t="str">
        <f t="shared" si="2"/>
        <v/>
      </c>
      <c r="K307" s="39" t="str">
        <f t="array" ref="K307">IF(J307="","",IF(XLOOKUP(J307,Strike_Review_Queue!$I:$I,Strike_Review_Queue!$J:$J,"")="Approve","Approved",IF(XLOOKUP(J307,Strike_Review_Queue!$I:$I,Strike_Review_Queue!$J:$J,"")="Deny","Counts",H307)))</f>
        <v/>
      </c>
      <c r="L307" s="39" t="str">
        <f t="array" ref="L307">IF(J307="","",XLOOKUP(J307,Strike_Review_Queue!$I:$I,Strike_Review_Queue!$L:$L,""))</f>
        <v/>
      </c>
      <c r="M307" s="39" t="str">
        <f t="array" ref="M307">IF(J307="","",XLOOKUP(J307,Strike_Review_Queue!$I:$I,Strike_Review_Queue!$M:$M,""))</f>
        <v/>
      </c>
    </row>
    <row r="308" ht="15.75" customHeight="1">
      <c r="C308" s="39"/>
      <c r="D308" s="39" t="str">
        <f>IF(OR(B308="",A308=""),"",MAX(0,MIN(3,SUMIFS($C$2:$C$1000,$B$2:$B$1000,B308,$A$2:$A$1000,"&lt;="&amp;A308,$A$2:$A$1000,"&gt;="&amp;IF(Config!$B$1004="Y",A308-Config!$B$1005,DATE(1900,1,1)),$I$2:$I$1000,1)))))</f>
        <v>#ERROR!</v>
      </c>
      <c r="H308" s="39"/>
      <c r="I308" s="39">
        <f t="shared" si="1"/>
        <v>1</v>
      </c>
      <c r="J308" s="39" t="str">
        <f t="shared" si="2"/>
        <v/>
      </c>
      <c r="K308" s="39" t="str">
        <f t="array" ref="K308">IF(J308="","",IF(XLOOKUP(J308,Strike_Review_Queue!$I:$I,Strike_Review_Queue!$J:$J,"")="Approve","Approved",IF(XLOOKUP(J308,Strike_Review_Queue!$I:$I,Strike_Review_Queue!$J:$J,"")="Deny","Counts",H308)))</f>
        <v/>
      </c>
      <c r="L308" s="39" t="str">
        <f t="array" ref="L308">IF(J308="","",XLOOKUP(J308,Strike_Review_Queue!$I:$I,Strike_Review_Queue!$L:$L,""))</f>
        <v/>
      </c>
      <c r="M308" s="39" t="str">
        <f t="array" ref="M308">IF(J308="","",XLOOKUP(J308,Strike_Review_Queue!$I:$I,Strike_Review_Queue!$M:$M,""))</f>
        <v/>
      </c>
    </row>
    <row r="309" ht="15.75" customHeight="1">
      <c r="C309" s="39"/>
      <c r="D309" s="39" t="str">
        <f>IF(OR(B309="",A309=""),"",MAX(0,MIN(3,SUMIFS($C$2:$C$1000,$B$2:$B$1000,B309,$A$2:$A$1000,"&lt;="&amp;A309,$A$2:$A$1000,"&gt;="&amp;IF(Config!$B$1004="Y",A309-Config!$B$1005,DATE(1900,1,1)),$I$2:$I$1000,1)))))</f>
        <v>#ERROR!</v>
      </c>
      <c r="H309" s="39"/>
      <c r="I309" s="39">
        <f t="shared" si="1"/>
        <v>1</v>
      </c>
      <c r="J309" s="39" t="str">
        <f t="shared" si="2"/>
        <v/>
      </c>
      <c r="K309" s="39" t="str">
        <f t="array" ref="K309">IF(J309="","",IF(XLOOKUP(J309,Strike_Review_Queue!$I:$I,Strike_Review_Queue!$J:$J,"")="Approve","Approved",IF(XLOOKUP(J309,Strike_Review_Queue!$I:$I,Strike_Review_Queue!$J:$J,"")="Deny","Counts",H309)))</f>
        <v/>
      </c>
      <c r="L309" s="39" t="str">
        <f t="array" ref="L309">IF(J309="","",XLOOKUP(J309,Strike_Review_Queue!$I:$I,Strike_Review_Queue!$L:$L,""))</f>
        <v/>
      </c>
      <c r="M309" s="39" t="str">
        <f t="array" ref="M309">IF(J309="","",XLOOKUP(J309,Strike_Review_Queue!$I:$I,Strike_Review_Queue!$M:$M,""))</f>
        <v/>
      </c>
    </row>
    <row r="310" ht="15.75" customHeight="1">
      <c r="C310" s="39"/>
      <c r="D310" s="39" t="str">
        <f>IF(OR(B310="",A310=""),"",MAX(0,MIN(3,SUMIFS($C$2:$C$1000,$B$2:$B$1000,B310,$A$2:$A$1000,"&lt;="&amp;A310,$A$2:$A$1000,"&gt;="&amp;IF(Config!$B$1004="Y",A310-Config!$B$1005,DATE(1900,1,1)),$I$2:$I$1000,1)))))</f>
        <v>#ERROR!</v>
      </c>
      <c r="H310" s="39"/>
      <c r="I310" s="39">
        <f t="shared" si="1"/>
        <v>1</v>
      </c>
      <c r="J310" s="39" t="str">
        <f t="shared" si="2"/>
        <v/>
      </c>
      <c r="K310" s="39" t="str">
        <f t="array" ref="K310">IF(J310="","",IF(XLOOKUP(J310,Strike_Review_Queue!$I:$I,Strike_Review_Queue!$J:$J,"")="Approve","Approved",IF(XLOOKUP(J310,Strike_Review_Queue!$I:$I,Strike_Review_Queue!$J:$J,"")="Deny","Counts",H310)))</f>
        <v/>
      </c>
      <c r="L310" s="39" t="str">
        <f t="array" ref="L310">IF(J310="","",XLOOKUP(J310,Strike_Review_Queue!$I:$I,Strike_Review_Queue!$L:$L,""))</f>
        <v/>
      </c>
      <c r="M310" s="39" t="str">
        <f t="array" ref="M310">IF(J310="","",XLOOKUP(J310,Strike_Review_Queue!$I:$I,Strike_Review_Queue!$M:$M,""))</f>
        <v/>
      </c>
    </row>
    <row r="311" ht="15.75" customHeight="1">
      <c r="C311" s="39"/>
      <c r="D311" s="39" t="str">
        <f>IF(OR(B311="",A311=""),"",MAX(0,MIN(3,SUMIFS($C$2:$C$1000,$B$2:$B$1000,B311,$A$2:$A$1000,"&lt;="&amp;A311,$A$2:$A$1000,"&gt;="&amp;IF(Config!$B$1004="Y",A311-Config!$B$1005,DATE(1900,1,1)),$I$2:$I$1000,1)))))</f>
        <v>#ERROR!</v>
      </c>
      <c r="H311" s="39"/>
      <c r="I311" s="39">
        <f t="shared" si="1"/>
        <v>1</v>
      </c>
      <c r="J311" s="39" t="str">
        <f t="shared" si="2"/>
        <v/>
      </c>
      <c r="K311" s="39" t="str">
        <f t="array" ref="K311">IF(J311="","",IF(XLOOKUP(J311,Strike_Review_Queue!$I:$I,Strike_Review_Queue!$J:$J,"")="Approve","Approved",IF(XLOOKUP(J311,Strike_Review_Queue!$I:$I,Strike_Review_Queue!$J:$J,"")="Deny","Counts",H311)))</f>
        <v/>
      </c>
      <c r="L311" s="39" t="str">
        <f t="array" ref="L311">IF(J311="","",XLOOKUP(J311,Strike_Review_Queue!$I:$I,Strike_Review_Queue!$L:$L,""))</f>
        <v/>
      </c>
      <c r="M311" s="39" t="str">
        <f t="array" ref="M311">IF(J311="","",XLOOKUP(J311,Strike_Review_Queue!$I:$I,Strike_Review_Queue!$M:$M,""))</f>
        <v/>
      </c>
    </row>
    <row r="312" ht="15.75" customHeight="1">
      <c r="C312" s="39"/>
      <c r="D312" s="39" t="str">
        <f>IF(OR(B312="",A312=""),"",MAX(0,MIN(3,SUMIFS($C$2:$C$1000,$B$2:$B$1000,B312,$A$2:$A$1000,"&lt;="&amp;A312,$A$2:$A$1000,"&gt;="&amp;IF(Config!$B$1004="Y",A312-Config!$B$1005,DATE(1900,1,1)),$I$2:$I$1000,1)))))</f>
        <v>#ERROR!</v>
      </c>
      <c r="H312" s="39"/>
      <c r="I312" s="39">
        <f t="shared" si="1"/>
        <v>1</v>
      </c>
      <c r="J312" s="39" t="str">
        <f t="shared" si="2"/>
        <v/>
      </c>
      <c r="K312" s="39" t="str">
        <f t="array" ref="K312">IF(J312="","",IF(XLOOKUP(J312,Strike_Review_Queue!$I:$I,Strike_Review_Queue!$J:$J,"")="Approve","Approved",IF(XLOOKUP(J312,Strike_Review_Queue!$I:$I,Strike_Review_Queue!$J:$J,"")="Deny","Counts",H312)))</f>
        <v/>
      </c>
      <c r="L312" s="39" t="str">
        <f t="array" ref="L312">IF(J312="","",XLOOKUP(J312,Strike_Review_Queue!$I:$I,Strike_Review_Queue!$L:$L,""))</f>
        <v/>
      </c>
      <c r="M312" s="39" t="str">
        <f t="array" ref="M312">IF(J312="","",XLOOKUP(J312,Strike_Review_Queue!$I:$I,Strike_Review_Queue!$M:$M,""))</f>
        <v/>
      </c>
    </row>
    <row r="313" ht="15.75" customHeight="1">
      <c r="C313" s="39"/>
      <c r="D313" s="39" t="str">
        <f>IF(OR(B313="",A313=""),"",MAX(0,MIN(3,SUMIFS($C$2:$C$1000,$B$2:$B$1000,B313,$A$2:$A$1000,"&lt;="&amp;A313,$A$2:$A$1000,"&gt;="&amp;IF(Config!$B$1004="Y",A313-Config!$B$1005,DATE(1900,1,1)),$I$2:$I$1000,1)))))</f>
        <v>#ERROR!</v>
      </c>
      <c r="H313" s="39"/>
      <c r="I313" s="39">
        <f t="shared" si="1"/>
        <v>1</v>
      </c>
      <c r="J313" s="39" t="str">
        <f t="shared" si="2"/>
        <v/>
      </c>
      <c r="K313" s="39" t="str">
        <f t="array" ref="K313">IF(J313="","",IF(XLOOKUP(J313,Strike_Review_Queue!$I:$I,Strike_Review_Queue!$J:$J,"")="Approve","Approved",IF(XLOOKUP(J313,Strike_Review_Queue!$I:$I,Strike_Review_Queue!$J:$J,"")="Deny","Counts",H313)))</f>
        <v/>
      </c>
      <c r="L313" s="39" t="str">
        <f t="array" ref="L313">IF(J313="","",XLOOKUP(J313,Strike_Review_Queue!$I:$I,Strike_Review_Queue!$L:$L,""))</f>
        <v/>
      </c>
      <c r="M313" s="39" t="str">
        <f t="array" ref="M313">IF(J313="","",XLOOKUP(J313,Strike_Review_Queue!$I:$I,Strike_Review_Queue!$M:$M,""))</f>
        <v/>
      </c>
    </row>
    <row r="314" ht="15.75" customHeight="1">
      <c r="C314" s="39"/>
      <c r="D314" s="39" t="str">
        <f>IF(OR(B314="",A314=""),"",MAX(0,MIN(3,SUMIFS($C$2:$C$1000,$B$2:$B$1000,B314,$A$2:$A$1000,"&lt;="&amp;A314,$A$2:$A$1000,"&gt;="&amp;IF(Config!$B$1004="Y",A314-Config!$B$1005,DATE(1900,1,1)),$I$2:$I$1000,1)))))</f>
        <v>#ERROR!</v>
      </c>
      <c r="H314" s="39"/>
      <c r="I314" s="39">
        <f t="shared" si="1"/>
        <v>1</v>
      </c>
      <c r="J314" s="39" t="str">
        <f t="shared" si="2"/>
        <v/>
      </c>
      <c r="K314" s="39" t="str">
        <f t="array" ref="K314">IF(J314="","",IF(XLOOKUP(J314,Strike_Review_Queue!$I:$I,Strike_Review_Queue!$J:$J,"")="Approve","Approved",IF(XLOOKUP(J314,Strike_Review_Queue!$I:$I,Strike_Review_Queue!$J:$J,"")="Deny","Counts",H314)))</f>
        <v/>
      </c>
      <c r="L314" s="39" t="str">
        <f t="array" ref="L314">IF(J314="","",XLOOKUP(J314,Strike_Review_Queue!$I:$I,Strike_Review_Queue!$L:$L,""))</f>
        <v/>
      </c>
      <c r="M314" s="39" t="str">
        <f t="array" ref="M314">IF(J314="","",XLOOKUP(J314,Strike_Review_Queue!$I:$I,Strike_Review_Queue!$M:$M,""))</f>
        <v/>
      </c>
    </row>
    <row r="315" ht="15.75" customHeight="1">
      <c r="C315" s="39"/>
      <c r="D315" s="39" t="str">
        <f>IF(OR(B315="",A315=""),"",MAX(0,MIN(3,SUMIFS($C$2:$C$1000,$B$2:$B$1000,B315,$A$2:$A$1000,"&lt;="&amp;A315,$A$2:$A$1000,"&gt;="&amp;IF(Config!$B$1004="Y",A315-Config!$B$1005,DATE(1900,1,1)),$I$2:$I$1000,1)))))</f>
        <v>#ERROR!</v>
      </c>
      <c r="H315" s="39"/>
      <c r="I315" s="39">
        <f t="shared" si="1"/>
        <v>1</v>
      </c>
      <c r="J315" s="39" t="str">
        <f t="shared" si="2"/>
        <v/>
      </c>
      <c r="K315" s="39" t="str">
        <f t="array" ref="K315">IF(J315="","",IF(XLOOKUP(J315,Strike_Review_Queue!$I:$I,Strike_Review_Queue!$J:$J,"")="Approve","Approved",IF(XLOOKUP(J315,Strike_Review_Queue!$I:$I,Strike_Review_Queue!$J:$J,"")="Deny","Counts",H315)))</f>
        <v/>
      </c>
      <c r="L315" s="39" t="str">
        <f t="array" ref="L315">IF(J315="","",XLOOKUP(J315,Strike_Review_Queue!$I:$I,Strike_Review_Queue!$L:$L,""))</f>
        <v/>
      </c>
      <c r="M315" s="39" t="str">
        <f t="array" ref="M315">IF(J315="","",XLOOKUP(J315,Strike_Review_Queue!$I:$I,Strike_Review_Queue!$M:$M,""))</f>
        <v/>
      </c>
    </row>
    <row r="316" ht="15.75" customHeight="1">
      <c r="C316" s="39"/>
      <c r="D316" s="39" t="str">
        <f>IF(OR(B316="",A316=""),"",MAX(0,MIN(3,SUMIFS($C$2:$C$1000,$B$2:$B$1000,B316,$A$2:$A$1000,"&lt;="&amp;A316,$A$2:$A$1000,"&gt;="&amp;IF(Config!$B$1004="Y",A316-Config!$B$1005,DATE(1900,1,1)),$I$2:$I$1000,1)))))</f>
        <v>#ERROR!</v>
      </c>
      <c r="H316" s="39"/>
      <c r="I316" s="39">
        <f t="shared" si="1"/>
        <v>1</v>
      </c>
      <c r="J316" s="39" t="str">
        <f t="shared" si="2"/>
        <v/>
      </c>
      <c r="K316" s="39" t="str">
        <f t="array" ref="K316">IF(J316="","",IF(XLOOKUP(J316,Strike_Review_Queue!$I:$I,Strike_Review_Queue!$J:$J,"")="Approve","Approved",IF(XLOOKUP(J316,Strike_Review_Queue!$I:$I,Strike_Review_Queue!$J:$J,"")="Deny","Counts",H316)))</f>
        <v/>
      </c>
      <c r="L316" s="39" t="str">
        <f t="array" ref="L316">IF(J316="","",XLOOKUP(J316,Strike_Review_Queue!$I:$I,Strike_Review_Queue!$L:$L,""))</f>
        <v/>
      </c>
      <c r="M316" s="39" t="str">
        <f t="array" ref="M316">IF(J316="","",XLOOKUP(J316,Strike_Review_Queue!$I:$I,Strike_Review_Queue!$M:$M,""))</f>
        <v/>
      </c>
    </row>
    <row r="317" ht="15.75" customHeight="1">
      <c r="C317" s="39"/>
      <c r="D317" s="39" t="str">
        <f>IF(OR(B317="",A317=""),"",MAX(0,MIN(3,SUMIFS($C$2:$C$1000,$B$2:$B$1000,B317,$A$2:$A$1000,"&lt;="&amp;A317,$A$2:$A$1000,"&gt;="&amp;IF(Config!$B$1004="Y",A317-Config!$B$1005,DATE(1900,1,1)),$I$2:$I$1000,1)))))</f>
        <v>#ERROR!</v>
      </c>
      <c r="H317" s="39"/>
      <c r="I317" s="39">
        <f t="shared" si="1"/>
        <v>1</v>
      </c>
      <c r="J317" s="39" t="str">
        <f t="shared" si="2"/>
        <v/>
      </c>
      <c r="K317" s="39" t="str">
        <f t="array" ref="K317">IF(J317="","",IF(XLOOKUP(J317,Strike_Review_Queue!$I:$I,Strike_Review_Queue!$J:$J,"")="Approve","Approved",IF(XLOOKUP(J317,Strike_Review_Queue!$I:$I,Strike_Review_Queue!$J:$J,"")="Deny","Counts",H317)))</f>
        <v/>
      </c>
      <c r="L317" s="39" t="str">
        <f t="array" ref="L317">IF(J317="","",XLOOKUP(J317,Strike_Review_Queue!$I:$I,Strike_Review_Queue!$L:$L,""))</f>
        <v/>
      </c>
      <c r="M317" s="39" t="str">
        <f t="array" ref="M317">IF(J317="","",XLOOKUP(J317,Strike_Review_Queue!$I:$I,Strike_Review_Queue!$M:$M,""))</f>
        <v/>
      </c>
    </row>
    <row r="318" ht="15.75" customHeight="1">
      <c r="C318" s="39"/>
      <c r="D318" s="39" t="str">
        <f>IF(OR(B318="",A318=""),"",MAX(0,MIN(3,SUMIFS($C$2:$C$1000,$B$2:$B$1000,B318,$A$2:$A$1000,"&lt;="&amp;A318,$A$2:$A$1000,"&gt;="&amp;IF(Config!$B$1004="Y",A318-Config!$B$1005,DATE(1900,1,1)),$I$2:$I$1000,1)))))</f>
        <v>#ERROR!</v>
      </c>
      <c r="H318" s="39"/>
      <c r="I318" s="39">
        <f t="shared" si="1"/>
        <v>1</v>
      </c>
      <c r="J318" s="39" t="str">
        <f t="shared" si="2"/>
        <v/>
      </c>
      <c r="K318" s="39" t="str">
        <f t="array" ref="K318">IF(J318="","",IF(XLOOKUP(J318,Strike_Review_Queue!$I:$I,Strike_Review_Queue!$J:$J,"")="Approve","Approved",IF(XLOOKUP(J318,Strike_Review_Queue!$I:$I,Strike_Review_Queue!$J:$J,"")="Deny","Counts",H318)))</f>
        <v/>
      </c>
      <c r="L318" s="39" t="str">
        <f t="array" ref="L318">IF(J318="","",XLOOKUP(J318,Strike_Review_Queue!$I:$I,Strike_Review_Queue!$L:$L,""))</f>
        <v/>
      </c>
      <c r="M318" s="39" t="str">
        <f t="array" ref="M318">IF(J318="","",XLOOKUP(J318,Strike_Review_Queue!$I:$I,Strike_Review_Queue!$M:$M,""))</f>
        <v/>
      </c>
    </row>
    <row r="319" ht="15.75" customHeight="1">
      <c r="C319" s="39"/>
      <c r="D319" s="39" t="str">
        <f>IF(OR(B319="",A319=""),"",MAX(0,MIN(3,SUMIFS($C$2:$C$1000,$B$2:$B$1000,B319,$A$2:$A$1000,"&lt;="&amp;A319,$A$2:$A$1000,"&gt;="&amp;IF(Config!$B$1004="Y",A319-Config!$B$1005,DATE(1900,1,1)),$I$2:$I$1000,1)))))</f>
        <v>#ERROR!</v>
      </c>
      <c r="H319" s="39"/>
      <c r="I319" s="39">
        <f t="shared" si="1"/>
        <v>1</v>
      </c>
      <c r="J319" s="39" t="str">
        <f t="shared" si="2"/>
        <v/>
      </c>
      <c r="K319" s="39" t="str">
        <f t="array" ref="K319">IF(J319="","",IF(XLOOKUP(J319,Strike_Review_Queue!$I:$I,Strike_Review_Queue!$J:$J,"")="Approve","Approved",IF(XLOOKUP(J319,Strike_Review_Queue!$I:$I,Strike_Review_Queue!$J:$J,"")="Deny","Counts",H319)))</f>
        <v/>
      </c>
      <c r="L319" s="39" t="str">
        <f t="array" ref="L319">IF(J319="","",XLOOKUP(J319,Strike_Review_Queue!$I:$I,Strike_Review_Queue!$L:$L,""))</f>
        <v/>
      </c>
      <c r="M319" s="39" t="str">
        <f t="array" ref="M319">IF(J319="","",XLOOKUP(J319,Strike_Review_Queue!$I:$I,Strike_Review_Queue!$M:$M,""))</f>
        <v/>
      </c>
    </row>
    <row r="320" ht="15.75" customHeight="1">
      <c r="C320" s="39"/>
      <c r="D320" s="39" t="str">
        <f>IF(OR(B320="",A320=""),"",MAX(0,MIN(3,SUMIFS($C$2:$C$1000,$B$2:$B$1000,B320,$A$2:$A$1000,"&lt;="&amp;A320,$A$2:$A$1000,"&gt;="&amp;IF(Config!$B$1004="Y",A320-Config!$B$1005,DATE(1900,1,1)),$I$2:$I$1000,1)))))</f>
        <v>#ERROR!</v>
      </c>
      <c r="H320" s="39"/>
      <c r="I320" s="39">
        <f t="shared" si="1"/>
        <v>1</v>
      </c>
      <c r="J320" s="39" t="str">
        <f t="shared" si="2"/>
        <v/>
      </c>
      <c r="K320" s="39" t="str">
        <f t="array" ref="K320">IF(J320="","",IF(XLOOKUP(J320,Strike_Review_Queue!$I:$I,Strike_Review_Queue!$J:$J,"")="Approve","Approved",IF(XLOOKUP(J320,Strike_Review_Queue!$I:$I,Strike_Review_Queue!$J:$J,"")="Deny","Counts",H320)))</f>
        <v/>
      </c>
      <c r="L320" s="39" t="str">
        <f t="array" ref="L320">IF(J320="","",XLOOKUP(J320,Strike_Review_Queue!$I:$I,Strike_Review_Queue!$L:$L,""))</f>
        <v/>
      </c>
      <c r="M320" s="39" t="str">
        <f t="array" ref="M320">IF(J320="","",XLOOKUP(J320,Strike_Review_Queue!$I:$I,Strike_Review_Queue!$M:$M,""))</f>
        <v/>
      </c>
    </row>
    <row r="321" ht="15.75" customHeight="1">
      <c r="C321" s="39"/>
      <c r="D321" s="39" t="str">
        <f>IF(OR(B321="",A321=""),"",MAX(0,MIN(3,SUMIFS($C$2:$C$1000,$B$2:$B$1000,B321,$A$2:$A$1000,"&lt;="&amp;A321,$A$2:$A$1000,"&gt;="&amp;IF(Config!$B$1004="Y",A321-Config!$B$1005,DATE(1900,1,1)),$I$2:$I$1000,1)))))</f>
        <v>#ERROR!</v>
      </c>
      <c r="H321" s="39"/>
      <c r="I321" s="39">
        <f t="shared" si="1"/>
        <v>1</v>
      </c>
      <c r="J321" s="39" t="str">
        <f t="shared" si="2"/>
        <v/>
      </c>
      <c r="K321" s="39" t="str">
        <f t="array" ref="K321">IF(J321="","",IF(XLOOKUP(J321,Strike_Review_Queue!$I:$I,Strike_Review_Queue!$J:$J,"")="Approve","Approved",IF(XLOOKUP(J321,Strike_Review_Queue!$I:$I,Strike_Review_Queue!$J:$J,"")="Deny","Counts",H321)))</f>
        <v/>
      </c>
      <c r="L321" s="39" t="str">
        <f t="array" ref="L321">IF(J321="","",XLOOKUP(J321,Strike_Review_Queue!$I:$I,Strike_Review_Queue!$L:$L,""))</f>
        <v/>
      </c>
      <c r="M321" s="39" t="str">
        <f t="array" ref="M321">IF(J321="","",XLOOKUP(J321,Strike_Review_Queue!$I:$I,Strike_Review_Queue!$M:$M,""))</f>
        <v/>
      </c>
    </row>
    <row r="322" ht="15.75" customHeight="1">
      <c r="C322" s="39"/>
      <c r="D322" s="39" t="str">
        <f>IF(OR(B322="",A322=""),"",MAX(0,MIN(3,SUMIFS($C$2:$C$1000,$B$2:$B$1000,B322,$A$2:$A$1000,"&lt;="&amp;A322,$A$2:$A$1000,"&gt;="&amp;IF(Config!$B$1004="Y",A322-Config!$B$1005,DATE(1900,1,1)),$I$2:$I$1000,1)))))</f>
        <v>#ERROR!</v>
      </c>
      <c r="H322" s="39"/>
      <c r="I322" s="39">
        <f t="shared" si="1"/>
        <v>1</v>
      </c>
      <c r="J322" s="39" t="str">
        <f t="shared" si="2"/>
        <v/>
      </c>
      <c r="K322" s="39" t="str">
        <f t="array" ref="K322">IF(J322="","",IF(XLOOKUP(J322,Strike_Review_Queue!$I:$I,Strike_Review_Queue!$J:$J,"")="Approve","Approved",IF(XLOOKUP(J322,Strike_Review_Queue!$I:$I,Strike_Review_Queue!$J:$J,"")="Deny","Counts",H322)))</f>
        <v/>
      </c>
      <c r="L322" s="39" t="str">
        <f t="array" ref="L322">IF(J322="","",XLOOKUP(J322,Strike_Review_Queue!$I:$I,Strike_Review_Queue!$L:$L,""))</f>
        <v/>
      </c>
      <c r="M322" s="39" t="str">
        <f t="array" ref="M322">IF(J322="","",XLOOKUP(J322,Strike_Review_Queue!$I:$I,Strike_Review_Queue!$M:$M,""))</f>
        <v/>
      </c>
    </row>
    <row r="323" ht="15.75" customHeight="1">
      <c r="C323" s="39"/>
      <c r="D323" s="39" t="str">
        <f>IF(OR(B323="",A323=""),"",MAX(0,MIN(3,SUMIFS($C$2:$C$1000,$B$2:$B$1000,B323,$A$2:$A$1000,"&lt;="&amp;A323,$A$2:$A$1000,"&gt;="&amp;IF(Config!$B$1004="Y",A323-Config!$B$1005,DATE(1900,1,1)),$I$2:$I$1000,1)))))</f>
        <v>#ERROR!</v>
      </c>
      <c r="H323" s="39"/>
      <c r="I323" s="39">
        <f t="shared" si="1"/>
        <v>1</v>
      </c>
      <c r="J323" s="39" t="str">
        <f t="shared" si="2"/>
        <v/>
      </c>
      <c r="K323" s="39" t="str">
        <f t="array" ref="K323">IF(J323="","",IF(XLOOKUP(J323,Strike_Review_Queue!$I:$I,Strike_Review_Queue!$J:$J,"")="Approve","Approved",IF(XLOOKUP(J323,Strike_Review_Queue!$I:$I,Strike_Review_Queue!$J:$J,"")="Deny","Counts",H323)))</f>
        <v/>
      </c>
      <c r="L323" s="39" t="str">
        <f t="array" ref="L323">IF(J323="","",XLOOKUP(J323,Strike_Review_Queue!$I:$I,Strike_Review_Queue!$L:$L,""))</f>
        <v/>
      </c>
      <c r="M323" s="39" t="str">
        <f t="array" ref="M323">IF(J323="","",XLOOKUP(J323,Strike_Review_Queue!$I:$I,Strike_Review_Queue!$M:$M,""))</f>
        <v/>
      </c>
    </row>
    <row r="324" ht="15.75" customHeight="1">
      <c r="C324" s="39"/>
      <c r="D324" s="39" t="str">
        <f>IF(OR(B324="",A324=""),"",MAX(0,MIN(3,SUMIFS($C$2:$C$1000,$B$2:$B$1000,B324,$A$2:$A$1000,"&lt;="&amp;A324,$A$2:$A$1000,"&gt;="&amp;IF(Config!$B$1004="Y",A324-Config!$B$1005,DATE(1900,1,1)),$I$2:$I$1000,1)))))</f>
        <v>#ERROR!</v>
      </c>
      <c r="H324" s="39"/>
      <c r="I324" s="39">
        <f t="shared" si="1"/>
        <v>1</v>
      </c>
      <c r="J324" s="39" t="str">
        <f t="shared" si="2"/>
        <v/>
      </c>
      <c r="K324" s="39" t="str">
        <f t="array" ref="K324">IF(J324="","",IF(XLOOKUP(J324,Strike_Review_Queue!$I:$I,Strike_Review_Queue!$J:$J,"")="Approve","Approved",IF(XLOOKUP(J324,Strike_Review_Queue!$I:$I,Strike_Review_Queue!$J:$J,"")="Deny","Counts",H324)))</f>
        <v/>
      </c>
      <c r="L324" s="39" t="str">
        <f t="array" ref="L324">IF(J324="","",XLOOKUP(J324,Strike_Review_Queue!$I:$I,Strike_Review_Queue!$L:$L,""))</f>
        <v/>
      </c>
      <c r="M324" s="39" t="str">
        <f t="array" ref="M324">IF(J324="","",XLOOKUP(J324,Strike_Review_Queue!$I:$I,Strike_Review_Queue!$M:$M,""))</f>
        <v/>
      </c>
    </row>
    <row r="325" ht="15.75" customHeight="1">
      <c r="C325" s="39"/>
      <c r="D325" s="39" t="str">
        <f>IF(OR(B325="",A325=""),"",MAX(0,MIN(3,SUMIFS($C$2:$C$1000,$B$2:$B$1000,B325,$A$2:$A$1000,"&lt;="&amp;A325,$A$2:$A$1000,"&gt;="&amp;IF(Config!$B$1004="Y",A325-Config!$B$1005,DATE(1900,1,1)),$I$2:$I$1000,1)))))</f>
        <v>#ERROR!</v>
      </c>
      <c r="H325" s="39"/>
      <c r="I325" s="39">
        <f t="shared" si="1"/>
        <v>1</v>
      </c>
      <c r="J325" s="39" t="str">
        <f t="shared" si="2"/>
        <v/>
      </c>
      <c r="K325" s="39" t="str">
        <f t="array" ref="K325">IF(J325="","",IF(XLOOKUP(J325,Strike_Review_Queue!$I:$I,Strike_Review_Queue!$J:$J,"")="Approve","Approved",IF(XLOOKUP(J325,Strike_Review_Queue!$I:$I,Strike_Review_Queue!$J:$J,"")="Deny","Counts",H325)))</f>
        <v/>
      </c>
      <c r="L325" s="39" t="str">
        <f t="array" ref="L325">IF(J325="","",XLOOKUP(J325,Strike_Review_Queue!$I:$I,Strike_Review_Queue!$L:$L,""))</f>
        <v/>
      </c>
      <c r="M325" s="39" t="str">
        <f t="array" ref="M325">IF(J325="","",XLOOKUP(J325,Strike_Review_Queue!$I:$I,Strike_Review_Queue!$M:$M,""))</f>
        <v/>
      </c>
    </row>
    <row r="326" ht="15.75" customHeight="1">
      <c r="C326" s="39"/>
      <c r="D326" s="39" t="str">
        <f>IF(OR(B326="",A326=""),"",MAX(0,MIN(3,SUMIFS($C$2:$C$1000,$B$2:$B$1000,B326,$A$2:$A$1000,"&lt;="&amp;A326,$A$2:$A$1000,"&gt;="&amp;IF(Config!$B$1004="Y",A326-Config!$B$1005,DATE(1900,1,1)),$I$2:$I$1000,1)))))</f>
        <v>#ERROR!</v>
      </c>
      <c r="H326" s="39"/>
      <c r="I326" s="39">
        <f t="shared" si="1"/>
        <v>1</v>
      </c>
      <c r="J326" s="39" t="str">
        <f t="shared" si="2"/>
        <v/>
      </c>
      <c r="K326" s="39" t="str">
        <f t="array" ref="K326">IF(J326="","",IF(XLOOKUP(J326,Strike_Review_Queue!$I:$I,Strike_Review_Queue!$J:$J,"")="Approve","Approved",IF(XLOOKUP(J326,Strike_Review_Queue!$I:$I,Strike_Review_Queue!$J:$J,"")="Deny","Counts",H326)))</f>
        <v/>
      </c>
      <c r="L326" s="39" t="str">
        <f t="array" ref="L326">IF(J326="","",XLOOKUP(J326,Strike_Review_Queue!$I:$I,Strike_Review_Queue!$L:$L,""))</f>
        <v/>
      </c>
      <c r="M326" s="39" t="str">
        <f t="array" ref="M326">IF(J326="","",XLOOKUP(J326,Strike_Review_Queue!$I:$I,Strike_Review_Queue!$M:$M,""))</f>
        <v/>
      </c>
    </row>
    <row r="327" ht="15.75" customHeight="1">
      <c r="C327" s="39"/>
      <c r="D327" s="39" t="str">
        <f>IF(OR(B327="",A327=""),"",MAX(0,MIN(3,SUMIFS($C$2:$C$1000,$B$2:$B$1000,B327,$A$2:$A$1000,"&lt;="&amp;A327,$A$2:$A$1000,"&gt;="&amp;IF(Config!$B$1004="Y",A327-Config!$B$1005,DATE(1900,1,1)),$I$2:$I$1000,1)))))</f>
        <v>#ERROR!</v>
      </c>
      <c r="H327" s="39"/>
      <c r="I327" s="39">
        <f t="shared" si="1"/>
        <v>1</v>
      </c>
      <c r="J327" s="39" t="str">
        <f t="shared" si="2"/>
        <v/>
      </c>
      <c r="K327" s="39" t="str">
        <f t="array" ref="K327">IF(J327="","",IF(XLOOKUP(J327,Strike_Review_Queue!$I:$I,Strike_Review_Queue!$J:$J,"")="Approve","Approved",IF(XLOOKUP(J327,Strike_Review_Queue!$I:$I,Strike_Review_Queue!$J:$J,"")="Deny","Counts",H327)))</f>
        <v/>
      </c>
      <c r="L327" s="39" t="str">
        <f t="array" ref="L327">IF(J327="","",XLOOKUP(J327,Strike_Review_Queue!$I:$I,Strike_Review_Queue!$L:$L,""))</f>
        <v/>
      </c>
      <c r="M327" s="39" t="str">
        <f t="array" ref="M327">IF(J327="","",XLOOKUP(J327,Strike_Review_Queue!$I:$I,Strike_Review_Queue!$M:$M,""))</f>
        <v/>
      </c>
    </row>
    <row r="328" ht="15.75" customHeight="1">
      <c r="C328" s="39"/>
      <c r="D328" s="39" t="str">
        <f>IF(OR(B328="",A328=""),"",MAX(0,MIN(3,SUMIFS($C$2:$C$1000,$B$2:$B$1000,B328,$A$2:$A$1000,"&lt;="&amp;A328,$A$2:$A$1000,"&gt;="&amp;IF(Config!$B$1004="Y",A328-Config!$B$1005,DATE(1900,1,1)),$I$2:$I$1000,1)))))</f>
        <v>#ERROR!</v>
      </c>
      <c r="H328" s="39"/>
      <c r="I328" s="39">
        <f t="shared" si="1"/>
        <v>1</v>
      </c>
      <c r="J328" s="39" t="str">
        <f t="shared" si="2"/>
        <v/>
      </c>
      <c r="K328" s="39" t="str">
        <f t="array" ref="K328">IF(J328="","",IF(XLOOKUP(J328,Strike_Review_Queue!$I:$I,Strike_Review_Queue!$J:$J,"")="Approve","Approved",IF(XLOOKUP(J328,Strike_Review_Queue!$I:$I,Strike_Review_Queue!$J:$J,"")="Deny","Counts",H328)))</f>
        <v/>
      </c>
      <c r="L328" s="39" t="str">
        <f t="array" ref="L328">IF(J328="","",XLOOKUP(J328,Strike_Review_Queue!$I:$I,Strike_Review_Queue!$L:$L,""))</f>
        <v/>
      </c>
      <c r="M328" s="39" t="str">
        <f t="array" ref="M328">IF(J328="","",XLOOKUP(J328,Strike_Review_Queue!$I:$I,Strike_Review_Queue!$M:$M,""))</f>
        <v/>
      </c>
    </row>
    <row r="329" ht="15.75" customHeight="1">
      <c r="C329" s="39"/>
      <c r="D329" s="39" t="str">
        <f>IF(OR(B329="",A329=""),"",MAX(0,MIN(3,SUMIFS($C$2:$C$1000,$B$2:$B$1000,B329,$A$2:$A$1000,"&lt;="&amp;A329,$A$2:$A$1000,"&gt;="&amp;IF(Config!$B$1004="Y",A329-Config!$B$1005,DATE(1900,1,1)),$I$2:$I$1000,1)))))</f>
        <v>#ERROR!</v>
      </c>
      <c r="H329" s="39"/>
      <c r="I329" s="39">
        <f t="shared" si="1"/>
        <v>1</v>
      </c>
      <c r="J329" s="39" t="str">
        <f t="shared" si="2"/>
        <v/>
      </c>
      <c r="K329" s="39" t="str">
        <f t="array" ref="K329">IF(J329="","",IF(XLOOKUP(J329,Strike_Review_Queue!$I:$I,Strike_Review_Queue!$J:$J,"")="Approve","Approved",IF(XLOOKUP(J329,Strike_Review_Queue!$I:$I,Strike_Review_Queue!$J:$J,"")="Deny","Counts",H329)))</f>
        <v/>
      </c>
      <c r="L329" s="39" t="str">
        <f t="array" ref="L329">IF(J329="","",XLOOKUP(J329,Strike_Review_Queue!$I:$I,Strike_Review_Queue!$L:$L,""))</f>
        <v/>
      </c>
      <c r="M329" s="39" t="str">
        <f t="array" ref="M329">IF(J329="","",XLOOKUP(J329,Strike_Review_Queue!$I:$I,Strike_Review_Queue!$M:$M,""))</f>
        <v/>
      </c>
    </row>
    <row r="330" ht="15.75" customHeight="1">
      <c r="C330" s="39"/>
      <c r="D330" s="39" t="str">
        <f>IF(OR(B330="",A330=""),"",MAX(0,MIN(3,SUMIFS($C$2:$C$1000,$B$2:$B$1000,B330,$A$2:$A$1000,"&lt;="&amp;A330,$A$2:$A$1000,"&gt;="&amp;IF(Config!$B$1004="Y",A330-Config!$B$1005,DATE(1900,1,1)),$I$2:$I$1000,1)))))</f>
        <v>#ERROR!</v>
      </c>
      <c r="H330" s="39"/>
      <c r="I330" s="39">
        <f t="shared" si="1"/>
        <v>1</v>
      </c>
      <c r="J330" s="39" t="str">
        <f t="shared" si="2"/>
        <v/>
      </c>
      <c r="K330" s="39" t="str">
        <f t="array" ref="K330">IF(J330="","",IF(XLOOKUP(J330,Strike_Review_Queue!$I:$I,Strike_Review_Queue!$J:$J,"")="Approve","Approved",IF(XLOOKUP(J330,Strike_Review_Queue!$I:$I,Strike_Review_Queue!$J:$J,"")="Deny","Counts",H330)))</f>
        <v/>
      </c>
      <c r="L330" s="39" t="str">
        <f t="array" ref="L330">IF(J330="","",XLOOKUP(J330,Strike_Review_Queue!$I:$I,Strike_Review_Queue!$L:$L,""))</f>
        <v/>
      </c>
      <c r="M330" s="39" t="str">
        <f t="array" ref="M330">IF(J330="","",XLOOKUP(J330,Strike_Review_Queue!$I:$I,Strike_Review_Queue!$M:$M,""))</f>
        <v/>
      </c>
    </row>
    <row r="331" ht="15.75" customHeight="1">
      <c r="C331" s="39"/>
      <c r="D331" s="39" t="str">
        <f>IF(OR(B331="",A331=""),"",MAX(0,MIN(3,SUMIFS($C$2:$C$1000,$B$2:$B$1000,B331,$A$2:$A$1000,"&lt;="&amp;A331,$A$2:$A$1000,"&gt;="&amp;IF(Config!$B$1004="Y",A331-Config!$B$1005,DATE(1900,1,1)),$I$2:$I$1000,1)))))</f>
        <v>#ERROR!</v>
      </c>
      <c r="H331" s="39"/>
      <c r="I331" s="39">
        <f t="shared" si="1"/>
        <v>1</v>
      </c>
      <c r="J331" s="39" t="str">
        <f t="shared" si="2"/>
        <v/>
      </c>
      <c r="K331" s="39" t="str">
        <f t="array" ref="K331">IF(J331="","",IF(XLOOKUP(J331,Strike_Review_Queue!$I:$I,Strike_Review_Queue!$J:$J,"")="Approve","Approved",IF(XLOOKUP(J331,Strike_Review_Queue!$I:$I,Strike_Review_Queue!$J:$J,"")="Deny","Counts",H331)))</f>
        <v/>
      </c>
      <c r="L331" s="39" t="str">
        <f t="array" ref="L331">IF(J331="","",XLOOKUP(J331,Strike_Review_Queue!$I:$I,Strike_Review_Queue!$L:$L,""))</f>
        <v/>
      </c>
      <c r="M331" s="39" t="str">
        <f t="array" ref="M331">IF(J331="","",XLOOKUP(J331,Strike_Review_Queue!$I:$I,Strike_Review_Queue!$M:$M,""))</f>
        <v/>
      </c>
    </row>
    <row r="332" ht="15.75" customHeight="1">
      <c r="C332" s="39"/>
      <c r="D332" s="39" t="str">
        <f>IF(OR(B332="",A332=""),"",MAX(0,MIN(3,SUMIFS($C$2:$C$1000,$B$2:$B$1000,B332,$A$2:$A$1000,"&lt;="&amp;A332,$A$2:$A$1000,"&gt;="&amp;IF(Config!$B$1004="Y",A332-Config!$B$1005,DATE(1900,1,1)),$I$2:$I$1000,1)))))</f>
        <v>#ERROR!</v>
      </c>
      <c r="H332" s="39"/>
      <c r="I332" s="39">
        <f t="shared" si="1"/>
        <v>1</v>
      </c>
      <c r="J332" s="39" t="str">
        <f t="shared" si="2"/>
        <v/>
      </c>
      <c r="K332" s="39" t="str">
        <f t="array" ref="K332">IF(J332="","",IF(XLOOKUP(J332,Strike_Review_Queue!$I:$I,Strike_Review_Queue!$J:$J,"")="Approve","Approved",IF(XLOOKUP(J332,Strike_Review_Queue!$I:$I,Strike_Review_Queue!$J:$J,"")="Deny","Counts",H332)))</f>
        <v/>
      </c>
      <c r="L332" s="39" t="str">
        <f t="array" ref="L332">IF(J332="","",XLOOKUP(J332,Strike_Review_Queue!$I:$I,Strike_Review_Queue!$L:$L,""))</f>
        <v/>
      </c>
      <c r="M332" s="39" t="str">
        <f t="array" ref="M332">IF(J332="","",XLOOKUP(J332,Strike_Review_Queue!$I:$I,Strike_Review_Queue!$M:$M,""))</f>
        <v/>
      </c>
    </row>
    <row r="333" ht="15.75" customHeight="1">
      <c r="C333" s="39"/>
      <c r="D333" s="39" t="str">
        <f>IF(OR(B333="",A333=""),"",MAX(0,MIN(3,SUMIFS($C$2:$C$1000,$B$2:$B$1000,B333,$A$2:$A$1000,"&lt;="&amp;A333,$A$2:$A$1000,"&gt;="&amp;IF(Config!$B$1004="Y",A333-Config!$B$1005,DATE(1900,1,1)),$I$2:$I$1000,1)))))</f>
        <v>#ERROR!</v>
      </c>
      <c r="H333" s="39"/>
      <c r="I333" s="39">
        <f t="shared" si="1"/>
        <v>1</v>
      </c>
      <c r="J333" s="39" t="str">
        <f t="shared" si="2"/>
        <v/>
      </c>
      <c r="K333" s="39" t="str">
        <f t="array" ref="K333">IF(J333="","",IF(XLOOKUP(J333,Strike_Review_Queue!$I:$I,Strike_Review_Queue!$J:$J,"")="Approve","Approved",IF(XLOOKUP(J333,Strike_Review_Queue!$I:$I,Strike_Review_Queue!$J:$J,"")="Deny","Counts",H333)))</f>
        <v/>
      </c>
      <c r="L333" s="39" t="str">
        <f t="array" ref="L333">IF(J333="","",XLOOKUP(J333,Strike_Review_Queue!$I:$I,Strike_Review_Queue!$L:$L,""))</f>
        <v/>
      </c>
      <c r="M333" s="39" t="str">
        <f t="array" ref="M333">IF(J333="","",XLOOKUP(J333,Strike_Review_Queue!$I:$I,Strike_Review_Queue!$M:$M,""))</f>
        <v/>
      </c>
    </row>
    <row r="334" ht="15.75" customHeight="1">
      <c r="C334" s="39"/>
      <c r="D334" s="39" t="str">
        <f>IF(OR(B334="",A334=""),"",MAX(0,MIN(3,SUMIFS($C$2:$C$1000,$B$2:$B$1000,B334,$A$2:$A$1000,"&lt;="&amp;A334,$A$2:$A$1000,"&gt;="&amp;IF(Config!$B$1004="Y",A334-Config!$B$1005,DATE(1900,1,1)),$I$2:$I$1000,1)))))</f>
        <v>#ERROR!</v>
      </c>
      <c r="H334" s="39"/>
      <c r="I334" s="39">
        <f t="shared" si="1"/>
        <v>1</v>
      </c>
      <c r="J334" s="39" t="str">
        <f t="shared" si="2"/>
        <v/>
      </c>
      <c r="K334" s="39" t="str">
        <f t="array" ref="K334">IF(J334="","",IF(XLOOKUP(J334,Strike_Review_Queue!$I:$I,Strike_Review_Queue!$J:$J,"")="Approve","Approved",IF(XLOOKUP(J334,Strike_Review_Queue!$I:$I,Strike_Review_Queue!$J:$J,"")="Deny","Counts",H334)))</f>
        <v/>
      </c>
      <c r="L334" s="39" t="str">
        <f t="array" ref="L334">IF(J334="","",XLOOKUP(J334,Strike_Review_Queue!$I:$I,Strike_Review_Queue!$L:$L,""))</f>
        <v/>
      </c>
      <c r="M334" s="39" t="str">
        <f t="array" ref="M334">IF(J334="","",XLOOKUP(J334,Strike_Review_Queue!$I:$I,Strike_Review_Queue!$M:$M,""))</f>
        <v/>
      </c>
    </row>
    <row r="335" ht="15.75" customHeight="1">
      <c r="C335" s="39"/>
      <c r="D335" s="39" t="str">
        <f>IF(OR(B335="",A335=""),"",MAX(0,MIN(3,SUMIFS($C$2:$C$1000,$B$2:$B$1000,B335,$A$2:$A$1000,"&lt;="&amp;A335,$A$2:$A$1000,"&gt;="&amp;IF(Config!$B$1004="Y",A335-Config!$B$1005,DATE(1900,1,1)),$I$2:$I$1000,1)))))</f>
        <v>#ERROR!</v>
      </c>
      <c r="H335" s="39"/>
      <c r="I335" s="39">
        <f t="shared" si="1"/>
        <v>1</v>
      </c>
      <c r="J335" s="39" t="str">
        <f t="shared" si="2"/>
        <v/>
      </c>
      <c r="K335" s="39" t="str">
        <f t="array" ref="K335">IF(J335="","",IF(XLOOKUP(J335,Strike_Review_Queue!$I:$I,Strike_Review_Queue!$J:$J,"")="Approve","Approved",IF(XLOOKUP(J335,Strike_Review_Queue!$I:$I,Strike_Review_Queue!$J:$J,"")="Deny","Counts",H335)))</f>
        <v/>
      </c>
      <c r="L335" s="39" t="str">
        <f t="array" ref="L335">IF(J335="","",XLOOKUP(J335,Strike_Review_Queue!$I:$I,Strike_Review_Queue!$L:$L,""))</f>
        <v/>
      </c>
      <c r="M335" s="39" t="str">
        <f t="array" ref="M335">IF(J335="","",XLOOKUP(J335,Strike_Review_Queue!$I:$I,Strike_Review_Queue!$M:$M,""))</f>
        <v/>
      </c>
    </row>
    <row r="336" ht="15.75" customHeight="1">
      <c r="C336" s="39"/>
      <c r="D336" s="39" t="str">
        <f>IF(OR(B336="",A336=""),"",MAX(0,MIN(3,SUMIFS($C$2:$C$1000,$B$2:$B$1000,B336,$A$2:$A$1000,"&lt;="&amp;A336,$A$2:$A$1000,"&gt;="&amp;IF(Config!$B$1004="Y",A336-Config!$B$1005,DATE(1900,1,1)),$I$2:$I$1000,1)))))</f>
        <v>#ERROR!</v>
      </c>
      <c r="H336" s="39"/>
      <c r="I336" s="39">
        <f t="shared" si="1"/>
        <v>1</v>
      </c>
      <c r="J336" s="39" t="str">
        <f t="shared" si="2"/>
        <v/>
      </c>
      <c r="K336" s="39" t="str">
        <f t="array" ref="K336">IF(J336="","",IF(XLOOKUP(J336,Strike_Review_Queue!$I:$I,Strike_Review_Queue!$J:$J,"")="Approve","Approved",IF(XLOOKUP(J336,Strike_Review_Queue!$I:$I,Strike_Review_Queue!$J:$J,"")="Deny","Counts",H336)))</f>
        <v/>
      </c>
      <c r="L336" s="39" t="str">
        <f t="array" ref="L336">IF(J336="","",XLOOKUP(J336,Strike_Review_Queue!$I:$I,Strike_Review_Queue!$L:$L,""))</f>
        <v/>
      </c>
      <c r="M336" s="39" t="str">
        <f t="array" ref="M336">IF(J336="","",XLOOKUP(J336,Strike_Review_Queue!$I:$I,Strike_Review_Queue!$M:$M,""))</f>
        <v/>
      </c>
    </row>
    <row r="337" ht="15.75" customHeight="1">
      <c r="C337" s="39"/>
      <c r="D337" s="39" t="str">
        <f>IF(OR(B337="",A337=""),"",MAX(0,MIN(3,SUMIFS($C$2:$C$1000,$B$2:$B$1000,B337,$A$2:$A$1000,"&lt;="&amp;A337,$A$2:$A$1000,"&gt;="&amp;IF(Config!$B$1004="Y",A337-Config!$B$1005,DATE(1900,1,1)),$I$2:$I$1000,1)))))</f>
        <v>#ERROR!</v>
      </c>
      <c r="H337" s="39"/>
      <c r="I337" s="39">
        <f t="shared" si="1"/>
        <v>1</v>
      </c>
      <c r="J337" s="39" t="str">
        <f t="shared" si="2"/>
        <v/>
      </c>
      <c r="K337" s="39" t="str">
        <f t="array" ref="K337">IF(J337="","",IF(XLOOKUP(J337,Strike_Review_Queue!$I:$I,Strike_Review_Queue!$J:$J,"")="Approve","Approved",IF(XLOOKUP(J337,Strike_Review_Queue!$I:$I,Strike_Review_Queue!$J:$J,"")="Deny","Counts",H337)))</f>
        <v/>
      </c>
      <c r="L337" s="39" t="str">
        <f t="array" ref="L337">IF(J337="","",XLOOKUP(J337,Strike_Review_Queue!$I:$I,Strike_Review_Queue!$L:$L,""))</f>
        <v/>
      </c>
      <c r="M337" s="39" t="str">
        <f t="array" ref="M337">IF(J337="","",XLOOKUP(J337,Strike_Review_Queue!$I:$I,Strike_Review_Queue!$M:$M,""))</f>
        <v/>
      </c>
    </row>
    <row r="338" ht="15.75" customHeight="1">
      <c r="C338" s="39"/>
      <c r="D338" s="39" t="str">
        <f>IF(OR(B338="",A338=""),"",MAX(0,MIN(3,SUMIFS($C$2:$C$1000,$B$2:$B$1000,B338,$A$2:$A$1000,"&lt;="&amp;A338,$A$2:$A$1000,"&gt;="&amp;IF(Config!$B$1004="Y",A338-Config!$B$1005,DATE(1900,1,1)),$I$2:$I$1000,1)))))</f>
        <v>#ERROR!</v>
      </c>
      <c r="H338" s="39"/>
      <c r="I338" s="39">
        <f t="shared" si="1"/>
        <v>1</v>
      </c>
      <c r="J338" s="39" t="str">
        <f t="shared" si="2"/>
        <v/>
      </c>
      <c r="K338" s="39" t="str">
        <f t="array" ref="K338">IF(J338="","",IF(XLOOKUP(J338,Strike_Review_Queue!$I:$I,Strike_Review_Queue!$J:$J,"")="Approve","Approved",IF(XLOOKUP(J338,Strike_Review_Queue!$I:$I,Strike_Review_Queue!$J:$J,"")="Deny","Counts",H338)))</f>
        <v/>
      </c>
      <c r="L338" s="39" t="str">
        <f t="array" ref="L338">IF(J338="","",XLOOKUP(J338,Strike_Review_Queue!$I:$I,Strike_Review_Queue!$L:$L,""))</f>
        <v/>
      </c>
      <c r="M338" s="39" t="str">
        <f t="array" ref="M338">IF(J338="","",XLOOKUP(J338,Strike_Review_Queue!$I:$I,Strike_Review_Queue!$M:$M,""))</f>
        <v/>
      </c>
    </row>
    <row r="339" ht="15.75" customHeight="1">
      <c r="C339" s="39"/>
      <c r="D339" s="39" t="str">
        <f>IF(OR(B339="",A339=""),"",MAX(0,MIN(3,SUMIFS($C$2:$C$1000,$B$2:$B$1000,B339,$A$2:$A$1000,"&lt;="&amp;A339,$A$2:$A$1000,"&gt;="&amp;IF(Config!$B$1004="Y",A339-Config!$B$1005,DATE(1900,1,1)),$I$2:$I$1000,1)))))</f>
        <v>#ERROR!</v>
      </c>
      <c r="H339" s="39"/>
      <c r="I339" s="39">
        <f t="shared" si="1"/>
        <v>1</v>
      </c>
      <c r="J339" s="39" t="str">
        <f t="shared" si="2"/>
        <v/>
      </c>
      <c r="K339" s="39" t="str">
        <f t="array" ref="K339">IF(J339="","",IF(XLOOKUP(J339,Strike_Review_Queue!$I:$I,Strike_Review_Queue!$J:$J,"")="Approve","Approved",IF(XLOOKUP(J339,Strike_Review_Queue!$I:$I,Strike_Review_Queue!$J:$J,"")="Deny","Counts",H339)))</f>
        <v/>
      </c>
      <c r="L339" s="39" t="str">
        <f t="array" ref="L339">IF(J339="","",XLOOKUP(J339,Strike_Review_Queue!$I:$I,Strike_Review_Queue!$L:$L,""))</f>
        <v/>
      </c>
      <c r="M339" s="39" t="str">
        <f t="array" ref="M339">IF(J339="","",XLOOKUP(J339,Strike_Review_Queue!$I:$I,Strike_Review_Queue!$M:$M,""))</f>
        <v/>
      </c>
    </row>
    <row r="340" ht="15.75" customHeight="1">
      <c r="C340" s="39"/>
      <c r="D340" s="39" t="str">
        <f>IF(OR(B340="",A340=""),"",MAX(0,MIN(3,SUMIFS($C$2:$C$1000,$B$2:$B$1000,B340,$A$2:$A$1000,"&lt;="&amp;A340,$A$2:$A$1000,"&gt;="&amp;IF(Config!$B$1004="Y",A340-Config!$B$1005,DATE(1900,1,1)),$I$2:$I$1000,1)))))</f>
        <v>#ERROR!</v>
      </c>
      <c r="H340" s="39"/>
      <c r="I340" s="39">
        <f t="shared" si="1"/>
        <v>1</v>
      </c>
      <c r="J340" s="39" t="str">
        <f t="shared" si="2"/>
        <v/>
      </c>
      <c r="K340" s="39" t="str">
        <f t="array" ref="K340">IF(J340="","",IF(XLOOKUP(J340,Strike_Review_Queue!$I:$I,Strike_Review_Queue!$J:$J,"")="Approve","Approved",IF(XLOOKUP(J340,Strike_Review_Queue!$I:$I,Strike_Review_Queue!$J:$J,"")="Deny","Counts",H340)))</f>
        <v/>
      </c>
      <c r="L340" s="39" t="str">
        <f t="array" ref="L340">IF(J340="","",XLOOKUP(J340,Strike_Review_Queue!$I:$I,Strike_Review_Queue!$L:$L,""))</f>
        <v/>
      </c>
      <c r="M340" s="39" t="str">
        <f t="array" ref="M340">IF(J340="","",XLOOKUP(J340,Strike_Review_Queue!$I:$I,Strike_Review_Queue!$M:$M,""))</f>
        <v/>
      </c>
    </row>
    <row r="341" ht="15.75" customHeight="1">
      <c r="C341" s="39"/>
      <c r="D341" s="39" t="str">
        <f>IF(OR(B341="",A341=""),"",MAX(0,MIN(3,SUMIFS($C$2:$C$1000,$B$2:$B$1000,B341,$A$2:$A$1000,"&lt;="&amp;A341,$A$2:$A$1000,"&gt;="&amp;IF(Config!$B$1004="Y",A341-Config!$B$1005,DATE(1900,1,1)),$I$2:$I$1000,1)))))</f>
        <v>#ERROR!</v>
      </c>
      <c r="H341" s="39"/>
      <c r="I341" s="39">
        <f t="shared" si="1"/>
        <v>1</v>
      </c>
      <c r="J341" s="39" t="str">
        <f t="shared" si="2"/>
        <v/>
      </c>
      <c r="K341" s="39" t="str">
        <f t="array" ref="K341">IF(J341="","",IF(XLOOKUP(J341,Strike_Review_Queue!$I:$I,Strike_Review_Queue!$J:$J,"")="Approve","Approved",IF(XLOOKUP(J341,Strike_Review_Queue!$I:$I,Strike_Review_Queue!$J:$J,"")="Deny","Counts",H341)))</f>
        <v/>
      </c>
      <c r="L341" s="39" t="str">
        <f t="array" ref="L341">IF(J341="","",XLOOKUP(J341,Strike_Review_Queue!$I:$I,Strike_Review_Queue!$L:$L,""))</f>
        <v/>
      </c>
      <c r="M341" s="39" t="str">
        <f t="array" ref="M341">IF(J341="","",XLOOKUP(J341,Strike_Review_Queue!$I:$I,Strike_Review_Queue!$M:$M,""))</f>
        <v/>
      </c>
    </row>
    <row r="342" ht="15.75" customHeight="1">
      <c r="C342" s="39"/>
      <c r="D342" s="39" t="str">
        <f>IF(OR(B342="",A342=""),"",MAX(0,MIN(3,SUMIFS($C$2:$C$1000,$B$2:$B$1000,B342,$A$2:$A$1000,"&lt;="&amp;A342,$A$2:$A$1000,"&gt;="&amp;IF(Config!$B$1004="Y",A342-Config!$B$1005,DATE(1900,1,1)),$I$2:$I$1000,1)))))</f>
        <v>#ERROR!</v>
      </c>
      <c r="H342" s="39"/>
      <c r="I342" s="39">
        <f t="shared" si="1"/>
        <v>1</v>
      </c>
      <c r="J342" s="39" t="str">
        <f t="shared" si="2"/>
        <v/>
      </c>
      <c r="K342" s="39" t="str">
        <f t="array" ref="K342">IF(J342="","",IF(XLOOKUP(J342,Strike_Review_Queue!$I:$I,Strike_Review_Queue!$J:$J,"")="Approve","Approved",IF(XLOOKUP(J342,Strike_Review_Queue!$I:$I,Strike_Review_Queue!$J:$J,"")="Deny","Counts",H342)))</f>
        <v/>
      </c>
      <c r="L342" s="39" t="str">
        <f t="array" ref="L342">IF(J342="","",XLOOKUP(J342,Strike_Review_Queue!$I:$I,Strike_Review_Queue!$L:$L,""))</f>
        <v/>
      </c>
      <c r="M342" s="39" t="str">
        <f t="array" ref="M342">IF(J342="","",XLOOKUP(J342,Strike_Review_Queue!$I:$I,Strike_Review_Queue!$M:$M,""))</f>
        <v/>
      </c>
    </row>
    <row r="343" ht="15.75" customHeight="1">
      <c r="C343" s="39"/>
      <c r="D343" s="39" t="str">
        <f>IF(OR(B343="",A343=""),"",MAX(0,MIN(3,SUMIFS($C$2:$C$1000,$B$2:$B$1000,B343,$A$2:$A$1000,"&lt;="&amp;A343,$A$2:$A$1000,"&gt;="&amp;IF(Config!$B$1004="Y",A343-Config!$B$1005,DATE(1900,1,1)),$I$2:$I$1000,1)))))</f>
        <v>#ERROR!</v>
      </c>
      <c r="H343" s="39"/>
      <c r="I343" s="39">
        <f t="shared" si="1"/>
        <v>1</v>
      </c>
      <c r="J343" s="39" t="str">
        <f t="shared" si="2"/>
        <v/>
      </c>
      <c r="K343" s="39" t="str">
        <f t="array" ref="K343">IF(J343="","",IF(XLOOKUP(J343,Strike_Review_Queue!$I:$I,Strike_Review_Queue!$J:$J,"")="Approve","Approved",IF(XLOOKUP(J343,Strike_Review_Queue!$I:$I,Strike_Review_Queue!$J:$J,"")="Deny","Counts",H343)))</f>
        <v/>
      </c>
      <c r="L343" s="39" t="str">
        <f t="array" ref="L343">IF(J343="","",XLOOKUP(J343,Strike_Review_Queue!$I:$I,Strike_Review_Queue!$L:$L,""))</f>
        <v/>
      </c>
      <c r="M343" s="39" t="str">
        <f t="array" ref="M343">IF(J343="","",XLOOKUP(J343,Strike_Review_Queue!$I:$I,Strike_Review_Queue!$M:$M,""))</f>
        <v/>
      </c>
    </row>
    <row r="344" ht="15.75" customHeight="1">
      <c r="C344" s="39"/>
      <c r="D344" s="39" t="str">
        <f>IF(OR(B344="",A344=""),"",MAX(0,MIN(3,SUMIFS($C$2:$C$1000,$B$2:$B$1000,B344,$A$2:$A$1000,"&lt;="&amp;A344,$A$2:$A$1000,"&gt;="&amp;IF(Config!$B$1004="Y",A344-Config!$B$1005,DATE(1900,1,1)),$I$2:$I$1000,1)))))</f>
        <v>#ERROR!</v>
      </c>
      <c r="H344" s="39"/>
      <c r="I344" s="39">
        <f t="shared" si="1"/>
        <v>1</v>
      </c>
      <c r="J344" s="39" t="str">
        <f t="shared" si="2"/>
        <v/>
      </c>
      <c r="K344" s="39" t="str">
        <f t="array" ref="K344">IF(J344="","",IF(XLOOKUP(J344,Strike_Review_Queue!$I:$I,Strike_Review_Queue!$J:$J,"")="Approve","Approved",IF(XLOOKUP(J344,Strike_Review_Queue!$I:$I,Strike_Review_Queue!$J:$J,"")="Deny","Counts",H344)))</f>
        <v/>
      </c>
      <c r="L344" s="39" t="str">
        <f t="array" ref="L344">IF(J344="","",XLOOKUP(J344,Strike_Review_Queue!$I:$I,Strike_Review_Queue!$L:$L,""))</f>
        <v/>
      </c>
      <c r="M344" s="39" t="str">
        <f t="array" ref="M344">IF(J344="","",XLOOKUP(J344,Strike_Review_Queue!$I:$I,Strike_Review_Queue!$M:$M,""))</f>
        <v/>
      </c>
    </row>
    <row r="345" ht="15.75" customHeight="1">
      <c r="C345" s="39"/>
      <c r="D345" s="39" t="str">
        <f>IF(OR(B345="",A345=""),"",MAX(0,MIN(3,SUMIFS($C$2:$C$1000,$B$2:$B$1000,B345,$A$2:$A$1000,"&lt;="&amp;A345,$A$2:$A$1000,"&gt;="&amp;IF(Config!$B$1004="Y",A345-Config!$B$1005,DATE(1900,1,1)),$I$2:$I$1000,1)))))</f>
        <v>#ERROR!</v>
      </c>
      <c r="H345" s="39"/>
      <c r="I345" s="39">
        <f t="shared" si="1"/>
        <v>1</v>
      </c>
      <c r="J345" s="39" t="str">
        <f t="shared" si="2"/>
        <v/>
      </c>
      <c r="K345" s="39" t="str">
        <f t="array" ref="K345">IF(J345="","",IF(XLOOKUP(J345,Strike_Review_Queue!$I:$I,Strike_Review_Queue!$J:$J,"")="Approve","Approved",IF(XLOOKUP(J345,Strike_Review_Queue!$I:$I,Strike_Review_Queue!$J:$J,"")="Deny","Counts",H345)))</f>
        <v/>
      </c>
      <c r="L345" s="39" t="str">
        <f t="array" ref="L345">IF(J345="","",XLOOKUP(J345,Strike_Review_Queue!$I:$I,Strike_Review_Queue!$L:$L,""))</f>
        <v/>
      </c>
      <c r="M345" s="39" t="str">
        <f t="array" ref="M345">IF(J345="","",XLOOKUP(J345,Strike_Review_Queue!$I:$I,Strike_Review_Queue!$M:$M,""))</f>
        <v/>
      </c>
    </row>
    <row r="346" ht="15.75" customHeight="1">
      <c r="C346" s="39"/>
      <c r="D346" s="39" t="str">
        <f>IF(OR(B346="",A346=""),"",MAX(0,MIN(3,SUMIFS($C$2:$C$1000,$B$2:$B$1000,B346,$A$2:$A$1000,"&lt;="&amp;A346,$A$2:$A$1000,"&gt;="&amp;IF(Config!$B$1004="Y",A346-Config!$B$1005,DATE(1900,1,1)),$I$2:$I$1000,1)))))</f>
        <v>#ERROR!</v>
      </c>
      <c r="H346" s="39"/>
      <c r="I346" s="39">
        <f t="shared" si="1"/>
        <v>1</v>
      </c>
      <c r="J346" s="39" t="str">
        <f t="shared" si="2"/>
        <v/>
      </c>
      <c r="K346" s="39" t="str">
        <f t="array" ref="K346">IF(J346="","",IF(XLOOKUP(J346,Strike_Review_Queue!$I:$I,Strike_Review_Queue!$J:$J,"")="Approve","Approved",IF(XLOOKUP(J346,Strike_Review_Queue!$I:$I,Strike_Review_Queue!$J:$J,"")="Deny","Counts",H346)))</f>
        <v/>
      </c>
      <c r="L346" s="39" t="str">
        <f t="array" ref="L346">IF(J346="","",XLOOKUP(J346,Strike_Review_Queue!$I:$I,Strike_Review_Queue!$L:$L,""))</f>
        <v/>
      </c>
      <c r="M346" s="39" t="str">
        <f t="array" ref="M346">IF(J346="","",XLOOKUP(J346,Strike_Review_Queue!$I:$I,Strike_Review_Queue!$M:$M,""))</f>
        <v/>
      </c>
    </row>
    <row r="347" ht="15.75" customHeight="1">
      <c r="C347" s="39"/>
      <c r="D347" s="39" t="str">
        <f>IF(OR(B347="",A347=""),"",MAX(0,MIN(3,SUMIFS($C$2:$C$1000,$B$2:$B$1000,B347,$A$2:$A$1000,"&lt;="&amp;A347,$A$2:$A$1000,"&gt;="&amp;IF(Config!$B$1004="Y",A347-Config!$B$1005,DATE(1900,1,1)),$I$2:$I$1000,1)))))</f>
        <v>#ERROR!</v>
      </c>
      <c r="H347" s="39"/>
      <c r="I347" s="39">
        <f t="shared" si="1"/>
        <v>1</v>
      </c>
      <c r="J347" s="39" t="str">
        <f t="shared" si="2"/>
        <v/>
      </c>
      <c r="K347" s="39" t="str">
        <f t="array" ref="K347">IF(J347="","",IF(XLOOKUP(J347,Strike_Review_Queue!$I:$I,Strike_Review_Queue!$J:$J,"")="Approve","Approved",IF(XLOOKUP(J347,Strike_Review_Queue!$I:$I,Strike_Review_Queue!$J:$J,"")="Deny","Counts",H347)))</f>
        <v/>
      </c>
      <c r="L347" s="39" t="str">
        <f t="array" ref="L347">IF(J347="","",XLOOKUP(J347,Strike_Review_Queue!$I:$I,Strike_Review_Queue!$L:$L,""))</f>
        <v/>
      </c>
      <c r="M347" s="39" t="str">
        <f t="array" ref="M347">IF(J347="","",XLOOKUP(J347,Strike_Review_Queue!$I:$I,Strike_Review_Queue!$M:$M,""))</f>
        <v/>
      </c>
    </row>
    <row r="348" ht="15.75" customHeight="1">
      <c r="C348" s="39"/>
      <c r="D348" s="39" t="str">
        <f>IF(OR(B348="",A348=""),"",MAX(0,MIN(3,SUMIFS($C$2:$C$1000,$B$2:$B$1000,B348,$A$2:$A$1000,"&lt;="&amp;A348,$A$2:$A$1000,"&gt;="&amp;IF(Config!$B$1004="Y",A348-Config!$B$1005,DATE(1900,1,1)),$I$2:$I$1000,1)))))</f>
        <v>#ERROR!</v>
      </c>
      <c r="H348" s="39"/>
      <c r="I348" s="39">
        <f t="shared" si="1"/>
        <v>1</v>
      </c>
      <c r="J348" s="39" t="str">
        <f t="shared" si="2"/>
        <v/>
      </c>
      <c r="K348" s="39" t="str">
        <f t="array" ref="K348">IF(J348="","",IF(XLOOKUP(J348,Strike_Review_Queue!$I:$I,Strike_Review_Queue!$J:$J,"")="Approve","Approved",IF(XLOOKUP(J348,Strike_Review_Queue!$I:$I,Strike_Review_Queue!$J:$J,"")="Deny","Counts",H348)))</f>
        <v/>
      </c>
      <c r="L348" s="39" t="str">
        <f t="array" ref="L348">IF(J348="","",XLOOKUP(J348,Strike_Review_Queue!$I:$I,Strike_Review_Queue!$L:$L,""))</f>
        <v/>
      </c>
      <c r="M348" s="39" t="str">
        <f t="array" ref="M348">IF(J348="","",XLOOKUP(J348,Strike_Review_Queue!$I:$I,Strike_Review_Queue!$M:$M,""))</f>
        <v/>
      </c>
    </row>
    <row r="349" ht="15.75" customHeight="1">
      <c r="C349" s="39"/>
      <c r="D349" s="39" t="str">
        <f>IF(OR(B349="",A349=""),"",MAX(0,MIN(3,SUMIFS($C$2:$C$1000,$B$2:$B$1000,B349,$A$2:$A$1000,"&lt;="&amp;A349,$A$2:$A$1000,"&gt;="&amp;IF(Config!$B$1004="Y",A349-Config!$B$1005,DATE(1900,1,1)),$I$2:$I$1000,1)))))</f>
        <v>#ERROR!</v>
      </c>
      <c r="H349" s="39"/>
      <c r="I349" s="39">
        <f t="shared" si="1"/>
        <v>1</v>
      </c>
      <c r="J349" s="39" t="str">
        <f t="shared" si="2"/>
        <v/>
      </c>
      <c r="K349" s="39" t="str">
        <f t="array" ref="K349">IF(J349="","",IF(XLOOKUP(J349,Strike_Review_Queue!$I:$I,Strike_Review_Queue!$J:$J,"")="Approve","Approved",IF(XLOOKUP(J349,Strike_Review_Queue!$I:$I,Strike_Review_Queue!$J:$J,"")="Deny","Counts",H349)))</f>
        <v/>
      </c>
      <c r="L349" s="39" t="str">
        <f t="array" ref="L349">IF(J349="","",XLOOKUP(J349,Strike_Review_Queue!$I:$I,Strike_Review_Queue!$L:$L,""))</f>
        <v/>
      </c>
      <c r="M349" s="39" t="str">
        <f t="array" ref="M349">IF(J349="","",XLOOKUP(J349,Strike_Review_Queue!$I:$I,Strike_Review_Queue!$M:$M,""))</f>
        <v/>
      </c>
    </row>
    <row r="350" ht="15.75" customHeight="1">
      <c r="C350" s="39"/>
      <c r="D350" s="39" t="str">
        <f>IF(OR(B350="",A350=""),"",MAX(0,MIN(3,SUMIFS($C$2:$C$1000,$B$2:$B$1000,B350,$A$2:$A$1000,"&lt;="&amp;A350,$A$2:$A$1000,"&gt;="&amp;IF(Config!$B$1004="Y",A350-Config!$B$1005,DATE(1900,1,1)),$I$2:$I$1000,1)))))</f>
        <v>#ERROR!</v>
      </c>
      <c r="H350" s="39"/>
      <c r="I350" s="39">
        <f t="shared" si="1"/>
        <v>1</v>
      </c>
      <c r="J350" s="39" t="str">
        <f t="shared" si="2"/>
        <v/>
      </c>
      <c r="K350" s="39" t="str">
        <f t="array" ref="K350">IF(J350="","",IF(XLOOKUP(J350,Strike_Review_Queue!$I:$I,Strike_Review_Queue!$J:$J,"")="Approve","Approved",IF(XLOOKUP(J350,Strike_Review_Queue!$I:$I,Strike_Review_Queue!$J:$J,"")="Deny","Counts",H350)))</f>
        <v/>
      </c>
      <c r="L350" s="39" t="str">
        <f t="array" ref="L350">IF(J350="","",XLOOKUP(J350,Strike_Review_Queue!$I:$I,Strike_Review_Queue!$L:$L,""))</f>
        <v/>
      </c>
      <c r="M350" s="39" t="str">
        <f t="array" ref="M350">IF(J350="","",XLOOKUP(J350,Strike_Review_Queue!$I:$I,Strike_Review_Queue!$M:$M,""))</f>
        <v/>
      </c>
    </row>
    <row r="351" ht="15.75" customHeight="1">
      <c r="C351" s="39"/>
      <c r="D351" s="39" t="str">
        <f>IF(OR(B351="",A351=""),"",MAX(0,MIN(3,SUMIFS($C$2:$C$1000,$B$2:$B$1000,B351,$A$2:$A$1000,"&lt;="&amp;A351,$A$2:$A$1000,"&gt;="&amp;IF(Config!$B$1004="Y",A351-Config!$B$1005,DATE(1900,1,1)),$I$2:$I$1000,1)))))</f>
        <v>#ERROR!</v>
      </c>
      <c r="H351" s="39"/>
      <c r="I351" s="39">
        <f t="shared" si="1"/>
        <v>1</v>
      </c>
      <c r="J351" s="39" t="str">
        <f t="shared" si="2"/>
        <v/>
      </c>
      <c r="K351" s="39" t="str">
        <f t="array" ref="K351">IF(J351="","",IF(XLOOKUP(J351,Strike_Review_Queue!$I:$I,Strike_Review_Queue!$J:$J,"")="Approve","Approved",IF(XLOOKUP(J351,Strike_Review_Queue!$I:$I,Strike_Review_Queue!$J:$J,"")="Deny","Counts",H351)))</f>
        <v/>
      </c>
      <c r="L351" s="39" t="str">
        <f t="array" ref="L351">IF(J351="","",XLOOKUP(J351,Strike_Review_Queue!$I:$I,Strike_Review_Queue!$L:$L,""))</f>
        <v/>
      </c>
      <c r="M351" s="39" t="str">
        <f t="array" ref="M351">IF(J351="","",XLOOKUP(J351,Strike_Review_Queue!$I:$I,Strike_Review_Queue!$M:$M,""))</f>
        <v/>
      </c>
    </row>
    <row r="352" ht="15.75" customHeight="1">
      <c r="C352" s="39"/>
      <c r="D352" s="39" t="str">
        <f>IF(OR(B352="",A352=""),"",MAX(0,MIN(3,SUMIFS($C$2:$C$1000,$B$2:$B$1000,B352,$A$2:$A$1000,"&lt;="&amp;A352,$A$2:$A$1000,"&gt;="&amp;IF(Config!$B$1004="Y",A352-Config!$B$1005,DATE(1900,1,1)),$I$2:$I$1000,1)))))</f>
        <v>#ERROR!</v>
      </c>
      <c r="H352" s="39"/>
      <c r="I352" s="39">
        <f t="shared" si="1"/>
        <v>1</v>
      </c>
      <c r="J352" s="39" t="str">
        <f t="shared" si="2"/>
        <v/>
      </c>
      <c r="K352" s="39" t="str">
        <f t="array" ref="K352">IF(J352="","",IF(XLOOKUP(J352,Strike_Review_Queue!$I:$I,Strike_Review_Queue!$J:$J,"")="Approve","Approved",IF(XLOOKUP(J352,Strike_Review_Queue!$I:$I,Strike_Review_Queue!$J:$J,"")="Deny","Counts",H352)))</f>
        <v/>
      </c>
      <c r="L352" s="39" t="str">
        <f t="array" ref="L352">IF(J352="","",XLOOKUP(J352,Strike_Review_Queue!$I:$I,Strike_Review_Queue!$L:$L,""))</f>
        <v/>
      </c>
      <c r="M352" s="39" t="str">
        <f t="array" ref="M352">IF(J352="","",XLOOKUP(J352,Strike_Review_Queue!$I:$I,Strike_Review_Queue!$M:$M,""))</f>
        <v/>
      </c>
    </row>
    <row r="353" ht="15.75" customHeight="1">
      <c r="C353" s="39"/>
      <c r="D353" s="39" t="str">
        <f>IF(OR(B353="",A353=""),"",MAX(0,MIN(3,SUMIFS($C$2:$C$1000,$B$2:$B$1000,B353,$A$2:$A$1000,"&lt;="&amp;A353,$A$2:$A$1000,"&gt;="&amp;IF(Config!$B$1004="Y",A353-Config!$B$1005,DATE(1900,1,1)),$I$2:$I$1000,1)))))</f>
        <v>#ERROR!</v>
      </c>
      <c r="H353" s="39"/>
      <c r="I353" s="39">
        <f t="shared" si="1"/>
        <v>1</v>
      </c>
      <c r="J353" s="39" t="str">
        <f t="shared" si="2"/>
        <v/>
      </c>
      <c r="K353" s="39" t="str">
        <f t="array" ref="K353">IF(J353="","",IF(XLOOKUP(J353,Strike_Review_Queue!$I:$I,Strike_Review_Queue!$J:$J,"")="Approve","Approved",IF(XLOOKUP(J353,Strike_Review_Queue!$I:$I,Strike_Review_Queue!$J:$J,"")="Deny","Counts",H353)))</f>
        <v/>
      </c>
      <c r="L353" s="39" t="str">
        <f t="array" ref="L353">IF(J353="","",XLOOKUP(J353,Strike_Review_Queue!$I:$I,Strike_Review_Queue!$L:$L,""))</f>
        <v/>
      </c>
      <c r="M353" s="39" t="str">
        <f t="array" ref="M353">IF(J353="","",XLOOKUP(J353,Strike_Review_Queue!$I:$I,Strike_Review_Queue!$M:$M,""))</f>
        <v/>
      </c>
    </row>
    <row r="354" ht="15.75" customHeight="1">
      <c r="C354" s="39"/>
      <c r="D354" s="39" t="str">
        <f>IF(OR(B354="",A354=""),"",MAX(0,MIN(3,SUMIFS($C$2:$C$1000,$B$2:$B$1000,B354,$A$2:$A$1000,"&lt;="&amp;A354,$A$2:$A$1000,"&gt;="&amp;IF(Config!$B$1004="Y",A354-Config!$B$1005,DATE(1900,1,1)),$I$2:$I$1000,1)))))</f>
        <v>#ERROR!</v>
      </c>
      <c r="H354" s="39"/>
      <c r="I354" s="39">
        <f t="shared" si="1"/>
        <v>1</v>
      </c>
      <c r="J354" s="39" t="str">
        <f t="shared" si="2"/>
        <v/>
      </c>
      <c r="K354" s="39" t="str">
        <f t="array" ref="K354">IF(J354="","",IF(XLOOKUP(J354,Strike_Review_Queue!$I:$I,Strike_Review_Queue!$J:$J,"")="Approve","Approved",IF(XLOOKUP(J354,Strike_Review_Queue!$I:$I,Strike_Review_Queue!$J:$J,"")="Deny","Counts",H354)))</f>
        <v/>
      </c>
      <c r="L354" s="39" t="str">
        <f t="array" ref="L354">IF(J354="","",XLOOKUP(J354,Strike_Review_Queue!$I:$I,Strike_Review_Queue!$L:$L,""))</f>
        <v/>
      </c>
      <c r="M354" s="39" t="str">
        <f t="array" ref="M354">IF(J354="","",XLOOKUP(J354,Strike_Review_Queue!$I:$I,Strike_Review_Queue!$M:$M,""))</f>
        <v/>
      </c>
    </row>
    <row r="355" ht="15.75" customHeight="1">
      <c r="C355" s="39"/>
      <c r="D355" s="39" t="str">
        <f>IF(OR(B355="",A355=""),"",MAX(0,MIN(3,SUMIFS($C$2:$C$1000,$B$2:$B$1000,B355,$A$2:$A$1000,"&lt;="&amp;A355,$A$2:$A$1000,"&gt;="&amp;IF(Config!$B$1004="Y",A355-Config!$B$1005,DATE(1900,1,1)),$I$2:$I$1000,1)))))</f>
        <v>#ERROR!</v>
      </c>
      <c r="H355" s="39"/>
      <c r="I355" s="39">
        <f t="shared" si="1"/>
        <v>1</v>
      </c>
      <c r="J355" s="39" t="str">
        <f t="shared" si="2"/>
        <v/>
      </c>
      <c r="K355" s="39" t="str">
        <f t="array" ref="K355">IF(J355="","",IF(XLOOKUP(J355,Strike_Review_Queue!$I:$I,Strike_Review_Queue!$J:$J,"")="Approve","Approved",IF(XLOOKUP(J355,Strike_Review_Queue!$I:$I,Strike_Review_Queue!$J:$J,"")="Deny","Counts",H355)))</f>
        <v/>
      </c>
      <c r="L355" s="39" t="str">
        <f t="array" ref="L355">IF(J355="","",XLOOKUP(J355,Strike_Review_Queue!$I:$I,Strike_Review_Queue!$L:$L,""))</f>
        <v/>
      </c>
      <c r="M355" s="39" t="str">
        <f t="array" ref="M355">IF(J355="","",XLOOKUP(J355,Strike_Review_Queue!$I:$I,Strike_Review_Queue!$M:$M,""))</f>
        <v/>
      </c>
    </row>
    <row r="356" ht="15.75" customHeight="1">
      <c r="C356" s="39"/>
      <c r="D356" s="39" t="str">
        <f>IF(OR(B356="",A356=""),"",MAX(0,MIN(3,SUMIFS($C$2:$C$1000,$B$2:$B$1000,B356,$A$2:$A$1000,"&lt;="&amp;A356,$A$2:$A$1000,"&gt;="&amp;IF(Config!$B$1004="Y",A356-Config!$B$1005,DATE(1900,1,1)),$I$2:$I$1000,1)))))</f>
        <v>#ERROR!</v>
      </c>
      <c r="H356" s="39"/>
      <c r="I356" s="39">
        <f t="shared" si="1"/>
        <v>1</v>
      </c>
      <c r="J356" s="39" t="str">
        <f t="shared" si="2"/>
        <v/>
      </c>
      <c r="K356" s="39" t="str">
        <f t="array" ref="K356">IF(J356="","",IF(XLOOKUP(J356,Strike_Review_Queue!$I:$I,Strike_Review_Queue!$J:$J,"")="Approve","Approved",IF(XLOOKUP(J356,Strike_Review_Queue!$I:$I,Strike_Review_Queue!$J:$J,"")="Deny","Counts",H356)))</f>
        <v/>
      </c>
      <c r="L356" s="39" t="str">
        <f t="array" ref="L356">IF(J356="","",XLOOKUP(J356,Strike_Review_Queue!$I:$I,Strike_Review_Queue!$L:$L,""))</f>
        <v/>
      </c>
      <c r="M356" s="39" t="str">
        <f t="array" ref="M356">IF(J356="","",XLOOKUP(J356,Strike_Review_Queue!$I:$I,Strike_Review_Queue!$M:$M,""))</f>
        <v/>
      </c>
    </row>
    <row r="357" ht="15.75" customHeight="1">
      <c r="C357" s="39"/>
      <c r="D357" s="39" t="str">
        <f>IF(OR(B357="",A357=""),"",MAX(0,MIN(3,SUMIFS($C$2:$C$1000,$B$2:$B$1000,B357,$A$2:$A$1000,"&lt;="&amp;A357,$A$2:$A$1000,"&gt;="&amp;IF(Config!$B$1004="Y",A357-Config!$B$1005,DATE(1900,1,1)),$I$2:$I$1000,1)))))</f>
        <v>#ERROR!</v>
      </c>
      <c r="H357" s="39"/>
      <c r="I357" s="39">
        <f t="shared" si="1"/>
        <v>1</v>
      </c>
      <c r="J357" s="39" t="str">
        <f t="shared" si="2"/>
        <v/>
      </c>
      <c r="K357" s="39" t="str">
        <f t="array" ref="K357">IF(J357="","",IF(XLOOKUP(J357,Strike_Review_Queue!$I:$I,Strike_Review_Queue!$J:$J,"")="Approve","Approved",IF(XLOOKUP(J357,Strike_Review_Queue!$I:$I,Strike_Review_Queue!$J:$J,"")="Deny","Counts",H357)))</f>
        <v/>
      </c>
      <c r="L357" s="39" t="str">
        <f t="array" ref="L357">IF(J357="","",XLOOKUP(J357,Strike_Review_Queue!$I:$I,Strike_Review_Queue!$L:$L,""))</f>
        <v/>
      </c>
      <c r="M357" s="39" t="str">
        <f t="array" ref="M357">IF(J357="","",XLOOKUP(J357,Strike_Review_Queue!$I:$I,Strike_Review_Queue!$M:$M,""))</f>
        <v/>
      </c>
    </row>
    <row r="358" ht="15.75" customHeight="1">
      <c r="C358" s="39"/>
      <c r="D358" s="39" t="str">
        <f>IF(OR(B358="",A358=""),"",MAX(0,MIN(3,SUMIFS($C$2:$C$1000,$B$2:$B$1000,B358,$A$2:$A$1000,"&lt;="&amp;A358,$A$2:$A$1000,"&gt;="&amp;IF(Config!$B$1004="Y",A358-Config!$B$1005,DATE(1900,1,1)),$I$2:$I$1000,1)))))</f>
        <v>#ERROR!</v>
      </c>
      <c r="H358" s="39"/>
      <c r="I358" s="39">
        <f t="shared" si="1"/>
        <v>1</v>
      </c>
      <c r="J358" s="39" t="str">
        <f t="shared" si="2"/>
        <v/>
      </c>
      <c r="K358" s="39" t="str">
        <f t="array" ref="K358">IF(J358="","",IF(XLOOKUP(J358,Strike_Review_Queue!$I:$I,Strike_Review_Queue!$J:$J,"")="Approve","Approved",IF(XLOOKUP(J358,Strike_Review_Queue!$I:$I,Strike_Review_Queue!$J:$J,"")="Deny","Counts",H358)))</f>
        <v/>
      </c>
      <c r="L358" s="39" t="str">
        <f t="array" ref="L358">IF(J358="","",XLOOKUP(J358,Strike_Review_Queue!$I:$I,Strike_Review_Queue!$L:$L,""))</f>
        <v/>
      </c>
      <c r="M358" s="39" t="str">
        <f t="array" ref="M358">IF(J358="","",XLOOKUP(J358,Strike_Review_Queue!$I:$I,Strike_Review_Queue!$M:$M,""))</f>
        <v/>
      </c>
    </row>
    <row r="359" ht="15.75" customHeight="1">
      <c r="C359" s="39"/>
      <c r="D359" s="39" t="str">
        <f>IF(OR(B359="",A359=""),"",MAX(0,MIN(3,SUMIFS($C$2:$C$1000,$B$2:$B$1000,B359,$A$2:$A$1000,"&lt;="&amp;A359,$A$2:$A$1000,"&gt;="&amp;IF(Config!$B$1004="Y",A359-Config!$B$1005,DATE(1900,1,1)),$I$2:$I$1000,1)))))</f>
        <v>#ERROR!</v>
      </c>
      <c r="H359" s="39"/>
      <c r="I359" s="39">
        <f t="shared" si="1"/>
        <v>1</v>
      </c>
      <c r="J359" s="39" t="str">
        <f t="shared" si="2"/>
        <v/>
      </c>
      <c r="K359" s="39" t="str">
        <f t="array" ref="K359">IF(J359="","",IF(XLOOKUP(J359,Strike_Review_Queue!$I:$I,Strike_Review_Queue!$J:$J,"")="Approve","Approved",IF(XLOOKUP(J359,Strike_Review_Queue!$I:$I,Strike_Review_Queue!$J:$J,"")="Deny","Counts",H359)))</f>
        <v/>
      </c>
      <c r="L359" s="39" t="str">
        <f t="array" ref="L359">IF(J359="","",XLOOKUP(J359,Strike_Review_Queue!$I:$I,Strike_Review_Queue!$L:$L,""))</f>
        <v/>
      </c>
      <c r="M359" s="39" t="str">
        <f t="array" ref="M359">IF(J359="","",XLOOKUP(J359,Strike_Review_Queue!$I:$I,Strike_Review_Queue!$M:$M,""))</f>
        <v/>
      </c>
    </row>
    <row r="360" ht="15.75" customHeight="1">
      <c r="C360" s="39"/>
      <c r="D360" s="39" t="str">
        <f>IF(OR(B360="",A360=""),"",MAX(0,MIN(3,SUMIFS($C$2:$C$1000,$B$2:$B$1000,B360,$A$2:$A$1000,"&lt;="&amp;A360,$A$2:$A$1000,"&gt;="&amp;IF(Config!$B$1004="Y",A360-Config!$B$1005,DATE(1900,1,1)),$I$2:$I$1000,1)))))</f>
        <v>#ERROR!</v>
      </c>
      <c r="H360" s="39"/>
      <c r="I360" s="39">
        <f t="shared" si="1"/>
        <v>1</v>
      </c>
      <c r="J360" s="39" t="str">
        <f t="shared" si="2"/>
        <v/>
      </c>
      <c r="K360" s="39" t="str">
        <f t="array" ref="K360">IF(J360="","",IF(XLOOKUP(J360,Strike_Review_Queue!$I:$I,Strike_Review_Queue!$J:$J,"")="Approve","Approved",IF(XLOOKUP(J360,Strike_Review_Queue!$I:$I,Strike_Review_Queue!$J:$J,"")="Deny","Counts",H360)))</f>
        <v/>
      </c>
      <c r="L360" s="39" t="str">
        <f t="array" ref="L360">IF(J360="","",XLOOKUP(J360,Strike_Review_Queue!$I:$I,Strike_Review_Queue!$L:$L,""))</f>
        <v/>
      </c>
      <c r="M360" s="39" t="str">
        <f t="array" ref="M360">IF(J360="","",XLOOKUP(J360,Strike_Review_Queue!$I:$I,Strike_Review_Queue!$M:$M,""))</f>
        <v/>
      </c>
    </row>
    <row r="361" ht="15.75" customHeight="1">
      <c r="C361" s="39"/>
      <c r="D361" s="39" t="str">
        <f>IF(OR(B361="",A361=""),"",MAX(0,MIN(3,SUMIFS($C$2:$C$1000,$B$2:$B$1000,B361,$A$2:$A$1000,"&lt;="&amp;A361,$A$2:$A$1000,"&gt;="&amp;IF(Config!$B$1004="Y",A361-Config!$B$1005,DATE(1900,1,1)),$I$2:$I$1000,1)))))</f>
        <v>#ERROR!</v>
      </c>
      <c r="H361" s="39"/>
      <c r="I361" s="39">
        <f t="shared" si="1"/>
        <v>1</v>
      </c>
      <c r="J361" s="39" t="str">
        <f t="shared" si="2"/>
        <v/>
      </c>
      <c r="K361" s="39" t="str">
        <f t="array" ref="K361">IF(J361="","",IF(XLOOKUP(J361,Strike_Review_Queue!$I:$I,Strike_Review_Queue!$J:$J,"")="Approve","Approved",IF(XLOOKUP(J361,Strike_Review_Queue!$I:$I,Strike_Review_Queue!$J:$J,"")="Deny","Counts",H361)))</f>
        <v/>
      </c>
      <c r="L361" s="39" t="str">
        <f t="array" ref="L361">IF(J361="","",XLOOKUP(J361,Strike_Review_Queue!$I:$I,Strike_Review_Queue!$L:$L,""))</f>
        <v/>
      </c>
      <c r="M361" s="39" t="str">
        <f t="array" ref="M361">IF(J361="","",XLOOKUP(J361,Strike_Review_Queue!$I:$I,Strike_Review_Queue!$M:$M,""))</f>
        <v/>
      </c>
    </row>
    <row r="362" ht="15.75" customHeight="1">
      <c r="C362" s="39"/>
      <c r="D362" s="39" t="str">
        <f>IF(OR(B362="",A362=""),"",MAX(0,MIN(3,SUMIFS($C$2:$C$1000,$B$2:$B$1000,B362,$A$2:$A$1000,"&lt;="&amp;A362,$A$2:$A$1000,"&gt;="&amp;IF(Config!$B$1004="Y",A362-Config!$B$1005,DATE(1900,1,1)),$I$2:$I$1000,1)))))</f>
        <v>#ERROR!</v>
      </c>
      <c r="H362" s="39"/>
      <c r="I362" s="39">
        <f t="shared" si="1"/>
        <v>1</v>
      </c>
      <c r="J362" s="39" t="str">
        <f t="shared" si="2"/>
        <v/>
      </c>
      <c r="K362" s="39" t="str">
        <f t="array" ref="K362">IF(J362="","",IF(XLOOKUP(J362,Strike_Review_Queue!$I:$I,Strike_Review_Queue!$J:$J,"")="Approve","Approved",IF(XLOOKUP(J362,Strike_Review_Queue!$I:$I,Strike_Review_Queue!$J:$J,"")="Deny","Counts",H362)))</f>
        <v/>
      </c>
      <c r="L362" s="39" t="str">
        <f t="array" ref="L362">IF(J362="","",XLOOKUP(J362,Strike_Review_Queue!$I:$I,Strike_Review_Queue!$L:$L,""))</f>
        <v/>
      </c>
      <c r="M362" s="39" t="str">
        <f t="array" ref="M362">IF(J362="","",XLOOKUP(J362,Strike_Review_Queue!$I:$I,Strike_Review_Queue!$M:$M,""))</f>
        <v/>
      </c>
    </row>
    <row r="363" ht="15.75" customHeight="1">
      <c r="C363" s="39"/>
      <c r="D363" s="39" t="str">
        <f>IF(OR(B363="",A363=""),"",MAX(0,MIN(3,SUMIFS($C$2:$C$1000,$B$2:$B$1000,B363,$A$2:$A$1000,"&lt;="&amp;A363,$A$2:$A$1000,"&gt;="&amp;IF(Config!$B$1004="Y",A363-Config!$B$1005,DATE(1900,1,1)),$I$2:$I$1000,1)))))</f>
        <v>#ERROR!</v>
      </c>
      <c r="H363" s="39"/>
      <c r="I363" s="39">
        <f t="shared" si="1"/>
        <v>1</v>
      </c>
      <c r="J363" s="39" t="str">
        <f t="shared" si="2"/>
        <v/>
      </c>
      <c r="K363" s="39" t="str">
        <f t="array" ref="K363">IF(J363="","",IF(XLOOKUP(J363,Strike_Review_Queue!$I:$I,Strike_Review_Queue!$J:$J,"")="Approve","Approved",IF(XLOOKUP(J363,Strike_Review_Queue!$I:$I,Strike_Review_Queue!$J:$J,"")="Deny","Counts",H363)))</f>
        <v/>
      </c>
      <c r="L363" s="39" t="str">
        <f t="array" ref="L363">IF(J363="","",XLOOKUP(J363,Strike_Review_Queue!$I:$I,Strike_Review_Queue!$L:$L,""))</f>
        <v/>
      </c>
      <c r="M363" s="39" t="str">
        <f t="array" ref="M363">IF(J363="","",XLOOKUP(J363,Strike_Review_Queue!$I:$I,Strike_Review_Queue!$M:$M,""))</f>
        <v/>
      </c>
    </row>
    <row r="364" ht="15.75" customHeight="1">
      <c r="C364" s="39"/>
      <c r="D364" s="39" t="str">
        <f>IF(OR(B364="",A364=""),"",MAX(0,MIN(3,SUMIFS($C$2:$C$1000,$B$2:$B$1000,B364,$A$2:$A$1000,"&lt;="&amp;A364,$A$2:$A$1000,"&gt;="&amp;IF(Config!$B$1004="Y",A364-Config!$B$1005,DATE(1900,1,1)),$I$2:$I$1000,1)))))</f>
        <v>#ERROR!</v>
      </c>
      <c r="H364" s="39"/>
      <c r="I364" s="39">
        <f t="shared" si="1"/>
        <v>1</v>
      </c>
      <c r="J364" s="39" t="str">
        <f t="shared" si="2"/>
        <v/>
      </c>
      <c r="K364" s="39" t="str">
        <f t="array" ref="K364">IF(J364="","",IF(XLOOKUP(J364,Strike_Review_Queue!$I:$I,Strike_Review_Queue!$J:$J,"")="Approve","Approved",IF(XLOOKUP(J364,Strike_Review_Queue!$I:$I,Strike_Review_Queue!$J:$J,"")="Deny","Counts",H364)))</f>
        <v/>
      </c>
      <c r="L364" s="39" t="str">
        <f t="array" ref="L364">IF(J364="","",XLOOKUP(J364,Strike_Review_Queue!$I:$I,Strike_Review_Queue!$L:$L,""))</f>
        <v/>
      </c>
      <c r="M364" s="39" t="str">
        <f t="array" ref="M364">IF(J364="","",XLOOKUP(J364,Strike_Review_Queue!$I:$I,Strike_Review_Queue!$M:$M,""))</f>
        <v/>
      </c>
    </row>
    <row r="365" ht="15.75" customHeight="1">
      <c r="C365" s="39"/>
      <c r="D365" s="39" t="str">
        <f>IF(OR(B365="",A365=""),"",MAX(0,MIN(3,SUMIFS($C$2:$C$1000,$B$2:$B$1000,B365,$A$2:$A$1000,"&lt;="&amp;A365,$A$2:$A$1000,"&gt;="&amp;IF(Config!$B$1004="Y",A365-Config!$B$1005,DATE(1900,1,1)),$I$2:$I$1000,1)))))</f>
        <v>#ERROR!</v>
      </c>
      <c r="H365" s="39"/>
      <c r="I365" s="39">
        <f t="shared" si="1"/>
        <v>1</v>
      </c>
      <c r="J365" s="39" t="str">
        <f t="shared" si="2"/>
        <v/>
      </c>
      <c r="K365" s="39" t="str">
        <f t="array" ref="K365">IF(J365="","",IF(XLOOKUP(J365,Strike_Review_Queue!$I:$I,Strike_Review_Queue!$J:$J,"")="Approve","Approved",IF(XLOOKUP(J365,Strike_Review_Queue!$I:$I,Strike_Review_Queue!$J:$J,"")="Deny","Counts",H365)))</f>
        <v/>
      </c>
      <c r="L365" s="39" t="str">
        <f t="array" ref="L365">IF(J365="","",XLOOKUP(J365,Strike_Review_Queue!$I:$I,Strike_Review_Queue!$L:$L,""))</f>
        <v/>
      </c>
      <c r="M365" s="39" t="str">
        <f t="array" ref="M365">IF(J365="","",XLOOKUP(J365,Strike_Review_Queue!$I:$I,Strike_Review_Queue!$M:$M,""))</f>
        <v/>
      </c>
    </row>
    <row r="366" ht="15.75" customHeight="1">
      <c r="C366" s="39"/>
      <c r="D366" s="39" t="str">
        <f>IF(OR(B366="",A366=""),"",MAX(0,MIN(3,SUMIFS($C$2:$C$1000,$B$2:$B$1000,B366,$A$2:$A$1000,"&lt;="&amp;A366,$A$2:$A$1000,"&gt;="&amp;IF(Config!$B$1004="Y",A366-Config!$B$1005,DATE(1900,1,1)),$I$2:$I$1000,1)))))</f>
        <v>#ERROR!</v>
      </c>
      <c r="H366" s="39"/>
      <c r="I366" s="39">
        <f t="shared" si="1"/>
        <v>1</v>
      </c>
      <c r="J366" s="39" t="str">
        <f t="shared" si="2"/>
        <v/>
      </c>
      <c r="K366" s="39" t="str">
        <f t="array" ref="K366">IF(J366="","",IF(XLOOKUP(J366,Strike_Review_Queue!$I:$I,Strike_Review_Queue!$J:$J,"")="Approve","Approved",IF(XLOOKUP(J366,Strike_Review_Queue!$I:$I,Strike_Review_Queue!$J:$J,"")="Deny","Counts",H366)))</f>
        <v/>
      </c>
      <c r="L366" s="39" t="str">
        <f t="array" ref="L366">IF(J366="","",XLOOKUP(J366,Strike_Review_Queue!$I:$I,Strike_Review_Queue!$L:$L,""))</f>
        <v/>
      </c>
      <c r="M366" s="39" t="str">
        <f t="array" ref="M366">IF(J366="","",XLOOKUP(J366,Strike_Review_Queue!$I:$I,Strike_Review_Queue!$M:$M,""))</f>
        <v/>
      </c>
    </row>
    <row r="367" ht="15.75" customHeight="1">
      <c r="C367" s="39"/>
      <c r="D367" s="39" t="str">
        <f>IF(OR(B367="",A367=""),"",MAX(0,MIN(3,SUMIFS($C$2:$C$1000,$B$2:$B$1000,B367,$A$2:$A$1000,"&lt;="&amp;A367,$A$2:$A$1000,"&gt;="&amp;IF(Config!$B$1004="Y",A367-Config!$B$1005,DATE(1900,1,1)),$I$2:$I$1000,1)))))</f>
        <v>#ERROR!</v>
      </c>
      <c r="H367" s="39"/>
      <c r="I367" s="39">
        <f t="shared" si="1"/>
        <v>1</v>
      </c>
      <c r="J367" s="39" t="str">
        <f t="shared" si="2"/>
        <v/>
      </c>
      <c r="K367" s="39" t="str">
        <f t="array" ref="K367">IF(J367="","",IF(XLOOKUP(J367,Strike_Review_Queue!$I:$I,Strike_Review_Queue!$J:$J,"")="Approve","Approved",IF(XLOOKUP(J367,Strike_Review_Queue!$I:$I,Strike_Review_Queue!$J:$J,"")="Deny","Counts",H367)))</f>
        <v/>
      </c>
      <c r="L367" s="39" t="str">
        <f t="array" ref="L367">IF(J367="","",XLOOKUP(J367,Strike_Review_Queue!$I:$I,Strike_Review_Queue!$L:$L,""))</f>
        <v/>
      </c>
      <c r="M367" s="39" t="str">
        <f t="array" ref="M367">IF(J367="","",XLOOKUP(J367,Strike_Review_Queue!$I:$I,Strike_Review_Queue!$M:$M,""))</f>
        <v/>
      </c>
    </row>
    <row r="368" ht="15.75" customHeight="1">
      <c r="C368" s="39"/>
      <c r="D368" s="39" t="str">
        <f>IF(OR(B368="",A368=""),"",MAX(0,MIN(3,SUMIFS($C$2:$C$1000,$B$2:$B$1000,B368,$A$2:$A$1000,"&lt;="&amp;A368,$A$2:$A$1000,"&gt;="&amp;IF(Config!$B$1004="Y",A368-Config!$B$1005,DATE(1900,1,1)),$I$2:$I$1000,1)))))</f>
        <v>#ERROR!</v>
      </c>
      <c r="H368" s="39"/>
      <c r="I368" s="39">
        <f t="shared" si="1"/>
        <v>1</v>
      </c>
      <c r="J368" s="39" t="str">
        <f t="shared" si="2"/>
        <v/>
      </c>
      <c r="K368" s="39" t="str">
        <f t="array" ref="K368">IF(J368="","",IF(XLOOKUP(J368,Strike_Review_Queue!$I:$I,Strike_Review_Queue!$J:$J,"")="Approve","Approved",IF(XLOOKUP(J368,Strike_Review_Queue!$I:$I,Strike_Review_Queue!$J:$J,"")="Deny","Counts",H368)))</f>
        <v/>
      </c>
      <c r="L368" s="39" t="str">
        <f t="array" ref="L368">IF(J368="","",XLOOKUP(J368,Strike_Review_Queue!$I:$I,Strike_Review_Queue!$L:$L,""))</f>
        <v/>
      </c>
      <c r="M368" s="39" t="str">
        <f t="array" ref="M368">IF(J368="","",XLOOKUP(J368,Strike_Review_Queue!$I:$I,Strike_Review_Queue!$M:$M,""))</f>
        <v/>
      </c>
    </row>
    <row r="369" ht="15.75" customHeight="1">
      <c r="C369" s="39"/>
      <c r="D369" s="39" t="str">
        <f>IF(OR(B369="",A369=""),"",MAX(0,MIN(3,SUMIFS($C$2:$C$1000,$B$2:$B$1000,B369,$A$2:$A$1000,"&lt;="&amp;A369,$A$2:$A$1000,"&gt;="&amp;IF(Config!$B$1004="Y",A369-Config!$B$1005,DATE(1900,1,1)),$I$2:$I$1000,1)))))</f>
        <v>#ERROR!</v>
      </c>
      <c r="H369" s="39"/>
      <c r="I369" s="39">
        <f t="shared" si="1"/>
        <v>1</v>
      </c>
      <c r="J369" s="39" t="str">
        <f t="shared" si="2"/>
        <v/>
      </c>
      <c r="K369" s="39" t="str">
        <f t="array" ref="K369">IF(J369="","",IF(XLOOKUP(J369,Strike_Review_Queue!$I:$I,Strike_Review_Queue!$J:$J,"")="Approve","Approved",IF(XLOOKUP(J369,Strike_Review_Queue!$I:$I,Strike_Review_Queue!$J:$J,"")="Deny","Counts",H369)))</f>
        <v/>
      </c>
      <c r="L369" s="39" t="str">
        <f t="array" ref="L369">IF(J369="","",XLOOKUP(J369,Strike_Review_Queue!$I:$I,Strike_Review_Queue!$L:$L,""))</f>
        <v/>
      </c>
      <c r="M369" s="39" t="str">
        <f t="array" ref="M369">IF(J369="","",XLOOKUP(J369,Strike_Review_Queue!$I:$I,Strike_Review_Queue!$M:$M,""))</f>
        <v/>
      </c>
    </row>
    <row r="370" ht="15.75" customHeight="1">
      <c r="C370" s="39"/>
      <c r="D370" s="39" t="str">
        <f>IF(OR(B370="",A370=""),"",MAX(0,MIN(3,SUMIFS($C$2:$C$1000,$B$2:$B$1000,B370,$A$2:$A$1000,"&lt;="&amp;A370,$A$2:$A$1000,"&gt;="&amp;IF(Config!$B$1004="Y",A370-Config!$B$1005,DATE(1900,1,1)),$I$2:$I$1000,1)))))</f>
        <v>#ERROR!</v>
      </c>
      <c r="H370" s="39"/>
      <c r="I370" s="39">
        <f t="shared" si="1"/>
        <v>1</v>
      </c>
      <c r="J370" s="39" t="str">
        <f t="shared" si="2"/>
        <v/>
      </c>
      <c r="K370" s="39" t="str">
        <f t="array" ref="K370">IF(J370="","",IF(XLOOKUP(J370,Strike_Review_Queue!$I:$I,Strike_Review_Queue!$J:$J,"")="Approve","Approved",IF(XLOOKUP(J370,Strike_Review_Queue!$I:$I,Strike_Review_Queue!$J:$J,"")="Deny","Counts",H370)))</f>
        <v/>
      </c>
      <c r="L370" s="39" t="str">
        <f t="array" ref="L370">IF(J370="","",XLOOKUP(J370,Strike_Review_Queue!$I:$I,Strike_Review_Queue!$L:$L,""))</f>
        <v/>
      </c>
      <c r="M370" s="39" t="str">
        <f t="array" ref="M370">IF(J370="","",XLOOKUP(J370,Strike_Review_Queue!$I:$I,Strike_Review_Queue!$M:$M,""))</f>
        <v/>
      </c>
    </row>
    <row r="371" ht="15.75" customHeight="1">
      <c r="C371" s="39"/>
      <c r="D371" s="39" t="str">
        <f>IF(OR(B371="",A371=""),"",MAX(0,MIN(3,SUMIFS($C$2:$C$1000,$B$2:$B$1000,B371,$A$2:$A$1000,"&lt;="&amp;A371,$A$2:$A$1000,"&gt;="&amp;IF(Config!$B$1004="Y",A371-Config!$B$1005,DATE(1900,1,1)),$I$2:$I$1000,1)))))</f>
        <v>#ERROR!</v>
      </c>
      <c r="H371" s="39"/>
      <c r="I371" s="39">
        <f t="shared" si="1"/>
        <v>1</v>
      </c>
      <c r="J371" s="39" t="str">
        <f t="shared" si="2"/>
        <v/>
      </c>
      <c r="K371" s="39" t="str">
        <f t="array" ref="K371">IF(J371="","",IF(XLOOKUP(J371,Strike_Review_Queue!$I:$I,Strike_Review_Queue!$J:$J,"")="Approve","Approved",IF(XLOOKUP(J371,Strike_Review_Queue!$I:$I,Strike_Review_Queue!$J:$J,"")="Deny","Counts",H371)))</f>
        <v/>
      </c>
      <c r="L371" s="39" t="str">
        <f t="array" ref="L371">IF(J371="","",XLOOKUP(J371,Strike_Review_Queue!$I:$I,Strike_Review_Queue!$L:$L,""))</f>
        <v/>
      </c>
      <c r="M371" s="39" t="str">
        <f t="array" ref="M371">IF(J371="","",XLOOKUP(J371,Strike_Review_Queue!$I:$I,Strike_Review_Queue!$M:$M,""))</f>
        <v/>
      </c>
    </row>
    <row r="372" ht="15.75" customHeight="1">
      <c r="C372" s="39"/>
      <c r="D372" s="39" t="str">
        <f>IF(OR(B372="",A372=""),"",MAX(0,MIN(3,SUMIFS($C$2:$C$1000,$B$2:$B$1000,B372,$A$2:$A$1000,"&lt;="&amp;A372,$A$2:$A$1000,"&gt;="&amp;IF(Config!$B$1004="Y",A372-Config!$B$1005,DATE(1900,1,1)),$I$2:$I$1000,1)))))</f>
        <v>#ERROR!</v>
      </c>
      <c r="H372" s="39"/>
      <c r="I372" s="39">
        <f t="shared" si="1"/>
        <v>1</v>
      </c>
      <c r="J372" s="39" t="str">
        <f t="shared" si="2"/>
        <v/>
      </c>
      <c r="K372" s="39" t="str">
        <f t="array" ref="K372">IF(J372="","",IF(XLOOKUP(J372,Strike_Review_Queue!$I:$I,Strike_Review_Queue!$J:$J,"")="Approve","Approved",IF(XLOOKUP(J372,Strike_Review_Queue!$I:$I,Strike_Review_Queue!$J:$J,"")="Deny","Counts",H372)))</f>
        <v/>
      </c>
      <c r="L372" s="39" t="str">
        <f t="array" ref="L372">IF(J372="","",XLOOKUP(J372,Strike_Review_Queue!$I:$I,Strike_Review_Queue!$L:$L,""))</f>
        <v/>
      </c>
      <c r="M372" s="39" t="str">
        <f t="array" ref="M372">IF(J372="","",XLOOKUP(J372,Strike_Review_Queue!$I:$I,Strike_Review_Queue!$M:$M,""))</f>
        <v/>
      </c>
    </row>
    <row r="373" ht="15.75" customHeight="1">
      <c r="C373" s="39"/>
      <c r="D373" s="39" t="str">
        <f>IF(OR(B373="",A373=""),"",MAX(0,MIN(3,SUMIFS($C$2:$C$1000,$B$2:$B$1000,B373,$A$2:$A$1000,"&lt;="&amp;A373,$A$2:$A$1000,"&gt;="&amp;IF(Config!$B$1004="Y",A373-Config!$B$1005,DATE(1900,1,1)),$I$2:$I$1000,1)))))</f>
        <v>#ERROR!</v>
      </c>
      <c r="H373" s="39"/>
      <c r="I373" s="39">
        <f t="shared" si="1"/>
        <v>1</v>
      </c>
      <c r="J373" s="39" t="str">
        <f t="shared" si="2"/>
        <v/>
      </c>
      <c r="K373" s="39" t="str">
        <f t="array" ref="K373">IF(J373="","",IF(XLOOKUP(J373,Strike_Review_Queue!$I:$I,Strike_Review_Queue!$J:$J,"")="Approve","Approved",IF(XLOOKUP(J373,Strike_Review_Queue!$I:$I,Strike_Review_Queue!$J:$J,"")="Deny","Counts",H373)))</f>
        <v/>
      </c>
      <c r="L373" s="39" t="str">
        <f t="array" ref="L373">IF(J373="","",XLOOKUP(J373,Strike_Review_Queue!$I:$I,Strike_Review_Queue!$L:$L,""))</f>
        <v/>
      </c>
      <c r="M373" s="39" t="str">
        <f t="array" ref="M373">IF(J373="","",XLOOKUP(J373,Strike_Review_Queue!$I:$I,Strike_Review_Queue!$M:$M,""))</f>
        <v/>
      </c>
    </row>
    <row r="374" ht="15.75" customHeight="1">
      <c r="C374" s="39"/>
      <c r="D374" s="39" t="str">
        <f>IF(OR(B374="",A374=""),"",MAX(0,MIN(3,SUMIFS($C$2:$C$1000,$B$2:$B$1000,B374,$A$2:$A$1000,"&lt;="&amp;A374,$A$2:$A$1000,"&gt;="&amp;IF(Config!$B$1004="Y",A374-Config!$B$1005,DATE(1900,1,1)),$I$2:$I$1000,1)))))</f>
        <v>#ERROR!</v>
      </c>
      <c r="H374" s="39"/>
      <c r="I374" s="39">
        <f t="shared" si="1"/>
        <v>1</v>
      </c>
      <c r="J374" s="39" t="str">
        <f t="shared" si="2"/>
        <v/>
      </c>
      <c r="K374" s="39" t="str">
        <f t="array" ref="K374">IF(J374="","",IF(XLOOKUP(J374,Strike_Review_Queue!$I:$I,Strike_Review_Queue!$J:$J,"")="Approve","Approved",IF(XLOOKUP(J374,Strike_Review_Queue!$I:$I,Strike_Review_Queue!$J:$J,"")="Deny","Counts",H374)))</f>
        <v/>
      </c>
      <c r="L374" s="39" t="str">
        <f t="array" ref="L374">IF(J374="","",XLOOKUP(J374,Strike_Review_Queue!$I:$I,Strike_Review_Queue!$L:$L,""))</f>
        <v/>
      </c>
      <c r="M374" s="39" t="str">
        <f t="array" ref="M374">IF(J374="","",XLOOKUP(J374,Strike_Review_Queue!$I:$I,Strike_Review_Queue!$M:$M,""))</f>
        <v/>
      </c>
    </row>
    <row r="375" ht="15.75" customHeight="1">
      <c r="C375" s="39"/>
      <c r="D375" s="39" t="str">
        <f>IF(OR(B375="",A375=""),"",MAX(0,MIN(3,SUMIFS($C$2:$C$1000,$B$2:$B$1000,B375,$A$2:$A$1000,"&lt;="&amp;A375,$A$2:$A$1000,"&gt;="&amp;IF(Config!$B$1004="Y",A375-Config!$B$1005,DATE(1900,1,1)),$I$2:$I$1000,1)))))</f>
        <v>#ERROR!</v>
      </c>
      <c r="H375" s="39"/>
      <c r="I375" s="39">
        <f t="shared" si="1"/>
        <v>1</v>
      </c>
      <c r="J375" s="39" t="str">
        <f t="shared" si="2"/>
        <v/>
      </c>
      <c r="K375" s="39" t="str">
        <f t="array" ref="K375">IF(J375="","",IF(XLOOKUP(J375,Strike_Review_Queue!$I:$I,Strike_Review_Queue!$J:$J,"")="Approve","Approved",IF(XLOOKUP(J375,Strike_Review_Queue!$I:$I,Strike_Review_Queue!$J:$J,"")="Deny","Counts",H375)))</f>
        <v/>
      </c>
      <c r="L375" s="39" t="str">
        <f t="array" ref="L375">IF(J375="","",XLOOKUP(J375,Strike_Review_Queue!$I:$I,Strike_Review_Queue!$L:$L,""))</f>
        <v/>
      </c>
      <c r="M375" s="39" t="str">
        <f t="array" ref="M375">IF(J375="","",XLOOKUP(J375,Strike_Review_Queue!$I:$I,Strike_Review_Queue!$M:$M,""))</f>
        <v/>
      </c>
    </row>
    <row r="376" ht="15.75" customHeight="1">
      <c r="C376" s="39"/>
      <c r="D376" s="39" t="str">
        <f>IF(OR(B376="",A376=""),"",MAX(0,MIN(3,SUMIFS($C$2:$C$1000,$B$2:$B$1000,B376,$A$2:$A$1000,"&lt;="&amp;A376,$A$2:$A$1000,"&gt;="&amp;IF(Config!$B$1004="Y",A376-Config!$B$1005,DATE(1900,1,1)),$I$2:$I$1000,1)))))</f>
        <v>#ERROR!</v>
      </c>
      <c r="H376" s="39"/>
      <c r="I376" s="39">
        <f t="shared" si="1"/>
        <v>1</v>
      </c>
      <c r="J376" s="39" t="str">
        <f t="shared" si="2"/>
        <v/>
      </c>
      <c r="K376" s="39" t="str">
        <f t="array" ref="K376">IF(J376="","",IF(XLOOKUP(J376,Strike_Review_Queue!$I:$I,Strike_Review_Queue!$J:$J,"")="Approve","Approved",IF(XLOOKUP(J376,Strike_Review_Queue!$I:$I,Strike_Review_Queue!$J:$J,"")="Deny","Counts",H376)))</f>
        <v/>
      </c>
      <c r="L376" s="39" t="str">
        <f t="array" ref="L376">IF(J376="","",XLOOKUP(J376,Strike_Review_Queue!$I:$I,Strike_Review_Queue!$L:$L,""))</f>
        <v/>
      </c>
      <c r="M376" s="39" t="str">
        <f t="array" ref="M376">IF(J376="","",XLOOKUP(J376,Strike_Review_Queue!$I:$I,Strike_Review_Queue!$M:$M,""))</f>
        <v/>
      </c>
    </row>
    <row r="377" ht="15.75" customHeight="1">
      <c r="C377" s="39"/>
      <c r="D377" s="39" t="str">
        <f>IF(OR(B377="",A377=""),"",MAX(0,MIN(3,SUMIFS($C$2:$C$1000,$B$2:$B$1000,B377,$A$2:$A$1000,"&lt;="&amp;A377,$A$2:$A$1000,"&gt;="&amp;IF(Config!$B$1004="Y",A377-Config!$B$1005,DATE(1900,1,1)),$I$2:$I$1000,1)))))</f>
        <v>#ERROR!</v>
      </c>
      <c r="H377" s="39"/>
      <c r="I377" s="39">
        <f t="shared" si="1"/>
        <v>1</v>
      </c>
      <c r="J377" s="39" t="str">
        <f t="shared" si="2"/>
        <v/>
      </c>
      <c r="K377" s="39" t="str">
        <f t="array" ref="K377">IF(J377="","",IF(XLOOKUP(J377,Strike_Review_Queue!$I:$I,Strike_Review_Queue!$J:$J,"")="Approve","Approved",IF(XLOOKUP(J377,Strike_Review_Queue!$I:$I,Strike_Review_Queue!$J:$J,"")="Deny","Counts",H377)))</f>
        <v/>
      </c>
      <c r="L377" s="39" t="str">
        <f t="array" ref="L377">IF(J377="","",XLOOKUP(J377,Strike_Review_Queue!$I:$I,Strike_Review_Queue!$L:$L,""))</f>
        <v/>
      </c>
      <c r="M377" s="39" t="str">
        <f t="array" ref="M377">IF(J377="","",XLOOKUP(J377,Strike_Review_Queue!$I:$I,Strike_Review_Queue!$M:$M,""))</f>
        <v/>
      </c>
    </row>
    <row r="378" ht="15.75" customHeight="1">
      <c r="C378" s="39"/>
      <c r="D378" s="39" t="str">
        <f>IF(OR(B378="",A378=""),"",MAX(0,MIN(3,SUMIFS($C$2:$C$1000,$B$2:$B$1000,B378,$A$2:$A$1000,"&lt;="&amp;A378,$A$2:$A$1000,"&gt;="&amp;IF(Config!$B$1004="Y",A378-Config!$B$1005,DATE(1900,1,1)),$I$2:$I$1000,1)))))</f>
        <v>#ERROR!</v>
      </c>
      <c r="H378" s="39"/>
      <c r="I378" s="39">
        <f t="shared" si="1"/>
        <v>1</v>
      </c>
      <c r="J378" s="39" t="str">
        <f t="shared" si="2"/>
        <v/>
      </c>
      <c r="K378" s="39" t="str">
        <f t="array" ref="K378">IF(J378="","",IF(XLOOKUP(J378,Strike_Review_Queue!$I:$I,Strike_Review_Queue!$J:$J,"")="Approve","Approved",IF(XLOOKUP(J378,Strike_Review_Queue!$I:$I,Strike_Review_Queue!$J:$J,"")="Deny","Counts",H378)))</f>
        <v/>
      </c>
      <c r="L378" s="39" t="str">
        <f t="array" ref="L378">IF(J378="","",XLOOKUP(J378,Strike_Review_Queue!$I:$I,Strike_Review_Queue!$L:$L,""))</f>
        <v/>
      </c>
      <c r="M378" s="39" t="str">
        <f t="array" ref="M378">IF(J378="","",XLOOKUP(J378,Strike_Review_Queue!$I:$I,Strike_Review_Queue!$M:$M,""))</f>
        <v/>
      </c>
    </row>
    <row r="379" ht="15.75" customHeight="1">
      <c r="C379" s="39"/>
      <c r="D379" s="39" t="str">
        <f>IF(OR(B379="",A379=""),"",MAX(0,MIN(3,SUMIFS($C$2:$C$1000,$B$2:$B$1000,B379,$A$2:$A$1000,"&lt;="&amp;A379,$A$2:$A$1000,"&gt;="&amp;IF(Config!$B$1004="Y",A379-Config!$B$1005,DATE(1900,1,1)),$I$2:$I$1000,1)))))</f>
        <v>#ERROR!</v>
      </c>
      <c r="H379" s="39"/>
      <c r="I379" s="39">
        <f t="shared" si="1"/>
        <v>1</v>
      </c>
      <c r="J379" s="39" t="str">
        <f t="shared" si="2"/>
        <v/>
      </c>
      <c r="K379" s="39" t="str">
        <f t="array" ref="K379">IF(J379="","",IF(XLOOKUP(J379,Strike_Review_Queue!$I:$I,Strike_Review_Queue!$J:$J,"")="Approve","Approved",IF(XLOOKUP(J379,Strike_Review_Queue!$I:$I,Strike_Review_Queue!$J:$J,"")="Deny","Counts",H379)))</f>
        <v/>
      </c>
      <c r="L379" s="39" t="str">
        <f t="array" ref="L379">IF(J379="","",XLOOKUP(J379,Strike_Review_Queue!$I:$I,Strike_Review_Queue!$L:$L,""))</f>
        <v/>
      </c>
      <c r="M379" s="39" t="str">
        <f t="array" ref="M379">IF(J379="","",XLOOKUP(J379,Strike_Review_Queue!$I:$I,Strike_Review_Queue!$M:$M,""))</f>
        <v/>
      </c>
    </row>
    <row r="380" ht="15.75" customHeight="1">
      <c r="C380" s="39"/>
      <c r="D380" s="39" t="str">
        <f>IF(OR(B380="",A380=""),"",MAX(0,MIN(3,SUMIFS($C$2:$C$1000,$B$2:$B$1000,B380,$A$2:$A$1000,"&lt;="&amp;A380,$A$2:$A$1000,"&gt;="&amp;IF(Config!$B$1004="Y",A380-Config!$B$1005,DATE(1900,1,1)),$I$2:$I$1000,1)))))</f>
        <v>#ERROR!</v>
      </c>
      <c r="H380" s="39"/>
      <c r="I380" s="39">
        <f t="shared" si="1"/>
        <v>1</v>
      </c>
      <c r="J380" s="39" t="str">
        <f t="shared" si="2"/>
        <v/>
      </c>
      <c r="K380" s="39" t="str">
        <f t="array" ref="K380">IF(J380="","",IF(XLOOKUP(J380,Strike_Review_Queue!$I:$I,Strike_Review_Queue!$J:$J,"")="Approve","Approved",IF(XLOOKUP(J380,Strike_Review_Queue!$I:$I,Strike_Review_Queue!$J:$J,"")="Deny","Counts",H380)))</f>
        <v/>
      </c>
      <c r="L380" s="39" t="str">
        <f t="array" ref="L380">IF(J380="","",XLOOKUP(J380,Strike_Review_Queue!$I:$I,Strike_Review_Queue!$L:$L,""))</f>
        <v/>
      </c>
      <c r="M380" s="39" t="str">
        <f t="array" ref="M380">IF(J380="","",XLOOKUP(J380,Strike_Review_Queue!$I:$I,Strike_Review_Queue!$M:$M,""))</f>
        <v/>
      </c>
    </row>
    <row r="381" ht="15.75" customHeight="1">
      <c r="C381" s="39"/>
      <c r="D381" s="39" t="str">
        <f>IF(OR(B381="",A381=""),"",MAX(0,MIN(3,SUMIFS($C$2:$C$1000,$B$2:$B$1000,B381,$A$2:$A$1000,"&lt;="&amp;A381,$A$2:$A$1000,"&gt;="&amp;IF(Config!$B$1004="Y",A381-Config!$B$1005,DATE(1900,1,1)),$I$2:$I$1000,1)))))</f>
        <v>#ERROR!</v>
      </c>
      <c r="H381" s="39"/>
      <c r="I381" s="39">
        <f t="shared" si="1"/>
        <v>1</v>
      </c>
      <c r="J381" s="39" t="str">
        <f t="shared" si="2"/>
        <v/>
      </c>
      <c r="K381" s="39" t="str">
        <f t="array" ref="K381">IF(J381="","",IF(XLOOKUP(J381,Strike_Review_Queue!$I:$I,Strike_Review_Queue!$J:$J,"")="Approve","Approved",IF(XLOOKUP(J381,Strike_Review_Queue!$I:$I,Strike_Review_Queue!$J:$J,"")="Deny","Counts",H381)))</f>
        <v/>
      </c>
      <c r="L381" s="39" t="str">
        <f t="array" ref="L381">IF(J381="","",XLOOKUP(J381,Strike_Review_Queue!$I:$I,Strike_Review_Queue!$L:$L,""))</f>
        <v/>
      </c>
      <c r="M381" s="39" t="str">
        <f t="array" ref="M381">IF(J381="","",XLOOKUP(J381,Strike_Review_Queue!$I:$I,Strike_Review_Queue!$M:$M,""))</f>
        <v/>
      </c>
    </row>
    <row r="382" ht="15.75" customHeight="1">
      <c r="C382" s="39"/>
      <c r="D382" s="39" t="str">
        <f>IF(OR(B382="",A382=""),"",MAX(0,MIN(3,SUMIFS($C$2:$C$1000,$B$2:$B$1000,B382,$A$2:$A$1000,"&lt;="&amp;A382,$A$2:$A$1000,"&gt;="&amp;IF(Config!$B$1004="Y",A382-Config!$B$1005,DATE(1900,1,1)),$I$2:$I$1000,1)))))</f>
        <v>#ERROR!</v>
      </c>
      <c r="H382" s="39"/>
      <c r="I382" s="39">
        <f t="shared" si="1"/>
        <v>1</v>
      </c>
      <c r="J382" s="39" t="str">
        <f t="shared" si="2"/>
        <v/>
      </c>
      <c r="K382" s="39" t="str">
        <f t="array" ref="K382">IF(J382="","",IF(XLOOKUP(J382,Strike_Review_Queue!$I:$I,Strike_Review_Queue!$J:$J,"")="Approve","Approved",IF(XLOOKUP(J382,Strike_Review_Queue!$I:$I,Strike_Review_Queue!$J:$J,"")="Deny","Counts",H382)))</f>
        <v/>
      </c>
      <c r="L382" s="39" t="str">
        <f t="array" ref="L382">IF(J382="","",XLOOKUP(J382,Strike_Review_Queue!$I:$I,Strike_Review_Queue!$L:$L,""))</f>
        <v/>
      </c>
      <c r="M382" s="39" t="str">
        <f t="array" ref="M382">IF(J382="","",XLOOKUP(J382,Strike_Review_Queue!$I:$I,Strike_Review_Queue!$M:$M,""))</f>
        <v/>
      </c>
    </row>
    <row r="383" ht="15.75" customHeight="1">
      <c r="C383" s="39"/>
      <c r="D383" s="39" t="str">
        <f>IF(OR(B383="",A383=""),"",MAX(0,MIN(3,SUMIFS($C$2:$C$1000,$B$2:$B$1000,B383,$A$2:$A$1000,"&lt;="&amp;A383,$A$2:$A$1000,"&gt;="&amp;IF(Config!$B$1004="Y",A383-Config!$B$1005,DATE(1900,1,1)),$I$2:$I$1000,1)))))</f>
        <v>#ERROR!</v>
      </c>
      <c r="H383" s="39"/>
      <c r="I383" s="39">
        <f t="shared" si="1"/>
        <v>1</v>
      </c>
      <c r="J383" s="39" t="str">
        <f t="shared" si="2"/>
        <v/>
      </c>
      <c r="K383" s="39" t="str">
        <f t="array" ref="K383">IF(J383="","",IF(XLOOKUP(J383,Strike_Review_Queue!$I:$I,Strike_Review_Queue!$J:$J,"")="Approve","Approved",IF(XLOOKUP(J383,Strike_Review_Queue!$I:$I,Strike_Review_Queue!$J:$J,"")="Deny","Counts",H383)))</f>
        <v/>
      </c>
      <c r="L383" s="39" t="str">
        <f t="array" ref="L383">IF(J383="","",XLOOKUP(J383,Strike_Review_Queue!$I:$I,Strike_Review_Queue!$L:$L,""))</f>
        <v/>
      </c>
      <c r="M383" s="39" t="str">
        <f t="array" ref="M383">IF(J383="","",XLOOKUP(J383,Strike_Review_Queue!$I:$I,Strike_Review_Queue!$M:$M,""))</f>
        <v/>
      </c>
    </row>
    <row r="384" ht="15.75" customHeight="1">
      <c r="C384" s="39"/>
      <c r="D384" s="39" t="str">
        <f>IF(OR(B384="",A384=""),"",MAX(0,MIN(3,SUMIFS($C$2:$C$1000,$B$2:$B$1000,B384,$A$2:$A$1000,"&lt;="&amp;A384,$A$2:$A$1000,"&gt;="&amp;IF(Config!$B$1004="Y",A384-Config!$B$1005,DATE(1900,1,1)),$I$2:$I$1000,1)))))</f>
        <v>#ERROR!</v>
      </c>
      <c r="H384" s="39"/>
      <c r="I384" s="39">
        <f t="shared" si="1"/>
        <v>1</v>
      </c>
      <c r="J384" s="39" t="str">
        <f t="shared" si="2"/>
        <v/>
      </c>
      <c r="K384" s="39" t="str">
        <f t="array" ref="K384">IF(J384="","",IF(XLOOKUP(J384,Strike_Review_Queue!$I:$I,Strike_Review_Queue!$J:$J,"")="Approve","Approved",IF(XLOOKUP(J384,Strike_Review_Queue!$I:$I,Strike_Review_Queue!$J:$J,"")="Deny","Counts",H384)))</f>
        <v/>
      </c>
      <c r="L384" s="39" t="str">
        <f t="array" ref="L384">IF(J384="","",XLOOKUP(J384,Strike_Review_Queue!$I:$I,Strike_Review_Queue!$L:$L,""))</f>
        <v/>
      </c>
      <c r="M384" s="39" t="str">
        <f t="array" ref="M384">IF(J384="","",XLOOKUP(J384,Strike_Review_Queue!$I:$I,Strike_Review_Queue!$M:$M,""))</f>
        <v/>
      </c>
    </row>
    <row r="385" ht="15.75" customHeight="1">
      <c r="C385" s="39"/>
      <c r="D385" s="39" t="str">
        <f>IF(OR(B385="",A385=""),"",MAX(0,MIN(3,SUMIFS($C$2:$C$1000,$B$2:$B$1000,B385,$A$2:$A$1000,"&lt;="&amp;A385,$A$2:$A$1000,"&gt;="&amp;IF(Config!$B$1004="Y",A385-Config!$B$1005,DATE(1900,1,1)),$I$2:$I$1000,1)))))</f>
        <v>#ERROR!</v>
      </c>
      <c r="H385" s="39"/>
      <c r="I385" s="39">
        <f t="shared" si="1"/>
        <v>1</v>
      </c>
      <c r="J385" s="39" t="str">
        <f t="shared" si="2"/>
        <v/>
      </c>
      <c r="K385" s="39" t="str">
        <f t="array" ref="K385">IF(J385="","",IF(XLOOKUP(J385,Strike_Review_Queue!$I:$I,Strike_Review_Queue!$J:$J,"")="Approve","Approved",IF(XLOOKUP(J385,Strike_Review_Queue!$I:$I,Strike_Review_Queue!$J:$J,"")="Deny","Counts",H385)))</f>
        <v/>
      </c>
      <c r="L385" s="39" t="str">
        <f t="array" ref="L385">IF(J385="","",XLOOKUP(J385,Strike_Review_Queue!$I:$I,Strike_Review_Queue!$L:$L,""))</f>
        <v/>
      </c>
      <c r="M385" s="39" t="str">
        <f t="array" ref="M385">IF(J385="","",XLOOKUP(J385,Strike_Review_Queue!$I:$I,Strike_Review_Queue!$M:$M,""))</f>
        <v/>
      </c>
    </row>
    <row r="386" ht="15.75" customHeight="1">
      <c r="C386" s="39"/>
      <c r="D386" s="39" t="str">
        <f>IF(OR(B386="",A386=""),"",MAX(0,MIN(3,SUMIFS($C$2:$C$1000,$B$2:$B$1000,B386,$A$2:$A$1000,"&lt;="&amp;A386,$A$2:$A$1000,"&gt;="&amp;IF(Config!$B$1004="Y",A386-Config!$B$1005,DATE(1900,1,1)),$I$2:$I$1000,1)))))</f>
        <v>#ERROR!</v>
      </c>
      <c r="H386" s="39"/>
      <c r="I386" s="39">
        <f t="shared" si="1"/>
        <v>1</v>
      </c>
      <c r="J386" s="39" t="str">
        <f t="shared" si="2"/>
        <v/>
      </c>
      <c r="K386" s="39" t="str">
        <f t="array" ref="K386">IF(J386="","",IF(XLOOKUP(J386,Strike_Review_Queue!$I:$I,Strike_Review_Queue!$J:$J,"")="Approve","Approved",IF(XLOOKUP(J386,Strike_Review_Queue!$I:$I,Strike_Review_Queue!$J:$J,"")="Deny","Counts",H386)))</f>
        <v/>
      </c>
      <c r="L386" s="39" t="str">
        <f t="array" ref="L386">IF(J386="","",XLOOKUP(J386,Strike_Review_Queue!$I:$I,Strike_Review_Queue!$L:$L,""))</f>
        <v/>
      </c>
      <c r="M386" s="39" t="str">
        <f t="array" ref="M386">IF(J386="","",XLOOKUP(J386,Strike_Review_Queue!$I:$I,Strike_Review_Queue!$M:$M,""))</f>
        <v/>
      </c>
    </row>
    <row r="387" ht="15.75" customHeight="1">
      <c r="C387" s="39"/>
      <c r="D387" s="39" t="str">
        <f>IF(OR(B387="",A387=""),"",MAX(0,MIN(3,SUMIFS($C$2:$C$1000,$B$2:$B$1000,B387,$A$2:$A$1000,"&lt;="&amp;A387,$A$2:$A$1000,"&gt;="&amp;IF(Config!$B$1004="Y",A387-Config!$B$1005,DATE(1900,1,1)),$I$2:$I$1000,1)))))</f>
        <v>#ERROR!</v>
      </c>
      <c r="H387" s="39"/>
      <c r="I387" s="39">
        <f t="shared" si="1"/>
        <v>1</v>
      </c>
      <c r="J387" s="39" t="str">
        <f t="shared" si="2"/>
        <v/>
      </c>
      <c r="K387" s="39" t="str">
        <f t="array" ref="K387">IF(J387="","",IF(XLOOKUP(J387,Strike_Review_Queue!$I:$I,Strike_Review_Queue!$J:$J,"")="Approve","Approved",IF(XLOOKUP(J387,Strike_Review_Queue!$I:$I,Strike_Review_Queue!$J:$J,"")="Deny","Counts",H387)))</f>
        <v/>
      </c>
      <c r="L387" s="39" t="str">
        <f t="array" ref="L387">IF(J387="","",XLOOKUP(J387,Strike_Review_Queue!$I:$I,Strike_Review_Queue!$L:$L,""))</f>
        <v/>
      </c>
      <c r="M387" s="39" t="str">
        <f t="array" ref="M387">IF(J387="","",XLOOKUP(J387,Strike_Review_Queue!$I:$I,Strike_Review_Queue!$M:$M,""))</f>
        <v/>
      </c>
    </row>
    <row r="388" ht="15.75" customHeight="1">
      <c r="C388" s="39"/>
      <c r="D388" s="39" t="str">
        <f>IF(OR(B388="",A388=""),"",MAX(0,MIN(3,SUMIFS($C$2:$C$1000,$B$2:$B$1000,B388,$A$2:$A$1000,"&lt;="&amp;A388,$A$2:$A$1000,"&gt;="&amp;IF(Config!$B$1004="Y",A388-Config!$B$1005,DATE(1900,1,1)),$I$2:$I$1000,1)))))</f>
        <v>#ERROR!</v>
      </c>
      <c r="H388" s="39"/>
      <c r="I388" s="39">
        <f t="shared" si="1"/>
        <v>1</v>
      </c>
      <c r="J388" s="39" t="str">
        <f t="shared" si="2"/>
        <v/>
      </c>
      <c r="K388" s="39" t="str">
        <f t="array" ref="K388">IF(J388="","",IF(XLOOKUP(J388,Strike_Review_Queue!$I:$I,Strike_Review_Queue!$J:$J,"")="Approve","Approved",IF(XLOOKUP(J388,Strike_Review_Queue!$I:$I,Strike_Review_Queue!$J:$J,"")="Deny","Counts",H388)))</f>
        <v/>
      </c>
      <c r="L388" s="39" t="str">
        <f t="array" ref="L388">IF(J388="","",XLOOKUP(J388,Strike_Review_Queue!$I:$I,Strike_Review_Queue!$L:$L,""))</f>
        <v/>
      </c>
      <c r="M388" s="39" t="str">
        <f t="array" ref="M388">IF(J388="","",XLOOKUP(J388,Strike_Review_Queue!$I:$I,Strike_Review_Queue!$M:$M,""))</f>
        <v/>
      </c>
    </row>
    <row r="389" ht="15.75" customHeight="1">
      <c r="C389" s="39"/>
      <c r="D389" s="39" t="str">
        <f>IF(OR(B389="",A389=""),"",MAX(0,MIN(3,SUMIFS($C$2:$C$1000,$B$2:$B$1000,B389,$A$2:$A$1000,"&lt;="&amp;A389,$A$2:$A$1000,"&gt;="&amp;IF(Config!$B$1004="Y",A389-Config!$B$1005,DATE(1900,1,1)),$I$2:$I$1000,1)))))</f>
        <v>#ERROR!</v>
      </c>
      <c r="H389" s="39"/>
      <c r="I389" s="39">
        <f t="shared" si="1"/>
        <v>1</v>
      </c>
      <c r="J389" s="39" t="str">
        <f t="shared" si="2"/>
        <v/>
      </c>
      <c r="K389" s="39" t="str">
        <f t="array" ref="K389">IF(J389="","",IF(XLOOKUP(J389,Strike_Review_Queue!$I:$I,Strike_Review_Queue!$J:$J,"")="Approve","Approved",IF(XLOOKUP(J389,Strike_Review_Queue!$I:$I,Strike_Review_Queue!$J:$J,"")="Deny","Counts",H389)))</f>
        <v/>
      </c>
      <c r="L389" s="39" t="str">
        <f t="array" ref="L389">IF(J389="","",XLOOKUP(J389,Strike_Review_Queue!$I:$I,Strike_Review_Queue!$L:$L,""))</f>
        <v/>
      </c>
      <c r="M389" s="39" t="str">
        <f t="array" ref="M389">IF(J389="","",XLOOKUP(J389,Strike_Review_Queue!$I:$I,Strike_Review_Queue!$M:$M,""))</f>
        <v/>
      </c>
    </row>
    <row r="390" ht="15.75" customHeight="1">
      <c r="C390" s="39"/>
      <c r="D390" s="39" t="str">
        <f>IF(OR(B390="",A390=""),"",MAX(0,MIN(3,SUMIFS($C$2:$C$1000,$B$2:$B$1000,B390,$A$2:$A$1000,"&lt;="&amp;A390,$A$2:$A$1000,"&gt;="&amp;IF(Config!$B$1004="Y",A390-Config!$B$1005,DATE(1900,1,1)),$I$2:$I$1000,1)))))</f>
        <v>#ERROR!</v>
      </c>
      <c r="H390" s="39"/>
      <c r="I390" s="39">
        <f t="shared" si="1"/>
        <v>1</v>
      </c>
      <c r="J390" s="39" t="str">
        <f t="shared" si="2"/>
        <v/>
      </c>
      <c r="K390" s="39" t="str">
        <f t="array" ref="K390">IF(J390="","",IF(XLOOKUP(J390,Strike_Review_Queue!$I:$I,Strike_Review_Queue!$J:$J,"")="Approve","Approved",IF(XLOOKUP(J390,Strike_Review_Queue!$I:$I,Strike_Review_Queue!$J:$J,"")="Deny","Counts",H390)))</f>
        <v/>
      </c>
      <c r="L390" s="39" t="str">
        <f t="array" ref="L390">IF(J390="","",XLOOKUP(J390,Strike_Review_Queue!$I:$I,Strike_Review_Queue!$L:$L,""))</f>
        <v/>
      </c>
      <c r="M390" s="39" t="str">
        <f t="array" ref="M390">IF(J390="","",XLOOKUP(J390,Strike_Review_Queue!$I:$I,Strike_Review_Queue!$M:$M,""))</f>
        <v/>
      </c>
    </row>
    <row r="391" ht="15.75" customHeight="1">
      <c r="C391" s="39"/>
      <c r="D391" s="39" t="str">
        <f>IF(OR(B391="",A391=""),"",MAX(0,MIN(3,SUMIFS($C$2:$C$1000,$B$2:$B$1000,B391,$A$2:$A$1000,"&lt;="&amp;A391,$A$2:$A$1000,"&gt;="&amp;IF(Config!$B$1004="Y",A391-Config!$B$1005,DATE(1900,1,1)),$I$2:$I$1000,1)))))</f>
        <v>#ERROR!</v>
      </c>
      <c r="H391" s="39"/>
      <c r="I391" s="39">
        <f t="shared" si="1"/>
        <v>1</v>
      </c>
      <c r="J391" s="39" t="str">
        <f t="shared" si="2"/>
        <v/>
      </c>
      <c r="K391" s="39" t="str">
        <f t="array" ref="K391">IF(J391="","",IF(XLOOKUP(J391,Strike_Review_Queue!$I:$I,Strike_Review_Queue!$J:$J,"")="Approve","Approved",IF(XLOOKUP(J391,Strike_Review_Queue!$I:$I,Strike_Review_Queue!$J:$J,"")="Deny","Counts",H391)))</f>
        <v/>
      </c>
      <c r="L391" s="39" t="str">
        <f t="array" ref="L391">IF(J391="","",XLOOKUP(J391,Strike_Review_Queue!$I:$I,Strike_Review_Queue!$L:$L,""))</f>
        <v/>
      </c>
      <c r="M391" s="39" t="str">
        <f t="array" ref="M391">IF(J391="","",XLOOKUP(J391,Strike_Review_Queue!$I:$I,Strike_Review_Queue!$M:$M,""))</f>
        <v/>
      </c>
    </row>
    <row r="392" ht="15.75" customHeight="1">
      <c r="C392" s="39"/>
      <c r="D392" s="39" t="str">
        <f>IF(OR(B392="",A392=""),"",MAX(0,MIN(3,SUMIFS($C$2:$C$1000,$B$2:$B$1000,B392,$A$2:$A$1000,"&lt;="&amp;A392,$A$2:$A$1000,"&gt;="&amp;IF(Config!$B$1004="Y",A392-Config!$B$1005,DATE(1900,1,1)),$I$2:$I$1000,1)))))</f>
        <v>#ERROR!</v>
      </c>
      <c r="H392" s="39"/>
      <c r="I392" s="39">
        <f t="shared" si="1"/>
        <v>1</v>
      </c>
      <c r="J392" s="39" t="str">
        <f t="shared" si="2"/>
        <v/>
      </c>
      <c r="K392" s="39" t="str">
        <f t="array" ref="K392">IF(J392="","",IF(XLOOKUP(J392,Strike_Review_Queue!$I:$I,Strike_Review_Queue!$J:$J,"")="Approve","Approved",IF(XLOOKUP(J392,Strike_Review_Queue!$I:$I,Strike_Review_Queue!$J:$J,"")="Deny","Counts",H392)))</f>
        <v/>
      </c>
      <c r="L392" s="39" t="str">
        <f t="array" ref="L392">IF(J392="","",XLOOKUP(J392,Strike_Review_Queue!$I:$I,Strike_Review_Queue!$L:$L,""))</f>
        <v/>
      </c>
      <c r="M392" s="39" t="str">
        <f t="array" ref="M392">IF(J392="","",XLOOKUP(J392,Strike_Review_Queue!$I:$I,Strike_Review_Queue!$M:$M,""))</f>
        <v/>
      </c>
    </row>
    <row r="393" ht="15.75" customHeight="1">
      <c r="C393" s="39"/>
      <c r="D393" s="39" t="str">
        <f>IF(OR(B393="",A393=""),"",MAX(0,MIN(3,SUMIFS($C$2:$C$1000,$B$2:$B$1000,B393,$A$2:$A$1000,"&lt;="&amp;A393,$A$2:$A$1000,"&gt;="&amp;IF(Config!$B$1004="Y",A393-Config!$B$1005,DATE(1900,1,1)),$I$2:$I$1000,1)))))</f>
        <v>#ERROR!</v>
      </c>
      <c r="H393" s="39"/>
      <c r="I393" s="39">
        <f t="shared" si="1"/>
        <v>1</v>
      </c>
      <c r="J393" s="39" t="str">
        <f t="shared" si="2"/>
        <v/>
      </c>
      <c r="K393" s="39" t="str">
        <f t="array" ref="K393">IF(J393="","",IF(XLOOKUP(J393,Strike_Review_Queue!$I:$I,Strike_Review_Queue!$J:$J,"")="Approve","Approved",IF(XLOOKUP(J393,Strike_Review_Queue!$I:$I,Strike_Review_Queue!$J:$J,"")="Deny","Counts",H393)))</f>
        <v/>
      </c>
      <c r="L393" s="39" t="str">
        <f t="array" ref="L393">IF(J393="","",XLOOKUP(J393,Strike_Review_Queue!$I:$I,Strike_Review_Queue!$L:$L,""))</f>
        <v/>
      </c>
      <c r="M393" s="39" t="str">
        <f t="array" ref="M393">IF(J393="","",XLOOKUP(J393,Strike_Review_Queue!$I:$I,Strike_Review_Queue!$M:$M,""))</f>
        <v/>
      </c>
    </row>
    <row r="394" ht="15.75" customHeight="1">
      <c r="C394" s="39"/>
      <c r="D394" s="39" t="str">
        <f>IF(OR(B394="",A394=""),"",MAX(0,MIN(3,SUMIFS($C$2:$C$1000,$B$2:$B$1000,B394,$A$2:$A$1000,"&lt;="&amp;A394,$A$2:$A$1000,"&gt;="&amp;IF(Config!$B$1004="Y",A394-Config!$B$1005,DATE(1900,1,1)),$I$2:$I$1000,1)))))</f>
        <v>#ERROR!</v>
      </c>
      <c r="H394" s="39"/>
      <c r="I394" s="39">
        <f t="shared" si="1"/>
        <v>1</v>
      </c>
      <c r="J394" s="39" t="str">
        <f t="shared" si="2"/>
        <v/>
      </c>
      <c r="K394" s="39" t="str">
        <f t="array" ref="K394">IF(J394="","",IF(XLOOKUP(J394,Strike_Review_Queue!$I:$I,Strike_Review_Queue!$J:$J,"")="Approve","Approved",IF(XLOOKUP(J394,Strike_Review_Queue!$I:$I,Strike_Review_Queue!$J:$J,"")="Deny","Counts",H394)))</f>
        <v/>
      </c>
      <c r="L394" s="39" t="str">
        <f t="array" ref="L394">IF(J394="","",XLOOKUP(J394,Strike_Review_Queue!$I:$I,Strike_Review_Queue!$L:$L,""))</f>
        <v/>
      </c>
      <c r="M394" s="39" t="str">
        <f t="array" ref="M394">IF(J394="","",XLOOKUP(J394,Strike_Review_Queue!$I:$I,Strike_Review_Queue!$M:$M,""))</f>
        <v/>
      </c>
    </row>
    <row r="395" ht="15.75" customHeight="1">
      <c r="C395" s="39"/>
      <c r="D395" s="39" t="str">
        <f>IF(OR(B395="",A395=""),"",MAX(0,MIN(3,SUMIFS($C$2:$C$1000,$B$2:$B$1000,B395,$A$2:$A$1000,"&lt;="&amp;A395,$A$2:$A$1000,"&gt;="&amp;IF(Config!$B$1004="Y",A395-Config!$B$1005,DATE(1900,1,1)),$I$2:$I$1000,1)))))</f>
        <v>#ERROR!</v>
      </c>
      <c r="H395" s="39"/>
      <c r="I395" s="39">
        <f t="shared" si="1"/>
        <v>1</v>
      </c>
      <c r="J395" s="39" t="str">
        <f t="shared" si="2"/>
        <v/>
      </c>
      <c r="K395" s="39" t="str">
        <f t="array" ref="K395">IF(J395="","",IF(XLOOKUP(J395,Strike_Review_Queue!$I:$I,Strike_Review_Queue!$J:$J,"")="Approve","Approved",IF(XLOOKUP(J395,Strike_Review_Queue!$I:$I,Strike_Review_Queue!$J:$J,"")="Deny","Counts",H395)))</f>
        <v/>
      </c>
      <c r="L395" s="39" t="str">
        <f t="array" ref="L395">IF(J395="","",XLOOKUP(J395,Strike_Review_Queue!$I:$I,Strike_Review_Queue!$L:$L,""))</f>
        <v/>
      </c>
      <c r="M395" s="39" t="str">
        <f t="array" ref="M395">IF(J395="","",XLOOKUP(J395,Strike_Review_Queue!$I:$I,Strike_Review_Queue!$M:$M,""))</f>
        <v/>
      </c>
    </row>
    <row r="396" ht="15.75" customHeight="1">
      <c r="C396" s="39"/>
      <c r="D396" s="39" t="str">
        <f>IF(OR(B396="",A396=""),"",MAX(0,MIN(3,SUMIFS($C$2:$C$1000,$B$2:$B$1000,B396,$A$2:$A$1000,"&lt;="&amp;A396,$A$2:$A$1000,"&gt;="&amp;IF(Config!$B$1004="Y",A396-Config!$B$1005,DATE(1900,1,1)),$I$2:$I$1000,1)))))</f>
        <v>#ERROR!</v>
      </c>
      <c r="H396" s="39"/>
      <c r="I396" s="39">
        <f t="shared" si="1"/>
        <v>1</v>
      </c>
      <c r="J396" s="39" t="str">
        <f t="shared" si="2"/>
        <v/>
      </c>
      <c r="K396" s="39" t="str">
        <f t="array" ref="K396">IF(J396="","",IF(XLOOKUP(J396,Strike_Review_Queue!$I:$I,Strike_Review_Queue!$J:$J,"")="Approve","Approved",IF(XLOOKUP(J396,Strike_Review_Queue!$I:$I,Strike_Review_Queue!$J:$J,"")="Deny","Counts",H396)))</f>
        <v/>
      </c>
      <c r="L396" s="39" t="str">
        <f t="array" ref="L396">IF(J396="","",XLOOKUP(J396,Strike_Review_Queue!$I:$I,Strike_Review_Queue!$L:$L,""))</f>
        <v/>
      </c>
      <c r="M396" s="39" t="str">
        <f t="array" ref="M396">IF(J396="","",XLOOKUP(J396,Strike_Review_Queue!$I:$I,Strike_Review_Queue!$M:$M,""))</f>
        <v/>
      </c>
    </row>
    <row r="397" ht="15.75" customHeight="1">
      <c r="C397" s="39"/>
      <c r="D397" s="39" t="str">
        <f>IF(OR(B397="",A397=""),"",MAX(0,MIN(3,SUMIFS($C$2:$C$1000,$B$2:$B$1000,B397,$A$2:$A$1000,"&lt;="&amp;A397,$A$2:$A$1000,"&gt;="&amp;IF(Config!$B$1004="Y",A397-Config!$B$1005,DATE(1900,1,1)),$I$2:$I$1000,1)))))</f>
        <v>#ERROR!</v>
      </c>
      <c r="H397" s="39"/>
      <c r="I397" s="39">
        <f t="shared" si="1"/>
        <v>1</v>
      </c>
      <c r="J397" s="39" t="str">
        <f t="shared" si="2"/>
        <v/>
      </c>
      <c r="K397" s="39" t="str">
        <f t="array" ref="K397">IF(J397="","",IF(XLOOKUP(J397,Strike_Review_Queue!$I:$I,Strike_Review_Queue!$J:$J,"")="Approve","Approved",IF(XLOOKUP(J397,Strike_Review_Queue!$I:$I,Strike_Review_Queue!$J:$J,"")="Deny","Counts",H397)))</f>
        <v/>
      </c>
      <c r="L397" s="39" t="str">
        <f t="array" ref="L397">IF(J397="","",XLOOKUP(J397,Strike_Review_Queue!$I:$I,Strike_Review_Queue!$L:$L,""))</f>
        <v/>
      </c>
      <c r="M397" s="39" t="str">
        <f t="array" ref="M397">IF(J397="","",XLOOKUP(J397,Strike_Review_Queue!$I:$I,Strike_Review_Queue!$M:$M,""))</f>
        <v/>
      </c>
    </row>
    <row r="398" ht="15.75" customHeight="1">
      <c r="C398" s="39"/>
      <c r="D398" s="39" t="str">
        <f>IF(OR(B398="",A398=""),"",MAX(0,MIN(3,SUMIFS($C$2:$C$1000,$B$2:$B$1000,B398,$A$2:$A$1000,"&lt;="&amp;A398,$A$2:$A$1000,"&gt;="&amp;IF(Config!$B$1004="Y",A398-Config!$B$1005,DATE(1900,1,1)),$I$2:$I$1000,1)))))</f>
        <v>#ERROR!</v>
      </c>
      <c r="H398" s="39"/>
      <c r="I398" s="39">
        <f t="shared" si="1"/>
        <v>1</v>
      </c>
      <c r="J398" s="39" t="str">
        <f t="shared" si="2"/>
        <v/>
      </c>
      <c r="K398" s="39" t="str">
        <f t="array" ref="K398">IF(J398="","",IF(XLOOKUP(J398,Strike_Review_Queue!$I:$I,Strike_Review_Queue!$J:$J,"")="Approve","Approved",IF(XLOOKUP(J398,Strike_Review_Queue!$I:$I,Strike_Review_Queue!$J:$J,"")="Deny","Counts",H398)))</f>
        <v/>
      </c>
      <c r="L398" s="39" t="str">
        <f t="array" ref="L398">IF(J398="","",XLOOKUP(J398,Strike_Review_Queue!$I:$I,Strike_Review_Queue!$L:$L,""))</f>
        <v/>
      </c>
      <c r="M398" s="39" t="str">
        <f t="array" ref="M398">IF(J398="","",XLOOKUP(J398,Strike_Review_Queue!$I:$I,Strike_Review_Queue!$M:$M,""))</f>
        <v/>
      </c>
    </row>
    <row r="399" ht="15.75" customHeight="1">
      <c r="C399" s="39"/>
      <c r="D399" s="39" t="str">
        <f>IF(OR(B399="",A399=""),"",MAX(0,MIN(3,SUMIFS($C$2:$C$1000,$B$2:$B$1000,B399,$A$2:$A$1000,"&lt;="&amp;A399,$A$2:$A$1000,"&gt;="&amp;IF(Config!$B$1004="Y",A399-Config!$B$1005,DATE(1900,1,1)),$I$2:$I$1000,1)))))</f>
        <v>#ERROR!</v>
      </c>
      <c r="H399" s="39"/>
      <c r="I399" s="39">
        <f t="shared" si="1"/>
        <v>1</v>
      </c>
      <c r="J399" s="39" t="str">
        <f t="shared" si="2"/>
        <v/>
      </c>
      <c r="K399" s="39" t="str">
        <f t="array" ref="K399">IF(J399="","",IF(XLOOKUP(J399,Strike_Review_Queue!$I:$I,Strike_Review_Queue!$J:$J,"")="Approve","Approved",IF(XLOOKUP(J399,Strike_Review_Queue!$I:$I,Strike_Review_Queue!$J:$J,"")="Deny","Counts",H399)))</f>
        <v/>
      </c>
      <c r="L399" s="39" t="str">
        <f t="array" ref="L399">IF(J399="","",XLOOKUP(J399,Strike_Review_Queue!$I:$I,Strike_Review_Queue!$L:$L,""))</f>
        <v/>
      </c>
      <c r="M399" s="39" t="str">
        <f t="array" ref="M399">IF(J399="","",XLOOKUP(J399,Strike_Review_Queue!$I:$I,Strike_Review_Queue!$M:$M,""))</f>
        <v/>
      </c>
    </row>
    <row r="400" ht="15.75" customHeight="1">
      <c r="C400" s="39"/>
      <c r="D400" s="39" t="str">
        <f>IF(OR(B400="",A400=""),"",MAX(0,MIN(3,SUMIFS($C$2:$C$1000,$B$2:$B$1000,B400,$A$2:$A$1000,"&lt;="&amp;A400,$A$2:$A$1000,"&gt;="&amp;IF(Config!$B$1004="Y",A400-Config!$B$1005,DATE(1900,1,1)),$I$2:$I$1000,1)))))</f>
        <v>#ERROR!</v>
      </c>
      <c r="H400" s="39"/>
      <c r="I400" s="39">
        <f t="shared" si="1"/>
        <v>1</v>
      </c>
      <c r="J400" s="39" t="str">
        <f t="shared" si="2"/>
        <v/>
      </c>
      <c r="K400" s="39" t="str">
        <f t="array" ref="K400">IF(J400="","",IF(XLOOKUP(J400,Strike_Review_Queue!$I:$I,Strike_Review_Queue!$J:$J,"")="Approve","Approved",IF(XLOOKUP(J400,Strike_Review_Queue!$I:$I,Strike_Review_Queue!$J:$J,"")="Deny","Counts",H400)))</f>
        <v/>
      </c>
      <c r="L400" s="39" t="str">
        <f t="array" ref="L400">IF(J400="","",XLOOKUP(J400,Strike_Review_Queue!$I:$I,Strike_Review_Queue!$L:$L,""))</f>
        <v/>
      </c>
      <c r="M400" s="39" t="str">
        <f t="array" ref="M400">IF(J400="","",XLOOKUP(J400,Strike_Review_Queue!$I:$I,Strike_Review_Queue!$M:$M,""))</f>
        <v/>
      </c>
    </row>
    <row r="401" ht="15.75" customHeight="1">
      <c r="C401" s="39"/>
      <c r="D401" s="39" t="str">
        <f>IF(OR(B401="",A401=""),"",MAX(0,MIN(3,SUMIFS($C$2:$C$1000,$B$2:$B$1000,B401,$A$2:$A$1000,"&lt;="&amp;A401,$A$2:$A$1000,"&gt;="&amp;IF(Config!$B$1004="Y",A401-Config!$B$1005,DATE(1900,1,1)),$I$2:$I$1000,1)))))</f>
        <v>#ERROR!</v>
      </c>
      <c r="H401" s="39"/>
      <c r="I401" s="39">
        <f t="shared" si="1"/>
        <v>1</v>
      </c>
      <c r="J401" s="39" t="str">
        <f t="shared" si="2"/>
        <v/>
      </c>
      <c r="K401" s="39" t="str">
        <f t="array" ref="K401">IF(J401="","",IF(XLOOKUP(J401,Strike_Review_Queue!$I:$I,Strike_Review_Queue!$J:$J,"")="Approve","Approved",IF(XLOOKUP(J401,Strike_Review_Queue!$I:$I,Strike_Review_Queue!$J:$J,"")="Deny","Counts",H401)))</f>
        <v/>
      </c>
      <c r="L401" s="39" t="str">
        <f t="array" ref="L401">IF(J401="","",XLOOKUP(J401,Strike_Review_Queue!$I:$I,Strike_Review_Queue!$L:$L,""))</f>
        <v/>
      </c>
      <c r="M401" s="39" t="str">
        <f t="array" ref="M401">IF(J401="","",XLOOKUP(J401,Strike_Review_Queue!$I:$I,Strike_Review_Queue!$M:$M,""))</f>
        <v/>
      </c>
    </row>
    <row r="402" ht="15.75" customHeight="1">
      <c r="C402" s="39"/>
      <c r="D402" s="39" t="str">
        <f>IF(OR(B402="",A402=""),"",MAX(0,MIN(3,SUMIFS($C$2:$C$1000,$B$2:$B$1000,B402,$A$2:$A$1000,"&lt;="&amp;A402,$A$2:$A$1000,"&gt;="&amp;IF(Config!$B$1004="Y",A402-Config!$B$1005,DATE(1900,1,1)),$I$2:$I$1000,1)))))</f>
        <v>#ERROR!</v>
      </c>
      <c r="H402" s="39"/>
      <c r="I402" s="39">
        <f t="shared" si="1"/>
        <v>1</v>
      </c>
      <c r="J402" s="39" t="str">
        <f t="shared" si="2"/>
        <v/>
      </c>
      <c r="K402" s="39" t="str">
        <f t="array" ref="K402">IF(J402="","",IF(XLOOKUP(J402,Strike_Review_Queue!$I:$I,Strike_Review_Queue!$J:$J,"")="Approve","Approved",IF(XLOOKUP(J402,Strike_Review_Queue!$I:$I,Strike_Review_Queue!$J:$J,"")="Deny","Counts",H402)))</f>
        <v/>
      </c>
      <c r="L402" s="39" t="str">
        <f t="array" ref="L402">IF(J402="","",XLOOKUP(J402,Strike_Review_Queue!$I:$I,Strike_Review_Queue!$L:$L,""))</f>
        <v/>
      </c>
      <c r="M402" s="39" t="str">
        <f t="array" ref="M402">IF(J402="","",XLOOKUP(J402,Strike_Review_Queue!$I:$I,Strike_Review_Queue!$M:$M,""))</f>
        <v/>
      </c>
    </row>
    <row r="403" ht="15.75" customHeight="1">
      <c r="C403" s="39"/>
      <c r="D403" s="39" t="str">
        <f>IF(OR(B403="",A403=""),"",MAX(0,MIN(3,SUMIFS($C$2:$C$1000,$B$2:$B$1000,B403,$A$2:$A$1000,"&lt;="&amp;A403,$A$2:$A$1000,"&gt;="&amp;IF(Config!$B$1004="Y",A403-Config!$B$1005,DATE(1900,1,1)),$I$2:$I$1000,1)))))</f>
        <v>#ERROR!</v>
      </c>
      <c r="H403" s="39"/>
      <c r="I403" s="39">
        <f t="shared" si="1"/>
        <v>1</v>
      </c>
      <c r="J403" s="39" t="str">
        <f t="shared" si="2"/>
        <v/>
      </c>
      <c r="K403" s="39" t="str">
        <f t="array" ref="K403">IF(J403="","",IF(XLOOKUP(J403,Strike_Review_Queue!$I:$I,Strike_Review_Queue!$J:$J,"")="Approve","Approved",IF(XLOOKUP(J403,Strike_Review_Queue!$I:$I,Strike_Review_Queue!$J:$J,"")="Deny","Counts",H403)))</f>
        <v/>
      </c>
      <c r="L403" s="39" t="str">
        <f t="array" ref="L403">IF(J403="","",XLOOKUP(J403,Strike_Review_Queue!$I:$I,Strike_Review_Queue!$L:$L,""))</f>
        <v/>
      </c>
      <c r="M403" s="39" t="str">
        <f t="array" ref="M403">IF(J403="","",XLOOKUP(J403,Strike_Review_Queue!$I:$I,Strike_Review_Queue!$M:$M,""))</f>
        <v/>
      </c>
    </row>
    <row r="404" ht="15.75" customHeight="1">
      <c r="C404" s="39"/>
      <c r="D404" s="39" t="str">
        <f>IF(OR(B404="",A404=""),"",MAX(0,MIN(3,SUMIFS($C$2:$C$1000,$B$2:$B$1000,B404,$A$2:$A$1000,"&lt;="&amp;A404,$A$2:$A$1000,"&gt;="&amp;IF(Config!$B$1004="Y",A404-Config!$B$1005,DATE(1900,1,1)),$I$2:$I$1000,1)))))</f>
        <v>#ERROR!</v>
      </c>
      <c r="H404" s="39"/>
      <c r="I404" s="39">
        <f t="shared" si="1"/>
        <v>1</v>
      </c>
      <c r="J404" s="39" t="str">
        <f t="shared" si="2"/>
        <v/>
      </c>
      <c r="K404" s="39" t="str">
        <f t="array" ref="K404">IF(J404="","",IF(XLOOKUP(J404,Strike_Review_Queue!$I:$I,Strike_Review_Queue!$J:$J,"")="Approve","Approved",IF(XLOOKUP(J404,Strike_Review_Queue!$I:$I,Strike_Review_Queue!$J:$J,"")="Deny","Counts",H404)))</f>
        <v/>
      </c>
      <c r="L404" s="39" t="str">
        <f t="array" ref="L404">IF(J404="","",XLOOKUP(J404,Strike_Review_Queue!$I:$I,Strike_Review_Queue!$L:$L,""))</f>
        <v/>
      </c>
      <c r="M404" s="39" t="str">
        <f t="array" ref="M404">IF(J404="","",XLOOKUP(J404,Strike_Review_Queue!$I:$I,Strike_Review_Queue!$M:$M,""))</f>
        <v/>
      </c>
    </row>
    <row r="405" ht="15.75" customHeight="1">
      <c r="C405" s="39"/>
      <c r="D405" s="39" t="str">
        <f>IF(OR(B405="",A405=""),"",MAX(0,MIN(3,SUMIFS($C$2:$C$1000,$B$2:$B$1000,B405,$A$2:$A$1000,"&lt;="&amp;A405,$A$2:$A$1000,"&gt;="&amp;IF(Config!$B$1004="Y",A405-Config!$B$1005,DATE(1900,1,1)),$I$2:$I$1000,1)))))</f>
        <v>#ERROR!</v>
      </c>
      <c r="H405" s="39"/>
      <c r="I405" s="39">
        <f t="shared" si="1"/>
        <v>1</v>
      </c>
      <c r="J405" s="39" t="str">
        <f t="shared" si="2"/>
        <v/>
      </c>
      <c r="K405" s="39" t="str">
        <f t="array" ref="K405">IF(J405="","",IF(XLOOKUP(J405,Strike_Review_Queue!$I:$I,Strike_Review_Queue!$J:$J,"")="Approve","Approved",IF(XLOOKUP(J405,Strike_Review_Queue!$I:$I,Strike_Review_Queue!$J:$J,"")="Deny","Counts",H405)))</f>
        <v/>
      </c>
      <c r="L405" s="39" t="str">
        <f t="array" ref="L405">IF(J405="","",XLOOKUP(J405,Strike_Review_Queue!$I:$I,Strike_Review_Queue!$L:$L,""))</f>
        <v/>
      </c>
      <c r="M405" s="39" t="str">
        <f t="array" ref="M405">IF(J405="","",XLOOKUP(J405,Strike_Review_Queue!$I:$I,Strike_Review_Queue!$M:$M,""))</f>
        <v/>
      </c>
    </row>
    <row r="406" ht="15.75" customHeight="1">
      <c r="C406" s="39"/>
      <c r="D406" s="39" t="str">
        <f>IF(OR(B406="",A406=""),"",MAX(0,MIN(3,SUMIFS($C$2:$C$1000,$B$2:$B$1000,B406,$A$2:$A$1000,"&lt;="&amp;A406,$A$2:$A$1000,"&gt;="&amp;IF(Config!$B$1004="Y",A406-Config!$B$1005,DATE(1900,1,1)),$I$2:$I$1000,1)))))</f>
        <v>#ERROR!</v>
      </c>
      <c r="H406" s="39"/>
      <c r="I406" s="39">
        <f t="shared" si="1"/>
        <v>1</v>
      </c>
      <c r="J406" s="39" t="str">
        <f t="shared" si="2"/>
        <v/>
      </c>
      <c r="K406" s="39" t="str">
        <f t="array" ref="K406">IF(J406="","",IF(XLOOKUP(J406,Strike_Review_Queue!$I:$I,Strike_Review_Queue!$J:$J,"")="Approve","Approved",IF(XLOOKUP(J406,Strike_Review_Queue!$I:$I,Strike_Review_Queue!$J:$J,"")="Deny","Counts",H406)))</f>
        <v/>
      </c>
      <c r="L406" s="39" t="str">
        <f t="array" ref="L406">IF(J406="","",XLOOKUP(J406,Strike_Review_Queue!$I:$I,Strike_Review_Queue!$L:$L,""))</f>
        <v/>
      </c>
      <c r="M406" s="39" t="str">
        <f t="array" ref="M406">IF(J406="","",XLOOKUP(J406,Strike_Review_Queue!$I:$I,Strike_Review_Queue!$M:$M,""))</f>
        <v/>
      </c>
    </row>
    <row r="407" ht="15.75" customHeight="1">
      <c r="C407" s="39"/>
      <c r="D407" s="39" t="str">
        <f>IF(OR(B407="",A407=""),"",MAX(0,MIN(3,SUMIFS($C$2:$C$1000,$B$2:$B$1000,B407,$A$2:$A$1000,"&lt;="&amp;A407,$A$2:$A$1000,"&gt;="&amp;IF(Config!$B$1004="Y",A407-Config!$B$1005,DATE(1900,1,1)),$I$2:$I$1000,1)))))</f>
        <v>#ERROR!</v>
      </c>
      <c r="H407" s="39"/>
      <c r="I407" s="39">
        <f t="shared" si="1"/>
        <v>1</v>
      </c>
      <c r="J407" s="39" t="str">
        <f t="shared" si="2"/>
        <v/>
      </c>
      <c r="K407" s="39" t="str">
        <f t="array" ref="K407">IF(J407="","",IF(XLOOKUP(J407,Strike_Review_Queue!$I:$I,Strike_Review_Queue!$J:$J,"")="Approve","Approved",IF(XLOOKUP(J407,Strike_Review_Queue!$I:$I,Strike_Review_Queue!$J:$J,"")="Deny","Counts",H407)))</f>
        <v/>
      </c>
      <c r="L407" s="39" t="str">
        <f t="array" ref="L407">IF(J407="","",XLOOKUP(J407,Strike_Review_Queue!$I:$I,Strike_Review_Queue!$L:$L,""))</f>
        <v/>
      </c>
      <c r="M407" s="39" t="str">
        <f t="array" ref="M407">IF(J407="","",XLOOKUP(J407,Strike_Review_Queue!$I:$I,Strike_Review_Queue!$M:$M,""))</f>
        <v/>
      </c>
    </row>
    <row r="408" ht="15.75" customHeight="1">
      <c r="C408" s="39"/>
      <c r="D408" s="39" t="str">
        <f>IF(OR(B408="",A408=""),"",MAX(0,MIN(3,SUMIFS($C$2:$C$1000,$B$2:$B$1000,B408,$A$2:$A$1000,"&lt;="&amp;A408,$A$2:$A$1000,"&gt;="&amp;IF(Config!$B$1004="Y",A408-Config!$B$1005,DATE(1900,1,1)),$I$2:$I$1000,1)))))</f>
        <v>#ERROR!</v>
      </c>
      <c r="H408" s="39"/>
      <c r="I408" s="39">
        <f t="shared" si="1"/>
        <v>1</v>
      </c>
      <c r="J408" s="39" t="str">
        <f t="shared" si="2"/>
        <v/>
      </c>
      <c r="K408" s="39" t="str">
        <f t="array" ref="K408">IF(J408="","",IF(XLOOKUP(J408,Strike_Review_Queue!$I:$I,Strike_Review_Queue!$J:$J,"")="Approve","Approved",IF(XLOOKUP(J408,Strike_Review_Queue!$I:$I,Strike_Review_Queue!$J:$J,"")="Deny","Counts",H408)))</f>
        <v/>
      </c>
      <c r="L408" s="39" t="str">
        <f t="array" ref="L408">IF(J408="","",XLOOKUP(J408,Strike_Review_Queue!$I:$I,Strike_Review_Queue!$L:$L,""))</f>
        <v/>
      </c>
      <c r="M408" s="39" t="str">
        <f t="array" ref="M408">IF(J408="","",XLOOKUP(J408,Strike_Review_Queue!$I:$I,Strike_Review_Queue!$M:$M,""))</f>
        <v/>
      </c>
    </row>
    <row r="409" ht="15.75" customHeight="1">
      <c r="C409" s="39"/>
      <c r="D409" s="39" t="str">
        <f>IF(OR(B409="",A409=""),"",MAX(0,MIN(3,SUMIFS($C$2:$C$1000,$B$2:$B$1000,B409,$A$2:$A$1000,"&lt;="&amp;A409,$A$2:$A$1000,"&gt;="&amp;IF(Config!$B$1004="Y",A409-Config!$B$1005,DATE(1900,1,1)),$I$2:$I$1000,1)))))</f>
        <v>#ERROR!</v>
      </c>
      <c r="H409" s="39"/>
      <c r="I409" s="39">
        <f t="shared" si="1"/>
        <v>1</v>
      </c>
      <c r="J409" s="39" t="str">
        <f t="shared" si="2"/>
        <v/>
      </c>
      <c r="K409" s="39" t="str">
        <f t="array" ref="K409">IF(J409="","",IF(XLOOKUP(J409,Strike_Review_Queue!$I:$I,Strike_Review_Queue!$J:$J,"")="Approve","Approved",IF(XLOOKUP(J409,Strike_Review_Queue!$I:$I,Strike_Review_Queue!$J:$J,"")="Deny","Counts",H409)))</f>
        <v/>
      </c>
      <c r="L409" s="39" t="str">
        <f t="array" ref="L409">IF(J409="","",XLOOKUP(J409,Strike_Review_Queue!$I:$I,Strike_Review_Queue!$L:$L,""))</f>
        <v/>
      </c>
      <c r="M409" s="39" t="str">
        <f t="array" ref="M409">IF(J409="","",XLOOKUP(J409,Strike_Review_Queue!$I:$I,Strike_Review_Queue!$M:$M,""))</f>
        <v/>
      </c>
    </row>
    <row r="410" ht="15.75" customHeight="1">
      <c r="C410" s="39"/>
      <c r="D410" s="39" t="str">
        <f>IF(OR(B410="",A410=""),"",MAX(0,MIN(3,SUMIFS($C$2:$C$1000,$B$2:$B$1000,B410,$A$2:$A$1000,"&lt;="&amp;A410,$A$2:$A$1000,"&gt;="&amp;IF(Config!$B$1004="Y",A410-Config!$B$1005,DATE(1900,1,1)),$I$2:$I$1000,1)))))</f>
        <v>#ERROR!</v>
      </c>
      <c r="H410" s="39"/>
      <c r="I410" s="39">
        <f t="shared" si="1"/>
        <v>1</v>
      </c>
      <c r="J410" s="39" t="str">
        <f t="shared" si="2"/>
        <v/>
      </c>
      <c r="K410" s="39" t="str">
        <f t="array" ref="K410">IF(J410="","",IF(XLOOKUP(J410,Strike_Review_Queue!$I:$I,Strike_Review_Queue!$J:$J,"")="Approve","Approved",IF(XLOOKUP(J410,Strike_Review_Queue!$I:$I,Strike_Review_Queue!$J:$J,"")="Deny","Counts",H410)))</f>
        <v/>
      </c>
      <c r="L410" s="39" t="str">
        <f t="array" ref="L410">IF(J410="","",XLOOKUP(J410,Strike_Review_Queue!$I:$I,Strike_Review_Queue!$L:$L,""))</f>
        <v/>
      </c>
      <c r="M410" s="39" t="str">
        <f t="array" ref="M410">IF(J410="","",XLOOKUP(J410,Strike_Review_Queue!$I:$I,Strike_Review_Queue!$M:$M,""))</f>
        <v/>
      </c>
    </row>
    <row r="411" ht="15.75" customHeight="1">
      <c r="C411" s="39"/>
      <c r="D411" s="39" t="str">
        <f>IF(OR(B411="",A411=""),"",MAX(0,MIN(3,SUMIFS($C$2:$C$1000,$B$2:$B$1000,B411,$A$2:$A$1000,"&lt;="&amp;A411,$A$2:$A$1000,"&gt;="&amp;IF(Config!$B$1004="Y",A411-Config!$B$1005,DATE(1900,1,1)),$I$2:$I$1000,1)))))</f>
        <v>#ERROR!</v>
      </c>
      <c r="H411" s="39"/>
      <c r="I411" s="39">
        <f t="shared" si="1"/>
        <v>1</v>
      </c>
      <c r="J411" s="39" t="str">
        <f t="shared" si="2"/>
        <v/>
      </c>
      <c r="K411" s="39" t="str">
        <f t="array" ref="K411">IF(J411="","",IF(XLOOKUP(J411,Strike_Review_Queue!$I:$I,Strike_Review_Queue!$J:$J,"")="Approve","Approved",IF(XLOOKUP(J411,Strike_Review_Queue!$I:$I,Strike_Review_Queue!$J:$J,"")="Deny","Counts",H411)))</f>
        <v/>
      </c>
      <c r="L411" s="39" t="str">
        <f t="array" ref="L411">IF(J411="","",XLOOKUP(J411,Strike_Review_Queue!$I:$I,Strike_Review_Queue!$L:$L,""))</f>
        <v/>
      </c>
      <c r="M411" s="39" t="str">
        <f t="array" ref="M411">IF(J411="","",XLOOKUP(J411,Strike_Review_Queue!$I:$I,Strike_Review_Queue!$M:$M,""))</f>
        <v/>
      </c>
    </row>
    <row r="412" ht="15.75" customHeight="1">
      <c r="C412" s="39"/>
      <c r="D412" s="39" t="str">
        <f>IF(OR(B412="",A412=""),"",MAX(0,MIN(3,SUMIFS($C$2:$C$1000,$B$2:$B$1000,B412,$A$2:$A$1000,"&lt;="&amp;A412,$A$2:$A$1000,"&gt;="&amp;IF(Config!$B$1004="Y",A412-Config!$B$1005,DATE(1900,1,1)),$I$2:$I$1000,1)))))</f>
        <v>#ERROR!</v>
      </c>
      <c r="H412" s="39"/>
      <c r="I412" s="39">
        <f t="shared" si="1"/>
        <v>1</v>
      </c>
      <c r="J412" s="39" t="str">
        <f t="shared" si="2"/>
        <v/>
      </c>
      <c r="K412" s="39" t="str">
        <f t="array" ref="K412">IF(J412="","",IF(XLOOKUP(J412,Strike_Review_Queue!$I:$I,Strike_Review_Queue!$J:$J,"")="Approve","Approved",IF(XLOOKUP(J412,Strike_Review_Queue!$I:$I,Strike_Review_Queue!$J:$J,"")="Deny","Counts",H412)))</f>
        <v/>
      </c>
      <c r="L412" s="39" t="str">
        <f t="array" ref="L412">IF(J412="","",XLOOKUP(J412,Strike_Review_Queue!$I:$I,Strike_Review_Queue!$L:$L,""))</f>
        <v/>
      </c>
      <c r="M412" s="39" t="str">
        <f t="array" ref="M412">IF(J412="","",XLOOKUP(J412,Strike_Review_Queue!$I:$I,Strike_Review_Queue!$M:$M,""))</f>
        <v/>
      </c>
    </row>
    <row r="413" ht="15.75" customHeight="1">
      <c r="C413" s="39"/>
      <c r="D413" s="39" t="str">
        <f>IF(OR(B413="",A413=""),"",MAX(0,MIN(3,SUMIFS($C$2:$C$1000,$B$2:$B$1000,B413,$A$2:$A$1000,"&lt;="&amp;A413,$A$2:$A$1000,"&gt;="&amp;IF(Config!$B$1004="Y",A413-Config!$B$1005,DATE(1900,1,1)),$I$2:$I$1000,1)))))</f>
        <v>#ERROR!</v>
      </c>
      <c r="H413" s="39"/>
      <c r="I413" s="39">
        <f t="shared" si="1"/>
        <v>1</v>
      </c>
      <c r="J413" s="39" t="str">
        <f t="shared" si="2"/>
        <v/>
      </c>
      <c r="K413" s="39" t="str">
        <f t="array" ref="K413">IF(J413="","",IF(XLOOKUP(J413,Strike_Review_Queue!$I:$I,Strike_Review_Queue!$J:$J,"")="Approve","Approved",IF(XLOOKUP(J413,Strike_Review_Queue!$I:$I,Strike_Review_Queue!$J:$J,"")="Deny","Counts",H413)))</f>
        <v/>
      </c>
      <c r="L413" s="39" t="str">
        <f t="array" ref="L413">IF(J413="","",XLOOKUP(J413,Strike_Review_Queue!$I:$I,Strike_Review_Queue!$L:$L,""))</f>
        <v/>
      </c>
      <c r="M413" s="39" t="str">
        <f t="array" ref="M413">IF(J413="","",XLOOKUP(J413,Strike_Review_Queue!$I:$I,Strike_Review_Queue!$M:$M,""))</f>
        <v/>
      </c>
    </row>
    <row r="414" ht="15.75" customHeight="1">
      <c r="C414" s="39"/>
      <c r="D414" s="39" t="str">
        <f>IF(OR(B414="",A414=""),"",MAX(0,MIN(3,SUMIFS($C$2:$C$1000,$B$2:$B$1000,B414,$A$2:$A$1000,"&lt;="&amp;A414,$A$2:$A$1000,"&gt;="&amp;IF(Config!$B$1004="Y",A414-Config!$B$1005,DATE(1900,1,1)),$I$2:$I$1000,1)))))</f>
        <v>#ERROR!</v>
      </c>
      <c r="H414" s="39"/>
      <c r="I414" s="39">
        <f t="shared" si="1"/>
        <v>1</v>
      </c>
      <c r="J414" s="39" t="str">
        <f t="shared" si="2"/>
        <v/>
      </c>
      <c r="K414" s="39" t="str">
        <f t="array" ref="K414">IF(J414="","",IF(XLOOKUP(J414,Strike_Review_Queue!$I:$I,Strike_Review_Queue!$J:$J,"")="Approve","Approved",IF(XLOOKUP(J414,Strike_Review_Queue!$I:$I,Strike_Review_Queue!$J:$J,"")="Deny","Counts",H414)))</f>
        <v/>
      </c>
      <c r="L414" s="39" t="str">
        <f t="array" ref="L414">IF(J414="","",XLOOKUP(J414,Strike_Review_Queue!$I:$I,Strike_Review_Queue!$L:$L,""))</f>
        <v/>
      </c>
      <c r="M414" s="39" t="str">
        <f t="array" ref="M414">IF(J414="","",XLOOKUP(J414,Strike_Review_Queue!$I:$I,Strike_Review_Queue!$M:$M,""))</f>
        <v/>
      </c>
    </row>
    <row r="415" ht="15.75" customHeight="1">
      <c r="C415" s="39"/>
      <c r="D415" s="39" t="str">
        <f>IF(OR(B415="",A415=""),"",MAX(0,MIN(3,SUMIFS($C$2:$C$1000,$B$2:$B$1000,B415,$A$2:$A$1000,"&lt;="&amp;A415,$A$2:$A$1000,"&gt;="&amp;IF(Config!$B$1004="Y",A415-Config!$B$1005,DATE(1900,1,1)),$I$2:$I$1000,1)))))</f>
        <v>#ERROR!</v>
      </c>
      <c r="H415" s="39"/>
      <c r="I415" s="39">
        <f t="shared" si="1"/>
        <v>1</v>
      </c>
      <c r="J415" s="39" t="str">
        <f t="shared" si="2"/>
        <v/>
      </c>
      <c r="K415" s="39" t="str">
        <f t="array" ref="K415">IF(J415="","",IF(XLOOKUP(J415,Strike_Review_Queue!$I:$I,Strike_Review_Queue!$J:$J,"")="Approve","Approved",IF(XLOOKUP(J415,Strike_Review_Queue!$I:$I,Strike_Review_Queue!$J:$J,"")="Deny","Counts",H415)))</f>
        <v/>
      </c>
      <c r="L415" s="39" t="str">
        <f t="array" ref="L415">IF(J415="","",XLOOKUP(J415,Strike_Review_Queue!$I:$I,Strike_Review_Queue!$L:$L,""))</f>
        <v/>
      </c>
      <c r="M415" s="39" t="str">
        <f t="array" ref="M415">IF(J415="","",XLOOKUP(J415,Strike_Review_Queue!$I:$I,Strike_Review_Queue!$M:$M,""))</f>
        <v/>
      </c>
    </row>
    <row r="416" ht="15.75" customHeight="1">
      <c r="C416" s="39"/>
      <c r="D416" s="39" t="str">
        <f>IF(OR(B416="",A416=""),"",MAX(0,MIN(3,SUMIFS($C$2:$C$1000,$B$2:$B$1000,B416,$A$2:$A$1000,"&lt;="&amp;A416,$A$2:$A$1000,"&gt;="&amp;IF(Config!$B$1004="Y",A416-Config!$B$1005,DATE(1900,1,1)),$I$2:$I$1000,1)))))</f>
        <v>#ERROR!</v>
      </c>
      <c r="H416" s="39"/>
      <c r="I416" s="39">
        <f t="shared" si="1"/>
        <v>1</v>
      </c>
      <c r="J416" s="39" t="str">
        <f t="shared" si="2"/>
        <v/>
      </c>
      <c r="K416" s="39" t="str">
        <f t="array" ref="K416">IF(J416="","",IF(XLOOKUP(J416,Strike_Review_Queue!$I:$I,Strike_Review_Queue!$J:$J,"")="Approve","Approved",IF(XLOOKUP(J416,Strike_Review_Queue!$I:$I,Strike_Review_Queue!$J:$J,"")="Deny","Counts",H416)))</f>
        <v/>
      </c>
      <c r="L416" s="39" t="str">
        <f t="array" ref="L416">IF(J416="","",XLOOKUP(J416,Strike_Review_Queue!$I:$I,Strike_Review_Queue!$L:$L,""))</f>
        <v/>
      </c>
      <c r="M416" s="39" t="str">
        <f t="array" ref="M416">IF(J416="","",XLOOKUP(J416,Strike_Review_Queue!$I:$I,Strike_Review_Queue!$M:$M,""))</f>
        <v/>
      </c>
    </row>
    <row r="417" ht="15.75" customHeight="1">
      <c r="C417" s="39"/>
      <c r="D417" s="39" t="str">
        <f>IF(OR(B417="",A417=""),"",MAX(0,MIN(3,SUMIFS($C$2:$C$1000,$B$2:$B$1000,B417,$A$2:$A$1000,"&lt;="&amp;A417,$A$2:$A$1000,"&gt;="&amp;IF(Config!$B$1004="Y",A417-Config!$B$1005,DATE(1900,1,1)),$I$2:$I$1000,1)))))</f>
        <v>#ERROR!</v>
      </c>
      <c r="H417" s="39"/>
      <c r="I417" s="39">
        <f t="shared" si="1"/>
        <v>1</v>
      </c>
      <c r="J417" s="39" t="str">
        <f t="shared" si="2"/>
        <v/>
      </c>
      <c r="K417" s="39" t="str">
        <f t="array" ref="K417">IF(J417="","",IF(XLOOKUP(J417,Strike_Review_Queue!$I:$I,Strike_Review_Queue!$J:$J,"")="Approve","Approved",IF(XLOOKUP(J417,Strike_Review_Queue!$I:$I,Strike_Review_Queue!$J:$J,"")="Deny","Counts",H417)))</f>
        <v/>
      </c>
      <c r="L417" s="39" t="str">
        <f t="array" ref="L417">IF(J417="","",XLOOKUP(J417,Strike_Review_Queue!$I:$I,Strike_Review_Queue!$L:$L,""))</f>
        <v/>
      </c>
      <c r="M417" s="39" t="str">
        <f t="array" ref="M417">IF(J417="","",XLOOKUP(J417,Strike_Review_Queue!$I:$I,Strike_Review_Queue!$M:$M,""))</f>
        <v/>
      </c>
    </row>
    <row r="418" ht="15.75" customHeight="1">
      <c r="C418" s="39"/>
      <c r="D418" s="39" t="str">
        <f>IF(OR(B418="",A418=""),"",MAX(0,MIN(3,SUMIFS($C$2:$C$1000,$B$2:$B$1000,B418,$A$2:$A$1000,"&lt;="&amp;A418,$A$2:$A$1000,"&gt;="&amp;IF(Config!$B$1004="Y",A418-Config!$B$1005,DATE(1900,1,1)),$I$2:$I$1000,1)))))</f>
        <v>#ERROR!</v>
      </c>
      <c r="H418" s="39"/>
      <c r="I418" s="39">
        <f t="shared" si="1"/>
        <v>1</v>
      </c>
      <c r="J418" s="39" t="str">
        <f t="shared" si="2"/>
        <v/>
      </c>
      <c r="K418" s="39" t="str">
        <f t="array" ref="K418">IF(J418="","",IF(XLOOKUP(J418,Strike_Review_Queue!$I:$I,Strike_Review_Queue!$J:$J,"")="Approve","Approved",IF(XLOOKUP(J418,Strike_Review_Queue!$I:$I,Strike_Review_Queue!$J:$J,"")="Deny","Counts",H418)))</f>
        <v/>
      </c>
      <c r="L418" s="39" t="str">
        <f t="array" ref="L418">IF(J418="","",XLOOKUP(J418,Strike_Review_Queue!$I:$I,Strike_Review_Queue!$L:$L,""))</f>
        <v/>
      </c>
      <c r="M418" s="39" t="str">
        <f t="array" ref="M418">IF(J418="","",XLOOKUP(J418,Strike_Review_Queue!$I:$I,Strike_Review_Queue!$M:$M,""))</f>
        <v/>
      </c>
    </row>
    <row r="419" ht="15.75" customHeight="1">
      <c r="C419" s="39"/>
      <c r="D419" s="39" t="str">
        <f>IF(OR(B419="",A419=""),"",MAX(0,MIN(3,SUMIFS($C$2:$C$1000,$B$2:$B$1000,B419,$A$2:$A$1000,"&lt;="&amp;A419,$A$2:$A$1000,"&gt;="&amp;IF(Config!$B$1004="Y",A419-Config!$B$1005,DATE(1900,1,1)),$I$2:$I$1000,1)))))</f>
        <v>#ERROR!</v>
      </c>
      <c r="H419" s="39"/>
      <c r="I419" s="39">
        <f t="shared" si="1"/>
        <v>1</v>
      </c>
      <c r="J419" s="39" t="str">
        <f t="shared" si="2"/>
        <v/>
      </c>
      <c r="K419" s="39" t="str">
        <f t="array" ref="K419">IF(J419="","",IF(XLOOKUP(J419,Strike_Review_Queue!$I:$I,Strike_Review_Queue!$J:$J,"")="Approve","Approved",IF(XLOOKUP(J419,Strike_Review_Queue!$I:$I,Strike_Review_Queue!$J:$J,"")="Deny","Counts",H419)))</f>
        <v/>
      </c>
      <c r="L419" s="39" t="str">
        <f t="array" ref="L419">IF(J419="","",XLOOKUP(J419,Strike_Review_Queue!$I:$I,Strike_Review_Queue!$L:$L,""))</f>
        <v/>
      </c>
      <c r="M419" s="39" t="str">
        <f t="array" ref="M419">IF(J419="","",XLOOKUP(J419,Strike_Review_Queue!$I:$I,Strike_Review_Queue!$M:$M,""))</f>
        <v/>
      </c>
    </row>
    <row r="420" ht="15.75" customHeight="1">
      <c r="C420" s="39"/>
      <c r="D420" s="39" t="str">
        <f>IF(OR(B420="",A420=""),"",MAX(0,MIN(3,SUMIFS($C$2:$C$1000,$B$2:$B$1000,B420,$A$2:$A$1000,"&lt;="&amp;A420,$A$2:$A$1000,"&gt;="&amp;IF(Config!$B$1004="Y",A420-Config!$B$1005,DATE(1900,1,1)),$I$2:$I$1000,1)))))</f>
        <v>#ERROR!</v>
      </c>
      <c r="H420" s="39"/>
      <c r="I420" s="39">
        <f t="shared" si="1"/>
        <v>1</v>
      </c>
      <c r="J420" s="39" t="str">
        <f t="shared" si="2"/>
        <v/>
      </c>
      <c r="K420" s="39" t="str">
        <f t="array" ref="K420">IF(J420="","",IF(XLOOKUP(J420,Strike_Review_Queue!$I:$I,Strike_Review_Queue!$J:$J,"")="Approve","Approved",IF(XLOOKUP(J420,Strike_Review_Queue!$I:$I,Strike_Review_Queue!$J:$J,"")="Deny","Counts",H420)))</f>
        <v/>
      </c>
      <c r="L420" s="39" t="str">
        <f t="array" ref="L420">IF(J420="","",XLOOKUP(J420,Strike_Review_Queue!$I:$I,Strike_Review_Queue!$L:$L,""))</f>
        <v/>
      </c>
      <c r="M420" s="39" t="str">
        <f t="array" ref="M420">IF(J420="","",XLOOKUP(J420,Strike_Review_Queue!$I:$I,Strike_Review_Queue!$M:$M,""))</f>
        <v/>
      </c>
    </row>
    <row r="421" ht="15.75" customHeight="1">
      <c r="C421" s="39"/>
      <c r="D421" s="39" t="str">
        <f>IF(OR(B421="",A421=""),"",MAX(0,MIN(3,SUMIFS($C$2:$C$1000,$B$2:$B$1000,B421,$A$2:$A$1000,"&lt;="&amp;A421,$A$2:$A$1000,"&gt;="&amp;IF(Config!$B$1004="Y",A421-Config!$B$1005,DATE(1900,1,1)),$I$2:$I$1000,1)))))</f>
        <v>#ERROR!</v>
      </c>
      <c r="H421" s="39"/>
      <c r="I421" s="39">
        <f t="shared" si="1"/>
        <v>1</v>
      </c>
      <c r="J421" s="39" t="str">
        <f t="shared" si="2"/>
        <v/>
      </c>
      <c r="K421" s="39" t="str">
        <f t="array" ref="K421">IF(J421="","",IF(XLOOKUP(J421,Strike_Review_Queue!$I:$I,Strike_Review_Queue!$J:$J,"")="Approve","Approved",IF(XLOOKUP(J421,Strike_Review_Queue!$I:$I,Strike_Review_Queue!$J:$J,"")="Deny","Counts",H421)))</f>
        <v/>
      </c>
      <c r="L421" s="39" t="str">
        <f t="array" ref="L421">IF(J421="","",XLOOKUP(J421,Strike_Review_Queue!$I:$I,Strike_Review_Queue!$L:$L,""))</f>
        <v/>
      </c>
      <c r="M421" s="39" t="str">
        <f t="array" ref="M421">IF(J421="","",XLOOKUP(J421,Strike_Review_Queue!$I:$I,Strike_Review_Queue!$M:$M,""))</f>
        <v/>
      </c>
    </row>
    <row r="422" ht="15.75" customHeight="1">
      <c r="C422" s="39"/>
      <c r="D422" s="39" t="str">
        <f>IF(OR(B422="",A422=""),"",MAX(0,MIN(3,SUMIFS($C$2:$C$1000,$B$2:$B$1000,B422,$A$2:$A$1000,"&lt;="&amp;A422,$A$2:$A$1000,"&gt;="&amp;IF(Config!$B$1004="Y",A422-Config!$B$1005,DATE(1900,1,1)),$I$2:$I$1000,1)))))</f>
        <v>#ERROR!</v>
      </c>
      <c r="H422" s="39"/>
      <c r="I422" s="39">
        <f t="shared" si="1"/>
        <v>1</v>
      </c>
      <c r="J422" s="39" t="str">
        <f t="shared" si="2"/>
        <v/>
      </c>
      <c r="K422" s="39" t="str">
        <f t="array" ref="K422">IF(J422="","",IF(XLOOKUP(J422,Strike_Review_Queue!$I:$I,Strike_Review_Queue!$J:$J,"")="Approve","Approved",IF(XLOOKUP(J422,Strike_Review_Queue!$I:$I,Strike_Review_Queue!$J:$J,"")="Deny","Counts",H422)))</f>
        <v/>
      </c>
      <c r="L422" s="39" t="str">
        <f t="array" ref="L422">IF(J422="","",XLOOKUP(J422,Strike_Review_Queue!$I:$I,Strike_Review_Queue!$L:$L,""))</f>
        <v/>
      </c>
      <c r="M422" s="39" t="str">
        <f t="array" ref="M422">IF(J422="","",XLOOKUP(J422,Strike_Review_Queue!$I:$I,Strike_Review_Queue!$M:$M,""))</f>
        <v/>
      </c>
    </row>
    <row r="423" ht="15.75" customHeight="1">
      <c r="C423" s="39"/>
      <c r="D423" s="39" t="str">
        <f>IF(OR(B423="",A423=""),"",MAX(0,MIN(3,SUMIFS($C$2:$C$1000,$B$2:$B$1000,B423,$A$2:$A$1000,"&lt;="&amp;A423,$A$2:$A$1000,"&gt;="&amp;IF(Config!$B$1004="Y",A423-Config!$B$1005,DATE(1900,1,1)),$I$2:$I$1000,1)))))</f>
        <v>#ERROR!</v>
      </c>
      <c r="H423" s="39"/>
      <c r="I423" s="39">
        <f t="shared" si="1"/>
        <v>1</v>
      </c>
      <c r="J423" s="39" t="str">
        <f t="shared" si="2"/>
        <v/>
      </c>
      <c r="K423" s="39" t="str">
        <f t="array" ref="K423">IF(J423="","",IF(XLOOKUP(J423,Strike_Review_Queue!$I:$I,Strike_Review_Queue!$J:$J,"")="Approve","Approved",IF(XLOOKUP(J423,Strike_Review_Queue!$I:$I,Strike_Review_Queue!$J:$J,"")="Deny","Counts",H423)))</f>
        <v/>
      </c>
      <c r="L423" s="39" t="str">
        <f t="array" ref="L423">IF(J423="","",XLOOKUP(J423,Strike_Review_Queue!$I:$I,Strike_Review_Queue!$L:$L,""))</f>
        <v/>
      </c>
      <c r="M423" s="39" t="str">
        <f t="array" ref="M423">IF(J423="","",XLOOKUP(J423,Strike_Review_Queue!$I:$I,Strike_Review_Queue!$M:$M,""))</f>
        <v/>
      </c>
    </row>
    <row r="424" ht="15.75" customHeight="1">
      <c r="C424" s="39"/>
      <c r="D424" s="39" t="str">
        <f>IF(OR(B424="",A424=""),"",MAX(0,MIN(3,SUMIFS($C$2:$C$1000,$B$2:$B$1000,B424,$A$2:$A$1000,"&lt;="&amp;A424,$A$2:$A$1000,"&gt;="&amp;IF(Config!$B$1004="Y",A424-Config!$B$1005,DATE(1900,1,1)),$I$2:$I$1000,1)))))</f>
        <v>#ERROR!</v>
      </c>
      <c r="H424" s="39"/>
      <c r="I424" s="39">
        <f t="shared" si="1"/>
        <v>1</v>
      </c>
      <c r="J424" s="39" t="str">
        <f t="shared" si="2"/>
        <v/>
      </c>
      <c r="K424" s="39" t="str">
        <f t="array" ref="K424">IF(J424="","",IF(XLOOKUP(J424,Strike_Review_Queue!$I:$I,Strike_Review_Queue!$J:$J,"")="Approve","Approved",IF(XLOOKUP(J424,Strike_Review_Queue!$I:$I,Strike_Review_Queue!$J:$J,"")="Deny","Counts",H424)))</f>
        <v/>
      </c>
      <c r="L424" s="39" t="str">
        <f t="array" ref="L424">IF(J424="","",XLOOKUP(J424,Strike_Review_Queue!$I:$I,Strike_Review_Queue!$L:$L,""))</f>
        <v/>
      </c>
      <c r="M424" s="39" t="str">
        <f t="array" ref="M424">IF(J424="","",XLOOKUP(J424,Strike_Review_Queue!$I:$I,Strike_Review_Queue!$M:$M,""))</f>
        <v/>
      </c>
    </row>
    <row r="425" ht="15.75" customHeight="1">
      <c r="C425" s="39"/>
      <c r="D425" s="39" t="str">
        <f>IF(OR(B425="",A425=""),"",MAX(0,MIN(3,SUMIFS($C$2:$C$1000,$B$2:$B$1000,B425,$A$2:$A$1000,"&lt;="&amp;A425,$A$2:$A$1000,"&gt;="&amp;IF(Config!$B$1004="Y",A425-Config!$B$1005,DATE(1900,1,1)),$I$2:$I$1000,1)))))</f>
        <v>#ERROR!</v>
      </c>
      <c r="H425" s="39"/>
      <c r="I425" s="39">
        <f t="shared" si="1"/>
        <v>1</v>
      </c>
      <c r="J425" s="39" t="str">
        <f t="shared" si="2"/>
        <v/>
      </c>
      <c r="K425" s="39" t="str">
        <f t="array" ref="K425">IF(J425="","",IF(XLOOKUP(J425,Strike_Review_Queue!$I:$I,Strike_Review_Queue!$J:$J,"")="Approve","Approved",IF(XLOOKUP(J425,Strike_Review_Queue!$I:$I,Strike_Review_Queue!$J:$J,"")="Deny","Counts",H425)))</f>
        <v/>
      </c>
      <c r="L425" s="39" t="str">
        <f t="array" ref="L425">IF(J425="","",XLOOKUP(J425,Strike_Review_Queue!$I:$I,Strike_Review_Queue!$L:$L,""))</f>
        <v/>
      </c>
      <c r="M425" s="39" t="str">
        <f t="array" ref="M425">IF(J425="","",XLOOKUP(J425,Strike_Review_Queue!$I:$I,Strike_Review_Queue!$M:$M,""))</f>
        <v/>
      </c>
    </row>
    <row r="426" ht="15.75" customHeight="1">
      <c r="C426" s="39"/>
      <c r="D426" s="39" t="str">
        <f>IF(OR(B426="",A426=""),"",MAX(0,MIN(3,SUMIFS($C$2:$C$1000,$B$2:$B$1000,B426,$A$2:$A$1000,"&lt;="&amp;A426,$A$2:$A$1000,"&gt;="&amp;IF(Config!$B$1004="Y",A426-Config!$B$1005,DATE(1900,1,1)),$I$2:$I$1000,1)))))</f>
        <v>#ERROR!</v>
      </c>
      <c r="H426" s="39"/>
      <c r="I426" s="39">
        <f t="shared" si="1"/>
        <v>1</v>
      </c>
      <c r="J426" s="39" t="str">
        <f t="shared" si="2"/>
        <v/>
      </c>
      <c r="K426" s="39" t="str">
        <f t="array" ref="K426">IF(J426="","",IF(XLOOKUP(J426,Strike_Review_Queue!$I:$I,Strike_Review_Queue!$J:$J,"")="Approve","Approved",IF(XLOOKUP(J426,Strike_Review_Queue!$I:$I,Strike_Review_Queue!$J:$J,"")="Deny","Counts",H426)))</f>
        <v/>
      </c>
      <c r="L426" s="39" t="str">
        <f t="array" ref="L426">IF(J426="","",XLOOKUP(J426,Strike_Review_Queue!$I:$I,Strike_Review_Queue!$L:$L,""))</f>
        <v/>
      </c>
      <c r="M426" s="39" t="str">
        <f t="array" ref="M426">IF(J426="","",XLOOKUP(J426,Strike_Review_Queue!$I:$I,Strike_Review_Queue!$M:$M,""))</f>
        <v/>
      </c>
    </row>
    <row r="427" ht="15.75" customHeight="1">
      <c r="C427" s="39"/>
      <c r="D427" s="39" t="str">
        <f>IF(OR(B427="",A427=""),"",MAX(0,MIN(3,SUMIFS($C$2:$C$1000,$B$2:$B$1000,B427,$A$2:$A$1000,"&lt;="&amp;A427,$A$2:$A$1000,"&gt;="&amp;IF(Config!$B$1004="Y",A427-Config!$B$1005,DATE(1900,1,1)),$I$2:$I$1000,1)))))</f>
        <v>#ERROR!</v>
      </c>
      <c r="H427" s="39"/>
      <c r="I427" s="39">
        <f t="shared" si="1"/>
        <v>1</v>
      </c>
      <c r="J427" s="39" t="str">
        <f t="shared" si="2"/>
        <v/>
      </c>
      <c r="K427" s="39" t="str">
        <f t="array" ref="K427">IF(J427="","",IF(XLOOKUP(J427,Strike_Review_Queue!$I:$I,Strike_Review_Queue!$J:$J,"")="Approve","Approved",IF(XLOOKUP(J427,Strike_Review_Queue!$I:$I,Strike_Review_Queue!$J:$J,"")="Deny","Counts",H427)))</f>
        <v/>
      </c>
      <c r="L427" s="39" t="str">
        <f t="array" ref="L427">IF(J427="","",XLOOKUP(J427,Strike_Review_Queue!$I:$I,Strike_Review_Queue!$L:$L,""))</f>
        <v/>
      </c>
      <c r="M427" s="39" t="str">
        <f t="array" ref="M427">IF(J427="","",XLOOKUP(J427,Strike_Review_Queue!$I:$I,Strike_Review_Queue!$M:$M,""))</f>
        <v/>
      </c>
    </row>
    <row r="428" ht="15.75" customHeight="1">
      <c r="C428" s="39"/>
      <c r="D428" s="39" t="str">
        <f>IF(OR(B428="",A428=""),"",MAX(0,MIN(3,SUMIFS($C$2:$C$1000,$B$2:$B$1000,B428,$A$2:$A$1000,"&lt;="&amp;A428,$A$2:$A$1000,"&gt;="&amp;IF(Config!$B$1004="Y",A428-Config!$B$1005,DATE(1900,1,1)),$I$2:$I$1000,1)))))</f>
        <v>#ERROR!</v>
      </c>
      <c r="H428" s="39"/>
      <c r="I428" s="39">
        <f t="shared" si="1"/>
        <v>1</v>
      </c>
      <c r="J428" s="39" t="str">
        <f t="shared" si="2"/>
        <v/>
      </c>
      <c r="K428" s="39" t="str">
        <f t="array" ref="K428">IF(J428="","",IF(XLOOKUP(J428,Strike_Review_Queue!$I:$I,Strike_Review_Queue!$J:$J,"")="Approve","Approved",IF(XLOOKUP(J428,Strike_Review_Queue!$I:$I,Strike_Review_Queue!$J:$J,"")="Deny","Counts",H428)))</f>
        <v/>
      </c>
      <c r="L428" s="39" t="str">
        <f t="array" ref="L428">IF(J428="","",XLOOKUP(J428,Strike_Review_Queue!$I:$I,Strike_Review_Queue!$L:$L,""))</f>
        <v/>
      </c>
      <c r="M428" s="39" t="str">
        <f t="array" ref="M428">IF(J428="","",XLOOKUP(J428,Strike_Review_Queue!$I:$I,Strike_Review_Queue!$M:$M,""))</f>
        <v/>
      </c>
    </row>
    <row r="429" ht="15.75" customHeight="1">
      <c r="C429" s="39"/>
      <c r="D429" s="39" t="str">
        <f>IF(OR(B429="",A429=""),"",MAX(0,MIN(3,SUMIFS($C$2:$C$1000,$B$2:$B$1000,B429,$A$2:$A$1000,"&lt;="&amp;A429,$A$2:$A$1000,"&gt;="&amp;IF(Config!$B$1004="Y",A429-Config!$B$1005,DATE(1900,1,1)),$I$2:$I$1000,1)))))</f>
        <v>#ERROR!</v>
      </c>
      <c r="H429" s="39"/>
      <c r="I429" s="39">
        <f t="shared" si="1"/>
        <v>1</v>
      </c>
      <c r="J429" s="39" t="str">
        <f t="shared" si="2"/>
        <v/>
      </c>
      <c r="K429" s="39" t="str">
        <f t="array" ref="K429">IF(J429="","",IF(XLOOKUP(J429,Strike_Review_Queue!$I:$I,Strike_Review_Queue!$J:$J,"")="Approve","Approved",IF(XLOOKUP(J429,Strike_Review_Queue!$I:$I,Strike_Review_Queue!$J:$J,"")="Deny","Counts",H429)))</f>
        <v/>
      </c>
      <c r="L429" s="39" t="str">
        <f t="array" ref="L429">IF(J429="","",XLOOKUP(J429,Strike_Review_Queue!$I:$I,Strike_Review_Queue!$L:$L,""))</f>
        <v/>
      </c>
      <c r="M429" s="39" t="str">
        <f t="array" ref="M429">IF(J429="","",XLOOKUP(J429,Strike_Review_Queue!$I:$I,Strike_Review_Queue!$M:$M,""))</f>
        <v/>
      </c>
    </row>
    <row r="430" ht="15.75" customHeight="1">
      <c r="C430" s="39"/>
      <c r="D430" s="39" t="str">
        <f>IF(OR(B430="",A430=""),"",MAX(0,MIN(3,SUMIFS($C$2:$C$1000,$B$2:$B$1000,B430,$A$2:$A$1000,"&lt;="&amp;A430,$A$2:$A$1000,"&gt;="&amp;IF(Config!$B$1004="Y",A430-Config!$B$1005,DATE(1900,1,1)),$I$2:$I$1000,1)))))</f>
        <v>#ERROR!</v>
      </c>
      <c r="H430" s="39"/>
      <c r="I430" s="39">
        <f t="shared" si="1"/>
        <v>1</v>
      </c>
      <c r="J430" s="39" t="str">
        <f t="shared" si="2"/>
        <v/>
      </c>
      <c r="K430" s="39" t="str">
        <f t="array" ref="K430">IF(J430="","",IF(XLOOKUP(J430,Strike_Review_Queue!$I:$I,Strike_Review_Queue!$J:$J,"")="Approve","Approved",IF(XLOOKUP(J430,Strike_Review_Queue!$I:$I,Strike_Review_Queue!$J:$J,"")="Deny","Counts",H430)))</f>
        <v/>
      </c>
      <c r="L430" s="39" t="str">
        <f t="array" ref="L430">IF(J430="","",XLOOKUP(J430,Strike_Review_Queue!$I:$I,Strike_Review_Queue!$L:$L,""))</f>
        <v/>
      </c>
      <c r="M430" s="39" t="str">
        <f t="array" ref="M430">IF(J430="","",XLOOKUP(J430,Strike_Review_Queue!$I:$I,Strike_Review_Queue!$M:$M,""))</f>
        <v/>
      </c>
    </row>
    <row r="431" ht="15.75" customHeight="1">
      <c r="C431" s="39"/>
      <c r="D431" s="39" t="str">
        <f>IF(OR(B431="",A431=""),"",MAX(0,MIN(3,SUMIFS($C$2:$C$1000,$B$2:$B$1000,B431,$A$2:$A$1000,"&lt;="&amp;A431,$A$2:$A$1000,"&gt;="&amp;IF(Config!$B$1004="Y",A431-Config!$B$1005,DATE(1900,1,1)),$I$2:$I$1000,1)))))</f>
        <v>#ERROR!</v>
      </c>
      <c r="H431" s="39"/>
      <c r="I431" s="39">
        <f t="shared" si="1"/>
        <v>1</v>
      </c>
      <c r="J431" s="39" t="str">
        <f t="shared" si="2"/>
        <v/>
      </c>
      <c r="K431" s="39" t="str">
        <f t="array" ref="K431">IF(J431="","",IF(XLOOKUP(J431,Strike_Review_Queue!$I:$I,Strike_Review_Queue!$J:$J,"")="Approve","Approved",IF(XLOOKUP(J431,Strike_Review_Queue!$I:$I,Strike_Review_Queue!$J:$J,"")="Deny","Counts",H431)))</f>
        <v/>
      </c>
      <c r="L431" s="39" t="str">
        <f t="array" ref="L431">IF(J431="","",XLOOKUP(J431,Strike_Review_Queue!$I:$I,Strike_Review_Queue!$L:$L,""))</f>
        <v/>
      </c>
      <c r="M431" s="39" t="str">
        <f t="array" ref="M431">IF(J431="","",XLOOKUP(J431,Strike_Review_Queue!$I:$I,Strike_Review_Queue!$M:$M,""))</f>
        <v/>
      </c>
    </row>
    <row r="432" ht="15.75" customHeight="1">
      <c r="C432" s="39"/>
      <c r="D432" s="39" t="str">
        <f>IF(OR(B432="",A432=""),"",MAX(0,MIN(3,SUMIFS($C$2:$C$1000,$B$2:$B$1000,B432,$A$2:$A$1000,"&lt;="&amp;A432,$A$2:$A$1000,"&gt;="&amp;IF(Config!$B$1004="Y",A432-Config!$B$1005,DATE(1900,1,1)),$I$2:$I$1000,1)))))</f>
        <v>#ERROR!</v>
      </c>
      <c r="H432" s="39"/>
      <c r="I432" s="39">
        <f t="shared" si="1"/>
        <v>1</v>
      </c>
      <c r="J432" s="39" t="str">
        <f t="shared" si="2"/>
        <v/>
      </c>
      <c r="K432" s="39" t="str">
        <f t="array" ref="K432">IF(J432="","",IF(XLOOKUP(J432,Strike_Review_Queue!$I:$I,Strike_Review_Queue!$J:$J,"")="Approve","Approved",IF(XLOOKUP(J432,Strike_Review_Queue!$I:$I,Strike_Review_Queue!$J:$J,"")="Deny","Counts",H432)))</f>
        <v/>
      </c>
      <c r="L432" s="39" t="str">
        <f t="array" ref="L432">IF(J432="","",XLOOKUP(J432,Strike_Review_Queue!$I:$I,Strike_Review_Queue!$L:$L,""))</f>
        <v/>
      </c>
      <c r="M432" s="39" t="str">
        <f t="array" ref="M432">IF(J432="","",XLOOKUP(J432,Strike_Review_Queue!$I:$I,Strike_Review_Queue!$M:$M,""))</f>
        <v/>
      </c>
    </row>
    <row r="433" ht="15.75" customHeight="1">
      <c r="C433" s="39"/>
      <c r="D433" s="39" t="str">
        <f>IF(OR(B433="",A433=""),"",MAX(0,MIN(3,SUMIFS($C$2:$C$1000,$B$2:$B$1000,B433,$A$2:$A$1000,"&lt;="&amp;A433,$A$2:$A$1000,"&gt;="&amp;IF(Config!$B$1004="Y",A433-Config!$B$1005,DATE(1900,1,1)),$I$2:$I$1000,1)))))</f>
        <v>#ERROR!</v>
      </c>
      <c r="H433" s="39"/>
      <c r="I433" s="39">
        <f t="shared" si="1"/>
        <v>1</v>
      </c>
      <c r="J433" s="39" t="str">
        <f t="shared" si="2"/>
        <v/>
      </c>
      <c r="K433" s="39" t="str">
        <f t="array" ref="K433">IF(J433="","",IF(XLOOKUP(J433,Strike_Review_Queue!$I:$I,Strike_Review_Queue!$J:$J,"")="Approve","Approved",IF(XLOOKUP(J433,Strike_Review_Queue!$I:$I,Strike_Review_Queue!$J:$J,"")="Deny","Counts",H433)))</f>
        <v/>
      </c>
      <c r="L433" s="39" t="str">
        <f t="array" ref="L433">IF(J433="","",XLOOKUP(J433,Strike_Review_Queue!$I:$I,Strike_Review_Queue!$L:$L,""))</f>
        <v/>
      </c>
      <c r="M433" s="39" t="str">
        <f t="array" ref="M433">IF(J433="","",XLOOKUP(J433,Strike_Review_Queue!$I:$I,Strike_Review_Queue!$M:$M,""))</f>
        <v/>
      </c>
    </row>
    <row r="434" ht="15.75" customHeight="1">
      <c r="C434" s="39"/>
      <c r="D434" s="39" t="str">
        <f>IF(OR(B434="",A434=""),"",MAX(0,MIN(3,SUMIFS($C$2:$C$1000,$B$2:$B$1000,B434,$A$2:$A$1000,"&lt;="&amp;A434,$A$2:$A$1000,"&gt;="&amp;IF(Config!$B$1004="Y",A434-Config!$B$1005,DATE(1900,1,1)),$I$2:$I$1000,1)))))</f>
        <v>#ERROR!</v>
      </c>
      <c r="H434" s="39"/>
      <c r="I434" s="39">
        <f t="shared" si="1"/>
        <v>1</v>
      </c>
      <c r="J434" s="39" t="str">
        <f t="shared" si="2"/>
        <v/>
      </c>
      <c r="K434" s="39" t="str">
        <f t="array" ref="K434">IF(J434="","",IF(XLOOKUP(J434,Strike_Review_Queue!$I:$I,Strike_Review_Queue!$J:$J,"")="Approve","Approved",IF(XLOOKUP(J434,Strike_Review_Queue!$I:$I,Strike_Review_Queue!$J:$J,"")="Deny","Counts",H434)))</f>
        <v/>
      </c>
      <c r="L434" s="39" t="str">
        <f t="array" ref="L434">IF(J434="","",XLOOKUP(J434,Strike_Review_Queue!$I:$I,Strike_Review_Queue!$L:$L,""))</f>
        <v/>
      </c>
      <c r="M434" s="39" t="str">
        <f t="array" ref="M434">IF(J434="","",XLOOKUP(J434,Strike_Review_Queue!$I:$I,Strike_Review_Queue!$M:$M,""))</f>
        <v/>
      </c>
    </row>
    <row r="435" ht="15.75" customHeight="1">
      <c r="C435" s="39"/>
      <c r="D435" s="39" t="str">
        <f>IF(OR(B435="",A435=""),"",MAX(0,MIN(3,SUMIFS($C$2:$C$1000,$B$2:$B$1000,B435,$A$2:$A$1000,"&lt;="&amp;A435,$A$2:$A$1000,"&gt;="&amp;IF(Config!$B$1004="Y",A435-Config!$B$1005,DATE(1900,1,1)),$I$2:$I$1000,1)))))</f>
        <v>#ERROR!</v>
      </c>
      <c r="H435" s="39"/>
      <c r="I435" s="39">
        <f t="shared" si="1"/>
        <v>1</v>
      </c>
      <c r="J435" s="39" t="str">
        <f t="shared" si="2"/>
        <v/>
      </c>
      <c r="K435" s="39" t="str">
        <f t="array" ref="K435">IF(J435="","",IF(XLOOKUP(J435,Strike_Review_Queue!$I:$I,Strike_Review_Queue!$J:$J,"")="Approve","Approved",IF(XLOOKUP(J435,Strike_Review_Queue!$I:$I,Strike_Review_Queue!$J:$J,"")="Deny","Counts",H435)))</f>
        <v/>
      </c>
      <c r="L435" s="39" t="str">
        <f t="array" ref="L435">IF(J435="","",XLOOKUP(J435,Strike_Review_Queue!$I:$I,Strike_Review_Queue!$L:$L,""))</f>
        <v/>
      </c>
      <c r="M435" s="39" t="str">
        <f t="array" ref="M435">IF(J435="","",XLOOKUP(J435,Strike_Review_Queue!$I:$I,Strike_Review_Queue!$M:$M,""))</f>
        <v/>
      </c>
    </row>
    <row r="436" ht="15.75" customHeight="1">
      <c r="C436" s="39"/>
      <c r="D436" s="39" t="str">
        <f>IF(OR(B436="",A436=""),"",MAX(0,MIN(3,SUMIFS($C$2:$C$1000,$B$2:$B$1000,B436,$A$2:$A$1000,"&lt;="&amp;A436,$A$2:$A$1000,"&gt;="&amp;IF(Config!$B$1004="Y",A436-Config!$B$1005,DATE(1900,1,1)),$I$2:$I$1000,1)))))</f>
        <v>#ERROR!</v>
      </c>
      <c r="H436" s="39"/>
      <c r="I436" s="39">
        <f t="shared" si="1"/>
        <v>1</v>
      </c>
      <c r="J436" s="39" t="str">
        <f t="shared" si="2"/>
        <v/>
      </c>
      <c r="K436" s="39" t="str">
        <f t="array" ref="K436">IF(J436="","",IF(XLOOKUP(J436,Strike_Review_Queue!$I:$I,Strike_Review_Queue!$J:$J,"")="Approve","Approved",IF(XLOOKUP(J436,Strike_Review_Queue!$I:$I,Strike_Review_Queue!$J:$J,"")="Deny","Counts",H436)))</f>
        <v/>
      </c>
      <c r="L436" s="39" t="str">
        <f t="array" ref="L436">IF(J436="","",XLOOKUP(J436,Strike_Review_Queue!$I:$I,Strike_Review_Queue!$L:$L,""))</f>
        <v/>
      </c>
      <c r="M436" s="39" t="str">
        <f t="array" ref="M436">IF(J436="","",XLOOKUP(J436,Strike_Review_Queue!$I:$I,Strike_Review_Queue!$M:$M,""))</f>
        <v/>
      </c>
    </row>
    <row r="437" ht="15.75" customHeight="1">
      <c r="C437" s="39"/>
      <c r="D437" s="39" t="str">
        <f>IF(OR(B437="",A437=""),"",MAX(0,MIN(3,SUMIFS($C$2:$C$1000,$B$2:$B$1000,B437,$A$2:$A$1000,"&lt;="&amp;A437,$A$2:$A$1000,"&gt;="&amp;IF(Config!$B$1004="Y",A437-Config!$B$1005,DATE(1900,1,1)),$I$2:$I$1000,1)))))</f>
        <v>#ERROR!</v>
      </c>
      <c r="H437" s="39"/>
      <c r="I437" s="39">
        <f t="shared" si="1"/>
        <v>1</v>
      </c>
      <c r="J437" s="39" t="str">
        <f t="shared" si="2"/>
        <v/>
      </c>
      <c r="K437" s="39" t="str">
        <f t="array" ref="K437">IF(J437="","",IF(XLOOKUP(J437,Strike_Review_Queue!$I:$I,Strike_Review_Queue!$J:$J,"")="Approve","Approved",IF(XLOOKUP(J437,Strike_Review_Queue!$I:$I,Strike_Review_Queue!$J:$J,"")="Deny","Counts",H437)))</f>
        <v/>
      </c>
      <c r="L437" s="39" t="str">
        <f t="array" ref="L437">IF(J437="","",XLOOKUP(J437,Strike_Review_Queue!$I:$I,Strike_Review_Queue!$L:$L,""))</f>
        <v/>
      </c>
      <c r="M437" s="39" t="str">
        <f t="array" ref="M437">IF(J437="","",XLOOKUP(J437,Strike_Review_Queue!$I:$I,Strike_Review_Queue!$M:$M,""))</f>
        <v/>
      </c>
    </row>
    <row r="438" ht="15.75" customHeight="1">
      <c r="C438" s="39"/>
      <c r="D438" s="39" t="str">
        <f>IF(OR(B438="",A438=""),"",MAX(0,MIN(3,SUMIFS($C$2:$C$1000,$B$2:$B$1000,B438,$A$2:$A$1000,"&lt;="&amp;A438,$A$2:$A$1000,"&gt;="&amp;IF(Config!$B$1004="Y",A438-Config!$B$1005,DATE(1900,1,1)),$I$2:$I$1000,1)))))</f>
        <v>#ERROR!</v>
      </c>
      <c r="H438" s="39"/>
      <c r="I438" s="39">
        <f t="shared" si="1"/>
        <v>1</v>
      </c>
      <c r="J438" s="39" t="str">
        <f t="shared" si="2"/>
        <v/>
      </c>
      <c r="K438" s="39" t="str">
        <f t="array" ref="K438">IF(J438="","",IF(XLOOKUP(J438,Strike_Review_Queue!$I:$I,Strike_Review_Queue!$J:$J,"")="Approve","Approved",IF(XLOOKUP(J438,Strike_Review_Queue!$I:$I,Strike_Review_Queue!$J:$J,"")="Deny","Counts",H438)))</f>
        <v/>
      </c>
      <c r="L438" s="39" t="str">
        <f t="array" ref="L438">IF(J438="","",XLOOKUP(J438,Strike_Review_Queue!$I:$I,Strike_Review_Queue!$L:$L,""))</f>
        <v/>
      </c>
      <c r="M438" s="39" t="str">
        <f t="array" ref="M438">IF(J438="","",XLOOKUP(J438,Strike_Review_Queue!$I:$I,Strike_Review_Queue!$M:$M,""))</f>
        <v/>
      </c>
    </row>
    <row r="439" ht="15.75" customHeight="1">
      <c r="C439" s="39"/>
      <c r="D439" s="39" t="str">
        <f>IF(OR(B439="",A439=""),"",MAX(0,MIN(3,SUMIFS($C$2:$C$1000,$B$2:$B$1000,B439,$A$2:$A$1000,"&lt;="&amp;A439,$A$2:$A$1000,"&gt;="&amp;IF(Config!$B$1004="Y",A439-Config!$B$1005,DATE(1900,1,1)),$I$2:$I$1000,1)))))</f>
        <v>#ERROR!</v>
      </c>
      <c r="H439" s="39"/>
      <c r="I439" s="39">
        <f t="shared" si="1"/>
        <v>1</v>
      </c>
      <c r="J439" s="39" t="str">
        <f t="shared" si="2"/>
        <v/>
      </c>
      <c r="K439" s="39" t="str">
        <f t="array" ref="K439">IF(J439="","",IF(XLOOKUP(J439,Strike_Review_Queue!$I:$I,Strike_Review_Queue!$J:$J,"")="Approve","Approved",IF(XLOOKUP(J439,Strike_Review_Queue!$I:$I,Strike_Review_Queue!$J:$J,"")="Deny","Counts",H439)))</f>
        <v/>
      </c>
      <c r="L439" s="39" t="str">
        <f t="array" ref="L439">IF(J439="","",XLOOKUP(J439,Strike_Review_Queue!$I:$I,Strike_Review_Queue!$L:$L,""))</f>
        <v/>
      </c>
      <c r="M439" s="39" t="str">
        <f t="array" ref="M439">IF(J439="","",XLOOKUP(J439,Strike_Review_Queue!$I:$I,Strike_Review_Queue!$M:$M,""))</f>
        <v/>
      </c>
    </row>
    <row r="440" ht="15.75" customHeight="1">
      <c r="C440" s="39"/>
      <c r="D440" s="39" t="str">
        <f>IF(OR(B440="",A440=""),"",MAX(0,MIN(3,SUMIFS($C$2:$C$1000,$B$2:$B$1000,B440,$A$2:$A$1000,"&lt;="&amp;A440,$A$2:$A$1000,"&gt;="&amp;IF(Config!$B$1004="Y",A440-Config!$B$1005,DATE(1900,1,1)),$I$2:$I$1000,1)))))</f>
        <v>#ERROR!</v>
      </c>
      <c r="H440" s="39"/>
      <c r="I440" s="39">
        <f t="shared" si="1"/>
        <v>1</v>
      </c>
      <c r="J440" s="39" t="str">
        <f t="shared" si="2"/>
        <v/>
      </c>
      <c r="K440" s="39" t="str">
        <f t="array" ref="K440">IF(J440="","",IF(XLOOKUP(J440,Strike_Review_Queue!$I:$I,Strike_Review_Queue!$J:$J,"")="Approve","Approved",IF(XLOOKUP(J440,Strike_Review_Queue!$I:$I,Strike_Review_Queue!$J:$J,"")="Deny","Counts",H440)))</f>
        <v/>
      </c>
      <c r="L440" s="39" t="str">
        <f t="array" ref="L440">IF(J440="","",XLOOKUP(J440,Strike_Review_Queue!$I:$I,Strike_Review_Queue!$L:$L,""))</f>
        <v/>
      </c>
      <c r="M440" s="39" t="str">
        <f t="array" ref="M440">IF(J440="","",XLOOKUP(J440,Strike_Review_Queue!$I:$I,Strike_Review_Queue!$M:$M,""))</f>
        <v/>
      </c>
    </row>
    <row r="441" ht="15.75" customHeight="1">
      <c r="C441" s="39"/>
      <c r="D441" s="39" t="str">
        <f>IF(OR(B441="",A441=""),"",MAX(0,MIN(3,SUMIFS($C$2:$C$1000,$B$2:$B$1000,B441,$A$2:$A$1000,"&lt;="&amp;A441,$A$2:$A$1000,"&gt;="&amp;IF(Config!$B$1004="Y",A441-Config!$B$1005,DATE(1900,1,1)),$I$2:$I$1000,1)))))</f>
        <v>#ERROR!</v>
      </c>
      <c r="H441" s="39"/>
      <c r="I441" s="39">
        <f t="shared" si="1"/>
        <v>1</v>
      </c>
      <c r="J441" s="39" t="str">
        <f t="shared" si="2"/>
        <v/>
      </c>
      <c r="K441" s="39" t="str">
        <f t="array" ref="K441">IF(J441="","",IF(XLOOKUP(J441,Strike_Review_Queue!$I:$I,Strike_Review_Queue!$J:$J,"")="Approve","Approved",IF(XLOOKUP(J441,Strike_Review_Queue!$I:$I,Strike_Review_Queue!$J:$J,"")="Deny","Counts",H441)))</f>
        <v/>
      </c>
      <c r="L441" s="39" t="str">
        <f t="array" ref="L441">IF(J441="","",XLOOKUP(J441,Strike_Review_Queue!$I:$I,Strike_Review_Queue!$L:$L,""))</f>
        <v/>
      </c>
      <c r="M441" s="39" t="str">
        <f t="array" ref="M441">IF(J441="","",XLOOKUP(J441,Strike_Review_Queue!$I:$I,Strike_Review_Queue!$M:$M,""))</f>
        <v/>
      </c>
    </row>
    <row r="442" ht="15.75" customHeight="1">
      <c r="C442" s="39"/>
      <c r="D442" s="39" t="str">
        <f>IF(OR(B442="",A442=""),"",MAX(0,MIN(3,SUMIFS($C$2:$C$1000,$B$2:$B$1000,B442,$A$2:$A$1000,"&lt;="&amp;A442,$A$2:$A$1000,"&gt;="&amp;IF(Config!$B$1004="Y",A442-Config!$B$1005,DATE(1900,1,1)),$I$2:$I$1000,1)))))</f>
        <v>#ERROR!</v>
      </c>
      <c r="H442" s="39"/>
      <c r="I442" s="39">
        <f t="shared" si="1"/>
        <v>1</v>
      </c>
      <c r="J442" s="39" t="str">
        <f t="shared" si="2"/>
        <v/>
      </c>
      <c r="K442" s="39" t="str">
        <f t="array" ref="K442">IF(J442="","",IF(XLOOKUP(J442,Strike_Review_Queue!$I:$I,Strike_Review_Queue!$J:$J,"")="Approve","Approved",IF(XLOOKUP(J442,Strike_Review_Queue!$I:$I,Strike_Review_Queue!$J:$J,"")="Deny","Counts",H442)))</f>
        <v/>
      </c>
      <c r="L442" s="39" t="str">
        <f t="array" ref="L442">IF(J442="","",XLOOKUP(J442,Strike_Review_Queue!$I:$I,Strike_Review_Queue!$L:$L,""))</f>
        <v/>
      </c>
      <c r="M442" s="39" t="str">
        <f t="array" ref="M442">IF(J442="","",XLOOKUP(J442,Strike_Review_Queue!$I:$I,Strike_Review_Queue!$M:$M,""))</f>
        <v/>
      </c>
    </row>
    <row r="443" ht="15.75" customHeight="1">
      <c r="C443" s="39"/>
      <c r="D443" s="39" t="str">
        <f>IF(OR(B443="",A443=""),"",MAX(0,MIN(3,SUMIFS($C$2:$C$1000,$B$2:$B$1000,B443,$A$2:$A$1000,"&lt;="&amp;A443,$A$2:$A$1000,"&gt;="&amp;IF(Config!$B$1004="Y",A443-Config!$B$1005,DATE(1900,1,1)),$I$2:$I$1000,1)))))</f>
        <v>#ERROR!</v>
      </c>
      <c r="H443" s="39"/>
      <c r="I443" s="39">
        <f t="shared" si="1"/>
        <v>1</v>
      </c>
      <c r="J443" s="39" t="str">
        <f t="shared" si="2"/>
        <v/>
      </c>
      <c r="K443" s="39" t="str">
        <f t="array" ref="K443">IF(J443="","",IF(XLOOKUP(J443,Strike_Review_Queue!$I:$I,Strike_Review_Queue!$J:$J,"")="Approve","Approved",IF(XLOOKUP(J443,Strike_Review_Queue!$I:$I,Strike_Review_Queue!$J:$J,"")="Deny","Counts",H443)))</f>
        <v/>
      </c>
      <c r="L443" s="39" t="str">
        <f t="array" ref="L443">IF(J443="","",XLOOKUP(J443,Strike_Review_Queue!$I:$I,Strike_Review_Queue!$L:$L,""))</f>
        <v/>
      </c>
      <c r="M443" s="39" t="str">
        <f t="array" ref="M443">IF(J443="","",XLOOKUP(J443,Strike_Review_Queue!$I:$I,Strike_Review_Queue!$M:$M,""))</f>
        <v/>
      </c>
    </row>
    <row r="444" ht="15.75" customHeight="1">
      <c r="C444" s="39"/>
      <c r="D444" s="39" t="str">
        <f>IF(OR(B444="",A444=""),"",MAX(0,MIN(3,SUMIFS($C$2:$C$1000,$B$2:$B$1000,B444,$A$2:$A$1000,"&lt;="&amp;A444,$A$2:$A$1000,"&gt;="&amp;IF(Config!$B$1004="Y",A444-Config!$B$1005,DATE(1900,1,1)),$I$2:$I$1000,1)))))</f>
        <v>#ERROR!</v>
      </c>
      <c r="H444" s="39"/>
      <c r="I444" s="39">
        <f t="shared" si="1"/>
        <v>1</v>
      </c>
      <c r="J444" s="39" t="str">
        <f t="shared" si="2"/>
        <v/>
      </c>
      <c r="K444" s="39" t="str">
        <f t="array" ref="K444">IF(J444="","",IF(XLOOKUP(J444,Strike_Review_Queue!$I:$I,Strike_Review_Queue!$J:$J,"")="Approve","Approved",IF(XLOOKUP(J444,Strike_Review_Queue!$I:$I,Strike_Review_Queue!$J:$J,"")="Deny","Counts",H444)))</f>
        <v/>
      </c>
      <c r="L444" s="39" t="str">
        <f t="array" ref="L444">IF(J444="","",XLOOKUP(J444,Strike_Review_Queue!$I:$I,Strike_Review_Queue!$L:$L,""))</f>
        <v/>
      </c>
      <c r="M444" s="39" t="str">
        <f t="array" ref="M444">IF(J444="","",XLOOKUP(J444,Strike_Review_Queue!$I:$I,Strike_Review_Queue!$M:$M,""))</f>
        <v/>
      </c>
    </row>
    <row r="445" ht="15.75" customHeight="1">
      <c r="C445" s="39"/>
      <c r="D445" s="39" t="str">
        <f>IF(OR(B445="",A445=""),"",MAX(0,MIN(3,SUMIFS($C$2:$C$1000,$B$2:$B$1000,B445,$A$2:$A$1000,"&lt;="&amp;A445,$A$2:$A$1000,"&gt;="&amp;IF(Config!$B$1004="Y",A445-Config!$B$1005,DATE(1900,1,1)),$I$2:$I$1000,1)))))</f>
        <v>#ERROR!</v>
      </c>
      <c r="H445" s="39"/>
      <c r="I445" s="39">
        <f t="shared" si="1"/>
        <v>1</v>
      </c>
      <c r="J445" s="39" t="str">
        <f t="shared" si="2"/>
        <v/>
      </c>
      <c r="K445" s="39" t="str">
        <f t="array" ref="K445">IF(J445="","",IF(XLOOKUP(J445,Strike_Review_Queue!$I:$I,Strike_Review_Queue!$J:$J,"")="Approve","Approved",IF(XLOOKUP(J445,Strike_Review_Queue!$I:$I,Strike_Review_Queue!$J:$J,"")="Deny","Counts",H445)))</f>
        <v/>
      </c>
      <c r="L445" s="39" t="str">
        <f t="array" ref="L445">IF(J445="","",XLOOKUP(J445,Strike_Review_Queue!$I:$I,Strike_Review_Queue!$L:$L,""))</f>
        <v/>
      </c>
      <c r="M445" s="39" t="str">
        <f t="array" ref="M445">IF(J445="","",XLOOKUP(J445,Strike_Review_Queue!$I:$I,Strike_Review_Queue!$M:$M,""))</f>
        <v/>
      </c>
    </row>
    <row r="446" ht="15.75" customHeight="1">
      <c r="C446" s="39"/>
      <c r="D446" s="39" t="str">
        <f>IF(OR(B446="",A446=""),"",MAX(0,MIN(3,SUMIFS($C$2:$C$1000,$B$2:$B$1000,B446,$A$2:$A$1000,"&lt;="&amp;A446,$A$2:$A$1000,"&gt;="&amp;IF(Config!$B$1004="Y",A446-Config!$B$1005,DATE(1900,1,1)),$I$2:$I$1000,1)))))</f>
        <v>#ERROR!</v>
      </c>
      <c r="H446" s="39"/>
      <c r="I446" s="39">
        <f t="shared" si="1"/>
        <v>1</v>
      </c>
      <c r="J446" s="39" t="str">
        <f t="shared" si="2"/>
        <v/>
      </c>
      <c r="K446" s="39" t="str">
        <f t="array" ref="K446">IF(J446="","",IF(XLOOKUP(J446,Strike_Review_Queue!$I:$I,Strike_Review_Queue!$J:$J,"")="Approve","Approved",IF(XLOOKUP(J446,Strike_Review_Queue!$I:$I,Strike_Review_Queue!$J:$J,"")="Deny","Counts",H446)))</f>
        <v/>
      </c>
      <c r="L446" s="39" t="str">
        <f t="array" ref="L446">IF(J446="","",XLOOKUP(J446,Strike_Review_Queue!$I:$I,Strike_Review_Queue!$L:$L,""))</f>
        <v/>
      </c>
      <c r="M446" s="39" t="str">
        <f t="array" ref="M446">IF(J446="","",XLOOKUP(J446,Strike_Review_Queue!$I:$I,Strike_Review_Queue!$M:$M,""))</f>
        <v/>
      </c>
    </row>
    <row r="447" ht="15.75" customHeight="1">
      <c r="C447" s="39"/>
      <c r="D447" s="39" t="str">
        <f>IF(OR(B447="",A447=""),"",MAX(0,MIN(3,SUMIFS($C$2:$C$1000,$B$2:$B$1000,B447,$A$2:$A$1000,"&lt;="&amp;A447,$A$2:$A$1000,"&gt;="&amp;IF(Config!$B$1004="Y",A447-Config!$B$1005,DATE(1900,1,1)),$I$2:$I$1000,1)))))</f>
        <v>#ERROR!</v>
      </c>
      <c r="H447" s="39"/>
      <c r="I447" s="39">
        <f t="shared" si="1"/>
        <v>1</v>
      </c>
      <c r="J447" s="39" t="str">
        <f t="shared" si="2"/>
        <v/>
      </c>
      <c r="K447" s="39" t="str">
        <f t="array" ref="K447">IF(J447="","",IF(XLOOKUP(J447,Strike_Review_Queue!$I:$I,Strike_Review_Queue!$J:$J,"")="Approve","Approved",IF(XLOOKUP(J447,Strike_Review_Queue!$I:$I,Strike_Review_Queue!$J:$J,"")="Deny","Counts",H447)))</f>
        <v/>
      </c>
      <c r="L447" s="39" t="str">
        <f t="array" ref="L447">IF(J447="","",XLOOKUP(J447,Strike_Review_Queue!$I:$I,Strike_Review_Queue!$L:$L,""))</f>
        <v/>
      </c>
      <c r="M447" s="39" t="str">
        <f t="array" ref="M447">IF(J447="","",XLOOKUP(J447,Strike_Review_Queue!$I:$I,Strike_Review_Queue!$M:$M,""))</f>
        <v/>
      </c>
    </row>
    <row r="448" ht="15.75" customHeight="1">
      <c r="C448" s="39"/>
      <c r="D448" s="39" t="str">
        <f>IF(OR(B448="",A448=""),"",MAX(0,MIN(3,SUMIFS($C$2:$C$1000,$B$2:$B$1000,B448,$A$2:$A$1000,"&lt;="&amp;A448,$A$2:$A$1000,"&gt;="&amp;IF(Config!$B$1004="Y",A448-Config!$B$1005,DATE(1900,1,1)),$I$2:$I$1000,1)))))</f>
        <v>#ERROR!</v>
      </c>
      <c r="H448" s="39"/>
      <c r="I448" s="39">
        <f t="shared" si="1"/>
        <v>1</v>
      </c>
      <c r="J448" s="39" t="str">
        <f t="shared" si="2"/>
        <v/>
      </c>
      <c r="K448" s="39" t="str">
        <f t="array" ref="K448">IF(J448="","",IF(XLOOKUP(J448,Strike_Review_Queue!$I:$I,Strike_Review_Queue!$J:$J,"")="Approve","Approved",IF(XLOOKUP(J448,Strike_Review_Queue!$I:$I,Strike_Review_Queue!$J:$J,"")="Deny","Counts",H448)))</f>
        <v/>
      </c>
      <c r="L448" s="39" t="str">
        <f t="array" ref="L448">IF(J448="","",XLOOKUP(J448,Strike_Review_Queue!$I:$I,Strike_Review_Queue!$L:$L,""))</f>
        <v/>
      </c>
      <c r="M448" s="39" t="str">
        <f t="array" ref="M448">IF(J448="","",XLOOKUP(J448,Strike_Review_Queue!$I:$I,Strike_Review_Queue!$M:$M,""))</f>
        <v/>
      </c>
    </row>
    <row r="449" ht="15.75" customHeight="1">
      <c r="C449" s="39"/>
      <c r="D449" s="39" t="str">
        <f>IF(OR(B449="",A449=""),"",MAX(0,MIN(3,SUMIFS($C$2:$C$1000,$B$2:$B$1000,B449,$A$2:$A$1000,"&lt;="&amp;A449,$A$2:$A$1000,"&gt;="&amp;IF(Config!$B$1004="Y",A449-Config!$B$1005,DATE(1900,1,1)),$I$2:$I$1000,1)))))</f>
        <v>#ERROR!</v>
      </c>
      <c r="H449" s="39"/>
      <c r="I449" s="39">
        <f t="shared" si="1"/>
        <v>1</v>
      </c>
      <c r="J449" s="39" t="str">
        <f t="shared" si="2"/>
        <v/>
      </c>
      <c r="K449" s="39" t="str">
        <f t="array" ref="K449">IF(J449="","",IF(XLOOKUP(J449,Strike_Review_Queue!$I:$I,Strike_Review_Queue!$J:$J,"")="Approve","Approved",IF(XLOOKUP(J449,Strike_Review_Queue!$I:$I,Strike_Review_Queue!$J:$J,"")="Deny","Counts",H449)))</f>
        <v/>
      </c>
      <c r="L449" s="39" t="str">
        <f t="array" ref="L449">IF(J449="","",XLOOKUP(J449,Strike_Review_Queue!$I:$I,Strike_Review_Queue!$L:$L,""))</f>
        <v/>
      </c>
      <c r="M449" s="39" t="str">
        <f t="array" ref="M449">IF(J449="","",XLOOKUP(J449,Strike_Review_Queue!$I:$I,Strike_Review_Queue!$M:$M,""))</f>
        <v/>
      </c>
    </row>
    <row r="450" ht="15.75" customHeight="1">
      <c r="C450" s="39"/>
      <c r="D450" s="39" t="str">
        <f>IF(OR(B450="",A450=""),"",MAX(0,MIN(3,SUMIFS($C$2:$C$1000,$B$2:$B$1000,B450,$A$2:$A$1000,"&lt;="&amp;A450,$A$2:$A$1000,"&gt;="&amp;IF(Config!$B$1004="Y",A450-Config!$B$1005,DATE(1900,1,1)),$I$2:$I$1000,1)))))</f>
        <v>#ERROR!</v>
      </c>
      <c r="H450" s="39"/>
      <c r="I450" s="39">
        <f t="shared" si="1"/>
        <v>1</v>
      </c>
      <c r="J450" s="39" t="str">
        <f t="shared" si="2"/>
        <v/>
      </c>
      <c r="K450" s="39" t="str">
        <f t="array" ref="K450">IF(J450="","",IF(XLOOKUP(J450,Strike_Review_Queue!$I:$I,Strike_Review_Queue!$J:$J,"")="Approve","Approved",IF(XLOOKUP(J450,Strike_Review_Queue!$I:$I,Strike_Review_Queue!$J:$J,"")="Deny","Counts",H450)))</f>
        <v/>
      </c>
      <c r="L450" s="39" t="str">
        <f t="array" ref="L450">IF(J450="","",XLOOKUP(J450,Strike_Review_Queue!$I:$I,Strike_Review_Queue!$L:$L,""))</f>
        <v/>
      </c>
      <c r="M450" s="39" t="str">
        <f t="array" ref="M450">IF(J450="","",XLOOKUP(J450,Strike_Review_Queue!$I:$I,Strike_Review_Queue!$M:$M,""))</f>
        <v/>
      </c>
    </row>
    <row r="451" ht="15.75" customHeight="1">
      <c r="C451" s="39"/>
      <c r="D451" s="39" t="str">
        <f>IF(OR(B451="",A451=""),"",MAX(0,MIN(3,SUMIFS($C$2:$C$1000,$B$2:$B$1000,B451,$A$2:$A$1000,"&lt;="&amp;A451,$A$2:$A$1000,"&gt;="&amp;IF(Config!$B$1004="Y",A451-Config!$B$1005,DATE(1900,1,1)),$I$2:$I$1000,1)))))</f>
        <v>#ERROR!</v>
      </c>
      <c r="H451" s="39"/>
      <c r="I451" s="39">
        <f t="shared" si="1"/>
        <v>1</v>
      </c>
      <c r="J451" s="39" t="str">
        <f t="shared" si="2"/>
        <v/>
      </c>
      <c r="K451" s="39" t="str">
        <f t="array" ref="K451">IF(J451="","",IF(XLOOKUP(J451,Strike_Review_Queue!$I:$I,Strike_Review_Queue!$J:$J,"")="Approve","Approved",IF(XLOOKUP(J451,Strike_Review_Queue!$I:$I,Strike_Review_Queue!$J:$J,"")="Deny","Counts",H451)))</f>
        <v/>
      </c>
      <c r="L451" s="39" t="str">
        <f t="array" ref="L451">IF(J451="","",XLOOKUP(J451,Strike_Review_Queue!$I:$I,Strike_Review_Queue!$L:$L,""))</f>
        <v/>
      </c>
      <c r="M451" s="39" t="str">
        <f t="array" ref="M451">IF(J451="","",XLOOKUP(J451,Strike_Review_Queue!$I:$I,Strike_Review_Queue!$M:$M,""))</f>
        <v/>
      </c>
    </row>
    <row r="452" ht="15.75" customHeight="1">
      <c r="C452" s="39"/>
      <c r="D452" s="39" t="str">
        <f>IF(OR(B452="",A452=""),"",MAX(0,MIN(3,SUMIFS($C$2:$C$1000,$B$2:$B$1000,B452,$A$2:$A$1000,"&lt;="&amp;A452,$A$2:$A$1000,"&gt;="&amp;IF(Config!$B$1004="Y",A452-Config!$B$1005,DATE(1900,1,1)),$I$2:$I$1000,1)))))</f>
        <v>#ERROR!</v>
      </c>
      <c r="H452" s="39"/>
      <c r="I452" s="39">
        <f t="shared" si="1"/>
        <v>1</v>
      </c>
      <c r="J452" s="39" t="str">
        <f t="shared" si="2"/>
        <v/>
      </c>
      <c r="K452" s="39" t="str">
        <f t="array" ref="K452">IF(J452="","",IF(XLOOKUP(J452,Strike_Review_Queue!$I:$I,Strike_Review_Queue!$J:$J,"")="Approve","Approved",IF(XLOOKUP(J452,Strike_Review_Queue!$I:$I,Strike_Review_Queue!$J:$J,"")="Deny","Counts",H452)))</f>
        <v/>
      </c>
      <c r="L452" s="39" t="str">
        <f t="array" ref="L452">IF(J452="","",XLOOKUP(J452,Strike_Review_Queue!$I:$I,Strike_Review_Queue!$L:$L,""))</f>
        <v/>
      </c>
      <c r="M452" s="39" t="str">
        <f t="array" ref="M452">IF(J452="","",XLOOKUP(J452,Strike_Review_Queue!$I:$I,Strike_Review_Queue!$M:$M,""))</f>
        <v/>
      </c>
    </row>
    <row r="453" ht="15.75" customHeight="1">
      <c r="C453" s="39"/>
      <c r="D453" s="39" t="str">
        <f>IF(OR(B453="",A453=""),"",MAX(0,MIN(3,SUMIFS($C$2:$C$1000,$B$2:$B$1000,B453,$A$2:$A$1000,"&lt;="&amp;A453,$A$2:$A$1000,"&gt;="&amp;IF(Config!$B$1004="Y",A453-Config!$B$1005,DATE(1900,1,1)),$I$2:$I$1000,1)))))</f>
        <v>#ERROR!</v>
      </c>
      <c r="H453" s="39"/>
      <c r="I453" s="39">
        <f t="shared" si="1"/>
        <v>1</v>
      </c>
      <c r="J453" s="39" t="str">
        <f t="shared" si="2"/>
        <v/>
      </c>
      <c r="K453" s="39" t="str">
        <f t="array" ref="K453">IF(J453="","",IF(XLOOKUP(J453,Strike_Review_Queue!$I:$I,Strike_Review_Queue!$J:$J,"")="Approve","Approved",IF(XLOOKUP(J453,Strike_Review_Queue!$I:$I,Strike_Review_Queue!$J:$J,"")="Deny","Counts",H453)))</f>
        <v/>
      </c>
      <c r="L453" s="39" t="str">
        <f t="array" ref="L453">IF(J453="","",XLOOKUP(J453,Strike_Review_Queue!$I:$I,Strike_Review_Queue!$L:$L,""))</f>
        <v/>
      </c>
      <c r="M453" s="39" t="str">
        <f t="array" ref="M453">IF(J453="","",XLOOKUP(J453,Strike_Review_Queue!$I:$I,Strike_Review_Queue!$M:$M,""))</f>
        <v/>
      </c>
    </row>
    <row r="454" ht="15.75" customHeight="1">
      <c r="C454" s="39"/>
      <c r="D454" s="39" t="str">
        <f>IF(OR(B454="",A454=""),"",MAX(0,MIN(3,SUMIFS($C$2:$C$1000,$B$2:$B$1000,B454,$A$2:$A$1000,"&lt;="&amp;A454,$A$2:$A$1000,"&gt;="&amp;IF(Config!$B$1004="Y",A454-Config!$B$1005,DATE(1900,1,1)),$I$2:$I$1000,1)))))</f>
        <v>#ERROR!</v>
      </c>
      <c r="H454" s="39"/>
      <c r="I454" s="39">
        <f t="shared" si="1"/>
        <v>1</v>
      </c>
      <c r="J454" s="39" t="str">
        <f t="shared" si="2"/>
        <v/>
      </c>
      <c r="K454" s="39" t="str">
        <f t="array" ref="K454">IF(J454="","",IF(XLOOKUP(J454,Strike_Review_Queue!$I:$I,Strike_Review_Queue!$J:$J,"")="Approve","Approved",IF(XLOOKUP(J454,Strike_Review_Queue!$I:$I,Strike_Review_Queue!$J:$J,"")="Deny","Counts",H454)))</f>
        <v/>
      </c>
      <c r="L454" s="39" t="str">
        <f t="array" ref="L454">IF(J454="","",XLOOKUP(J454,Strike_Review_Queue!$I:$I,Strike_Review_Queue!$L:$L,""))</f>
        <v/>
      </c>
      <c r="M454" s="39" t="str">
        <f t="array" ref="M454">IF(J454="","",XLOOKUP(J454,Strike_Review_Queue!$I:$I,Strike_Review_Queue!$M:$M,""))</f>
        <v/>
      </c>
    </row>
    <row r="455" ht="15.75" customHeight="1">
      <c r="C455" s="39"/>
      <c r="D455" s="39" t="str">
        <f>IF(OR(B455="",A455=""),"",MAX(0,MIN(3,SUMIFS($C$2:$C$1000,$B$2:$B$1000,B455,$A$2:$A$1000,"&lt;="&amp;A455,$A$2:$A$1000,"&gt;="&amp;IF(Config!$B$1004="Y",A455-Config!$B$1005,DATE(1900,1,1)),$I$2:$I$1000,1)))))</f>
        <v>#ERROR!</v>
      </c>
      <c r="H455" s="39"/>
      <c r="I455" s="39">
        <f t="shared" si="1"/>
        <v>1</v>
      </c>
      <c r="J455" s="39" t="str">
        <f t="shared" si="2"/>
        <v/>
      </c>
      <c r="K455" s="39" t="str">
        <f t="array" ref="K455">IF(J455="","",IF(XLOOKUP(J455,Strike_Review_Queue!$I:$I,Strike_Review_Queue!$J:$J,"")="Approve","Approved",IF(XLOOKUP(J455,Strike_Review_Queue!$I:$I,Strike_Review_Queue!$J:$J,"")="Deny","Counts",H455)))</f>
        <v/>
      </c>
      <c r="L455" s="39" t="str">
        <f t="array" ref="L455">IF(J455="","",XLOOKUP(J455,Strike_Review_Queue!$I:$I,Strike_Review_Queue!$L:$L,""))</f>
        <v/>
      </c>
      <c r="M455" s="39" t="str">
        <f t="array" ref="M455">IF(J455="","",XLOOKUP(J455,Strike_Review_Queue!$I:$I,Strike_Review_Queue!$M:$M,""))</f>
        <v/>
      </c>
    </row>
    <row r="456" ht="15.75" customHeight="1">
      <c r="C456" s="39"/>
      <c r="D456" s="39" t="str">
        <f>IF(OR(B456="",A456=""),"",MAX(0,MIN(3,SUMIFS($C$2:$C$1000,$B$2:$B$1000,B456,$A$2:$A$1000,"&lt;="&amp;A456,$A$2:$A$1000,"&gt;="&amp;IF(Config!$B$1004="Y",A456-Config!$B$1005,DATE(1900,1,1)),$I$2:$I$1000,1)))))</f>
        <v>#ERROR!</v>
      </c>
      <c r="H456" s="39"/>
      <c r="I456" s="39">
        <f t="shared" si="1"/>
        <v>1</v>
      </c>
      <c r="J456" s="39" t="str">
        <f t="shared" si="2"/>
        <v/>
      </c>
      <c r="K456" s="39" t="str">
        <f t="array" ref="K456">IF(J456="","",IF(XLOOKUP(J456,Strike_Review_Queue!$I:$I,Strike_Review_Queue!$J:$J,"")="Approve","Approved",IF(XLOOKUP(J456,Strike_Review_Queue!$I:$I,Strike_Review_Queue!$J:$J,"")="Deny","Counts",H456)))</f>
        <v/>
      </c>
      <c r="L456" s="39" t="str">
        <f t="array" ref="L456">IF(J456="","",XLOOKUP(J456,Strike_Review_Queue!$I:$I,Strike_Review_Queue!$L:$L,""))</f>
        <v/>
      </c>
      <c r="M456" s="39" t="str">
        <f t="array" ref="M456">IF(J456="","",XLOOKUP(J456,Strike_Review_Queue!$I:$I,Strike_Review_Queue!$M:$M,""))</f>
        <v/>
      </c>
    </row>
    <row r="457" ht="15.75" customHeight="1">
      <c r="C457" s="39"/>
      <c r="D457" s="39" t="str">
        <f>IF(OR(B457="",A457=""),"",MAX(0,MIN(3,SUMIFS($C$2:$C$1000,$B$2:$B$1000,B457,$A$2:$A$1000,"&lt;="&amp;A457,$A$2:$A$1000,"&gt;="&amp;IF(Config!$B$1004="Y",A457-Config!$B$1005,DATE(1900,1,1)),$I$2:$I$1000,1)))))</f>
        <v>#ERROR!</v>
      </c>
      <c r="H457" s="39"/>
      <c r="I457" s="39">
        <f t="shared" si="1"/>
        <v>1</v>
      </c>
      <c r="J457" s="39" t="str">
        <f t="shared" si="2"/>
        <v/>
      </c>
      <c r="K457" s="39" t="str">
        <f t="array" ref="K457">IF(J457="","",IF(XLOOKUP(J457,Strike_Review_Queue!$I:$I,Strike_Review_Queue!$J:$J,"")="Approve","Approved",IF(XLOOKUP(J457,Strike_Review_Queue!$I:$I,Strike_Review_Queue!$J:$J,"")="Deny","Counts",H457)))</f>
        <v/>
      </c>
      <c r="L457" s="39" t="str">
        <f t="array" ref="L457">IF(J457="","",XLOOKUP(J457,Strike_Review_Queue!$I:$I,Strike_Review_Queue!$L:$L,""))</f>
        <v/>
      </c>
      <c r="M457" s="39" t="str">
        <f t="array" ref="M457">IF(J457="","",XLOOKUP(J457,Strike_Review_Queue!$I:$I,Strike_Review_Queue!$M:$M,""))</f>
        <v/>
      </c>
    </row>
    <row r="458" ht="15.75" customHeight="1">
      <c r="C458" s="39"/>
      <c r="D458" s="39" t="str">
        <f>IF(OR(B458="",A458=""),"",MAX(0,MIN(3,SUMIFS($C$2:$C$1000,$B$2:$B$1000,B458,$A$2:$A$1000,"&lt;="&amp;A458,$A$2:$A$1000,"&gt;="&amp;IF(Config!$B$1004="Y",A458-Config!$B$1005,DATE(1900,1,1)),$I$2:$I$1000,1)))))</f>
        <v>#ERROR!</v>
      </c>
      <c r="H458" s="39"/>
      <c r="I458" s="39">
        <f t="shared" si="1"/>
        <v>1</v>
      </c>
      <c r="J458" s="39" t="str">
        <f t="shared" si="2"/>
        <v/>
      </c>
      <c r="K458" s="39" t="str">
        <f t="array" ref="K458">IF(J458="","",IF(XLOOKUP(J458,Strike_Review_Queue!$I:$I,Strike_Review_Queue!$J:$J,"")="Approve","Approved",IF(XLOOKUP(J458,Strike_Review_Queue!$I:$I,Strike_Review_Queue!$J:$J,"")="Deny","Counts",H458)))</f>
        <v/>
      </c>
      <c r="L458" s="39" t="str">
        <f t="array" ref="L458">IF(J458="","",XLOOKUP(J458,Strike_Review_Queue!$I:$I,Strike_Review_Queue!$L:$L,""))</f>
        <v/>
      </c>
      <c r="M458" s="39" t="str">
        <f t="array" ref="M458">IF(J458="","",XLOOKUP(J458,Strike_Review_Queue!$I:$I,Strike_Review_Queue!$M:$M,""))</f>
        <v/>
      </c>
    </row>
    <row r="459" ht="15.75" customHeight="1">
      <c r="C459" s="39"/>
      <c r="D459" s="39" t="str">
        <f>IF(OR(B459="",A459=""),"",MAX(0,MIN(3,SUMIFS($C$2:$C$1000,$B$2:$B$1000,B459,$A$2:$A$1000,"&lt;="&amp;A459,$A$2:$A$1000,"&gt;="&amp;IF(Config!$B$1004="Y",A459-Config!$B$1005,DATE(1900,1,1)),$I$2:$I$1000,1)))))</f>
        <v>#ERROR!</v>
      </c>
      <c r="H459" s="39"/>
      <c r="I459" s="39">
        <f t="shared" si="1"/>
        <v>1</v>
      </c>
      <c r="J459" s="39" t="str">
        <f t="shared" si="2"/>
        <v/>
      </c>
      <c r="K459" s="39" t="str">
        <f t="array" ref="K459">IF(J459="","",IF(XLOOKUP(J459,Strike_Review_Queue!$I:$I,Strike_Review_Queue!$J:$J,"")="Approve","Approved",IF(XLOOKUP(J459,Strike_Review_Queue!$I:$I,Strike_Review_Queue!$J:$J,"")="Deny","Counts",H459)))</f>
        <v/>
      </c>
      <c r="L459" s="39" t="str">
        <f t="array" ref="L459">IF(J459="","",XLOOKUP(J459,Strike_Review_Queue!$I:$I,Strike_Review_Queue!$L:$L,""))</f>
        <v/>
      </c>
      <c r="M459" s="39" t="str">
        <f t="array" ref="M459">IF(J459="","",XLOOKUP(J459,Strike_Review_Queue!$I:$I,Strike_Review_Queue!$M:$M,""))</f>
        <v/>
      </c>
    </row>
    <row r="460" ht="15.75" customHeight="1">
      <c r="C460" s="39"/>
      <c r="D460" s="39" t="str">
        <f>IF(OR(B460="",A460=""),"",MAX(0,MIN(3,SUMIFS($C$2:$C$1000,$B$2:$B$1000,B460,$A$2:$A$1000,"&lt;="&amp;A460,$A$2:$A$1000,"&gt;="&amp;IF(Config!$B$1004="Y",A460-Config!$B$1005,DATE(1900,1,1)),$I$2:$I$1000,1)))))</f>
        <v>#ERROR!</v>
      </c>
      <c r="H460" s="39"/>
      <c r="I460" s="39">
        <f t="shared" si="1"/>
        <v>1</v>
      </c>
      <c r="J460" s="39" t="str">
        <f t="shared" si="2"/>
        <v/>
      </c>
      <c r="K460" s="39" t="str">
        <f t="array" ref="K460">IF(J460="","",IF(XLOOKUP(J460,Strike_Review_Queue!$I:$I,Strike_Review_Queue!$J:$J,"")="Approve","Approved",IF(XLOOKUP(J460,Strike_Review_Queue!$I:$I,Strike_Review_Queue!$J:$J,"")="Deny","Counts",H460)))</f>
        <v/>
      </c>
      <c r="L460" s="39" t="str">
        <f t="array" ref="L460">IF(J460="","",XLOOKUP(J460,Strike_Review_Queue!$I:$I,Strike_Review_Queue!$L:$L,""))</f>
        <v/>
      </c>
      <c r="M460" s="39" t="str">
        <f t="array" ref="M460">IF(J460="","",XLOOKUP(J460,Strike_Review_Queue!$I:$I,Strike_Review_Queue!$M:$M,""))</f>
        <v/>
      </c>
    </row>
    <row r="461" ht="15.75" customHeight="1">
      <c r="C461" s="39"/>
      <c r="D461" s="39" t="str">
        <f>IF(OR(B461="",A461=""),"",MAX(0,MIN(3,SUMIFS($C$2:$C$1000,$B$2:$B$1000,B461,$A$2:$A$1000,"&lt;="&amp;A461,$A$2:$A$1000,"&gt;="&amp;IF(Config!$B$1004="Y",A461-Config!$B$1005,DATE(1900,1,1)),$I$2:$I$1000,1)))))</f>
        <v>#ERROR!</v>
      </c>
      <c r="H461" s="39"/>
      <c r="I461" s="39">
        <f t="shared" si="1"/>
        <v>1</v>
      </c>
      <c r="J461" s="39" t="str">
        <f t="shared" si="2"/>
        <v/>
      </c>
      <c r="K461" s="39" t="str">
        <f t="array" ref="K461">IF(J461="","",IF(XLOOKUP(J461,Strike_Review_Queue!$I:$I,Strike_Review_Queue!$J:$J,"")="Approve","Approved",IF(XLOOKUP(J461,Strike_Review_Queue!$I:$I,Strike_Review_Queue!$J:$J,"")="Deny","Counts",H461)))</f>
        <v/>
      </c>
      <c r="L461" s="39" t="str">
        <f t="array" ref="L461">IF(J461="","",XLOOKUP(J461,Strike_Review_Queue!$I:$I,Strike_Review_Queue!$L:$L,""))</f>
        <v/>
      </c>
      <c r="M461" s="39" t="str">
        <f t="array" ref="M461">IF(J461="","",XLOOKUP(J461,Strike_Review_Queue!$I:$I,Strike_Review_Queue!$M:$M,""))</f>
        <v/>
      </c>
    </row>
    <row r="462" ht="15.75" customHeight="1">
      <c r="C462" s="39"/>
      <c r="D462" s="39" t="str">
        <f>IF(OR(B462="",A462=""),"",MAX(0,MIN(3,SUMIFS($C$2:$C$1000,$B$2:$B$1000,B462,$A$2:$A$1000,"&lt;="&amp;A462,$A$2:$A$1000,"&gt;="&amp;IF(Config!$B$1004="Y",A462-Config!$B$1005,DATE(1900,1,1)),$I$2:$I$1000,1)))))</f>
        <v>#ERROR!</v>
      </c>
      <c r="H462" s="39"/>
      <c r="I462" s="39">
        <f t="shared" si="1"/>
        <v>1</v>
      </c>
      <c r="J462" s="39" t="str">
        <f t="shared" si="2"/>
        <v/>
      </c>
      <c r="K462" s="39" t="str">
        <f t="array" ref="K462">IF(J462="","",IF(XLOOKUP(J462,Strike_Review_Queue!$I:$I,Strike_Review_Queue!$J:$J,"")="Approve","Approved",IF(XLOOKUP(J462,Strike_Review_Queue!$I:$I,Strike_Review_Queue!$J:$J,"")="Deny","Counts",H462)))</f>
        <v/>
      </c>
      <c r="L462" s="39" t="str">
        <f t="array" ref="L462">IF(J462="","",XLOOKUP(J462,Strike_Review_Queue!$I:$I,Strike_Review_Queue!$L:$L,""))</f>
        <v/>
      </c>
      <c r="M462" s="39" t="str">
        <f t="array" ref="M462">IF(J462="","",XLOOKUP(J462,Strike_Review_Queue!$I:$I,Strike_Review_Queue!$M:$M,""))</f>
        <v/>
      </c>
    </row>
    <row r="463" ht="15.75" customHeight="1">
      <c r="C463" s="39"/>
      <c r="D463" s="39" t="str">
        <f>IF(OR(B463="",A463=""),"",MAX(0,MIN(3,SUMIFS($C$2:$C$1000,$B$2:$B$1000,B463,$A$2:$A$1000,"&lt;="&amp;A463,$A$2:$A$1000,"&gt;="&amp;IF(Config!$B$1004="Y",A463-Config!$B$1005,DATE(1900,1,1)),$I$2:$I$1000,1)))))</f>
        <v>#ERROR!</v>
      </c>
      <c r="H463" s="39"/>
      <c r="I463" s="39">
        <f t="shared" si="1"/>
        <v>1</v>
      </c>
      <c r="J463" s="39" t="str">
        <f t="shared" si="2"/>
        <v/>
      </c>
      <c r="K463" s="39" t="str">
        <f t="array" ref="K463">IF(J463="","",IF(XLOOKUP(J463,Strike_Review_Queue!$I:$I,Strike_Review_Queue!$J:$J,"")="Approve","Approved",IF(XLOOKUP(J463,Strike_Review_Queue!$I:$I,Strike_Review_Queue!$J:$J,"")="Deny","Counts",H463)))</f>
        <v/>
      </c>
      <c r="L463" s="39" t="str">
        <f t="array" ref="L463">IF(J463="","",XLOOKUP(J463,Strike_Review_Queue!$I:$I,Strike_Review_Queue!$L:$L,""))</f>
        <v/>
      </c>
      <c r="M463" s="39" t="str">
        <f t="array" ref="M463">IF(J463="","",XLOOKUP(J463,Strike_Review_Queue!$I:$I,Strike_Review_Queue!$M:$M,""))</f>
        <v/>
      </c>
    </row>
    <row r="464" ht="15.75" customHeight="1">
      <c r="C464" s="39"/>
      <c r="D464" s="39" t="str">
        <f>IF(OR(B464="",A464=""),"",MAX(0,MIN(3,SUMIFS($C$2:$C$1000,$B$2:$B$1000,B464,$A$2:$A$1000,"&lt;="&amp;A464,$A$2:$A$1000,"&gt;="&amp;IF(Config!$B$1004="Y",A464-Config!$B$1005,DATE(1900,1,1)),$I$2:$I$1000,1)))))</f>
        <v>#ERROR!</v>
      </c>
      <c r="H464" s="39"/>
      <c r="I464" s="39">
        <f t="shared" si="1"/>
        <v>1</v>
      </c>
      <c r="J464" s="39" t="str">
        <f t="shared" si="2"/>
        <v/>
      </c>
      <c r="K464" s="39" t="str">
        <f t="array" ref="K464">IF(J464="","",IF(XLOOKUP(J464,Strike_Review_Queue!$I:$I,Strike_Review_Queue!$J:$J,"")="Approve","Approved",IF(XLOOKUP(J464,Strike_Review_Queue!$I:$I,Strike_Review_Queue!$J:$J,"")="Deny","Counts",H464)))</f>
        <v/>
      </c>
      <c r="L464" s="39" t="str">
        <f t="array" ref="L464">IF(J464="","",XLOOKUP(J464,Strike_Review_Queue!$I:$I,Strike_Review_Queue!$L:$L,""))</f>
        <v/>
      </c>
      <c r="M464" s="39" t="str">
        <f t="array" ref="M464">IF(J464="","",XLOOKUP(J464,Strike_Review_Queue!$I:$I,Strike_Review_Queue!$M:$M,""))</f>
        <v/>
      </c>
    </row>
    <row r="465" ht="15.75" customHeight="1">
      <c r="C465" s="39"/>
      <c r="D465" s="39" t="str">
        <f>IF(OR(B465="",A465=""),"",MAX(0,MIN(3,SUMIFS($C$2:$C$1000,$B$2:$B$1000,B465,$A$2:$A$1000,"&lt;="&amp;A465,$A$2:$A$1000,"&gt;="&amp;IF(Config!$B$1004="Y",A465-Config!$B$1005,DATE(1900,1,1)),$I$2:$I$1000,1)))))</f>
        <v>#ERROR!</v>
      </c>
      <c r="H465" s="39"/>
      <c r="I465" s="39">
        <f t="shared" si="1"/>
        <v>1</v>
      </c>
      <c r="J465" s="39" t="str">
        <f t="shared" si="2"/>
        <v/>
      </c>
      <c r="K465" s="39" t="str">
        <f t="array" ref="K465">IF(J465="","",IF(XLOOKUP(J465,Strike_Review_Queue!$I:$I,Strike_Review_Queue!$J:$J,"")="Approve","Approved",IF(XLOOKUP(J465,Strike_Review_Queue!$I:$I,Strike_Review_Queue!$J:$J,"")="Deny","Counts",H465)))</f>
        <v/>
      </c>
      <c r="L465" s="39" t="str">
        <f t="array" ref="L465">IF(J465="","",XLOOKUP(J465,Strike_Review_Queue!$I:$I,Strike_Review_Queue!$L:$L,""))</f>
        <v/>
      </c>
      <c r="M465" s="39" t="str">
        <f t="array" ref="M465">IF(J465="","",XLOOKUP(J465,Strike_Review_Queue!$I:$I,Strike_Review_Queue!$M:$M,""))</f>
        <v/>
      </c>
    </row>
    <row r="466" ht="15.75" customHeight="1">
      <c r="C466" s="39"/>
      <c r="D466" s="39" t="str">
        <f>IF(OR(B466="",A466=""),"",MAX(0,MIN(3,SUMIFS($C$2:$C$1000,$B$2:$B$1000,B466,$A$2:$A$1000,"&lt;="&amp;A466,$A$2:$A$1000,"&gt;="&amp;IF(Config!$B$1004="Y",A466-Config!$B$1005,DATE(1900,1,1)),$I$2:$I$1000,1)))))</f>
        <v>#ERROR!</v>
      </c>
      <c r="H466" s="39"/>
      <c r="I466" s="39">
        <f t="shared" si="1"/>
        <v>1</v>
      </c>
      <c r="J466" s="39" t="str">
        <f t="shared" si="2"/>
        <v/>
      </c>
      <c r="K466" s="39" t="str">
        <f t="array" ref="K466">IF(J466="","",IF(XLOOKUP(J466,Strike_Review_Queue!$I:$I,Strike_Review_Queue!$J:$J,"")="Approve","Approved",IF(XLOOKUP(J466,Strike_Review_Queue!$I:$I,Strike_Review_Queue!$J:$J,"")="Deny","Counts",H466)))</f>
        <v/>
      </c>
      <c r="L466" s="39" t="str">
        <f t="array" ref="L466">IF(J466="","",XLOOKUP(J466,Strike_Review_Queue!$I:$I,Strike_Review_Queue!$L:$L,""))</f>
        <v/>
      </c>
      <c r="M466" s="39" t="str">
        <f t="array" ref="M466">IF(J466="","",XLOOKUP(J466,Strike_Review_Queue!$I:$I,Strike_Review_Queue!$M:$M,""))</f>
        <v/>
      </c>
    </row>
    <row r="467" ht="15.75" customHeight="1">
      <c r="C467" s="39"/>
      <c r="D467" s="39" t="str">
        <f>IF(OR(B467="",A467=""),"",MAX(0,MIN(3,SUMIFS($C$2:$C$1000,$B$2:$B$1000,B467,$A$2:$A$1000,"&lt;="&amp;A467,$A$2:$A$1000,"&gt;="&amp;IF(Config!$B$1004="Y",A467-Config!$B$1005,DATE(1900,1,1)),$I$2:$I$1000,1)))))</f>
        <v>#ERROR!</v>
      </c>
      <c r="H467" s="39"/>
      <c r="I467" s="39">
        <f t="shared" si="1"/>
        <v>1</v>
      </c>
      <c r="J467" s="39" t="str">
        <f t="shared" si="2"/>
        <v/>
      </c>
      <c r="K467" s="39" t="str">
        <f t="array" ref="K467">IF(J467="","",IF(XLOOKUP(J467,Strike_Review_Queue!$I:$I,Strike_Review_Queue!$J:$J,"")="Approve","Approved",IF(XLOOKUP(J467,Strike_Review_Queue!$I:$I,Strike_Review_Queue!$J:$J,"")="Deny","Counts",H467)))</f>
        <v/>
      </c>
      <c r="L467" s="39" t="str">
        <f t="array" ref="L467">IF(J467="","",XLOOKUP(J467,Strike_Review_Queue!$I:$I,Strike_Review_Queue!$L:$L,""))</f>
        <v/>
      </c>
      <c r="M467" s="39" t="str">
        <f t="array" ref="M467">IF(J467="","",XLOOKUP(J467,Strike_Review_Queue!$I:$I,Strike_Review_Queue!$M:$M,""))</f>
        <v/>
      </c>
    </row>
    <row r="468" ht="15.75" customHeight="1">
      <c r="C468" s="39"/>
      <c r="D468" s="39" t="str">
        <f>IF(OR(B468="",A468=""),"",MAX(0,MIN(3,SUMIFS($C$2:$C$1000,$B$2:$B$1000,B468,$A$2:$A$1000,"&lt;="&amp;A468,$A$2:$A$1000,"&gt;="&amp;IF(Config!$B$1004="Y",A468-Config!$B$1005,DATE(1900,1,1)),$I$2:$I$1000,1)))))</f>
        <v>#ERROR!</v>
      </c>
      <c r="H468" s="39"/>
      <c r="I468" s="39">
        <f t="shared" si="1"/>
        <v>1</v>
      </c>
      <c r="J468" s="39" t="str">
        <f t="shared" si="2"/>
        <v/>
      </c>
      <c r="K468" s="39" t="str">
        <f t="array" ref="K468">IF(J468="","",IF(XLOOKUP(J468,Strike_Review_Queue!$I:$I,Strike_Review_Queue!$J:$J,"")="Approve","Approved",IF(XLOOKUP(J468,Strike_Review_Queue!$I:$I,Strike_Review_Queue!$J:$J,"")="Deny","Counts",H468)))</f>
        <v/>
      </c>
      <c r="L468" s="39" t="str">
        <f t="array" ref="L468">IF(J468="","",XLOOKUP(J468,Strike_Review_Queue!$I:$I,Strike_Review_Queue!$L:$L,""))</f>
        <v/>
      </c>
      <c r="M468" s="39" t="str">
        <f t="array" ref="M468">IF(J468="","",XLOOKUP(J468,Strike_Review_Queue!$I:$I,Strike_Review_Queue!$M:$M,""))</f>
        <v/>
      </c>
    </row>
    <row r="469" ht="15.75" customHeight="1">
      <c r="C469" s="39"/>
      <c r="D469" s="39" t="str">
        <f>IF(OR(B469="",A469=""),"",MAX(0,MIN(3,SUMIFS($C$2:$C$1000,$B$2:$B$1000,B469,$A$2:$A$1000,"&lt;="&amp;A469,$A$2:$A$1000,"&gt;="&amp;IF(Config!$B$1004="Y",A469-Config!$B$1005,DATE(1900,1,1)),$I$2:$I$1000,1)))))</f>
        <v>#ERROR!</v>
      </c>
      <c r="H469" s="39"/>
      <c r="I469" s="39">
        <f t="shared" si="1"/>
        <v>1</v>
      </c>
      <c r="J469" s="39" t="str">
        <f t="shared" si="2"/>
        <v/>
      </c>
      <c r="K469" s="39" t="str">
        <f t="array" ref="K469">IF(J469="","",IF(XLOOKUP(J469,Strike_Review_Queue!$I:$I,Strike_Review_Queue!$J:$J,"")="Approve","Approved",IF(XLOOKUP(J469,Strike_Review_Queue!$I:$I,Strike_Review_Queue!$J:$J,"")="Deny","Counts",H469)))</f>
        <v/>
      </c>
      <c r="L469" s="39" t="str">
        <f t="array" ref="L469">IF(J469="","",XLOOKUP(J469,Strike_Review_Queue!$I:$I,Strike_Review_Queue!$L:$L,""))</f>
        <v/>
      </c>
      <c r="M469" s="39" t="str">
        <f t="array" ref="M469">IF(J469="","",XLOOKUP(J469,Strike_Review_Queue!$I:$I,Strike_Review_Queue!$M:$M,""))</f>
        <v/>
      </c>
    </row>
    <row r="470" ht="15.75" customHeight="1">
      <c r="C470" s="39"/>
      <c r="D470" s="39" t="str">
        <f>IF(OR(B470="",A470=""),"",MAX(0,MIN(3,SUMIFS($C$2:$C$1000,$B$2:$B$1000,B470,$A$2:$A$1000,"&lt;="&amp;A470,$A$2:$A$1000,"&gt;="&amp;IF(Config!$B$1004="Y",A470-Config!$B$1005,DATE(1900,1,1)),$I$2:$I$1000,1)))))</f>
        <v>#ERROR!</v>
      </c>
      <c r="H470" s="39"/>
      <c r="I470" s="39">
        <f t="shared" si="1"/>
        <v>1</v>
      </c>
      <c r="J470" s="39" t="str">
        <f t="shared" si="2"/>
        <v/>
      </c>
      <c r="K470" s="39" t="str">
        <f t="array" ref="K470">IF(J470="","",IF(XLOOKUP(J470,Strike_Review_Queue!$I:$I,Strike_Review_Queue!$J:$J,"")="Approve","Approved",IF(XLOOKUP(J470,Strike_Review_Queue!$I:$I,Strike_Review_Queue!$J:$J,"")="Deny","Counts",H470)))</f>
        <v/>
      </c>
      <c r="L470" s="39" t="str">
        <f t="array" ref="L470">IF(J470="","",XLOOKUP(J470,Strike_Review_Queue!$I:$I,Strike_Review_Queue!$L:$L,""))</f>
        <v/>
      </c>
      <c r="M470" s="39" t="str">
        <f t="array" ref="M470">IF(J470="","",XLOOKUP(J470,Strike_Review_Queue!$I:$I,Strike_Review_Queue!$M:$M,""))</f>
        <v/>
      </c>
    </row>
    <row r="471" ht="15.75" customHeight="1">
      <c r="C471" s="39"/>
      <c r="D471" s="39" t="str">
        <f>IF(OR(B471="",A471=""),"",MAX(0,MIN(3,SUMIFS($C$2:$C$1000,$B$2:$B$1000,B471,$A$2:$A$1000,"&lt;="&amp;A471,$A$2:$A$1000,"&gt;="&amp;IF(Config!$B$1004="Y",A471-Config!$B$1005,DATE(1900,1,1)),$I$2:$I$1000,1)))))</f>
        <v>#ERROR!</v>
      </c>
      <c r="H471" s="39"/>
      <c r="I471" s="39">
        <f t="shared" si="1"/>
        <v>1</v>
      </c>
      <c r="J471" s="39" t="str">
        <f t="shared" si="2"/>
        <v/>
      </c>
      <c r="K471" s="39" t="str">
        <f t="array" ref="K471">IF(J471="","",IF(XLOOKUP(J471,Strike_Review_Queue!$I:$I,Strike_Review_Queue!$J:$J,"")="Approve","Approved",IF(XLOOKUP(J471,Strike_Review_Queue!$I:$I,Strike_Review_Queue!$J:$J,"")="Deny","Counts",H471)))</f>
        <v/>
      </c>
      <c r="L471" s="39" t="str">
        <f t="array" ref="L471">IF(J471="","",XLOOKUP(J471,Strike_Review_Queue!$I:$I,Strike_Review_Queue!$L:$L,""))</f>
        <v/>
      </c>
      <c r="M471" s="39" t="str">
        <f t="array" ref="M471">IF(J471="","",XLOOKUP(J471,Strike_Review_Queue!$I:$I,Strike_Review_Queue!$M:$M,""))</f>
        <v/>
      </c>
    </row>
    <row r="472" ht="15.75" customHeight="1">
      <c r="C472" s="39"/>
      <c r="D472" s="39" t="str">
        <f>IF(OR(B472="",A472=""),"",MAX(0,MIN(3,SUMIFS($C$2:$C$1000,$B$2:$B$1000,B472,$A$2:$A$1000,"&lt;="&amp;A472,$A$2:$A$1000,"&gt;="&amp;IF(Config!$B$1004="Y",A472-Config!$B$1005,DATE(1900,1,1)),$I$2:$I$1000,1)))))</f>
        <v>#ERROR!</v>
      </c>
      <c r="H472" s="39"/>
      <c r="I472" s="39">
        <f t="shared" si="1"/>
        <v>1</v>
      </c>
      <c r="J472" s="39" t="str">
        <f t="shared" si="2"/>
        <v/>
      </c>
      <c r="K472" s="39" t="str">
        <f t="array" ref="K472">IF(J472="","",IF(XLOOKUP(J472,Strike_Review_Queue!$I:$I,Strike_Review_Queue!$J:$J,"")="Approve","Approved",IF(XLOOKUP(J472,Strike_Review_Queue!$I:$I,Strike_Review_Queue!$J:$J,"")="Deny","Counts",H472)))</f>
        <v/>
      </c>
      <c r="L472" s="39" t="str">
        <f t="array" ref="L472">IF(J472="","",XLOOKUP(J472,Strike_Review_Queue!$I:$I,Strike_Review_Queue!$L:$L,""))</f>
        <v/>
      </c>
      <c r="M472" s="39" t="str">
        <f t="array" ref="M472">IF(J472="","",XLOOKUP(J472,Strike_Review_Queue!$I:$I,Strike_Review_Queue!$M:$M,""))</f>
        <v/>
      </c>
    </row>
    <row r="473" ht="15.75" customHeight="1">
      <c r="C473" s="39"/>
      <c r="D473" s="39" t="str">
        <f>IF(OR(B473="",A473=""),"",MAX(0,MIN(3,SUMIFS($C$2:$C$1000,$B$2:$B$1000,B473,$A$2:$A$1000,"&lt;="&amp;A473,$A$2:$A$1000,"&gt;="&amp;IF(Config!$B$1004="Y",A473-Config!$B$1005,DATE(1900,1,1)),$I$2:$I$1000,1)))))</f>
        <v>#ERROR!</v>
      </c>
      <c r="H473" s="39"/>
      <c r="I473" s="39">
        <f t="shared" si="1"/>
        <v>1</v>
      </c>
      <c r="J473" s="39" t="str">
        <f t="shared" si="2"/>
        <v/>
      </c>
      <c r="K473" s="39" t="str">
        <f t="array" ref="K473">IF(J473="","",IF(XLOOKUP(J473,Strike_Review_Queue!$I:$I,Strike_Review_Queue!$J:$J,"")="Approve","Approved",IF(XLOOKUP(J473,Strike_Review_Queue!$I:$I,Strike_Review_Queue!$J:$J,"")="Deny","Counts",H473)))</f>
        <v/>
      </c>
      <c r="L473" s="39" t="str">
        <f t="array" ref="L473">IF(J473="","",XLOOKUP(J473,Strike_Review_Queue!$I:$I,Strike_Review_Queue!$L:$L,""))</f>
        <v/>
      </c>
      <c r="M473" s="39" t="str">
        <f t="array" ref="M473">IF(J473="","",XLOOKUP(J473,Strike_Review_Queue!$I:$I,Strike_Review_Queue!$M:$M,""))</f>
        <v/>
      </c>
    </row>
    <row r="474" ht="15.75" customHeight="1">
      <c r="C474" s="39"/>
      <c r="D474" s="39" t="str">
        <f>IF(OR(B474="",A474=""),"",MAX(0,MIN(3,SUMIFS($C$2:$C$1000,$B$2:$B$1000,B474,$A$2:$A$1000,"&lt;="&amp;A474,$A$2:$A$1000,"&gt;="&amp;IF(Config!$B$1004="Y",A474-Config!$B$1005,DATE(1900,1,1)),$I$2:$I$1000,1)))))</f>
        <v>#ERROR!</v>
      </c>
      <c r="H474" s="39"/>
      <c r="I474" s="39">
        <f t="shared" si="1"/>
        <v>1</v>
      </c>
      <c r="J474" s="39" t="str">
        <f t="shared" si="2"/>
        <v/>
      </c>
      <c r="K474" s="39" t="str">
        <f t="array" ref="K474">IF(J474="","",IF(XLOOKUP(J474,Strike_Review_Queue!$I:$I,Strike_Review_Queue!$J:$J,"")="Approve","Approved",IF(XLOOKUP(J474,Strike_Review_Queue!$I:$I,Strike_Review_Queue!$J:$J,"")="Deny","Counts",H474)))</f>
        <v/>
      </c>
      <c r="L474" s="39" t="str">
        <f t="array" ref="L474">IF(J474="","",XLOOKUP(J474,Strike_Review_Queue!$I:$I,Strike_Review_Queue!$L:$L,""))</f>
        <v/>
      </c>
      <c r="M474" s="39" t="str">
        <f t="array" ref="M474">IF(J474="","",XLOOKUP(J474,Strike_Review_Queue!$I:$I,Strike_Review_Queue!$M:$M,""))</f>
        <v/>
      </c>
    </row>
    <row r="475" ht="15.75" customHeight="1">
      <c r="C475" s="39"/>
      <c r="D475" s="39" t="str">
        <f>IF(OR(B475="",A475=""),"",MAX(0,MIN(3,SUMIFS($C$2:$C$1000,$B$2:$B$1000,B475,$A$2:$A$1000,"&lt;="&amp;A475,$A$2:$A$1000,"&gt;="&amp;IF(Config!$B$1004="Y",A475-Config!$B$1005,DATE(1900,1,1)),$I$2:$I$1000,1)))))</f>
        <v>#ERROR!</v>
      </c>
      <c r="H475" s="39"/>
      <c r="I475" s="39">
        <f t="shared" si="1"/>
        <v>1</v>
      </c>
      <c r="J475" s="39" t="str">
        <f t="shared" si="2"/>
        <v/>
      </c>
      <c r="K475" s="39" t="str">
        <f t="array" ref="K475">IF(J475="","",IF(XLOOKUP(J475,Strike_Review_Queue!$I:$I,Strike_Review_Queue!$J:$J,"")="Approve","Approved",IF(XLOOKUP(J475,Strike_Review_Queue!$I:$I,Strike_Review_Queue!$J:$J,"")="Deny","Counts",H475)))</f>
        <v/>
      </c>
      <c r="L475" s="39" t="str">
        <f t="array" ref="L475">IF(J475="","",XLOOKUP(J475,Strike_Review_Queue!$I:$I,Strike_Review_Queue!$L:$L,""))</f>
        <v/>
      </c>
      <c r="M475" s="39" t="str">
        <f t="array" ref="M475">IF(J475="","",XLOOKUP(J475,Strike_Review_Queue!$I:$I,Strike_Review_Queue!$M:$M,""))</f>
        <v/>
      </c>
    </row>
    <row r="476" ht="15.75" customHeight="1">
      <c r="C476" s="39"/>
      <c r="D476" s="39" t="str">
        <f>IF(OR(B476="",A476=""),"",MAX(0,MIN(3,SUMIFS($C$2:$C$1000,$B$2:$B$1000,B476,$A$2:$A$1000,"&lt;="&amp;A476,$A$2:$A$1000,"&gt;="&amp;IF(Config!$B$1004="Y",A476-Config!$B$1005,DATE(1900,1,1)),$I$2:$I$1000,1)))))</f>
        <v>#ERROR!</v>
      </c>
      <c r="H476" s="39"/>
      <c r="I476" s="39">
        <f t="shared" si="1"/>
        <v>1</v>
      </c>
      <c r="J476" s="39" t="str">
        <f t="shared" si="2"/>
        <v/>
      </c>
      <c r="K476" s="39" t="str">
        <f t="array" ref="K476">IF(J476="","",IF(XLOOKUP(J476,Strike_Review_Queue!$I:$I,Strike_Review_Queue!$J:$J,"")="Approve","Approved",IF(XLOOKUP(J476,Strike_Review_Queue!$I:$I,Strike_Review_Queue!$J:$J,"")="Deny","Counts",H476)))</f>
        <v/>
      </c>
      <c r="L476" s="39" t="str">
        <f t="array" ref="L476">IF(J476="","",XLOOKUP(J476,Strike_Review_Queue!$I:$I,Strike_Review_Queue!$L:$L,""))</f>
        <v/>
      </c>
      <c r="M476" s="39" t="str">
        <f t="array" ref="M476">IF(J476="","",XLOOKUP(J476,Strike_Review_Queue!$I:$I,Strike_Review_Queue!$M:$M,""))</f>
        <v/>
      </c>
    </row>
    <row r="477" ht="15.75" customHeight="1">
      <c r="C477" s="39"/>
      <c r="D477" s="39" t="str">
        <f>IF(OR(B477="",A477=""),"",MAX(0,MIN(3,SUMIFS($C$2:$C$1000,$B$2:$B$1000,B477,$A$2:$A$1000,"&lt;="&amp;A477,$A$2:$A$1000,"&gt;="&amp;IF(Config!$B$1004="Y",A477-Config!$B$1005,DATE(1900,1,1)),$I$2:$I$1000,1)))))</f>
        <v>#ERROR!</v>
      </c>
      <c r="H477" s="39"/>
      <c r="I477" s="39">
        <f t="shared" si="1"/>
        <v>1</v>
      </c>
      <c r="J477" s="39" t="str">
        <f t="shared" si="2"/>
        <v/>
      </c>
      <c r="K477" s="39" t="str">
        <f t="array" ref="K477">IF(J477="","",IF(XLOOKUP(J477,Strike_Review_Queue!$I:$I,Strike_Review_Queue!$J:$J,"")="Approve","Approved",IF(XLOOKUP(J477,Strike_Review_Queue!$I:$I,Strike_Review_Queue!$J:$J,"")="Deny","Counts",H477)))</f>
        <v/>
      </c>
      <c r="L477" s="39" t="str">
        <f t="array" ref="L477">IF(J477="","",XLOOKUP(J477,Strike_Review_Queue!$I:$I,Strike_Review_Queue!$L:$L,""))</f>
        <v/>
      </c>
      <c r="M477" s="39" t="str">
        <f t="array" ref="M477">IF(J477="","",XLOOKUP(J477,Strike_Review_Queue!$I:$I,Strike_Review_Queue!$M:$M,""))</f>
        <v/>
      </c>
    </row>
    <row r="478" ht="15.75" customHeight="1">
      <c r="C478" s="39"/>
      <c r="D478" s="39" t="str">
        <f>IF(OR(B478="",A478=""),"",MAX(0,MIN(3,SUMIFS($C$2:$C$1000,$B$2:$B$1000,B478,$A$2:$A$1000,"&lt;="&amp;A478,$A$2:$A$1000,"&gt;="&amp;IF(Config!$B$1004="Y",A478-Config!$B$1005,DATE(1900,1,1)),$I$2:$I$1000,1)))))</f>
        <v>#ERROR!</v>
      </c>
      <c r="H478" s="39"/>
      <c r="I478" s="39">
        <f t="shared" si="1"/>
        <v>1</v>
      </c>
      <c r="J478" s="39" t="str">
        <f t="shared" si="2"/>
        <v/>
      </c>
      <c r="K478" s="39" t="str">
        <f t="array" ref="K478">IF(J478="","",IF(XLOOKUP(J478,Strike_Review_Queue!$I:$I,Strike_Review_Queue!$J:$J,"")="Approve","Approved",IF(XLOOKUP(J478,Strike_Review_Queue!$I:$I,Strike_Review_Queue!$J:$J,"")="Deny","Counts",H478)))</f>
        <v/>
      </c>
      <c r="L478" s="39" t="str">
        <f t="array" ref="L478">IF(J478="","",XLOOKUP(J478,Strike_Review_Queue!$I:$I,Strike_Review_Queue!$L:$L,""))</f>
        <v/>
      </c>
      <c r="M478" s="39" t="str">
        <f t="array" ref="M478">IF(J478="","",XLOOKUP(J478,Strike_Review_Queue!$I:$I,Strike_Review_Queue!$M:$M,""))</f>
        <v/>
      </c>
    </row>
    <row r="479" ht="15.75" customHeight="1">
      <c r="C479" s="39"/>
      <c r="D479" s="39" t="str">
        <f>IF(OR(B479="",A479=""),"",MAX(0,MIN(3,SUMIFS($C$2:$C$1000,$B$2:$B$1000,B479,$A$2:$A$1000,"&lt;="&amp;A479,$A$2:$A$1000,"&gt;="&amp;IF(Config!$B$1004="Y",A479-Config!$B$1005,DATE(1900,1,1)),$I$2:$I$1000,1)))))</f>
        <v>#ERROR!</v>
      </c>
      <c r="H479" s="39"/>
      <c r="I479" s="39">
        <f t="shared" si="1"/>
        <v>1</v>
      </c>
      <c r="J479" s="39" t="str">
        <f t="shared" si="2"/>
        <v/>
      </c>
      <c r="K479" s="39" t="str">
        <f t="array" ref="K479">IF(J479="","",IF(XLOOKUP(J479,Strike_Review_Queue!$I:$I,Strike_Review_Queue!$J:$J,"")="Approve","Approved",IF(XLOOKUP(J479,Strike_Review_Queue!$I:$I,Strike_Review_Queue!$J:$J,"")="Deny","Counts",H479)))</f>
        <v/>
      </c>
      <c r="L479" s="39" t="str">
        <f t="array" ref="L479">IF(J479="","",XLOOKUP(J479,Strike_Review_Queue!$I:$I,Strike_Review_Queue!$L:$L,""))</f>
        <v/>
      </c>
      <c r="M479" s="39" t="str">
        <f t="array" ref="M479">IF(J479="","",XLOOKUP(J479,Strike_Review_Queue!$I:$I,Strike_Review_Queue!$M:$M,""))</f>
        <v/>
      </c>
    </row>
    <row r="480" ht="15.75" customHeight="1">
      <c r="C480" s="39"/>
      <c r="D480" s="39" t="str">
        <f>IF(OR(B480="",A480=""),"",MAX(0,MIN(3,SUMIFS($C$2:$C$1000,$B$2:$B$1000,B480,$A$2:$A$1000,"&lt;="&amp;A480,$A$2:$A$1000,"&gt;="&amp;IF(Config!$B$1004="Y",A480-Config!$B$1005,DATE(1900,1,1)),$I$2:$I$1000,1)))))</f>
        <v>#ERROR!</v>
      </c>
      <c r="H480" s="39"/>
      <c r="I480" s="39">
        <f t="shared" si="1"/>
        <v>1</v>
      </c>
      <c r="J480" s="39" t="str">
        <f t="shared" si="2"/>
        <v/>
      </c>
      <c r="K480" s="39" t="str">
        <f t="array" ref="K480">IF(J480="","",IF(XLOOKUP(J480,Strike_Review_Queue!$I:$I,Strike_Review_Queue!$J:$J,"")="Approve","Approved",IF(XLOOKUP(J480,Strike_Review_Queue!$I:$I,Strike_Review_Queue!$J:$J,"")="Deny","Counts",H480)))</f>
        <v/>
      </c>
      <c r="L480" s="39" t="str">
        <f t="array" ref="L480">IF(J480="","",XLOOKUP(J480,Strike_Review_Queue!$I:$I,Strike_Review_Queue!$L:$L,""))</f>
        <v/>
      </c>
      <c r="M480" s="39" t="str">
        <f t="array" ref="M480">IF(J480="","",XLOOKUP(J480,Strike_Review_Queue!$I:$I,Strike_Review_Queue!$M:$M,""))</f>
        <v/>
      </c>
    </row>
    <row r="481" ht="15.75" customHeight="1">
      <c r="C481" s="39"/>
      <c r="D481" s="39" t="str">
        <f>IF(OR(B481="",A481=""),"",MAX(0,MIN(3,SUMIFS($C$2:$C$1000,$B$2:$B$1000,B481,$A$2:$A$1000,"&lt;="&amp;A481,$A$2:$A$1000,"&gt;="&amp;IF(Config!$B$1004="Y",A481-Config!$B$1005,DATE(1900,1,1)),$I$2:$I$1000,1)))))</f>
        <v>#ERROR!</v>
      </c>
      <c r="H481" s="39"/>
      <c r="I481" s="39">
        <f t="shared" si="1"/>
        <v>1</v>
      </c>
      <c r="J481" s="39" t="str">
        <f t="shared" si="2"/>
        <v/>
      </c>
      <c r="K481" s="39" t="str">
        <f t="array" ref="K481">IF(J481="","",IF(XLOOKUP(J481,Strike_Review_Queue!$I:$I,Strike_Review_Queue!$J:$J,"")="Approve","Approved",IF(XLOOKUP(J481,Strike_Review_Queue!$I:$I,Strike_Review_Queue!$J:$J,"")="Deny","Counts",H481)))</f>
        <v/>
      </c>
      <c r="L481" s="39" t="str">
        <f t="array" ref="L481">IF(J481="","",XLOOKUP(J481,Strike_Review_Queue!$I:$I,Strike_Review_Queue!$L:$L,""))</f>
        <v/>
      </c>
      <c r="M481" s="39" t="str">
        <f t="array" ref="M481">IF(J481="","",XLOOKUP(J481,Strike_Review_Queue!$I:$I,Strike_Review_Queue!$M:$M,""))</f>
        <v/>
      </c>
    </row>
    <row r="482" ht="15.75" customHeight="1">
      <c r="C482" s="39"/>
      <c r="D482" s="39" t="str">
        <f>IF(OR(B482="",A482=""),"",MAX(0,MIN(3,SUMIFS($C$2:$C$1000,$B$2:$B$1000,B482,$A$2:$A$1000,"&lt;="&amp;A482,$A$2:$A$1000,"&gt;="&amp;IF(Config!$B$1004="Y",A482-Config!$B$1005,DATE(1900,1,1)),$I$2:$I$1000,1)))))</f>
        <v>#ERROR!</v>
      </c>
      <c r="H482" s="39"/>
      <c r="I482" s="39">
        <f t="shared" si="1"/>
        <v>1</v>
      </c>
      <c r="J482" s="39" t="str">
        <f t="shared" si="2"/>
        <v/>
      </c>
      <c r="K482" s="39" t="str">
        <f t="array" ref="K482">IF(J482="","",IF(XLOOKUP(J482,Strike_Review_Queue!$I:$I,Strike_Review_Queue!$J:$J,"")="Approve","Approved",IF(XLOOKUP(J482,Strike_Review_Queue!$I:$I,Strike_Review_Queue!$J:$J,"")="Deny","Counts",H482)))</f>
        <v/>
      </c>
      <c r="L482" s="39" t="str">
        <f t="array" ref="L482">IF(J482="","",XLOOKUP(J482,Strike_Review_Queue!$I:$I,Strike_Review_Queue!$L:$L,""))</f>
        <v/>
      </c>
      <c r="M482" s="39" t="str">
        <f t="array" ref="M482">IF(J482="","",XLOOKUP(J482,Strike_Review_Queue!$I:$I,Strike_Review_Queue!$M:$M,""))</f>
        <v/>
      </c>
    </row>
    <row r="483" ht="15.75" customHeight="1">
      <c r="C483" s="39"/>
      <c r="D483" s="39" t="str">
        <f>IF(OR(B483="",A483=""),"",MAX(0,MIN(3,SUMIFS($C$2:$C$1000,$B$2:$B$1000,B483,$A$2:$A$1000,"&lt;="&amp;A483,$A$2:$A$1000,"&gt;="&amp;IF(Config!$B$1004="Y",A483-Config!$B$1005,DATE(1900,1,1)),$I$2:$I$1000,1)))))</f>
        <v>#ERROR!</v>
      </c>
      <c r="H483" s="39"/>
      <c r="I483" s="39">
        <f t="shared" si="1"/>
        <v>1</v>
      </c>
      <c r="J483" s="39" t="str">
        <f t="shared" si="2"/>
        <v/>
      </c>
      <c r="K483" s="39" t="str">
        <f t="array" ref="K483">IF(J483="","",IF(XLOOKUP(J483,Strike_Review_Queue!$I:$I,Strike_Review_Queue!$J:$J,"")="Approve","Approved",IF(XLOOKUP(J483,Strike_Review_Queue!$I:$I,Strike_Review_Queue!$J:$J,"")="Deny","Counts",H483)))</f>
        <v/>
      </c>
      <c r="L483" s="39" t="str">
        <f t="array" ref="L483">IF(J483="","",XLOOKUP(J483,Strike_Review_Queue!$I:$I,Strike_Review_Queue!$L:$L,""))</f>
        <v/>
      </c>
      <c r="M483" s="39" t="str">
        <f t="array" ref="M483">IF(J483="","",XLOOKUP(J483,Strike_Review_Queue!$I:$I,Strike_Review_Queue!$M:$M,""))</f>
        <v/>
      </c>
    </row>
    <row r="484" ht="15.75" customHeight="1">
      <c r="C484" s="39"/>
      <c r="D484" s="39" t="str">
        <f>IF(OR(B484="",A484=""),"",MAX(0,MIN(3,SUMIFS($C$2:$C$1000,$B$2:$B$1000,B484,$A$2:$A$1000,"&lt;="&amp;A484,$A$2:$A$1000,"&gt;="&amp;IF(Config!$B$1004="Y",A484-Config!$B$1005,DATE(1900,1,1)),$I$2:$I$1000,1)))))</f>
        <v>#ERROR!</v>
      </c>
      <c r="H484" s="39"/>
      <c r="I484" s="39">
        <f t="shared" si="1"/>
        <v>1</v>
      </c>
      <c r="J484" s="39" t="str">
        <f t="shared" si="2"/>
        <v/>
      </c>
      <c r="K484" s="39" t="str">
        <f t="array" ref="K484">IF(J484="","",IF(XLOOKUP(J484,Strike_Review_Queue!$I:$I,Strike_Review_Queue!$J:$J,"")="Approve","Approved",IF(XLOOKUP(J484,Strike_Review_Queue!$I:$I,Strike_Review_Queue!$J:$J,"")="Deny","Counts",H484)))</f>
        <v/>
      </c>
      <c r="L484" s="39" t="str">
        <f t="array" ref="L484">IF(J484="","",XLOOKUP(J484,Strike_Review_Queue!$I:$I,Strike_Review_Queue!$L:$L,""))</f>
        <v/>
      </c>
      <c r="M484" s="39" t="str">
        <f t="array" ref="M484">IF(J484="","",XLOOKUP(J484,Strike_Review_Queue!$I:$I,Strike_Review_Queue!$M:$M,""))</f>
        <v/>
      </c>
    </row>
    <row r="485" ht="15.75" customHeight="1">
      <c r="C485" s="39"/>
      <c r="D485" s="39" t="str">
        <f>IF(OR(B485="",A485=""),"",MAX(0,MIN(3,SUMIFS($C$2:$C$1000,$B$2:$B$1000,B485,$A$2:$A$1000,"&lt;="&amp;A485,$A$2:$A$1000,"&gt;="&amp;IF(Config!$B$1004="Y",A485-Config!$B$1005,DATE(1900,1,1)),$I$2:$I$1000,1)))))</f>
        <v>#ERROR!</v>
      </c>
      <c r="H485" s="39"/>
      <c r="I485" s="39">
        <f t="shared" si="1"/>
        <v>1</v>
      </c>
      <c r="J485" s="39" t="str">
        <f t="shared" si="2"/>
        <v/>
      </c>
      <c r="K485" s="39" t="str">
        <f t="array" ref="K485">IF(J485="","",IF(XLOOKUP(J485,Strike_Review_Queue!$I:$I,Strike_Review_Queue!$J:$J,"")="Approve","Approved",IF(XLOOKUP(J485,Strike_Review_Queue!$I:$I,Strike_Review_Queue!$J:$J,"")="Deny","Counts",H485)))</f>
        <v/>
      </c>
      <c r="L485" s="39" t="str">
        <f t="array" ref="L485">IF(J485="","",XLOOKUP(J485,Strike_Review_Queue!$I:$I,Strike_Review_Queue!$L:$L,""))</f>
        <v/>
      </c>
      <c r="M485" s="39" t="str">
        <f t="array" ref="M485">IF(J485="","",XLOOKUP(J485,Strike_Review_Queue!$I:$I,Strike_Review_Queue!$M:$M,""))</f>
        <v/>
      </c>
    </row>
    <row r="486" ht="15.75" customHeight="1">
      <c r="C486" s="39"/>
      <c r="D486" s="39" t="str">
        <f>IF(OR(B486="",A486=""),"",MAX(0,MIN(3,SUMIFS($C$2:$C$1000,$B$2:$B$1000,B486,$A$2:$A$1000,"&lt;="&amp;A486,$A$2:$A$1000,"&gt;="&amp;IF(Config!$B$1004="Y",A486-Config!$B$1005,DATE(1900,1,1)),$I$2:$I$1000,1)))))</f>
        <v>#ERROR!</v>
      </c>
      <c r="H486" s="39"/>
      <c r="I486" s="39">
        <f t="shared" si="1"/>
        <v>1</v>
      </c>
      <c r="J486" s="39" t="str">
        <f t="shared" si="2"/>
        <v/>
      </c>
      <c r="K486" s="39" t="str">
        <f t="array" ref="K486">IF(J486="","",IF(XLOOKUP(J486,Strike_Review_Queue!$I:$I,Strike_Review_Queue!$J:$J,"")="Approve","Approved",IF(XLOOKUP(J486,Strike_Review_Queue!$I:$I,Strike_Review_Queue!$J:$J,"")="Deny","Counts",H486)))</f>
        <v/>
      </c>
      <c r="L486" s="39" t="str">
        <f t="array" ref="L486">IF(J486="","",XLOOKUP(J486,Strike_Review_Queue!$I:$I,Strike_Review_Queue!$L:$L,""))</f>
        <v/>
      </c>
      <c r="M486" s="39" t="str">
        <f t="array" ref="M486">IF(J486="","",XLOOKUP(J486,Strike_Review_Queue!$I:$I,Strike_Review_Queue!$M:$M,""))</f>
        <v/>
      </c>
    </row>
    <row r="487" ht="15.75" customHeight="1">
      <c r="C487" s="39"/>
      <c r="D487" s="39" t="str">
        <f>IF(OR(B487="",A487=""),"",MAX(0,MIN(3,SUMIFS($C$2:$C$1000,$B$2:$B$1000,B487,$A$2:$A$1000,"&lt;="&amp;A487,$A$2:$A$1000,"&gt;="&amp;IF(Config!$B$1004="Y",A487-Config!$B$1005,DATE(1900,1,1)),$I$2:$I$1000,1)))))</f>
        <v>#ERROR!</v>
      </c>
      <c r="H487" s="39"/>
      <c r="I487" s="39">
        <f t="shared" si="1"/>
        <v>1</v>
      </c>
      <c r="J487" s="39" t="str">
        <f t="shared" si="2"/>
        <v/>
      </c>
      <c r="K487" s="39" t="str">
        <f t="array" ref="K487">IF(J487="","",IF(XLOOKUP(J487,Strike_Review_Queue!$I:$I,Strike_Review_Queue!$J:$J,"")="Approve","Approved",IF(XLOOKUP(J487,Strike_Review_Queue!$I:$I,Strike_Review_Queue!$J:$J,"")="Deny","Counts",H487)))</f>
        <v/>
      </c>
      <c r="L487" s="39" t="str">
        <f t="array" ref="L487">IF(J487="","",XLOOKUP(J487,Strike_Review_Queue!$I:$I,Strike_Review_Queue!$L:$L,""))</f>
        <v/>
      </c>
      <c r="M487" s="39" t="str">
        <f t="array" ref="M487">IF(J487="","",XLOOKUP(J487,Strike_Review_Queue!$I:$I,Strike_Review_Queue!$M:$M,""))</f>
        <v/>
      </c>
    </row>
    <row r="488" ht="15.75" customHeight="1">
      <c r="C488" s="39"/>
      <c r="D488" s="39" t="str">
        <f>IF(OR(B488="",A488=""),"",MAX(0,MIN(3,SUMIFS($C$2:$C$1000,$B$2:$B$1000,B488,$A$2:$A$1000,"&lt;="&amp;A488,$A$2:$A$1000,"&gt;="&amp;IF(Config!$B$1004="Y",A488-Config!$B$1005,DATE(1900,1,1)),$I$2:$I$1000,1)))))</f>
        <v>#ERROR!</v>
      </c>
      <c r="H488" s="39"/>
      <c r="I488" s="39">
        <f t="shared" si="1"/>
        <v>1</v>
      </c>
      <c r="J488" s="39" t="str">
        <f t="shared" si="2"/>
        <v/>
      </c>
      <c r="K488" s="39" t="str">
        <f t="array" ref="K488">IF(J488="","",IF(XLOOKUP(J488,Strike_Review_Queue!$I:$I,Strike_Review_Queue!$J:$J,"")="Approve","Approved",IF(XLOOKUP(J488,Strike_Review_Queue!$I:$I,Strike_Review_Queue!$J:$J,"")="Deny","Counts",H488)))</f>
        <v/>
      </c>
      <c r="L488" s="39" t="str">
        <f t="array" ref="L488">IF(J488="","",XLOOKUP(J488,Strike_Review_Queue!$I:$I,Strike_Review_Queue!$L:$L,""))</f>
        <v/>
      </c>
      <c r="M488" s="39" t="str">
        <f t="array" ref="M488">IF(J488="","",XLOOKUP(J488,Strike_Review_Queue!$I:$I,Strike_Review_Queue!$M:$M,""))</f>
        <v/>
      </c>
    </row>
    <row r="489" ht="15.75" customHeight="1">
      <c r="C489" s="39"/>
      <c r="D489" s="39" t="str">
        <f>IF(OR(B489="",A489=""),"",MAX(0,MIN(3,SUMIFS($C$2:$C$1000,$B$2:$B$1000,B489,$A$2:$A$1000,"&lt;="&amp;A489,$A$2:$A$1000,"&gt;="&amp;IF(Config!$B$1004="Y",A489-Config!$B$1005,DATE(1900,1,1)),$I$2:$I$1000,1)))))</f>
        <v>#ERROR!</v>
      </c>
      <c r="H489" s="39"/>
      <c r="I489" s="39">
        <f t="shared" si="1"/>
        <v>1</v>
      </c>
      <c r="J489" s="39" t="str">
        <f t="shared" si="2"/>
        <v/>
      </c>
      <c r="K489" s="39" t="str">
        <f t="array" ref="K489">IF(J489="","",IF(XLOOKUP(J489,Strike_Review_Queue!$I:$I,Strike_Review_Queue!$J:$J,"")="Approve","Approved",IF(XLOOKUP(J489,Strike_Review_Queue!$I:$I,Strike_Review_Queue!$J:$J,"")="Deny","Counts",H489)))</f>
        <v/>
      </c>
      <c r="L489" s="39" t="str">
        <f t="array" ref="L489">IF(J489="","",XLOOKUP(J489,Strike_Review_Queue!$I:$I,Strike_Review_Queue!$L:$L,""))</f>
        <v/>
      </c>
      <c r="M489" s="39" t="str">
        <f t="array" ref="M489">IF(J489="","",XLOOKUP(J489,Strike_Review_Queue!$I:$I,Strike_Review_Queue!$M:$M,""))</f>
        <v/>
      </c>
    </row>
    <row r="490" ht="15.75" customHeight="1">
      <c r="C490" s="39"/>
      <c r="D490" s="39" t="str">
        <f>IF(OR(B490="",A490=""),"",MAX(0,MIN(3,SUMIFS($C$2:$C$1000,$B$2:$B$1000,B490,$A$2:$A$1000,"&lt;="&amp;A490,$A$2:$A$1000,"&gt;="&amp;IF(Config!$B$1004="Y",A490-Config!$B$1005,DATE(1900,1,1)),$I$2:$I$1000,1)))))</f>
        <v>#ERROR!</v>
      </c>
      <c r="H490" s="39"/>
      <c r="I490" s="39">
        <f t="shared" si="1"/>
        <v>1</v>
      </c>
      <c r="J490" s="39" t="str">
        <f t="shared" si="2"/>
        <v/>
      </c>
      <c r="K490" s="39" t="str">
        <f t="array" ref="K490">IF(J490="","",IF(XLOOKUP(J490,Strike_Review_Queue!$I:$I,Strike_Review_Queue!$J:$J,"")="Approve","Approved",IF(XLOOKUP(J490,Strike_Review_Queue!$I:$I,Strike_Review_Queue!$J:$J,"")="Deny","Counts",H490)))</f>
        <v/>
      </c>
      <c r="L490" s="39" t="str">
        <f t="array" ref="L490">IF(J490="","",XLOOKUP(J490,Strike_Review_Queue!$I:$I,Strike_Review_Queue!$L:$L,""))</f>
        <v/>
      </c>
      <c r="M490" s="39" t="str">
        <f t="array" ref="M490">IF(J490="","",XLOOKUP(J490,Strike_Review_Queue!$I:$I,Strike_Review_Queue!$M:$M,""))</f>
        <v/>
      </c>
    </row>
    <row r="491" ht="15.75" customHeight="1">
      <c r="C491" s="39"/>
      <c r="D491" s="39" t="str">
        <f>IF(OR(B491="",A491=""),"",MAX(0,MIN(3,SUMIFS($C$2:$C$1000,$B$2:$B$1000,B491,$A$2:$A$1000,"&lt;="&amp;A491,$A$2:$A$1000,"&gt;="&amp;IF(Config!$B$1004="Y",A491-Config!$B$1005,DATE(1900,1,1)),$I$2:$I$1000,1)))))</f>
        <v>#ERROR!</v>
      </c>
      <c r="H491" s="39"/>
      <c r="I491" s="39">
        <f t="shared" si="1"/>
        <v>1</v>
      </c>
      <c r="J491" s="39" t="str">
        <f t="shared" si="2"/>
        <v/>
      </c>
      <c r="K491" s="39" t="str">
        <f t="array" ref="K491">IF(J491="","",IF(XLOOKUP(J491,Strike_Review_Queue!$I:$I,Strike_Review_Queue!$J:$J,"")="Approve","Approved",IF(XLOOKUP(J491,Strike_Review_Queue!$I:$I,Strike_Review_Queue!$J:$J,"")="Deny","Counts",H491)))</f>
        <v/>
      </c>
      <c r="L491" s="39" t="str">
        <f t="array" ref="L491">IF(J491="","",XLOOKUP(J491,Strike_Review_Queue!$I:$I,Strike_Review_Queue!$L:$L,""))</f>
        <v/>
      </c>
      <c r="M491" s="39" t="str">
        <f t="array" ref="M491">IF(J491="","",XLOOKUP(J491,Strike_Review_Queue!$I:$I,Strike_Review_Queue!$M:$M,""))</f>
        <v/>
      </c>
    </row>
    <row r="492" ht="15.75" customHeight="1">
      <c r="C492" s="39"/>
      <c r="D492" s="39" t="str">
        <f>IF(OR(B492="",A492=""),"",MAX(0,MIN(3,SUMIFS($C$2:$C$1000,$B$2:$B$1000,B492,$A$2:$A$1000,"&lt;="&amp;A492,$A$2:$A$1000,"&gt;="&amp;IF(Config!$B$1004="Y",A492-Config!$B$1005,DATE(1900,1,1)),$I$2:$I$1000,1)))))</f>
        <v>#ERROR!</v>
      </c>
      <c r="H492" s="39"/>
      <c r="I492" s="39">
        <f t="shared" si="1"/>
        <v>1</v>
      </c>
      <c r="J492" s="39" t="str">
        <f t="shared" si="2"/>
        <v/>
      </c>
      <c r="K492" s="39" t="str">
        <f t="array" ref="K492">IF(J492="","",IF(XLOOKUP(J492,Strike_Review_Queue!$I:$I,Strike_Review_Queue!$J:$J,"")="Approve","Approved",IF(XLOOKUP(J492,Strike_Review_Queue!$I:$I,Strike_Review_Queue!$J:$J,"")="Deny","Counts",H492)))</f>
        <v/>
      </c>
      <c r="L492" s="39" t="str">
        <f t="array" ref="L492">IF(J492="","",XLOOKUP(J492,Strike_Review_Queue!$I:$I,Strike_Review_Queue!$L:$L,""))</f>
        <v/>
      </c>
      <c r="M492" s="39" t="str">
        <f t="array" ref="M492">IF(J492="","",XLOOKUP(J492,Strike_Review_Queue!$I:$I,Strike_Review_Queue!$M:$M,""))</f>
        <v/>
      </c>
    </row>
    <row r="493" ht="15.75" customHeight="1">
      <c r="C493" s="39"/>
      <c r="D493" s="39" t="str">
        <f>IF(OR(B493="",A493=""),"",MAX(0,MIN(3,SUMIFS($C$2:$C$1000,$B$2:$B$1000,B493,$A$2:$A$1000,"&lt;="&amp;A493,$A$2:$A$1000,"&gt;="&amp;IF(Config!$B$1004="Y",A493-Config!$B$1005,DATE(1900,1,1)),$I$2:$I$1000,1)))))</f>
        <v>#ERROR!</v>
      </c>
      <c r="H493" s="39"/>
      <c r="I493" s="39">
        <f t="shared" si="1"/>
        <v>1</v>
      </c>
      <c r="J493" s="39" t="str">
        <f t="shared" si="2"/>
        <v/>
      </c>
      <c r="K493" s="39" t="str">
        <f t="array" ref="K493">IF(J493="","",IF(XLOOKUP(J493,Strike_Review_Queue!$I:$I,Strike_Review_Queue!$J:$J,"")="Approve","Approved",IF(XLOOKUP(J493,Strike_Review_Queue!$I:$I,Strike_Review_Queue!$J:$J,"")="Deny","Counts",H493)))</f>
        <v/>
      </c>
      <c r="L493" s="39" t="str">
        <f t="array" ref="L493">IF(J493="","",XLOOKUP(J493,Strike_Review_Queue!$I:$I,Strike_Review_Queue!$L:$L,""))</f>
        <v/>
      </c>
      <c r="M493" s="39" t="str">
        <f t="array" ref="M493">IF(J493="","",XLOOKUP(J493,Strike_Review_Queue!$I:$I,Strike_Review_Queue!$M:$M,""))</f>
        <v/>
      </c>
    </row>
    <row r="494" ht="15.75" customHeight="1">
      <c r="C494" s="39"/>
      <c r="D494" s="39" t="str">
        <f>IF(OR(B494="",A494=""),"",MAX(0,MIN(3,SUMIFS($C$2:$C$1000,$B$2:$B$1000,B494,$A$2:$A$1000,"&lt;="&amp;A494,$A$2:$A$1000,"&gt;="&amp;IF(Config!$B$1004="Y",A494-Config!$B$1005,DATE(1900,1,1)),$I$2:$I$1000,1)))))</f>
        <v>#ERROR!</v>
      </c>
      <c r="H494" s="39"/>
      <c r="I494" s="39">
        <f t="shared" si="1"/>
        <v>1</v>
      </c>
      <c r="J494" s="39" t="str">
        <f t="shared" si="2"/>
        <v/>
      </c>
      <c r="K494" s="39" t="str">
        <f t="array" ref="K494">IF(J494="","",IF(XLOOKUP(J494,Strike_Review_Queue!$I:$I,Strike_Review_Queue!$J:$J,"")="Approve","Approved",IF(XLOOKUP(J494,Strike_Review_Queue!$I:$I,Strike_Review_Queue!$J:$J,"")="Deny","Counts",H494)))</f>
        <v/>
      </c>
      <c r="L494" s="39" t="str">
        <f t="array" ref="L494">IF(J494="","",XLOOKUP(J494,Strike_Review_Queue!$I:$I,Strike_Review_Queue!$L:$L,""))</f>
        <v/>
      </c>
      <c r="M494" s="39" t="str">
        <f t="array" ref="M494">IF(J494="","",XLOOKUP(J494,Strike_Review_Queue!$I:$I,Strike_Review_Queue!$M:$M,""))</f>
        <v/>
      </c>
    </row>
    <row r="495" ht="15.75" customHeight="1">
      <c r="C495" s="39"/>
      <c r="D495" s="39" t="str">
        <f>IF(OR(B495="",A495=""),"",MAX(0,MIN(3,SUMIFS($C$2:$C$1000,$B$2:$B$1000,B495,$A$2:$A$1000,"&lt;="&amp;A495,$A$2:$A$1000,"&gt;="&amp;IF(Config!$B$1004="Y",A495-Config!$B$1005,DATE(1900,1,1)),$I$2:$I$1000,1)))))</f>
        <v>#ERROR!</v>
      </c>
      <c r="H495" s="39"/>
      <c r="I495" s="39">
        <f t="shared" si="1"/>
        <v>1</v>
      </c>
      <c r="J495" s="39" t="str">
        <f t="shared" si="2"/>
        <v/>
      </c>
      <c r="K495" s="39" t="str">
        <f t="array" ref="K495">IF(J495="","",IF(XLOOKUP(J495,Strike_Review_Queue!$I:$I,Strike_Review_Queue!$J:$J,"")="Approve","Approved",IF(XLOOKUP(J495,Strike_Review_Queue!$I:$I,Strike_Review_Queue!$J:$J,"")="Deny","Counts",H495)))</f>
        <v/>
      </c>
      <c r="L495" s="39" t="str">
        <f t="array" ref="L495">IF(J495="","",XLOOKUP(J495,Strike_Review_Queue!$I:$I,Strike_Review_Queue!$L:$L,""))</f>
        <v/>
      </c>
      <c r="M495" s="39" t="str">
        <f t="array" ref="M495">IF(J495="","",XLOOKUP(J495,Strike_Review_Queue!$I:$I,Strike_Review_Queue!$M:$M,""))</f>
        <v/>
      </c>
    </row>
    <row r="496" ht="15.75" customHeight="1">
      <c r="C496" s="39"/>
      <c r="D496" s="39" t="str">
        <f>IF(OR(B496="",A496=""),"",MAX(0,MIN(3,SUMIFS($C$2:$C$1000,$B$2:$B$1000,B496,$A$2:$A$1000,"&lt;="&amp;A496,$A$2:$A$1000,"&gt;="&amp;IF(Config!$B$1004="Y",A496-Config!$B$1005,DATE(1900,1,1)),$I$2:$I$1000,1)))))</f>
        <v>#ERROR!</v>
      </c>
      <c r="H496" s="39"/>
      <c r="I496" s="39">
        <f t="shared" si="1"/>
        <v>1</v>
      </c>
      <c r="J496" s="39" t="str">
        <f t="shared" si="2"/>
        <v/>
      </c>
      <c r="K496" s="39" t="str">
        <f t="array" ref="K496">IF(J496="","",IF(XLOOKUP(J496,Strike_Review_Queue!$I:$I,Strike_Review_Queue!$J:$J,"")="Approve","Approved",IF(XLOOKUP(J496,Strike_Review_Queue!$I:$I,Strike_Review_Queue!$J:$J,"")="Deny","Counts",H496)))</f>
        <v/>
      </c>
      <c r="L496" s="39" t="str">
        <f t="array" ref="L496">IF(J496="","",XLOOKUP(J496,Strike_Review_Queue!$I:$I,Strike_Review_Queue!$L:$L,""))</f>
        <v/>
      </c>
      <c r="M496" s="39" t="str">
        <f t="array" ref="M496">IF(J496="","",XLOOKUP(J496,Strike_Review_Queue!$I:$I,Strike_Review_Queue!$M:$M,""))</f>
        <v/>
      </c>
    </row>
    <row r="497" ht="15.75" customHeight="1">
      <c r="C497" s="39"/>
      <c r="D497" s="39" t="str">
        <f>IF(OR(B497="",A497=""),"",MAX(0,MIN(3,SUMIFS($C$2:$C$1000,$B$2:$B$1000,B497,$A$2:$A$1000,"&lt;="&amp;A497,$A$2:$A$1000,"&gt;="&amp;IF(Config!$B$1004="Y",A497-Config!$B$1005,DATE(1900,1,1)),$I$2:$I$1000,1)))))</f>
        <v>#ERROR!</v>
      </c>
      <c r="H497" s="39"/>
      <c r="I497" s="39">
        <f t="shared" si="1"/>
        <v>1</v>
      </c>
      <c r="J497" s="39" t="str">
        <f t="shared" si="2"/>
        <v/>
      </c>
      <c r="K497" s="39" t="str">
        <f t="array" ref="K497">IF(J497="","",IF(XLOOKUP(J497,Strike_Review_Queue!$I:$I,Strike_Review_Queue!$J:$J,"")="Approve","Approved",IF(XLOOKUP(J497,Strike_Review_Queue!$I:$I,Strike_Review_Queue!$J:$J,"")="Deny","Counts",H497)))</f>
        <v/>
      </c>
      <c r="L497" s="39" t="str">
        <f t="array" ref="L497">IF(J497="","",XLOOKUP(J497,Strike_Review_Queue!$I:$I,Strike_Review_Queue!$L:$L,""))</f>
        <v/>
      </c>
      <c r="M497" s="39" t="str">
        <f t="array" ref="M497">IF(J497="","",XLOOKUP(J497,Strike_Review_Queue!$I:$I,Strike_Review_Queue!$M:$M,""))</f>
        <v/>
      </c>
    </row>
    <row r="498" ht="15.75" customHeight="1">
      <c r="C498" s="39"/>
      <c r="D498" s="39" t="str">
        <f>IF(OR(B498="",A498=""),"",MAX(0,MIN(3,SUMIFS($C$2:$C$1000,$B$2:$B$1000,B498,$A$2:$A$1000,"&lt;="&amp;A498,$A$2:$A$1000,"&gt;="&amp;IF(Config!$B$1004="Y",A498-Config!$B$1005,DATE(1900,1,1)),$I$2:$I$1000,1)))))</f>
        <v>#ERROR!</v>
      </c>
      <c r="H498" s="39"/>
      <c r="I498" s="39">
        <f t="shared" si="1"/>
        <v>1</v>
      </c>
      <c r="J498" s="39" t="str">
        <f t="shared" si="2"/>
        <v/>
      </c>
      <c r="K498" s="39" t="str">
        <f t="array" ref="K498">IF(J498="","",IF(XLOOKUP(J498,Strike_Review_Queue!$I:$I,Strike_Review_Queue!$J:$J,"")="Approve","Approved",IF(XLOOKUP(J498,Strike_Review_Queue!$I:$I,Strike_Review_Queue!$J:$J,"")="Deny","Counts",H498)))</f>
        <v/>
      </c>
      <c r="L498" s="39" t="str">
        <f t="array" ref="L498">IF(J498="","",XLOOKUP(J498,Strike_Review_Queue!$I:$I,Strike_Review_Queue!$L:$L,""))</f>
        <v/>
      </c>
      <c r="M498" s="39" t="str">
        <f t="array" ref="M498">IF(J498="","",XLOOKUP(J498,Strike_Review_Queue!$I:$I,Strike_Review_Queue!$M:$M,""))</f>
        <v/>
      </c>
    </row>
    <row r="499" ht="15.75" customHeight="1">
      <c r="C499" s="39"/>
      <c r="D499" s="39" t="str">
        <f>IF(OR(B499="",A499=""),"",MAX(0,MIN(3,SUMIFS($C$2:$C$1000,$B$2:$B$1000,B499,$A$2:$A$1000,"&lt;="&amp;A499,$A$2:$A$1000,"&gt;="&amp;IF(Config!$B$1004="Y",A499-Config!$B$1005,DATE(1900,1,1)),$I$2:$I$1000,1)))))</f>
        <v>#ERROR!</v>
      </c>
      <c r="H499" s="39"/>
      <c r="I499" s="39">
        <f t="shared" si="1"/>
        <v>1</v>
      </c>
      <c r="J499" s="39" t="str">
        <f t="shared" si="2"/>
        <v/>
      </c>
      <c r="K499" s="39" t="str">
        <f t="array" ref="K499">IF(J499="","",IF(XLOOKUP(J499,Strike_Review_Queue!$I:$I,Strike_Review_Queue!$J:$J,"")="Approve","Approved",IF(XLOOKUP(J499,Strike_Review_Queue!$I:$I,Strike_Review_Queue!$J:$J,"")="Deny","Counts",H499)))</f>
        <v/>
      </c>
      <c r="L499" s="39" t="str">
        <f t="array" ref="L499">IF(J499="","",XLOOKUP(J499,Strike_Review_Queue!$I:$I,Strike_Review_Queue!$L:$L,""))</f>
        <v/>
      </c>
      <c r="M499" s="39" t="str">
        <f t="array" ref="M499">IF(J499="","",XLOOKUP(J499,Strike_Review_Queue!$I:$I,Strike_Review_Queue!$M:$M,""))</f>
        <v/>
      </c>
    </row>
    <row r="500" ht="15.75" customHeight="1">
      <c r="C500" s="39"/>
      <c r="D500" s="39" t="str">
        <f>IF(OR(B500="",A500=""),"",MAX(0,MIN(3,SUMIFS($C$2:$C$1000,$B$2:$B$1000,B500,$A$2:$A$1000,"&lt;="&amp;A500,$A$2:$A$1000,"&gt;="&amp;IF(Config!$B$1004="Y",A500-Config!$B$1005,DATE(1900,1,1)),$I$2:$I$1000,1)))))</f>
        <v>#ERROR!</v>
      </c>
      <c r="H500" s="39"/>
      <c r="I500" s="39">
        <f t="shared" si="1"/>
        <v>1</v>
      </c>
      <c r="J500" s="39" t="str">
        <f t="shared" si="2"/>
        <v/>
      </c>
      <c r="K500" s="39" t="str">
        <f t="array" ref="K500">IF(J500="","",IF(XLOOKUP(J500,Strike_Review_Queue!$I:$I,Strike_Review_Queue!$J:$J,"")="Approve","Approved",IF(XLOOKUP(J500,Strike_Review_Queue!$I:$I,Strike_Review_Queue!$J:$J,"")="Deny","Counts",H500)))</f>
        <v/>
      </c>
      <c r="L500" s="39" t="str">
        <f t="array" ref="L500">IF(J500="","",XLOOKUP(J500,Strike_Review_Queue!$I:$I,Strike_Review_Queue!$L:$L,""))</f>
        <v/>
      </c>
      <c r="M500" s="39" t="str">
        <f t="array" ref="M500">IF(J500="","",XLOOKUP(J500,Strike_Review_Queue!$I:$I,Strike_Review_Queue!$M:$M,""))</f>
        <v/>
      </c>
    </row>
    <row r="501" ht="15.75" customHeight="1">
      <c r="C501" s="39"/>
      <c r="D501" s="39" t="str">
        <f>IF(OR(B501="",A501=""),"",MAX(0,MIN(3,SUMIFS($C$2:$C$1000,$B$2:$B$1000,B501,$A$2:$A$1000,"&lt;="&amp;A501,$A$2:$A$1000,"&gt;="&amp;IF(Config!$B$1004="Y",A501-Config!$B$1005,DATE(1900,1,1)),$I$2:$I$1000,1)))))</f>
        <v>#ERROR!</v>
      </c>
      <c r="H501" s="39"/>
      <c r="I501" s="39">
        <f t="shared" si="1"/>
        <v>1</v>
      </c>
      <c r="J501" s="39" t="str">
        <f t="shared" si="2"/>
        <v/>
      </c>
      <c r="K501" s="39" t="str">
        <f t="array" ref="K501">IF(J501="","",IF(XLOOKUP(J501,Strike_Review_Queue!$I:$I,Strike_Review_Queue!$J:$J,"")="Approve","Approved",IF(XLOOKUP(J501,Strike_Review_Queue!$I:$I,Strike_Review_Queue!$J:$J,"")="Deny","Counts",H501)))</f>
        <v/>
      </c>
      <c r="L501" s="39" t="str">
        <f t="array" ref="L501">IF(J501="","",XLOOKUP(J501,Strike_Review_Queue!$I:$I,Strike_Review_Queue!$L:$L,""))</f>
        <v/>
      </c>
      <c r="M501" s="39" t="str">
        <f t="array" ref="M501">IF(J501="","",XLOOKUP(J501,Strike_Review_Queue!$I:$I,Strike_Review_Queue!$M:$M,""))</f>
        <v/>
      </c>
    </row>
    <row r="502" ht="15.75" customHeight="1">
      <c r="C502" s="39"/>
      <c r="D502" s="39" t="str">
        <f>IF(OR(B502="",A502=""),"",MAX(0,MIN(3,SUMIFS($C$2:$C$1000,$B$2:$B$1000,B502,$A$2:$A$1000,"&lt;="&amp;A502,$A$2:$A$1000,"&gt;="&amp;IF(Config!$B$1004="Y",A502-Config!$B$1005,DATE(1900,1,1)),$I$2:$I$1000,1)))))</f>
        <v>#ERROR!</v>
      </c>
      <c r="H502" s="39"/>
      <c r="I502" s="39">
        <f t="shared" si="1"/>
        <v>1</v>
      </c>
      <c r="J502" s="39" t="str">
        <f t="shared" si="2"/>
        <v/>
      </c>
      <c r="K502" s="39" t="str">
        <f t="array" ref="K502">IF(J502="","",IF(XLOOKUP(J502,Strike_Review_Queue!$I:$I,Strike_Review_Queue!$J:$J,"")="Approve","Approved",IF(XLOOKUP(J502,Strike_Review_Queue!$I:$I,Strike_Review_Queue!$J:$J,"")="Deny","Counts",H502)))</f>
        <v/>
      </c>
      <c r="L502" s="39" t="str">
        <f t="array" ref="L502">IF(J502="","",XLOOKUP(J502,Strike_Review_Queue!$I:$I,Strike_Review_Queue!$L:$L,""))</f>
        <v/>
      </c>
      <c r="M502" s="39" t="str">
        <f t="array" ref="M502">IF(J502="","",XLOOKUP(J502,Strike_Review_Queue!$I:$I,Strike_Review_Queue!$M:$M,""))</f>
        <v/>
      </c>
    </row>
    <row r="503" ht="15.75" customHeight="1">
      <c r="C503" s="39"/>
      <c r="D503" s="39" t="str">
        <f>IF(OR(B503="",A503=""),"",MAX(0,MIN(3,SUMIFS($C$2:$C$1000,$B$2:$B$1000,B503,$A$2:$A$1000,"&lt;="&amp;A503,$A$2:$A$1000,"&gt;="&amp;IF(Config!$B$1004="Y",A503-Config!$B$1005,DATE(1900,1,1)),$I$2:$I$1000,1)))))</f>
        <v>#ERROR!</v>
      </c>
      <c r="H503" s="39"/>
      <c r="I503" s="39">
        <f t="shared" si="1"/>
        <v>1</v>
      </c>
      <c r="J503" s="39" t="str">
        <f t="shared" si="2"/>
        <v/>
      </c>
      <c r="K503" s="39" t="str">
        <f t="array" ref="K503">IF(J503="","",IF(XLOOKUP(J503,Strike_Review_Queue!$I:$I,Strike_Review_Queue!$J:$J,"")="Approve","Approved",IF(XLOOKUP(J503,Strike_Review_Queue!$I:$I,Strike_Review_Queue!$J:$J,"")="Deny","Counts",H503)))</f>
        <v/>
      </c>
      <c r="L503" s="39" t="str">
        <f t="array" ref="L503">IF(J503="","",XLOOKUP(J503,Strike_Review_Queue!$I:$I,Strike_Review_Queue!$L:$L,""))</f>
        <v/>
      </c>
      <c r="M503" s="39" t="str">
        <f t="array" ref="M503">IF(J503="","",XLOOKUP(J503,Strike_Review_Queue!$I:$I,Strike_Review_Queue!$M:$M,""))</f>
        <v/>
      </c>
    </row>
    <row r="504" ht="15.75" customHeight="1">
      <c r="C504" s="39"/>
      <c r="D504" s="39" t="str">
        <f>IF(OR(B504="",A504=""),"",MAX(0,MIN(3,SUMIFS($C$2:$C$1000,$B$2:$B$1000,B504,$A$2:$A$1000,"&lt;="&amp;A504,$A$2:$A$1000,"&gt;="&amp;IF(Config!$B$1004="Y",A504-Config!$B$1005,DATE(1900,1,1)),$I$2:$I$1000,1)))))</f>
        <v>#ERROR!</v>
      </c>
      <c r="H504" s="39"/>
      <c r="I504" s="39">
        <f t="shared" si="1"/>
        <v>1</v>
      </c>
      <c r="J504" s="39" t="str">
        <f t="shared" si="2"/>
        <v/>
      </c>
      <c r="K504" s="39" t="str">
        <f t="array" ref="K504">IF(J504="","",IF(XLOOKUP(J504,Strike_Review_Queue!$I:$I,Strike_Review_Queue!$J:$J,"")="Approve","Approved",IF(XLOOKUP(J504,Strike_Review_Queue!$I:$I,Strike_Review_Queue!$J:$J,"")="Deny","Counts",H504)))</f>
        <v/>
      </c>
      <c r="L504" s="39" t="str">
        <f t="array" ref="L504">IF(J504="","",XLOOKUP(J504,Strike_Review_Queue!$I:$I,Strike_Review_Queue!$L:$L,""))</f>
        <v/>
      </c>
      <c r="M504" s="39" t="str">
        <f t="array" ref="M504">IF(J504="","",XLOOKUP(J504,Strike_Review_Queue!$I:$I,Strike_Review_Queue!$M:$M,""))</f>
        <v/>
      </c>
    </row>
    <row r="505" ht="15.75" customHeight="1">
      <c r="C505" s="39"/>
      <c r="D505" s="39" t="str">
        <f>IF(OR(B505="",A505=""),"",MAX(0,MIN(3,SUMIFS($C$2:$C$1000,$B$2:$B$1000,B505,$A$2:$A$1000,"&lt;="&amp;A505,$A$2:$A$1000,"&gt;="&amp;IF(Config!$B$1004="Y",A505-Config!$B$1005,DATE(1900,1,1)),$I$2:$I$1000,1)))))</f>
        <v>#ERROR!</v>
      </c>
      <c r="H505" s="39"/>
      <c r="I505" s="39">
        <f t="shared" si="1"/>
        <v>1</v>
      </c>
      <c r="J505" s="39" t="str">
        <f t="shared" si="2"/>
        <v/>
      </c>
      <c r="K505" s="39" t="str">
        <f t="array" ref="K505">IF(J505="","",IF(XLOOKUP(J505,Strike_Review_Queue!$I:$I,Strike_Review_Queue!$J:$J,"")="Approve","Approved",IF(XLOOKUP(J505,Strike_Review_Queue!$I:$I,Strike_Review_Queue!$J:$J,"")="Deny","Counts",H505)))</f>
        <v/>
      </c>
      <c r="L505" s="39" t="str">
        <f t="array" ref="L505">IF(J505="","",XLOOKUP(J505,Strike_Review_Queue!$I:$I,Strike_Review_Queue!$L:$L,""))</f>
        <v/>
      </c>
      <c r="M505" s="39" t="str">
        <f t="array" ref="M505">IF(J505="","",XLOOKUP(J505,Strike_Review_Queue!$I:$I,Strike_Review_Queue!$M:$M,""))</f>
        <v/>
      </c>
    </row>
    <row r="506" ht="15.75" customHeight="1">
      <c r="C506" s="39"/>
      <c r="D506" s="39" t="str">
        <f>IF(OR(B506="",A506=""),"",MAX(0,MIN(3,SUMIFS($C$2:$C$1000,$B$2:$B$1000,B506,$A$2:$A$1000,"&lt;="&amp;A506,$A$2:$A$1000,"&gt;="&amp;IF(Config!$B$1004="Y",A506-Config!$B$1005,DATE(1900,1,1)),$I$2:$I$1000,1)))))</f>
        <v>#ERROR!</v>
      </c>
      <c r="H506" s="39"/>
      <c r="I506" s="39">
        <f t="shared" si="1"/>
        <v>1</v>
      </c>
      <c r="J506" s="39" t="str">
        <f t="shared" si="2"/>
        <v/>
      </c>
      <c r="K506" s="39" t="str">
        <f t="array" ref="K506">IF(J506="","",IF(XLOOKUP(J506,Strike_Review_Queue!$I:$I,Strike_Review_Queue!$J:$J,"")="Approve","Approved",IF(XLOOKUP(J506,Strike_Review_Queue!$I:$I,Strike_Review_Queue!$J:$J,"")="Deny","Counts",H506)))</f>
        <v/>
      </c>
      <c r="L506" s="39" t="str">
        <f t="array" ref="L506">IF(J506="","",XLOOKUP(J506,Strike_Review_Queue!$I:$I,Strike_Review_Queue!$L:$L,""))</f>
        <v/>
      </c>
      <c r="M506" s="39" t="str">
        <f t="array" ref="M506">IF(J506="","",XLOOKUP(J506,Strike_Review_Queue!$I:$I,Strike_Review_Queue!$M:$M,""))</f>
        <v/>
      </c>
    </row>
    <row r="507" ht="15.75" customHeight="1">
      <c r="C507" s="39"/>
      <c r="D507" s="39" t="str">
        <f>IF(OR(B507="",A507=""),"",MAX(0,MIN(3,SUMIFS($C$2:$C$1000,$B$2:$B$1000,B507,$A$2:$A$1000,"&lt;="&amp;A507,$A$2:$A$1000,"&gt;="&amp;IF(Config!$B$1004="Y",A507-Config!$B$1005,DATE(1900,1,1)),$I$2:$I$1000,1)))))</f>
        <v>#ERROR!</v>
      </c>
      <c r="H507" s="39"/>
      <c r="I507" s="39">
        <f t="shared" si="1"/>
        <v>1</v>
      </c>
      <c r="J507" s="39" t="str">
        <f t="shared" si="2"/>
        <v/>
      </c>
      <c r="K507" s="39" t="str">
        <f t="array" ref="K507">IF(J507="","",IF(XLOOKUP(J507,Strike_Review_Queue!$I:$I,Strike_Review_Queue!$J:$J,"")="Approve","Approved",IF(XLOOKUP(J507,Strike_Review_Queue!$I:$I,Strike_Review_Queue!$J:$J,"")="Deny","Counts",H507)))</f>
        <v/>
      </c>
      <c r="L507" s="39" t="str">
        <f t="array" ref="L507">IF(J507="","",XLOOKUP(J507,Strike_Review_Queue!$I:$I,Strike_Review_Queue!$L:$L,""))</f>
        <v/>
      </c>
      <c r="M507" s="39" t="str">
        <f t="array" ref="M507">IF(J507="","",XLOOKUP(J507,Strike_Review_Queue!$I:$I,Strike_Review_Queue!$M:$M,""))</f>
        <v/>
      </c>
    </row>
    <row r="508" ht="15.75" customHeight="1">
      <c r="C508" s="39"/>
      <c r="D508" s="39" t="str">
        <f>IF(OR(B508="",A508=""),"",MAX(0,MIN(3,SUMIFS($C$2:$C$1000,$B$2:$B$1000,B508,$A$2:$A$1000,"&lt;="&amp;A508,$A$2:$A$1000,"&gt;="&amp;IF(Config!$B$1004="Y",A508-Config!$B$1005,DATE(1900,1,1)),$I$2:$I$1000,1)))))</f>
        <v>#ERROR!</v>
      </c>
      <c r="H508" s="39"/>
      <c r="I508" s="39">
        <f t="shared" si="1"/>
        <v>1</v>
      </c>
      <c r="J508" s="39" t="str">
        <f t="shared" si="2"/>
        <v/>
      </c>
      <c r="K508" s="39" t="str">
        <f t="array" ref="K508">IF(J508="","",IF(XLOOKUP(J508,Strike_Review_Queue!$I:$I,Strike_Review_Queue!$J:$J,"")="Approve","Approved",IF(XLOOKUP(J508,Strike_Review_Queue!$I:$I,Strike_Review_Queue!$J:$J,"")="Deny","Counts",H508)))</f>
        <v/>
      </c>
      <c r="L508" s="39" t="str">
        <f t="array" ref="L508">IF(J508="","",XLOOKUP(J508,Strike_Review_Queue!$I:$I,Strike_Review_Queue!$L:$L,""))</f>
        <v/>
      </c>
      <c r="M508" s="39" t="str">
        <f t="array" ref="M508">IF(J508="","",XLOOKUP(J508,Strike_Review_Queue!$I:$I,Strike_Review_Queue!$M:$M,""))</f>
        <v/>
      </c>
    </row>
    <row r="509" ht="15.75" customHeight="1">
      <c r="C509" s="39"/>
      <c r="D509" s="39" t="str">
        <f>IF(OR(B509="",A509=""),"",MAX(0,MIN(3,SUMIFS($C$2:$C$1000,$B$2:$B$1000,B509,$A$2:$A$1000,"&lt;="&amp;A509,$A$2:$A$1000,"&gt;="&amp;IF(Config!$B$1004="Y",A509-Config!$B$1005,DATE(1900,1,1)),$I$2:$I$1000,1)))))</f>
        <v>#ERROR!</v>
      </c>
      <c r="H509" s="39"/>
      <c r="I509" s="39">
        <f t="shared" si="1"/>
        <v>1</v>
      </c>
      <c r="J509" s="39" t="str">
        <f t="shared" si="2"/>
        <v/>
      </c>
      <c r="K509" s="39" t="str">
        <f t="array" ref="K509">IF(J509="","",IF(XLOOKUP(J509,Strike_Review_Queue!$I:$I,Strike_Review_Queue!$J:$J,"")="Approve","Approved",IF(XLOOKUP(J509,Strike_Review_Queue!$I:$I,Strike_Review_Queue!$J:$J,"")="Deny","Counts",H509)))</f>
        <v/>
      </c>
      <c r="L509" s="39" t="str">
        <f t="array" ref="L509">IF(J509="","",XLOOKUP(J509,Strike_Review_Queue!$I:$I,Strike_Review_Queue!$L:$L,""))</f>
        <v/>
      </c>
      <c r="M509" s="39" t="str">
        <f t="array" ref="M509">IF(J509="","",XLOOKUP(J509,Strike_Review_Queue!$I:$I,Strike_Review_Queue!$M:$M,""))</f>
        <v/>
      </c>
    </row>
    <row r="510" ht="15.75" customHeight="1">
      <c r="C510" s="39"/>
      <c r="D510" s="39" t="str">
        <f>IF(OR(B510="",A510=""),"",MAX(0,MIN(3,SUMIFS($C$2:$C$1000,$B$2:$B$1000,B510,$A$2:$A$1000,"&lt;="&amp;A510,$A$2:$A$1000,"&gt;="&amp;IF(Config!$B$1004="Y",A510-Config!$B$1005,DATE(1900,1,1)),$I$2:$I$1000,1)))))</f>
        <v>#ERROR!</v>
      </c>
      <c r="H510" s="39"/>
      <c r="I510" s="39">
        <f t="shared" si="1"/>
        <v>1</v>
      </c>
      <c r="J510" s="39" t="str">
        <f t="shared" si="2"/>
        <v/>
      </c>
      <c r="K510" s="39" t="str">
        <f t="array" ref="K510">IF(J510="","",IF(XLOOKUP(J510,Strike_Review_Queue!$I:$I,Strike_Review_Queue!$J:$J,"")="Approve","Approved",IF(XLOOKUP(J510,Strike_Review_Queue!$I:$I,Strike_Review_Queue!$J:$J,"")="Deny","Counts",H510)))</f>
        <v/>
      </c>
      <c r="L510" s="39" t="str">
        <f t="array" ref="L510">IF(J510="","",XLOOKUP(J510,Strike_Review_Queue!$I:$I,Strike_Review_Queue!$L:$L,""))</f>
        <v/>
      </c>
      <c r="M510" s="39" t="str">
        <f t="array" ref="M510">IF(J510="","",XLOOKUP(J510,Strike_Review_Queue!$I:$I,Strike_Review_Queue!$M:$M,""))</f>
        <v/>
      </c>
    </row>
    <row r="511" ht="15.75" customHeight="1">
      <c r="C511" s="39"/>
      <c r="D511" s="39" t="str">
        <f>IF(OR(B511="",A511=""),"",MAX(0,MIN(3,SUMIFS($C$2:$C$1000,$B$2:$B$1000,B511,$A$2:$A$1000,"&lt;="&amp;A511,$A$2:$A$1000,"&gt;="&amp;IF(Config!$B$1004="Y",A511-Config!$B$1005,DATE(1900,1,1)),$I$2:$I$1000,1)))))</f>
        <v>#ERROR!</v>
      </c>
      <c r="H511" s="39"/>
      <c r="I511" s="39">
        <f t="shared" si="1"/>
        <v>1</v>
      </c>
      <c r="J511" s="39" t="str">
        <f t="shared" si="2"/>
        <v/>
      </c>
      <c r="K511" s="39" t="str">
        <f t="array" ref="K511">IF(J511="","",IF(XLOOKUP(J511,Strike_Review_Queue!$I:$I,Strike_Review_Queue!$J:$J,"")="Approve","Approved",IF(XLOOKUP(J511,Strike_Review_Queue!$I:$I,Strike_Review_Queue!$J:$J,"")="Deny","Counts",H511)))</f>
        <v/>
      </c>
      <c r="L511" s="39" t="str">
        <f t="array" ref="L511">IF(J511="","",XLOOKUP(J511,Strike_Review_Queue!$I:$I,Strike_Review_Queue!$L:$L,""))</f>
        <v/>
      </c>
      <c r="M511" s="39" t="str">
        <f t="array" ref="M511">IF(J511="","",XLOOKUP(J511,Strike_Review_Queue!$I:$I,Strike_Review_Queue!$M:$M,""))</f>
        <v/>
      </c>
    </row>
    <row r="512" ht="15.75" customHeight="1">
      <c r="C512" s="39"/>
      <c r="D512" s="39" t="str">
        <f>IF(OR(B512="",A512=""),"",MAX(0,MIN(3,SUMIFS($C$2:$C$1000,$B$2:$B$1000,B512,$A$2:$A$1000,"&lt;="&amp;A512,$A$2:$A$1000,"&gt;="&amp;IF(Config!$B$1004="Y",A512-Config!$B$1005,DATE(1900,1,1)),$I$2:$I$1000,1)))))</f>
        <v>#ERROR!</v>
      </c>
      <c r="H512" s="39"/>
      <c r="I512" s="39">
        <f t="shared" si="1"/>
        <v>1</v>
      </c>
      <c r="J512" s="39" t="str">
        <f t="shared" si="2"/>
        <v/>
      </c>
      <c r="K512" s="39" t="str">
        <f t="array" ref="K512">IF(J512="","",IF(XLOOKUP(J512,Strike_Review_Queue!$I:$I,Strike_Review_Queue!$J:$J,"")="Approve","Approved",IF(XLOOKUP(J512,Strike_Review_Queue!$I:$I,Strike_Review_Queue!$J:$J,"")="Deny","Counts",H512)))</f>
        <v/>
      </c>
      <c r="L512" s="39" t="str">
        <f t="array" ref="L512">IF(J512="","",XLOOKUP(J512,Strike_Review_Queue!$I:$I,Strike_Review_Queue!$L:$L,""))</f>
        <v/>
      </c>
      <c r="M512" s="39" t="str">
        <f t="array" ref="M512">IF(J512="","",XLOOKUP(J512,Strike_Review_Queue!$I:$I,Strike_Review_Queue!$M:$M,""))</f>
        <v/>
      </c>
    </row>
    <row r="513" ht="15.75" customHeight="1">
      <c r="C513" s="39"/>
      <c r="D513" s="39" t="str">
        <f>IF(OR(B513="",A513=""),"",MAX(0,MIN(3,SUMIFS($C$2:$C$1000,$B$2:$B$1000,B513,$A$2:$A$1000,"&lt;="&amp;A513,$A$2:$A$1000,"&gt;="&amp;IF(Config!$B$1004="Y",A513-Config!$B$1005,DATE(1900,1,1)),$I$2:$I$1000,1)))))</f>
        <v>#ERROR!</v>
      </c>
      <c r="H513" s="39"/>
      <c r="I513" s="39">
        <f t="shared" si="1"/>
        <v>1</v>
      </c>
      <c r="J513" s="39" t="str">
        <f t="shared" si="2"/>
        <v/>
      </c>
      <c r="K513" s="39" t="str">
        <f t="array" ref="K513">IF(J513="","",IF(XLOOKUP(J513,Strike_Review_Queue!$I:$I,Strike_Review_Queue!$J:$J,"")="Approve","Approved",IF(XLOOKUP(J513,Strike_Review_Queue!$I:$I,Strike_Review_Queue!$J:$J,"")="Deny","Counts",H513)))</f>
        <v/>
      </c>
      <c r="L513" s="39" t="str">
        <f t="array" ref="L513">IF(J513="","",XLOOKUP(J513,Strike_Review_Queue!$I:$I,Strike_Review_Queue!$L:$L,""))</f>
        <v/>
      </c>
      <c r="M513" s="39" t="str">
        <f t="array" ref="M513">IF(J513="","",XLOOKUP(J513,Strike_Review_Queue!$I:$I,Strike_Review_Queue!$M:$M,""))</f>
        <v/>
      </c>
    </row>
    <row r="514" ht="15.75" customHeight="1">
      <c r="C514" s="39"/>
      <c r="D514" s="39" t="str">
        <f>IF(OR(B514="",A514=""),"",MAX(0,MIN(3,SUMIFS($C$2:$C$1000,$B$2:$B$1000,B514,$A$2:$A$1000,"&lt;="&amp;A514,$A$2:$A$1000,"&gt;="&amp;IF(Config!$B$1004="Y",A514-Config!$B$1005,DATE(1900,1,1)),$I$2:$I$1000,1)))))</f>
        <v>#ERROR!</v>
      </c>
      <c r="H514" s="39"/>
      <c r="I514" s="39">
        <f t="shared" si="1"/>
        <v>1</v>
      </c>
      <c r="J514" s="39" t="str">
        <f t="shared" si="2"/>
        <v/>
      </c>
      <c r="K514" s="39" t="str">
        <f t="array" ref="K514">IF(J514="","",IF(XLOOKUP(J514,Strike_Review_Queue!$I:$I,Strike_Review_Queue!$J:$J,"")="Approve","Approved",IF(XLOOKUP(J514,Strike_Review_Queue!$I:$I,Strike_Review_Queue!$J:$J,"")="Deny","Counts",H514)))</f>
        <v/>
      </c>
      <c r="L514" s="39" t="str">
        <f t="array" ref="L514">IF(J514="","",XLOOKUP(J514,Strike_Review_Queue!$I:$I,Strike_Review_Queue!$L:$L,""))</f>
        <v/>
      </c>
      <c r="M514" s="39" t="str">
        <f t="array" ref="M514">IF(J514="","",XLOOKUP(J514,Strike_Review_Queue!$I:$I,Strike_Review_Queue!$M:$M,""))</f>
        <v/>
      </c>
    </row>
    <row r="515" ht="15.75" customHeight="1">
      <c r="C515" s="39"/>
      <c r="D515" s="39" t="str">
        <f>IF(OR(B515="",A515=""),"",MAX(0,MIN(3,SUMIFS($C$2:$C$1000,$B$2:$B$1000,B515,$A$2:$A$1000,"&lt;="&amp;A515,$A$2:$A$1000,"&gt;="&amp;IF(Config!$B$1004="Y",A515-Config!$B$1005,DATE(1900,1,1)),$I$2:$I$1000,1)))))</f>
        <v>#ERROR!</v>
      </c>
      <c r="H515" s="39"/>
      <c r="I515" s="39">
        <f t="shared" si="1"/>
        <v>1</v>
      </c>
      <c r="J515" s="39" t="str">
        <f t="shared" si="2"/>
        <v/>
      </c>
      <c r="K515" s="39" t="str">
        <f t="array" ref="K515">IF(J515="","",IF(XLOOKUP(J515,Strike_Review_Queue!$I:$I,Strike_Review_Queue!$J:$J,"")="Approve","Approved",IF(XLOOKUP(J515,Strike_Review_Queue!$I:$I,Strike_Review_Queue!$J:$J,"")="Deny","Counts",H515)))</f>
        <v/>
      </c>
      <c r="L515" s="39" t="str">
        <f t="array" ref="L515">IF(J515="","",XLOOKUP(J515,Strike_Review_Queue!$I:$I,Strike_Review_Queue!$L:$L,""))</f>
        <v/>
      </c>
      <c r="M515" s="39" t="str">
        <f t="array" ref="M515">IF(J515="","",XLOOKUP(J515,Strike_Review_Queue!$I:$I,Strike_Review_Queue!$M:$M,""))</f>
        <v/>
      </c>
    </row>
    <row r="516" ht="15.75" customHeight="1">
      <c r="C516" s="39"/>
      <c r="D516" s="39" t="str">
        <f>IF(OR(B516="",A516=""),"",MAX(0,MIN(3,SUMIFS($C$2:$C$1000,$B$2:$B$1000,B516,$A$2:$A$1000,"&lt;="&amp;A516,$A$2:$A$1000,"&gt;="&amp;IF(Config!$B$1004="Y",A516-Config!$B$1005,DATE(1900,1,1)),$I$2:$I$1000,1)))))</f>
        <v>#ERROR!</v>
      </c>
      <c r="H516" s="39"/>
      <c r="I516" s="39">
        <f t="shared" si="1"/>
        <v>1</v>
      </c>
      <c r="J516" s="39" t="str">
        <f t="shared" si="2"/>
        <v/>
      </c>
      <c r="K516" s="39" t="str">
        <f t="array" ref="K516">IF(J516="","",IF(XLOOKUP(J516,Strike_Review_Queue!$I:$I,Strike_Review_Queue!$J:$J,"")="Approve","Approved",IF(XLOOKUP(J516,Strike_Review_Queue!$I:$I,Strike_Review_Queue!$J:$J,"")="Deny","Counts",H516)))</f>
        <v/>
      </c>
      <c r="L516" s="39" t="str">
        <f t="array" ref="L516">IF(J516="","",XLOOKUP(J516,Strike_Review_Queue!$I:$I,Strike_Review_Queue!$L:$L,""))</f>
        <v/>
      </c>
      <c r="M516" s="39" t="str">
        <f t="array" ref="M516">IF(J516="","",XLOOKUP(J516,Strike_Review_Queue!$I:$I,Strike_Review_Queue!$M:$M,""))</f>
        <v/>
      </c>
    </row>
    <row r="517" ht="15.75" customHeight="1">
      <c r="C517" s="39"/>
      <c r="D517" s="39" t="str">
        <f>IF(OR(B517="",A517=""),"",MAX(0,MIN(3,SUMIFS($C$2:$C$1000,$B$2:$B$1000,B517,$A$2:$A$1000,"&lt;="&amp;A517,$A$2:$A$1000,"&gt;="&amp;IF(Config!$B$1004="Y",A517-Config!$B$1005,DATE(1900,1,1)),$I$2:$I$1000,1)))))</f>
        <v>#ERROR!</v>
      </c>
      <c r="H517" s="39"/>
      <c r="I517" s="39">
        <f t="shared" si="1"/>
        <v>1</v>
      </c>
      <c r="J517" s="39" t="str">
        <f t="shared" si="2"/>
        <v/>
      </c>
      <c r="K517" s="39" t="str">
        <f t="array" ref="K517">IF(J517="","",IF(XLOOKUP(J517,Strike_Review_Queue!$I:$I,Strike_Review_Queue!$J:$J,"")="Approve","Approved",IF(XLOOKUP(J517,Strike_Review_Queue!$I:$I,Strike_Review_Queue!$J:$J,"")="Deny","Counts",H517)))</f>
        <v/>
      </c>
      <c r="L517" s="39" t="str">
        <f t="array" ref="L517">IF(J517="","",XLOOKUP(J517,Strike_Review_Queue!$I:$I,Strike_Review_Queue!$L:$L,""))</f>
        <v/>
      </c>
      <c r="M517" s="39" t="str">
        <f t="array" ref="M517">IF(J517="","",XLOOKUP(J517,Strike_Review_Queue!$I:$I,Strike_Review_Queue!$M:$M,""))</f>
        <v/>
      </c>
    </row>
    <row r="518" ht="15.75" customHeight="1">
      <c r="C518" s="39"/>
      <c r="D518" s="39" t="str">
        <f>IF(OR(B518="",A518=""),"",MAX(0,MIN(3,SUMIFS($C$2:$C$1000,$B$2:$B$1000,B518,$A$2:$A$1000,"&lt;="&amp;A518,$A$2:$A$1000,"&gt;="&amp;IF(Config!$B$1004="Y",A518-Config!$B$1005,DATE(1900,1,1)),$I$2:$I$1000,1)))))</f>
        <v>#ERROR!</v>
      </c>
      <c r="H518" s="39"/>
      <c r="I518" s="39">
        <f t="shared" si="1"/>
        <v>1</v>
      </c>
      <c r="J518" s="39" t="str">
        <f t="shared" si="2"/>
        <v/>
      </c>
      <c r="K518" s="39" t="str">
        <f t="array" ref="K518">IF(J518="","",IF(XLOOKUP(J518,Strike_Review_Queue!$I:$I,Strike_Review_Queue!$J:$J,"")="Approve","Approved",IF(XLOOKUP(J518,Strike_Review_Queue!$I:$I,Strike_Review_Queue!$J:$J,"")="Deny","Counts",H518)))</f>
        <v/>
      </c>
      <c r="L518" s="39" t="str">
        <f t="array" ref="L518">IF(J518="","",XLOOKUP(J518,Strike_Review_Queue!$I:$I,Strike_Review_Queue!$L:$L,""))</f>
        <v/>
      </c>
      <c r="M518" s="39" t="str">
        <f t="array" ref="M518">IF(J518="","",XLOOKUP(J518,Strike_Review_Queue!$I:$I,Strike_Review_Queue!$M:$M,""))</f>
        <v/>
      </c>
    </row>
    <row r="519" ht="15.75" customHeight="1">
      <c r="C519" s="39"/>
      <c r="D519" s="39" t="str">
        <f>IF(OR(B519="",A519=""),"",MAX(0,MIN(3,SUMIFS($C$2:$C$1000,$B$2:$B$1000,B519,$A$2:$A$1000,"&lt;="&amp;A519,$A$2:$A$1000,"&gt;="&amp;IF(Config!$B$1004="Y",A519-Config!$B$1005,DATE(1900,1,1)),$I$2:$I$1000,1)))))</f>
        <v>#ERROR!</v>
      </c>
      <c r="H519" s="39"/>
      <c r="I519" s="39">
        <f t="shared" si="1"/>
        <v>1</v>
      </c>
      <c r="J519" s="39" t="str">
        <f t="shared" si="2"/>
        <v/>
      </c>
      <c r="K519" s="39" t="str">
        <f t="array" ref="K519">IF(J519="","",IF(XLOOKUP(J519,Strike_Review_Queue!$I:$I,Strike_Review_Queue!$J:$J,"")="Approve","Approved",IF(XLOOKUP(J519,Strike_Review_Queue!$I:$I,Strike_Review_Queue!$J:$J,"")="Deny","Counts",H519)))</f>
        <v/>
      </c>
      <c r="L519" s="39" t="str">
        <f t="array" ref="L519">IF(J519="","",XLOOKUP(J519,Strike_Review_Queue!$I:$I,Strike_Review_Queue!$L:$L,""))</f>
        <v/>
      </c>
      <c r="M519" s="39" t="str">
        <f t="array" ref="M519">IF(J519="","",XLOOKUP(J519,Strike_Review_Queue!$I:$I,Strike_Review_Queue!$M:$M,""))</f>
        <v/>
      </c>
    </row>
    <row r="520" ht="15.75" customHeight="1">
      <c r="C520" s="39"/>
      <c r="D520" s="39" t="str">
        <f>IF(OR(B520="",A520=""),"",MAX(0,MIN(3,SUMIFS($C$2:$C$1000,$B$2:$B$1000,B520,$A$2:$A$1000,"&lt;="&amp;A520,$A$2:$A$1000,"&gt;="&amp;IF(Config!$B$1004="Y",A520-Config!$B$1005,DATE(1900,1,1)),$I$2:$I$1000,1)))))</f>
        <v>#ERROR!</v>
      </c>
      <c r="H520" s="39"/>
      <c r="I520" s="39">
        <f t="shared" si="1"/>
        <v>1</v>
      </c>
      <c r="J520" s="39" t="str">
        <f t="shared" si="2"/>
        <v/>
      </c>
      <c r="K520" s="39" t="str">
        <f t="array" ref="K520">IF(J520="","",IF(XLOOKUP(J520,Strike_Review_Queue!$I:$I,Strike_Review_Queue!$J:$J,"")="Approve","Approved",IF(XLOOKUP(J520,Strike_Review_Queue!$I:$I,Strike_Review_Queue!$J:$J,"")="Deny","Counts",H520)))</f>
        <v/>
      </c>
      <c r="L520" s="39" t="str">
        <f t="array" ref="L520">IF(J520="","",XLOOKUP(J520,Strike_Review_Queue!$I:$I,Strike_Review_Queue!$L:$L,""))</f>
        <v/>
      </c>
      <c r="M520" s="39" t="str">
        <f t="array" ref="M520">IF(J520="","",XLOOKUP(J520,Strike_Review_Queue!$I:$I,Strike_Review_Queue!$M:$M,""))</f>
        <v/>
      </c>
    </row>
    <row r="521" ht="15.75" customHeight="1">
      <c r="C521" s="39"/>
      <c r="D521" s="39" t="str">
        <f>IF(OR(B521="",A521=""),"",MAX(0,MIN(3,SUMIFS($C$2:$C$1000,$B$2:$B$1000,B521,$A$2:$A$1000,"&lt;="&amp;A521,$A$2:$A$1000,"&gt;="&amp;IF(Config!$B$1004="Y",A521-Config!$B$1005,DATE(1900,1,1)),$I$2:$I$1000,1)))))</f>
        <v>#ERROR!</v>
      </c>
      <c r="H521" s="39"/>
      <c r="I521" s="39">
        <f t="shared" si="1"/>
        <v>1</v>
      </c>
      <c r="J521" s="39" t="str">
        <f t="shared" si="2"/>
        <v/>
      </c>
      <c r="K521" s="39" t="str">
        <f t="array" ref="K521">IF(J521="","",IF(XLOOKUP(J521,Strike_Review_Queue!$I:$I,Strike_Review_Queue!$J:$J,"")="Approve","Approved",IF(XLOOKUP(J521,Strike_Review_Queue!$I:$I,Strike_Review_Queue!$J:$J,"")="Deny","Counts",H521)))</f>
        <v/>
      </c>
      <c r="L521" s="39" t="str">
        <f t="array" ref="L521">IF(J521="","",XLOOKUP(J521,Strike_Review_Queue!$I:$I,Strike_Review_Queue!$L:$L,""))</f>
        <v/>
      </c>
      <c r="M521" s="39" t="str">
        <f t="array" ref="M521">IF(J521="","",XLOOKUP(J521,Strike_Review_Queue!$I:$I,Strike_Review_Queue!$M:$M,""))</f>
        <v/>
      </c>
    </row>
    <row r="522" ht="15.75" customHeight="1">
      <c r="C522" s="39"/>
      <c r="D522" s="39" t="str">
        <f>IF(OR(B522="",A522=""),"",MAX(0,MIN(3,SUMIFS($C$2:$C$1000,$B$2:$B$1000,B522,$A$2:$A$1000,"&lt;="&amp;A522,$A$2:$A$1000,"&gt;="&amp;IF(Config!$B$1004="Y",A522-Config!$B$1005,DATE(1900,1,1)),$I$2:$I$1000,1)))))</f>
        <v>#ERROR!</v>
      </c>
      <c r="H522" s="39"/>
      <c r="I522" s="39">
        <f t="shared" si="1"/>
        <v>1</v>
      </c>
      <c r="J522" s="39" t="str">
        <f t="shared" si="2"/>
        <v/>
      </c>
      <c r="K522" s="39" t="str">
        <f t="array" ref="K522">IF(J522="","",IF(XLOOKUP(J522,Strike_Review_Queue!$I:$I,Strike_Review_Queue!$J:$J,"")="Approve","Approved",IF(XLOOKUP(J522,Strike_Review_Queue!$I:$I,Strike_Review_Queue!$J:$J,"")="Deny","Counts",H522)))</f>
        <v/>
      </c>
      <c r="L522" s="39" t="str">
        <f t="array" ref="L522">IF(J522="","",XLOOKUP(J522,Strike_Review_Queue!$I:$I,Strike_Review_Queue!$L:$L,""))</f>
        <v/>
      </c>
      <c r="M522" s="39" t="str">
        <f t="array" ref="M522">IF(J522="","",XLOOKUP(J522,Strike_Review_Queue!$I:$I,Strike_Review_Queue!$M:$M,""))</f>
        <v/>
      </c>
    </row>
    <row r="523" ht="15.75" customHeight="1">
      <c r="C523" s="39"/>
      <c r="D523" s="39" t="str">
        <f>IF(OR(B523="",A523=""),"",MAX(0,MIN(3,SUMIFS($C$2:$C$1000,$B$2:$B$1000,B523,$A$2:$A$1000,"&lt;="&amp;A523,$A$2:$A$1000,"&gt;="&amp;IF(Config!$B$1004="Y",A523-Config!$B$1005,DATE(1900,1,1)),$I$2:$I$1000,1)))))</f>
        <v>#ERROR!</v>
      </c>
      <c r="H523" s="39"/>
      <c r="I523" s="39">
        <f t="shared" si="1"/>
        <v>1</v>
      </c>
      <c r="J523" s="39" t="str">
        <f t="shared" si="2"/>
        <v/>
      </c>
      <c r="K523" s="39" t="str">
        <f t="array" ref="K523">IF(J523="","",IF(XLOOKUP(J523,Strike_Review_Queue!$I:$I,Strike_Review_Queue!$J:$J,"")="Approve","Approved",IF(XLOOKUP(J523,Strike_Review_Queue!$I:$I,Strike_Review_Queue!$J:$J,"")="Deny","Counts",H523)))</f>
        <v/>
      </c>
      <c r="L523" s="39" t="str">
        <f t="array" ref="L523">IF(J523="","",XLOOKUP(J523,Strike_Review_Queue!$I:$I,Strike_Review_Queue!$L:$L,""))</f>
        <v/>
      </c>
      <c r="M523" s="39" t="str">
        <f t="array" ref="M523">IF(J523="","",XLOOKUP(J523,Strike_Review_Queue!$I:$I,Strike_Review_Queue!$M:$M,""))</f>
        <v/>
      </c>
    </row>
    <row r="524" ht="15.75" customHeight="1">
      <c r="C524" s="39"/>
      <c r="D524" s="39" t="str">
        <f>IF(OR(B524="",A524=""),"",MAX(0,MIN(3,SUMIFS($C$2:$C$1000,$B$2:$B$1000,B524,$A$2:$A$1000,"&lt;="&amp;A524,$A$2:$A$1000,"&gt;="&amp;IF(Config!$B$1004="Y",A524-Config!$B$1005,DATE(1900,1,1)),$I$2:$I$1000,1)))))</f>
        <v>#ERROR!</v>
      </c>
      <c r="H524" s="39"/>
      <c r="I524" s="39">
        <f t="shared" si="1"/>
        <v>1</v>
      </c>
      <c r="J524" s="39" t="str">
        <f t="shared" si="2"/>
        <v/>
      </c>
      <c r="K524" s="39" t="str">
        <f t="array" ref="K524">IF(J524="","",IF(XLOOKUP(J524,Strike_Review_Queue!$I:$I,Strike_Review_Queue!$J:$J,"")="Approve","Approved",IF(XLOOKUP(J524,Strike_Review_Queue!$I:$I,Strike_Review_Queue!$J:$J,"")="Deny","Counts",H524)))</f>
        <v/>
      </c>
      <c r="L524" s="39" t="str">
        <f t="array" ref="L524">IF(J524="","",XLOOKUP(J524,Strike_Review_Queue!$I:$I,Strike_Review_Queue!$L:$L,""))</f>
        <v/>
      </c>
      <c r="M524" s="39" t="str">
        <f t="array" ref="M524">IF(J524="","",XLOOKUP(J524,Strike_Review_Queue!$I:$I,Strike_Review_Queue!$M:$M,""))</f>
        <v/>
      </c>
    </row>
    <row r="525" ht="15.75" customHeight="1">
      <c r="C525" s="39"/>
      <c r="D525" s="39" t="str">
        <f>IF(OR(B525="",A525=""),"",MAX(0,MIN(3,SUMIFS($C$2:$C$1000,$B$2:$B$1000,B525,$A$2:$A$1000,"&lt;="&amp;A525,$A$2:$A$1000,"&gt;="&amp;IF(Config!$B$1004="Y",A525-Config!$B$1005,DATE(1900,1,1)),$I$2:$I$1000,1)))))</f>
        <v>#ERROR!</v>
      </c>
      <c r="H525" s="39"/>
      <c r="I525" s="39">
        <f t="shared" si="1"/>
        <v>1</v>
      </c>
      <c r="J525" s="39" t="str">
        <f t="shared" si="2"/>
        <v/>
      </c>
      <c r="K525" s="39" t="str">
        <f t="array" ref="K525">IF(J525="","",IF(XLOOKUP(J525,Strike_Review_Queue!$I:$I,Strike_Review_Queue!$J:$J,"")="Approve","Approved",IF(XLOOKUP(J525,Strike_Review_Queue!$I:$I,Strike_Review_Queue!$J:$J,"")="Deny","Counts",H525)))</f>
        <v/>
      </c>
      <c r="L525" s="39" t="str">
        <f t="array" ref="L525">IF(J525="","",XLOOKUP(J525,Strike_Review_Queue!$I:$I,Strike_Review_Queue!$L:$L,""))</f>
        <v/>
      </c>
      <c r="M525" s="39" t="str">
        <f t="array" ref="M525">IF(J525="","",XLOOKUP(J525,Strike_Review_Queue!$I:$I,Strike_Review_Queue!$M:$M,""))</f>
        <v/>
      </c>
    </row>
    <row r="526" ht="15.75" customHeight="1">
      <c r="C526" s="39"/>
      <c r="D526" s="39" t="str">
        <f>IF(OR(B526="",A526=""),"",MAX(0,MIN(3,SUMIFS($C$2:$C$1000,$B$2:$B$1000,B526,$A$2:$A$1000,"&lt;="&amp;A526,$A$2:$A$1000,"&gt;="&amp;IF(Config!$B$1004="Y",A526-Config!$B$1005,DATE(1900,1,1)),$I$2:$I$1000,1)))))</f>
        <v>#ERROR!</v>
      </c>
      <c r="H526" s="39"/>
      <c r="I526" s="39">
        <f t="shared" si="1"/>
        <v>1</v>
      </c>
      <c r="J526" s="39" t="str">
        <f t="shared" si="2"/>
        <v/>
      </c>
      <c r="K526" s="39" t="str">
        <f t="array" ref="K526">IF(J526="","",IF(XLOOKUP(J526,Strike_Review_Queue!$I:$I,Strike_Review_Queue!$J:$J,"")="Approve","Approved",IF(XLOOKUP(J526,Strike_Review_Queue!$I:$I,Strike_Review_Queue!$J:$J,"")="Deny","Counts",H526)))</f>
        <v/>
      </c>
      <c r="L526" s="39" t="str">
        <f t="array" ref="L526">IF(J526="","",XLOOKUP(J526,Strike_Review_Queue!$I:$I,Strike_Review_Queue!$L:$L,""))</f>
        <v/>
      </c>
      <c r="M526" s="39" t="str">
        <f t="array" ref="M526">IF(J526="","",XLOOKUP(J526,Strike_Review_Queue!$I:$I,Strike_Review_Queue!$M:$M,""))</f>
        <v/>
      </c>
    </row>
    <row r="527" ht="15.75" customHeight="1">
      <c r="C527" s="39"/>
      <c r="D527" s="39" t="str">
        <f>IF(OR(B527="",A527=""),"",MAX(0,MIN(3,SUMIFS($C$2:$C$1000,$B$2:$B$1000,B527,$A$2:$A$1000,"&lt;="&amp;A527,$A$2:$A$1000,"&gt;="&amp;IF(Config!$B$1004="Y",A527-Config!$B$1005,DATE(1900,1,1)),$I$2:$I$1000,1)))))</f>
        <v>#ERROR!</v>
      </c>
      <c r="H527" s="39"/>
      <c r="I527" s="39">
        <f t="shared" si="1"/>
        <v>1</v>
      </c>
      <c r="J527" s="39" t="str">
        <f t="shared" si="2"/>
        <v/>
      </c>
      <c r="K527" s="39" t="str">
        <f t="array" ref="K527">IF(J527="","",IF(XLOOKUP(J527,Strike_Review_Queue!$I:$I,Strike_Review_Queue!$J:$J,"")="Approve","Approved",IF(XLOOKUP(J527,Strike_Review_Queue!$I:$I,Strike_Review_Queue!$J:$J,"")="Deny","Counts",H527)))</f>
        <v/>
      </c>
      <c r="L527" s="39" t="str">
        <f t="array" ref="L527">IF(J527="","",XLOOKUP(J527,Strike_Review_Queue!$I:$I,Strike_Review_Queue!$L:$L,""))</f>
        <v/>
      </c>
      <c r="M527" s="39" t="str">
        <f t="array" ref="M527">IF(J527="","",XLOOKUP(J527,Strike_Review_Queue!$I:$I,Strike_Review_Queue!$M:$M,""))</f>
        <v/>
      </c>
    </row>
    <row r="528" ht="15.75" customHeight="1">
      <c r="C528" s="39"/>
      <c r="D528" s="39" t="str">
        <f>IF(OR(B528="",A528=""),"",MAX(0,MIN(3,SUMIFS($C$2:$C$1000,$B$2:$B$1000,B528,$A$2:$A$1000,"&lt;="&amp;A528,$A$2:$A$1000,"&gt;="&amp;IF(Config!$B$1004="Y",A528-Config!$B$1005,DATE(1900,1,1)),$I$2:$I$1000,1)))))</f>
        <v>#ERROR!</v>
      </c>
      <c r="H528" s="39"/>
      <c r="I528" s="39">
        <f t="shared" si="1"/>
        <v>1</v>
      </c>
      <c r="J528" s="39" t="str">
        <f t="shared" si="2"/>
        <v/>
      </c>
      <c r="K528" s="39" t="str">
        <f t="array" ref="K528">IF(J528="","",IF(XLOOKUP(J528,Strike_Review_Queue!$I:$I,Strike_Review_Queue!$J:$J,"")="Approve","Approved",IF(XLOOKUP(J528,Strike_Review_Queue!$I:$I,Strike_Review_Queue!$J:$J,"")="Deny","Counts",H528)))</f>
        <v/>
      </c>
      <c r="L528" s="39" t="str">
        <f t="array" ref="L528">IF(J528="","",XLOOKUP(J528,Strike_Review_Queue!$I:$I,Strike_Review_Queue!$L:$L,""))</f>
        <v/>
      </c>
      <c r="M528" s="39" t="str">
        <f t="array" ref="M528">IF(J528="","",XLOOKUP(J528,Strike_Review_Queue!$I:$I,Strike_Review_Queue!$M:$M,""))</f>
        <v/>
      </c>
    </row>
    <row r="529" ht="15.75" customHeight="1">
      <c r="C529" s="39"/>
      <c r="D529" s="39" t="str">
        <f>IF(OR(B529="",A529=""),"",MAX(0,MIN(3,SUMIFS($C$2:$C$1000,$B$2:$B$1000,B529,$A$2:$A$1000,"&lt;="&amp;A529,$A$2:$A$1000,"&gt;="&amp;IF(Config!$B$1004="Y",A529-Config!$B$1005,DATE(1900,1,1)),$I$2:$I$1000,1)))))</f>
        <v>#ERROR!</v>
      </c>
      <c r="H529" s="39"/>
      <c r="I529" s="39">
        <f t="shared" si="1"/>
        <v>1</v>
      </c>
      <c r="J529" s="39" t="str">
        <f t="shared" si="2"/>
        <v/>
      </c>
      <c r="K529" s="39" t="str">
        <f t="array" ref="K529">IF(J529="","",IF(XLOOKUP(J529,Strike_Review_Queue!$I:$I,Strike_Review_Queue!$J:$J,"")="Approve","Approved",IF(XLOOKUP(J529,Strike_Review_Queue!$I:$I,Strike_Review_Queue!$J:$J,"")="Deny","Counts",H529)))</f>
        <v/>
      </c>
      <c r="L529" s="39" t="str">
        <f t="array" ref="L529">IF(J529="","",XLOOKUP(J529,Strike_Review_Queue!$I:$I,Strike_Review_Queue!$L:$L,""))</f>
        <v/>
      </c>
      <c r="M529" s="39" t="str">
        <f t="array" ref="M529">IF(J529="","",XLOOKUP(J529,Strike_Review_Queue!$I:$I,Strike_Review_Queue!$M:$M,""))</f>
        <v/>
      </c>
    </row>
    <row r="530" ht="15.75" customHeight="1">
      <c r="C530" s="39"/>
      <c r="D530" s="39" t="str">
        <f>IF(OR(B530="",A530=""),"",MAX(0,MIN(3,SUMIFS($C$2:$C$1000,$B$2:$B$1000,B530,$A$2:$A$1000,"&lt;="&amp;A530,$A$2:$A$1000,"&gt;="&amp;IF(Config!$B$1004="Y",A530-Config!$B$1005,DATE(1900,1,1)),$I$2:$I$1000,1)))))</f>
        <v>#ERROR!</v>
      </c>
      <c r="H530" s="39"/>
      <c r="I530" s="39">
        <f t="shared" si="1"/>
        <v>1</v>
      </c>
      <c r="J530" s="39" t="str">
        <f t="shared" si="2"/>
        <v/>
      </c>
      <c r="K530" s="39" t="str">
        <f t="array" ref="K530">IF(J530="","",IF(XLOOKUP(J530,Strike_Review_Queue!$I:$I,Strike_Review_Queue!$J:$J,"")="Approve","Approved",IF(XLOOKUP(J530,Strike_Review_Queue!$I:$I,Strike_Review_Queue!$J:$J,"")="Deny","Counts",H530)))</f>
        <v/>
      </c>
      <c r="L530" s="39" t="str">
        <f t="array" ref="L530">IF(J530="","",XLOOKUP(J530,Strike_Review_Queue!$I:$I,Strike_Review_Queue!$L:$L,""))</f>
        <v/>
      </c>
      <c r="M530" s="39" t="str">
        <f t="array" ref="M530">IF(J530="","",XLOOKUP(J530,Strike_Review_Queue!$I:$I,Strike_Review_Queue!$M:$M,""))</f>
        <v/>
      </c>
    </row>
    <row r="531" ht="15.75" customHeight="1">
      <c r="C531" s="39"/>
      <c r="D531" s="39" t="str">
        <f>IF(OR(B531="",A531=""),"",MAX(0,MIN(3,SUMIFS($C$2:$C$1000,$B$2:$B$1000,B531,$A$2:$A$1000,"&lt;="&amp;A531,$A$2:$A$1000,"&gt;="&amp;IF(Config!$B$1004="Y",A531-Config!$B$1005,DATE(1900,1,1)),$I$2:$I$1000,1)))))</f>
        <v>#ERROR!</v>
      </c>
      <c r="H531" s="39"/>
      <c r="I531" s="39">
        <f t="shared" si="1"/>
        <v>1</v>
      </c>
      <c r="J531" s="39" t="str">
        <f t="shared" si="2"/>
        <v/>
      </c>
      <c r="K531" s="39" t="str">
        <f t="array" ref="K531">IF(J531="","",IF(XLOOKUP(J531,Strike_Review_Queue!$I:$I,Strike_Review_Queue!$J:$J,"")="Approve","Approved",IF(XLOOKUP(J531,Strike_Review_Queue!$I:$I,Strike_Review_Queue!$J:$J,"")="Deny","Counts",H531)))</f>
        <v/>
      </c>
      <c r="L531" s="39" t="str">
        <f t="array" ref="L531">IF(J531="","",XLOOKUP(J531,Strike_Review_Queue!$I:$I,Strike_Review_Queue!$L:$L,""))</f>
        <v/>
      </c>
      <c r="M531" s="39" t="str">
        <f t="array" ref="M531">IF(J531="","",XLOOKUP(J531,Strike_Review_Queue!$I:$I,Strike_Review_Queue!$M:$M,""))</f>
        <v/>
      </c>
    </row>
    <row r="532" ht="15.75" customHeight="1">
      <c r="C532" s="39"/>
      <c r="D532" s="39" t="str">
        <f>IF(OR(B532="",A532=""),"",MAX(0,MIN(3,SUMIFS($C$2:$C$1000,$B$2:$B$1000,B532,$A$2:$A$1000,"&lt;="&amp;A532,$A$2:$A$1000,"&gt;="&amp;IF(Config!$B$1004="Y",A532-Config!$B$1005,DATE(1900,1,1)),$I$2:$I$1000,1)))))</f>
        <v>#ERROR!</v>
      </c>
      <c r="H532" s="39"/>
      <c r="I532" s="39">
        <f t="shared" si="1"/>
        <v>1</v>
      </c>
      <c r="J532" s="39" t="str">
        <f t="shared" si="2"/>
        <v/>
      </c>
      <c r="K532" s="39" t="str">
        <f t="array" ref="K532">IF(J532="","",IF(XLOOKUP(J532,Strike_Review_Queue!$I:$I,Strike_Review_Queue!$J:$J,"")="Approve","Approved",IF(XLOOKUP(J532,Strike_Review_Queue!$I:$I,Strike_Review_Queue!$J:$J,"")="Deny","Counts",H532)))</f>
        <v/>
      </c>
      <c r="L532" s="39" t="str">
        <f t="array" ref="L532">IF(J532="","",XLOOKUP(J532,Strike_Review_Queue!$I:$I,Strike_Review_Queue!$L:$L,""))</f>
        <v/>
      </c>
      <c r="M532" s="39" t="str">
        <f t="array" ref="M532">IF(J532="","",XLOOKUP(J532,Strike_Review_Queue!$I:$I,Strike_Review_Queue!$M:$M,""))</f>
        <v/>
      </c>
    </row>
    <row r="533" ht="15.75" customHeight="1">
      <c r="C533" s="39"/>
      <c r="D533" s="39" t="str">
        <f>IF(OR(B533="",A533=""),"",MAX(0,MIN(3,SUMIFS($C$2:$C$1000,$B$2:$B$1000,B533,$A$2:$A$1000,"&lt;="&amp;A533,$A$2:$A$1000,"&gt;="&amp;IF(Config!$B$1004="Y",A533-Config!$B$1005,DATE(1900,1,1)),$I$2:$I$1000,1)))))</f>
        <v>#ERROR!</v>
      </c>
      <c r="H533" s="39"/>
      <c r="I533" s="39">
        <f t="shared" si="1"/>
        <v>1</v>
      </c>
      <c r="J533" s="39" t="str">
        <f t="shared" si="2"/>
        <v/>
      </c>
      <c r="K533" s="39" t="str">
        <f t="array" ref="K533">IF(J533="","",IF(XLOOKUP(J533,Strike_Review_Queue!$I:$I,Strike_Review_Queue!$J:$J,"")="Approve","Approved",IF(XLOOKUP(J533,Strike_Review_Queue!$I:$I,Strike_Review_Queue!$J:$J,"")="Deny","Counts",H533)))</f>
        <v/>
      </c>
      <c r="L533" s="39" t="str">
        <f t="array" ref="L533">IF(J533="","",XLOOKUP(J533,Strike_Review_Queue!$I:$I,Strike_Review_Queue!$L:$L,""))</f>
        <v/>
      </c>
      <c r="M533" s="39" t="str">
        <f t="array" ref="M533">IF(J533="","",XLOOKUP(J533,Strike_Review_Queue!$I:$I,Strike_Review_Queue!$M:$M,""))</f>
        <v/>
      </c>
    </row>
    <row r="534" ht="15.75" customHeight="1">
      <c r="C534" s="39"/>
      <c r="D534" s="39" t="str">
        <f>IF(OR(B534="",A534=""),"",MAX(0,MIN(3,SUMIFS($C$2:$C$1000,$B$2:$B$1000,B534,$A$2:$A$1000,"&lt;="&amp;A534,$A$2:$A$1000,"&gt;="&amp;IF(Config!$B$1004="Y",A534-Config!$B$1005,DATE(1900,1,1)),$I$2:$I$1000,1)))))</f>
        <v>#ERROR!</v>
      </c>
      <c r="H534" s="39"/>
      <c r="I534" s="39">
        <f t="shared" si="1"/>
        <v>1</v>
      </c>
      <c r="J534" s="39" t="str">
        <f t="shared" si="2"/>
        <v/>
      </c>
      <c r="K534" s="39" t="str">
        <f t="array" ref="K534">IF(J534="","",IF(XLOOKUP(J534,Strike_Review_Queue!$I:$I,Strike_Review_Queue!$J:$J,"")="Approve","Approved",IF(XLOOKUP(J534,Strike_Review_Queue!$I:$I,Strike_Review_Queue!$J:$J,"")="Deny","Counts",H534)))</f>
        <v/>
      </c>
      <c r="L534" s="39" t="str">
        <f t="array" ref="L534">IF(J534="","",XLOOKUP(J534,Strike_Review_Queue!$I:$I,Strike_Review_Queue!$L:$L,""))</f>
        <v/>
      </c>
      <c r="M534" s="39" t="str">
        <f t="array" ref="M534">IF(J534="","",XLOOKUP(J534,Strike_Review_Queue!$I:$I,Strike_Review_Queue!$M:$M,""))</f>
        <v/>
      </c>
    </row>
    <row r="535" ht="15.75" customHeight="1">
      <c r="C535" s="39"/>
      <c r="D535" s="39" t="str">
        <f>IF(OR(B535="",A535=""),"",MAX(0,MIN(3,SUMIFS($C$2:$C$1000,$B$2:$B$1000,B535,$A$2:$A$1000,"&lt;="&amp;A535,$A$2:$A$1000,"&gt;="&amp;IF(Config!$B$1004="Y",A535-Config!$B$1005,DATE(1900,1,1)),$I$2:$I$1000,1)))))</f>
        <v>#ERROR!</v>
      </c>
      <c r="H535" s="39"/>
      <c r="I535" s="39">
        <f t="shared" si="1"/>
        <v>1</v>
      </c>
      <c r="J535" s="39" t="str">
        <f t="shared" si="2"/>
        <v/>
      </c>
      <c r="K535" s="39" t="str">
        <f t="array" ref="K535">IF(J535="","",IF(XLOOKUP(J535,Strike_Review_Queue!$I:$I,Strike_Review_Queue!$J:$J,"")="Approve","Approved",IF(XLOOKUP(J535,Strike_Review_Queue!$I:$I,Strike_Review_Queue!$J:$J,"")="Deny","Counts",H535)))</f>
        <v/>
      </c>
      <c r="L535" s="39" t="str">
        <f t="array" ref="L535">IF(J535="","",XLOOKUP(J535,Strike_Review_Queue!$I:$I,Strike_Review_Queue!$L:$L,""))</f>
        <v/>
      </c>
      <c r="M535" s="39" t="str">
        <f t="array" ref="M535">IF(J535="","",XLOOKUP(J535,Strike_Review_Queue!$I:$I,Strike_Review_Queue!$M:$M,""))</f>
        <v/>
      </c>
    </row>
    <row r="536" ht="15.75" customHeight="1">
      <c r="C536" s="39"/>
      <c r="D536" s="39" t="str">
        <f>IF(OR(B536="",A536=""),"",MAX(0,MIN(3,SUMIFS($C$2:$C$1000,$B$2:$B$1000,B536,$A$2:$A$1000,"&lt;="&amp;A536,$A$2:$A$1000,"&gt;="&amp;IF(Config!$B$1004="Y",A536-Config!$B$1005,DATE(1900,1,1)),$I$2:$I$1000,1)))))</f>
        <v>#ERROR!</v>
      </c>
      <c r="H536" s="39"/>
      <c r="I536" s="39">
        <f t="shared" si="1"/>
        <v>1</v>
      </c>
      <c r="J536" s="39" t="str">
        <f t="shared" si="2"/>
        <v/>
      </c>
      <c r="K536" s="39" t="str">
        <f t="array" ref="K536">IF(J536="","",IF(XLOOKUP(J536,Strike_Review_Queue!$I:$I,Strike_Review_Queue!$J:$J,"")="Approve","Approved",IF(XLOOKUP(J536,Strike_Review_Queue!$I:$I,Strike_Review_Queue!$J:$J,"")="Deny","Counts",H536)))</f>
        <v/>
      </c>
      <c r="L536" s="39" t="str">
        <f t="array" ref="L536">IF(J536="","",XLOOKUP(J536,Strike_Review_Queue!$I:$I,Strike_Review_Queue!$L:$L,""))</f>
        <v/>
      </c>
      <c r="M536" s="39" t="str">
        <f t="array" ref="M536">IF(J536="","",XLOOKUP(J536,Strike_Review_Queue!$I:$I,Strike_Review_Queue!$M:$M,""))</f>
        <v/>
      </c>
    </row>
    <row r="537" ht="15.75" customHeight="1">
      <c r="C537" s="39"/>
      <c r="D537" s="39" t="str">
        <f>IF(OR(B537="",A537=""),"",MAX(0,MIN(3,SUMIFS($C$2:$C$1000,$B$2:$B$1000,B537,$A$2:$A$1000,"&lt;="&amp;A537,$A$2:$A$1000,"&gt;="&amp;IF(Config!$B$1004="Y",A537-Config!$B$1005,DATE(1900,1,1)),$I$2:$I$1000,1)))))</f>
        <v>#ERROR!</v>
      </c>
      <c r="H537" s="39"/>
      <c r="I537" s="39">
        <f t="shared" si="1"/>
        <v>1</v>
      </c>
      <c r="J537" s="39" t="str">
        <f t="shared" si="2"/>
        <v/>
      </c>
      <c r="K537" s="39" t="str">
        <f t="array" ref="K537">IF(J537="","",IF(XLOOKUP(J537,Strike_Review_Queue!$I:$I,Strike_Review_Queue!$J:$J,"")="Approve","Approved",IF(XLOOKUP(J537,Strike_Review_Queue!$I:$I,Strike_Review_Queue!$J:$J,"")="Deny","Counts",H537)))</f>
        <v/>
      </c>
      <c r="L537" s="39" t="str">
        <f t="array" ref="L537">IF(J537="","",XLOOKUP(J537,Strike_Review_Queue!$I:$I,Strike_Review_Queue!$L:$L,""))</f>
        <v/>
      </c>
      <c r="M537" s="39" t="str">
        <f t="array" ref="M537">IF(J537="","",XLOOKUP(J537,Strike_Review_Queue!$I:$I,Strike_Review_Queue!$M:$M,""))</f>
        <v/>
      </c>
    </row>
    <row r="538" ht="15.75" customHeight="1">
      <c r="C538" s="39"/>
      <c r="D538" s="39" t="str">
        <f>IF(OR(B538="",A538=""),"",MAX(0,MIN(3,SUMIFS($C$2:$C$1000,$B$2:$B$1000,B538,$A$2:$A$1000,"&lt;="&amp;A538,$A$2:$A$1000,"&gt;="&amp;IF(Config!$B$1004="Y",A538-Config!$B$1005,DATE(1900,1,1)),$I$2:$I$1000,1)))))</f>
        <v>#ERROR!</v>
      </c>
      <c r="H538" s="39"/>
      <c r="I538" s="39">
        <f t="shared" si="1"/>
        <v>1</v>
      </c>
      <c r="J538" s="39" t="str">
        <f t="shared" si="2"/>
        <v/>
      </c>
      <c r="K538" s="39" t="str">
        <f t="array" ref="K538">IF(J538="","",IF(XLOOKUP(J538,Strike_Review_Queue!$I:$I,Strike_Review_Queue!$J:$J,"")="Approve","Approved",IF(XLOOKUP(J538,Strike_Review_Queue!$I:$I,Strike_Review_Queue!$J:$J,"")="Deny","Counts",H538)))</f>
        <v/>
      </c>
      <c r="L538" s="39" t="str">
        <f t="array" ref="L538">IF(J538="","",XLOOKUP(J538,Strike_Review_Queue!$I:$I,Strike_Review_Queue!$L:$L,""))</f>
        <v/>
      </c>
      <c r="M538" s="39" t="str">
        <f t="array" ref="M538">IF(J538="","",XLOOKUP(J538,Strike_Review_Queue!$I:$I,Strike_Review_Queue!$M:$M,""))</f>
        <v/>
      </c>
    </row>
    <row r="539" ht="15.75" customHeight="1">
      <c r="C539" s="39"/>
      <c r="D539" s="39" t="str">
        <f>IF(OR(B539="",A539=""),"",MAX(0,MIN(3,SUMIFS($C$2:$C$1000,$B$2:$B$1000,B539,$A$2:$A$1000,"&lt;="&amp;A539,$A$2:$A$1000,"&gt;="&amp;IF(Config!$B$1004="Y",A539-Config!$B$1005,DATE(1900,1,1)),$I$2:$I$1000,1)))))</f>
        <v>#ERROR!</v>
      </c>
      <c r="H539" s="39"/>
      <c r="I539" s="39">
        <f t="shared" si="1"/>
        <v>1</v>
      </c>
      <c r="J539" s="39" t="str">
        <f t="shared" si="2"/>
        <v/>
      </c>
      <c r="K539" s="39" t="str">
        <f t="array" ref="K539">IF(J539="","",IF(XLOOKUP(J539,Strike_Review_Queue!$I:$I,Strike_Review_Queue!$J:$J,"")="Approve","Approved",IF(XLOOKUP(J539,Strike_Review_Queue!$I:$I,Strike_Review_Queue!$J:$J,"")="Deny","Counts",H539)))</f>
        <v/>
      </c>
      <c r="L539" s="39" t="str">
        <f t="array" ref="L539">IF(J539="","",XLOOKUP(J539,Strike_Review_Queue!$I:$I,Strike_Review_Queue!$L:$L,""))</f>
        <v/>
      </c>
      <c r="M539" s="39" t="str">
        <f t="array" ref="M539">IF(J539="","",XLOOKUP(J539,Strike_Review_Queue!$I:$I,Strike_Review_Queue!$M:$M,""))</f>
        <v/>
      </c>
    </row>
    <row r="540" ht="15.75" customHeight="1">
      <c r="C540" s="39"/>
      <c r="D540" s="39" t="str">
        <f>IF(OR(B540="",A540=""),"",MAX(0,MIN(3,SUMIFS($C$2:$C$1000,$B$2:$B$1000,B540,$A$2:$A$1000,"&lt;="&amp;A540,$A$2:$A$1000,"&gt;="&amp;IF(Config!$B$1004="Y",A540-Config!$B$1005,DATE(1900,1,1)),$I$2:$I$1000,1)))))</f>
        <v>#ERROR!</v>
      </c>
      <c r="H540" s="39"/>
      <c r="I540" s="39">
        <f t="shared" si="1"/>
        <v>1</v>
      </c>
      <c r="J540" s="39" t="str">
        <f t="shared" si="2"/>
        <v/>
      </c>
      <c r="K540" s="39" t="str">
        <f t="array" ref="K540">IF(J540="","",IF(XLOOKUP(J540,Strike_Review_Queue!$I:$I,Strike_Review_Queue!$J:$J,"")="Approve","Approved",IF(XLOOKUP(J540,Strike_Review_Queue!$I:$I,Strike_Review_Queue!$J:$J,"")="Deny","Counts",H540)))</f>
        <v/>
      </c>
      <c r="L540" s="39" t="str">
        <f t="array" ref="L540">IF(J540="","",XLOOKUP(J540,Strike_Review_Queue!$I:$I,Strike_Review_Queue!$L:$L,""))</f>
        <v/>
      </c>
      <c r="M540" s="39" t="str">
        <f t="array" ref="M540">IF(J540="","",XLOOKUP(J540,Strike_Review_Queue!$I:$I,Strike_Review_Queue!$M:$M,""))</f>
        <v/>
      </c>
    </row>
    <row r="541" ht="15.75" customHeight="1">
      <c r="C541" s="39"/>
      <c r="D541" s="39" t="str">
        <f>IF(OR(B541="",A541=""),"",MAX(0,MIN(3,SUMIFS($C$2:$C$1000,$B$2:$B$1000,B541,$A$2:$A$1000,"&lt;="&amp;A541,$A$2:$A$1000,"&gt;="&amp;IF(Config!$B$1004="Y",A541-Config!$B$1005,DATE(1900,1,1)),$I$2:$I$1000,1)))))</f>
        <v>#ERROR!</v>
      </c>
      <c r="H541" s="39"/>
      <c r="I541" s="39">
        <f t="shared" si="1"/>
        <v>1</v>
      </c>
      <c r="J541" s="39" t="str">
        <f t="shared" si="2"/>
        <v/>
      </c>
      <c r="K541" s="39" t="str">
        <f t="array" ref="K541">IF(J541="","",IF(XLOOKUP(J541,Strike_Review_Queue!$I:$I,Strike_Review_Queue!$J:$J,"")="Approve","Approved",IF(XLOOKUP(J541,Strike_Review_Queue!$I:$I,Strike_Review_Queue!$J:$J,"")="Deny","Counts",H541)))</f>
        <v/>
      </c>
      <c r="L541" s="39" t="str">
        <f t="array" ref="L541">IF(J541="","",XLOOKUP(J541,Strike_Review_Queue!$I:$I,Strike_Review_Queue!$L:$L,""))</f>
        <v/>
      </c>
      <c r="M541" s="39" t="str">
        <f t="array" ref="M541">IF(J541="","",XLOOKUP(J541,Strike_Review_Queue!$I:$I,Strike_Review_Queue!$M:$M,""))</f>
        <v/>
      </c>
    </row>
    <row r="542" ht="15.75" customHeight="1">
      <c r="C542" s="39"/>
      <c r="D542" s="39" t="str">
        <f>IF(OR(B542="",A542=""),"",MAX(0,MIN(3,SUMIFS($C$2:$C$1000,$B$2:$B$1000,B542,$A$2:$A$1000,"&lt;="&amp;A542,$A$2:$A$1000,"&gt;="&amp;IF(Config!$B$1004="Y",A542-Config!$B$1005,DATE(1900,1,1)),$I$2:$I$1000,1)))))</f>
        <v>#ERROR!</v>
      </c>
      <c r="H542" s="39"/>
      <c r="I542" s="39">
        <f t="shared" si="1"/>
        <v>1</v>
      </c>
      <c r="J542" s="39" t="str">
        <f t="shared" si="2"/>
        <v/>
      </c>
      <c r="K542" s="39" t="str">
        <f t="array" ref="K542">IF(J542="","",IF(XLOOKUP(J542,Strike_Review_Queue!$I:$I,Strike_Review_Queue!$J:$J,"")="Approve","Approved",IF(XLOOKUP(J542,Strike_Review_Queue!$I:$I,Strike_Review_Queue!$J:$J,"")="Deny","Counts",H542)))</f>
        <v/>
      </c>
      <c r="L542" s="39" t="str">
        <f t="array" ref="L542">IF(J542="","",XLOOKUP(J542,Strike_Review_Queue!$I:$I,Strike_Review_Queue!$L:$L,""))</f>
        <v/>
      </c>
      <c r="M542" s="39" t="str">
        <f t="array" ref="M542">IF(J542="","",XLOOKUP(J542,Strike_Review_Queue!$I:$I,Strike_Review_Queue!$M:$M,""))</f>
        <v/>
      </c>
    </row>
    <row r="543" ht="15.75" customHeight="1">
      <c r="C543" s="39"/>
      <c r="D543" s="39" t="str">
        <f>IF(OR(B543="",A543=""),"",MAX(0,MIN(3,SUMIFS($C$2:$C$1000,$B$2:$B$1000,B543,$A$2:$A$1000,"&lt;="&amp;A543,$A$2:$A$1000,"&gt;="&amp;IF(Config!$B$1004="Y",A543-Config!$B$1005,DATE(1900,1,1)),$I$2:$I$1000,1)))))</f>
        <v>#ERROR!</v>
      </c>
      <c r="H543" s="39"/>
      <c r="I543" s="39">
        <f t="shared" si="1"/>
        <v>1</v>
      </c>
      <c r="J543" s="39" t="str">
        <f t="shared" si="2"/>
        <v/>
      </c>
      <c r="K543" s="39" t="str">
        <f t="array" ref="K543">IF(J543="","",IF(XLOOKUP(J543,Strike_Review_Queue!$I:$I,Strike_Review_Queue!$J:$J,"")="Approve","Approved",IF(XLOOKUP(J543,Strike_Review_Queue!$I:$I,Strike_Review_Queue!$J:$J,"")="Deny","Counts",H543)))</f>
        <v/>
      </c>
      <c r="L543" s="39" t="str">
        <f t="array" ref="L543">IF(J543="","",XLOOKUP(J543,Strike_Review_Queue!$I:$I,Strike_Review_Queue!$L:$L,""))</f>
        <v/>
      </c>
      <c r="M543" s="39" t="str">
        <f t="array" ref="M543">IF(J543="","",XLOOKUP(J543,Strike_Review_Queue!$I:$I,Strike_Review_Queue!$M:$M,""))</f>
        <v/>
      </c>
    </row>
    <row r="544" ht="15.75" customHeight="1">
      <c r="C544" s="39"/>
      <c r="D544" s="39" t="str">
        <f>IF(OR(B544="",A544=""),"",MAX(0,MIN(3,SUMIFS($C$2:$C$1000,$B$2:$B$1000,B544,$A$2:$A$1000,"&lt;="&amp;A544,$A$2:$A$1000,"&gt;="&amp;IF(Config!$B$1004="Y",A544-Config!$B$1005,DATE(1900,1,1)),$I$2:$I$1000,1)))))</f>
        <v>#ERROR!</v>
      </c>
      <c r="H544" s="39"/>
      <c r="I544" s="39">
        <f t="shared" si="1"/>
        <v>1</v>
      </c>
      <c r="J544" s="39" t="str">
        <f t="shared" si="2"/>
        <v/>
      </c>
      <c r="K544" s="39" t="str">
        <f t="array" ref="K544">IF(J544="","",IF(XLOOKUP(J544,Strike_Review_Queue!$I:$I,Strike_Review_Queue!$J:$J,"")="Approve","Approved",IF(XLOOKUP(J544,Strike_Review_Queue!$I:$I,Strike_Review_Queue!$J:$J,"")="Deny","Counts",H544)))</f>
        <v/>
      </c>
      <c r="L544" s="39" t="str">
        <f t="array" ref="L544">IF(J544="","",XLOOKUP(J544,Strike_Review_Queue!$I:$I,Strike_Review_Queue!$L:$L,""))</f>
        <v/>
      </c>
      <c r="M544" s="39" t="str">
        <f t="array" ref="M544">IF(J544="","",XLOOKUP(J544,Strike_Review_Queue!$I:$I,Strike_Review_Queue!$M:$M,""))</f>
        <v/>
      </c>
    </row>
    <row r="545" ht="15.75" customHeight="1">
      <c r="C545" s="39"/>
      <c r="D545" s="39" t="str">
        <f>IF(OR(B545="",A545=""),"",MAX(0,MIN(3,SUMIFS($C$2:$C$1000,$B$2:$B$1000,B545,$A$2:$A$1000,"&lt;="&amp;A545,$A$2:$A$1000,"&gt;="&amp;IF(Config!$B$1004="Y",A545-Config!$B$1005,DATE(1900,1,1)),$I$2:$I$1000,1)))))</f>
        <v>#ERROR!</v>
      </c>
      <c r="H545" s="39"/>
      <c r="I545" s="39">
        <f t="shared" si="1"/>
        <v>1</v>
      </c>
      <c r="J545" s="39" t="str">
        <f t="shared" si="2"/>
        <v/>
      </c>
      <c r="K545" s="39" t="str">
        <f t="array" ref="K545">IF(J545="","",IF(XLOOKUP(J545,Strike_Review_Queue!$I:$I,Strike_Review_Queue!$J:$J,"")="Approve","Approved",IF(XLOOKUP(J545,Strike_Review_Queue!$I:$I,Strike_Review_Queue!$J:$J,"")="Deny","Counts",H545)))</f>
        <v/>
      </c>
      <c r="L545" s="39" t="str">
        <f t="array" ref="L545">IF(J545="","",XLOOKUP(J545,Strike_Review_Queue!$I:$I,Strike_Review_Queue!$L:$L,""))</f>
        <v/>
      </c>
      <c r="M545" s="39" t="str">
        <f t="array" ref="M545">IF(J545="","",XLOOKUP(J545,Strike_Review_Queue!$I:$I,Strike_Review_Queue!$M:$M,""))</f>
        <v/>
      </c>
    </row>
    <row r="546" ht="15.75" customHeight="1">
      <c r="C546" s="39"/>
      <c r="D546" s="39" t="str">
        <f>IF(OR(B546="",A546=""),"",MAX(0,MIN(3,SUMIFS($C$2:$C$1000,$B$2:$B$1000,B546,$A$2:$A$1000,"&lt;="&amp;A546,$A$2:$A$1000,"&gt;="&amp;IF(Config!$B$1004="Y",A546-Config!$B$1005,DATE(1900,1,1)),$I$2:$I$1000,1)))))</f>
        <v>#ERROR!</v>
      </c>
      <c r="H546" s="39"/>
      <c r="I546" s="39">
        <f t="shared" si="1"/>
        <v>1</v>
      </c>
      <c r="J546" s="39" t="str">
        <f t="shared" si="2"/>
        <v/>
      </c>
      <c r="K546" s="39" t="str">
        <f t="array" ref="K546">IF(J546="","",IF(XLOOKUP(J546,Strike_Review_Queue!$I:$I,Strike_Review_Queue!$J:$J,"")="Approve","Approved",IF(XLOOKUP(J546,Strike_Review_Queue!$I:$I,Strike_Review_Queue!$J:$J,"")="Deny","Counts",H546)))</f>
        <v/>
      </c>
      <c r="L546" s="39" t="str">
        <f t="array" ref="L546">IF(J546="","",XLOOKUP(J546,Strike_Review_Queue!$I:$I,Strike_Review_Queue!$L:$L,""))</f>
        <v/>
      </c>
      <c r="M546" s="39" t="str">
        <f t="array" ref="M546">IF(J546="","",XLOOKUP(J546,Strike_Review_Queue!$I:$I,Strike_Review_Queue!$M:$M,""))</f>
        <v/>
      </c>
    </row>
    <row r="547" ht="15.75" customHeight="1">
      <c r="C547" s="39"/>
      <c r="D547" s="39" t="str">
        <f>IF(OR(B547="",A547=""),"",MAX(0,MIN(3,SUMIFS($C$2:$C$1000,$B$2:$B$1000,B547,$A$2:$A$1000,"&lt;="&amp;A547,$A$2:$A$1000,"&gt;="&amp;IF(Config!$B$1004="Y",A547-Config!$B$1005,DATE(1900,1,1)),$I$2:$I$1000,1)))))</f>
        <v>#ERROR!</v>
      </c>
      <c r="H547" s="39"/>
      <c r="I547" s="39">
        <f t="shared" si="1"/>
        <v>1</v>
      </c>
      <c r="J547" s="39" t="str">
        <f t="shared" si="2"/>
        <v/>
      </c>
      <c r="K547" s="39" t="str">
        <f t="array" ref="K547">IF(J547="","",IF(XLOOKUP(J547,Strike_Review_Queue!$I:$I,Strike_Review_Queue!$J:$J,"")="Approve","Approved",IF(XLOOKUP(J547,Strike_Review_Queue!$I:$I,Strike_Review_Queue!$J:$J,"")="Deny","Counts",H547)))</f>
        <v/>
      </c>
      <c r="L547" s="39" t="str">
        <f t="array" ref="L547">IF(J547="","",XLOOKUP(J547,Strike_Review_Queue!$I:$I,Strike_Review_Queue!$L:$L,""))</f>
        <v/>
      </c>
      <c r="M547" s="39" t="str">
        <f t="array" ref="M547">IF(J547="","",XLOOKUP(J547,Strike_Review_Queue!$I:$I,Strike_Review_Queue!$M:$M,""))</f>
        <v/>
      </c>
    </row>
    <row r="548" ht="15.75" customHeight="1">
      <c r="C548" s="39"/>
      <c r="D548" s="39" t="str">
        <f>IF(OR(B548="",A548=""),"",MAX(0,MIN(3,SUMIFS($C$2:$C$1000,$B$2:$B$1000,B548,$A$2:$A$1000,"&lt;="&amp;A548,$A$2:$A$1000,"&gt;="&amp;IF(Config!$B$1004="Y",A548-Config!$B$1005,DATE(1900,1,1)),$I$2:$I$1000,1)))))</f>
        <v>#ERROR!</v>
      </c>
      <c r="H548" s="39"/>
      <c r="I548" s="39">
        <f t="shared" si="1"/>
        <v>1</v>
      </c>
      <c r="J548" s="39" t="str">
        <f t="shared" si="2"/>
        <v/>
      </c>
      <c r="K548" s="39" t="str">
        <f t="array" ref="K548">IF(J548="","",IF(XLOOKUP(J548,Strike_Review_Queue!$I:$I,Strike_Review_Queue!$J:$J,"")="Approve","Approved",IF(XLOOKUP(J548,Strike_Review_Queue!$I:$I,Strike_Review_Queue!$J:$J,"")="Deny","Counts",H548)))</f>
        <v/>
      </c>
      <c r="L548" s="39" t="str">
        <f t="array" ref="L548">IF(J548="","",XLOOKUP(J548,Strike_Review_Queue!$I:$I,Strike_Review_Queue!$L:$L,""))</f>
        <v/>
      </c>
      <c r="M548" s="39" t="str">
        <f t="array" ref="M548">IF(J548="","",XLOOKUP(J548,Strike_Review_Queue!$I:$I,Strike_Review_Queue!$M:$M,""))</f>
        <v/>
      </c>
    </row>
    <row r="549" ht="15.75" customHeight="1">
      <c r="C549" s="39"/>
      <c r="D549" s="39" t="str">
        <f>IF(OR(B549="",A549=""),"",MAX(0,MIN(3,SUMIFS($C$2:$C$1000,$B$2:$B$1000,B549,$A$2:$A$1000,"&lt;="&amp;A549,$A$2:$A$1000,"&gt;="&amp;IF(Config!$B$1004="Y",A549-Config!$B$1005,DATE(1900,1,1)),$I$2:$I$1000,1)))))</f>
        <v>#ERROR!</v>
      </c>
      <c r="H549" s="39"/>
      <c r="I549" s="39">
        <f t="shared" si="1"/>
        <v>1</v>
      </c>
      <c r="J549" s="39" t="str">
        <f t="shared" si="2"/>
        <v/>
      </c>
      <c r="K549" s="39" t="str">
        <f t="array" ref="K549">IF(J549="","",IF(XLOOKUP(J549,Strike_Review_Queue!$I:$I,Strike_Review_Queue!$J:$J,"")="Approve","Approved",IF(XLOOKUP(J549,Strike_Review_Queue!$I:$I,Strike_Review_Queue!$J:$J,"")="Deny","Counts",H549)))</f>
        <v/>
      </c>
      <c r="L549" s="39" t="str">
        <f t="array" ref="L549">IF(J549="","",XLOOKUP(J549,Strike_Review_Queue!$I:$I,Strike_Review_Queue!$L:$L,""))</f>
        <v/>
      </c>
      <c r="M549" s="39" t="str">
        <f t="array" ref="M549">IF(J549="","",XLOOKUP(J549,Strike_Review_Queue!$I:$I,Strike_Review_Queue!$M:$M,""))</f>
        <v/>
      </c>
    </row>
    <row r="550" ht="15.75" customHeight="1">
      <c r="C550" s="39"/>
      <c r="D550" s="39" t="str">
        <f>IF(OR(B550="",A550=""),"",MAX(0,MIN(3,SUMIFS($C$2:$C$1000,$B$2:$B$1000,B550,$A$2:$A$1000,"&lt;="&amp;A550,$A$2:$A$1000,"&gt;="&amp;IF(Config!$B$1004="Y",A550-Config!$B$1005,DATE(1900,1,1)),$I$2:$I$1000,1)))))</f>
        <v>#ERROR!</v>
      </c>
      <c r="H550" s="39"/>
      <c r="I550" s="39">
        <f t="shared" si="1"/>
        <v>1</v>
      </c>
      <c r="J550" s="39" t="str">
        <f t="shared" si="2"/>
        <v/>
      </c>
      <c r="K550" s="39" t="str">
        <f t="array" ref="K550">IF(J550="","",IF(XLOOKUP(J550,Strike_Review_Queue!$I:$I,Strike_Review_Queue!$J:$J,"")="Approve","Approved",IF(XLOOKUP(J550,Strike_Review_Queue!$I:$I,Strike_Review_Queue!$J:$J,"")="Deny","Counts",H550)))</f>
        <v/>
      </c>
      <c r="L550" s="39" t="str">
        <f t="array" ref="L550">IF(J550="","",XLOOKUP(J550,Strike_Review_Queue!$I:$I,Strike_Review_Queue!$L:$L,""))</f>
        <v/>
      </c>
      <c r="M550" s="39" t="str">
        <f t="array" ref="M550">IF(J550="","",XLOOKUP(J550,Strike_Review_Queue!$I:$I,Strike_Review_Queue!$M:$M,""))</f>
        <v/>
      </c>
    </row>
    <row r="551" ht="15.75" customHeight="1">
      <c r="C551" s="39"/>
      <c r="D551" s="39" t="str">
        <f>IF(OR(B551="",A551=""),"",MAX(0,MIN(3,SUMIFS($C$2:$C$1000,$B$2:$B$1000,B551,$A$2:$A$1000,"&lt;="&amp;A551,$A$2:$A$1000,"&gt;="&amp;IF(Config!$B$1004="Y",A551-Config!$B$1005,DATE(1900,1,1)),$I$2:$I$1000,1)))))</f>
        <v>#ERROR!</v>
      </c>
      <c r="H551" s="39"/>
      <c r="I551" s="39">
        <f t="shared" si="1"/>
        <v>1</v>
      </c>
      <c r="J551" s="39" t="str">
        <f t="shared" si="2"/>
        <v/>
      </c>
      <c r="K551" s="39" t="str">
        <f t="array" ref="K551">IF(J551="","",IF(XLOOKUP(J551,Strike_Review_Queue!$I:$I,Strike_Review_Queue!$J:$J,"")="Approve","Approved",IF(XLOOKUP(J551,Strike_Review_Queue!$I:$I,Strike_Review_Queue!$J:$J,"")="Deny","Counts",H551)))</f>
        <v/>
      </c>
      <c r="L551" s="39" t="str">
        <f t="array" ref="L551">IF(J551="","",XLOOKUP(J551,Strike_Review_Queue!$I:$I,Strike_Review_Queue!$L:$L,""))</f>
        <v/>
      </c>
      <c r="M551" s="39" t="str">
        <f t="array" ref="M551">IF(J551="","",XLOOKUP(J551,Strike_Review_Queue!$I:$I,Strike_Review_Queue!$M:$M,""))</f>
        <v/>
      </c>
    </row>
    <row r="552" ht="15.75" customHeight="1">
      <c r="C552" s="39"/>
      <c r="D552" s="39" t="str">
        <f>IF(OR(B552="",A552=""),"",MAX(0,MIN(3,SUMIFS($C$2:$C$1000,$B$2:$B$1000,B552,$A$2:$A$1000,"&lt;="&amp;A552,$A$2:$A$1000,"&gt;="&amp;IF(Config!$B$1004="Y",A552-Config!$B$1005,DATE(1900,1,1)),$I$2:$I$1000,1)))))</f>
        <v>#ERROR!</v>
      </c>
      <c r="H552" s="39"/>
      <c r="I552" s="39">
        <f t="shared" si="1"/>
        <v>1</v>
      </c>
      <c r="J552" s="39" t="str">
        <f t="shared" si="2"/>
        <v/>
      </c>
      <c r="K552" s="39" t="str">
        <f t="array" ref="K552">IF(J552="","",IF(XLOOKUP(J552,Strike_Review_Queue!$I:$I,Strike_Review_Queue!$J:$J,"")="Approve","Approved",IF(XLOOKUP(J552,Strike_Review_Queue!$I:$I,Strike_Review_Queue!$J:$J,"")="Deny","Counts",H552)))</f>
        <v/>
      </c>
      <c r="L552" s="39" t="str">
        <f t="array" ref="L552">IF(J552="","",XLOOKUP(J552,Strike_Review_Queue!$I:$I,Strike_Review_Queue!$L:$L,""))</f>
        <v/>
      </c>
      <c r="M552" s="39" t="str">
        <f t="array" ref="M552">IF(J552="","",XLOOKUP(J552,Strike_Review_Queue!$I:$I,Strike_Review_Queue!$M:$M,""))</f>
        <v/>
      </c>
    </row>
    <row r="553" ht="15.75" customHeight="1">
      <c r="C553" s="39"/>
      <c r="D553" s="39" t="str">
        <f>IF(OR(B553="",A553=""),"",MAX(0,MIN(3,SUMIFS($C$2:$C$1000,$B$2:$B$1000,B553,$A$2:$A$1000,"&lt;="&amp;A553,$A$2:$A$1000,"&gt;="&amp;IF(Config!$B$1004="Y",A553-Config!$B$1005,DATE(1900,1,1)),$I$2:$I$1000,1)))))</f>
        <v>#ERROR!</v>
      </c>
      <c r="H553" s="39"/>
      <c r="I553" s="39">
        <f t="shared" si="1"/>
        <v>1</v>
      </c>
      <c r="J553" s="39" t="str">
        <f t="shared" si="2"/>
        <v/>
      </c>
      <c r="K553" s="39" t="str">
        <f t="array" ref="K553">IF(J553="","",IF(XLOOKUP(J553,Strike_Review_Queue!$I:$I,Strike_Review_Queue!$J:$J,"")="Approve","Approved",IF(XLOOKUP(J553,Strike_Review_Queue!$I:$I,Strike_Review_Queue!$J:$J,"")="Deny","Counts",H553)))</f>
        <v/>
      </c>
      <c r="L553" s="39" t="str">
        <f t="array" ref="L553">IF(J553="","",XLOOKUP(J553,Strike_Review_Queue!$I:$I,Strike_Review_Queue!$L:$L,""))</f>
        <v/>
      </c>
      <c r="M553" s="39" t="str">
        <f t="array" ref="M553">IF(J553="","",XLOOKUP(J553,Strike_Review_Queue!$I:$I,Strike_Review_Queue!$M:$M,""))</f>
        <v/>
      </c>
    </row>
    <row r="554" ht="15.75" customHeight="1">
      <c r="C554" s="39"/>
      <c r="D554" s="39" t="str">
        <f>IF(OR(B554="",A554=""),"",MAX(0,MIN(3,SUMIFS($C$2:$C$1000,$B$2:$B$1000,B554,$A$2:$A$1000,"&lt;="&amp;A554,$A$2:$A$1000,"&gt;="&amp;IF(Config!$B$1004="Y",A554-Config!$B$1005,DATE(1900,1,1)),$I$2:$I$1000,1)))))</f>
        <v>#ERROR!</v>
      </c>
      <c r="H554" s="39"/>
      <c r="I554" s="39">
        <f t="shared" si="1"/>
        <v>1</v>
      </c>
      <c r="J554" s="39" t="str">
        <f t="shared" si="2"/>
        <v/>
      </c>
      <c r="K554" s="39" t="str">
        <f t="array" ref="K554">IF(J554="","",IF(XLOOKUP(J554,Strike_Review_Queue!$I:$I,Strike_Review_Queue!$J:$J,"")="Approve","Approved",IF(XLOOKUP(J554,Strike_Review_Queue!$I:$I,Strike_Review_Queue!$J:$J,"")="Deny","Counts",H554)))</f>
        <v/>
      </c>
      <c r="L554" s="39" t="str">
        <f t="array" ref="L554">IF(J554="","",XLOOKUP(J554,Strike_Review_Queue!$I:$I,Strike_Review_Queue!$L:$L,""))</f>
        <v/>
      </c>
      <c r="M554" s="39" t="str">
        <f t="array" ref="M554">IF(J554="","",XLOOKUP(J554,Strike_Review_Queue!$I:$I,Strike_Review_Queue!$M:$M,""))</f>
        <v/>
      </c>
    </row>
    <row r="555" ht="15.75" customHeight="1">
      <c r="C555" s="39"/>
      <c r="D555" s="39" t="str">
        <f>IF(OR(B555="",A555=""),"",MAX(0,MIN(3,SUMIFS($C$2:$C$1000,$B$2:$B$1000,B555,$A$2:$A$1000,"&lt;="&amp;A555,$A$2:$A$1000,"&gt;="&amp;IF(Config!$B$1004="Y",A555-Config!$B$1005,DATE(1900,1,1)),$I$2:$I$1000,1)))))</f>
        <v>#ERROR!</v>
      </c>
      <c r="H555" s="39"/>
      <c r="I555" s="39">
        <f t="shared" si="1"/>
        <v>1</v>
      </c>
      <c r="J555" s="39" t="str">
        <f t="shared" si="2"/>
        <v/>
      </c>
      <c r="K555" s="39" t="str">
        <f t="array" ref="K555">IF(J555="","",IF(XLOOKUP(J555,Strike_Review_Queue!$I:$I,Strike_Review_Queue!$J:$J,"")="Approve","Approved",IF(XLOOKUP(J555,Strike_Review_Queue!$I:$I,Strike_Review_Queue!$J:$J,"")="Deny","Counts",H555)))</f>
        <v/>
      </c>
      <c r="L555" s="39" t="str">
        <f t="array" ref="L555">IF(J555="","",XLOOKUP(J555,Strike_Review_Queue!$I:$I,Strike_Review_Queue!$L:$L,""))</f>
        <v/>
      </c>
      <c r="M555" s="39" t="str">
        <f t="array" ref="M555">IF(J555="","",XLOOKUP(J555,Strike_Review_Queue!$I:$I,Strike_Review_Queue!$M:$M,""))</f>
        <v/>
      </c>
    </row>
    <row r="556" ht="15.75" customHeight="1">
      <c r="C556" s="39"/>
      <c r="D556" s="39" t="str">
        <f>IF(OR(B556="",A556=""),"",MAX(0,MIN(3,SUMIFS($C$2:$C$1000,$B$2:$B$1000,B556,$A$2:$A$1000,"&lt;="&amp;A556,$A$2:$A$1000,"&gt;="&amp;IF(Config!$B$1004="Y",A556-Config!$B$1005,DATE(1900,1,1)),$I$2:$I$1000,1)))))</f>
        <v>#ERROR!</v>
      </c>
      <c r="H556" s="39"/>
      <c r="I556" s="39">
        <f t="shared" si="1"/>
        <v>1</v>
      </c>
      <c r="J556" s="39" t="str">
        <f t="shared" si="2"/>
        <v/>
      </c>
      <c r="K556" s="39" t="str">
        <f t="array" ref="K556">IF(J556="","",IF(XLOOKUP(J556,Strike_Review_Queue!$I:$I,Strike_Review_Queue!$J:$J,"")="Approve","Approved",IF(XLOOKUP(J556,Strike_Review_Queue!$I:$I,Strike_Review_Queue!$J:$J,"")="Deny","Counts",H556)))</f>
        <v/>
      </c>
      <c r="L556" s="39" t="str">
        <f t="array" ref="L556">IF(J556="","",XLOOKUP(J556,Strike_Review_Queue!$I:$I,Strike_Review_Queue!$L:$L,""))</f>
        <v/>
      </c>
      <c r="M556" s="39" t="str">
        <f t="array" ref="M556">IF(J556="","",XLOOKUP(J556,Strike_Review_Queue!$I:$I,Strike_Review_Queue!$M:$M,""))</f>
        <v/>
      </c>
    </row>
    <row r="557" ht="15.75" customHeight="1">
      <c r="C557" s="39"/>
      <c r="D557" s="39" t="str">
        <f>IF(OR(B557="",A557=""),"",MAX(0,MIN(3,SUMIFS($C$2:$C$1000,$B$2:$B$1000,B557,$A$2:$A$1000,"&lt;="&amp;A557,$A$2:$A$1000,"&gt;="&amp;IF(Config!$B$1004="Y",A557-Config!$B$1005,DATE(1900,1,1)),$I$2:$I$1000,1)))))</f>
        <v>#ERROR!</v>
      </c>
      <c r="H557" s="39"/>
      <c r="I557" s="39">
        <f t="shared" si="1"/>
        <v>1</v>
      </c>
      <c r="J557" s="39" t="str">
        <f t="shared" si="2"/>
        <v/>
      </c>
      <c r="K557" s="39" t="str">
        <f t="array" ref="K557">IF(J557="","",IF(XLOOKUP(J557,Strike_Review_Queue!$I:$I,Strike_Review_Queue!$J:$J,"")="Approve","Approved",IF(XLOOKUP(J557,Strike_Review_Queue!$I:$I,Strike_Review_Queue!$J:$J,"")="Deny","Counts",H557)))</f>
        <v/>
      </c>
      <c r="L557" s="39" t="str">
        <f t="array" ref="L557">IF(J557="","",XLOOKUP(J557,Strike_Review_Queue!$I:$I,Strike_Review_Queue!$L:$L,""))</f>
        <v/>
      </c>
      <c r="M557" s="39" t="str">
        <f t="array" ref="M557">IF(J557="","",XLOOKUP(J557,Strike_Review_Queue!$I:$I,Strike_Review_Queue!$M:$M,""))</f>
        <v/>
      </c>
    </row>
    <row r="558" ht="15.75" customHeight="1">
      <c r="C558" s="39"/>
      <c r="D558" s="39" t="str">
        <f>IF(OR(B558="",A558=""),"",MAX(0,MIN(3,SUMIFS($C$2:$C$1000,$B$2:$B$1000,B558,$A$2:$A$1000,"&lt;="&amp;A558,$A$2:$A$1000,"&gt;="&amp;IF(Config!$B$1004="Y",A558-Config!$B$1005,DATE(1900,1,1)),$I$2:$I$1000,1)))))</f>
        <v>#ERROR!</v>
      </c>
      <c r="H558" s="39"/>
      <c r="I558" s="39">
        <f t="shared" si="1"/>
        <v>1</v>
      </c>
      <c r="J558" s="39" t="str">
        <f t="shared" si="2"/>
        <v/>
      </c>
      <c r="K558" s="39" t="str">
        <f t="array" ref="K558">IF(J558="","",IF(XLOOKUP(J558,Strike_Review_Queue!$I:$I,Strike_Review_Queue!$J:$J,"")="Approve","Approved",IF(XLOOKUP(J558,Strike_Review_Queue!$I:$I,Strike_Review_Queue!$J:$J,"")="Deny","Counts",H558)))</f>
        <v/>
      </c>
      <c r="L558" s="39" t="str">
        <f t="array" ref="L558">IF(J558="","",XLOOKUP(J558,Strike_Review_Queue!$I:$I,Strike_Review_Queue!$L:$L,""))</f>
        <v/>
      </c>
      <c r="M558" s="39" t="str">
        <f t="array" ref="M558">IF(J558="","",XLOOKUP(J558,Strike_Review_Queue!$I:$I,Strike_Review_Queue!$M:$M,""))</f>
        <v/>
      </c>
    </row>
    <row r="559" ht="15.75" customHeight="1">
      <c r="C559" s="39"/>
      <c r="D559" s="39" t="str">
        <f>IF(OR(B559="",A559=""),"",MAX(0,MIN(3,SUMIFS($C$2:$C$1000,$B$2:$B$1000,B559,$A$2:$A$1000,"&lt;="&amp;A559,$A$2:$A$1000,"&gt;="&amp;IF(Config!$B$1004="Y",A559-Config!$B$1005,DATE(1900,1,1)),$I$2:$I$1000,1)))))</f>
        <v>#ERROR!</v>
      </c>
      <c r="H559" s="39"/>
      <c r="I559" s="39">
        <f t="shared" si="1"/>
        <v>1</v>
      </c>
      <c r="J559" s="39" t="str">
        <f t="shared" si="2"/>
        <v/>
      </c>
      <c r="K559" s="39" t="str">
        <f t="array" ref="K559">IF(J559="","",IF(XLOOKUP(J559,Strike_Review_Queue!$I:$I,Strike_Review_Queue!$J:$J,"")="Approve","Approved",IF(XLOOKUP(J559,Strike_Review_Queue!$I:$I,Strike_Review_Queue!$J:$J,"")="Deny","Counts",H559)))</f>
        <v/>
      </c>
      <c r="L559" s="39" t="str">
        <f t="array" ref="L559">IF(J559="","",XLOOKUP(J559,Strike_Review_Queue!$I:$I,Strike_Review_Queue!$L:$L,""))</f>
        <v/>
      </c>
      <c r="M559" s="39" t="str">
        <f t="array" ref="M559">IF(J559="","",XLOOKUP(J559,Strike_Review_Queue!$I:$I,Strike_Review_Queue!$M:$M,""))</f>
        <v/>
      </c>
    </row>
    <row r="560" ht="15.75" customHeight="1">
      <c r="C560" s="39"/>
      <c r="D560" s="39" t="str">
        <f>IF(OR(B560="",A560=""),"",MAX(0,MIN(3,SUMIFS($C$2:$C$1000,$B$2:$B$1000,B560,$A$2:$A$1000,"&lt;="&amp;A560,$A$2:$A$1000,"&gt;="&amp;IF(Config!$B$1004="Y",A560-Config!$B$1005,DATE(1900,1,1)),$I$2:$I$1000,1)))))</f>
        <v>#ERROR!</v>
      </c>
      <c r="H560" s="39"/>
      <c r="I560" s="39">
        <f t="shared" si="1"/>
        <v>1</v>
      </c>
      <c r="J560" s="39" t="str">
        <f t="shared" si="2"/>
        <v/>
      </c>
      <c r="K560" s="39" t="str">
        <f t="array" ref="K560">IF(J560="","",IF(XLOOKUP(J560,Strike_Review_Queue!$I:$I,Strike_Review_Queue!$J:$J,"")="Approve","Approved",IF(XLOOKUP(J560,Strike_Review_Queue!$I:$I,Strike_Review_Queue!$J:$J,"")="Deny","Counts",H560)))</f>
        <v/>
      </c>
      <c r="L560" s="39" t="str">
        <f t="array" ref="L560">IF(J560="","",XLOOKUP(J560,Strike_Review_Queue!$I:$I,Strike_Review_Queue!$L:$L,""))</f>
        <v/>
      </c>
      <c r="M560" s="39" t="str">
        <f t="array" ref="M560">IF(J560="","",XLOOKUP(J560,Strike_Review_Queue!$I:$I,Strike_Review_Queue!$M:$M,""))</f>
        <v/>
      </c>
    </row>
    <row r="561" ht="15.75" customHeight="1">
      <c r="C561" s="39"/>
      <c r="D561" s="39" t="str">
        <f>IF(OR(B561="",A561=""),"",MAX(0,MIN(3,SUMIFS($C$2:$C$1000,$B$2:$B$1000,B561,$A$2:$A$1000,"&lt;="&amp;A561,$A$2:$A$1000,"&gt;="&amp;IF(Config!$B$1004="Y",A561-Config!$B$1005,DATE(1900,1,1)),$I$2:$I$1000,1)))))</f>
        <v>#ERROR!</v>
      </c>
      <c r="H561" s="39"/>
      <c r="I561" s="39">
        <f t="shared" si="1"/>
        <v>1</v>
      </c>
      <c r="J561" s="39" t="str">
        <f t="shared" si="2"/>
        <v/>
      </c>
      <c r="K561" s="39" t="str">
        <f t="array" ref="K561">IF(J561="","",IF(XLOOKUP(J561,Strike_Review_Queue!$I:$I,Strike_Review_Queue!$J:$J,"")="Approve","Approved",IF(XLOOKUP(J561,Strike_Review_Queue!$I:$I,Strike_Review_Queue!$J:$J,"")="Deny","Counts",H561)))</f>
        <v/>
      </c>
      <c r="L561" s="39" t="str">
        <f t="array" ref="L561">IF(J561="","",XLOOKUP(J561,Strike_Review_Queue!$I:$I,Strike_Review_Queue!$L:$L,""))</f>
        <v/>
      </c>
      <c r="M561" s="39" t="str">
        <f t="array" ref="M561">IF(J561="","",XLOOKUP(J561,Strike_Review_Queue!$I:$I,Strike_Review_Queue!$M:$M,""))</f>
        <v/>
      </c>
    </row>
    <row r="562" ht="15.75" customHeight="1">
      <c r="C562" s="39"/>
      <c r="D562" s="39" t="str">
        <f>IF(OR(B562="",A562=""),"",MAX(0,MIN(3,SUMIFS($C$2:$C$1000,$B$2:$B$1000,B562,$A$2:$A$1000,"&lt;="&amp;A562,$A$2:$A$1000,"&gt;="&amp;IF(Config!$B$1004="Y",A562-Config!$B$1005,DATE(1900,1,1)),$I$2:$I$1000,1)))))</f>
        <v>#ERROR!</v>
      </c>
      <c r="H562" s="39"/>
      <c r="I562" s="39">
        <f t="shared" si="1"/>
        <v>1</v>
      </c>
      <c r="J562" s="39" t="str">
        <f t="shared" si="2"/>
        <v/>
      </c>
      <c r="K562" s="39" t="str">
        <f t="array" ref="K562">IF(J562="","",IF(XLOOKUP(J562,Strike_Review_Queue!$I:$I,Strike_Review_Queue!$J:$J,"")="Approve","Approved",IF(XLOOKUP(J562,Strike_Review_Queue!$I:$I,Strike_Review_Queue!$J:$J,"")="Deny","Counts",H562)))</f>
        <v/>
      </c>
      <c r="L562" s="39" t="str">
        <f t="array" ref="L562">IF(J562="","",XLOOKUP(J562,Strike_Review_Queue!$I:$I,Strike_Review_Queue!$L:$L,""))</f>
        <v/>
      </c>
      <c r="M562" s="39" t="str">
        <f t="array" ref="M562">IF(J562="","",XLOOKUP(J562,Strike_Review_Queue!$I:$I,Strike_Review_Queue!$M:$M,""))</f>
        <v/>
      </c>
    </row>
    <row r="563" ht="15.75" customHeight="1">
      <c r="C563" s="39"/>
      <c r="D563" s="39" t="str">
        <f>IF(OR(B563="",A563=""),"",MAX(0,MIN(3,SUMIFS($C$2:$C$1000,$B$2:$B$1000,B563,$A$2:$A$1000,"&lt;="&amp;A563,$A$2:$A$1000,"&gt;="&amp;IF(Config!$B$1004="Y",A563-Config!$B$1005,DATE(1900,1,1)),$I$2:$I$1000,1)))))</f>
        <v>#ERROR!</v>
      </c>
      <c r="H563" s="39"/>
      <c r="I563" s="39">
        <f t="shared" si="1"/>
        <v>1</v>
      </c>
      <c r="J563" s="39" t="str">
        <f t="shared" si="2"/>
        <v/>
      </c>
      <c r="K563" s="39" t="str">
        <f t="array" ref="K563">IF(J563="","",IF(XLOOKUP(J563,Strike_Review_Queue!$I:$I,Strike_Review_Queue!$J:$J,"")="Approve","Approved",IF(XLOOKUP(J563,Strike_Review_Queue!$I:$I,Strike_Review_Queue!$J:$J,"")="Deny","Counts",H563)))</f>
        <v/>
      </c>
      <c r="L563" s="39" t="str">
        <f t="array" ref="L563">IF(J563="","",XLOOKUP(J563,Strike_Review_Queue!$I:$I,Strike_Review_Queue!$L:$L,""))</f>
        <v/>
      </c>
      <c r="M563" s="39" t="str">
        <f t="array" ref="M563">IF(J563="","",XLOOKUP(J563,Strike_Review_Queue!$I:$I,Strike_Review_Queue!$M:$M,""))</f>
        <v/>
      </c>
    </row>
    <row r="564" ht="15.75" customHeight="1">
      <c r="C564" s="39"/>
      <c r="D564" s="39" t="str">
        <f>IF(OR(B564="",A564=""),"",MAX(0,MIN(3,SUMIFS($C$2:$C$1000,$B$2:$B$1000,B564,$A$2:$A$1000,"&lt;="&amp;A564,$A$2:$A$1000,"&gt;="&amp;IF(Config!$B$1004="Y",A564-Config!$B$1005,DATE(1900,1,1)),$I$2:$I$1000,1)))))</f>
        <v>#ERROR!</v>
      </c>
      <c r="H564" s="39"/>
      <c r="I564" s="39">
        <f t="shared" si="1"/>
        <v>1</v>
      </c>
      <c r="J564" s="39" t="str">
        <f t="shared" si="2"/>
        <v/>
      </c>
      <c r="K564" s="39" t="str">
        <f t="array" ref="K564">IF(J564="","",IF(XLOOKUP(J564,Strike_Review_Queue!$I:$I,Strike_Review_Queue!$J:$J,"")="Approve","Approved",IF(XLOOKUP(J564,Strike_Review_Queue!$I:$I,Strike_Review_Queue!$J:$J,"")="Deny","Counts",H564)))</f>
        <v/>
      </c>
      <c r="L564" s="39" t="str">
        <f t="array" ref="L564">IF(J564="","",XLOOKUP(J564,Strike_Review_Queue!$I:$I,Strike_Review_Queue!$L:$L,""))</f>
        <v/>
      </c>
      <c r="M564" s="39" t="str">
        <f t="array" ref="M564">IF(J564="","",XLOOKUP(J564,Strike_Review_Queue!$I:$I,Strike_Review_Queue!$M:$M,""))</f>
        <v/>
      </c>
    </row>
    <row r="565" ht="15.75" customHeight="1">
      <c r="C565" s="39"/>
      <c r="D565" s="39" t="str">
        <f>IF(OR(B565="",A565=""),"",MAX(0,MIN(3,SUMIFS($C$2:$C$1000,$B$2:$B$1000,B565,$A$2:$A$1000,"&lt;="&amp;A565,$A$2:$A$1000,"&gt;="&amp;IF(Config!$B$1004="Y",A565-Config!$B$1005,DATE(1900,1,1)),$I$2:$I$1000,1)))))</f>
        <v>#ERROR!</v>
      </c>
      <c r="H565" s="39"/>
      <c r="I565" s="39">
        <f t="shared" si="1"/>
        <v>1</v>
      </c>
      <c r="J565" s="39" t="str">
        <f t="shared" si="2"/>
        <v/>
      </c>
      <c r="K565" s="39" t="str">
        <f t="array" ref="K565">IF(J565="","",IF(XLOOKUP(J565,Strike_Review_Queue!$I:$I,Strike_Review_Queue!$J:$J,"")="Approve","Approved",IF(XLOOKUP(J565,Strike_Review_Queue!$I:$I,Strike_Review_Queue!$J:$J,"")="Deny","Counts",H565)))</f>
        <v/>
      </c>
      <c r="L565" s="39" t="str">
        <f t="array" ref="L565">IF(J565="","",XLOOKUP(J565,Strike_Review_Queue!$I:$I,Strike_Review_Queue!$L:$L,""))</f>
        <v/>
      </c>
      <c r="M565" s="39" t="str">
        <f t="array" ref="M565">IF(J565="","",XLOOKUP(J565,Strike_Review_Queue!$I:$I,Strike_Review_Queue!$M:$M,""))</f>
        <v/>
      </c>
    </row>
    <row r="566" ht="15.75" customHeight="1">
      <c r="C566" s="39"/>
      <c r="D566" s="39" t="str">
        <f>IF(OR(B566="",A566=""),"",MAX(0,MIN(3,SUMIFS($C$2:$C$1000,$B$2:$B$1000,B566,$A$2:$A$1000,"&lt;="&amp;A566,$A$2:$A$1000,"&gt;="&amp;IF(Config!$B$1004="Y",A566-Config!$B$1005,DATE(1900,1,1)),$I$2:$I$1000,1)))))</f>
        <v>#ERROR!</v>
      </c>
      <c r="H566" s="39"/>
      <c r="I566" s="39">
        <f t="shared" si="1"/>
        <v>1</v>
      </c>
      <c r="J566" s="39" t="str">
        <f t="shared" si="2"/>
        <v/>
      </c>
      <c r="K566" s="39" t="str">
        <f t="array" ref="K566">IF(J566="","",IF(XLOOKUP(J566,Strike_Review_Queue!$I:$I,Strike_Review_Queue!$J:$J,"")="Approve","Approved",IF(XLOOKUP(J566,Strike_Review_Queue!$I:$I,Strike_Review_Queue!$J:$J,"")="Deny","Counts",H566)))</f>
        <v/>
      </c>
      <c r="L566" s="39" t="str">
        <f t="array" ref="L566">IF(J566="","",XLOOKUP(J566,Strike_Review_Queue!$I:$I,Strike_Review_Queue!$L:$L,""))</f>
        <v/>
      </c>
      <c r="M566" s="39" t="str">
        <f t="array" ref="M566">IF(J566="","",XLOOKUP(J566,Strike_Review_Queue!$I:$I,Strike_Review_Queue!$M:$M,""))</f>
        <v/>
      </c>
    </row>
    <row r="567" ht="15.75" customHeight="1">
      <c r="C567" s="39"/>
      <c r="D567" s="39" t="str">
        <f>IF(OR(B567="",A567=""),"",MAX(0,MIN(3,SUMIFS($C$2:$C$1000,$B$2:$B$1000,B567,$A$2:$A$1000,"&lt;="&amp;A567,$A$2:$A$1000,"&gt;="&amp;IF(Config!$B$1004="Y",A567-Config!$B$1005,DATE(1900,1,1)),$I$2:$I$1000,1)))))</f>
        <v>#ERROR!</v>
      </c>
      <c r="H567" s="39"/>
      <c r="I567" s="39">
        <f t="shared" si="1"/>
        <v>1</v>
      </c>
      <c r="J567" s="39" t="str">
        <f t="shared" si="2"/>
        <v/>
      </c>
      <c r="K567" s="39" t="str">
        <f t="array" ref="K567">IF(J567="","",IF(XLOOKUP(J567,Strike_Review_Queue!$I:$I,Strike_Review_Queue!$J:$J,"")="Approve","Approved",IF(XLOOKUP(J567,Strike_Review_Queue!$I:$I,Strike_Review_Queue!$J:$J,"")="Deny","Counts",H567)))</f>
        <v/>
      </c>
      <c r="L567" s="39" t="str">
        <f t="array" ref="L567">IF(J567="","",XLOOKUP(J567,Strike_Review_Queue!$I:$I,Strike_Review_Queue!$L:$L,""))</f>
        <v/>
      </c>
      <c r="M567" s="39" t="str">
        <f t="array" ref="M567">IF(J567="","",XLOOKUP(J567,Strike_Review_Queue!$I:$I,Strike_Review_Queue!$M:$M,""))</f>
        <v/>
      </c>
    </row>
    <row r="568" ht="15.75" customHeight="1">
      <c r="C568" s="39"/>
      <c r="D568" s="39" t="str">
        <f>IF(OR(B568="",A568=""),"",MAX(0,MIN(3,SUMIFS($C$2:$C$1000,$B$2:$B$1000,B568,$A$2:$A$1000,"&lt;="&amp;A568,$A$2:$A$1000,"&gt;="&amp;IF(Config!$B$1004="Y",A568-Config!$B$1005,DATE(1900,1,1)),$I$2:$I$1000,1)))))</f>
        <v>#ERROR!</v>
      </c>
      <c r="H568" s="39"/>
      <c r="I568" s="39">
        <f t="shared" si="1"/>
        <v>1</v>
      </c>
      <c r="J568" s="39" t="str">
        <f t="shared" si="2"/>
        <v/>
      </c>
      <c r="K568" s="39" t="str">
        <f t="array" ref="K568">IF(J568="","",IF(XLOOKUP(J568,Strike_Review_Queue!$I:$I,Strike_Review_Queue!$J:$J,"")="Approve","Approved",IF(XLOOKUP(J568,Strike_Review_Queue!$I:$I,Strike_Review_Queue!$J:$J,"")="Deny","Counts",H568)))</f>
        <v/>
      </c>
      <c r="L568" s="39" t="str">
        <f t="array" ref="L568">IF(J568="","",XLOOKUP(J568,Strike_Review_Queue!$I:$I,Strike_Review_Queue!$L:$L,""))</f>
        <v/>
      </c>
      <c r="M568" s="39" t="str">
        <f t="array" ref="M568">IF(J568="","",XLOOKUP(J568,Strike_Review_Queue!$I:$I,Strike_Review_Queue!$M:$M,""))</f>
        <v/>
      </c>
    </row>
    <row r="569" ht="15.75" customHeight="1">
      <c r="C569" s="39"/>
      <c r="D569" s="39" t="str">
        <f>IF(OR(B569="",A569=""),"",MAX(0,MIN(3,SUMIFS($C$2:$C$1000,$B$2:$B$1000,B569,$A$2:$A$1000,"&lt;="&amp;A569,$A$2:$A$1000,"&gt;="&amp;IF(Config!$B$1004="Y",A569-Config!$B$1005,DATE(1900,1,1)),$I$2:$I$1000,1)))))</f>
        <v>#ERROR!</v>
      </c>
      <c r="H569" s="39"/>
      <c r="I569" s="39">
        <f t="shared" si="1"/>
        <v>1</v>
      </c>
      <c r="J569" s="39" t="str">
        <f t="shared" si="2"/>
        <v/>
      </c>
      <c r="K569" s="39" t="str">
        <f t="array" ref="K569">IF(J569="","",IF(XLOOKUP(J569,Strike_Review_Queue!$I:$I,Strike_Review_Queue!$J:$J,"")="Approve","Approved",IF(XLOOKUP(J569,Strike_Review_Queue!$I:$I,Strike_Review_Queue!$J:$J,"")="Deny","Counts",H569)))</f>
        <v/>
      </c>
      <c r="L569" s="39" t="str">
        <f t="array" ref="L569">IF(J569="","",XLOOKUP(J569,Strike_Review_Queue!$I:$I,Strike_Review_Queue!$L:$L,""))</f>
        <v/>
      </c>
      <c r="M569" s="39" t="str">
        <f t="array" ref="M569">IF(J569="","",XLOOKUP(J569,Strike_Review_Queue!$I:$I,Strike_Review_Queue!$M:$M,""))</f>
        <v/>
      </c>
    </row>
    <row r="570" ht="15.75" customHeight="1">
      <c r="C570" s="39"/>
      <c r="D570" s="39" t="str">
        <f>IF(OR(B570="",A570=""),"",MAX(0,MIN(3,SUMIFS($C$2:$C$1000,$B$2:$B$1000,B570,$A$2:$A$1000,"&lt;="&amp;A570,$A$2:$A$1000,"&gt;="&amp;IF(Config!$B$1004="Y",A570-Config!$B$1005,DATE(1900,1,1)),$I$2:$I$1000,1)))))</f>
        <v>#ERROR!</v>
      </c>
      <c r="H570" s="39"/>
      <c r="I570" s="39">
        <f t="shared" si="1"/>
        <v>1</v>
      </c>
      <c r="J570" s="39" t="str">
        <f t="shared" si="2"/>
        <v/>
      </c>
      <c r="K570" s="39" t="str">
        <f t="array" ref="K570">IF(J570="","",IF(XLOOKUP(J570,Strike_Review_Queue!$I:$I,Strike_Review_Queue!$J:$J,"")="Approve","Approved",IF(XLOOKUP(J570,Strike_Review_Queue!$I:$I,Strike_Review_Queue!$J:$J,"")="Deny","Counts",H570)))</f>
        <v/>
      </c>
      <c r="L570" s="39" t="str">
        <f t="array" ref="L570">IF(J570="","",XLOOKUP(J570,Strike_Review_Queue!$I:$I,Strike_Review_Queue!$L:$L,""))</f>
        <v/>
      </c>
      <c r="M570" s="39" t="str">
        <f t="array" ref="M570">IF(J570="","",XLOOKUP(J570,Strike_Review_Queue!$I:$I,Strike_Review_Queue!$M:$M,""))</f>
        <v/>
      </c>
    </row>
    <row r="571" ht="15.75" customHeight="1">
      <c r="C571" s="39"/>
      <c r="D571" s="39" t="str">
        <f>IF(OR(B571="",A571=""),"",MAX(0,MIN(3,SUMIFS($C$2:$C$1000,$B$2:$B$1000,B571,$A$2:$A$1000,"&lt;="&amp;A571,$A$2:$A$1000,"&gt;="&amp;IF(Config!$B$1004="Y",A571-Config!$B$1005,DATE(1900,1,1)),$I$2:$I$1000,1)))))</f>
        <v>#ERROR!</v>
      </c>
      <c r="H571" s="39"/>
      <c r="I571" s="39">
        <f t="shared" si="1"/>
        <v>1</v>
      </c>
      <c r="J571" s="39" t="str">
        <f t="shared" si="2"/>
        <v/>
      </c>
      <c r="K571" s="39" t="str">
        <f t="array" ref="K571">IF(J571="","",IF(XLOOKUP(J571,Strike_Review_Queue!$I:$I,Strike_Review_Queue!$J:$J,"")="Approve","Approved",IF(XLOOKUP(J571,Strike_Review_Queue!$I:$I,Strike_Review_Queue!$J:$J,"")="Deny","Counts",H571)))</f>
        <v/>
      </c>
      <c r="L571" s="39" t="str">
        <f t="array" ref="L571">IF(J571="","",XLOOKUP(J571,Strike_Review_Queue!$I:$I,Strike_Review_Queue!$L:$L,""))</f>
        <v/>
      </c>
      <c r="M571" s="39" t="str">
        <f t="array" ref="M571">IF(J571="","",XLOOKUP(J571,Strike_Review_Queue!$I:$I,Strike_Review_Queue!$M:$M,""))</f>
        <v/>
      </c>
    </row>
    <row r="572" ht="15.75" customHeight="1">
      <c r="C572" s="39"/>
      <c r="D572" s="39" t="str">
        <f>IF(OR(B572="",A572=""),"",MAX(0,MIN(3,SUMIFS($C$2:$C$1000,$B$2:$B$1000,B572,$A$2:$A$1000,"&lt;="&amp;A572,$A$2:$A$1000,"&gt;="&amp;IF(Config!$B$1004="Y",A572-Config!$B$1005,DATE(1900,1,1)),$I$2:$I$1000,1)))))</f>
        <v>#ERROR!</v>
      </c>
      <c r="H572" s="39"/>
      <c r="I572" s="39">
        <f t="shared" si="1"/>
        <v>1</v>
      </c>
      <c r="J572" s="39" t="str">
        <f t="shared" si="2"/>
        <v/>
      </c>
      <c r="K572" s="39" t="str">
        <f t="array" ref="K572">IF(J572="","",IF(XLOOKUP(J572,Strike_Review_Queue!$I:$I,Strike_Review_Queue!$J:$J,"")="Approve","Approved",IF(XLOOKUP(J572,Strike_Review_Queue!$I:$I,Strike_Review_Queue!$J:$J,"")="Deny","Counts",H572)))</f>
        <v/>
      </c>
      <c r="L572" s="39" t="str">
        <f t="array" ref="L572">IF(J572="","",XLOOKUP(J572,Strike_Review_Queue!$I:$I,Strike_Review_Queue!$L:$L,""))</f>
        <v/>
      </c>
      <c r="M572" s="39" t="str">
        <f t="array" ref="M572">IF(J572="","",XLOOKUP(J572,Strike_Review_Queue!$I:$I,Strike_Review_Queue!$M:$M,""))</f>
        <v/>
      </c>
    </row>
    <row r="573" ht="15.75" customHeight="1">
      <c r="C573" s="39"/>
      <c r="D573" s="39" t="str">
        <f>IF(OR(B573="",A573=""),"",MAX(0,MIN(3,SUMIFS($C$2:$C$1000,$B$2:$B$1000,B573,$A$2:$A$1000,"&lt;="&amp;A573,$A$2:$A$1000,"&gt;="&amp;IF(Config!$B$1004="Y",A573-Config!$B$1005,DATE(1900,1,1)),$I$2:$I$1000,1)))))</f>
        <v>#ERROR!</v>
      </c>
      <c r="H573" s="39"/>
      <c r="I573" s="39">
        <f t="shared" si="1"/>
        <v>1</v>
      </c>
      <c r="J573" s="39" t="str">
        <f t="shared" si="2"/>
        <v/>
      </c>
      <c r="K573" s="39" t="str">
        <f t="array" ref="K573">IF(J573="","",IF(XLOOKUP(J573,Strike_Review_Queue!$I:$I,Strike_Review_Queue!$J:$J,"")="Approve","Approved",IF(XLOOKUP(J573,Strike_Review_Queue!$I:$I,Strike_Review_Queue!$J:$J,"")="Deny","Counts",H573)))</f>
        <v/>
      </c>
      <c r="L573" s="39" t="str">
        <f t="array" ref="L573">IF(J573="","",XLOOKUP(J573,Strike_Review_Queue!$I:$I,Strike_Review_Queue!$L:$L,""))</f>
        <v/>
      </c>
      <c r="M573" s="39" t="str">
        <f t="array" ref="M573">IF(J573="","",XLOOKUP(J573,Strike_Review_Queue!$I:$I,Strike_Review_Queue!$M:$M,""))</f>
        <v/>
      </c>
    </row>
    <row r="574" ht="15.75" customHeight="1">
      <c r="C574" s="39"/>
      <c r="D574" s="39" t="str">
        <f>IF(OR(B574="",A574=""),"",MAX(0,MIN(3,SUMIFS($C$2:$C$1000,$B$2:$B$1000,B574,$A$2:$A$1000,"&lt;="&amp;A574,$A$2:$A$1000,"&gt;="&amp;IF(Config!$B$1004="Y",A574-Config!$B$1005,DATE(1900,1,1)),$I$2:$I$1000,1)))))</f>
        <v>#ERROR!</v>
      </c>
      <c r="H574" s="39"/>
      <c r="I574" s="39">
        <f t="shared" si="1"/>
        <v>1</v>
      </c>
      <c r="J574" s="39" t="str">
        <f t="shared" si="2"/>
        <v/>
      </c>
      <c r="K574" s="39" t="str">
        <f t="array" ref="K574">IF(J574="","",IF(XLOOKUP(J574,Strike_Review_Queue!$I:$I,Strike_Review_Queue!$J:$J,"")="Approve","Approved",IF(XLOOKUP(J574,Strike_Review_Queue!$I:$I,Strike_Review_Queue!$J:$J,"")="Deny","Counts",H574)))</f>
        <v/>
      </c>
      <c r="L574" s="39" t="str">
        <f t="array" ref="L574">IF(J574="","",XLOOKUP(J574,Strike_Review_Queue!$I:$I,Strike_Review_Queue!$L:$L,""))</f>
        <v/>
      </c>
      <c r="M574" s="39" t="str">
        <f t="array" ref="M574">IF(J574="","",XLOOKUP(J574,Strike_Review_Queue!$I:$I,Strike_Review_Queue!$M:$M,""))</f>
        <v/>
      </c>
    </row>
    <row r="575" ht="15.75" customHeight="1">
      <c r="C575" s="39"/>
      <c r="D575" s="39" t="str">
        <f>IF(OR(B575="",A575=""),"",MAX(0,MIN(3,SUMIFS($C$2:$C$1000,$B$2:$B$1000,B575,$A$2:$A$1000,"&lt;="&amp;A575,$A$2:$A$1000,"&gt;="&amp;IF(Config!$B$1004="Y",A575-Config!$B$1005,DATE(1900,1,1)),$I$2:$I$1000,1)))))</f>
        <v>#ERROR!</v>
      </c>
      <c r="H575" s="39"/>
      <c r="I575" s="39">
        <f t="shared" si="1"/>
        <v>1</v>
      </c>
      <c r="J575" s="39" t="str">
        <f t="shared" si="2"/>
        <v/>
      </c>
      <c r="K575" s="39" t="str">
        <f t="array" ref="K575">IF(J575="","",IF(XLOOKUP(J575,Strike_Review_Queue!$I:$I,Strike_Review_Queue!$J:$J,"")="Approve","Approved",IF(XLOOKUP(J575,Strike_Review_Queue!$I:$I,Strike_Review_Queue!$J:$J,"")="Deny","Counts",H575)))</f>
        <v/>
      </c>
      <c r="L575" s="39" t="str">
        <f t="array" ref="L575">IF(J575="","",XLOOKUP(J575,Strike_Review_Queue!$I:$I,Strike_Review_Queue!$L:$L,""))</f>
        <v/>
      </c>
      <c r="M575" s="39" t="str">
        <f t="array" ref="M575">IF(J575="","",XLOOKUP(J575,Strike_Review_Queue!$I:$I,Strike_Review_Queue!$M:$M,""))</f>
        <v/>
      </c>
    </row>
    <row r="576" ht="15.75" customHeight="1">
      <c r="C576" s="39"/>
      <c r="D576" s="39" t="str">
        <f>IF(OR(B576="",A576=""),"",MAX(0,MIN(3,SUMIFS($C$2:$C$1000,$B$2:$B$1000,B576,$A$2:$A$1000,"&lt;="&amp;A576,$A$2:$A$1000,"&gt;="&amp;IF(Config!$B$1004="Y",A576-Config!$B$1005,DATE(1900,1,1)),$I$2:$I$1000,1)))))</f>
        <v>#ERROR!</v>
      </c>
      <c r="H576" s="39"/>
      <c r="I576" s="39">
        <f t="shared" si="1"/>
        <v>1</v>
      </c>
      <c r="J576" s="39" t="str">
        <f t="shared" si="2"/>
        <v/>
      </c>
      <c r="K576" s="39" t="str">
        <f t="array" ref="K576">IF(J576="","",IF(XLOOKUP(J576,Strike_Review_Queue!$I:$I,Strike_Review_Queue!$J:$J,"")="Approve","Approved",IF(XLOOKUP(J576,Strike_Review_Queue!$I:$I,Strike_Review_Queue!$J:$J,"")="Deny","Counts",H576)))</f>
        <v/>
      </c>
      <c r="L576" s="39" t="str">
        <f t="array" ref="L576">IF(J576="","",XLOOKUP(J576,Strike_Review_Queue!$I:$I,Strike_Review_Queue!$L:$L,""))</f>
        <v/>
      </c>
      <c r="M576" s="39" t="str">
        <f t="array" ref="M576">IF(J576="","",XLOOKUP(J576,Strike_Review_Queue!$I:$I,Strike_Review_Queue!$M:$M,""))</f>
        <v/>
      </c>
    </row>
    <row r="577" ht="15.75" customHeight="1">
      <c r="C577" s="39"/>
      <c r="D577" s="39" t="str">
        <f>IF(OR(B577="",A577=""),"",MAX(0,MIN(3,SUMIFS($C$2:$C$1000,$B$2:$B$1000,B577,$A$2:$A$1000,"&lt;="&amp;A577,$A$2:$A$1000,"&gt;="&amp;IF(Config!$B$1004="Y",A577-Config!$B$1005,DATE(1900,1,1)),$I$2:$I$1000,1)))))</f>
        <v>#ERROR!</v>
      </c>
      <c r="H577" s="39"/>
      <c r="I577" s="39">
        <f t="shared" si="1"/>
        <v>1</v>
      </c>
      <c r="J577" s="39" t="str">
        <f t="shared" si="2"/>
        <v/>
      </c>
      <c r="K577" s="39" t="str">
        <f t="array" ref="K577">IF(J577="","",IF(XLOOKUP(J577,Strike_Review_Queue!$I:$I,Strike_Review_Queue!$J:$J,"")="Approve","Approved",IF(XLOOKUP(J577,Strike_Review_Queue!$I:$I,Strike_Review_Queue!$J:$J,"")="Deny","Counts",H577)))</f>
        <v/>
      </c>
      <c r="L577" s="39" t="str">
        <f t="array" ref="L577">IF(J577="","",XLOOKUP(J577,Strike_Review_Queue!$I:$I,Strike_Review_Queue!$L:$L,""))</f>
        <v/>
      </c>
      <c r="M577" s="39" t="str">
        <f t="array" ref="M577">IF(J577="","",XLOOKUP(J577,Strike_Review_Queue!$I:$I,Strike_Review_Queue!$M:$M,""))</f>
        <v/>
      </c>
    </row>
    <row r="578" ht="15.75" customHeight="1">
      <c r="C578" s="39"/>
      <c r="D578" s="39" t="str">
        <f>IF(OR(B578="",A578=""),"",MAX(0,MIN(3,SUMIFS($C$2:$C$1000,$B$2:$B$1000,B578,$A$2:$A$1000,"&lt;="&amp;A578,$A$2:$A$1000,"&gt;="&amp;IF(Config!$B$1004="Y",A578-Config!$B$1005,DATE(1900,1,1)),$I$2:$I$1000,1)))))</f>
        <v>#ERROR!</v>
      </c>
      <c r="H578" s="39"/>
      <c r="I578" s="39">
        <f t="shared" si="1"/>
        <v>1</v>
      </c>
      <c r="J578" s="39" t="str">
        <f t="shared" si="2"/>
        <v/>
      </c>
      <c r="K578" s="39" t="str">
        <f t="array" ref="K578">IF(J578="","",IF(XLOOKUP(J578,Strike_Review_Queue!$I:$I,Strike_Review_Queue!$J:$J,"")="Approve","Approved",IF(XLOOKUP(J578,Strike_Review_Queue!$I:$I,Strike_Review_Queue!$J:$J,"")="Deny","Counts",H578)))</f>
        <v/>
      </c>
      <c r="L578" s="39" t="str">
        <f t="array" ref="L578">IF(J578="","",XLOOKUP(J578,Strike_Review_Queue!$I:$I,Strike_Review_Queue!$L:$L,""))</f>
        <v/>
      </c>
      <c r="M578" s="39" t="str">
        <f t="array" ref="M578">IF(J578="","",XLOOKUP(J578,Strike_Review_Queue!$I:$I,Strike_Review_Queue!$M:$M,""))</f>
        <v/>
      </c>
    </row>
    <row r="579" ht="15.75" customHeight="1">
      <c r="C579" s="39"/>
      <c r="D579" s="39" t="str">
        <f>IF(OR(B579="",A579=""),"",MAX(0,MIN(3,SUMIFS($C$2:$C$1000,$B$2:$B$1000,B579,$A$2:$A$1000,"&lt;="&amp;A579,$A$2:$A$1000,"&gt;="&amp;IF(Config!$B$1004="Y",A579-Config!$B$1005,DATE(1900,1,1)),$I$2:$I$1000,1)))))</f>
        <v>#ERROR!</v>
      </c>
      <c r="H579" s="39"/>
      <c r="I579" s="39">
        <f t="shared" si="1"/>
        <v>1</v>
      </c>
      <c r="J579" s="39" t="str">
        <f t="shared" si="2"/>
        <v/>
      </c>
      <c r="K579" s="39" t="str">
        <f t="array" ref="K579">IF(J579="","",IF(XLOOKUP(J579,Strike_Review_Queue!$I:$I,Strike_Review_Queue!$J:$J,"")="Approve","Approved",IF(XLOOKUP(J579,Strike_Review_Queue!$I:$I,Strike_Review_Queue!$J:$J,"")="Deny","Counts",H579)))</f>
        <v/>
      </c>
      <c r="L579" s="39" t="str">
        <f t="array" ref="L579">IF(J579="","",XLOOKUP(J579,Strike_Review_Queue!$I:$I,Strike_Review_Queue!$L:$L,""))</f>
        <v/>
      </c>
      <c r="M579" s="39" t="str">
        <f t="array" ref="M579">IF(J579="","",XLOOKUP(J579,Strike_Review_Queue!$I:$I,Strike_Review_Queue!$M:$M,""))</f>
        <v/>
      </c>
    </row>
    <row r="580" ht="15.75" customHeight="1">
      <c r="C580" s="39"/>
      <c r="D580" s="39" t="str">
        <f>IF(OR(B580="",A580=""),"",MAX(0,MIN(3,SUMIFS($C$2:$C$1000,$B$2:$B$1000,B580,$A$2:$A$1000,"&lt;="&amp;A580,$A$2:$A$1000,"&gt;="&amp;IF(Config!$B$1004="Y",A580-Config!$B$1005,DATE(1900,1,1)),$I$2:$I$1000,1)))))</f>
        <v>#ERROR!</v>
      </c>
      <c r="H580" s="39"/>
      <c r="I580" s="39">
        <f t="shared" si="1"/>
        <v>1</v>
      </c>
      <c r="J580" s="39" t="str">
        <f t="shared" si="2"/>
        <v/>
      </c>
      <c r="K580" s="39" t="str">
        <f t="array" ref="K580">IF(J580="","",IF(XLOOKUP(J580,Strike_Review_Queue!$I:$I,Strike_Review_Queue!$J:$J,"")="Approve","Approved",IF(XLOOKUP(J580,Strike_Review_Queue!$I:$I,Strike_Review_Queue!$J:$J,"")="Deny","Counts",H580)))</f>
        <v/>
      </c>
      <c r="L580" s="39" t="str">
        <f t="array" ref="L580">IF(J580="","",XLOOKUP(J580,Strike_Review_Queue!$I:$I,Strike_Review_Queue!$L:$L,""))</f>
        <v/>
      </c>
      <c r="M580" s="39" t="str">
        <f t="array" ref="M580">IF(J580="","",XLOOKUP(J580,Strike_Review_Queue!$I:$I,Strike_Review_Queue!$M:$M,""))</f>
        <v/>
      </c>
    </row>
    <row r="581" ht="15.75" customHeight="1">
      <c r="C581" s="39"/>
      <c r="D581" s="39" t="str">
        <f>IF(OR(B581="",A581=""),"",MAX(0,MIN(3,SUMIFS($C$2:$C$1000,$B$2:$B$1000,B581,$A$2:$A$1000,"&lt;="&amp;A581,$A$2:$A$1000,"&gt;="&amp;IF(Config!$B$1004="Y",A581-Config!$B$1005,DATE(1900,1,1)),$I$2:$I$1000,1)))))</f>
        <v>#ERROR!</v>
      </c>
      <c r="H581" s="39"/>
      <c r="I581" s="39">
        <f t="shared" si="1"/>
        <v>1</v>
      </c>
      <c r="J581" s="39" t="str">
        <f t="shared" si="2"/>
        <v/>
      </c>
      <c r="K581" s="39" t="str">
        <f t="array" ref="K581">IF(J581="","",IF(XLOOKUP(J581,Strike_Review_Queue!$I:$I,Strike_Review_Queue!$J:$J,"")="Approve","Approved",IF(XLOOKUP(J581,Strike_Review_Queue!$I:$I,Strike_Review_Queue!$J:$J,"")="Deny","Counts",H581)))</f>
        <v/>
      </c>
      <c r="L581" s="39" t="str">
        <f t="array" ref="L581">IF(J581="","",XLOOKUP(J581,Strike_Review_Queue!$I:$I,Strike_Review_Queue!$L:$L,""))</f>
        <v/>
      </c>
      <c r="M581" s="39" t="str">
        <f t="array" ref="M581">IF(J581="","",XLOOKUP(J581,Strike_Review_Queue!$I:$I,Strike_Review_Queue!$M:$M,""))</f>
        <v/>
      </c>
    </row>
    <row r="582" ht="15.75" customHeight="1">
      <c r="C582" s="39"/>
      <c r="D582" s="39" t="str">
        <f>IF(OR(B582="",A582=""),"",MAX(0,MIN(3,SUMIFS($C$2:$C$1000,$B$2:$B$1000,B582,$A$2:$A$1000,"&lt;="&amp;A582,$A$2:$A$1000,"&gt;="&amp;IF(Config!$B$1004="Y",A582-Config!$B$1005,DATE(1900,1,1)),$I$2:$I$1000,1)))))</f>
        <v>#ERROR!</v>
      </c>
      <c r="H582" s="39"/>
      <c r="I582" s="39">
        <f t="shared" si="1"/>
        <v>1</v>
      </c>
      <c r="J582" s="39" t="str">
        <f t="shared" si="2"/>
        <v/>
      </c>
      <c r="K582" s="39" t="str">
        <f t="array" ref="K582">IF(J582="","",IF(XLOOKUP(J582,Strike_Review_Queue!$I:$I,Strike_Review_Queue!$J:$J,"")="Approve","Approved",IF(XLOOKUP(J582,Strike_Review_Queue!$I:$I,Strike_Review_Queue!$J:$J,"")="Deny","Counts",H582)))</f>
        <v/>
      </c>
      <c r="L582" s="39" t="str">
        <f t="array" ref="L582">IF(J582="","",XLOOKUP(J582,Strike_Review_Queue!$I:$I,Strike_Review_Queue!$L:$L,""))</f>
        <v/>
      </c>
      <c r="M582" s="39" t="str">
        <f t="array" ref="M582">IF(J582="","",XLOOKUP(J582,Strike_Review_Queue!$I:$I,Strike_Review_Queue!$M:$M,""))</f>
        <v/>
      </c>
    </row>
    <row r="583" ht="15.75" customHeight="1">
      <c r="C583" s="39"/>
      <c r="D583" s="39" t="str">
        <f>IF(OR(B583="",A583=""),"",MAX(0,MIN(3,SUMIFS($C$2:$C$1000,$B$2:$B$1000,B583,$A$2:$A$1000,"&lt;="&amp;A583,$A$2:$A$1000,"&gt;="&amp;IF(Config!$B$1004="Y",A583-Config!$B$1005,DATE(1900,1,1)),$I$2:$I$1000,1)))))</f>
        <v>#ERROR!</v>
      </c>
      <c r="H583" s="39"/>
      <c r="I583" s="39">
        <f t="shared" si="1"/>
        <v>1</v>
      </c>
      <c r="J583" s="39" t="str">
        <f t="shared" si="2"/>
        <v/>
      </c>
      <c r="K583" s="39" t="str">
        <f t="array" ref="K583">IF(J583="","",IF(XLOOKUP(J583,Strike_Review_Queue!$I:$I,Strike_Review_Queue!$J:$J,"")="Approve","Approved",IF(XLOOKUP(J583,Strike_Review_Queue!$I:$I,Strike_Review_Queue!$J:$J,"")="Deny","Counts",H583)))</f>
        <v/>
      </c>
      <c r="L583" s="39" t="str">
        <f t="array" ref="L583">IF(J583="","",XLOOKUP(J583,Strike_Review_Queue!$I:$I,Strike_Review_Queue!$L:$L,""))</f>
        <v/>
      </c>
      <c r="M583" s="39" t="str">
        <f t="array" ref="M583">IF(J583="","",XLOOKUP(J583,Strike_Review_Queue!$I:$I,Strike_Review_Queue!$M:$M,""))</f>
        <v/>
      </c>
    </row>
    <row r="584" ht="15.75" customHeight="1">
      <c r="C584" s="39"/>
      <c r="D584" s="39" t="str">
        <f>IF(OR(B584="",A584=""),"",MAX(0,MIN(3,SUMIFS($C$2:$C$1000,$B$2:$B$1000,B584,$A$2:$A$1000,"&lt;="&amp;A584,$A$2:$A$1000,"&gt;="&amp;IF(Config!$B$1004="Y",A584-Config!$B$1005,DATE(1900,1,1)),$I$2:$I$1000,1)))))</f>
        <v>#ERROR!</v>
      </c>
      <c r="H584" s="39"/>
      <c r="I584" s="39">
        <f t="shared" si="1"/>
        <v>1</v>
      </c>
      <c r="J584" s="39" t="str">
        <f t="shared" si="2"/>
        <v/>
      </c>
      <c r="K584" s="39" t="str">
        <f t="array" ref="K584">IF(J584="","",IF(XLOOKUP(J584,Strike_Review_Queue!$I:$I,Strike_Review_Queue!$J:$J,"")="Approve","Approved",IF(XLOOKUP(J584,Strike_Review_Queue!$I:$I,Strike_Review_Queue!$J:$J,"")="Deny","Counts",H584)))</f>
        <v/>
      </c>
      <c r="L584" s="39" t="str">
        <f t="array" ref="L584">IF(J584="","",XLOOKUP(J584,Strike_Review_Queue!$I:$I,Strike_Review_Queue!$L:$L,""))</f>
        <v/>
      </c>
      <c r="M584" s="39" t="str">
        <f t="array" ref="M584">IF(J584="","",XLOOKUP(J584,Strike_Review_Queue!$I:$I,Strike_Review_Queue!$M:$M,""))</f>
        <v/>
      </c>
    </row>
    <row r="585" ht="15.75" customHeight="1">
      <c r="C585" s="39"/>
      <c r="D585" s="39" t="str">
        <f>IF(OR(B585="",A585=""),"",MAX(0,MIN(3,SUMIFS($C$2:$C$1000,$B$2:$B$1000,B585,$A$2:$A$1000,"&lt;="&amp;A585,$A$2:$A$1000,"&gt;="&amp;IF(Config!$B$1004="Y",A585-Config!$B$1005,DATE(1900,1,1)),$I$2:$I$1000,1)))))</f>
        <v>#ERROR!</v>
      </c>
      <c r="H585" s="39"/>
      <c r="I585" s="39">
        <f t="shared" si="1"/>
        <v>1</v>
      </c>
      <c r="J585" s="39" t="str">
        <f t="shared" si="2"/>
        <v/>
      </c>
      <c r="K585" s="39" t="str">
        <f t="array" ref="K585">IF(J585="","",IF(XLOOKUP(J585,Strike_Review_Queue!$I:$I,Strike_Review_Queue!$J:$J,"")="Approve","Approved",IF(XLOOKUP(J585,Strike_Review_Queue!$I:$I,Strike_Review_Queue!$J:$J,"")="Deny","Counts",H585)))</f>
        <v/>
      </c>
      <c r="L585" s="39" t="str">
        <f t="array" ref="L585">IF(J585="","",XLOOKUP(J585,Strike_Review_Queue!$I:$I,Strike_Review_Queue!$L:$L,""))</f>
        <v/>
      </c>
      <c r="M585" s="39" t="str">
        <f t="array" ref="M585">IF(J585="","",XLOOKUP(J585,Strike_Review_Queue!$I:$I,Strike_Review_Queue!$M:$M,""))</f>
        <v/>
      </c>
    </row>
    <row r="586" ht="15.75" customHeight="1">
      <c r="C586" s="39"/>
      <c r="D586" s="39" t="str">
        <f>IF(OR(B586="",A586=""),"",MAX(0,MIN(3,SUMIFS($C$2:$C$1000,$B$2:$B$1000,B586,$A$2:$A$1000,"&lt;="&amp;A586,$A$2:$A$1000,"&gt;="&amp;IF(Config!$B$1004="Y",A586-Config!$B$1005,DATE(1900,1,1)),$I$2:$I$1000,1)))))</f>
        <v>#ERROR!</v>
      </c>
      <c r="H586" s="39"/>
      <c r="I586" s="39">
        <f t="shared" si="1"/>
        <v>1</v>
      </c>
      <c r="J586" s="39" t="str">
        <f t="shared" si="2"/>
        <v/>
      </c>
      <c r="K586" s="39" t="str">
        <f t="array" ref="K586">IF(J586="","",IF(XLOOKUP(J586,Strike_Review_Queue!$I:$I,Strike_Review_Queue!$J:$J,"")="Approve","Approved",IF(XLOOKUP(J586,Strike_Review_Queue!$I:$I,Strike_Review_Queue!$J:$J,"")="Deny","Counts",H586)))</f>
        <v/>
      </c>
      <c r="L586" s="39" t="str">
        <f t="array" ref="L586">IF(J586="","",XLOOKUP(J586,Strike_Review_Queue!$I:$I,Strike_Review_Queue!$L:$L,""))</f>
        <v/>
      </c>
      <c r="M586" s="39" t="str">
        <f t="array" ref="M586">IF(J586="","",XLOOKUP(J586,Strike_Review_Queue!$I:$I,Strike_Review_Queue!$M:$M,""))</f>
        <v/>
      </c>
    </row>
    <row r="587" ht="15.75" customHeight="1">
      <c r="C587" s="39"/>
      <c r="D587" s="39" t="str">
        <f>IF(OR(B587="",A587=""),"",MAX(0,MIN(3,SUMIFS($C$2:$C$1000,$B$2:$B$1000,B587,$A$2:$A$1000,"&lt;="&amp;A587,$A$2:$A$1000,"&gt;="&amp;IF(Config!$B$1004="Y",A587-Config!$B$1005,DATE(1900,1,1)),$I$2:$I$1000,1)))))</f>
        <v>#ERROR!</v>
      </c>
      <c r="H587" s="39"/>
      <c r="I587" s="39">
        <f t="shared" si="1"/>
        <v>1</v>
      </c>
      <c r="J587" s="39" t="str">
        <f t="shared" si="2"/>
        <v/>
      </c>
      <c r="K587" s="39" t="str">
        <f t="array" ref="K587">IF(J587="","",IF(XLOOKUP(J587,Strike_Review_Queue!$I:$I,Strike_Review_Queue!$J:$J,"")="Approve","Approved",IF(XLOOKUP(J587,Strike_Review_Queue!$I:$I,Strike_Review_Queue!$J:$J,"")="Deny","Counts",H587)))</f>
        <v/>
      </c>
      <c r="L587" s="39" t="str">
        <f t="array" ref="L587">IF(J587="","",XLOOKUP(J587,Strike_Review_Queue!$I:$I,Strike_Review_Queue!$L:$L,""))</f>
        <v/>
      </c>
      <c r="M587" s="39" t="str">
        <f t="array" ref="M587">IF(J587="","",XLOOKUP(J587,Strike_Review_Queue!$I:$I,Strike_Review_Queue!$M:$M,""))</f>
        <v/>
      </c>
    </row>
    <row r="588" ht="15.75" customHeight="1">
      <c r="C588" s="39"/>
      <c r="D588" s="39" t="str">
        <f>IF(OR(B588="",A588=""),"",MAX(0,MIN(3,SUMIFS($C$2:$C$1000,$B$2:$B$1000,B588,$A$2:$A$1000,"&lt;="&amp;A588,$A$2:$A$1000,"&gt;="&amp;IF(Config!$B$1004="Y",A588-Config!$B$1005,DATE(1900,1,1)),$I$2:$I$1000,1)))))</f>
        <v>#ERROR!</v>
      </c>
      <c r="H588" s="39"/>
      <c r="I588" s="39">
        <f t="shared" si="1"/>
        <v>1</v>
      </c>
      <c r="J588" s="39" t="str">
        <f t="shared" si="2"/>
        <v/>
      </c>
      <c r="K588" s="39" t="str">
        <f t="array" ref="K588">IF(J588="","",IF(XLOOKUP(J588,Strike_Review_Queue!$I:$I,Strike_Review_Queue!$J:$J,"")="Approve","Approved",IF(XLOOKUP(J588,Strike_Review_Queue!$I:$I,Strike_Review_Queue!$J:$J,"")="Deny","Counts",H588)))</f>
        <v/>
      </c>
      <c r="L588" s="39" t="str">
        <f t="array" ref="L588">IF(J588="","",XLOOKUP(J588,Strike_Review_Queue!$I:$I,Strike_Review_Queue!$L:$L,""))</f>
        <v/>
      </c>
      <c r="M588" s="39" t="str">
        <f t="array" ref="M588">IF(J588="","",XLOOKUP(J588,Strike_Review_Queue!$I:$I,Strike_Review_Queue!$M:$M,""))</f>
        <v/>
      </c>
    </row>
    <row r="589" ht="15.75" customHeight="1">
      <c r="C589" s="39"/>
      <c r="D589" s="39" t="str">
        <f>IF(OR(B589="",A589=""),"",MAX(0,MIN(3,SUMIFS($C$2:$C$1000,$B$2:$B$1000,B589,$A$2:$A$1000,"&lt;="&amp;A589,$A$2:$A$1000,"&gt;="&amp;IF(Config!$B$1004="Y",A589-Config!$B$1005,DATE(1900,1,1)),$I$2:$I$1000,1)))))</f>
        <v>#ERROR!</v>
      </c>
      <c r="H589" s="39"/>
      <c r="I589" s="39">
        <f t="shared" si="1"/>
        <v>1</v>
      </c>
      <c r="J589" s="39" t="str">
        <f t="shared" si="2"/>
        <v/>
      </c>
      <c r="K589" s="39" t="str">
        <f t="array" ref="K589">IF(J589="","",IF(XLOOKUP(J589,Strike_Review_Queue!$I:$I,Strike_Review_Queue!$J:$J,"")="Approve","Approved",IF(XLOOKUP(J589,Strike_Review_Queue!$I:$I,Strike_Review_Queue!$J:$J,"")="Deny","Counts",H589)))</f>
        <v/>
      </c>
      <c r="L589" s="39" t="str">
        <f t="array" ref="L589">IF(J589="","",XLOOKUP(J589,Strike_Review_Queue!$I:$I,Strike_Review_Queue!$L:$L,""))</f>
        <v/>
      </c>
      <c r="M589" s="39" t="str">
        <f t="array" ref="M589">IF(J589="","",XLOOKUP(J589,Strike_Review_Queue!$I:$I,Strike_Review_Queue!$M:$M,""))</f>
        <v/>
      </c>
    </row>
    <row r="590" ht="15.75" customHeight="1">
      <c r="C590" s="39"/>
      <c r="D590" s="39" t="str">
        <f>IF(OR(B590="",A590=""),"",MAX(0,MIN(3,SUMIFS($C$2:$C$1000,$B$2:$B$1000,B590,$A$2:$A$1000,"&lt;="&amp;A590,$A$2:$A$1000,"&gt;="&amp;IF(Config!$B$1004="Y",A590-Config!$B$1005,DATE(1900,1,1)),$I$2:$I$1000,1)))))</f>
        <v>#ERROR!</v>
      </c>
      <c r="H590" s="39"/>
      <c r="I590" s="39">
        <f t="shared" si="1"/>
        <v>1</v>
      </c>
      <c r="J590" s="39" t="str">
        <f t="shared" si="2"/>
        <v/>
      </c>
      <c r="K590" s="39" t="str">
        <f t="array" ref="K590">IF(J590="","",IF(XLOOKUP(J590,Strike_Review_Queue!$I:$I,Strike_Review_Queue!$J:$J,"")="Approve","Approved",IF(XLOOKUP(J590,Strike_Review_Queue!$I:$I,Strike_Review_Queue!$J:$J,"")="Deny","Counts",H590)))</f>
        <v/>
      </c>
      <c r="L590" s="39" t="str">
        <f t="array" ref="L590">IF(J590="","",XLOOKUP(J590,Strike_Review_Queue!$I:$I,Strike_Review_Queue!$L:$L,""))</f>
        <v/>
      </c>
      <c r="M590" s="39" t="str">
        <f t="array" ref="M590">IF(J590="","",XLOOKUP(J590,Strike_Review_Queue!$I:$I,Strike_Review_Queue!$M:$M,""))</f>
        <v/>
      </c>
    </row>
    <row r="591" ht="15.75" customHeight="1">
      <c r="C591" s="39"/>
      <c r="D591" s="39" t="str">
        <f>IF(OR(B591="",A591=""),"",MAX(0,MIN(3,SUMIFS($C$2:$C$1000,$B$2:$B$1000,B591,$A$2:$A$1000,"&lt;="&amp;A591,$A$2:$A$1000,"&gt;="&amp;IF(Config!$B$1004="Y",A591-Config!$B$1005,DATE(1900,1,1)),$I$2:$I$1000,1)))))</f>
        <v>#ERROR!</v>
      </c>
      <c r="H591" s="39"/>
      <c r="I591" s="39">
        <f t="shared" si="1"/>
        <v>1</v>
      </c>
      <c r="J591" s="39" t="str">
        <f t="shared" si="2"/>
        <v/>
      </c>
      <c r="K591" s="39" t="str">
        <f t="array" ref="K591">IF(J591="","",IF(XLOOKUP(J591,Strike_Review_Queue!$I:$I,Strike_Review_Queue!$J:$J,"")="Approve","Approved",IF(XLOOKUP(J591,Strike_Review_Queue!$I:$I,Strike_Review_Queue!$J:$J,"")="Deny","Counts",H591)))</f>
        <v/>
      </c>
      <c r="L591" s="39" t="str">
        <f t="array" ref="L591">IF(J591="","",XLOOKUP(J591,Strike_Review_Queue!$I:$I,Strike_Review_Queue!$L:$L,""))</f>
        <v/>
      </c>
      <c r="M591" s="39" t="str">
        <f t="array" ref="M591">IF(J591="","",XLOOKUP(J591,Strike_Review_Queue!$I:$I,Strike_Review_Queue!$M:$M,""))</f>
        <v/>
      </c>
    </row>
    <row r="592" ht="15.75" customHeight="1">
      <c r="C592" s="39"/>
      <c r="D592" s="39" t="str">
        <f>IF(OR(B592="",A592=""),"",MAX(0,MIN(3,SUMIFS($C$2:$C$1000,$B$2:$B$1000,B592,$A$2:$A$1000,"&lt;="&amp;A592,$A$2:$A$1000,"&gt;="&amp;IF(Config!$B$1004="Y",A592-Config!$B$1005,DATE(1900,1,1)),$I$2:$I$1000,1)))))</f>
        <v>#ERROR!</v>
      </c>
      <c r="H592" s="39"/>
      <c r="I592" s="39">
        <f t="shared" si="1"/>
        <v>1</v>
      </c>
      <c r="J592" s="39" t="str">
        <f t="shared" si="2"/>
        <v/>
      </c>
      <c r="K592" s="39" t="str">
        <f t="array" ref="K592">IF(J592="","",IF(XLOOKUP(J592,Strike_Review_Queue!$I:$I,Strike_Review_Queue!$J:$J,"")="Approve","Approved",IF(XLOOKUP(J592,Strike_Review_Queue!$I:$I,Strike_Review_Queue!$J:$J,"")="Deny","Counts",H592)))</f>
        <v/>
      </c>
      <c r="L592" s="39" t="str">
        <f t="array" ref="L592">IF(J592="","",XLOOKUP(J592,Strike_Review_Queue!$I:$I,Strike_Review_Queue!$L:$L,""))</f>
        <v/>
      </c>
      <c r="M592" s="39" t="str">
        <f t="array" ref="M592">IF(J592="","",XLOOKUP(J592,Strike_Review_Queue!$I:$I,Strike_Review_Queue!$M:$M,""))</f>
        <v/>
      </c>
    </row>
    <row r="593" ht="15.75" customHeight="1">
      <c r="C593" s="39"/>
      <c r="D593" s="39" t="str">
        <f>IF(OR(B593="",A593=""),"",MAX(0,MIN(3,SUMIFS($C$2:$C$1000,$B$2:$B$1000,B593,$A$2:$A$1000,"&lt;="&amp;A593,$A$2:$A$1000,"&gt;="&amp;IF(Config!$B$1004="Y",A593-Config!$B$1005,DATE(1900,1,1)),$I$2:$I$1000,1)))))</f>
        <v>#ERROR!</v>
      </c>
      <c r="H593" s="39"/>
      <c r="I593" s="39">
        <f t="shared" si="1"/>
        <v>1</v>
      </c>
      <c r="J593" s="39" t="str">
        <f t="shared" si="2"/>
        <v/>
      </c>
      <c r="K593" s="39" t="str">
        <f t="array" ref="K593">IF(J593="","",IF(XLOOKUP(J593,Strike_Review_Queue!$I:$I,Strike_Review_Queue!$J:$J,"")="Approve","Approved",IF(XLOOKUP(J593,Strike_Review_Queue!$I:$I,Strike_Review_Queue!$J:$J,"")="Deny","Counts",H593)))</f>
        <v/>
      </c>
      <c r="L593" s="39" t="str">
        <f t="array" ref="L593">IF(J593="","",XLOOKUP(J593,Strike_Review_Queue!$I:$I,Strike_Review_Queue!$L:$L,""))</f>
        <v/>
      </c>
      <c r="M593" s="39" t="str">
        <f t="array" ref="M593">IF(J593="","",XLOOKUP(J593,Strike_Review_Queue!$I:$I,Strike_Review_Queue!$M:$M,""))</f>
        <v/>
      </c>
    </row>
    <row r="594" ht="15.75" customHeight="1">
      <c r="C594" s="39"/>
      <c r="D594" s="39" t="str">
        <f>IF(OR(B594="",A594=""),"",MAX(0,MIN(3,SUMIFS($C$2:$C$1000,$B$2:$B$1000,B594,$A$2:$A$1000,"&lt;="&amp;A594,$A$2:$A$1000,"&gt;="&amp;IF(Config!$B$1004="Y",A594-Config!$B$1005,DATE(1900,1,1)),$I$2:$I$1000,1)))))</f>
        <v>#ERROR!</v>
      </c>
      <c r="H594" s="39"/>
      <c r="I594" s="39">
        <f t="shared" si="1"/>
        <v>1</v>
      </c>
      <c r="J594" s="39" t="str">
        <f t="shared" si="2"/>
        <v/>
      </c>
      <c r="K594" s="39" t="str">
        <f t="array" ref="K594">IF(J594="","",IF(XLOOKUP(J594,Strike_Review_Queue!$I:$I,Strike_Review_Queue!$J:$J,"")="Approve","Approved",IF(XLOOKUP(J594,Strike_Review_Queue!$I:$I,Strike_Review_Queue!$J:$J,"")="Deny","Counts",H594)))</f>
        <v/>
      </c>
      <c r="L594" s="39" t="str">
        <f t="array" ref="L594">IF(J594="","",XLOOKUP(J594,Strike_Review_Queue!$I:$I,Strike_Review_Queue!$L:$L,""))</f>
        <v/>
      </c>
      <c r="M594" s="39" t="str">
        <f t="array" ref="M594">IF(J594="","",XLOOKUP(J594,Strike_Review_Queue!$I:$I,Strike_Review_Queue!$M:$M,""))</f>
        <v/>
      </c>
    </row>
    <row r="595" ht="15.75" customHeight="1">
      <c r="C595" s="39"/>
      <c r="D595" s="39" t="str">
        <f>IF(OR(B595="",A595=""),"",MAX(0,MIN(3,SUMIFS($C$2:$C$1000,$B$2:$B$1000,B595,$A$2:$A$1000,"&lt;="&amp;A595,$A$2:$A$1000,"&gt;="&amp;IF(Config!$B$1004="Y",A595-Config!$B$1005,DATE(1900,1,1)),$I$2:$I$1000,1)))))</f>
        <v>#ERROR!</v>
      </c>
      <c r="H595" s="39"/>
      <c r="I595" s="39">
        <f t="shared" si="1"/>
        <v>1</v>
      </c>
      <c r="J595" s="39" t="str">
        <f t="shared" si="2"/>
        <v/>
      </c>
      <c r="K595" s="39" t="str">
        <f t="array" ref="K595">IF(J595="","",IF(XLOOKUP(J595,Strike_Review_Queue!$I:$I,Strike_Review_Queue!$J:$J,"")="Approve","Approved",IF(XLOOKUP(J595,Strike_Review_Queue!$I:$I,Strike_Review_Queue!$J:$J,"")="Deny","Counts",H595)))</f>
        <v/>
      </c>
      <c r="L595" s="39" t="str">
        <f t="array" ref="L595">IF(J595="","",XLOOKUP(J595,Strike_Review_Queue!$I:$I,Strike_Review_Queue!$L:$L,""))</f>
        <v/>
      </c>
      <c r="M595" s="39" t="str">
        <f t="array" ref="M595">IF(J595="","",XLOOKUP(J595,Strike_Review_Queue!$I:$I,Strike_Review_Queue!$M:$M,""))</f>
        <v/>
      </c>
    </row>
    <row r="596" ht="15.75" customHeight="1">
      <c r="C596" s="39"/>
      <c r="D596" s="39" t="str">
        <f>IF(OR(B596="",A596=""),"",MAX(0,MIN(3,SUMIFS($C$2:$C$1000,$B$2:$B$1000,B596,$A$2:$A$1000,"&lt;="&amp;A596,$A$2:$A$1000,"&gt;="&amp;IF(Config!$B$1004="Y",A596-Config!$B$1005,DATE(1900,1,1)),$I$2:$I$1000,1)))))</f>
        <v>#ERROR!</v>
      </c>
      <c r="H596" s="39"/>
      <c r="I596" s="39">
        <f t="shared" si="1"/>
        <v>1</v>
      </c>
      <c r="J596" s="39" t="str">
        <f t="shared" si="2"/>
        <v/>
      </c>
      <c r="K596" s="39" t="str">
        <f t="array" ref="K596">IF(J596="","",IF(XLOOKUP(J596,Strike_Review_Queue!$I:$I,Strike_Review_Queue!$J:$J,"")="Approve","Approved",IF(XLOOKUP(J596,Strike_Review_Queue!$I:$I,Strike_Review_Queue!$J:$J,"")="Deny","Counts",H596)))</f>
        <v/>
      </c>
      <c r="L596" s="39" t="str">
        <f t="array" ref="L596">IF(J596="","",XLOOKUP(J596,Strike_Review_Queue!$I:$I,Strike_Review_Queue!$L:$L,""))</f>
        <v/>
      </c>
      <c r="M596" s="39" t="str">
        <f t="array" ref="M596">IF(J596="","",XLOOKUP(J596,Strike_Review_Queue!$I:$I,Strike_Review_Queue!$M:$M,""))</f>
        <v/>
      </c>
    </row>
    <row r="597" ht="15.75" customHeight="1">
      <c r="C597" s="39"/>
      <c r="D597" s="39" t="str">
        <f>IF(OR(B597="",A597=""),"",MAX(0,MIN(3,SUMIFS($C$2:$C$1000,$B$2:$B$1000,B597,$A$2:$A$1000,"&lt;="&amp;A597,$A$2:$A$1000,"&gt;="&amp;IF(Config!$B$1004="Y",A597-Config!$B$1005,DATE(1900,1,1)),$I$2:$I$1000,1)))))</f>
        <v>#ERROR!</v>
      </c>
      <c r="H597" s="39"/>
      <c r="I597" s="39">
        <f t="shared" si="1"/>
        <v>1</v>
      </c>
      <c r="J597" s="39" t="str">
        <f t="shared" si="2"/>
        <v/>
      </c>
      <c r="K597" s="39" t="str">
        <f t="array" ref="K597">IF(J597="","",IF(XLOOKUP(J597,Strike_Review_Queue!$I:$I,Strike_Review_Queue!$J:$J,"")="Approve","Approved",IF(XLOOKUP(J597,Strike_Review_Queue!$I:$I,Strike_Review_Queue!$J:$J,"")="Deny","Counts",H597)))</f>
        <v/>
      </c>
      <c r="L597" s="39" t="str">
        <f t="array" ref="L597">IF(J597="","",XLOOKUP(J597,Strike_Review_Queue!$I:$I,Strike_Review_Queue!$L:$L,""))</f>
        <v/>
      </c>
      <c r="M597" s="39" t="str">
        <f t="array" ref="M597">IF(J597="","",XLOOKUP(J597,Strike_Review_Queue!$I:$I,Strike_Review_Queue!$M:$M,""))</f>
        <v/>
      </c>
    </row>
    <row r="598" ht="15.75" customHeight="1">
      <c r="C598" s="39"/>
      <c r="D598" s="39" t="str">
        <f>IF(OR(B598="",A598=""),"",MAX(0,MIN(3,SUMIFS($C$2:$C$1000,$B$2:$B$1000,B598,$A$2:$A$1000,"&lt;="&amp;A598,$A$2:$A$1000,"&gt;="&amp;IF(Config!$B$1004="Y",A598-Config!$B$1005,DATE(1900,1,1)),$I$2:$I$1000,1)))))</f>
        <v>#ERROR!</v>
      </c>
      <c r="H598" s="39"/>
      <c r="I598" s="39">
        <f t="shared" si="1"/>
        <v>1</v>
      </c>
      <c r="J598" s="39" t="str">
        <f t="shared" si="2"/>
        <v/>
      </c>
      <c r="K598" s="39" t="str">
        <f t="array" ref="K598">IF(J598="","",IF(XLOOKUP(J598,Strike_Review_Queue!$I:$I,Strike_Review_Queue!$J:$J,"")="Approve","Approved",IF(XLOOKUP(J598,Strike_Review_Queue!$I:$I,Strike_Review_Queue!$J:$J,"")="Deny","Counts",H598)))</f>
        <v/>
      </c>
      <c r="L598" s="39" t="str">
        <f t="array" ref="L598">IF(J598="","",XLOOKUP(J598,Strike_Review_Queue!$I:$I,Strike_Review_Queue!$L:$L,""))</f>
        <v/>
      </c>
      <c r="M598" s="39" t="str">
        <f t="array" ref="M598">IF(J598="","",XLOOKUP(J598,Strike_Review_Queue!$I:$I,Strike_Review_Queue!$M:$M,""))</f>
        <v/>
      </c>
    </row>
    <row r="599" ht="15.75" customHeight="1">
      <c r="C599" s="39"/>
      <c r="D599" s="39" t="str">
        <f>IF(OR(B599="",A599=""),"",MAX(0,MIN(3,SUMIFS($C$2:$C$1000,$B$2:$B$1000,B599,$A$2:$A$1000,"&lt;="&amp;A599,$A$2:$A$1000,"&gt;="&amp;IF(Config!$B$1004="Y",A599-Config!$B$1005,DATE(1900,1,1)),$I$2:$I$1000,1)))))</f>
        <v>#ERROR!</v>
      </c>
      <c r="H599" s="39"/>
      <c r="I599" s="39">
        <f t="shared" si="1"/>
        <v>1</v>
      </c>
      <c r="J599" s="39" t="str">
        <f t="shared" si="2"/>
        <v/>
      </c>
      <c r="K599" s="39" t="str">
        <f t="array" ref="K599">IF(J599="","",IF(XLOOKUP(J599,Strike_Review_Queue!$I:$I,Strike_Review_Queue!$J:$J,"")="Approve","Approved",IF(XLOOKUP(J599,Strike_Review_Queue!$I:$I,Strike_Review_Queue!$J:$J,"")="Deny","Counts",H599)))</f>
        <v/>
      </c>
      <c r="L599" s="39" t="str">
        <f t="array" ref="L599">IF(J599="","",XLOOKUP(J599,Strike_Review_Queue!$I:$I,Strike_Review_Queue!$L:$L,""))</f>
        <v/>
      </c>
      <c r="M599" s="39" t="str">
        <f t="array" ref="M599">IF(J599="","",XLOOKUP(J599,Strike_Review_Queue!$I:$I,Strike_Review_Queue!$M:$M,""))</f>
        <v/>
      </c>
    </row>
    <row r="600" ht="15.75" customHeight="1">
      <c r="C600" s="39"/>
      <c r="D600" s="39" t="str">
        <f>IF(OR(B600="",A600=""),"",MAX(0,MIN(3,SUMIFS($C$2:$C$1000,$B$2:$B$1000,B600,$A$2:$A$1000,"&lt;="&amp;A600,$A$2:$A$1000,"&gt;="&amp;IF(Config!$B$1004="Y",A600-Config!$B$1005,DATE(1900,1,1)),$I$2:$I$1000,1)))))</f>
        <v>#ERROR!</v>
      </c>
      <c r="H600" s="39"/>
      <c r="I600" s="39">
        <f t="shared" si="1"/>
        <v>1</v>
      </c>
      <c r="J600" s="39" t="str">
        <f t="shared" si="2"/>
        <v/>
      </c>
      <c r="K600" s="39" t="str">
        <f t="array" ref="K600">IF(J600="","",IF(XLOOKUP(J600,Strike_Review_Queue!$I:$I,Strike_Review_Queue!$J:$J,"")="Approve","Approved",IF(XLOOKUP(J600,Strike_Review_Queue!$I:$I,Strike_Review_Queue!$J:$J,"")="Deny","Counts",H600)))</f>
        <v/>
      </c>
      <c r="L600" s="39" t="str">
        <f t="array" ref="L600">IF(J600="","",XLOOKUP(J600,Strike_Review_Queue!$I:$I,Strike_Review_Queue!$L:$L,""))</f>
        <v/>
      </c>
      <c r="M600" s="39" t="str">
        <f t="array" ref="M600">IF(J600="","",XLOOKUP(J600,Strike_Review_Queue!$I:$I,Strike_Review_Queue!$M:$M,""))</f>
        <v/>
      </c>
    </row>
    <row r="601" ht="15.75" customHeight="1">
      <c r="C601" s="39"/>
      <c r="D601" s="39" t="str">
        <f>IF(OR(B601="",A601=""),"",MAX(0,MIN(3,SUMIFS($C$2:$C$1000,$B$2:$B$1000,B601,$A$2:$A$1000,"&lt;="&amp;A601,$A$2:$A$1000,"&gt;="&amp;IF(Config!$B$1004="Y",A601-Config!$B$1005,DATE(1900,1,1)),$I$2:$I$1000,1)))))</f>
        <v>#ERROR!</v>
      </c>
      <c r="H601" s="39"/>
      <c r="I601" s="39">
        <f t="shared" si="1"/>
        <v>1</v>
      </c>
      <c r="J601" s="39" t="str">
        <f t="shared" si="2"/>
        <v/>
      </c>
      <c r="K601" s="39" t="str">
        <f t="array" ref="K601">IF(J601="","",IF(XLOOKUP(J601,Strike_Review_Queue!$I:$I,Strike_Review_Queue!$J:$J,"")="Approve","Approved",IF(XLOOKUP(J601,Strike_Review_Queue!$I:$I,Strike_Review_Queue!$J:$J,"")="Deny","Counts",H601)))</f>
        <v/>
      </c>
      <c r="L601" s="39" t="str">
        <f t="array" ref="L601">IF(J601="","",XLOOKUP(J601,Strike_Review_Queue!$I:$I,Strike_Review_Queue!$L:$L,""))</f>
        <v/>
      </c>
      <c r="M601" s="39" t="str">
        <f t="array" ref="M601">IF(J601="","",XLOOKUP(J601,Strike_Review_Queue!$I:$I,Strike_Review_Queue!$M:$M,""))</f>
        <v/>
      </c>
    </row>
    <row r="602" ht="15.75" customHeight="1">
      <c r="C602" s="39"/>
      <c r="D602" s="39" t="str">
        <f>IF(OR(B602="",A602=""),"",MAX(0,MIN(3,SUMIFS($C$2:$C$1000,$B$2:$B$1000,B602,$A$2:$A$1000,"&lt;="&amp;A602,$A$2:$A$1000,"&gt;="&amp;IF(Config!$B$1004="Y",A602-Config!$B$1005,DATE(1900,1,1)),$I$2:$I$1000,1)))))</f>
        <v>#ERROR!</v>
      </c>
      <c r="H602" s="39"/>
      <c r="I602" s="39">
        <f t="shared" si="1"/>
        <v>1</v>
      </c>
      <c r="J602" s="39" t="str">
        <f t="shared" si="2"/>
        <v/>
      </c>
      <c r="K602" s="39" t="str">
        <f t="array" ref="K602">IF(J602="","",IF(XLOOKUP(J602,Strike_Review_Queue!$I:$I,Strike_Review_Queue!$J:$J,"")="Approve","Approved",IF(XLOOKUP(J602,Strike_Review_Queue!$I:$I,Strike_Review_Queue!$J:$J,"")="Deny","Counts",H602)))</f>
        <v/>
      </c>
      <c r="L602" s="39" t="str">
        <f t="array" ref="L602">IF(J602="","",XLOOKUP(J602,Strike_Review_Queue!$I:$I,Strike_Review_Queue!$L:$L,""))</f>
        <v/>
      </c>
      <c r="M602" s="39" t="str">
        <f t="array" ref="M602">IF(J602="","",XLOOKUP(J602,Strike_Review_Queue!$I:$I,Strike_Review_Queue!$M:$M,""))</f>
        <v/>
      </c>
    </row>
    <row r="603" ht="15.75" customHeight="1">
      <c r="C603" s="39"/>
      <c r="D603" s="39" t="str">
        <f>IF(OR(B603="",A603=""),"",MAX(0,MIN(3,SUMIFS($C$2:$C$1000,$B$2:$B$1000,B603,$A$2:$A$1000,"&lt;="&amp;A603,$A$2:$A$1000,"&gt;="&amp;IF(Config!$B$1004="Y",A603-Config!$B$1005,DATE(1900,1,1)),$I$2:$I$1000,1)))))</f>
        <v>#ERROR!</v>
      </c>
      <c r="H603" s="39"/>
      <c r="I603" s="39">
        <f t="shared" si="1"/>
        <v>1</v>
      </c>
      <c r="J603" s="39" t="str">
        <f t="shared" si="2"/>
        <v/>
      </c>
      <c r="K603" s="39" t="str">
        <f t="array" ref="K603">IF(J603="","",IF(XLOOKUP(J603,Strike_Review_Queue!$I:$I,Strike_Review_Queue!$J:$J,"")="Approve","Approved",IF(XLOOKUP(J603,Strike_Review_Queue!$I:$I,Strike_Review_Queue!$J:$J,"")="Deny","Counts",H603)))</f>
        <v/>
      </c>
      <c r="L603" s="39" t="str">
        <f t="array" ref="L603">IF(J603="","",XLOOKUP(J603,Strike_Review_Queue!$I:$I,Strike_Review_Queue!$L:$L,""))</f>
        <v/>
      </c>
      <c r="M603" s="39" t="str">
        <f t="array" ref="M603">IF(J603="","",XLOOKUP(J603,Strike_Review_Queue!$I:$I,Strike_Review_Queue!$M:$M,""))</f>
        <v/>
      </c>
    </row>
    <row r="604" ht="15.75" customHeight="1">
      <c r="C604" s="39"/>
      <c r="D604" s="39" t="str">
        <f>IF(OR(B604="",A604=""),"",MAX(0,MIN(3,SUMIFS($C$2:$C$1000,$B$2:$B$1000,B604,$A$2:$A$1000,"&lt;="&amp;A604,$A$2:$A$1000,"&gt;="&amp;IF(Config!$B$1004="Y",A604-Config!$B$1005,DATE(1900,1,1)),$I$2:$I$1000,1)))))</f>
        <v>#ERROR!</v>
      </c>
      <c r="H604" s="39"/>
      <c r="I604" s="39">
        <f t="shared" si="1"/>
        <v>1</v>
      </c>
      <c r="J604" s="39" t="str">
        <f t="shared" si="2"/>
        <v/>
      </c>
      <c r="K604" s="39" t="str">
        <f t="array" ref="K604">IF(J604="","",IF(XLOOKUP(J604,Strike_Review_Queue!$I:$I,Strike_Review_Queue!$J:$J,"")="Approve","Approved",IF(XLOOKUP(J604,Strike_Review_Queue!$I:$I,Strike_Review_Queue!$J:$J,"")="Deny","Counts",H604)))</f>
        <v/>
      </c>
      <c r="L604" s="39" t="str">
        <f t="array" ref="L604">IF(J604="","",XLOOKUP(J604,Strike_Review_Queue!$I:$I,Strike_Review_Queue!$L:$L,""))</f>
        <v/>
      </c>
      <c r="M604" s="39" t="str">
        <f t="array" ref="M604">IF(J604="","",XLOOKUP(J604,Strike_Review_Queue!$I:$I,Strike_Review_Queue!$M:$M,""))</f>
        <v/>
      </c>
    </row>
    <row r="605" ht="15.75" customHeight="1">
      <c r="C605" s="39"/>
      <c r="D605" s="39" t="str">
        <f>IF(OR(B605="",A605=""),"",MAX(0,MIN(3,SUMIFS($C$2:$C$1000,$B$2:$B$1000,B605,$A$2:$A$1000,"&lt;="&amp;A605,$A$2:$A$1000,"&gt;="&amp;IF(Config!$B$1004="Y",A605-Config!$B$1005,DATE(1900,1,1)),$I$2:$I$1000,1)))))</f>
        <v>#ERROR!</v>
      </c>
      <c r="H605" s="39"/>
      <c r="I605" s="39">
        <f t="shared" si="1"/>
        <v>1</v>
      </c>
      <c r="J605" s="39" t="str">
        <f t="shared" si="2"/>
        <v/>
      </c>
      <c r="K605" s="39" t="str">
        <f t="array" ref="K605">IF(J605="","",IF(XLOOKUP(J605,Strike_Review_Queue!$I:$I,Strike_Review_Queue!$J:$J,"")="Approve","Approved",IF(XLOOKUP(J605,Strike_Review_Queue!$I:$I,Strike_Review_Queue!$J:$J,"")="Deny","Counts",H605)))</f>
        <v/>
      </c>
      <c r="L605" s="39" t="str">
        <f t="array" ref="L605">IF(J605="","",XLOOKUP(J605,Strike_Review_Queue!$I:$I,Strike_Review_Queue!$L:$L,""))</f>
        <v/>
      </c>
      <c r="M605" s="39" t="str">
        <f t="array" ref="M605">IF(J605="","",XLOOKUP(J605,Strike_Review_Queue!$I:$I,Strike_Review_Queue!$M:$M,""))</f>
        <v/>
      </c>
    </row>
    <row r="606" ht="15.75" customHeight="1">
      <c r="C606" s="39"/>
      <c r="D606" s="39" t="str">
        <f>IF(OR(B606="",A606=""),"",MAX(0,MIN(3,SUMIFS($C$2:$C$1000,$B$2:$B$1000,B606,$A$2:$A$1000,"&lt;="&amp;A606,$A$2:$A$1000,"&gt;="&amp;IF(Config!$B$1004="Y",A606-Config!$B$1005,DATE(1900,1,1)),$I$2:$I$1000,1)))))</f>
        <v>#ERROR!</v>
      </c>
      <c r="H606" s="39"/>
      <c r="I606" s="39">
        <f t="shared" si="1"/>
        <v>1</v>
      </c>
      <c r="J606" s="39" t="str">
        <f t="shared" si="2"/>
        <v/>
      </c>
      <c r="K606" s="39" t="str">
        <f t="array" ref="K606">IF(J606="","",IF(XLOOKUP(J606,Strike_Review_Queue!$I:$I,Strike_Review_Queue!$J:$J,"")="Approve","Approved",IF(XLOOKUP(J606,Strike_Review_Queue!$I:$I,Strike_Review_Queue!$J:$J,"")="Deny","Counts",H606)))</f>
        <v/>
      </c>
      <c r="L606" s="39" t="str">
        <f t="array" ref="L606">IF(J606="","",XLOOKUP(J606,Strike_Review_Queue!$I:$I,Strike_Review_Queue!$L:$L,""))</f>
        <v/>
      </c>
      <c r="M606" s="39" t="str">
        <f t="array" ref="M606">IF(J606="","",XLOOKUP(J606,Strike_Review_Queue!$I:$I,Strike_Review_Queue!$M:$M,""))</f>
        <v/>
      </c>
    </row>
    <row r="607" ht="15.75" customHeight="1">
      <c r="C607" s="39"/>
      <c r="D607" s="39" t="str">
        <f>IF(OR(B607="",A607=""),"",MAX(0,MIN(3,SUMIFS($C$2:$C$1000,$B$2:$B$1000,B607,$A$2:$A$1000,"&lt;="&amp;A607,$A$2:$A$1000,"&gt;="&amp;IF(Config!$B$1004="Y",A607-Config!$B$1005,DATE(1900,1,1)),$I$2:$I$1000,1)))))</f>
        <v>#ERROR!</v>
      </c>
      <c r="H607" s="39"/>
      <c r="I607" s="39">
        <f t="shared" si="1"/>
        <v>1</v>
      </c>
      <c r="J607" s="39" t="str">
        <f t="shared" si="2"/>
        <v/>
      </c>
      <c r="K607" s="39" t="str">
        <f t="array" ref="K607">IF(J607="","",IF(XLOOKUP(J607,Strike_Review_Queue!$I:$I,Strike_Review_Queue!$J:$J,"")="Approve","Approved",IF(XLOOKUP(J607,Strike_Review_Queue!$I:$I,Strike_Review_Queue!$J:$J,"")="Deny","Counts",H607)))</f>
        <v/>
      </c>
      <c r="L607" s="39" t="str">
        <f t="array" ref="L607">IF(J607="","",XLOOKUP(J607,Strike_Review_Queue!$I:$I,Strike_Review_Queue!$L:$L,""))</f>
        <v/>
      </c>
      <c r="M607" s="39" t="str">
        <f t="array" ref="M607">IF(J607="","",XLOOKUP(J607,Strike_Review_Queue!$I:$I,Strike_Review_Queue!$M:$M,""))</f>
        <v/>
      </c>
    </row>
    <row r="608" ht="15.75" customHeight="1">
      <c r="C608" s="39"/>
      <c r="D608" s="39" t="str">
        <f>IF(OR(B608="",A608=""),"",MAX(0,MIN(3,SUMIFS($C$2:$C$1000,$B$2:$B$1000,B608,$A$2:$A$1000,"&lt;="&amp;A608,$A$2:$A$1000,"&gt;="&amp;IF(Config!$B$1004="Y",A608-Config!$B$1005,DATE(1900,1,1)),$I$2:$I$1000,1)))))</f>
        <v>#ERROR!</v>
      </c>
      <c r="H608" s="39"/>
      <c r="I608" s="39">
        <f t="shared" si="1"/>
        <v>1</v>
      </c>
      <c r="J608" s="39" t="str">
        <f t="shared" si="2"/>
        <v/>
      </c>
      <c r="K608" s="39" t="str">
        <f t="array" ref="K608">IF(J608="","",IF(XLOOKUP(J608,Strike_Review_Queue!$I:$I,Strike_Review_Queue!$J:$J,"")="Approve","Approved",IF(XLOOKUP(J608,Strike_Review_Queue!$I:$I,Strike_Review_Queue!$J:$J,"")="Deny","Counts",H608)))</f>
        <v/>
      </c>
      <c r="L608" s="39" t="str">
        <f t="array" ref="L608">IF(J608="","",XLOOKUP(J608,Strike_Review_Queue!$I:$I,Strike_Review_Queue!$L:$L,""))</f>
        <v/>
      </c>
      <c r="M608" s="39" t="str">
        <f t="array" ref="M608">IF(J608="","",XLOOKUP(J608,Strike_Review_Queue!$I:$I,Strike_Review_Queue!$M:$M,""))</f>
        <v/>
      </c>
    </row>
    <row r="609" ht="15.75" customHeight="1">
      <c r="C609" s="39"/>
      <c r="D609" s="39" t="str">
        <f>IF(OR(B609="",A609=""),"",MAX(0,MIN(3,SUMIFS($C$2:$C$1000,$B$2:$B$1000,B609,$A$2:$A$1000,"&lt;="&amp;A609,$A$2:$A$1000,"&gt;="&amp;IF(Config!$B$1004="Y",A609-Config!$B$1005,DATE(1900,1,1)),$I$2:$I$1000,1)))))</f>
        <v>#ERROR!</v>
      </c>
      <c r="H609" s="39"/>
      <c r="I609" s="39">
        <f t="shared" si="1"/>
        <v>1</v>
      </c>
      <c r="J609" s="39" t="str">
        <f t="shared" si="2"/>
        <v/>
      </c>
      <c r="K609" s="39" t="str">
        <f t="array" ref="K609">IF(J609="","",IF(XLOOKUP(J609,Strike_Review_Queue!$I:$I,Strike_Review_Queue!$J:$J,"")="Approve","Approved",IF(XLOOKUP(J609,Strike_Review_Queue!$I:$I,Strike_Review_Queue!$J:$J,"")="Deny","Counts",H609)))</f>
        <v/>
      </c>
      <c r="L609" s="39" t="str">
        <f t="array" ref="L609">IF(J609="","",XLOOKUP(J609,Strike_Review_Queue!$I:$I,Strike_Review_Queue!$L:$L,""))</f>
        <v/>
      </c>
      <c r="M609" s="39" t="str">
        <f t="array" ref="M609">IF(J609="","",XLOOKUP(J609,Strike_Review_Queue!$I:$I,Strike_Review_Queue!$M:$M,""))</f>
        <v/>
      </c>
    </row>
    <row r="610" ht="15.75" customHeight="1">
      <c r="C610" s="39"/>
      <c r="D610" s="39" t="str">
        <f>IF(OR(B610="",A610=""),"",MAX(0,MIN(3,SUMIFS($C$2:$C$1000,$B$2:$B$1000,B610,$A$2:$A$1000,"&lt;="&amp;A610,$A$2:$A$1000,"&gt;="&amp;IF(Config!$B$1004="Y",A610-Config!$B$1005,DATE(1900,1,1)),$I$2:$I$1000,1)))))</f>
        <v>#ERROR!</v>
      </c>
      <c r="H610" s="39"/>
      <c r="I610" s="39">
        <f t="shared" si="1"/>
        <v>1</v>
      </c>
      <c r="J610" s="39" t="str">
        <f t="shared" si="2"/>
        <v/>
      </c>
      <c r="K610" s="39" t="str">
        <f t="array" ref="K610">IF(J610="","",IF(XLOOKUP(J610,Strike_Review_Queue!$I:$I,Strike_Review_Queue!$J:$J,"")="Approve","Approved",IF(XLOOKUP(J610,Strike_Review_Queue!$I:$I,Strike_Review_Queue!$J:$J,"")="Deny","Counts",H610)))</f>
        <v/>
      </c>
      <c r="L610" s="39" t="str">
        <f t="array" ref="L610">IF(J610="","",XLOOKUP(J610,Strike_Review_Queue!$I:$I,Strike_Review_Queue!$L:$L,""))</f>
        <v/>
      </c>
      <c r="M610" s="39" t="str">
        <f t="array" ref="M610">IF(J610="","",XLOOKUP(J610,Strike_Review_Queue!$I:$I,Strike_Review_Queue!$M:$M,""))</f>
        <v/>
      </c>
    </row>
    <row r="611" ht="15.75" customHeight="1">
      <c r="C611" s="39"/>
      <c r="D611" s="39" t="str">
        <f>IF(OR(B611="",A611=""),"",MAX(0,MIN(3,SUMIFS($C$2:$C$1000,$B$2:$B$1000,B611,$A$2:$A$1000,"&lt;="&amp;A611,$A$2:$A$1000,"&gt;="&amp;IF(Config!$B$1004="Y",A611-Config!$B$1005,DATE(1900,1,1)),$I$2:$I$1000,1)))))</f>
        <v>#ERROR!</v>
      </c>
      <c r="H611" s="39"/>
      <c r="I611" s="39">
        <f t="shared" si="1"/>
        <v>1</v>
      </c>
      <c r="J611" s="39" t="str">
        <f t="shared" si="2"/>
        <v/>
      </c>
      <c r="K611" s="39" t="str">
        <f t="array" ref="K611">IF(J611="","",IF(XLOOKUP(J611,Strike_Review_Queue!$I:$I,Strike_Review_Queue!$J:$J,"")="Approve","Approved",IF(XLOOKUP(J611,Strike_Review_Queue!$I:$I,Strike_Review_Queue!$J:$J,"")="Deny","Counts",H611)))</f>
        <v/>
      </c>
      <c r="L611" s="39" t="str">
        <f t="array" ref="L611">IF(J611="","",XLOOKUP(J611,Strike_Review_Queue!$I:$I,Strike_Review_Queue!$L:$L,""))</f>
        <v/>
      </c>
      <c r="M611" s="39" t="str">
        <f t="array" ref="M611">IF(J611="","",XLOOKUP(J611,Strike_Review_Queue!$I:$I,Strike_Review_Queue!$M:$M,""))</f>
        <v/>
      </c>
    </row>
    <row r="612" ht="15.75" customHeight="1">
      <c r="C612" s="39"/>
      <c r="D612" s="39" t="str">
        <f>IF(OR(B612="",A612=""),"",MAX(0,MIN(3,SUMIFS($C$2:$C$1000,$B$2:$B$1000,B612,$A$2:$A$1000,"&lt;="&amp;A612,$A$2:$A$1000,"&gt;="&amp;IF(Config!$B$1004="Y",A612-Config!$B$1005,DATE(1900,1,1)),$I$2:$I$1000,1)))))</f>
        <v>#ERROR!</v>
      </c>
      <c r="H612" s="39"/>
      <c r="I612" s="39">
        <f t="shared" si="1"/>
        <v>1</v>
      </c>
      <c r="J612" s="39" t="str">
        <f t="shared" si="2"/>
        <v/>
      </c>
      <c r="K612" s="39" t="str">
        <f t="array" ref="K612">IF(J612="","",IF(XLOOKUP(J612,Strike_Review_Queue!$I:$I,Strike_Review_Queue!$J:$J,"")="Approve","Approved",IF(XLOOKUP(J612,Strike_Review_Queue!$I:$I,Strike_Review_Queue!$J:$J,"")="Deny","Counts",H612)))</f>
        <v/>
      </c>
      <c r="L612" s="39" t="str">
        <f t="array" ref="L612">IF(J612="","",XLOOKUP(J612,Strike_Review_Queue!$I:$I,Strike_Review_Queue!$L:$L,""))</f>
        <v/>
      </c>
      <c r="M612" s="39" t="str">
        <f t="array" ref="M612">IF(J612="","",XLOOKUP(J612,Strike_Review_Queue!$I:$I,Strike_Review_Queue!$M:$M,""))</f>
        <v/>
      </c>
    </row>
    <row r="613" ht="15.75" customHeight="1">
      <c r="C613" s="39"/>
      <c r="D613" s="39" t="str">
        <f>IF(OR(B613="",A613=""),"",MAX(0,MIN(3,SUMIFS($C$2:$C$1000,$B$2:$B$1000,B613,$A$2:$A$1000,"&lt;="&amp;A613,$A$2:$A$1000,"&gt;="&amp;IF(Config!$B$1004="Y",A613-Config!$B$1005,DATE(1900,1,1)),$I$2:$I$1000,1)))))</f>
        <v>#ERROR!</v>
      </c>
      <c r="H613" s="39"/>
      <c r="I613" s="39">
        <f t="shared" si="1"/>
        <v>1</v>
      </c>
      <c r="J613" s="39" t="str">
        <f t="shared" si="2"/>
        <v/>
      </c>
      <c r="K613" s="39" t="str">
        <f t="array" ref="K613">IF(J613="","",IF(XLOOKUP(J613,Strike_Review_Queue!$I:$I,Strike_Review_Queue!$J:$J,"")="Approve","Approved",IF(XLOOKUP(J613,Strike_Review_Queue!$I:$I,Strike_Review_Queue!$J:$J,"")="Deny","Counts",H613)))</f>
        <v/>
      </c>
      <c r="L613" s="39" t="str">
        <f t="array" ref="L613">IF(J613="","",XLOOKUP(J613,Strike_Review_Queue!$I:$I,Strike_Review_Queue!$L:$L,""))</f>
        <v/>
      </c>
      <c r="M613" s="39" t="str">
        <f t="array" ref="M613">IF(J613="","",XLOOKUP(J613,Strike_Review_Queue!$I:$I,Strike_Review_Queue!$M:$M,""))</f>
        <v/>
      </c>
    </row>
    <row r="614" ht="15.75" customHeight="1">
      <c r="C614" s="39"/>
      <c r="D614" s="39" t="str">
        <f>IF(OR(B614="",A614=""),"",MAX(0,MIN(3,SUMIFS($C$2:$C$1000,$B$2:$B$1000,B614,$A$2:$A$1000,"&lt;="&amp;A614,$A$2:$A$1000,"&gt;="&amp;IF(Config!$B$1004="Y",A614-Config!$B$1005,DATE(1900,1,1)),$I$2:$I$1000,1)))))</f>
        <v>#ERROR!</v>
      </c>
      <c r="H614" s="39"/>
      <c r="I614" s="39">
        <f t="shared" si="1"/>
        <v>1</v>
      </c>
      <c r="J614" s="39" t="str">
        <f t="shared" si="2"/>
        <v/>
      </c>
      <c r="K614" s="39" t="str">
        <f t="array" ref="K614">IF(J614="","",IF(XLOOKUP(J614,Strike_Review_Queue!$I:$I,Strike_Review_Queue!$J:$J,"")="Approve","Approved",IF(XLOOKUP(J614,Strike_Review_Queue!$I:$I,Strike_Review_Queue!$J:$J,"")="Deny","Counts",H614)))</f>
        <v/>
      </c>
      <c r="L614" s="39" t="str">
        <f t="array" ref="L614">IF(J614="","",XLOOKUP(J614,Strike_Review_Queue!$I:$I,Strike_Review_Queue!$L:$L,""))</f>
        <v/>
      </c>
      <c r="M614" s="39" t="str">
        <f t="array" ref="M614">IF(J614="","",XLOOKUP(J614,Strike_Review_Queue!$I:$I,Strike_Review_Queue!$M:$M,""))</f>
        <v/>
      </c>
    </row>
    <row r="615" ht="15.75" customHeight="1">
      <c r="C615" s="39"/>
      <c r="D615" s="39" t="str">
        <f>IF(OR(B615="",A615=""),"",MAX(0,MIN(3,SUMIFS($C$2:$C$1000,$B$2:$B$1000,B615,$A$2:$A$1000,"&lt;="&amp;A615,$A$2:$A$1000,"&gt;="&amp;IF(Config!$B$1004="Y",A615-Config!$B$1005,DATE(1900,1,1)),$I$2:$I$1000,1)))))</f>
        <v>#ERROR!</v>
      </c>
      <c r="H615" s="39"/>
      <c r="I615" s="39">
        <f t="shared" si="1"/>
        <v>1</v>
      </c>
      <c r="J615" s="39" t="str">
        <f t="shared" si="2"/>
        <v/>
      </c>
      <c r="K615" s="39" t="str">
        <f t="array" ref="K615">IF(J615="","",IF(XLOOKUP(J615,Strike_Review_Queue!$I:$I,Strike_Review_Queue!$J:$J,"")="Approve","Approved",IF(XLOOKUP(J615,Strike_Review_Queue!$I:$I,Strike_Review_Queue!$J:$J,"")="Deny","Counts",H615)))</f>
        <v/>
      </c>
      <c r="L615" s="39" t="str">
        <f t="array" ref="L615">IF(J615="","",XLOOKUP(J615,Strike_Review_Queue!$I:$I,Strike_Review_Queue!$L:$L,""))</f>
        <v/>
      </c>
      <c r="M615" s="39" t="str">
        <f t="array" ref="M615">IF(J615="","",XLOOKUP(J615,Strike_Review_Queue!$I:$I,Strike_Review_Queue!$M:$M,""))</f>
        <v/>
      </c>
    </row>
    <row r="616" ht="15.75" customHeight="1">
      <c r="C616" s="39"/>
      <c r="D616" s="39" t="str">
        <f>IF(OR(B616="",A616=""),"",MAX(0,MIN(3,SUMIFS($C$2:$C$1000,$B$2:$B$1000,B616,$A$2:$A$1000,"&lt;="&amp;A616,$A$2:$A$1000,"&gt;="&amp;IF(Config!$B$1004="Y",A616-Config!$B$1005,DATE(1900,1,1)),$I$2:$I$1000,1)))))</f>
        <v>#ERROR!</v>
      </c>
      <c r="H616" s="39"/>
      <c r="I616" s="39">
        <f t="shared" si="1"/>
        <v>1</v>
      </c>
      <c r="J616" s="39" t="str">
        <f t="shared" si="2"/>
        <v/>
      </c>
      <c r="K616" s="39" t="str">
        <f t="array" ref="K616">IF(J616="","",IF(XLOOKUP(J616,Strike_Review_Queue!$I:$I,Strike_Review_Queue!$J:$J,"")="Approve","Approved",IF(XLOOKUP(J616,Strike_Review_Queue!$I:$I,Strike_Review_Queue!$J:$J,"")="Deny","Counts",H616)))</f>
        <v/>
      </c>
      <c r="L616" s="39" t="str">
        <f t="array" ref="L616">IF(J616="","",XLOOKUP(J616,Strike_Review_Queue!$I:$I,Strike_Review_Queue!$L:$L,""))</f>
        <v/>
      </c>
      <c r="M616" s="39" t="str">
        <f t="array" ref="M616">IF(J616="","",XLOOKUP(J616,Strike_Review_Queue!$I:$I,Strike_Review_Queue!$M:$M,""))</f>
        <v/>
      </c>
    </row>
    <row r="617" ht="15.75" customHeight="1">
      <c r="C617" s="39"/>
      <c r="D617" s="39" t="str">
        <f>IF(OR(B617="",A617=""),"",MAX(0,MIN(3,SUMIFS($C$2:$C$1000,$B$2:$B$1000,B617,$A$2:$A$1000,"&lt;="&amp;A617,$A$2:$A$1000,"&gt;="&amp;IF(Config!$B$1004="Y",A617-Config!$B$1005,DATE(1900,1,1)),$I$2:$I$1000,1)))))</f>
        <v>#ERROR!</v>
      </c>
      <c r="H617" s="39"/>
      <c r="I617" s="39">
        <f t="shared" si="1"/>
        <v>1</v>
      </c>
      <c r="J617" s="39" t="str">
        <f t="shared" si="2"/>
        <v/>
      </c>
      <c r="K617" s="39" t="str">
        <f t="array" ref="K617">IF(J617="","",IF(XLOOKUP(J617,Strike_Review_Queue!$I:$I,Strike_Review_Queue!$J:$J,"")="Approve","Approved",IF(XLOOKUP(J617,Strike_Review_Queue!$I:$I,Strike_Review_Queue!$J:$J,"")="Deny","Counts",H617)))</f>
        <v/>
      </c>
      <c r="L617" s="39" t="str">
        <f t="array" ref="L617">IF(J617="","",XLOOKUP(J617,Strike_Review_Queue!$I:$I,Strike_Review_Queue!$L:$L,""))</f>
        <v/>
      </c>
      <c r="M617" s="39" t="str">
        <f t="array" ref="M617">IF(J617="","",XLOOKUP(J617,Strike_Review_Queue!$I:$I,Strike_Review_Queue!$M:$M,""))</f>
        <v/>
      </c>
    </row>
    <row r="618" ht="15.75" customHeight="1">
      <c r="C618" s="39"/>
      <c r="D618" s="39" t="str">
        <f>IF(OR(B618="",A618=""),"",MAX(0,MIN(3,SUMIFS($C$2:$C$1000,$B$2:$B$1000,B618,$A$2:$A$1000,"&lt;="&amp;A618,$A$2:$A$1000,"&gt;="&amp;IF(Config!$B$1004="Y",A618-Config!$B$1005,DATE(1900,1,1)),$I$2:$I$1000,1)))))</f>
        <v>#ERROR!</v>
      </c>
      <c r="H618" s="39"/>
      <c r="I618" s="39">
        <f t="shared" si="1"/>
        <v>1</v>
      </c>
      <c r="J618" s="39" t="str">
        <f t="shared" si="2"/>
        <v/>
      </c>
      <c r="K618" s="39" t="str">
        <f t="array" ref="K618">IF(J618="","",IF(XLOOKUP(J618,Strike_Review_Queue!$I:$I,Strike_Review_Queue!$J:$J,"")="Approve","Approved",IF(XLOOKUP(J618,Strike_Review_Queue!$I:$I,Strike_Review_Queue!$J:$J,"")="Deny","Counts",H618)))</f>
        <v/>
      </c>
      <c r="L618" s="39" t="str">
        <f t="array" ref="L618">IF(J618="","",XLOOKUP(J618,Strike_Review_Queue!$I:$I,Strike_Review_Queue!$L:$L,""))</f>
        <v/>
      </c>
      <c r="M618" s="39" t="str">
        <f t="array" ref="M618">IF(J618="","",XLOOKUP(J618,Strike_Review_Queue!$I:$I,Strike_Review_Queue!$M:$M,""))</f>
        <v/>
      </c>
    </row>
    <row r="619" ht="15.75" customHeight="1">
      <c r="C619" s="39"/>
      <c r="D619" s="39" t="str">
        <f>IF(OR(B619="",A619=""),"",MAX(0,MIN(3,SUMIFS($C$2:$C$1000,$B$2:$B$1000,B619,$A$2:$A$1000,"&lt;="&amp;A619,$A$2:$A$1000,"&gt;="&amp;IF(Config!$B$1004="Y",A619-Config!$B$1005,DATE(1900,1,1)),$I$2:$I$1000,1)))))</f>
        <v>#ERROR!</v>
      </c>
      <c r="H619" s="39"/>
      <c r="I619" s="39">
        <f t="shared" si="1"/>
        <v>1</v>
      </c>
      <c r="J619" s="39" t="str">
        <f t="shared" si="2"/>
        <v/>
      </c>
      <c r="K619" s="39" t="str">
        <f t="array" ref="K619">IF(J619="","",IF(XLOOKUP(J619,Strike_Review_Queue!$I:$I,Strike_Review_Queue!$J:$J,"")="Approve","Approved",IF(XLOOKUP(J619,Strike_Review_Queue!$I:$I,Strike_Review_Queue!$J:$J,"")="Deny","Counts",H619)))</f>
        <v/>
      </c>
      <c r="L619" s="39" t="str">
        <f t="array" ref="L619">IF(J619="","",XLOOKUP(J619,Strike_Review_Queue!$I:$I,Strike_Review_Queue!$L:$L,""))</f>
        <v/>
      </c>
      <c r="M619" s="39" t="str">
        <f t="array" ref="M619">IF(J619="","",XLOOKUP(J619,Strike_Review_Queue!$I:$I,Strike_Review_Queue!$M:$M,""))</f>
        <v/>
      </c>
    </row>
    <row r="620" ht="15.75" customHeight="1">
      <c r="C620" s="39"/>
      <c r="D620" s="39" t="str">
        <f>IF(OR(B620="",A620=""),"",MAX(0,MIN(3,SUMIFS($C$2:$C$1000,$B$2:$B$1000,B620,$A$2:$A$1000,"&lt;="&amp;A620,$A$2:$A$1000,"&gt;="&amp;IF(Config!$B$1004="Y",A620-Config!$B$1005,DATE(1900,1,1)),$I$2:$I$1000,1)))))</f>
        <v>#ERROR!</v>
      </c>
      <c r="H620" s="39"/>
      <c r="I620" s="39">
        <f t="shared" si="1"/>
        <v>1</v>
      </c>
      <c r="J620" s="39" t="str">
        <f t="shared" si="2"/>
        <v/>
      </c>
      <c r="K620" s="39" t="str">
        <f t="array" ref="K620">IF(J620="","",IF(XLOOKUP(J620,Strike_Review_Queue!$I:$I,Strike_Review_Queue!$J:$J,"")="Approve","Approved",IF(XLOOKUP(J620,Strike_Review_Queue!$I:$I,Strike_Review_Queue!$J:$J,"")="Deny","Counts",H620)))</f>
        <v/>
      </c>
      <c r="L620" s="39" t="str">
        <f t="array" ref="L620">IF(J620="","",XLOOKUP(J620,Strike_Review_Queue!$I:$I,Strike_Review_Queue!$L:$L,""))</f>
        <v/>
      </c>
      <c r="M620" s="39" t="str">
        <f t="array" ref="M620">IF(J620="","",XLOOKUP(J620,Strike_Review_Queue!$I:$I,Strike_Review_Queue!$M:$M,""))</f>
        <v/>
      </c>
    </row>
    <row r="621" ht="15.75" customHeight="1">
      <c r="C621" s="39"/>
      <c r="D621" s="39" t="str">
        <f>IF(OR(B621="",A621=""),"",MAX(0,MIN(3,SUMIFS($C$2:$C$1000,$B$2:$B$1000,B621,$A$2:$A$1000,"&lt;="&amp;A621,$A$2:$A$1000,"&gt;="&amp;IF(Config!$B$1004="Y",A621-Config!$B$1005,DATE(1900,1,1)),$I$2:$I$1000,1)))))</f>
        <v>#ERROR!</v>
      </c>
      <c r="H621" s="39"/>
      <c r="I621" s="39">
        <f t="shared" si="1"/>
        <v>1</v>
      </c>
      <c r="J621" s="39" t="str">
        <f t="shared" si="2"/>
        <v/>
      </c>
      <c r="K621" s="39" t="str">
        <f t="array" ref="K621">IF(J621="","",IF(XLOOKUP(J621,Strike_Review_Queue!$I:$I,Strike_Review_Queue!$J:$J,"")="Approve","Approved",IF(XLOOKUP(J621,Strike_Review_Queue!$I:$I,Strike_Review_Queue!$J:$J,"")="Deny","Counts",H621)))</f>
        <v/>
      </c>
      <c r="L621" s="39" t="str">
        <f t="array" ref="L621">IF(J621="","",XLOOKUP(J621,Strike_Review_Queue!$I:$I,Strike_Review_Queue!$L:$L,""))</f>
        <v/>
      </c>
      <c r="M621" s="39" t="str">
        <f t="array" ref="M621">IF(J621="","",XLOOKUP(J621,Strike_Review_Queue!$I:$I,Strike_Review_Queue!$M:$M,""))</f>
        <v/>
      </c>
    </row>
    <row r="622" ht="15.75" customHeight="1">
      <c r="C622" s="39"/>
      <c r="D622" s="39" t="str">
        <f>IF(OR(B622="",A622=""),"",MAX(0,MIN(3,SUMIFS($C$2:$C$1000,$B$2:$B$1000,B622,$A$2:$A$1000,"&lt;="&amp;A622,$A$2:$A$1000,"&gt;="&amp;IF(Config!$B$1004="Y",A622-Config!$B$1005,DATE(1900,1,1)),$I$2:$I$1000,1)))))</f>
        <v>#ERROR!</v>
      </c>
      <c r="H622" s="39"/>
      <c r="I622" s="39">
        <f t="shared" si="1"/>
        <v>1</v>
      </c>
      <c r="J622" s="39" t="str">
        <f t="shared" si="2"/>
        <v/>
      </c>
      <c r="K622" s="39" t="str">
        <f t="array" ref="K622">IF(J622="","",IF(XLOOKUP(J622,Strike_Review_Queue!$I:$I,Strike_Review_Queue!$J:$J,"")="Approve","Approved",IF(XLOOKUP(J622,Strike_Review_Queue!$I:$I,Strike_Review_Queue!$J:$J,"")="Deny","Counts",H622)))</f>
        <v/>
      </c>
      <c r="L622" s="39" t="str">
        <f t="array" ref="L622">IF(J622="","",XLOOKUP(J622,Strike_Review_Queue!$I:$I,Strike_Review_Queue!$L:$L,""))</f>
        <v/>
      </c>
      <c r="M622" s="39" t="str">
        <f t="array" ref="M622">IF(J622="","",XLOOKUP(J622,Strike_Review_Queue!$I:$I,Strike_Review_Queue!$M:$M,""))</f>
        <v/>
      </c>
    </row>
    <row r="623" ht="15.75" customHeight="1">
      <c r="C623" s="39"/>
      <c r="D623" s="39" t="str">
        <f>IF(OR(B623="",A623=""),"",MAX(0,MIN(3,SUMIFS($C$2:$C$1000,$B$2:$B$1000,B623,$A$2:$A$1000,"&lt;="&amp;A623,$A$2:$A$1000,"&gt;="&amp;IF(Config!$B$1004="Y",A623-Config!$B$1005,DATE(1900,1,1)),$I$2:$I$1000,1)))))</f>
        <v>#ERROR!</v>
      </c>
      <c r="H623" s="39"/>
      <c r="I623" s="39">
        <f t="shared" si="1"/>
        <v>1</v>
      </c>
      <c r="J623" s="39" t="str">
        <f t="shared" si="2"/>
        <v/>
      </c>
      <c r="K623" s="39" t="str">
        <f t="array" ref="K623">IF(J623="","",IF(XLOOKUP(J623,Strike_Review_Queue!$I:$I,Strike_Review_Queue!$J:$J,"")="Approve","Approved",IF(XLOOKUP(J623,Strike_Review_Queue!$I:$I,Strike_Review_Queue!$J:$J,"")="Deny","Counts",H623)))</f>
        <v/>
      </c>
      <c r="L623" s="39" t="str">
        <f t="array" ref="L623">IF(J623="","",XLOOKUP(J623,Strike_Review_Queue!$I:$I,Strike_Review_Queue!$L:$L,""))</f>
        <v/>
      </c>
      <c r="M623" s="39" t="str">
        <f t="array" ref="M623">IF(J623="","",XLOOKUP(J623,Strike_Review_Queue!$I:$I,Strike_Review_Queue!$M:$M,""))</f>
        <v/>
      </c>
    </row>
    <row r="624" ht="15.75" customHeight="1">
      <c r="C624" s="39"/>
      <c r="D624" s="39" t="str">
        <f>IF(OR(B624="",A624=""),"",MAX(0,MIN(3,SUMIFS($C$2:$C$1000,$B$2:$B$1000,B624,$A$2:$A$1000,"&lt;="&amp;A624,$A$2:$A$1000,"&gt;="&amp;IF(Config!$B$1004="Y",A624-Config!$B$1005,DATE(1900,1,1)),$I$2:$I$1000,1)))))</f>
        <v>#ERROR!</v>
      </c>
      <c r="H624" s="39"/>
      <c r="I624" s="39">
        <f t="shared" si="1"/>
        <v>1</v>
      </c>
      <c r="J624" s="39" t="str">
        <f t="shared" si="2"/>
        <v/>
      </c>
      <c r="K624" s="39" t="str">
        <f t="array" ref="K624">IF(J624="","",IF(XLOOKUP(J624,Strike_Review_Queue!$I:$I,Strike_Review_Queue!$J:$J,"")="Approve","Approved",IF(XLOOKUP(J624,Strike_Review_Queue!$I:$I,Strike_Review_Queue!$J:$J,"")="Deny","Counts",H624)))</f>
        <v/>
      </c>
      <c r="L624" s="39" t="str">
        <f t="array" ref="L624">IF(J624="","",XLOOKUP(J624,Strike_Review_Queue!$I:$I,Strike_Review_Queue!$L:$L,""))</f>
        <v/>
      </c>
      <c r="M624" s="39" t="str">
        <f t="array" ref="M624">IF(J624="","",XLOOKUP(J624,Strike_Review_Queue!$I:$I,Strike_Review_Queue!$M:$M,""))</f>
        <v/>
      </c>
    </row>
    <row r="625" ht="15.75" customHeight="1">
      <c r="C625" s="39"/>
      <c r="D625" s="39" t="str">
        <f>IF(OR(B625="",A625=""),"",MAX(0,MIN(3,SUMIFS($C$2:$C$1000,$B$2:$B$1000,B625,$A$2:$A$1000,"&lt;="&amp;A625,$A$2:$A$1000,"&gt;="&amp;IF(Config!$B$1004="Y",A625-Config!$B$1005,DATE(1900,1,1)),$I$2:$I$1000,1)))))</f>
        <v>#ERROR!</v>
      </c>
      <c r="H625" s="39"/>
      <c r="I625" s="39">
        <f t="shared" si="1"/>
        <v>1</v>
      </c>
      <c r="J625" s="39" t="str">
        <f t="shared" si="2"/>
        <v/>
      </c>
      <c r="K625" s="39" t="str">
        <f t="array" ref="K625">IF(J625="","",IF(XLOOKUP(J625,Strike_Review_Queue!$I:$I,Strike_Review_Queue!$J:$J,"")="Approve","Approved",IF(XLOOKUP(J625,Strike_Review_Queue!$I:$I,Strike_Review_Queue!$J:$J,"")="Deny","Counts",H625)))</f>
        <v/>
      </c>
      <c r="L625" s="39" t="str">
        <f t="array" ref="L625">IF(J625="","",XLOOKUP(J625,Strike_Review_Queue!$I:$I,Strike_Review_Queue!$L:$L,""))</f>
        <v/>
      </c>
      <c r="M625" s="39" t="str">
        <f t="array" ref="M625">IF(J625="","",XLOOKUP(J625,Strike_Review_Queue!$I:$I,Strike_Review_Queue!$M:$M,""))</f>
        <v/>
      </c>
    </row>
    <row r="626" ht="15.75" customHeight="1">
      <c r="C626" s="39"/>
      <c r="D626" s="39" t="str">
        <f>IF(OR(B626="",A626=""),"",MAX(0,MIN(3,SUMIFS($C$2:$C$1000,$B$2:$B$1000,B626,$A$2:$A$1000,"&lt;="&amp;A626,$A$2:$A$1000,"&gt;="&amp;IF(Config!$B$1004="Y",A626-Config!$B$1005,DATE(1900,1,1)),$I$2:$I$1000,1)))))</f>
        <v>#ERROR!</v>
      </c>
      <c r="H626" s="39"/>
      <c r="I626" s="39">
        <f t="shared" si="1"/>
        <v>1</v>
      </c>
      <c r="J626" s="39" t="str">
        <f t="shared" si="2"/>
        <v/>
      </c>
      <c r="K626" s="39" t="str">
        <f t="array" ref="K626">IF(J626="","",IF(XLOOKUP(J626,Strike_Review_Queue!$I:$I,Strike_Review_Queue!$J:$J,"")="Approve","Approved",IF(XLOOKUP(J626,Strike_Review_Queue!$I:$I,Strike_Review_Queue!$J:$J,"")="Deny","Counts",H626)))</f>
        <v/>
      </c>
      <c r="L626" s="39" t="str">
        <f t="array" ref="L626">IF(J626="","",XLOOKUP(J626,Strike_Review_Queue!$I:$I,Strike_Review_Queue!$L:$L,""))</f>
        <v/>
      </c>
      <c r="M626" s="39" t="str">
        <f t="array" ref="M626">IF(J626="","",XLOOKUP(J626,Strike_Review_Queue!$I:$I,Strike_Review_Queue!$M:$M,""))</f>
        <v/>
      </c>
    </row>
    <row r="627" ht="15.75" customHeight="1">
      <c r="C627" s="39"/>
      <c r="D627" s="39" t="str">
        <f>IF(OR(B627="",A627=""),"",MAX(0,MIN(3,SUMIFS($C$2:$C$1000,$B$2:$B$1000,B627,$A$2:$A$1000,"&lt;="&amp;A627,$A$2:$A$1000,"&gt;="&amp;IF(Config!$B$1004="Y",A627-Config!$B$1005,DATE(1900,1,1)),$I$2:$I$1000,1)))))</f>
        <v>#ERROR!</v>
      </c>
      <c r="H627" s="39"/>
      <c r="I627" s="39">
        <f t="shared" si="1"/>
        <v>1</v>
      </c>
      <c r="J627" s="39" t="str">
        <f t="shared" si="2"/>
        <v/>
      </c>
      <c r="K627" s="39" t="str">
        <f t="array" ref="K627">IF(J627="","",IF(XLOOKUP(J627,Strike_Review_Queue!$I:$I,Strike_Review_Queue!$J:$J,"")="Approve","Approved",IF(XLOOKUP(J627,Strike_Review_Queue!$I:$I,Strike_Review_Queue!$J:$J,"")="Deny","Counts",H627)))</f>
        <v/>
      </c>
      <c r="L627" s="39" t="str">
        <f t="array" ref="L627">IF(J627="","",XLOOKUP(J627,Strike_Review_Queue!$I:$I,Strike_Review_Queue!$L:$L,""))</f>
        <v/>
      </c>
      <c r="M627" s="39" t="str">
        <f t="array" ref="M627">IF(J627="","",XLOOKUP(J627,Strike_Review_Queue!$I:$I,Strike_Review_Queue!$M:$M,""))</f>
        <v/>
      </c>
    </row>
    <row r="628" ht="15.75" customHeight="1">
      <c r="C628" s="39"/>
      <c r="D628" s="39" t="str">
        <f>IF(OR(B628="",A628=""),"",MAX(0,MIN(3,SUMIFS($C$2:$C$1000,$B$2:$B$1000,B628,$A$2:$A$1000,"&lt;="&amp;A628,$A$2:$A$1000,"&gt;="&amp;IF(Config!$B$1004="Y",A628-Config!$B$1005,DATE(1900,1,1)),$I$2:$I$1000,1)))))</f>
        <v>#ERROR!</v>
      </c>
      <c r="H628" s="39"/>
      <c r="I628" s="39">
        <f t="shared" si="1"/>
        <v>1</v>
      </c>
      <c r="J628" s="39" t="str">
        <f t="shared" si="2"/>
        <v/>
      </c>
      <c r="K628" s="39" t="str">
        <f t="array" ref="K628">IF(J628="","",IF(XLOOKUP(J628,Strike_Review_Queue!$I:$I,Strike_Review_Queue!$J:$J,"")="Approve","Approved",IF(XLOOKUP(J628,Strike_Review_Queue!$I:$I,Strike_Review_Queue!$J:$J,"")="Deny","Counts",H628)))</f>
        <v/>
      </c>
      <c r="L628" s="39" t="str">
        <f t="array" ref="L628">IF(J628="","",XLOOKUP(J628,Strike_Review_Queue!$I:$I,Strike_Review_Queue!$L:$L,""))</f>
        <v/>
      </c>
      <c r="M628" s="39" t="str">
        <f t="array" ref="M628">IF(J628="","",XLOOKUP(J628,Strike_Review_Queue!$I:$I,Strike_Review_Queue!$M:$M,""))</f>
        <v/>
      </c>
    </row>
    <row r="629" ht="15.75" customHeight="1">
      <c r="C629" s="39"/>
      <c r="D629" s="39" t="str">
        <f>IF(OR(B629="",A629=""),"",MAX(0,MIN(3,SUMIFS($C$2:$C$1000,$B$2:$B$1000,B629,$A$2:$A$1000,"&lt;="&amp;A629,$A$2:$A$1000,"&gt;="&amp;IF(Config!$B$1004="Y",A629-Config!$B$1005,DATE(1900,1,1)),$I$2:$I$1000,1)))))</f>
        <v>#ERROR!</v>
      </c>
      <c r="H629" s="39"/>
      <c r="I629" s="39">
        <f t="shared" si="1"/>
        <v>1</v>
      </c>
      <c r="J629" s="39" t="str">
        <f t="shared" si="2"/>
        <v/>
      </c>
      <c r="K629" s="39" t="str">
        <f t="array" ref="K629">IF(J629="","",IF(XLOOKUP(J629,Strike_Review_Queue!$I:$I,Strike_Review_Queue!$J:$J,"")="Approve","Approved",IF(XLOOKUP(J629,Strike_Review_Queue!$I:$I,Strike_Review_Queue!$J:$J,"")="Deny","Counts",H629)))</f>
        <v/>
      </c>
      <c r="L629" s="39" t="str">
        <f t="array" ref="L629">IF(J629="","",XLOOKUP(J629,Strike_Review_Queue!$I:$I,Strike_Review_Queue!$L:$L,""))</f>
        <v/>
      </c>
      <c r="M629" s="39" t="str">
        <f t="array" ref="M629">IF(J629="","",XLOOKUP(J629,Strike_Review_Queue!$I:$I,Strike_Review_Queue!$M:$M,""))</f>
        <v/>
      </c>
    </row>
    <row r="630" ht="15.75" customHeight="1">
      <c r="C630" s="39"/>
      <c r="D630" s="39" t="str">
        <f>IF(OR(B630="",A630=""),"",MAX(0,MIN(3,SUMIFS($C$2:$C$1000,$B$2:$B$1000,B630,$A$2:$A$1000,"&lt;="&amp;A630,$A$2:$A$1000,"&gt;="&amp;IF(Config!$B$1004="Y",A630-Config!$B$1005,DATE(1900,1,1)),$I$2:$I$1000,1)))))</f>
        <v>#ERROR!</v>
      </c>
      <c r="H630" s="39"/>
      <c r="I630" s="39">
        <f t="shared" si="1"/>
        <v>1</v>
      </c>
      <c r="J630" s="39" t="str">
        <f t="shared" si="2"/>
        <v/>
      </c>
      <c r="K630" s="39" t="str">
        <f t="array" ref="K630">IF(J630="","",IF(XLOOKUP(J630,Strike_Review_Queue!$I:$I,Strike_Review_Queue!$J:$J,"")="Approve","Approved",IF(XLOOKUP(J630,Strike_Review_Queue!$I:$I,Strike_Review_Queue!$J:$J,"")="Deny","Counts",H630)))</f>
        <v/>
      </c>
      <c r="L630" s="39" t="str">
        <f t="array" ref="L630">IF(J630="","",XLOOKUP(J630,Strike_Review_Queue!$I:$I,Strike_Review_Queue!$L:$L,""))</f>
        <v/>
      </c>
      <c r="M630" s="39" t="str">
        <f t="array" ref="M630">IF(J630="","",XLOOKUP(J630,Strike_Review_Queue!$I:$I,Strike_Review_Queue!$M:$M,""))</f>
        <v/>
      </c>
    </row>
    <row r="631" ht="15.75" customHeight="1">
      <c r="C631" s="39"/>
      <c r="D631" s="39" t="str">
        <f>IF(OR(B631="",A631=""),"",MAX(0,MIN(3,SUMIFS($C$2:$C$1000,$B$2:$B$1000,B631,$A$2:$A$1000,"&lt;="&amp;A631,$A$2:$A$1000,"&gt;="&amp;IF(Config!$B$1004="Y",A631-Config!$B$1005,DATE(1900,1,1)),$I$2:$I$1000,1)))))</f>
        <v>#ERROR!</v>
      </c>
      <c r="H631" s="39"/>
      <c r="I631" s="39">
        <f t="shared" si="1"/>
        <v>1</v>
      </c>
      <c r="J631" s="39" t="str">
        <f t="shared" si="2"/>
        <v/>
      </c>
      <c r="K631" s="39" t="str">
        <f t="array" ref="K631">IF(J631="","",IF(XLOOKUP(J631,Strike_Review_Queue!$I:$I,Strike_Review_Queue!$J:$J,"")="Approve","Approved",IF(XLOOKUP(J631,Strike_Review_Queue!$I:$I,Strike_Review_Queue!$J:$J,"")="Deny","Counts",H631)))</f>
        <v/>
      </c>
      <c r="L631" s="39" t="str">
        <f t="array" ref="L631">IF(J631="","",XLOOKUP(J631,Strike_Review_Queue!$I:$I,Strike_Review_Queue!$L:$L,""))</f>
        <v/>
      </c>
      <c r="M631" s="39" t="str">
        <f t="array" ref="M631">IF(J631="","",XLOOKUP(J631,Strike_Review_Queue!$I:$I,Strike_Review_Queue!$M:$M,""))</f>
        <v/>
      </c>
    </row>
    <row r="632" ht="15.75" customHeight="1">
      <c r="C632" s="39"/>
      <c r="D632" s="39" t="str">
        <f>IF(OR(B632="",A632=""),"",MAX(0,MIN(3,SUMIFS($C$2:$C$1000,$B$2:$B$1000,B632,$A$2:$A$1000,"&lt;="&amp;A632,$A$2:$A$1000,"&gt;="&amp;IF(Config!$B$1004="Y",A632-Config!$B$1005,DATE(1900,1,1)),$I$2:$I$1000,1)))))</f>
        <v>#ERROR!</v>
      </c>
      <c r="H632" s="39"/>
      <c r="I632" s="39">
        <f t="shared" si="1"/>
        <v>1</v>
      </c>
      <c r="J632" s="39" t="str">
        <f t="shared" si="2"/>
        <v/>
      </c>
      <c r="K632" s="39" t="str">
        <f t="array" ref="K632">IF(J632="","",IF(XLOOKUP(J632,Strike_Review_Queue!$I:$I,Strike_Review_Queue!$J:$J,"")="Approve","Approved",IF(XLOOKUP(J632,Strike_Review_Queue!$I:$I,Strike_Review_Queue!$J:$J,"")="Deny","Counts",H632)))</f>
        <v/>
      </c>
      <c r="L632" s="39" t="str">
        <f t="array" ref="L632">IF(J632="","",XLOOKUP(J632,Strike_Review_Queue!$I:$I,Strike_Review_Queue!$L:$L,""))</f>
        <v/>
      </c>
      <c r="M632" s="39" t="str">
        <f t="array" ref="M632">IF(J632="","",XLOOKUP(J632,Strike_Review_Queue!$I:$I,Strike_Review_Queue!$M:$M,""))</f>
        <v/>
      </c>
    </row>
    <row r="633" ht="15.75" customHeight="1">
      <c r="C633" s="39"/>
      <c r="D633" s="39" t="str">
        <f>IF(OR(B633="",A633=""),"",MAX(0,MIN(3,SUMIFS($C$2:$C$1000,$B$2:$B$1000,B633,$A$2:$A$1000,"&lt;="&amp;A633,$A$2:$A$1000,"&gt;="&amp;IF(Config!$B$1004="Y",A633-Config!$B$1005,DATE(1900,1,1)),$I$2:$I$1000,1)))))</f>
        <v>#ERROR!</v>
      </c>
      <c r="H633" s="39"/>
      <c r="I633" s="39">
        <f t="shared" si="1"/>
        <v>1</v>
      </c>
      <c r="J633" s="39" t="str">
        <f t="shared" si="2"/>
        <v/>
      </c>
      <c r="K633" s="39" t="str">
        <f t="array" ref="K633">IF(J633="","",IF(XLOOKUP(J633,Strike_Review_Queue!$I:$I,Strike_Review_Queue!$J:$J,"")="Approve","Approved",IF(XLOOKUP(J633,Strike_Review_Queue!$I:$I,Strike_Review_Queue!$J:$J,"")="Deny","Counts",H633)))</f>
        <v/>
      </c>
      <c r="L633" s="39" t="str">
        <f t="array" ref="L633">IF(J633="","",XLOOKUP(J633,Strike_Review_Queue!$I:$I,Strike_Review_Queue!$L:$L,""))</f>
        <v/>
      </c>
      <c r="M633" s="39" t="str">
        <f t="array" ref="M633">IF(J633="","",XLOOKUP(J633,Strike_Review_Queue!$I:$I,Strike_Review_Queue!$M:$M,""))</f>
        <v/>
      </c>
    </row>
    <row r="634" ht="15.75" customHeight="1">
      <c r="C634" s="39"/>
      <c r="D634" s="39" t="str">
        <f>IF(OR(B634="",A634=""),"",MAX(0,MIN(3,SUMIFS($C$2:$C$1000,$B$2:$B$1000,B634,$A$2:$A$1000,"&lt;="&amp;A634,$A$2:$A$1000,"&gt;="&amp;IF(Config!$B$1004="Y",A634-Config!$B$1005,DATE(1900,1,1)),$I$2:$I$1000,1)))))</f>
        <v>#ERROR!</v>
      </c>
      <c r="H634" s="39"/>
      <c r="I634" s="39">
        <f t="shared" si="1"/>
        <v>1</v>
      </c>
      <c r="J634" s="39" t="str">
        <f t="shared" si="2"/>
        <v/>
      </c>
      <c r="K634" s="39" t="str">
        <f t="array" ref="K634">IF(J634="","",IF(XLOOKUP(J634,Strike_Review_Queue!$I:$I,Strike_Review_Queue!$J:$J,"")="Approve","Approved",IF(XLOOKUP(J634,Strike_Review_Queue!$I:$I,Strike_Review_Queue!$J:$J,"")="Deny","Counts",H634)))</f>
        <v/>
      </c>
      <c r="L634" s="39" t="str">
        <f t="array" ref="L634">IF(J634="","",XLOOKUP(J634,Strike_Review_Queue!$I:$I,Strike_Review_Queue!$L:$L,""))</f>
        <v/>
      </c>
      <c r="M634" s="39" t="str">
        <f t="array" ref="M634">IF(J634="","",XLOOKUP(J634,Strike_Review_Queue!$I:$I,Strike_Review_Queue!$M:$M,""))</f>
        <v/>
      </c>
    </row>
    <row r="635" ht="15.75" customHeight="1">
      <c r="C635" s="39"/>
      <c r="D635" s="39" t="str">
        <f>IF(OR(B635="",A635=""),"",MAX(0,MIN(3,SUMIFS($C$2:$C$1000,$B$2:$B$1000,B635,$A$2:$A$1000,"&lt;="&amp;A635,$A$2:$A$1000,"&gt;="&amp;IF(Config!$B$1004="Y",A635-Config!$B$1005,DATE(1900,1,1)),$I$2:$I$1000,1)))))</f>
        <v>#ERROR!</v>
      </c>
      <c r="H635" s="39"/>
      <c r="I635" s="39">
        <f t="shared" si="1"/>
        <v>1</v>
      </c>
      <c r="J635" s="39" t="str">
        <f t="shared" si="2"/>
        <v/>
      </c>
      <c r="K635" s="39" t="str">
        <f t="array" ref="K635">IF(J635="","",IF(XLOOKUP(J635,Strike_Review_Queue!$I:$I,Strike_Review_Queue!$J:$J,"")="Approve","Approved",IF(XLOOKUP(J635,Strike_Review_Queue!$I:$I,Strike_Review_Queue!$J:$J,"")="Deny","Counts",H635)))</f>
        <v/>
      </c>
      <c r="L635" s="39" t="str">
        <f t="array" ref="L635">IF(J635="","",XLOOKUP(J635,Strike_Review_Queue!$I:$I,Strike_Review_Queue!$L:$L,""))</f>
        <v/>
      </c>
      <c r="M635" s="39" t="str">
        <f t="array" ref="M635">IF(J635="","",XLOOKUP(J635,Strike_Review_Queue!$I:$I,Strike_Review_Queue!$M:$M,""))</f>
        <v/>
      </c>
    </row>
    <row r="636" ht="15.75" customHeight="1">
      <c r="C636" s="39"/>
      <c r="D636" s="39" t="str">
        <f>IF(OR(B636="",A636=""),"",MAX(0,MIN(3,SUMIFS($C$2:$C$1000,$B$2:$B$1000,B636,$A$2:$A$1000,"&lt;="&amp;A636,$A$2:$A$1000,"&gt;="&amp;IF(Config!$B$1004="Y",A636-Config!$B$1005,DATE(1900,1,1)),$I$2:$I$1000,1)))))</f>
        <v>#ERROR!</v>
      </c>
      <c r="H636" s="39"/>
      <c r="I636" s="39">
        <f t="shared" si="1"/>
        <v>1</v>
      </c>
      <c r="J636" s="39" t="str">
        <f t="shared" si="2"/>
        <v/>
      </c>
      <c r="K636" s="39" t="str">
        <f t="array" ref="K636">IF(J636="","",IF(XLOOKUP(J636,Strike_Review_Queue!$I:$I,Strike_Review_Queue!$J:$J,"")="Approve","Approved",IF(XLOOKUP(J636,Strike_Review_Queue!$I:$I,Strike_Review_Queue!$J:$J,"")="Deny","Counts",H636)))</f>
        <v/>
      </c>
      <c r="L636" s="39" t="str">
        <f t="array" ref="L636">IF(J636="","",XLOOKUP(J636,Strike_Review_Queue!$I:$I,Strike_Review_Queue!$L:$L,""))</f>
        <v/>
      </c>
      <c r="M636" s="39" t="str">
        <f t="array" ref="M636">IF(J636="","",XLOOKUP(J636,Strike_Review_Queue!$I:$I,Strike_Review_Queue!$M:$M,""))</f>
        <v/>
      </c>
    </row>
    <row r="637" ht="15.75" customHeight="1">
      <c r="C637" s="39"/>
      <c r="D637" s="39" t="str">
        <f>IF(OR(B637="",A637=""),"",MAX(0,MIN(3,SUMIFS($C$2:$C$1000,$B$2:$B$1000,B637,$A$2:$A$1000,"&lt;="&amp;A637,$A$2:$A$1000,"&gt;="&amp;IF(Config!$B$1004="Y",A637-Config!$B$1005,DATE(1900,1,1)),$I$2:$I$1000,1)))))</f>
        <v>#ERROR!</v>
      </c>
      <c r="H637" s="39"/>
      <c r="I637" s="39">
        <f t="shared" si="1"/>
        <v>1</v>
      </c>
      <c r="J637" s="39" t="str">
        <f t="shared" si="2"/>
        <v/>
      </c>
      <c r="K637" s="39" t="str">
        <f t="array" ref="K637">IF(J637="","",IF(XLOOKUP(J637,Strike_Review_Queue!$I:$I,Strike_Review_Queue!$J:$J,"")="Approve","Approved",IF(XLOOKUP(J637,Strike_Review_Queue!$I:$I,Strike_Review_Queue!$J:$J,"")="Deny","Counts",H637)))</f>
        <v/>
      </c>
      <c r="L637" s="39" t="str">
        <f t="array" ref="L637">IF(J637="","",XLOOKUP(J637,Strike_Review_Queue!$I:$I,Strike_Review_Queue!$L:$L,""))</f>
        <v/>
      </c>
      <c r="M637" s="39" t="str">
        <f t="array" ref="M637">IF(J637="","",XLOOKUP(J637,Strike_Review_Queue!$I:$I,Strike_Review_Queue!$M:$M,""))</f>
        <v/>
      </c>
    </row>
    <row r="638" ht="15.75" customHeight="1">
      <c r="C638" s="39"/>
      <c r="D638" s="39" t="str">
        <f>IF(OR(B638="",A638=""),"",MAX(0,MIN(3,SUMIFS($C$2:$C$1000,$B$2:$B$1000,B638,$A$2:$A$1000,"&lt;="&amp;A638,$A$2:$A$1000,"&gt;="&amp;IF(Config!$B$1004="Y",A638-Config!$B$1005,DATE(1900,1,1)),$I$2:$I$1000,1)))))</f>
        <v>#ERROR!</v>
      </c>
      <c r="H638" s="39"/>
      <c r="I638" s="39">
        <f t="shared" si="1"/>
        <v>1</v>
      </c>
      <c r="J638" s="39" t="str">
        <f t="shared" si="2"/>
        <v/>
      </c>
      <c r="K638" s="39" t="str">
        <f t="array" ref="K638">IF(J638="","",IF(XLOOKUP(J638,Strike_Review_Queue!$I:$I,Strike_Review_Queue!$J:$J,"")="Approve","Approved",IF(XLOOKUP(J638,Strike_Review_Queue!$I:$I,Strike_Review_Queue!$J:$J,"")="Deny","Counts",H638)))</f>
        <v/>
      </c>
      <c r="L638" s="39" t="str">
        <f t="array" ref="L638">IF(J638="","",XLOOKUP(J638,Strike_Review_Queue!$I:$I,Strike_Review_Queue!$L:$L,""))</f>
        <v/>
      </c>
      <c r="M638" s="39" t="str">
        <f t="array" ref="M638">IF(J638="","",XLOOKUP(J638,Strike_Review_Queue!$I:$I,Strike_Review_Queue!$M:$M,""))</f>
        <v/>
      </c>
    </row>
    <row r="639" ht="15.75" customHeight="1">
      <c r="C639" s="39"/>
      <c r="D639" s="39" t="str">
        <f>IF(OR(B639="",A639=""),"",MAX(0,MIN(3,SUMIFS($C$2:$C$1000,$B$2:$B$1000,B639,$A$2:$A$1000,"&lt;="&amp;A639,$A$2:$A$1000,"&gt;="&amp;IF(Config!$B$1004="Y",A639-Config!$B$1005,DATE(1900,1,1)),$I$2:$I$1000,1)))))</f>
        <v>#ERROR!</v>
      </c>
      <c r="H639" s="39"/>
      <c r="I639" s="39">
        <f t="shared" si="1"/>
        <v>1</v>
      </c>
      <c r="J639" s="39" t="str">
        <f t="shared" si="2"/>
        <v/>
      </c>
      <c r="K639" s="39" t="str">
        <f t="array" ref="K639">IF(J639="","",IF(XLOOKUP(J639,Strike_Review_Queue!$I:$I,Strike_Review_Queue!$J:$J,"")="Approve","Approved",IF(XLOOKUP(J639,Strike_Review_Queue!$I:$I,Strike_Review_Queue!$J:$J,"")="Deny","Counts",H639)))</f>
        <v/>
      </c>
      <c r="L639" s="39" t="str">
        <f t="array" ref="L639">IF(J639="","",XLOOKUP(J639,Strike_Review_Queue!$I:$I,Strike_Review_Queue!$L:$L,""))</f>
        <v/>
      </c>
      <c r="M639" s="39" t="str">
        <f t="array" ref="M639">IF(J639="","",XLOOKUP(J639,Strike_Review_Queue!$I:$I,Strike_Review_Queue!$M:$M,""))</f>
        <v/>
      </c>
    </row>
    <row r="640" ht="15.75" customHeight="1">
      <c r="C640" s="39"/>
      <c r="D640" s="39" t="str">
        <f>IF(OR(B640="",A640=""),"",MAX(0,MIN(3,SUMIFS($C$2:$C$1000,$B$2:$B$1000,B640,$A$2:$A$1000,"&lt;="&amp;A640,$A$2:$A$1000,"&gt;="&amp;IF(Config!$B$1004="Y",A640-Config!$B$1005,DATE(1900,1,1)),$I$2:$I$1000,1)))))</f>
        <v>#ERROR!</v>
      </c>
      <c r="H640" s="39"/>
      <c r="I640" s="39">
        <f t="shared" si="1"/>
        <v>1</v>
      </c>
      <c r="J640" s="39" t="str">
        <f t="shared" si="2"/>
        <v/>
      </c>
      <c r="K640" s="39" t="str">
        <f t="array" ref="K640">IF(J640="","",IF(XLOOKUP(J640,Strike_Review_Queue!$I:$I,Strike_Review_Queue!$J:$J,"")="Approve","Approved",IF(XLOOKUP(J640,Strike_Review_Queue!$I:$I,Strike_Review_Queue!$J:$J,"")="Deny","Counts",H640)))</f>
        <v/>
      </c>
      <c r="L640" s="39" t="str">
        <f t="array" ref="L640">IF(J640="","",XLOOKUP(J640,Strike_Review_Queue!$I:$I,Strike_Review_Queue!$L:$L,""))</f>
        <v/>
      </c>
      <c r="M640" s="39" t="str">
        <f t="array" ref="M640">IF(J640="","",XLOOKUP(J640,Strike_Review_Queue!$I:$I,Strike_Review_Queue!$M:$M,""))</f>
        <v/>
      </c>
    </row>
    <row r="641" ht="15.75" customHeight="1">
      <c r="C641" s="39"/>
      <c r="D641" s="39" t="str">
        <f>IF(OR(B641="",A641=""),"",MAX(0,MIN(3,SUMIFS($C$2:$C$1000,$B$2:$B$1000,B641,$A$2:$A$1000,"&lt;="&amp;A641,$A$2:$A$1000,"&gt;="&amp;IF(Config!$B$1004="Y",A641-Config!$B$1005,DATE(1900,1,1)),$I$2:$I$1000,1)))))</f>
        <v>#ERROR!</v>
      </c>
      <c r="H641" s="39"/>
      <c r="I641" s="39">
        <f t="shared" si="1"/>
        <v>1</v>
      </c>
      <c r="J641" s="39" t="str">
        <f t="shared" si="2"/>
        <v/>
      </c>
      <c r="K641" s="39" t="str">
        <f t="array" ref="K641">IF(J641="","",IF(XLOOKUP(J641,Strike_Review_Queue!$I:$I,Strike_Review_Queue!$J:$J,"")="Approve","Approved",IF(XLOOKUP(J641,Strike_Review_Queue!$I:$I,Strike_Review_Queue!$J:$J,"")="Deny","Counts",H641)))</f>
        <v/>
      </c>
      <c r="L641" s="39" t="str">
        <f t="array" ref="L641">IF(J641="","",XLOOKUP(J641,Strike_Review_Queue!$I:$I,Strike_Review_Queue!$L:$L,""))</f>
        <v/>
      </c>
      <c r="M641" s="39" t="str">
        <f t="array" ref="M641">IF(J641="","",XLOOKUP(J641,Strike_Review_Queue!$I:$I,Strike_Review_Queue!$M:$M,""))</f>
        <v/>
      </c>
    </row>
    <row r="642" ht="15.75" customHeight="1">
      <c r="C642" s="39"/>
      <c r="D642" s="39" t="str">
        <f>IF(OR(B642="",A642=""),"",MAX(0,MIN(3,SUMIFS($C$2:$C$1000,$B$2:$B$1000,B642,$A$2:$A$1000,"&lt;="&amp;A642,$A$2:$A$1000,"&gt;="&amp;IF(Config!$B$1004="Y",A642-Config!$B$1005,DATE(1900,1,1)),$I$2:$I$1000,1)))))</f>
        <v>#ERROR!</v>
      </c>
      <c r="H642" s="39"/>
      <c r="I642" s="39">
        <f t="shared" si="1"/>
        <v>1</v>
      </c>
      <c r="J642" s="39" t="str">
        <f t="shared" si="2"/>
        <v/>
      </c>
      <c r="K642" s="39" t="str">
        <f t="array" ref="K642">IF(J642="","",IF(XLOOKUP(J642,Strike_Review_Queue!$I:$I,Strike_Review_Queue!$J:$J,"")="Approve","Approved",IF(XLOOKUP(J642,Strike_Review_Queue!$I:$I,Strike_Review_Queue!$J:$J,"")="Deny","Counts",H642)))</f>
        <v/>
      </c>
      <c r="L642" s="39" t="str">
        <f t="array" ref="L642">IF(J642="","",XLOOKUP(J642,Strike_Review_Queue!$I:$I,Strike_Review_Queue!$L:$L,""))</f>
        <v/>
      </c>
      <c r="M642" s="39" t="str">
        <f t="array" ref="M642">IF(J642="","",XLOOKUP(J642,Strike_Review_Queue!$I:$I,Strike_Review_Queue!$M:$M,""))</f>
        <v/>
      </c>
    </row>
    <row r="643" ht="15.75" customHeight="1">
      <c r="C643" s="39"/>
      <c r="D643" s="39" t="str">
        <f>IF(OR(B643="",A643=""),"",MAX(0,MIN(3,SUMIFS($C$2:$C$1000,$B$2:$B$1000,B643,$A$2:$A$1000,"&lt;="&amp;A643,$A$2:$A$1000,"&gt;="&amp;IF(Config!$B$1004="Y",A643-Config!$B$1005,DATE(1900,1,1)),$I$2:$I$1000,1)))))</f>
        <v>#ERROR!</v>
      </c>
      <c r="H643" s="39"/>
      <c r="I643" s="39">
        <f t="shared" si="1"/>
        <v>1</v>
      </c>
      <c r="J643" s="39" t="str">
        <f t="shared" si="2"/>
        <v/>
      </c>
      <c r="K643" s="39" t="str">
        <f t="array" ref="K643">IF(J643="","",IF(XLOOKUP(J643,Strike_Review_Queue!$I:$I,Strike_Review_Queue!$J:$J,"")="Approve","Approved",IF(XLOOKUP(J643,Strike_Review_Queue!$I:$I,Strike_Review_Queue!$J:$J,"")="Deny","Counts",H643)))</f>
        <v/>
      </c>
      <c r="L643" s="39" t="str">
        <f t="array" ref="L643">IF(J643="","",XLOOKUP(J643,Strike_Review_Queue!$I:$I,Strike_Review_Queue!$L:$L,""))</f>
        <v/>
      </c>
      <c r="M643" s="39" t="str">
        <f t="array" ref="M643">IF(J643="","",XLOOKUP(J643,Strike_Review_Queue!$I:$I,Strike_Review_Queue!$M:$M,""))</f>
        <v/>
      </c>
    </row>
    <row r="644" ht="15.75" customHeight="1">
      <c r="C644" s="39"/>
      <c r="D644" s="39" t="str">
        <f>IF(OR(B644="",A644=""),"",MAX(0,MIN(3,SUMIFS($C$2:$C$1000,$B$2:$B$1000,B644,$A$2:$A$1000,"&lt;="&amp;A644,$A$2:$A$1000,"&gt;="&amp;IF(Config!$B$1004="Y",A644-Config!$B$1005,DATE(1900,1,1)),$I$2:$I$1000,1)))))</f>
        <v>#ERROR!</v>
      </c>
      <c r="H644" s="39"/>
      <c r="I644" s="39">
        <f t="shared" si="1"/>
        <v>1</v>
      </c>
      <c r="J644" s="39" t="str">
        <f t="shared" si="2"/>
        <v/>
      </c>
      <c r="K644" s="39" t="str">
        <f t="array" ref="K644">IF(J644="","",IF(XLOOKUP(J644,Strike_Review_Queue!$I:$I,Strike_Review_Queue!$J:$J,"")="Approve","Approved",IF(XLOOKUP(J644,Strike_Review_Queue!$I:$I,Strike_Review_Queue!$J:$J,"")="Deny","Counts",H644)))</f>
        <v/>
      </c>
      <c r="L644" s="39" t="str">
        <f t="array" ref="L644">IF(J644="","",XLOOKUP(J644,Strike_Review_Queue!$I:$I,Strike_Review_Queue!$L:$L,""))</f>
        <v/>
      </c>
      <c r="M644" s="39" t="str">
        <f t="array" ref="M644">IF(J644="","",XLOOKUP(J644,Strike_Review_Queue!$I:$I,Strike_Review_Queue!$M:$M,""))</f>
        <v/>
      </c>
    </row>
    <row r="645" ht="15.75" customHeight="1">
      <c r="C645" s="39"/>
      <c r="D645" s="39" t="str">
        <f>IF(OR(B645="",A645=""),"",MAX(0,MIN(3,SUMIFS($C$2:$C$1000,$B$2:$B$1000,B645,$A$2:$A$1000,"&lt;="&amp;A645,$A$2:$A$1000,"&gt;="&amp;IF(Config!$B$1004="Y",A645-Config!$B$1005,DATE(1900,1,1)),$I$2:$I$1000,1)))))</f>
        <v>#ERROR!</v>
      </c>
      <c r="H645" s="39"/>
      <c r="I645" s="39">
        <f t="shared" si="1"/>
        <v>1</v>
      </c>
      <c r="J645" s="39" t="str">
        <f t="shared" si="2"/>
        <v/>
      </c>
      <c r="K645" s="39" t="str">
        <f t="array" ref="K645">IF(J645="","",IF(XLOOKUP(J645,Strike_Review_Queue!$I:$I,Strike_Review_Queue!$J:$J,"")="Approve","Approved",IF(XLOOKUP(J645,Strike_Review_Queue!$I:$I,Strike_Review_Queue!$J:$J,"")="Deny","Counts",H645)))</f>
        <v/>
      </c>
      <c r="L645" s="39" t="str">
        <f t="array" ref="L645">IF(J645="","",XLOOKUP(J645,Strike_Review_Queue!$I:$I,Strike_Review_Queue!$L:$L,""))</f>
        <v/>
      </c>
      <c r="M645" s="39" t="str">
        <f t="array" ref="M645">IF(J645="","",XLOOKUP(J645,Strike_Review_Queue!$I:$I,Strike_Review_Queue!$M:$M,""))</f>
        <v/>
      </c>
    </row>
    <row r="646" ht="15.75" customHeight="1">
      <c r="C646" s="39"/>
      <c r="D646" s="39" t="str">
        <f>IF(OR(B646="",A646=""),"",MAX(0,MIN(3,SUMIFS($C$2:$C$1000,$B$2:$B$1000,B646,$A$2:$A$1000,"&lt;="&amp;A646,$A$2:$A$1000,"&gt;="&amp;IF(Config!$B$1004="Y",A646-Config!$B$1005,DATE(1900,1,1)),$I$2:$I$1000,1)))))</f>
        <v>#ERROR!</v>
      </c>
      <c r="H646" s="39"/>
      <c r="I646" s="39">
        <f t="shared" si="1"/>
        <v>1</v>
      </c>
      <c r="J646" s="39" t="str">
        <f t="shared" si="2"/>
        <v/>
      </c>
      <c r="K646" s="39" t="str">
        <f t="array" ref="K646">IF(J646="","",IF(XLOOKUP(J646,Strike_Review_Queue!$I:$I,Strike_Review_Queue!$J:$J,"")="Approve","Approved",IF(XLOOKUP(J646,Strike_Review_Queue!$I:$I,Strike_Review_Queue!$J:$J,"")="Deny","Counts",H646)))</f>
        <v/>
      </c>
      <c r="L646" s="39" t="str">
        <f t="array" ref="L646">IF(J646="","",XLOOKUP(J646,Strike_Review_Queue!$I:$I,Strike_Review_Queue!$L:$L,""))</f>
        <v/>
      </c>
      <c r="M646" s="39" t="str">
        <f t="array" ref="M646">IF(J646="","",XLOOKUP(J646,Strike_Review_Queue!$I:$I,Strike_Review_Queue!$M:$M,""))</f>
        <v/>
      </c>
    </row>
    <row r="647" ht="15.75" customHeight="1">
      <c r="C647" s="39"/>
      <c r="D647" s="39" t="str">
        <f>IF(OR(B647="",A647=""),"",MAX(0,MIN(3,SUMIFS($C$2:$C$1000,$B$2:$B$1000,B647,$A$2:$A$1000,"&lt;="&amp;A647,$A$2:$A$1000,"&gt;="&amp;IF(Config!$B$1004="Y",A647-Config!$B$1005,DATE(1900,1,1)),$I$2:$I$1000,1)))))</f>
        <v>#ERROR!</v>
      </c>
      <c r="H647" s="39"/>
      <c r="I647" s="39">
        <f t="shared" si="1"/>
        <v>1</v>
      </c>
      <c r="J647" s="39" t="str">
        <f t="shared" si="2"/>
        <v/>
      </c>
      <c r="K647" s="39" t="str">
        <f t="array" ref="K647">IF(J647="","",IF(XLOOKUP(J647,Strike_Review_Queue!$I:$I,Strike_Review_Queue!$J:$J,"")="Approve","Approved",IF(XLOOKUP(J647,Strike_Review_Queue!$I:$I,Strike_Review_Queue!$J:$J,"")="Deny","Counts",H647)))</f>
        <v/>
      </c>
      <c r="L647" s="39" t="str">
        <f t="array" ref="L647">IF(J647="","",XLOOKUP(J647,Strike_Review_Queue!$I:$I,Strike_Review_Queue!$L:$L,""))</f>
        <v/>
      </c>
      <c r="M647" s="39" t="str">
        <f t="array" ref="M647">IF(J647="","",XLOOKUP(J647,Strike_Review_Queue!$I:$I,Strike_Review_Queue!$M:$M,""))</f>
        <v/>
      </c>
    </row>
    <row r="648" ht="15.75" customHeight="1">
      <c r="C648" s="39"/>
      <c r="D648" s="39" t="str">
        <f>IF(OR(B648="",A648=""),"",MAX(0,MIN(3,SUMIFS($C$2:$C$1000,$B$2:$B$1000,B648,$A$2:$A$1000,"&lt;="&amp;A648,$A$2:$A$1000,"&gt;="&amp;IF(Config!$B$1004="Y",A648-Config!$B$1005,DATE(1900,1,1)),$I$2:$I$1000,1)))))</f>
        <v>#ERROR!</v>
      </c>
      <c r="H648" s="39"/>
      <c r="I648" s="39">
        <f t="shared" si="1"/>
        <v>1</v>
      </c>
      <c r="J648" s="39" t="str">
        <f t="shared" si="2"/>
        <v/>
      </c>
      <c r="K648" s="39" t="str">
        <f t="array" ref="K648">IF(J648="","",IF(XLOOKUP(J648,Strike_Review_Queue!$I:$I,Strike_Review_Queue!$J:$J,"")="Approve","Approved",IF(XLOOKUP(J648,Strike_Review_Queue!$I:$I,Strike_Review_Queue!$J:$J,"")="Deny","Counts",H648)))</f>
        <v/>
      </c>
      <c r="L648" s="39" t="str">
        <f t="array" ref="L648">IF(J648="","",XLOOKUP(J648,Strike_Review_Queue!$I:$I,Strike_Review_Queue!$L:$L,""))</f>
        <v/>
      </c>
      <c r="M648" s="39" t="str">
        <f t="array" ref="M648">IF(J648="","",XLOOKUP(J648,Strike_Review_Queue!$I:$I,Strike_Review_Queue!$M:$M,""))</f>
        <v/>
      </c>
    </row>
    <row r="649" ht="15.75" customHeight="1">
      <c r="C649" s="39"/>
      <c r="D649" s="39" t="str">
        <f>IF(OR(B649="",A649=""),"",MAX(0,MIN(3,SUMIFS($C$2:$C$1000,$B$2:$B$1000,B649,$A$2:$A$1000,"&lt;="&amp;A649,$A$2:$A$1000,"&gt;="&amp;IF(Config!$B$1004="Y",A649-Config!$B$1005,DATE(1900,1,1)),$I$2:$I$1000,1)))))</f>
        <v>#ERROR!</v>
      </c>
      <c r="H649" s="39"/>
      <c r="I649" s="39">
        <f t="shared" si="1"/>
        <v>1</v>
      </c>
      <c r="J649" s="39" t="str">
        <f t="shared" si="2"/>
        <v/>
      </c>
      <c r="K649" s="39" t="str">
        <f t="array" ref="K649">IF(J649="","",IF(XLOOKUP(J649,Strike_Review_Queue!$I:$I,Strike_Review_Queue!$J:$J,"")="Approve","Approved",IF(XLOOKUP(J649,Strike_Review_Queue!$I:$I,Strike_Review_Queue!$J:$J,"")="Deny","Counts",H649)))</f>
        <v/>
      </c>
      <c r="L649" s="39" t="str">
        <f t="array" ref="L649">IF(J649="","",XLOOKUP(J649,Strike_Review_Queue!$I:$I,Strike_Review_Queue!$L:$L,""))</f>
        <v/>
      </c>
      <c r="M649" s="39" t="str">
        <f t="array" ref="M649">IF(J649="","",XLOOKUP(J649,Strike_Review_Queue!$I:$I,Strike_Review_Queue!$M:$M,""))</f>
        <v/>
      </c>
    </row>
    <row r="650" ht="15.75" customHeight="1">
      <c r="C650" s="39"/>
      <c r="D650" s="39" t="str">
        <f>IF(OR(B650="",A650=""),"",MAX(0,MIN(3,SUMIFS($C$2:$C$1000,$B$2:$B$1000,B650,$A$2:$A$1000,"&lt;="&amp;A650,$A$2:$A$1000,"&gt;="&amp;IF(Config!$B$1004="Y",A650-Config!$B$1005,DATE(1900,1,1)),$I$2:$I$1000,1)))))</f>
        <v>#ERROR!</v>
      </c>
      <c r="H650" s="39"/>
      <c r="I650" s="39">
        <f t="shared" si="1"/>
        <v>1</v>
      </c>
      <c r="J650" s="39" t="str">
        <f t="shared" si="2"/>
        <v/>
      </c>
      <c r="K650" s="39" t="str">
        <f t="array" ref="K650">IF(J650="","",IF(XLOOKUP(J650,Strike_Review_Queue!$I:$I,Strike_Review_Queue!$J:$J,"")="Approve","Approved",IF(XLOOKUP(J650,Strike_Review_Queue!$I:$I,Strike_Review_Queue!$J:$J,"")="Deny","Counts",H650)))</f>
        <v/>
      </c>
      <c r="L650" s="39" t="str">
        <f t="array" ref="L650">IF(J650="","",XLOOKUP(J650,Strike_Review_Queue!$I:$I,Strike_Review_Queue!$L:$L,""))</f>
        <v/>
      </c>
      <c r="M650" s="39" t="str">
        <f t="array" ref="M650">IF(J650="","",XLOOKUP(J650,Strike_Review_Queue!$I:$I,Strike_Review_Queue!$M:$M,""))</f>
        <v/>
      </c>
    </row>
    <row r="651" ht="15.75" customHeight="1">
      <c r="C651" s="39"/>
      <c r="D651" s="39" t="str">
        <f>IF(OR(B651="",A651=""),"",MAX(0,MIN(3,SUMIFS($C$2:$C$1000,$B$2:$B$1000,B651,$A$2:$A$1000,"&lt;="&amp;A651,$A$2:$A$1000,"&gt;="&amp;IF(Config!$B$1004="Y",A651-Config!$B$1005,DATE(1900,1,1)),$I$2:$I$1000,1)))))</f>
        <v>#ERROR!</v>
      </c>
      <c r="H651" s="39"/>
      <c r="I651" s="39">
        <f t="shared" si="1"/>
        <v>1</v>
      </c>
      <c r="J651" s="39" t="str">
        <f t="shared" si="2"/>
        <v/>
      </c>
      <c r="K651" s="39" t="str">
        <f t="array" ref="K651">IF(J651="","",IF(XLOOKUP(J651,Strike_Review_Queue!$I:$I,Strike_Review_Queue!$J:$J,"")="Approve","Approved",IF(XLOOKUP(J651,Strike_Review_Queue!$I:$I,Strike_Review_Queue!$J:$J,"")="Deny","Counts",H651)))</f>
        <v/>
      </c>
      <c r="L651" s="39" t="str">
        <f t="array" ref="L651">IF(J651="","",XLOOKUP(J651,Strike_Review_Queue!$I:$I,Strike_Review_Queue!$L:$L,""))</f>
        <v/>
      </c>
      <c r="M651" s="39" t="str">
        <f t="array" ref="M651">IF(J651="","",XLOOKUP(J651,Strike_Review_Queue!$I:$I,Strike_Review_Queue!$M:$M,""))</f>
        <v/>
      </c>
    </row>
    <row r="652" ht="15.75" customHeight="1">
      <c r="C652" s="39"/>
      <c r="D652" s="39" t="str">
        <f>IF(OR(B652="",A652=""),"",MAX(0,MIN(3,SUMIFS($C$2:$C$1000,$B$2:$B$1000,B652,$A$2:$A$1000,"&lt;="&amp;A652,$A$2:$A$1000,"&gt;="&amp;IF(Config!$B$1004="Y",A652-Config!$B$1005,DATE(1900,1,1)),$I$2:$I$1000,1)))))</f>
        <v>#ERROR!</v>
      </c>
      <c r="H652" s="39"/>
      <c r="I652" s="39">
        <f t="shared" si="1"/>
        <v>1</v>
      </c>
      <c r="J652" s="39" t="str">
        <f t="shared" si="2"/>
        <v/>
      </c>
      <c r="K652" s="39" t="str">
        <f t="array" ref="K652">IF(J652="","",IF(XLOOKUP(J652,Strike_Review_Queue!$I:$I,Strike_Review_Queue!$J:$J,"")="Approve","Approved",IF(XLOOKUP(J652,Strike_Review_Queue!$I:$I,Strike_Review_Queue!$J:$J,"")="Deny","Counts",H652)))</f>
        <v/>
      </c>
      <c r="L652" s="39" t="str">
        <f t="array" ref="L652">IF(J652="","",XLOOKUP(J652,Strike_Review_Queue!$I:$I,Strike_Review_Queue!$L:$L,""))</f>
        <v/>
      </c>
      <c r="M652" s="39" t="str">
        <f t="array" ref="M652">IF(J652="","",XLOOKUP(J652,Strike_Review_Queue!$I:$I,Strike_Review_Queue!$M:$M,""))</f>
        <v/>
      </c>
    </row>
    <row r="653" ht="15.75" customHeight="1">
      <c r="C653" s="39"/>
      <c r="D653" s="39" t="str">
        <f>IF(OR(B653="",A653=""),"",MAX(0,MIN(3,SUMIFS($C$2:$C$1000,$B$2:$B$1000,B653,$A$2:$A$1000,"&lt;="&amp;A653,$A$2:$A$1000,"&gt;="&amp;IF(Config!$B$1004="Y",A653-Config!$B$1005,DATE(1900,1,1)),$I$2:$I$1000,1)))))</f>
        <v>#ERROR!</v>
      </c>
      <c r="H653" s="39"/>
      <c r="I653" s="39">
        <f t="shared" si="1"/>
        <v>1</v>
      </c>
      <c r="J653" s="39" t="str">
        <f t="shared" si="2"/>
        <v/>
      </c>
      <c r="K653" s="39" t="str">
        <f t="array" ref="K653">IF(J653="","",IF(XLOOKUP(J653,Strike_Review_Queue!$I:$I,Strike_Review_Queue!$J:$J,"")="Approve","Approved",IF(XLOOKUP(J653,Strike_Review_Queue!$I:$I,Strike_Review_Queue!$J:$J,"")="Deny","Counts",H653)))</f>
        <v/>
      </c>
      <c r="L653" s="39" t="str">
        <f t="array" ref="L653">IF(J653="","",XLOOKUP(J653,Strike_Review_Queue!$I:$I,Strike_Review_Queue!$L:$L,""))</f>
        <v/>
      </c>
      <c r="M653" s="39" t="str">
        <f t="array" ref="M653">IF(J653="","",XLOOKUP(J653,Strike_Review_Queue!$I:$I,Strike_Review_Queue!$M:$M,""))</f>
        <v/>
      </c>
    </row>
    <row r="654" ht="15.75" customHeight="1">
      <c r="C654" s="39"/>
      <c r="D654" s="39" t="str">
        <f>IF(OR(B654="",A654=""),"",MAX(0,MIN(3,SUMIFS($C$2:$C$1000,$B$2:$B$1000,B654,$A$2:$A$1000,"&lt;="&amp;A654,$A$2:$A$1000,"&gt;="&amp;IF(Config!$B$1004="Y",A654-Config!$B$1005,DATE(1900,1,1)),$I$2:$I$1000,1)))))</f>
        <v>#ERROR!</v>
      </c>
      <c r="H654" s="39"/>
      <c r="I654" s="39">
        <f t="shared" si="1"/>
        <v>1</v>
      </c>
      <c r="J654" s="39" t="str">
        <f t="shared" si="2"/>
        <v/>
      </c>
      <c r="K654" s="39" t="str">
        <f t="array" ref="K654">IF(J654="","",IF(XLOOKUP(J654,Strike_Review_Queue!$I:$I,Strike_Review_Queue!$J:$J,"")="Approve","Approved",IF(XLOOKUP(J654,Strike_Review_Queue!$I:$I,Strike_Review_Queue!$J:$J,"")="Deny","Counts",H654)))</f>
        <v/>
      </c>
      <c r="L654" s="39" t="str">
        <f t="array" ref="L654">IF(J654="","",XLOOKUP(J654,Strike_Review_Queue!$I:$I,Strike_Review_Queue!$L:$L,""))</f>
        <v/>
      </c>
      <c r="M654" s="39" t="str">
        <f t="array" ref="M654">IF(J654="","",XLOOKUP(J654,Strike_Review_Queue!$I:$I,Strike_Review_Queue!$M:$M,""))</f>
        <v/>
      </c>
    </row>
    <row r="655" ht="15.75" customHeight="1">
      <c r="C655" s="39"/>
      <c r="D655" s="39" t="str">
        <f>IF(OR(B655="",A655=""),"",MAX(0,MIN(3,SUMIFS($C$2:$C$1000,$B$2:$B$1000,B655,$A$2:$A$1000,"&lt;="&amp;A655,$A$2:$A$1000,"&gt;="&amp;IF(Config!$B$1004="Y",A655-Config!$B$1005,DATE(1900,1,1)),$I$2:$I$1000,1)))))</f>
        <v>#ERROR!</v>
      </c>
      <c r="H655" s="39"/>
      <c r="I655" s="39">
        <f t="shared" si="1"/>
        <v>1</v>
      </c>
      <c r="J655" s="39" t="str">
        <f t="shared" si="2"/>
        <v/>
      </c>
      <c r="K655" s="39" t="str">
        <f t="array" ref="K655">IF(J655="","",IF(XLOOKUP(J655,Strike_Review_Queue!$I:$I,Strike_Review_Queue!$J:$J,"")="Approve","Approved",IF(XLOOKUP(J655,Strike_Review_Queue!$I:$I,Strike_Review_Queue!$J:$J,"")="Deny","Counts",H655)))</f>
        <v/>
      </c>
      <c r="L655" s="39" t="str">
        <f t="array" ref="L655">IF(J655="","",XLOOKUP(J655,Strike_Review_Queue!$I:$I,Strike_Review_Queue!$L:$L,""))</f>
        <v/>
      </c>
      <c r="M655" s="39" t="str">
        <f t="array" ref="M655">IF(J655="","",XLOOKUP(J655,Strike_Review_Queue!$I:$I,Strike_Review_Queue!$M:$M,""))</f>
        <v/>
      </c>
    </row>
    <row r="656" ht="15.75" customHeight="1">
      <c r="C656" s="39"/>
      <c r="D656" s="39" t="str">
        <f>IF(OR(B656="",A656=""),"",MAX(0,MIN(3,SUMIFS($C$2:$C$1000,$B$2:$B$1000,B656,$A$2:$A$1000,"&lt;="&amp;A656,$A$2:$A$1000,"&gt;="&amp;IF(Config!$B$1004="Y",A656-Config!$B$1005,DATE(1900,1,1)),$I$2:$I$1000,1)))))</f>
        <v>#ERROR!</v>
      </c>
      <c r="H656" s="39"/>
      <c r="I656" s="39">
        <f t="shared" si="1"/>
        <v>1</v>
      </c>
      <c r="J656" s="39" t="str">
        <f t="shared" si="2"/>
        <v/>
      </c>
      <c r="K656" s="39" t="str">
        <f t="array" ref="K656">IF(J656="","",IF(XLOOKUP(J656,Strike_Review_Queue!$I:$I,Strike_Review_Queue!$J:$J,"")="Approve","Approved",IF(XLOOKUP(J656,Strike_Review_Queue!$I:$I,Strike_Review_Queue!$J:$J,"")="Deny","Counts",H656)))</f>
        <v/>
      </c>
      <c r="L656" s="39" t="str">
        <f t="array" ref="L656">IF(J656="","",XLOOKUP(J656,Strike_Review_Queue!$I:$I,Strike_Review_Queue!$L:$L,""))</f>
        <v/>
      </c>
      <c r="M656" s="39" t="str">
        <f t="array" ref="M656">IF(J656="","",XLOOKUP(J656,Strike_Review_Queue!$I:$I,Strike_Review_Queue!$M:$M,""))</f>
        <v/>
      </c>
    </row>
    <row r="657" ht="15.75" customHeight="1">
      <c r="C657" s="39"/>
      <c r="D657" s="39" t="str">
        <f>IF(OR(B657="",A657=""),"",MAX(0,MIN(3,SUMIFS($C$2:$C$1000,$B$2:$B$1000,B657,$A$2:$A$1000,"&lt;="&amp;A657,$A$2:$A$1000,"&gt;="&amp;IF(Config!$B$1004="Y",A657-Config!$B$1005,DATE(1900,1,1)),$I$2:$I$1000,1)))))</f>
        <v>#ERROR!</v>
      </c>
      <c r="H657" s="39"/>
      <c r="I657" s="39">
        <f t="shared" si="1"/>
        <v>1</v>
      </c>
      <c r="J657" s="39" t="str">
        <f t="shared" si="2"/>
        <v/>
      </c>
      <c r="K657" s="39" t="str">
        <f t="array" ref="K657">IF(J657="","",IF(XLOOKUP(J657,Strike_Review_Queue!$I:$I,Strike_Review_Queue!$J:$J,"")="Approve","Approved",IF(XLOOKUP(J657,Strike_Review_Queue!$I:$I,Strike_Review_Queue!$J:$J,"")="Deny","Counts",H657)))</f>
        <v/>
      </c>
      <c r="L657" s="39" t="str">
        <f t="array" ref="L657">IF(J657="","",XLOOKUP(J657,Strike_Review_Queue!$I:$I,Strike_Review_Queue!$L:$L,""))</f>
        <v/>
      </c>
      <c r="M657" s="39" t="str">
        <f t="array" ref="M657">IF(J657="","",XLOOKUP(J657,Strike_Review_Queue!$I:$I,Strike_Review_Queue!$M:$M,""))</f>
        <v/>
      </c>
    </row>
    <row r="658" ht="15.75" customHeight="1">
      <c r="C658" s="39"/>
      <c r="D658" s="39" t="str">
        <f>IF(OR(B658="",A658=""),"",MAX(0,MIN(3,SUMIFS($C$2:$C$1000,$B$2:$B$1000,B658,$A$2:$A$1000,"&lt;="&amp;A658,$A$2:$A$1000,"&gt;="&amp;IF(Config!$B$1004="Y",A658-Config!$B$1005,DATE(1900,1,1)),$I$2:$I$1000,1)))))</f>
        <v>#ERROR!</v>
      </c>
      <c r="H658" s="39"/>
      <c r="I658" s="39">
        <f t="shared" si="1"/>
        <v>1</v>
      </c>
      <c r="J658" s="39" t="str">
        <f t="shared" si="2"/>
        <v/>
      </c>
      <c r="K658" s="39" t="str">
        <f t="array" ref="K658">IF(J658="","",IF(XLOOKUP(J658,Strike_Review_Queue!$I:$I,Strike_Review_Queue!$J:$J,"")="Approve","Approved",IF(XLOOKUP(J658,Strike_Review_Queue!$I:$I,Strike_Review_Queue!$J:$J,"")="Deny","Counts",H658)))</f>
        <v/>
      </c>
      <c r="L658" s="39" t="str">
        <f t="array" ref="L658">IF(J658="","",XLOOKUP(J658,Strike_Review_Queue!$I:$I,Strike_Review_Queue!$L:$L,""))</f>
        <v/>
      </c>
      <c r="M658" s="39" t="str">
        <f t="array" ref="M658">IF(J658="","",XLOOKUP(J658,Strike_Review_Queue!$I:$I,Strike_Review_Queue!$M:$M,""))</f>
        <v/>
      </c>
    </row>
    <row r="659" ht="15.75" customHeight="1">
      <c r="C659" s="39"/>
      <c r="D659" s="39" t="str">
        <f>IF(OR(B659="",A659=""),"",MAX(0,MIN(3,SUMIFS($C$2:$C$1000,$B$2:$B$1000,B659,$A$2:$A$1000,"&lt;="&amp;A659,$A$2:$A$1000,"&gt;="&amp;IF(Config!$B$1004="Y",A659-Config!$B$1005,DATE(1900,1,1)),$I$2:$I$1000,1)))))</f>
        <v>#ERROR!</v>
      </c>
      <c r="H659" s="39"/>
      <c r="I659" s="39">
        <f t="shared" si="1"/>
        <v>1</v>
      </c>
      <c r="J659" s="39" t="str">
        <f t="shared" si="2"/>
        <v/>
      </c>
      <c r="K659" s="39" t="str">
        <f t="array" ref="K659">IF(J659="","",IF(XLOOKUP(J659,Strike_Review_Queue!$I:$I,Strike_Review_Queue!$J:$J,"")="Approve","Approved",IF(XLOOKUP(J659,Strike_Review_Queue!$I:$I,Strike_Review_Queue!$J:$J,"")="Deny","Counts",H659)))</f>
        <v/>
      </c>
      <c r="L659" s="39" t="str">
        <f t="array" ref="L659">IF(J659="","",XLOOKUP(J659,Strike_Review_Queue!$I:$I,Strike_Review_Queue!$L:$L,""))</f>
        <v/>
      </c>
      <c r="M659" s="39" t="str">
        <f t="array" ref="M659">IF(J659="","",XLOOKUP(J659,Strike_Review_Queue!$I:$I,Strike_Review_Queue!$M:$M,""))</f>
        <v/>
      </c>
    </row>
    <row r="660" ht="15.75" customHeight="1">
      <c r="C660" s="39"/>
      <c r="D660" s="39" t="str">
        <f>IF(OR(B660="",A660=""),"",MAX(0,MIN(3,SUMIFS($C$2:$C$1000,$B$2:$B$1000,B660,$A$2:$A$1000,"&lt;="&amp;A660,$A$2:$A$1000,"&gt;="&amp;IF(Config!$B$1004="Y",A660-Config!$B$1005,DATE(1900,1,1)),$I$2:$I$1000,1)))))</f>
        <v>#ERROR!</v>
      </c>
      <c r="H660" s="39"/>
      <c r="I660" s="39">
        <f t="shared" si="1"/>
        <v>1</v>
      </c>
      <c r="J660" s="39" t="str">
        <f t="shared" si="2"/>
        <v/>
      </c>
      <c r="K660" s="39" t="str">
        <f t="array" ref="K660">IF(J660="","",IF(XLOOKUP(J660,Strike_Review_Queue!$I:$I,Strike_Review_Queue!$J:$J,"")="Approve","Approved",IF(XLOOKUP(J660,Strike_Review_Queue!$I:$I,Strike_Review_Queue!$J:$J,"")="Deny","Counts",H660)))</f>
        <v/>
      </c>
      <c r="L660" s="39" t="str">
        <f t="array" ref="L660">IF(J660="","",XLOOKUP(J660,Strike_Review_Queue!$I:$I,Strike_Review_Queue!$L:$L,""))</f>
        <v/>
      </c>
      <c r="M660" s="39" t="str">
        <f t="array" ref="M660">IF(J660="","",XLOOKUP(J660,Strike_Review_Queue!$I:$I,Strike_Review_Queue!$M:$M,""))</f>
        <v/>
      </c>
    </row>
    <row r="661" ht="15.75" customHeight="1">
      <c r="C661" s="39"/>
      <c r="D661" s="39" t="str">
        <f>IF(OR(B661="",A661=""),"",MAX(0,MIN(3,SUMIFS($C$2:$C$1000,$B$2:$B$1000,B661,$A$2:$A$1000,"&lt;="&amp;A661,$A$2:$A$1000,"&gt;="&amp;IF(Config!$B$1004="Y",A661-Config!$B$1005,DATE(1900,1,1)),$I$2:$I$1000,1)))))</f>
        <v>#ERROR!</v>
      </c>
      <c r="H661" s="39"/>
      <c r="I661" s="39">
        <f t="shared" si="1"/>
        <v>1</v>
      </c>
      <c r="J661" s="39" t="str">
        <f t="shared" si="2"/>
        <v/>
      </c>
      <c r="K661" s="39" t="str">
        <f t="array" ref="K661">IF(J661="","",IF(XLOOKUP(J661,Strike_Review_Queue!$I:$I,Strike_Review_Queue!$J:$J,"")="Approve","Approved",IF(XLOOKUP(J661,Strike_Review_Queue!$I:$I,Strike_Review_Queue!$J:$J,"")="Deny","Counts",H661)))</f>
        <v/>
      </c>
      <c r="L661" s="39" t="str">
        <f t="array" ref="L661">IF(J661="","",XLOOKUP(J661,Strike_Review_Queue!$I:$I,Strike_Review_Queue!$L:$L,""))</f>
        <v/>
      </c>
      <c r="M661" s="39" t="str">
        <f t="array" ref="M661">IF(J661="","",XLOOKUP(J661,Strike_Review_Queue!$I:$I,Strike_Review_Queue!$M:$M,""))</f>
        <v/>
      </c>
    </row>
    <row r="662" ht="15.75" customHeight="1">
      <c r="C662" s="39"/>
      <c r="D662" s="39" t="str">
        <f>IF(OR(B662="",A662=""),"",MAX(0,MIN(3,SUMIFS($C$2:$C$1000,$B$2:$B$1000,B662,$A$2:$A$1000,"&lt;="&amp;A662,$A$2:$A$1000,"&gt;="&amp;IF(Config!$B$1004="Y",A662-Config!$B$1005,DATE(1900,1,1)),$I$2:$I$1000,1)))))</f>
        <v>#ERROR!</v>
      </c>
      <c r="H662" s="39"/>
      <c r="I662" s="39">
        <f t="shared" si="1"/>
        <v>1</v>
      </c>
      <c r="J662" s="39" t="str">
        <f t="shared" si="2"/>
        <v/>
      </c>
      <c r="K662" s="39" t="str">
        <f t="array" ref="K662">IF(J662="","",IF(XLOOKUP(J662,Strike_Review_Queue!$I:$I,Strike_Review_Queue!$J:$J,"")="Approve","Approved",IF(XLOOKUP(J662,Strike_Review_Queue!$I:$I,Strike_Review_Queue!$J:$J,"")="Deny","Counts",H662)))</f>
        <v/>
      </c>
      <c r="L662" s="39" t="str">
        <f t="array" ref="L662">IF(J662="","",XLOOKUP(J662,Strike_Review_Queue!$I:$I,Strike_Review_Queue!$L:$L,""))</f>
        <v/>
      </c>
      <c r="M662" s="39" t="str">
        <f t="array" ref="M662">IF(J662="","",XLOOKUP(J662,Strike_Review_Queue!$I:$I,Strike_Review_Queue!$M:$M,""))</f>
        <v/>
      </c>
    </row>
    <row r="663" ht="15.75" customHeight="1">
      <c r="C663" s="39"/>
      <c r="D663" s="39" t="str">
        <f>IF(OR(B663="",A663=""),"",MAX(0,MIN(3,SUMIFS($C$2:$C$1000,$B$2:$B$1000,B663,$A$2:$A$1000,"&lt;="&amp;A663,$A$2:$A$1000,"&gt;="&amp;IF(Config!$B$1004="Y",A663-Config!$B$1005,DATE(1900,1,1)),$I$2:$I$1000,1)))))</f>
        <v>#ERROR!</v>
      </c>
      <c r="H663" s="39"/>
      <c r="I663" s="39">
        <f t="shared" si="1"/>
        <v>1</v>
      </c>
      <c r="J663" s="39" t="str">
        <f t="shared" si="2"/>
        <v/>
      </c>
      <c r="K663" s="39" t="str">
        <f t="array" ref="K663">IF(J663="","",IF(XLOOKUP(J663,Strike_Review_Queue!$I:$I,Strike_Review_Queue!$J:$J,"")="Approve","Approved",IF(XLOOKUP(J663,Strike_Review_Queue!$I:$I,Strike_Review_Queue!$J:$J,"")="Deny","Counts",H663)))</f>
        <v/>
      </c>
      <c r="L663" s="39" t="str">
        <f t="array" ref="L663">IF(J663="","",XLOOKUP(J663,Strike_Review_Queue!$I:$I,Strike_Review_Queue!$L:$L,""))</f>
        <v/>
      </c>
      <c r="M663" s="39" t="str">
        <f t="array" ref="M663">IF(J663="","",XLOOKUP(J663,Strike_Review_Queue!$I:$I,Strike_Review_Queue!$M:$M,""))</f>
        <v/>
      </c>
    </row>
    <row r="664" ht="15.75" customHeight="1">
      <c r="C664" s="39"/>
      <c r="D664" s="39" t="str">
        <f>IF(OR(B664="",A664=""),"",MAX(0,MIN(3,SUMIFS($C$2:$C$1000,$B$2:$B$1000,B664,$A$2:$A$1000,"&lt;="&amp;A664,$A$2:$A$1000,"&gt;="&amp;IF(Config!$B$1004="Y",A664-Config!$B$1005,DATE(1900,1,1)),$I$2:$I$1000,1)))))</f>
        <v>#ERROR!</v>
      </c>
      <c r="H664" s="39"/>
      <c r="I664" s="39">
        <f t="shared" si="1"/>
        <v>1</v>
      </c>
      <c r="J664" s="39" t="str">
        <f t="shared" si="2"/>
        <v/>
      </c>
      <c r="K664" s="39" t="str">
        <f t="array" ref="K664">IF(J664="","",IF(XLOOKUP(J664,Strike_Review_Queue!$I:$I,Strike_Review_Queue!$J:$J,"")="Approve","Approved",IF(XLOOKUP(J664,Strike_Review_Queue!$I:$I,Strike_Review_Queue!$J:$J,"")="Deny","Counts",H664)))</f>
        <v/>
      </c>
      <c r="L664" s="39" t="str">
        <f t="array" ref="L664">IF(J664="","",XLOOKUP(J664,Strike_Review_Queue!$I:$I,Strike_Review_Queue!$L:$L,""))</f>
        <v/>
      </c>
      <c r="M664" s="39" t="str">
        <f t="array" ref="M664">IF(J664="","",XLOOKUP(J664,Strike_Review_Queue!$I:$I,Strike_Review_Queue!$M:$M,""))</f>
        <v/>
      </c>
    </row>
    <row r="665" ht="15.75" customHeight="1">
      <c r="C665" s="39"/>
      <c r="D665" s="39" t="str">
        <f>IF(OR(B665="",A665=""),"",MAX(0,MIN(3,SUMIFS($C$2:$C$1000,$B$2:$B$1000,B665,$A$2:$A$1000,"&lt;="&amp;A665,$A$2:$A$1000,"&gt;="&amp;IF(Config!$B$1004="Y",A665-Config!$B$1005,DATE(1900,1,1)),$I$2:$I$1000,1)))))</f>
        <v>#ERROR!</v>
      </c>
      <c r="H665" s="39"/>
      <c r="I665" s="39">
        <f t="shared" si="1"/>
        <v>1</v>
      </c>
      <c r="J665" s="39" t="str">
        <f t="shared" si="2"/>
        <v/>
      </c>
      <c r="K665" s="39" t="str">
        <f t="array" ref="K665">IF(J665="","",IF(XLOOKUP(J665,Strike_Review_Queue!$I:$I,Strike_Review_Queue!$J:$J,"")="Approve","Approved",IF(XLOOKUP(J665,Strike_Review_Queue!$I:$I,Strike_Review_Queue!$J:$J,"")="Deny","Counts",H665)))</f>
        <v/>
      </c>
      <c r="L665" s="39" t="str">
        <f t="array" ref="L665">IF(J665="","",XLOOKUP(J665,Strike_Review_Queue!$I:$I,Strike_Review_Queue!$L:$L,""))</f>
        <v/>
      </c>
      <c r="M665" s="39" t="str">
        <f t="array" ref="M665">IF(J665="","",XLOOKUP(J665,Strike_Review_Queue!$I:$I,Strike_Review_Queue!$M:$M,""))</f>
        <v/>
      </c>
    </row>
    <row r="666" ht="15.75" customHeight="1">
      <c r="C666" s="39"/>
      <c r="D666" s="39" t="str">
        <f>IF(OR(B666="",A666=""),"",MAX(0,MIN(3,SUMIFS($C$2:$C$1000,$B$2:$B$1000,B666,$A$2:$A$1000,"&lt;="&amp;A666,$A$2:$A$1000,"&gt;="&amp;IF(Config!$B$1004="Y",A666-Config!$B$1005,DATE(1900,1,1)),$I$2:$I$1000,1)))))</f>
        <v>#ERROR!</v>
      </c>
      <c r="H666" s="39"/>
      <c r="I666" s="39">
        <f t="shared" si="1"/>
        <v>1</v>
      </c>
      <c r="J666" s="39" t="str">
        <f t="shared" si="2"/>
        <v/>
      </c>
      <c r="K666" s="39" t="str">
        <f t="array" ref="K666">IF(J666="","",IF(XLOOKUP(J666,Strike_Review_Queue!$I:$I,Strike_Review_Queue!$J:$J,"")="Approve","Approved",IF(XLOOKUP(J666,Strike_Review_Queue!$I:$I,Strike_Review_Queue!$J:$J,"")="Deny","Counts",H666)))</f>
        <v/>
      </c>
      <c r="L666" s="39" t="str">
        <f t="array" ref="L666">IF(J666="","",XLOOKUP(J666,Strike_Review_Queue!$I:$I,Strike_Review_Queue!$L:$L,""))</f>
        <v/>
      </c>
      <c r="M666" s="39" t="str">
        <f t="array" ref="M666">IF(J666="","",XLOOKUP(J666,Strike_Review_Queue!$I:$I,Strike_Review_Queue!$M:$M,""))</f>
        <v/>
      </c>
    </row>
    <row r="667" ht="15.75" customHeight="1">
      <c r="C667" s="39"/>
      <c r="D667" s="39" t="str">
        <f>IF(OR(B667="",A667=""),"",MAX(0,MIN(3,SUMIFS($C$2:$C$1000,$B$2:$B$1000,B667,$A$2:$A$1000,"&lt;="&amp;A667,$A$2:$A$1000,"&gt;="&amp;IF(Config!$B$1004="Y",A667-Config!$B$1005,DATE(1900,1,1)),$I$2:$I$1000,1)))))</f>
        <v>#ERROR!</v>
      </c>
      <c r="H667" s="39"/>
      <c r="I667" s="39">
        <f t="shared" si="1"/>
        <v>1</v>
      </c>
      <c r="J667" s="39" t="str">
        <f t="shared" si="2"/>
        <v/>
      </c>
      <c r="K667" s="39" t="str">
        <f t="array" ref="K667">IF(J667="","",IF(XLOOKUP(J667,Strike_Review_Queue!$I:$I,Strike_Review_Queue!$J:$J,"")="Approve","Approved",IF(XLOOKUP(J667,Strike_Review_Queue!$I:$I,Strike_Review_Queue!$J:$J,"")="Deny","Counts",H667)))</f>
        <v/>
      </c>
      <c r="L667" s="39" t="str">
        <f t="array" ref="L667">IF(J667="","",XLOOKUP(J667,Strike_Review_Queue!$I:$I,Strike_Review_Queue!$L:$L,""))</f>
        <v/>
      </c>
      <c r="M667" s="39" t="str">
        <f t="array" ref="M667">IF(J667="","",XLOOKUP(J667,Strike_Review_Queue!$I:$I,Strike_Review_Queue!$M:$M,""))</f>
        <v/>
      </c>
    </row>
    <row r="668" ht="15.75" customHeight="1">
      <c r="C668" s="39"/>
      <c r="D668" s="39" t="str">
        <f>IF(OR(B668="",A668=""),"",MAX(0,MIN(3,SUMIFS($C$2:$C$1000,$B$2:$B$1000,B668,$A$2:$A$1000,"&lt;="&amp;A668,$A$2:$A$1000,"&gt;="&amp;IF(Config!$B$1004="Y",A668-Config!$B$1005,DATE(1900,1,1)),$I$2:$I$1000,1)))))</f>
        <v>#ERROR!</v>
      </c>
      <c r="H668" s="39"/>
      <c r="I668" s="39">
        <f t="shared" si="1"/>
        <v>1</v>
      </c>
      <c r="J668" s="39" t="str">
        <f t="shared" si="2"/>
        <v/>
      </c>
      <c r="K668" s="39" t="str">
        <f t="array" ref="K668">IF(J668="","",IF(XLOOKUP(J668,Strike_Review_Queue!$I:$I,Strike_Review_Queue!$J:$J,"")="Approve","Approved",IF(XLOOKUP(J668,Strike_Review_Queue!$I:$I,Strike_Review_Queue!$J:$J,"")="Deny","Counts",H668)))</f>
        <v/>
      </c>
      <c r="L668" s="39" t="str">
        <f t="array" ref="L668">IF(J668="","",XLOOKUP(J668,Strike_Review_Queue!$I:$I,Strike_Review_Queue!$L:$L,""))</f>
        <v/>
      </c>
      <c r="M668" s="39" t="str">
        <f t="array" ref="M668">IF(J668="","",XLOOKUP(J668,Strike_Review_Queue!$I:$I,Strike_Review_Queue!$M:$M,""))</f>
        <v/>
      </c>
    </row>
    <row r="669" ht="15.75" customHeight="1">
      <c r="C669" s="39"/>
      <c r="D669" s="39" t="str">
        <f>IF(OR(B669="",A669=""),"",MAX(0,MIN(3,SUMIFS($C$2:$C$1000,$B$2:$B$1000,B669,$A$2:$A$1000,"&lt;="&amp;A669,$A$2:$A$1000,"&gt;="&amp;IF(Config!$B$1004="Y",A669-Config!$B$1005,DATE(1900,1,1)),$I$2:$I$1000,1)))))</f>
        <v>#ERROR!</v>
      </c>
      <c r="H669" s="39"/>
      <c r="I669" s="39">
        <f t="shared" si="1"/>
        <v>1</v>
      </c>
      <c r="J669" s="39" t="str">
        <f t="shared" si="2"/>
        <v/>
      </c>
      <c r="K669" s="39" t="str">
        <f t="array" ref="K669">IF(J669="","",IF(XLOOKUP(J669,Strike_Review_Queue!$I:$I,Strike_Review_Queue!$J:$J,"")="Approve","Approved",IF(XLOOKUP(J669,Strike_Review_Queue!$I:$I,Strike_Review_Queue!$J:$J,"")="Deny","Counts",H669)))</f>
        <v/>
      </c>
      <c r="L669" s="39" t="str">
        <f t="array" ref="L669">IF(J669="","",XLOOKUP(J669,Strike_Review_Queue!$I:$I,Strike_Review_Queue!$L:$L,""))</f>
        <v/>
      </c>
      <c r="M669" s="39" t="str">
        <f t="array" ref="M669">IF(J669="","",XLOOKUP(J669,Strike_Review_Queue!$I:$I,Strike_Review_Queue!$M:$M,""))</f>
        <v/>
      </c>
    </row>
    <row r="670" ht="15.75" customHeight="1">
      <c r="C670" s="39"/>
      <c r="D670" s="39" t="str">
        <f>IF(OR(B670="",A670=""),"",MAX(0,MIN(3,SUMIFS($C$2:$C$1000,$B$2:$B$1000,B670,$A$2:$A$1000,"&lt;="&amp;A670,$A$2:$A$1000,"&gt;="&amp;IF(Config!$B$1004="Y",A670-Config!$B$1005,DATE(1900,1,1)),$I$2:$I$1000,1)))))</f>
        <v>#ERROR!</v>
      </c>
      <c r="H670" s="39"/>
      <c r="I670" s="39">
        <f t="shared" si="1"/>
        <v>1</v>
      </c>
      <c r="J670" s="39" t="str">
        <f t="shared" si="2"/>
        <v/>
      </c>
      <c r="K670" s="39" t="str">
        <f t="array" ref="K670">IF(J670="","",IF(XLOOKUP(J670,Strike_Review_Queue!$I:$I,Strike_Review_Queue!$J:$J,"")="Approve","Approved",IF(XLOOKUP(J670,Strike_Review_Queue!$I:$I,Strike_Review_Queue!$J:$J,"")="Deny","Counts",H670)))</f>
        <v/>
      </c>
      <c r="L670" s="39" t="str">
        <f t="array" ref="L670">IF(J670="","",XLOOKUP(J670,Strike_Review_Queue!$I:$I,Strike_Review_Queue!$L:$L,""))</f>
        <v/>
      </c>
      <c r="M670" s="39" t="str">
        <f t="array" ref="M670">IF(J670="","",XLOOKUP(J670,Strike_Review_Queue!$I:$I,Strike_Review_Queue!$M:$M,""))</f>
        <v/>
      </c>
    </row>
    <row r="671" ht="15.75" customHeight="1">
      <c r="C671" s="39"/>
      <c r="D671" s="39" t="str">
        <f>IF(OR(B671="",A671=""),"",MAX(0,MIN(3,SUMIFS($C$2:$C$1000,$B$2:$B$1000,B671,$A$2:$A$1000,"&lt;="&amp;A671,$A$2:$A$1000,"&gt;="&amp;IF(Config!$B$1004="Y",A671-Config!$B$1005,DATE(1900,1,1)),$I$2:$I$1000,1)))))</f>
        <v>#ERROR!</v>
      </c>
      <c r="H671" s="39"/>
      <c r="I671" s="39">
        <f t="shared" si="1"/>
        <v>1</v>
      </c>
      <c r="J671" s="39" t="str">
        <f t="shared" si="2"/>
        <v/>
      </c>
      <c r="K671" s="39" t="str">
        <f t="array" ref="K671">IF(J671="","",IF(XLOOKUP(J671,Strike_Review_Queue!$I:$I,Strike_Review_Queue!$J:$J,"")="Approve","Approved",IF(XLOOKUP(J671,Strike_Review_Queue!$I:$I,Strike_Review_Queue!$J:$J,"")="Deny","Counts",H671)))</f>
        <v/>
      </c>
      <c r="L671" s="39" t="str">
        <f t="array" ref="L671">IF(J671="","",XLOOKUP(J671,Strike_Review_Queue!$I:$I,Strike_Review_Queue!$L:$L,""))</f>
        <v/>
      </c>
      <c r="M671" s="39" t="str">
        <f t="array" ref="M671">IF(J671="","",XLOOKUP(J671,Strike_Review_Queue!$I:$I,Strike_Review_Queue!$M:$M,""))</f>
        <v/>
      </c>
    </row>
    <row r="672" ht="15.75" customHeight="1">
      <c r="C672" s="39"/>
      <c r="D672" s="39" t="str">
        <f>IF(OR(B672="",A672=""),"",MAX(0,MIN(3,SUMIFS($C$2:$C$1000,$B$2:$B$1000,B672,$A$2:$A$1000,"&lt;="&amp;A672,$A$2:$A$1000,"&gt;="&amp;IF(Config!$B$1004="Y",A672-Config!$B$1005,DATE(1900,1,1)),$I$2:$I$1000,1)))))</f>
        <v>#ERROR!</v>
      </c>
      <c r="H672" s="39"/>
      <c r="I672" s="39">
        <f t="shared" si="1"/>
        <v>1</v>
      </c>
      <c r="J672" s="39" t="str">
        <f t="shared" si="2"/>
        <v/>
      </c>
      <c r="K672" s="39" t="str">
        <f t="array" ref="K672">IF(J672="","",IF(XLOOKUP(J672,Strike_Review_Queue!$I:$I,Strike_Review_Queue!$J:$J,"")="Approve","Approved",IF(XLOOKUP(J672,Strike_Review_Queue!$I:$I,Strike_Review_Queue!$J:$J,"")="Deny","Counts",H672)))</f>
        <v/>
      </c>
      <c r="L672" s="39" t="str">
        <f t="array" ref="L672">IF(J672="","",XLOOKUP(J672,Strike_Review_Queue!$I:$I,Strike_Review_Queue!$L:$L,""))</f>
        <v/>
      </c>
      <c r="M672" s="39" t="str">
        <f t="array" ref="M672">IF(J672="","",XLOOKUP(J672,Strike_Review_Queue!$I:$I,Strike_Review_Queue!$M:$M,""))</f>
        <v/>
      </c>
    </row>
    <row r="673" ht="15.75" customHeight="1">
      <c r="C673" s="39"/>
      <c r="D673" s="39" t="str">
        <f>IF(OR(B673="",A673=""),"",MAX(0,MIN(3,SUMIFS($C$2:$C$1000,$B$2:$B$1000,B673,$A$2:$A$1000,"&lt;="&amp;A673,$A$2:$A$1000,"&gt;="&amp;IF(Config!$B$1004="Y",A673-Config!$B$1005,DATE(1900,1,1)),$I$2:$I$1000,1)))))</f>
        <v>#ERROR!</v>
      </c>
      <c r="H673" s="39"/>
      <c r="I673" s="39">
        <f t="shared" si="1"/>
        <v>1</v>
      </c>
      <c r="J673" s="39" t="str">
        <f t="shared" si="2"/>
        <v/>
      </c>
      <c r="K673" s="39" t="str">
        <f t="array" ref="K673">IF(J673="","",IF(XLOOKUP(J673,Strike_Review_Queue!$I:$I,Strike_Review_Queue!$J:$J,"")="Approve","Approved",IF(XLOOKUP(J673,Strike_Review_Queue!$I:$I,Strike_Review_Queue!$J:$J,"")="Deny","Counts",H673)))</f>
        <v/>
      </c>
      <c r="L673" s="39" t="str">
        <f t="array" ref="L673">IF(J673="","",XLOOKUP(J673,Strike_Review_Queue!$I:$I,Strike_Review_Queue!$L:$L,""))</f>
        <v/>
      </c>
      <c r="M673" s="39" t="str">
        <f t="array" ref="M673">IF(J673="","",XLOOKUP(J673,Strike_Review_Queue!$I:$I,Strike_Review_Queue!$M:$M,""))</f>
        <v/>
      </c>
    </row>
    <row r="674" ht="15.75" customHeight="1">
      <c r="C674" s="39"/>
      <c r="D674" s="39" t="str">
        <f>IF(OR(B674="",A674=""),"",MAX(0,MIN(3,SUMIFS($C$2:$C$1000,$B$2:$B$1000,B674,$A$2:$A$1000,"&lt;="&amp;A674,$A$2:$A$1000,"&gt;="&amp;IF(Config!$B$1004="Y",A674-Config!$B$1005,DATE(1900,1,1)),$I$2:$I$1000,1)))))</f>
        <v>#ERROR!</v>
      </c>
      <c r="H674" s="39"/>
      <c r="I674" s="39">
        <f t="shared" si="1"/>
        <v>1</v>
      </c>
      <c r="J674" s="39" t="str">
        <f t="shared" si="2"/>
        <v/>
      </c>
      <c r="K674" s="39" t="str">
        <f t="array" ref="K674">IF(J674="","",IF(XLOOKUP(J674,Strike_Review_Queue!$I:$I,Strike_Review_Queue!$J:$J,"")="Approve","Approved",IF(XLOOKUP(J674,Strike_Review_Queue!$I:$I,Strike_Review_Queue!$J:$J,"")="Deny","Counts",H674)))</f>
        <v/>
      </c>
      <c r="L674" s="39" t="str">
        <f t="array" ref="L674">IF(J674="","",XLOOKUP(J674,Strike_Review_Queue!$I:$I,Strike_Review_Queue!$L:$L,""))</f>
        <v/>
      </c>
      <c r="M674" s="39" t="str">
        <f t="array" ref="M674">IF(J674="","",XLOOKUP(J674,Strike_Review_Queue!$I:$I,Strike_Review_Queue!$M:$M,""))</f>
        <v/>
      </c>
    </row>
    <row r="675" ht="15.75" customHeight="1">
      <c r="C675" s="39"/>
      <c r="D675" s="39" t="str">
        <f>IF(OR(B675="",A675=""),"",MAX(0,MIN(3,SUMIFS($C$2:$C$1000,$B$2:$B$1000,B675,$A$2:$A$1000,"&lt;="&amp;A675,$A$2:$A$1000,"&gt;="&amp;IF(Config!$B$1004="Y",A675-Config!$B$1005,DATE(1900,1,1)),$I$2:$I$1000,1)))))</f>
        <v>#ERROR!</v>
      </c>
      <c r="H675" s="39"/>
      <c r="I675" s="39">
        <f t="shared" si="1"/>
        <v>1</v>
      </c>
      <c r="J675" s="39" t="str">
        <f t="shared" si="2"/>
        <v/>
      </c>
      <c r="K675" s="39" t="str">
        <f t="array" ref="K675">IF(J675="","",IF(XLOOKUP(J675,Strike_Review_Queue!$I:$I,Strike_Review_Queue!$J:$J,"")="Approve","Approved",IF(XLOOKUP(J675,Strike_Review_Queue!$I:$I,Strike_Review_Queue!$J:$J,"")="Deny","Counts",H675)))</f>
        <v/>
      </c>
      <c r="L675" s="39" t="str">
        <f t="array" ref="L675">IF(J675="","",XLOOKUP(J675,Strike_Review_Queue!$I:$I,Strike_Review_Queue!$L:$L,""))</f>
        <v/>
      </c>
      <c r="M675" s="39" t="str">
        <f t="array" ref="M675">IF(J675="","",XLOOKUP(J675,Strike_Review_Queue!$I:$I,Strike_Review_Queue!$M:$M,""))</f>
        <v/>
      </c>
    </row>
    <row r="676" ht="15.75" customHeight="1">
      <c r="C676" s="39"/>
      <c r="D676" s="39" t="str">
        <f>IF(OR(B676="",A676=""),"",MAX(0,MIN(3,SUMIFS($C$2:$C$1000,$B$2:$B$1000,B676,$A$2:$A$1000,"&lt;="&amp;A676,$A$2:$A$1000,"&gt;="&amp;IF(Config!$B$1004="Y",A676-Config!$B$1005,DATE(1900,1,1)),$I$2:$I$1000,1)))))</f>
        <v>#ERROR!</v>
      </c>
      <c r="H676" s="39"/>
      <c r="I676" s="39">
        <f t="shared" si="1"/>
        <v>1</v>
      </c>
      <c r="J676" s="39" t="str">
        <f t="shared" si="2"/>
        <v/>
      </c>
      <c r="K676" s="39" t="str">
        <f t="array" ref="K676">IF(J676="","",IF(XLOOKUP(J676,Strike_Review_Queue!$I:$I,Strike_Review_Queue!$J:$J,"")="Approve","Approved",IF(XLOOKUP(J676,Strike_Review_Queue!$I:$I,Strike_Review_Queue!$J:$J,"")="Deny","Counts",H676)))</f>
        <v/>
      </c>
      <c r="L676" s="39" t="str">
        <f t="array" ref="L676">IF(J676="","",XLOOKUP(J676,Strike_Review_Queue!$I:$I,Strike_Review_Queue!$L:$L,""))</f>
        <v/>
      </c>
      <c r="M676" s="39" t="str">
        <f t="array" ref="M676">IF(J676="","",XLOOKUP(J676,Strike_Review_Queue!$I:$I,Strike_Review_Queue!$M:$M,""))</f>
        <v/>
      </c>
    </row>
    <row r="677" ht="15.75" customHeight="1">
      <c r="C677" s="39"/>
      <c r="D677" s="39" t="str">
        <f>IF(OR(B677="",A677=""),"",MAX(0,MIN(3,SUMIFS($C$2:$C$1000,$B$2:$B$1000,B677,$A$2:$A$1000,"&lt;="&amp;A677,$A$2:$A$1000,"&gt;="&amp;IF(Config!$B$1004="Y",A677-Config!$B$1005,DATE(1900,1,1)),$I$2:$I$1000,1)))))</f>
        <v>#ERROR!</v>
      </c>
      <c r="H677" s="39"/>
      <c r="I677" s="39">
        <f t="shared" si="1"/>
        <v>1</v>
      </c>
      <c r="J677" s="39" t="str">
        <f t="shared" si="2"/>
        <v/>
      </c>
      <c r="K677" s="39" t="str">
        <f t="array" ref="K677">IF(J677="","",IF(XLOOKUP(J677,Strike_Review_Queue!$I:$I,Strike_Review_Queue!$J:$J,"")="Approve","Approved",IF(XLOOKUP(J677,Strike_Review_Queue!$I:$I,Strike_Review_Queue!$J:$J,"")="Deny","Counts",H677)))</f>
        <v/>
      </c>
      <c r="L677" s="39" t="str">
        <f t="array" ref="L677">IF(J677="","",XLOOKUP(J677,Strike_Review_Queue!$I:$I,Strike_Review_Queue!$L:$L,""))</f>
        <v/>
      </c>
      <c r="M677" s="39" t="str">
        <f t="array" ref="M677">IF(J677="","",XLOOKUP(J677,Strike_Review_Queue!$I:$I,Strike_Review_Queue!$M:$M,""))</f>
        <v/>
      </c>
    </row>
    <row r="678" ht="15.75" customHeight="1">
      <c r="C678" s="39"/>
      <c r="D678" s="39" t="str">
        <f>IF(OR(B678="",A678=""),"",MAX(0,MIN(3,SUMIFS($C$2:$C$1000,$B$2:$B$1000,B678,$A$2:$A$1000,"&lt;="&amp;A678,$A$2:$A$1000,"&gt;="&amp;IF(Config!$B$1004="Y",A678-Config!$B$1005,DATE(1900,1,1)),$I$2:$I$1000,1)))))</f>
        <v>#ERROR!</v>
      </c>
      <c r="H678" s="39"/>
      <c r="I678" s="39">
        <f t="shared" si="1"/>
        <v>1</v>
      </c>
      <c r="J678" s="39" t="str">
        <f t="shared" si="2"/>
        <v/>
      </c>
      <c r="K678" s="39" t="str">
        <f t="array" ref="K678">IF(J678="","",IF(XLOOKUP(J678,Strike_Review_Queue!$I:$I,Strike_Review_Queue!$J:$J,"")="Approve","Approved",IF(XLOOKUP(J678,Strike_Review_Queue!$I:$I,Strike_Review_Queue!$J:$J,"")="Deny","Counts",H678)))</f>
        <v/>
      </c>
      <c r="L678" s="39" t="str">
        <f t="array" ref="L678">IF(J678="","",XLOOKUP(J678,Strike_Review_Queue!$I:$I,Strike_Review_Queue!$L:$L,""))</f>
        <v/>
      </c>
      <c r="M678" s="39" t="str">
        <f t="array" ref="M678">IF(J678="","",XLOOKUP(J678,Strike_Review_Queue!$I:$I,Strike_Review_Queue!$M:$M,""))</f>
        <v/>
      </c>
    </row>
    <row r="679" ht="15.75" customHeight="1">
      <c r="C679" s="39"/>
      <c r="D679" s="39" t="str">
        <f>IF(OR(B679="",A679=""),"",MAX(0,MIN(3,SUMIFS($C$2:$C$1000,$B$2:$B$1000,B679,$A$2:$A$1000,"&lt;="&amp;A679,$A$2:$A$1000,"&gt;="&amp;IF(Config!$B$1004="Y",A679-Config!$B$1005,DATE(1900,1,1)),$I$2:$I$1000,1)))))</f>
        <v>#ERROR!</v>
      </c>
      <c r="H679" s="39"/>
      <c r="I679" s="39">
        <f t="shared" si="1"/>
        <v>1</v>
      </c>
      <c r="J679" s="39" t="str">
        <f t="shared" si="2"/>
        <v/>
      </c>
      <c r="K679" s="39" t="str">
        <f t="array" ref="K679">IF(J679="","",IF(XLOOKUP(J679,Strike_Review_Queue!$I:$I,Strike_Review_Queue!$J:$J,"")="Approve","Approved",IF(XLOOKUP(J679,Strike_Review_Queue!$I:$I,Strike_Review_Queue!$J:$J,"")="Deny","Counts",H679)))</f>
        <v/>
      </c>
      <c r="L679" s="39" t="str">
        <f t="array" ref="L679">IF(J679="","",XLOOKUP(J679,Strike_Review_Queue!$I:$I,Strike_Review_Queue!$L:$L,""))</f>
        <v/>
      </c>
      <c r="M679" s="39" t="str">
        <f t="array" ref="M679">IF(J679="","",XLOOKUP(J679,Strike_Review_Queue!$I:$I,Strike_Review_Queue!$M:$M,""))</f>
        <v/>
      </c>
    </row>
    <row r="680" ht="15.75" customHeight="1">
      <c r="C680" s="39"/>
      <c r="D680" s="39" t="str">
        <f>IF(OR(B680="",A680=""),"",MAX(0,MIN(3,SUMIFS($C$2:$C$1000,$B$2:$B$1000,B680,$A$2:$A$1000,"&lt;="&amp;A680,$A$2:$A$1000,"&gt;="&amp;IF(Config!$B$1004="Y",A680-Config!$B$1005,DATE(1900,1,1)),$I$2:$I$1000,1)))))</f>
        <v>#ERROR!</v>
      </c>
      <c r="H680" s="39"/>
      <c r="I680" s="39">
        <f t="shared" si="1"/>
        <v>1</v>
      </c>
      <c r="J680" s="39" t="str">
        <f t="shared" si="2"/>
        <v/>
      </c>
      <c r="K680" s="39" t="str">
        <f t="array" ref="K680">IF(J680="","",IF(XLOOKUP(J680,Strike_Review_Queue!$I:$I,Strike_Review_Queue!$J:$J,"")="Approve","Approved",IF(XLOOKUP(J680,Strike_Review_Queue!$I:$I,Strike_Review_Queue!$J:$J,"")="Deny","Counts",H680)))</f>
        <v/>
      </c>
      <c r="L680" s="39" t="str">
        <f t="array" ref="L680">IF(J680="","",XLOOKUP(J680,Strike_Review_Queue!$I:$I,Strike_Review_Queue!$L:$L,""))</f>
        <v/>
      </c>
      <c r="M680" s="39" t="str">
        <f t="array" ref="M680">IF(J680="","",XLOOKUP(J680,Strike_Review_Queue!$I:$I,Strike_Review_Queue!$M:$M,""))</f>
        <v/>
      </c>
    </row>
    <row r="681" ht="15.75" customHeight="1">
      <c r="C681" s="39"/>
      <c r="D681" s="39" t="str">
        <f>IF(OR(B681="",A681=""),"",MAX(0,MIN(3,SUMIFS($C$2:$C$1000,$B$2:$B$1000,B681,$A$2:$A$1000,"&lt;="&amp;A681,$A$2:$A$1000,"&gt;="&amp;IF(Config!$B$1004="Y",A681-Config!$B$1005,DATE(1900,1,1)),$I$2:$I$1000,1)))))</f>
        <v>#ERROR!</v>
      </c>
      <c r="H681" s="39"/>
      <c r="I681" s="39">
        <f t="shared" si="1"/>
        <v>1</v>
      </c>
      <c r="J681" s="39" t="str">
        <f t="shared" si="2"/>
        <v/>
      </c>
      <c r="K681" s="39" t="str">
        <f t="array" ref="K681">IF(J681="","",IF(XLOOKUP(J681,Strike_Review_Queue!$I:$I,Strike_Review_Queue!$J:$J,"")="Approve","Approved",IF(XLOOKUP(J681,Strike_Review_Queue!$I:$I,Strike_Review_Queue!$J:$J,"")="Deny","Counts",H681)))</f>
        <v/>
      </c>
      <c r="L681" s="39" t="str">
        <f t="array" ref="L681">IF(J681="","",XLOOKUP(J681,Strike_Review_Queue!$I:$I,Strike_Review_Queue!$L:$L,""))</f>
        <v/>
      </c>
      <c r="M681" s="39" t="str">
        <f t="array" ref="M681">IF(J681="","",XLOOKUP(J681,Strike_Review_Queue!$I:$I,Strike_Review_Queue!$M:$M,""))</f>
        <v/>
      </c>
    </row>
    <row r="682" ht="15.75" customHeight="1">
      <c r="C682" s="39"/>
      <c r="D682" s="39" t="str">
        <f>IF(OR(B682="",A682=""),"",MAX(0,MIN(3,SUMIFS($C$2:$C$1000,$B$2:$B$1000,B682,$A$2:$A$1000,"&lt;="&amp;A682,$A$2:$A$1000,"&gt;="&amp;IF(Config!$B$1004="Y",A682-Config!$B$1005,DATE(1900,1,1)),$I$2:$I$1000,1)))))</f>
        <v>#ERROR!</v>
      </c>
      <c r="H682" s="39"/>
      <c r="I682" s="39">
        <f t="shared" si="1"/>
        <v>1</v>
      </c>
      <c r="J682" s="39" t="str">
        <f t="shared" si="2"/>
        <v/>
      </c>
      <c r="K682" s="39" t="str">
        <f t="array" ref="K682">IF(J682="","",IF(XLOOKUP(J682,Strike_Review_Queue!$I:$I,Strike_Review_Queue!$J:$J,"")="Approve","Approved",IF(XLOOKUP(J682,Strike_Review_Queue!$I:$I,Strike_Review_Queue!$J:$J,"")="Deny","Counts",H682)))</f>
        <v/>
      </c>
      <c r="L682" s="39" t="str">
        <f t="array" ref="L682">IF(J682="","",XLOOKUP(J682,Strike_Review_Queue!$I:$I,Strike_Review_Queue!$L:$L,""))</f>
        <v/>
      </c>
      <c r="M682" s="39" t="str">
        <f t="array" ref="M682">IF(J682="","",XLOOKUP(J682,Strike_Review_Queue!$I:$I,Strike_Review_Queue!$M:$M,""))</f>
        <v/>
      </c>
    </row>
    <row r="683" ht="15.75" customHeight="1">
      <c r="C683" s="39"/>
      <c r="D683" s="39" t="str">
        <f>IF(OR(B683="",A683=""),"",MAX(0,MIN(3,SUMIFS($C$2:$C$1000,$B$2:$B$1000,B683,$A$2:$A$1000,"&lt;="&amp;A683,$A$2:$A$1000,"&gt;="&amp;IF(Config!$B$1004="Y",A683-Config!$B$1005,DATE(1900,1,1)),$I$2:$I$1000,1)))))</f>
        <v>#ERROR!</v>
      </c>
      <c r="H683" s="39"/>
      <c r="I683" s="39">
        <f t="shared" si="1"/>
        <v>1</v>
      </c>
      <c r="J683" s="39" t="str">
        <f t="shared" si="2"/>
        <v/>
      </c>
      <c r="K683" s="39" t="str">
        <f t="array" ref="K683">IF(J683="","",IF(XLOOKUP(J683,Strike_Review_Queue!$I:$I,Strike_Review_Queue!$J:$J,"")="Approve","Approved",IF(XLOOKUP(J683,Strike_Review_Queue!$I:$I,Strike_Review_Queue!$J:$J,"")="Deny","Counts",H683)))</f>
        <v/>
      </c>
      <c r="L683" s="39" t="str">
        <f t="array" ref="L683">IF(J683="","",XLOOKUP(J683,Strike_Review_Queue!$I:$I,Strike_Review_Queue!$L:$L,""))</f>
        <v/>
      </c>
      <c r="M683" s="39" t="str">
        <f t="array" ref="M683">IF(J683="","",XLOOKUP(J683,Strike_Review_Queue!$I:$I,Strike_Review_Queue!$M:$M,""))</f>
        <v/>
      </c>
    </row>
    <row r="684" ht="15.75" customHeight="1">
      <c r="C684" s="39"/>
      <c r="D684" s="39" t="str">
        <f>IF(OR(B684="",A684=""),"",MAX(0,MIN(3,SUMIFS($C$2:$C$1000,$B$2:$B$1000,B684,$A$2:$A$1000,"&lt;="&amp;A684,$A$2:$A$1000,"&gt;="&amp;IF(Config!$B$1004="Y",A684-Config!$B$1005,DATE(1900,1,1)),$I$2:$I$1000,1)))))</f>
        <v>#ERROR!</v>
      </c>
      <c r="H684" s="39"/>
      <c r="I684" s="39">
        <f t="shared" si="1"/>
        <v>1</v>
      </c>
      <c r="J684" s="39" t="str">
        <f t="shared" si="2"/>
        <v/>
      </c>
      <c r="K684" s="39" t="str">
        <f t="array" ref="K684">IF(J684="","",IF(XLOOKUP(J684,Strike_Review_Queue!$I:$I,Strike_Review_Queue!$J:$J,"")="Approve","Approved",IF(XLOOKUP(J684,Strike_Review_Queue!$I:$I,Strike_Review_Queue!$J:$J,"")="Deny","Counts",H684)))</f>
        <v/>
      </c>
      <c r="L684" s="39" t="str">
        <f t="array" ref="L684">IF(J684="","",XLOOKUP(J684,Strike_Review_Queue!$I:$I,Strike_Review_Queue!$L:$L,""))</f>
        <v/>
      </c>
      <c r="M684" s="39" t="str">
        <f t="array" ref="M684">IF(J684="","",XLOOKUP(J684,Strike_Review_Queue!$I:$I,Strike_Review_Queue!$M:$M,""))</f>
        <v/>
      </c>
    </row>
    <row r="685" ht="15.75" customHeight="1">
      <c r="C685" s="39"/>
      <c r="D685" s="39" t="str">
        <f>IF(OR(B685="",A685=""),"",MAX(0,MIN(3,SUMIFS($C$2:$C$1000,$B$2:$B$1000,B685,$A$2:$A$1000,"&lt;="&amp;A685,$A$2:$A$1000,"&gt;="&amp;IF(Config!$B$1004="Y",A685-Config!$B$1005,DATE(1900,1,1)),$I$2:$I$1000,1)))))</f>
        <v>#ERROR!</v>
      </c>
      <c r="H685" s="39"/>
      <c r="I685" s="39">
        <f t="shared" si="1"/>
        <v>1</v>
      </c>
      <c r="J685" s="39" t="str">
        <f t="shared" si="2"/>
        <v/>
      </c>
      <c r="K685" s="39" t="str">
        <f t="array" ref="K685">IF(J685="","",IF(XLOOKUP(J685,Strike_Review_Queue!$I:$I,Strike_Review_Queue!$J:$J,"")="Approve","Approved",IF(XLOOKUP(J685,Strike_Review_Queue!$I:$I,Strike_Review_Queue!$J:$J,"")="Deny","Counts",H685)))</f>
        <v/>
      </c>
      <c r="L685" s="39" t="str">
        <f t="array" ref="L685">IF(J685="","",XLOOKUP(J685,Strike_Review_Queue!$I:$I,Strike_Review_Queue!$L:$L,""))</f>
        <v/>
      </c>
      <c r="M685" s="39" t="str">
        <f t="array" ref="M685">IF(J685="","",XLOOKUP(J685,Strike_Review_Queue!$I:$I,Strike_Review_Queue!$M:$M,""))</f>
        <v/>
      </c>
    </row>
    <row r="686" ht="15.75" customHeight="1">
      <c r="C686" s="39"/>
      <c r="D686" s="39" t="str">
        <f>IF(OR(B686="",A686=""),"",MAX(0,MIN(3,SUMIFS($C$2:$C$1000,$B$2:$B$1000,B686,$A$2:$A$1000,"&lt;="&amp;A686,$A$2:$A$1000,"&gt;="&amp;IF(Config!$B$1004="Y",A686-Config!$B$1005,DATE(1900,1,1)),$I$2:$I$1000,1)))))</f>
        <v>#ERROR!</v>
      </c>
      <c r="H686" s="39"/>
      <c r="I686" s="39">
        <f t="shared" si="1"/>
        <v>1</v>
      </c>
      <c r="J686" s="39" t="str">
        <f t="shared" si="2"/>
        <v/>
      </c>
      <c r="K686" s="39" t="str">
        <f t="array" ref="K686">IF(J686="","",IF(XLOOKUP(J686,Strike_Review_Queue!$I:$I,Strike_Review_Queue!$J:$J,"")="Approve","Approved",IF(XLOOKUP(J686,Strike_Review_Queue!$I:$I,Strike_Review_Queue!$J:$J,"")="Deny","Counts",H686)))</f>
        <v/>
      </c>
      <c r="L686" s="39" t="str">
        <f t="array" ref="L686">IF(J686="","",XLOOKUP(J686,Strike_Review_Queue!$I:$I,Strike_Review_Queue!$L:$L,""))</f>
        <v/>
      </c>
      <c r="M686" s="39" t="str">
        <f t="array" ref="M686">IF(J686="","",XLOOKUP(J686,Strike_Review_Queue!$I:$I,Strike_Review_Queue!$M:$M,""))</f>
        <v/>
      </c>
    </row>
    <row r="687" ht="15.75" customHeight="1">
      <c r="C687" s="39"/>
      <c r="D687" s="39" t="str">
        <f>IF(OR(B687="",A687=""),"",MAX(0,MIN(3,SUMIFS($C$2:$C$1000,$B$2:$B$1000,B687,$A$2:$A$1000,"&lt;="&amp;A687,$A$2:$A$1000,"&gt;="&amp;IF(Config!$B$1004="Y",A687-Config!$B$1005,DATE(1900,1,1)),$I$2:$I$1000,1)))))</f>
        <v>#ERROR!</v>
      </c>
      <c r="H687" s="39"/>
      <c r="I687" s="39">
        <f t="shared" si="1"/>
        <v>1</v>
      </c>
      <c r="J687" s="39" t="str">
        <f t="shared" si="2"/>
        <v/>
      </c>
      <c r="K687" s="39" t="str">
        <f t="array" ref="K687">IF(J687="","",IF(XLOOKUP(J687,Strike_Review_Queue!$I:$I,Strike_Review_Queue!$J:$J,"")="Approve","Approved",IF(XLOOKUP(J687,Strike_Review_Queue!$I:$I,Strike_Review_Queue!$J:$J,"")="Deny","Counts",H687)))</f>
        <v/>
      </c>
      <c r="L687" s="39" t="str">
        <f t="array" ref="L687">IF(J687="","",XLOOKUP(J687,Strike_Review_Queue!$I:$I,Strike_Review_Queue!$L:$L,""))</f>
        <v/>
      </c>
      <c r="M687" s="39" t="str">
        <f t="array" ref="M687">IF(J687="","",XLOOKUP(J687,Strike_Review_Queue!$I:$I,Strike_Review_Queue!$M:$M,""))</f>
        <v/>
      </c>
    </row>
    <row r="688" ht="15.75" customHeight="1">
      <c r="C688" s="39"/>
      <c r="D688" s="39" t="str">
        <f>IF(OR(B688="",A688=""),"",MAX(0,MIN(3,SUMIFS($C$2:$C$1000,$B$2:$B$1000,B688,$A$2:$A$1000,"&lt;="&amp;A688,$A$2:$A$1000,"&gt;="&amp;IF(Config!$B$1004="Y",A688-Config!$B$1005,DATE(1900,1,1)),$I$2:$I$1000,1)))))</f>
        <v>#ERROR!</v>
      </c>
      <c r="H688" s="39"/>
      <c r="I688" s="39">
        <f t="shared" si="1"/>
        <v>1</v>
      </c>
      <c r="J688" s="39" t="str">
        <f t="shared" si="2"/>
        <v/>
      </c>
      <c r="K688" s="39" t="str">
        <f t="array" ref="K688">IF(J688="","",IF(XLOOKUP(J688,Strike_Review_Queue!$I:$I,Strike_Review_Queue!$J:$J,"")="Approve","Approved",IF(XLOOKUP(J688,Strike_Review_Queue!$I:$I,Strike_Review_Queue!$J:$J,"")="Deny","Counts",H688)))</f>
        <v/>
      </c>
      <c r="L688" s="39" t="str">
        <f t="array" ref="L688">IF(J688="","",XLOOKUP(J688,Strike_Review_Queue!$I:$I,Strike_Review_Queue!$L:$L,""))</f>
        <v/>
      </c>
      <c r="M688" s="39" t="str">
        <f t="array" ref="M688">IF(J688="","",XLOOKUP(J688,Strike_Review_Queue!$I:$I,Strike_Review_Queue!$M:$M,""))</f>
        <v/>
      </c>
    </row>
    <row r="689" ht="15.75" customHeight="1">
      <c r="C689" s="39"/>
      <c r="D689" s="39" t="str">
        <f>IF(OR(B689="",A689=""),"",MAX(0,MIN(3,SUMIFS($C$2:$C$1000,$B$2:$B$1000,B689,$A$2:$A$1000,"&lt;="&amp;A689,$A$2:$A$1000,"&gt;="&amp;IF(Config!$B$1004="Y",A689-Config!$B$1005,DATE(1900,1,1)),$I$2:$I$1000,1)))))</f>
        <v>#ERROR!</v>
      </c>
      <c r="H689" s="39"/>
      <c r="I689" s="39">
        <f t="shared" si="1"/>
        <v>1</v>
      </c>
      <c r="J689" s="39" t="str">
        <f t="shared" si="2"/>
        <v/>
      </c>
      <c r="K689" s="39" t="str">
        <f t="array" ref="K689">IF(J689="","",IF(XLOOKUP(J689,Strike_Review_Queue!$I:$I,Strike_Review_Queue!$J:$J,"")="Approve","Approved",IF(XLOOKUP(J689,Strike_Review_Queue!$I:$I,Strike_Review_Queue!$J:$J,"")="Deny","Counts",H689)))</f>
        <v/>
      </c>
      <c r="L689" s="39" t="str">
        <f t="array" ref="L689">IF(J689="","",XLOOKUP(J689,Strike_Review_Queue!$I:$I,Strike_Review_Queue!$L:$L,""))</f>
        <v/>
      </c>
      <c r="M689" s="39" t="str">
        <f t="array" ref="M689">IF(J689="","",XLOOKUP(J689,Strike_Review_Queue!$I:$I,Strike_Review_Queue!$M:$M,""))</f>
        <v/>
      </c>
    </row>
    <row r="690" ht="15.75" customHeight="1">
      <c r="C690" s="39"/>
      <c r="D690" s="39" t="str">
        <f>IF(OR(B690="",A690=""),"",MAX(0,MIN(3,SUMIFS($C$2:$C$1000,$B$2:$B$1000,B690,$A$2:$A$1000,"&lt;="&amp;A690,$A$2:$A$1000,"&gt;="&amp;IF(Config!$B$1004="Y",A690-Config!$B$1005,DATE(1900,1,1)),$I$2:$I$1000,1)))))</f>
        <v>#ERROR!</v>
      </c>
      <c r="H690" s="39"/>
      <c r="I690" s="39">
        <f t="shared" si="1"/>
        <v>1</v>
      </c>
      <c r="J690" s="39" t="str">
        <f t="shared" si="2"/>
        <v/>
      </c>
      <c r="K690" s="39" t="str">
        <f t="array" ref="K690">IF(J690="","",IF(XLOOKUP(J690,Strike_Review_Queue!$I:$I,Strike_Review_Queue!$J:$J,"")="Approve","Approved",IF(XLOOKUP(J690,Strike_Review_Queue!$I:$I,Strike_Review_Queue!$J:$J,"")="Deny","Counts",H690)))</f>
        <v/>
      </c>
      <c r="L690" s="39" t="str">
        <f t="array" ref="L690">IF(J690="","",XLOOKUP(J690,Strike_Review_Queue!$I:$I,Strike_Review_Queue!$L:$L,""))</f>
        <v/>
      </c>
      <c r="M690" s="39" t="str">
        <f t="array" ref="M690">IF(J690="","",XLOOKUP(J690,Strike_Review_Queue!$I:$I,Strike_Review_Queue!$M:$M,""))</f>
        <v/>
      </c>
    </row>
    <row r="691" ht="15.75" customHeight="1">
      <c r="C691" s="39"/>
      <c r="D691" s="39" t="str">
        <f>IF(OR(B691="",A691=""),"",MAX(0,MIN(3,SUMIFS($C$2:$C$1000,$B$2:$B$1000,B691,$A$2:$A$1000,"&lt;="&amp;A691,$A$2:$A$1000,"&gt;="&amp;IF(Config!$B$1004="Y",A691-Config!$B$1005,DATE(1900,1,1)),$I$2:$I$1000,1)))))</f>
        <v>#ERROR!</v>
      </c>
      <c r="H691" s="39"/>
      <c r="I691" s="39">
        <f t="shared" si="1"/>
        <v>1</v>
      </c>
      <c r="J691" s="39" t="str">
        <f t="shared" si="2"/>
        <v/>
      </c>
      <c r="K691" s="39" t="str">
        <f t="array" ref="K691">IF(J691="","",IF(XLOOKUP(J691,Strike_Review_Queue!$I:$I,Strike_Review_Queue!$J:$J,"")="Approve","Approved",IF(XLOOKUP(J691,Strike_Review_Queue!$I:$I,Strike_Review_Queue!$J:$J,"")="Deny","Counts",H691)))</f>
        <v/>
      </c>
      <c r="L691" s="39" t="str">
        <f t="array" ref="L691">IF(J691="","",XLOOKUP(J691,Strike_Review_Queue!$I:$I,Strike_Review_Queue!$L:$L,""))</f>
        <v/>
      </c>
      <c r="M691" s="39" t="str">
        <f t="array" ref="M691">IF(J691="","",XLOOKUP(J691,Strike_Review_Queue!$I:$I,Strike_Review_Queue!$M:$M,""))</f>
        <v/>
      </c>
    </row>
    <row r="692" ht="15.75" customHeight="1">
      <c r="C692" s="39"/>
      <c r="D692" s="39" t="str">
        <f>IF(OR(B692="",A692=""),"",MAX(0,MIN(3,SUMIFS($C$2:$C$1000,$B$2:$B$1000,B692,$A$2:$A$1000,"&lt;="&amp;A692,$A$2:$A$1000,"&gt;="&amp;IF(Config!$B$1004="Y",A692-Config!$B$1005,DATE(1900,1,1)),$I$2:$I$1000,1)))))</f>
        <v>#ERROR!</v>
      </c>
      <c r="H692" s="39"/>
      <c r="I692" s="39">
        <f t="shared" si="1"/>
        <v>1</v>
      </c>
      <c r="J692" s="39" t="str">
        <f t="shared" si="2"/>
        <v/>
      </c>
      <c r="K692" s="39" t="str">
        <f t="array" ref="K692">IF(J692="","",IF(XLOOKUP(J692,Strike_Review_Queue!$I:$I,Strike_Review_Queue!$J:$J,"")="Approve","Approved",IF(XLOOKUP(J692,Strike_Review_Queue!$I:$I,Strike_Review_Queue!$J:$J,"")="Deny","Counts",H692)))</f>
        <v/>
      </c>
      <c r="L692" s="39" t="str">
        <f t="array" ref="L692">IF(J692="","",XLOOKUP(J692,Strike_Review_Queue!$I:$I,Strike_Review_Queue!$L:$L,""))</f>
        <v/>
      </c>
      <c r="M692" s="39" t="str">
        <f t="array" ref="M692">IF(J692="","",XLOOKUP(J692,Strike_Review_Queue!$I:$I,Strike_Review_Queue!$M:$M,""))</f>
        <v/>
      </c>
    </row>
    <row r="693" ht="15.75" customHeight="1">
      <c r="C693" s="39"/>
      <c r="D693" s="39" t="str">
        <f>IF(OR(B693="",A693=""),"",MAX(0,MIN(3,SUMIFS($C$2:$C$1000,$B$2:$B$1000,B693,$A$2:$A$1000,"&lt;="&amp;A693,$A$2:$A$1000,"&gt;="&amp;IF(Config!$B$1004="Y",A693-Config!$B$1005,DATE(1900,1,1)),$I$2:$I$1000,1)))))</f>
        <v>#ERROR!</v>
      </c>
      <c r="H693" s="39"/>
      <c r="I693" s="39">
        <f t="shared" si="1"/>
        <v>1</v>
      </c>
      <c r="J693" s="39" t="str">
        <f t="shared" si="2"/>
        <v/>
      </c>
      <c r="K693" s="39" t="str">
        <f t="array" ref="K693">IF(J693="","",IF(XLOOKUP(J693,Strike_Review_Queue!$I:$I,Strike_Review_Queue!$J:$J,"")="Approve","Approved",IF(XLOOKUP(J693,Strike_Review_Queue!$I:$I,Strike_Review_Queue!$J:$J,"")="Deny","Counts",H693)))</f>
        <v/>
      </c>
      <c r="L693" s="39" t="str">
        <f t="array" ref="L693">IF(J693="","",XLOOKUP(J693,Strike_Review_Queue!$I:$I,Strike_Review_Queue!$L:$L,""))</f>
        <v/>
      </c>
      <c r="M693" s="39" t="str">
        <f t="array" ref="M693">IF(J693="","",XLOOKUP(J693,Strike_Review_Queue!$I:$I,Strike_Review_Queue!$M:$M,""))</f>
        <v/>
      </c>
    </row>
    <row r="694" ht="15.75" customHeight="1">
      <c r="C694" s="39"/>
      <c r="D694" s="39" t="str">
        <f>IF(OR(B694="",A694=""),"",MAX(0,MIN(3,SUMIFS($C$2:$C$1000,$B$2:$B$1000,B694,$A$2:$A$1000,"&lt;="&amp;A694,$A$2:$A$1000,"&gt;="&amp;IF(Config!$B$1004="Y",A694-Config!$B$1005,DATE(1900,1,1)),$I$2:$I$1000,1)))))</f>
        <v>#ERROR!</v>
      </c>
      <c r="H694" s="39"/>
      <c r="I694" s="39">
        <f t="shared" si="1"/>
        <v>1</v>
      </c>
      <c r="J694" s="39" t="str">
        <f t="shared" si="2"/>
        <v/>
      </c>
      <c r="K694" s="39" t="str">
        <f t="array" ref="K694">IF(J694="","",IF(XLOOKUP(J694,Strike_Review_Queue!$I:$I,Strike_Review_Queue!$J:$J,"")="Approve","Approved",IF(XLOOKUP(J694,Strike_Review_Queue!$I:$I,Strike_Review_Queue!$J:$J,"")="Deny","Counts",H694)))</f>
        <v/>
      </c>
      <c r="L694" s="39" t="str">
        <f t="array" ref="L694">IF(J694="","",XLOOKUP(J694,Strike_Review_Queue!$I:$I,Strike_Review_Queue!$L:$L,""))</f>
        <v/>
      </c>
      <c r="M694" s="39" t="str">
        <f t="array" ref="M694">IF(J694="","",XLOOKUP(J694,Strike_Review_Queue!$I:$I,Strike_Review_Queue!$M:$M,""))</f>
        <v/>
      </c>
    </row>
    <row r="695" ht="15.75" customHeight="1">
      <c r="C695" s="39"/>
      <c r="D695" s="39" t="str">
        <f>IF(OR(B695="",A695=""),"",MAX(0,MIN(3,SUMIFS($C$2:$C$1000,$B$2:$B$1000,B695,$A$2:$A$1000,"&lt;="&amp;A695,$A$2:$A$1000,"&gt;="&amp;IF(Config!$B$1004="Y",A695-Config!$B$1005,DATE(1900,1,1)),$I$2:$I$1000,1)))))</f>
        <v>#ERROR!</v>
      </c>
      <c r="H695" s="39"/>
      <c r="I695" s="39">
        <f t="shared" si="1"/>
        <v>1</v>
      </c>
      <c r="J695" s="39" t="str">
        <f t="shared" si="2"/>
        <v/>
      </c>
      <c r="K695" s="39" t="str">
        <f t="array" ref="K695">IF(J695="","",IF(XLOOKUP(J695,Strike_Review_Queue!$I:$I,Strike_Review_Queue!$J:$J,"")="Approve","Approved",IF(XLOOKUP(J695,Strike_Review_Queue!$I:$I,Strike_Review_Queue!$J:$J,"")="Deny","Counts",H695)))</f>
        <v/>
      </c>
      <c r="L695" s="39" t="str">
        <f t="array" ref="L695">IF(J695="","",XLOOKUP(J695,Strike_Review_Queue!$I:$I,Strike_Review_Queue!$L:$L,""))</f>
        <v/>
      </c>
      <c r="M695" s="39" t="str">
        <f t="array" ref="M695">IF(J695="","",XLOOKUP(J695,Strike_Review_Queue!$I:$I,Strike_Review_Queue!$M:$M,""))</f>
        <v/>
      </c>
    </row>
    <row r="696" ht="15.75" customHeight="1">
      <c r="C696" s="39"/>
      <c r="D696" s="39" t="str">
        <f>IF(OR(B696="",A696=""),"",MAX(0,MIN(3,SUMIFS($C$2:$C$1000,$B$2:$B$1000,B696,$A$2:$A$1000,"&lt;="&amp;A696,$A$2:$A$1000,"&gt;="&amp;IF(Config!$B$1004="Y",A696-Config!$B$1005,DATE(1900,1,1)),$I$2:$I$1000,1)))))</f>
        <v>#ERROR!</v>
      </c>
      <c r="H696" s="39"/>
      <c r="I696" s="39">
        <f t="shared" si="1"/>
        <v>1</v>
      </c>
      <c r="J696" s="39" t="str">
        <f t="shared" si="2"/>
        <v/>
      </c>
      <c r="K696" s="39" t="str">
        <f t="array" ref="K696">IF(J696="","",IF(XLOOKUP(J696,Strike_Review_Queue!$I:$I,Strike_Review_Queue!$J:$J,"")="Approve","Approved",IF(XLOOKUP(J696,Strike_Review_Queue!$I:$I,Strike_Review_Queue!$J:$J,"")="Deny","Counts",H696)))</f>
        <v/>
      </c>
      <c r="L696" s="39" t="str">
        <f t="array" ref="L696">IF(J696="","",XLOOKUP(J696,Strike_Review_Queue!$I:$I,Strike_Review_Queue!$L:$L,""))</f>
        <v/>
      </c>
      <c r="M696" s="39" t="str">
        <f t="array" ref="M696">IF(J696="","",XLOOKUP(J696,Strike_Review_Queue!$I:$I,Strike_Review_Queue!$M:$M,""))</f>
        <v/>
      </c>
    </row>
    <row r="697" ht="15.75" customHeight="1">
      <c r="C697" s="39"/>
      <c r="D697" s="39" t="str">
        <f>IF(OR(B697="",A697=""),"",MAX(0,MIN(3,SUMIFS($C$2:$C$1000,$B$2:$B$1000,B697,$A$2:$A$1000,"&lt;="&amp;A697,$A$2:$A$1000,"&gt;="&amp;IF(Config!$B$1004="Y",A697-Config!$B$1005,DATE(1900,1,1)),$I$2:$I$1000,1)))))</f>
        <v>#ERROR!</v>
      </c>
      <c r="H697" s="39"/>
      <c r="I697" s="39">
        <f t="shared" si="1"/>
        <v>1</v>
      </c>
      <c r="J697" s="39" t="str">
        <f t="shared" si="2"/>
        <v/>
      </c>
      <c r="K697" s="39" t="str">
        <f t="array" ref="K697">IF(J697="","",IF(XLOOKUP(J697,Strike_Review_Queue!$I:$I,Strike_Review_Queue!$J:$J,"")="Approve","Approved",IF(XLOOKUP(J697,Strike_Review_Queue!$I:$I,Strike_Review_Queue!$J:$J,"")="Deny","Counts",H697)))</f>
        <v/>
      </c>
      <c r="L697" s="39" t="str">
        <f t="array" ref="L697">IF(J697="","",XLOOKUP(J697,Strike_Review_Queue!$I:$I,Strike_Review_Queue!$L:$L,""))</f>
        <v/>
      </c>
      <c r="M697" s="39" t="str">
        <f t="array" ref="M697">IF(J697="","",XLOOKUP(J697,Strike_Review_Queue!$I:$I,Strike_Review_Queue!$M:$M,""))</f>
        <v/>
      </c>
    </row>
    <row r="698" ht="15.75" customHeight="1">
      <c r="C698" s="39"/>
      <c r="D698" s="39" t="str">
        <f>IF(OR(B698="",A698=""),"",MAX(0,MIN(3,SUMIFS($C$2:$C$1000,$B$2:$B$1000,B698,$A$2:$A$1000,"&lt;="&amp;A698,$A$2:$A$1000,"&gt;="&amp;IF(Config!$B$1004="Y",A698-Config!$B$1005,DATE(1900,1,1)),$I$2:$I$1000,1)))))</f>
        <v>#ERROR!</v>
      </c>
      <c r="H698" s="39"/>
      <c r="I698" s="39">
        <f t="shared" si="1"/>
        <v>1</v>
      </c>
      <c r="J698" s="39" t="str">
        <f t="shared" si="2"/>
        <v/>
      </c>
      <c r="K698" s="39" t="str">
        <f t="array" ref="K698">IF(J698="","",IF(XLOOKUP(J698,Strike_Review_Queue!$I:$I,Strike_Review_Queue!$J:$J,"")="Approve","Approved",IF(XLOOKUP(J698,Strike_Review_Queue!$I:$I,Strike_Review_Queue!$J:$J,"")="Deny","Counts",H698)))</f>
        <v/>
      </c>
      <c r="L698" s="39" t="str">
        <f t="array" ref="L698">IF(J698="","",XLOOKUP(J698,Strike_Review_Queue!$I:$I,Strike_Review_Queue!$L:$L,""))</f>
        <v/>
      </c>
      <c r="M698" s="39" t="str">
        <f t="array" ref="M698">IF(J698="","",XLOOKUP(J698,Strike_Review_Queue!$I:$I,Strike_Review_Queue!$M:$M,""))</f>
        <v/>
      </c>
    </row>
    <row r="699" ht="15.75" customHeight="1">
      <c r="C699" s="39"/>
      <c r="D699" s="39" t="str">
        <f>IF(OR(B699="",A699=""),"",MAX(0,MIN(3,SUMIFS($C$2:$C$1000,$B$2:$B$1000,B699,$A$2:$A$1000,"&lt;="&amp;A699,$A$2:$A$1000,"&gt;="&amp;IF(Config!$B$1004="Y",A699-Config!$B$1005,DATE(1900,1,1)),$I$2:$I$1000,1)))))</f>
        <v>#ERROR!</v>
      </c>
      <c r="H699" s="39"/>
      <c r="I699" s="39">
        <f t="shared" si="1"/>
        <v>1</v>
      </c>
      <c r="J699" s="39" t="str">
        <f t="shared" si="2"/>
        <v/>
      </c>
      <c r="K699" s="39" t="str">
        <f t="array" ref="K699">IF(J699="","",IF(XLOOKUP(J699,Strike_Review_Queue!$I:$I,Strike_Review_Queue!$J:$J,"")="Approve","Approved",IF(XLOOKUP(J699,Strike_Review_Queue!$I:$I,Strike_Review_Queue!$J:$J,"")="Deny","Counts",H699)))</f>
        <v/>
      </c>
      <c r="L699" s="39" t="str">
        <f t="array" ref="L699">IF(J699="","",XLOOKUP(J699,Strike_Review_Queue!$I:$I,Strike_Review_Queue!$L:$L,""))</f>
        <v/>
      </c>
      <c r="M699" s="39" t="str">
        <f t="array" ref="M699">IF(J699="","",XLOOKUP(J699,Strike_Review_Queue!$I:$I,Strike_Review_Queue!$M:$M,""))</f>
        <v/>
      </c>
    </row>
    <row r="700" ht="15.75" customHeight="1">
      <c r="C700" s="39"/>
      <c r="D700" s="39" t="str">
        <f>IF(OR(B700="",A700=""),"",MAX(0,MIN(3,SUMIFS($C$2:$C$1000,$B$2:$B$1000,B700,$A$2:$A$1000,"&lt;="&amp;A700,$A$2:$A$1000,"&gt;="&amp;IF(Config!$B$1004="Y",A700-Config!$B$1005,DATE(1900,1,1)),$I$2:$I$1000,1)))))</f>
        <v>#ERROR!</v>
      </c>
      <c r="H700" s="39"/>
      <c r="I700" s="39">
        <f t="shared" si="1"/>
        <v>1</v>
      </c>
      <c r="J700" s="39" t="str">
        <f t="shared" si="2"/>
        <v/>
      </c>
      <c r="K700" s="39" t="str">
        <f t="array" ref="K700">IF(J700="","",IF(XLOOKUP(J700,Strike_Review_Queue!$I:$I,Strike_Review_Queue!$J:$J,"")="Approve","Approved",IF(XLOOKUP(J700,Strike_Review_Queue!$I:$I,Strike_Review_Queue!$J:$J,"")="Deny","Counts",H700)))</f>
        <v/>
      </c>
      <c r="L700" s="39" t="str">
        <f t="array" ref="L700">IF(J700="","",XLOOKUP(J700,Strike_Review_Queue!$I:$I,Strike_Review_Queue!$L:$L,""))</f>
        <v/>
      </c>
      <c r="M700" s="39" t="str">
        <f t="array" ref="M700">IF(J700="","",XLOOKUP(J700,Strike_Review_Queue!$I:$I,Strike_Review_Queue!$M:$M,""))</f>
        <v/>
      </c>
    </row>
    <row r="701" ht="15.75" customHeight="1">
      <c r="C701" s="39"/>
      <c r="D701" s="39" t="str">
        <f>IF(OR(B701="",A701=""),"",MAX(0,MIN(3,SUMIFS($C$2:$C$1000,$B$2:$B$1000,B701,$A$2:$A$1000,"&lt;="&amp;A701,$A$2:$A$1000,"&gt;="&amp;IF(Config!$B$1004="Y",A701-Config!$B$1005,DATE(1900,1,1)),$I$2:$I$1000,1)))))</f>
        <v>#ERROR!</v>
      </c>
      <c r="H701" s="39"/>
      <c r="I701" s="39">
        <f t="shared" si="1"/>
        <v>1</v>
      </c>
      <c r="J701" s="39" t="str">
        <f t="shared" si="2"/>
        <v/>
      </c>
      <c r="K701" s="39" t="str">
        <f t="array" ref="K701">IF(J701="","",IF(XLOOKUP(J701,Strike_Review_Queue!$I:$I,Strike_Review_Queue!$J:$J,"")="Approve","Approved",IF(XLOOKUP(J701,Strike_Review_Queue!$I:$I,Strike_Review_Queue!$J:$J,"")="Deny","Counts",H701)))</f>
        <v/>
      </c>
      <c r="L701" s="39" t="str">
        <f t="array" ref="L701">IF(J701="","",XLOOKUP(J701,Strike_Review_Queue!$I:$I,Strike_Review_Queue!$L:$L,""))</f>
        <v/>
      </c>
      <c r="M701" s="39" t="str">
        <f t="array" ref="M701">IF(J701="","",XLOOKUP(J701,Strike_Review_Queue!$I:$I,Strike_Review_Queue!$M:$M,""))</f>
        <v/>
      </c>
    </row>
    <row r="702" ht="15.75" customHeight="1">
      <c r="C702" s="39"/>
      <c r="D702" s="39" t="str">
        <f>IF(OR(B702="",A702=""),"",MAX(0,MIN(3,SUMIFS($C$2:$C$1000,$B$2:$B$1000,B702,$A$2:$A$1000,"&lt;="&amp;A702,$A$2:$A$1000,"&gt;="&amp;IF(Config!$B$1004="Y",A702-Config!$B$1005,DATE(1900,1,1)),$I$2:$I$1000,1)))))</f>
        <v>#ERROR!</v>
      </c>
      <c r="H702" s="39"/>
      <c r="I702" s="39">
        <f t="shared" si="1"/>
        <v>1</v>
      </c>
      <c r="J702" s="39" t="str">
        <f t="shared" si="2"/>
        <v/>
      </c>
      <c r="K702" s="39" t="str">
        <f t="array" ref="K702">IF(J702="","",IF(XLOOKUP(J702,Strike_Review_Queue!$I:$I,Strike_Review_Queue!$J:$J,"")="Approve","Approved",IF(XLOOKUP(J702,Strike_Review_Queue!$I:$I,Strike_Review_Queue!$J:$J,"")="Deny","Counts",H702)))</f>
        <v/>
      </c>
      <c r="L702" s="39" t="str">
        <f t="array" ref="L702">IF(J702="","",XLOOKUP(J702,Strike_Review_Queue!$I:$I,Strike_Review_Queue!$L:$L,""))</f>
        <v/>
      </c>
      <c r="M702" s="39" t="str">
        <f t="array" ref="M702">IF(J702="","",XLOOKUP(J702,Strike_Review_Queue!$I:$I,Strike_Review_Queue!$M:$M,""))</f>
        <v/>
      </c>
    </row>
    <row r="703" ht="15.75" customHeight="1">
      <c r="C703" s="39"/>
      <c r="D703" s="39" t="str">
        <f>IF(OR(B703="",A703=""),"",MAX(0,MIN(3,SUMIFS($C$2:$C$1000,$B$2:$B$1000,B703,$A$2:$A$1000,"&lt;="&amp;A703,$A$2:$A$1000,"&gt;="&amp;IF(Config!$B$1004="Y",A703-Config!$B$1005,DATE(1900,1,1)),$I$2:$I$1000,1)))))</f>
        <v>#ERROR!</v>
      </c>
      <c r="H703" s="39"/>
      <c r="I703" s="39">
        <f t="shared" si="1"/>
        <v>1</v>
      </c>
      <c r="J703" s="39" t="str">
        <f t="shared" si="2"/>
        <v/>
      </c>
      <c r="K703" s="39" t="str">
        <f t="array" ref="K703">IF(J703="","",IF(XLOOKUP(J703,Strike_Review_Queue!$I:$I,Strike_Review_Queue!$J:$J,"")="Approve","Approved",IF(XLOOKUP(J703,Strike_Review_Queue!$I:$I,Strike_Review_Queue!$J:$J,"")="Deny","Counts",H703)))</f>
        <v/>
      </c>
      <c r="L703" s="39" t="str">
        <f t="array" ref="L703">IF(J703="","",XLOOKUP(J703,Strike_Review_Queue!$I:$I,Strike_Review_Queue!$L:$L,""))</f>
        <v/>
      </c>
      <c r="M703" s="39" t="str">
        <f t="array" ref="M703">IF(J703="","",XLOOKUP(J703,Strike_Review_Queue!$I:$I,Strike_Review_Queue!$M:$M,""))</f>
        <v/>
      </c>
    </row>
    <row r="704" ht="15.75" customHeight="1">
      <c r="C704" s="39"/>
      <c r="D704" s="39" t="str">
        <f>IF(OR(B704="",A704=""),"",MAX(0,MIN(3,SUMIFS($C$2:$C$1000,$B$2:$B$1000,B704,$A$2:$A$1000,"&lt;="&amp;A704,$A$2:$A$1000,"&gt;="&amp;IF(Config!$B$1004="Y",A704-Config!$B$1005,DATE(1900,1,1)),$I$2:$I$1000,1)))))</f>
        <v>#ERROR!</v>
      </c>
      <c r="H704" s="39"/>
      <c r="I704" s="39">
        <f t="shared" si="1"/>
        <v>1</v>
      </c>
      <c r="J704" s="39" t="str">
        <f t="shared" si="2"/>
        <v/>
      </c>
      <c r="K704" s="39" t="str">
        <f t="array" ref="K704">IF(J704="","",IF(XLOOKUP(J704,Strike_Review_Queue!$I:$I,Strike_Review_Queue!$J:$J,"")="Approve","Approved",IF(XLOOKUP(J704,Strike_Review_Queue!$I:$I,Strike_Review_Queue!$J:$J,"")="Deny","Counts",H704)))</f>
        <v/>
      </c>
      <c r="L704" s="39" t="str">
        <f t="array" ref="L704">IF(J704="","",XLOOKUP(J704,Strike_Review_Queue!$I:$I,Strike_Review_Queue!$L:$L,""))</f>
        <v/>
      </c>
      <c r="M704" s="39" t="str">
        <f t="array" ref="M704">IF(J704="","",XLOOKUP(J704,Strike_Review_Queue!$I:$I,Strike_Review_Queue!$M:$M,""))</f>
        <v/>
      </c>
    </row>
    <row r="705" ht="15.75" customHeight="1">
      <c r="C705" s="39"/>
      <c r="D705" s="39" t="str">
        <f>IF(OR(B705="",A705=""),"",MAX(0,MIN(3,SUMIFS($C$2:$C$1000,$B$2:$B$1000,B705,$A$2:$A$1000,"&lt;="&amp;A705,$A$2:$A$1000,"&gt;="&amp;IF(Config!$B$1004="Y",A705-Config!$B$1005,DATE(1900,1,1)),$I$2:$I$1000,1)))))</f>
        <v>#ERROR!</v>
      </c>
      <c r="H705" s="39"/>
      <c r="I705" s="39">
        <f t="shared" si="1"/>
        <v>1</v>
      </c>
      <c r="J705" s="39" t="str">
        <f t="shared" si="2"/>
        <v/>
      </c>
      <c r="K705" s="39" t="str">
        <f t="array" ref="K705">IF(J705="","",IF(XLOOKUP(J705,Strike_Review_Queue!$I:$I,Strike_Review_Queue!$J:$J,"")="Approve","Approved",IF(XLOOKUP(J705,Strike_Review_Queue!$I:$I,Strike_Review_Queue!$J:$J,"")="Deny","Counts",H705)))</f>
        <v/>
      </c>
      <c r="L705" s="39" t="str">
        <f t="array" ref="L705">IF(J705="","",XLOOKUP(J705,Strike_Review_Queue!$I:$I,Strike_Review_Queue!$L:$L,""))</f>
        <v/>
      </c>
      <c r="M705" s="39" t="str">
        <f t="array" ref="M705">IF(J705="","",XLOOKUP(J705,Strike_Review_Queue!$I:$I,Strike_Review_Queue!$M:$M,""))</f>
        <v/>
      </c>
    </row>
    <row r="706" ht="15.75" customHeight="1">
      <c r="C706" s="39"/>
      <c r="D706" s="39" t="str">
        <f>IF(OR(B706="",A706=""),"",MAX(0,MIN(3,SUMIFS($C$2:$C$1000,$B$2:$B$1000,B706,$A$2:$A$1000,"&lt;="&amp;A706,$A$2:$A$1000,"&gt;="&amp;IF(Config!$B$1004="Y",A706-Config!$B$1005,DATE(1900,1,1)),$I$2:$I$1000,1)))))</f>
        <v>#ERROR!</v>
      </c>
      <c r="H706" s="39"/>
      <c r="I706" s="39">
        <f t="shared" si="1"/>
        <v>1</v>
      </c>
      <c r="J706" s="39" t="str">
        <f t="shared" si="2"/>
        <v/>
      </c>
      <c r="K706" s="39" t="str">
        <f t="array" ref="K706">IF(J706="","",IF(XLOOKUP(J706,Strike_Review_Queue!$I:$I,Strike_Review_Queue!$J:$J,"")="Approve","Approved",IF(XLOOKUP(J706,Strike_Review_Queue!$I:$I,Strike_Review_Queue!$J:$J,"")="Deny","Counts",H706)))</f>
        <v/>
      </c>
      <c r="L706" s="39" t="str">
        <f t="array" ref="L706">IF(J706="","",XLOOKUP(J706,Strike_Review_Queue!$I:$I,Strike_Review_Queue!$L:$L,""))</f>
        <v/>
      </c>
      <c r="M706" s="39" t="str">
        <f t="array" ref="M706">IF(J706="","",XLOOKUP(J706,Strike_Review_Queue!$I:$I,Strike_Review_Queue!$M:$M,""))</f>
        <v/>
      </c>
    </row>
    <row r="707" ht="15.75" customHeight="1">
      <c r="C707" s="39"/>
      <c r="D707" s="39" t="str">
        <f>IF(OR(B707="",A707=""),"",MAX(0,MIN(3,SUMIFS($C$2:$C$1000,$B$2:$B$1000,B707,$A$2:$A$1000,"&lt;="&amp;A707,$A$2:$A$1000,"&gt;="&amp;IF(Config!$B$1004="Y",A707-Config!$B$1005,DATE(1900,1,1)),$I$2:$I$1000,1)))))</f>
        <v>#ERROR!</v>
      </c>
      <c r="H707" s="39"/>
      <c r="I707" s="39">
        <f t="shared" si="1"/>
        <v>1</v>
      </c>
      <c r="J707" s="39" t="str">
        <f t="shared" si="2"/>
        <v/>
      </c>
      <c r="K707" s="39" t="str">
        <f t="array" ref="K707">IF(J707="","",IF(XLOOKUP(J707,Strike_Review_Queue!$I:$I,Strike_Review_Queue!$J:$J,"")="Approve","Approved",IF(XLOOKUP(J707,Strike_Review_Queue!$I:$I,Strike_Review_Queue!$J:$J,"")="Deny","Counts",H707)))</f>
        <v/>
      </c>
      <c r="L707" s="39" t="str">
        <f t="array" ref="L707">IF(J707="","",XLOOKUP(J707,Strike_Review_Queue!$I:$I,Strike_Review_Queue!$L:$L,""))</f>
        <v/>
      </c>
      <c r="M707" s="39" t="str">
        <f t="array" ref="M707">IF(J707="","",XLOOKUP(J707,Strike_Review_Queue!$I:$I,Strike_Review_Queue!$M:$M,""))</f>
        <v/>
      </c>
    </row>
    <row r="708" ht="15.75" customHeight="1">
      <c r="C708" s="39"/>
      <c r="D708" s="39" t="str">
        <f>IF(OR(B708="",A708=""),"",MAX(0,MIN(3,SUMIFS($C$2:$C$1000,$B$2:$B$1000,B708,$A$2:$A$1000,"&lt;="&amp;A708,$A$2:$A$1000,"&gt;="&amp;IF(Config!$B$1004="Y",A708-Config!$B$1005,DATE(1900,1,1)),$I$2:$I$1000,1)))))</f>
        <v>#ERROR!</v>
      </c>
      <c r="H708" s="39"/>
      <c r="I708" s="39">
        <f t="shared" si="1"/>
        <v>1</v>
      </c>
      <c r="J708" s="39" t="str">
        <f t="shared" si="2"/>
        <v/>
      </c>
      <c r="K708" s="39" t="str">
        <f t="array" ref="K708">IF(J708="","",IF(XLOOKUP(J708,Strike_Review_Queue!$I:$I,Strike_Review_Queue!$J:$J,"")="Approve","Approved",IF(XLOOKUP(J708,Strike_Review_Queue!$I:$I,Strike_Review_Queue!$J:$J,"")="Deny","Counts",H708)))</f>
        <v/>
      </c>
      <c r="L708" s="39" t="str">
        <f t="array" ref="L708">IF(J708="","",XLOOKUP(J708,Strike_Review_Queue!$I:$I,Strike_Review_Queue!$L:$L,""))</f>
        <v/>
      </c>
      <c r="M708" s="39" t="str">
        <f t="array" ref="M708">IF(J708="","",XLOOKUP(J708,Strike_Review_Queue!$I:$I,Strike_Review_Queue!$M:$M,""))</f>
        <v/>
      </c>
    </row>
    <row r="709" ht="15.75" customHeight="1">
      <c r="C709" s="39"/>
      <c r="D709" s="39" t="str">
        <f>IF(OR(B709="",A709=""),"",MAX(0,MIN(3,SUMIFS($C$2:$C$1000,$B$2:$B$1000,B709,$A$2:$A$1000,"&lt;="&amp;A709,$A$2:$A$1000,"&gt;="&amp;IF(Config!$B$1004="Y",A709-Config!$B$1005,DATE(1900,1,1)),$I$2:$I$1000,1)))))</f>
        <v>#ERROR!</v>
      </c>
      <c r="H709" s="39"/>
      <c r="I709" s="39">
        <f t="shared" si="1"/>
        <v>1</v>
      </c>
      <c r="J709" s="39" t="str">
        <f t="shared" si="2"/>
        <v/>
      </c>
      <c r="K709" s="39" t="str">
        <f t="array" ref="K709">IF(J709="","",IF(XLOOKUP(J709,Strike_Review_Queue!$I:$I,Strike_Review_Queue!$J:$J,"")="Approve","Approved",IF(XLOOKUP(J709,Strike_Review_Queue!$I:$I,Strike_Review_Queue!$J:$J,"")="Deny","Counts",H709)))</f>
        <v/>
      </c>
      <c r="L709" s="39" t="str">
        <f t="array" ref="L709">IF(J709="","",XLOOKUP(J709,Strike_Review_Queue!$I:$I,Strike_Review_Queue!$L:$L,""))</f>
        <v/>
      </c>
      <c r="M709" s="39" t="str">
        <f t="array" ref="M709">IF(J709="","",XLOOKUP(J709,Strike_Review_Queue!$I:$I,Strike_Review_Queue!$M:$M,""))</f>
        <v/>
      </c>
    </row>
    <row r="710" ht="15.75" customHeight="1">
      <c r="C710" s="39"/>
      <c r="D710" s="39" t="str">
        <f>IF(OR(B710="",A710=""),"",MAX(0,MIN(3,SUMIFS($C$2:$C$1000,$B$2:$B$1000,B710,$A$2:$A$1000,"&lt;="&amp;A710,$A$2:$A$1000,"&gt;="&amp;IF(Config!$B$1004="Y",A710-Config!$B$1005,DATE(1900,1,1)),$I$2:$I$1000,1)))))</f>
        <v>#ERROR!</v>
      </c>
      <c r="H710" s="39"/>
      <c r="I710" s="39">
        <f t="shared" si="1"/>
        <v>1</v>
      </c>
      <c r="J710" s="39" t="str">
        <f t="shared" si="2"/>
        <v/>
      </c>
      <c r="K710" s="39" t="str">
        <f t="array" ref="K710">IF(J710="","",IF(XLOOKUP(J710,Strike_Review_Queue!$I:$I,Strike_Review_Queue!$J:$J,"")="Approve","Approved",IF(XLOOKUP(J710,Strike_Review_Queue!$I:$I,Strike_Review_Queue!$J:$J,"")="Deny","Counts",H710)))</f>
        <v/>
      </c>
      <c r="L710" s="39" t="str">
        <f t="array" ref="L710">IF(J710="","",XLOOKUP(J710,Strike_Review_Queue!$I:$I,Strike_Review_Queue!$L:$L,""))</f>
        <v/>
      </c>
      <c r="M710" s="39" t="str">
        <f t="array" ref="M710">IF(J710="","",XLOOKUP(J710,Strike_Review_Queue!$I:$I,Strike_Review_Queue!$M:$M,""))</f>
        <v/>
      </c>
    </row>
    <row r="711" ht="15.75" customHeight="1">
      <c r="C711" s="39"/>
      <c r="D711" s="39" t="str">
        <f>IF(OR(B711="",A711=""),"",MAX(0,MIN(3,SUMIFS($C$2:$C$1000,$B$2:$B$1000,B711,$A$2:$A$1000,"&lt;="&amp;A711,$A$2:$A$1000,"&gt;="&amp;IF(Config!$B$1004="Y",A711-Config!$B$1005,DATE(1900,1,1)),$I$2:$I$1000,1)))))</f>
        <v>#ERROR!</v>
      </c>
      <c r="H711" s="39"/>
      <c r="I711" s="39">
        <f t="shared" si="1"/>
        <v>1</v>
      </c>
      <c r="J711" s="39" t="str">
        <f t="shared" si="2"/>
        <v/>
      </c>
      <c r="K711" s="39" t="str">
        <f t="array" ref="K711">IF(J711="","",IF(XLOOKUP(J711,Strike_Review_Queue!$I:$I,Strike_Review_Queue!$J:$J,"")="Approve","Approved",IF(XLOOKUP(J711,Strike_Review_Queue!$I:$I,Strike_Review_Queue!$J:$J,"")="Deny","Counts",H711)))</f>
        <v/>
      </c>
      <c r="L711" s="39" t="str">
        <f t="array" ref="L711">IF(J711="","",XLOOKUP(J711,Strike_Review_Queue!$I:$I,Strike_Review_Queue!$L:$L,""))</f>
        <v/>
      </c>
      <c r="M711" s="39" t="str">
        <f t="array" ref="M711">IF(J711="","",XLOOKUP(J711,Strike_Review_Queue!$I:$I,Strike_Review_Queue!$M:$M,""))</f>
        <v/>
      </c>
    </row>
    <row r="712" ht="15.75" customHeight="1">
      <c r="C712" s="39"/>
      <c r="D712" s="39" t="str">
        <f>IF(OR(B712="",A712=""),"",MAX(0,MIN(3,SUMIFS($C$2:$C$1000,$B$2:$B$1000,B712,$A$2:$A$1000,"&lt;="&amp;A712,$A$2:$A$1000,"&gt;="&amp;IF(Config!$B$1004="Y",A712-Config!$B$1005,DATE(1900,1,1)),$I$2:$I$1000,1)))))</f>
        <v>#ERROR!</v>
      </c>
      <c r="H712" s="39"/>
      <c r="I712" s="39">
        <f t="shared" si="1"/>
        <v>1</v>
      </c>
      <c r="J712" s="39" t="str">
        <f t="shared" si="2"/>
        <v/>
      </c>
      <c r="K712" s="39" t="str">
        <f t="array" ref="K712">IF(J712="","",IF(XLOOKUP(J712,Strike_Review_Queue!$I:$I,Strike_Review_Queue!$J:$J,"")="Approve","Approved",IF(XLOOKUP(J712,Strike_Review_Queue!$I:$I,Strike_Review_Queue!$J:$J,"")="Deny","Counts",H712)))</f>
        <v/>
      </c>
      <c r="L712" s="39" t="str">
        <f t="array" ref="L712">IF(J712="","",XLOOKUP(J712,Strike_Review_Queue!$I:$I,Strike_Review_Queue!$L:$L,""))</f>
        <v/>
      </c>
      <c r="M712" s="39" t="str">
        <f t="array" ref="M712">IF(J712="","",XLOOKUP(J712,Strike_Review_Queue!$I:$I,Strike_Review_Queue!$M:$M,""))</f>
        <v/>
      </c>
    </row>
    <row r="713" ht="15.75" customHeight="1">
      <c r="C713" s="39"/>
      <c r="D713" s="39" t="str">
        <f>IF(OR(B713="",A713=""),"",MAX(0,MIN(3,SUMIFS($C$2:$C$1000,$B$2:$B$1000,B713,$A$2:$A$1000,"&lt;="&amp;A713,$A$2:$A$1000,"&gt;="&amp;IF(Config!$B$1004="Y",A713-Config!$B$1005,DATE(1900,1,1)),$I$2:$I$1000,1)))))</f>
        <v>#ERROR!</v>
      </c>
      <c r="H713" s="39"/>
      <c r="I713" s="39">
        <f t="shared" si="1"/>
        <v>1</v>
      </c>
      <c r="J713" s="39" t="str">
        <f t="shared" si="2"/>
        <v/>
      </c>
      <c r="K713" s="39" t="str">
        <f t="array" ref="K713">IF(J713="","",IF(XLOOKUP(J713,Strike_Review_Queue!$I:$I,Strike_Review_Queue!$J:$J,"")="Approve","Approved",IF(XLOOKUP(J713,Strike_Review_Queue!$I:$I,Strike_Review_Queue!$J:$J,"")="Deny","Counts",H713)))</f>
        <v/>
      </c>
      <c r="L713" s="39" t="str">
        <f t="array" ref="L713">IF(J713="","",XLOOKUP(J713,Strike_Review_Queue!$I:$I,Strike_Review_Queue!$L:$L,""))</f>
        <v/>
      </c>
      <c r="M713" s="39" t="str">
        <f t="array" ref="M713">IF(J713="","",XLOOKUP(J713,Strike_Review_Queue!$I:$I,Strike_Review_Queue!$M:$M,""))</f>
        <v/>
      </c>
    </row>
    <row r="714" ht="15.75" customHeight="1">
      <c r="C714" s="39"/>
      <c r="D714" s="39" t="str">
        <f>IF(OR(B714="",A714=""),"",MAX(0,MIN(3,SUMIFS($C$2:$C$1000,$B$2:$B$1000,B714,$A$2:$A$1000,"&lt;="&amp;A714,$A$2:$A$1000,"&gt;="&amp;IF(Config!$B$1004="Y",A714-Config!$B$1005,DATE(1900,1,1)),$I$2:$I$1000,1)))))</f>
        <v>#ERROR!</v>
      </c>
      <c r="H714" s="39"/>
      <c r="I714" s="39">
        <f t="shared" si="1"/>
        <v>1</v>
      </c>
      <c r="J714" s="39" t="str">
        <f t="shared" si="2"/>
        <v/>
      </c>
      <c r="K714" s="39" t="str">
        <f t="array" ref="K714">IF(J714="","",IF(XLOOKUP(J714,Strike_Review_Queue!$I:$I,Strike_Review_Queue!$J:$J,"")="Approve","Approved",IF(XLOOKUP(J714,Strike_Review_Queue!$I:$I,Strike_Review_Queue!$J:$J,"")="Deny","Counts",H714)))</f>
        <v/>
      </c>
      <c r="L714" s="39" t="str">
        <f t="array" ref="L714">IF(J714="","",XLOOKUP(J714,Strike_Review_Queue!$I:$I,Strike_Review_Queue!$L:$L,""))</f>
        <v/>
      </c>
      <c r="M714" s="39" t="str">
        <f t="array" ref="M714">IF(J714="","",XLOOKUP(J714,Strike_Review_Queue!$I:$I,Strike_Review_Queue!$M:$M,""))</f>
        <v/>
      </c>
    </row>
    <row r="715" ht="15.75" customHeight="1">
      <c r="C715" s="39"/>
      <c r="D715" s="39" t="str">
        <f>IF(OR(B715="",A715=""),"",MAX(0,MIN(3,SUMIFS($C$2:$C$1000,$B$2:$B$1000,B715,$A$2:$A$1000,"&lt;="&amp;A715,$A$2:$A$1000,"&gt;="&amp;IF(Config!$B$1004="Y",A715-Config!$B$1005,DATE(1900,1,1)),$I$2:$I$1000,1)))))</f>
        <v>#ERROR!</v>
      </c>
      <c r="H715" s="39"/>
      <c r="I715" s="39">
        <f t="shared" si="1"/>
        <v>1</v>
      </c>
      <c r="J715" s="39" t="str">
        <f t="shared" si="2"/>
        <v/>
      </c>
      <c r="K715" s="39" t="str">
        <f t="array" ref="K715">IF(J715="","",IF(XLOOKUP(J715,Strike_Review_Queue!$I:$I,Strike_Review_Queue!$J:$J,"")="Approve","Approved",IF(XLOOKUP(J715,Strike_Review_Queue!$I:$I,Strike_Review_Queue!$J:$J,"")="Deny","Counts",H715)))</f>
        <v/>
      </c>
      <c r="L715" s="39" t="str">
        <f t="array" ref="L715">IF(J715="","",XLOOKUP(J715,Strike_Review_Queue!$I:$I,Strike_Review_Queue!$L:$L,""))</f>
        <v/>
      </c>
      <c r="M715" s="39" t="str">
        <f t="array" ref="M715">IF(J715="","",XLOOKUP(J715,Strike_Review_Queue!$I:$I,Strike_Review_Queue!$M:$M,""))</f>
        <v/>
      </c>
    </row>
    <row r="716" ht="15.75" customHeight="1">
      <c r="C716" s="39"/>
      <c r="D716" s="39" t="str">
        <f>IF(OR(B716="",A716=""),"",MAX(0,MIN(3,SUMIFS($C$2:$C$1000,$B$2:$B$1000,B716,$A$2:$A$1000,"&lt;="&amp;A716,$A$2:$A$1000,"&gt;="&amp;IF(Config!$B$1004="Y",A716-Config!$B$1005,DATE(1900,1,1)),$I$2:$I$1000,1)))))</f>
        <v>#ERROR!</v>
      </c>
      <c r="H716" s="39"/>
      <c r="I716" s="39">
        <f t="shared" si="1"/>
        <v>1</v>
      </c>
      <c r="J716" s="39" t="str">
        <f t="shared" si="2"/>
        <v/>
      </c>
      <c r="K716" s="39" t="str">
        <f t="array" ref="K716">IF(J716="","",IF(XLOOKUP(J716,Strike_Review_Queue!$I:$I,Strike_Review_Queue!$J:$J,"")="Approve","Approved",IF(XLOOKUP(J716,Strike_Review_Queue!$I:$I,Strike_Review_Queue!$J:$J,"")="Deny","Counts",H716)))</f>
        <v/>
      </c>
      <c r="L716" s="39" t="str">
        <f t="array" ref="L716">IF(J716="","",XLOOKUP(J716,Strike_Review_Queue!$I:$I,Strike_Review_Queue!$L:$L,""))</f>
        <v/>
      </c>
      <c r="M716" s="39" t="str">
        <f t="array" ref="M716">IF(J716="","",XLOOKUP(J716,Strike_Review_Queue!$I:$I,Strike_Review_Queue!$M:$M,""))</f>
        <v/>
      </c>
    </row>
    <row r="717" ht="15.75" customHeight="1">
      <c r="C717" s="39"/>
      <c r="D717" s="39" t="str">
        <f>IF(OR(B717="",A717=""),"",MAX(0,MIN(3,SUMIFS($C$2:$C$1000,$B$2:$B$1000,B717,$A$2:$A$1000,"&lt;="&amp;A717,$A$2:$A$1000,"&gt;="&amp;IF(Config!$B$1004="Y",A717-Config!$B$1005,DATE(1900,1,1)),$I$2:$I$1000,1)))))</f>
        <v>#ERROR!</v>
      </c>
      <c r="H717" s="39"/>
      <c r="I717" s="39">
        <f t="shared" si="1"/>
        <v>1</v>
      </c>
      <c r="J717" s="39" t="str">
        <f t="shared" si="2"/>
        <v/>
      </c>
      <c r="K717" s="39" t="str">
        <f t="array" ref="K717">IF(J717="","",IF(XLOOKUP(J717,Strike_Review_Queue!$I:$I,Strike_Review_Queue!$J:$J,"")="Approve","Approved",IF(XLOOKUP(J717,Strike_Review_Queue!$I:$I,Strike_Review_Queue!$J:$J,"")="Deny","Counts",H717)))</f>
        <v/>
      </c>
      <c r="L717" s="39" t="str">
        <f t="array" ref="L717">IF(J717="","",XLOOKUP(J717,Strike_Review_Queue!$I:$I,Strike_Review_Queue!$L:$L,""))</f>
        <v/>
      </c>
      <c r="M717" s="39" t="str">
        <f t="array" ref="M717">IF(J717="","",XLOOKUP(J717,Strike_Review_Queue!$I:$I,Strike_Review_Queue!$M:$M,""))</f>
        <v/>
      </c>
    </row>
    <row r="718" ht="15.75" customHeight="1">
      <c r="C718" s="39"/>
      <c r="D718" s="39" t="str">
        <f>IF(OR(B718="",A718=""),"",MAX(0,MIN(3,SUMIFS($C$2:$C$1000,$B$2:$B$1000,B718,$A$2:$A$1000,"&lt;="&amp;A718,$A$2:$A$1000,"&gt;="&amp;IF(Config!$B$1004="Y",A718-Config!$B$1005,DATE(1900,1,1)),$I$2:$I$1000,1)))))</f>
        <v>#ERROR!</v>
      </c>
      <c r="H718" s="39"/>
      <c r="I718" s="39">
        <f t="shared" si="1"/>
        <v>1</v>
      </c>
      <c r="J718" s="39" t="str">
        <f t="shared" si="2"/>
        <v/>
      </c>
      <c r="K718" s="39" t="str">
        <f t="array" ref="K718">IF(J718="","",IF(XLOOKUP(J718,Strike_Review_Queue!$I:$I,Strike_Review_Queue!$J:$J,"")="Approve","Approved",IF(XLOOKUP(J718,Strike_Review_Queue!$I:$I,Strike_Review_Queue!$J:$J,"")="Deny","Counts",H718)))</f>
        <v/>
      </c>
      <c r="L718" s="39" t="str">
        <f t="array" ref="L718">IF(J718="","",XLOOKUP(J718,Strike_Review_Queue!$I:$I,Strike_Review_Queue!$L:$L,""))</f>
        <v/>
      </c>
      <c r="M718" s="39" t="str">
        <f t="array" ref="M718">IF(J718="","",XLOOKUP(J718,Strike_Review_Queue!$I:$I,Strike_Review_Queue!$M:$M,""))</f>
        <v/>
      </c>
    </row>
    <row r="719" ht="15.75" customHeight="1">
      <c r="C719" s="39"/>
      <c r="D719" s="39" t="str">
        <f>IF(OR(B719="",A719=""),"",MAX(0,MIN(3,SUMIFS($C$2:$C$1000,$B$2:$B$1000,B719,$A$2:$A$1000,"&lt;="&amp;A719,$A$2:$A$1000,"&gt;="&amp;IF(Config!$B$1004="Y",A719-Config!$B$1005,DATE(1900,1,1)),$I$2:$I$1000,1)))))</f>
        <v>#ERROR!</v>
      </c>
      <c r="H719" s="39"/>
      <c r="I719" s="39">
        <f t="shared" si="1"/>
        <v>1</v>
      </c>
      <c r="J719" s="39" t="str">
        <f t="shared" si="2"/>
        <v/>
      </c>
      <c r="K719" s="39" t="str">
        <f t="array" ref="K719">IF(J719="","",IF(XLOOKUP(J719,Strike_Review_Queue!$I:$I,Strike_Review_Queue!$J:$J,"")="Approve","Approved",IF(XLOOKUP(J719,Strike_Review_Queue!$I:$I,Strike_Review_Queue!$J:$J,"")="Deny","Counts",H719)))</f>
        <v/>
      </c>
      <c r="L719" s="39" t="str">
        <f t="array" ref="L719">IF(J719="","",XLOOKUP(J719,Strike_Review_Queue!$I:$I,Strike_Review_Queue!$L:$L,""))</f>
        <v/>
      </c>
      <c r="M719" s="39" t="str">
        <f t="array" ref="M719">IF(J719="","",XLOOKUP(J719,Strike_Review_Queue!$I:$I,Strike_Review_Queue!$M:$M,""))</f>
        <v/>
      </c>
    </row>
    <row r="720" ht="15.75" customHeight="1">
      <c r="C720" s="39"/>
      <c r="D720" s="39" t="str">
        <f>IF(OR(B720="",A720=""),"",MAX(0,MIN(3,SUMIFS($C$2:$C$1000,$B$2:$B$1000,B720,$A$2:$A$1000,"&lt;="&amp;A720,$A$2:$A$1000,"&gt;="&amp;IF(Config!$B$1004="Y",A720-Config!$B$1005,DATE(1900,1,1)),$I$2:$I$1000,1)))))</f>
        <v>#ERROR!</v>
      </c>
      <c r="H720" s="39"/>
      <c r="I720" s="39">
        <f t="shared" si="1"/>
        <v>1</v>
      </c>
      <c r="J720" s="39" t="str">
        <f t="shared" si="2"/>
        <v/>
      </c>
      <c r="K720" s="39" t="str">
        <f t="array" ref="K720">IF(J720="","",IF(XLOOKUP(J720,Strike_Review_Queue!$I:$I,Strike_Review_Queue!$J:$J,"")="Approve","Approved",IF(XLOOKUP(J720,Strike_Review_Queue!$I:$I,Strike_Review_Queue!$J:$J,"")="Deny","Counts",H720)))</f>
        <v/>
      </c>
      <c r="L720" s="39" t="str">
        <f t="array" ref="L720">IF(J720="","",XLOOKUP(J720,Strike_Review_Queue!$I:$I,Strike_Review_Queue!$L:$L,""))</f>
        <v/>
      </c>
      <c r="M720" s="39" t="str">
        <f t="array" ref="M720">IF(J720="","",XLOOKUP(J720,Strike_Review_Queue!$I:$I,Strike_Review_Queue!$M:$M,""))</f>
        <v/>
      </c>
    </row>
    <row r="721" ht="15.75" customHeight="1">
      <c r="C721" s="39"/>
      <c r="D721" s="39" t="str">
        <f>IF(OR(B721="",A721=""),"",MAX(0,MIN(3,SUMIFS($C$2:$C$1000,$B$2:$B$1000,B721,$A$2:$A$1000,"&lt;="&amp;A721,$A$2:$A$1000,"&gt;="&amp;IF(Config!$B$1004="Y",A721-Config!$B$1005,DATE(1900,1,1)),$I$2:$I$1000,1)))))</f>
        <v>#ERROR!</v>
      </c>
      <c r="H721" s="39"/>
      <c r="I721" s="39">
        <f t="shared" si="1"/>
        <v>1</v>
      </c>
      <c r="J721" s="39" t="str">
        <f t="shared" si="2"/>
        <v/>
      </c>
      <c r="K721" s="39" t="str">
        <f t="array" ref="K721">IF(J721="","",IF(XLOOKUP(J721,Strike_Review_Queue!$I:$I,Strike_Review_Queue!$J:$J,"")="Approve","Approved",IF(XLOOKUP(J721,Strike_Review_Queue!$I:$I,Strike_Review_Queue!$J:$J,"")="Deny","Counts",H721)))</f>
        <v/>
      </c>
      <c r="L721" s="39" t="str">
        <f t="array" ref="L721">IF(J721="","",XLOOKUP(J721,Strike_Review_Queue!$I:$I,Strike_Review_Queue!$L:$L,""))</f>
        <v/>
      </c>
      <c r="M721" s="39" t="str">
        <f t="array" ref="M721">IF(J721="","",XLOOKUP(J721,Strike_Review_Queue!$I:$I,Strike_Review_Queue!$M:$M,""))</f>
        <v/>
      </c>
    </row>
    <row r="722" ht="15.75" customHeight="1">
      <c r="C722" s="39"/>
      <c r="D722" s="39" t="str">
        <f>IF(OR(B722="",A722=""),"",MAX(0,MIN(3,SUMIFS($C$2:$C$1000,$B$2:$B$1000,B722,$A$2:$A$1000,"&lt;="&amp;A722,$A$2:$A$1000,"&gt;="&amp;IF(Config!$B$1004="Y",A722-Config!$B$1005,DATE(1900,1,1)),$I$2:$I$1000,1)))))</f>
        <v>#ERROR!</v>
      </c>
      <c r="H722" s="39"/>
      <c r="I722" s="39">
        <f t="shared" si="1"/>
        <v>1</v>
      </c>
      <c r="J722" s="39" t="str">
        <f t="shared" si="2"/>
        <v/>
      </c>
      <c r="K722" s="39" t="str">
        <f t="array" ref="K722">IF(J722="","",IF(XLOOKUP(J722,Strike_Review_Queue!$I:$I,Strike_Review_Queue!$J:$J,"")="Approve","Approved",IF(XLOOKUP(J722,Strike_Review_Queue!$I:$I,Strike_Review_Queue!$J:$J,"")="Deny","Counts",H722)))</f>
        <v/>
      </c>
      <c r="L722" s="39" t="str">
        <f t="array" ref="L722">IF(J722="","",XLOOKUP(J722,Strike_Review_Queue!$I:$I,Strike_Review_Queue!$L:$L,""))</f>
        <v/>
      </c>
      <c r="M722" s="39" t="str">
        <f t="array" ref="M722">IF(J722="","",XLOOKUP(J722,Strike_Review_Queue!$I:$I,Strike_Review_Queue!$M:$M,""))</f>
        <v/>
      </c>
    </row>
    <row r="723" ht="15.75" customHeight="1">
      <c r="C723" s="39"/>
      <c r="D723" s="39" t="str">
        <f>IF(OR(B723="",A723=""),"",MAX(0,MIN(3,SUMIFS($C$2:$C$1000,$B$2:$B$1000,B723,$A$2:$A$1000,"&lt;="&amp;A723,$A$2:$A$1000,"&gt;="&amp;IF(Config!$B$1004="Y",A723-Config!$B$1005,DATE(1900,1,1)),$I$2:$I$1000,1)))))</f>
        <v>#ERROR!</v>
      </c>
      <c r="H723" s="39"/>
      <c r="I723" s="39">
        <f t="shared" si="1"/>
        <v>1</v>
      </c>
      <c r="J723" s="39" t="str">
        <f t="shared" si="2"/>
        <v/>
      </c>
      <c r="K723" s="39" t="str">
        <f t="array" ref="K723">IF(J723="","",IF(XLOOKUP(J723,Strike_Review_Queue!$I:$I,Strike_Review_Queue!$J:$J,"")="Approve","Approved",IF(XLOOKUP(J723,Strike_Review_Queue!$I:$I,Strike_Review_Queue!$J:$J,"")="Deny","Counts",H723)))</f>
        <v/>
      </c>
      <c r="L723" s="39" t="str">
        <f t="array" ref="L723">IF(J723="","",XLOOKUP(J723,Strike_Review_Queue!$I:$I,Strike_Review_Queue!$L:$L,""))</f>
        <v/>
      </c>
      <c r="M723" s="39" t="str">
        <f t="array" ref="M723">IF(J723="","",XLOOKUP(J723,Strike_Review_Queue!$I:$I,Strike_Review_Queue!$M:$M,""))</f>
        <v/>
      </c>
    </row>
    <row r="724" ht="15.75" customHeight="1">
      <c r="C724" s="39"/>
      <c r="D724" s="39" t="str">
        <f>IF(OR(B724="",A724=""),"",MAX(0,MIN(3,SUMIFS($C$2:$C$1000,$B$2:$B$1000,B724,$A$2:$A$1000,"&lt;="&amp;A724,$A$2:$A$1000,"&gt;="&amp;IF(Config!$B$1004="Y",A724-Config!$B$1005,DATE(1900,1,1)),$I$2:$I$1000,1)))))</f>
        <v>#ERROR!</v>
      </c>
      <c r="H724" s="39"/>
      <c r="I724" s="39">
        <f t="shared" si="1"/>
        <v>1</v>
      </c>
      <c r="J724" s="39" t="str">
        <f t="shared" si="2"/>
        <v/>
      </c>
      <c r="K724" s="39" t="str">
        <f t="array" ref="K724">IF(J724="","",IF(XLOOKUP(J724,Strike_Review_Queue!$I:$I,Strike_Review_Queue!$J:$J,"")="Approve","Approved",IF(XLOOKUP(J724,Strike_Review_Queue!$I:$I,Strike_Review_Queue!$J:$J,"")="Deny","Counts",H724)))</f>
        <v/>
      </c>
      <c r="L724" s="39" t="str">
        <f t="array" ref="L724">IF(J724="","",XLOOKUP(J724,Strike_Review_Queue!$I:$I,Strike_Review_Queue!$L:$L,""))</f>
        <v/>
      </c>
      <c r="M724" s="39" t="str">
        <f t="array" ref="M724">IF(J724="","",XLOOKUP(J724,Strike_Review_Queue!$I:$I,Strike_Review_Queue!$M:$M,""))</f>
        <v/>
      </c>
    </row>
    <row r="725" ht="15.75" customHeight="1">
      <c r="C725" s="39"/>
      <c r="D725" s="39" t="str">
        <f>IF(OR(B725="",A725=""),"",MAX(0,MIN(3,SUMIFS($C$2:$C$1000,$B$2:$B$1000,B725,$A$2:$A$1000,"&lt;="&amp;A725,$A$2:$A$1000,"&gt;="&amp;IF(Config!$B$1004="Y",A725-Config!$B$1005,DATE(1900,1,1)),$I$2:$I$1000,1)))))</f>
        <v>#ERROR!</v>
      </c>
      <c r="H725" s="39"/>
      <c r="I725" s="39">
        <f t="shared" si="1"/>
        <v>1</v>
      </c>
      <c r="J725" s="39" t="str">
        <f t="shared" si="2"/>
        <v/>
      </c>
      <c r="K725" s="39" t="str">
        <f t="array" ref="K725">IF(J725="","",IF(XLOOKUP(J725,Strike_Review_Queue!$I:$I,Strike_Review_Queue!$J:$J,"")="Approve","Approved",IF(XLOOKUP(J725,Strike_Review_Queue!$I:$I,Strike_Review_Queue!$J:$J,"")="Deny","Counts",H725)))</f>
        <v/>
      </c>
      <c r="L725" s="39" t="str">
        <f t="array" ref="L725">IF(J725="","",XLOOKUP(J725,Strike_Review_Queue!$I:$I,Strike_Review_Queue!$L:$L,""))</f>
        <v/>
      </c>
      <c r="M725" s="39" t="str">
        <f t="array" ref="M725">IF(J725="","",XLOOKUP(J725,Strike_Review_Queue!$I:$I,Strike_Review_Queue!$M:$M,""))</f>
        <v/>
      </c>
    </row>
    <row r="726" ht="15.75" customHeight="1">
      <c r="C726" s="39"/>
      <c r="D726" s="39" t="str">
        <f>IF(OR(B726="",A726=""),"",MAX(0,MIN(3,SUMIFS($C$2:$C$1000,$B$2:$B$1000,B726,$A$2:$A$1000,"&lt;="&amp;A726,$A$2:$A$1000,"&gt;="&amp;IF(Config!$B$1004="Y",A726-Config!$B$1005,DATE(1900,1,1)),$I$2:$I$1000,1)))))</f>
        <v>#ERROR!</v>
      </c>
      <c r="H726" s="39"/>
      <c r="I726" s="39">
        <f t="shared" si="1"/>
        <v>1</v>
      </c>
      <c r="J726" s="39" t="str">
        <f t="shared" si="2"/>
        <v/>
      </c>
      <c r="K726" s="39" t="str">
        <f t="array" ref="K726">IF(J726="","",IF(XLOOKUP(J726,Strike_Review_Queue!$I:$I,Strike_Review_Queue!$J:$J,"")="Approve","Approved",IF(XLOOKUP(J726,Strike_Review_Queue!$I:$I,Strike_Review_Queue!$J:$J,"")="Deny","Counts",H726)))</f>
        <v/>
      </c>
      <c r="L726" s="39" t="str">
        <f t="array" ref="L726">IF(J726="","",XLOOKUP(J726,Strike_Review_Queue!$I:$I,Strike_Review_Queue!$L:$L,""))</f>
        <v/>
      </c>
      <c r="M726" s="39" t="str">
        <f t="array" ref="M726">IF(J726="","",XLOOKUP(J726,Strike_Review_Queue!$I:$I,Strike_Review_Queue!$M:$M,""))</f>
        <v/>
      </c>
    </row>
    <row r="727" ht="15.75" customHeight="1">
      <c r="C727" s="39"/>
      <c r="D727" s="39" t="str">
        <f>IF(OR(B727="",A727=""),"",MAX(0,MIN(3,SUMIFS($C$2:$C$1000,$B$2:$B$1000,B727,$A$2:$A$1000,"&lt;="&amp;A727,$A$2:$A$1000,"&gt;="&amp;IF(Config!$B$1004="Y",A727-Config!$B$1005,DATE(1900,1,1)),$I$2:$I$1000,1)))))</f>
        <v>#ERROR!</v>
      </c>
      <c r="H727" s="39"/>
      <c r="I727" s="39">
        <f t="shared" si="1"/>
        <v>1</v>
      </c>
      <c r="J727" s="39" t="str">
        <f t="shared" si="2"/>
        <v/>
      </c>
      <c r="K727" s="39" t="str">
        <f t="array" ref="K727">IF(J727="","",IF(XLOOKUP(J727,Strike_Review_Queue!$I:$I,Strike_Review_Queue!$J:$J,"")="Approve","Approved",IF(XLOOKUP(J727,Strike_Review_Queue!$I:$I,Strike_Review_Queue!$J:$J,"")="Deny","Counts",H727)))</f>
        <v/>
      </c>
      <c r="L727" s="39" t="str">
        <f t="array" ref="L727">IF(J727="","",XLOOKUP(J727,Strike_Review_Queue!$I:$I,Strike_Review_Queue!$L:$L,""))</f>
        <v/>
      </c>
      <c r="M727" s="39" t="str">
        <f t="array" ref="M727">IF(J727="","",XLOOKUP(J727,Strike_Review_Queue!$I:$I,Strike_Review_Queue!$M:$M,""))</f>
        <v/>
      </c>
    </row>
    <row r="728" ht="15.75" customHeight="1">
      <c r="C728" s="39"/>
      <c r="D728" s="39" t="str">
        <f>IF(OR(B728="",A728=""),"",MAX(0,MIN(3,SUMIFS($C$2:$C$1000,$B$2:$B$1000,B728,$A$2:$A$1000,"&lt;="&amp;A728,$A$2:$A$1000,"&gt;="&amp;IF(Config!$B$1004="Y",A728-Config!$B$1005,DATE(1900,1,1)),$I$2:$I$1000,1)))))</f>
        <v>#ERROR!</v>
      </c>
      <c r="H728" s="39"/>
      <c r="I728" s="39">
        <f t="shared" si="1"/>
        <v>1</v>
      </c>
      <c r="J728" s="39" t="str">
        <f t="shared" si="2"/>
        <v/>
      </c>
      <c r="K728" s="39" t="str">
        <f t="array" ref="K728">IF(J728="","",IF(XLOOKUP(J728,Strike_Review_Queue!$I:$I,Strike_Review_Queue!$J:$J,"")="Approve","Approved",IF(XLOOKUP(J728,Strike_Review_Queue!$I:$I,Strike_Review_Queue!$J:$J,"")="Deny","Counts",H728)))</f>
        <v/>
      </c>
      <c r="L728" s="39" t="str">
        <f t="array" ref="L728">IF(J728="","",XLOOKUP(J728,Strike_Review_Queue!$I:$I,Strike_Review_Queue!$L:$L,""))</f>
        <v/>
      </c>
      <c r="M728" s="39" t="str">
        <f t="array" ref="M728">IF(J728="","",XLOOKUP(J728,Strike_Review_Queue!$I:$I,Strike_Review_Queue!$M:$M,""))</f>
        <v/>
      </c>
    </row>
    <row r="729" ht="15.75" customHeight="1">
      <c r="C729" s="39"/>
      <c r="D729" s="39" t="str">
        <f>IF(OR(B729="",A729=""),"",MAX(0,MIN(3,SUMIFS($C$2:$C$1000,$B$2:$B$1000,B729,$A$2:$A$1000,"&lt;="&amp;A729,$A$2:$A$1000,"&gt;="&amp;IF(Config!$B$1004="Y",A729-Config!$B$1005,DATE(1900,1,1)),$I$2:$I$1000,1)))))</f>
        <v>#ERROR!</v>
      </c>
      <c r="H729" s="39"/>
      <c r="I729" s="39">
        <f t="shared" si="1"/>
        <v>1</v>
      </c>
      <c r="J729" s="39" t="str">
        <f t="shared" si="2"/>
        <v/>
      </c>
      <c r="K729" s="39" t="str">
        <f t="array" ref="K729">IF(J729="","",IF(XLOOKUP(J729,Strike_Review_Queue!$I:$I,Strike_Review_Queue!$J:$J,"")="Approve","Approved",IF(XLOOKUP(J729,Strike_Review_Queue!$I:$I,Strike_Review_Queue!$J:$J,"")="Deny","Counts",H729)))</f>
        <v/>
      </c>
      <c r="L729" s="39" t="str">
        <f t="array" ref="L729">IF(J729="","",XLOOKUP(J729,Strike_Review_Queue!$I:$I,Strike_Review_Queue!$L:$L,""))</f>
        <v/>
      </c>
      <c r="M729" s="39" t="str">
        <f t="array" ref="M729">IF(J729="","",XLOOKUP(J729,Strike_Review_Queue!$I:$I,Strike_Review_Queue!$M:$M,""))</f>
        <v/>
      </c>
    </row>
    <row r="730" ht="15.75" customHeight="1">
      <c r="C730" s="39"/>
      <c r="D730" s="39" t="str">
        <f>IF(OR(B730="",A730=""),"",MAX(0,MIN(3,SUMIFS($C$2:$C$1000,$B$2:$B$1000,B730,$A$2:$A$1000,"&lt;="&amp;A730,$A$2:$A$1000,"&gt;="&amp;IF(Config!$B$1004="Y",A730-Config!$B$1005,DATE(1900,1,1)),$I$2:$I$1000,1)))))</f>
        <v>#ERROR!</v>
      </c>
      <c r="H730" s="39"/>
      <c r="I730" s="39">
        <f t="shared" si="1"/>
        <v>1</v>
      </c>
      <c r="J730" s="39" t="str">
        <f t="shared" si="2"/>
        <v/>
      </c>
      <c r="K730" s="39" t="str">
        <f t="array" ref="K730">IF(J730="","",IF(XLOOKUP(J730,Strike_Review_Queue!$I:$I,Strike_Review_Queue!$J:$J,"")="Approve","Approved",IF(XLOOKUP(J730,Strike_Review_Queue!$I:$I,Strike_Review_Queue!$J:$J,"")="Deny","Counts",H730)))</f>
        <v/>
      </c>
      <c r="L730" s="39" t="str">
        <f t="array" ref="L730">IF(J730="","",XLOOKUP(J730,Strike_Review_Queue!$I:$I,Strike_Review_Queue!$L:$L,""))</f>
        <v/>
      </c>
      <c r="M730" s="39" t="str">
        <f t="array" ref="M730">IF(J730="","",XLOOKUP(J730,Strike_Review_Queue!$I:$I,Strike_Review_Queue!$M:$M,""))</f>
        <v/>
      </c>
    </row>
    <row r="731" ht="15.75" customHeight="1">
      <c r="C731" s="39"/>
      <c r="D731" s="39" t="str">
        <f>IF(OR(B731="",A731=""),"",MAX(0,MIN(3,SUMIFS($C$2:$C$1000,$B$2:$B$1000,B731,$A$2:$A$1000,"&lt;="&amp;A731,$A$2:$A$1000,"&gt;="&amp;IF(Config!$B$1004="Y",A731-Config!$B$1005,DATE(1900,1,1)),$I$2:$I$1000,1)))))</f>
        <v>#ERROR!</v>
      </c>
      <c r="H731" s="39"/>
      <c r="I731" s="39">
        <f t="shared" si="1"/>
        <v>1</v>
      </c>
      <c r="J731" s="39" t="str">
        <f t="shared" si="2"/>
        <v/>
      </c>
      <c r="K731" s="39" t="str">
        <f t="array" ref="K731">IF(J731="","",IF(XLOOKUP(J731,Strike_Review_Queue!$I:$I,Strike_Review_Queue!$J:$J,"")="Approve","Approved",IF(XLOOKUP(J731,Strike_Review_Queue!$I:$I,Strike_Review_Queue!$J:$J,"")="Deny","Counts",H731)))</f>
        <v/>
      </c>
      <c r="L731" s="39" t="str">
        <f t="array" ref="L731">IF(J731="","",XLOOKUP(J731,Strike_Review_Queue!$I:$I,Strike_Review_Queue!$L:$L,""))</f>
        <v/>
      </c>
      <c r="M731" s="39" t="str">
        <f t="array" ref="M731">IF(J731="","",XLOOKUP(J731,Strike_Review_Queue!$I:$I,Strike_Review_Queue!$M:$M,""))</f>
        <v/>
      </c>
    </row>
    <row r="732" ht="15.75" customHeight="1">
      <c r="C732" s="39"/>
      <c r="D732" s="39" t="str">
        <f>IF(OR(B732="",A732=""),"",MAX(0,MIN(3,SUMIFS($C$2:$C$1000,$B$2:$B$1000,B732,$A$2:$A$1000,"&lt;="&amp;A732,$A$2:$A$1000,"&gt;="&amp;IF(Config!$B$1004="Y",A732-Config!$B$1005,DATE(1900,1,1)),$I$2:$I$1000,1)))))</f>
        <v>#ERROR!</v>
      </c>
      <c r="H732" s="39"/>
      <c r="I732" s="39">
        <f t="shared" si="1"/>
        <v>1</v>
      </c>
      <c r="J732" s="39" t="str">
        <f t="shared" si="2"/>
        <v/>
      </c>
      <c r="K732" s="39" t="str">
        <f t="array" ref="K732">IF(J732="","",IF(XLOOKUP(J732,Strike_Review_Queue!$I:$I,Strike_Review_Queue!$J:$J,"")="Approve","Approved",IF(XLOOKUP(J732,Strike_Review_Queue!$I:$I,Strike_Review_Queue!$J:$J,"")="Deny","Counts",H732)))</f>
        <v/>
      </c>
      <c r="L732" s="39" t="str">
        <f t="array" ref="L732">IF(J732="","",XLOOKUP(J732,Strike_Review_Queue!$I:$I,Strike_Review_Queue!$L:$L,""))</f>
        <v/>
      </c>
      <c r="M732" s="39" t="str">
        <f t="array" ref="M732">IF(J732="","",XLOOKUP(J732,Strike_Review_Queue!$I:$I,Strike_Review_Queue!$M:$M,""))</f>
        <v/>
      </c>
    </row>
    <row r="733" ht="15.75" customHeight="1">
      <c r="C733" s="39"/>
      <c r="D733" s="39" t="str">
        <f>IF(OR(B733="",A733=""),"",MAX(0,MIN(3,SUMIFS($C$2:$C$1000,$B$2:$B$1000,B733,$A$2:$A$1000,"&lt;="&amp;A733,$A$2:$A$1000,"&gt;="&amp;IF(Config!$B$1004="Y",A733-Config!$B$1005,DATE(1900,1,1)),$I$2:$I$1000,1)))))</f>
        <v>#ERROR!</v>
      </c>
      <c r="H733" s="39"/>
      <c r="I733" s="39">
        <f t="shared" si="1"/>
        <v>1</v>
      </c>
      <c r="J733" s="39" t="str">
        <f t="shared" si="2"/>
        <v/>
      </c>
      <c r="K733" s="39" t="str">
        <f t="array" ref="K733">IF(J733="","",IF(XLOOKUP(J733,Strike_Review_Queue!$I:$I,Strike_Review_Queue!$J:$J,"")="Approve","Approved",IF(XLOOKUP(J733,Strike_Review_Queue!$I:$I,Strike_Review_Queue!$J:$J,"")="Deny","Counts",H733)))</f>
        <v/>
      </c>
      <c r="L733" s="39" t="str">
        <f t="array" ref="L733">IF(J733="","",XLOOKUP(J733,Strike_Review_Queue!$I:$I,Strike_Review_Queue!$L:$L,""))</f>
        <v/>
      </c>
      <c r="M733" s="39" t="str">
        <f t="array" ref="M733">IF(J733="","",XLOOKUP(J733,Strike_Review_Queue!$I:$I,Strike_Review_Queue!$M:$M,""))</f>
        <v/>
      </c>
    </row>
    <row r="734" ht="15.75" customHeight="1">
      <c r="C734" s="39"/>
      <c r="D734" s="39" t="str">
        <f>IF(OR(B734="",A734=""),"",MAX(0,MIN(3,SUMIFS($C$2:$C$1000,$B$2:$B$1000,B734,$A$2:$A$1000,"&lt;="&amp;A734,$A$2:$A$1000,"&gt;="&amp;IF(Config!$B$1004="Y",A734-Config!$B$1005,DATE(1900,1,1)),$I$2:$I$1000,1)))))</f>
        <v>#ERROR!</v>
      </c>
      <c r="H734" s="39"/>
      <c r="I734" s="39">
        <f t="shared" si="1"/>
        <v>1</v>
      </c>
      <c r="J734" s="39" t="str">
        <f t="shared" si="2"/>
        <v/>
      </c>
      <c r="K734" s="39" t="str">
        <f t="array" ref="K734">IF(J734="","",IF(XLOOKUP(J734,Strike_Review_Queue!$I:$I,Strike_Review_Queue!$J:$J,"")="Approve","Approved",IF(XLOOKUP(J734,Strike_Review_Queue!$I:$I,Strike_Review_Queue!$J:$J,"")="Deny","Counts",H734)))</f>
        <v/>
      </c>
      <c r="L734" s="39" t="str">
        <f t="array" ref="L734">IF(J734="","",XLOOKUP(J734,Strike_Review_Queue!$I:$I,Strike_Review_Queue!$L:$L,""))</f>
        <v/>
      </c>
      <c r="M734" s="39" t="str">
        <f t="array" ref="M734">IF(J734="","",XLOOKUP(J734,Strike_Review_Queue!$I:$I,Strike_Review_Queue!$M:$M,""))</f>
        <v/>
      </c>
    </row>
    <row r="735" ht="15.75" customHeight="1">
      <c r="C735" s="39"/>
      <c r="D735" s="39" t="str">
        <f>IF(OR(B735="",A735=""),"",MAX(0,MIN(3,SUMIFS($C$2:$C$1000,$B$2:$B$1000,B735,$A$2:$A$1000,"&lt;="&amp;A735,$A$2:$A$1000,"&gt;="&amp;IF(Config!$B$1004="Y",A735-Config!$B$1005,DATE(1900,1,1)),$I$2:$I$1000,1)))))</f>
        <v>#ERROR!</v>
      </c>
      <c r="H735" s="39"/>
      <c r="I735" s="39">
        <f t="shared" si="1"/>
        <v>1</v>
      </c>
      <c r="J735" s="39" t="str">
        <f t="shared" si="2"/>
        <v/>
      </c>
      <c r="K735" s="39" t="str">
        <f t="array" ref="K735">IF(J735="","",IF(XLOOKUP(J735,Strike_Review_Queue!$I:$I,Strike_Review_Queue!$J:$J,"")="Approve","Approved",IF(XLOOKUP(J735,Strike_Review_Queue!$I:$I,Strike_Review_Queue!$J:$J,"")="Deny","Counts",H735)))</f>
        <v/>
      </c>
      <c r="L735" s="39" t="str">
        <f t="array" ref="L735">IF(J735="","",XLOOKUP(J735,Strike_Review_Queue!$I:$I,Strike_Review_Queue!$L:$L,""))</f>
        <v/>
      </c>
      <c r="M735" s="39" t="str">
        <f t="array" ref="M735">IF(J735="","",XLOOKUP(J735,Strike_Review_Queue!$I:$I,Strike_Review_Queue!$M:$M,""))</f>
        <v/>
      </c>
    </row>
    <row r="736" ht="15.75" customHeight="1">
      <c r="C736" s="39"/>
      <c r="D736" s="39" t="str">
        <f>IF(OR(B736="",A736=""),"",MAX(0,MIN(3,SUMIFS($C$2:$C$1000,$B$2:$B$1000,B736,$A$2:$A$1000,"&lt;="&amp;A736,$A$2:$A$1000,"&gt;="&amp;IF(Config!$B$1004="Y",A736-Config!$B$1005,DATE(1900,1,1)),$I$2:$I$1000,1)))))</f>
        <v>#ERROR!</v>
      </c>
      <c r="H736" s="39"/>
      <c r="I736" s="39">
        <f t="shared" si="1"/>
        <v>1</v>
      </c>
      <c r="J736" s="39" t="str">
        <f t="shared" si="2"/>
        <v/>
      </c>
      <c r="K736" s="39" t="str">
        <f t="array" ref="K736">IF(J736="","",IF(XLOOKUP(J736,Strike_Review_Queue!$I:$I,Strike_Review_Queue!$J:$J,"")="Approve","Approved",IF(XLOOKUP(J736,Strike_Review_Queue!$I:$I,Strike_Review_Queue!$J:$J,"")="Deny","Counts",H736)))</f>
        <v/>
      </c>
      <c r="L736" s="39" t="str">
        <f t="array" ref="L736">IF(J736="","",XLOOKUP(J736,Strike_Review_Queue!$I:$I,Strike_Review_Queue!$L:$L,""))</f>
        <v/>
      </c>
      <c r="M736" s="39" t="str">
        <f t="array" ref="M736">IF(J736="","",XLOOKUP(J736,Strike_Review_Queue!$I:$I,Strike_Review_Queue!$M:$M,""))</f>
        <v/>
      </c>
    </row>
    <row r="737" ht="15.75" customHeight="1">
      <c r="C737" s="39"/>
      <c r="D737" s="39" t="str">
        <f>IF(OR(B737="",A737=""),"",MAX(0,MIN(3,SUMIFS($C$2:$C$1000,$B$2:$B$1000,B737,$A$2:$A$1000,"&lt;="&amp;A737,$A$2:$A$1000,"&gt;="&amp;IF(Config!$B$1004="Y",A737-Config!$B$1005,DATE(1900,1,1)),$I$2:$I$1000,1)))))</f>
        <v>#ERROR!</v>
      </c>
      <c r="H737" s="39"/>
      <c r="I737" s="39">
        <f t="shared" si="1"/>
        <v>1</v>
      </c>
      <c r="J737" s="39" t="str">
        <f t="shared" si="2"/>
        <v/>
      </c>
      <c r="K737" s="39" t="str">
        <f t="array" ref="K737">IF(J737="","",IF(XLOOKUP(J737,Strike_Review_Queue!$I:$I,Strike_Review_Queue!$J:$J,"")="Approve","Approved",IF(XLOOKUP(J737,Strike_Review_Queue!$I:$I,Strike_Review_Queue!$J:$J,"")="Deny","Counts",H737)))</f>
        <v/>
      </c>
      <c r="L737" s="39" t="str">
        <f t="array" ref="L737">IF(J737="","",XLOOKUP(J737,Strike_Review_Queue!$I:$I,Strike_Review_Queue!$L:$L,""))</f>
        <v/>
      </c>
      <c r="M737" s="39" t="str">
        <f t="array" ref="M737">IF(J737="","",XLOOKUP(J737,Strike_Review_Queue!$I:$I,Strike_Review_Queue!$M:$M,""))</f>
        <v/>
      </c>
    </row>
    <row r="738" ht="15.75" customHeight="1">
      <c r="C738" s="39"/>
      <c r="D738" s="39" t="str">
        <f>IF(OR(B738="",A738=""),"",MAX(0,MIN(3,SUMIFS($C$2:$C$1000,$B$2:$B$1000,B738,$A$2:$A$1000,"&lt;="&amp;A738,$A$2:$A$1000,"&gt;="&amp;IF(Config!$B$1004="Y",A738-Config!$B$1005,DATE(1900,1,1)),$I$2:$I$1000,1)))))</f>
        <v>#ERROR!</v>
      </c>
      <c r="H738" s="39"/>
      <c r="I738" s="39">
        <f t="shared" si="1"/>
        <v>1</v>
      </c>
      <c r="J738" s="39" t="str">
        <f t="shared" si="2"/>
        <v/>
      </c>
      <c r="K738" s="39" t="str">
        <f t="array" ref="K738">IF(J738="","",IF(XLOOKUP(J738,Strike_Review_Queue!$I:$I,Strike_Review_Queue!$J:$J,"")="Approve","Approved",IF(XLOOKUP(J738,Strike_Review_Queue!$I:$I,Strike_Review_Queue!$J:$J,"")="Deny","Counts",H738)))</f>
        <v/>
      </c>
      <c r="L738" s="39" t="str">
        <f t="array" ref="L738">IF(J738="","",XLOOKUP(J738,Strike_Review_Queue!$I:$I,Strike_Review_Queue!$L:$L,""))</f>
        <v/>
      </c>
      <c r="M738" s="39" t="str">
        <f t="array" ref="M738">IF(J738="","",XLOOKUP(J738,Strike_Review_Queue!$I:$I,Strike_Review_Queue!$M:$M,""))</f>
        <v/>
      </c>
    </row>
    <row r="739" ht="15.75" customHeight="1">
      <c r="C739" s="39"/>
      <c r="D739" s="39" t="str">
        <f>IF(OR(B739="",A739=""),"",MAX(0,MIN(3,SUMIFS($C$2:$C$1000,$B$2:$B$1000,B739,$A$2:$A$1000,"&lt;="&amp;A739,$A$2:$A$1000,"&gt;="&amp;IF(Config!$B$1004="Y",A739-Config!$B$1005,DATE(1900,1,1)),$I$2:$I$1000,1)))))</f>
        <v>#ERROR!</v>
      </c>
      <c r="H739" s="39"/>
      <c r="I739" s="39">
        <f t="shared" si="1"/>
        <v>1</v>
      </c>
      <c r="J739" s="39" t="str">
        <f t="shared" si="2"/>
        <v/>
      </c>
      <c r="K739" s="39" t="str">
        <f t="array" ref="K739">IF(J739="","",IF(XLOOKUP(J739,Strike_Review_Queue!$I:$I,Strike_Review_Queue!$J:$J,"")="Approve","Approved",IF(XLOOKUP(J739,Strike_Review_Queue!$I:$I,Strike_Review_Queue!$J:$J,"")="Deny","Counts",H739)))</f>
        <v/>
      </c>
      <c r="L739" s="39" t="str">
        <f t="array" ref="L739">IF(J739="","",XLOOKUP(J739,Strike_Review_Queue!$I:$I,Strike_Review_Queue!$L:$L,""))</f>
        <v/>
      </c>
      <c r="M739" s="39" t="str">
        <f t="array" ref="M739">IF(J739="","",XLOOKUP(J739,Strike_Review_Queue!$I:$I,Strike_Review_Queue!$M:$M,""))</f>
        <v/>
      </c>
    </row>
    <row r="740" ht="15.75" customHeight="1">
      <c r="C740" s="39"/>
      <c r="D740" s="39" t="str">
        <f>IF(OR(B740="",A740=""),"",MAX(0,MIN(3,SUMIFS($C$2:$C$1000,$B$2:$B$1000,B740,$A$2:$A$1000,"&lt;="&amp;A740,$A$2:$A$1000,"&gt;="&amp;IF(Config!$B$1004="Y",A740-Config!$B$1005,DATE(1900,1,1)),$I$2:$I$1000,1)))))</f>
        <v>#ERROR!</v>
      </c>
      <c r="H740" s="39"/>
      <c r="I740" s="39">
        <f t="shared" si="1"/>
        <v>1</v>
      </c>
      <c r="J740" s="39" t="str">
        <f t="shared" si="2"/>
        <v/>
      </c>
      <c r="K740" s="39" t="str">
        <f t="array" ref="K740">IF(J740="","",IF(XLOOKUP(J740,Strike_Review_Queue!$I:$I,Strike_Review_Queue!$J:$J,"")="Approve","Approved",IF(XLOOKUP(J740,Strike_Review_Queue!$I:$I,Strike_Review_Queue!$J:$J,"")="Deny","Counts",H740)))</f>
        <v/>
      </c>
      <c r="L740" s="39" t="str">
        <f t="array" ref="L740">IF(J740="","",XLOOKUP(J740,Strike_Review_Queue!$I:$I,Strike_Review_Queue!$L:$L,""))</f>
        <v/>
      </c>
      <c r="M740" s="39" t="str">
        <f t="array" ref="M740">IF(J740="","",XLOOKUP(J740,Strike_Review_Queue!$I:$I,Strike_Review_Queue!$M:$M,""))</f>
        <v/>
      </c>
    </row>
    <row r="741" ht="15.75" customHeight="1">
      <c r="C741" s="39"/>
      <c r="D741" s="39" t="str">
        <f>IF(OR(B741="",A741=""),"",MAX(0,MIN(3,SUMIFS($C$2:$C$1000,$B$2:$B$1000,B741,$A$2:$A$1000,"&lt;="&amp;A741,$A$2:$A$1000,"&gt;="&amp;IF(Config!$B$1004="Y",A741-Config!$B$1005,DATE(1900,1,1)),$I$2:$I$1000,1)))))</f>
        <v>#ERROR!</v>
      </c>
      <c r="H741" s="39"/>
      <c r="I741" s="39">
        <f t="shared" si="1"/>
        <v>1</v>
      </c>
      <c r="J741" s="39" t="str">
        <f t="shared" si="2"/>
        <v/>
      </c>
      <c r="K741" s="39" t="str">
        <f t="array" ref="K741">IF(J741="","",IF(XLOOKUP(J741,Strike_Review_Queue!$I:$I,Strike_Review_Queue!$J:$J,"")="Approve","Approved",IF(XLOOKUP(J741,Strike_Review_Queue!$I:$I,Strike_Review_Queue!$J:$J,"")="Deny","Counts",H741)))</f>
        <v/>
      </c>
      <c r="L741" s="39" t="str">
        <f t="array" ref="L741">IF(J741="","",XLOOKUP(J741,Strike_Review_Queue!$I:$I,Strike_Review_Queue!$L:$L,""))</f>
        <v/>
      </c>
      <c r="M741" s="39" t="str">
        <f t="array" ref="M741">IF(J741="","",XLOOKUP(J741,Strike_Review_Queue!$I:$I,Strike_Review_Queue!$M:$M,""))</f>
        <v/>
      </c>
    </row>
    <row r="742" ht="15.75" customHeight="1">
      <c r="C742" s="39"/>
      <c r="D742" s="39" t="str">
        <f>IF(OR(B742="",A742=""),"",MAX(0,MIN(3,SUMIFS($C$2:$C$1000,$B$2:$B$1000,B742,$A$2:$A$1000,"&lt;="&amp;A742,$A$2:$A$1000,"&gt;="&amp;IF(Config!$B$1004="Y",A742-Config!$B$1005,DATE(1900,1,1)),$I$2:$I$1000,1)))))</f>
        <v>#ERROR!</v>
      </c>
      <c r="H742" s="39"/>
      <c r="I742" s="39">
        <f t="shared" si="1"/>
        <v>1</v>
      </c>
      <c r="J742" s="39" t="str">
        <f t="shared" si="2"/>
        <v/>
      </c>
      <c r="K742" s="39" t="str">
        <f t="array" ref="K742">IF(J742="","",IF(XLOOKUP(J742,Strike_Review_Queue!$I:$I,Strike_Review_Queue!$J:$J,"")="Approve","Approved",IF(XLOOKUP(J742,Strike_Review_Queue!$I:$I,Strike_Review_Queue!$J:$J,"")="Deny","Counts",H742)))</f>
        <v/>
      </c>
      <c r="L742" s="39" t="str">
        <f t="array" ref="L742">IF(J742="","",XLOOKUP(J742,Strike_Review_Queue!$I:$I,Strike_Review_Queue!$L:$L,""))</f>
        <v/>
      </c>
      <c r="M742" s="39" t="str">
        <f t="array" ref="M742">IF(J742="","",XLOOKUP(J742,Strike_Review_Queue!$I:$I,Strike_Review_Queue!$M:$M,""))</f>
        <v/>
      </c>
    </row>
    <row r="743" ht="15.75" customHeight="1">
      <c r="C743" s="39"/>
      <c r="D743" s="39" t="str">
        <f>IF(OR(B743="",A743=""),"",MAX(0,MIN(3,SUMIFS($C$2:$C$1000,$B$2:$B$1000,B743,$A$2:$A$1000,"&lt;="&amp;A743,$A$2:$A$1000,"&gt;="&amp;IF(Config!$B$1004="Y",A743-Config!$B$1005,DATE(1900,1,1)),$I$2:$I$1000,1)))))</f>
        <v>#ERROR!</v>
      </c>
      <c r="H743" s="39"/>
      <c r="I743" s="39">
        <f t="shared" si="1"/>
        <v>1</v>
      </c>
      <c r="J743" s="39" t="str">
        <f t="shared" si="2"/>
        <v/>
      </c>
      <c r="K743" s="39" t="str">
        <f t="array" ref="K743">IF(J743="","",IF(XLOOKUP(J743,Strike_Review_Queue!$I:$I,Strike_Review_Queue!$J:$J,"")="Approve","Approved",IF(XLOOKUP(J743,Strike_Review_Queue!$I:$I,Strike_Review_Queue!$J:$J,"")="Deny","Counts",H743)))</f>
        <v/>
      </c>
      <c r="L743" s="39" t="str">
        <f t="array" ref="L743">IF(J743="","",XLOOKUP(J743,Strike_Review_Queue!$I:$I,Strike_Review_Queue!$L:$L,""))</f>
        <v/>
      </c>
      <c r="M743" s="39" t="str">
        <f t="array" ref="M743">IF(J743="","",XLOOKUP(J743,Strike_Review_Queue!$I:$I,Strike_Review_Queue!$M:$M,""))</f>
        <v/>
      </c>
    </row>
    <row r="744" ht="15.75" customHeight="1">
      <c r="C744" s="39"/>
      <c r="D744" s="39" t="str">
        <f>IF(OR(B744="",A744=""),"",MAX(0,MIN(3,SUMIFS($C$2:$C$1000,$B$2:$B$1000,B744,$A$2:$A$1000,"&lt;="&amp;A744,$A$2:$A$1000,"&gt;="&amp;IF(Config!$B$1004="Y",A744-Config!$B$1005,DATE(1900,1,1)),$I$2:$I$1000,1)))))</f>
        <v>#ERROR!</v>
      </c>
      <c r="H744" s="39"/>
      <c r="I744" s="39">
        <f t="shared" si="1"/>
        <v>1</v>
      </c>
      <c r="J744" s="39" t="str">
        <f t="shared" si="2"/>
        <v/>
      </c>
      <c r="K744" s="39" t="str">
        <f t="array" ref="K744">IF(J744="","",IF(XLOOKUP(J744,Strike_Review_Queue!$I:$I,Strike_Review_Queue!$J:$J,"")="Approve","Approved",IF(XLOOKUP(J744,Strike_Review_Queue!$I:$I,Strike_Review_Queue!$J:$J,"")="Deny","Counts",H744)))</f>
        <v/>
      </c>
      <c r="L744" s="39" t="str">
        <f t="array" ref="L744">IF(J744="","",XLOOKUP(J744,Strike_Review_Queue!$I:$I,Strike_Review_Queue!$L:$L,""))</f>
        <v/>
      </c>
      <c r="M744" s="39" t="str">
        <f t="array" ref="M744">IF(J744="","",XLOOKUP(J744,Strike_Review_Queue!$I:$I,Strike_Review_Queue!$M:$M,""))</f>
        <v/>
      </c>
    </row>
    <row r="745" ht="15.75" customHeight="1">
      <c r="C745" s="39"/>
      <c r="D745" s="39" t="str">
        <f>IF(OR(B745="",A745=""),"",MAX(0,MIN(3,SUMIFS($C$2:$C$1000,$B$2:$B$1000,B745,$A$2:$A$1000,"&lt;="&amp;A745,$A$2:$A$1000,"&gt;="&amp;IF(Config!$B$1004="Y",A745-Config!$B$1005,DATE(1900,1,1)),$I$2:$I$1000,1)))))</f>
        <v>#ERROR!</v>
      </c>
      <c r="H745" s="39"/>
      <c r="I745" s="39">
        <f t="shared" si="1"/>
        <v>1</v>
      </c>
      <c r="J745" s="39" t="str">
        <f t="shared" si="2"/>
        <v/>
      </c>
      <c r="K745" s="39" t="str">
        <f t="array" ref="K745">IF(J745="","",IF(XLOOKUP(J745,Strike_Review_Queue!$I:$I,Strike_Review_Queue!$J:$J,"")="Approve","Approved",IF(XLOOKUP(J745,Strike_Review_Queue!$I:$I,Strike_Review_Queue!$J:$J,"")="Deny","Counts",H745)))</f>
        <v/>
      </c>
      <c r="L745" s="39" t="str">
        <f t="array" ref="L745">IF(J745="","",XLOOKUP(J745,Strike_Review_Queue!$I:$I,Strike_Review_Queue!$L:$L,""))</f>
        <v/>
      </c>
      <c r="M745" s="39" t="str">
        <f t="array" ref="M745">IF(J745="","",XLOOKUP(J745,Strike_Review_Queue!$I:$I,Strike_Review_Queue!$M:$M,""))</f>
        <v/>
      </c>
    </row>
    <row r="746" ht="15.75" customHeight="1">
      <c r="C746" s="39"/>
      <c r="D746" s="39" t="str">
        <f>IF(OR(B746="",A746=""),"",MAX(0,MIN(3,SUMIFS($C$2:$C$1000,$B$2:$B$1000,B746,$A$2:$A$1000,"&lt;="&amp;A746,$A$2:$A$1000,"&gt;="&amp;IF(Config!$B$1004="Y",A746-Config!$B$1005,DATE(1900,1,1)),$I$2:$I$1000,1)))))</f>
        <v>#ERROR!</v>
      </c>
      <c r="H746" s="39"/>
      <c r="I746" s="39">
        <f t="shared" si="1"/>
        <v>1</v>
      </c>
      <c r="J746" s="39" t="str">
        <f t="shared" si="2"/>
        <v/>
      </c>
      <c r="K746" s="39" t="str">
        <f t="array" ref="K746">IF(J746="","",IF(XLOOKUP(J746,Strike_Review_Queue!$I:$I,Strike_Review_Queue!$J:$J,"")="Approve","Approved",IF(XLOOKUP(J746,Strike_Review_Queue!$I:$I,Strike_Review_Queue!$J:$J,"")="Deny","Counts",H746)))</f>
        <v/>
      </c>
      <c r="L746" s="39" t="str">
        <f t="array" ref="L746">IF(J746="","",XLOOKUP(J746,Strike_Review_Queue!$I:$I,Strike_Review_Queue!$L:$L,""))</f>
        <v/>
      </c>
      <c r="M746" s="39" t="str">
        <f t="array" ref="M746">IF(J746="","",XLOOKUP(J746,Strike_Review_Queue!$I:$I,Strike_Review_Queue!$M:$M,""))</f>
        <v/>
      </c>
    </row>
    <row r="747" ht="15.75" customHeight="1">
      <c r="C747" s="39"/>
      <c r="D747" s="39" t="str">
        <f>IF(OR(B747="",A747=""),"",MAX(0,MIN(3,SUMIFS($C$2:$C$1000,$B$2:$B$1000,B747,$A$2:$A$1000,"&lt;="&amp;A747,$A$2:$A$1000,"&gt;="&amp;IF(Config!$B$1004="Y",A747-Config!$B$1005,DATE(1900,1,1)),$I$2:$I$1000,1)))))</f>
        <v>#ERROR!</v>
      </c>
      <c r="H747" s="39"/>
      <c r="I747" s="39">
        <f t="shared" si="1"/>
        <v>1</v>
      </c>
      <c r="J747" s="39" t="str">
        <f t="shared" si="2"/>
        <v/>
      </c>
      <c r="K747" s="39" t="str">
        <f t="array" ref="K747">IF(J747="","",IF(XLOOKUP(J747,Strike_Review_Queue!$I:$I,Strike_Review_Queue!$J:$J,"")="Approve","Approved",IF(XLOOKUP(J747,Strike_Review_Queue!$I:$I,Strike_Review_Queue!$J:$J,"")="Deny","Counts",H747)))</f>
        <v/>
      </c>
      <c r="L747" s="39" t="str">
        <f t="array" ref="L747">IF(J747="","",XLOOKUP(J747,Strike_Review_Queue!$I:$I,Strike_Review_Queue!$L:$L,""))</f>
        <v/>
      </c>
      <c r="M747" s="39" t="str">
        <f t="array" ref="M747">IF(J747="","",XLOOKUP(J747,Strike_Review_Queue!$I:$I,Strike_Review_Queue!$M:$M,""))</f>
        <v/>
      </c>
    </row>
    <row r="748" ht="15.75" customHeight="1">
      <c r="C748" s="39"/>
      <c r="D748" s="39" t="str">
        <f>IF(OR(B748="",A748=""),"",MAX(0,MIN(3,SUMIFS($C$2:$C$1000,$B$2:$B$1000,B748,$A$2:$A$1000,"&lt;="&amp;A748,$A$2:$A$1000,"&gt;="&amp;IF(Config!$B$1004="Y",A748-Config!$B$1005,DATE(1900,1,1)),$I$2:$I$1000,1)))))</f>
        <v>#ERROR!</v>
      </c>
      <c r="H748" s="39"/>
      <c r="I748" s="39">
        <f t="shared" si="1"/>
        <v>1</v>
      </c>
      <c r="J748" s="39" t="str">
        <f t="shared" si="2"/>
        <v/>
      </c>
      <c r="K748" s="39" t="str">
        <f t="array" ref="K748">IF(J748="","",IF(XLOOKUP(J748,Strike_Review_Queue!$I:$I,Strike_Review_Queue!$J:$J,"")="Approve","Approved",IF(XLOOKUP(J748,Strike_Review_Queue!$I:$I,Strike_Review_Queue!$J:$J,"")="Deny","Counts",H748)))</f>
        <v/>
      </c>
      <c r="L748" s="39" t="str">
        <f t="array" ref="L748">IF(J748="","",XLOOKUP(J748,Strike_Review_Queue!$I:$I,Strike_Review_Queue!$L:$L,""))</f>
        <v/>
      </c>
      <c r="M748" s="39" t="str">
        <f t="array" ref="M748">IF(J748="","",XLOOKUP(J748,Strike_Review_Queue!$I:$I,Strike_Review_Queue!$M:$M,""))</f>
        <v/>
      </c>
    </row>
    <row r="749" ht="15.75" customHeight="1">
      <c r="C749" s="39"/>
      <c r="D749" s="39" t="str">
        <f>IF(OR(B749="",A749=""),"",MAX(0,MIN(3,SUMIFS($C$2:$C$1000,$B$2:$B$1000,B749,$A$2:$A$1000,"&lt;="&amp;A749,$A$2:$A$1000,"&gt;="&amp;IF(Config!$B$1004="Y",A749-Config!$B$1005,DATE(1900,1,1)),$I$2:$I$1000,1)))))</f>
        <v>#ERROR!</v>
      </c>
      <c r="H749" s="39"/>
      <c r="I749" s="39">
        <f t="shared" si="1"/>
        <v>1</v>
      </c>
      <c r="J749" s="39" t="str">
        <f t="shared" si="2"/>
        <v/>
      </c>
      <c r="K749" s="39" t="str">
        <f t="array" ref="K749">IF(J749="","",IF(XLOOKUP(J749,Strike_Review_Queue!$I:$I,Strike_Review_Queue!$J:$J,"")="Approve","Approved",IF(XLOOKUP(J749,Strike_Review_Queue!$I:$I,Strike_Review_Queue!$J:$J,"")="Deny","Counts",H749)))</f>
        <v/>
      </c>
      <c r="L749" s="39" t="str">
        <f t="array" ref="L749">IF(J749="","",XLOOKUP(J749,Strike_Review_Queue!$I:$I,Strike_Review_Queue!$L:$L,""))</f>
        <v/>
      </c>
      <c r="M749" s="39" t="str">
        <f t="array" ref="M749">IF(J749="","",XLOOKUP(J749,Strike_Review_Queue!$I:$I,Strike_Review_Queue!$M:$M,""))</f>
        <v/>
      </c>
    </row>
    <row r="750" ht="15.75" customHeight="1">
      <c r="C750" s="39"/>
      <c r="D750" s="39" t="str">
        <f>IF(OR(B750="",A750=""),"",MAX(0,MIN(3,SUMIFS($C$2:$C$1000,$B$2:$B$1000,B750,$A$2:$A$1000,"&lt;="&amp;A750,$A$2:$A$1000,"&gt;="&amp;IF(Config!$B$1004="Y",A750-Config!$B$1005,DATE(1900,1,1)),$I$2:$I$1000,1)))))</f>
        <v>#ERROR!</v>
      </c>
      <c r="H750" s="39"/>
      <c r="I750" s="39">
        <f t="shared" si="1"/>
        <v>1</v>
      </c>
      <c r="J750" s="39" t="str">
        <f t="shared" si="2"/>
        <v/>
      </c>
      <c r="K750" s="39" t="str">
        <f t="array" ref="K750">IF(J750="","",IF(XLOOKUP(J750,Strike_Review_Queue!$I:$I,Strike_Review_Queue!$J:$J,"")="Approve","Approved",IF(XLOOKUP(J750,Strike_Review_Queue!$I:$I,Strike_Review_Queue!$J:$J,"")="Deny","Counts",H750)))</f>
        <v/>
      </c>
      <c r="L750" s="39" t="str">
        <f t="array" ref="L750">IF(J750="","",XLOOKUP(J750,Strike_Review_Queue!$I:$I,Strike_Review_Queue!$L:$L,""))</f>
        <v/>
      </c>
      <c r="M750" s="39" t="str">
        <f t="array" ref="M750">IF(J750="","",XLOOKUP(J750,Strike_Review_Queue!$I:$I,Strike_Review_Queue!$M:$M,""))</f>
        <v/>
      </c>
    </row>
    <row r="751" ht="15.75" customHeight="1">
      <c r="C751" s="39"/>
      <c r="D751" s="39" t="str">
        <f>IF(OR(B751="",A751=""),"",MAX(0,MIN(3,SUMIFS($C$2:$C$1000,$B$2:$B$1000,B751,$A$2:$A$1000,"&lt;="&amp;A751,$A$2:$A$1000,"&gt;="&amp;IF(Config!$B$1004="Y",A751-Config!$B$1005,DATE(1900,1,1)),$I$2:$I$1000,1)))))</f>
        <v>#ERROR!</v>
      </c>
      <c r="H751" s="39"/>
      <c r="I751" s="39">
        <f t="shared" si="1"/>
        <v>1</v>
      </c>
      <c r="J751" s="39" t="str">
        <f t="shared" si="2"/>
        <v/>
      </c>
      <c r="K751" s="39" t="str">
        <f t="array" ref="K751">IF(J751="","",IF(XLOOKUP(J751,Strike_Review_Queue!$I:$I,Strike_Review_Queue!$J:$J,"")="Approve","Approved",IF(XLOOKUP(J751,Strike_Review_Queue!$I:$I,Strike_Review_Queue!$J:$J,"")="Deny","Counts",H751)))</f>
        <v/>
      </c>
      <c r="L751" s="39" t="str">
        <f t="array" ref="L751">IF(J751="","",XLOOKUP(J751,Strike_Review_Queue!$I:$I,Strike_Review_Queue!$L:$L,""))</f>
        <v/>
      </c>
      <c r="M751" s="39" t="str">
        <f t="array" ref="M751">IF(J751="","",XLOOKUP(J751,Strike_Review_Queue!$I:$I,Strike_Review_Queue!$M:$M,""))</f>
        <v/>
      </c>
    </row>
    <row r="752" ht="15.75" customHeight="1">
      <c r="C752" s="39"/>
      <c r="D752" s="39" t="str">
        <f>IF(OR(B752="",A752=""),"",MAX(0,MIN(3,SUMIFS($C$2:$C$1000,$B$2:$B$1000,B752,$A$2:$A$1000,"&lt;="&amp;A752,$A$2:$A$1000,"&gt;="&amp;IF(Config!$B$1004="Y",A752-Config!$B$1005,DATE(1900,1,1)),$I$2:$I$1000,1)))))</f>
        <v>#ERROR!</v>
      </c>
      <c r="H752" s="39"/>
      <c r="I752" s="39">
        <f t="shared" si="1"/>
        <v>1</v>
      </c>
      <c r="J752" s="39" t="str">
        <f t="shared" si="2"/>
        <v/>
      </c>
      <c r="K752" s="39" t="str">
        <f t="array" ref="K752">IF(J752="","",IF(XLOOKUP(J752,Strike_Review_Queue!$I:$I,Strike_Review_Queue!$J:$J,"")="Approve","Approved",IF(XLOOKUP(J752,Strike_Review_Queue!$I:$I,Strike_Review_Queue!$J:$J,"")="Deny","Counts",H752)))</f>
        <v/>
      </c>
      <c r="L752" s="39" t="str">
        <f t="array" ref="L752">IF(J752="","",XLOOKUP(J752,Strike_Review_Queue!$I:$I,Strike_Review_Queue!$L:$L,""))</f>
        <v/>
      </c>
      <c r="M752" s="39" t="str">
        <f t="array" ref="M752">IF(J752="","",XLOOKUP(J752,Strike_Review_Queue!$I:$I,Strike_Review_Queue!$M:$M,""))</f>
        <v/>
      </c>
    </row>
    <row r="753" ht="15.75" customHeight="1">
      <c r="C753" s="39"/>
      <c r="D753" s="39" t="str">
        <f>IF(OR(B753="",A753=""),"",MAX(0,MIN(3,SUMIFS($C$2:$C$1000,$B$2:$B$1000,B753,$A$2:$A$1000,"&lt;="&amp;A753,$A$2:$A$1000,"&gt;="&amp;IF(Config!$B$1004="Y",A753-Config!$B$1005,DATE(1900,1,1)),$I$2:$I$1000,1)))))</f>
        <v>#ERROR!</v>
      </c>
      <c r="H753" s="39"/>
      <c r="I753" s="39">
        <f t="shared" si="1"/>
        <v>1</v>
      </c>
      <c r="J753" s="39" t="str">
        <f t="shared" si="2"/>
        <v/>
      </c>
      <c r="K753" s="39" t="str">
        <f t="array" ref="K753">IF(J753="","",IF(XLOOKUP(J753,Strike_Review_Queue!$I:$I,Strike_Review_Queue!$J:$J,"")="Approve","Approved",IF(XLOOKUP(J753,Strike_Review_Queue!$I:$I,Strike_Review_Queue!$J:$J,"")="Deny","Counts",H753)))</f>
        <v/>
      </c>
      <c r="L753" s="39" t="str">
        <f t="array" ref="L753">IF(J753="","",XLOOKUP(J753,Strike_Review_Queue!$I:$I,Strike_Review_Queue!$L:$L,""))</f>
        <v/>
      </c>
      <c r="M753" s="39" t="str">
        <f t="array" ref="M753">IF(J753="","",XLOOKUP(J753,Strike_Review_Queue!$I:$I,Strike_Review_Queue!$M:$M,""))</f>
        <v/>
      </c>
    </row>
    <row r="754" ht="15.75" customHeight="1">
      <c r="C754" s="39"/>
      <c r="D754" s="39" t="str">
        <f>IF(OR(B754="",A754=""),"",MAX(0,MIN(3,SUMIFS($C$2:$C$1000,$B$2:$B$1000,B754,$A$2:$A$1000,"&lt;="&amp;A754,$A$2:$A$1000,"&gt;="&amp;IF(Config!$B$1004="Y",A754-Config!$B$1005,DATE(1900,1,1)),$I$2:$I$1000,1)))))</f>
        <v>#ERROR!</v>
      </c>
      <c r="H754" s="39"/>
      <c r="I754" s="39">
        <f t="shared" si="1"/>
        <v>1</v>
      </c>
      <c r="J754" s="39" t="str">
        <f t="shared" si="2"/>
        <v/>
      </c>
      <c r="K754" s="39" t="str">
        <f t="array" ref="K754">IF(J754="","",IF(XLOOKUP(J754,Strike_Review_Queue!$I:$I,Strike_Review_Queue!$J:$J,"")="Approve","Approved",IF(XLOOKUP(J754,Strike_Review_Queue!$I:$I,Strike_Review_Queue!$J:$J,"")="Deny","Counts",H754)))</f>
        <v/>
      </c>
      <c r="L754" s="39" t="str">
        <f t="array" ref="L754">IF(J754="","",XLOOKUP(J754,Strike_Review_Queue!$I:$I,Strike_Review_Queue!$L:$L,""))</f>
        <v/>
      </c>
      <c r="M754" s="39" t="str">
        <f t="array" ref="M754">IF(J754="","",XLOOKUP(J754,Strike_Review_Queue!$I:$I,Strike_Review_Queue!$M:$M,""))</f>
        <v/>
      </c>
    </row>
    <row r="755" ht="15.75" customHeight="1">
      <c r="C755" s="39"/>
      <c r="D755" s="39" t="str">
        <f>IF(OR(B755="",A755=""),"",MAX(0,MIN(3,SUMIFS($C$2:$C$1000,$B$2:$B$1000,B755,$A$2:$A$1000,"&lt;="&amp;A755,$A$2:$A$1000,"&gt;="&amp;IF(Config!$B$1004="Y",A755-Config!$B$1005,DATE(1900,1,1)),$I$2:$I$1000,1)))))</f>
        <v>#ERROR!</v>
      </c>
      <c r="H755" s="39"/>
      <c r="I755" s="39">
        <f t="shared" si="1"/>
        <v>1</v>
      </c>
      <c r="J755" s="39" t="str">
        <f t="shared" si="2"/>
        <v/>
      </c>
      <c r="K755" s="39" t="str">
        <f t="array" ref="K755">IF(J755="","",IF(XLOOKUP(J755,Strike_Review_Queue!$I:$I,Strike_Review_Queue!$J:$J,"")="Approve","Approved",IF(XLOOKUP(J755,Strike_Review_Queue!$I:$I,Strike_Review_Queue!$J:$J,"")="Deny","Counts",H755)))</f>
        <v/>
      </c>
      <c r="L755" s="39" t="str">
        <f t="array" ref="L755">IF(J755="","",XLOOKUP(J755,Strike_Review_Queue!$I:$I,Strike_Review_Queue!$L:$L,""))</f>
        <v/>
      </c>
      <c r="M755" s="39" t="str">
        <f t="array" ref="M755">IF(J755="","",XLOOKUP(J755,Strike_Review_Queue!$I:$I,Strike_Review_Queue!$M:$M,""))</f>
        <v/>
      </c>
    </row>
    <row r="756" ht="15.75" customHeight="1">
      <c r="C756" s="39"/>
      <c r="D756" s="39" t="str">
        <f>IF(OR(B756="",A756=""),"",MAX(0,MIN(3,SUMIFS($C$2:$C$1000,$B$2:$B$1000,B756,$A$2:$A$1000,"&lt;="&amp;A756,$A$2:$A$1000,"&gt;="&amp;IF(Config!$B$1004="Y",A756-Config!$B$1005,DATE(1900,1,1)),$I$2:$I$1000,1)))))</f>
        <v>#ERROR!</v>
      </c>
      <c r="H756" s="39"/>
      <c r="I756" s="39">
        <f t="shared" si="1"/>
        <v>1</v>
      </c>
      <c r="J756" s="39" t="str">
        <f t="shared" si="2"/>
        <v/>
      </c>
      <c r="K756" s="39" t="str">
        <f t="array" ref="K756">IF(J756="","",IF(XLOOKUP(J756,Strike_Review_Queue!$I:$I,Strike_Review_Queue!$J:$J,"")="Approve","Approved",IF(XLOOKUP(J756,Strike_Review_Queue!$I:$I,Strike_Review_Queue!$J:$J,"")="Deny","Counts",H756)))</f>
        <v/>
      </c>
      <c r="L756" s="39" t="str">
        <f t="array" ref="L756">IF(J756="","",XLOOKUP(J756,Strike_Review_Queue!$I:$I,Strike_Review_Queue!$L:$L,""))</f>
        <v/>
      </c>
      <c r="M756" s="39" t="str">
        <f t="array" ref="M756">IF(J756="","",XLOOKUP(J756,Strike_Review_Queue!$I:$I,Strike_Review_Queue!$M:$M,""))</f>
        <v/>
      </c>
    </row>
    <row r="757" ht="15.75" customHeight="1">
      <c r="C757" s="39"/>
      <c r="D757" s="39" t="str">
        <f>IF(OR(B757="",A757=""),"",MAX(0,MIN(3,SUMIFS($C$2:$C$1000,$B$2:$B$1000,B757,$A$2:$A$1000,"&lt;="&amp;A757,$A$2:$A$1000,"&gt;="&amp;IF(Config!$B$1004="Y",A757-Config!$B$1005,DATE(1900,1,1)),$I$2:$I$1000,1)))))</f>
        <v>#ERROR!</v>
      </c>
      <c r="H757" s="39"/>
      <c r="I757" s="39">
        <f t="shared" si="1"/>
        <v>1</v>
      </c>
      <c r="J757" s="39" t="str">
        <f t="shared" si="2"/>
        <v/>
      </c>
      <c r="K757" s="39" t="str">
        <f t="array" ref="K757">IF(J757="","",IF(XLOOKUP(J757,Strike_Review_Queue!$I:$I,Strike_Review_Queue!$J:$J,"")="Approve","Approved",IF(XLOOKUP(J757,Strike_Review_Queue!$I:$I,Strike_Review_Queue!$J:$J,"")="Deny","Counts",H757)))</f>
        <v/>
      </c>
      <c r="L757" s="39" t="str">
        <f t="array" ref="L757">IF(J757="","",XLOOKUP(J757,Strike_Review_Queue!$I:$I,Strike_Review_Queue!$L:$L,""))</f>
        <v/>
      </c>
      <c r="M757" s="39" t="str">
        <f t="array" ref="M757">IF(J757="","",XLOOKUP(J757,Strike_Review_Queue!$I:$I,Strike_Review_Queue!$M:$M,""))</f>
        <v/>
      </c>
    </row>
    <row r="758" ht="15.75" customHeight="1">
      <c r="C758" s="39"/>
      <c r="D758" s="39" t="str">
        <f>IF(OR(B758="",A758=""),"",MAX(0,MIN(3,SUMIFS($C$2:$C$1000,$B$2:$B$1000,B758,$A$2:$A$1000,"&lt;="&amp;A758,$A$2:$A$1000,"&gt;="&amp;IF(Config!$B$1004="Y",A758-Config!$B$1005,DATE(1900,1,1)),$I$2:$I$1000,1)))))</f>
        <v>#ERROR!</v>
      </c>
      <c r="H758" s="39"/>
      <c r="I758" s="39">
        <f t="shared" si="1"/>
        <v>1</v>
      </c>
      <c r="J758" s="39" t="str">
        <f t="shared" si="2"/>
        <v/>
      </c>
      <c r="K758" s="39" t="str">
        <f t="array" ref="K758">IF(J758="","",IF(XLOOKUP(J758,Strike_Review_Queue!$I:$I,Strike_Review_Queue!$J:$J,"")="Approve","Approved",IF(XLOOKUP(J758,Strike_Review_Queue!$I:$I,Strike_Review_Queue!$J:$J,"")="Deny","Counts",H758)))</f>
        <v/>
      </c>
      <c r="L758" s="39" t="str">
        <f t="array" ref="L758">IF(J758="","",XLOOKUP(J758,Strike_Review_Queue!$I:$I,Strike_Review_Queue!$L:$L,""))</f>
        <v/>
      </c>
      <c r="M758" s="39" t="str">
        <f t="array" ref="M758">IF(J758="","",XLOOKUP(J758,Strike_Review_Queue!$I:$I,Strike_Review_Queue!$M:$M,""))</f>
        <v/>
      </c>
    </row>
    <row r="759" ht="15.75" customHeight="1">
      <c r="C759" s="39"/>
      <c r="D759" s="39" t="str">
        <f>IF(OR(B759="",A759=""),"",MAX(0,MIN(3,SUMIFS($C$2:$C$1000,$B$2:$B$1000,B759,$A$2:$A$1000,"&lt;="&amp;A759,$A$2:$A$1000,"&gt;="&amp;IF(Config!$B$1004="Y",A759-Config!$B$1005,DATE(1900,1,1)),$I$2:$I$1000,1)))))</f>
        <v>#ERROR!</v>
      </c>
      <c r="H759" s="39"/>
      <c r="I759" s="39">
        <f t="shared" si="1"/>
        <v>1</v>
      </c>
      <c r="J759" s="39" t="str">
        <f t="shared" si="2"/>
        <v/>
      </c>
      <c r="K759" s="39" t="str">
        <f t="array" ref="K759">IF(J759="","",IF(XLOOKUP(J759,Strike_Review_Queue!$I:$I,Strike_Review_Queue!$J:$J,"")="Approve","Approved",IF(XLOOKUP(J759,Strike_Review_Queue!$I:$I,Strike_Review_Queue!$J:$J,"")="Deny","Counts",H759)))</f>
        <v/>
      </c>
      <c r="L759" s="39" t="str">
        <f t="array" ref="L759">IF(J759="","",XLOOKUP(J759,Strike_Review_Queue!$I:$I,Strike_Review_Queue!$L:$L,""))</f>
        <v/>
      </c>
      <c r="M759" s="39" t="str">
        <f t="array" ref="M759">IF(J759="","",XLOOKUP(J759,Strike_Review_Queue!$I:$I,Strike_Review_Queue!$M:$M,""))</f>
        <v/>
      </c>
    </row>
    <row r="760" ht="15.75" customHeight="1">
      <c r="C760" s="39"/>
      <c r="D760" s="39" t="str">
        <f>IF(OR(B760="",A760=""),"",MAX(0,MIN(3,SUMIFS($C$2:$C$1000,$B$2:$B$1000,B760,$A$2:$A$1000,"&lt;="&amp;A760,$A$2:$A$1000,"&gt;="&amp;IF(Config!$B$1004="Y",A760-Config!$B$1005,DATE(1900,1,1)),$I$2:$I$1000,1)))))</f>
        <v>#ERROR!</v>
      </c>
      <c r="H760" s="39"/>
      <c r="I760" s="39">
        <f t="shared" si="1"/>
        <v>1</v>
      </c>
      <c r="J760" s="39" t="str">
        <f t="shared" si="2"/>
        <v/>
      </c>
      <c r="K760" s="39" t="str">
        <f t="array" ref="K760">IF(J760="","",IF(XLOOKUP(J760,Strike_Review_Queue!$I:$I,Strike_Review_Queue!$J:$J,"")="Approve","Approved",IF(XLOOKUP(J760,Strike_Review_Queue!$I:$I,Strike_Review_Queue!$J:$J,"")="Deny","Counts",H760)))</f>
        <v/>
      </c>
      <c r="L760" s="39" t="str">
        <f t="array" ref="L760">IF(J760="","",XLOOKUP(J760,Strike_Review_Queue!$I:$I,Strike_Review_Queue!$L:$L,""))</f>
        <v/>
      </c>
      <c r="M760" s="39" t="str">
        <f t="array" ref="M760">IF(J760="","",XLOOKUP(J760,Strike_Review_Queue!$I:$I,Strike_Review_Queue!$M:$M,""))</f>
        <v/>
      </c>
    </row>
    <row r="761" ht="15.75" customHeight="1">
      <c r="C761" s="39"/>
      <c r="D761" s="39" t="str">
        <f>IF(OR(B761="",A761=""),"",MAX(0,MIN(3,SUMIFS($C$2:$C$1000,$B$2:$B$1000,B761,$A$2:$A$1000,"&lt;="&amp;A761,$A$2:$A$1000,"&gt;="&amp;IF(Config!$B$1004="Y",A761-Config!$B$1005,DATE(1900,1,1)),$I$2:$I$1000,1)))))</f>
        <v>#ERROR!</v>
      </c>
      <c r="H761" s="39"/>
      <c r="I761" s="39">
        <f t="shared" si="1"/>
        <v>1</v>
      </c>
      <c r="J761" s="39" t="str">
        <f t="shared" si="2"/>
        <v/>
      </c>
      <c r="K761" s="39" t="str">
        <f t="array" ref="K761">IF(J761="","",IF(XLOOKUP(J761,Strike_Review_Queue!$I:$I,Strike_Review_Queue!$J:$J,"")="Approve","Approved",IF(XLOOKUP(J761,Strike_Review_Queue!$I:$I,Strike_Review_Queue!$J:$J,"")="Deny","Counts",H761)))</f>
        <v/>
      </c>
      <c r="L761" s="39" t="str">
        <f t="array" ref="L761">IF(J761="","",XLOOKUP(J761,Strike_Review_Queue!$I:$I,Strike_Review_Queue!$L:$L,""))</f>
        <v/>
      </c>
      <c r="M761" s="39" t="str">
        <f t="array" ref="M761">IF(J761="","",XLOOKUP(J761,Strike_Review_Queue!$I:$I,Strike_Review_Queue!$M:$M,""))</f>
        <v/>
      </c>
    </row>
    <row r="762" ht="15.75" customHeight="1">
      <c r="C762" s="39"/>
      <c r="D762" s="39" t="str">
        <f>IF(OR(B762="",A762=""),"",MAX(0,MIN(3,SUMIFS($C$2:$C$1000,$B$2:$B$1000,B762,$A$2:$A$1000,"&lt;="&amp;A762,$A$2:$A$1000,"&gt;="&amp;IF(Config!$B$1004="Y",A762-Config!$B$1005,DATE(1900,1,1)),$I$2:$I$1000,1)))))</f>
        <v>#ERROR!</v>
      </c>
      <c r="H762" s="39"/>
      <c r="I762" s="39">
        <f t="shared" si="1"/>
        <v>1</v>
      </c>
      <c r="J762" s="39" t="str">
        <f t="shared" si="2"/>
        <v/>
      </c>
      <c r="K762" s="39" t="str">
        <f t="array" ref="K762">IF(J762="","",IF(XLOOKUP(J762,Strike_Review_Queue!$I:$I,Strike_Review_Queue!$J:$J,"")="Approve","Approved",IF(XLOOKUP(J762,Strike_Review_Queue!$I:$I,Strike_Review_Queue!$J:$J,"")="Deny","Counts",H762)))</f>
        <v/>
      </c>
      <c r="L762" s="39" t="str">
        <f t="array" ref="L762">IF(J762="","",XLOOKUP(J762,Strike_Review_Queue!$I:$I,Strike_Review_Queue!$L:$L,""))</f>
        <v/>
      </c>
      <c r="M762" s="39" t="str">
        <f t="array" ref="M762">IF(J762="","",XLOOKUP(J762,Strike_Review_Queue!$I:$I,Strike_Review_Queue!$M:$M,""))</f>
        <v/>
      </c>
    </row>
    <row r="763" ht="15.75" customHeight="1">
      <c r="C763" s="39"/>
      <c r="D763" s="39" t="str">
        <f>IF(OR(B763="",A763=""),"",MAX(0,MIN(3,SUMIFS($C$2:$C$1000,$B$2:$B$1000,B763,$A$2:$A$1000,"&lt;="&amp;A763,$A$2:$A$1000,"&gt;="&amp;IF(Config!$B$1004="Y",A763-Config!$B$1005,DATE(1900,1,1)),$I$2:$I$1000,1)))))</f>
        <v>#ERROR!</v>
      </c>
      <c r="H763" s="39"/>
      <c r="I763" s="39">
        <f t="shared" si="1"/>
        <v>1</v>
      </c>
      <c r="J763" s="39" t="str">
        <f t="shared" si="2"/>
        <v/>
      </c>
      <c r="K763" s="39" t="str">
        <f t="array" ref="K763">IF(J763="","",IF(XLOOKUP(J763,Strike_Review_Queue!$I:$I,Strike_Review_Queue!$J:$J,"")="Approve","Approved",IF(XLOOKUP(J763,Strike_Review_Queue!$I:$I,Strike_Review_Queue!$J:$J,"")="Deny","Counts",H763)))</f>
        <v/>
      </c>
      <c r="L763" s="39" t="str">
        <f t="array" ref="L763">IF(J763="","",XLOOKUP(J763,Strike_Review_Queue!$I:$I,Strike_Review_Queue!$L:$L,""))</f>
        <v/>
      </c>
      <c r="M763" s="39" t="str">
        <f t="array" ref="M763">IF(J763="","",XLOOKUP(J763,Strike_Review_Queue!$I:$I,Strike_Review_Queue!$M:$M,""))</f>
        <v/>
      </c>
    </row>
    <row r="764" ht="15.75" customHeight="1">
      <c r="C764" s="39"/>
      <c r="D764" s="39" t="str">
        <f>IF(OR(B764="",A764=""),"",MAX(0,MIN(3,SUMIFS($C$2:$C$1000,$B$2:$B$1000,B764,$A$2:$A$1000,"&lt;="&amp;A764,$A$2:$A$1000,"&gt;="&amp;IF(Config!$B$1004="Y",A764-Config!$B$1005,DATE(1900,1,1)),$I$2:$I$1000,1)))))</f>
        <v>#ERROR!</v>
      </c>
      <c r="H764" s="39"/>
      <c r="I764" s="39">
        <f t="shared" si="1"/>
        <v>1</v>
      </c>
      <c r="J764" s="39" t="str">
        <f t="shared" si="2"/>
        <v/>
      </c>
      <c r="K764" s="39" t="str">
        <f t="array" ref="K764">IF(J764="","",IF(XLOOKUP(J764,Strike_Review_Queue!$I:$I,Strike_Review_Queue!$J:$J,"")="Approve","Approved",IF(XLOOKUP(J764,Strike_Review_Queue!$I:$I,Strike_Review_Queue!$J:$J,"")="Deny","Counts",H764)))</f>
        <v/>
      </c>
      <c r="L764" s="39" t="str">
        <f t="array" ref="L764">IF(J764="","",XLOOKUP(J764,Strike_Review_Queue!$I:$I,Strike_Review_Queue!$L:$L,""))</f>
        <v/>
      </c>
      <c r="M764" s="39" t="str">
        <f t="array" ref="M764">IF(J764="","",XLOOKUP(J764,Strike_Review_Queue!$I:$I,Strike_Review_Queue!$M:$M,""))</f>
        <v/>
      </c>
    </row>
    <row r="765" ht="15.75" customHeight="1">
      <c r="C765" s="39"/>
      <c r="D765" s="39" t="str">
        <f>IF(OR(B765="",A765=""),"",MAX(0,MIN(3,SUMIFS($C$2:$C$1000,$B$2:$B$1000,B765,$A$2:$A$1000,"&lt;="&amp;A765,$A$2:$A$1000,"&gt;="&amp;IF(Config!$B$1004="Y",A765-Config!$B$1005,DATE(1900,1,1)),$I$2:$I$1000,1)))))</f>
        <v>#ERROR!</v>
      </c>
      <c r="H765" s="39"/>
      <c r="I765" s="39">
        <f t="shared" si="1"/>
        <v>1</v>
      </c>
      <c r="J765" s="39" t="str">
        <f t="shared" si="2"/>
        <v/>
      </c>
      <c r="K765" s="39" t="str">
        <f t="array" ref="K765">IF(J765="","",IF(XLOOKUP(J765,Strike_Review_Queue!$I:$I,Strike_Review_Queue!$J:$J,"")="Approve","Approved",IF(XLOOKUP(J765,Strike_Review_Queue!$I:$I,Strike_Review_Queue!$J:$J,"")="Deny","Counts",H765)))</f>
        <v/>
      </c>
      <c r="L765" s="39" t="str">
        <f t="array" ref="L765">IF(J765="","",XLOOKUP(J765,Strike_Review_Queue!$I:$I,Strike_Review_Queue!$L:$L,""))</f>
        <v/>
      </c>
      <c r="M765" s="39" t="str">
        <f t="array" ref="M765">IF(J765="","",XLOOKUP(J765,Strike_Review_Queue!$I:$I,Strike_Review_Queue!$M:$M,""))</f>
        <v/>
      </c>
    </row>
    <row r="766" ht="15.75" customHeight="1">
      <c r="C766" s="39"/>
      <c r="D766" s="39" t="str">
        <f>IF(OR(B766="",A766=""),"",MAX(0,MIN(3,SUMIFS($C$2:$C$1000,$B$2:$B$1000,B766,$A$2:$A$1000,"&lt;="&amp;A766,$A$2:$A$1000,"&gt;="&amp;IF(Config!$B$1004="Y",A766-Config!$B$1005,DATE(1900,1,1)),$I$2:$I$1000,1)))))</f>
        <v>#ERROR!</v>
      </c>
      <c r="H766" s="39"/>
      <c r="I766" s="39">
        <f t="shared" si="1"/>
        <v>1</v>
      </c>
      <c r="J766" s="39" t="str">
        <f t="shared" si="2"/>
        <v/>
      </c>
      <c r="K766" s="39" t="str">
        <f t="array" ref="K766">IF(J766="","",IF(XLOOKUP(J766,Strike_Review_Queue!$I:$I,Strike_Review_Queue!$J:$J,"")="Approve","Approved",IF(XLOOKUP(J766,Strike_Review_Queue!$I:$I,Strike_Review_Queue!$J:$J,"")="Deny","Counts",H766)))</f>
        <v/>
      </c>
      <c r="L766" s="39" t="str">
        <f t="array" ref="L766">IF(J766="","",XLOOKUP(J766,Strike_Review_Queue!$I:$I,Strike_Review_Queue!$L:$L,""))</f>
        <v/>
      </c>
      <c r="M766" s="39" t="str">
        <f t="array" ref="M766">IF(J766="","",XLOOKUP(J766,Strike_Review_Queue!$I:$I,Strike_Review_Queue!$M:$M,""))</f>
        <v/>
      </c>
    </row>
    <row r="767" ht="15.75" customHeight="1">
      <c r="C767" s="39"/>
      <c r="D767" s="39" t="str">
        <f>IF(OR(B767="",A767=""),"",MAX(0,MIN(3,SUMIFS($C$2:$C$1000,$B$2:$B$1000,B767,$A$2:$A$1000,"&lt;="&amp;A767,$A$2:$A$1000,"&gt;="&amp;IF(Config!$B$1004="Y",A767-Config!$B$1005,DATE(1900,1,1)),$I$2:$I$1000,1)))))</f>
        <v>#ERROR!</v>
      </c>
      <c r="H767" s="39"/>
      <c r="I767" s="39">
        <f t="shared" si="1"/>
        <v>1</v>
      </c>
      <c r="J767" s="39" t="str">
        <f t="shared" si="2"/>
        <v/>
      </c>
      <c r="K767" s="39" t="str">
        <f t="array" ref="K767">IF(J767="","",IF(XLOOKUP(J767,Strike_Review_Queue!$I:$I,Strike_Review_Queue!$J:$J,"")="Approve","Approved",IF(XLOOKUP(J767,Strike_Review_Queue!$I:$I,Strike_Review_Queue!$J:$J,"")="Deny","Counts",H767)))</f>
        <v/>
      </c>
      <c r="L767" s="39" t="str">
        <f t="array" ref="L767">IF(J767="","",XLOOKUP(J767,Strike_Review_Queue!$I:$I,Strike_Review_Queue!$L:$L,""))</f>
        <v/>
      </c>
      <c r="M767" s="39" t="str">
        <f t="array" ref="M767">IF(J767="","",XLOOKUP(J767,Strike_Review_Queue!$I:$I,Strike_Review_Queue!$M:$M,""))</f>
        <v/>
      </c>
    </row>
    <row r="768" ht="15.75" customHeight="1">
      <c r="C768" s="39"/>
      <c r="D768" s="39" t="str">
        <f>IF(OR(B768="",A768=""),"",MAX(0,MIN(3,SUMIFS($C$2:$C$1000,$B$2:$B$1000,B768,$A$2:$A$1000,"&lt;="&amp;A768,$A$2:$A$1000,"&gt;="&amp;IF(Config!$B$1004="Y",A768-Config!$B$1005,DATE(1900,1,1)),$I$2:$I$1000,1)))))</f>
        <v>#ERROR!</v>
      </c>
      <c r="H768" s="39"/>
      <c r="I768" s="39">
        <f t="shared" si="1"/>
        <v>1</v>
      </c>
      <c r="J768" s="39" t="str">
        <f t="shared" si="2"/>
        <v/>
      </c>
      <c r="K768" s="39" t="str">
        <f t="array" ref="K768">IF(J768="","",IF(XLOOKUP(J768,Strike_Review_Queue!$I:$I,Strike_Review_Queue!$J:$J,"")="Approve","Approved",IF(XLOOKUP(J768,Strike_Review_Queue!$I:$I,Strike_Review_Queue!$J:$J,"")="Deny","Counts",H768)))</f>
        <v/>
      </c>
      <c r="L768" s="39" t="str">
        <f t="array" ref="L768">IF(J768="","",XLOOKUP(J768,Strike_Review_Queue!$I:$I,Strike_Review_Queue!$L:$L,""))</f>
        <v/>
      </c>
      <c r="M768" s="39" t="str">
        <f t="array" ref="M768">IF(J768="","",XLOOKUP(J768,Strike_Review_Queue!$I:$I,Strike_Review_Queue!$M:$M,""))</f>
        <v/>
      </c>
    </row>
    <row r="769" ht="15.75" customHeight="1">
      <c r="C769" s="39"/>
      <c r="D769" s="39" t="str">
        <f>IF(OR(B769="",A769=""),"",MAX(0,MIN(3,SUMIFS($C$2:$C$1000,$B$2:$B$1000,B769,$A$2:$A$1000,"&lt;="&amp;A769,$A$2:$A$1000,"&gt;="&amp;IF(Config!$B$1004="Y",A769-Config!$B$1005,DATE(1900,1,1)),$I$2:$I$1000,1)))))</f>
        <v>#ERROR!</v>
      </c>
      <c r="H769" s="39"/>
      <c r="I769" s="39">
        <f t="shared" si="1"/>
        <v>1</v>
      </c>
      <c r="J769" s="39" t="str">
        <f t="shared" si="2"/>
        <v/>
      </c>
      <c r="K769" s="39" t="str">
        <f t="array" ref="K769">IF(J769="","",IF(XLOOKUP(J769,Strike_Review_Queue!$I:$I,Strike_Review_Queue!$J:$J,"")="Approve","Approved",IF(XLOOKUP(J769,Strike_Review_Queue!$I:$I,Strike_Review_Queue!$J:$J,"")="Deny","Counts",H769)))</f>
        <v/>
      </c>
      <c r="L769" s="39" t="str">
        <f t="array" ref="L769">IF(J769="","",XLOOKUP(J769,Strike_Review_Queue!$I:$I,Strike_Review_Queue!$L:$L,""))</f>
        <v/>
      </c>
      <c r="M769" s="39" t="str">
        <f t="array" ref="M769">IF(J769="","",XLOOKUP(J769,Strike_Review_Queue!$I:$I,Strike_Review_Queue!$M:$M,""))</f>
        <v/>
      </c>
    </row>
    <row r="770" ht="15.75" customHeight="1">
      <c r="C770" s="39"/>
      <c r="D770" s="39" t="str">
        <f>IF(OR(B770="",A770=""),"",MAX(0,MIN(3,SUMIFS($C$2:$C$1000,$B$2:$B$1000,B770,$A$2:$A$1000,"&lt;="&amp;A770,$A$2:$A$1000,"&gt;="&amp;IF(Config!$B$1004="Y",A770-Config!$B$1005,DATE(1900,1,1)),$I$2:$I$1000,1)))))</f>
        <v>#ERROR!</v>
      </c>
      <c r="H770" s="39"/>
      <c r="I770" s="39">
        <f t="shared" si="1"/>
        <v>1</v>
      </c>
      <c r="J770" s="39" t="str">
        <f t="shared" si="2"/>
        <v/>
      </c>
      <c r="K770" s="39" t="str">
        <f t="array" ref="K770">IF(J770="","",IF(XLOOKUP(J770,Strike_Review_Queue!$I:$I,Strike_Review_Queue!$J:$J,"")="Approve","Approved",IF(XLOOKUP(J770,Strike_Review_Queue!$I:$I,Strike_Review_Queue!$J:$J,"")="Deny","Counts",H770)))</f>
        <v/>
      </c>
      <c r="L770" s="39" t="str">
        <f t="array" ref="L770">IF(J770="","",XLOOKUP(J770,Strike_Review_Queue!$I:$I,Strike_Review_Queue!$L:$L,""))</f>
        <v/>
      </c>
      <c r="M770" s="39" t="str">
        <f t="array" ref="M770">IF(J770="","",XLOOKUP(J770,Strike_Review_Queue!$I:$I,Strike_Review_Queue!$M:$M,""))</f>
        <v/>
      </c>
    </row>
    <row r="771" ht="15.75" customHeight="1">
      <c r="C771" s="39"/>
      <c r="D771" s="39" t="str">
        <f>IF(OR(B771="",A771=""),"",MAX(0,MIN(3,SUMIFS($C$2:$C$1000,$B$2:$B$1000,B771,$A$2:$A$1000,"&lt;="&amp;A771,$A$2:$A$1000,"&gt;="&amp;IF(Config!$B$1004="Y",A771-Config!$B$1005,DATE(1900,1,1)),$I$2:$I$1000,1)))))</f>
        <v>#ERROR!</v>
      </c>
      <c r="H771" s="39"/>
      <c r="I771" s="39">
        <f t="shared" si="1"/>
        <v>1</v>
      </c>
      <c r="J771" s="39" t="str">
        <f t="shared" si="2"/>
        <v/>
      </c>
      <c r="K771" s="39" t="str">
        <f t="array" ref="K771">IF(J771="","",IF(XLOOKUP(J771,Strike_Review_Queue!$I:$I,Strike_Review_Queue!$J:$J,"")="Approve","Approved",IF(XLOOKUP(J771,Strike_Review_Queue!$I:$I,Strike_Review_Queue!$J:$J,"")="Deny","Counts",H771)))</f>
        <v/>
      </c>
      <c r="L771" s="39" t="str">
        <f t="array" ref="L771">IF(J771="","",XLOOKUP(J771,Strike_Review_Queue!$I:$I,Strike_Review_Queue!$L:$L,""))</f>
        <v/>
      </c>
      <c r="M771" s="39" t="str">
        <f t="array" ref="M771">IF(J771="","",XLOOKUP(J771,Strike_Review_Queue!$I:$I,Strike_Review_Queue!$M:$M,""))</f>
        <v/>
      </c>
    </row>
    <row r="772" ht="15.75" customHeight="1">
      <c r="C772" s="39"/>
      <c r="D772" s="39" t="str">
        <f>IF(OR(B772="",A772=""),"",MAX(0,MIN(3,SUMIFS($C$2:$C$1000,$B$2:$B$1000,B772,$A$2:$A$1000,"&lt;="&amp;A772,$A$2:$A$1000,"&gt;="&amp;IF(Config!$B$1004="Y",A772-Config!$B$1005,DATE(1900,1,1)),$I$2:$I$1000,1)))))</f>
        <v>#ERROR!</v>
      </c>
      <c r="H772" s="39"/>
      <c r="I772" s="39">
        <f t="shared" si="1"/>
        <v>1</v>
      </c>
      <c r="J772" s="39" t="str">
        <f t="shared" si="2"/>
        <v/>
      </c>
      <c r="K772" s="39" t="str">
        <f t="array" ref="K772">IF(J772="","",IF(XLOOKUP(J772,Strike_Review_Queue!$I:$I,Strike_Review_Queue!$J:$J,"")="Approve","Approved",IF(XLOOKUP(J772,Strike_Review_Queue!$I:$I,Strike_Review_Queue!$J:$J,"")="Deny","Counts",H772)))</f>
        <v/>
      </c>
      <c r="L772" s="39" t="str">
        <f t="array" ref="L772">IF(J772="","",XLOOKUP(J772,Strike_Review_Queue!$I:$I,Strike_Review_Queue!$L:$L,""))</f>
        <v/>
      </c>
      <c r="M772" s="39" t="str">
        <f t="array" ref="M772">IF(J772="","",XLOOKUP(J772,Strike_Review_Queue!$I:$I,Strike_Review_Queue!$M:$M,""))</f>
        <v/>
      </c>
    </row>
    <row r="773" ht="15.75" customHeight="1">
      <c r="C773" s="39"/>
      <c r="D773" s="39" t="str">
        <f>IF(OR(B773="",A773=""),"",MAX(0,MIN(3,SUMIFS($C$2:$C$1000,$B$2:$B$1000,B773,$A$2:$A$1000,"&lt;="&amp;A773,$A$2:$A$1000,"&gt;="&amp;IF(Config!$B$1004="Y",A773-Config!$B$1005,DATE(1900,1,1)),$I$2:$I$1000,1)))))</f>
        <v>#ERROR!</v>
      </c>
      <c r="H773" s="39"/>
      <c r="I773" s="39">
        <f t="shared" si="1"/>
        <v>1</v>
      </c>
      <c r="J773" s="39" t="str">
        <f t="shared" si="2"/>
        <v/>
      </c>
      <c r="K773" s="39" t="str">
        <f t="array" ref="K773">IF(J773="","",IF(XLOOKUP(J773,Strike_Review_Queue!$I:$I,Strike_Review_Queue!$J:$J,"")="Approve","Approved",IF(XLOOKUP(J773,Strike_Review_Queue!$I:$I,Strike_Review_Queue!$J:$J,"")="Deny","Counts",H773)))</f>
        <v/>
      </c>
      <c r="L773" s="39" t="str">
        <f t="array" ref="L773">IF(J773="","",XLOOKUP(J773,Strike_Review_Queue!$I:$I,Strike_Review_Queue!$L:$L,""))</f>
        <v/>
      </c>
      <c r="M773" s="39" t="str">
        <f t="array" ref="M773">IF(J773="","",XLOOKUP(J773,Strike_Review_Queue!$I:$I,Strike_Review_Queue!$M:$M,""))</f>
        <v/>
      </c>
    </row>
    <row r="774" ht="15.75" customHeight="1">
      <c r="C774" s="39"/>
      <c r="D774" s="39" t="str">
        <f>IF(OR(B774="",A774=""),"",MAX(0,MIN(3,SUMIFS($C$2:$C$1000,$B$2:$B$1000,B774,$A$2:$A$1000,"&lt;="&amp;A774,$A$2:$A$1000,"&gt;="&amp;IF(Config!$B$1004="Y",A774-Config!$B$1005,DATE(1900,1,1)),$I$2:$I$1000,1)))))</f>
        <v>#ERROR!</v>
      </c>
      <c r="H774" s="39"/>
      <c r="I774" s="39">
        <f t="shared" si="1"/>
        <v>1</v>
      </c>
      <c r="J774" s="39" t="str">
        <f t="shared" si="2"/>
        <v/>
      </c>
      <c r="K774" s="39" t="str">
        <f t="array" ref="K774">IF(J774="","",IF(XLOOKUP(J774,Strike_Review_Queue!$I:$I,Strike_Review_Queue!$J:$J,"")="Approve","Approved",IF(XLOOKUP(J774,Strike_Review_Queue!$I:$I,Strike_Review_Queue!$J:$J,"")="Deny","Counts",H774)))</f>
        <v/>
      </c>
      <c r="L774" s="39" t="str">
        <f t="array" ref="L774">IF(J774="","",XLOOKUP(J774,Strike_Review_Queue!$I:$I,Strike_Review_Queue!$L:$L,""))</f>
        <v/>
      </c>
      <c r="M774" s="39" t="str">
        <f t="array" ref="M774">IF(J774="","",XLOOKUP(J774,Strike_Review_Queue!$I:$I,Strike_Review_Queue!$M:$M,""))</f>
        <v/>
      </c>
    </row>
    <row r="775" ht="15.75" customHeight="1">
      <c r="C775" s="39"/>
      <c r="D775" s="39" t="str">
        <f>IF(OR(B775="",A775=""),"",MAX(0,MIN(3,SUMIFS($C$2:$C$1000,$B$2:$B$1000,B775,$A$2:$A$1000,"&lt;="&amp;A775,$A$2:$A$1000,"&gt;="&amp;IF(Config!$B$1004="Y",A775-Config!$B$1005,DATE(1900,1,1)),$I$2:$I$1000,1)))))</f>
        <v>#ERROR!</v>
      </c>
      <c r="H775" s="39"/>
      <c r="I775" s="39">
        <f t="shared" si="1"/>
        <v>1</v>
      </c>
      <c r="J775" s="39" t="str">
        <f t="shared" si="2"/>
        <v/>
      </c>
      <c r="K775" s="39" t="str">
        <f t="array" ref="K775">IF(J775="","",IF(XLOOKUP(J775,Strike_Review_Queue!$I:$I,Strike_Review_Queue!$J:$J,"")="Approve","Approved",IF(XLOOKUP(J775,Strike_Review_Queue!$I:$I,Strike_Review_Queue!$J:$J,"")="Deny","Counts",H775)))</f>
        <v/>
      </c>
      <c r="L775" s="39" t="str">
        <f t="array" ref="L775">IF(J775="","",XLOOKUP(J775,Strike_Review_Queue!$I:$I,Strike_Review_Queue!$L:$L,""))</f>
        <v/>
      </c>
      <c r="M775" s="39" t="str">
        <f t="array" ref="M775">IF(J775="","",XLOOKUP(J775,Strike_Review_Queue!$I:$I,Strike_Review_Queue!$M:$M,""))</f>
        <v/>
      </c>
    </row>
    <row r="776" ht="15.75" customHeight="1">
      <c r="C776" s="39"/>
      <c r="D776" s="39" t="str">
        <f>IF(OR(B776="",A776=""),"",MAX(0,MIN(3,SUMIFS($C$2:$C$1000,$B$2:$B$1000,B776,$A$2:$A$1000,"&lt;="&amp;A776,$A$2:$A$1000,"&gt;="&amp;IF(Config!$B$1004="Y",A776-Config!$B$1005,DATE(1900,1,1)),$I$2:$I$1000,1)))))</f>
        <v>#ERROR!</v>
      </c>
      <c r="H776" s="39"/>
      <c r="I776" s="39">
        <f t="shared" si="1"/>
        <v>1</v>
      </c>
      <c r="J776" s="39" t="str">
        <f t="shared" si="2"/>
        <v/>
      </c>
      <c r="K776" s="39" t="str">
        <f t="array" ref="K776">IF(J776="","",IF(XLOOKUP(J776,Strike_Review_Queue!$I:$I,Strike_Review_Queue!$J:$J,"")="Approve","Approved",IF(XLOOKUP(J776,Strike_Review_Queue!$I:$I,Strike_Review_Queue!$J:$J,"")="Deny","Counts",H776)))</f>
        <v/>
      </c>
      <c r="L776" s="39" t="str">
        <f t="array" ref="L776">IF(J776="","",XLOOKUP(J776,Strike_Review_Queue!$I:$I,Strike_Review_Queue!$L:$L,""))</f>
        <v/>
      </c>
      <c r="M776" s="39" t="str">
        <f t="array" ref="M776">IF(J776="","",XLOOKUP(J776,Strike_Review_Queue!$I:$I,Strike_Review_Queue!$M:$M,""))</f>
        <v/>
      </c>
    </row>
    <row r="777" ht="15.75" customHeight="1">
      <c r="C777" s="39"/>
      <c r="D777" s="39" t="str">
        <f>IF(OR(B777="",A777=""),"",MAX(0,MIN(3,SUMIFS($C$2:$C$1000,$B$2:$B$1000,B777,$A$2:$A$1000,"&lt;="&amp;A777,$A$2:$A$1000,"&gt;="&amp;IF(Config!$B$1004="Y",A777-Config!$B$1005,DATE(1900,1,1)),$I$2:$I$1000,1)))))</f>
        <v>#ERROR!</v>
      </c>
      <c r="H777" s="39"/>
      <c r="I777" s="39">
        <f t="shared" si="1"/>
        <v>1</v>
      </c>
      <c r="J777" s="39" t="str">
        <f t="shared" si="2"/>
        <v/>
      </c>
      <c r="K777" s="39" t="str">
        <f t="array" ref="K777">IF(J777="","",IF(XLOOKUP(J777,Strike_Review_Queue!$I:$I,Strike_Review_Queue!$J:$J,"")="Approve","Approved",IF(XLOOKUP(J777,Strike_Review_Queue!$I:$I,Strike_Review_Queue!$J:$J,"")="Deny","Counts",H777)))</f>
        <v/>
      </c>
      <c r="L777" s="39" t="str">
        <f t="array" ref="L777">IF(J777="","",XLOOKUP(J777,Strike_Review_Queue!$I:$I,Strike_Review_Queue!$L:$L,""))</f>
        <v/>
      </c>
      <c r="M777" s="39" t="str">
        <f t="array" ref="M777">IF(J777="","",XLOOKUP(J777,Strike_Review_Queue!$I:$I,Strike_Review_Queue!$M:$M,""))</f>
        <v/>
      </c>
    </row>
    <row r="778" ht="15.75" customHeight="1">
      <c r="C778" s="39"/>
      <c r="D778" s="39" t="str">
        <f>IF(OR(B778="",A778=""),"",MAX(0,MIN(3,SUMIFS($C$2:$C$1000,$B$2:$B$1000,B778,$A$2:$A$1000,"&lt;="&amp;A778,$A$2:$A$1000,"&gt;="&amp;IF(Config!$B$1004="Y",A778-Config!$B$1005,DATE(1900,1,1)),$I$2:$I$1000,1)))))</f>
        <v>#ERROR!</v>
      </c>
      <c r="H778" s="39"/>
      <c r="I778" s="39">
        <f t="shared" si="1"/>
        <v>1</v>
      </c>
      <c r="J778" s="39" t="str">
        <f t="shared" si="2"/>
        <v/>
      </c>
      <c r="K778" s="39" t="str">
        <f t="array" ref="K778">IF(J778="","",IF(XLOOKUP(J778,Strike_Review_Queue!$I:$I,Strike_Review_Queue!$J:$J,"")="Approve","Approved",IF(XLOOKUP(J778,Strike_Review_Queue!$I:$I,Strike_Review_Queue!$J:$J,"")="Deny","Counts",H778)))</f>
        <v/>
      </c>
      <c r="L778" s="39" t="str">
        <f t="array" ref="L778">IF(J778="","",XLOOKUP(J778,Strike_Review_Queue!$I:$I,Strike_Review_Queue!$L:$L,""))</f>
        <v/>
      </c>
      <c r="M778" s="39" t="str">
        <f t="array" ref="M778">IF(J778="","",XLOOKUP(J778,Strike_Review_Queue!$I:$I,Strike_Review_Queue!$M:$M,""))</f>
        <v/>
      </c>
    </row>
    <row r="779" ht="15.75" customHeight="1">
      <c r="C779" s="39"/>
      <c r="D779" s="39" t="str">
        <f>IF(OR(B779="",A779=""),"",MAX(0,MIN(3,SUMIFS($C$2:$C$1000,$B$2:$B$1000,B779,$A$2:$A$1000,"&lt;="&amp;A779,$A$2:$A$1000,"&gt;="&amp;IF(Config!$B$1004="Y",A779-Config!$B$1005,DATE(1900,1,1)),$I$2:$I$1000,1)))))</f>
        <v>#ERROR!</v>
      </c>
      <c r="H779" s="39"/>
      <c r="I779" s="39">
        <f t="shared" si="1"/>
        <v>1</v>
      </c>
      <c r="J779" s="39" t="str">
        <f t="shared" si="2"/>
        <v/>
      </c>
      <c r="K779" s="39" t="str">
        <f t="array" ref="K779">IF(J779="","",IF(XLOOKUP(J779,Strike_Review_Queue!$I:$I,Strike_Review_Queue!$J:$J,"")="Approve","Approved",IF(XLOOKUP(J779,Strike_Review_Queue!$I:$I,Strike_Review_Queue!$J:$J,"")="Deny","Counts",H779)))</f>
        <v/>
      </c>
      <c r="L779" s="39" t="str">
        <f t="array" ref="L779">IF(J779="","",XLOOKUP(J779,Strike_Review_Queue!$I:$I,Strike_Review_Queue!$L:$L,""))</f>
        <v/>
      </c>
      <c r="M779" s="39" t="str">
        <f t="array" ref="M779">IF(J779="","",XLOOKUP(J779,Strike_Review_Queue!$I:$I,Strike_Review_Queue!$M:$M,""))</f>
        <v/>
      </c>
    </row>
    <row r="780" ht="15.75" customHeight="1">
      <c r="C780" s="39"/>
      <c r="D780" s="39" t="str">
        <f>IF(OR(B780="",A780=""),"",MAX(0,MIN(3,SUMIFS($C$2:$C$1000,$B$2:$B$1000,B780,$A$2:$A$1000,"&lt;="&amp;A780,$A$2:$A$1000,"&gt;="&amp;IF(Config!$B$1004="Y",A780-Config!$B$1005,DATE(1900,1,1)),$I$2:$I$1000,1)))))</f>
        <v>#ERROR!</v>
      </c>
      <c r="H780" s="39"/>
      <c r="I780" s="39">
        <f t="shared" si="1"/>
        <v>1</v>
      </c>
      <c r="J780" s="39" t="str">
        <f t="shared" si="2"/>
        <v/>
      </c>
      <c r="K780" s="39" t="str">
        <f t="array" ref="K780">IF(J780="","",IF(XLOOKUP(J780,Strike_Review_Queue!$I:$I,Strike_Review_Queue!$J:$J,"")="Approve","Approved",IF(XLOOKUP(J780,Strike_Review_Queue!$I:$I,Strike_Review_Queue!$J:$J,"")="Deny","Counts",H780)))</f>
        <v/>
      </c>
      <c r="L780" s="39" t="str">
        <f t="array" ref="L780">IF(J780="","",XLOOKUP(J780,Strike_Review_Queue!$I:$I,Strike_Review_Queue!$L:$L,""))</f>
        <v/>
      </c>
      <c r="M780" s="39" t="str">
        <f t="array" ref="M780">IF(J780="","",XLOOKUP(J780,Strike_Review_Queue!$I:$I,Strike_Review_Queue!$M:$M,""))</f>
        <v/>
      </c>
    </row>
    <row r="781" ht="15.75" customHeight="1">
      <c r="C781" s="39"/>
      <c r="D781" s="39" t="str">
        <f>IF(OR(B781="",A781=""),"",MAX(0,MIN(3,SUMIFS($C$2:$C$1000,$B$2:$B$1000,B781,$A$2:$A$1000,"&lt;="&amp;A781,$A$2:$A$1000,"&gt;="&amp;IF(Config!$B$1004="Y",A781-Config!$B$1005,DATE(1900,1,1)),$I$2:$I$1000,1)))))</f>
        <v>#ERROR!</v>
      </c>
      <c r="H781" s="39"/>
      <c r="I781" s="39">
        <f t="shared" si="1"/>
        <v>1</v>
      </c>
      <c r="J781" s="39" t="str">
        <f t="shared" si="2"/>
        <v/>
      </c>
      <c r="K781" s="39" t="str">
        <f t="array" ref="K781">IF(J781="","",IF(XLOOKUP(J781,Strike_Review_Queue!$I:$I,Strike_Review_Queue!$J:$J,"")="Approve","Approved",IF(XLOOKUP(J781,Strike_Review_Queue!$I:$I,Strike_Review_Queue!$J:$J,"")="Deny","Counts",H781)))</f>
        <v/>
      </c>
      <c r="L781" s="39" t="str">
        <f t="array" ref="L781">IF(J781="","",XLOOKUP(J781,Strike_Review_Queue!$I:$I,Strike_Review_Queue!$L:$L,""))</f>
        <v/>
      </c>
      <c r="M781" s="39" t="str">
        <f t="array" ref="M781">IF(J781="","",XLOOKUP(J781,Strike_Review_Queue!$I:$I,Strike_Review_Queue!$M:$M,""))</f>
        <v/>
      </c>
    </row>
    <row r="782" ht="15.75" customHeight="1">
      <c r="C782" s="39"/>
      <c r="D782" s="39" t="str">
        <f>IF(OR(B782="",A782=""),"",MAX(0,MIN(3,SUMIFS($C$2:$C$1000,$B$2:$B$1000,B782,$A$2:$A$1000,"&lt;="&amp;A782,$A$2:$A$1000,"&gt;="&amp;IF(Config!$B$1004="Y",A782-Config!$B$1005,DATE(1900,1,1)),$I$2:$I$1000,1)))))</f>
        <v>#ERROR!</v>
      </c>
      <c r="H782" s="39"/>
      <c r="I782" s="39">
        <f t="shared" si="1"/>
        <v>1</v>
      </c>
      <c r="J782" s="39" t="str">
        <f t="shared" si="2"/>
        <v/>
      </c>
      <c r="K782" s="39" t="str">
        <f t="array" ref="K782">IF(J782="","",IF(XLOOKUP(J782,Strike_Review_Queue!$I:$I,Strike_Review_Queue!$J:$J,"")="Approve","Approved",IF(XLOOKUP(J782,Strike_Review_Queue!$I:$I,Strike_Review_Queue!$J:$J,"")="Deny","Counts",H782)))</f>
        <v/>
      </c>
      <c r="L782" s="39" t="str">
        <f t="array" ref="L782">IF(J782="","",XLOOKUP(J782,Strike_Review_Queue!$I:$I,Strike_Review_Queue!$L:$L,""))</f>
        <v/>
      </c>
      <c r="M782" s="39" t="str">
        <f t="array" ref="M782">IF(J782="","",XLOOKUP(J782,Strike_Review_Queue!$I:$I,Strike_Review_Queue!$M:$M,""))</f>
        <v/>
      </c>
    </row>
    <row r="783" ht="15.75" customHeight="1">
      <c r="C783" s="39"/>
      <c r="D783" s="39" t="str">
        <f>IF(OR(B783="",A783=""),"",MAX(0,MIN(3,SUMIFS($C$2:$C$1000,$B$2:$B$1000,B783,$A$2:$A$1000,"&lt;="&amp;A783,$A$2:$A$1000,"&gt;="&amp;IF(Config!$B$1004="Y",A783-Config!$B$1005,DATE(1900,1,1)),$I$2:$I$1000,1)))))</f>
        <v>#ERROR!</v>
      </c>
      <c r="H783" s="39"/>
      <c r="I783" s="39">
        <f t="shared" si="1"/>
        <v>1</v>
      </c>
      <c r="J783" s="39" t="str">
        <f t="shared" si="2"/>
        <v/>
      </c>
      <c r="K783" s="39" t="str">
        <f t="array" ref="K783">IF(J783="","",IF(XLOOKUP(J783,Strike_Review_Queue!$I:$I,Strike_Review_Queue!$J:$J,"")="Approve","Approved",IF(XLOOKUP(J783,Strike_Review_Queue!$I:$I,Strike_Review_Queue!$J:$J,"")="Deny","Counts",H783)))</f>
        <v/>
      </c>
      <c r="L783" s="39" t="str">
        <f t="array" ref="L783">IF(J783="","",XLOOKUP(J783,Strike_Review_Queue!$I:$I,Strike_Review_Queue!$L:$L,""))</f>
        <v/>
      </c>
      <c r="M783" s="39" t="str">
        <f t="array" ref="M783">IF(J783="","",XLOOKUP(J783,Strike_Review_Queue!$I:$I,Strike_Review_Queue!$M:$M,""))</f>
        <v/>
      </c>
    </row>
    <row r="784" ht="15.75" customHeight="1">
      <c r="C784" s="39"/>
      <c r="D784" s="39" t="str">
        <f>IF(OR(B784="",A784=""),"",MAX(0,MIN(3,SUMIFS($C$2:$C$1000,$B$2:$B$1000,B784,$A$2:$A$1000,"&lt;="&amp;A784,$A$2:$A$1000,"&gt;="&amp;IF(Config!$B$1004="Y",A784-Config!$B$1005,DATE(1900,1,1)),$I$2:$I$1000,1)))))</f>
        <v>#ERROR!</v>
      </c>
      <c r="H784" s="39"/>
      <c r="I784" s="39">
        <f t="shared" si="1"/>
        <v>1</v>
      </c>
      <c r="J784" s="39" t="str">
        <f t="shared" si="2"/>
        <v/>
      </c>
      <c r="K784" s="39" t="str">
        <f t="array" ref="K784">IF(J784="","",IF(XLOOKUP(J784,Strike_Review_Queue!$I:$I,Strike_Review_Queue!$J:$J,"")="Approve","Approved",IF(XLOOKUP(J784,Strike_Review_Queue!$I:$I,Strike_Review_Queue!$J:$J,"")="Deny","Counts",H784)))</f>
        <v/>
      </c>
      <c r="L784" s="39" t="str">
        <f t="array" ref="L784">IF(J784="","",XLOOKUP(J784,Strike_Review_Queue!$I:$I,Strike_Review_Queue!$L:$L,""))</f>
        <v/>
      </c>
      <c r="M784" s="39" t="str">
        <f t="array" ref="M784">IF(J784="","",XLOOKUP(J784,Strike_Review_Queue!$I:$I,Strike_Review_Queue!$M:$M,""))</f>
        <v/>
      </c>
    </row>
    <row r="785" ht="15.75" customHeight="1">
      <c r="C785" s="39"/>
      <c r="D785" s="39" t="str">
        <f>IF(OR(B785="",A785=""),"",MAX(0,MIN(3,SUMIFS($C$2:$C$1000,$B$2:$B$1000,B785,$A$2:$A$1000,"&lt;="&amp;A785,$A$2:$A$1000,"&gt;="&amp;IF(Config!$B$1004="Y",A785-Config!$B$1005,DATE(1900,1,1)),$I$2:$I$1000,1)))))</f>
        <v>#ERROR!</v>
      </c>
      <c r="H785" s="39"/>
      <c r="I785" s="39">
        <f t="shared" si="1"/>
        <v>1</v>
      </c>
      <c r="J785" s="39" t="str">
        <f t="shared" si="2"/>
        <v/>
      </c>
      <c r="K785" s="39" t="str">
        <f t="array" ref="K785">IF(J785="","",IF(XLOOKUP(J785,Strike_Review_Queue!$I:$I,Strike_Review_Queue!$J:$J,"")="Approve","Approved",IF(XLOOKUP(J785,Strike_Review_Queue!$I:$I,Strike_Review_Queue!$J:$J,"")="Deny","Counts",H785)))</f>
        <v/>
      </c>
      <c r="L785" s="39" t="str">
        <f t="array" ref="L785">IF(J785="","",XLOOKUP(J785,Strike_Review_Queue!$I:$I,Strike_Review_Queue!$L:$L,""))</f>
        <v/>
      </c>
      <c r="M785" s="39" t="str">
        <f t="array" ref="M785">IF(J785="","",XLOOKUP(J785,Strike_Review_Queue!$I:$I,Strike_Review_Queue!$M:$M,""))</f>
        <v/>
      </c>
    </row>
    <row r="786" ht="15.75" customHeight="1">
      <c r="C786" s="39"/>
      <c r="D786" s="39" t="str">
        <f>IF(OR(B786="",A786=""),"",MAX(0,MIN(3,SUMIFS($C$2:$C$1000,$B$2:$B$1000,B786,$A$2:$A$1000,"&lt;="&amp;A786,$A$2:$A$1000,"&gt;="&amp;IF(Config!$B$1004="Y",A786-Config!$B$1005,DATE(1900,1,1)),$I$2:$I$1000,1)))))</f>
        <v>#ERROR!</v>
      </c>
      <c r="H786" s="39"/>
      <c r="I786" s="39">
        <f t="shared" si="1"/>
        <v>1</v>
      </c>
      <c r="J786" s="39" t="str">
        <f t="shared" si="2"/>
        <v/>
      </c>
      <c r="K786" s="39" t="str">
        <f t="array" ref="K786">IF(J786="","",IF(XLOOKUP(J786,Strike_Review_Queue!$I:$I,Strike_Review_Queue!$J:$J,"")="Approve","Approved",IF(XLOOKUP(J786,Strike_Review_Queue!$I:$I,Strike_Review_Queue!$J:$J,"")="Deny","Counts",H786)))</f>
        <v/>
      </c>
      <c r="L786" s="39" t="str">
        <f t="array" ref="L786">IF(J786="","",XLOOKUP(J786,Strike_Review_Queue!$I:$I,Strike_Review_Queue!$L:$L,""))</f>
        <v/>
      </c>
      <c r="M786" s="39" t="str">
        <f t="array" ref="M786">IF(J786="","",XLOOKUP(J786,Strike_Review_Queue!$I:$I,Strike_Review_Queue!$M:$M,""))</f>
        <v/>
      </c>
    </row>
    <row r="787" ht="15.75" customHeight="1">
      <c r="C787" s="39"/>
      <c r="D787" s="39" t="str">
        <f>IF(OR(B787="",A787=""),"",MAX(0,MIN(3,SUMIFS($C$2:$C$1000,$B$2:$B$1000,B787,$A$2:$A$1000,"&lt;="&amp;A787,$A$2:$A$1000,"&gt;="&amp;IF(Config!$B$1004="Y",A787-Config!$B$1005,DATE(1900,1,1)),$I$2:$I$1000,1)))))</f>
        <v>#ERROR!</v>
      </c>
      <c r="H787" s="39"/>
      <c r="I787" s="39">
        <f t="shared" si="1"/>
        <v>1</v>
      </c>
      <c r="J787" s="39" t="str">
        <f t="shared" si="2"/>
        <v/>
      </c>
      <c r="K787" s="39" t="str">
        <f t="array" ref="K787">IF(J787="","",IF(XLOOKUP(J787,Strike_Review_Queue!$I:$I,Strike_Review_Queue!$J:$J,"")="Approve","Approved",IF(XLOOKUP(J787,Strike_Review_Queue!$I:$I,Strike_Review_Queue!$J:$J,"")="Deny","Counts",H787)))</f>
        <v/>
      </c>
      <c r="L787" s="39" t="str">
        <f t="array" ref="L787">IF(J787="","",XLOOKUP(J787,Strike_Review_Queue!$I:$I,Strike_Review_Queue!$L:$L,""))</f>
        <v/>
      </c>
      <c r="M787" s="39" t="str">
        <f t="array" ref="M787">IF(J787="","",XLOOKUP(J787,Strike_Review_Queue!$I:$I,Strike_Review_Queue!$M:$M,""))</f>
        <v/>
      </c>
    </row>
    <row r="788" ht="15.75" customHeight="1">
      <c r="C788" s="39"/>
      <c r="D788" s="39" t="str">
        <f>IF(OR(B788="",A788=""),"",MAX(0,MIN(3,SUMIFS($C$2:$C$1000,$B$2:$B$1000,B788,$A$2:$A$1000,"&lt;="&amp;A788,$A$2:$A$1000,"&gt;="&amp;IF(Config!$B$1004="Y",A788-Config!$B$1005,DATE(1900,1,1)),$I$2:$I$1000,1)))))</f>
        <v>#ERROR!</v>
      </c>
      <c r="H788" s="39"/>
      <c r="I788" s="39">
        <f t="shared" si="1"/>
        <v>1</v>
      </c>
      <c r="J788" s="39" t="str">
        <f t="shared" si="2"/>
        <v/>
      </c>
      <c r="K788" s="39" t="str">
        <f t="array" ref="K788">IF(J788="","",IF(XLOOKUP(J788,Strike_Review_Queue!$I:$I,Strike_Review_Queue!$J:$J,"")="Approve","Approved",IF(XLOOKUP(J788,Strike_Review_Queue!$I:$I,Strike_Review_Queue!$J:$J,"")="Deny","Counts",H788)))</f>
        <v/>
      </c>
      <c r="L788" s="39" t="str">
        <f t="array" ref="L788">IF(J788="","",XLOOKUP(J788,Strike_Review_Queue!$I:$I,Strike_Review_Queue!$L:$L,""))</f>
        <v/>
      </c>
      <c r="M788" s="39" t="str">
        <f t="array" ref="M788">IF(J788="","",XLOOKUP(J788,Strike_Review_Queue!$I:$I,Strike_Review_Queue!$M:$M,""))</f>
        <v/>
      </c>
    </row>
    <row r="789" ht="15.75" customHeight="1">
      <c r="C789" s="39"/>
      <c r="D789" s="39" t="str">
        <f>IF(OR(B789="",A789=""),"",MAX(0,MIN(3,SUMIFS($C$2:$C$1000,$B$2:$B$1000,B789,$A$2:$A$1000,"&lt;="&amp;A789,$A$2:$A$1000,"&gt;="&amp;IF(Config!$B$1004="Y",A789-Config!$B$1005,DATE(1900,1,1)),$I$2:$I$1000,1)))))</f>
        <v>#ERROR!</v>
      </c>
      <c r="H789" s="39"/>
      <c r="I789" s="39">
        <f t="shared" si="1"/>
        <v>1</v>
      </c>
      <c r="J789" s="39" t="str">
        <f t="shared" si="2"/>
        <v/>
      </c>
      <c r="K789" s="39" t="str">
        <f t="array" ref="K789">IF(J789="","",IF(XLOOKUP(J789,Strike_Review_Queue!$I:$I,Strike_Review_Queue!$J:$J,"")="Approve","Approved",IF(XLOOKUP(J789,Strike_Review_Queue!$I:$I,Strike_Review_Queue!$J:$J,"")="Deny","Counts",H789)))</f>
        <v/>
      </c>
      <c r="L789" s="39" t="str">
        <f t="array" ref="L789">IF(J789="","",XLOOKUP(J789,Strike_Review_Queue!$I:$I,Strike_Review_Queue!$L:$L,""))</f>
        <v/>
      </c>
      <c r="M789" s="39" t="str">
        <f t="array" ref="M789">IF(J789="","",XLOOKUP(J789,Strike_Review_Queue!$I:$I,Strike_Review_Queue!$M:$M,""))</f>
        <v/>
      </c>
    </row>
    <row r="790" ht="15.75" customHeight="1">
      <c r="C790" s="39"/>
      <c r="D790" s="39" t="str">
        <f>IF(OR(B790="",A790=""),"",MAX(0,MIN(3,SUMIFS($C$2:$C$1000,$B$2:$B$1000,B790,$A$2:$A$1000,"&lt;="&amp;A790,$A$2:$A$1000,"&gt;="&amp;IF(Config!$B$1004="Y",A790-Config!$B$1005,DATE(1900,1,1)),$I$2:$I$1000,1)))))</f>
        <v>#ERROR!</v>
      </c>
      <c r="H790" s="39"/>
      <c r="I790" s="39">
        <f t="shared" si="1"/>
        <v>1</v>
      </c>
      <c r="J790" s="39" t="str">
        <f t="shared" si="2"/>
        <v/>
      </c>
      <c r="K790" s="39" t="str">
        <f t="array" ref="K790">IF(J790="","",IF(XLOOKUP(J790,Strike_Review_Queue!$I:$I,Strike_Review_Queue!$J:$J,"")="Approve","Approved",IF(XLOOKUP(J790,Strike_Review_Queue!$I:$I,Strike_Review_Queue!$J:$J,"")="Deny","Counts",H790)))</f>
        <v/>
      </c>
      <c r="L790" s="39" t="str">
        <f t="array" ref="L790">IF(J790="","",XLOOKUP(J790,Strike_Review_Queue!$I:$I,Strike_Review_Queue!$L:$L,""))</f>
        <v/>
      </c>
      <c r="M790" s="39" t="str">
        <f t="array" ref="M790">IF(J790="","",XLOOKUP(J790,Strike_Review_Queue!$I:$I,Strike_Review_Queue!$M:$M,""))</f>
        <v/>
      </c>
    </row>
    <row r="791" ht="15.75" customHeight="1">
      <c r="C791" s="39"/>
      <c r="D791" s="39" t="str">
        <f>IF(OR(B791="",A791=""),"",MAX(0,MIN(3,SUMIFS($C$2:$C$1000,$B$2:$B$1000,B791,$A$2:$A$1000,"&lt;="&amp;A791,$A$2:$A$1000,"&gt;="&amp;IF(Config!$B$1004="Y",A791-Config!$B$1005,DATE(1900,1,1)),$I$2:$I$1000,1)))))</f>
        <v>#ERROR!</v>
      </c>
      <c r="H791" s="39"/>
      <c r="I791" s="39">
        <f t="shared" si="1"/>
        <v>1</v>
      </c>
      <c r="J791" s="39" t="str">
        <f t="shared" si="2"/>
        <v/>
      </c>
      <c r="K791" s="39" t="str">
        <f t="array" ref="K791">IF(J791="","",IF(XLOOKUP(J791,Strike_Review_Queue!$I:$I,Strike_Review_Queue!$J:$J,"")="Approve","Approved",IF(XLOOKUP(J791,Strike_Review_Queue!$I:$I,Strike_Review_Queue!$J:$J,"")="Deny","Counts",H791)))</f>
        <v/>
      </c>
      <c r="L791" s="39" t="str">
        <f t="array" ref="L791">IF(J791="","",XLOOKUP(J791,Strike_Review_Queue!$I:$I,Strike_Review_Queue!$L:$L,""))</f>
        <v/>
      </c>
      <c r="M791" s="39" t="str">
        <f t="array" ref="M791">IF(J791="","",XLOOKUP(J791,Strike_Review_Queue!$I:$I,Strike_Review_Queue!$M:$M,""))</f>
        <v/>
      </c>
    </row>
    <row r="792" ht="15.75" customHeight="1">
      <c r="C792" s="39"/>
      <c r="D792" s="39" t="str">
        <f>IF(OR(B792="",A792=""),"",MAX(0,MIN(3,SUMIFS($C$2:$C$1000,$B$2:$B$1000,B792,$A$2:$A$1000,"&lt;="&amp;A792,$A$2:$A$1000,"&gt;="&amp;IF(Config!$B$1004="Y",A792-Config!$B$1005,DATE(1900,1,1)),$I$2:$I$1000,1)))))</f>
        <v>#ERROR!</v>
      </c>
      <c r="H792" s="39"/>
      <c r="I792" s="39">
        <f t="shared" si="1"/>
        <v>1</v>
      </c>
      <c r="J792" s="39" t="str">
        <f t="shared" si="2"/>
        <v/>
      </c>
      <c r="K792" s="39" t="str">
        <f t="array" ref="K792">IF(J792="","",IF(XLOOKUP(J792,Strike_Review_Queue!$I:$I,Strike_Review_Queue!$J:$J,"")="Approve","Approved",IF(XLOOKUP(J792,Strike_Review_Queue!$I:$I,Strike_Review_Queue!$J:$J,"")="Deny","Counts",H792)))</f>
        <v/>
      </c>
      <c r="L792" s="39" t="str">
        <f t="array" ref="L792">IF(J792="","",XLOOKUP(J792,Strike_Review_Queue!$I:$I,Strike_Review_Queue!$L:$L,""))</f>
        <v/>
      </c>
      <c r="M792" s="39" t="str">
        <f t="array" ref="M792">IF(J792="","",XLOOKUP(J792,Strike_Review_Queue!$I:$I,Strike_Review_Queue!$M:$M,""))</f>
        <v/>
      </c>
    </row>
    <row r="793" ht="15.75" customHeight="1">
      <c r="C793" s="39"/>
      <c r="D793" s="39" t="str">
        <f>IF(OR(B793="",A793=""),"",MAX(0,MIN(3,SUMIFS($C$2:$C$1000,$B$2:$B$1000,B793,$A$2:$A$1000,"&lt;="&amp;A793,$A$2:$A$1000,"&gt;="&amp;IF(Config!$B$1004="Y",A793-Config!$B$1005,DATE(1900,1,1)),$I$2:$I$1000,1)))))</f>
        <v>#ERROR!</v>
      </c>
      <c r="H793" s="39"/>
      <c r="I793" s="39">
        <f t="shared" si="1"/>
        <v>1</v>
      </c>
      <c r="J793" s="39" t="str">
        <f t="shared" si="2"/>
        <v/>
      </c>
      <c r="K793" s="39" t="str">
        <f t="array" ref="K793">IF(J793="","",IF(XLOOKUP(J793,Strike_Review_Queue!$I:$I,Strike_Review_Queue!$J:$J,"")="Approve","Approved",IF(XLOOKUP(J793,Strike_Review_Queue!$I:$I,Strike_Review_Queue!$J:$J,"")="Deny","Counts",H793)))</f>
        <v/>
      </c>
      <c r="L793" s="39" t="str">
        <f t="array" ref="L793">IF(J793="","",XLOOKUP(J793,Strike_Review_Queue!$I:$I,Strike_Review_Queue!$L:$L,""))</f>
        <v/>
      </c>
      <c r="M793" s="39" t="str">
        <f t="array" ref="M793">IF(J793="","",XLOOKUP(J793,Strike_Review_Queue!$I:$I,Strike_Review_Queue!$M:$M,""))</f>
        <v/>
      </c>
    </row>
    <row r="794" ht="15.75" customHeight="1">
      <c r="C794" s="39"/>
      <c r="D794" s="39" t="str">
        <f>IF(OR(B794="",A794=""),"",MAX(0,MIN(3,SUMIFS($C$2:$C$1000,$B$2:$B$1000,B794,$A$2:$A$1000,"&lt;="&amp;A794,$A$2:$A$1000,"&gt;="&amp;IF(Config!$B$1004="Y",A794-Config!$B$1005,DATE(1900,1,1)),$I$2:$I$1000,1)))))</f>
        <v>#ERROR!</v>
      </c>
      <c r="H794" s="39"/>
      <c r="I794" s="39">
        <f t="shared" si="1"/>
        <v>1</v>
      </c>
      <c r="J794" s="39" t="str">
        <f t="shared" si="2"/>
        <v/>
      </c>
      <c r="K794" s="39" t="str">
        <f t="array" ref="K794">IF(J794="","",IF(XLOOKUP(J794,Strike_Review_Queue!$I:$I,Strike_Review_Queue!$J:$J,"")="Approve","Approved",IF(XLOOKUP(J794,Strike_Review_Queue!$I:$I,Strike_Review_Queue!$J:$J,"")="Deny","Counts",H794)))</f>
        <v/>
      </c>
      <c r="L794" s="39" t="str">
        <f t="array" ref="L794">IF(J794="","",XLOOKUP(J794,Strike_Review_Queue!$I:$I,Strike_Review_Queue!$L:$L,""))</f>
        <v/>
      </c>
      <c r="M794" s="39" t="str">
        <f t="array" ref="M794">IF(J794="","",XLOOKUP(J794,Strike_Review_Queue!$I:$I,Strike_Review_Queue!$M:$M,""))</f>
        <v/>
      </c>
    </row>
    <row r="795" ht="15.75" customHeight="1">
      <c r="C795" s="39"/>
      <c r="D795" s="39" t="str">
        <f>IF(OR(B795="",A795=""),"",MAX(0,MIN(3,SUMIFS($C$2:$C$1000,$B$2:$B$1000,B795,$A$2:$A$1000,"&lt;="&amp;A795,$A$2:$A$1000,"&gt;="&amp;IF(Config!$B$1004="Y",A795-Config!$B$1005,DATE(1900,1,1)),$I$2:$I$1000,1)))))</f>
        <v>#ERROR!</v>
      </c>
      <c r="H795" s="39"/>
      <c r="I795" s="39">
        <f t="shared" si="1"/>
        <v>1</v>
      </c>
      <c r="J795" s="39" t="str">
        <f t="shared" si="2"/>
        <v/>
      </c>
      <c r="K795" s="39" t="str">
        <f t="array" ref="K795">IF(J795="","",IF(XLOOKUP(J795,Strike_Review_Queue!$I:$I,Strike_Review_Queue!$J:$J,"")="Approve","Approved",IF(XLOOKUP(J795,Strike_Review_Queue!$I:$I,Strike_Review_Queue!$J:$J,"")="Deny","Counts",H795)))</f>
        <v/>
      </c>
      <c r="L795" s="39" t="str">
        <f t="array" ref="L795">IF(J795="","",XLOOKUP(J795,Strike_Review_Queue!$I:$I,Strike_Review_Queue!$L:$L,""))</f>
        <v/>
      </c>
      <c r="M795" s="39" t="str">
        <f t="array" ref="M795">IF(J795="","",XLOOKUP(J795,Strike_Review_Queue!$I:$I,Strike_Review_Queue!$M:$M,""))</f>
        <v/>
      </c>
    </row>
    <row r="796" ht="15.75" customHeight="1">
      <c r="C796" s="39"/>
      <c r="D796" s="39" t="str">
        <f>IF(OR(B796="",A796=""),"",MAX(0,MIN(3,SUMIFS($C$2:$C$1000,$B$2:$B$1000,B796,$A$2:$A$1000,"&lt;="&amp;A796,$A$2:$A$1000,"&gt;="&amp;IF(Config!$B$1004="Y",A796-Config!$B$1005,DATE(1900,1,1)),$I$2:$I$1000,1)))))</f>
        <v>#ERROR!</v>
      </c>
      <c r="H796" s="39"/>
      <c r="I796" s="39">
        <f t="shared" si="1"/>
        <v>1</v>
      </c>
      <c r="J796" s="39" t="str">
        <f t="shared" si="2"/>
        <v/>
      </c>
      <c r="K796" s="39" t="str">
        <f t="array" ref="K796">IF(J796="","",IF(XLOOKUP(J796,Strike_Review_Queue!$I:$I,Strike_Review_Queue!$J:$J,"")="Approve","Approved",IF(XLOOKUP(J796,Strike_Review_Queue!$I:$I,Strike_Review_Queue!$J:$J,"")="Deny","Counts",H796)))</f>
        <v/>
      </c>
      <c r="L796" s="39" t="str">
        <f t="array" ref="L796">IF(J796="","",XLOOKUP(J796,Strike_Review_Queue!$I:$I,Strike_Review_Queue!$L:$L,""))</f>
        <v/>
      </c>
      <c r="M796" s="39" t="str">
        <f t="array" ref="M796">IF(J796="","",XLOOKUP(J796,Strike_Review_Queue!$I:$I,Strike_Review_Queue!$M:$M,""))</f>
        <v/>
      </c>
    </row>
    <row r="797" ht="15.75" customHeight="1">
      <c r="C797" s="39"/>
      <c r="D797" s="39" t="str">
        <f>IF(OR(B797="",A797=""),"",MAX(0,MIN(3,SUMIFS($C$2:$C$1000,$B$2:$B$1000,B797,$A$2:$A$1000,"&lt;="&amp;A797,$A$2:$A$1000,"&gt;="&amp;IF(Config!$B$1004="Y",A797-Config!$B$1005,DATE(1900,1,1)),$I$2:$I$1000,1)))))</f>
        <v>#ERROR!</v>
      </c>
      <c r="H797" s="39"/>
      <c r="I797" s="39">
        <f t="shared" si="1"/>
        <v>1</v>
      </c>
      <c r="J797" s="39" t="str">
        <f t="shared" si="2"/>
        <v/>
      </c>
      <c r="K797" s="39" t="str">
        <f t="array" ref="K797">IF(J797="","",IF(XLOOKUP(J797,Strike_Review_Queue!$I:$I,Strike_Review_Queue!$J:$J,"")="Approve","Approved",IF(XLOOKUP(J797,Strike_Review_Queue!$I:$I,Strike_Review_Queue!$J:$J,"")="Deny","Counts",H797)))</f>
        <v/>
      </c>
      <c r="L797" s="39" t="str">
        <f t="array" ref="L797">IF(J797="","",XLOOKUP(J797,Strike_Review_Queue!$I:$I,Strike_Review_Queue!$L:$L,""))</f>
        <v/>
      </c>
      <c r="M797" s="39" t="str">
        <f t="array" ref="M797">IF(J797="","",XLOOKUP(J797,Strike_Review_Queue!$I:$I,Strike_Review_Queue!$M:$M,""))</f>
        <v/>
      </c>
    </row>
    <row r="798" ht="15.75" customHeight="1">
      <c r="C798" s="39"/>
      <c r="D798" s="39" t="str">
        <f>IF(OR(B798="",A798=""),"",MAX(0,MIN(3,SUMIFS($C$2:$C$1000,$B$2:$B$1000,B798,$A$2:$A$1000,"&lt;="&amp;A798,$A$2:$A$1000,"&gt;="&amp;IF(Config!$B$1004="Y",A798-Config!$B$1005,DATE(1900,1,1)),$I$2:$I$1000,1)))))</f>
        <v>#ERROR!</v>
      </c>
      <c r="H798" s="39"/>
      <c r="I798" s="39">
        <f t="shared" si="1"/>
        <v>1</v>
      </c>
      <c r="J798" s="39" t="str">
        <f t="shared" si="2"/>
        <v/>
      </c>
      <c r="K798" s="39" t="str">
        <f t="array" ref="K798">IF(J798="","",IF(XLOOKUP(J798,Strike_Review_Queue!$I:$I,Strike_Review_Queue!$J:$J,"")="Approve","Approved",IF(XLOOKUP(J798,Strike_Review_Queue!$I:$I,Strike_Review_Queue!$J:$J,"")="Deny","Counts",H798)))</f>
        <v/>
      </c>
      <c r="L798" s="39" t="str">
        <f t="array" ref="L798">IF(J798="","",XLOOKUP(J798,Strike_Review_Queue!$I:$I,Strike_Review_Queue!$L:$L,""))</f>
        <v/>
      </c>
      <c r="M798" s="39" t="str">
        <f t="array" ref="M798">IF(J798="","",XLOOKUP(J798,Strike_Review_Queue!$I:$I,Strike_Review_Queue!$M:$M,""))</f>
        <v/>
      </c>
    </row>
    <row r="799" ht="15.75" customHeight="1">
      <c r="C799" s="39"/>
      <c r="D799" s="39" t="str">
        <f>IF(OR(B799="",A799=""),"",MAX(0,MIN(3,SUMIFS($C$2:$C$1000,$B$2:$B$1000,B799,$A$2:$A$1000,"&lt;="&amp;A799,$A$2:$A$1000,"&gt;="&amp;IF(Config!$B$1004="Y",A799-Config!$B$1005,DATE(1900,1,1)),$I$2:$I$1000,1)))))</f>
        <v>#ERROR!</v>
      </c>
      <c r="H799" s="39"/>
      <c r="I799" s="39">
        <f t="shared" si="1"/>
        <v>1</v>
      </c>
      <c r="J799" s="39" t="str">
        <f t="shared" si="2"/>
        <v/>
      </c>
      <c r="K799" s="39" t="str">
        <f t="array" ref="K799">IF(J799="","",IF(XLOOKUP(J799,Strike_Review_Queue!$I:$I,Strike_Review_Queue!$J:$J,"")="Approve","Approved",IF(XLOOKUP(J799,Strike_Review_Queue!$I:$I,Strike_Review_Queue!$J:$J,"")="Deny","Counts",H799)))</f>
        <v/>
      </c>
      <c r="L799" s="39" t="str">
        <f t="array" ref="L799">IF(J799="","",XLOOKUP(J799,Strike_Review_Queue!$I:$I,Strike_Review_Queue!$L:$L,""))</f>
        <v/>
      </c>
      <c r="M799" s="39" t="str">
        <f t="array" ref="M799">IF(J799="","",XLOOKUP(J799,Strike_Review_Queue!$I:$I,Strike_Review_Queue!$M:$M,""))</f>
        <v/>
      </c>
    </row>
    <row r="800" ht="15.75" customHeight="1">
      <c r="C800" s="39"/>
      <c r="D800" s="39" t="str">
        <f>IF(OR(B800="",A800=""),"",MAX(0,MIN(3,SUMIFS($C$2:$C$1000,$B$2:$B$1000,B800,$A$2:$A$1000,"&lt;="&amp;A800,$A$2:$A$1000,"&gt;="&amp;IF(Config!$B$1004="Y",A800-Config!$B$1005,DATE(1900,1,1)),$I$2:$I$1000,1)))))</f>
        <v>#ERROR!</v>
      </c>
      <c r="H800" s="39"/>
      <c r="I800" s="39">
        <f t="shared" si="1"/>
        <v>1</v>
      </c>
      <c r="J800" s="39" t="str">
        <f t="shared" si="2"/>
        <v/>
      </c>
      <c r="K800" s="39" t="str">
        <f t="array" ref="K800">IF(J800="","",IF(XLOOKUP(J800,Strike_Review_Queue!$I:$I,Strike_Review_Queue!$J:$J,"")="Approve","Approved",IF(XLOOKUP(J800,Strike_Review_Queue!$I:$I,Strike_Review_Queue!$J:$J,"")="Deny","Counts",H800)))</f>
        <v/>
      </c>
      <c r="L800" s="39" t="str">
        <f t="array" ref="L800">IF(J800="","",XLOOKUP(J800,Strike_Review_Queue!$I:$I,Strike_Review_Queue!$L:$L,""))</f>
        <v/>
      </c>
      <c r="M800" s="39" t="str">
        <f t="array" ref="M800">IF(J800="","",XLOOKUP(J800,Strike_Review_Queue!$I:$I,Strike_Review_Queue!$M:$M,""))</f>
        <v/>
      </c>
    </row>
    <row r="801" ht="15.75" customHeight="1">
      <c r="C801" s="39"/>
      <c r="D801" s="39" t="str">
        <f>IF(OR(B801="",A801=""),"",MAX(0,MIN(3,SUMIFS($C$2:$C$1000,$B$2:$B$1000,B801,$A$2:$A$1000,"&lt;="&amp;A801,$A$2:$A$1000,"&gt;="&amp;IF(Config!$B$1004="Y",A801-Config!$B$1005,DATE(1900,1,1)),$I$2:$I$1000,1)))))</f>
        <v>#ERROR!</v>
      </c>
      <c r="H801" s="39"/>
      <c r="I801" s="39">
        <f t="shared" si="1"/>
        <v>1</v>
      </c>
      <c r="J801" s="39" t="str">
        <f t="shared" si="2"/>
        <v/>
      </c>
      <c r="K801" s="39" t="str">
        <f t="array" ref="K801">IF(J801="","",IF(XLOOKUP(J801,Strike_Review_Queue!$I:$I,Strike_Review_Queue!$J:$J,"")="Approve","Approved",IF(XLOOKUP(J801,Strike_Review_Queue!$I:$I,Strike_Review_Queue!$J:$J,"")="Deny","Counts",H801)))</f>
        <v/>
      </c>
      <c r="L801" s="39" t="str">
        <f t="array" ref="L801">IF(J801="","",XLOOKUP(J801,Strike_Review_Queue!$I:$I,Strike_Review_Queue!$L:$L,""))</f>
        <v/>
      </c>
      <c r="M801" s="39" t="str">
        <f t="array" ref="M801">IF(J801="","",XLOOKUP(J801,Strike_Review_Queue!$I:$I,Strike_Review_Queue!$M:$M,""))</f>
        <v/>
      </c>
    </row>
    <row r="802" ht="15.75" customHeight="1">
      <c r="C802" s="39"/>
      <c r="D802" s="39" t="str">
        <f>IF(OR(B802="",A802=""),"",MAX(0,MIN(3,SUMIFS($C$2:$C$1000,$B$2:$B$1000,B802,$A$2:$A$1000,"&lt;="&amp;A802,$A$2:$A$1000,"&gt;="&amp;IF(Config!$B$1004="Y",A802-Config!$B$1005,DATE(1900,1,1)),$I$2:$I$1000,1)))))</f>
        <v>#ERROR!</v>
      </c>
      <c r="H802" s="39"/>
      <c r="I802" s="39">
        <f t="shared" si="1"/>
        <v>1</v>
      </c>
      <c r="J802" s="39" t="str">
        <f t="shared" si="2"/>
        <v/>
      </c>
      <c r="K802" s="39" t="str">
        <f t="array" ref="K802">IF(J802="","",IF(XLOOKUP(J802,Strike_Review_Queue!$I:$I,Strike_Review_Queue!$J:$J,"")="Approve","Approved",IF(XLOOKUP(J802,Strike_Review_Queue!$I:$I,Strike_Review_Queue!$J:$J,"")="Deny","Counts",H802)))</f>
        <v/>
      </c>
      <c r="L802" s="39" t="str">
        <f t="array" ref="L802">IF(J802="","",XLOOKUP(J802,Strike_Review_Queue!$I:$I,Strike_Review_Queue!$L:$L,""))</f>
        <v/>
      </c>
      <c r="M802" s="39" t="str">
        <f t="array" ref="M802">IF(J802="","",XLOOKUP(J802,Strike_Review_Queue!$I:$I,Strike_Review_Queue!$M:$M,""))</f>
        <v/>
      </c>
    </row>
    <row r="803" ht="15.75" customHeight="1">
      <c r="C803" s="39"/>
      <c r="D803" s="39" t="str">
        <f>IF(OR(B803="",A803=""),"",MAX(0,MIN(3,SUMIFS($C$2:$C$1000,$B$2:$B$1000,B803,$A$2:$A$1000,"&lt;="&amp;A803,$A$2:$A$1000,"&gt;="&amp;IF(Config!$B$1004="Y",A803-Config!$B$1005,DATE(1900,1,1)),$I$2:$I$1000,1)))))</f>
        <v>#ERROR!</v>
      </c>
      <c r="H803" s="39"/>
      <c r="I803" s="39">
        <f t="shared" si="1"/>
        <v>1</v>
      </c>
      <c r="J803" s="39" t="str">
        <f t="shared" si="2"/>
        <v/>
      </c>
      <c r="K803" s="39" t="str">
        <f t="array" ref="K803">IF(J803="","",IF(XLOOKUP(J803,Strike_Review_Queue!$I:$I,Strike_Review_Queue!$J:$J,"")="Approve","Approved",IF(XLOOKUP(J803,Strike_Review_Queue!$I:$I,Strike_Review_Queue!$J:$J,"")="Deny","Counts",H803)))</f>
        <v/>
      </c>
      <c r="L803" s="39" t="str">
        <f t="array" ref="L803">IF(J803="","",XLOOKUP(J803,Strike_Review_Queue!$I:$I,Strike_Review_Queue!$L:$L,""))</f>
        <v/>
      </c>
      <c r="M803" s="39" t="str">
        <f t="array" ref="M803">IF(J803="","",XLOOKUP(J803,Strike_Review_Queue!$I:$I,Strike_Review_Queue!$M:$M,""))</f>
        <v/>
      </c>
    </row>
    <row r="804" ht="15.75" customHeight="1">
      <c r="C804" s="39"/>
      <c r="D804" s="39" t="str">
        <f>IF(OR(B804="",A804=""),"",MAX(0,MIN(3,SUMIFS($C$2:$C$1000,$B$2:$B$1000,B804,$A$2:$A$1000,"&lt;="&amp;A804,$A$2:$A$1000,"&gt;="&amp;IF(Config!$B$1004="Y",A804-Config!$B$1005,DATE(1900,1,1)),$I$2:$I$1000,1)))))</f>
        <v>#ERROR!</v>
      </c>
      <c r="H804" s="39"/>
      <c r="I804" s="39">
        <f t="shared" si="1"/>
        <v>1</v>
      </c>
      <c r="J804" s="39" t="str">
        <f t="shared" si="2"/>
        <v/>
      </c>
      <c r="K804" s="39" t="str">
        <f t="array" ref="K804">IF(J804="","",IF(XLOOKUP(J804,Strike_Review_Queue!$I:$I,Strike_Review_Queue!$J:$J,"")="Approve","Approved",IF(XLOOKUP(J804,Strike_Review_Queue!$I:$I,Strike_Review_Queue!$J:$J,"")="Deny","Counts",H804)))</f>
        <v/>
      </c>
      <c r="L804" s="39" t="str">
        <f t="array" ref="L804">IF(J804="","",XLOOKUP(J804,Strike_Review_Queue!$I:$I,Strike_Review_Queue!$L:$L,""))</f>
        <v/>
      </c>
      <c r="M804" s="39" t="str">
        <f t="array" ref="M804">IF(J804="","",XLOOKUP(J804,Strike_Review_Queue!$I:$I,Strike_Review_Queue!$M:$M,""))</f>
        <v/>
      </c>
    </row>
    <row r="805" ht="15.75" customHeight="1">
      <c r="C805" s="39"/>
      <c r="D805" s="39" t="str">
        <f>IF(OR(B805="",A805=""),"",MAX(0,MIN(3,SUMIFS($C$2:$C$1000,$B$2:$B$1000,B805,$A$2:$A$1000,"&lt;="&amp;A805,$A$2:$A$1000,"&gt;="&amp;IF(Config!$B$1004="Y",A805-Config!$B$1005,DATE(1900,1,1)),$I$2:$I$1000,1)))))</f>
        <v>#ERROR!</v>
      </c>
      <c r="H805" s="39"/>
      <c r="I805" s="39">
        <f t="shared" si="1"/>
        <v>1</v>
      </c>
      <c r="J805" s="39" t="str">
        <f t="shared" si="2"/>
        <v/>
      </c>
      <c r="K805" s="39" t="str">
        <f t="array" ref="K805">IF(J805="","",IF(XLOOKUP(J805,Strike_Review_Queue!$I:$I,Strike_Review_Queue!$J:$J,"")="Approve","Approved",IF(XLOOKUP(J805,Strike_Review_Queue!$I:$I,Strike_Review_Queue!$J:$J,"")="Deny","Counts",H805)))</f>
        <v/>
      </c>
      <c r="L805" s="39" t="str">
        <f t="array" ref="L805">IF(J805="","",XLOOKUP(J805,Strike_Review_Queue!$I:$I,Strike_Review_Queue!$L:$L,""))</f>
        <v/>
      </c>
      <c r="M805" s="39" t="str">
        <f t="array" ref="M805">IF(J805="","",XLOOKUP(J805,Strike_Review_Queue!$I:$I,Strike_Review_Queue!$M:$M,""))</f>
        <v/>
      </c>
    </row>
    <row r="806" ht="15.75" customHeight="1">
      <c r="C806" s="39"/>
      <c r="D806" s="39" t="str">
        <f>IF(OR(B806="",A806=""),"",MAX(0,MIN(3,SUMIFS($C$2:$C$1000,$B$2:$B$1000,B806,$A$2:$A$1000,"&lt;="&amp;A806,$A$2:$A$1000,"&gt;="&amp;IF(Config!$B$1004="Y",A806-Config!$B$1005,DATE(1900,1,1)),$I$2:$I$1000,1)))))</f>
        <v>#ERROR!</v>
      </c>
      <c r="H806" s="39"/>
      <c r="I806" s="39">
        <f t="shared" si="1"/>
        <v>1</v>
      </c>
      <c r="J806" s="39" t="str">
        <f t="shared" si="2"/>
        <v/>
      </c>
      <c r="K806" s="39" t="str">
        <f t="array" ref="K806">IF(J806="","",IF(XLOOKUP(J806,Strike_Review_Queue!$I:$I,Strike_Review_Queue!$J:$J,"")="Approve","Approved",IF(XLOOKUP(J806,Strike_Review_Queue!$I:$I,Strike_Review_Queue!$J:$J,"")="Deny","Counts",H806)))</f>
        <v/>
      </c>
      <c r="L806" s="39" t="str">
        <f t="array" ref="L806">IF(J806="","",XLOOKUP(J806,Strike_Review_Queue!$I:$I,Strike_Review_Queue!$L:$L,""))</f>
        <v/>
      </c>
      <c r="M806" s="39" t="str">
        <f t="array" ref="M806">IF(J806="","",XLOOKUP(J806,Strike_Review_Queue!$I:$I,Strike_Review_Queue!$M:$M,""))</f>
        <v/>
      </c>
    </row>
    <row r="807" ht="15.75" customHeight="1">
      <c r="C807" s="39"/>
      <c r="D807" s="39" t="str">
        <f>IF(OR(B807="",A807=""),"",MAX(0,MIN(3,SUMIFS($C$2:$C$1000,$B$2:$B$1000,B807,$A$2:$A$1000,"&lt;="&amp;A807,$A$2:$A$1000,"&gt;="&amp;IF(Config!$B$1004="Y",A807-Config!$B$1005,DATE(1900,1,1)),$I$2:$I$1000,1)))))</f>
        <v>#ERROR!</v>
      </c>
      <c r="H807" s="39"/>
      <c r="I807" s="39">
        <f t="shared" si="1"/>
        <v>1</v>
      </c>
      <c r="J807" s="39" t="str">
        <f t="shared" si="2"/>
        <v/>
      </c>
      <c r="K807" s="39" t="str">
        <f t="array" ref="K807">IF(J807="","",IF(XLOOKUP(J807,Strike_Review_Queue!$I:$I,Strike_Review_Queue!$J:$J,"")="Approve","Approved",IF(XLOOKUP(J807,Strike_Review_Queue!$I:$I,Strike_Review_Queue!$J:$J,"")="Deny","Counts",H807)))</f>
        <v/>
      </c>
      <c r="L807" s="39" t="str">
        <f t="array" ref="L807">IF(J807="","",XLOOKUP(J807,Strike_Review_Queue!$I:$I,Strike_Review_Queue!$L:$L,""))</f>
        <v/>
      </c>
      <c r="M807" s="39" t="str">
        <f t="array" ref="M807">IF(J807="","",XLOOKUP(J807,Strike_Review_Queue!$I:$I,Strike_Review_Queue!$M:$M,""))</f>
        <v/>
      </c>
    </row>
    <row r="808" ht="15.75" customHeight="1">
      <c r="C808" s="39"/>
      <c r="D808" s="39" t="str">
        <f>IF(OR(B808="",A808=""),"",MAX(0,MIN(3,SUMIFS($C$2:$C$1000,$B$2:$B$1000,B808,$A$2:$A$1000,"&lt;="&amp;A808,$A$2:$A$1000,"&gt;="&amp;IF(Config!$B$1004="Y",A808-Config!$B$1005,DATE(1900,1,1)),$I$2:$I$1000,1)))))</f>
        <v>#ERROR!</v>
      </c>
      <c r="H808" s="39"/>
      <c r="I808" s="39">
        <f t="shared" si="1"/>
        <v>1</v>
      </c>
      <c r="J808" s="39" t="str">
        <f t="shared" si="2"/>
        <v/>
      </c>
      <c r="K808" s="39" t="str">
        <f t="array" ref="K808">IF(J808="","",IF(XLOOKUP(J808,Strike_Review_Queue!$I:$I,Strike_Review_Queue!$J:$J,"")="Approve","Approved",IF(XLOOKUP(J808,Strike_Review_Queue!$I:$I,Strike_Review_Queue!$J:$J,"")="Deny","Counts",H808)))</f>
        <v/>
      </c>
      <c r="L808" s="39" t="str">
        <f t="array" ref="L808">IF(J808="","",XLOOKUP(J808,Strike_Review_Queue!$I:$I,Strike_Review_Queue!$L:$L,""))</f>
        <v/>
      </c>
      <c r="M808" s="39" t="str">
        <f t="array" ref="M808">IF(J808="","",XLOOKUP(J808,Strike_Review_Queue!$I:$I,Strike_Review_Queue!$M:$M,""))</f>
        <v/>
      </c>
    </row>
    <row r="809" ht="15.75" customHeight="1">
      <c r="C809" s="39"/>
      <c r="D809" s="39" t="str">
        <f>IF(OR(B809="",A809=""),"",MAX(0,MIN(3,SUMIFS($C$2:$C$1000,$B$2:$B$1000,B809,$A$2:$A$1000,"&lt;="&amp;A809,$A$2:$A$1000,"&gt;="&amp;IF(Config!$B$1004="Y",A809-Config!$B$1005,DATE(1900,1,1)),$I$2:$I$1000,1)))))</f>
        <v>#ERROR!</v>
      </c>
      <c r="H809" s="39"/>
      <c r="I809" s="39">
        <f t="shared" si="1"/>
        <v>1</v>
      </c>
      <c r="J809" s="39" t="str">
        <f t="shared" si="2"/>
        <v/>
      </c>
      <c r="K809" s="39" t="str">
        <f t="array" ref="K809">IF(J809="","",IF(XLOOKUP(J809,Strike_Review_Queue!$I:$I,Strike_Review_Queue!$J:$J,"")="Approve","Approved",IF(XLOOKUP(J809,Strike_Review_Queue!$I:$I,Strike_Review_Queue!$J:$J,"")="Deny","Counts",H809)))</f>
        <v/>
      </c>
      <c r="L809" s="39" t="str">
        <f t="array" ref="L809">IF(J809="","",XLOOKUP(J809,Strike_Review_Queue!$I:$I,Strike_Review_Queue!$L:$L,""))</f>
        <v/>
      </c>
      <c r="M809" s="39" t="str">
        <f t="array" ref="M809">IF(J809="","",XLOOKUP(J809,Strike_Review_Queue!$I:$I,Strike_Review_Queue!$M:$M,""))</f>
        <v/>
      </c>
    </row>
    <row r="810" ht="15.75" customHeight="1">
      <c r="C810" s="39"/>
      <c r="D810" s="39" t="str">
        <f>IF(OR(B810="",A810=""),"",MAX(0,MIN(3,SUMIFS($C$2:$C$1000,$B$2:$B$1000,B810,$A$2:$A$1000,"&lt;="&amp;A810,$A$2:$A$1000,"&gt;="&amp;IF(Config!$B$1004="Y",A810-Config!$B$1005,DATE(1900,1,1)),$I$2:$I$1000,1)))))</f>
        <v>#ERROR!</v>
      </c>
      <c r="H810" s="39"/>
      <c r="I810" s="39">
        <f t="shared" si="1"/>
        <v>1</v>
      </c>
      <c r="J810" s="39" t="str">
        <f t="shared" si="2"/>
        <v/>
      </c>
      <c r="K810" s="39" t="str">
        <f t="array" ref="K810">IF(J810="","",IF(XLOOKUP(J810,Strike_Review_Queue!$I:$I,Strike_Review_Queue!$J:$J,"")="Approve","Approved",IF(XLOOKUP(J810,Strike_Review_Queue!$I:$I,Strike_Review_Queue!$J:$J,"")="Deny","Counts",H810)))</f>
        <v/>
      </c>
      <c r="L810" s="39" t="str">
        <f t="array" ref="L810">IF(J810="","",XLOOKUP(J810,Strike_Review_Queue!$I:$I,Strike_Review_Queue!$L:$L,""))</f>
        <v/>
      </c>
      <c r="M810" s="39" t="str">
        <f t="array" ref="M810">IF(J810="","",XLOOKUP(J810,Strike_Review_Queue!$I:$I,Strike_Review_Queue!$M:$M,""))</f>
        <v/>
      </c>
    </row>
    <row r="811" ht="15.75" customHeight="1">
      <c r="C811" s="39"/>
      <c r="D811" s="39" t="str">
        <f>IF(OR(B811="",A811=""),"",MAX(0,MIN(3,SUMIFS($C$2:$C$1000,$B$2:$B$1000,B811,$A$2:$A$1000,"&lt;="&amp;A811,$A$2:$A$1000,"&gt;="&amp;IF(Config!$B$1004="Y",A811-Config!$B$1005,DATE(1900,1,1)),$I$2:$I$1000,1)))))</f>
        <v>#ERROR!</v>
      </c>
      <c r="H811" s="39"/>
      <c r="I811" s="39">
        <f t="shared" si="1"/>
        <v>1</v>
      </c>
      <c r="J811" s="39" t="str">
        <f t="shared" si="2"/>
        <v/>
      </c>
      <c r="K811" s="39" t="str">
        <f t="array" ref="K811">IF(J811="","",IF(XLOOKUP(J811,Strike_Review_Queue!$I:$I,Strike_Review_Queue!$J:$J,"")="Approve","Approved",IF(XLOOKUP(J811,Strike_Review_Queue!$I:$I,Strike_Review_Queue!$J:$J,"")="Deny","Counts",H811)))</f>
        <v/>
      </c>
      <c r="L811" s="39" t="str">
        <f t="array" ref="L811">IF(J811="","",XLOOKUP(J811,Strike_Review_Queue!$I:$I,Strike_Review_Queue!$L:$L,""))</f>
        <v/>
      </c>
      <c r="M811" s="39" t="str">
        <f t="array" ref="M811">IF(J811="","",XLOOKUP(J811,Strike_Review_Queue!$I:$I,Strike_Review_Queue!$M:$M,""))</f>
        <v/>
      </c>
    </row>
    <row r="812" ht="15.75" customHeight="1">
      <c r="C812" s="39"/>
      <c r="D812" s="39" t="str">
        <f>IF(OR(B812="",A812=""),"",MAX(0,MIN(3,SUMIFS($C$2:$C$1000,$B$2:$B$1000,B812,$A$2:$A$1000,"&lt;="&amp;A812,$A$2:$A$1000,"&gt;="&amp;IF(Config!$B$1004="Y",A812-Config!$B$1005,DATE(1900,1,1)),$I$2:$I$1000,1)))))</f>
        <v>#ERROR!</v>
      </c>
      <c r="H812" s="39"/>
      <c r="I812" s="39">
        <f t="shared" si="1"/>
        <v>1</v>
      </c>
      <c r="J812" s="39" t="str">
        <f t="shared" si="2"/>
        <v/>
      </c>
      <c r="K812" s="39" t="str">
        <f t="array" ref="K812">IF(J812="","",IF(XLOOKUP(J812,Strike_Review_Queue!$I:$I,Strike_Review_Queue!$J:$J,"")="Approve","Approved",IF(XLOOKUP(J812,Strike_Review_Queue!$I:$I,Strike_Review_Queue!$J:$J,"")="Deny","Counts",H812)))</f>
        <v/>
      </c>
      <c r="L812" s="39" t="str">
        <f t="array" ref="L812">IF(J812="","",XLOOKUP(J812,Strike_Review_Queue!$I:$I,Strike_Review_Queue!$L:$L,""))</f>
        <v/>
      </c>
      <c r="M812" s="39" t="str">
        <f t="array" ref="M812">IF(J812="","",XLOOKUP(J812,Strike_Review_Queue!$I:$I,Strike_Review_Queue!$M:$M,""))</f>
        <v/>
      </c>
    </row>
    <row r="813" ht="15.75" customHeight="1">
      <c r="C813" s="39"/>
      <c r="D813" s="39" t="str">
        <f>IF(OR(B813="",A813=""),"",MAX(0,MIN(3,SUMIFS($C$2:$C$1000,$B$2:$B$1000,B813,$A$2:$A$1000,"&lt;="&amp;A813,$A$2:$A$1000,"&gt;="&amp;IF(Config!$B$1004="Y",A813-Config!$B$1005,DATE(1900,1,1)),$I$2:$I$1000,1)))))</f>
        <v>#ERROR!</v>
      </c>
      <c r="H813" s="39"/>
      <c r="I813" s="39">
        <f t="shared" si="1"/>
        <v>1</v>
      </c>
      <c r="J813" s="39" t="str">
        <f t="shared" si="2"/>
        <v/>
      </c>
      <c r="K813" s="39" t="str">
        <f t="array" ref="K813">IF(J813="","",IF(XLOOKUP(J813,Strike_Review_Queue!$I:$I,Strike_Review_Queue!$J:$J,"")="Approve","Approved",IF(XLOOKUP(J813,Strike_Review_Queue!$I:$I,Strike_Review_Queue!$J:$J,"")="Deny","Counts",H813)))</f>
        <v/>
      </c>
      <c r="L813" s="39" t="str">
        <f t="array" ref="L813">IF(J813="","",XLOOKUP(J813,Strike_Review_Queue!$I:$I,Strike_Review_Queue!$L:$L,""))</f>
        <v/>
      </c>
      <c r="M813" s="39" t="str">
        <f t="array" ref="M813">IF(J813="","",XLOOKUP(J813,Strike_Review_Queue!$I:$I,Strike_Review_Queue!$M:$M,""))</f>
        <v/>
      </c>
    </row>
    <row r="814" ht="15.75" customHeight="1">
      <c r="C814" s="39"/>
      <c r="D814" s="39" t="str">
        <f>IF(OR(B814="",A814=""),"",MAX(0,MIN(3,SUMIFS($C$2:$C$1000,$B$2:$B$1000,B814,$A$2:$A$1000,"&lt;="&amp;A814,$A$2:$A$1000,"&gt;="&amp;IF(Config!$B$1004="Y",A814-Config!$B$1005,DATE(1900,1,1)),$I$2:$I$1000,1)))))</f>
        <v>#ERROR!</v>
      </c>
      <c r="H814" s="39"/>
      <c r="I814" s="39">
        <f t="shared" si="1"/>
        <v>1</v>
      </c>
      <c r="J814" s="39" t="str">
        <f t="shared" si="2"/>
        <v/>
      </c>
      <c r="K814" s="39" t="str">
        <f t="array" ref="K814">IF(J814="","",IF(XLOOKUP(J814,Strike_Review_Queue!$I:$I,Strike_Review_Queue!$J:$J,"")="Approve","Approved",IF(XLOOKUP(J814,Strike_Review_Queue!$I:$I,Strike_Review_Queue!$J:$J,"")="Deny","Counts",H814)))</f>
        <v/>
      </c>
      <c r="L814" s="39" t="str">
        <f t="array" ref="L814">IF(J814="","",XLOOKUP(J814,Strike_Review_Queue!$I:$I,Strike_Review_Queue!$L:$L,""))</f>
        <v/>
      </c>
      <c r="M814" s="39" t="str">
        <f t="array" ref="M814">IF(J814="","",XLOOKUP(J814,Strike_Review_Queue!$I:$I,Strike_Review_Queue!$M:$M,""))</f>
        <v/>
      </c>
    </row>
    <row r="815" ht="15.75" customHeight="1">
      <c r="C815" s="39"/>
      <c r="D815" s="39" t="str">
        <f>IF(OR(B815="",A815=""),"",MAX(0,MIN(3,SUMIFS($C$2:$C$1000,$B$2:$B$1000,B815,$A$2:$A$1000,"&lt;="&amp;A815,$A$2:$A$1000,"&gt;="&amp;IF(Config!$B$1004="Y",A815-Config!$B$1005,DATE(1900,1,1)),$I$2:$I$1000,1)))))</f>
        <v>#ERROR!</v>
      </c>
      <c r="H815" s="39"/>
      <c r="I815" s="39">
        <f t="shared" si="1"/>
        <v>1</v>
      </c>
      <c r="J815" s="39" t="str">
        <f t="shared" si="2"/>
        <v/>
      </c>
      <c r="K815" s="39" t="str">
        <f t="array" ref="K815">IF(J815="","",IF(XLOOKUP(J815,Strike_Review_Queue!$I:$I,Strike_Review_Queue!$J:$J,"")="Approve","Approved",IF(XLOOKUP(J815,Strike_Review_Queue!$I:$I,Strike_Review_Queue!$J:$J,"")="Deny","Counts",H815)))</f>
        <v/>
      </c>
      <c r="L815" s="39" t="str">
        <f t="array" ref="L815">IF(J815="","",XLOOKUP(J815,Strike_Review_Queue!$I:$I,Strike_Review_Queue!$L:$L,""))</f>
        <v/>
      </c>
      <c r="M815" s="39" t="str">
        <f t="array" ref="M815">IF(J815="","",XLOOKUP(J815,Strike_Review_Queue!$I:$I,Strike_Review_Queue!$M:$M,""))</f>
        <v/>
      </c>
    </row>
    <row r="816" ht="15.75" customHeight="1">
      <c r="C816" s="39"/>
      <c r="D816" s="39" t="str">
        <f>IF(OR(B816="",A816=""),"",MAX(0,MIN(3,SUMIFS($C$2:$C$1000,$B$2:$B$1000,B816,$A$2:$A$1000,"&lt;="&amp;A816,$A$2:$A$1000,"&gt;="&amp;IF(Config!$B$1004="Y",A816-Config!$B$1005,DATE(1900,1,1)),$I$2:$I$1000,1)))))</f>
        <v>#ERROR!</v>
      </c>
      <c r="H816" s="39"/>
      <c r="I816" s="39">
        <f t="shared" si="1"/>
        <v>1</v>
      </c>
      <c r="J816" s="39" t="str">
        <f t="shared" si="2"/>
        <v/>
      </c>
      <c r="K816" s="39" t="str">
        <f t="array" ref="K816">IF(J816="","",IF(XLOOKUP(J816,Strike_Review_Queue!$I:$I,Strike_Review_Queue!$J:$J,"")="Approve","Approved",IF(XLOOKUP(J816,Strike_Review_Queue!$I:$I,Strike_Review_Queue!$J:$J,"")="Deny","Counts",H816)))</f>
        <v/>
      </c>
      <c r="L816" s="39" t="str">
        <f t="array" ref="L816">IF(J816="","",XLOOKUP(J816,Strike_Review_Queue!$I:$I,Strike_Review_Queue!$L:$L,""))</f>
        <v/>
      </c>
      <c r="M816" s="39" t="str">
        <f t="array" ref="M816">IF(J816="","",XLOOKUP(J816,Strike_Review_Queue!$I:$I,Strike_Review_Queue!$M:$M,""))</f>
        <v/>
      </c>
    </row>
    <row r="817" ht="15.75" customHeight="1">
      <c r="C817" s="39"/>
      <c r="D817" s="39" t="str">
        <f>IF(OR(B817="",A817=""),"",MAX(0,MIN(3,SUMIFS($C$2:$C$1000,$B$2:$B$1000,B817,$A$2:$A$1000,"&lt;="&amp;A817,$A$2:$A$1000,"&gt;="&amp;IF(Config!$B$1004="Y",A817-Config!$B$1005,DATE(1900,1,1)),$I$2:$I$1000,1)))))</f>
        <v>#ERROR!</v>
      </c>
      <c r="H817" s="39"/>
      <c r="I817" s="39">
        <f t="shared" si="1"/>
        <v>1</v>
      </c>
      <c r="J817" s="39" t="str">
        <f t="shared" si="2"/>
        <v/>
      </c>
      <c r="K817" s="39" t="str">
        <f t="array" ref="K817">IF(J817="","",IF(XLOOKUP(J817,Strike_Review_Queue!$I:$I,Strike_Review_Queue!$J:$J,"")="Approve","Approved",IF(XLOOKUP(J817,Strike_Review_Queue!$I:$I,Strike_Review_Queue!$J:$J,"")="Deny","Counts",H817)))</f>
        <v/>
      </c>
      <c r="L817" s="39" t="str">
        <f t="array" ref="L817">IF(J817="","",XLOOKUP(J817,Strike_Review_Queue!$I:$I,Strike_Review_Queue!$L:$L,""))</f>
        <v/>
      </c>
      <c r="M817" s="39" t="str">
        <f t="array" ref="M817">IF(J817="","",XLOOKUP(J817,Strike_Review_Queue!$I:$I,Strike_Review_Queue!$M:$M,""))</f>
        <v/>
      </c>
    </row>
    <row r="818" ht="15.75" customHeight="1">
      <c r="C818" s="39"/>
      <c r="D818" s="39" t="str">
        <f>IF(OR(B818="",A818=""),"",MAX(0,MIN(3,SUMIFS($C$2:$C$1000,$B$2:$B$1000,B818,$A$2:$A$1000,"&lt;="&amp;A818,$A$2:$A$1000,"&gt;="&amp;IF(Config!$B$1004="Y",A818-Config!$B$1005,DATE(1900,1,1)),$I$2:$I$1000,1)))))</f>
        <v>#ERROR!</v>
      </c>
      <c r="H818" s="39"/>
      <c r="I818" s="39">
        <f t="shared" si="1"/>
        <v>1</v>
      </c>
      <c r="J818" s="39" t="str">
        <f t="shared" si="2"/>
        <v/>
      </c>
      <c r="K818" s="39" t="str">
        <f t="array" ref="K818">IF(J818="","",IF(XLOOKUP(J818,Strike_Review_Queue!$I:$I,Strike_Review_Queue!$J:$J,"")="Approve","Approved",IF(XLOOKUP(J818,Strike_Review_Queue!$I:$I,Strike_Review_Queue!$J:$J,"")="Deny","Counts",H818)))</f>
        <v/>
      </c>
      <c r="L818" s="39" t="str">
        <f t="array" ref="L818">IF(J818="","",XLOOKUP(J818,Strike_Review_Queue!$I:$I,Strike_Review_Queue!$L:$L,""))</f>
        <v/>
      </c>
      <c r="M818" s="39" t="str">
        <f t="array" ref="M818">IF(J818="","",XLOOKUP(J818,Strike_Review_Queue!$I:$I,Strike_Review_Queue!$M:$M,""))</f>
        <v/>
      </c>
    </row>
    <row r="819" ht="15.75" customHeight="1">
      <c r="C819" s="39"/>
      <c r="D819" s="39" t="str">
        <f>IF(OR(B819="",A819=""),"",MAX(0,MIN(3,SUMIFS($C$2:$C$1000,$B$2:$B$1000,B819,$A$2:$A$1000,"&lt;="&amp;A819,$A$2:$A$1000,"&gt;="&amp;IF(Config!$B$1004="Y",A819-Config!$B$1005,DATE(1900,1,1)),$I$2:$I$1000,1)))))</f>
        <v>#ERROR!</v>
      </c>
      <c r="H819" s="39"/>
      <c r="I819" s="39">
        <f t="shared" si="1"/>
        <v>1</v>
      </c>
      <c r="J819" s="39" t="str">
        <f t="shared" si="2"/>
        <v/>
      </c>
      <c r="K819" s="39" t="str">
        <f t="array" ref="K819">IF(J819="","",IF(XLOOKUP(J819,Strike_Review_Queue!$I:$I,Strike_Review_Queue!$J:$J,"")="Approve","Approved",IF(XLOOKUP(J819,Strike_Review_Queue!$I:$I,Strike_Review_Queue!$J:$J,"")="Deny","Counts",H819)))</f>
        <v/>
      </c>
      <c r="L819" s="39" t="str">
        <f t="array" ref="L819">IF(J819="","",XLOOKUP(J819,Strike_Review_Queue!$I:$I,Strike_Review_Queue!$L:$L,""))</f>
        <v/>
      </c>
      <c r="M819" s="39" t="str">
        <f t="array" ref="M819">IF(J819="","",XLOOKUP(J819,Strike_Review_Queue!$I:$I,Strike_Review_Queue!$M:$M,""))</f>
        <v/>
      </c>
    </row>
    <row r="820" ht="15.75" customHeight="1">
      <c r="C820" s="39"/>
      <c r="D820" s="39" t="str">
        <f>IF(OR(B820="",A820=""),"",MAX(0,MIN(3,SUMIFS($C$2:$C$1000,$B$2:$B$1000,B820,$A$2:$A$1000,"&lt;="&amp;A820,$A$2:$A$1000,"&gt;="&amp;IF(Config!$B$1004="Y",A820-Config!$B$1005,DATE(1900,1,1)),$I$2:$I$1000,1)))))</f>
        <v>#ERROR!</v>
      </c>
      <c r="H820" s="39"/>
      <c r="I820" s="39">
        <f t="shared" si="1"/>
        <v>1</v>
      </c>
      <c r="J820" s="39" t="str">
        <f t="shared" si="2"/>
        <v/>
      </c>
      <c r="K820" s="39" t="str">
        <f t="array" ref="K820">IF(J820="","",IF(XLOOKUP(J820,Strike_Review_Queue!$I:$I,Strike_Review_Queue!$J:$J,"")="Approve","Approved",IF(XLOOKUP(J820,Strike_Review_Queue!$I:$I,Strike_Review_Queue!$J:$J,"")="Deny","Counts",H820)))</f>
        <v/>
      </c>
      <c r="L820" s="39" t="str">
        <f t="array" ref="L820">IF(J820="","",XLOOKUP(J820,Strike_Review_Queue!$I:$I,Strike_Review_Queue!$L:$L,""))</f>
        <v/>
      </c>
      <c r="M820" s="39" t="str">
        <f t="array" ref="M820">IF(J820="","",XLOOKUP(J820,Strike_Review_Queue!$I:$I,Strike_Review_Queue!$M:$M,""))</f>
        <v/>
      </c>
    </row>
    <row r="821" ht="15.75" customHeight="1">
      <c r="C821" s="39"/>
      <c r="D821" s="39" t="str">
        <f>IF(OR(B821="",A821=""),"",MAX(0,MIN(3,SUMIFS($C$2:$C$1000,$B$2:$B$1000,B821,$A$2:$A$1000,"&lt;="&amp;A821,$A$2:$A$1000,"&gt;="&amp;IF(Config!$B$1004="Y",A821-Config!$B$1005,DATE(1900,1,1)),$I$2:$I$1000,1)))))</f>
        <v>#ERROR!</v>
      </c>
      <c r="H821" s="39"/>
      <c r="I821" s="39">
        <f t="shared" si="1"/>
        <v>1</v>
      </c>
      <c r="J821" s="39" t="str">
        <f t="shared" si="2"/>
        <v/>
      </c>
      <c r="K821" s="39" t="str">
        <f t="array" ref="K821">IF(J821="","",IF(XLOOKUP(J821,Strike_Review_Queue!$I:$I,Strike_Review_Queue!$J:$J,"")="Approve","Approved",IF(XLOOKUP(J821,Strike_Review_Queue!$I:$I,Strike_Review_Queue!$J:$J,"")="Deny","Counts",H821)))</f>
        <v/>
      </c>
      <c r="L821" s="39" t="str">
        <f t="array" ref="L821">IF(J821="","",XLOOKUP(J821,Strike_Review_Queue!$I:$I,Strike_Review_Queue!$L:$L,""))</f>
        <v/>
      </c>
      <c r="M821" s="39" t="str">
        <f t="array" ref="M821">IF(J821="","",XLOOKUP(J821,Strike_Review_Queue!$I:$I,Strike_Review_Queue!$M:$M,""))</f>
        <v/>
      </c>
    </row>
    <row r="822" ht="15.75" customHeight="1">
      <c r="C822" s="39"/>
      <c r="D822" s="39" t="str">
        <f>IF(OR(B822="",A822=""),"",MAX(0,MIN(3,SUMIFS($C$2:$C$1000,$B$2:$B$1000,B822,$A$2:$A$1000,"&lt;="&amp;A822,$A$2:$A$1000,"&gt;="&amp;IF(Config!$B$1004="Y",A822-Config!$B$1005,DATE(1900,1,1)),$I$2:$I$1000,1)))))</f>
        <v>#ERROR!</v>
      </c>
      <c r="H822" s="39"/>
      <c r="I822" s="39">
        <f t="shared" si="1"/>
        <v>1</v>
      </c>
      <c r="J822" s="39" t="str">
        <f t="shared" si="2"/>
        <v/>
      </c>
      <c r="K822" s="39" t="str">
        <f t="array" ref="K822">IF(J822="","",IF(XLOOKUP(J822,Strike_Review_Queue!$I:$I,Strike_Review_Queue!$J:$J,"")="Approve","Approved",IF(XLOOKUP(J822,Strike_Review_Queue!$I:$I,Strike_Review_Queue!$J:$J,"")="Deny","Counts",H822)))</f>
        <v/>
      </c>
      <c r="L822" s="39" t="str">
        <f t="array" ref="L822">IF(J822="","",XLOOKUP(J822,Strike_Review_Queue!$I:$I,Strike_Review_Queue!$L:$L,""))</f>
        <v/>
      </c>
      <c r="M822" s="39" t="str">
        <f t="array" ref="M822">IF(J822="","",XLOOKUP(J822,Strike_Review_Queue!$I:$I,Strike_Review_Queue!$M:$M,""))</f>
        <v/>
      </c>
    </row>
    <row r="823" ht="15.75" customHeight="1">
      <c r="C823" s="39"/>
      <c r="D823" s="39" t="str">
        <f>IF(OR(B823="",A823=""),"",MAX(0,MIN(3,SUMIFS($C$2:$C$1000,$B$2:$B$1000,B823,$A$2:$A$1000,"&lt;="&amp;A823,$A$2:$A$1000,"&gt;="&amp;IF(Config!$B$1004="Y",A823-Config!$B$1005,DATE(1900,1,1)),$I$2:$I$1000,1)))))</f>
        <v>#ERROR!</v>
      </c>
      <c r="H823" s="39"/>
      <c r="I823" s="39">
        <f t="shared" si="1"/>
        <v>1</v>
      </c>
      <c r="J823" s="39" t="str">
        <f t="shared" si="2"/>
        <v/>
      </c>
      <c r="K823" s="39" t="str">
        <f t="array" ref="K823">IF(J823="","",IF(XLOOKUP(J823,Strike_Review_Queue!$I:$I,Strike_Review_Queue!$J:$J,"")="Approve","Approved",IF(XLOOKUP(J823,Strike_Review_Queue!$I:$I,Strike_Review_Queue!$J:$J,"")="Deny","Counts",H823)))</f>
        <v/>
      </c>
      <c r="L823" s="39" t="str">
        <f t="array" ref="L823">IF(J823="","",XLOOKUP(J823,Strike_Review_Queue!$I:$I,Strike_Review_Queue!$L:$L,""))</f>
        <v/>
      </c>
      <c r="M823" s="39" t="str">
        <f t="array" ref="M823">IF(J823="","",XLOOKUP(J823,Strike_Review_Queue!$I:$I,Strike_Review_Queue!$M:$M,""))</f>
        <v/>
      </c>
    </row>
    <row r="824" ht="15.75" customHeight="1">
      <c r="C824" s="39"/>
      <c r="D824" s="39" t="str">
        <f>IF(OR(B824="",A824=""),"",MAX(0,MIN(3,SUMIFS($C$2:$C$1000,$B$2:$B$1000,B824,$A$2:$A$1000,"&lt;="&amp;A824,$A$2:$A$1000,"&gt;="&amp;IF(Config!$B$1004="Y",A824-Config!$B$1005,DATE(1900,1,1)),$I$2:$I$1000,1)))))</f>
        <v>#ERROR!</v>
      </c>
      <c r="H824" s="39"/>
      <c r="I824" s="39">
        <f t="shared" si="1"/>
        <v>1</v>
      </c>
      <c r="J824" s="39" t="str">
        <f t="shared" si="2"/>
        <v/>
      </c>
      <c r="K824" s="39" t="str">
        <f t="array" ref="K824">IF(J824="","",IF(XLOOKUP(J824,Strike_Review_Queue!$I:$I,Strike_Review_Queue!$J:$J,"")="Approve","Approved",IF(XLOOKUP(J824,Strike_Review_Queue!$I:$I,Strike_Review_Queue!$J:$J,"")="Deny","Counts",H824)))</f>
        <v/>
      </c>
      <c r="L824" s="39" t="str">
        <f t="array" ref="L824">IF(J824="","",XLOOKUP(J824,Strike_Review_Queue!$I:$I,Strike_Review_Queue!$L:$L,""))</f>
        <v/>
      </c>
      <c r="M824" s="39" t="str">
        <f t="array" ref="M824">IF(J824="","",XLOOKUP(J824,Strike_Review_Queue!$I:$I,Strike_Review_Queue!$M:$M,""))</f>
        <v/>
      </c>
    </row>
    <row r="825" ht="15.75" customHeight="1">
      <c r="C825" s="39"/>
      <c r="D825" s="39" t="str">
        <f>IF(OR(B825="",A825=""),"",MAX(0,MIN(3,SUMIFS($C$2:$C$1000,$B$2:$B$1000,B825,$A$2:$A$1000,"&lt;="&amp;A825,$A$2:$A$1000,"&gt;="&amp;IF(Config!$B$1004="Y",A825-Config!$B$1005,DATE(1900,1,1)),$I$2:$I$1000,1)))))</f>
        <v>#ERROR!</v>
      </c>
      <c r="H825" s="39"/>
      <c r="I825" s="39">
        <f t="shared" si="1"/>
        <v>1</v>
      </c>
      <c r="J825" s="39" t="str">
        <f t="shared" si="2"/>
        <v/>
      </c>
      <c r="K825" s="39" t="str">
        <f t="array" ref="K825">IF(J825="","",IF(XLOOKUP(J825,Strike_Review_Queue!$I:$I,Strike_Review_Queue!$J:$J,"")="Approve","Approved",IF(XLOOKUP(J825,Strike_Review_Queue!$I:$I,Strike_Review_Queue!$J:$J,"")="Deny","Counts",H825)))</f>
        <v/>
      </c>
      <c r="L825" s="39" t="str">
        <f t="array" ref="L825">IF(J825="","",XLOOKUP(J825,Strike_Review_Queue!$I:$I,Strike_Review_Queue!$L:$L,""))</f>
        <v/>
      </c>
      <c r="M825" s="39" t="str">
        <f t="array" ref="M825">IF(J825="","",XLOOKUP(J825,Strike_Review_Queue!$I:$I,Strike_Review_Queue!$M:$M,""))</f>
        <v/>
      </c>
    </row>
    <row r="826" ht="15.75" customHeight="1">
      <c r="C826" s="39"/>
      <c r="D826" s="39" t="str">
        <f>IF(OR(B826="",A826=""),"",MAX(0,MIN(3,SUMIFS($C$2:$C$1000,$B$2:$B$1000,B826,$A$2:$A$1000,"&lt;="&amp;A826,$A$2:$A$1000,"&gt;="&amp;IF(Config!$B$1004="Y",A826-Config!$B$1005,DATE(1900,1,1)),$I$2:$I$1000,1)))))</f>
        <v>#ERROR!</v>
      </c>
      <c r="H826" s="39"/>
      <c r="I826" s="39">
        <f t="shared" si="1"/>
        <v>1</v>
      </c>
      <c r="J826" s="39" t="str">
        <f t="shared" si="2"/>
        <v/>
      </c>
      <c r="K826" s="39" t="str">
        <f t="array" ref="K826">IF(J826="","",IF(XLOOKUP(J826,Strike_Review_Queue!$I:$I,Strike_Review_Queue!$J:$J,"")="Approve","Approved",IF(XLOOKUP(J826,Strike_Review_Queue!$I:$I,Strike_Review_Queue!$J:$J,"")="Deny","Counts",H826)))</f>
        <v/>
      </c>
      <c r="L826" s="39" t="str">
        <f t="array" ref="L826">IF(J826="","",XLOOKUP(J826,Strike_Review_Queue!$I:$I,Strike_Review_Queue!$L:$L,""))</f>
        <v/>
      </c>
      <c r="M826" s="39" t="str">
        <f t="array" ref="M826">IF(J826="","",XLOOKUP(J826,Strike_Review_Queue!$I:$I,Strike_Review_Queue!$M:$M,""))</f>
        <v/>
      </c>
    </row>
    <row r="827" ht="15.75" customHeight="1">
      <c r="C827" s="39"/>
      <c r="D827" s="39" t="str">
        <f>IF(OR(B827="",A827=""),"",MAX(0,MIN(3,SUMIFS($C$2:$C$1000,$B$2:$B$1000,B827,$A$2:$A$1000,"&lt;="&amp;A827,$A$2:$A$1000,"&gt;="&amp;IF(Config!$B$1004="Y",A827-Config!$B$1005,DATE(1900,1,1)),$I$2:$I$1000,1)))))</f>
        <v>#ERROR!</v>
      </c>
      <c r="H827" s="39"/>
      <c r="I827" s="39">
        <f t="shared" si="1"/>
        <v>1</v>
      </c>
      <c r="J827" s="39" t="str">
        <f t="shared" si="2"/>
        <v/>
      </c>
      <c r="K827" s="39" t="str">
        <f t="array" ref="K827">IF(J827="","",IF(XLOOKUP(J827,Strike_Review_Queue!$I:$I,Strike_Review_Queue!$J:$J,"")="Approve","Approved",IF(XLOOKUP(J827,Strike_Review_Queue!$I:$I,Strike_Review_Queue!$J:$J,"")="Deny","Counts",H827)))</f>
        <v/>
      </c>
      <c r="L827" s="39" t="str">
        <f t="array" ref="L827">IF(J827="","",XLOOKUP(J827,Strike_Review_Queue!$I:$I,Strike_Review_Queue!$L:$L,""))</f>
        <v/>
      </c>
      <c r="M827" s="39" t="str">
        <f t="array" ref="M827">IF(J827="","",XLOOKUP(J827,Strike_Review_Queue!$I:$I,Strike_Review_Queue!$M:$M,""))</f>
        <v/>
      </c>
    </row>
    <row r="828" ht="15.75" customHeight="1">
      <c r="C828" s="39"/>
      <c r="D828" s="39" t="str">
        <f>IF(OR(B828="",A828=""),"",MAX(0,MIN(3,SUMIFS($C$2:$C$1000,$B$2:$B$1000,B828,$A$2:$A$1000,"&lt;="&amp;A828,$A$2:$A$1000,"&gt;="&amp;IF(Config!$B$1004="Y",A828-Config!$B$1005,DATE(1900,1,1)),$I$2:$I$1000,1)))))</f>
        <v>#ERROR!</v>
      </c>
      <c r="H828" s="39"/>
      <c r="I828" s="39">
        <f t="shared" si="1"/>
        <v>1</v>
      </c>
      <c r="J828" s="39" t="str">
        <f t="shared" si="2"/>
        <v/>
      </c>
      <c r="K828" s="39" t="str">
        <f t="array" ref="K828">IF(J828="","",IF(XLOOKUP(J828,Strike_Review_Queue!$I:$I,Strike_Review_Queue!$J:$J,"")="Approve","Approved",IF(XLOOKUP(J828,Strike_Review_Queue!$I:$I,Strike_Review_Queue!$J:$J,"")="Deny","Counts",H828)))</f>
        <v/>
      </c>
      <c r="L828" s="39" t="str">
        <f t="array" ref="L828">IF(J828="","",XLOOKUP(J828,Strike_Review_Queue!$I:$I,Strike_Review_Queue!$L:$L,""))</f>
        <v/>
      </c>
      <c r="M828" s="39" t="str">
        <f t="array" ref="M828">IF(J828="","",XLOOKUP(J828,Strike_Review_Queue!$I:$I,Strike_Review_Queue!$M:$M,""))</f>
        <v/>
      </c>
    </row>
    <row r="829" ht="15.75" customHeight="1">
      <c r="C829" s="39"/>
      <c r="D829" s="39" t="str">
        <f>IF(OR(B829="",A829=""),"",MAX(0,MIN(3,SUMIFS($C$2:$C$1000,$B$2:$B$1000,B829,$A$2:$A$1000,"&lt;="&amp;A829,$A$2:$A$1000,"&gt;="&amp;IF(Config!$B$1004="Y",A829-Config!$B$1005,DATE(1900,1,1)),$I$2:$I$1000,1)))))</f>
        <v>#ERROR!</v>
      </c>
      <c r="H829" s="39"/>
      <c r="I829" s="39">
        <f t="shared" si="1"/>
        <v>1</v>
      </c>
      <c r="J829" s="39" t="str">
        <f t="shared" si="2"/>
        <v/>
      </c>
      <c r="K829" s="39" t="str">
        <f t="array" ref="K829">IF(J829="","",IF(XLOOKUP(J829,Strike_Review_Queue!$I:$I,Strike_Review_Queue!$J:$J,"")="Approve","Approved",IF(XLOOKUP(J829,Strike_Review_Queue!$I:$I,Strike_Review_Queue!$J:$J,"")="Deny","Counts",H829)))</f>
        <v/>
      </c>
      <c r="L829" s="39" t="str">
        <f t="array" ref="L829">IF(J829="","",XLOOKUP(J829,Strike_Review_Queue!$I:$I,Strike_Review_Queue!$L:$L,""))</f>
        <v/>
      </c>
      <c r="M829" s="39" t="str">
        <f t="array" ref="M829">IF(J829="","",XLOOKUP(J829,Strike_Review_Queue!$I:$I,Strike_Review_Queue!$M:$M,""))</f>
        <v/>
      </c>
    </row>
    <row r="830" ht="15.75" customHeight="1">
      <c r="C830" s="39"/>
      <c r="D830" s="39" t="str">
        <f>IF(OR(B830="",A830=""),"",MAX(0,MIN(3,SUMIFS($C$2:$C$1000,$B$2:$B$1000,B830,$A$2:$A$1000,"&lt;="&amp;A830,$A$2:$A$1000,"&gt;="&amp;IF(Config!$B$1004="Y",A830-Config!$B$1005,DATE(1900,1,1)),$I$2:$I$1000,1)))))</f>
        <v>#ERROR!</v>
      </c>
      <c r="H830" s="39"/>
      <c r="I830" s="39">
        <f t="shared" si="1"/>
        <v>1</v>
      </c>
      <c r="J830" s="39" t="str">
        <f t="shared" si="2"/>
        <v/>
      </c>
      <c r="K830" s="39" t="str">
        <f t="array" ref="K830">IF(J830="","",IF(XLOOKUP(J830,Strike_Review_Queue!$I:$I,Strike_Review_Queue!$J:$J,"")="Approve","Approved",IF(XLOOKUP(J830,Strike_Review_Queue!$I:$I,Strike_Review_Queue!$J:$J,"")="Deny","Counts",H830)))</f>
        <v/>
      </c>
      <c r="L830" s="39" t="str">
        <f t="array" ref="L830">IF(J830="","",XLOOKUP(J830,Strike_Review_Queue!$I:$I,Strike_Review_Queue!$L:$L,""))</f>
        <v/>
      </c>
      <c r="M830" s="39" t="str">
        <f t="array" ref="M830">IF(J830="","",XLOOKUP(J830,Strike_Review_Queue!$I:$I,Strike_Review_Queue!$M:$M,""))</f>
        <v/>
      </c>
    </row>
    <row r="831" ht="15.75" customHeight="1">
      <c r="C831" s="39"/>
      <c r="D831" s="39" t="str">
        <f>IF(OR(B831="",A831=""),"",MAX(0,MIN(3,SUMIFS($C$2:$C$1000,$B$2:$B$1000,B831,$A$2:$A$1000,"&lt;="&amp;A831,$A$2:$A$1000,"&gt;="&amp;IF(Config!$B$1004="Y",A831-Config!$B$1005,DATE(1900,1,1)),$I$2:$I$1000,1)))))</f>
        <v>#ERROR!</v>
      </c>
      <c r="H831" s="39"/>
      <c r="I831" s="39">
        <f t="shared" si="1"/>
        <v>1</v>
      </c>
      <c r="J831" s="39" t="str">
        <f t="shared" si="2"/>
        <v/>
      </c>
      <c r="K831" s="39" t="str">
        <f t="array" ref="K831">IF(J831="","",IF(XLOOKUP(J831,Strike_Review_Queue!$I:$I,Strike_Review_Queue!$J:$J,"")="Approve","Approved",IF(XLOOKUP(J831,Strike_Review_Queue!$I:$I,Strike_Review_Queue!$J:$J,"")="Deny","Counts",H831)))</f>
        <v/>
      </c>
      <c r="L831" s="39" t="str">
        <f t="array" ref="L831">IF(J831="","",XLOOKUP(J831,Strike_Review_Queue!$I:$I,Strike_Review_Queue!$L:$L,""))</f>
        <v/>
      </c>
      <c r="M831" s="39" t="str">
        <f t="array" ref="M831">IF(J831="","",XLOOKUP(J831,Strike_Review_Queue!$I:$I,Strike_Review_Queue!$M:$M,""))</f>
        <v/>
      </c>
    </row>
    <row r="832" ht="15.75" customHeight="1">
      <c r="C832" s="39"/>
      <c r="D832" s="39" t="str">
        <f>IF(OR(B832="",A832=""),"",MAX(0,MIN(3,SUMIFS($C$2:$C$1000,$B$2:$B$1000,B832,$A$2:$A$1000,"&lt;="&amp;A832,$A$2:$A$1000,"&gt;="&amp;IF(Config!$B$1004="Y",A832-Config!$B$1005,DATE(1900,1,1)),$I$2:$I$1000,1)))))</f>
        <v>#ERROR!</v>
      </c>
      <c r="H832" s="39"/>
      <c r="I832" s="39">
        <f t="shared" si="1"/>
        <v>1</v>
      </c>
      <c r="J832" s="39" t="str">
        <f t="shared" si="2"/>
        <v/>
      </c>
      <c r="K832" s="39" t="str">
        <f t="array" ref="K832">IF(J832="","",IF(XLOOKUP(J832,Strike_Review_Queue!$I:$I,Strike_Review_Queue!$J:$J,"")="Approve","Approved",IF(XLOOKUP(J832,Strike_Review_Queue!$I:$I,Strike_Review_Queue!$J:$J,"")="Deny","Counts",H832)))</f>
        <v/>
      </c>
      <c r="L832" s="39" t="str">
        <f t="array" ref="L832">IF(J832="","",XLOOKUP(J832,Strike_Review_Queue!$I:$I,Strike_Review_Queue!$L:$L,""))</f>
        <v/>
      </c>
      <c r="M832" s="39" t="str">
        <f t="array" ref="M832">IF(J832="","",XLOOKUP(J832,Strike_Review_Queue!$I:$I,Strike_Review_Queue!$M:$M,""))</f>
        <v/>
      </c>
    </row>
    <row r="833" ht="15.75" customHeight="1">
      <c r="C833" s="39"/>
      <c r="D833" s="39" t="str">
        <f>IF(OR(B833="",A833=""),"",MAX(0,MIN(3,SUMIFS($C$2:$C$1000,$B$2:$B$1000,B833,$A$2:$A$1000,"&lt;="&amp;A833,$A$2:$A$1000,"&gt;="&amp;IF(Config!$B$1004="Y",A833-Config!$B$1005,DATE(1900,1,1)),$I$2:$I$1000,1)))))</f>
        <v>#ERROR!</v>
      </c>
      <c r="H833" s="39"/>
      <c r="I833" s="39">
        <f t="shared" si="1"/>
        <v>1</v>
      </c>
      <c r="J833" s="39" t="str">
        <f t="shared" si="2"/>
        <v/>
      </c>
      <c r="K833" s="39" t="str">
        <f t="array" ref="K833">IF(J833="","",IF(XLOOKUP(J833,Strike_Review_Queue!$I:$I,Strike_Review_Queue!$J:$J,"")="Approve","Approved",IF(XLOOKUP(J833,Strike_Review_Queue!$I:$I,Strike_Review_Queue!$J:$J,"")="Deny","Counts",H833)))</f>
        <v/>
      </c>
      <c r="L833" s="39" t="str">
        <f t="array" ref="L833">IF(J833="","",XLOOKUP(J833,Strike_Review_Queue!$I:$I,Strike_Review_Queue!$L:$L,""))</f>
        <v/>
      </c>
      <c r="M833" s="39" t="str">
        <f t="array" ref="M833">IF(J833="","",XLOOKUP(J833,Strike_Review_Queue!$I:$I,Strike_Review_Queue!$M:$M,""))</f>
        <v/>
      </c>
    </row>
    <row r="834" ht="15.75" customHeight="1">
      <c r="C834" s="39"/>
      <c r="D834" s="39" t="str">
        <f>IF(OR(B834="",A834=""),"",MAX(0,MIN(3,SUMIFS($C$2:$C$1000,$B$2:$B$1000,B834,$A$2:$A$1000,"&lt;="&amp;A834,$A$2:$A$1000,"&gt;="&amp;IF(Config!$B$1004="Y",A834-Config!$B$1005,DATE(1900,1,1)),$I$2:$I$1000,1)))))</f>
        <v>#ERROR!</v>
      </c>
      <c r="H834" s="39"/>
      <c r="I834" s="39">
        <f t="shared" si="1"/>
        <v>1</v>
      </c>
      <c r="J834" s="39" t="str">
        <f t="shared" si="2"/>
        <v/>
      </c>
      <c r="K834" s="39" t="str">
        <f t="array" ref="K834">IF(J834="","",IF(XLOOKUP(J834,Strike_Review_Queue!$I:$I,Strike_Review_Queue!$J:$J,"")="Approve","Approved",IF(XLOOKUP(J834,Strike_Review_Queue!$I:$I,Strike_Review_Queue!$J:$J,"")="Deny","Counts",H834)))</f>
        <v/>
      </c>
      <c r="L834" s="39" t="str">
        <f t="array" ref="L834">IF(J834="","",XLOOKUP(J834,Strike_Review_Queue!$I:$I,Strike_Review_Queue!$L:$L,""))</f>
        <v/>
      </c>
      <c r="M834" s="39" t="str">
        <f t="array" ref="M834">IF(J834="","",XLOOKUP(J834,Strike_Review_Queue!$I:$I,Strike_Review_Queue!$M:$M,""))</f>
        <v/>
      </c>
    </row>
    <row r="835" ht="15.75" customHeight="1">
      <c r="C835" s="39"/>
      <c r="D835" s="39" t="str">
        <f>IF(OR(B835="",A835=""),"",MAX(0,MIN(3,SUMIFS($C$2:$C$1000,$B$2:$B$1000,B835,$A$2:$A$1000,"&lt;="&amp;A835,$A$2:$A$1000,"&gt;="&amp;IF(Config!$B$1004="Y",A835-Config!$B$1005,DATE(1900,1,1)),$I$2:$I$1000,1)))))</f>
        <v>#ERROR!</v>
      </c>
      <c r="H835" s="39"/>
      <c r="I835" s="39">
        <f t="shared" si="1"/>
        <v>1</v>
      </c>
      <c r="J835" s="39" t="str">
        <f t="shared" si="2"/>
        <v/>
      </c>
      <c r="K835" s="39" t="str">
        <f t="array" ref="K835">IF(J835="","",IF(XLOOKUP(J835,Strike_Review_Queue!$I:$I,Strike_Review_Queue!$J:$J,"")="Approve","Approved",IF(XLOOKUP(J835,Strike_Review_Queue!$I:$I,Strike_Review_Queue!$J:$J,"")="Deny","Counts",H835)))</f>
        <v/>
      </c>
      <c r="L835" s="39" t="str">
        <f t="array" ref="L835">IF(J835="","",XLOOKUP(J835,Strike_Review_Queue!$I:$I,Strike_Review_Queue!$L:$L,""))</f>
        <v/>
      </c>
      <c r="M835" s="39" t="str">
        <f t="array" ref="M835">IF(J835="","",XLOOKUP(J835,Strike_Review_Queue!$I:$I,Strike_Review_Queue!$M:$M,""))</f>
        <v/>
      </c>
    </row>
    <row r="836" ht="15.75" customHeight="1">
      <c r="C836" s="39"/>
      <c r="D836" s="39" t="str">
        <f>IF(OR(B836="",A836=""),"",MAX(0,MIN(3,SUMIFS($C$2:$C$1000,$B$2:$B$1000,B836,$A$2:$A$1000,"&lt;="&amp;A836,$A$2:$A$1000,"&gt;="&amp;IF(Config!$B$1004="Y",A836-Config!$B$1005,DATE(1900,1,1)),$I$2:$I$1000,1)))))</f>
        <v>#ERROR!</v>
      </c>
      <c r="H836" s="39"/>
      <c r="I836" s="39">
        <f t="shared" si="1"/>
        <v>1</v>
      </c>
      <c r="J836" s="39" t="str">
        <f t="shared" si="2"/>
        <v/>
      </c>
      <c r="K836" s="39" t="str">
        <f t="array" ref="K836">IF(J836="","",IF(XLOOKUP(J836,Strike_Review_Queue!$I:$I,Strike_Review_Queue!$J:$J,"")="Approve","Approved",IF(XLOOKUP(J836,Strike_Review_Queue!$I:$I,Strike_Review_Queue!$J:$J,"")="Deny","Counts",H836)))</f>
        <v/>
      </c>
      <c r="L836" s="39" t="str">
        <f t="array" ref="L836">IF(J836="","",XLOOKUP(J836,Strike_Review_Queue!$I:$I,Strike_Review_Queue!$L:$L,""))</f>
        <v/>
      </c>
      <c r="M836" s="39" t="str">
        <f t="array" ref="M836">IF(J836="","",XLOOKUP(J836,Strike_Review_Queue!$I:$I,Strike_Review_Queue!$M:$M,""))</f>
        <v/>
      </c>
    </row>
    <row r="837" ht="15.75" customHeight="1">
      <c r="C837" s="39"/>
      <c r="D837" s="39" t="str">
        <f>IF(OR(B837="",A837=""),"",MAX(0,MIN(3,SUMIFS($C$2:$C$1000,$B$2:$B$1000,B837,$A$2:$A$1000,"&lt;="&amp;A837,$A$2:$A$1000,"&gt;="&amp;IF(Config!$B$1004="Y",A837-Config!$B$1005,DATE(1900,1,1)),$I$2:$I$1000,1)))))</f>
        <v>#ERROR!</v>
      </c>
      <c r="H837" s="39"/>
      <c r="I837" s="39">
        <f t="shared" si="1"/>
        <v>1</v>
      </c>
      <c r="J837" s="39" t="str">
        <f t="shared" si="2"/>
        <v/>
      </c>
      <c r="K837" s="39" t="str">
        <f t="array" ref="K837">IF(J837="","",IF(XLOOKUP(J837,Strike_Review_Queue!$I:$I,Strike_Review_Queue!$J:$J,"")="Approve","Approved",IF(XLOOKUP(J837,Strike_Review_Queue!$I:$I,Strike_Review_Queue!$J:$J,"")="Deny","Counts",H837)))</f>
        <v/>
      </c>
      <c r="L837" s="39" t="str">
        <f t="array" ref="L837">IF(J837="","",XLOOKUP(J837,Strike_Review_Queue!$I:$I,Strike_Review_Queue!$L:$L,""))</f>
        <v/>
      </c>
      <c r="M837" s="39" t="str">
        <f t="array" ref="M837">IF(J837="","",XLOOKUP(J837,Strike_Review_Queue!$I:$I,Strike_Review_Queue!$M:$M,""))</f>
        <v/>
      </c>
    </row>
    <row r="838" ht="15.75" customHeight="1">
      <c r="C838" s="39"/>
      <c r="D838" s="39" t="str">
        <f>IF(OR(B838="",A838=""),"",MAX(0,MIN(3,SUMIFS($C$2:$C$1000,$B$2:$B$1000,B838,$A$2:$A$1000,"&lt;="&amp;A838,$A$2:$A$1000,"&gt;="&amp;IF(Config!$B$1004="Y",A838-Config!$B$1005,DATE(1900,1,1)),$I$2:$I$1000,1)))))</f>
        <v>#ERROR!</v>
      </c>
      <c r="H838" s="39"/>
      <c r="I838" s="39">
        <f t="shared" si="1"/>
        <v>1</v>
      </c>
      <c r="J838" s="39" t="str">
        <f t="shared" si="2"/>
        <v/>
      </c>
      <c r="K838" s="39" t="str">
        <f t="array" ref="K838">IF(J838="","",IF(XLOOKUP(J838,Strike_Review_Queue!$I:$I,Strike_Review_Queue!$J:$J,"")="Approve","Approved",IF(XLOOKUP(J838,Strike_Review_Queue!$I:$I,Strike_Review_Queue!$J:$J,"")="Deny","Counts",H838)))</f>
        <v/>
      </c>
      <c r="L838" s="39" t="str">
        <f t="array" ref="L838">IF(J838="","",XLOOKUP(J838,Strike_Review_Queue!$I:$I,Strike_Review_Queue!$L:$L,""))</f>
        <v/>
      </c>
      <c r="M838" s="39" t="str">
        <f t="array" ref="M838">IF(J838="","",XLOOKUP(J838,Strike_Review_Queue!$I:$I,Strike_Review_Queue!$M:$M,""))</f>
        <v/>
      </c>
    </row>
    <row r="839" ht="15.75" customHeight="1">
      <c r="C839" s="39"/>
      <c r="D839" s="39" t="str">
        <f>IF(OR(B839="",A839=""),"",MAX(0,MIN(3,SUMIFS($C$2:$C$1000,$B$2:$B$1000,B839,$A$2:$A$1000,"&lt;="&amp;A839,$A$2:$A$1000,"&gt;="&amp;IF(Config!$B$1004="Y",A839-Config!$B$1005,DATE(1900,1,1)),$I$2:$I$1000,1)))))</f>
        <v>#ERROR!</v>
      </c>
      <c r="H839" s="39"/>
      <c r="I839" s="39">
        <f t="shared" si="1"/>
        <v>1</v>
      </c>
      <c r="J839" s="39" t="str">
        <f t="shared" si="2"/>
        <v/>
      </c>
      <c r="K839" s="39" t="str">
        <f t="array" ref="K839">IF(J839="","",IF(XLOOKUP(J839,Strike_Review_Queue!$I:$I,Strike_Review_Queue!$J:$J,"")="Approve","Approved",IF(XLOOKUP(J839,Strike_Review_Queue!$I:$I,Strike_Review_Queue!$J:$J,"")="Deny","Counts",H839)))</f>
        <v/>
      </c>
      <c r="L839" s="39" t="str">
        <f t="array" ref="L839">IF(J839="","",XLOOKUP(J839,Strike_Review_Queue!$I:$I,Strike_Review_Queue!$L:$L,""))</f>
        <v/>
      </c>
      <c r="M839" s="39" t="str">
        <f t="array" ref="M839">IF(J839="","",XLOOKUP(J839,Strike_Review_Queue!$I:$I,Strike_Review_Queue!$M:$M,""))</f>
        <v/>
      </c>
    </row>
    <row r="840" ht="15.75" customHeight="1">
      <c r="C840" s="39"/>
      <c r="D840" s="39" t="str">
        <f>IF(OR(B840="",A840=""),"",MAX(0,MIN(3,SUMIFS($C$2:$C$1000,$B$2:$B$1000,B840,$A$2:$A$1000,"&lt;="&amp;A840,$A$2:$A$1000,"&gt;="&amp;IF(Config!$B$1004="Y",A840-Config!$B$1005,DATE(1900,1,1)),$I$2:$I$1000,1)))))</f>
        <v>#ERROR!</v>
      </c>
      <c r="H840" s="39"/>
      <c r="I840" s="39">
        <f t="shared" si="1"/>
        <v>1</v>
      </c>
      <c r="J840" s="39" t="str">
        <f t="shared" si="2"/>
        <v/>
      </c>
      <c r="K840" s="39" t="str">
        <f t="array" ref="K840">IF(J840="","",IF(XLOOKUP(J840,Strike_Review_Queue!$I:$I,Strike_Review_Queue!$J:$J,"")="Approve","Approved",IF(XLOOKUP(J840,Strike_Review_Queue!$I:$I,Strike_Review_Queue!$J:$J,"")="Deny","Counts",H840)))</f>
        <v/>
      </c>
      <c r="L840" s="39" t="str">
        <f t="array" ref="L840">IF(J840="","",XLOOKUP(J840,Strike_Review_Queue!$I:$I,Strike_Review_Queue!$L:$L,""))</f>
        <v/>
      </c>
      <c r="M840" s="39" t="str">
        <f t="array" ref="M840">IF(J840="","",XLOOKUP(J840,Strike_Review_Queue!$I:$I,Strike_Review_Queue!$M:$M,""))</f>
        <v/>
      </c>
    </row>
    <row r="841" ht="15.75" customHeight="1">
      <c r="C841" s="39"/>
      <c r="D841" s="39" t="str">
        <f>IF(OR(B841="",A841=""),"",MAX(0,MIN(3,SUMIFS($C$2:$C$1000,$B$2:$B$1000,B841,$A$2:$A$1000,"&lt;="&amp;A841,$A$2:$A$1000,"&gt;="&amp;IF(Config!$B$1004="Y",A841-Config!$B$1005,DATE(1900,1,1)),$I$2:$I$1000,1)))))</f>
        <v>#ERROR!</v>
      </c>
      <c r="H841" s="39"/>
      <c r="I841" s="39">
        <f t="shared" si="1"/>
        <v>1</v>
      </c>
      <c r="J841" s="39" t="str">
        <f t="shared" si="2"/>
        <v/>
      </c>
      <c r="K841" s="39" t="str">
        <f t="array" ref="K841">IF(J841="","",IF(XLOOKUP(J841,Strike_Review_Queue!$I:$I,Strike_Review_Queue!$J:$J,"")="Approve","Approved",IF(XLOOKUP(J841,Strike_Review_Queue!$I:$I,Strike_Review_Queue!$J:$J,"")="Deny","Counts",H841)))</f>
        <v/>
      </c>
      <c r="L841" s="39" t="str">
        <f t="array" ref="L841">IF(J841="","",XLOOKUP(J841,Strike_Review_Queue!$I:$I,Strike_Review_Queue!$L:$L,""))</f>
        <v/>
      </c>
      <c r="M841" s="39" t="str">
        <f t="array" ref="M841">IF(J841="","",XLOOKUP(J841,Strike_Review_Queue!$I:$I,Strike_Review_Queue!$M:$M,""))</f>
        <v/>
      </c>
    </row>
    <row r="842" ht="15.75" customHeight="1">
      <c r="C842" s="39"/>
      <c r="D842" s="39" t="str">
        <f>IF(OR(B842="",A842=""),"",MAX(0,MIN(3,SUMIFS($C$2:$C$1000,$B$2:$B$1000,B842,$A$2:$A$1000,"&lt;="&amp;A842,$A$2:$A$1000,"&gt;="&amp;IF(Config!$B$1004="Y",A842-Config!$B$1005,DATE(1900,1,1)),$I$2:$I$1000,1)))))</f>
        <v>#ERROR!</v>
      </c>
      <c r="H842" s="39"/>
      <c r="I842" s="39">
        <f t="shared" si="1"/>
        <v>1</v>
      </c>
      <c r="J842" s="39" t="str">
        <f t="shared" si="2"/>
        <v/>
      </c>
      <c r="K842" s="39" t="str">
        <f t="array" ref="K842">IF(J842="","",IF(XLOOKUP(J842,Strike_Review_Queue!$I:$I,Strike_Review_Queue!$J:$J,"")="Approve","Approved",IF(XLOOKUP(J842,Strike_Review_Queue!$I:$I,Strike_Review_Queue!$J:$J,"")="Deny","Counts",H842)))</f>
        <v/>
      </c>
      <c r="L842" s="39" t="str">
        <f t="array" ref="L842">IF(J842="","",XLOOKUP(J842,Strike_Review_Queue!$I:$I,Strike_Review_Queue!$L:$L,""))</f>
        <v/>
      </c>
      <c r="M842" s="39" t="str">
        <f t="array" ref="M842">IF(J842="","",XLOOKUP(J842,Strike_Review_Queue!$I:$I,Strike_Review_Queue!$M:$M,""))</f>
        <v/>
      </c>
    </row>
    <row r="843" ht="15.75" customHeight="1">
      <c r="C843" s="39"/>
      <c r="D843" s="39" t="str">
        <f>IF(OR(B843="",A843=""),"",MAX(0,MIN(3,SUMIFS($C$2:$C$1000,$B$2:$B$1000,B843,$A$2:$A$1000,"&lt;="&amp;A843,$A$2:$A$1000,"&gt;="&amp;IF(Config!$B$1004="Y",A843-Config!$B$1005,DATE(1900,1,1)),$I$2:$I$1000,1)))))</f>
        <v>#ERROR!</v>
      </c>
      <c r="H843" s="39"/>
      <c r="I843" s="39">
        <f t="shared" si="1"/>
        <v>1</v>
      </c>
      <c r="J843" s="39" t="str">
        <f t="shared" si="2"/>
        <v/>
      </c>
      <c r="K843" s="39" t="str">
        <f t="array" ref="K843">IF(J843="","",IF(XLOOKUP(J843,Strike_Review_Queue!$I:$I,Strike_Review_Queue!$J:$J,"")="Approve","Approved",IF(XLOOKUP(J843,Strike_Review_Queue!$I:$I,Strike_Review_Queue!$J:$J,"")="Deny","Counts",H843)))</f>
        <v/>
      </c>
      <c r="L843" s="39" t="str">
        <f t="array" ref="L843">IF(J843="","",XLOOKUP(J843,Strike_Review_Queue!$I:$I,Strike_Review_Queue!$L:$L,""))</f>
        <v/>
      </c>
      <c r="M843" s="39" t="str">
        <f t="array" ref="M843">IF(J843="","",XLOOKUP(J843,Strike_Review_Queue!$I:$I,Strike_Review_Queue!$M:$M,""))</f>
        <v/>
      </c>
    </row>
    <row r="844" ht="15.75" customHeight="1">
      <c r="C844" s="39"/>
      <c r="D844" s="39" t="str">
        <f>IF(OR(B844="",A844=""),"",MAX(0,MIN(3,SUMIFS($C$2:$C$1000,$B$2:$B$1000,B844,$A$2:$A$1000,"&lt;="&amp;A844,$A$2:$A$1000,"&gt;="&amp;IF(Config!$B$1004="Y",A844-Config!$B$1005,DATE(1900,1,1)),$I$2:$I$1000,1)))))</f>
        <v>#ERROR!</v>
      </c>
      <c r="H844" s="39"/>
      <c r="I844" s="39">
        <f t="shared" si="1"/>
        <v>1</v>
      </c>
      <c r="J844" s="39" t="str">
        <f t="shared" si="2"/>
        <v/>
      </c>
      <c r="K844" s="39" t="str">
        <f t="array" ref="K844">IF(J844="","",IF(XLOOKUP(J844,Strike_Review_Queue!$I:$I,Strike_Review_Queue!$J:$J,"")="Approve","Approved",IF(XLOOKUP(J844,Strike_Review_Queue!$I:$I,Strike_Review_Queue!$J:$J,"")="Deny","Counts",H844)))</f>
        <v/>
      </c>
      <c r="L844" s="39" t="str">
        <f t="array" ref="L844">IF(J844="","",XLOOKUP(J844,Strike_Review_Queue!$I:$I,Strike_Review_Queue!$L:$L,""))</f>
        <v/>
      </c>
      <c r="M844" s="39" t="str">
        <f t="array" ref="M844">IF(J844="","",XLOOKUP(J844,Strike_Review_Queue!$I:$I,Strike_Review_Queue!$M:$M,""))</f>
        <v/>
      </c>
    </row>
    <row r="845" ht="15.75" customHeight="1">
      <c r="C845" s="39"/>
      <c r="D845" s="39" t="str">
        <f>IF(OR(B845="",A845=""),"",MAX(0,MIN(3,SUMIFS($C$2:$C$1000,$B$2:$B$1000,B845,$A$2:$A$1000,"&lt;="&amp;A845,$A$2:$A$1000,"&gt;="&amp;IF(Config!$B$1004="Y",A845-Config!$B$1005,DATE(1900,1,1)),$I$2:$I$1000,1)))))</f>
        <v>#ERROR!</v>
      </c>
      <c r="H845" s="39"/>
      <c r="I845" s="39">
        <f t="shared" si="1"/>
        <v>1</v>
      </c>
      <c r="J845" s="39" t="str">
        <f t="shared" si="2"/>
        <v/>
      </c>
      <c r="K845" s="39" t="str">
        <f t="array" ref="K845">IF(J845="","",IF(XLOOKUP(J845,Strike_Review_Queue!$I:$I,Strike_Review_Queue!$J:$J,"")="Approve","Approved",IF(XLOOKUP(J845,Strike_Review_Queue!$I:$I,Strike_Review_Queue!$J:$J,"")="Deny","Counts",H845)))</f>
        <v/>
      </c>
      <c r="L845" s="39" t="str">
        <f t="array" ref="L845">IF(J845="","",XLOOKUP(J845,Strike_Review_Queue!$I:$I,Strike_Review_Queue!$L:$L,""))</f>
        <v/>
      </c>
      <c r="M845" s="39" t="str">
        <f t="array" ref="M845">IF(J845="","",XLOOKUP(J845,Strike_Review_Queue!$I:$I,Strike_Review_Queue!$M:$M,""))</f>
        <v/>
      </c>
    </row>
    <row r="846" ht="15.75" customHeight="1">
      <c r="C846" s="39"/>
      <c r="D846" s="39" t="str">
        <f>IF(OR(B846="",A846=""),"",MAX(0,MIN(3,SUMIFS($C$2:$C$1000,$B$2:$B$1000,B846,$A$2:$A$1000,"&lt;="&amp;A846,$A$2:$A$1000,"&gt;="&amp;IF(Config!$B$1004="Y",A846-Config!$B$1005,DATE(1900,1,1)),$I$2:$I$1000,1)))))</f>
        <v>#ERROR!</v>
      </c>
      <c r="H846" s="39"/>
      <c r="I846" s="39">
        <f t="shared" si="1"/>
        <v>1</v>
      </c>
      <c r="J846" s="39" t="str">
        <f t="shared" si="2"/>
        <v/>
      </c>
      <c r="K846" s="39" t="str">
        <f t="array" ref="K846">IF(J846="","",IF(XLOOKUP(J846,Strike_Review_Queue!$I:$I,Strike_Review_Queue!$J:$J,"")="Approve","Approved",IF(XLOOKUP(J846,Strike_Review_Queue!$I:$I,Strike_Review_Queue!$J:$J,"")="Deny","Counts",H846)))</f>
        <v/>
      </c>
      <c r="L846" s="39" t="str">
        <f t="array" ref="L846">IF(J846="","",XLOOKUP(J846,Strike_Review_Queue!$I:$I,Strike_Review_Queue!$L:$L,""))</f>
        <v/>
      </c>
      <c r="M846" s="39" t="str">
        <f t="array" ref="M846">IF(J846="","",XLOOKUP(J846,Strike_Review_Queue!$I:$I,Strike_Review_Queue!$M:$M,""))</f>
        <v/>
      </c>
    </row>
    <row r="847" ht="15.75" customHeight="1">
      <c r="C847" s="39"/>
      <c r="D847" s="39" t="str">
        <f>IF(OR(B847="",A847=""),"",MAX(0,MIN(3,SUMIFS($C$2:$C$1000,$B$2:$B$1000,B847,$A$2:$A$1000,"&lt;="&amp;A847,$A$2:$A$1000,"&gt;="&amp;IF(Config!$B$1004="Y",A847-Config!$B$1005,DATE(1900,1,1)),$I$2:$I$1000,1)))))</f>
        <v>#ERROR!</v>
      </c>
      <c r="H847" s="39"/>
      <c r="I847" s="39">
        <f t="shared" si="1"/>
        <v>1</v>
      </c>
      <c r="J847" s="39" t="str">
        <f t="shared" si="2"/>
        <v/>
      </c>
      <c r="K847" s="39" t="str">
        <f t="array" ref="K847">IF(J847="","",IF(XLOOKUP(J847,Strike_Review_Queue!$I:$I,Strike_Review_Queue!$J:$J,"")="Approve","Approved",IF(XLOOKUP(J847,Strike_Review_Queue!$I:$I,Strike_Review_Queue!$J:$J,"")="Deny","Counts",H847)))</f>
        <v/>
      </c>
      <c r="L847" s="39" t="str">
        <f t="array" ref="L847">IF(J847="","",XLOOKUP(J847,Strike_Review_Queue!$I:$I,Strike_Review_Queue!$L:$L,""))</f>
        <v/>
      </c>
      <c r="M847" s="39" t="str">
        <f t="array" ref="M847">IF(J847="","",XLOOKUP(J847,Strike_Review_Queue!$I:$I,Strike_Review_Queue!$M:$M,""))</f>
        <v/>
      </c>
    </row>
    <row r="848" ht="15.75" customHeight="1">
      <c r="C848" s="39"/>
      <c r="D848" s="39" t="str">
        <f>IF(OR(B848="",A848=""),"",MAX(0,MIN(3,SUMIFS($C$2:$C$1000,$B$2:$B$1000,B848,$A$2:$A$1000,"&lt;="&amp;A848,$A$2:$A$1000,"&gt;="&amp;IF(Config!$B$1004="Y",A848-Config!$B$1005,DATE(1900,1,1)),$I$2:$I$1000,1)))))</f>
        <v>#ERROR!</v>
      </c>
      <c r="H848" s="39"/>
      <c r="I848" s="39">
        <f t="shared" si="1"/>
        <v>1</v>
      </c>
      <c r="J848" s="39" t="str">
        <f t="shared" si="2"/>
        <v/>
      </c>
      <c r="K848" s="39" t="str">
        <f t="array" ref="K848">IF(J848="","",IF(XLOOKUP(J848,Strike_Review_Queue!$I:$I,Strike_Review_Queue!$J:$J,"")="Approve","Approved",IF(XLOOKUP(J848,Strike_Review_Queue!$I:$I,Strike_Review_Queue!$J:$J,"")="Deny","Counts",H848)))</f>
        <v/>
      </c>
      <c r="L848" s="39" t="str">
        <f t="array" ref="L848">IF(J848="","",XLOOKUP(J848,Strike_Review_Queue!$I:$I,Strike_Review_Queue!$L:$L,""))</f>
        <v/>
      </c>
      <c r="M848" s="39" t="str">
        <f t="array" ref="M848">IF(J848="","",XLOOKUP(J848,Strike_Review_Queue!$I:$I,Strike_Review_Queue!$M:$M,""))</f>
        <v/>
      </c>
    </row>
    <row r="849" ht="15.75" customHeight="1">
      <c r="C849" s="39"/>
      <c r="D849" s="39" t="str">
        <f>IF(OR(B849="",A849=""),"",MAX(0,MIN(3,SUMIFS($C$2:$C$1000,$B$2:$B$1000,B849,$A$2:$A$1000,"&lt;="&amp;A849,$A$2:$A$1000,"&gt;="&amp;IF(Config!$B$1004="Y",A849-Config!$B$1005,DATE(1900,1,1)),$I$2:$I$1000,1)))))</f>
        <v>#ERROR!</v>
      </c>
      <c r="H849" s="39"/>
      <c r="I849" s="39">
        <f t="shared" si="1"/>
        <v>1</v>
      </c>
      <c r="J849" s="39" t="str">
        <f t="shared" si="2"/>
        <v/>
      </c>
      <c r="K849" s="39" t="str">
        <f t="array" ref="K849">IF(J849="","",IF(XLOOKUP(J849,Strike_Review_Queue!$I:$I,Strike_Review_Queue!$J:$J,"")="Approve","Approved",IF(XLOOKUP(J849,Strike_Review_Queue!$I:$I,Strike_Review_Queue!$J:$J,"")="Deny","Counts",H849)))</f>
        <v/>
      </c>
      <c r="L849" s="39" t="str">
        <f t="array" ref="L849">IF(J849="","",XLOOKUP(J849,Strike_Review_Queue!$I:$I,Strike_Review_Queue!$L:$L,""))</f>
        <v/>
      </c>
      <c r="M849" s="39" t="str">
        <f t="array" ref="M849">IF(J849="","",XLOOKUP(J849,Strike_Review_Queue!$I:$I,Strike_Review_Queue!$M:$M,""))</f>
        <v/>
      </c>
    </row>
    <row r="850" ht="15.75" customHeight="1">
      <c r="C850" s="39"/>
      <c r="D850" s="39" t="str">
        <f>IF(OR(B850="",A850=""),"",MAX(0,MIN(3,SUMIFS($C$2:$C$1000,$B$2:$B$1000,B850,$A$2:$A$1000,"&lt;="&amp;A850,$A$2:$A$1000,"&gt;="&amp;IF(Config!$B$1004="Y",A850-Config!$B$1005,DATE(1900,1,1)),$I$2:$I$1000,1)))))</f>
        <v>#ERROR!</v>
      </c>
      <c r="H850" s="39"/>
      <c r="I850" s="39">
        <f t="shared" si="1"/>
        <v>1</v>
      </c>
      <c r="J850" s="39" t="str">
        <f t="shared" si="2"/>
        <v/>
      </c>
      <c r="K850" s="39" t="str">
        <f t="array" ref="K850">IF(J850="","",IF(XLOOKUP(J850,Strike_Review_Queue!$I:$I,Strike_Review_Queue!$J:$J,"")="Approve","Approved",IF(XLOOKUP(J850,Strike_Review_Queue!$I:$I,Strike_Review_Queue!$J:$J,"")="Deny","Counts",H850)))</f>
        <v/>
      </c>
      <c r="L850" s="39" t="str">
        <f t="array" ref="L850">IF(J850="","",XLOOKUP(J850,Strike_Review_Queue!$I:$I,Strike_Review_Queue!$L:$L,""))</f>
        <v/>
      </c>
      <c r="M850" s="39" t="str">
        <f t="array" ref="M850">IF(J850="","",XLOOKUP(J850,Strike_Review_Queue!$I:$I,Strike_Review_Queue!$M:$M,""))</f>
        <v/>
      </c>
    </row>
    <row r="851" ht="15.75" customHeight="1">
      <c r="C851" s="39"/>
      <c r="D851" s="39" t="str">
        <f>IF(OR(B851="",A851=""),"",MAX(0,MIN(3,SUMIFS($C$2:$C$1000,$B$2:$B$1000,B851,$A$2:$A$1000,"&lt;="&amp;A851,$A$2:$A$1000,"&gt;="&amp;IF(Config!$B$1004="Y",A851-Config!$B$1005,DATE(1900,1,1)),$I$2:$I$1000,1)))))</f>
        <v>#ERROR!</v>
      </c>
      <c r="H851" s="39"/>
      <c r="I851" s="39">
        <f t="shared" si="1"/>
        <v>1</v>
      </c>
      <c r="J851" s="39" t="str">
        <f t="shared" si="2"/>
        <v/>
      </c>
      <c r="K851" s="39" t="str">
        <f t="array" ref="K851">IF(J851="","",IF(XLOOKUP(J851,Strike_Review_Queue!$I:$I,Strike_Review_Queue!$J:$J,"")="Approve","Approved",IF(XLOOKUP(J851,Strike_Review_Queue!$I:$I,Strike_Review_Queue!$J:$J,"")="Deny","Counts",H851)))</f>
        <v/>
      </c>
      <c r="L851" s="39" t="str">
        <f t="array" ref="L851">IF(J851="","",XLOOKUP(J851,Strike_Review_Queue!$I:$I,Strike_Review_Queue!$L:$L,""))</f>
        <v/>
      </c>
      <c r="M851" s="39" t="str">
        <f t="array" ref="M851">IF(J851="","",XLOOKUP(J851,Strike_Review_Queue!$I:$I,Strike_Review_Queue!$M:$M,""))</f>
        <v/>
      </c>
    </row>
    <row r="852" ht="15.75" customHeight="1">
      <c r="C852" s="39"/>
      <c r="D852" s="39" t="str">
        <f>IF(OR(B852="",A852=""),"",MAX(0,MIN(3,SUMIFS($C$2:$C$1000,$B$2:$B$1000,B852,$A$2:$A$1000,"&lt;="&amp;A852,$A$2:$A$1000,"&gt;="&amp;IF(Config!$B$1004="Y",A852-Config!$B$1005,DATE(1900,1,1)),$I$2:$I$1000,1)))))</f>
        <v>#ERROR!</v>
      </c>
      <c r="H852" s="39"/>
      <c r="I852" s="39">
        <f t="shared" si="1"/>
        <v>1</v>
      </c>
      <c r="J852" s="39" t="str">
        <f t="shared" si="2"/>
        <v/>
      </c>
      <c r="K852" s="39" t="str">
        <f t="array" ref="K852">IF(J852="","",IF(XLOOKUP(J852,Strike_Review_Queue!$I:$I,Strike_Review_Queue!$J:$J,"")="Approve","Approved",IF(XLOOKUP(J852,Strike_Review_Queue!$I:$I,Strike_Review_Queue!$J:$J,"")="Deny","Counts",H852)))</f>
        <v/>
      </c>
      <c r="L852" s="39" t="str">
        <f t="array" ref="L852">IF(J852="","",XLOOKUP(J852,Strike_Review_Queue!$I:$I,Strike_Review_Queue!$L:$L,""))</f>
        <v/>
      </c>
      <c r="M852" s="39" t="str">
        <f t="array" ref="M852">IF(J852="","",XLOOKUP(J852,Strike_Review_Queue!$I:$I,Strike_Review_Queue!$M:$M,""))</f>
        <v/>
      </c>
    </row>
    <row r="853" ht="15.75" customHeight="1">
      <c r="C853" s="39"/>
      <c r="D853" s="39" t="str">
        <f>IF(OR(B853="",A853=""),"",MAX(0,MIN(3,SUMIFS($C$2:$C$1000,$B$2:$B$1000,B853,$A$2:$A$1000,"&lt;="&amp;A853,$A$2:$A$1000,"&gt;="&amp;IF(Config!$B$1004="Y",A853-Config!$B$1005,DATE(1900,1,1)),$I$2:$I$1000,1)))))</f>
        <v>#ERROR!</v>
      </c>
      <c r="H853" s="39"/>
      <c r="I853" s="39">
        <f t="shared" si="1"/>
        <v>1</v>
      </c>
      <c r="J853" s="39" t="str">
        <f t="shared" si="2"/>
        <v/>
      </c>
      <c r="K853" s="39" t="str">
        <f t="array" ref="K853">IF(J853="","",IF(XLOOKUP(J853,Strike_Review_Queue!$I:$I,Strike_Review_Queue!$J:$J,"")="Approve","Approved",IF(XLOOKUP(J853,Strike_Review_Queue!$I:$I,Strike_Review_Queue!$J:$J,"")="Deny","Counts",H853)))</f>
        <v/>
      </c>
      <c r="L853" s="39" t="str">
        <f t="array" ref="L853">IF(J853="","",XLOOKUP(J853,Strike_Review_Queue!$I:$I,Strike_Review_Queue!$L:$L,""))</f>
        <v/>
      </c>
      <c r="M853" s="39" t="str">
        <f t="array" ref="M853">IF(J853="","",XLOOKUP(J853,Strike_Review_Queue!$I:$I,Strike_Review_Queue!$M:$M,""))</f>
        <v/>
      </c>
    </row>
    <row r="854" ht="15.75" customHeight="1">
      <c r="C854" s="39"/>
      <c r="D854" s="39" t="str">
        <f>IF(OR(B854="",A854=""),"",MAX(0,MIN(3,SUMIFS($C$2:$C$1000,$B$2:$B$1000,B854,$A$2:$A$1000,"&lt;="&amp;A854,$A$2:$A$1000,"&gt;="&amp;IF(Config!$B$1004="Y",A854-Config!$B$1005,DATE(1900,1,1)),$I$2:$I$1000,1)))))</f>
        <v>#ERROR!</v>
      </c>
      <c r="H854" s="39"/>
      <c r="I854" s="39">
        <f t="shared" si="1"/>
        <v>1</v>
      </c>
      <c r="J854" s="39" t="str">
        <f t="shared" si="2"/>
        <v/>
      </c>
      <c r="K854" s="39" t="str">
        <f t="array" ref="K854">IF(J854="","",IF(XLOOKUP(J854,Strike_Review_Queue!$I:$I,Strike_Review_Queue!$J:$J,"")="Approve","Approved",IF(XLOOKUP(J854,Strike_Review_Queue!$I:$I,Strike_Review_Queue!$J:$J,"")="Deny","Counts",H854)))</f>
        <v/>
      </c>
      <c r="L854" s="39" t="str">
        <f t="array" ref="L854">IF(J854="","",XLOOKUP(J854,Strike_Review_Queue!$I:$I,Strike_Review_Queue!$L:$L,""))</f>
        <v/>
      </c>
      <c r="M854" s="39" t="str">
        <f t="array" ref="M854">IF(J854="","",XLOOKUP(J854,Strike_Review_Queue!$I:$I,Strike_Review_Queue!$M:$M,""))</f>
        <v/>
      </c>
    </row>
    <row r="855" ht="15.75" customHeight="1">
      <c r="C855" s="39"/>
      <c r="D855" s="39" t="str">
        <f>IF(OR(B855="",A855=""),"",MAX(0,MIN(3,SUMIFS($C$2:$C$1000,$B$2:$B$1000,B855,$A$2:$A$1000,"&lt;="&amp;A855,$A$2:$A$1000,"&gt;="&amp;IF(Config!$B$1004="Y",A855-Config!$B$1005,DATE(1900,1,1)),$I$2:$I$1000,1)))))</f>
        <v>#ERROR!</v>
      </c>
      <c r="H855" s="39"/>
      <c r="I855" s="39">
        <f t="shared" si="1"/>
        <v>1</v>
      </c>
      <c r="J855" s="39" t="str">
        <f t="shared" si="2"/>
        <v/>
      </c>
      <c r="K855" s="39" t="str">
        <f t="array" ref="K855">IF(J855="","",IF(XLOOKUP(J855,Strike_Review_Queue!$I:$I,Strike_Review_Queue!$J:$J,"")="Approve","Approved",IF(XLOOKUP(J855,Strike_Review_Queue!$I:$I,Strike_Review_Queue!$J:$J,"")="Deny","Counts",H855)))</f>
        <v/>
      </c>
      <c r="L855" s="39" t="str">
        <f t="array" ref="L855">IF(J855="","",XLOOKUP(J855,Strike_Review_Queue!$I:$I,Strike_Review_Queue!$L:$L,""))</f>
        <v/>
      </c>
      <c r="M855" s="39" t="str">
        <f t="array" ref="M855">IF(J855="","",XLOOKUP(J855,Strike_Review_Queue!$I:$I,Strike_Review_Queue!$M:$M,""))</f>
        <v/>
      </c>
    </row>
    <row r="856" ht="15.75" customHeight="1">
      <c r="C856" s="39"/>
      <c r="D856" s="39" t="str">
        <f>IF(OR(B856="",A856=""),"",MAX(0,MIN(3,SUMIFS($C$2:$C$1000,$B$2:$B$1000,B856,$A$2:$A$1000,"&lt;="&amp;A856,$A$2:$A$1000,"&gt;="&amp;IF(Config!$B$1004="Y",A856-Config!$B$1005,DATE(1900,1,1)),$I$2:$I$1000,1)))))</f>
        <v>#ERROR!</v>
      </c>
      <c r="H856" s="39"/>
      <c r="I856" s="39">
        <f t="shared" si="1"/>
        <v>1</v>
      </c>
      <c r="J856" s="39" t="str">
        <f t="shared" si="2"/>
        <v/>
      </c>
      <c r="K856" s="39" t="str">
        <f t="array" ref="K856">IF(J856="","",IF(XLOOKUP(J856,Strike_Review_Queue!$I:$I,Strike_Review_Queue!$J:$J,"")="Approve","Approved",IF(XLOOKUP(J856,Strike_Review_Queue!$I:$I,Strike_Review_Queue!$J:$J,"")="Deny","Counts",H856)))</f>
        <v/>
      </c>
      <c r="L856" s="39" t="str">
        <f t="array" ref="L856">IF(J856="","",XLOOKUP(J856,Strike_Review_Queue!$I:$I,Strike_Review_Queue!$L:$L,""))</f>
        <v/>
      </c>
      <c r="M856" s="39" t="str">
        <f t="array" ref="M856">IF(J856="","",XLOOKUP(J856,Strike_Review_Queue!$I:$I,Strike_Review_Queue!$M:$M,""))</f>
        <v/>
      </c>
    </row>
    <row r="857" ht="15.75" customHeight="1">
      <c r="C857" s="39"/>
      <c r="D857" s="39" t="str">
        <f>IF(OR(B857="",A857=""),"",MAX(0,MIN(3,SUMIFS($C$2:$C$1000,$B$2:$B$1000,B857,$A$2:$A$1000,"&lt;="&amp;A857,$A$2:$A$1000,"&gt;="&amp;IF(Config!$B$1004="Y",A857-Config!$B$1005,DATE(1900,1,1)),$I$2:$I$1000,1)))))</f>
        <v>#ERROR!</v>
      </c>
      <c r="H857" s="39"/>
      <c r="I857" s="39">
        <f t="shared" si="1"/>
        <v>1</v>
      </c>
      <c r="J857" s="39" t="str">
        <f t="shared" si="2"/>
        <v/>
      </c>
      <c r="K857" s="39" t="str">
        <f t="array" ref="K857">IF(J857="","",IF(XLOOKUP(J857,Strike_Review_Queue!$I:$I,Strike_Review_Queue!$J:$J,"")="Approve","Approved",IF(XLOOKUP(J857,Strike_Review_Queue!$I:$I,Strike_Review_Queue!$J:$J,"")="Deny","Counts",H857)))</f>
        <v/>
      </c>
      <c r="L857" s="39" t="str">
        <f t="array" ref="L857">IF(J857="","",XLOOKUP(J857,Strike_Review_Queue!$I:$I,Strike_Review_Queue!$L:$L,""))</f>
        <v/>
      </c>
      <c r="M857" s="39" t="str">
        <f t="array" ref="M857">IF(J857="","",XLOOKUP(J857,Strike_Review_Queue!$I:$I,Strike_Review_Queue!$M:$M,""))</f>
        <v/>
      </c>
    </row>
    <row r="858" ht="15.75" customHeight="1">
      <c r="C858" s="39"/>
      <c r="D858" s="39" t="str">
        <f>IF(OR(B858="",A858=""),"",MAX(0,MIN(3,SUMIFS($C$2:$C$1000,$B$2:$B$1000,B858,$A$2:$A$1000,"&lt;="&amp;A858,$A$2:$A$1000,"&gt;="&amp;IF(Config!$B$1004="Y",A858-Config!$B$1005,DATE(1900,1,1)),$I$2:$I$1000,1)))))</f>
        <v>#ERROR!</v>
      </c>
      <c r="H858" s="39"/>
      <c r="I858" s="39">
        <f t="shared" si="1"/>
        <v>1</v>
      </c>
      <c r="J858" s="39" t="str">
        <f t="shared" si="2"/>
        <v/>
      </c>
      <c r="K858" s="39" t="str">
        <f t="array" ref="K858">IF(J858="","",IF(XLOOKUP(J858,Strike_Review_Queue!$I:$I,Strike_Review_Queue!$J:$J,"")="Approve","Approved",IF(XLOOKUP(J858,Strike_Review_Queue!$I:$I,Strike_Review_Queue!$J:$J,"")="Deny","Counts",H858)))</f>
        <v/>
      </c>
      <c r="L858" s="39" t="str">
        <f t="array" ref="L858">IF(J858="","",XLOOKUP(J858,Strike_Review_Queue!$I:$I,Strike_Review_Queue!$L:$L,""))</f>
        <v/>
      </c>
      <c r="M858" s="39" t="str">
        <f t="array" ref="M858">IF(J858="","",XLOOKUP(J858,Strike_Review_Queue!$I:$I,Strike_Review_Queue!$M:$M,""))</f>
        <v/>
      </c>
    </row>
    <row r="859" ht="15.75" customHeight="1">
      <c r="C859" s="39"/>
      <c r="D859" s="39" t="str">
        <f>IF(OR(B859="",A859=""),"",MAX(0,MIN(3,SUMIFS($C$2:$C$1000,$B$2:$B$1000,B859,$A$2:$A$1000,"&lt;="&amp;A859,$A$2:$A$1000,"&gt;="&amp;IF(Config!$B$1004="Y",A859-Config!$B$1005,DATE(1900,1,1)),$I$2:$I$1000,1)))))</f>
        <v>#ERROR!</v>
      </c>
      <c r="H859" s="39"/>
      <c r="I859" s="39">
        <f t="shared" si="1"/>
        <v>1</v>
      </c>
      <c r="J859" s="39" t="str">
        <f t="shared" si="2"/>
        <v/>
      </c>
      <c r="K859" s="39" t="str">
        <f t="array" ref="K859">IF(J859="","",IF(XLOOKUP(J859,Strike_Review_Queue!$I:$I,Strike_Review_Queue!$J:$J,"")="Approve","Approved",IF(XLOOKUP(J859,Strike_Review_Queue!$I:$I,Strike_Review_Queue!$J:$J,"")="Deny","Counts",H859)))</f>
        <v/>
      </c>
      <c r="L859" s="39" t="str">
        <f t="array" ref="L859">IF(J859="","",XLOOKUP(J859,Strike_Review_Queue!$I:$I,Strike_Review_Queue!$L:$L,""))</f>
        <v/>
      </c>
      <c r="M859" s="39" t="str">
        <f t="array" ref="M859">IF(J859="","",XLOOKUP(J859,Strike_Review_Queue!$I:$I,Strike_Review_Queue!$M:$M,""))</f>
        <v/>
      </c>
    </row>
    <row r="860" ht="15.75" customHeight="1">
      <c r="C860" s="39"/>
      <c r="D860" s="39" t="str">
        <f>IF(OR(B860="",A860=""),"",MAX(0,MIN(3,SUMIFS($C$2:$C$1000,$B$2:$B$1000,B860,$A$2:$A$1000,"&lt;="&amp;A860,$A$2:$A$1000,"&gt;="&amp;IF(Config!$B$1004="Y",A860-Config!$B$1005,DATE(1900,1,1)),$I$2:$I$1000,1)))))</f>
        <v>#ERROR!</v>
      </c>
      <c r="H860" s="39"/>
      <c r="I860" s="39">
        <f t="shared" si="1"/>
        <v>1</v>
      </c>
      <c r="J860" s="39" t="str">
        <f t="shared" si="2"/>
        <v/>
      </c>
      <c r="K860" s="39" t="str">
        <f t="array" ref="K860">IF(J860="","",IF(XLOOKUP(J860,Strike_Review_Queue!$I:$I,Strike_Review_Queue!$J:$J,"")="Approve","Approved",IF(XLOOKUP(J860,Strike_Review_Queue!$I:$I,Strike_Review_Queue!$J:$J,"")="Deny","Counts",H860)))</f>
        <v/>
      </c>
      <c r="L860" s="39" t="str">
        <f t="array" ref="L860">IF(J860="","",XLOOKUP(J860,Strike_Review_Queue!$I:$I,Strike_Review_Queue!$L:$L,""))</f>
        <v/>
      </c>
      <c r="M860" s="39" t="str">
        <f t="array" ref="M860">IF(J860="","",XLOOKUP(J860,Strike_Review_Queue!$I:$I,Strike_Review_Queue!$M:$M,""))</f>
        <v/>
      </c>
    </row>
    <row r="861" ht="15.75" customHeight="1">
      <c r="C861" s="39"/>
      <c r="D861" s="39" t="str">
        <f>IF(OR(B861="",A861=""),"",MAX(0,MIN(3,SUMIFS($C$2:$C$1000,$B$2:$B$1000,B861,$A$2:$A$1000,"&lt;="&amp;A861,$A$2:$A$1000,"&gt;="&amp;IF(Config!$B$1004="Y",A861-Config!$B$1005,DATE(1900,1,1)),$I$2:$I$1000,1)))))</f>
        <v>#ERROR!</v>
      </c>
      <c r="H861" s="39"/>
      <c r="I861" s="39">
        <f t="shared" si="1"/>
        <v>1</v>
      </c>
      <c r="J861" s="39" t="str">
        <f t="shared" si="2"/>
        <v/>
      </c>
      <c r="K861" s="39" t="str">
        <f t="array" ref="K861">IF(J861="","",IF(XLOOKUP(J861,Strike_Review_Queue!$I:$I,Strike_Review_Queue!$J:$J,"")="Approve","Approved",IF(XLOOKUP(J861,Strike_Review_Queue!$I:$I,Strike_Review_Queue!$J:$J,"")="Deny","Counts",H861)))</f>
        <v/>
      </c>
      <c r="L861" s="39" t="str">
        <f t="array" ref="L861">IF(J861="","",XLOOKUP(J861,Strike_Review_Queue!$I:$I,Strike_Review_Queue!$L:$L,""))</f>
        <v/>
      </c>
      <c r="M861" s="39" t="str">
        <f t="array" ref="M861">IF(J861="","",XLOOKUP(J861,Strike_Review_Queue!$I:$I,Strike_Review_Queue!$M:$M,""))</f>
        <v/>
      </c>
    </row>
    <row r="862" ht="15.75" customHeight="1">
      <c r="C862" s="39"/>
      <c r="D862" s="39" t="str">
        <f>IF(OR(B862="",A862=""),"",MAX(0,MIN(3,SUMIFS($C$2:$C$1000,$B$2:$B$1000,B862,$A$2:$A$1000,"&lt;="&amp;A862,$A$2:$A$1000,"&gt;="&amp;IF(Config!$B$1004="Y",A862-Config!$B$1005,DATE(1900,1,1)),$I$2:$I$1000,1)))))</f>
        <v>#ERROR!</v>
      </c>
      <c r="H862" s="39"/>
      <c r="I862" s="39">
        <f t="shared" si="1"/>
        <v>1</v>
      </c>
      <c r="J862" s="39" t="str">
        <f t="shared" si="2"/>
        <v/>
      </c>
      <c r="K862" s="39" t="str">
        <f t="array" ref="K862">IF(J862="","",IF(XLOOKUP(J862,Strike_Review_Queue!$I:$I,Strike_Review_Queue!$J:$J,"")="Approve","Approved",IF(XLOOKUP(J862,Strike_Review_Queue!$I:$I,Strike_Review_Queue!$J:$J,"")="Deny","Counts",H862)))</f>
        <v/>
      </c>
      <c r="L862" s="39" t="str">
        <f t="array" ref="L862">IF(J862="","",XLOOKUP(J862,Strike_Review_Queue!$I:$I,Strike_Review_Queue!$L:$L,""))</f>
        <v/>
      </c>
      <c r="M862" s="39" t="str">
        <f t="array" ref="M862">IF(J862="","",XLOOKUP(J862,Strike_Review_Queue!$I:$I,Strike_Review_Queue!$M:$M,""))</f>
        <v/>
      </c>
    </row>
    <row r="863" ht="15.75" customHeight="1">
      <c r="C863" s="39"/>
      <c r="D863" s="39" t="str">
        <f>IF(OR(B863="",A863=""),"",MAX(0,MIN(3,SUMIFS($C$2:$C$1000,$B$2:$B$1000,B863,$A$2:$A$1000,"&lt;="&amp;A863,$A$2:$A$1000,"&gt;="&amp;IF(Config!$B$1004="Y",A863-Config!$B$1005,DATE(1900,1,1)),$I$2:$I$1000,1)))))</f>
        <v>#ERROR!</v>
      </c>
      <c r="H863" s="39"/>
      <c r="I863" s="39">
        <f t="shared" si="1"/>
        <v>1</v>
      </c>
      <c r="J863" s="39" t="str">
        <f t="shared" si="2"/>
        <v/>
      </c>
      <c r="K863" s="39" t="str">
        <f t="array" ref="K863">IF(J863="","",IF(XLOOKUP(J863,Strike_Review_Queue!$I:$I,Strike_Review_Queue!$J:$J,"")="Approve","Approved",IF(XLOOKUP(J863,Strike_Review_Queue!$I:$I,Strike_Review_Queue!$J:$J,"")="Deny","Counts",H863)))</f>
        <v/>
      </c>
      <c r="L863" s="39" t="str">
        <f t="array" ref="L863">IF(J863="","",XLOOKUP(J863,Strike_Review_Queue!$I:$I,Strike_Review_Queue!$L:$L,""))</f>
        <v/>
      </c>
      <c r="M863" s="39" t="str">
        <f t="array" ref="M863">IF(J863="","",XLOOKUP(J863,Strike_Review_Queue!$I:$I,Strike_Review_Queue!$M:$M,""))</f>
        <v/>
      </c>
    </row>
    <row r="864" ht="15.75" customHeight="1">
      <c r="C864" s="39"/>
      <c r="D864" s="39" t="str">
        <f>IF(OR(B864="",A864=""),"",MAX(0,MIN(3,SUMIFS($C$2:$C$1000,$B$2:$B$1000,B864,$A$2:$A$1000,"&lt;="&amp;A864,$A$2:$A$1000,"&gt;="&amp;IF(Config!$B$1004="Y",A864-Config!$B$1005,DATE(1900,1,1)),$I$2:$I$1000,1)))))</f>
        <v>#ERROR!</v>
      </c>
      <c r="H864" s="39"/>
      <c r="I864" s="39">
        <f t="shared" si="1"/>
        <v>1</v>
      </c>
      <c r="J864" s="39" t="str">
        <f t="shared" si="2"/>
        <v/>
      </c>
      <c r="K864" s="39" t="str">
        <f t="array" ref="K864">IF(J864="","",IF(XLOOKUP(J864,Strike_Review_Queue!$I:$I,Strike_Review_Queue!$J:$J,"")="Approve","Approved",IF(XLOOKUP(J864,Strike_Review_Queue!$I:$I,Strike_Review_Queue!$J:$J,"")="Deny","Counts",H864)))</f>
        <v/>
      </c>
      <c r="L864" s="39" t="str">
        <f t="array" ref="L864">IF(J864="","",XLOOKUP(J864,Strike_Review_Queue!$I:$I,Strike_Review_Queue!$L:$L,""))</f>
        <v/>
      </c>
      <c r="M864" s="39" t="str">
        <f t="array" ref="M864">IF(J864="","",XLOOKUP(J864,Strike_Review_Queue!$I:$I,Strike_Review_Queue!$M:$M,""))</f>
        <v/>
      </c>
    </row>
    <row r="865" ht="15.75" customHeight="1">
      <c r="C865" s="39"/>
      <c r="D865" s="39" t="str">
        <f>IF(OR(B865="",A865=""),"",MAX(0,MIN(3,SUMIFS($C$2:$C$1000,$B$2:$B$1000,B865,$A$2:$A$1000,"&lt;="&amp;A865,$A$2:$A$1000,"&gt;="&amp;IF(Config!$B$1004="Y",A865-Config!$B$1005,DATE(1900,1,1)),$I$2:$I$1000,1)))))</f>
        <v>#ERROR!</v>
      </c>
      <c r="H865" s="39"/>
      <c r="I865" s="39">
        <f t="shared" si="1"/>
        <v>1</v>
      </c>
      <c r="J865" s="39" t="str">
        <f t="shared" si="2"/>
        <v/>
      </c>
      <c r="K865" s="39" t="str">
        <f t="array" ref="K865">IF(J865="","",IF(XLOOKUP(J865,Strike_Review_Queue!$I:$I,Strike_Review_Queue!$J:$J,"")="Approve","Approved",IF(XLOOKUP(J865,Strike_Review_Queue!$I:$I,Strike_Review_Queue!$J:$J,"")="Deny","Counts",H865)))</f>
        <v/>
      </c>
      <c r="L865" s="39" t="str">
        <f t="array" ref="L865">IF(J865="","",XLOOKUP(J865,Strike_Review_Queue!$I:$I,Strike_Review_Queue!$L:$L,""))</f>
        <v/>
      </c>
      <c r="M865" s="39" t="str">
        <f t="array" ref="M865">IF(J865="","",XLOOKUP(J865,Strike_Review_Queue!$I:$I,Strike_Review_Queue!$M:$M,""))</f>
        <v/>
      </c>
    </row>
    <row r="866" ht="15.75" customHeight="1">
      <c r="C866" s="39"/>
      <c r="D866" s="39" t="str">
        <f>IF(OR(B866="",A866=""),"",MAX(0,MIN(3,SUMIFS($C$2:$C$1000,$B$2:$B$1000,B866,$A$2:$A$1000,"&lt;="&amp;A866,$A$2:$A$1000,"&gt;="&amp;IF(Config!$B$1004="Y",A866-Config!$B$1005,DATE(1900,1,1)),$I$2:$I$1000,1)))))</f>
        <v>#ERROR!</v>
      </c>
      <c r="H866" s="39"/>
      <c r="I866" s="39">
        <f t="shared" si="1"/>
        <v>1</v>
      </c>
      <c r="J866" s="39" t="str">
        <f t="shared" si="2"/>
        <v/>
      </c>
      <c r="K866" s="39" t="str">
        <f t="array" ref="K866">IF(J866="","",IF(XLOOKUP(J866,Strike_Review_Queue!$I:$I,Strike_Review_Queue!$J:$J,"")="Approve","Approved",IF(XLOOKUP(J866,Strike_Review_Queue!$I:$I,Strike_Review_Queue!$J:$J,"")="Deny","Counts",H866)))</f>
        <v/>
      </c>
      <c r="L866" s="39" t="str">
        <f t="array" ref="L866">IF(J866="","",XLOOKUP(J866,Strike_Review_Queue!$I:$I,Strike_Review_Queue!$L:$L,""))</f>
        <v/>
      </c>
      <c r="M866" s="39" t="str">
        <f t="array" ref="M866">IF(J866="","",XLOOKUP(J866,Strike_Review_Queue!$I:$I,Strike_Review_Queue!$M:$M,""))</f>
        <v/>
      </c>
    </row>
    <row r="867" ht="15.75" customHeight="1">
      <c r="C867" s="39"/>
      <c r="D867" s="39" t="str">
        <f>IF(OR(B867="",A867=""),"",MAX(0,MIN(3,SUMIFS($C$2:$C$1000,$B$2:$B$1000,B867,$A$2:$A$1000,"&lt;="&amp;A867,$A$2:$A$1000,"&gt;="&amp;IF(Config!$B$1004="Y",A867-Config!$B$1005,DATE(1900,1,1)),$I$2:$I$1000,1)))))</f>
        <v>#ERROR!</v>
      </c>
      <c r="H867" s="39"/>
      <c r="I867" s="39">
        <f t="shared" si="1"/>
        <v>1</v>
      </c>
      <c r="J867" s="39" t="str">
        <f t="shared" si="2"/>
        <v/>
      </c>
      <c r="K867" s="39" t="str">
        <f t="array" ref="K867">IF(J867="","",IF(XLOOKUP(J867,Strike_Review_Queue!$I:$I,Strike_Review_Queue!$J:$J,"")="Approve","Approved",IF(XLOOKUP(J867,Strike_Review_Queue!$I:$I,Strike_Review_Queue!$J:$J,"")="Deny","Counts",H867)))</f>
        <v/>
      </c>
      <c r="L867" s="39" t="str">
        <f t="array" ref="L867">IF(J867="","",XLOOKUP(J867,Strike_Review_Queue!$I:$I,Strike_Review_Queue!$L:$L,""))</f>
        <v/>
      </c>
      <c r="M867" s="39" t="str">
        <f t="array" ref="M867">IF(J867="","",XLOOKUP(J867,Strike_Review_Queue!$I:$I,Strike_Review_Queue!$M:$M,""))</f>
        <v/>
      </c>
    </row>
    <row r="868" ht="15.75" customHeight="1">
      <c r="C868" s="39"/>
      <c r="D868" s="39" t="str">
        <f>IF(OR(B868="",A868=""),"",MAX(0,MIN(3,SUMIFS($C$2:$C$1000,$B$2:$B$1000,B868,$A$2:$A$1000,"&lt;="&amp;A868,$A$2:$A$1000,"&gt;="&amp;IF(Config!$B$1004="Y",A868-Config!$B$1005,DATE(1900,1,1)),$I$2:$I$1000,1)))))</f>
        <v>#ERROR!</v>
      </c>
      <c r="H868" s="39"/>
      <c r="I868" s="39">
        <f t="shared" si="1"/>
        <v>1</v>
      </c>
      <c r="J868" s="39" t="str">
        <f t="shared" si="2"/>
        <v/>
      </c>
      <c r="K868" s="39" t="str">
        <f t="array" ref="K868">IF(J868="","",IF(XLOOKUP(J868,Strike_Review_Queue!$I:$I,Strike_Review_Queue!$J:$J,"")="Approve","Approved",IF(XLOOKUP(J868,Strike_Review_Queue!$I:$I,Strike_Review_Queue!$J:$J,"")="Deny","Counts",H868)))</f>
        <v/>
      </c>
      <c r="L868" s="39" t="str">
        <f t="array" ref="L868">IF(J868="","",XLOOKUP(J868,Strike_Review_Queue!$I:$I,Strike_Review_Queue!$L:$L,""))</f>
        <v/>
      </c>
      <c r="M868" s="39" t="str">
        <f t="array" ref="M868">IF(J868="","",XLOOKUP(J868,Strike_Review_Queue!$I:$I,Strike_Review_Queue!$M:$M,""))</f>
        <v/>
      </c>
    </row>
    <row r="869" ht="15.75" customHeight="1">
      <c r="C869" s="39"/>
      <c r="D869" s="39" t="str">
        <f>IF(OR(B869="",A869=""),"",MAX(0,MIN(3,SUMIFS($C$2:$C$1000,$B$2:$B$1000,B869,$A$2:$A$1000,"&lt;="&amp;A869,$A$2:$A$1000,"&gt;="&amp;IF(Config!$B$1004="Y",A869-Config!$B$1005,DATE(1900,1,1)),$I$2:$I$1000,1)))))</f>
        <v>#ERROR!</v>
      </c>
      <c r="H869" s="39"/>
      <c r="I869" s="39">
        <f t="shared" si="1"/>
        <v>1</v>
      </c>
      <c r="J869" s="39" t="str">
        <f t="shared" si="2"/>
        <v/>
      </c>
      <c r="K869" s="39" t="str">
        <f t="array" ref="K869">IF(J869="","",IF(XLOOKUP(J869,Strike_Review_Queue!$I:$I,Strike_Review_Queue!$J:$J,"")="Approve","Approved",IF(XLOOKUP(J869,Strike_Review_Queue!$I:$I,Strike_Review_Queue!$J:$J,"")="Deny","Counts",H869)))</f>
        <v/>
      </c>
      <c r="L869" s="39" t="str">
        <f t="array" ref="L869">IF(J869="","",XLOOKUP(J869,Strike_Review_Queue!$I:$I,Strike_Review_Queue!$L:$L,""))</f>
        <v/>
      </c>
      <c r="M869" s="39" t="str">
        <f t="array" ref="M869">IF(J869="","",XLOOKUP(J869,Strike_Review_Queue!$I:$I,Strike_Review_Queue!$M:$M,""))</f>
        <v/>
      </c>
    </row>
    <row r="870" ht="15.75" customHeight="1">
      <c r="C870" s="39"/>
      <c r="D870" s="39" t="str">
        <f>IF(OR(B870="",A870=""),"",MAX(0,MIN(3,SUMIFS($C$2:$C$1000,$B$2:$B$1000,B870,$A$2:$A$1000,"&lt;="&amp;A870,$A$2:$A$1000,"&gt;="&amp;IF(Config!$B$1004="Y",A870-Config!$B$1005,DATE(1900,1,1)),$I$2:$I$1000,1)))))</f>
        <v>#ERROR!</v>
      </c>
      <c r="H870" s="39"/>
      <c r="I870" s="39">
        <f t="shared" si="1"/>
        <v>1</v>
      </c>
      <c r="J870" s="39" t="str">
        <f t="shared" si="2"/>
        <v/>
      </c>
      <c r="K870" s="39" t="str">
        <f t="array" ref="K870">IF(J870="","",IF(XLOOKUP(J870,Strike_Review_Queue!$I:$I,Strike_Review_Queue!$J:$J,"")="Approve","Approved",IF(XLOOKUP(J870,Strike_Review_Queue!$I:$I,Strike_Review_Queue!$J:$J,"")="Deny","Counts",H870)))</f>
        <v/>
      </c>
      <c r="L870" s="39" t="str">
        <f t="array" ref="L870">IF(J870="","",XLOOKUP(J870,Strike_Review_Queue!$I:$I,Strike_Review_Queue!$L:$L,""))</f>
        <v/>
      </c>
      <c r="M870" s="39" t="str">
        <f t="array" ref="M870">IF(J870="","",XLOOKUP(J870,Strike_Review_Queue!$I:$I,Strike_Review_Queue!$M:$M,""))</f>
        <v/>
      </c>
    </row>
    <row r="871" ht="15.75" customHeight="1">
      <c r="C871" s="39"/>
      <c r="D871" s="39" t="str">
        <f>IF(OR(B871="",A871=""),"",MAX(0,MIN(3,SUMIFS($C$2:$C$1000,$B$2:$B$1000,B871,$A$2:$A$1000,"&lt;="&amp;A871,$A$2:$A$1000,"&gt;="&amp;IF(Config!$B$1004="Y",A871-Config!$B$1005,DATE(1900,1,1)),$I$2:$I$1000,1)))))</f>
        <v>#ERROR!</v>
      </c>
      <c r="H871" s="39"/>
      <c r="I871" s="39">
        <f t="shared" si="1"/>
        <v>1</v>
      </c>
      <c r="J871" s="39" t="str">
        <f t="shared" si="2"/>
        <v/>
      </c>
      <c r="K871" s="39" t="str">
        <f t="array" ref="K871">IF(J871="","",IF(XLOOKUP(J871,Strike_Review_Queue!$I:$I,Strike_Review_Queue!$J:$J,"")="Approve","Approved",IF(XLOOKUP(J871,Strike_Review_Queue!$I:$I,Strike_Review_Queue!$J:$J,"")="Deny","Counts",H871)))</f>
        <v/>
      </c>
      <c r="L871" s="39" t="str">
        <f t="array" ref="L871">IF(J871="","",XLOOKUP(J871,Strike_Review_Queue!$I:$I,Strike_Review_Queue!$L:$L,""))</f>
        <v/>
      </c>
      <c r="M871" s="39" t="str">
        <f t="array" ref="M871">IF(J871="","",XLOOKUP(J871,Strike_Review_Queue!$I:$I,Strike_Review_Queue!$M:$M,""))</f>
        <v/>
      </c>
    </row>
    <row r="872" ht="15.75" customHeight="1">
      <c r="C872" s="39"/>
      <c r="D872" s="39" t="str">
        <f>IF(OR(B872="",A872=""),"",MAX(0,MIN(3,SUMIFS($C$2:$C$1000,$B$2:$B$1000,B872,$A$2:$A$1000,"&lt;="&amp;A872,$A$2:$A$1000,"&gt;="&amp;IF(Config!$B$1004="Y",A872-Config!$B$1005,DATE(1900,1,1)),$I$2:$I$1000,1)))))</f>
        <v>#ERROR!</v>
      </c>
      <c r="H872" s="39"/>
      <c r="I872" s="39">
        <f t="shared" si="1"/>
        <v>1</v>
      </c>
      <c r="J872" s="39" t="str">
        <f t="shared" si="2"/>
        <v/>
      </c>
      <c r="K872" s="39" t="str">
        <f t="array" ref="K872">IF(J872="","",IF(XLOOKUP(J872,Strike_Review_Queue!$I:$I,Strike_Review_Queue!$J:$J,"")="Approve","Approved",IF(XLOOKUP(J872,Strike_Review_Queue!$I:$I,Strike_Review_Queue!$J:$J,"")="Deny","Counts",H872)))</f>
        <v/>
      </c>
      <c r="L872" s="39" t="str">
        <f t="array" ref="L872">IF(J872="","",XLOOKUP(J872,Strike_Review_Queue!$I:$I,Strike_Review_Queue!$L:$L,""))</f>
        <v/>
      </c>
      <c r="M872" s="39" t="str">
        <f t="array" ref="M872">IF(J872="","",XLOOKUP(J872,Strike_Review_Queue!$I:$I,Strike_Review_Queue!$M:$M,""))</f>
        <v/>
      </c>
    </row>
    <row r="873" ht="15.75" customHeight="1">
      <c r="C873" s="39"/>
      <c r="D873" s="39" t="str">
        <f>IF(OR(B873="",A873=""),"",MAX(0,MIN(3,SUMIFS($C$2:$C$1000,$B$2:$B$1000,B873,$A$2:$A$1000,"&lt;="&amp;A873,$A$2:$A$1000,"&gt;="&amp;IF(Config!$B$1004="Y",A873-Config!$B$1005,DATE(1900,1,1)),$I$2:$I$1000,1)))))</f>
        <v>#ERROR!</v>
      </c>
      <c r="H873" s="39"/>
      <c r="I873" s="39">
        <f t="shared" si="1"/>
        <v>1</v>
      </c>
      <c r="J873" s="39" t="str">
        <f t="shared" si="2"/>
        <v/>
      </c>
      <c r="K873" s="39" t="str">
        <f t="array" ref="K873">IF(J873="","",IF(XLOOKUP(J873,Strike_Review_Queue!$I:$I,Strike_Review_Queue!$J:$J,"")="Approve","Approved",IF(XLOOKUP(J873,Strike_Review_Queue!$I:$I,Strike_Review_Queue!$J:$J,"")="Deny","Counts",H873)))</f>
        <v/>
      </c>
      <c r="L873" s="39" t="str">
        <f t="array" ref="L873">IF(J873="","",XLOOKUP(J873,Strike_Review_Queue!$I:$I,Strike_Review_Queue!$L:$L,""))</f>
        <v/>
      </c>
      <c r="M873" s="39" t="str">
        <f t="array" ref="M873">IF(J873="","",XLOOKUP(J873,Strike_Review_Queue!$I:$I,Strike_Review_Queue!$M:$M,""))</f>
        <v/>
      </c>
    </row>
    <row r="874" ht="15.75" customHeight="1">
      <c r="C874" s="39"/>
      <c r="D874" s="39" t="str">
        <f>IF(OR(B874="",A874=""),"",MAX(0,MIN(3,SUMIFS($C$2:$C$1000,$B$2:$B$1000,B874,$A$2:$A$1000,"&lt;="&amp;A874,$A$2:$A$1000,"&gt;="&amp;IF(Config!$B$1004="Y",A874-Config!$B$1005,DATE(1900,1,1)),$I$2:$I$1000,1)))))</f>
        <v>#ERROR!</v>
      </c>
      <c r="H874" s="39"/>
      <c r="I874" s="39">
        <f t="shared" si="1"/>
        <v>1</v>
      </c>
      <c r="J874" s="39" t="str">
        <f t="shared" si="2"/>
        <v/>
      </c>
      <c r="K874" s="39" t="str">
        <f t="array" ref="K874">IF(J874="","",IF(XLOOKUP(J874,Strike_Review_Queue!$I:$I,Strike_Review_Queue!$J:$J,"")="Approve","Approved",IF(XLOOKUP(J874,Strike_Review_Queue!$I:$I,Strike_Review_Queue!$J:$J,"")="Deny","Counts",H874)))</f>
        <v/>
      </c>
      <c r="L874" s="39" t="str">
        <f t="array" ref="L874">IF(J874="","",XLOOKUP(J874,Strike_Review_Queue!$I:$I,Strike_Review_Queue!$L:$L,""))</f>
        <v/>
      </c>
      <c r="M874" s="39" t="str">
        <f t="array" ref="M874">IF(J874="","",XLOOKUP(J874,Strike_Review_Queue!$I:$I,Strike_Review_Queue!$M:$M,""))</f>
        <v/>
      </c>
    </row>
    <row r="875" ht="15.75" customHeight="1">
      <c r="C875" s="39"/>
      <c r="D875" s="39" t="str">
        <f>IF(OR(B875="",A875=""),"",MAX(0,MIN(3,SUMIFS($C$2:$C$1000,$B$2:$B$1000,B875,$A$2:$A$1000,"&lt;="&amp;A875,$A$2:$A$1000,"&gt;="&amp;IF(Config!$B$1004="Y",A875-Config!$B$1005,DATE(1900,1,1)),$I$2:$I$1000,1)))))</f>
        <v>#ERROR!</v>
      </c>
      <c r="H875" s="39"/>
      <c r="I875" s="39">
        <f t="shared" si="1"/>
        <v>1</v>
      </c>
      <c r="J875" s="39" t="str">
        <f t="shared" si="2"/>
        <v/>
      </c>
      <c r="K875" s="39" t="str">
        <f t="array" ref="K875">IF(J875="","",IF(XLOOKUP(J875,Strike_Review_Queue!$I:$I,Strike_Review_Queue!$J:$J,"")="Approve","Approved",IF(XLOOKUP(J875,Strike_Review_Queue!$I:$I,Strike_Review_Queue!$J:$J,"")="Deny","Counts",H875)))</f>
        <v/>
      </c>
      <c r="L875" s="39" t="str">
        <f t="array" ref="L875">IF(J875="","",XLOOKUP(J875,Strike_Review_Queue!$I:$I,Strike_Review_Queue!$L:$L,""))</f>
        <v/>
      </c>
      <c r="M875" s="39" t="str">
        <f t="array" ref="M875">IF(J875="","",XLOOKUP(J875,Strike_Review_Queue!$I:$I,Strike_Review_Queue!$M:$M,""))</f>
        <v/>
      </c>
    </row>
    <row r="876" ht="15.75" customHeight="1">
      <c r="C876" s="39"/>
      <c r="D876" s="39" t="str">
        <f>IF(OR(B876="",A876=""),"",MAX(0,MIN(3,SUMIFS($C$2:$C$1000,$B$2:$B$1000,B876,$A$2:$A$1000,"&lt;="&amp;A876,$A$2:$A$1000,"&gt;="&amp;IF(Config!$B$1004="Y",A876-Config!$B$1005,DATE(1900,1,1)),$I$2:$I$1000,1)))))</f>
        <v>#ERROR!</v>
      </c>
      <c r="H876" s="39"/>
      <c r="I876" s="39">
        <f t="shared" si="1"/>
        <v>1</v>
      </c>
      <c r="J876" s="39" t="str">
        <f t="shared" si="2"/>
        <v/>
      </c>
      <c r="K876" s="39" t="str">
        <f t="array" ref="K876">IF(J876="","",IF(XLOOKUP(J876,Strike_Review_Queue!$I:$I,Strike_Review_Queue!$J:$J,"")="Approve","Approved",IF(XLOOKUP(J876,Strike_Review_Queue!$I:$I,Strike_Review_Queue!$J:$J,"")="Deny","Counts",H876)))</f>
        <v/>
      </c>
      <c r="L876" s="39" t="str">
        <f t="array" ref="L876">IF(J876="","",XLOOKUP(J876,Strike_Review_Queue!$I:$I,Strike_Review_Queue!$L:$L,""))</f>
        <v/>
      </c>
      <c r="M876" s="39" t="str">
        <f t="array" ref="M876">IF(J876="","",XLOOKUP(J876,Strike_Review_Queue!$I:$I,Strike_Review_Queue!$M:$M,""))</f>
        <v/>
      </c>
    </row>
    <row r="877" ht="15.75" customHeight="1">
      <c r="C877" s="39"/>
      <c r="D877" s="39" t="str">
        <f>IF(OR(B877="",A877=""),"",MAX(0,MIN(3,SUMIFS($C$2:$C$1000,$B$2:$B$1000,B877,$A$2:$A$1000,"&lt;="&amp;A877,$A$2:$A$1000,"&gt;="&amp;IF(Config!$B$1004="Y",A877-Config!$B$1005,DATE(1900,1,1)),$I$2:$I$1000,1)))))</f>
        <v>#ERROR!</v>
      </c>
      <c r="H877" s="39"/>
      <c r="I877" s="39">
        <f t="shared" si="1"/>
        <v>1</v>
      </c>
      <c r="J877" s="39" t="str">
        <f t="shared" si="2"/>
        <v/>
      </c>
      <c r="K877" s="39" t="str">
        <f t="array" ref="K877">IF(J877="","",IF(XLOOKUP(J877,Strike_Review_Queue!$I:$I,Strike_Review_Queue!$J:$J,"")="Approve","Approved",IF(XLOOKUP(J877,Strike_Review_Queue!$I:$I,Strike_Review_Queue!$J:$J,"")="Deny","Counts",H877)))</f>
        <v/>
      </c>
      <c r="L877" s="39" t="str">
        <f t="array" ref="L877">IF(J877="","",XLOOKUP(J877,Strike_Review_Queue!$I:$I,Strike_Review_Queue!$L:$L,""))</f>
        <v/>
      </c>
      <c r="M877" s="39" t="str">
        <f t="array" ref="M877">IF(J877="","",XLOOKUP(J877,Strike_Review_Queue!$I:$I,Strike_Review_Queue!$M:$M,""))</f>
        <v/>
      </c>
    </row>
    <row r="878" ht="15.75" customHeight="1">
      <c r="C878" s="39"/>
      <c r="D878" s="39" t="str">
        <f>IF(OR(B878="",A878=""),"",MAX(0,MIN(3,SUMIFS($C$2:$C$1000,$B$2:$B$1000,B878,$A$2:$A$1000,"&lt;="&amp;A878,$A$2:$A$1000,"&gt;="&amp;IF(Config!$B$1004="Y",A878-Config!$B$1005,DATE(1900,1,1)),$I$2:$I$1000,1)))))</f>
        <v>#ERROR!</v>
      </c>
      <c r="H878" s="39"/>
      <c r="I878" s="39">
        <f t="shared" si="1"/>
        <v>1</v>
      </c>
      <c r="J878" s="39" t="str">
        <f t="shared" si="2"/>
        <v/>
      </c>
      <c r="K878" s="39" t="str">
        <f t="array" ref="K878">IF(J878="","",IF(XLOOKUP(J878,Strike_Review_Queue!$I:$I,Strike_Review_Queue!$J:$J,"")="Approve","Approved",IF(XLOOKUP(J878,Strike_Review_Queue!$I:$I,Strike_Review_Queue!$J:$J,"")="Deny","Counts",H878)))</f>
        <v/>
      </c>
      <c r="L878" s="39" t="str">
        <f t="array" ref="L878">IF(J878="","",XLOOKUP(J878,Strike_Review_Queue!$I:$I,Strike_Review_Queue!$L:$L,""))</f>
        <v/>
      </c>
      <c r="M878" s="39" t="str">
        <f t="array" ref="M878">IF(J878="","",XLOOKUP(J878,Strike_Review_Queue!$I:$I,Strike_Review_Queue!$M:$M,""))</f>
        <v/>
      </c>
    </row>
    <row r="879" ht="15.75" customHeight="1">
      <c r="C879" s="39"/>
      <c r="D879" s="39" t="str">
        <f>IF(OR(B879="",A879=""),"",MAX(0,MIN(3,SUMIFS($C$2:$C$1000,$B$2:$B$1000,B879,$A$2:$A$1000,"&lt;="&amp;A879,$A$2:$A$1000,"&gt;="&amp;IF(Config!$B$1004="Y",A879-Config!$B$1005,DATE(1900,1,1)),$I$2:$I$1000,1)))))</f>
        <v>#ERROR!</v>
      </c>
      <c r="H879" s="39"/>
      <c r="I879" s="39">
        <f t="shared" si="1"/>
        <v>1</v>
      </c>
      <c r="J879" s="39" t="str">
        <f t="shared" si="2"/>
        <v/>
      </c>
      <c r="K879" s="39" t="str">
        <f t="array" ref="K879">IF(J879="","",IF(XLOOKUP(J879,Strike_Review_Queue!$I:$I,Strike_Review_Queue!$J:$J,"")="Approve","Approved",IF(XLOOKUP(J879,Strike_Review_Queue!$I:$I,Strike_Review_Queue!$J:$J,"")="Deny","Counts",H879)))</f>
        <v/>
      </c>
      <c r="L879" s="39" t="str">
        <f t="array" ref="L879">IF(J879="","",XLOOKUP(J879,Strike_Review_Queue!$I:$I,Strike_Review_Queue!$L:$L,""))</f>
        <v/>
      </c>
      <c r="M879" s="39" t="str">
        <f t="array" ref="M879">IF(J879="","",XLOOKUP(J879,Strike_Review_Queue!$I:$I,Strike_Review_Queue!$M:$M,""))</f>
        <v/>
      </c>
    </row>
    <row r="880" ht="15.75" customHeight="1">
      <c r="C880" s="39"/>
      <c r="D880" s="39" t="str">
        <f>IF(OR(B880="",A880=""),"",MAX(0,MIN(3,SUMIFS($C$2:$C$1000,$B$2:$B$1000,B880,$A$2:$A$1000,"&lt;="&amp;A880,$A$2:$A$1000,"&gt;="&amp;IF(Config!$B$1004="Y",A880-Config!$B$1005,DATE(1900,1,1)),$I$2:$I$1000,1)))))</f>
        <v>#ERROR!</v>
      </c>
      <c r="H880" s="39"/>
      <c r="I880" s="39">
        <f t="shared" si="1"/>
        <v>1</v>
      </c>
      <c r="J880" s="39" t="str">
        <f t="shared" si="2"/>
        <v/>
      </c>
      <c r="K880" s="39" t="str">
        <f t="array" ref="K880">IF(J880="","",IF(XLOOKUP(J880,Strike_Review_Queue!$I:$I,Strike_Review_Queue!$J:$J,"")="Approve","Approved",IF(XLOOKUP(J880,Strike_Review_Queue!$I:$I,Strike_Review_Queue!$J:$J,"")="Deny","Counts",H880)))</f>
        <v/>
      </c>
      <c r="L880" s="39" t="str">
        <f t="array" ref="L880">IF(J880="","",XLOOKUP(J880,Strike_Review_Queue!$I:$I,Strike_Review_Queue!$L:$L,""))</f>
        <v/>
      </c>
      <c r="M880" s="39" t="str">
        <f t="array" ref="M880">IF(J880="","",XLOOKUP(J880,Strike_Review_Queue!$I:$I,Strike_Review_Queue!$M:$M,""))</f>
        <v/>
      </c>
    </row>
    <row r="881" ht="15.75" customHeight="1">
      <c r="C881" s="39"/>
      <c r="D881" s="39" t="str">
        <f>IF(OR(B881="",A881=""),"",MAX(0,MIN(3,SUMIFS($C$2:$C$1000,$B$2:$B$1000,B881,$A$2:$A$1000,"&lt;="&amp;A881,$A$2:$A$1000,"&gt;="&amp;IF(Config!$B$1004="Y",A881-Config!$B$1005,DATE(1900,1,1)),$I$2:$I$1000,1)))))</f>
        <v>#ERROR!</v>
      </c>
      <c r="H881" s="39"/>
      <c r="I881" s="39">
        <f t="shared" si="1"/>
        <v>1</v>
      </c>
      <c r="J881" s="39" t="str">
        <f t="shared" si="2"/>
        <v/>
      </c>
      <c r="K881" s="39" t="str">
        <f t="array" ref="K881">IF(J881="","",IF(XLOOKUP(J881,Strike_Review_Queue!$I:$I,Strike_Review_Queue!$J:$J,"")="Approve","Approved",IF(XLOOKUP(J881,Strike_Review_Queue!$I:$I,Strike_Review_Queue!$J:$J,"")="Deny","Counts",H881)))</f>
        <v/>
      </c>
      <c r="L881" s="39" t="str">
        <f t="array" ref="L881">IF(J881="","",XLOOKUP(J881,Strike_Review_Queue!$I:$I,Strike_Review_Queue!$L:$L,""))</f>
        <v/>
      </c>
      <c r="M881" s="39" t="str">
        <f t="array" ref="M881">IF(J881="","",XLOOKUP(J881,Strike_Review_Queue!$I:$I,Strike_Review_Queue!$M:$M,""))</f>
        <v/>
      </c>
    </row>
    <row r="882" ht="15.75" customHeight="1">
      <c r="C882" s="39"/>
      <c r="D882" s="39" t="str">
        <f>IF(OR(B882="",A882=""),"",MAX(0,MIN(3,SUMIFS($C$2:$C$1000,$B$2:$B$1000,B882,$A$2:$A$1000,"&lt;="&amp;A882,$A$2:$A$1000,"&gt;="&amp;IF(Config!$B$1004="Y",A882-Config!$B$1005,DATE(1900,1,1)),$I$2:$I$1000,1)))))</f>
        <v>#ERROR!</v>
      </c>
      <c r="H882" s="39"/>
      <c r="I882" s="39">
        <f t="shared" si="1"/>
        <v>1</v>
      </c>
      <c r="J882" s="39" t="str">
        <f t="shared" si="2"/>
        <v/>
      </c>
      <c r="K882" s="39" t="str">
        <f t="array" ref="K882">IF(J882="","",IF(XLOOKUP(J882,Strike_Review_Queue!$I:$I,Strike_Review_Queue!$J:$J,"")="Approve","Approved",IF(XLOOKUP(J882,Strike_Review_Queue!$I:$I,Strike_Review_Queue!$J:$J,"")="Deny","Counts",H882)))</f>
        <v/>
      </c>
      <c r="L882" s="39" t="str">
        <f t="array" ref="L882">IF(J882="","",XLOOKUP(J882,Strike_Review_Queue!$I:$I,Strike_Review_Queue!$L:$L,""))</f>
        <v/>
      </c>
      <c r="M882" s="39" t="str">
        <f t="array" ref="M882">IF(J882="","",XLOOKUP(J882,Strike_Review_Queue!$I:$I,Strike_Review_Queue!$M:$M,""))</f>
        <v/>
      </c>
    </row>
    <row r="883" ht="15.75" customHeight="1">
      <c r="C883" s="39"/>
      <c r="D883" s="39" t="str">
        <f>IF(OR(B883="",A883=""),"",MAX(0,MIN(3,SUMIFS($C$2:$C$1000,$B$2:$B$1000,B883,$A$2:$A$1000,"&lt;="&amp;A883,$A$2:$A$1000,"&gt;="&amp;IF(Config!$B$1004="Y",A883-Config!$B$1005,DATE(1900,1,1)),$I$2:$I$1000,1)))))</f>
        <v>#ERROR!</v>
      </c>
      <c r="H883" s="39"/>
      <c r="I883" s="39">
        <f t="shared" si="1"/>
        <v>1</v>
      </c>
      <c r="J883" s="39" t="str">
        <f t="shared" si="2"/>
        <v/>
      </c>
      <c r="K883" s="39" t="str">
        <f t="array" ref="K883">IF(J883="","",IF(XLOOKUP(J883,Strike_Review_Queue!$I:$I,Strike_Review_Queue!$J:$J,"")="Approve","Approved",IF(XLOOKUP(J883,Strike_Review_Queue!$I:$I,Strike_Review_Queue!$J:$J,"")="Deny","Counts",H883)))</f>
        <v/>
      </c>
      <c r="L883" s="39" t="str">
        <f t="array" ref="L883">IF(J883="","",XLOOKUP(J883,Strike_Review_Queue!$I:$I,Strike_Review_Queue!$L:$L,""))</f>
        <v/>
      </c>
      <c r="M883" s="39" t="str">
        <f t="array" ref="M883">IF(J883="","",XLOOKUP(J883,Strike_Review_Queue!$I:$I,Strike_Review_Queue!$M:$M,""))</f>
        <v/>
      </c>
    </row>
    <row r="884" ht="15.75" customHeight="1">
      <c r="C884" s="39"/>
      <c r="D884" s="39" t="str">
        <f>IF(OR(B884="",A884=""),"",MAX(0,MIN(3,SUMIFS($C$2:$C$1000,$B$2:$B$1000,B884,$A$2:$A$1000,"&lt;="&amp;A884,$A$2:$A$1000,"&gt;="&amp;IF(Config!$B$1004="Y",A884-Config!$B$1005,DATE(1900,1,1)),$I$2:$I$1000,1)))))</f>
        <v>#ERROR!</v>
      </c>
      <c r="H884" s="39"/>
      <c r="I884" s="39">
        <f t="shared" si="1"/>
        <v>1</v>
      </c>
      <c r="J884" s="39" t="str">
        <f t="shared" si="2"/>
        <v/>
      </c>
      <c r="K884" s="39" t="str">
        <f t="array" ref="K884">IF(J884="","",IF(XLOOKUP(J884,Strike_Review_Queue!$I:$I,Strike_Review_Queue!$J:$J,"")="Approve","Approved",IF(XLOOKUP(J884,Strike_Review_Queue!$I:$I,Strike_Review_Queue!$J:$J,"")="Deny","Counts",H884)))</f>
        <v/>
      </c>
      <c r="L884" s="39" t="str">
        <f t="array" ref="L884">IF(J884="","",XLOOKUP(J884,Strike_Review_Queue!$I:$I,Strike_Review_Queue!$L:$L,""))</f>
        <v/>
      </c>
      <c r="M884" s="39" t="str">
        <f t="array" ref="M884">IF(J884="","",XLOOKUP(J884,Strike_Review_Queue!$I:$I,Strike_Review_Queue!$M:$M,""))</f>
        <v/>
      </c>
    </row>
    <row r="885" ht="15.75" customHeight="1">
      <c r="C885" s="39"/>
      <c r="D885" s="39" t="str">
        <f>IF(OR(B885="",A885=""),"",MAX(0,MIN(3,SUMIFS($C$2:$C$1000,$B$2:$B$1000,B885,$A$2:$A$1000,"&lt;="&amp;A885,$A$2:$A$1000,"&gt;="&amp;IF(Config!$B$1004="Y",A885-Config!$B$1005,DATE(1900,1,1)),$I$2:$I$1000,1)))))</f>
        <v>#ERROR!</v>
      </c>
      <c r="H885" s="39"/>
      <c r="I885" s="39">
        <f t="shared" si="1"/>
        <v>1</v>
      </c>
      <c r="J885" s="39" t="str">
        <f t="shared" si="2"/>
        <v/>
      </c>
      <c r="K885" s="39" t="str">
        <f t="array" ref="K885">IF(J885="","",IF(XLOOKUP(J885,Strike_Review_Queue!$I:$I,Strike_Review_Queue!$J:$J,"")="Approve","Approved",IF(XLOOKUP(J885,Strike_Review_Queue!$I:$I,Strike_Review_Queue!$J:$J,"")="Deny","Counts",H885)))</f>
        <v/>
      </c>
      <c r="L885" s="39" t="str">
        <f t="array" ref="L885">IF(J885="","",XLOOKUP(J885,Strike_Review_Queue!$I:$I,Strike_Review_Queue!$L:$L,""))</f>
        <v/>
      </c>
      <c r="M885" s="39" t="str">
        <f t="array" ref="M885">IF(J885="","",XLOOKUP(J885,Strike_Review_Queue!$I:$I,Strike_Review_Queue!$M:$M,""))</f>
        <v/>
      </c>
    </row>
    <row r="886" ht="15.75" customHeight="1">
      <c r="C886" s="39"/>
      <c r="D886" s="39" t="str">
        <f>IF(OR(B886="",A886=""),"",MAX(0,MIN(3,SUMIFS($C$2:$C$1000,$B$2:$B$1000,B886,$A$2:$A$1000,"&lt;="&amp;A886,$A$2:$A$1000,"&gt;="&amp;IF(Config!$B$1004="Y",A886-Config!$B$1005,DATE(1900,1,1)),$I$2:$I$1000,1)))))</f>
        <v>#ERROR!</v>
      </c>
      <c r="H886" s="39"/>
      <c r="I886" s="39">
        <f t="shared" si="1"/>
        <v>1</v>
      </c>
      <c r="J886" s="39" t="str">
        <f t="shared" si="2"/>
        <v/>
      </c>
      <c r="K886" s="39" t="str">
        <f t="array" ref="K886">IF(J886="","",IF(XLOOKUP(J886,Strike_Review_Queue!$I:$I,Strike_Review_Queue!$J:$J,"")="Approve","Approved",IF(XLOOKUP(J886,Strike_Review_Queue!$I:$I,Strike_Review_Queue!$J:$J,"")="Deny","Counts",H886)))</f>
        <v/>
      </c>
      <c r="L886" s="39" t="str">
        <f t="array" ref="L886">IF(J886="","",XLOOKUP(J886,Strike_Review_Queue!$I:$I,Strike_Review_Queue!$L:$L,""))</f>
        <v/>
      </c>
      <c r="M886" s="39" t="str">
        <f t="array" ref="M886">IF(J886="","",XLOOKUP(J886,Strike_Review_Queue!$I:$I,Strike_Review_Queue!$M:$M,""))</f>
        <v/>
      </c>
    </row>
    <row r="887" ht="15.75" customHeight="1">
      <c r="C887" s="39"/>
      <c r="D887" s="39" t="str">
        <f>IF(OR(B887="",A887=""),"",MAX(0,MIN(3,SUMIFS($C$2:$C$1000,$B$2:$B$1000,B887,$A$2:$A$1000,"&lt;="&amp;A887,$A$2:$A$1000,"&gt;="&amp;IF(Config!$B$1004="Y",A887-Config!$B$1005,DATE(1900,1,1)),$I$2:$I$1000,1)))))</f>
        <v>#ERROR!</v>
      </c>
      <c r="H887" s="39"/>
      <c r="I887" s="39">
        <f t="shared" si="1"/>
        <v>1</v>
      </c>
      <c r="J887" s="39" t="str">
        <f t="shared" si="2"/>
        <v/>
      </c>
      <c r="K887" s="39" t="str">
        <f t="array" ref="K887">IF(J887="","",IF(XLOOKUP(J887,Strike_Review_Queue!$I:$I,Strike_Review_Queue!$J:$J,"")="Approve","Approved",IF(XLOOKUP(J887,Strike_Review_Queue!$I:$I,Strike_Review_Queue!$J:$J,"")="Deny","Counts",H887)))</f>
        <v/>
      </c>
      <c r="L887" s="39" t="str">
        <f t="array" ref="L887">IF(J887="","",XLOOKUP(J887,Strike_Review_Queue!$I:$I,Strike_Review_Queue!$L:$L,""))</f>
        <v/>
      </c>
      <c r="M887" s="39" t="str">
        <f t="array" ref="M887">IF(J887="","",XLOOKUP(J887,Strike_Review_Queue!$I:$I,Strike_Review_Queue!$M:$M,""))</f>
        <v/>
      </c>
    </row>
    <row r="888" ht="15.75" customHeight="1">
      <c r="C888" s="39"/>
      <c r="D888" s="39" t="str">
        <f>IF(OR(B888="",A888=""),"",MAX(0,MIN(3,SUMIFS($C$2:$C$1000,$B$2:$B$1000,B888,$A$2:$A$1000,"&lt;="&amp;A888,$A$2:$A$1000,"&gt;="&amp;IF(Config!$B$1004="Y",A888-Config!$B$1005,DATE(1900,1,1)),$I$2:$I$1000,1)))))</f>
        <v>#ERROR!</v>
      </c>
      <c r="H888" s="39"/>
      <c r="I888" s="39">
        <f t="shared" si="1"/>
        <v>1</v>
      </c>
      <c r="J888" s="39" t="str">
        <f t="shared" si="2"/>
        <v/>
      </c>
      <c r="K888" s="39" t="str">
        <f t="array" ref="K888">IF(J888="","",IF(XLOOKUP(J888,Strike_Review_Queue!$I:$I,Strike_Review_Queue!$J:$J,"")="Approve","Approved",IF(XLOOKUP(J888,Strike_Review_Queue!$I:$I,Strike_Review_Queue!$J:$J,"")="Deny","Counts",H888)))</f>
        <v/>
      </c>
      <c r="L888" s="39" t="str">
        <f t="array" ref="L888">IF(J888="","",XLOOKUP(J888,Strike_Review_Queue!$I:$I,Strike_Review_Queue!$L:$L,""))</f>
        <v/>
      </c>
      <c r="M888" s="39" t="str">
        <f t="array" ref="M888">IF(J888="","",XLOOKUP(J888,Strike_Review_Queue!$I:$I,Strike_Review_Queue!$M:$M,""))</f>
        <v/>
      </c>
    </row>
    <row r="889" ht="15.75" customHeight="1">
      <c r="C889" s="39"/>
      <c r="D889" s="39" t="str">
        <f>IF(OR(B889="",A889=""),"",MAX(0,MIN(3,SUMIFS($C$2:$C$1000,$B$2:$B$1000,B889,$A$2:$A$1000,"&lt;="&amp;A889,$A$2:$A$1000,"&gt;="&amp;IF(Config!$B$1004="Y",A889-Config!$B$1005,DATE(1900,1,1)),$I$2:$I$1000,1)))))</f>
        <v>#ERROR!</v>
      </c>
      <c r="H889" s="39"/>
      <c r="I889" s="39">
        <f t="shared" si="1"/>
        <v>1</v>
      </c>
      <c r="J889" s="39" t="str">
        <f t="shared" si="2"/>
        <v/>
      </c>
      <c r="K889" s="39" t="str">
        <f t="array" ref="K889">IF(J889="","",IF(XLOOKUP(J889,Strike_Review_Queue!$I:$I,Strike_Review_Queue!$J:$J,"")="Approve","Approved",IF(XLOOKUP(J889,Strike_Review_Queue!$I:$I,Strike_Review_Queue!$J:$J,"")="Deny","Counts",H889)))</f>
        <v/>
      </c>
      <c r="L889" s="39" t="str">
        <f t="array" ref="L889">IF(J889="","",XLOOKUP(J889,Strike_Review_Queue!$I:$I,Strike_Review_Queue!$L:$L,""))</f>
        <v/>
      </c>
      <c r="M889" s="39" t="str">
        <f t="array" ref="M889">IF(J889="","",XLOOKUP(J889,Strike_Review_Queue!$I:$I,Strike_Review_Queue!$M:$M,""))</f>
        <v/>
      </c>
    </row>
    <row r="890" ht="15.75" customHeight="1">
      <c r="C890" s="39"/>
      <c r="D890" s="39" t="str">
        <f>IF(OR(B890="",A890=""),"",MAX(0,MIN(3,SUMIFS($C$2:$C$1000,$B$2:$B$1000,B890,$A$2:$A$1000,"&lt;="&amp;A890,$A$2:$A$1000,"&gt;="&amp;IF(Config!$B$1004="Y",A890-Config!$B$1005,DATE(1900,1,1)),$I$2:$I$1000,1)))))</f>
        <v>#ERROR!</v>
      </c>
      <c r="H890" s="39"/>
      <c r="I890" s="39">
        <f t="shared" si="1"/>
        <v>1</v>
      </c>
      <c r="J890" s="39" t="str">
        <f t="shared" si="2"/>
        <v/>
      </c>
      <c r="K890" s="39" t="str">
        <f t="array" ref="K890">IF(J890="","",IF(XLOOKUP(J890,Strike_Review_Queue!$I:$I,Strike_Review_Queue!$J:$J,"")="Approve","Approved",IF(XLOOKUP(J890,Strike_Review_Queue!$I:$I,Strike_Review_Queue!$J:$J,"")="Deny","Counts",H890)))</f>
        <v/>
      </c>
      <c r="L890" s="39" t="str">
        <f t="array" ref="L890">IF(J890="","",XLOOKUP(J890,Strike_Review_Queue!$I:$I,Strike_Review_Queue!$L:$L,""))</f>
        <v/>
      </c>
      <c r="M890" s="39" t="str">
        <f t="array" ref="M890">IF(J890="","",XLOOKUP(J890,Strike_Review_Queue!$I:$I,Strike_Review_Queue!$M:$M,""))</f>
        <v/>
      </c>
    </row>
    <row r="891" ht="15.75" customHeight="1">
      <c r="C891" s="39"/>
      <c r="D891" s="39" t="str">
        <f>IF(OR(B891="",A891=""),"",MAX(0,MIN(3,SUMIFS($C$2:$C$1000,$B$2:$B$1000,B891,$A$2:$A$1000,"&lt;="&amp;A891,$A$2:$A$1000,"&gt;="&amp;IF(Config!$B$1004="Y",A891-Config!$B$1005,DATE(1900,1,1)),$I$2:$I$1000,1)))))</f>
        <v>#ERROR!</v>
      </c>
      <c r="H891" s="39"/>
      <c r="I891" s="39">
        <f t="shared" si="1"/>
        <v>1</v>
      </c>
      <c r="J891" s="39" t="str">
        <f t="shared" si="2"/>
        <v/>
      </c>
      <c r="K891" s="39" t="str">
        <f t="array" ref="K891">IF(J891="","",IF(XLOOKUP(J891,Strike_Review_Queue!$I:$I,Strike_Review_Queue!$J:$J,"")="Approve","Approved",IF(XLOOKUP(J891,Strike_Review_Queue!$I:$I,Strike_Review_Queue!$J:$J,"")="Deny","Counts",H891)))</f>
        <v/>
      </c>
      <c r="L891" s="39" t="str">
        <f t="array" ref="L891">IF(J891="","",XLOOKUP(J891,Strike_Review_Queue!$I:$I,Strike_Review_Queue!$L:$L,""))</f>
        <v/>
      </c>
      <c r="M891" s="39" t="str">
        <f t="array" ref="M891">IF(J891="","",XLOOKUP(J891,Strike_Review_Queue!$I:$I,Strike_Review_Queue!$M:$M,""))</f>
        <v/>
      </c>
    </row>
    <row r="892" ht="15.75" customHeight="1">
      <c r="C892" s="39"/>
      <c r="D892" s="39" t="str">
        <f>IF(OR(B892="",A892=""),"",MAX(0,MIN(3,SUMIFS($C$2:$C$1000,$B$2:$B$1000,B892,$A$2:$A$1000,"&lt;="&amp;A892,$A$2:$A$1000,"&gt;="&amp;IF(Config!$B$1004="Y",A892-Config!$B$1005,DATE(1900,1,1)),$I$2:$I$1000,1)))))</f>
        <v>#ERROR!</v>
      </c>
      <c r="H892" s="39"/>
      <c r="I892" s="39">
        <f t="shared" si="1"/>
        <v>1</v>
      </c>
      <c r="J892" s="39" t="str">
        <f t="shared" si="2"/>
        <v/>
      </c>
      <c r="K892" s="39" t="str">
        <f t="array" ref="K892">IF(J892="","",IF(XLOOKUP(J892,Strike_Review_Queue!$I:$I,Strike_Review_Queue!$J:$J,"")="Approve","Approved",IF(XLOOKUP(J892,Strike_Review_Queue!$I:$I,Strike_Review_Queue!$J:$J,"")="Deny","Counts",H892)))</f>
        <v/>
      </c>
      <c r="L892" s="39" t="str">
        <f t="array" ref="L892">IF(J892="","",XLOOKUP(J892,Strike_Review_Queue!$I:$I,Strike_Review_Queue!$L:$L,""))</f>
        <v/>
      </c>
      <c r="M892" s="39" t="str">
        <f t="array" ref="M892">IF(J892="","",XLOOKUP(J892,Strike_Review_Queue!$I:$I,Strike_Review_Queue!$M:$M,""))</f>
        <v/>
      </c>
    </row>
    <row r="893" ht="15.75" customHeight="1">
      <c r="C893" s="39"/>
      <c r="D893" s="39" t="str">
        <f>IF(OR(B893="",A893=""),"",MAX(0,MIN(3,SUMIFS($C$2:$C$1000,$B$2:$B$1000,B893,$A$2:$A$1000,"&lt;="&amp;A893,$A$2:$A$1000,"&gt;="&amp;IF(Config!$B$1004="Y",A893-Config!$B$1005,DATE(1900,1,1)),$I$2:$I$1000,1)))))</f>
        <v>#ERROR!</v>
      </c>
      <c r="H893" s="39"/>
      <c r="I893" s="39">
        <f t="shared" si="1"/>
        <v>1</v>
      </c>
      <c r="J893" s="39" t="str">
        <f t="shared" si="2"/>
        <v/>
      </c>
      <c r="K893" s="39" t="str">
        <f t="array" ref="K893">IF(J893="","",IF(XLOOKUP(J893,Strike_Review_Queue!$I:$I,Strike_Review_Queue!$J:$J,"")="Approve","Approved",IF(XLOOKUP(J893,Strike_Review_Queue!$I:$I,Strike_Review_Queue!$J:$J,"")="Deny","Counts",H893)))</f>
        <v/>
      </c>
      <c r="L893" s="39" t="str">
        <f t="array" ref="L893">IF(J893="","",XLOOKUP(J893,Strike_Review_Queue!$I:$I,Strike_Review_Queue!$L:$L,""))</f>
        <v/>
      </c>
      <c r="M893" s="39" t="str">
        <f t="array" ref="M893">IF(J893="","",XLOOKUP(J893,Strike_Review_Queue!$I:$I,Strike_Review_Queue!$M:$M,""))</f>
        <v/>
      </c>
    </row>
    <row r="894" ht="15.75" customHeight="1">
      <c r="C894" s="39"/>
      <c r="D894" s="39" t="str">
        <f>IF(OR(B894="",A894=""),"",MAX(0,MIN(3,SUMIFS($C$2:$C$1000,$B$2:$B$1000,B894,$A$2:$A$1000,"&lt;="&amp;A894,$A$2:$A$1000,"&gt;="&amp;IF(Config!$B$1004="Y",A894-Config!$B$1005,DATE(1900,1,1)),$I$2:$I$1000,1)))))</f>
        <v>#ERROR!</v>
      </c>
      <c r="H894" s="39"/>
      <c r="I894" s="39">
        <f t="shared" si="1"/>
        <v>1</v>
      </c>
      <c r="J894" s="39" t="str">
        <f t="shared" si="2"/>
        <v/>
      </c>
      <c r="K894" s="39" t="str">
        <f t="array" ref="K894">IF(J894="","",IF(XLOOKUP(J894,Strike_Review_Queue!$I:$I,Strike_Review_Queue!$J:$J,"")="Approve","Approved",IF(XLOOKUP(J894,Strike_Review_Queue!$I:$I,Strike_Review_Queue!$J:$J,"")="Deny","Counts",H894)))</f>
        <v/>
      </c>
      <c r="L894" s="39" t="str">
        <f t="array" ref="L894">IF(J894="","",XLOOKUP(J894,Strike_Review_Queue!$I:$I,Strike_Review_Queue!$L:$L,""))</f>
        <v/>
      </c>
      <c r="M894" s="39" t="str">
        <f t="array" ref="M894">IF(J894="","",XLOOKUP(J894,Strike_Review_Queue!$I:$I,Strike_Review_Queue!$M:$M,""))</f>
        <v/>
      </c>
    </row>
    <row r="895" ht="15.75" customHeight="1">
      <c r="C895" s="39"/>
      <c r="D895" s="39" t="str">
        <f>IF(OR(B895="",A895=""),"",MAX(0,MIN(3,SUMIFS($C$2:$C$1000,$B$2:$B$1000,B895,$A$2:$A$1000,"&lt;="&amp;A895,$A$2:$A$1000,"&gt;="&amp;IF(Config!$B$1004="Y",A895-Config!$B$1005,DATE(1900,1,1)),$I$2:$I$1000,1)))))</f>
        <v>#ERROR!</v>
      </c>
      <c r="H895" s="39"/>
      <c r="I895" s="39">
        <f t="shared" si="1"/>
        <v>1</v>
      </c>
      <c r="J895" s="39" t="str">
        <f t="shared" si="2"/>
        <v/>
      </c>
      <c r="K895" s="39" t="str">
        <f t="array" ref="K895">IF(J895="","",IF(XLOOKUP(J895,Strike_Review_Queue!$I:$I,Strike_Review_Queue!$J:$J,"")="Approve","Approved",IF(XLOOKUP(J895,Strike_Review_Queue!$I:$I,Strike_Review_Queue!$J:$J,"")="Deny","Counts",H895)))</f>
        <v/>
      </c>
      <c r="L895" s="39" t="str">
        <f t="array" ref="L895">IF(J895="","",XLOOKUP(J895,Strike_Review_Queue!$I:$I,Strike_Review_Queue!$L:$L,""))</f>
        <v/>
      </c>
      <c r="M895" s="39" t="str">
        <f t="array" ref="M895">IF(J895="","",XLOOKUP(J895,Strike_Review_Queue!$I:$I,Strike_Review_Queue!$M:$M,""))</f>
        <v/>
      </c>
    </row>
    <row r="896" ht="15.75" customHeight="1">
      <c r="C896" s="39"/>
      <c r="D896" s="39" t="str">
        <f>IF(OR(B896="",A896=""),"",MAX(0,MIN(3,SUMIFS($C$2:$C$1000,$B$2:$B$1000,B896,$A$2:$A$1000,"&lt;="&amp;A896,$A$2:$A$1000,"&gt;="&amp;IF(Config!$B$1004="Y",A896-Config!$B$1005,DATE(1900,1,1)),$I$2:$I$1000,1)))))</f>
        <v>#ERROR!</v>
      </c>
      <c r="H896" s="39"/>
      <c r="I896" s="39">
        <f t="shared" si="1"/>
        <v>1</v>
      </c>
      <c r="J896" s="39" t="str">
        <f t="shared" si="2"/>
        <v/>
      </c>
      <c r="K896" s="39" t="str">
        <f t="array" ref="K896">IF(J896="","",IF(XLOOKUP(J896,Strike_Review_Queue!$I:$I,Strike_Review_Queue!$J:$J,"")="Approve","Approved",IF(XLOOKUP(J896,Strike_Review_Queue!$I:$I,Strike_Review_Queue!$J:$J,"")="Deny","Counts",H896)))</f>
        <v/>
      </c>
      <c r="L896" s="39" t="str">
        <f t="array" ref="L896">IF(J896="","",XLOOKUP(J896,Strike_Review_Queue!$I:$I,Strike_Review_Queue!$L:$L,""))</f>
        <v/>
      </c>
      <c r="M896" s="39" t="str">
        <f t="array" ref="M896">IF(J896="","",XLOOKUP(J896,Strike_Review_Queue!$I:$I,Strike_Review_Queue!$M:$M,""))</f>
        <v/>
      </c>
    </row>
    <row r="897" ht="15.75" customHeight="1">
      <c r="C897" s="39"/>
      <c r="D897" s="39" t="str">
        <f>IF(OR(B897="",A897=""),"",MAX(0,MIN(3,SUMIFS($C$2:$C$1000,$B$2:$B$1000,B897,$A$2:$A$1000,"&lt;="&amp;A897,$A$2:$A$1000,"&gt;="&amp;IF(Config!$B$1004="Y",A897-Config!$B$1005,DATE(1900,1,1)),$I$2:$I$1000,1)))))</f>
        <v>#ERROR!</v>
      </c>
      <c r="H897" s="39"/>
      <c r="I897" s="39">
        <f t="shared" si="1"/>
        <v>1</v>
      </c>
      <c r="J897" s="39" t="str">
        <f t="shared" si="2"/>
        <v/>
      </c>
      <c r="K897" s="39" t="str">
        <f t="array" ref="K897">IF(J897="","",IF(XLOOKUP(J897,Strike_Review_Queue!$I:$I,Strike_Review_Queue!$J:$J,"")="Approve","Approved",IF(XLOOKUP(J897,Strike_Review_Queue!$I:$I,Strike_Review_Queue!$J:$J,"")="Deny","Counts",H897)))</f>
        <v/>
      </c>
      <c r="L897" s="39" t="str">
        <f t="array" ref="L897">IF(J897="","",XLOOKUP(J897,Strike_Review_Queue!$I:$I,Strike_Review_Queue!$L:$L,""))</f>
        <v/>
      </c>
      <c r="M897" s="39" t="str">
        <f t="array" ref="M897">IF(J897="","",XLOOKUP(J897,Strike_Review_Queue!$I:$I,Strike_Review_Queue!$M:$M,""))</f>
        <v/>
      </c>
    </row>
    <row r="898" ht="15.75" customHeight="1">
      <c r="C898" s="39"/>
      <c r="D898" s="39" t="str">
        <f>IF(OR(B898="",A898=""),"",MAX(0,MIN(3,SUMIFS($C$2:$C$1000,$B$2:$B$1000,B898,$A$2:$A$1000,"&lt;="&amp;A898,$A$2:$A$1000,"&gt;="&amp;IF(Config!$B$1004="Y",A898-Config!$B$1005,DATE(1900,1,1)),$I$2:$I$1000,1)))))</f>
        <v>#ERROR!</v>
      </c>
      <c r="H898" s="39"/>
      <c r="I898" s="39">
        <f t="shared" si="1"/>
        <v>1</v>
      </c>
      <c r="J898" s="39" t="str">
        <f t="shared" si="2"/>
        <v/>
      </c>
      <c r="K898" s="39" t="str">
        <f t="array" ref="K898">IF(J898="","",IF(XLOOKUP(J898,Strike_Review_Queue!$I:$I,Strike_Review_Queue!$J:$J,"")="Approve","Approved",IF(XLOOKUP(J898,Strike_Review_Queue!$I:$I,Strike_Review_Queue!$J:$J,"")="Deny","Counts",H898)))</f>
        <v/>
      </c>
      <c r="L898" s="39" t="str">
        <f t="array" ref="L898">IF(J898="","",XLOOKUP(J898,Strike_Review_Queue!$I:$I,Strike_Review_Queue!$L:$L,""))</f>
        <v/>
      </c>
      <c r="M898" s="39" t="str">
        <f t="array" ref="M898">IF(J898="","",XLOOKUP(J898,Strike_Review_Queue!$I:$I,Strike_Review_Queue!$M:$M,""))</f>
        <v/>
      </c>
    </row>
    <row r="899" ht="15.75" customHeight="1">
      <c r="C899" s="39"/>
      <c r="D899" s="39" t="str">
        <f>IF(OR(B899="",A899=""),"",MAX(0,MIN(3,SUMIFS($C$2:$C$1000,$B$2:$B$1000,B899,$A$2:$A$1000,"&lt;="&amp;A899,$A$2:$A$1000,"&gt;="&amp;IF(Config!$B$1004="Y",A899-Config!$B$1005,DATE(1900,1,1)),$I$2:$I$1000,1)))))</f>
        <v>#ERROR!</v>
      </c>
      <c r="H899" s="39"/>
      <c r="I899" s="39">
        <f t="shared" si="1"/>
        <v>1</v>
      </c>
      <c r="J899" s="39" t="str">
        <f t="shared" si="2"/>
        <v/>
      </c>
      <c r="K899" s="39" t="str">
        <f t="array" ref="K899">IF(J899="","",IF(XLOOKUP(J899,Strike_Review_Queue!$I:$I,Strike_Review_Queue!$J:$J,"")="Approve","Approved",IF(XLOOKUP(J899,Strike_Review_Queue!$I:$I,Strike_Review_Queue!$J:$J,"")="Deny","Counts",H899)))</f>
        <v/>
      </c>
      <c r="L899" s="39" t="str">
        <f t="array" ref="L899">IF(J899="","",XLOOKUP(J899,Strike_Review_Queue!$I:$I,Strike_Review_Queue!$L:$L,""))</f>
        <v/>
      </c>
      <c r="M899" s="39" t="str">
        <f t="array" ref="M899">IF(J899="","",XLOOKUP(J899,Strike_Review_Queue!$I:$I,Strike_Review_Queue!$M:$M,""))</f>
        <v/>
      </c>
    </row>
    <row r="900" ht="15.75" customHeight="1">
      <c r="C900" s="39"/>
      <c r="D900" s="39" t="str">
        <f>IF(OR(B900="",A900=""),"",MAX(0,MIN(3,SUMIFS($C$2:$C$1000,$B$2:$B$1000,B900,$A$2:$A$1000,"&lt;="&amp;A900,$A$2:$A$1000,"&gt;="&amp;IF(Config!$B$1004="Y",A900-Config!$B$1005,DATE(1900,1,1)),$I$2:$I$1000,1)))))</f>
        <v>#ERROR!</v>
      </c>
      <c r="H900" s="39"/>
      <c r="I900" s="39">
        <f t="shared" si="1"/>
        <v>1</v>
      </c>
      <c r="J900" s="39" t="str">
        <f t="shared" si="2"/>
        <v/>
      </c>
      <c r="K900" s="39" t="str">
        <f t="array" ref="K900">IF(J900="","",IF(XLOOKUP(J900,Strike_Review_Queue!$I:$I,Strike_Review_Queue!$J:$J,"")="Approve","Approved",IF(XLOOKUP(J900,Strike_Review_Queue!$I:$I,Strike_Review_Queue!$J:$J,"")="Deny","Counts",H900)))</f>
        <v/>
      </c>
      <c r="L900" s="39" t="str">
        <f t="array" ref="L900">IF(J900="","",XLOOKUP(J900,Strike_Review_Queue!$I:$I,Strike_Review_Queue!$L:$L,""))</f>
        <v/>
      </c>
      <c r="M900" s="39" t="str">
        <f t="array" ref="M900">IF(J900="","",XLOOKUP(J900,Strike_Review_Queue!$I:$I,Strike_Review_Queue!$M:$M,""))</f>
        <v/>
      </c>
    </row>
    <row r="901" ht="15.75" customHeight="1">
      <c r="C901" s="39"/>
      <c r="D901" s="39" t="str">
        <f>IF(OR(B901="",A901=""),"",MAX(0,MIN(3,SUMIFS($C$2:$C$1000,$B$2:$B$1000,B901,$A$2:$A$1000,"&lt;="&amp;A901,$A$2:$A$1000,"&gt;="&amp;IF(Config!$B$1004="Y",A901-Config!$B$1005,DATE(1900,1,1)),$I$2:$I$1000,1)))))</f>
        <v>#ERROR!</v>
      </c>
      <c r="H901" s="39"/>
      <c r="I901" s="39">
        <f t="shared" si="1"/>
        <v>1</v>
      </c>
      <c r="J901" s="39" t="str">
        <f t="shared" si="2"/>
        <v/>
      </c>
      <c r="K901" s="39" t="str">
        <f t="array" ref="K901">IF(J901="","",IF(XLOOKUP(J901,Strike_Review_Queue!$I:$I,Strike_Review_Queue!$J:$J,"")="Approve","Approved",IF(XLOOKUP(J901,Strike_Review_Queue!$I:$I,Strike_Review_Queue!$J:$J,"")="Deny","Counts",H901)))</f>
        <v/>
      </c>
      <c r="L901" s="39" t="str">
        <f t="array" ref="L901">IF(J901="","",XLOOKUP(J901,Strike_Review_Queue!$I:$I,Strike_Review_Queue!$L:$L,""))</f>
        <v/>
      </c>
      <c r="M901" s="39" t="str">
        <f t="array" ref="M901">IF(J901="","",XLOOKUP(J901,Strike_Review_Queue!$I:$I,Strike_Review_Queue!$M:$M,""))</f>
        <v/>
      </c>
    </row>
    <row r="902" ht="15.75" customHeight="1">
      <c r="C902" s="39"/>
      <c r="D902" s="39" t="str">
        <f>IF(OR(B902="",A902=""),"",MAX(0,MIN(3,SUMIFS($C$2:$C$1000,$B$2:$B$1000,B902,$A$2:$A$1000,"&lt;="&amp;A902,$A$2:$A$1000,"&gt;="&amp;IF(Config!$B$1004="Y",A902-Config!$B$1005,DATE(1900,1,1)),$I$2:$I$1000,1)))))</f>
        <v>#ERROR!</v>
      </c>
      <c r="H902" s="39"/>
      <c r="I902" s="39">
        <f t="shared" si="1"/>
        <v>1</v>
      </c>
      <c r="J902" s="39" t="str">
        <f t="shared" si="2"/>
        <v/>
      </c>
      <c r="K902" s="39" t="str">
        <f t="array" ref="K902">IF(J902="","",IF(XLOOKUP(J902,Strike_Review_Queue!$I:$I,Strike_Review_Queue!$J:$J,"")="Approve","Approved",IF(XLOOKUP(J902,Strike_Review_Queue!$I:$I,Strike_Review_Queue!$J:$J,"")="Deny","Counts",H902)))</f>
        <v/>
      </c>
      <c r="L902" s="39" t="str">
        <f t="array" ref="L902">IF(J902="","",XLOOKUP(J902,Strike_Review_Queue!$I:$I,Strike_Review_Queue!$L:$L,""))</f>
        <v/>
      </c>
      <c r="M902" s="39" t="str">
        <f t="array" ref="M902">IF(J902="","",XLOOKUP(J902,Strike_Review_Queue!$I:$I,Strike_Review_Queue!$M:$M,""))</f>
        <v/>
      </c>
    </row>
    <row r="903" ht="15.75" customHeight="1">
      <c r="C903" s="39"/>
      <c r="D903" s="39" t="str">
        <f>IF(OR(B903="",A903=""),"",MAX(0,MIN(3,SUMIFS($C$2:$C$1000,$B$2:$B$1000,B903,$A$2:$A$1000,"&lt;="&amp;A903,$A$2:$A$1000,"&gt;="&amp;IF(Config!$B$1004="Y",A903-Config!$B$1005,DATE(1900,1,1)),$I$2:$I$1000,1)))))</f>
        <v>#ERROR!</v>
      </c>
      <c r="H903" s="39"/>
      <c r="I903" s="39">
        <f t="shared" si="1"/>
        <v>1</v>
      </c>
      <c r="J903" s="39" t="str">
        <f t="shared" si="2"/>
        <v/>
      </c>
      <c r="K903" s="39" t="str">
        <f t="array" ref="K903">IF(J903="","",IF(XLOOKUP(J903,Strike_Review_Queue!$I:$I,Strike_Review_Queue!$J:$J,"")="Approve","Approved",IF(XLOOKUP(J903,Strike_Review_Queue!$I:$I,Strike_Review_Queue!$J:$J,"")="Deny","Counts",H903)))</f>
        <v/>
      </c>
      <c r="L903" s="39" t="str">
        <f t="array" ref="L903">IF(J903="","",XLOOKUP(J903,Strike_Review_Queue!$I:$I,Strike_Review_Queue!$L:$L,""))</f>
        <v/>
      </c>
      <c r="M903" s="39" t="str">
        <f t="array" ref="M903">IF(J903="","",XLOOKUP(J903,Strike_Review_Queue!$I:$I,Strike_Review_Queue!$M:$M,""))</f>
        <v/>
      </c>
    </row>
    <row r="904" ht="15.75" customHeight="1">
      <c r="C904" s="39"/>
      <c r="D904" s="39" t="str">
        <f>IF(OR(B904="",A904=""),"",MAX(0,MIN(3,SUMIFS($C$2:$C$1000,$B$2:$B$1000,B904,$A$2:$A$1000,"&lt;="&amp;A904,$A$2:$A$1000,"&gt;="&amp;IF(Config!$B$1004="Y",A904-Config!$B$1005,DATE(1900,1,1)),$I$2:$I$1000,1)))))</f>
        <v>#ERROR!</v>
      </c>
      <c r="H904" s="39"/>
      <c r="I904" s="39">
        <f t="shared" si="1"/>
        <v>1</v>
      </c>
      <c r="J904" s="39" t="str">
        <f t="shared" si="2"/>
        <v/>
      </c>
      <c r="K904" s="39" t="str">
        <f t="array" ref="K904">IF(J904="","",IF(XLOOKUP(J904,Strike_Review_Queue!$I:$I,Strike_Review_Queue!$J:$J,"")="Approve","Approved",IF(XLOOKUP(J904,Strike_Review_Queue!$I:$I,Strike_Review_Queue!$J:$J,"")="Deny","Counts",H904)))</f>
        <v/>
      </c>
      <c r="L904" s="39" t="str">
        <f t="array" ref="L904">IF(J904="","",XLOOKUP(J904,Strike_Review_Queue!$I:$I,Strike_Review_Queue!$L:$L,""))</f>
        <v/>
      </c>
      <c r="M904" s="39" t="str">
        <f t="array" ref="M904">IF(J904="","",XLOOKUP(J904,Strike_Review_Queue!$I:$I,Strike_Review_Queue!$M:$M,""))</f>
        <v/>
      </c>
    </row>
    <row r="905" ht="15.75" customHeight="1">
      <c r="C905" s="39"/>
      <c r="D905" s="39" t="str">
        <f>IF(OR(B905="",A905=""),"",MAX(0,MIN(3,SUMIFS($C$2:$C$1000,$B$2:$B$1000,B905,$A$2:$A$1000,"&lt;="&amp;A905,$A$2:$A$1000,"&gt;="&amp;IF(Config!$B$1004="Y",A905-Config!$B$1005,DATE(1900,1,1)),$I$2:$I$1000,1)))))</f>
        <v>#ERROR!</v>
      </c>
      <c r="H905" s="39"/>
      <c r="I905" s="39">
        <f t="shared" si="1"/>
        <v>1</v>
      </c>
      <c r="J905" s="39" t="str">
        <f t="shared" si="2"/>
        <v/>
      </c>
      <c r="K905" s="39" t="str">
        <f t="array" ref="K905">IF(J905="","",IF(XLOOKUP(J905,Strike_Review_Queue!$I:$I,Strike_Review_Queue!$J:$J,"")="Approve","Approved",IF(XLOOKUP(J905,Strike_Review_Queue!$I:$I,Strike_Review_Queue!$J:$J,"")="Deny","Counts",H905)))</f>
        <v/>
      </c>
      <c r="L905" s="39" t="str">
        <f t="array" ref="L905">IF(J905="","",XLOOKUP(J905,Strike_Review_Queue!$I:$I,Strike_Review_Queue!$L:$L,""))</f>
        <v/>
      </c>
      <c r="M905" s="39" t="str">
        <f t="array" ref="M905">IF(J905="","",XLOOKUP(J905,Strike_Review_Queue!$I:$I,Strike_Review_Queue!$M:$M,""))</f>
        <v/>
      </c>
    </row>
    <row r="906" ht="15.75" customHeight="1">
      <c r="C906" s="39"/>
      <c r="D906" s="39" t="str">
        <f>IF(OR(B906="",A906=""),"",MAX(0,MIN(3,SUMIFS($C$2:$C$1000,$B$2:$B$1000,B906,$A$2:$A$1000,"&lt;="&amp;A906,$A$2:$A$1000,"&gt;="&amp;IF(Config!$B$1004="Y",A906-Config!$B$1005,DATE(1900,1,1)),$I$2:$I$1000,1)))))</f>
        <v>#ERROR!</v>
      </c>
      <c r="H906" s="39"/>
      <c r="I906" s="39">
        <f t="shared" si="1"/>
        <v>1</v>
      </c>
      <c r="J906" s="39" t="str">
        <f t="shared" si="2"/>
        <v/>
      </c>
      <c r="K906" s="39" t="str">
        <f t="array" ref="K906">IF(J906="","",IF(XLOOKUP(J906,Strike_Review_Queue!$I:$I,Strike_Review_Queue!$J:$J,"")="Approve","Approved",IF(XLOOKUP(J906,Strike_Review_Queue!$I:$I,Strike_Review_Queue!$J:$J,"")="Deny","Counts",H906)))</f>
        <v/>
      </c>
      <c r="L906" s="39" t="str">
        <f t="array" ref="L906">IF(J906="","",XLOOKUP(J906,Strike_Review_Queue!$I:$I,Strike_Review_Queue!$L:$L,""))</f>
        <v/>
      </c>
      <c r="M906" s="39" t="str">
        <f t="array" ref="M906">IF(J906="","",XLOOKUP(J906,Strike_Review_Queue!$I:$I,Strike_Review_Queue!$M:$M,""))</f>
        <v/>
      </c>
    </row>
    <row r="907" ht="15.75" customHeight="1">
      <c r="C907" s="39"/>
      <c r="D907" s="39" t="str">
        <f>IF(OR(B907="",A907=""),"",MAX(0,MIN(3,SUMIFS($C$2:$C$1000,$B$2:$B$1000,B907,$A$2:$A$1000,"&lt;="&amp;A907,$A$2:$A$1000,"&gt;="&amp;IF(Config!$B$1004="Y",A907-Config!$B$1005,DATE(1900,1,1)),$I$2:$I$1000,1)))))</f>
        <v>#ERROR!</v>
      </c>
      <c r="H907" s="39"/>
      <c r="I907" s="39">
        <f t="shared" si="1"/>
        <v>1</v>
      </c>
      <c r="J907" s="39" t="str">
        <f t="shared" si="2"/>
        <v/>
      </c>
      <c r="K907" s="39" t="str">
        <f t="array" ref="K907">IF(J907="","",IF(XLOOKUP(J907,Strike_Review_Queue!$I:$I,Strike_Review_Queue!$J:$J,"")="Approve","Approved",IF(XLOOKUP(J907,Strike_Review_Queue!$I:$I,Strike_Review_Queue!$J:$J,"")="Deny","Counts",H907)))</f>
        <v/>
      </c>
      <c r="L907" s="39" t="str">
        <f t="array" ref="L907">IF(J907="","",XLOOKUP(J907,Strike_Review_Queue!$I:$I,Strike_Review_Queue!$L:$L,""))</f>
        <v/>
      </c>
      <c r="M907" s="39" t="str">
        <f t="array" ref="M907">IF(J907="","",XLOOKUP(J907,Strike_Review_Queue!$I:$I,Strike_Review_Queue!$M:$M,""))</f>
        <v/>
      </c>
    </row>
    <row r="908" ht="15.75" customHeight="1">
      <c r="C908" s="39"/>
      <c r="D908" s="39" t="str">
        <f>IF(OR(B908="",A908=""),"",MAX(0,MIN(3,SUMIFS($C$2:$C$1000,$B$2:$B$1000,B908,$A$2:$A$1000,"&lt;="&amp;A908,$A$2:$A$1000,"&gt;="&amp;IF(Config!$B$1004="Y",A908-Config!$B$1005,DATE(1900,1,1)),$I$2:$I$1000,1)))))</f>
        <v>#ERROR!</v>
      </c>
      <c r="H908" s="39"/>
      <c r="I908" s="39">
        <f t="shared" si="1"/>
        <v>1</v>
      </c>
      <c r="J908" s="39" t="str">
        <f t="shared" si="2"/>
        <v/>
      </c>
      <c r="K908" s="39" t="str">
        <f t="array" ref="K908">IF(J908="","",IF(XLOOKUP(J908,Strike_Review_Queue!$I:$I,Strike_Review_Queue!$J:$J,"")="Approve","Approved",IF(XLOOKUP(J908,Strike_Review_Queue!$I:$I,Strike_Review_Queue!$J:$J,"")="Deny","Counts",H908)))</f>
        <v/>
      </c>
      <c r="L908" s="39" t="str">
        <f t="array" ref="L908">IF(J908="","",XLOOKUP(J908,Strike_Review_Queue!$I:$I,Strike_Review_Queue!$L:$L,""))</f>
        <v/>
      </c>
      <c r="M908" s="39" t="str">
        <f t="array" ref="M908">IF(J908="","",XLOOKUP(J908,Strike_Review_Queue!$I:$I,Strike_Review_Queue!$M:$M,""))</f>
        <v/>
      </c>
    </row>
    <row r="909" ht="15.75" customHeight="1">
      <c r="C909" s="39"/>
      <c r="D909" s="39" t="str">
        <f>IF(OR(B909="",A909=""),"",MAX(0,MIN(3,SUMIFS($C$2:$C$1000,$B$2:$B$1000,B909,$A$2:$A$1000,"&lt;="&amp;A909,$A$2:$A$1000,"&gt;="&amp;IF(Config!$B$1004="Y",A909-Config!$B$1005,DATE(1900,1,1)),$I$2:$I$1000,1)))))</f>
        <v>#ERROR!</v>
      </c>
      <c r="H909" s="39"/>
      <c r="I909" s="39">
        <f t="shared" si="1"/>
        <v>1</v>
      </c>
      <c r="J909" s="39" t="str">
        <f t="shared" si="2"/>
        <v/>
      </c>
      <c r="K909" s="39" t="str">
        <f t="array" ref="K909">IF(J909="","",IF(XLOOKUP(J909,Strike_Review_Queue!$I:$I,Strike_Review_Queue!$J:$J,"")="Approve","Approved",IF(XLOOKUP(J909,Strike_Review_Queue!$I:$I,Strike_Review_Queue!$J:$J,"")="Deny","Counts",H909)))</f>
        <v/>
      </c>
      <c r="L909" s="39" t="str">
        <f t="array" ref="L909">IF(J909="","",XLOOKUP(J909,Strike_Review_Queue!$I:$I,Strike_Review_Queue!$L:$L,""))</f>
        <v/>
      </c>
      <c r="M909" s="39" t="str">
        <f t="array" ref="M909">IF(J909="","",XLOOKUP(J909,Strike_Review_Queue!$I:$I,Strike_Review_Queue!$M:$M,""))</f>
        <v/>
      </c>
    </row>
    <row r="910" ht="15.75" customHeight="1">
      <c r="C910" s="39"/>
      <c r="D910" s="39" t="str">
        <f>IF(OR(B910="",A910=""),"",MAX(0,MIN(3,SUMIFS($C$2:$C$1000,$B$2:$B$1000,B910,$A$2:$A$1000,"&lt;="&amp;A910,$A$2:$A$1000,"&gt;="&amp;IF(Config!$B$1004="Y",A910-Config!$B$1005,DATE(1900,1,1)),$I$2:$I$1000,1)))))</f>
        <v>#ERROR!</v>
      </c>
      <c r="H910" s="39"/>
      <c r="I910" s="39">
        <f t="shared" si="1"/>
        <v>1</v>
      </c>
      <c r="J910" s="39" t="str">
        <f t="shared" si="2"/>
        <v/>
      </c>
      <c r="K910" s="39" t="str">
        <f t="array" ref="K910">IF(J910="","",IF(XLOOKUP(J910,Strike_Review_Queue!$I:$I,Strike_Review_Queue!$J:$J,"")="Approve","Approved",IF(XLOOKUP(J910,Strike_Review_Queue!$I:$I,Strike_Review_Queue!$J:$J,"")="Deny","Counts",H910)))</f>
        <v/>
      </c>
      <c r="L910" s="39" t="str">
        <f t="array" ref="L910">IF(J910="","",XLOOKUP(J910,Strike_Review_Queue!$I:$I,Strike_Review_Queue!$L:$L,""))</f>
        <v/>
      </c>
      <c r="M910" s="39" t="str">
        <f t="array" ref="M910">IF(J910="","",XLOOKUP(J910,Strike_Review_Queue!$I:$I,Strike_Review_Queue!$M:$M,""))</f>
        <v/>
      </c>
    </row>
    <row r="911" ht="15.75" customHeight="1">
      <c r="C911" s="39"/>
      <c r="D911" s="39" t="str">
        <f>IF(OR(B911="",A911=""),"",MAX(0,MIN(3,SUMIFS($C$2:$C$1000,$B$2:$B$1000,B911,$A$2:$A$1000,"&lt;="&amp;A911,$A$2:$A$1000,"&gt;="&amp;IF(Config!$B$1004="Y",A911-Config!$B$1005,DATE(1900,1,1)),$I$2:$I$1000,1)))))</f>
        <v>#ERROR!</v>
      </c>
      <c r="H911" s="39"/>
      <c r="I911" s="39">
        <f t="shared" si="1"/>
        <v>1</v>
      </c>
      <c r="J911" s="39" t="str">
        <f t="shared" si="2"/>
        <v/>
      </c>
      <c r="K911" s="39" t="str">
        <f t="array" ref="K911">IF(J911="","",IF(XLOOKUP(J911,Strike_Review_Queue!$I:$I,Strike_Review_Queue!$J:$J,"")="Approve","Approved",IF(XLOOKUP(J911,Strike_Review_Queue!$I:$I,Strike_Review_Queue!$J:$J,"")="Deny","Counts",H911)))</f>
        <v/>
      </c>
      <c r="L911" s="39" t="str">
        <f t="array" ref="L911">IF(J911="","",XLOOKUP(J911,Strike_Review_Queue!$I:$I,Strike_Review_Queue!$L:$L,""))</f>
        <v/>
      </c>
      <c r="M911" s="39" t="str">
        <f t="array" ref="M911">IF(J911="","",XLOOKUP(J911,Strike_Review_Queue!$I:$I,Strike_Review_Queue!$M:$M,""))</f>
        <v/>
      </c>
    </row>
    <row r="912" ht="15.75" customHeight="1">
      <c r="C912" s="39"/>
      <c r="D912" s="39" t="str">
        <f>IF(OR(B912="",A912=""),"",MAX(0,MIN(3,SUMIFS($C$2:$C$1000,$B$2:$B$1000,B912,$A$2:$A$1000,"&lt;="&amp;A912,$A$2:$A$1000,"&gt;="&amp;IF(Config!$B$1004="Y",A912-Config!$B$1005,DATE(1900,1,1)),$I$2:$I$1000,1)))))</f>
        <v>#ERROR!</v>
      </c>
      <c r="H912" s="39"/>
      <c r="I912" s="39">
        <f t="shared" si="1"/>
        <v>1</v>
      </c>
      <c r="J912" s="39" t="str">
        <f t="shared" si="2"/>
        <v/>
      </c>
      <c r="K912" s="39" t="str">
        <f t="array" ref="K912">IF(J912="","",IF(XLOOKUP(J912,Strike_Review_Queue!$I:$I,Strike_Review_Queue!$J:$J,"")="Approve","Approved",IF(XLOOKUP(J912,Strike_Review_Queue!$I:$I,Strike_Review_Queue!$J:$J,"")="Deny","Counts",H912)))</f>
        <v/>
      </c>
      <c r="L912" s="39" t="str">
        <f t="array" ref="L912">IF(J912="","",XLOOKUP(J912,Strike_Review_Queue!$I:$I,Strike_Review_Queue!$L:$L,""))</f>
        <v/>
      </c>
      <c r="M912" s="39" t="str">
        <f t="array" ref="M912">IF(J912="","",XLOOKUP(J912,Strike_Review_Queue!$I:$I,Strike_Review_Queue!$M:$M,""))</f>
        <v/>
      </c>
    </row>
    <row r="913" ht="15.75" customHeight="1">
      <c r="C913" s="39"/>
      <c r="D913" s="39" t="str">
        <f>IF(OR(B913="",A913=""),"",MAX(0,MIN(3,SUMIFS($C$2:$C$1000,$B$2:$B$1000,B913,$A$2:$A$1000,"&lt;="&amp;A913,$A$2:$A$1000,"&gt;="&amp;IF(Config!$B$1004="Y",A913-Config!$B$1005,DATE(1900,1,1)),$I$2:$I$1000,1)))))</f>
        <v>#ERROR!</v>
      </c>
      <c r="H913" s="39"/>
      <c r="I913" s="39">
        <f t="shared" si="1"/>
        <v>1</v>
      </c>
      <c r="J913" s="39" t="str">
        <f t="shared" si="2"/>
        <v/>
      </c>
      <c r="K913" s="39" t="str">
        <f t="array" ref="K913">IF(J913="","",IF(XLOOKUP(J913,Strike_Review_Queue!$I:$I,Strike_Review_Queue!$J:$J,"")="Approve","Approved",IF(XLOOKUP(J913,Strike_Review_Queue!$I:$I,Strike_Review_Queue!$J:$J,"")="Deny","Counts",H913)))</f>
        <v/>
      </c>
      <c r="L913" s="39" t="str">
        <f t="array" ref="L913">IF(J913="","",XLOOKUP(J913,Strike_Review_Queue!$I:$I,Strike_Review_Queue!$L:$L,""))</f>
        <v/>
      </c>
      <c r="M913" s="39" t="str">
        <f t="array" ref="M913">IF(J913="","",XLOOKUP(J913,Strike_Review_Queue!$I:$I,Strike_Review_Queue!$M:$M,""))</f>
        <v/>
      </c>
    </row>
    <row r="914" ht="15.75" customHeight="1">
      <c r="C914" s="39"/>
      <c r="D914" s="39" t="str">
        <f>IF(OR(B914="",A914=""),"",MAX(0,MIN(3,SUMIFS($C$2:$C$1000,$B$2:$B$1000,B914,$A$2:$A$1000,"&lt;="&amp;A914,$A$2:$A$1000,"&gt;="&amp;IF(Config!$B$1004="Y",A914-Config!$B$1005,DATE(1900,1,1)),$I$2:$I$1000,1)))))</f>
        <v>#ERROR!</v>
      </c>
      <c r="H914" s="39"/>
      <c r="I914" s="39">
        <f t="shared" si="1"/>
        <v>1</v>
      </c>
      <c r="J914" s="39" t="str">
        <f t="shared" si="2"/>
        <v/>
      </c>
      <c r="K914" s="39" t="str">
        <f t="array" ref="K914">IF(J914="","",IF(XLOOKUP(J914,Strike_Review_Queue!$I:$I,Strike_Review_Queue!$J:$J,"")="Approve","Approved",IF(XLOOKUP(J914,Strike_Review_Queue!$I:$I,Strike_Review_Queue!$J:$J,"")="Deny","Counts",H914)))</f>
        <v/>
      </c>
      <c r="L914" s="39" t="str">
        <f t="array" ref="L914">IF(J914="","",XLOOKUP(J914,Strike_Review_Queue!$I:$I,Strike_Review_Queue!$L:$L,""))</f>
        <v/>
      </c>
      <c r="M914" s="39" t="str">
        <f t="array" ref="M914">IF(J914="","",XLOOKUP(J914,Strike_Review_Queue!$I:$I,Strike_Review_Queue!$M:$M,""))</f>
        <v/>
      </c>
    </row>
    <row r="915" ht="15.75" customHeight="1">
      <c r="C915" s="39"/>
      <c r="D915" s="39" t="str">
        <f>IF(OR(B915="",A915=""),"",MAX(0,MIN(3,SUMIFS($C$2:$C$1000,$B$2:$B$1000,B915,$A$2:$A$1000,"&lt;="&amp;A915,$A$2:$A$1000,"&gt;="&amp;IF(Config!$B$1004="Y",A915-Config!$B$1005,DATE(1900,1,1)),$I$2:$I$1000,1)))))</f>
        <v>#ERROR!</v>
      </c>
      <c r="H915" s="39"/>
      <c r="I915" s="39">
        <f t="shared" si="1"/>
        <v>1</v>
      </c>
      <c r="J915" s="39" t="str">
        <f t="shared" si="2"/>
        <v/>
      </c>
      <c r="K915" s="39" t="str">
        <f t="array" ref="K915">IF(J915="","",IF(XLOOKUP(J915,Strike_Review_Queue!$I:$I,Strike_Review_Queue!$J:$J,"")="Approve","Approved",IF(XLOOKUP(J915,Strike_Review_Queue!$I:$I,Strike_Review_Queue!$J:$J,"")="Deny","Counts",H915)))</f>
        <v/>
      </c>
      <c r="L915" s="39" t="str">
        <f t="array" ref="L915">IF(J915="","",XLOOKUP(J915,Strike_Review_Queue!$I:$I,Strike_Review_Queue!$L:$L,""))</f>
        <v/>
      </c>
      <c r="M915" s="39" t="str">
        <f t="array" ref="M915">IF(J915="","",XLOOKUP(J915,Strike_Review_Queue!$I:$I,Strike_Review_Queue!$M:$M,""))</f>
        <v/>
      </c>
    </row>
    <row r="916" ht="15.75" customHeight="1">
      <c r="C916" s="39"/>
      <c r="D916" s="39" t="str">
        <f>IF(OR(B916="",A916=""),"",MAX(0,MIN(3,SUMIFS($C$2:$C$1000,$B$2:$B$1000,B916,$A$2:$A$1000,"&lt;="&amp;A916,$A$2:$A$1000,"&gt;="&amp;IF(Config!$B$1004="Y",A916-Config!$B$1005,DATE(1900,1,1)),$I$2:$I$1000,1)))))</f>
        <v>#ERROR!</v>
      </c>
      <c r="H916" s="39"/>
      <c r="I916" s="39">
        <f t="shared" si="1"/>
        <v>1</v>
      </c>
      <c r="J916" s="39" t="str">
        <f t="shared" si="2"/>
        <v/>
      </c>
      <c r="K916" s="39" t="str">
        <f t="array" ref="K916">IF(J916="","",IF(XLOOKUP(J916,Strike_Review_Queue!$I:$I,Strike_Review_Queue!$J:$J,"")="Approve","Approved",IF(XLOOKUP(J916,Strike_Review_Queue!$I:$I,Strike_Review_Queue!$J:$J,"")="Deny","Counts",H916)))</f>
        <v/>
      </c>
      <c r="L916" s="39" t="str">
        <f t="array" ref="L916">IF(J916="","",XLOOKUP(J916,Strike_Review_Queue!$I:$I,Strike_Review_Queue!$L:$L,""))</f>
        <v/>
      </c>
      <c r="M916" s="39" t="str">
        <f t="array" ref="M916">IF(J916="","",XLOOKUP(J916,Strike_Review_Queue!$I:$I,Strike_Review_Queue!$M:$M,""))</f>
        <v/>
      </c>
    </row>
    <row r="917" ht="15.75" customHeight="1">
      <c r="C917" s="39"/>
      <c r="D917" s="39" t="str">
        <f>IF(OR(B917="",A917=""),"",MAX(0,MIN(3,SUMIFS($C$2:$C$1000,$B$2:$B$1000,B917,$A$2:$A$1000,"&lt;="&amp;A917,$A$2:$A$1000,"&gt;="&amp;IF(Config!$B$1004="Y",A917-Config!$B$1005,DATE(1900,1,1)),$I$2:$I$1000,1)))))</f>
        <v>#ERROR!</v>
      </c>
      <c r="H917" s="39"/>
      <c r="I917" s="39">
        <f t="shared" si="1"/>
        <v>1</v>
      </c>
      <c r="J917" s="39" t="str">
        <f t="shared" si="2"/>
        <v/>
      </c>
      <c r="K917" s="39" t="str">
        <f t="array" ref="K917">IF(J917="","",IF(XLOOKUP(J917,Strike_Review_Queue!$I:$I,Strike_Review_Queue!$J:$J,"")="Approve","Approved",IF(XLOOKUP(J917,Strike_Review_Queue!$I:$I,Strike_Review_Queue!$J:$J,"")="Deny","Counts",H917)))</f>
        <v/>
      </c>
      <c r="L917" s="39" t="str">
        <f t="array" ref="L917">IF(J917="","",XLOOKUP(J917,Strike_Review_Queue!$I:$I,Strike_Review_Queue!$L:$L,""))</f>
        <v/>
      </c>
      <c r="M917" s="39" t="str">
        <f t="array" ref="M917">IF(J917="","",XLOOKUP(J917,Strike_Review_Queue!$I:$I,Strike_Review_Queue!$M:$M,""))</f>
        <v/>
      </c>
    </row>
    <row r="918" ht="15.75" customHeight="1">
      <c r="C918" s="39"/>
      <c r="D918" s="39" t="str">
        <f>IF(OR(B918="",A918=""),"",MAX(0,MIN(3,SUMIFS($C$2:$C$1000,$B$2:$B$1000,B918,$A$2:$A$1000,"&lt;="&amp;A918,$A$2:$A$1000,"&gt;="&amp;IF(Config!$B$1004="Y",A918-Config!$B$1005,DATE(1900,1,1)),$I$2:$I$1000,1)))))</f>
        <v>#ERROR!</v>
      </c>
      <c r="H918" s="39"/>
      <c r="I918" s="39">
        <f t="shared" si="1"/>
        <v>1</v>
      </c>
      <c r="J918" s="39" t="str">
        <f t="shared" si="2"/>
        <v/>
      </c>
      <c r="K918" s="39" t="str">
        <f t="array" ref="K918">IF(J918="","",IF(XLOOKUP(J918,Strike_Review_Queue!$I:$I,Strike_Review_Queue!$J:$J,"")="Approve","Approved",IF(XLOOKUP(J918,Strike_Review_Queue!$I:$I,Strike_Review_Queue!$J:$J,"")="Deny","Counts",H918)))</f>
        <v/>
      </c>
      <c r="L918" s="39" t="str">
        <f t="array" ref="L918">IF(J918="","",XLOOKUP(J918,Strike_Review_Queue!$I:$I,Strike_Review_Queue!$L:$L,""))</f>
        <v/>
      </c>
      <c r="M918" s="39" t="str">
        <f t="array" ref="M918">IF(J918="","",XLOOKUP(J918,Strike_Review_Queue!$I:$I,Strike_Review_Queue!$M:$M,""))</f>
        <v/>
      </c>
    </row>
    <row r="919" ht="15.75" customHeight="1">
      <c r="C919" s="39"/>
      <c r="D919" s="39" t="str">
        <f>IF(OR(B919="",A919=""),"",MAX(0,MIN(3,SUMIFS($C$2:$C$1000,$B$2:$B$1000,B919,$A$2:$A$1000,"&lt;="&amp;A919,$A$2:$A$1000,"&gt;="&amp;IF(Config!$B$1004="Y",A919-Config!$B$1005,DATE(1900,1,1)),$I$2:$I$1000,1)))))</f>
        <v>#ERROR!</v>
      </c>
      <c r="H919" s="39"/>
      <c r="I919" s="39">
        <f t="shared" si="1"/>
        <v>1</v>
      </c>
      <c r="J919" s="39" t="str">
        <f t="shared" si="2"/>
        <v/>
      </c>
      <c r="K919" s="39" t="str">
        <f t="array" ref="K919">IF(J919="","",IF(XLOOKUP(J919,Strike_Review_Queue!$I:$I,Strike_Review_Queue!$J:$J,"")="Approve","Approved",IF(XLOOKUP(J919,Strike_Review_Queue!$I:$I,Strike_Review_Queue!$J:$J,"")="Deny","Counts",H919)))</f>
        <v/>
      </c>
      <c r="L919" s="39" t="str">
        <f t="array" ref="L919">IF(J919="","",XLOOKUP(J919,Strike_Review_Queue!$I:$I,Strike_Review_Queue!$L:$L,""))</f>
        <v/>
      </c>
      <c r="M919" s="39" t="str">
        <f t="array" ref="M919">IF(J919="","",XLOOKUP(J919,Strike_Review_Queue!$I:$I,Strike_Review_Queue!$M:$M,""))</f>
        <v/>
      </c>
    </row>
    <row r="920" ht="15.75" customHeight="1">
      <c r="C920" s="39"/>
      <c r="D920" s="39" t="str">
        <f>IF(OR(B920="",A920=""),"",MAX(0,MIN(3,SUMIFS($C$2:$C$1000,$B$2:$B$1000,B920,$A$2:$A$1000,"&lt;="&amp;A920,$A$2:$A$1000,"&gt;="&amp;IF(Config!$B$1004="Y",A920-Config!$B$1005,DATE(1900,1,1)),$I$2:$I$1000,1)))))</f>
        <v>#ERROR!</v>
      </c>
      <c r="H920" s="39"/>
      <c r="I920" s="39">
        <f t="shared" si="1"/>
        <v>1</v>
      </c>
      <c r="J920" s="39" t="str">
        <f t="shared" si="2"/>
        <v/>
      </c>
      <c r="K920" s="39" t="str">
        <f t="array" ref="K920">IF(J920="","",IF(XLOOKUP(J920,Strike_Review_Queue!$I:$I,Strike_Review_Queue!$J:$J,"")="Approve","Approved",IF(XLOOKUP(J920,Strike_Review_Queue!$I:$I,Strike_Review_Queue!$J:$J,"")="Deny","Counts",H920)))</f>
        <v/>
      </c>
      <c r="L920" s="39" t="str">
        <f t="array" ref="L920">IF(J920="","",XLOOKUP(J920,Strike_Review_Queue!$I:$I,Strike_Review_Queue!$L:$L,""))</f>
        <v/>
      </c>
      <c r="M920" s="39" t="str">
        <f t="array" ref="M920">IF(J920="","",XLOOKUP(J920,Strike_Review_Queue!$I:$I,Strike_Review_Queue!$M:$M,""))</f>
        <v/>
      </c>
    </row>
    <row r="921" ht="15.75" customHeight="1">
      <c r="C921" s="39"/>
      <c r="D921" s="39" t="str">
        <f>IF(OR(B921="",A921=""),"",MAX(0,MIN(3,SUMIFS($C$2:$C$1000,$B$2:$B$1000,B921,$A$2:$A$1000,"&lt;="&amp;A921,$A$2:$A$1000,"&gt;="&amp;IF(Config!$B$1004="Y",A921-Config!$B$1005,DATE(1900,1,1)),$I$2:$I$1000,1)))))</f>
        <v>#ERROR!</v>
      </c>
      <c r="H921" s="39"/>
      <c r="I921" s="39">
        <f t="shared" si="1"/>
        <v>1</v>
      </c>
      <c r="J921" s="39" t="str">
        <f t="shared" si="2"/>
        <v/>
      </c>
      <c r="K921" s="39" t="str">
        <f t="array" ref="K921">IF(J921="","",IF(XLOOKUP(J921,Strike_Review_Queue!$I:$I,Strike_Review_Queue!$J:$J,"")="Approve","Approved",IF(XLOOKUP(J921,Strike_Review_Queue!$I:$I,Strike_Review_Queue!$J:$J,"")="Deny","Counts",H921)))</f>
        <v/>
      </c>
      <c r="L921" s="39" t="str">
        <f t="array" ref="L921">IF(J921="","",XLOOKUP(J921,Strike_Review_Queue!$I:$I,Strike_Review_Queue!$L:$L,""))</f>
        <v/>
      </c>
      <c r="M921" s="39" t="str">
        <f t="array" ref="M921">IF(J921="","",XLOOKUP(J921,Strike_Review_Queue!$I:$I,Strike_Review_Queue!$M:$M,""))</f>
        <v/>
      </c>
    </row>
    <row r="922" ht="15.75" customHeight="1">
      <c r="C922" s="39"/>
      <c r="D922" s="39" t="str">
        <f>IF(OR(B922="",A922=""),"",MAX(0,MIN(3,SUMIFS($C$2:$C$1000,$B$2:$B$1000,B922,$A$2:$A$1000,"&lt;="&amp;A922,$A$2:$A$1000,"&gt;="&amp;IF(Config!$B$1004="Y",A922-Config!$B$1005,DATE(1900,1,1)),$I$2:$I$1000,1)))))</f>
        <v>#ERROR!</v>
      </c>
      <c r="H922" s="39"/>
      <c r="I922" s="39">
        <f t="shared" si="1"/>
        <v>1</v>
      </c>
      <c r="J922" s="39" t="str">
        <f t="shared" si="2"/>
        <v/>
      </c>
      <c r="K922" s="39" t="str">
        <f t="array" ref="K922">IF(J922="","",IF(XLOOKUP(J922,Strike_Review_Queue!$I:$I,Strike_Review_Queue!$J:$J,"")="Approve","Approved",IF(XLOOKUP(J922,Strike_Review_Queue!$I:$I,Strike_Review_Queue!$J:$J,"")="Deny","Counts",H922)))</f>
        <v/>
      </c>
      <c r="L922" s="39" t="str">
        <f t="array" ref="L922">IF(J922="","",XLOOKUP(J922,Strike_Review_Queue!$I:$I,Strike_Review_Queue!$L:$L,""))</f>
        <v/>
      </c>
      <c r="M922" s="39" t="str">
        <f t="array" ref="M922">IF(J922="","",XLOOKUP(J922,Strike_Review_Queue!$I:$I,Strike_Review_Queue!$M:$M,""))</f>
        <v/>
      </c>
    </row>
    <row r="923" ht="15.75" customHeight="1">
      <c r="C923" s="39"/>
      <c r="D923" s="39" t="str">
        <f>IF(OR(B923="",A923=""),"",MAX(0,MIN(3,SUMIFS($C$2:$C$1000,$B$2:$B$1000,B923,$A$2:$A$1000,"&lt;="&amp;A923,$A$2:$A$1000,"&gt;="&amp;IF(Config!$B$1004="Y",A923-Config!$B$1005,DATE(1900,1,1)),$I$2:$I$1000,1)))))</f>
        <v>#ERROR!</v>
      </c>
      <c r="H923" s="39"/>
      <c r="I923" s="39">
        <f t="shared" si="1"/>
        <v>1</v>
      </c>
      <c r="J923" s="39" t="str">
        <f t="shared" si="2"/>
        <v/>
      </c>
      <c r="K923" s="39" t="str">
        <f t="array" ref="K923">IF(J923="","",IF(XLOOKUP(J923,Strike_Review_Queue!$I:$I,Strike_Review_Queue!$J:$J,"")="Approve","Approved",IF(XLOOKUP(J923,Strike_Review_Queue!$I:$I,Strike_Review_Queue!$J:$J,"")="Deny","Counts",H923)))</f>
        <v/>
      </c>
      <c r="L923" s="39" t="str">
        <f t="array" ref="L923">IF(J923="","",XLOOKUP(J923,Strike_Review_Queue!$I:$I,Strike_Review_Queue!$L:$L,""))</f>
        <v/>
      </c>
      <c r="M923" s="39" t="str">
        <f t="array" ref="M923">IF(J923="","",XLOOKUP(J923,Strike_Review_Queue!$I:$I,Strike_Review_Queue!$M:$M,""))</f>
        <v/>
      </c>
    </row>
    <row r="924" ht="15.75" customHeight="1">
      <c r="C924" s="39"/>
      <c r="D924" s="39" t="str">
        <f>IF(OR(B924="",A924=""),"",MAX(0,MIN(3,SUMIFS($C$2:$C$1000,$B$2:$B$1000,B924,$A$2:$A$1000,"&lt;="&amp;A924,$A$2:$A$1000,"&gt;="&amp;IF(Config!$B$1004="Y",A924-Config!$B$1005,DATE(1900,1,1)),$I$2:$I$1000,1)))))</f>
        <v>#ERROR!</v>
      </c>
      <c r="H924" s="39"/>
      <c r="I924" s="39">
        <f t="shared" si="1"/>
        <v>1</v>
      </c>
      <c r="J924" s="39" t="str">
        <f t="shared" si="2"/>
        <v/>
      </c>
      <c r="K924" s="39" t="str">
        <f t="array" ref="K924">IF(J924="","",IF(XLOOKUP(J924,Strike_Review_Queue!$I:$I,Strike_Review_Queue!$J:$J,"")="Approve","Approved",IF(XLOOKUP(J924,Strike_Review_Queue!$I:$I,Strike_Review_Queue!$J:$J,"")="Deny","Counts",H924)))</f>
        <v/>
      </c>
      <c r="L924" s="39" t="str">
        <f t="array" ref="L924">IF(J924="","",XLOOKUP(J924,Strike_Review_Queue!$I:$I,Strike_Review_Queue!$L:$L,""))</f>
        <v/>
      </c>
      <c r="M924" s="39" t="str">
        <f t="array" ref="M924">IF(J924="","",XLOOKUP(J924,Strike_Review_Queue!$I:$I,Strike_Review_Queue!$M:$M,""))</f>
        <v/>
      </c>
    </row>
    <row r="925" ht="15.75" customHeight="1">
      <c r="C925" s="39"/>
      <c r="D925" s="39" t="str">
        <f>IF(OR(B925="",A925=""),"",MAX(0,MIN(3,SUMIFS($C$2:$C$1000,$B$2:$B$1000,B925,$A$2:$A$1000,"&lt;="&amp;A925,$A$2:$A$1000,"&gt;="&amp;IF(Config!$B$1004="Y",A925-Config!$B$1005,DATE(1900,1,1)),$I$2:$I$1000,1)))))</f>
        <v>#ERROR!</v>
      </c>
      <c r="H925" s="39"/>
      <c r="I925" s="39">
        <f t="shared" si="1"/>
        <v>1</v>
      </c>
      <c r="J925" s="39" t="str">
        <f t="shared" si="2"/>
        <v/>
      </c>
      <c r="K925" s="39" t="str">
        <f t="array" ref="K925">IF(J925="","",IF(XLOOKUP(J925,Strike_Review_Queue!$I:$I,Strike_Review_Queue!$J:$J,"")="Approve","Approved",IF(XLOOKUP(J925,Strike_Review_Queue!$I:$I,Strike_Review_Queue!$J:$J,"")="Deny","Counts",H925)))</f>
        <v/>
      </c>
      <c r="L925" s="39" t="str">
        <f t="array" ref="L925">IF(J925="","",XLOOKUP(J925,Strike_Review_Queue!$I:$I,Strike_Review_Queue!$L:$L,""))</f>
        <v/>
      </c>
      <c r="M925" s="39" t="str">
        <f t="array" ref="M925">IF(J925="","",XLOOKUP(J925,Strike_Review_Queue!$I:$I,Strike_Review_Queue!$M:$M,""))</f>
        <v/>
      </c>
    </row>
    <row r="926" ht="15.75" customHeight="1">
      <c r="C926" s="39"/>
      <c r="D926" s="39" t="str">
        <f>IF(OR(B926="",A926=""),"",MAX(0,MIN(3,SUMIFS($C$2:$C$1000,$B$2:$B$1000,B926,$A$2:$A$1000,"&lt;="&amp;A926,$A$2:$A$1000,"&gt;="&amp;IF(Config!$B$1004="Y",A926-Config!$B$1005,DATE(1900,1,1)),$I$2:$I$1000,1)))))</f>
        <v>#ERROR!</v>
      </c>
      <c r="H926" s="39"/>
      <c r="I926" s="39">
        <f t="shared" si="1"/>
        <v>1</v>
      </c>
      <c r="J926" s="39" t="str">
        <f t="shared" si="2"/>
        <v/>
      </c>
      <c r="K926" s="39" t="str">
        <f t="array" ref="K926">IF(J926="","",IF(XLOOKUP(J926,Strike_Review_Queue!$I:$I,Strike_Review_Queue!$J:$J,"")="Approve","Approved",IF(XLOOKUP(J926,Strike_Review_Queue!$I:$I,Strike_Review_Queue!$J:$J,"")="Deny","Counts",H926)))</f>
        <v/>
      </c>
      <c r="L926" s="39" t="str">
        <f t="array" ref="L926">IF(J926="","",XLOOKUP(J926,Strike_Review_Queue!$I:$I,Strike_Review_Queue!$L:$L,""))</f>
        <v/>
      </c>
      <c r="M926" s="39" t="str">
        <f t="array" ref="M926">IF(J926="","",XLOOKUP(J926,Strike_Review_Queue!$I:$I,Strike_Review_Queue!$M:$M,""))</f>
        <v/>
      </c>
    </row>
    <row r="927" ht="15.75" customHeight="1">
      <c r="C927" s="39"/>
      <c r="D927" s="39" t="str">
        <f>IF(OR(B927="",A927=""),"",MAX(0,MIN(3,SUMIFS($C$2:$C$1000,$B$2:$B$1000,B927,$A$2:$A$1000,"&lt;="&amp;A927,$A$2:$A$1000,"&gt;="&amp;IF(Config!$B$1004="Y",A927-Config!$B$1005,DATE(1900,1,1)),$I$2:$I$1000,1)))))</f>
        <v>#ERROR!</v>
      </c>
      <c r="H927" s="39"/>
      <c r="I927" s="39">
        <f t="shared" si="1"/>
        <v>1</v>
      </c>
      <c r="J927" s="39" t="str">
        <f t="shared" si="2"/>
        <v/>
      </c>
      <c r="K927" s="39" t="str">
        <f t="array" ref="K927">IF(J927="","",IF(XLOOKUP(J927,Strike_Review_Queue!$I:$I,Strike_Review_Queue!$J:$J,"")="Approve","Approved",IF(XLOOKUP(J927,Strike_Review_Queue!$I:$I,Strike_Review_Queue!$J:$J,"")="Deny","Counts",H927)))</f>
        <v/>
      </c>
      <c r="L927" s="39" t="str">
        <f t="array" ref="L927">IF(J927="","",XLOOKUP(J927,Strike_Review_Queue!$I:$I,Strike_Review_Queue!$L:$L,""))</f>
        <v/>
      </c>
      <c r="M927" s="39" t="str">
        <f t="array" ref="M927">IF(J927="","",XLOOKUP(J927,Strike_Review_Queue!$I:$I,Strike_Review_Queue!$M:$M,""))</f>
        <v/>
      </c>
    </row>
    <row r="928" ht="15.75" customHeight="1">
      <c r="C928" s="39"/>
      <c r="D928" s="39" t="str">
        <f>IF(OR(B928="",A928=""),"",MAX(0,MIN(3,SUMIFS($C$2:$C$1000,$B$2:$B$1000,B928,$A$2:$A$1000,"&lt;="&amp;A928,$A$2:$A$1000,"&gt;="&amp;IF(Config!$B$1004="Y",A928-Config!$B$1005,DATE(1900,1,1)),$I$2:$I$1000,1)))))</f>
        <v>#ERROR!</v>
      </c>
      <c r="H928" s="39"/>
      <c r="I928" s="39">
        <f t="shared" si="1"/>
        <v>1</v>
      </c>
      <c r="J928" s="39" t="str">
        <f t="shared" si="2"/>
        <v/>
      </c>
      <c r="K928" s="39" t="str">
        <f t="array" ref="K928">IF(J928="","",IF(XLOOKUP(J928,Strike_Review_Queue!$I:$I,Strike_Review_Queue!$J:$J,"")="Approve","Approved",IF(XLOOKUP(J928,Strike_Review_Queue!$I:$I,Strike_Review_Queue!$J:$J,"")="Deny","Counts",H928)))</f>
        <v/>
      </c>
      <c r="L928" s="39" t="str">
        <f t="array" ref="L928">IF(J928="","",XLOOKUP(J928,Strike_Review_Queue!$I:$I,Strike_Review_Queue!$L:$L,""))</f>
        <v/>
      </c>
      <c r="M928" s="39" t="str">
        <f t="array" ref="M928">IF(J928="","",XLOOKUP(J928,Strike_Review_Queue!$I:$I,Strike_Review_Queue!$M:$M,""))</f>
        <v/>
      </c>
    </row>
    <row r="929" ht="15.75" customHeight="1">
      <c r="C929" s="39"/>
      <c r="D929" s="39" t="str">
        <f>IF(OR(B929="",A929=""),"",MAX(0,MIN(3,SUMIFS($C$2:$C$1000,$B$2:$B$1000,B929,$A$2:$A$1000,"&lt;="&amp;A929,$A$2:$A$1000,"&gt;="&amp;IF(Config!$B$1004="Y",A929-Config!$B$1005,DATE(1900,1,1)),$I$2:$I$1000,1)))))</f>
        <v>#ERROR!</v>
      </c>
      <c r="H929" s="39"/>
      <c r="I929" s="39">
        <f t="shared" si="1"/>
        <v>1</v>
      </c>
      <c r="J929" s="39" t="str">
        <f t="shared" si="2"/>
        <v/>
      </c>
      <c r="K929" s="39" t="str">
        <f t="array" ref="K929">IF(J929="","",IF(XLOOKUP(J929,Strike_Review_Queue!$I:$I,Strike_Review_Queue!$J:$J,"")="Approve","Approved",IF(XLOOKUP(J929,Strike_Review_Queue!$I:$I,Strike_Review_Queue!$J:$J,"")="Deny","Counts",H929)))</f>
        <v/>
      </c>
      <c r="L929" s="39" t="str">
        <f t="array" ref="L929">IF(J929="","",XLOOKUP(J929,Strike_Review_Queue!$I:$I,Strike_Review_Queue!$L:$L,""))</f>
        <v/>
      </c>
      <c r="M929" s="39" t="str">
        <f t="array" ref="M929">IF(J929="","",XLOOKUP(J929,Strike_Review_Queue!$I:$I,Strike_Review_Queue!$M:$M,""))</f>
        <v/>
      </c>
    </row>
    <row r="930" ht="15.75" customHeight="1">
      <c r="C930" s="39"/>
      <c r="D930" s="39" t="str">
        <f>IF(OR(B930="",A930=""),"",MAX(0,MIN(3,SUMIFS($C$2:$C$1000,$B$2:$B$1000,B930,$A$2:$A$1000,"&lt;="&amp;A930,$A$2:$A$1000,"&gt;="&amp;IF(Config!$B$1004="Y",A930-Config!$B$1005,DATE(1900,1,1)),$I$2:$I$1000,1)))))</f>
        <v>#ERROR!</v>
      </c>
      <c r="H930" s="39"/>
      <c r="I930" s="39">
        <f t="shared" si="1"/>
        <v>1</v>
      </c>
      <c r="J930" s="39" t="str">
        <f t="shared" si="2"/>
        <v/>
      </c>
      <c r="K930" s="39" t="str">
        <f t="array" ref="K930">IF(J930="","",IF(XLOOKUP(J930,Strike_Review_Queue!$I:$I,Strike_Review_Queue!$J:$J,"")="Approve","Approved",IF(XLOOKUP(J930,Strike_Review_Queue!$I:$I,Strike_Review_Queue!$J:$J,"")="Deny","Counts",H930)))</f>
        <v/>
      </c>
      <c r="L930" s="39" t="str">
        <f t="array" ref="L930">IF(J930="","",XLOOKUP(J930,Strike_Review_Queue!$I:$I,Strike_Review_Queue!$L:$L,""))</f>
        <v/>
      </c>
      <c r="M930" s="39" t="str">
        <f t="array" ref="M930">IF(J930="","",XLOOKUP(J930,Strike_Review_Queue!$I:$I,Strike_Review_Queue!$M:$M,""))</f>
        <v/>
      </c>
    </row>
    <row r="931" ht="15.75" customHeight="1">
      <c r="C931" s="39"/>
      <c r="D931" s="39" t="str">
        <f>IF(OR(B931="",A931=""),"",MAX(0,MIN(3,SUMIFS($C$2:$C$1000,$B$2:$B$1000,B931,$A$2:$A$1000,"&lt;="&amp;A931,$A$2:$A$1000,"&gt;="&amp;IF(Config!$B$1004="Y",A931-Config!$B$1005,DATE(1900,1,1)),$I$2:$I$1000,1)))))</f>
        <v>#ERROR!</v>
      </c>
      <c r="H931" s="39"/>
      <c r="I931" s="39">
        <f t="shared" si="1"/>
        <v>1</v>
      </c>
      <c r="J931" s="39" t="str">
        <f t="shared" si="2"/>
        <v/>
      </c>
      <c r="K931" s="39" t="str">
        <f t="array" ref="K931">IF(J931="","",IF(XLOOKUP(J931,Strike_Review_Queue!$I:$I,Strike_Review_Queue!$J:$J,"")="Approve","Approved",IF(XLOOKUP(J931,Strike_Review_Queue!$I:$I,Strike_Review_Queue!$J:$J,"")="Deny","Counts",H931)))</f>
        <v/>
      </c>
      <c r="L931" s="39" t="str">
        <f t="array" ref="L931">IF(J931="","",XLOOKUP(J931,Strike_Review_Queue!$I:$I,Strike_Review_Queue!$L:$L,""))</f>
        <v/>
      </c>
      <c r="M931" s="39" t="str">
        <f t="array" ref="M931">IF(J931="","",XLOOKUP(J931,Strike_Review_Queue!$I:$I,Strike_Review_Queue!$M:$M,""))</f>
        <v/>
      </c>
    </row>
    <row r="932" ht="15.75" customHeight="1">
      <c r="C932" s="39"/>
      <c r="D932" s="39" t="str">
        <f>IF(OR(B932="",A932=""),"",MAX(0,MIN(3,SUMIFS($C$2:$C$1000,$B$2:$B$1000,B932,$A$2:$A$1000,"&lt;="&amp;A932,$A$2:$A$1000,"&gt;="&amp;IF(Config!$B$1004="Y",A932-Config!$B$1005,DATE(1900,1,1)),$I$2:$I$1000,1)))))</f>
        <v>#ERROR!</v>
      </c>
      <c r="H932" s="39"/>
      <c r="I932" s="39">
        <f t="shared" si="1"/>
        <v>1</v>
      </c>
      <c r="J932" s="39" t="str">
        <f t="shared" si="2"/>
        <v/>
      </c>
      <c r="K932" s="39" t="str">
        <f t="array" ref="K932">IF(J932="","",IF(XLOOKUP(J932,Strike_Review_Queue!$I:$I,Strike_Review_Queue!$J:$J,"")="Approve","Approved",IF(XLOOKUP(J932,Strike_Review_Queue!$I:$I,Strike_Review_Queue!$J:$J,"")="Deny","Counts",H932)))</f>
        <v/>
      </c>
      <c r="L932" s="39" t="str">
        <f t="array" ref="L932">IF(J932="","",XLOOKUP(J932,Strike_Review_Queue!$I:$I,Strike_Review_Queue!$L:$L,""))</f>
        <v/>
      </c>
      <c r="M932" s="39" t="str">
        <f t="array" ref="M932">IF(J932="","",XLOOKUP(J932,Strike_Review_Queue!$I:$I,Strike_Review_Queue!$M:$M,""))</f>
        <v/>
      </c>
    </row>
    <row r="933" ht="15.75" customHeight="1">
      <c r="C933" s="39"/>
      <c r="D933" s="39" t="str">
        <f>IF(OR(B933="",A933=""),"",MAX(0,MIN(3,SUMIFS($C$2:$C$1000,$B$2:$B$1000,B933,$A$2:$A$1000,"&lt;="&amp;A933,$A$2:$A$1000,"&gt;="&amp;IF(Config!$B$1004="Y",A933-Config!$B$1005,DATE(1900,1,1)),$I$2:$I$1000,1)))))</f>
        <v>#ERROR!</v>
      </c>
      <c r="H933" s="39"/>
      <c r="I933" s="39">
        <f t="shared" si="1"/>
        <v>1</v>
      </c>
      <c r="J933" s="39" t="str">
        <f t="shared" si="2"/>
        <v/>
      </c>
      <c r="K933" s="39" t="str">
        <f t="array" ref="K933">IF(J933="","",IF(XLOOKUP(J933,Strike_Review_Queue!$I:$I,Strike_Review_Queue!$J:$J,"")="Approve","Approved",IF(XLOOKUP(J933,Strike_Review_Queue!$I:$I,Strike_Review_Queue!$J:$J,"")="Deny","Counts",H933)))</f>
        <v/>
      </c>
      <c r="L933" s="39" t="str">
        <f t="array" ref="L933">IF(J933="","",XLOOKUP(J933,Strike_Review_Queue!$I:$I,Strike_Review_Queue!$L:$L,""))</f>
        <v/>
      </c>
      <c r="M933" s="39" t="str">
        <f t="array" ref="M933">IF(J933="","",XLOOKUP(J933,Strike_Review_Queue!$I:$I,Strike_Review_Queue!$M:$M,""))</f>
        <v/>
      </c>
    </row>
    <row r="934" ht="15.75" customHeight="1">
      <c r="C934" s="39"/>
      <c r="D934" s="39" t="str">
        <f>IF(OR(B934="",A934=""),"",MAX(0,MIN(3,SUMIFS($C$2:$C$1000,$B$2:$B$1000,B934,$A$2:$A$1000,"&lt;="&amp;A934,$A$2:$A$1000,"&gt;="&amp;IF(Config!$B$1004="Y",A934-Config!$B$1005,DATE(1900,1,1)),$I$2:$I$1000,1)))))</f>
        <v>#ERROR!</v>
      </c>
      <c r="H934" s="39"/>
      <c r="I934" s="39">
        <f t="shared" si="1"/>
        <v>1</v>
      </c>
      <c r="J934" s="39" t="str">
        <f t="shared" si="2"/>
        <v/>
      </c>
      <c r="K934" s="39" t="str">
        <f t="array" ref="K934">IF(J934="","",IF(XLOOKUP(J934,Strike_Review_Queue!$I:$I,Strike_Review_Queue!$J:$J,"")="Approve","Approved",IF(XLOOKUP(J934,Strike_Review_Queue!$I:$I,Strike_Review_Queue!$J:$J,"")="Deny","Counts",H934)))</f>
        <v/>
      </c>
      <c r="L934" s="39" t="str">
        <f t="array" ref="L934">IF(J934="","",XLOOKUP(J934,Strike_Review_Queue!$I:$I,Strike_Review_Queue!$L:$L,""))</f>
        <v/>
      </c>
      <c r="M934" s="39" t="str">
        <f t="array" ref="M934">IF(J934="","",XLOOKUP(J934,Strike_Review_Queue!$I:$I,Strike_Review_Queue!$M:$M,""))</f>
        <v/>
      </c>
    </row>
    <row r="935" ht="15.75" customHeight="1">
      <c r="C935" s="39"/>
      <c r="D935" s="39" t="str">
        <f>IF(OR(B935="",A935=""),"",MAX(0,MIN(3,SUMIFS($C$2:$C$1000,$B$2:$B$1000,B935,$A$2:$A$1000,"&lt;="&amp;A935,$A$2:$A$1000,"&gt;="&amp;IF(Config!$B$1004="Y",A935-Config!$B$1005,DATE(1900,1,1)),$I$2:$I$1000,1)))))</f>
        <v>#ERROR!</v>
      </c>
      <c r="H935" s="39"/>
      <c r="I935" s="39">
        <f t="shared" si="1"/>
        <v>1</v>
      </c>
      <c r="J935" s="39" t="str">
        <f t="shared" si="2"/>
        <v/>
      </c>
      <c r="K935" s="39" t="str">
        <f t="array" ref="K935">IF(J935="","",IF(XLOOKUP(J935,Strike_Review_Queue!$I:$I,Strike_Review_Queue!$J:$J,"")="Approve","Approved",IF(XLOOKUP(J935,Strike_Review_Queue!$I:$I,Strike_Review_Queue!$J:$J,"")="Deny","Counts",H935)))</f>
        <v/>
      </c>
      <c r="L935" s="39" t="str">
        <f t="array" ref="L935">IF(J935="","",XLOOKUP(J935,Strike_Review_Queue!$I:$I,Strike_Review_Queue!$L:$L,""))</f>
        <v/>
      </c>
      <c r="M935" s="39" t="str">
        <f t="array" ref="M935">IF(J935="","",XLOOKUP(J935,Strike_Review_Queue!$I:$I,Strike_Review_Queue!$M:$M,""))</f>
        <v/>
      </c>
    </row>
    <row r="936" ht="15.75" customHeight="1">
      <c r="C936" s="39"/>
      <c r="D936" s="39" t="str">
        <f>IF(OR(B936="",A936=""),"",MAX(0,MIN(3,SUMIFS($C$2:$C$1000,$B$2:$B$1000,B936,$A$2:$A$1000,"&lt;="&amp;A936,$A$2:$A$1000,"&gt;="&amp;IF(Config!$B$1004="Y",A936-Config!$B$1005,DATE(1900,1,1)),$I$2:$I$1000,1)))))</f>
        <v>#ERROR!</v>
      </c>
      <c r="H936" s="39"/>
      <c r="I936" s="39">
        <f t="shared" si="1"/>
        <v>1</v>
      </c>
      <c r="J936" s="39" t="str">
        <f t="shared" si="2"/>
        <v/>
      </c>
      <c r="K936" s="39" t="str">
        <f t="array" ref="K936">IF(J936="","",IF(XLOOKUP(J936,Strike_Review_Queue!$I:$I,Strike_Review_Queue!$J:$J,"")="Approve","Approved",IF(XLOOKUP(J936,Strike_Review_Queue!$I:$I,Strike_Review_Queue!$J:$J,"")="Deny","Counts",H936)))</f>
        <v/>
      </c>
      <c r="L936" s="39" t="str">
        <f t="array" ref="L936">IF(J936="","",XLOOKUP(J936,Strike_Review_Queue!$I:$I,Strike_Review_Queue!$L:$L,""))</f>
        <v/>
      </c>
      <c r="M936" s="39" t="str">
        <f t="array" ref="M936">IF(J936="","",XLOOKUP(J936,Strike_Review_Queue!$I:$I,Strike_Review_Queue!$M:$M,""))</f>
        <v/>
      </c>
    </row>
    <row r="937" ht="15.75" customHeight="1">
      <c r="C937" s="39"/>
      <c r="D937" s="39" t="str">
        <f>IF(OR(B937="",A937=""),"",MAX(0,MIN(3,SUMIFS($C$2:$C$1000,$B$2:$B$1000,B937,$A$2:$A$1000,"&lt;="&amp;A937,$A$2:$A$1000,"&gt;="&amp;IF(Config!$B$1004="Y",A937-Config!$B$1005,DATE(1900,1,1)),$I$2:$I$1000,1)))))</f>
        <v>#ERROR!</v>
      </c>
      <c r="H937" s="39"/>
      <c r="I937" s="39">
        <f t="shared" si="1"/>
        <v>1</v>
      </c>
      <c r="J937" s="39" t="str">
        <f t="shared" si="2"/>
        <v/>
      </c>
      <c r="K937" s="39" t="str">
        <f t="array" ref="K937">IF(J937="","",IF(XLOOKUP(J937,Strike_Review_Queue!$I:$I,Strike_Review_Queue!$J:$J,"")="Approve","Approved",IF(XLOOKUP(J937,Strike_Review_Queue!$I:$I,Strike_Review_Queue!$J:$J,"")="Deny","Counts",H937)))</f>
        <v/>
      </c>
      <c r="L937" s="39" t="str">
        <f t="array" ref="L937">IF(J937="","",XLOOKUP(J937,Strike_Review_Queue!$I:$I,Strike_Review_Queue!$L:$L,""))</f>
        <v/>
      </c>
      <c r="M937" s="39" t="str">
        <f t="array" ref="M937">IF(J937="","",XLOOKUP(J937,Strike_Review_Queue!$I:$I,Strike_Review_Queue!$M:$M,""))</f>
        <v/>
      </c>
    </row>
    <row r="938" ht="15.75" customHeight="1">
      <c r="C938" s="39"/>
      <c r="D938" s="39" t="str">
        <f>IF(OR(B938="",A938=""),"",MAX(0,MIN(3,SUMIFS($C$2:$C$1000,$B$2:$B$1000,B938,$A$2:$A$1000,"&lt;="&amp;A938,$A$2:$A$1000,"&gt;="&amp;IF(Config!$B$1004="Y",A938-Config!$B$1005,DATE(1900,1,1)),$I$2:$I$1000,1)))))</f>
        <v>#ERROR!</v>
      </c>
      <c r="H938" s="39"/>
      <c r="I938" s="39">
        <f t="shared" si="1"/>
        <v>1</v>
      </c>
      <c r="J938" s="39" t="str">
        <f t="shared" si="2"/>
        <v/>
      </c>
      <c r="K938" s="39" t="str">
        <f t="array" ref="K938">IF(J938="","",IF(XLOOKUP(J938,Strike_Review_Queue!$I:$I,Strike_Review_Queue!$J:$J,"")="Approve","Approved",IF(XLOOKUP(J938,Strike_Review_Queue!$I:$I,Strike_Review_Queue!$J:$J,"")="Deny","Counts",H938)))</f>
        <v/>
      </c>
      <c r="L938" s="39" t="str">
        <f t="array" ref="L938">IF(J938="","",XLOOKUP(J938,Strike_Review_Queue!$I:$I,Strike_Review_Queue!$L:$L,""))</f>
        <v/>
      </c>
      <c r="M938" s="39" t="str">
        <f t="array" ref="M938">IF(J938="","",XLOOKUP(J938,Strike_Review_Queue!$I:$I,Strike_Review_Queue!$M:$M,""))</f>
        <v/>
      </c>
    </row>
    <row r="939" ht="15.75" customHeight="1">
      <c r="C939" s="39"/>
      <c r="D939" s="39" t="str">
        <f>IF(OR(B939="",A939=""),"",MAX(0,MIN(3,SUMIFS($C$2:$C$1000,$B$2:$B$1000,B939,$A$2:$A$1000,"&lt;="&amp;A939,$A$2:$A$1000,"&gt;="&amp;IF(Config!$B$1004="Y",A939-Config!$B$1005,DATE(1900,1,1)),$I$2:$I$1000,1)))))</f>
        <v>#ERROR!</v>
      </c>
      <c r="H939" s="39"/>
      <c r="I939" s="39">
        <f t="shared" si="1"/>
        <v>1</v>
      </c>
      <c r="J939" s="39" t="str">
        <f t="shared" si="2"/>
        <v/>
      </c>
      <c r="K939" s="39" t="str">
        <f t="array" ref="K939">IF(J939="","",IF(XLOOKUP(J939,Strike_Review_Queue!$I:$I,Strike_Review_Queue!$J:$J,"")="Approve","Approved",IF(XLOOKUP(J939,Strike_Review_Queue!$I:$I,Strike_Review_Queue!$J:$J,"")="Deny","Counts",H939)))</f>
        <v/>
      </c>
      <c r="L939" s="39" t="str">
        <f t="array" ref="L939">IF(J939="","",XLOOKUP(J939,Strike_Review_Queue!$I:$I,Strike_Review_Queue!$L:$L,""))</f>
        <v/>
      </c>
      <c r="M939" s="39" t="str">
        <f t="array" ref="M939">IF(J939="","",XLOOKUP(J939,Strike_Review_Queue!$I:$I,Strike_Review_Queue!$M:$M,""))</f>
        <v/>
      </c>
    </row>
    <row r="940" ht="15.75" customHeight="1">
      <c r="C940" s="39"/>
      <c r="D940" s="39" t="str">
        <f>IF(OR(B940="",A940=""),"",MAX(0,MIN(3,SUMIFS($C$2:$C$1000,$B$2:$B$1000,B940,$A$2:$A$1000,"&lt;="&amp;A940,$A$2:$A$1000,"&gt;="&amp;IF(Config!$B$1004="Y",A940-Config!$B$1005,DATE(1900,1,1)),$I$2:$I$1000,1)))))</f>
        <v>#ERROR!</v>
      </c>
      <c r="H940" s="39"/>
      <c r="I940" s="39">
        <f t="shared" si="1"/>
        <v>1</v>
      </c>
      <c r="J940" s="39" t="str">
        <f t="shared" si="2"/>
        <v/>
      </c>
      <c r="K940" s="39" t="str">
        <f t="array" ref="K940">IF(J940="","",IF(XLOOKUP(J940,Strike_Review_Queue!$I:$I,Strike_Review_Queue!$J:$J,"")="Approve","Approved",IF(XLOOKUP(J940,Strike_Review_Queue!$I:$I,Strike_Review_Queue!$J:$J,"")="Deny","Counts",H940)))</f>
        <v/>
      </c>
      <c r="L940" s="39" t="str">
        <f t="array" ref="L940">IF(J940="","",XLOOKUP(J940,Strike_Review_Queue!$I:$I,Strike_Review_Queue!$L:$L,""))</f>
        <v/>
      </c>
      <c r="M940" s="39" t="str">
        <f t="array" ref="M940">IF(J940="","",XLOOKUP(J940,Strike_Review_Queue!$I:$I,Strike_Review_Queue!$M:$M,""))</f>
        <v/>
      </c>
    </row>
    <row r="941" ht="15.75" customHeight="1">
      <c r="C941" s="39"/>
      <c r="D941" s="39" t="str">
        <f>IF(OR(B941="",A941=""),"",MAX(0,MIN(3,SUMIFS($C$2:$C$1000,$B$2:$B$1000,B941,$A$2:$A$1000,"&lt;="&amp;A941,$A$2:$A$1000,"&gt;="&amp;IF(Config!$B$1004="Y",A941-Config!$B$1005,DATE(1900,1,1)),$I$2:$I$1000,1)))))</f>
        <v>#ERROR!</v>
      </c>
      <c r="H941" s="39"/>
      <c r="I941" s="39">
        <f t="shared" si="1"/>
        <v>1</v>
      </c>
      <c r="J941" s="39" t="str">
        <f t="shared" si="2"/>
        <v/>
      </c>
      <c r="K941" s="39" t="str">
        <f t="array" ref="K941">IF(J941="","",IF(XLOOKUP(J941,Strike_Review_Queue!$I:$I,Strike_Review_Queue!$J:$J,"")="Approve","Approved",IF(XLOOKUP(J941,Strike_Review_Queue!$I:$I,Strike_Review_Queue!$J:$J,"")="Deny","Counts",H941)))</f>
        <v/>
      </c>
      <c r="L941" s="39" t="str">
        <f t="array" ref="L941">IF(J941="","",XLOOKUP(J941,Strike_Review_Queue!$I:$I,Strike_Review_Queue!$L:$L,""))</f>
        <v/>
      </c>
      <c r="M941" s="39" t="str">
        <f t="array" ref="M941">IF(J941="","",XLOOKUP(J941,Strike_Review_Queue!$I:$I,Strike_Review_Queue!$M:$M,""))</f>
        <v/>
      </c>
    </row>
    <row r="942" ht="15.75" customHeight="1">
      <c r="C942" s="39"/>
      <c r="D942" s="39" t="str">
        <f>IF(OR(B942="",A942=""),"",MAX(0,MIN(3,SUMIFS($C$2:$C$1000,$B$2:$B$1000,B942,$A$2:$A$1000,"&lt;="&amp;A942,$A$2:$A$1000,"&gt;="&amp;IF(Config!$B$1004="Y",A942-Config!$B$1005,DATE(1900,1,1)),$I$2:$I$1000,1)))))</f>
        <v>#ERROR!</v>
      </c>
      <c r="H942" s="39"/>
      <c r="I942" s="39">
        <f t="shared" si="1"/>
        <v>1</v>
      </c>
      <c r="J942" s="39" t="str">
        <f t="shared" si="2"/>
        <v/>
      </c>
      <c r="K942" s="39" t="str">
        <f t="array" ref="K942">IF(J942="","",IF(XLOOKUP(J942,Strike_Review_Queue!$I:$I,Strike_Review_Queue!$J:$J,"")="Approve","Approved",IF(XLOOKUP(J942,Strike_Review_Queue!$I:$I,Strike_Review_Queue!$J:$J,"")="Deny","Counts",H942)))</f>
        <v/>
      </c>
      <c r="L942" s="39" t="str">
        <f t="array" ref="L942">IF(J942="","",XLOOKUP(J942,Strike_Review_Queue!$I:$I,Strike_Review_Queue!$L:$L,""))</f>
        <v/>
      </c>
      <c r="M942" s="39" t="str">
        <f t="array" ref="M942">IF(J942="","",XLOOKUP(J942,Strike_Review_Queue!$I:$I,Strike_Review_Queue!$M:$M,""))</f>
        <v/>
      </c>
    </row>
    <row r="943" ht="15.75" customHeight="1">
      <c r="C943" s="39"/>
      <c r="D943" s="39" t="str">
        <f>IF(OR(B943="",A943=""),"",MAX(0,MIN(3,SUMIFS($C$2:$C$1000,$B$2:$B$1000,B943,$A$2:$A$1000,"&lt;="&amp;A943,$A$2:$A$1000,"&gt;="&amp;IF(Config!$B$1004="Y",A943-Config!$B$1005,DATE(1900,1,1)),$I$2:$I$1000,1)))))</f>
        <v>#ERROR!</v>
      </c>
      <c r="H943" s="39"/>
      <c r="I943" s="39">
        <f t="shared" si="1"/>
        <v>1</v>
      </c>
      <c r="J943" s="39" t="str">
        <f t="shared" si="2"/>
        <v/>
      </c>
      <c r="K943" s="39" t="str">
        <f t="array" ref="K943">IF(J943="","",IF(XLOOKUP(J943,Strike_Review_Queue!$I:$I,Strike_Review_Queue!$J:$J,"")="Approve","Approved",IF(XLOOKUP(J943,Strike_Review_Queue!$I:$I,Strike_Review_Queue!$J:$J,"")="Deny","Counts",H943)))</f>
        <v/>
      </c>
      <c r="L943" s="39" t="str">
        <f t="array" ref="L943">IF(J943="","",XLOOKUP(J943,Strike_Review_Queue!$I:$I,Strike_Review_Queue!$L:$L,""))</f>
        <v/>
      </c>
      <c r="M943" s="39" t="str">
        <f t="array" ref="M943">IF(J943="","",XLOOKUP(J943,Strike_Review_Queue!$I:$I,Strike_Review_Queue!$M:$M,""))</f>
        <v/>
      </c>
    </row>
    <row r="944" ht="15.75" customHeight="1">
      <c r="C944" s="39"/>
      <c r="D944" s="39" t="str">
        <f>IF(OR(B944="",A944=""),"",MAX(0,MIN(3,SUMIFS($C$2:$C$1000,$B$2:$B$1000,B944,$A$2:$A$1000,"&lt;="&amp;A944,$A$2:$A$1000,"&gt;="&amp;IF(Config!$B$1004="Y",A944-Config!$B$1005,DATE(1900,1,1)),$I$2:$I$1000,1)))))</f>
        <v>#ERROR!</v>
      </c>
      <c r="H944" s="39"/>
      <c r="I944" s="39">
        <f t="shared" si="1"/>
        <v>1</v>
      </c>
      <c r="J944" s="39" t="str">
        <f t="shared" si="2"/>
        <v/>
      </c>
      <c r="K944" s="39" t="str">
        <f t="array" ref="K944">IF(J944="","",IF(XLOOKUP(J944,Strike_Review_Queue!$I:$I,Strike_Review_Queue!$J:$J,"")="Approve","Approved",IF(XLOOKUP(J944,Strike_Review_Queue!$I:$I,Strike_Review_Queue!$J:$J,"")="Deny","Counts",H944)))</f>
        <v/>
      </c>
      <c r="L944" s="39" t="str">
        <f t="array" ref="L944">IF(J944="","",XLOOKUP(J944,Strike_Review_Queue!$I:$I,Strike_Review_Queue!$L:$L,""))</f>
        <v/>
      </c>
      <c r="M944" s="39" t="str">
        <f t="array" ref="M944">IF(J944="","",XLOOKUP(J944,Strike_Review_Queue!$I:$I,Strike_Review_Queue!$M:$M,""))</f>
        <v/>
      </c>
    </row>
    <row r="945" ht="15.75" customHeight="1">
      <c r="C945" s="39"/>
      <c r="D945" s="39" t="str">
        <f>IF(OR(B945="",A945=""),"",MAX(0,MIN(3,SUMIFS($C$2:$C$1000,$B$2:$B$1000,B945,$A$2:$A$1000,"&lt;="&amp;A945,$A$2:$A$1000,"&gt;="&amp;IF(Config!$B$1004="Y",A945-Config!$B$1005,DATE(1900,1,1)),$I$2:$I$1000,1)))))</f>
        <v>#ERROR!</v>
      </c>
      <c r="H945" s="39"/>
      <c r="I945" s="39">
        <f t="shared" si="1"/>
        <v>1</v>
      </c>
      <c r="J945" s="39" t="str">
        <f t="shared" si="2"/>
        <v/>
      </c>
      <c r="K945" s="39" t="str">
        <f t="array" ref="K945">IF(J945="","",IF(XLOOKUP(J945,Strike_Review_Queue!$I:$I,Strike_Review_Queue!$J:$J,"")="Approve","Approved",IF(XLOOKUP(J945,Strike_Review_Queue!$I:$I,Strike_Review_Queue!$J:$J,"")="Deny","Counts",H945)))</f>
        <v/>
      </c>
      <c r="L945" s="39" t="str">
        <f t="array" ref="L945">IF(J945="","",XLOOKUP(J945,Strike_Review_Queue!$I:$I,Strike_Review_Queue!$L:$L,""))</f>
        <v/>
      </c>
      <c r="M945" s="39" t="str">
        <f t="array" ref="M945">IF(J945="","",XLOOKUP(J945,Strike_Review_Queue!$I:$I,Strike_Review_Queue!$M:$M,""))</f>
        <v/>
      </c>
    </row>
    <row r="946" ht="15.75" customHeight="1">
      <c r="C946" s="39"/>
      <c r="D946" s="39" t="str">
        <f>IF(OR(B946="",A946=""),"",MAX(0,MIN(3,SUMIFS($C$2:$C$1000,$B$2:$B$1000,B946,$A$2:$A$1000,"&lt;="&amp;A946,$A$2:$A$1000,"&gt;="&amp;IF(Config!$B$1004="Y",A946-Config!$B$1005,DATE(1900,1,1)),$I$2:$I$1000,1)))))</f>
        <v>#ERROR!</v>
      </c>
      <c r="H946" s="39"/>
      <c r="I946" s="39">
        <f t="shared" si="1"/>
        <v>1</v>
      </c>
      <c r="J946" s="39" t="str">
        <f t="shared" si="2"/>
        <v/>
      </c>
      <c r="K946" s="39" t="str">
        <f t="array" ref="K946">IF(J946="","",IF(XLOOKUP(J946,Strike_Review_Queue!$I:$I,Strike_Review_Queue!$J:$J,"")="Approve","Approved",IF(XLOOKUP(J946,Strike_Review_Queue!$I:$I,Strike_Review_Queue!$J:$J,"")="Deny","Counts",H946)))</f>
        <v/>
      </c>
      <c r="L946" s="39" t="str">
        <f t="array" ref="L946">IF(J946="","",XLOOKUP(J946,Strike_Review_Queue!$I:$I,Strike_Review_Queue!$L:$L,""))</f>
        <v/>
      </c>
      <c r="M946" s="39" t="str">
        <f t="array" ref="M946">IF(J946="","",XLOOKUP(J946,Strike_Review_Queue!$I:$I,Strike_Review_Queue!$M:$M,""))</f>
        <v/>
      </c>
    </row>
    <row r="947" ht="15.75" customHeight="1">
      <c r="C947" s="39"/>
      <c r="D947" s="39" t="str">
        <f>IF(OR(B947="",A947=""),"",MAX(0,MIN(3,SUMIFS($C$2:$C$1000,$B$2:$B$1000,B947,$A$2:$A$1000,"&lt;="&amp;A947,$A$2:$A$1000,"&gt;="&amp;IF(Config!$B$1004="Y",A947-Config!$B$1005,DATE(1900,1,1)),$I$2:$I$1000,1)))))</f>
        <v>#ERROR!</v>
      </c>
      <c r="H947" s="39"/>
      <c r="I947" s="39">
        <f t="shared" si="1"/>
        <v>1</v>
      </c>
      <c r="J947" s="39" t="str">
        <f t="shared" si="2"/>
        <v/>
      </c>
      <c r="K947" s="39" t="str">
        <f t="array" ref="K947">IF(J947="","",IF(XLOOKUP(J947,Strike_Review_Queue!$I:$I,Strike_Review_Queue!$J:$J,"")="Approve","Approved",IF(XLOOKUP(J947,Strike_Review_Queue!$I:$I,Strike_Review_Queue!$J:$J,"")="Deny","Counts",H947)))</f>
        <v/>
      </c>
      <c r="L947" s="39" t="str">
        <f t="array" ref="L947">IF(J947="","",XLOOKUP(J947,Strike_Review_Queue!$I:$I,Strike_Review_Queue!$L:$L,""))</f>
        <v/>
      </c>
      <c r="M947" s="39" t="str">
        <f t="array" ref="M947">IF(J947="","",XLOOKUP(J947,Strike_Review_Queue!$I:$I,Strike_Review_Queue!$M:$M,""))</f>
        <v/>
      </c>
    </row>
    <row r="948" ht="15.75" customHeight="1">
      <c r="C948" s="39"/>
      <c r="D948" s="39" t="str">
        <f>IF(OR(B948="",A948=""),"",MAX(0,MIN(3,SUMIFS($C$2:$C$1000,$B$2:$B$1000,B948,$A$2:$A$1000,"&lt;="&amp;A948,$A$2:$A$1000,"&gt;="&amp;IF(Config!$B$1004="Y",A948-Config!$B$1005,DATE(1900,1,1)),$I$2:$I$1000,1)))))</f>
        <v>#ERROR!</v>
      </c>
      <c r="H948" s="39"/>
      <c r="I948" s="39">
        <f t="shared" si="1"/>
        <v>1</v>
      </c>
      <c r="J948" s="39" t="str">
        <f t="shared" si="2"/>
        <v/>
      </c>
      <c r="K948" s="39" t="str">
        <f t="array" ref="K948">IF(J948="","",IF(XLOOKUP(J948,Strike_Review_Queue!$I:$I,Strike_Review_Queue!$J:$J,"")="Approve","Approved",IF(XLOOKUP(J948,Strike_Review_Queue!$I:$I,Strike_Review_Queue!$J:$J,"")="Deny","Counts",H948)))</f>
        <v/>
      </c>
      <c r="L948" s="39" t="str">
        <f t="array" ref="L948">IF(J948="","",XLOOKUP(J948,Strike_Review_Queue!$I:$I,Strike_Review_Queue!$L:$L,""))</f>
        <v/>
      </c>
      <c r="M948" s="39" t="str">
        <f t="array" ref="M948">IF(J948="","",XLOOKUP(J948,Strike_Review_Queue!$I:$I,Strike_Review_Queue!$M:$M,""))</f>
        <v/>
      </c>
    </row>
    <row r="949" ht="15.75" customHeight="1">
      <c r="C949" s="39"/>
      <c r="D949" s="39" t="str">
        <f>IF(OR(B949="",A949=""),"",MAX(0,MIN(3,SUMIFS($C$2:$C$1000,$B$2:$B$1000,B949,$A$2:$A$1000,"&lt;="&amp;A949,$A$2:$A$1000,"&gt;="&amp;IF(Config!$B$1004="Y",A949-Config!$B$1005,DATE(1900,1,1)),$I$2:$I$1000,1)))))</f>
        <v>#ERROR!</v>
      </c>
      <c r="H949" s="39"/>
      <c r="I949" s="39">
        <f t="shared" si="1"/>
        <v>1</v>
      </c>
      <c r="J949" s="39" t="str">
        <f t="shared" si="2"/>
        <v/>
      </c>
      <c r="K949" s="39" t="str">
        <f t="array" ref="K949">IF(J949="","",IF(XLOOKUP(J949,Strike_Review_Queue!$I:$I,Strike_Review_Queue!$J:$J,"")="Approve","Approved",IF(XLOOKUP(J949,Strike_Review_Queue!$I:$I,Strike_Review_Queue!$J:$J,"")="Deny","Counts",H949)))</f>
        <v/>
      </c>
      <c r="L949" s="39" t="str">
        <f t="array" ref="L949">IF(J949="","",XLOOKUP(J949,Strike_Review_Queue!$I:$I,Strike_Review_Queue!$L:$L,""))</f>
        <v/>
      </c>
      <c r="M949" s="39" t="str">
        <f t="array" ref="M949">IF(J949="","",XLOOKUP(J949,Strike_Review_Queue!$I:$I,Strike_Review_Queue!$M:$M,""))</f>
        <v/>
      </c>
    </row>
    <row r="950" ht="15.75" customHeight="1">
      <c r="C950" s="39"/>
      <c r="D950" s="39" t="str">
        <f>IF(OR(B950="",A950=""),"",MAX(0,MIN(3,SUMIFS($C$2:$C$1000,$B$2:$B$1000,B950,$A$2:$A$1000,"&lt;="&amp;A950,$A$2:$A$1000,"&gt;="&amp;IF(Config!$B$1004="Y",A950-Config!$B$1005,DATE(1900,1,1)),$I$2:$I$1000,1)))))</f>
        <v>#ERROR!</v>
      </c>
      <c r="H950" s="39"/>
      <c r="I950" s="39">
        <f t="shared" si="1"/>
        <v>1</v>
      </c>
      <c r="J950" s="39" t="str">
        <f t="shared" si="2"/>
        <v/>
      </c>
      <c r="K950" s="39" t="str">
        <f t="array" ref="K950">IF(J950="","",IF(XLOOKUP(J950,Strike_Review_Queue!$I:$I,Strike_Review_Queue!$J:$J,"")="Approve","Approved",IF(XLOOKUP(J950,Strike_Review_Queue!$I:$I,Strike_Review_Queue!$J:$J,"")="Deny","Counts",H950)))</f>
        <v/>
      </c>
      <c r="L950" s="39" t="str">
        <f t="array" ref="L950">IF(J950="","",XLOOKUP(J950,Strike_Review_Queue!$I:$I,Strike_Review_Queue!$L:$L,""))</f>
        <v/>
      </c>
      <c r="M950" s="39" t="str">
        <f t="array" ref="M950">IF(J950="","",XLOOKUP(J950,Strike_Review_Queue!$I:$I,Strike_Review_Queue!$M:$M,""))</f>
        <v/>
      </c>
    </row>
    <row r="951" ht="15.75" customHeight="1">
      <c r="C951" s="39"/>
      <c r="D951" s="39" t="str">
        <f>IF(OR(B951="",A951=""),"",MAX(0,MIN(3,SUMIFS($C$2:$C$1000,$B$2:$B$1000,B951,$A$2:$A$1000,"&lt;="&amp;A951,$A$2:$A$1000,"&gt;="&amp;IF(Config!$B$1004="Y",A951-Config!$B$1005,DATE(1900,1,1)),$I$2:$I$1000,1)))))</f>
        <v>#ERROR!</v>
      </c>
      <c r="H951" s="39"/>
      <c r="I951" s="39">
        <f t="shared" si="1"/>
        <v>1</v>
      </c>
      <c r="J951" s="39" t="str">
        <f t="shared" si="2"/>
        <v/>
      </c>
      <c r="K951" s="39" t="str">
        <f t="array" ref="K951">IF(J951="","",IF(XLOOKUP(J951,Strike_Review_Queue!$I:$I,Strike_Review_Queue!$J:$J,"")="Approve","Approved",IF(XLOOKUP(J951,Strike_Review_Queue!$I:$I,Strike_Review_Queue!$J:$J,"")="Deny","Counts",H951)))</f>
        <v/>
      </c>
      <c r="L951" s="39" t="str">
        <f t="array" ref="L951">IF(J951="","",XLOOKUP(J951,Strike_Review_Queue!$I:$I,Strike_Review_Queue!$L:$L,""))</f>
        <v/>
      </c>
      <c r="M951" s="39" t="str">
        <f t="array" ref="M951">IF(J951="","",XLOOKUP(J951,Strike_Review_Queue!$I:$I,Strike_Review_Queue!$M:$M,""))</f>
        <v/>
      </c>
    </row>
    <row r="952" ht="15.75" customHeight="1">
      <c r="C952" s="39"/>
      <c r="D952" s="39" t="str">
        <f>IF(OR(B952="",A952=""),"",MAX(0,MIN(3,SUMIFS($C$2:$C$1000,$B$2:$B$1000,B952,$A$2:$A$1000,"&lt;="&amp;A952,$A$2:$A$1000,"&gt;="&amp;IF(Config!$B$1004="Y",A952-Config!$B$1005,DATE(1900,1,1)),$I$2:$I$1000,1)))))</f>
        <v>#ERROR!</v>
      </c>
      <c r="H952" s="39"/>
      <c r="I952" s="39">
        <f t="shared" si="1"/>
        <v>1</v>
      </c>
      <c r="J952" s="39" t="str">
        <f t="shared" si="2"/>
        <v/>
      </c>
      <c r="K952" s="39" t="str">
        <f t="array" ref="K952">IF(J952="","",IF(XLOOKUP(J952,Strike_Review_Queue!$I:$I,Strike_Review_Queue!$J:$J,"")="Approve","Approved",IF(XLOOKUP(J952,Strike_Review_Queue!$I:$I,Strike_Review_Queue!$J:$J,"")="Deny","Counts",H952)))</f>
        <v/>
      </c>
      <c r="L952" s="39" t="str">
        <f t="array" ref="L952">IF(J952="","",XLOOKUP(J952,Strike_Review_Queue!$I:$I,Strike_Review_Queue!$L:$L,""))</f>
        <v/>
      </c>
      <c r="M952" s="39" t="str">
        <f t="array" ref="M952">IF(J952="","",XLOOKUP(J952,Strike_Review_Queue!$I:$I,Strike_Review_Queue!$M:$M,""))</f>
        <v/>
      </c>
    </row>
    <row r="953" ht="15.75" customHeight="1">
      <c r="C953" s="39"/>
      <c r="D953" s="39" t="str">
        <f>IF(OR(B953="",A953=""),"",MAX(0,MIN(3,SUMIFS($C$2:$C$1000,$B$2:$B$1000,B953,$A$2:$A$1000,"&lt;="&amp;A953,$A$2:$A$1000,"&gt;="&amp;IF(Config!$B$1004="Y",A953-Config!$B$1005,DATE(1900,1,1)),$I$2:$I$1000,1)))))</f>
        <v>#ERROR!</v>
      </c>
      <c r="H953" s="39"/>
      <c r="I953" s="39">
        <f t="shared" si="1"/>
        <v>1</v>
      </c>
      <c r="J953" s="39" t="str">
        <f t="shared" si="2"/>
        <v/>
      </c>
      <c r="K953" s="39" t="str">
        <f t="array" ref="K953">IF(J953="","",IF(XLOOKUP(J953,Strike_Review_Queue!$I:$I,Strike_Review_Queue!$J:$J,"")="Approve","Approved",IF(XLOOKUP(J953,Strike_Review_Queue!$I:$I,Strike_Review_Queue!$J:$J,"")="Deny","Counts",H953)))</f>
        <v/>
      </c>
      <c r="L953" s="39" t="str">
        <f t="array" ref="L953">IF(J953="","",XLOOKUP(J953,Strike_Review_Queue!$I:$I,Strike_Review_Queue!$L:$L,""))</f>
        <v/>
      </c>
      <c r="M953" s="39" t="str">
        <f t="array" ref="M953">IF(J953="","",XLOOKUP(J953,Strike_Review_Queue!$I:$I,Strike_Review_Queue!$M:$M,""))</f>
        <v/>
      </c>
    </row>
    <row r="954" ht="15.75" customHeight="1">
      <c r="C954" s="39"/>
      <c r="D954" s="39" t="str">
        <f>IF(OR(B954="",A954=""),"",MAX(0,MIN(3,SUMIFS($C$2:$C$1000,$B$2:$B$1000,B954,$A$2:$A$1000,"&lt;="&amp;A954,$A$2:$A$1000,"&gt;="&amp;IF(Config!$B$1004="Y",A954-Config!$B$1005,DATE(1900,1,1)),$I$2:$I$1000,1)))))</f>
        <v>#ERROR!</v>
      </c>
      <c r="H954" s="39"/>
      <c r="I954" s="39">
        <f t="shared" si="1"/>
        <v>1</v>
      </c>
      <c r="J954" s="39" t="str">
        <f t="shared" si="2"/>
        <v/>
      </c>
      <c r="K954" s="39" t="str">
        <f t="array" ref="K954">IF(J954="","",IF(XLOOKUP(J954,Strike_Review_Queue!$I:$I,Strike_Review_Queue!$J:$J,"")="Approve","Approved",IF(XLOOKUP(J954,Strike_Review_Queue!$I:$I,Strike_Review_Queue!$J:$J,"")="Deny","Counts",H954)))</f>
        <v/>
      </c>
      <c r="L954" s="39" t="str">
        <f t="array" ref="L954">IF(J954="","",XLOOKUP(J954,Strike_Review_Queue!$I:$I,Strike_Review_Queue!$L:$L,""))</f>
        <v/>
      </c>
      <c r="M954" s="39" t="str">
        <f t="array" ref="M954">IF(J954="","",XLOOKUP(J954,Strike_Review_Queue!$I:$I,Strike_Review_Queue!$M:$M,""))</f>
        <v/>
      </c>
    </row>
    <row r="955" ht="15.75" customHeight="1">
      <c r="C955" s="39"/>
      <c r="D955" s="39" t="str">
        <f>IF(OR(B955="",A955=""),"",MAX(0,MIN(3,SUMIFS($C$2:$C$1000,$B$2:$B$1000,B955,$A$2:$A$1000,"&lt;="&amp;A955,$A$2:$A$1000,"&gt;="&amp;IF(Config!$B$1004="Y",A955-Config!$B$1005,DATE(1900,1,1)),$I$2:$I$1000,1)))))</f>
        <v>#ERROR!</v>
      </c>
      <c r="H955" s="39"/>
      <c r="I955" s="39">
        <f t="shared" si="1"/>
        <v>1</v>
      </c>
      <c r="J955" s="39" t="str">
        <f t="shared" si="2"/>
        <v/>
      </c>
      <c r="K955" s="39" t="str">
        <f t="array" ref="K955">IF(J955="","",IF(XLOOKUP(J955,Strike_Review_Queue!$I:$I,Strike_Review_Queue!$J:$J,"")="Approve","Approved",IF(XLOOKUP(J955,Strike_Review_Queue!$I:$I,Strike_Review_Queue!$J:$J,"")="Deny","Counts",H955)))</f>
        <v/>
      </c>
      <c r="L955" s="39" t="str">
        <f t="array" ref="L955">IF(J955="","",XLOOKUP(J955,Strike_Review_Queue!$I:$I,Strike_Review_Queue!$L:$L,""))</f>
        <v/>
      </c>
      <c r="M955" s="39" t="str">
        <f t="array" ref="M955">IF(J955="","",XLOOKUP(J955,Strike_Review_Queue!$I:$I,Strike_Review_Queue!$M:$M,""))</f>
        <v/>
      </c>
    </row>
    <row r="956" ht="15.75" customHeight="1">
      <c r="C956" s="39"/>
      <c r="D956" s="39" t="str">
        <f>IF(OR(B956="",A956=""),"",MAX(0,MIN(3,SUMIFS($C$2:$C$1000,$B$2:$B$1000,B956,$A$2:$A$1000,"&lt;="&amp;A956,$A$2:$A$1000,"&gt;="&amp;IF(Config!$B$1004="Y",A956-Config!$B$1005,DATE(1900,1,1)),$I$2:$I$1000,1)))))</f>
        <v>#ERROR!</v>
      </c>
      <c r="H956" s="39"/>
      <c r="I956" s="39">
        <f t="shared" si="1"/>
        <v>1</v>
      </c>
      <c r="J956" s="39" t="str">
        <f t="shared" si="2"/>
        <v/>
      </c>
      <c r="K956" s="39" t="str">
        <f t="array" ref="K956">IF(J956="","",IF(XLOOKUP(J956,Strike_Review_Queue!$I:$I,Strike_Review_Queue!$J:$J,"")="Approve","Approved",IF(XLOOKUP(J956,Strike_Review_Queue!$I:$I,Strike_Review_Queue!$J:$J,"")="Deny","Counts",H956)))</f>
        <v/>
      </c>
      <c r="L956" s="39" t="str">
        <f t="array" ref="L956">IF(J956="","",XLOOKUP(J956,Strike_Review_Queue!$I:$I,Strike_Review_Queue!$L:$L,""))</f>
        <v/>
      </c>
      <c r="M956" s="39" t="str">
        <f t="array" ref="M956">IF(J956="","",XLOOKUP(J956,Strike_Review_Queue!$I:$I,Strike_Review_Queue!$M:$M,""))</f>
        <v/>
      </c>
    </row>
    <row r="957" ht="15.75" customHeight="1">
      <c r="C957" s="39"/>
      <c r="D957" s="39" t="str">
        <f>IF(OR(B957="",A957=""),"",MAX(0,MIN(3,SUMIFS($C$2:$C$1000,$B$2:$B$1000,B957,$A$2:$A$1000,"&lt;="&amp;A957,$A$2:$A$1000,"&gt;="&amp;IF(Config!$B$1004="Y",A957-Config!$B$1005,DATE(1900,1,1)),$I$2:$I$1000,1)))))</f>
        <v>#ERROR!</v>
      </c>
      <c r="H957" s="39"/>
      <c r="I957" s="39">
        <f t="shared" si="1"/>
        <v>1</v>
      </c>
      <c r="J957" s="39" t="str">
        <f t="shared" si="2"/>
        <v/>
      </c>
      <c r="K957" s="39" t="str">
        <f t="array" ref="K957">IF(J957="","",IF(XLOOKUP(J957,Strike_Review_Queue!$I:$I,Strike_Review_Queue!$J:$J,"")="Approve","Approved",IF(XLOOKUP(J957,Strike_Review_Queue!$I:$I,Strike_Review_Queue!$J:$J,"")="Deny","Counts",H957)))</f>
        <v/>
      </c>
      <c r="L957" s="39" t="str">
        <f t="array" ref="L957">IF(J957="","",XLOOKUP(J957,Strike_Review_Queue!$I:$I,Strike_Review_Queue!$L:$L,""))</f>
        <v/>
      </c>
      <c r="M957" s="39" t="str">
        <f t="array" ref="M957">IF(J957="","",XLOOKUP(J957,Strike_Review_Queue!$I:$I,Strike_Review_Queue!$M:$M,""))</f>
        <v/>
      </c>
    </row>
    <row r="958" ht="15.75" customHeight="1">
      <c r="C958" s="39"/>
      <c r="D958" s="39" t="str">
        <f>IF(OR(B958="",A958=""),"",MAX(0,MIN(3,SUMIFS($C$2:$C$1000,$B$2:$B$1000,B958,$A$2:$A$1000,"&lt;="&amp;A958,$A$2:$A$1000,"&gt;="&amp;IF(Config!$B$1004="Y",A958-Config!$B$1005,DATE(1900,1,1)),$I$2:$I$1000,1)))))</f>
        <v>#ERROR!</v>
      </c>
      <c r="H958" s="39"/>
      <c r="I958" s="39">
        <f t="shared" si="1"/>
        <v>1</v>
      </c>
      <c r="J958" s="39" t="str">
        <f t="shared" si="2"/>
        <v/>
      </c>
      <c r="K958" s="39" t="str">
        <f t="array" ref="K958">IF(J958="","",IF(XLOOKUP(J958,Strike_Review_Queue!$I:$I,Strike_Review_Queue!$J:$J,"")="Approve","Approved",IF(XLOOKUP(J958,Strike_Review_Queue!$I:$I,Strike_Review_Queue!$J:$J,"")="Deny","Counts",H958)))</f>
        <v/>
      </c>
      <c r="L958" s="39" t="str">
        <f t="array" ref="L958">IF(J958="","",XLOOKUP(J958,Strike_Review_Queue!$I:$I,Strike_Review_Queue!$L:$L,""))</f>
        <v/>
      </c>
      <c r="M958" s="39" t="str">
        <f t="array" ref="M958">IF(J958="","",XLOOKUP(J958,Strike_Review_Queue!$I:$I,Strike_Review_Queue!$M:$M,""))</f>
        <v/>
      </c>
    </row>
    <row r="959" ht="15.75" customHeight="1">
      <c r="C959" s="39"/>
      <c r="D959" s="39" t="str">
        <f>IF(OR(B959="",A959=""),"",MAX(0,MIN(3,SUMIFS($C$2:$C$1000,$B$2:$B$1000,B959,$A$2:$A$1000,"&lt;="&amp;A959,$A$2:$A$1000,"&gt;="&amp;IF(Config!$B$1004="Y",A959-Config!$B$1005,DATE(1900,1,1)),$I$2:$I$1000,1)))))</f>
        <v>#ERROR!</v>
      </c>
      <c r="H959" s="39"/>
      <c r="I959" s="39">
        <f t="shared" si="1"/>
        <v>1</v>
      </c>
      <c r="J959" s="39" t="str">
        <f t="shared" si="2"/>
        <v/>
      </c>
      <c r="K959" s="39" t="str">
        <f t="array" ref="K959">IF(J959="","",IF(XLOOKUP(J959,Strike_Review_Queue!$I:$I,Strike_Review_Queue!$J:$J,"")="Approve","Approved",IF(XLOOKUP(J959,Strike_Review_Queue!$I:$I,Strike_Review_Queue!$J:$J,"")="Deny","Counts",H959)))</f>
        <v/>
      </c>
      <c r="L959" s="39" t="str">
        <f t="array" ref="L959">IF(J959="","",XLOOKUP(J959,Strike_Review_Queue!$I:$I,Strike_Review_Queue!$L:$L,""))</f>
        <v/>
      </c>
      <c r="M959" s="39" t="str">
        <f t="array" ref="M959">IF(J959="","",XLOOKUP(J959,Strike_Review_Queue!$I:$I,Strike_Review_Queue!$M:$M,""))</f>
        <v/>
      </c>
    </row>
    <row r="960" ht="15.75" customHeight="1">
      <c r="C960" s="39"/>
      <c r="D960" s="39" t="str">
        <f>IF(OR(B960="",A960=""),"",MAX(0,MIN(3,SUMIFS($C$2:$C$1000,$B$2:$B$1000,B960,$A$2:$A$1000,"&lt;="&amp;A960,$A$2:$A$1000,"&gt;="&amp;IF(Config!$B$1004="Y",A960-Config!$B$1005,DATE(1900,1,1)),$I$2:$I$1000,1)))))</f>
        <v>#ERROR!</v>
      </c>
      <c r="H960" s="39"/>
      <c r="I960" s="39">
        <f t="shared" si="1"/>
        <v>1</v>
      </c>
      <c r="J960" s="39" t="str">
        <f t="shared" si="2"/>
        <v/>
      </c>
      <c r="K960" s="39" t="str">
        <f t="array" ref="K960">IF(J960="","",IF(XLOOKUP(J960,Strike_Review_Queue!$I:$I,Strike_Review_Queue!$J:$J,"")="Approve","Approved",IF(XLOOKUP(J960,Strike_Review_Queue!$I:$I,Strike_Review_Queue!$J:$J,"")="Deny","Counts",H960)))</f>
        <v/>
      </c>
      <c r="L960" s="39" t="str">
        <f t="array" ref="L960">IF(J960="","",XLOOKUP(J960,Strike_Review_Queue!$I:$I,Strike_Review_Queue!$L:$L,""))</f>
        <v/>
      </c>
      <c r="M960" s="39" t="str">
        <f t="array" ref="M960">IF(J960="","",XLOOKUP(J960,Strike_Review_Queue!$I:$I,Strike_Review_Queue!$M:$M,""))</f>
        <v/>
      </c>
    </row>
    <row r="961" ht="15.75" customHeight="1">
      <c r="C961" s="39"/>
      <c r="D961" s="39" t="str">
        <f>IF(OR(B961="",A961=""),"",MAX(0,MIN(3,SUMIFS($C$2:$C$1000,$B$2:$B$1000,B961,$A$2:$A$1000,"&lt;="&amp;A961,$A$2:$A$1000,"&gt;="&amp;IF(Config!$B$1004="Y",A961-Config!$B$1005,DATE(1900,1,1)),$I$2:$I$1000,1)))))</f>
        <v>#ERROR!</v>
      </c>
      <c r="H961" s="39"/>
      <c r="I961" s="39">
        <f t="shared" si="1"/>
        <v>1</v>
      </c>
      <c r="J961" s="39" t="str">
        <f t="shared" si="2"/>
        <v/>
      </c>
      <c r="K961" s="39" t="str">
        <f t="array" ref="K961">IF(J961="","",IF(XLOOKUP(J961,Strike_Review_Queue!$I:$I,Strike_Review_Queue!$J:$J,"")="Approve","Approved",IF(XLOOKUP(J961,Strike_Review_Queue!$I:$I,Strike_Review_Queue!$J:$J,"")="Deny","Counts",H961)))</f>
        <v/>
      </c>
      <c r="L961" s="39" t="str">
        <f t="array" ref="L961">IF(J961="","",XLOOKUP(J961,Strike_Review_Queue!$I:$I,Strike_Review_Queue!$L:$L,""))</f>
        <v/>
      </c>
      <c r="M961" s="39" t="str">
        <f t="array" ref="M961">IF(J961="","",XLOOKUP(J961,Strike_Review_Queue!$I:$I,Strike_Review_Queue!$M:$M,""))</f>
        <v/>
      </c>
    </row>
    <row r="962" ht="15.75" customHeight="1">
      <c r="C962" s="39"/>
      <c r="D962" s="39" t="str">
        <f>IF(OR(B962="",A962=""),"",MAX(0,MIN(3,SUMIFS($C$2:$C$1000,$B$2:$B$1000,B962,$A$2:$A$1000,"&lt;="&amp;A962,$A$2:$A$1000,"&gt;="&amp;IF(Config!$B$1004="Y",A962-Config!$B$1005,DATE(1900,1,1)),$I$2:$I$1000,1)))))</f>
        <v>#ERROR!</v>
      </c>
      <c r="H962" s="39"/>
      <c r="I962" s="39">
        <f t="shared" si="1"/>
        <v>1</v>
      </c>
      <c r="J962" s="39" t="str">
        <f t="shared" si="2"/>
        <v/>
      </c>
      <c r="K962" s="39" t="str">
        <f t="array" ref="K962">IF(J962="","",IF(XLOOKUP(J962,Strike_Review_Queue!$I:$I,Strike_Review_Queue!$J:$J,"")="Approve","Approved",IF(XLOOKUP(J962,Strike_Review_Queue!$I:$I,Strike_Review_Queue!$J:$J,"")="Deny","Counts",H962)))</f>
        <v/>
      </c>
      <c r="L962" s="39" t="str">
        <f t="array" ref="L962">IF(J962="","",XLOOKUP(J962,Strike_Review_Queue!$I:$I,Strike_Review_Queue!$L:$L,""))</f>
        <v/>
      </c>
      <c r="M962" s="39" t="str">
        <f t="array" ref="M962">IF(J962="","",XLOOKUP(J962,Strike_Review_Queue!$I:$I,Strike_Review_Queue!$M:$M,""))</f>
        <v/>
      </c>
    </row>
    <row r="963" ht="15.75" customHeight="1">
      <c r="C963" s="39"/>
      <c r="D963" s="39" t="str">
        <f>IF(OR(B963="",A963=""),"",MAX(0,MIN(3,SUMIFS($C$2:$C$1000,$B$2:$B$1000,B963,$A$2:$A$1000,"&lt;="&amp;A963,$A$2:$A$1000,"&gt;="&amp;IF(Config!$B$1004="Y",A963-Config!$B$1005,DATE(1900,1,1)),$I$2:$I$1000,1)))))</f>
        <v>#ERROR!</v>
      </c>
      <c r="H963" s="39"/>
      <c r="I963" s="39">
        <f t="shared" si="1"/>
        <v>1</v>
      </c>
      <c r="J963" s="39" t="str">
        <f t="shared" si="2"/>
        <v/>
      </c>
      <c r="K963" s="39" t="str">
        <f t="array" ref="K963">IF(J963="","",IF(XLOOKUP(J963,Strike_Review_Queue!$I:$I,Strike_Review_Queue!$J:$J,"")="Approve","Approved",IF(XLOOKUP(J963,Strike_Review_Queue!$I:$I,Strike_Review_Queue!$J:$J,"")="Deny","Counts",H963)))</f>
        <v/>
      </c>
      <c r="L963" s="39" t="str">
        <f t="array" ref="L963">IF(J963="","",XLOOKUP(J963,Strike_Review_Queue!$I:$I,Strike_Review_Queue!$L:$L,""))</f>
        <v/>
      </c>
      <c r="M963" s="39" t="str">
        <f t="array" ref="M963">IF(J963="","",XLOOKUP(J963,Strike_Review_Queue!$I:$I,Strike_Review_Queue!$M:$M,""))</f>
        <v/>
      </c>
    </row>
    <row r="964" ht="15.75" customHeight="1">
      <c r="C964" s="39"/>
      <c r="D964" s="39" t="str">
        <f>IF(OR(B964="",A964=""),"",MAX(0,MIN(3,SUMIFS($C$2:$C$1000,$B$2:$B$1000,B964,$A$2:$A$1000,"&lt;="&amp;A964,$A$2:$A$1000,"&gt;="&amp;IF(Config!$B$1004="Y",A964-Config!$B$1005,DATE(1900,1,1)),$I$2:$I$1000,1)))))</f>
        <v>#ERROR!</v>
      </c>
      <c r="H964" s="39"/>
      <c r="I964" s="39">
        <f t="shared" si="1"/>
        <v>1</v>
      </c>
      <c r="J964" s="39" t="str">
        <f t="shared" si="2"/>
        <v/>
      </c>
      <c r="K964" s="39" t="str">
        <f t="array" ref="K964">IF(J964="","",IF(XLOOKUP(J964,Strike_Review_Queue!$I:$I,Strike_Review_Queue!$J:$J,"")="Approve","Approved",IF(XLOOKUP(J964,Strike_Review_Queue!$I:$I,Strike_Review_Queue!$J:$J,"")="Deny","Counts",H964)))</f>
        <v/>
      </c>
      <c r="L964" s="39" t="str">
        <f t="array" ref="L964">IF(J964="","",XLOOKUP(J964,Strike_Review_Queue!$I:$I,Strike_Review_Queue!$L:$L,""))</f>
        <v/>
      </c>
      <c r="M964" s="39" t="str">
        <f t="array" ref="M964">IF(J964="","",XLOOKUP(J964,Strike_Review_Queue!$I:$I,Strike_Review_Queue!$M:$M,""))</f>
        <v/>
      </c>
    </row>
    <row r="965" ht="15.75" customHeight="1">
      <c r="C965" s="39"/>
      <c r="D965" s="39" t="str">
        <f>IF(OR(B965="",A965=""),"",MAX(0,MIN(3,SUMIFS($C$2:$C$1000,$B$2:$B$1000,B965,$A$2:$A$1000,"&lt;="&amp;A965,$A$2:$A$1000,"&gt;="&amp;IF(Config!$B$1004="Y",A965-Config!$B$1005,DATE(1900,1,1)),$I$2:$I$1000,1)))))</f>
        <v>#ERROR!</v>
      </c>
      <c r="H965" s="39"/>
      <c r="I965" s="39">
        <f t="shared" si="1"/>
        <v>1</v>
      </c>
      <c r="J965" s="39" t="str">
        <f t="shared" si="2"/>
        <v/>
      </c>
      <c r="K965" s="39" t="str">
        <f t="array" ref="K965">IF(J965="","",IF(XLOOKUP(J965,Strike_Review_Queue!$I:$I,Strike_Review_Queue!$J:$J,"")="Approve","Approved",IF(XLOOKUP(J965,Strike_Review_Queue!$I:$I,Strike_Review_Queue!$J:$J,"")="Deny","Counts",H965)))</f>
        <v/>
      </c>
      <c r="L965" s="39" t="str">
        <f t="array" ref="L965">IF(J965="","",XLOOKUP(J965,Strike_Review_Queue!$I:$I,Strike_Review_Queue!$L:$L,""))</f>
        <v/>
      </c>
      <c r="M965" s="39" t="str">
        <f t="array" ref="M965">IF(J965="","",XLOOKUP(J965,Strike_Review_Queue!$I:$I,Strike_Review_Queue!$M:$M,""))</f>
        <v/>
      </c>
    </row>
    <row r="966" ht="15.75" customHeight="1">
      <c r="C966" s="39"/>
      <c r="D966" s="39" t="str">
        <f>IF(OR(B966="",A966=""),"",MAX(0,MIN(3,SUMIFS($C$2:$C$1000,$B$2:$B$1000,B966,$A$2:$A$1000,"&lt;="&amp;A966,$A$2:$A$1000,"&gt;="&amp;IF(Config!$B$1004="Y",A966-Config!$B$1005,DATE(1900,1,1)),$I$2:$I$1000,1)))))</f>
        <v>#ERROR!</v>
      </c>
      <c r="H966" s="39"/>
      <c r="I966" s="39">
        <f t="shared" si="1"/>
        <v>1</v>
      </c>
      <c r="J966" s="39" t="str">
        <f t="shared" si="2"/>
        <v/>
      </c>
      <c r="K966" s="39" t="str">
        <f t="array" ref="K966">IF(J966="","",IF(XLOOKUP(J966,Strike_Review_Queue!$I:$I,Strike_Review_Queue!$J:$J,"")="Approve","Approved",IF(XLOOKUP(J966,Strike_Review_Queue!$I:$I,Strike_Review_Queue!$J:$J,"")="Deny","Counts",H966)))</f>
        <v/>
      </c>
      <c r="L966" s="39" t="str">
        <f t="array" ref="L966">IF(J966="","",XLOOKUP(J966,Strike_Review_Queue!$I:$I,Strike_Review_Queue!$L:$L,""))</f>
        <v/>
      </c>
      <c r="M966" s="39" t="str">
        <f t="array" ref="M966">IF(J966="","",XLOOKUP(J966,Strike_Review_Queue!$I:$I,Strike_Review_Queue!$M:$M,""))</f>
        <v/>
      </c>
    </row>
    <row r="967" ht="15.75" customHeight="1">
      <c r="C967" s="39"/>
      <c r="D967" s="39" t="str">
        <f>IF(OR(B967="",A967=""),"",MAX(0,MIN(3,SUMIFS($C$2:$C$1000,$B$2:$B$1000,B967,$A$2:$A$1000,"&lt;="&amp;A967,$A$2:$A$1000,"&gt;="&amp;IF(Config!$B$1004="Y",A967-Config!$B$1005,DATE(1900,1,1)),$I$2:$I$1000,1)))))</f>
        <v>#ERROR!</v>
      </c>
      <c r="H967" s="39"/>
      <c r="I967" s="39">
        <f t="shared" si="1"/>
        <v>1</v>
      </c>
      <c r="J967" s="39" t="str">
        <f t="shared" si="2"/>
        <v/>
      </c>
      <c r="K967" s="39" t="str">
        <f t="array" ref="K967">IF(J967="","",IF(XLOOKUP(J967,Strike_Review_Queue!$I:$I,Strike_Review_Queue!$J:$J,"")="Approve","Approved",IF(XLOOKUP(J967,Strike_Review_Queue!$I:$I,Strike_Review_Queue!$J:$J,"")="Deny","Counts",H967)))</f>
        <v/>
      </c>
      <c r="L967" s="39" t="str">
        <f t="array" ref="L967">IF(J967="","",XLOOKUP(J967,Strike_Review_Queue!$I:$I,Strike_Review_Queue!$L:$L,""))</f>
        <v/>
      </c>
      <c r="M967" s="39" t="str">
        <f t="array" ref="M967">IF(J967="","",XLOOKUP(J967,Strike_Review_Queue!$I:$I,Strike_Review_Queue!$M:$M,""))</f>
        <v/>
      </c>
    </row>
    <row r="968" ht="15.75" customHeight="1">
      <c r="C968" s="39"/>
      <c r="D968" s="39" t="str">
        <f>IF(OR(B968="",A968=""),"",MAX(0,MIN(3,SUMIFS($C$2:$C$1000,$B$2:$B$1000,B968,$A$2:$A$1000,"&lt;="&amp;A968,$A$2:$A$1000,"&gt;="&amp;IF(Config!$B$1004="Y",A968-Config!$B$1005,DATE(1900,1,1)),$I$2:$I$1000,1)))))</f>
        <v>#ERROR!</v>
      </c>
      <c r="H968" s="39"/>
      <c r="I968" s="39">
        <f t="shared" si="1"/>
        <v>1</v>
      </c>
      <c r="J968" s="39" t="str">
        <f t="shared" si="2"/>
        <v/>
      </c>
      <c r="K968" s="39" t="str">
        <f t="array" ref="K968">IF(J968="","",IF(XLOOKUP(J968,Strike_Review_Queue!$I:$I,Strike_Review_Queue!$J:$J,"")="Approve","Approved",IF(XLOOKUP(J968,Strike_Review_Queue!$I:$I,Strike_Review_Queue!$J:$J,"")="Deny","Counts",H968)))</f>
        <v/>
      </c>
      <c r="L968" s="39" t="str">
        <f t="array" ref="L968">IF(J968="","",XLOOKUP(J968,Strike_Review_Queue!$I:$I,Strike_Review_Queue!$L:$L,""))</f>
        <v/>
      </c>
      <c r="M968" s="39" t="str">
        <f t="array" ref="M968">IF(J968="","",XLOOKUP(J968,Strike_Review_Queue!$I:$I,Strike_Review_Queue!$M:$M,""))</f>
        <v/>
      </c>
    </row>
    <row r="969" ht="15.75" customHeight="1">
      <c r="C969" s="39"/>
      <c r="D969" s="39" t="str">
        <f>IF(OR(B969="",A969=""),"",MAX(0,MIN(3,SUMIFS($C$2:$C$1000,$B$2:$B$1000,B969,$A$2:$A$1000,"&lt;="&amp;A969,$A$2:$A$1000,"&gt;="&amp;IF(Config!$B$1004="Y",A969-Config!$B$1005,DATE(1900,1,1)),$I$2:$I$1000,1)))))</f>
        <v>#ERROR!</v>
      </c>
      <c r="H969" s="39"/>
      <c r="I969" s="39">
        <f t="shared" si="1"/>
        <v>1</v>
      </c>
      <c r="J969" s="39" t="str">
        <f t="shared" si="2"/>
        <v/>
      </c>
      <c r="K969" s="39" t="str">
        <f t="array" ref="K969">IF(J969="","",IF(XLOOKUP(J969,Strike_Review_Queue!$I:$I,Strike_Review_Queue!$J:$J,"")="Approve","Approved",IF(XLOOKUP(J969,Strike_Review_Queue!$I:$I,Strike_Review_Queue!$J:$J,"")="Deny","Counts",H969)))</f>
        <v/>
      </c>
      <c r="L969" s="39" t="str">
        <f t="array" ref="L969">IF(J969="","",XLOOKUP(J969,Strike_Review_Queue!$I:$I,Strike_Review_Queue!$L:$L,""))</f>
        <v/>
      </c>
      <c r="M969" s="39" t="str">
        <f t="array" ref="M969">IF(J969="","",XLOOKUP(J969,Strike_Review_Queue!$I:$I,Strike_Review_Queue!$M:$M,""))</f>
        <v/>
      </c>
    </row>
    <row r="970" ht="15.75" customHeight="1">
      <c r="C970" s="39"/>
      <c r="D970" s="39" t="str">
        <f>IF(OR(B970="",A970=""),"",MAX(0,MIN(3,SUMIFS($C$2:$C$1000,$B$2:$B$1000,B970,$A$2:$A$1000,"&lt;="&amp;A970,$A$2:$A$1000,"&gt;="&amp;IF(Config!$B$1004="Y",A970-Config!$B$1005,DATE(1900,1,1)),$I$2:$I$1000,1)))))</f>
        <v>#ERROR!</v>
      </c>
      <c r="H970" s="39"/>
      <c r="I970" s="39">
        <f t="shared" si="1"/>
        <v>1</v>
      </c>
      <c r="J970" s="39" t="str">
        <f t="shared" si="2"/>
        <v/>
      </c>
      <c r="K970" s="39" t="str">
        <f t="array" ref="K970">IF(J970="","",IF(XLOOKUP(J970,Strike_Review_Queue!$I:$I,Strike_Review_Queue!$J:$J,"")="Approve","Approved",IF(XLOOKUP(J970,Strike_Review_Queue!$I:$I,Strike_Review_Queue!$J:$J,"")="Deny","Counts",H970)))</f>
        <v/>
      </c>
      <c r="L970" s="39" t="str">
        <f t="array" ref="L970">IF(J970="","",XLOOKUP(J970,Strike_Review_Queue!$I:$I,Strike_Review_Queue!$L:$L,""))</f>
        <v/>
      </c>
      <c r="M970" s="39" t="str">
        <f t="array" ref="M970">IF(J970="","",XLOOKUP(J970,Strike_Review_Queue!$I:$I,Strike_Review_Queue!$M:$M,""))</f>
        <v/>
      </c>
    </row>
    <row r="971" ht="15.75" customHeight="1">
      <c r="C971" s="39"/>
      <c r="D971" s="39" t="str">
        <f>IF(OR(B971="",A971=""),"",MAX(0,MIN(3,SUMIFS($C$2:$C$1000,$B$2:$B$1000,B971,$A$2:$A$1000,"&lt;="&amp;A971,$A$2:$A$1000,"&gt;="&amp;IF(Config!$B$1004="Y",A971-Config!$B$1005,DATE(1900,1,1)),$I$2:$I$1000,1)))))</f>
        <v>#ERROR!</v>
      </c>
      <c r="H971" s="39"/>
      <c r="I971" s="39">
        <f t="shared" si="1"/>
        <v>1</v>
      </c>
      <c r="J971" s="39" t="str">
        <f t="shared" si="2"/>
        <v/>
      </c>
      <c r="K971" s="39" t="str">
        <f t="array" ref="K971">IF(J971="","",IF(XLOOKUP(J971,Strike_Review_Queue!$I:$I,Strike_Review_Queue!$J:$J,"")="Approve","Approved",IF(XLOOKUP(J971,Strike_Review_Queue!$I:$I,Strike_Review_Queue!$J:$J,"")="Deny","Counts",H971)))</f>
        <v/>
      </c>
      <c r="L971" s="39" t="str">
        <f t="array" ref="L971">IF(J971="","",XLOOKUP(J971,Strike_Review_Queue!$I:$I,Strike_Review_Queue!$L:$L,""))</f>
        <v/>
      </c>
      <c r="M971" s="39" t="str">
        <f t="array" ref="M971">IF(J971="","",XLOOKUP(J971,Strike_Review_Queue!$I:$I,Strike_Review_Queue!$M:$M,""))</f>
        <v/>
      </c>
    </row>
    <row r="972" ht="15.75" customHeight="1">
      <c r="C972" s="39"/>
      <c r="D972" s="39" t="str">
        <f>IF(OR(B972="",A972=""),"",MAX(0,MIN(3,SUMIFS($C$2:$C$1000,$B$2:$B$1000,B972,$A$2:$A$1000,"&lt;="&amp;A972,$A$2:$A$1000,"&gt;="&amp;IF(Config!$B$1004="Y",A972-Config!$B$1005,DATE(1900,1,1)),$I$2:$I$1000,1)))))</f>
        <v>#ERROR!</v>
      </c>
      <c r="H972" s="39"/>
      <c r="I972" s="39">
        <f t="shared" si="1"/>
        <v>1</v>
      </c>
      <c r="J972" s="39" t="str">
        <f t="shared" si="2"/>
        <v/>
      </c>
      <c r="K972" s="39" t="str">
        <f t="array" ref="K972">IF(J972="","",IF(XLOOKUP(J972,Strike_Review_Queue!$I:$I,Strike_Review_Queue!$J:$J,"")="Approve","Approved",IF(XLOOKUP(J972,Strike_Review_Queue!$I:$I,Strike_Review_Queue!$J:$J,"")="Deny","Counts",H972)))</f>
        <v/>
      </c>
      <c r="L972" s="39" t="str">
        <f t="array" ref="L972">IF(J972="","",XLOOKUP(J972,Strike_Review_Queue!$I:$I,Strike_Review_Queue!$L:$L,""))</f>
        <v/>
      </c>
      <c r="M972" s="39" t="str">
        <f t="array" ref="M972">IF(J972="","",XLOOKUP(J972,Strike_Review_Queue!$I:$I,Strike_Review_Queue!$M:$M,""))</f>
        <v/>
      </c>
    </row>
    <row r="973" ht="15.75" customHeight="1">
      <c r="C973" s="39"/>
      <c r="D973" s="39" t="str">
        <f>IF(OR(B973="",A973=""),"",MAX(0,MIN(3,SUMIFS($C$2:$C$1000,$B$2:$B$1000,B973,$A$2:$A$1000,"&lt;="&amp;A973,$A$2:$A$1000,"&gt;="&amp;IF(Config!$B$1004="Y",A973-Config!$B$1005,DATE(1900,1,1)),$I$2:$I$1000,1)))))</f>
        <v>#ERROR!</v>
      </c>
      <c r="H973" s="39"/>
      <c r="I973" s="39">
        <f t="shared" si="1"/>
        <v>1</v>
      </c>
      <c r="J973" s="39" t="str">
        <f t="shared" si="2"/>
        <v/>
      </c>
      <c r="K973" s="39" t="str">
        <f t="array" ref="K973">IF(J973="","",IF(XLOOKUP(J973,Strike_Review_Queue!$I:$I,Strike_Review_Queue!$J:$J,"")="Approve","Approved",IF(XLOOKUP(J973,Strike_Review_Queue!$I:$I,Strike_Review_Queue!$J:$J,"")="Deny","Counts",H973)))</f>
        <v/>
      </c>
      <c r="L973" s="39" t="str">
        <f t="array" ref="L973">IF(J973="","",XLOOKUP(J973,Strike_Review_Queue!$I:$I,Strike_Review_Queue!$L:$L,""))</f>
        <v/>
      </c>
      <c r="M973" s="39" t="str">
        <f t="array" ref="M973">IF(J973="","",XLOOKUP(J973,Strike_Review_Queue!$I:$I,Strike_Review_Queue!$M:$M,""))</f>
        <v/>
      </c>
    </row>
    <row r="974" ht="15.75" customHeight="1">
      <c r="C974" s="39"/>
      <c r="D974" s="39" t="str">
        <f>IF(OR(B974="",A974=""),"",MAX(0,MIN(3,SUMIFS($C$2:$C$1000,$B$2:$B$1000,B974,$A$2:$A$1000,"&lt;="&amp;A974,$A$2:$A$1000,"&gt;="&amp;IF(Config!$B$1004="Y",A974-Config!$B$1005,DATE(1900,1,1)),$I$2:$I$1000,1)))))</f>
        <v>#ERROR!</v>
      </c>
      <c r="H974" s="39"/>
      <c r="I974" s="39">
        <f t="shared" si="1"/>
        <v>1</v>
      </c>
      <c r="J974" s="39" t="str">
        <f t="shared" si="2"/>
        <v/>
      </c>
      <c r="K974" s="39" t="str">
        <f t="array" ref="K974">IF(J974="","",IF(XLOOKUP(J974,Strike_Review_Queue!$I:$I,Strike_Review_Queue!$J:$J,"")="Approve","Approved",IF(XLOOKUP(J974,Strike_Review_Queue!$I:$I,Strike_Review_Queue!$J:$J,"")="Deny","Counts",H974)))</f>
        <v/>
      </c>
      <c r="L974" s="39" t="str">
        <f t="array" ref="L974">IF(J974="","",XLOOKUP(J974,Strike_Review_Queue!$I:$I,Strike_Review_Queue!$L:$L,""))</f>
        <v/>
      </c>
      <c r="M974" s="39" t="str">
        <f t="array" ref="M974">IF(J974="","",XLOOKUP(J974,Strike_Review_Queue!$I:$I,Strike_Review_Queue!$M:$M,""))</f>
        <v/>
      </c>
    </row>
    <row r="975" ht="15.75" customHeight="1">
      <c r="C975" s="39"/>
      <c r="D975" s="39" t="str">
        <f>IF(OR(B975="",A975=""),"",MAX(0,MIN(3,SUMIFS($C$2:$C$1000,$B$2:$B$1000,B975,$A$2:$A$1000,"&lt;="&amp;A975,$A$2:$A$1000,"&gt;="&amp;IF(Config!$B$1004="Y",A975-Config!$B$1005,DATE(1900,1,1)),$I$2:$I$1000,1)))))</f>
        <v>#ERROR!</v>
      </c>
      <c r="H975" s="39"/>
      <c r="I975" s="39">
        <f t="shared" si="1"/>
        <v>1</v>
      </c>
      <c r="J975" s="39" t="str">
        <f t="shared" si="2"/>
        <v/>
      </c>
      <c r="K975" s="39" t="str">
        <f t="array" ref="K975">IF(J975="","",IF(XLOOKUP(J975,Strike_Review_Queue!$I:$I,Strike_Review_Queue!$J:$J,"")="Approve","Approved",IF(XLOOKUP(J975,Strike_Review_Queue!$I:$I,Strike_Review_Queue!$J:$J,"")="Deny","Counts",H975)))</f>
        <v/>
      </c>
      <c r="L975" s="39" t="str">
        <f t="array" ref="L975">IF(J975="","",XLOOKUP(J975,Strike_Review_Queue!$I:$I,Strike_Review_Queue!$L:$L,""))</f>
        <v/>
      </c>
      <c r="M975" s="39" t="str">
        <f t="array" ref="M975">IF(J975="","",XLOOKUP(J975,Strike_Review_Queue!$I:$I,Strike_Review_Queue!$M:$M,""))</f>
        <v/>
      </c>
    </row>
    <row r="976" ht="15.75" customHeight="1">
      <c r="C976" s="39"/>
      <c r="D976" s="39" t="str">
        <f>IF(OR(B976="",A976=""),"",MAX(0,MIN(3,SUMIFS($C$2:$C$1000,$B$2:$B$1000,B976,$A$2:$A$1000,"&lt;="&amp;A976,$A$2:$A$1000,"&gt;="&amp;IF(Config!$B$1004="Y",A976-Config!$B$1005,DATE(1900,1,1)),$I$2:$I$1000,1)))))</f>
        <v>#ERROR!</v>
      </c>
      <c r="H976" s="39"/>
      <c r="I976" s="39">
        <f t="shared" si="1"/>
        <v>1</v>
      </c>
      <c r="J976" s="39" t="str">
        <f t="shared" si="2"/>
        <v/>
      </c>
      <c r="K976" s="39" t="str">
        <f t="array" ref="K976">IF(J976="","",IF(XLOOKUP(J976,Strike_Review_Queue!$I:$I,Strike_Review_Queue!$J:$J,"")="Approve","Approved",IF(XLOOKUP(J976,Strike_Review_Queue!$I:$I,Strike_Review_Queue!$J:$J,"")="Deny","Counts",H976)))</f>
        <v/>
      </c>
      <c r="L976" s="39" t="str">
        <f t="array" ref="L976">IF(J976="","",XLOOKUP(J976,Strike_Review_Queue!$I:$I,Strike_Review_Queue!$L:$L,""))</f>
        <v/>
      </c>
      <c r="M976" s="39" t="str">
        <f t="array" ref="M976">IF(J976="","",XLOOKUP(J976,Strike_Review_Queue!$I:$I,Strike_Review_Queue!$M:$M,""))</f>
        <v/>
      </c>
    </row>
    <row r="977" ht="15.75" customHeight="1">
      <c r="C977" s="39"/>
      <c r="D977" s="39" t="str">
        <f>IF(OR(B977="",A977=""),"",MAX(0,MIN(3,SUMIFS($C$2:$C$1000,$B$2:$B$1000,B977,$A$2:$A$1000,"&lt;="&amp;A977,$A$2:$A$1000,"&gt;="&amp;IF(Config!$B$1004="Y",A977-Config!$B$1005,DATE(1900,1,1)),$I$2:$I$1000,1)))))</f>
        <v>#ERROR!</v>
      </c>
      <c r="H977" s="39"/>
      <c r="I977" s="39">
        <f t="shared" si="1"/>
        <v>1</v>
      </c>
      <c r="J977" s="39" t="str">
        <f t="shared" si="2"/>
        <v/>
      </c>
      <c r="K977" s="39" t="str">
        <f t="array" ref="K977">IF(J977="","",IF(XLOOKUP(J977,Strike_Review_Queue!$I:$I,Strike_Review_Queue!$J:$J,"")="Approve","Approved",IF(XLOOKUP(J977,Strike_Review_Queue!$I:$I,Strike_Review_Queue!$J:$J,"")="Deny","Counts",H977)))</f>
        <v/>
      </c>
      <c r="L977" s="39" t="str">
        <f t="array" ref="L977">IF(J977="","",XLOOKUP(J977,Strike_Review_Queue!$I:$I,Strike_Review_Queue!$L:$L,""))</f>
        <v/>
      </c>
      <c r="M977" s="39" t="str">
        <f t="array" ref="M977">IF(J977="","",XLOOKUP(J977,Strike_Review_Queue!$I:$I,Strike_Review_Queue!$M:$M,""))</f>
        <v/>
      </c>
    </row>
    <row r="978" ht="15.75" customHeight="1">
      <c r="C978" s="39"/>
      <c r="D978" s="39" t="str">
        <f>IF(OR(B978="",A978=""),"",MAX(0,MIN(3,SUMIFS($C$2:$C$1000,$B$2:$B$1000,B978,$A$2:$A$1000,"&lt;="&amp;A978,$A$2:$A$1000,"&gt;="&amp;IF(Config!$B$1004="Y",A978-Config!$B$1005,DATE(1900,1,1)),$I$2:$I$1000,1)))))</f>
        <v>#ERROR!</v>
      </c>
      <c r="H978" s="39"/>
      <c r="I978" s="39">
        <f t="shared" si="1"/>
        <v>1</v>
      </c>
      <c r="J978" s="39" t="str">
        <f t="shared" si="2"/>
        <v/>
      </c>
      <c r="K978" s="39" t="str">
        <f t="array" ref="K978">IF(J978="","",IF(XLOOKUP(J978,Strike_Review_Queue!$I:$I,Strike_Review_Queue!$J:$J,"")="Approve","Approved",IF(XLOOKUP(J978,Strike_Review_Queue!$I:$I,Strike_Review_Queue!$J:$J,"")="Deny","Counts",H978)))</f>
        <v/>
      </c>
      <c r="L978" s="39" t="str">
        <f t="array" ref="L978">IF(J978="","",XLOOKUP(J978,Strike_Review_Queue!$I:$I,Strike_Review_Queue!$L:$L,""))</f>
        <v/>
      </c>
      <c r="M978" s="39" t="str">
        <f t="array" ref="M978">IF(J978="","",XLOOKUP(J978,Strike_Review_Queue!$I:$I,Strike_Review_Queue!$M:$M,""))</f>
        <v/>
      </c>
    </row>
    <row r="979" ht="15.75" customHeight="1">
      <c r="C979" s="39"/>
      <c r="D979" s="39" t="str">
        <f>IF(OR(B979="",A979=""),"",MAX(0,MIN(3,SUMIFS($C$2:$C$1000,$B$2:$B$1000,B979,$A$2:$A$1000,"&lt;="&amp;A979,$A$2:$A$1000,"&gt;="&amp;IF(Config!$B$1004="Y",A979-Config!$B$1005,DATE(1900,1,1)),$I$2:$I$1000,1)))))</f>
        <v>#ERROR!</v>
      </c>
      <c r="H979" s="39"/>
      <c r="I979" s="39">
        <f t="shared" si="1"/>
        <v>1</v>
      </c>
      <c r="J979" s="39" t="str">
        <f t="shared" si="2"/>
        <v/>
      </c>
      <c r="K979" s="39" t="str">
        <f t="array" ref="K979">IF(J979="","",IF(XLOOKUP(J979,Strike_Review_Queue!$I:$I,Strike_Review_Queue!$J:$J,"")="Approve","Approved",IF(XLOOKUP(J979,Strike_Review_Queue!$I:$I,Strike_Review_Queue!$J:$J,"")="Deny","Counts",H979)))</f>
        <v/>
      </c>
      <c r="L979" s="39" t="str">
        <f t="array" ref="L979">IF(J979="","",XLOOKUP(J979,Strike_Review_Queue!$I:$I,Strike_Review_Queue!$L:$L,""))</f>
        <v/>
      </c>
      <c r="M979" s="39" t="str">
        <f t="array" ref="M979">IF(J979="","",XLOOKUP(J979,Strike_Review_Queue!$I:$I,Strike_Review_Queue!$M:$M,""))</f>
        <v/>
      </c>
    </row>
    <row r="980" ht="15.75" customHeight="1">
      <c r="C980" s="39"/>
      <c r="D980" s="39" t="str">
        <f>IF(OR(B980="",A980=""),"",MAX(0,MIN(3,SUMIFS($C$2:$C$1000,$B$2:$B$1000,B980,$A$2:$A$1000,"&lt;="&amp;A980,$A$2:$A$1000,"&gt;="&amp;IF(Config!$B$1004="Y",A980-Config!$B$1005,DATE(1900,1,1)),$I$2:$I$1000,1)))))</f>
        <v>#ERROR!</v>
      </c>
      <c r="H980" s="39"/>
      <c r="I980" s="39">
        <f t="shared" si="1"/>
        <v>1</v>
      </c>
      <c r="J980" s="39" t="str">
        <f t="shared" si="2"/>
        <v/>
      </c>
      <c r="K980" s="39" t="str">
        <f t="array" ref="K980">IF(J980="","",IF(XLOOKUP(J980,Strike_Review_Queue!$I:$I,Strike_Review_Queue!$J:$J,"")="Approve","Approved",IF(XLOOKUP(J980,Strike_Review_Queue!$I:$I,Strike_Review_Queue!$J:$J,"")="Deny","Counts",H980)))</f>
        <v/>
      </c>
      <c r="L980" s="39" t="str">
        <f t="array" ref="L980">IF(J980="","",XLOOKUP(J980,Strike_Review_Queue!$I:$I,Strike_Review_Queue!$L:$L,""))</f>
        <v/>
      </c>
      <c r="M980" s="39" t="str">
        <f t="array" ref="M980">IF(J980="","",XLOOKUP(J980,Strike_Review_Queue!$I:$I,Strike_Review_Queue!$M:$M,""))</f>
        <v/>
      </c>
    </row>
    <row r="981" ht="15.75" customHeight="1">
      <c r="C981" s="39"/>
      <c r="D981" s="39" t="str">
        <f>IF(OR(B981="",A981=""),"",MAX(0,MIN(3,SUMIFS($C$2:$C$1000,$B$2:$B$1000,B981,$A$2:$A$1000,"&lt;="&amp;A981,$A$2:$A$1000,"&gt;="&amp;IF(Config!$B$1004="Y",A981-Config!$B$1005,DATE(1900,1,1)),$I$2:$I$1000,1)))))</f>
        <v>#ERROR!</v>
      </c>
      <c r="H981" s="39"/>
      <c r="I981" s="39">
        <f t="shared" si="1"/>
        <v>1</v>
      </c>
      <c r="J981" s="39" t="str">
        <f t="shared" si="2"/>
        <v/>
      </c>
      <c r="K981" s="39" t="str">
        <f t="array" ref="K981">IF(J981="","",IF(XLOOKUP(J981,Strike_Review_Queue!$I:$I,Strike_Review_Queue!$J:$J,"")="Approve","Approved",IF(XLOOKUP(J981,Strike_Review_Queue!$I:$I,Strike_Review_Queue!$J:$J,"")="Deny","Counts",H981)))</f>
        <v/>
      </c>
      <c r="L981" s="39" t="str">
        <f t="array" ref="L981">IF(J981="","",XLOOKUP(J981,Strike_Review_Queue!$I:$I,Strike_Review_Queue!$L:$L,""))</f>
        <v/>
      </c>
      <c r="M981" s="39" t="str">
        <f t="array" ref="M981">IF(J981="","",XLOOKUP(J981,Strike_Review_Queue!$I:$I,Strike_Review_Queue!$M:$M,""))</f>
        <v/>
      </c>
    </row>
    <row r="982" ht="15.75" customHeight="1">
      <c r="C982" s="39"/>
      <c r="D982" s="39" t="str">
        <f>IF(OR(B982="",A982=""),"",MAX(0,MIN(3,SUMIFS($C$2:$C$1000,$B$2:$B$1000,B982,$A$2:$A$1000,"&lt;="&amp;A982,$A$2:$A$1000,"&gt;="&amp;IF(Config!$B$1004="Y",A982-Config!$B$1005,DATE(1900,1,1)),$I$2:$I$1000,1)))))</f>
        <v>#ERROR!</v>
      </c>
      <c r="H982" s="39"/>
      <c r="I982" s="39">
        <f t="shared" si="1"/>
        <v>1</v>
      </c>
      <c r="J982" s="39" t="str">
        <f t="shared" si="2"/>
        <v/>
      </c>
      <c r="K982" s="39" t="str">
        <f t="array" ref="K982">IF(J982="","",IF(XLOOKUP(J982,Strike_Review_Queue!$I:$I,Strike_Review_Queue!$J:$J,"")="Approve","Approved",IF(XLOOKUP(J982,Strike_Review_Queue!$I:$I,Strike_Review_Queue!$J:$J,"")="Deny","Counts",H982)))</f>
        <v/>
      </c>
      <c r="L982" s="39" t="str">
        <f t="array" ref="L982">IF(J982="","",XLOOKUP(J982,Strike_Review_Queue!$I:$I,Strike_Review_Queue!$L:$L,""))</f>
        <v/>
      </c>
      <c r="M982" s="39" t="str">
        <f t="array" ref="M982">IF(J982="","",XLOOKUP(J982,Strike_Review_Queue!$I:$I,Strike_Review_Queue!$M:$M,""))</f>
        <v/>
      </c>
    </row>
    <row r="983" ht="15.75" customHeight="1">
      <c r="C983" s="39"/>
      <c r="D983" s="39" t="str">
        <f>IF(OR(B983="",A983=""),"",MAX(0,MIN(3,SUMIFS($C$2:$C$1000,$B$2:$B$1000,B983,$A$2:$A$1000,"&lt;="&amp;A983,$A$2:$A$1000,"&gt;="&amp;IF(Config!$B$1004="Y",A983-Config!$B$1005,DATE(1900,1,1)),$I$2:$I$1000,1)))))</f>
        <v>#ERROR!</v>
      </c>
      <c r="H983" s="39"/>
      <c r="I983" s="39">
        <f t="shared" si="1"/>
        <v>1</v>
      </c>
      <c r="J983" s="39" t="str">
        <f t="shared" si="2"/>
        <v/>
      </c>
      <c r="K983" s="39" t="str">
        <f t="array" ref="K983">IF(J983="","",IF(XLOOKUP(J983,Strike_Review_Queue!$I:$I,Strike_Review_Queue!$J:$J,"")="Approve","Approved",IF(XLOOKUP(J983,Strike_Review_Queue!$I:$I,Strike_Review_Queue!$J:$J,"")="Deny","Counts",H983)))</f>
        <v/>
      </c>
      <c r="L983" s="39" t="str">
        <f t="array" ref="L983">IF(J983="","",XLOOKUP(J983,Strike_Review_Queue!$I:$I,Strike_Review_Queue!$L:$L,""))</f>
        <v/>
      </c>
      <c r="M983" s="39" t="str">
        <f t="array" ref="M983">IF(J983="","",XLOOKUP(J983,Strike_Review_Queue!$I:$I,Strike_Review_Queue!$M:$M,""))</f>
        <v/>
      </c>
    </row>
    <row r="984" ht="15.75" customHeight="1">
      <c r="C984" s="39"/>
      <c r="D984" s="39" t="str">
        <f>IF(OR(B984="",A984=""),"",MAX(0,MIN(3,SUMIFS($C$2:$C$1000,$B$2:$B$1000,B984,$A$2:$A$1000,"&lt;="&amp;A984,$A$2:$A$1000,"&gt;="&amp;IF(Config!$B$1004="Y",A984-Config!$B$1005,DATE(1900,1,1)),$I$2:$I$1000,1)))))</f>
        <v>#ERROR!</v>
      </c>
      <c r="H984" s="39"/>
      <c r="I984" s="39">
        <f t="shared" si="1"/>
        <v>1</v>
      </c>
      <c r="J984" s="39" t="str">
        <f t="shared" si="2"/>
        <v/>
      </c>
      <c r="K984" s="39" t="str">
        <f t="array" ref="K984">IF(J984="","",IF(XLOOKUP(J984,Strike_Review_Queue!$I:$I,Strike_Review_Queue!$J:$J,"")="Approve","Approved",IF(XLOOKUP(J984,Strike_Review_Queue!$I:$I,Strike_Review_Queue!$J:$J,"")="Deny","Counts",H984)))</f>
        <v/>
      </c>
      <c r="L984" s="39" t="str">
        <f t="array" ref="L984">IF(J984="","",XLOOKUP(J984,Strike_Review_Queue!$I:$I,Strike_Review_Queue!$L:$L,""))</f>
        <v/>
      </c>
      <c r="M984" s="39" t="str">
        <f t="array" ref="M984">IF(J984="","",XLOOKUP(J984,Strike_Review_Queue!$I:$I,Strike_Review_Queue!$M:$M,""))</f>
        <v/>
      </c>
    </row>
    <row r="985" ht="15.75" customHeight="1">
      <c r="C985" s="39"/>
      <c r="D985" s="39" t="str">
        <f>IF(OR(B985="",A985=""),"",MAX(0,MIN(3,SUMIFS($C$2:$C$1000,$B$2:$B$1000,B985,$A$2:$A$1000,"&lt;="&amp;A985,$A$2:$A$1000,"&gt;="&amp;IF(Config!$B$1004="Y",A985-Config!$B$1005,DATE(1900,1,1)),$I$2:$I$1000,1)))))</f>
        <v>#ERROR!</v>
      </c>
      <c r="H985" s="39"/>
      <c r="I985" s="39">
        <f t="shared" si="1"/>
        <v>1</v>
      </c>
      <c r="J985" s="39" t="str">
        <f t="shared" si="2"/>
        <v/>
      </c>
      <c r="K985" s="39" t="str">
        <f t="array" ref="K985">IF(J985="","",IF(XLOOKUP(J985,Strike_Review_Queue!$I:$I,Strike_Review_Queue!$J:$J,"")="Approve","Approved",IF(XLOOKUP(J985,Strike_Review_Queue!$I:$I,Strike_Review_Queue!$J:$J,"")="Deny","Counts",H985)))</f>
        <v/>
      </c>
      <c r="L985" s="39" t="str">
        <f t="array" ref="L985">IF(J985="","",XLOOKUP(J985,Strike_Review_Queue!$I:$I,Strike_Review_Queue!$L:$L,""))</f>
        <v/>
      </c>
      <c r="M985" s="39" t="str">
        <f t="array" ref="M985">IF(J985="","",XLOOKUP(J985,Strike_Review_Queue!$I:$I,Strike_Review_Queue!$M:$M,""))</f>
        <v/>
      </c>
    </row>
    <row r="986" ht="15.75" customHeight="1">
      <c r="C986" s="39"/>
      <c r="D986" s="39" t="str">
        <f>IF(OR(B986="",A986=""),"",MAX(0,MIN(3,SUMIFS($C$2:$C$1000,$B$2:$B$1000,B986,$A$2:$A$1000,"&lt;="&amp;A986,$A$2:$A$1000,"&gt;="&amp;IF(Config!$B$1004="Y",A986-Config!$B$1005,DATE(1900,1,1)),$I$2:$I$1000,1)))))</f>
        <v>#ERROR!</v>
      </c>
      <c r="H986" s="39"/>
      <c r="I986" s="39">
        <f t="shared" si="1"/>
        <v>1</v>
      </c>
      <c r="J986" s="39" t="str">
        <f t="shared" si="2"/>
        <v/>
      </c>
      <c r="K986" s="39" t="str">
        <f t="array" ref="K986">IF(J986="","",IF(XLOOKUP(J986,Strike_Review_Queue!$I:$I,Strike_Review_Queue!$J:$J,"")="Approve","Approved",IF(XLOOKUP(J986,Strike_Review_Queue!$I:$I,Strike_Review_Queue!$J:$J,"")="Deny","Counts",H986)))</f>
        <v/>
      </c>
      <c r="L986" s="39" t="str">
        <f t="array" ref="L986">IF(J986="","",XLOOKUP(J986,Strike_Review_Queue!$I:$I,Strike_Review_Queue!$L:$L,""))</f>
        <v/>
      </c>
      <c r="M986" s="39" t="str">
        <f t="array" ref="M986">IF(J986="","",XLOOKUP(J986,Strike_Review_Queue!$I:$I,Strike_Review_Queue!$M:$M,""))</f>
        <v/>
      </c>
    </row>
    <row r="987" ht="15.75" customHeight="1">
      <c r="C987" s="39"/>
      <c r="D987" s="39" t="str">
        <f>IF(OR(B987="",A987=""),"",MAX(0,MIN(3,SUMIFS($C$2:$C$1000,$B$2:$B$1000,B987,$A$2:$A$1000,"&lt;="&amp;A987,$A$2:$A$1000,"&gt;="&amp;IF(Config!$B$1004="Y",A987-Config!$B$1005,DATE(1900,1,1)),$I$2:$I$1000,1)))))</f>
        <v>#ERROR!</v>
      </c>
      <c r="H987" s="39"/>
      <c r="I987" s="39">
        <f t="shared" si="1"/>
        <v>1</v>
      </c>
      <c r="J987" s="39" t="str">
        <f t="shared" si="2"/>
        <v/>
      </c>
      <c r="K987" s="39" t="str">
        <f t="array" ref="K987">IF(J987="","",IF(XLOOKUP(J987,Strike_Review_Queue!$I:$I,Strike_Review_Queue!$J:$J,"")="Approve","Approved",IF(XLOOKUP(J987,Strike_Review_Queue!$I:$I,Strike_Review_Queue!$J:$J,"")="Deny","Counts",H987)))</f>
        <v/>
      </c>
      <c r="L987" s="39" t="str">
        <f t="array" ref="L987">IF(J987="","",XLOOKUP(J987,Strike_Review_Queue!$I:$I,Strike_Review_Queue!$L:$L,""))</f>
        <v/>
      </c>
      <c r="M987" s="39" t="str">
        <f t="array" ref="M987">IF(J987="","",XLOOKUP(J987,Strike_Review_Queue!$I:$I,Strike_Review_Queue!$M:$M,""))</f>
        <v/>
      </c>
    </row>
    <row r="988" ht="15.75" customHeight="1">
      <c r="C988" s="39"/>
      <c r="D988" s="39" t="str">
        <f>IF(OR(B988="",A988=""),"",MAX(0,MIN(3,SUMIFS($C$2:$C$1000,$B$2:$B$1000,B988,$A$2:$A$1000,"&lt;="&amp;A988,$A$2:$A$1000,"&gt;="&amp;IF(Config!$B$1004="Y",A988-Config!$B$1005,DATE(1900,1,1)),$I$2:$I$1000,1)))))</f>
        <v>#ERROR!</v>
      </c>
      <c r="H988" s="39"/>
      <c r="I988" s="39">
        <f t="shared" si="1"/>
        <v>1</v>
      </c>
      <c r="J988" s="39" t="str">
        <f t="shared" si="2"/>
        <v/>
      </c>
      <c r="K988" s="39" t="str">
        <f t="array" ref="K988">IF(J988="","",IF(XLOOKUP(J988,Strike_Review_Queue!$I:$I,Strike_Review_Queue!$J:$J,"")="Approve","Approved",IF(XLOOKUP(J988,Strike_Review_Queue!$I:$I,Strike_Review_Queue!$J:$J,"")="Deny","Counts",H988)))</f>
        <v/>
      </c>
      <c r="L988" s="39" t="str">
        <f t="array" ref="L988">IF(J988="","",XLOOKUP(J988,Strike_Review_Queue!$I:$I,Strike_Review_Queue!$L:$L,""))</f>
        <v/>
      </c>
      <c r="M988" s="39" t="str">
        <f t="array" ref="M988">IF(J988="","",XLOOKUP(J988,Strike_Review_Queue!$I:$I,Strike_Review_Queue!$M:$M,""))</f>
        <v/>
      </c>
    </row>
    <row r="989" ht="15.75" customHeight="1">
      <c r="C989" s="39"/>
      <c r="D989" s="39" t="str">
        <f>IF(OR(B989="",A989=""),"",MAX(0,MIN(3,SUMIFS($C$2:$C$1000,$B$2:$B$1000,B989,$A$2:$A$1000,"&lt;="&amp;A989,$A$2:$A$1000,"&gt;="&amp;IF(Config!$B$1004="Y",A989-Config!$B$1005,DATE(1900,1,1)),$I$2:$I$1000,1)))))</f>
        <v>#ERROR!</v>
      </c>
      <c r="H989" s="39"/>
      <c r="I989" s="39">
        <f t="shared" si="1"/>
        <v>1</v>
      </c>
      <c r="J989" s="39" t="str">
        <f t="shared" si="2"/>
        <v/>
      </c>
      <c r="K989" s="39" t="str">
        <f t="array" ref="K989">IF(J989="","",IF(XLOOKUP(J989,Strike_Review_Queue!$I:$I,Strike_Review_Queue!$J:$J,"")="Approve","Approved",IF(XLOOKUP(J989,Strike_Review_Queue!$I:$I,Strike_Review_Queue!$J:$J,"")="Deny","Counts",H989)))</f>
        <v/>
      </c>
      <c r="L989" s="39" t="str">
        <f t="array" ref="L989">IF(J989="","",XLOOKUP(J989,Strike_Review_Queue!$I:$I,Strike_Review_Queue!$L:$L,""))</f>
        <v/>
      </c>
      <c r="M989" s="39" t="str">
        <f t="array" ref="M989">IF(J989="","",XLOOKUP(J989,Strike_Review_Queue!$I:$I,Strike_Review_Queue!$M:$M,""))</f>
        <v/>
      </c>
    </row>
    <row r="990" ht="15.75" customHeight="1">
      <c r="C990" s="39"/>
      <c r="D990" s="39" t="str">
        <f>IF(OR(B990="",A990=""),"",MAX(0,MIN(3,SUMIFS($C$2:$C$1000,$B$2:$B$1000,B990,$A$2:$A$1000,"&lt;="&amp;A990,$A$2:$A$1000,"&gt;="&amp;IF(Config!$B$1004="Y",A990-Config!$B$1005,DATE(1900,1,1)),$I$2:$I$1000,1)))))</f>
        <v>#ERROR!</v>
      </c>
      <c r="H990" s="39"/>
      <c r="I990" s="39">
        <f t="shared" si="1"/>
        <v>1</v>
      </c>
      <c r="J990" s="39" t="str">
        <f t="shared" si="2"/>
        <v/>
      </c>
      <c r="K990" s="39" t="str">
        <f t="array" ref="K990">IF(J990="","",IF(XLOOKUP(J990,Strike_Review_Queue!$I:$I,Strike_Review_Queue!$J:$J,"")="Approve","Approved",IF(XLOOKUP(J990,Strike_Review_Queue!$I:$I,Strike_Review_Queue!$J:$J,"")="Deny","Counts",H990)))</f>
        <v/>
      </c>
      <c r="L990" s="39" t="str">
        <f t="array" ref="L990">IF(J990="","",XLOOKUP(J990,Strike_Review_Queue!$I:$I,Strike_Review_Queue!$L:$L,""))</f>
        <v/>
      </c>
      <c r="M990" s="39" t="str">
        <f t="array" ref="M990">IF(J990="","",XLOOKUP(J990,Strike_Review_Queue!$I:$I,Strike_Review_Queue!$M:$M,""))</f>
        <v/>
      </c>
    </row>
    <row r="991" ht="15.75" customHeight="1">
      <c r="C991" s="39"/>
      <c r="D991" s="39" t="str">
        <f>IF(OR(B991="",A991=""),"",MAX(0,MIN(3,SUMIFS($C$2:$C$1000,$B$2:$B$1000,B991,$A$2:$A$1000,"&lt;="&amp;A991,$A$2:$A$1000,"&gt;="&amp;IF(Config!$B$1004="Y",A991-Config!$B$1005,DATE(1900,1,1)),$I$2:$I$1000,1)))))</f>
        <v>#ERROR!</v>
      </c>
      <c r="H991" s="39"/>
      <c r="I991" s="39">
        <f t="shared" si="1"/>
        <v>1</v>
      </c>
      <c r="J991" s="39" t="str">
        <f t="shared" si="2"/>
        <v/>
      </c>
      <c r="K991" s="39" t="str">
        <f t="array" ref="K991">IF(J991="","",IF(XLOOKUP(J991,Strike_Review_Queue!$I:$I,Strike_Review_Queue!$J:$J,"")="Approve","Approved",IF(XLOOKUP(J991,Strike_Review_Queue!$I:$I,Strike_Review_Queue!$J:$J,"")="Deny","Counts",H991)))</f>
        <v/>
      </c>
      <c r="L991" s="39" t="str">
        <f t="array" ref="L991">IF(J991="","",XLOOKUP(J991,Strike_Review_Queue!$I:$I,Strike_Review_Queue!$L:$L,""))</f>
        <v/>
      </c>
      <c r="M991" s="39" t="str">
        <f t="array" ref="M991">IF(J991="","",XLOOKUP(J991,Strike_Review_Queue!$I:$I,Strike_Review_Queue!$M:$M,""))</f>
        <v/>
      </c>
    </row>
    <row r="992" ht="15.75" customHeight="1">
      <c r="C992" s="39"/>
      <c r="D992" s="39" t="str">
        <f>IF(OR(B992="",A992=""),"",MAX(0,MIN(3,SUMIFS($C$2:$C$1000,$B$2:$B$1000,B992,$A$2:$A$1000,"&lt;="&amp;A992,$A$2:$A$1000,"&gt;="&amp;IF(Config!$B$1004="Y",A992-Config!$B$1005,DATE(1900,1,1)),$I$2:$I$1000,1)))))</f>
        <v>#ERROR!</v>
      </c>
      <c r="H992" s="39"/>
      <c r="I992" s="39">
        <f t="shared" si="1"/>
        <v>1</v>
      </c>
      <c r="J992" s="39" t="str">
        <f t="shared" si="2"/>
        <v/>
      </c>
      <c r="K992" s="39" t="str">
        <f t="array" ref="K992">IF(J992="","",IF(XLOOKUP(J992,Strike_Review_Queue!$I:$I,Strike_Review_Queue!$J:$J,"")="Approve","Approved",IF(XLOOKUP(J992,Strike_Review_Queue!$I:$I,Strike_Review_Queue!$J:$J,"")="Deny","Counts",H992)))</f>
        <v/>
      </c>
      <c r="L992" s="39" t="str">
        <f t="array" ref="L992">IF(J992="","",XLOOKUP(J992,Strike_Review_Queue!$I:$I,Strike_Review_Queue!$L:$L,""))</f>
        <v/>
      </c>
      <c r="M992" s="39" t="str">
        <f t="array" ref="M992">IF(J992="","",XLOOKUP(J992,Strike_Review_Queue!$I:$I,Strike_Review_Queue!$M:$M,""))</f>
        <v/>
      </c>
    </row>
    <row r="993" ht="15.75" customHeight="1">
      <c r="C993" s="39"/>
      <c r="D993" s="39" t="str">
        <f>IF(OR(B993="",A993=""),"",MAX(0,MIN(3,SUMIFS($C$2:$C$1000,$B$2:$B$1000,B993,$A$2:$A$1000,"&lt;="&amp;A993,$A$2:$A$1000,"&gt;="&amp;IF(Config!$B$1004="Y",A993-Config!$B$1005,DATE(1900,1,1)),$I$2:$I$1000,1)))))</f>
        <v>#ERROR!</v>
      </c>
      <c r="H993" s="39"/>
      <c r="I993" s="39">
        <f t="shared" si="1"/>
        <v>1</v>
      </c>
      <c r="J993" s="39" t="str">
        <f t="shared" si="2"/>
        <v/>
      </c>
      <c r="K993" s="39" t="str">
        <f t="array" ref="K993">IF(J993="","",IF(XLOOKUP(J993,Strike_Review_Queue!$I:$I,Strike_Review_Queue!$J:$J,"")="Approve","Approved",IF(XLOOKUP(J993,Strike_Review_Queue!$I:$I,Strike_Review_Queue!$J:$J,"")="Deny","Counts",H993)))</f>
        <v/>
      </c>
      <c r="L993" s="39" t="str">
        <f t="array" ref="L993">IF(J993="","",XLOOKUP(J993,Strike_Review_Queue!$I:$I,Strike_Review_Queue!$L:$L,""))</f>
        <v/>
      </c>
      <c r="M993" s="39" t="str">
        <f t="array" ref="M993">IF(J993="","",XLOOKUP(J993,Strike_Review_Queue!$I:$I,Strike_Review_Queue!$M:$M,""))</f>
        <v/>
      </c>
    </row>
    <row r="994" ht="15.75" customHeight="1">
      <c r="C994" s="39"/>
      <c r="D994" s="39" t="str">
        <f>IF(OR(B994="",A994=""),"",MAX(0,MIN(3,SUMIFS($C$2:$C$1000,$B$2:$B$1000,B994,$A$2:$A$1000,"&lt;="&amp;A994,$A$2:$A$1000,"&gt;="&amp;IF(Config!$B$1004="Y",A994-Config!$B$1005,DATE(1900,1,1)),$I$2:$I$1000,1)))))</f>
        <v>#ERROR!</v>
      </c>
      <c r="H994" s="39"/>
      <c r="I994" s="39">
        <f t="shared" si="1"/>
        <v>1</v>
      </c>
      <c r="J994" s="39" t="str">
        <f t="shared" si="2"/>
        <v/>
      </c>
      <c r="K994" s="39" t="str">
        <f t="array" ref="K994">IF(J994="","",IF(XLOOKUP(J994,Strike_Review_Queue!$I:$I,Strike_Review_Queue!$J:$J,"")="Approve","Approved",IF(XLOOKUP(J994,Strike_Review_Queue!$I:$I,Strike_Review_Queue!$J:$J,"")="Deny","Counts",H994)))</f>
        <v/>
      </c>
      <c r="L994" s="39" t="str">
        <f t="array" ref="L994">IF(J994="","",XLOOKUP(J994,Strike_Review_Queue!$I:$I,Strike_Review_Queue!$L:$L,""))</f>
        <v/>
      </c>
      <c r="M994" s="39" t="str">
        <f t="array" ref="M994">IF(J994="","",XLOOKUP(J994,Strike_Review_Queue!$I:$I,Strike_Review_Queue!$M:$M,""))</f>
        <v/>
      </c>
    </row>
    <row r="995" ht="15.75" customHeight="1">
      <c r="C995" s="39"/>
      <c r="D995" s="39" t="str">
        <f>IF(OR(B995="",A995=""),"",MAX(0,MIN(3,SUMIFS($C$2:$C$1000,$B$2:$B$1000,B995,$A$2:$A$1000,"&lt;="&amp;A995,$A$2:$A$1000,"&gt;="&amp;IF(Config!$B$1004="Y",A995-Config!$B$1005,DATE(1900,1,1)),$I$2:$I$1000,1)))))</f>
        <v>#ERROR!</v>
      </c>
      <c r="H995" s="39"/>
      <c r="I995" s="39">
        <f t="shared" si="1"/>
        <v>1</v>
      </c>
      <c r="J995" s="39" t="str">
        <f t="shared" si="2"/>
        <v/>
      </c>
      <c r="K995" s="39" t="str">
        <f t="array" ref="K995">IF(J995="","",IF(XLOOKUP(J995,Strike_Review_Queue!$I:$I,Strike_Review_Queue!$J:$J,"")="Approve","Approved",IF(XLOOKUP(J995,Strike_Review_Queue!$I:$I,Strike_Review_Queue!$J:$J,"")="Deny","Counts",H995)))</f>
        <v/>
      </c>
      <c r="L995" s="39" t="str">
        <f t="array" ref="L995">IF(J995="","",XLOOKUP(J995,Strike_Review_Queue!$I:$I,Strike_Review_Queue!$L:$L,""))</f>
        <v/>
      </c>
      <c r="M995" s="39" t="str">
        <f t="array" ref="M995">IF(J995="","",XLOOKUP(J995,Strike_Review_Queue!$I:$I,Strike_Review_Queue!$M:$M,""))</f>
        <v/>
      </c>
    </row>
    <row r="996" ht="15.75" customHeight="1">
      <c r="C996" s="39"/>
      <c r="D996" s="39" t="str">
        <f>IF(OR(B996="",A996=""),"",MAX(0,MIN(3,SUMIFS($C$2:$C$1000,$B$2:$B$1000,B996,$A$2:$A$1000,"&lt;="&amp;A996,$A$2:$A$1000,"&gt;="&amp;IF(Config!$B$1004="Y",A996-Config!$B$1005,DATE(1900,1,1)),$I$2:$I$1000,1)))))</f>
        <v>#ERROR!</v>
      </c>
      <c r="H996" s="39"/>
      <c r="I996" s="39">
        <f t="shared" si="1"/>
        <v>1</v>
      </c>
      <c r="J996" s="39" t="str">
        <f t="shared" si="2"/>
        <v/>
      </c>
      <c r="K996" s="39" t="str">
        <f t="array" ref="K996">IF(J996="","",IF(XLOOKUP(J996,Strike_Review_Queue!$I:$I,Strike_Review_Queue!$J:$J,"")="Approve","Approved",IF(XLOOKUP(J996,Strike_Review_Queue!$I:$I,Strike_Review_Queue!$J:$J,"")="Deny","Counts",H996)))</f>
        <v/>
      </c>
      <c r="L996" s="39" t="str">
        <f t="array" ref="L996">IF(J996="","",XLOOKUP(J996,Strike_Review_Queue!$I:$I,Strike_Review_Queue!$L:$L,""))</f>
        <v/>
      </c>
      <c r="M996" s="39" t="str">
        <f t="array" ref="M996">IF(J996="","",XLOOKUP(J996,Strike_Review_Queue!$I:$I,Strike_Review_Queue!$M:$M,""))</f>
        <v/>
      </c>
    </row>
    <row r="997" ht="15.75" customHeight="1">
      <c r="C997" s="39"/>
      <c r="D997" s="39" t="str">
        <f>IF(OR(B997="",A997=""),"",MAX(0,MIN(3,SUMIFS($C$2:$C$1000,$B$2:$B$1000,B997,$A$2:$A$1000,"&lt;="&amp;A997,$A$2:$A$1000,"&gt;="&amp;IF(Config!$B$1004="Y",A997-Config!$B$1005,DATE(1900,1,1)),$I$2:$I$1000,1)))))</f>
        <v>#ERROR!</v>
      </c>
      <c r="H997" s="39"/>
      <c r="I997" s="39">
        <f t="shared" si="1"/>
        <v>1</v>
      </c>
      <c r="J997" s="39" t="str">
        <f t="shared" si="2"/>
        <v/>
      </c>
      <c r="K997" s="39" t="str">
        <f t="array" ref="K997">IF(J997="","",IF(XLOOKUP(J997,Strike_Review_Queue!$I:$I,Strike_Review_Queue!$J:$J,"")="Approve","Approved",IF(XLOOKUP(J997,Strike_Review_Queue!$I:$I,Strike_Review_Queue!$J:$J,"")="Deny","Counts",H997)))</f>
        <v/>
      </c>
      <c r="L997" s="39" t="str">
        <f t="array" ref="L997">IF(J997="","",XLOOKUP(J997,Strike_Review_Queue!$I:$I,Strike_Review_Queue!$L:$L,""))</f>
        <v/>
      </c>
      <c r="M997" s="39" t="str">
        <f t="array" ref="M997">IF(J997="","",XLOOKUP(J997,Strike_Review_Queue!$I:$I,Strike_Review_Queue!$M:$M,""))</f>
        <v/>
      </c>
    </row>
    <row r="998" ht="15.75" customHeight="1">
      <c r="C998" s="39"/>
      <c r="D998" s="39" t="str">
        <f>IF(OR(B998="",A998=""),"",MAX(0,MIN(3,SUMIFS($C$2:$C$1000,$B$2:$B$1000,B998,$A$2:$A$1000,"&lt;="&amp;A998,$A$2:$A$1000,"&gt;="&amp;IF(Config!$B$1004="Y",A998-Config!$B$1005,DATE(1900,1,1)),$I$2:$I$1000,1)))))</f>
        <v>#ERROR!</v>
      </c>
      <c r="H998" s="39"/>
      <c r="I998" s="39">
        <f t="shared" si="1"/>
        <v>1</v>
      </c>
      <c r="J998" s="39" t="str">
        <f t="shared" si="2"/>
        <v/>
      </c>
      <c r="K998" s="39" t="str">
        <f t="array" ref="K998">IF(J998="","",IF(XLOOKUP(J998,Strike_Review_Queue!$I:$I,Strike_Review_Queue!$J:$J,"")="Approve","Approved",IF(XLOOKUP(J998,Strike_Review_Queue!$I:$I,Strike_Review_Queue!$J:$J,"")="Deny","Counts",H998)))</f>
        <v/>
      </c>
      <c r="L998" s="39" t="str">
        <f t="array" ref="L998">IF(J998="","",XLOOKUP(J998,Strike_Review_Queue!$I:$I,Strike_Review_Queue!$L:$L,""))</f>
        <v/>
      </c>
      <c r="M998" s="39" t="str">
        <f t="array" ref="M998">IF(J998="","",XLOOKUP(J998,Strike_Review_Queue!$I:$I,Strike_Review_Queue!$M:$M,""))</f>
        <v/>
      </c>
    </row>
    <row r="999" ht="15.75" customHeight="1">
      <c r="C999" s="39"/>
      <c r="D999" s="39" t="str">
        <f>IF(OR(B999="",A999=""),"",MAX(0,MIN(3,SUMIFS($C$2:$C$1000,$B$2:$B$1000,B999,$A$2:$A$1000,"&lt;="&amp;A999,$A$2:$A$1000,"&gt;="&amp;IF(Config!$B$1004="Y",A999-Config!$B$1005,DATE(1900,1,1)),$I$2:$I$1000,1)))))</f>
        <v>#ERROR!</v>
      </c>
      <c r="H999" s="39"/>
      <c r="I999" s="39">
        <f t="shared" si="1"/>
        <v>1</v>
      </c>
      <c r="J999" s="39" t="str">
        <f t="shared" si="2"/>
        <v/>
      </c>
      <c r="K999" s="39" t="str">
        <f t="array" ref="K999">IF(J999="","",IF(XLOOKUP(J999,Strike_Review_Queue!$I:$I,Strike_Review_Queue!$J:$J,"")="Approve","Approved",IF(XLOOKUP(J999,Strike_Review_Queue!$I:$I,Strike_Review_Queue!$J:$J,"")="Deny","Counts",H999)))</f>
        <v/>
      </c>
      <c r="L999" s="39" t="str">
        <f t="array" ref="L999">IF(J999="","",XLOOKUP(J999,Strike_Review_Queue!$I:$I,Strike_Review_Queue!$L:$L,""))</f>
        <v/>
      </c>
      <c r="M999" s="39" t="str">
        <f t="array" ref="M999">IF(J999="","",XLOOKUP(J999,Strike_Review_Queue!$I:$I,Strike_Review_Queue!$M:$M,""))</f>
        <v/>
      </c>
    </row>
    <row r="1000" ht="15.75" customHeight="1">
      <c r="C1000" s="39"/>
      <c r="D1000" s="39" t="str">
        <f>IF(OR(B1000="",A1000=""),"",MAX(0,MIN(3,SUMIFS($C$2:$C$1000,$B$2:$B$1000,B1000,$A$2:$A$1000,"&lt;="&amp;A1000,$A$2:$A$1000,"&gt;="&amp;IF(Config!$B$1004="Y",A1000-Config!$B$1005,DATE(1900,1,1)),$I$2:$I$1000,1)))))</f>
        <v>#ERROR!</v>
      </c>
      <c r="H1000" s="39"/>
      <c r="I1000" s="39">
        <f t="shared" si="1"/>
        <v>1</v>
      </c>
      <c r="J1000" s="39" t="str">
        <f t="shared" si="2"/>
        <v/>
      </c>
      <c r="K1000" s="39" t="str">
        <f t="array" ref="K1000">IF(J1000="","",IF(XLOOKUP(J1000,Strike_Review_Queue!$I:$I,Strike_Review_Queue!$J:$J,"")="Approve","Approved",IF(XLOOKUP(J1000,Strike_Review_Queue!$I:$I,Strike_Review_Queue!$J:$J,"")="Deny","Counts",H1000)))</f>
        <v/>
      </c>
      <c r="L1000" s="39" t="str">
        <f t="array" ref="L1000">IF(J1000="","",XLOOKUP(J1000,Strike_Review_Queue!$I:$I,Strike_Review_Queue!$L:$L,""))</f>
        <v/>
      </c>
      <c r="M1000" s="39" t="str">
        <f t="array" ref="M1000">IF(J1000="","",XLOOKUP(J1000,Strike_Review_Queue!$I:$I,Strike_Review_Queue!$M:$M,""))</f>
        <v/>
      </c>
    </row>
  </sheetData>
  <dataValidations>
    <dataValidation type="list" allowBlank="1" sqref="H2:H1000">
      <formula1>"Counts,Pending,Approved"</formula1>
    </dataValidation>
    <dataValidation type="list" allowBlank="1" sqref="C2:C1000">
      <formula1>"-1,1"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8.71"/>
  </cols>
  <sheetData>
    <row r="1">
      <c r="A1" s="39" t="s">
        <v>282</v>
      </c>
      <c r="B1" s="39" t="s">
        <v>339</v>
      </c>
      <c r="C1" s="39" t="s">
        <v>429</v>
      </c>
      <c r="D1" s="39" t="s">
        <v>421</v>
      </c>
      <c r="E1" s="39" t="s">
        <v>422</v>
      </c>
      <c r="F1" s="39" t="s">
        <v>423</v>
      </c>
      <c r="G1" s="39" t="s">
        <v>430</v>
      </c>
      <c r="H1" s="39" t="s">
        <v>431</v>
      </c>
      <c r="I1" s="39" t="s">
        <v>425</v>
      </c>
      <c r="J1" s="39" t="s">
        <v>432</v>
      </c>
      <c r="K1" s="39" t="s">
        <v>433</v>
      </c>
      <c r="L1" s="39" t="s">
        <v>427</v>
      </c>
      <c r="M1" s="39" t="s">
        <v>428</v>
      </c>
    </row>
    <row r="2">
      <c r="A2" s="39" t="str">
        <f>IF(Strike_Log!H2="Pending",Strike_Log!B2,"")</f>
        <v/>
      </c>
      <c r="B2" s="39" t="str">
        <f>IF($A2="","",IFERROR(VLOOKUP($A2,Grinders!$A:$B,2,FALSE),""))</f>
        <v/>
      </c>
      <c r="C2" s="39" t="str">
        <f>IF($A2="","",Strike_Log!A2)</f>
        <v/>
      </c>
      <c r="D2" s="39" t="str">
        <f>IF($A2="","",Strike_Log!E2)</f>
        <v/>
      </c>
      <c r="E2" s="39" t="str">
        <f>IF($A2="","",Strike_Log!F2)</f>
        <v/>
      </c>
      <c r="F2" s="39" t="str">
        <f>IF($A2="","",Strike_Log!H2)</f>
        <v/>
      </c>
      <c r="G2" s="39" t="str">
        <f t="shared" ref="G2:G501" si="1">IF($A2="","",TODAY()-$C2)</f>
        <v/>
      </c>
      <c r="H2" s="39" t="str">
        <f t="shared" ref="H2:H501" si="2">IF($A2="","",IF($G2&gt;=7,"Review ASAP",IF($G2&gt;=3,"Review soon","OK")))</f>
        <v/>
      </c>
      <c r="I2" s="39" t="str">
        <f>IF(Strike_Log!H2="Pending",Strike_Log!J2,"")</f>
        <v/>
      </c>
      <c r="J2" s="39"/>
      <c r="M2" s="39" t="str">
        <f t="shared" ref="M2:M1000" si="3">IF(J2&lt;&gt;"",TODAY(),"")</f>
        <v/>
      </c>
    </row>
    <row r="3">
      <c r="A3" s="39" t="str">
        <f>IF(Strike_Log!H3="Pending",Strike_Log!B3,"")</f>
        <v/>
      </c>
      <c r="B3" s="39" t="str">
        <f>IF($A3="","",IFERROR(VLOOKUP($A3,Grinders!$A:$B,2,FALSE),""))</f>
        <v/>
      </c>
      <c r="C3" s="39" t="str">
        <f>IF($A3="","",Strike_Log!A3)</f>
        <v/>
      </c>
      <c r="D3" s="39" t="str">
        <f>IF($A3="","",Strike_Log!E3)</f>
        <v/>
      </c>
      <c r="E3" s="39" t="str">
        <f>IF($A3="","",Strike_Log!F3)</f>
        <v/>
      </c>
      <c r="F3" s="39" t="str">
        <f>IF($A3="","",Strike_Log!H3)</f>
        <v/>
      </c>
      <c r="G3" s="39" t="str">
        <f t="shared" si="1"/>
        <v/>
      </c>
      <c r="H3" s="39" t="str">
        <f t="shared" si="2"/>
        <v/>
      </c>
      <c r="I3" s="39" t="str">
        <f>IF(Strike_Log!H3="Pending",Strike_Log!J3,"")</f>
        <v/>
      </c>
      <c r="J3" s="39"/>
      <c r="M3" s="39" t="str">
        <f t="shared" si="3"/>
        <v/>
      </c>
    </row>
    <row r="4">
      <c r="A4" s="39" t="str">
        <f>IF(Strike_Log!H4="Pending",Strike_Log!B4,"")</f>
        <v/>
      </c>
      <c r="B4" s="39" t="str">
        <f>IF($A4="","",IFERROR(VLOOKUP($A4,Grinders!$A:$B,2,FALSE),""))</f>
        <v/>
      </c>
      <c r="C4" s="39" t="str">
        <f>IF($A4="","",Strike_Log!A4)</f>
        <v/>
      </c>
      <c r="D4" s="39" t="str">
        <f>IF($A4="","",Strike_Log!E4)</f>
        <v/>
      </c>
      <c r="E4" s="39" t="str">
        <f>IF($A4="","",Strike_Log!F4)</f>
        <v/>
      </c>
      <c r="F4" s="39" t="str">
        <f>IF($A4="","",Strike_Log!H4)</f>
        <v/>
      </c>
      <c r="G4" s="39" t="str">
        <f t="shared" si="1"/>
        <v/>
      </c>
      <c r="H4" s="39" t="str">
        <f t="shared" si="2"/>
        <v/>
      </c>
      <c r="I4" s="39" t="str">
        <f>IF(Strike_Log!H4="Pending",Strike_Log!J4,"")</f>
        <v/>
      </c>
      <c r="J4" s="39"/>
      <c r="M4" s="39" t="str">
        <f t="shared" si="3"/>
        <v/>
      </c>
    </row>
    <row r="5">
      <c r="A5" s="39" t="str">
        <f>IF(Strike_Log!H5="Pending",Strike_Log!B5,"")</f>
        <v/>
      </c>
      <c r="B5" s="39" t="str">
        <f>IF($A5="","",IFERROR(VLOOKUP($A5,Grinders!$A:$B,2,FALSE),""))</f>
        <v/>
      </c>
      <c r="C5" s="39" t="str">
        <f>IF($A5="","",Strike_Log!A5)</f>
        <v/>
      </c>
      <c r="D5" s="39" t="str">
        <f>IF($A5="","",Strike_Log!E5)</f>
        <v/>
      </c>
      <c r="E5" s="39" t="str">
        <f>IF($A5="","",Strike_Log!F5)</f>
        <v/>
      </c>
      <c r="F5" s="39" t="str">
        <f>IF($A5="","",Strike_Log!H5)</f>
        <v/>
      </c>
      <c r="G5" s="39" t="str">
        <f t="shared" si="1"/>
        <v/>
      </c>
      <c r="H5" s="39" t="str">
        <f t="shared" si="2"/>
        <v/>
      </c>
      <c r="I5" s="39" t="str">
        <f>IF(Strike_Log!H5="Pending",Strike_Log!J5,"")</f>
        <v/>
      </c>
      <c r="J5" s="39"/>
      <c r="M5" s="39" t="str">
        <f t="shared" si="3"/>
        <v/>
      </c>
    </row>
    <row r="6">
      <c r="A6" s="39" t="str">
        <f>IF(Strike_Log!H6="Pending",Strike_Log!B6,"")</f>
        <v/>
      </c>
      <c r="B6" s="39" t="str">
        <f>IF($A6="","",IFERROR(VLOOKUP($A6,Grinders!$A:$B,2,FALSE),""))</f>
        <v/>
      </c>
      <c r="C6" s="39" t="str">
        <f>IF($A6="","",Strike_Log!A6)</f>
        <v/>
      </c>
      <c r="D6" s="39" t="str">
        <f>IF($A6="","",Strike_Log!E6)</f>
        <v/>
      </c>
      <c r="E6" s="39" t="str">
        <f>IF($A6="","",Strike_Log!F6)</f>
        <v/>
      </c>
      <c r="F6" s="39" t="str">
        <f>IF($A6="","",Strike_Log!H6)</f>
        <v/>
      </c>
      <c r="G6" s="39" t="str">
        <f t="shared" si="1"/>
        <v/>
      </c>
      <c r="H6" s="39" t="str">
        <f t="shared" si="2"/>
        <v/>
      </c>
      <c r="I6" s="39" t="str">
        <f>IF(Strike_Log!H6="Pending",Strike_Log!J6,"")</f>
        <v/>
      </c>
      <c r="J6" s="39"/>
      <c r="M6" s="39" t="str">
        <f t="shared" si="3"/>
        <v/>
      </c>
    </row>
    <row r="7">
      <c r="A7" s="39" t="str">
        <f>IF(Strike_Log!H7="Pending",Strike_Log!B7,"")</f>
        <v/>
      </c>
      <c r="B7" s="39" t="str">
        <f>IF($A7="","",IFERROR(VLOOKUP($A7,Grinders!$A:$B,2,FALSE),""))</f>
        <v/>
      </c>
      <c r="C7" s="39" t="str">
        <f>IF($A7="","",Strike_Log!A7)</f>
        <v/>
      </c>
      <c r="D7" s="39" t="str">
        <f>IF($A7="","",Strike_Log!E7)</f>
        <v/>
      </c>
      <c r="E7" s="39" t="str">
        <f>IF($A7="","",Strike_Log!F7)</f>
        <v/>
      </c>
      <c r="F7" s="39" t="str">
        <f>IF($A7="","",Strike_Log!H7)</f>
        <v/>
      </c>
      <c r="G7" s="39" t="str">
        <f t="shared" si="1"/>
        <v/>
      </c>
      <c r="H7" s="39" t="str">
        <f t="shared" si="2"/>
        <v/>
      </c>
      <c r="I7" s="39" t="str">
        <f>IF(Strike_Log!H7="Pending",Strike_Log!J7,"")</f>
        <v/>
      </c>
      <c r="J7" s="39"/>
      <c r="M7" s="39" t="str">
        <f t="shared" si="3"/>
        <v/>
      </c>
    </row>
    <row r="8">
      <c r="A8" s="39" t="str">
        <f>IF(Strike_Log!H8="Pending",Strike_Log!B8,"")</f>
        <v/>
      </c>
      <c r="B8" s="39" t="str">
        <f>IF($A8="","",IFERROR(VLOOKUP($A8,Grinders!$A:$B,2,FALSE),""))</f>
        <v/>
      </c>
      <c r="C8" s="39" t="str">
        <f>IF($A8="","",Strike_Log!A8)</f>
        <v/>
      </c>
      <c r="D8" s="39" t="str">
        <f>IF($A8="","",Strike_Log!E8)</f>
        <v/>
      </c>
      <c r="E8" s="39" t="str">
        <f>IF($A8="","",Strike_Log!F8)</f>
        <v/>
      </c>
      <c r="F8" s="39" t="str">
        <f>IF($A8="","",Strike_Log!H8)</f>
        <v/>
      </c>
      <c r="G8" s="39" t="str">
        <f t="shared" si="1"/>
        <v/>
      </c>
      <c r="H8" s="39" t="str">
        <f t="shared" si="2"/>
        <v/>
      </c>
      <c r="I8" s="39" t="str">
        <f>IF(Strike_Log!H8="Pending",Strike_Log!J8,"")</f>
        <v/>
      </c>
      <c r="J8" s="39"/>
      <c r="M8" s="39" t="str">
        <f t="shared" si="3"/>
        <v/>
      </c>
    </row>
    <row r="9">
      <c r="A9" s="39" t="str">
        <f>IF(Strike_Log!H9="Pending",Strike_Log!B9,"")</f>
        <v/>
      </c>
      <c r="B9" s="39" t="str">
        <f>IF($A9="","",IFERROR(VLOOKUP($A9,Grinders!$A:$B,2,FALSE),""))</f>
        <v/>
      </c>
      <c r="C9" s="39" t="str">
        <f>IF($A9="","",Strike_Log!A9)</f>
        <v/>
      </c>
      <c r="D9" s="39" t="str">
        <f>IF($A9="","",Strike_Log!E9)</f>
        <v/>
      </c>
      <c r="E9" s="39" t="str">
        <f>IF($A9="","",Strike_Log!F9)</f>
        <v/>
      </c>
      <c r="F9" s="39" t="str">
        <f>IF($A9="","",Strike_Log!H9)</f>
        <v/>
      </c>
      <c r="G9" s="39" t="str">
        <f t="shared" si="1"/>
        <v/>
      </c>
      <c r="H9" s="39" t="str">
        <f t="shared" si="2"/>
        <v/>
      </c>
      <c r="I9" s="39" t="str">
        <f>IF(Strike_Log!H9="Pending",Strike_Log!J9,"")</f>
        <v/>
      </c>
      <c r="J9" s="39"/>
      <c r="M9" s="39" t="str">
        <f t="shared" si="3"/>
        <v/>
      </c>
    </row>
    <row r="10">
      <c r="A10" s="39" t="str">
        <f>IF(Strike_Log!H10="Pending",Strike_Log!B10,"")</f>
        <v/>
      </c>
      <c r="B10" s="39" t="str">
        <f>IF($A10="","",IFERROR(VLOOKUP($A10,Grinders!$A:$B,2,FALSE),""))</f>
        <v/>
      </c>
      <c r="C10" s="39" t="str">
        <f>IF($A10="","",Strike_Log!A10)</f>
        <v/>
      </c>
      <c r="D10" s="39" t="str">
        <f>IF($A10="","",Strike_Log!E10)</f>
        <v/>
      </c>
      <c r="E10" s="39" t="str">
        <f>IF($A10="","",Strike_Log!F10)</f>
        <v/>
      </c>
      <c r="F10" s="39" t="str">
        <f>IF($A10="","",Strike_Log!H10)</f>
        <v/>
      </c>
      <c r="G10" s="39" t="str">
        <f t="shared" si="1"/>
        <v/>
      </c>
      <c r="H10" s="39" t="str">
        <f t="shared" si="2"/>
        <v/>
      </c>
      <c r="I10" s="39" t="str">
        <f>IF(Strike_Log!H10="Pending",Strike_Log!J10,"")</f>
        <v/>
      </c>
      <c r="J10" s="39"/>
      <c r="M10" s="39" t="str">
        <f t="shared" si="3"/>
        <v/>
      </c>
    </row>
    <row r="11">
      <c r="A11" s="39" t="str">
        <f>IF(Strike_Log!H11="Pending",Strike_Log!B11,"")</f>
        <v/>
      </c>
      <c r="B11" s="39" t="str">
        <f>IF($A11="","",IFERROR(VLOOKUP($A11,Grinders!$A:$B,2,FALSE),""))</f>
        <v/>
      </c>
      <c r="C11" s="39" t="str">
        <f>IF($A11="","",Strike_Log!A11)</f>
        <v/>
      </c>
      <c r="D11" s="39" t="str">
        <f>IF($A11="","",Strike_Log!E11)</f>
        <v/>
      </c>
      <c r="E11" s="39" t="str">
        <f>IF($A11="","",Strike_Log!F11)</f>
        <v/>
      </c>
      <c r="F11" s="39" t="str">
        <f>IF($A11="","",Strike_Log!H11)</f>
        <v/>
      </c>
      <c r="G11" s="39" t="str">
        <f t="shared" si="1"/>
        <v/>
      </c>
      <c r="H11" s="39" t="str">
        <f t="shared" si="2"/>
        <v/>
      </c>
      <c r="I11" s="39" t="str">
        <f>IF(Strike_Log!H11="Pending",Strike_Log!J11,"")</f>
        <v/>
      </c>
      <c r="J11" s="39"/>
      <c r="M11" s="39" t="str">
        <f t="shared" si="3"/>
        <v/>
      </c>
    </row>
    <row r="12">
      <c r="A12" s="39" t="str">
        <f>IF(Strike_Log!H12="Pending",Strike_Log!B12,"")</f>
        <v/>
      </c>
      <c r="B12" s="39" t="str">
        <f>IF($A12="","",IFERROR(VLOOKUP($A12,Grinders!$A:$B,2,FALSE),""))</f>
        <v/>
      </c>
      <c r="C12" s="39" t="str">
        <f>IF($A12="","",Strike_Log!A12)</f>
        <v/>
      </c>
      <c r="D12" s="39" t="str">
        <f>IF($A12="","",Strike_Log!E12)</f>
        <v/>
      </c>
      <c r="E12" s="39" t="str">
        <f>IF($A12="","",Strike_Log!F12)</f>
        <v/>
      </c>
      <c r="F12" s="39" t="str">
        <f>IF($A12="","",Strike_Log!H12)</f>
        <v/>
      </c>
      <c r="G12" s="39" t="str">
        <f t="shared" si="1"/>
        <v/>
      </c>
      <c r="H12" s="39" t="str">
        <f t="shared" si="2"/>
        <v/>
      </c>
      <c r="I12" s="39" t="str">
        <f>IF(Strike_Log!H12="Pending",Strike_Log!J12,"")</f>
        <v/>
      </c>
      <c r="J12" s="39"/>
      <c r="M12" s="39" t="str">
        <f t="shared" si="3"/>
        <v/>
      </c>
    </row>
    <row r="13">
      <c r="A13" s="39" t="str">
        <f>IF(Strike_Log!H13="Pending",Strike_Log!B13,"")</f>
        <v/>
      </c>
      <c r="B13" s="39" t="str">
        <f>IF($A13="","",IFERROR(VLOOKUP($A13,Grinders!$A:$B,2,FALSE),""))</f>
        <v/>
      </c>
      <c r="C13" s="39" t="str">
        <f>IF($A13="","",Strike_Log!A13)</f>
        <v/>
      </c>
      <c r="D13" s="39" t="str">
        <f>IF($A13="","",Strike_Log!E13)</f>
        <v/>
      </c>
      <c r="E13" s="39" t="str">
        <f>IF($A13="","",Strike_Log!F13)</f>
        <v/>
      </c>
      <c r="F13" s="39" t="str">
        <f>IF($A13="","",Strike_Log!H13)</f>
        <v/>
      </c>
      <c r="G13" s="39" t="str">
        <f t="shared" si="1"/>
        <v/>
      </c>
      <c r="H13" s="39" t="str">
        <f t="shared" si="2"/>
        <v/>
      </c>
      <c r="I13" s="39" t="str">
        <f>IF(Strike_Log!H13="Pending",Strike_Log!J13,"")</f>
        <v/>
      </c>
      <c r="J13" s="39"/>
      <c r="M13" s="39" t="str">
        <f t="shared" si="3"/>
        <v/>
      </c>
    </row>
    <row r="14">
      <c r="A14" s="39" t="str">
        <f>IF(Strike_Log!H14="Pending",Strike_Log!B14,"")</f>
        <v/>
      </c>
      <c r="B14" s="39" t="str">
        <f>IF($A14="","",IFERROR(VLOOKUP($A14,Grinders!$A:$B,2,FALSE),""))</f>
        <v/>
      </c>
      <c r="C14" s="39" t="str">
        <f>IF($A14="","",Strike_Log!A14)</f>
        <v/>
      </c>
      <c r="D14" s="39" t="str">
        <f>IF($A14="","",Strike_Log!E14)</f>
        <v/>
      </c>
      <c r="E14" s="39" t="str">
        <f>IF($A14="","",Strike_Log!F14)</f>
        <v/>
      </c>
      <c r="F14" s="39" t="str">
        <f>IF($A14="","",Strike_Log!H14)</f>
        <v/>
      </c>
      <c r="G14" s="39" t="str">
        <f t="shared" si="1"/>
        <v/>
      </c>
      <c r="H14" s="39" t="str">
        <f t="shared" si="2"/>
        <v/>
      </c>
      <c r="I14" s="39" t="str">
        <f>IF(Strike_Log!H14="Pending",Strike_Log!J14,"")</f>
        <v/>
      </c>
      <c r="J14" s="39"/>
      <c r="M14" s="39" t="str">
        <f t="shared" si="3"/>
        <v/>
      </c>
    </row>
    <row r="15">
      <c r="A15" s="39" t="str">
        <f>IF(Strike_Log!H15="Pending",Strike_Log!B15,"")</f>
        <v/>
      </c>
      <c r="B15" s="39" t="str">
        <f>IF($A15="","",IFERROR(VLOOKUP($A15,Grinders!$A:$B,2,FALSE),""))</f>
        <v/>
      </c>
      <c r="C15" s="39" t="str">
        <f>IF($A15="","",Strike_Log!A15)</f>
        <v/>
      </c>
      <c r="D15" s="39" t="str">
        <f>IF($A15="","",Strike_Log!E15)</f>
        <v/>
      </c>
      <c r="E15" s="39" t="str">
        <f>IF($A15="","",Strike_Log!F15)</f>
        <v/>
      </c>
      <c r="F15" s="39" t="str">
        <f>IF($A15="","",Strike_Log!H15)</f>
        <v/>
      </c>
      <c r="G15" s="39" t="str">
        <f t="shared" si="1"/>
        <v/>
      </c>
      <c r="H15" s="39" t="str">
        <f t="shared" si="2"/>
        <v/>
      </c>
      <c r="I15" s="39" t="str">
        <f>IF(Strike_Log!H15="Pending",Strike_Log!J15,"")</f>
        <v/>
      </c>
      <c r="J15" s="39"/>
      <c r="M15" s="39" t="str">
        <f t="shared" si="3"/>
        <v/>
      </c>
    </row>
    <row r="16">
      <c r="A16" s="39" t="str">
        <f>IF(Strike_Log!H16="Pending",Strike_Log!B16,"")</f>
        <v/>
      </c>
      <c r="B16" s="39" t="str">
        <f>IF($A16="","",IFERROR(VLOOKUP($A16,Grinders!$A:$B,2,FALSE),""))</f>
        <v/>
      </c>
      <c r="C16" s="39" t="str">
        <f>IF($A16="","",Strike_Log!A16)</f>
        <v/>
      </c>
      <c r="D16" s="39" t="str">
        <f>IF($A16="","",Strike_Log!E16)</f>
        <v/>
      </c>
      <c r="E16" s="39" t="str">
        <f>IF($A16="","",Strike_Log!F16)</f>
        <v/>
      </c>
      <c r="F16" s="39" t="str">
        <f>IF($A16="","",Strike_Log!H16)</f>
        <v/>
      </c>
      <c r="G16" s="39" t="str">
        <f t="shared" si="1"/>
        <v/>
      </c>
      <c r="H16" s="39" t="str">
        <f t="shared" si="2"/>
        <v/>
      </c>
      <c r="I16" s="39" t="str">
        <f>IF(Strike_Log!H16="Pending",Strike_Log!J16,"")</f>
        <v/>
      </c>
      <c r="J16" s="39"/>
      <c r="M16" s="39" t="str">
        <f t="shared" si="3"/>
        <v/>
      </c>
    </row>
    <row r="17">
      <c r="A17" s="39" t="str">
        <f>IF(Strike_Log!H17="Pending",Strike_Log!B17,"")</f>
        <v/>
      </c>
      <c r="B17" s="39" t="str">
        <f>IF($A17="","",IFERROR(VLOOKUP($A17,Grinders!$A:$B,2,FALSE),""))</f>
        <v/>
      </c>
      <c r="C17" s="39" t="str">
        <f>IF($A17="","",Strike_Log!A17)</f>
        <v/>
      </c>
      <c r="D17" s="39" t="str">
        <f>IF($A17="","",Strike_Log!E17)</f>
        <v/>
      </c>
      <c r="E17" s="39" t="str">
        <f>IF($A17="","",Strike_Log!F17)</f>
        <v/>
      </c>
      <c r="F17" s="39" t="str">
        <f>IF($A17="","",Strike_Log!H17)</f>
        <v/>
      </c>
      <c r="G17" s="39" t="str">
        <f t="shared" si="1"/>
        <v/>
      </c>
      <c r="H17" s="39" t="str">
        <f t="shared" si="2"/>
        <v/>
      </c>
      <c r="I17" s="39" t="str">
        <f>IF(Strike_Log!H17="Pending",Strike_Log!J17,"")</f>
        <v/>
      </c>
      <c r="J17" s="39"/>
      <c r="M17" s="39" t="str">
        <f t="shared" si="3"/>
        <v/>
      </c>
    </row>
    <row r="18">
      <c r="A18" s="39" t="str">
        <f>IF(Strike_Log!H18="Pending",Strike_Log!B18,"")</f>
        <v/>
      </c>
      <c r="B18" s="39" t="str">
        <f>IF($A18="","",IFERROR(VLOOKUP($A18,Grinders!$A:$B,2,FALSE),""))</f>
        <v/>
      </c>
      <c r="C18" s="39" t="str">
        <f>IF($A18="","",Strike_Log!A18)</f>
        <v/>
      </c>
      <c r="D18" s="39" t="str">
        <f>IF($A18="","",Strike_Log!E18)</f>
        <v/>
      </c>
      <c r="E18" s="39" t="str">
        <f>IF($A18="","",Strike_Log!F18)</f>
        <v/>
      </c>
      <c r="F18" s="39" t="str">
        <f>IF($A18="","",Strike_Log!H18)</f>
        <v/>
      </c>
      <c r="G18" s="39" t="str">
        <f t="shared" si="1"/>
        <v/>
      </c>
      <c r="H18" s="39" t="str">
        <f t="shared" si="2"/>
        <v/>
      </c>
      <c r="I18" s="39" t="str">
        <f>IF(Strike_Log!H18="Pending",Strike_Log!J18,"")</f>
        <v/>
      </c>
      <c r="J18" s="39"/>
      <c r="M18" s="39" t="str">
        <f t="shared" si="3"/>
        <v/>
      </c>
    </row>
    <row r="19">
      <c r="A19" s="39" t="str">
        <f>IF(Strike_Log!H19="Pending",Strike_Log!B19,"")</f>
        <v/>
      </c>
      <c r="B19" s="39" t="str">
        <f>IF($A19="","",IFERROR(VLOOKUP($A19,Grinders!$A:$B,2,FALSE),""))</f>
        <v/>
      </c>
      <c r="C19" s="39" t="str">
        <f>IF($A19="","",Strike_Log!A19)</f>
        <v/>
      </c>
      <c r="D19" s="39" t="str">
        <f>IF($A19="","",Strike_Log!E19)</f>
        <v/>
      </c>
      <c r="E19" s="39" t="str">
        <f>IF($A19="","",Strike_Log!F19)</f>
        <v/>
      </c>
      <c r="F19" s="39" t="str">
        <f>IF($A19="","",Strike_Log!H19)</f>
        <v/>
      </c>
      <c r="G19" s="39" t="str">
        <f t="shared" si="1"/>
        <v/>
      </c>
      <c r="H19" s="39" t="str">
        <f t="shared" si="2"/>
        <v/>
      </c>
      <c r="I19" s="39" t="str">
        <f>IF(Strike_Log!H19="Pending",Strike_Log!J19,"")</f>
        <v/>
      </c>
      <c r="J19" s="39"/>
      <c r="M19" s="39" t="str">
        <f t="shared" si="3"/>
        <v/>
      </c>
    </row>
    <row r="20">
      <c r="A20" s="39" t="str">
        <f>IF(Strike_Log!H20="Pending",Strike_Log!B20,"")</f>
        <v/>
      </c>
      <c r="B20" s="39" t="str">
        <f>IF($A20="","",IFERROR(VLOOKUP($A20,Grinders!$A:$B,2,FALSE),""))</f>
        <v/>
      </c>
      <c r="C20" s="39" t="str">
        <f>IF($A20="","",Strike_Log!A20)</f>
        <v/>
      </c>
      <c r="D20" s="39" t="str">
        <f>IF($A20="","",Strike_Log!E20)</f>
        <v/>
      </c>
      <c r="E20" s="39" t="str">
        <f>IF($A20="","",Strike_Log!F20)</f>
        <v/>
      </c>
      <c r="F20" s="39" t="str">
        <f>IF($A20="","",Strike_Log!H20)</f>
        <v/>
      </c>
      <c r="G20" s="39" t="str">
        <f t="shared" si="1"/>
        <v/>
      </c>
      <c r="H20" s="39" t="str">
        <f t="shared" si="2"/>
        <v/>
      </c>
      <c r="I20" s="39" t="str">
        <f>IF(Strike_Log!H20="Pending",Strike_Log!J20,"")</f>
        <v/>
      </c>
      <c r="J20" s="39"/>
      <c r="M20" s="39" t="str">
        <f t="shared" si="3"/>
        <v/>
      </c>
    </row>
    <row r="21" ht="15.75" customHeight="1">
      <c r="A21" s="39" t="str">
        <f>IF(Strike_Log!H21="Pending",Strike_Log!B21,"")</f>
        <v/>
      </c>
      <c r="B21" s="39" t="str">
        <f>IF($A21="","",IFERROR(VLOOKUP($A21,Grinders!$A:$B,2,FALSE),""))</f>
        <v/>
      </c>
      <c r="C21" s="39" t="str">
        <f>IF($A21="","",Strike_Log!A21)</f>
        <v/>
      </c>
      <c r="D21" s="39" t="str">
        <f>IF($A21="","",Strike_Log!E21)</f>
        <v/>
      </c>
      <c r="E21" s="39" t="str">
        <f>IF($A21="","",Strike_Log!F21)</f>
        <v/>
      </c>
      <c r="F21" s="39" t="str">
        <f>IF($A21="","",Strike_Log!H21)</f>
        <v/>
      </c>
      <c r="G21" s="39" t="str">
        <f t="shared" si="1"/>
        <v/>
      </c>
      <c r="H21" s="39" t="str">
        <f t="shared" si="2"/>
        <v/>
      </c>
      <c r="I21" s="39" t="str">
        <f>IF(Strike_Log!H21="Pending",Strike_Log!J21,"")</f>
        <v/>
      </c>
      <c r="J21" s="39"/>
      <c r="M21" s="39" t="str">
        <f t="shared" si="3"/>
        <v/>
      </c>
    </row>
    <row r="22" ht="15.75" customHeight="1">
      <c r="A22" s="39" t="str">
        <f>IF(Strike_Log!H22="Pending",Strike_Log!B22,"")</f>
        <v/>
      </c>
      <c r="B22" s="39" t="str">
        <f>IF($A22="","",IFERROR(VLOOKUP($A22,Grinders!$A:$B,2,FALSE),""))</f>
        <v/>
      </c>
      <c r="C22" s="39" t="str">
        <f>IF($A22="","",Strike_Log!A22)</f>
        <v/>
      </c>
      <c r="D22" s="39" t="str">
        <f>IF($A22="","",Strike_Log!E22)</f>
        <v/>
      </c>
      <c r="E22" s="39" t="str">
        <f>IF($A22="","",Strike_Log!F22)</f>
        <v/>
      </c>
      <c r="F22" s="39" t="str">
        <f>IF($A22="","",Strike_Log!H22)</f>
        <v/>
      </c>
      <c r="G22" s="39" t="str">
        <f t="shared" si="1"/>
        <v/>
      </c>
      <c r="H22" s="39" t="str">
        <f t="shared" si="2"/>
        <v/>
      </c>
      <c r="I22" s="39" t="str">
        <f>IF(Strike_Log!H22="Pending",Strike_Log!J22,"")</f>
        <v/>
      </c>
      <c r="J22" s="39"/>
      <c r="M22" s="39" t="str">
        <f t="shared" si="3"/>
        <v/>
      </c>
    </row>
    <row r="23" ht="15.75" customHeight="1">
      <c r="A23" s="39" t="str">
        <f>IF(Strike_Log!H23="Pending",Strike_Log!B23,"")</f>
        <v/>
      </c>
      <c r="B23" s="39" t="str">
        <f>IF($A23="","",IFERROR(VLOOKUP($A23,Grinders!$A:$B,2,FALSE),""))</f>
        <v/>
      </c>
      <c r="C23" s="39" t="str">
        <f>IF($A23="","",Strike_Log!A23)</f>
        <v/>
      </c>
      <c r="D23" s="39" t="str">
        <f>IF($A23="","",Strike_Log!E23)</f>
        <v/>
      </c>
      <c r="E23" s="39" t="str">
        <f>IF($A23="","",Strike_Log!F23)</f>
        <v/>
      </c>
      <c r="F23" s="39" t="str">
        <f>IF($A23="","",Strike_Log!H23)</f>
        <v/>
      </c>
      <c r="G23" s="39" t="str">
        <f t="shared" si="1"/>
        <v/>
      </c>
      <c r="H23" s="39" t="str">
        <f t="shared" si="2"/>
        <v/>
      </c>
      <c r="I23" s="39" t="str">
        <f>IF(Strike_Log!H23="Pending",Strike_Log!J23,"")</f>
        <v/>
      </c>
      <c r="J23" s="39"/>
      <c r="M23" s="39" t="str">
        <f t="shared" si="3"/>
        <v/>
      </c>
    </row>
    <row r="24" ht="15.75" customHeight="1">
      <c r="A24" s="39" t="str">
        <f>IF(Strike_Log!H24="Pending",Strike_Log!B24,"")</f>
        <v/>
      </c>
      <c r="B24" s="39" t="str">
        <f>IF($A24="","",IFERROR(VLOOKUP($A24,Grinders!$A:$B,2,FALSE),""))</f>
        <v/>
      </c>
      <c r="C24" s="39" t="str">
        <f>IF($A24="","",Strike_Log!A24)</f>
        <v/>
      </c>
      <c r="D24" s="39" t="str">
        <f>IF($A24="","",Strike_Log!E24)</f>
        <v/>
      </c>
      <c r="E24" s="39" t="str">
        <f>IF($A24="","",Strike_Log!F24)</f>
        <v/>
      </c>
      <c r="F24" s="39" t="str">
        <f>IF($A24="","",Strike_Log!H24)</f>
        <v/>
      </c>
      <c r="G24" s="39" t="str">
        <f t="shared" si="1"/>
        <v/>
      </c>
      <c r="H24" s="39" t="str">
        <f t="shared" si="2"/>
        <v/>
      </c>
      <c r="I24" s="39" t="str">
        <f>IF(Strike_Log!H24="Pending",Strike_Log!J24,"")</f>
        <v/>
      </c>
      <c r="J24" s="39"/>
      <c r="M24" s="39" t="str">
        <f t="shared" si="3"/>
        <v/>
      </c>
    </row>
    <row r="25" ht="15.75" customHeight="1">
      <c r="A25" s="39" t="str">
        <f>IF(Strike_Log!H25="Pending",Strike_Log!B25,"")</f>
        <v/>
      </c>
      <c r="B25" s="39" t="str">
        <f>IF($A25="","",IFERROR(VLOOKUP($A25,Grinders!$A:$B,2,FALSE),""))</f>
        <v/>
      </c>
      <c r="C25" s="39" t="str">
        <f>IF($A25="","",Strike_Log!A25)</f>
        <v/>
      </c>
      <c r="D25" s="39" t="str">
        <f>IF($A25="","",Strike_Log!E25)</f>
        <v/>
      </c>
      <c r="E25" s="39" t="str">
        <f>IF($A25="","",Strike_Log!F25)</f>
        <v/>
      </c>
      <c r="F25" s="39" t="str">
        <f>IF($A25="","",Strike_Log!H25)</f>
        <v/>
      </c>
      <c r="G25" s="39" t="str">
        <f t="shared" si="1"/>
        <v/>
      </c>
      <c r="H25" s="39" t="str">
        <f t="shared" si="2"/>
        <v/>
      </c>
      <c r="I25" s="39" t="str">
        <f>IF(Strike_Log!H25="Pending",Strike_Log!J25,"")</f>
        <v/>
      </c>
      <c r="J25" s="39"/>
      <c r="M25" s="39" t="str">
        <f t="shared" si="3"/>
        <v/>
      </c>
    </row>
    <row r="26" ht="15.75" customHeight="1">
      <c r="A26" s="39" t="str">
        <f>IF(Strike_Log!H26="Pending",Strike_Log!B26,"")</f>
        <v/>
      </c>
      <c r="B26" s="39" t="str">
        <f>IF($A26="","",IFERROR(VLOOKUP($A26,Grinders!$A:$B,2,FALSE),""))</f>
        <v/>
      </c>
      <c r="C26" s="39" t="str">
        <f>IF($A26="","",Strike_Log!A26)</f>
        <v/>
      </c>
      <c r="D26" s="39" t="str">
        <f>IF($A26="","",Strike_Log!E26)</f>
        <v/>
      </c>
      <c r="E26" s="39" t="str">
        <f>IF($A26="","",Strike_Log!F26)</f>
        <v/>
      </c>
      <c r="F26" s="39" t="str">
        <f>IF($A26="","",Strike_Log!H26)</f>
        <v/>
      </c>
      <c r="G26" s="39" t="str">
        <f t="shared" si="1"/>
        <v/>
      </c>
      <c r="H26" s="39" t="str">
        <f t="shared" si="2"/>
        <v/>
      </c>
      <c r="I26" s="39" t="str">
        <f>IF(Strike_Log!H26="Pending",Strike_Log!J26,"")</f>
        <v/>
      </c>
      <c r="J26" s="39"/>
      <c r="M26" s="39" t="str">
        <f t="shared" si="3"/>
        <v/>
      </c>
    </row>
    <row r="27" ht="15.75" customHeight="1">
      <c r="A27" s="39" t="str">
        <f>IF(Strike_Log!H27="Pending",Strike_Log!B27,"")</f>
        <v/>
      </c>
      <c r="B27" s="39" t="str">
        <f>IF($A27="","",IFERROR(VLOOKUP($A27,Grinders!$A:$B,2,FALSE),""))</f>
        <v/>
      </c>
      <c r="C27" s="39" t="str">
        <f>IF($A27="","",Strike_Log!A27)</f>
        <v/>
      </c>
      <c r="D27" s="39" t="str">
        <f>IF($A27="","",Strike_Log!E27)</f>
        <v/>
      </c>
      <c r="E27" s="39" t="str">
        <f>IF($A27="","",Strike_Log!F27)</f>
        <v/>
      </c>
      <c r="F27" s="39" t="str">
        <f>IF($A27="","",Strike_Log!H27)</f>
        <v/>
      </c>
      <c r="G27" s="39" t="str">
        <f t="shared" si="1"/>
        <v/>
      </c>
      <c r="H27" s="39" t="str">
        <f t="shared" si="2"/>
        <v/>
      </c>
      <c r="I27" s="39" t="str">
        <f>IF(Strike_Log!H27="Pending",Strike_Log!J27,"")</f>
        <v/>
      </c>
      <c r="J27" s="39"/>
      <c r="M27" s="39" t="str">
        <f t="shared" si="3"/>
        <v/>
      </c>
    </row>
    <row r="28" ht="15.75" customHeight="1">
      <c r="A28" s="39" t="str">
        <f>IF(Strike_Log!H28="Pending",Strike_Log!B28,"")</f>
        <v/>
      </c>
      <c r="B28" s="39" t="str">
        <f>IF($A28="","",IFERROR(VLOOKUP($A28,Grinders!$A:$B,2,FALSE),""))</f>
        <v/>
      </c>
      <c r="C28" s="39" t="str">
        <f>IF($A28="","",Strike_Log!A28)</f>
        <v/>
      </c>
      <c r="D28" s="39" t="str">
        <f>IF($A28="","",Strike_Log!E28)</f>
        <v/>
      </c>
      <c r="E28" s="39" t="str">
        <f>IF($A28="","",Strike_Log!F28)</f>
        <v/>
      </c>
      <c r="F28" s="39" t="str">
        <f>IF($A28="","",Strike_Log!H28)</f>
        <v/>
      </c>
      <c r="G28" s="39" t="str">
        <f t="shared" si="1"/>
        <v/>
      </c>
      <c r="H28" s="39" t="str">
        <f t="shared" si="2"/>
        <v/>
      </c>
      <c r="I28" s="39" t="str">
        <f>IF(Strike_Log!H28="Pending",Strike_Log!J28,"")</f>
        <v/>
      </c>
      <c r="J28" s="39"/>
      <c r="M28" s="39" t="str">
        <f t="shared" si="3"/>
        <v/>
      </c>
    </row>
    <row r="29" ht="15.75" customHeight="1">
      <c r="A29" s="39" t="str">
        <f>IF(Strike_Log!H29="Pending",Strike_Log!B29,"")</f>
        <v/>
      </c>
      <c r="B29" s="39" t="str">
        <f>IF($A29="","",IFERROR(VLOOKUP($A29,Grinders!$A:$B,2,FALSE),""))</f>
        <v/>
      </c>
      <c r="C29" s="39" t="str">
        <f>IF($A29="","",Strike_Log!A29)</f>
        <v/>
      </c>
      <c r="D29" s="39" t="str">
        <f>IF($A29="","",Strike_Log!E29)</f>
        <v/>
      </c>
      <c r="E29" s="39" t="str">
        <f>IF($A29="","",Strike_Log!F29)</f>
        <v/>
      </c>
      <c r="F29" s="39" t="str">
        <f>IF($A29="","",Strike_Log!H29)</f>
        <v/>
      </c>
      <c r="G29" s="39" t="str">
        <f t="shared" si="1"/>
        <v/>
      </c>
      <c r="H29" s="39" t="str">
        <f t="shared" si="2"/>
        <v/>
      </c>
      <c r="I29" s="39" t="str">
        <f>IF(Strike_Log!H29="Pending",Strike_Log!J29,"")</f>
        <v/>
      </c>
      <c r="J29" s="39"/>
      <c r="M29" s="39" t="str">
        <f t="shared" si="3"/>
        <v/>
      </c>
    </row>
    <row r="30" ht="15.75" customHeight="1">
      <c r="A30" s="39" t="str">
        <f>IF(Strike_Log!H30="Pending",Strike_Log!B30,"")</f>
        <v/>
      </c>
      <c r="B30" s="39" t="str">
        <f>IF($A30="","",IFERROR(VLOOKUP($A30,Grinders!$A:$B,2,FALSE),""))</f>
        <v/>
      </c>
      <c r="C30" s="39" t="str">
        <f>IF($A30="","",Strike_Log!A30)</f>
        <v/>
      </c>
      <c r="D30" s="39" t="str">
        <f>IF($A30="","",Strike_Log!E30)</f>
        <v/>
      </c>
      <c r="E30" s="39" t="str">
        <f>IF($A30="","",Strike_Log!F30)</f>
        <v/>
      </c>
      <c r="F30" s="39" t="str">
        <f>IF($A30="","",Strike_Log!H30)</f>
        <v/>
      </c>
      <c r="G30" s="39" t="str">
        <f t="shared" si="1"/>
        <v/>
      </c>
      <c r="H30" s="39" t="str">
        <f t="shared" si="2"/>
        <v/>
      </c>
      <c r="I30" s="39" t="str">
        <f>IF(Strike_Log!H30="Pending",Strike_Log!J30,"")</f>
        <v/>
      </c>
      <c r="J30" s="39"/>
      <c r="M30" s="39" t="str">
        <f t="shared" si="3"/>
        <v/>
      </c>
    </row>
    <row r="31" ht="15.75" customHeight="1">
      <c r="A31" s="39" t="str">
        <f>IF(Strike_Log!H31="Pending",Strike_Log!B31,"")</f>
        <v/>
      </c>
      <c r="B31" s="39" t="str">
        <f>IF($A31="","",IFERROR(VLOOKUP($A31,Grinders!$A:$B,2,FALSE),""))</f>
        <v/>
      </c>
      <c r="C31" s="39" t="str">
        <f>IF($A31="","",Strike_Log!A31)</f>
        <v/>
      </c>
      <c r="D31" s="39" t="str">
        <f>IF($A31="","",Strike_Log!E31)</f>
        <v/>
      </c>
      <c r="E31" s="39" t="str">
        <f>IF($A31="","",Strike_Log!F31)</f>
        <v/>
      </c>
      <c r="F31" s="39" t="str">
        <f>IF($A31="","",Strike_Log!H31)</f>
        <v/>
      </c>
      <c r="G31" s="39" t="str">
        <f t="shared" si="1"/>
        <v/>
      </c>
      <c r="H31" s="39" t="str">
        <f t="shared" si="2"/>
        <v/>
      </c>
      <c r="I31" s="39" t="str">
        <f>IF(Strike_Log!H31="Pending",Strike_Log!J31,"")</f>
        <v/>
      </c>
      <c r="J31" s="39"/>
      <c r="M31" s="39" t="str">
        <f t="shared" si="3"/>
        <v/>
      </c>
    </row>
    <row r="32" ht="15.75" customHeight="1">
      <c r="A32" s="39" t="str">
        <f>IF(Strike_Log!H32="Pending",Strike_Log!B32,"")</f>
        <v/>
      </c>
      <c r="B32" s="39" t="str">
        <f>IF($A32="","",IFERROR(VLOOKUP($A32,Grinders!$A:$B,2,FALSE),""))</f>
        <v/>
      </c>
      <c r="C32" s="39" t="str">
        <f>IF($A32="","",Strike_Log!A32)</f>
        <v/>
      </c>
      <c r="D32" s="39" t="str">
        <f>IF($A32="","",Strike_Log!E32)</f>
        <v/>
      </c>
      <c r="E32" s="39" t="str">
        <f>IF($A32="","",Strike_Log!F32)</f>
        <v/>
      </c>
      <c r="F32" s="39" t="str">
        <f>IF($A32="","",Strike_Log!H32)</f>
        <v/>
      </c>
      <c r="G32" s="39" t="str">
        <f t="shared" si="1"/>
        <v/>
      </c>
      <c r="H32" s="39" t="str">
        <f t="shared" si="2"/>
        <v/>
      </c>
      <c r="I32" s="39" t="str">
        <f>IF(Strike_Log!H32="Pending",Strike_Log!J32,"")</f>
        <v/>
      </c>
      <c r="J32" s="39"/>
      <c r="M32" s="39" t="str">
        <f t="shared" si="3"/>
        <v/>
      </c>
    </row>
    <row r="33" ht="15.75" customHeight="1">
      <c r="A33" s="39" t="str">
        <f>IF(Strike_Log!H33="Pending",Strike_Log!B33,"")</f>
        <v/>
      </c>
      <c r="B33" s="39" t="str">
        <f>IF($A33="","",IFERROR(VLOOKUP($A33,Grinders!$A:$B,2,FALSE),""))</f>
        <v/>
      </c>
      <c r="C33" s="39" t="str">
        <f>IF($A33="","",Strike_Log!A33)</f>
        <v/>
      </c>
      <c r="D33" s="39" t="str">
        <f>IF($A33="","",Strike_Log!E33)</f>
        <v/>
      </c>
      <c r="E33" s="39" t="str">
        <f>IF($A33="","",Strike_Log!F33)</f>
        <v/>
      </c>
      <c r="F33" s="39" t="str">
        <f>IF($A33="","",Strike_Log!H33)</f>
        <v/>
      </c>
      <c r="G33" s="39" t="str">
        <f t="shared" si="1"/>
        <v/>
      </c>
      <c r="H33" s="39" t="str">
        <f t="shared" si="2"/>
        <v/>
      </c>
      <c r="I33" s="39" t="str">
        <f>IF(Strike_Log!H33="Pending",Strike_Log!J33,"")</f>
        <v/>
      </c>
      <c r="J33" s="39"/>
      <c r="M33" s="39" t="str">
        <f t="shared" si="3"/>
        <v/>
      </c>
    </row>
    <row r="34" ht="15.75" customHeight="1">
      <c r="A34" s="39" t="str">
        <f>IF(Strike_Log!H34="Pending",Strike_Log!B34,"")</f>
        <v/>
      </c>
      <c r="B34" s="39" t="str">
        <f>IF($A34="","",IFERROR(VLOOKUP($A34,Grinders!$A:$B,2,FALSE),""))</f>
        <v/>
      </c>
      <c r="C34" s="39" t="str">
        <f>IF($A34="","",Strike_Log!A34)</f>
        <v/>
      </c>
      <c r="D34" s="39" t="str">
        <f>IF($A34="","",Strike_Log!E34)</f>
        <v/>
      </c>
      <c r="E34" s="39" t="str">
        <f>IF($A34="","",Strike_Log!F34)</f>
        <v/>
      </c>
      <c r="F34" s="39" t="str">
        <f>IF($A34="","",Strike_Log!H34)</f>
        <v/>
      </c>
      <c r="G34" s="39" t="str">
        <f t="shared" si="1"/>
        <v/>
      </c>
      <c r="H34" s="39" t="str">
        <f t="shared" si="2"/>
        <v/>
      </c>
      <c r="I34" s="39" t="str">
        <f>IF(Strike_Log!H34="Pending",Strike_Log!J34,"")</f>
        <v/>
      </c>
      <c r="J34" s="39"/>
      <c r="M34" s="39" t="str">
        <f t="shared" si="3"/>
        <v/>
      </c>
    </row>
    <row r="35" ht="15.75" customHeight="1">
      <c r="A35" s="39" t="str">
        <f>IF(Strike_Log!H35="Pending",Strike_Log!B35,"")</f>
        <v/>
      </c>
      <c r="B35" s="39" t="str">
        <f>IF($A35="","",IFERROR(VLOOKUP($A35,Grinders!$A:$B,2,FALSE),""))</f>
        <v/>
      </c>
      <c r="C35" s="39" t="str">
        <f>IF($A35="","",Strike_Log!A35)</f>
        <v/>
      </c>
      <c r="D35" s="39" t="str">
        <f>IF($A35="","",Strike_Log!E35)</f>
        <v/>
      </c>
      <c r="E35" s="39" t="str">
        <f>IF($A35="","",Strike_Log!F35)</f>
        <v/>
      </c>
      <c r="F35" s="39" t="str">
        <f>IF($A35="","",Strike_Log!H35)</f>
        <v/>
      </c>
      <c r="G35" s="39" t="str">
        <f t="shared" si="1"/>
        <v/>
      </c>
      <c r="H35" s="39" t="str">
        <f t="shared" si="2"/>
        <v/>
      </c>
      <c r="I35" s="39" t="str">
        <f>IF(Strike_Log!H35="Pending",Strike_Log!J35,"")</f>
        <v/>
      </c>
      <c r="J35" s="39"/>
      <c r="M35" s="39" t="str">
        <f t="shared" si="3"/>
        <v/>
      </c>
    </row>
    <row r="36" ht="15.75" customHeight="1">
      <c r="A36" s="39" t="str">
        <f>IF(Strike_Log!H36="Pending",Strike_Log!B36,"")</f>
        <v/>
      </c>
      <c r="B36" s="39" t="str">
        <f>IF($A36="","",IFERROR(VLOOKUP($A36,Grinders!$A:$B,2,FALSE),""))</f>
        <v/>
      </c>
      <c r="C36" s="39" t="str">
        <f>IF($A36="","",Strike_Log!A36)</f>
        <v/>
      </c>
      <c r="D36" s="39" t="str">
        <f>IF($A36="","",Strike_Log!E36)</f>
        <v/>
      </c>
      <c r="E36" s="39" t="str">
        <f>IF($A36="","",Strike_Log!F36)</f>
        <v/>
      </c>
      <c r="F36" s="39" t="str">
        <f>IF($A36="","",Strike_Log!H36)</f>
        <v/>
      </c>
      <c r="G36" s="39" t="str">
        <f t="shared" si="1"/>
        <v/>
      </c>
      <c r="H36" s="39" t="str">
        <f t="shared" si="2"/>
        <v/>
      </c>
      <c r="I36" s="39" t="str">
        <f>IF(Strike_Log!H36="Pending",Strike_Log!J36,"")</f>
        <v/>
      </c>
      <c r="J36" s="39"/>
      <c r="M36" s="39" t="str">
        <f t="shared" si="3"/>
        <v/>
      </c>
    </row>
    <row r="37" ht="15.75" customHeight="1">
      <c r="A37" s="39" t="str">
        <f>IF(Strike_Log!H37="Pending",Strike_Log!B37,"")</f>
        <v/>
      </c>
      <c r="B37" s="39" t="str">
        <f>IF($A37="","",IFERROR(VLOOKUP($A37,Grinders!$A:$B,2,FALSE),""))</f>
        <v/>
      </c>
      <c r="C37" s="39" t="str">
        <f>IF($A37="","",Strike_Log!A37)</f>
        <v/>
      </c>
      <c r="D37" s="39" t="str">
        <f>IF($A37="","",Strike_Log!E37)</f>
        <v/>
      </c>
      <c r="E37" s="39" t="str">
        <f>IF($A37="","",Strike_Log!F37)</f>
        <v/>
      </c>
      <c r="F37" s="39" t="str">
        <f>IF($A37="","",Strike_Log!H37)</f>
        <v/>
      </c>
      <c r="G37" s="39" t="str">
        <f t="shared" si="1"/>
        <v/>
      </c>
      <c r="H37" s="39" t="str">
        <f t="shared" si="2"/>
        <v/>
      </c>
      <c r="I37" s="39" t="str">
        <f>IF(Strike_Log!H37="Pending",Strike_Log!J37,"")</f>
        <v/>
      </c>
      <c r="J37" s="39"/>
      <c r="M37" s="39" t="str">
        <f t="shared" si="3"/>
        <v/>
      </c>
    </row>
    <row r="38" ht="15.75" customHeight="1">
      <c r="A38" s="39" t="str">
        <f>IF(Strike_Log!H38="Pending",Strike_Log!B38,"")</f>
        <v/>
      </c>
      <c r="B38" s="39" t="str">
        <f>IF($A38="","",IFERROR(VLOOKUP($A38,Grinders!$A:$B,2,FALSE),""))</f>
        <v/>
      </c>
      <c r="C38" s="39" t="str">
        <f>IF($A38="","",Strike_Log!A38)</f>
        <v/>
      </c>
      <c r="D38" s="39" t="str">
        <f>IF($A38="","",Strike_Log!E38)</f>
        <v/>
      </c>
      <c r="E38" s="39" t="str">
        <f>IF($A38="","",Strike_Log!F38)</f>
        <v/>
      </c>
      <c r="F38" s="39" t="str">
        <f>IF($A38="","",Strike_Log!H38)</f>
        <v/>
      </c>
      <c r="G38" s="39" t="str">
        <f t="shared" si="1"/>
        <v/>
      </c>
      <c r="H38" s="39" t="str">
        <f t="shared" si="2"/>
        <v/>
      </c>
      <c r="I38" s="39" t="str">
        <f>IF(Strike_Log!H38="Pending",Strike_Log!J38,"")</f>
        <v/>
      </c>
      <c r="J38" s="39"/>
      <c r="M38" s="39" t="str">
        <f t="shared" si="3"/>
        <v/>
      </c>
    </row>
    <row r="39" ht="15.75" customHeight="1">
      <c r="A39" s="39" t="str">
        <f>IF(Strike_Log!H39="Pending",Strike_Log!B39,"")</f>
        <v/>
      </c>
      <c r="B39" s="39" t="str">
        <f>IF($A39="","",IFERROR(VLOOKUP($A39,Grinders!$A:$B,2,FALSE),""))</f>
        <v/>
      </c>
      <c r="C39" s="39" t="str">
        <f>IF($A39="","",Strike_Log!A39)</f>
        <v/>
      </c>
      <c r="D39" s="39" t="str">
        <f>IF($A39="","",Strike_Log!E39)</f>
        <v/>
      </c>
      <c r="E39" s="39" t="str">
        <f>IF($A39="","",Strike_Log!F39)</f>
        <v/>
      </c>
      <c r="F39" s="39" t="str">
        <f>IF($A39="","",Strike_Log!H39)</f>
        <v/>
      </c>
      <c r="G39" s="39" t="str">
        <f t="shared" si="1"/>
        <v/>
      </c>
      <c r="H39" s="39" t="str">
        <f t="shared" si="2"/>
        <v/>
      </c>
      <c r="I39" s="39" t="str">
        <f>IF(Strike_Log!H39="Pending",Strike_Log!J39,"")</f>
        <v/>
      </c>
      <c r="J39" s="39"/>
      <c r="M39" s="39" t="str">
        <f t="shared" si="3"/>
        <v/>
      </c>
    </row>
    <row r="40" ht="15.75" customHeight="1">
      <c r="A40" s="39" t="str">
        <f>IF(Strike_Log!H40="Pending",Strike_Log!B40,"")</f>
        <v/>
      </c>
      <c r="B40" s="39" t="str">
        <f>IF($A40="","",IFERROR(VLOOKUP($A40,Grinders!$A:$B,2,FALSE),""))</f>
        <v/>
      </c>
      <c r="C40" s="39" t="str">
        <f>IF($A40="","",Strike_Log!A40)</f>
        <v/>
      </c>
      <c r="D40" s="39" t="str">
        <f>IF($A40="","",Strike_Log!E40)</f>
        <v/>
      </c>
      <c r="E40" s="39" t="str">
        <f>IF($A40="","",Strike_Log!F40)</f>
        <v/>
      </c>
      <c r="F40" s="39" t="str">
        <f>IF($A40="","",Strike_Log!H40)</f>
        <v/>
      </c>
      <c r="G40" s="39" t="str">
        <f t="shared" si="1"/>
        <v/>
      </c>
      <c r="H40" s="39" t="str">
        <f t="shared" si="2"/>
        <v/>
      </c>
      <c r="I40" s="39" t="str">
        <f>IF(Strike_Log!H40="Pending",Strike_Log!J40,"")</f>
        <v/>
      </c>
      <c r="J40" s="39"/>
      <c r="M40" s="39" t="str">
        <f t="shared" si="3"/>
        <v/>
      </c>
    </row>
    <row r="41" ht="15.75" customHeight="1">
      <c r="A41" s="39" t="str">
        <f>IF(Strike_Log!H41="Pending",Strike_Log!B41,"")</f>
        <v/>
      </c>
      <c r="B41" s="39" t="str">
        <f>IF($A41="","",IFERROR(VLOOKUP($A41,Grinders!$A:$B,2,FALSE),""))</f>
        <v/>
      </c>
      <c r="C41" s="39" t="str">
        <f>IF($A41="","",Strike_Log!A41)</f>
        <v/>
      </c>
      <c r="D41" s="39" t="str">
        <f>IF($A41="","",Strike_Log!E41)</f>
        <v/>
      </c>
      <c r="E41" s="39" t="str">
        <f>IF($A41="","",Strike_Log!F41)</f>
        <v/>
      </c>
      <c r="F41" s="39" t="str">
        <f>IF($A41="","",Strike_Log!H41)</f>
        <v/>
      </c>
      <c r="G41" s="39" t="str">
        <f t="shared" si="1"/>
        <v/>
      </c>
      <c r="H41" s="39" t="str">
        <f t="shared" si="2"/>
        <v/>
      </c>
      <c r="I41" s="39" t="str">
        <f>IF(Strike_Log!H41="Pending",Strike_Log!J41,"")</f>
        <v/>
      </c>
      <c r="J41" s="39"/>
      <c r="M41" s="39" t="str">
        <f t="shared" si="3"/>
        <v/>
      </c>
    </row>
    <row r="42" ht="15.75" customHeight="1">
      <c r="A42" s="39" t="str">
        <f>IF(Strike_Log!H42="Pending",Strike_Log!B42,"")</f>
        <v/>
      </c>
      <c r="B42" s="39" t="str">
        <f>IF($A42="","",IFERROR(VLOOKUP($A42,Grinders!$A:$B,2,FALSE),""))</f>
        <v/>
      </c>
      <c r="C42" s="39" t="str">
        <f>IF($A42="","",Strike_Log!A42)</f>
        <v/>
      </c>
      <c r="D42" s="39" t="str">
        <f>IF($A42="","",Strike_Log!E42)</f>
        <v/>
      </c>
      <c r="E42" s="39" t="str">
        <f>IF($A42="","",Strike_Log!F42)</f>
        <v/>
      </c>
      <c r="F42" s="39" t="str">
        <f>IF($A42="","",Strike_Log!H42)</f>
        <v/>
      </c>
      <c r="G42" s="39" t="str">
        <f t="shared" si="1"/>
        <v/>
      </c>
      <c r="H42" s="39" t="str">
        <f t="shared" si="2"/>
        <v/>
      </c>
      <c r="I42" s="39" t="str">
        <f>IF(Strike_Log!H42="Pending",Strike_Log!J42,"")</f>
        <v/>
      </c>
      <c r="J42" s="39"/>
      <c r="M42" s="39" t="str">
        <f t="shared" si="3"/>
        <v/>
      </c>
    </row>
    <row r="43" ht="15.75" customHeight="1">
      <c r="A43" s="39" t="str">
        <f>IF(Strike_Log!H43="Pending",Strike_Log!B43,"")</f>
        <v/>
      </c>
      <c r="B43" s="39" t="str">
        <f>IF($A43="","",IFERROR(VLOOKUP($A43,Grinders!$A:$B,2,FALSE),""))</f>
        <v/>
      </c>
      <c r="C43" s="39" t="str">
        <f>IF($A43="","",Strike_Log!A43)</f>
        <v/>
      </c>
      <c r="D43" s="39" t="str">
        <f>IF($A43="","",Strike_Log!E43)</f>
        <v/>
      </c>
      <c r="E43" s="39" t="str">
        <f>IF($A43="","",Strike_Log!F43)</f>
        <v/>
      </c>
      <c r="F43" s="39" t="str">
        <f>IF($A43="","",Strike_Log!H43)</f>
        <v/>
      </c>
      <c r="G43" s="39" t="str">
        <f t="shared" si="1"/>
        <v/>
      </c>
      <c r="H43" s="39" t="str">
        <f t="shared" si="2"/>
        <v/>
      </c>
      <c r="I43" s="39" t="str">
        <f>IF(Strike_Log!H43="Pending",Strike_Log!J43,"")</f>
        <v/>
      </c>
      <c r="J43" s="39"/>
      <c r="M43" s="39" t="str">
        <f t="shared" si="3"/>
        <v/>
      </c>
    </row>
    <row r="44" ht="15.75" customHeight="1">
      <c r="A44" s="39" t="str">
        <f>IF(Strike_Log!H44="Pending",Strike_Log!B44,"")</f>
        <v/>
      </c>
      <c r="B44" s="39" t="str">
        <f>IF($A44="","",IFERROR(VLOOKUP($A44,Grinders!$A:$B,2,FALSE),""))</f>
        <v/>
      </c>
      <c r="C44" s="39" t="str">
        <f>IF($A44="","",Strike_Log!A44)</f>
        <v/>
      </c>
      <c r="D44" s="39" t="str">
        <f>IF($A44="","",Strike_Log!E44)</f>
        <v/>
      </c>
      <c r="E44" s="39" t="str">
        <f>IF($A44="","",Strike_Log!F44)</f>
        <v/>
      </c>
      <c r="F44" s="39" t="str">
        <f>IF($A44="","",Strike_Log!H44)</f>
        <v/>
      </c>
      <c r="G44" s="39" t="str">
        <f t="shared" si="1"/>
        <v/>
      </c>
      <c r="H44" s="39" t="str">
        <f t="shared" si="2"/>
        <v/>
      </c>
      <c r="I44" s="39" t="str">
        <f>IF(Strike_Log!H44="Pending",Strike_Log!J44,"")</f>
        <v/>
      </c>
      <c r="J44" s="39"/>
      <c r="M44" s="39" t="str">
        <f t="shared" si="3"/>
        <v/>
      </c>
    </row>
    <row r="45" ht="15.75" customHeight="1">
      <c r="A45" s="39" t="str">
        <f>IF(Strike_Log!H45="Pending",Strike_Log!B45,"")</f>
        <v/>
      </c>
      <c r="B45" s="39" t="str">
        <f>IF($A45="","",IFERROR(VLOOKUP($A45,Grinders!$A:$B,2,FALSE),""))</f>
        <v/>
      </c>
      <c r="C45" s="39" t="str">
        <f>IF($A45="","",Strike_Log!A45)</f>
        <v/>
      </c>
      <c r="D45" s="39" t="str">
        <f>IF($A45="","",Strike_Log!E45)</f>
        <v/>
      </c>
      <c r="E45" s="39" t="str">
        <f>IF($A45="","",Strike_Log!F45)</f>
        <v/>
      </c>
      <c r="F45" s="39" t="str">
        <f>IF($A45="","",Strike_Log!H45)</f>
        <v/>
      </c>
      <c r="G45" s="39" t="str">
        <f t="shared" si="1"/>
        <v/>
      </c>
      <c r="H45" s="39" t="str">
        <f t="shared" si="2"/>
        <v/>
      </c>
      <c r="I45" s="39" t="str">
        <f>IF(Strike_Log!H45="Pending",Strike_Log!J45,"")</f>
        <v/>
      </c>
      <c r="J45" s="39"/>
      <c r="M45" s="39" t="str">
        <f t="shared" si="3"/>
        <v/>
      </c>
    </row>
    <row r="46" ht="15.75" customHeight="1">
      <c r="A46" s="39" t="str">
        <f>IF(Strike_Log!H46="Pending",Strike_Log!B46,"")</f>
        <v/>
      </c>
      <c r="B46" s="39" t="str">
        <f>IF($A46="","",IFERROR(VLOOKUP($A46,Grinders!$A:$B,2,FALSE),""))</f>
        <v/>
      </c>
      <c r="C46" s="39" t="str">
        <f>IF($A46="","",Strike_Log!A46)</f>
        <v/>
      </c>
      <c r="D46" s="39" t="str">
        <f>IF($A46="","",Strike_Log!E46)</f>
        <v/>
      </c>
      <c r="E46" s="39" t="str">
        <f>IF($A46="","",Strike_Log!F46)</f>
        <v/>
      </c>
      <c r="F46" s="39" t="str">
        <f>IF($A46="","",Strike_Log!H46)</f>
        <v/>
      </c>
      <c r="G46" s="39" t="str">
        <f t="shared" si="1"/>
        <v/>
      </c>
      <c r="H46" s="39" t="str">
        <f t="shared" si="2"/>
        <v/>
      </c>
      <c r="I46" s="39" t="str">
        <f>IF(Strike_Log!H46="Pending",Strike_Log!J46,"")</f>
        <v/>
      </c>
      <c r="J46" s="39"/>
      <c r="M46" s="39" t="str">
        <f t="shared" si="3"/>
        <v/>
      </c>
    </row>
    <row r="47" ht="15.75" customHeight="1">
      <c r="A47" s="39" t="str">
        <f>IF(Strike_Log!H47="Pending",Strike_Log!B47,"")</f>
        <v/>
      </c>
      <c r="B47" s="39" t="str">
        <f>IF($A47="","",IFERROR(VLOOKUP($A47,Grinders!$A:$B,2,FALSE),""))</f>
        <v/>
      </c>
      <c r="C47" s="39" t="str">
        <f>IF($A47="","",Strike_Log!A47)</f>
        <v/>
      </c>
      <c r="D47" s="39" t="str">
        <f>IF($A47="","",Strike_Log!E47)</f>
        <v/>
      </c>
      <c r="E47" s="39" t="str">
        <f>IF($A47="","",Strike_Log!F47)</f>
        <v/>
      </c>
      <c r="F47" s="39" t="str">
        <f>IF($A47="","",Strike_Log!H47)</f>
        <v/>
      </c>
      <c r="G47" s="39" t="str">
        <f t="shared" si="1"/>
        <v/>
      </c>
      <c r="H47" s="39" t="str">
        <f t="shared" si="2"/>
        <v/>
      </c>
      <c r="I47" s="39" t="str">
        <f>IF(Strike_Log!H47="Pending",Strike_Log!J47,"")</f>
        <v/>
      </c>
      <c r="J47" s="39"/>
      <c r="M47" s="39" t="str">
        <f t="shared" si="3"/>
        <v/>
      </c>
    </row>
    <row r="48" ht="15.75" customHeight="1">
      <c r="A48" s="39" t="str">
        <f>IF(Strike_Log!H48="Pending",Strike_Log!B48,"")</f>
        <v/>
      </c>
      <c r="B48" s="39" t="str">
        <f>IF($A48="","",IFERROR(VLOOKUP($A48,Grinders!$A:$B,2,FALSE),""))</f>
        <v/>
      </c>
      <c r="C48" s="39" t="str">
        <f>IF($A48="","",Strike_Log!A48)</f>
        <v/>
      </c>
      <c r="D48" s="39" t="str">
        <f>IF($A48="","",Strike_Log!E48)</f>
        <v/>
      </c>
      <c r="E48" s="39" t="str">
        <f>IF($A48="","",Strike_Log!F48)</f>
        <v/>
      </c>
      <c r="F48" s="39" t="str">
        <f>IF($A48="","",Strike_Log!H48)</f>
        <v/>
      </c>
      <c r="G48" s="39" t="str">
        <f t="shared" si="1"/>
        <v/>
      </c>
      <c r="H48" s="39" t="str">
        <f t="shared" si="2"/>
        <v/>
      </c>
      <c r="I48" s="39" t="str">
        <f>IF(Strike_Log!H48="Pending",Strike_Log!J48,"")</f>
        <v/>
      </c>
      <c r="J48" s="39"/>
      <c r="M48" s="39" t="str">
        <f t="shared" si="3"/>
        <v/>
      </c>
    </row>
    <row r="49" ht="15.75" customHeight="1">
      <c r="A49" s="39" t="str">
        <f>IF(Strike_Log!H49="Pending",Strike_Log!B49,"")</f>
        <v/>
      </c>
      <c r="B49" s="39" t="str">
        <f>IF($A49="","",IFERROR(VLOOKUP($A49,Grinders!$A:$B,2,FALSE),""))</f>
        <v/>
      </c>
      <c r="C49" s="39" t="str">
        <f>IF($A49="","",Strike_Log!A49)</f>
        <v/>
      </c>
      <c r="D49" s="39" t="str">
        <f>IF($A49="","",Strike_Log!E49)</f>
        <v/>
      </c>
      <c r="E49" s="39" t="str">
        <f>IF($A49="","",Strike_Log!F49)</f>
        <v/>
      </c>
      <c r="F49" s="39" t="str">
        <f>IF($A49="","",Strike_Log!H49)</f>
        <v/>
      </c>
      <c r="G49" s="39" t="str">
        <f t="shared" si="1"/>
        <v/>
      </c>
      <c r="H49" s="39" t="str">
        <f t="shared" si="2"/>
        <v/>
      </c>
      <c r="I49" s="39" t="str">
        <f>IF(Strike_Log!H49="Pending",Strike_Log!J49,"")</f>
        <v/>
      </c>
      <c r="J49" s="39"/>
      <c r="M49" s="39" t="str">
        <f t="shared" si="3"/>
        <v/>
      </c>
    </row>
    <row r="50" ht="15.75" customHeight="1">
      <c r="A50" s="39" t="str">
        <f>IF(Strike_Log!H50="Pending",Strike_Log!B50,"")</f>
        <v/>
      </c>
      <c r="B50" s="39" t="str">
        <f>IF($A50="","",IFERROR(VLOOKUP($A50,Grinders!$A:$B,2,FALSE),""))</f>
        <v/>
      </c>
      <c r="C50" s="39" t="str">
        <f>IF($A50="","",Strike_Log!A50)</f>
        <v/>
      </c>
      <c r="D50" s="39" t="str">
        <f>IF($A50="","",Strike_Log!E50)</f>
        <v/>
      </c>
      <c r="E50" s="39" t="str">
        <f>IF($A50="","",Strike_Log!F50)</f>
        <v/>
      </c>
      <c r="F50" s="39" t="str">
        <f>IF($A50="","",Strike_Log!H50)</f>
        <v/>
      </c>
      <c r="G50" s="39" t="str">
        <f t="shared" si="1"/>
        <v/>
      </c>
      <c r="H50" s="39" t="str">
        <f t="shared" si="2"/>
        <v/>
      </c>
      <c r="I50" s="39" t="str">
        <f>IF(Strike_Log!H50="Pending",Strike_Log!J50,"")</f>
        <v/>
      </c>
      <c r="J50" s="39"/>
      <c r="M50" s="39" t="str">
        <f t="shared" si="3"/>
        <v/>
      </c>
    </row>
    <row r="51" ht="15.75" customHeight="1">
      <c r="A51" s="39" t="str">
        <f>IF(Strike_Log!H51="Pending",Strike_Log!B51,"")</f>
        <v/>
      </c>
      <c r="B51" s="39" t="str">
        <f>IF($A51="","",IFERROR(VLOOKUP($A51,Grinders!$A:$B,2,FALSE),""))</f>
        <v/>
      </c>
      <c r="C51" s="39" t="str">
        <f>IF($A51="","",Strike_Log!A51)</f>
        <v/>
      </c>
      <c r="D51" s="39" t="str">
        <f>IF($A51="","",Strike_Log!E51)</f>
        <v/>
      </c>
      <c r="E51" s="39" t="str">
        <f>IF($A51="","",Strike_Log!F51)</f>
        <v/>
      </c>
      <c r="F51" s="39" t="str">
        <f>IF($A51="","",Strike_Log!H51)</f>
        <v/>
      </c>
      <c r="G51" s="39" t="str">
        <f t="shared" si="1"/>
        <v/>
      </c>
      <c r="H51" s="39" t="str">
        <f t="shared" si="2"/>
        <v/>
      </c>
      <c r="I51" s="39" t="str">
        <f>IF(Strike_Log!H51="Pending",Strike_Log!J51,"")</f>
        <v/>
      </c>
      <c r="J51" s="39"/>
      <c r="M51" s="39" t="str">
        <f t="shared" si="3"/>
        <v/>
      </c>
    </row>
    <row r="52" ht="15.75" customHeight="1">
      <c r="A52" s="39" t="str">
        <f>IF(Strike_Log!H52="Pending",Strike_Log!B52,"")</f>
        <v/>
      </c>
      <c r="B52" s="39" t="str">
        <f>IF($A52="","",IFERROR(VLOOKUP($A52,Grinders!$A:$B,2,FALSE),""))</f>
        <v/>
      </c>
      <c r="C52" s="39" t="str">
        <f>IF($A52="","",Strike_Log!A52)</f>
        <v/>
      </c>
      <c r="D52" s="39" t="str">
        <f>IF($A52="","",Strike_Log!E52)</f>
        <v/>
      </c>
      <c r="E52" s="39" t="str">
        <f>IF($A52="","",Strike_Log!F52)</f>
        <v/>
      </c>
      <c r="F52" s="39" t="str">
        <f>IF($A52="","",Strike_Log!H52)</f>
        <v/>
      </c>
      <c r="G52" s="39" t="str">
        <f t="shared" si="1"/>
        <v/>
      </c>
      <c r="H52" s="39" t="str">
        <f t="shared" si="2"/>
        <v/>
      </c>
      <c r="I52" s="39" t="str">
        <f>IF(Strike_Log!H52="Pending",Strike_Log!J52,"")</f>
        <v/>
      </c>
      <c r="J52" s="39"/>
      <c r="M52" s="39" t="str">
        <f t="shared" si="3"/>
        <v/>
      </c>
    </row>
    <row r="53" ht="15.75" customHeight="1">
      <c r="A53" s="39" t="str">
        <f>IF(Strike_Log!H53="Pending",Strike_Log!B53,"")</f>
        <v/>
      </c>
      <c r="B53" s="39" t="str">
        <f>IF($A53="","",IFERROR(VLOOKUP($A53,Grinders!$A:$B,2,FALSE),""))</f>
        <v/>
      </c>
      <c r="C53" s="39" t="str">
        <f>IF($A53="","",Strike_Log!A53)</f>
        <v/>
      </c>
      <c r="D53" s="39" t="str">
        <f>IF($A53="","",Strike_Log!E53)</f>
        <v/>
      </c>
      <c r="E53" s="39" t="str">
        <f>IF($A53="","",Strike_Log!F53)</f>
        <v/>
      </c>
      <c r="F53" s="39" t="str">
        <f>IF($A53="","",Strike_Log!H53)</f>
        <v/>
      </c>
      <c r="G53" s="39" t="str">
        <f t="shared" si="1"/>
        <v/>
      </c>
      <c r="H53" s="39" t="str">
        <f t="shared" si="2"/>
        <v/>
      </c>
      <c r="I53" s="39" t="str">
        <f>IF(Strike_Log!H53="Pending",Strike_Log!J53,"")</f>
        <v/>
      </c>
      <c r="J53" s="39"/>
      <c r="M53" s="39" t="str">
        <f t="shared" si="3"/>
        <v/>
      </c>
    </row>
    <row r="54" ht="15.75" customHeight="1">
      <c r="A54" s="39" t="str">
        <f>IF(Strike_Log!H54="Pending",Strike_Log!B54,"")</f>
        <v/>
      </c>
      <c r="B54" s="39" t="str">
        <f>IF($A54="","",IFERROR(VLOOKUP($A54,Grinders!$A:$B,2,FALSE),""))</f>
        <v/>
      </c>
      <c r="C54" s="39" t="str">
        <f>IF($A54="","",Strike_Log!A54)</f>
        <v/>
      </c>
      <c r="D54" s="39" t="str">
        <f>IF($A54="","",Strike_Log!E54)</f>
        <v/>
      </c>
      <c r="E54" s="39" t="str">
        <f>IF($A54="","",Strike_Log!F54)</f>
        <v/>
      </c>
      <c r="F54" s="39" t="str">
        <f>IF($A54="","",Strike_Log!H54)</f>
        <v/>
      </c>
      <c r="G54" s="39" t="str">
        <f t="shared" si="1"/>
        <v/>
      </c>
      <c r="H54" s="39" t="str">
        <f t="shared" si="2"/>
        <v/>
      </c>
      <c r="I54" s="39" t="str">
        <f>IF(Strike_Log!H54="Pending",Strike_Log!J54,"")</f>
        <v/>
      </c>
      <c r="J54" s="39"/>
      <c r="M54" s="39" t="str">
        <f t="shared" si="3"/>
        <v/>
      </c>
    </row>
    <row r="55" ht="15.75" customHeight="1">
      <c r="A55" s="39" t="str">
        <f>IF(Strike_Log!H55="Pending",Strike_Log!B55,"")</f>
        <v/>
      </c>
      <c r="B55" s="39" t="str">
        <f>IF($A55="","",IFERROR(VLOOKUP($A55,Grinders!$A:$B,2,FALSE),""))</f>
        <v/>
      </c>
      <c r="C55" s="39" t="str">
        <f>IF($A55="","",Strike_Log!A55)</f>
        <v/>
      </c>
      <c r="D55" s="39" t="str">
        <f>IF($A55="","",Strike_Log!E55)</f>
        <v/>
      </c>
      <c r="E55" s="39" t="str">
        <f>IF($A55="","",Strike_Log!F55)</f>
        <v/>
      </c>
      <c r="F55" s="39" t="str">
        <f>IF($A55="","",Strike_Log!H55)</f>
        <v/>
      </c>
      <c r="G55" s="39" t="str">
        <f t="shared" si="1"/>
        <v/>
      </c>
      <c r="H55" s="39" t="str">
        <f t="shared" si="2"/>
        <v/>
      </c>
      <c r="I55" s="39" t="str">
        <f>IF(Strike_Log!H55="Pending",Strike_Log!J55,"")</f>
        <v/>
      </c>
      <c r="J55" s="39"/>
      <c r="M55" s="39" t="str">
        <f t="shared" si="3"/>
        <v/>
      </c>
    </row>
    <row r="56" ht="15.75" customHeight="1">
      <c r="A56" s="39" t="str">
        <f>IF(Strike_Log!H56="Pending",Strike_Log!B56,"")</f>
        <v/>
      </c>
      <c r="B56" s="39" t="str">
        <f>IF($A56="","",IFERROR(VLOOKUP($A56,Grinders!$A:$B,2,FALSE),""))</f>
        <v/>
      </c>
      <c r="C56" s="39" t="str">
        <f>IF($A56="","",Strike_Log!A56)</f>
        <v/>
      </c>
      <c r="D56" s="39" t="str">
        <f>IF($A56="","",Strike_Log!E56)</f>
        <v/>
      </c>
      <c r="E56" s="39" t="str">
        <f>IF($A56="","",Strike_Log!F56)</f>
        <v/>
      </c>
      <c r="F56" s="39" t="str">
        <f>IF($A56="","",Strike_Log!H56)</f>
        <v/>
      </c>
      <c r="G56" s="39" t="str">
        <f t="shared" si="1"/>
        <v/>
      </c>
      <c r="H56" s="39" t="str">
        <f t="shared" si="2"/>
        <v/>
      </c>
      <c r="I56" s="39" t="str">
        <f>IF(Strike_Log!H56="Pending",Strike_Log!J56,"")</f>
        <v/>
      </c>
      <c r="J56" s="39"/>
      <c r="M56" s="39" t="str">
        <f t="shared" si="3"/>
        <v/>
      </c>
    </row>
    <row r="57" ht="15.75" customHeight="1">
      <c r="A57" s="39" t="str">
        <f>IF(Strike_Log!H57="Pending",Strike_Log!B57,"")</f>
        <v/>
      </c>
      <c r="B57" s="39" t="str">
        <f>IF($A57="","",IFERROR(VLOOKUP($A57,Grinders!$A:$B,2,FALSE),""))</f>
        <v/>
      </c>
      <c r="C57" s="39" t="str">
        <f>IF($A57="","",Strike_Log!A57)</f>
        <v/>
      </c>
      <c r="D57" s="39" t="str">
        <f>IF($A57="","",Strike_Log!E57)</f>
        <v/>
      </c>
      <c r="E57" s="39" t="str">
        <f>IF($A57="","",Strike_Log!F57)</f>
        <v/>
      </c>
      <c r="F57" s="39" t="str">
        <f>IF($A57="","",Strike_Log!H57)</f>
        <v/>
      </c>
      <c r="G57" s="39" t="str">
        <f t="shared" si="1"/>
        <v/>
      </c>
      <c r="H57" s="39" t="str">
        <f t="shared" si="2"/>
        <v/>
      </c>
      <c r="I57" s="39" t="str">
        <f>IF(Strike_Log!H57="Pending",Strike_Log!J57,"")</f>
        <v/>
      </c>
      <c r="J57" s="39"/>
      <c r="M57" s="39" t="str">
        <f t="shared" si="3"/>
        <v/>
      </c>
    </row>
    <row r="58" ht="15.75" customHeight="1">
      <c r="A58" s="39" t="str">
        <f>IF(Strike_Log!H58="Pending",Strike_Log!B58,"")</f>
        <v/>
      </c>
      <c r="B58" s="39" t="str">
        <f>IF($A58="","",IFERROR(VLOOKUP($A58,Grinders!$A:$B,2,FALSE),""))</f>
        <v/>
      </c>
      <c r="C58" s="39" t="str">
        <f>IF($A58="","",Strike_Log!A58)</f>
        <v/>
      </c>
      <c r="D58" s="39" t="str">
        <f>IF($A58="","",Strike_Log!E58)</f>
        <v/>
      </c>
      <c r="E58" s="39" t="str">
        <f>IF($A58="","",Strike_Log!F58)</f>
        <v/>
      </c>
      <c r="F58" s="39" t="str">
        <f>IF($A58="","",Strike_Log!H58)</f>
        <v/>
      </c>
      <c r="G58" s="39" t="str">
        <f t="shared" si="1"/>
        <v/>
      </c>
      <c r="H58" s="39" t="str">
        <f t="shared" si="2"/>
        <v/>
      </c>
      <c r="I58" s="39" t="str">
        <f>IF(Strike_Log!H58="Pending",Strike_Log!J58,"")</f>
        <v/>
      </c>
      <c r="J58" s="39"/>
      <c r="M58" s="39" t="str">
        <f t="shared" si="3"/>
        <v/>
      </c>
    </row>
    <row r="59" ht="15.75" customHeight="1">
      <c r="A59" s="39" t="str">
        <f>IF(Strike_Log!H59="Pending",Strike_Log!B59,"")</f>
        <v/>
      </c>
      <c r="B59" s="39" t="str">
        <f>IF($A59="","",IFERROR(VLOOKUP($A59,Grinders!$A:$B,2,FALSE),""))</f>
        <v/>
      </c>
      <c r="C59" s="39" t="str">
        <f>IF($A59="","",Strike_Log!A59)</f>
        <v/>
      </c>
      <c r="D59" s="39" t="str">
        <f>IF($A59="","",Strike_Log!E59)</f>
        <v/>
      </c>
      <c r="E59" s="39" t="str">
        <f>IF($A59="","",Strike_Log!F59)</f>
        <v/>
      </c>
      <c r="F59" s="39" t="str">
        <f>IF($A59="","",Strike_Log!H59)</f>
        <v/>
      </c>
      <c r="G59" s="39" t="str">
        <f t="shared" si="1"/>
        <v/>
      </c>
      <c r="H59" s="39" t="str">
        <f t="shared" si="2"/>
        <v/>
      </c>
      <c r="I59" s="39" t="str">
        <f>IF(Strike_Log!H59="Pending",Strike_Log!J59,"")</f>
        <v/>
      </c>
      <c r="J59" s="39"/>
      <c r="M59" s="39" t="str">
        <f t="shared" si="3"/>
        <v/>
      </c>
    </row>
    <row r="60" ht="15.75" customHeight="1">
      <c r="A60" s="39" t="str">
        <f>IF(Strike_Log!H60="Pending",Strike_Log!B60,"")</f>
        <v/>
      </c>
      <c r="B60" s="39" t="str">
        <f>IF($A60="","",IFERROR(VLOOKUP($A60,Grinders!$A:$B,2,FALSE),""))</f>
        <v/>
      </c>
      <c r="C60" s="39" t="str">
        <f>IF($A60="","",Strike_Log!A60)</f>
        <v/>
      </c>
      <c r="D60" s="39" t="str">
        <f>IF($A60="","",Strike_Log!E60)</f>
        <v/>
      </c>
      <c r="E60" s="39" t="str">
        <f>IF($A60="","",Strike_Log!F60)</f>
        <v/>
      </c>
      <c r="F60" s="39" t="str">
        <f>IF($A60="","",Strike_Log!H60)</f>
        <v/>
      </c>
      <c r="G60" s="39" t="str">
        <f t="shared" si="1"/>
        <v/>
      </c>
      <c r="H60" s="39" t="str">
        <f t="shared" si="2"/>
        <v/>
      </c>
      <c r="I60" s="39" t="str">
        <f>IF(Strike_Log!H60="Pending",Strike_Log!J60,"")</f>
        <v/>
      </c>
      <c r="J60" s="39"/>
      <c r="M60" s="39" t="str">
        <f t="shared" si="3"/>
        <v/>
      </c>
    </row>
    <row r="61" ht="15.75" customHeight="1">
      <c r="A61" s="39" t="str">
        <f>IF(Strike_Log!H61="Pending",Strike_Log!B61,"")</f>
        <v/>
      </c>
      <c r="B61" s="39" t="str">
        <f>IF($A61="","",IFERROR(VLOOKUP($A61,Grinders!$A:$B,2,FALSE),""))</f>
        <v/>
      </c>
      <c r="C61" s="39" t="str">
        <f>IF($A61="","",Strike_Log!A61)</f>
        <v/>
      </c>
      <c r="D61" s="39" t="str">
        <f>IF($A61="","",Strike_Log!E61)</f>
        <v/>
      </c>
      <c r="E61" s="39" t="str">
        <f>IF($A61="","",Strike_Log!F61)</f>
        <v/>
      </c>
      <c r="F61" s="39" t="str">
        <f>IF($A61="","",Strike_Log!H61)</f>
        <v/>
      </c>
      <c r="G61" s="39" t="str">
        <f t="shared" si="1"/>
        <v/>
      </c>
      <c r="H61" s="39" t="str">
        <f t="shared" si="2"/>
        <v/>
      </c>
      <c r="I61" s="39" t="str">
        <f>IF(Strike_Log!H61="Pending",Strike_Log!J61,"")</f>
        <v/>
      </c>
      <c r="J61" s="39"/>
      <c r="M61" s="39" t="str">
        <f t="shared" si="3"/>
        <v/>
      </c>
    </row>
    <row r="62" ht="15.75" customHeight="1">
      <c r="A62" s="39" t="str">
        <f>IF(Strike_Log!H62="Pending",Strike_Log!B62,"")</f>
        <v/>
      </c>
      <c r="B62" s="39" t="str">
        <f>IF($A62="","",IFERROR(VLOOKUP($A62,Grinders!$A:$B,2,FALSE),""))</f>
        <v/>
      </c>
      <c r="C62" s="39" t="str">
        <f>IF($A62="","",Strike_Log!A62)</f>
        <v/>
      </c>
      <c r="D62" s="39" t="str">
        <f>IF($A62="","",Strike_Log!E62)</f>
        <v/>
      </c>
      <c r="E62" s="39" t="str">
        <f>IF($A62="","",Strike_Log!F62)</f>
        <v/>
      </c>
      <c r="F62" s="39" t="str">
        <f>IF($A62="","",Strike_Log!H62)</f>
        <v/>
      </c>
      <c r="G62" s="39" t="str">
        <f t="shared" si="1"/>
        <v/>
      </c>
      <c r="H62" s="39" t="str">
        <f t="shared" si="2"/>
        <v/>
      </c>
      <c r="I62" s="39" t="str">
        <f>IF(Strike_Log!H62="Pending",Strike_Log!J62,"")</f>
        <v/>
      </c>
      <c r="J62" s="39"/>
      <c r="M62" s="39" t="str">
        <f t="shared" si="3"/>
        <v/>
      </c>
    </row>
    <row r="63" ht="15.75" customHeight="1">
      <c r="A63" s="39" t="str">
        <f>IF(Strike_Log!H63="Pending",Strike_Log!B63,"")</f>
        <v/>
      </c>
      <c r="B63" s="39" t="str">
        <f>IF($A63="","",IFERROR(VLOOKUP($A63,Grinders!$A:$B,2,FALSE),""))</f>
        <v/>
      </c>
      <c r="C63" s="39" t="str">
        <f>IF($A63="","",Strike_Log!A63)</f>
        <v/>
      </c>
      <c r="D63" s="39" t="str">
        <f>IF($A63="","",Strike_Log!E63)</f>
        <v/>
      </c>
      <c r="E63" s="39" t="str">
        <f>IF($A63="","",Strike_Log!F63)</f>
        <v/>
      </c>
      <c r="F63" s="39" t="str">
        <f>IF($A63="","",Strike_Log!H63)</f>
        <v/>
      </c>
      <c r="G63" s="39" t="str">
        <f t="shared" si="1"/>
        <v/>
      </c>
      <c r="H63" s="39" t="str">
        <f t="shared" si="2"/>
        <v/>
      </c>
      <c r="I63" s="39" t="str">
        <f>IF(Strike_Log!H63="Pending",Strike_Log!J63,"")</f>
        <v/>
      </c>
      <c r="J63" s="39"/>
      <c r="M63" s="39" t="str">
        <f t="shared" si="3"/>
        <v/>
      </c>
    </row>
    <row r="64" ht="15.75" customHeight="1">
      <c r="A64" s="39" t="str">
        <f>IF(Strike_Log!H64="Pending",Strike_Log!B64,"")</f>
        <v/>
      </c>
      <c r="B64" s="39" t="str">
        <f>IF($A64="","",IFERROR(VLOOKUP($A64,Grinders!$A:$B,2,FALSE),""))</f>
        <v/>
      </c>
      <c r="C64" s="39" t="str">
        <f>IF($A64="","",Strike_Log!A64)</f>
        <v/>
      </c>
      <c r="D64" s="39" t="str">
        <f>IF($A64="","",Strike_Log!E64)</f>
        <v/>
      </c>
      <c r="E64" s="39" t="str">
        <f>IF($A64="","",Strike_Log!F64)</f>
        <v/>
      </c>
      <c r="F64" s="39" t="str">
        <f>IF($A64="","",Strike_Log!H64)</f>
        <v/>
      </c>
      <c r="G64" s="39" t="str">
        <f t="shared" si="1"/>
        <v/>
      </c>
      <c r="H64" s="39" t="str">
        <f t="shared" si="2"/>
        <v/>
      </c>
      <c r="I64" s="39" t="str">
        <f>IF(Strike_Log!H64="Pending",Strike_Log!J64,"")</f>
        <v/>
      </c>
      <c r="J64" s="39"/>
      <c r="M64" s="39" t="str">
        <f t="shared" si="3"/>
        <v/>
      </c>
    </row>
    <row r="65" ht="15.75" customHeight="1">
      <c r="A65" s="39" t="str">
        <f>IF(Strike_Log!H65="Pending",Strike_Log!B65,"")</f>
        <v/>
      </c>
      <c r="B65" s="39" t="str">
        <f>IF($A65="","",IFERROR(VLOOKUP($A65,Grinders!$A:$B,2,FALSE),""))</f>
        <v/>
      </c>
      <c r="C65" s="39" t="str">
        <f>IF($A65="","",Strike_Log!A65)</f>
        <v/>
      </c>
      <c r="D65" s="39" t="str">
        <f>IF($A65="","",Strike_Log!E65)</f>
        <v/>
      </c>
      <c r="E65" s="39" t="str">
        <f>IF($A65="","",Strike_Log!F65)</f>
        <v/>
      </c>
      <c r="F65" s="39" t="str">
        <f>IF($A65="","",Strike_Log!H65)</f>
        <v/>
      </c>
      <c r="G65" s="39" t="str">
        <f t="shared" si="1"/>
        <v/>
      </c>
      <c r="H65" s="39" t="str">
        <f t="shared" si="2"/>
        <v/>
      </c>
      <c r="I65" s="39" t="str">
        <f>IF(Strike_Log!H65="Pending",Strike_Log!J65,"")</f>
        <v/>
      </c>
      <c r="J65" s="39"/>
      <c r="M65" s="39" t="str">
        <f t="shared" si="3"/>
        <v/>
      </c>
    </row>
    <row r="66" ht="15.75" customHeight="1">
      <c r="A66" s="39" t="str">
        <f>IF(Strike_Log!H66="Pending",Strike_Log!B66,"")</f>
        <v/>
      </c>
      <c r="B66" s="39" t="str">
        <f>IF($A66="","",IFERROR(VLOOKUP($A66,Grinders!$A:$B,2,FALSE),""))</f>
        <v/>
      </c>
      <c r="C66" s="39" t="str">
        <f>IF($A66="","",Strike_Log!A66)</f>
        <v/>
      </c>
      <c r="D66" s="39" t="str">
        <f>IF($A66="","",Strike_Log!E66)</f>
        <v/>
      </c>
      <c r="E66" s="39" t="str">
        <f>IF($A66="","",Strike_Log!F66)</f>
        <v/>
      </c>
      <c r="F66" s="39" t="str">
        <f>IF($A66="","",Strike_Log!H66)</f>
        <v/>
      </c>
      <c r="G66" s="39" t="str">
        <f t="shared" si="1"/>
        <v/>
      </c>
      <c r="H66" s="39" t="str">
        <f t="shared" si="2"/>
        <v/>
      </c>
      <c r="I66" s="39" t="str">
        <f>IF(Strike_Log!H66="Pending",Strike_Log!J66,"")</f>
        <v/>
      </c>
      <c r="J66" s="39"/>
      <c r="M66" s="39" t="str">
        <f t="shared" si="3"/>
        <v/>
      </c>
    </row>
    <row r="67" ht="15.75" customHeight="1">
      <c r="A67" s="39" t="str">
        <f>IF(Strike_Log!H67="Pending",Strike_Log!B67,"")</f>
        <v/>
      </c>
      <c r="B67" s="39" t="str">
        <f>IF($A67="","",IFERROR(VLOOKUP($A67,Grinders!$A:$B,2,FALSE),""))</f>
        <v/>
      </c>
      <c r="C67" s="39" t="str">
        <f>IF($A67="","",Strike_Log!A67)</f>
        <v/>
      </c>
      <c r="D67" s="39" t="str">
        <f>IF($A67="","",Strike_Log!E67)</f>
        <v/>
      </c>
      <c r="E67" s="39" t="str">
        <f>IF($A67="","",Strike_Log!F67)</f>
        <v/>
      </c>
      <c r="F67" s="39" t="str">
        <f>IF($A67="","",Strike_Log!H67)</f>
        <v/>
      </c>
      <c r="G67" s="39" t="str">
        <f t="shared" si="1"/>
        <v/>
      </c>
      <c r="H67" s="39" t="str">
        <f t="shared" si="2"/>
        <v/>
      </c>
      <c r="I67" s="39" t="str">
        <f>IF(Strike_Log!H67="Pending",Strike_Log!J67,"")</f>
        <v/>
      </c>
      <c r="J67" s="39"/>
      <c r="M67" s="39" t="str">
        <f t="shared" si="3"/>
        <v/>
      </c>
    </row>
    <row r="68" ht="15.75" customHeight="1">
      <c r="A68" s="39" t="str">
        <f>IF(Strike_Log!H68="Pending",Strike_Log!B68,"")</f>
        <v/>
      </c>
      <c r="B68" s="39" t="str">
        <f>IF($A68="","",IFERROR(VLOOKUP($A68,Grinders!$A:$B,2,FALSE),""))</f>
        <v/>
      </c>
      <c r="C68" s="39" t="str">
        <f>IF($A68="","",Strike_Log!A68)</f>
        <v/>
      </c>
      <c r="D68" s="39" t="str">
        <f>IF($A68="","",Strike_Log!E68)</f>
        <v/>
      </c>
      <c r="E68" s="39" t="str">
        <f>IF($A68="","",Strike_Log!F68)</f>
        <v/>
      </c>
      <c r="F68" s="39" t="str">
        <f>IF($A68="","",Strike_Log!H68)</f>
        <v/>
      </c>
      <c r="G68" s="39" t="str">
        <f t="shared" si="1"/>
        <v/>
      </c>
      <c r="H68" s="39" t="str">
        <f t="shared" si="2"/>
        <v/>
      </c>
      <c r="I68" s="39" t="str">
        <f>IF(Strike_Log!H68="Pending",Strike_Log!J68,"")</f>
        <v/>
      </c>
      <c r="J68" s="39"/>
      <c r="M68" s="39" t="str">
        <f t="shared" si="3"/>
        <v/>
      </c>
    </row>
    <row r="69" ht="15.75" customHeight="1">
      <c r="A69" s="39" t="str">
        <f>IF(Strike_Log!H69="Pending",Strike_Log!B69,"")</f>
        <v/>
      </c>
      <c r="B69" s="39" t="str">
        <f>IF($A69="","",IFERROR(VLOOKUP($A69,Grinders!$A:$B,2,FALSE),""))</f>
        <v/>
      </c>
      <c r="C69" s="39" t="str">
        <f>IF($A69="","",Strike_Log!A69)</f>
        <v/>
      </c>
      <c r="D69" s="39" t="str">
        <f>IF($A69="","",Strike_Log!E69)</f>
        <v/>
      </c>
      <c r="E69" s="39" t="str">
        <f>IF($A69="","",Strike_Log!F69)</f>
        <v/>
      </c>
      <c r="F69" s="39" t="str">
        <f>IF($A69="","",Strike_Log!H69)</f>
        <v/>
      </c>
      <c r="G69" s="39" t="str">
        <f t="shared" si="1"/>
        <v/>
      </c>
      <c r="H69" s="39" t="str">
        <f t="shared" si="2"/>
        <v/>
      </c>
      <c r="I69" s="39" t="str">
        <f>IF(Strike_Log!H69="Pending",Strike_Log!J69,"")</f>
        <v/>
      </c>
      <c r="J69" s="39"/>
      <c r="M69" s="39" t="str">
        <f t="shared" si="3"/>
        <v/>
      </c>
    </row>
    <row r="70" ht="15.75" customHeight="1">
      <c r="A70" s="39" t="str">
        <f>IF(Strike_Log!H70="Pending",Strike_Log!B70,"")</f>
        <v/>
      </c>
      <c r="B70" s="39" t="str">
        <f>IF($A70="","",IFERROR(VLOOKUP($A70,Grinders!$A:$B,2,FALSE),""))</f>
        <v/>
      </c>
      <c r="C70" s="39" t="str">
        <f>IF($A70="","",Strike_Log!A70)</f>
        <v/>
      </c>
      <c r="D70" s="39" t="str">
        <f>IF($A70="","",Strike_Log!E70)</f>
        <v/>
      </c>
      <c r="E70" s="39" t="str">
        <f>IF($A70="","",Strike_Log!F70)</f>
        <v/>
      </c>
      <c r="F70" s="39" t="str">
        <f>IF($A70="","",Strike_Log!H70)</f>
        <v/>
      </c>
      <c r="G70" s="39" t="str">
        <f t="shared" si="1"/>
        <v/>
      </c>
      <c r="H70" s="39" t="str">
        <f t="shared" si="2"/>
        <v/>
      </c>
      <c r="I70" s="39" t="str">
        <f>IF(Strike_Log!H70="Pending",Strike_Log!J70,"")</f>
        <v/>
      </c>
      <c r="J70" s="39"/>
      <c r="M70" s="39" t="str">
        <f t="shared" si="3"/>
        <v/>
      </c>
    </row>
    <row r="71" ht="15.75" customHeight="1">
      <c r="A71" s="39" t="str">
        <f>IF(Strike_Log!H71="Pending",Strike_Log!B71,"")</f>
        <v/>
      </c>
      <c r="B71" s="39" t="str">
        <f>IF($A71="","",IFERROR(VLOOKUP($A71,Grinders!$A:$B,2,FALSE),""))</f>
        <v/>
      </c>
      <c r="C71" s="39" t="str">
        <f>IF($A71="","",Strike_Log!A71)</f>
        <v/>
      </c>
      <c r="D71" s="39" t="str">
        <f>IF($A71="","",Strike_Log!E71)</f>
        <v/>
      </c>
      <c r="E71" s="39" t="str">
        <f>IF($A71="","",Strike_Log!F71)</f>
        <v/>
      </c>
      <c r="F71" s="39" t="str">
        <f>IF($A71="","",Strike_Log!H71)</f>
        <v/>
      </c>
      <c r="G71" s="39" t="str">
        <f t="shared" si="1"/>
        <v/>
      </c>
      <c r="H71" s="39" t="str">
        <f t="shared" si="2"/>
        <v/>
      </c>
      <c r="I71" s="39" t="str">
        <f>IF(Strike_Log!H71="Pending",Strike_Log!J71,"")</f>
        <v/>
      </c>
      <c r="J71" s="39"/>
      <c r="M71" s="39" t="str">
        <f t="shared" si="3"/>
        <v/>
      </c>
    </row>
    <row r="72" ht="15.75" customHeight="1">
      <c r="A72" s="39" t="str">
        <f>IF(Strike_Log!H72="Pending",Strike_Log!B72,"")</f>
        <v/>
      </c>
      <c r="B72" s="39" t="str">
        <f>IF($A72="","",IFERROR(VLOOKUP($A72,Grinders!$A:$B,2,FALSE),""))</f>
        <v/>
      </c>
      <c r="C72" s="39" t="str">
        <f>IF($A72="","",Strike_Log!A72)</f>
        <v/>
      </c>
      <c r="D72" s="39" t="str">
        <f>IF($A72="","",Strike_Log!E72)</f>
        <v/>
      </c>
      <c r="E72" s="39" t="str">
        <f>IF($A72="","",Strike_Log!F72)</f>
        <v/>
      </c>
      <c r="F72" s="39" t="str">
        <f>IF($A72="","",Strike_Log!H72)</f>
        <v/>
      </c>
      <c r="G72" s="39" t="str">
        <f t="shared" si="1"/>
        <v/>
      </c>
      <c r="H72" s="39" t="str">
        <f t="shared" si="2"/>
        <v/>
      </c>
      <c r="I72" s="39" t="str">
        <f>IF(Strike_Log!H72="Pending",Strike_Log!J72,"")</f>
        <v/>
      </c>
      <c r="J72" s="39"/>
      <c r="M72" s="39" t="str">
        <f t="shared" si="3"/>
        <v/>
      </c>
    </row>
    <row r="73" ht="15.75" customHeight="1">
      <c r="A73" s="39" t="str">
        <f>IF(Strike_Log!H73="Pending",Strike_Log!B73,"")</f>
        <v/>
      </c>
      <c r="B73" s="39" t="str">
        <f>IF($A73="","",IFERROR(VLOOKUP($A73,Grinders!$A:$B,2,FALSE),""))</f>
        <v/>
      </c>
      <c r="C73" s="39" t="str">
        <f>IF($A73="","",Strike_Log!A73)</f>
        <v/>
      </c>
      <c r="D73" s="39" t="str">
        <f>IF($A73="","",Strike_Log!E73)</f>
        <v/>
      </c>
      <c r="E73" s="39" t="str">
        <f>IF($A73="","",Strike_Log!F73)</f>
        <v/>
      </c>
      <c r="F73" s="39" t="str">
        <f>IF($A73="","",Strike_Log!H73)</f>
        <v/>
      </c>
      <c r="G73" s="39" t="str">
        <f t="shared" si="1"/>
        <v/>
      </c>
      <c r="H73" s="39" t="str">
        <f t="shared" si="2"/>
        <v/>
      </c>
      <c r="I73" s="39" t="str">
        <f>IF(Strike_Log!H73="Pending",Strike_Log!J73,"")</f>
        <v/>
      </c>
      <c r="J73" s="39"/>
      <c r="M73" s="39" t="str">
        <f t="shared" si="3"/>
        <v/>
      </c>
    </row>
    <row r="74" ht="15.75" customHeight="1">
      <c r="A74" s="39" t="str">
        <f>IF(Strike_Log!H74="Pending",Strike_Log!B74,"")</f>
        <v/>
      </c>
      <c r="B74" s="39" t="str">
        <f>IF($A74="","",IFERROR(VLOOKUP($A74,Grinders!$A:$B,2,FALSE),""))</f>
        <v/>
      </c>
      <c r="C74" s="39" t="str">
        <f>IF($A74="","",Strike_Log!A74)</f>
        <v/>
      </c>
      <c r="D74" s="39" t="str">
        <f>IF($A74="","",Strike_Log!E74)</f>
        <v/>
      </c>
      <c r="E74" s="39" t="str">
        <f>IF($A74="","",Strike_Log!F74)</f>
        <v/>
      </c>
      <c r="F74" s="39" t="str">
        <f>IF($A74="","",Strike_Log!H74)</f>
        <v/>
      </c>
      <c r="G74" s="39" t="str">
        <f t="shared" si="1"/>
        <v/>
      </c>
      <c r="H74" s="39" t="str">
        <f t="shared" si="2"/>
        <v/>
      </c>
      <c r="I74" s="39" t="str">
        <f>IF(Strike_Log!H74="Pending",Strike_Log!J74,"")</f>
        <v/>
      </c>
      <c r="J74" s="39"/>
      <c r="M74" s="39" t="str">
        <f t="shared" si="3"/>
        <v/>
      </c>
    </row>
    <row r="75" ht="15.75" customHeight="1">
      <c r="A75" s="39" t="str">
        <f>IF(Strike_Log!H75="Pending",Strike_Log!B75,"")</f>
        <v/>
      </c>
      <c r="B75" s="39" t="str">
        <f>IF($A75="","",IFERROR(VLOOKUP($A75,Grinders!$A:$B,2,FALSE),""))</f>
        <v/>
      </c>
      <c r="C75" s="39" t="str">
        <f>IF($A75="","",Strike_Log!A75)</f>
        <v/>
      </c>
      <c r="D75" s="39" t="str">
        <f>IF($A75="","",Strike_Log!E75)</f>
        <v/>
      </c>
      <c r="E75" s="39" t="str">
        <f>IF($A75="","",Strike_Log!F75)</f>
        <v/>
      </c>
      <c r="F75" s="39" t="str">
        <f>IF($A75="","",Strike_Log!H75)</f>
        <v/>
      </c>
      <c r="G75" s="39" t="str">
        <f t="shared" si="1"/>
        <v/>
      </c>
      <c r="H75" s="39" t="str">
        <f t="shared" si="2"/>
        <v/>
      </c>
      <c r="I75" s="39" t="str">
        <f>IF(Strike_Log!H75="Pending",Strike_Log!J75,"")</f>
        <v/>
      </c>
      <c r="J75" s="39"/>
      <c r="M75" s="39" t="str">
        <f t="shared" si="3"/>
        <v/>
      </c>
    </row>
    <row r="76" ht="15.75" customHeight="1">
      <c r="A76" s="39" t="str">
        <f>IF(Strike_Log!H76="Pending",Strike_Log!B76,"")</f>
        <v/>
      </c>
      <c r="B76" s="39" t="str">
        <f>IF($A76="","",IFERROR(VLOOKUP($A76,Grinders!$A:$B,2,FALSE),""))</f>
        <v/>
      </c>
      <c r="C76" s="39" t="str">
        <f>IF($A76="","",Strike_Log!A76)</f>
        <v/>
      </c>
      <c r="D76" s="39" t="str">
        <f>IF($A76="","",Strike_Log!E76)</f>
        <v/>
      </c>
      <c r="E76" s="39" t="str">
        <f>IF($A76="","",Strike_Log!F76)</f>
        <v/>
      </c>
      <c r="F76" s="39" t="str">
        <f>IF($A76="","",Strike_Log!H76)</f>
        <v/>
      </c>
      <c r="G76" s="39" t="str">
        <f t="shared" si="1"/>
        <v/>
      </c>
      <c r="H76" s="39" t="str">
        <f t="shared" si="2"/>
        <v/>
      </c>
      <c r="I76" s="39" t="str">
        <f>IF(Strike_Log!H76="Pending",Strike_Log!J76,"")</f>
        <v/>
      </c>
      <c r="J76" s="39"/>
      <c r="M76" s="39" t="str">
        <f t="shared" si="3"/>
        <v/>
      </c>
    </row>
    <row r="77" ht="15.75" customHeight="1">
      <c r="A77" s="39" t="str">
        <f>IF(Strike_Log!H77="Pending",Strike_Log!B77,"")</f>
        <v/>
      </c>
      <c r="B77" s="39" t="str">
        <f>IF($A77="","",IFERROR(VLOOKUP($A77,Grinders!$A:$B,2,FALSE),""))</f>
        <v/>
      </c>
      <c r="C77" s="39" t="str">
        <f>IF($A77="","",Strike_Log!A77)</f>
        <v/>
      </c>
      <c r="D77" s="39" t="str">
        <f>IF($A77="","",Strike_Log!E77)</f>
        <v/>
      </c>
      <c r="E77" s="39" t="str">
        <f>IF($A77="","",Strike_Log!F77)</f>
        <v/>
      </c>
      <c r="F77" s="39" t="str">
        <f>IF($A77="","",Strike_Log!H77)</f>
        <v/>
      </c>
      <c r="G77" s="39" t="str">
        <f t="shared" si="1"/>
        <v/>
      </c>
      <c r="H77" s="39" t="str">
        <f t="shared" si="2"/>
        <v/>
      </c>
      <c r="I77" s="39" t="str">
        <f>IF(Strike_Log!H77="Pending",Strike_Log!J77,"")</f>
        <v/>
      </c>
      <c r="J77" s="39"/>
      <c r="M77" s="39" t="str">
        <f t="shared" si="3"/>
        <v/>
      </c>
    </row>
    <row r="78" ht="15.75" customHeight="1">
      <c r="A78" s="39" t="str">
        <f>IF(Strike_Log!H78="Pending",Strike_Log!B78,"")</f>
        <v/>
      </c>
      <c r="B78" s="39" t="str">
        <f>IF($A78="","",IFERROR(VLOOKUP($A78,Grinders!$A:$B,2,FALSE),""))</f>
        <v/>
      </c>
      <c r="C78" s="39" t="str">
        <f>IF($A78="","",Strike_Log!A78)</f>
        <v/>
      </c>
      <c r="D78" s="39" t="str">
        <f>IF($A78="","",Strike_Log!E78)</f>
        <v/>
      </c>
      <c r="E78" s="39" t="str">
        <f>IF($A78="","",Strike_Log!F78)</f>
        <v/>
      </c>
      <c r="F78" s="39" t="str">
        <f>IF($A78="","",Strike_Log!H78)</f>
        <v/>
      </c>
      <c r="G78" s="39" t="str">
        <f t="shared" si="1"/>
        <v/>
      </c>
      <c r="H78" s="39" t="str">
        <f t="shared" si="2"/>
        <v/>
      </c>
      <c r="I78" s="39" t="str">
        <f>IF(Strike_Log!H78="Pending",Strike_Log!J78,"")</f>
        <v/>
      </c>
      <c r="J78" s="39"/>
      <c r="M78" s="39" t="str">
        <f t="shared" si="3"/>
        <v/>
      </c>
    </row>
    <row r="79" ht="15.75" customHeight="1">
      <c r="A79" s="39" t="str">
        <f>IF(Strike_Log!H79="Pending",Strike_Log!B79,"")</f>
        <v/>
      </c>
      <c r="B79" s="39" t="str">
        <f>IF($A79="","",IFERROR(VLOOKUP($A79,Grinders!$A:$B,2,FALSE),""))</f>
        <v/>
      </c>
      <c r="C79" s="39" t="str">
        <f>IF($A79="","",Strike_Log!A79)</f>
        <v/>
      </c>
      <c r="D79" s="39" t="str">
        <f>IF($A79="","",Strike_Log!E79)</f>
        <v/>
      </c>
      <c r="E79" s="39" t="str">
        <f>IF($A79="","",Strike_Log!F79)</f>
        <v/>
      </c>
      <c r="F79" s="39" t="str">
        <f>IF($A79="","",Strike_Log!H79)</f>
        <v/>
      </c>
      <c r="G79" s="39" t="str">
        <f t="shared" si="1"/>
        <v/>
      </c>
      <c r="H79" s="39" t="str">
        <f t="shared" si="2"/>
        <v/>
      </c>
      <c r="I79" s="39" t="str">
        <f>IF(Strike_Log!H79="Pending",Strike_Log!J79,"")</f>
        <v/>
      </c>
      <c r="J79" s="39"/>
      <c r="M79" s="39" t="str">
        <f t="shared" si="3"/>
        <v/>
      </c>
    </row>
    <row r="80" ht="15.75" customHeight="1">
      <c r="A80" s="39" t="str">
        <f>IF(Strike_Log!H80="Pending",Strike_Log!B80,"")</f>
        <v/>
      </c>
      <c r="B80" s="39" t="str">
        <f>IF($A80="","",IFERROR(VLOOKUP($A80,Grinders!$A:$B,2,FALSE),""))</f>
        <v/>
      </c>
      <c r="C80" s="39" t="str">
        <f>IF($A80="","",Strike_Log!A80)</f>
        <v/>
      </c>
      <c r="D80" s="39" t="str">
        <f>IF($A80="","",Strike_Log!E80)</f>
        <v/>
      </c>
      <c r="E80" s="39" t="str">
        <f>IF($A80="","",Strike_Log!F80)</f>
        <v/>
      </c>
      <c r="F80" s="39" t="str">
        <f>IF($A80="","",Strike_Log!H80)</f>
        <v/>
      </c>
      <c r="G80" s="39" t="str">
        <f t="shared" si="1"/>
        <v/>
      </c>
      <c r="H80" s="39" t="str">
        <f t="shared" si="2"/>
        <v/>
      </c>
      <c r="I80" s="39" t="str">
        <f>IF(Strike_Log!H80="Pending",Strike_Log!J80,"")</f>
        <v/>
      </c>
      <c r="J80" s="39"/>
      <c r="M80" s="39" t="str">
        <f t="shared" si="3"/>
        <v/>
      </c>
    </row>
    <row r="81" ht="15.75" customHeight="1">
      <c r="A81" s="39" t="str">
        <f>IF(Strike_Log!H81="Pending",Strike_Log!B81,"")</f>
        <v/>
      </c>
      <c r="B81" s="39" t="str">
        <f>IF($A81="","",IFERROR(VLOOKUP($A81,Grinders!$A:$B,2,FALSE),""))</f>
        <v/>
      </c>
      <c r="C81" s="39" t="str">
        <f>IF($A81="","",Strike_Log!A81)</f>
        <v/>
      </c>
      <c r="D81" s="39" t="str">
        <f>IF($A81="","",Strike_Log!E81)</f>
        <v/>
      </c>
      <c r="E81" s="39" t="str">
        <f>IF($A81="","",Strike_Log!F81)</f>
        <v/>
      </c>
      <c r="F81" s="39" t="str">
        <f>IF($A81="","",Strike_Log!H81)</f>
        <v/>
      </c>
      <c r="G81" s="39" t="str">
        <f t="shared" si="1"/>
        <v/>
      </c>
      <c r="H81" s="39" t="str">
        <f t="shared" si="2"/>
        <v/>
      </c>
      <c r="I81" s="39" t="str">
        <f>IF(Strike_Log!H81="Pending",Strike_Log!J81,"")</f>
        <v/>
      </c>
      <c r="J81" s="39"/>
      <c r="M81" s="39" t="str">
        <f t="shared" si="3"/>
        <v/>
      </c>
    </row>
    <row r="82" ht="15.75" customHeight="1">
      <c r="A82" s="39" t="str">
        <f>IF(Strike_Log!H82="Pending",Strike_Log!B82,"")</f>
        <v/>
      </c>
      <c r="B82" s="39" t="str">
        <f>IF($A82="","",IFERROR(VLOOKUP($A82,Grinders!$A:$B,2,FALSE),""))</f>
        <v/>
      </c>
      <c r="C82" s="39" t="str">
        <f>IF($A82="","",Strike_Log!A82)</f>
        <v/>
      </c>
      <c r="D82" s="39" t="str">
        <f>IF($A82="","",Strike_Log!E82)</f>
        <v/>
      </c>
      <c r="E82" s="39" t="str">
        <f>IF($A82="","",Strike_Log!F82)</f>
        <v/>
      </c>
      <c r="F82" s="39" t="str">
        <f>IF($A82="","",Strike_Log!H82)</f>
        <v/>
      </c>
      <c r="G82" s="39" t="str">
        <f t="shared" si="1"/>
        <v/>
      </c>
      <c r="H82" s="39" t="str">
        <f t="shared" si="2"/>
        <v/>
      </c>
      <c r="I82" s="39" t="str">
        <f>IF(Strike_Log!H82="Pending",Strike_Log!J82,"")</f>
        <v/>
      </c>
      <c r="J82" s="39"/>
      <c r="M82" s="39" t="str">
        <f t="shared" si="3"/>
        <v/>
      </c>
    </row>
    <row r="83" ht="15.75" customHeight="1">
      <c r="A83" s="39" t="str">
        <f>IF(Strike_Log!H83="Pending",Strike_Log!B83,"")</f>
        <v/>
      </c>
      <c r="B83" s="39" t="str">
        <f>IF($A83="","",IFERROR(VLOOKUP($A83,Grinders!$A:$B,2,FALSE),""))</f>
        <v/>
      </c>
      <c r="C83" s="39" t="str">
        <f>IF($A83="","",Strike_Log!A83)</f>
        <v/>
      </c>
      <c r="D83" s="39" t="str">
        <f>IF($A83="","",Strike_Log!E83)</f>
        <v/>
      </c>
      <c r="E83" s="39" t="str">
        <f>IF($A83="","",Strike_Log!F83)</f>
        <v/>
      </c>
      <c r="F83" s="39" t="str">
        <f>IF($A83="","",Strike_Log!H83)</f>
        <v/>
      </c>
      <c r="G83" s="39" t="str">
        <f t="shared" si="1"/>
        <v/>
      </c>
      <c r="H83" s="39" t="str">
        <f t="shared" si="2"/>
        <v/>
      </c>
      <c r="I83" s="39" t="str">
        <f>IF(Strike_Log!H83="Pending",Strike_Log!J83,"")</f>
        <v/>
      </c>
      <c r="J83" s="39"/>
      <c r="M83" s="39" t="str">
        <f t="shared" si="3"/>
        <v/>
      </c>
    </row>
    <row r="84" ht="15.75" customHeight="1">
      <c r="A84" s="39" t="str">
        <f>IF(Strike_Log!H84="Pending",Strike_Log!B84,"")</f>
        <v/>
      </c>
      <c r="B84" s="39" t="str">
        <f>IF($A84="","",IFERROR(VLOOKUP($A84,Grinders!$A:$B,2,FALSE),""))</f>
        <v/>
      </c>
      <c r="C84" s="39" t="str">
        <f>IF($A84="","",Strike_Log!A84)</f>
        <v/>
      </c>
      <c r="D84" s="39" t="str">
        <f>IF($A84="","",Strike_Log!E84)</f>
        <v/>
      </c>
      <c r="E84" s="39" t="str">
        <f>IF($A84="","",Strike_Log!F84)</f>
        <v/>
      </c>
      <c r="F84" s="39" t="str">
        <f>IF($A84="","",Strike_Log!H84)</f>
        <v/>
      </c>
      <c r="G84" s="39" t="str">
        <f t="shared" si="1"/>
        <v/>
      </c>
      <c r="H84" s="39" t="str">
        <f t="shared" si="2"/>
        <v/>
      </c>
      <c r="I84" s="39" t="str">
        <f>IF(Strike_Log!H84="Pending",Strike_Log!J84,"")</f>
        <v/>
      </c>
      <c r="J84" s="39"/>
      <c r="M84" s="39" t="str">
        <f t="shared" si="3"/>
        <v/>
      </c>
    </row>
    <row r="85" ht="15.75" customHeight="1">
      <c r="A85" s="39" t="str">
        <f>IF(Strike_Log!H85="Pending",Strike_Log!B85,"")</f>
        <v/>
      </c>
      <c r="B85" s="39" t="str">
        <f>IF($A85="","",IFERROR(VLOOKUP($A85,Grinders!$A:$B,2,FALSE),""))</f>
        <v/>
      </c>
      <c r="C85" s="39" t="str">
        <f>IF($A85="","",Strike_Log!A85)</f>
        <v/>
      </c>
      <c r="D85" s="39" t="str">
        <f>IF($A85="","",Strike_Log!E85)</f>
        <v/>
      </c>
      <c r="E85" s="39" t="str">
        <f>IF($A85="","",Strike_Log!F85)</f>
        <v/>
      </c>
      <c r="F85" s="39" t="str">
        <f>IF($A85="","",Strike_Log!H85)</f>
        <v/>
      </c>
      <c r="G85" s="39" t="str">
        <f t="shared" si="1"/>
        <v/>
      </c>
      <c r="H85" s="39" t="str">
        <f t="shared" si="2"/>
        <v/>
      </c>
      <c r="I85" s="39" t="str">
        <f>IF(Strike_Log!H85="Pending",Strike_Log!J85,"")</f>
        <v/>
      </c>
      <c r="J85" s="39"/>
      <c r="M85" s="39" t="str">
        <f t="shared" si="3"/>
        <v/>
      </c>
    </row>
    <row r="86" ht="15.75" customHeight="1">
      <c r="A86" s="39" t="str">
        <f>IF(Strike_Log!H86="Pending",Strike_Log!B86,"")</f>
        <v/>
      </c>
      <c r="B86" s="39" t="str">
        <f>IF($A86="","",IFERROR(VLOOKUP($A86,Grinders!$A:$B,2,FALSE),""))</f>
        <v/>
      </c>
      <c r="C86" s="39" t="str">
        <f>IF($A86="","",Strike_Log!A86)</f>
        <v/>
      </c>
      <c r="D86" s="39" t="str">
        <f>IF($A86="","",Strike_Log!E86)</f>
        <v/>
      </c>
      <c r="E86" s="39" t="str">
        <f>IF($A86="","",Strike_Log!F86)</f>
        <v/>
      </c>
      <c r="F86" s="39" t="str">
        <f>IF($A86="","",Strike_Log!H86)</f>
        <v/>
      </c>
      <c r="G86" s="39" t="str">
        <f t="shared" si="1"/>
        <v/>
      </c>
      <c r="H86" s="39" t="str">
        <f t="shared" si="2"/>
        <v/>
      </c>
      <c r="I86" s="39" t="str">
        <f>IF(Strike_Log!H86="Pending",Strike_Log!J86,"")</f>
        <v/>
      </c>
      <c r="J86" s="39"/>
      <c r="M86" s="39" t="str">
        <f t="shared" si="3"/>
        <v/>
      </c>
    </row>
    <row r="87" ht="15.75" customHeight="1">
      <c r="A87" s="39" t="str">
        <f>IF(Strike_Log!H87="Pending",Strike_Log!B87,"")</f>
        <v/>
      </c>
      <c r="B87" s="39" t="str">
        <f>IF($A87="","",IFERROR(VLOOKUP($A87,Grinders!$A:$B,2,FALSE),""))</f>
        <v/>
      </c>
      <c r="C87" s="39" t="str">
        <f>IF($A87="","",Strike_Log!A87)</f>
        <v/>
      </c>
      <c r="D87" s="39" t="str">
        <f>IF($A87="","",Strike_Log!E87)</f>
        <v/>
      </c>
      <c r="E87" s="39" t="str">
        <f>IF($A87="","",Strike_Log!F87)</f>
        <v/>
      </c>
      <c r="F87" s="39" t="str">
        <f>IF($A87="","",Strike_Log!H87)</f>
        <v/>
      </c>
      <c r="G87" s="39" t="str">
        <f t="shared" si="1"/>
        <v/>
      </c>
      <c r="H87" s="39" t="str">
        <f t="shared" si="2"/>
        <v/>
      </c>
      <c r="I87" s="39" t="str">
        <f>IF(Strike_Log!H87="Pending",Strike_Log!J87,"")</f>
        <v/>
      </c>
      <c r="J87" s="39"/>
      <c r="M87" s="39" t="str">
        <f t="shared" si="3"/>
        <v/>
      </c>
    </row>
    <row r="88" ht="15.75" customHeight="1">
      <c r="A88" s="39" t="str">
        <f>IF(Strike_Log!H88="Pending",Strike_Log!B88,"")</f>
        <v/>
      </c>
      <c r="B88" s="39" t="str">
        <f>IF($A88="","",IFERROR(VLOOKUP($A88,Grinders!$A:$B,2,FALSE),""))</f>
        <v/>
      </c>
      <c r="C88" s="39" t="str">
        <f>IF($A88="","",Strike_Log!A88)</f>
        <v/>
      </c>
      <c r="D88" s="39" t="str">
        <f>IF($A88="","",Strike_Log!E88)</f>
        <v/>
      </c>
      <c r="E88" s="39" t="str">
        <f>IF($A88="","",Strike_Log!F88)</f>
        <v/>
      </c>
      <c r="F88" s="39" t="str">
        <f>IF($A88="","",Strike_Log!H88)</f>
        <v/>
      </c>
      <c r="G88" s="39" t="str">
        <f t="shared" si="1"/>
        <v/>
      </c>
      <c r="H88" s="39" t="str">
        <f t="shared" si="2"/>
        <v/>
      </c>
      <c r="I88" s="39" t="str">
        <f>IF(Strike_Log!H88="Pending",Strike_Log!J88,"")</f>
        <v/>
      </c>
      <c r="J88" s="39"/>
      <c r="M88" s="39" t="str">
        <f t="shared" si="3"/>
        <v/>
      </c>
    </row>
    <row r="89" ht="15.75" customHeight="1">
      <c r="A89" s="39" t="str">
        <f>IF(Strike_Log!H89="Pending",Strike_Log!B89,"")</f>
        <v/>
      </c>
      <c r="B89" s="39" t="str">
        <f>IF($A89="","",IFERROR(VLOOKUP($A89,Grinders!$A:$B,2,FALSE),""))</f>
        <v/>
      </c>
      <c r="C89" s="39" t="str">
        <f>IF($A89="","",Strike_Log!A89)</f>
        <v/>
      </c>
      <c r="D89" s="39" t="str">
        <f>IF($A89="","",Strike_Log!E89)</f>
        <v/>
      </c>
      <c r="E89" s="39" t="str">
        <f>IF($A89="","",Strike_Log!F89)</f>
        <v/>
      </c>
      <c r="F89" s="39" t="str">
        <f>IF($A89="","",Strike_Log!H89)</f>
        <v/>
      </c>
      <c r="G89" s="39" t="str">
        <f t="shared" si="1"/>
        <v/>
      </c>
      <c r="H89" s="39" t="str">
        <f t="shared" si="2"/>
        <v/>
      </c>
      <c r="I89" s="39" t="str">
        <f>IF(Strike_Log!H89="Pending",Strike_Log!J89,"")</f>
        <v/>
      </c>
      <c r="J89" s="39"/>
      <c r="M89" s="39" t="str">
        <f t="shared" si="3"/>
        <v/>
      </c>
    </row>
    <row r="90" ht="15.75" customHeight="1">
      <c r="A90" s="39" t="str">
        <f>IF(Strike_Log!H90="Pending",Strike_Log!B90,"")</f>
        <v/>
      </c>
      <c r="B90" s="39" t="str">
        <f>IF($A90="","",IFERROR(VLOOKUP($A90,Grinders!$A:$B,2,FALSE),""))</f>
        <v/>
      </c>
      <c r="C90" s="39" t="str">
        <f>IF($A90="","",Strike_Log!A90)</f>
        <v/>
      </c>
      <c r="D90" s="39" t="str">
        <f>IF($A90="","",Strike_Log!E90)</f>
        <v/>
      </c>
      <c r="E90" s="39" t="str">
        <f>IF($A90="","",Strike_Log!F90)</f>
        <v/>
      </c>
      <c r="F90" s="39" t="str">
        <f>IF($A90="","",Strike_Log!H90)</f>
        <v/>
      </c>
      <c r="G90" s="39" t="str">
        <f t="shared" si="1"/>
        <v/>
      </c>
      <c r="H90" s="39" t="str">
        <f t="shared" si="2"/>
        <v/>
      </c>
      <c r="I90" s="39" t="str">
        <f>IF(Strike_Log!H90="Pending",Strike_Log!J90,"")</f>
        <v/>
      </c>
      <c r="J90" s="39"/>
      <c r="M90" s="39" t="str">
        <f t="shared" si="3"/>
        <v/>
      </c>
    </row>
    <row r="91" ht="15.75" customHeight="1">
      <c r="A91" s="39" t="str">
        <f>IF(Strike_Log!H91="Pending",Strike_Log!B91,"")</f>
        <v/>
      </c>
      <c r="B91" s="39" t="str">
        <f>IF($A91="","",IFERROR(VLOOKUP($A91,Grinders!$A:$B,2,FALSE),""))</f>
        <v/>
      </c>
      <c r="C91" s="39" t="str">
        <f>IF($A91="","",Strike_Log!A91)</f>
        <v/>
      </c>
      <c r="D91" s="39" t="str">
        <f>IF($A91="","",Strike_Log!E91)</f>
        <v/>
      </c>
      <c r="E91" s="39" t="str">
        <f>IF($A91="","",Strike_Log!F91)</f>
        <v/>
      </c>
      <c r="F91" s="39" t="str">
        <f>IF($A91="","",Strike_Log!H91)</f>
        <v/>
      </c>
      <c r="G91" s="39" t="str">
        <f t="shared" si="1"/>
        <v/>
      </c>
      <c r="H91" s="39" t="str">
        <f t="shared" si="2"/>
        <v/>
      </c>
      <c r="I91" s="39" t="str">
        <f>IF(Strike_Log!H91="Pending",Strike_Log!J91,"")</f>
        <v/>
      </c>
      <c r="J91" s="39"/>
      <c r="M91" s="39" t="str">
        <f t="shared" si="3"/>
        <v/>
      </c>
    </row>
    <row r="92" ht="15.75" customHeight="1">
      <c r="A92" s="39" t="str">
        <f>IF(Strike_Log!H92="Pending",Strike_Log!B92,"")</f>
        <v/>
      </c>
      <c r="B92" s="39" t="str">
        <f>IF($A92="","",IFERROR(VLOOKUP($A92,Grinders!$A:$B,2,FALSE),""))</f>
        <v/>
      </c>
      <c r="C92" s="39" t="str">
        <f>IF($A92="","",Strike_Log!A92)</f>
        <v/>
      </c>
      <c r="D92" s="39" t="str">
        <f>IF($A92="","",Strike_Log!E92)</f>
        <v/>
      </c>
      <c r="E92" s="39" t="str">
        <f>IF($A92="","",Strike_Log!F92)</f>
        <v/>
      </c>
      <c r="F92" s="39" t="str">
        <f>IF($A92="","",Strike_Log!H92)</f>
        <v/>
      </c>
      <c r="G92" s="39" t="str">
        <f t="shared" si="1"/>
        <v/>
      </c>
      <c r="H92" s="39" t="str">
        <f t="shared" si="2"/>
        <v/>
      </c>
      <c r="I92" s="39" t="str">
        <f>IF(Strike_Log!H92="Pending",Strike_Log!J92,"")</f>
        <v/>
      </c>
      <c r="J92" s="39"/>
      <c r="M92" s="39" t="str">
        <f t="shared" si="3"/>
        <v/>
      </c>
    </row>
    <row r="93" ht="15.75" customHeight="1">
      <c r="A93" s="39" t="str">
        <f>IF(Strike_Log!H93="Pending",Strike_Log!B93,"")</f>
        <v/>
      </c>
      <c r="B93" s="39" t="str">
        <f>IF($A93="","",IFERROR(VLOOKUP($A93,Grinders!$A:$B,2,FALSE),""))</f>
        <v/>
      </c>
      <c r="C93" s="39" t="str">
        <f>IF($A93="","",Strike_Log!A93)</f>
        <v/>
      </c>
      <c r="D93" s="39" t="str">
        <f>IF($A93="","",Strike_Log!E93)</f>
        <v/>
      </c>
      <c r="E93" s="39" t="str">
        <f>IF($A93="","",Strike_Log!F93)</f>
        <v/>
      </c>
      <c r="F93" s="39" t="str">
        <f>IF($A93="","",Strike_Log!H93)</f>
        <v/>
      </c>
      <c r="G93" s="39" t="str">
        <f t="shared" si="1"/>
        <v/>
      </c>
      <c r="H93" s="39" t="str">
        <f t="shared" si="2"/>
        <v/>
      </c>
      <c r="I93" s="39" t="str">
        <f>IF(Strike_Log!H93="Pending",Strike_Log!J93,"")</f>
        <v/>
      </c>
      <c r="J93" s="39"/>
      <c r="M93" s="39" t="str">
        <f t="shared" si="3"/>
        <v/>
      </c>
    </row>
    <row r="94" ht="15.75" customHeight="1">
      <c r="A94" s="39" t="str">
        <f>IF(Strike_Log!H94="Pending",Strike_Log!B94,"")</f>
        <v/>
      </c>
      <c r="B94" s="39" t="str">
        <f>IF($A94="","",IFERROR(VLOOKUP($A94,Grinders!$A:$B,2,FALSE),""))</f>
        <v/>
      </c>
      <c r="C94" s="39" t="str">
        <f>IF($A94="","",Strike_Log!A94)</f>
        <v/>
      </c>
      <c r="D94" s="39" t="str">
        <f>IF($A94="","",Strike_Log!E94)</f>
        <v/>
      </c>
      <c r="E94" s="39" t="str">
        <f>IF($A94="","",Strike_Log!F94)</f>
        <v/>
      </c>
      <c r="F94" s="39" t="str">
        <f>IF($A94="","",Strike_Log!H94)</f>
        <v/>
      </c>
      <c r="G94" s="39" t="str">
        <f t="shared" si="1"/>
        <v/>
      </c>
      <c r="H94" s="39" t="str">
        <f t="shared" si="2"/>
        <v/>
      </c>
      <c r="I94" s="39" t="str">
        <f>IF(Strike_Log!H94="Pending",Strike_Log!J94,"")</f>
        <v/>
      </c>
      <c r="J94" s="39"/>
      <c r="M94" s="39" t="str">
        <f t="shared" si="3"/>
        <v/>
      </c>
    </row>
    <row r="95" ht="15.75" customHeight="1">
      <c r="A95" s="39" t="str">
        <f>IF(Strike_Log!H95="Pending",Strike_Log!B95,"")</f>
        <v/>
      </c>
      <c r="B95" s="39" t="str">
        <f>IF($A95="","",IFERROR(VLOOKUP($A95,Grinders!$A:$B,2,FALSE),""))</f>
        <v/>
      </c>
      <c r="C95" s="39" t="str">
        <f>IF($A95="","",Strike_Log!A95)</f>
        <v/>
      </c>
      <c r="D95" s="39" t="str">
        <f>IF($A95="","",Strike_Log!E95)</f>
        <v/>
      </c>
      <c r="E95" s="39" t="str">
        <f>IF($A95="","",Strike_Log!F95)</f>
        <v/>
      </c>
      <c r="F95" s="39" t="str">
        <f>IF($A95="","",Strike_Log!H95)</f>
        <v/>
      </c>
      <c r="G95" s="39" t="str">
        <f t="shared" si="1"/>
        <v/>
      </c>
      <c r="H95" s="39" t="str">
        <f t="shared" si="2"/>
        <v/>
      </c>
      <c r="I95" s="39" t="str">
        <f>IF(Strike_Log!H95="Pending",Strike_Log!J95,"")</f>
        <v/>
      </c>
      <c r="J95" s="39"/>
      <c r="M95" s="39" t="str">
        <f t="shared" si="3"/>
        <v/>
      </c>
    </row>
    <row r="96" ht="15.75" customHeight="1">
      <c r="A96" s="39" t="str">
        <f>IF(Strike_Log!H96="Pending",Strike_Log!B96,"")</f>
        <v/>
      </c>
      <c r="B96" s="39" t="str">
        <f>IF($A96="","",IFERROR(VLOOKUP($A96,Grinders!$A:$B,2,FALSE),""))</f>
        <v/>
      </c>
      <c r="C96" s="39" t="str">
        <f>IF($A96="","",Strike_Log!A96)</f>
        <v/>
      </c>
      <c r="D96" s="39" t="str">
        <f>IF($A96="","",Strike_Log!E96)</f>
        <v/>
      </c>
      <c r="E96" s="39" t="str">
        <f>IF($A96="","",Strike_Log!F96)</f>
        <v/>
      </c>
      <c r="F96" s="39" t="str">
        <f>IF($A96="","",Strike_Log!H96)</f>
        <v/>
      </c>
      <c r="G96" s="39" t="str">
        <f t="shared" si="1"/>
        <v/>
      </c>
      <c r="H96" s="39" t="str">
        <f t="shared" si="2"/>
        <v/>
      </c>
      <c r="I96" s="39" t="str">
        <f>IF(Strike_Log!H96="Pending",Strike_Log!J96,"")</f>
        <v/>
      </c>
      <c r="J96" s="39"/>
      <c r="M96" s="39" t="str">
        <f t="shared" si="3"/>
        <v/>
      </c>
    </row>
    <row r="97" ht="15.75" customHeight="1">
      <c r="A97" s="39" t="str">
        <f>IF(Strike_Log!H97="Pending",Strike_Log!B97,"")</f>
        <v/>
      </c>
      <c r="B97" s="39" t="str">
        <f>IF($A97="","",IFERROR(VLOOKUP($A97,Grinders!$A:$B,2,FALSE),""))</f>
        <v/>
      </c>
      <c r="C97" s="39" t="str">
        <f>IF($A97="","",Strike_Log!A97)</f>
        <v/>
      </c>
      <c r="D97" s="39" t="str">
        <f>IF($A97="","",Strike_Log!E97)</f>
        <v/>
      </c>
      <c r="E97" s="39" t="str">
        <f>IF($A97="","",Strike_Log!F97)</f>
        <v/>
      </c>
      <c r="F97" s="39" t="str">
        <f>IF($A97="","",Strike_Log!H97)</f>
        <v/>
      </c>
      <c r="G97" s="39" t="str">
        <f t="shared" si="1"/>
        <v/>
      </c>
      <c r="H97" s="39" t="str">
        <f t="shared" si="2"/>
        <v/>
      </c>
      <c r="I97" s="39" t="str">
        <f>IF(Strike_Log!H97="Pending",Strike_Log!J97,"")</f>
        <v/>
      </c>
      <c r="J97" s="39"/>
      <c r="M97" s="39" t="str">
        <f t="shared" si="3"/>
        <v/>
      </c>
    </row>
    <row r="98" ht="15.75" customHeight="1">
      <c r="A98" s="39" t="str">
        <f>IF(Strike_Log!H98="Pending",Strike_Log!B98,"")</f>
        <v/>
      </c>
      <c r="B98" s="39" t="str">
        <f>IF($A98="","",IFERROR(VLOOKUP($A98,Grinders!$A:$B,2,FALSE),""))</f>
        <v/>
      </c>
      <c r="C98" s="39" t="str">
        <f>IF($A98="","",Strike_Log!A98)</f>
        <v/>
      </c>
      <c r="D98" s="39" t="str">
        <f>IF($A98="","",Strike_Log!E98)</f>
        <v/>
      </c>
      <c r="E98" s="39" t="str">
        <f>IF($A98="","",Strike_Log!F98)</f>
        <v/>
      </c>
      <c r="F98" s="39" t="str">
        <f>IF($A98="","",Strike_Log!H98)</f>
        <v/>
      </c>
      <c r="G98" s="39" t="str">
        <f t="shared" si="1"/>
        <v/>
      </c>
      <c r="H98" s="39" t="str">
        <f t="shared" si="2"/>
        <v/>
      </c>
      <c r="I98" s="39" t="str">
        <f>IF(Strike_Log!H98="Pending",Strike_Log!J98,"")</f>
        <v/>
      </c>
      <c r="J98" s="39"/>
      <c r="M98" s="39" t="str">
        <f t="shared" si="3"/>
        <v/>
      </c>
    </row>
    <row r="99" ht="15.75" customHeight="1">
      <c r="A99" s="39" t="str">
        <f>IF(Strike_Log!H99="Pending",Strike_Log!B99,"")</f>
        <v/>
      </c>
      <c r="B99" s="39" t="str">
        <f>IF($A99="","",IFERROR(VLOOKUP($A99,Grinders!$A:$B,2,FALSE),""))</f>
        <v/>
      </c>
      <c r="C99" s="39" t="str">
        <f>IF($A99="","",Strike_Log!A99)</f>
        <v/>
      </c>
      <c r="D99" s="39" t="str">
        <f>IF($A99="","",Strike_Log!E99)</f>
        <v/>
      </c>
      <c r="E99" s="39" t="str">
        <f>IF($A99="","",Strike_Log!F99)</f>
        <v/>
      </c>
      <c r="F99" s="39" t="str">
        <f>IF($A99="","",Strike_Log!H99)</f>
        <v/>
      </c>
      <c r="G99" s="39" t="str">
        <f t="shared" si="1"/>
        <v/>
      </c>
      <c r="H99" s="39" t="str">
        <f t="shared" si="2"/>
        <v/>
      </c>
      <c r="I99" s="39" t="str">
        <f>IF(Strike_Log!H99="Pending",Strike_Log!J99,"")</f>
        <v/>
      </c>
      <c r="J99" s="39"/>
      <c r="M99" s="39" t="str">
        <f t="shared" si="3"/>
        <v/>
      </c>
    </row>
    <row r="100" ht="15.75" customHeight="1">
      <c r="A100" s="39" t="str">
        <f>IF(Strike_Log!H100="Pending",Strike_Log!B100,"")</f>
        <v/>
      </c>
      <c r="B100" s="39" t="str">
        <f>IF($A100="","",IFERROR(VLOOKUP($A100,Grinders!$A:$B,2,FALSE),""))</f>
        <v/>
      </c>
      <c r="C100" s="39" t="str">
        <f>IF($A100="","",Strike_Log!A100)</f>
        <v/>
      </c>
      <c r="D100" s="39" t="str">
        <f>IF($A100="","",Strike_Log!E100)</f>
        <v/>
      </c>
      <c r="E100" s="39" t="str">
        <f>IF($A100="","",Strike_Log!F100)</f>
        <v/>
      </c>
      <c r="F100" s="39" t="str">
        <f>IF($A100="","",Strike_Log!H100)</f>
        <v/>
      </c>
      <c r="G100" s="39" t="str">
        <f t="shared" si="1"/>
        <v/>
      </c>
      <c r="H100" s="39" t="str">
        <f t="shared" si="2"/>
        <v/>
      </c>
      <c r="I100" s="39" t="str">
        <f>IF(Strike_Log!H100="Pending",Strike_Log!J100,"")</f>
        <v/>
      </c>
      <c r="J100" s="39"/>
      <c r="M100" s="39" t="str">
        <f t="shared" si="3"/>
        <v/>
      </c>
    </row>
    <row r="101" ht="15.75" customHeight="1">
      <c r="A101" s="39" t="str">
        <f>IF(Strike_Log!H101="Pending",Strike_Log!B101,"")</f>
        <v/>
      </c>
      <c r="B101" s="39" t="str">
        <f>IF($A101="","",IFERROR(VLOOKUP($A101,Grinders!$A:$B,2,FALSE),""))</f>
        <v/>
      </c>
      <c r="C101" s="39" t="str">
        <f>IF($A101="","",Strike_Log!A101)</f>
        <v/>
      </c>
      <c r="D101" s="39" t="str">
        <f>IF($A101="","",Strike_Log!E101)</f>
        <v/>
      </c>
      <c r="E101" s="39" t="str">
        <f>IF($A101="","",Strike_Log!F101)</f>
        <v/>
      </c>
      <c r="F101" s="39" t="str">
        <f>IF($A101="","",Strike_Log!H101)</f>
        <v/>
      </c>
      <c r="G101" s="39" t="str">
        <f t="shared" si="1"/>
        <v/>
      </c>
      <c r="H101" s="39" t="str">
        <f t="shared" si="2"/>
        <v/>
      </c>
      <c r="I101" s="39" t="str">
        <f>IF(Strike_Log!H101="Pending",Strike_Log!J101,"")</f>
        <v/>
      </c>
      <c r="J101" s="39"/>
      <c r="M101" s="39" t="str">
        <f t="shared" si="3"/>
        <v/>
      </c>
    </row>
    <row r="102" ht="15.75" customHeight="1">
      <c r="A102" s="39" t="str">
        <f>IF(Strike_Log!H102="Pending",Strike_Log!B102,"")</f>
        <v/>
      </c>
      <c r="B102" s="39" t="str">
        <f>IF($A102="","",IFERROR(VLOOKUP($A102,Grinders!$A:$B,2,FALSE),""))</f>
        <v/>
      </c>
      <c r="C102" s="39" t="str">
        <f>IF($A102="","",Strike_Log!A102)</f>
        <v/>
      </c>
      <c r="D102" s="39" t="str">
        <f>IF($A102="","",Strike_Log!E102)</f>
        <v/>
      </c>
      <c r="E102" s="39" t="str">
        <f>IF($A102="","",Strike_Log!F102)</f>
        <v/>
      </c>
      <c r="F102" s="39" t="str">
        <f>IF($A102="","",Strike_Log!H102)</f>
        <v/>
      </c>
      <c r="G102" s="39" t="str">
        <f t="shared" si="1"/>
        <v/>
      </c>
      <c r="H102" s="39" t="str">
        <f t="shared" si="2"/>
        <v/>
      </c>
      <c r="I102" s="39" t="str">
        <f>IF(Strike_Log!H102="Pending",Strike_Log!J102,"")</f>
        <v/>
      </c>
      <c r="J102" s="39"/>
      <c r="M102" s="39" t="str">
        <f t="shared" si="3"/>
        <v/>
      </c>
    </row>
    <row r="103" ht="15.75" customHeight="1">
      <c r="A103" s="39" t="str">
        <f>IF(Strike_Log!H103="Pending",Strike_Log!B103,"")</f>
        <v/>
      </c>
      <c r="B103" s="39" t="str">
        <f>IF($A103="","",IFERROR(VLOOKUP($A103,Grinders!$A:$B,2,FALSE),""))</f>
        <v/>
      </c>
      <c r="C103" s="39" t="str">
        <f>IF($A103="","",Strike_Log!A103)</f>
        <v/>
      </c>
      <c r="D103" s="39" t="str">
        <f>IF($A103="","",Strike_Log!E103)</f>
        <v/>
      </c>
      <c r="E103" s="39" t="str">
        <f>IF($A103="","",Strike_Log!F103)</f>
        <v/>
      </c>
      <c r="F103" s="39" t="str">
        <f>IF($A103="","",Strike_Log!H103)</f>
        <v/>
      </c>
      <c r="G103" s="39" t="str">
        <f t="shared" si="1"/>
        <v/>
      </c>
      <c r="H103" s="39" t="str">
        <f t="shared" si="2"/>
        <v/>
      </c>
      <c r="I103" s="39" t="str">
        <f>IF(Strike_Log!H103="Pending",Strike_Log!J103,"")</f>
        <v/>
      </c>
      <c r="J103" s="39"/>
      <c r="M103" s="39" t="str">
        <f t="shared" si="3"/>
        <v/>
      </c>
    </row>
    <row r="104" ht="15.75" customHeight="1">
      <c r="A104" s="39" t="str">
        <f>IF(Strike_Log!H104="Pending",Strike_Log!B104,"")</f>
        <v/>
      </c>
      <c r="B104" s="39" t="str">
        <f>IF($A104="","",IFERROR(VLOOKUP($A104,Grinders!$A:$B,2,FALSE),""))</f>
        <v/>
      </c>
      <c r="C104" s="39" t="str">
        <f>IF($A104="","",Strike_Log!A104)</f>
        <v/>
      </c>
      <c r="D104" s="39" t="str">
        <f>IF($A104="","",Strike_Log!E104)</f>
        <v/>
      </c>
      <c r="E104" s="39" t="str">
        <f>IF($A104="","",Strike_Log!F104)</f>
        <v/>
      </c>
      <c r="F104" s="39" t="str">
        <f>IF($A104="","",Strike_Log!H104)</f>
        <v/>
      </c>
      <c r="G104" s="39" t="str">
        <f t="shared" si="1"/>
        <v/>
      </c>
      <c r="H104" s="39" t="str">
        <f t="shared" si="2"/>
        <v/>
      </c>
      <c r="I104" s="39" t="str">
        <f>IF(Strike_Log!H104="Pending",Strike_Log!J104,"")</f>
        <v/>
      </c>
      <c r="J104" s="39"/>
      <c r="M104" s="39" t="str">
        <f t="shared" si="3"/>
        <v/>
      </c>
    </row>
    <row r="105" ht="15.75" customHeight="1">
      <c r="A105" s="39" t="str">
        <f>IF(Strike_Log!H105="Pending",Strike_Log!B105,"")</f>
        <v/>
      </c>
      <c r="B105" s="39" t="str">
        <f>IF($A105="","",IFERROR(VLOOKUP($A105,Grinders!$A:$B,2,FALSE),""))</f>
        <v/>
      </c>
      <c r="C105" s="39" t="str">
        <f>IF($A105="","",Strike_Log!A105)</f>
        <v/>
      </c>
      <c r="D105" s="39" t="str">
        <f>IF($A105="","",Strike_Log!E105)</f>
        <v/>
      </c>
      <c r="E105" s="39" t="str">
        <f>IF($A105="","",Strike_Log!F105)</f>
        <v/>
      </c>
      <c r="F105" s="39" t="str">
        <f>IF($A105="","",Strike_Log!H105)</f>
        <v/>
      </c>
      <c r="G105" s="39" t="str">
        <f t="shared" si="1"/>
        <v/>
      </c>
      <c r="H105" s="39" t="str">
        <f t="shared" si="2"/>
        <v/>
      </c>
      <c r="I105" s="39" t="str">
        <f>IF(Strike_Log!H105="Pending",Strike_Log!J105,"")</f>
        <v/>
      </c>
      <c r="J105" s="39"/>
      <c r="M105" s="39" t="str">
        <f t="shared" si="3"/>
        <v/>
      </c>
    </row>
    <row r="106" ht="15.75" customHeight="1">
      <c r="A106" s="39" t="str">
        <f>IF(Strike_Log!H106="Pending",Strike_Log!B106,"")</f>
        <v/>
      </c>
      <c r="B106" s="39" t="str">
        <f>IF($A106="","",IFERROR(VLOOKUP($A106,Grinders!$A:$B,2,FALSE),""))</f>
        <v/>
      </c>
      <c r="C106" s="39" t="str">
        <f>IF($A106="","",Strike_Log!A106)</f>
        <v/>
      </c>
      <c r="D106" s="39" t="str">
        <f>IF($A106="","",Strike_Log!E106)</f>
        <v/>
      </c>
      <c r="E106" s="39" t="str">
        <f>IF($A106="","",Strike_Log!F106)</f>
        <v/>
      </c>
      <c r="F106" s="39" t="str">
        <f>IF($A106="","",Strike_Log!H106)</f>
        <v/>
      </c>
      <c r="G106" s="39" t="str">
        <f t="shared" si="1"/>
        <v/>
      </c>
      <c r="H106" s="39" t="str">
        <f t="shared" si="2"/>
        <v/>
      </c>
      <c r="I106" s="39" t="str">
        <f>IF(Strike_Log!H106="Pending",Strike_Log!J106,"")</f>
        <v/>
      </c>
      <c r="J106" s="39"/>
      <c r="M106" s="39" t="str">
        <f t="shared" si="3"/>
        <v/>
      </c>
    </row>
    <row r="107" ht="15.75" customHeight="1">
      <c r="A107" s="39" t="str">
        <f>IF(Strike_Log!H107="Pending",Strike_Log!B107,"")</f>
        <v/>
      </c>
      <c r="B107" s="39" t="str">
        <f>IF($A107="","",IFERROR(VLOOKUP($A107,Grinders!$A:$B,2,FALSE),""))</f>
        <v/>
      </c>
      <c r="C107" s="39" t="str">
        <f>IF($A107="","",Strike_Log!A107)</f>
        <v/>
      </c>
      <c r="D107" s="39" t="str">
        <f>IF($A107="","",Strike_Log!E107)</f>
        <v/>
      </c>
      <c r="E107" s="39" t="str">
        <f>IF($A107="","",Strike_Log!F107)</f>
        <v/>
      </c>
      <c r="F107" s="39" t="str">
        <f>IF($A107="","",Strike_Log!H107)</f>
        <v/>
      </c>
      <c r="G107" s="39" t="str">
        <f t="shared" si="1"/>
        <v/>
      </c>
      <c r="H107" s="39" t="str">
        <f t="shared" si="2"/>
        <v/>
      </c>
      <c r="I107" s="39" t="str">
        <f>IF(Strike_Log!H107="Pending",Strike_Log!J107,"")</f>
        <v/>
      </c>
      <c r="J107" s="39"/>
      <c r="M107" s="39" t="str">
        <f t="shared" si="3"/>
        <v/>
      </c>
    </row>
    <row r="108" ht="15.75" customHeight="1">
      <c r="A108" s="39" t="str">
        <f>IF(Strike_Log!H108="Pending",Strike_Log!B108,"")</f>
        <v/>
      </c>
      <c r="B108" s="39" t="str">
        <f>IF($A108="","",IFERROR(VLOOKUP($A108,Grinders!$A:$B,2,FALSE),""))</f>
        <v/>
      </c>
      <c r="C108" s="39" t="str">
        <f>IF($A108="","",Strike_Log!A108)</f>
        <v/>
      </c>
      <c r="D108" s="39" t="str">
        <f>IF($A108="","",Strike_Log!E108)</f>
        <v/>
      </c>
      <c r="E108" s="39" t="str">
        <f>IF($A108="","",Strike_Log!F108)</f>
        <v/>
      </c>
      <c r="F108" s="39" t="str">
        <f>IF($A108="","",Strike_Log!H108)</f>
        <v/>
      </c>
      <c r="G108" s="39" t="str">
        <f t="shared" si="1"/>
        <v/>
      </c>
      <c r="H108" s="39" t="str">
        <f t="shared" si="2"/>
        <v/>
      </c>
      <c r="I108" s="39" t="str">
        <f>IF(Strike_Log!H108="Pending",Strike_Log!J108,"")</f>
        <v/>
      </c>
      <c r="J108" s="39"/>
      <c r="M108" s="39" t="str">
        <f t="shared" si="3"/>
        <v/>
      </c>
    </row>
    <row r="109" ht="15.75" customHeight="1">
      <c r="A109" s="39" t="str">
        <f>IF(Strike_Log!H109="Pending",Strike_Log!B109,"")</f>
        <v/>
      </c>
      <c r="B109" s="39" t="str">
        <f>IF($A109="","",IFERROR(VLOOKUP($A109,Grinders!$A:$B,2,FALSE),""))</f>
        <v/>
      </c>
      <c r="C109" s="39" t="str">
        <f>IF($A109="","",Strike_Log!A109)</f>
        <v/>
      </c>
      <c r="D109" s="39" t="str">
        <f>IF($A109="","",Strike_Log!E109)</f>
        <v/>
      </c>
      <c r="E109" s="39" t="str">
        <f>IF($A109="","",Strike_Log!F109)</f>
        <v/>
      </c>
      <c r="F109" s="39" t="str">
        <f>IF($A109="","",Strike_Log!H109)</f>
        <v/>
      </c>
      <c r="G109" s="39" t="str">
        <f t="shared" si="1"/>
        <v/>
      </c>
      <c r="H109" s="39" t="str">
        <f t="shared" si="2"/>
        <v/>
      </c>
      <c r="I109" s="39" t="str">
        <f>IF(Strike_Log!H109="Pending",Strike_Log!J109,"")</f>
        <v/>
      </c>
      <c r="J109" s="39"/>
      <c r="M109" s="39" t="str">
        <f t="shared" si="3"/>
        <v/>
      </c>
    </row>
    <row r="110" ht="15.75" customHeight="1">
      <c r="A110" s="39" t="str">
        <f>IF(Strike_Log!H110="Pending",Strike_Log!B110,"")</f>
        <v/>
      </c>
      <c r="B110" s="39" t="str">
        <f>IF($A110="","",IFERROR(VLOOKUP($A110,Grinders!$A:$B,2,FALSE),""))</f>
        <v/>
      </c>
      <c r="C110" s="39" t="str">
        <f>IF($A110="","",Strike_Log!A110)</f>
        <v/>
      </c>
      <c r="D110" s="39" t="str">
        <f>IF($A110="","",Strike_Log!E110)</f>
        <v/>
      </c>
      <c r="E110" s="39" t="str">
        <f>IF($A110="","",Strike_Log!F110)</f>
        <v/>
      </c>
      <c r="F110" s="39" t="str">
        <f>IF($A110="","",Strike_Log!H110)</f>
        <v/>
      </c>
      <c r="G110" s="39" t="str">
        <f t="shared" si="1"/>
        <v/>
      </c>
      <c r="H110" s="39" t="str">
        <f t="shared" si="2"/>
        <v/>
      </c>
      <c r="I110" s="39" t="str">
        <f>IF(Strike_Log!H110="Pending",Strike_Log!J110,"")</f>
        <v/>
      </c>
      <c r="J110" s="39"/>
      <c r="M110" s="39" t="str">
        <f t="shared" si="3"/>
        <v/>
      </c>
    </row>
    <row r="111" ht="15.75" customHeight="1">
      <c r="A111" s="39" t="str">
        <f>IF(Strike_Log!H111="Pending",Strike_Log!B111,"")</f>
        <v/>
      </c>
      <c r="B111" s="39" t="str">
        <f>IF($A111="","",IFERROR(VLOOKUP($A111,Grinders!$A:$B,2,FALSE),""))</f>
        <v/>
      </c>
      <c r="C111" s="39" t="str">
        <f>IF($A111="","",Strike_Log!A111)</f>
        <v/>
      </c>
      <c r="D111" s="39" t="str">
        <f>IF($A111="","",Strike_Log!E111)</f>
        <v/>
      </c>
      <c r="E111" s="39" t="str">
        <f>IF($A111="","",Strike_Log!F111)</f>
        <v/>
      </c>
      <c r="F111" s="39" t="str">
        <f>IF($A111="","",Strike_Log!H111)</f>
        <v/>
      </c>
      <c r="G111" s="39" t="str">
        <f t="shared" si="1"/>
        <v/>
      </c>
      <c r="H111" s="39" t="str">
        <f t="shared" si="2"/>
        <v/>
      </c>
      <c r="I111" s="39" t="str">
        <f>IF(Strike_Log!H111="Pending",Strike_Log!J111,"")</f>
        <v/>
      </c>
      <c r="J111" s="39"/>
      <c r="M111" s="39" t="str">
        <f t="shared" si="3"/>
        <v/>
      </c>
    </row>
    <row r="112" ht="15.75" customHeight="1">
      <c r="A112" s="39" t="str">
        <f>IF(Strike_Log!H112="Pending",Strike_Log!B112,"")</f>
        <v/>
      </c>
      <c r="B112" s="39" t="str">
        <f>IF($A112="","",IFERROR(VLOOKUP($A112,Grinders!$A:$B,2,FALSE),""))</f>
        <v/>
      </c>
      <c r="C112" s="39" t="str">
        <f>IF($A112="","",Strike_Log!A112)</f>
        <v/>
      </c>
      <c r="D112" s="39" t="str">
        <f>IF($A112="","",Strike_Log!E112)</f>
        <v/>
      </c>
      <c r="E112" s="39" t="str">
        <f>IF($A112="","",Strike_Log!F112)</f>
        <v/>
      </c>
      <c r="F112" s="39" t="str">
        <f>IF($A112="","",Strike_Log!H112)</f>
        <v/>
      </c>
      <c r="G112" s="39" t="str">
        <f t="shared" si="1"/>
        <v/>
      </c>
      <c r="H112" s="39" t="str">
        <f t="shared" si="2"/>
        <v/>
      </c>
      <c r="I112" s="39" t="str">
        <f>IF(Strike_Log!H112="Pending",Strike_Log!J112,"")</f>
        <v/>
      </c>
      <c r="J112" s="39"/>
      <c r="M112" s="39" t="str">
        <f t="shared" si="3"/>
        <v/>
      </c>
    </row>
    <row r="113" ht="15.75" customHeight="1">
      <c r="A113" s="39" t="str">
        <f>IF(Strike_Log!H113="Pending",Strike_Log!B113,"")</f>
        <v/>
      </c>
      <c r="B113" s="39" t="str">
        <f>IF($A113="","",IFERROR(VLOOKUP($A113,Grinders!$A:$B,2,FALSE),""))</f>
        <v/>
      </c>
      <c r="C113" s="39" t="str">
        <f>IF($A113="","",Strike_Log!A113)</f>
        <v/>
      </c>
      <c r="D113" s="39" t="str">
        <f>IF($A113="","",Strike_Log!E113)</f>
        <v/>
      </c>
      <c r="E113" s="39" t="str">
        <f>IF($A113="","",Strike_Log!F113)</f>
        <v/>
      </c>
      <c r="F113" s="39" t="str">
        <f>IF($A113="","",Strike_Log!H113)</f>
        <v/>
      </c>
      <c r="G113" s="39" t="str">
        <f t="shared" si="1"/>
        <v/>
      </c>
      <c r="H113" s="39" t="str">
        <f t="shared" si="2"/>
        <v/>
      </c>
      <c r="I113" s="39" t="str">
        <f>IF(Strike_Log!H113="Pending",Strike_Log!J113,"")</f>
        <v/>
      </c>
      <c r="J113" s="39"/>
      <c r="M113" s="39" t="str">
        <f t="shared" si="3"/>
        <v/>
      </c>
    </row>
    <row r="114" ht="15.75" customHeight="1">
      <c r="A114" s="39" t="str">
        <f>IF(Strike_Log!H114="Pending",Strike_Log!B114,"")</f>
        <v/>
      </c>
      <c r="B114" s="39" t="str">
        <f>IF($A114="","",IFERROR(VLOOKUP($A114,Grinders!$A:$B,2,FALSE),""))</f>
        <v/>
      </c>
      <c r="C114" s="39" t="str">
        <f>IF($A114="","",Strike_Log!A114)</f>
        <v/>
      </c>
      <c r="D114" s="39" t="str">
        <f>IF($A114="","",Strike_Log!E114)</f>
        <v/>
      </c>
      <c r="E114" s="39" t="str">
        <f>IF($A114="","",Strike_Log!F114)</f>
        <v/>
      </c>
      <c r="F114" s="39" t="str">
        <f>IF($A114="","",Strike_Log!H114)</f>
        <v/>
      </c>
      <c r="G114" s="39" t="str">
        <f t="shared" si="1"/>
        <v/>
      </c>
      <c r="H114" s="39" t="str">
        <f t="shared" si="2"/>
        <v/>
      </c>
      <c r="I114" s="39" t="str">
        <f>IF(Strike_Log!H114="Pending",Strike_Log!J114,"")</f>
        <v/>
      </c>
      <c r="J114" s="39"/>
      <c r="M114" s="39" t="str">
        <f t="shared" si="3"/>
        <v/>
      </c>
    </row>
    <row r="115" ht="15.75" customHeight="1">
      <c r="A115" s="39" t="str">
        <f>IF(Strike_Log!H115="Pending",Strike_Log!B115,"")</f>
        <v/>
      </c>
      <c r="B115" s="39" t="str">
        <f>IF($A115="","",IFERROR(VLOOKUP($A115,Grinders!$A:$B,2,FALSE),""))</f>
        <v/>
      </c>
      <c r="C115" s="39" t="str">
        <f>IF($A115="","",Strike_Log!A115)</f>
        <v/>
      </c>
      <c r="D115" s="39" t="str">
        <f>IF($A115="","",Strike_Log!E115)</f>
        <v/>
      </c>
      <c r="E115" s="39" t="str">
        <f>IF($A115="","",Strike_Log!F115)</f>
        <v/>
      </c>
      <c r="F115" s="39" t="str">
        <f>IF($A115="","",Strike_Log!H115)</f>
        <v/>
      </c>
      <c r="G115" s="39" t="str">
        <f t="shared" si="1"/>
        <v/>
      </c>
      <c r="H115" s="39" t="str">
        <f t="shared" si="2"/>
        <v/>
      </c>
      <c r="I115" s="39" t="str">
        <f>IF(Strike_Log!H115="Pending",Strike_Log!J115,"")</f>
        <v/>
      </c>
      <c r="J115" s="39"/>
      <c r="M115" s="39" t="str">
        <f t="shared" si="3"/>
        <v/>
      </c>
    </row>
    <row r="116" ht="15.75" customHeight="1">
      <c r="A116" s="39" t="str">
        <f>IF(Strike_Log!H116="Pending",Strike_Log!B116,"")</f>
        <v/>
      </c>
      <c r="B116" s="39" t="str">
        <f>IF($A116="","",IFERROR(VLOOKUP($A116,Grinders!$A:$B,2,FALSE),""))</f>
        <v/>
      </c>
      <c r="C116" s="39" t="str">
        <f>IF($A116="","",Strike_Log!A116)</f>
        <v/>
      </c>
      <c r="D116" s="39" t="str">
        <f>IF($A116="","",Strike_Log!E116)</f>
        <v/>
      </c>
      <c r="E116" s="39" t="str">
        <f>IF($A116="","",Strike_Log!F116)</f>
        <v/>
      </c>
      <c r="F116" s="39" t="str">
        <f>IF($A116="","",Strike_Log!H116)</f>
        <v/>
      </c>
      <c r="G116" s="39" t="str">
        <f t="shared" si="1"/>
        <v/>
      </c>
      <c r="H116" s="39" t="str">
        <f t="shared" si="2"/>
        <v/>
      </c>
      <c r="I116" s="39" t="str">
        <f>IF(Strike_Log!H116="Pending",Strike_Log!J116,"")</f>
        <v/>
      </c>
      <c r="J116" s="39"/>
      <c r="M116" s="39" t="str">
        <f t="shared" si="3"/>
        <v/>
      </c>
    </row>
    <row r="117" ht="15.75" customHeight="1">
      <c r="A117" s="39" t="str">
        <f>IF(Strike_Log!H117="Pending",Strike_Log!B117,"")</f>
        <v/>
      </c>
      <c r="B117" s="39" t="str">
        <f>IF($A117="","",IFERROR(VLOOKUP($A117,Grinders!$A:$B,2,FALSE),""))</f>
        <v/>
      </c>
      <c r="C117" s="39" t="str">
        <f>IF($A117="","",Strike_Log!A117)</f>
        <v/>
      </c>
      <c r="D117" s="39" t="str">
        <f>IF($A117="","",Strike_Log!E117)</f>
        <v/>
      </c>
      <c r="E117" s="39" t="str">
        <f>IF($A117="","",Strike_Log!F117)</f>
        <v/>
      </c>
      <c r="F117" s="39" t="str">
        <f>IF($A117="","",Strike_Log!H117)</f>
        <v/>
      </c>
      <c r="G117" s="39" t="str">
        <f t="shared" si="1"/>
        <v/>
      </c>
      <c r="H117" s="39" t="str">
        <f t="shared" si="2"/>
        <v/>
      </c>
      <c r="I117" s="39" t="str">
        <f>IF(Strike_Log!H117="Pending",Strike_Log!J117,"")</f>
        <v/>
      </c>
      <c r="J117" s="39"/>
      <c r="M117" s="39" t="str">
        <f t="shared" si="3"/>
        <v/>
      </c>
    </row>
    <row r="118" ht="15.75" customHeight="1">
      <c r="A118" s="39" t="str">
        <f>IF(Strike_Log!H118="Pending",Strike_Log!B118,"")</f>
        <v/>
      </c>
      <c r="B118" s="39" t="str">
        <f>IF($A118="","",IFERROR(VLOOKUP($A118,Grinders!$A:$B,2,FALSE),""))</f>
        <v/>
      </c>
      <c r="C118" s="39" t="str">
        <f>IF($A118="","",Strike_Log!A118)</f>
        <v/>
      </c>
      <c r="D118" s="39" t="str">
        <f>IF($A118="","",Strike_Log!E118)</f>
        <v/>
      </c>
      <c r="E118" s="39" t="str">
        <f>IF($A118="","",Strike_Log!F118)</f>
        <v/>
      </c>
      <c r="F118" s="39" t="str">
        <f>IF($A118="","",Strike_Log!H118)</f>
        <v/>
      </c>
      <c r="G118" s="39" t="str">
        <f t="shared" si="1"/>
        <v/>
      </c>
      <c r="H118" s="39" t="str">
        <f t="shared" si="2"/>
        <v/>
      </c>
      <c r="I118" s="39" t="str">
        <f>IF(Strike_Log!H118="Pending",Strike_Log!J118,"")</f>
        <v/>
      </c>
      <c r="J118" s="39"/>
      <c r="M118" s="39" t="str">
        <f t="shared" si="3"/>
        <v/>
      </c>
    </row>
    <row r="119" ht="15.75" customHeight="1">
      <c r="A119" s="39" t="str">
        <f>IF(Strike_Log!H119="Pending",Strike_Log!B119,"")</f>
        <v/>
      </c>
      <c r="B119" s="39" t="str">
        <f>IF($A119="","",IFERROR(VLOOKUP($A119,Grinders!$A:$B,2,FALSE),""))</f>
        <v/>
      </c>
      <c r="C119" s="39" t="str">
        <f>IF($A119="","",Strike_Log!A119)</f>
        <v/>
      </c>
      <c r="D119" s="39" t="str">
        <f>IF($A119="","",Strike_Log!E119)</f>
        <v/>
      </c>
      <c r="E119" s="39" t="str">
        <f>IF($A119="","",Strike_Log!F119)</f>
        <v/>
      </c>
      <c r="F119" s="39" t="str">
        <f>IF($A119="","",Strike_Log!H119)</f>
        <v/>
      </c>
      <c r="G119" s="39" t="str">
        <f t="shared" si="1"/>
        <v/>
      </c>
      <c r="H119" s="39" t="str">
        <f t="shared" si="2"/>
        <v/>
      </c>
      <c r="I119" s="39" t="str">
        <f>IF(Strike_Log!H119="Pending",Strike_Log!J119,"")</f>
        <v/>
      </c>
      <c r="J119" s="39"/>
      <c r="M119" s="39" t="str">
        <f t="shared" si="3"/>
        <v/>
      </c>
    </row>
    <row r="120" ht="15.75" customHeight="1">
      <c r="A120" s="39" t="str">
        <f>IF(Strike_Log!H120="Pending",Strike_Log!B120,"")</f>
        <v/>
      </c>
      <c r="B120" s="39" t="str">
        <f>IF($A120="","",IFERROR(VLOOKUP($A120,Grinders!$A:$B,2,FALSE),""))</f>
        <v/>
      </c>
      <c r="C120" s="39" t="str">
        <f>IF($A120="","",Strike_Log!A120)</f>
        <v/>
      </c>
      <c r="D120" s="39" t="str">
        <f>IF($A120="","",Strike_Log!E120)</f>
        <v/>
      </c>
      <c r="E120" s="39" t="str">
        <f>IF($A120="","",Strike_Log!F120)</f>
        <v/>
      </c>
      <c r="F120" s="39" t="str">
        <f>IF($A120="","",Strike_Log!H120)</f>
        <v/>
      </c>
      <c r="G120" s="39" t="str">
        <f t="shared" si="1"/>
        <v/>
      </c>
      <c r="H120" s="39" t="str">
        <f t="shared" si="2"/>
        <v/>
      </c>
      <c r="I120" s="39" t="str">
        <f>IF(Strike_Log!H120="Pending",Strike_Log!J120,"")</f>
        <v/>
      </c>
      <c r="J120" s="39"/>
      <c r="M120" s="39" t="str">
        <f t="shared" si="3"/>
        <v/>
      </c>
    </row>
    <row r="121" ht="15.75" customHeight="1">
      <c r="A121" s="39" t="str">
        <f>IF(Strike_Log!H121="Pending",Strike_Log!B121,"")</f>
        <v/>
      </c>
      <c r="B121" s="39" t="str">
        <f>IF($A121="","",IFERROR(VLOOKUP($A121,Grinders!$A:$B,2,FALSE),""))</f>
        <v/>
      </c>
      <c r="C121" s="39" t="str">
        <f>IF($A121="","",Strike_Log!A121)</f>
        <v/>
      </c>
      <c r="D121" s="39" t="str">
        <f>IF($A121="","",Strike_Log!E121)</f>
        <v/>
      </c>
      <c r="E121" s="39" t="str">
        <f>IF($A121="","",Strike_Log!F121)</f>
        <v/>
      </c>
      <c r="F121" s="39" t="str">
        <f>IF($A121="","",Strike_Log!H121)</f>
        <v/>
      </c>
      <c r="G121" s="39" t="str">
        <f t="shared" si="1"/>
        <v/>
      </c>
      <c r="H121" s="39" t="str">
        <f t="shared" si="2"/>
        <v/>
      </c>
      <c r="I121" s="39" t="str">
        <f>IF(Strike_Log!H121="Pending",Strike_Log!J121,"")</f>
        <v/>
      </c>
      <c r="J121" s="39"/>
      <c r="M121" s="39" t="str">
        <f t="shared" si="3"/>
        <v/>
      </c>
    </row>
    <row r="122" ht="15.75" customHeight="1">
      <c r="A122" s="39" t="str">
        <f>IF(Strike_Log!H122="Pending",Strike_Log!B122,"")</f>
        <v/>
      </c>
      <c r="B122" s="39" t="str">
        <f>IF($A122="","",IFERROR(VLOOKUP($A122,Grinders!$A:$B,2,FALSE),""))</f>
        <v/>
      </c>
      <c r="C122" s="39" t="str">
        <f>IF($A122="","",Strike_Log!A122)</f>
        <v/>
      </c>
      <c r="D122" s="39" t="str">
        <f>IF($A122="","",Strike_Log!E122)</f>
        <v/>
      </c>
      <c r="E122" s="39" t="str">
        <f>IF($A122="","",Strike_Log!F122)</f>
        <v/>
      </c>
      <c r="F122" s="39" t="str">
        <f>IF($A122="","",Strike_Log!H122)</f>
        <v/>
      </c>
      <c r="G122" s="39" t="str">
        <f t="shared" si="1"/>
        <v/>
      </c>
      <c r="H122" s="39" t="str">
        <f t="shared" si="2"/>
        <v/>
      </c>
      <c r="I122" s="39" t="str">
        <f>IF(Strike_Log!H122="Pending",Strike_Log!J122,"")</f>
        <v/>
      </c>
      <c r="J122" s="39"/>
      <c r="M122" s="39" t="str">
        <f t="shared" si="3"/>
        <v/>
      </c>
    </row>
    <row r="123" ht="15.75" customHeight="1">
      <c r="A123" s="39" t="str">
        <f>IF(Strike_Log!H123="Pending",Strike_Log!B123,"")</f>
        <v/>
      </c>
      <c r="B123" s="39" t="str">
        <f>IF($A123="","",IFERROR(VLOOKUP($A123,Grinders!$A:$B,2,FALSE),""))</f>
        <v/>
      </c>
      <c r="C123" s="39" t="str">
        <f>IF($A123="","",Strike_Log!A123)</f>
        <v/>
      </c>
      <c r="D123" s="39" t="str">
        <f>IF($A123="","",Strike_Log!E123)</f>
        <v/>
      </c>
      <c r="E123" s="39" t="str">
        <f>IF($A123="","",Strike_Log!F123)</f>
        <v/>
      </c>
      <c r="F123" s="39" t="str">
        <f>IF($A123="","",Strike_Log!H123)</f>
        <v/>
      </c>
      <c r="G123" s="39" t="str">
        <f t="shared" si="1"/>
        <v/>
      </c>
      <c r="H123" s="39" t="str">
        <f t="shared" si="2"/>
        <v/>
      </c>
      <c r="I123" s="39" t="str">
        <f>IF(Strike_Log!H123="Pending",Strike_Log!J123,"")</f>
        <v/>
      </c>
      <c r="J123" s="39"/>
      <c r="M123" s="39" t="str">
        <f t="shared" si="3"/>
        <v/>
      </c>
    </row>
    <row r="124" ht="15.75" customHeight="1">
      <c r="A124" s="39" t="str">
        <f>IF(Strike_Log!H124="Pending",Strike_Log!B124,"")</f>
        <v/>
      </c>
      <c r="B124" s="39" t="str">
        <f>IF($A124="","",IFERROR(VLOOKUP($A124,Grinders!$A:$B,2,FALSE),""))</f>
        <v/>
      </c>
      <c r="C124" s="39" t="str">
        <f>IF($A124="","",Strike_Log!A124)</f>
        <v/>
      </c>
      <c r="D124" s="39" t="str">
        <f>IF($A124="","",Strike_Log!E124)</f>
        <v/>
      </c>
      <c r="E124" s="39" t="str">
        <f>IF($A124="","",Strike_Log!F124)</f>
        <v/>
      </c>
      <c r="F124" s="39" t="str">
        <f>IF($A124="","",Strike_Log!H124)</f>
        <v/>
      </c>
      <c r="G124" s="39" t="str">
        <f t="shared" si="1"/>
        <v/>
      </c>
      <c r="H124" s="39" t="str">
        <f t="shared" si="2"/>
        <v/>
      </c>
      <c r="I124" s="39" t="str">
        <f>IF(Strike_Log!H124="Pending",Strike_Log!J124,"")</f>
        <v/>
      </c>
      <c r="J124" s="39"/>
      <c r="M124" s="39" t="str">
        <f t="shared" si="3"/>
        <v/>
      </c>
    </row>
    <row r="125" ht="15.75" customHeight="1">
      <c r="A125" s="39" t="str">
        <f>IF(Strike_Log!H125="Pending",Strike_Log!B125,"")</f>
        <v/>
      </c>
      <c r="B125" s="39" t="str">
        <f>IF($A125="","",IFERROR(VLOOKUP($A125,Grinders!$A:$B,2,FALSE),""))</f>
        <v/>
      </c>
      <c r="C125" s="39" t="str">
        <f>IF($A125="","",Strike_Log!A125)</f>
        <v/>
      </c>
      <c r="D125" s="39" t="str">
        <f>IF($A125="","",Strike_Log!E125)</f>
        <v/>
      </c>
      <c r="E125" s="39" t="str">
        <f>IF($A125="","",Strike_Log!F125)</f>
        <v/>
      </c>
      <c r="F125" s="39" t="str">
        <f>IF($A125="","",Strike_Log!H125)</f>
        <v/>
      </c>
      <c r="G125" s="39" t="str">
        <f t="shared" si="1"/>
        <v/>
      </c>
      <c r="H125" s="39" t="str">
        <f t="shared" si="2"/>
        <v/>
      </c>
      <c r="I125" s="39" t="str">
        <f>IF(Strike_Log!H125="Pending",Strike_Log!J125,"")</f>
        <v/>
      </c>
      <c r="J125" s="39"/>
      <c r="M125" s="39" t="str">
        <f t="shared" si="3"/>
        <v/>
      </c>
    </row>
    <row r="126" ht="15.75" customHeight="1">
      <c r="A126" s="39" t="str">
        <f>IF(Strike_Log!H126="Pending",Strike_Log!B126,"")</f>
        <v/>
      </c>
      <c r="B126" s="39" t="str">
        <f>IF($A126="","",IFERROR(VLOOKUP($A126,Grinders!$A:$B,2,FALSE),""))</f>
        <v/>
      </c>
      <c r="C126" s="39" t="str">
        <f>IF($A126="","",Strike_Log!A126)</f>
        <v/>
      </c>
      <c r="D126" s="39" t="str">
        <f>IF($A126="","",Strike_Log!E126)</f>
        <v/>
      </c>
      <c r="E126" s="39" t="str">
        <f>IF($A126="","",Strike_Log!F126)</f>
        <v/>
      </c>
      <c r="F126" s="39" t="str">
        <f>IF($A126="","",Strike_Log!H126)</f>
        <v/>
      </c>
      <c r="G126" s="39" t="str">
        <f t="shared" si="1"/>
        <v/>
      </c>
      <c r="H126" s="39" t="str">
        <f t="shared" si="2"/>
        <v/>
      </c>
      <c r="I126" s="39" t="str">
        <f>IF(Strike_Log!H126="Pending",Strike_Log!J126,"")</f>
        <v/>
      </c>
      <c r="J126" s="39"/>
      <c r="M126" s="39" t="str">
        <f t="shared" si="3"/>
        <v/>
      </c>
    </row>
    <row r="127" ht="15.75" customHeight="1">
      <c r="A127" s="39" t="str">
        <f>IF(Strike_Log!H127="Pending",Strike_Log!B127,"")</f>
        <v/>
      </c>
      <c r="B127" s="39" t="str">
        <f>IF($A127="","",IFERROR(VLOOKUP($A127,Grinders!$A:$B,2,FALSE),""))</f>
        <v/>
      </c>
      <c r="C127" s="39" t="str">
        <f>IF($A127="","",Strike_Log!A127)</f>
        <v/>
      </c>
      <c r="D127" s="39" t="str">
        <f>IF($A127="","",Strike_Log!E127)</f>
        <v/>
      </c>
      <c r="E127" s="39" t="str">
        <f>IF($A127="","",Strike_Log!F127)</f>
        <v/>
      </c>
      <c r="F127" s="39" t="str">
        <f>IF($A127="","",Strike_Log!H127)</f>
        <v/>
      </c>
      <c r="G127" s="39" t="str">
        <f t="shared" si="1"/>
        <v/>
      </c>
      <c r="H127" s="39" t="str">
        <f t="shared" si="2"/>
        <v/>
      </c>
      <c r="I127" s="39" t="str">
        <f>IF(Strike_Log!H127="Pending",Strike_Log!J127,"")</f>
        <v/>
      </c>
      <c r="J127" s="39"/>
      <c r="M127" s="39" t="str">
        <f t="shared" si="3"/>
        <v/>
      </c>
    </row>
    <row r="128" ht="15.75" customHeight="1">
      <c r="A128" s="39" t="str">
        <f>IF(Strike_Log!H128="Pending",Strike_Log!B128,"")</f>
        <v/>
      </c>
      <c r="B128" s="39" t="str">
        <f>IF($A128="","",IFERROR(VLOOKUP($A128,Grinders!$A:$B,2,FALSE),""))</f>
        <v/>
      </c>
      <c r="C128" s="39" t="str">
        <f>IF($A128="","",Strike_Log!A128)</f>
        <v/>
      </c>
      <c r="D128" s="39" t="str">
        <f>IF($A128="","",Strike_Log!E128)</f>
        <v/>
      </c>
      <c r="E128" s="39" t="str">
        <f>IF($A128="","",Strike_Log!F128)</f>
        <v/>
      </c>
      <c r="F128" s="39" t="str">
        <f>IF($A128="","",Strike_Log!H128)</f>
        <v/>
      </c>
      <c r="G128" s="39" t="str">
        <f t="shared" si="1"/>
        <v/>
      </c>
      <c r="H128" s="39" t="str">
        <f t="shared" si="2"/>
        <v/>
      </c>
      <c r="I128" s="39" t="str">
        <f>IF(Strike_Log!H128="Pending",Strike_Log!J128,"")</f>
        <v/>
      </c>
      <c r="J128" s="39"/>
      <c r="M128" s="39" t="str">
        <f t="shared" si="3"/>
        <v/>
      </c>
    </row>
    <row r="129" ht="15.75" customHeight="1">
      <c r="A129" s="39" t="str">
        <f>IF(Strike_Log!H129="Pending",Strike_Log!B129,"")</f>
        <v/>
      </c>
      <c r="B129" s="39" t="str">
        <f>IF($A129="","",IFERROR(VLOOKUP($A129,Grinders!$A:$B,2,FALSE),""))</f>
        <v/>
      </c>
      <c r="C129" s="39" t="str">
        <f>IF($A129="","",Strike_Log!A129)</f>
        <v/>
      </c>
      <c r="D129" s="39" t="str">
        <f>IF($A129="","",Strike_Log!E129)</f>
        <v/>
      </c>
      <c r="E129" s="39" t="str">
        <f>IF($A129="","",Strike_Log!F129)</f>
        <v/>
      </c>
      <c r="F129" s="39" t="str">
        <f>IF($A129="","",Strike_Log!H129)</f>
        <v/>
      </c>
      <c r="G129" s="39" t="str">
        <f t="shared" si="1"/>
        <v/>
      </c>
      <c r="H129" s="39" t="str">
        <f t="shared" si="2"/>
        <v/>
      </c>
      <c r="I129" s="39" t="str">
        <f>IF(Strike_Log!H129="Pending",Strike_Log!J129,"")</f>
        <v/>
      </c>
      <c r="J129" s="39"/>
      <c r="M129" s="39" t="str">
        <f t="shared" si="3"/>
        <v/>
      </c>
    </row>
    <row r="130" ht="15.75" customHeight="1">
      <c r="A130" s="39" t="str">
        <f>IF(Strike_Log!H130="Pending",Strike_Log!B130,"")</f>
        <v/>
      </c>
      <c r="B130" s="39" t="str">
        <f>IF($A130="","",IFERROR(VLOOKUP($A130,Grinders!$A:$B,2,FALSE),""))</f>
        <v/>
      </c>
      <c r="C130" s="39" t="str">
        <f>IF($A130="","",Strike_Log!A130)</f>
        <v/>
      </c>
      <c r="D130" s="39" t="str">
        <f>IF($A130="","",Strike_Log!E130)</f>
        <v/>
      </c>
      <c r="E130" s="39" t="str">
        <f>IF($A130="","",Strike_Log!F130)</f>
        <v/>
      </c>
      <c r="F130" s="39" t="str">
        <f>IF($A130="","",Strike_Log!H130)</f>
        <v/>
      </c>
      <c r="G130" s="39" t="str">
        <f t="shared" si="1"/>
        <v/>
      </c>
      <c r="H130" s="39" t="str">
        <f t="shared" si="2"/>
        <v/>
      </c>
      <c r="I130" s="39" t="str">
        <f>IF(Strike_Log!H130="Pending",Strike_Log!J130,"")</f>
        <v/>
      </c>
      <c r="J130" s="39"/>
      <c r="M130" s="39" t="str">
        <f t="shared" si="3"/>
        <v/>
      </c>
    </row>
    <row r="131" ht="15.75" customHeight="1">
      <c r="A131" s="39" t="str">
        <f>IF(Strike_Log!H131="Pending",Strike_Log!B131,"")</f>
        <v/>
      </c>
      <c r="B131" s="39" t="str">
        <f>IF($A131="","",IFERROR(VLOOKUP($A131,Grinders!$A:$B,2,FALSE),""))</f>
        <v/>
      </c>
      <c r="C131" s="39" t="str">
        <f>IF($A131="","",Strike_Log!A131)</f>
        <v/>
      </c>
      <c r="D131" s="39" t="str">
        <f>IF($A131="","",Strike_Log!E131)</f>
        <v/>
      </c>
      <c r="E131" s="39" t="str">
        <f>IF($A131="","",Strike_Log!F131)</f>
        <v/>
      </c>
      <c r="F131" s="39" t="str">
        <f>IF($A131="","",Strike_Log!H131)</f>
        <v/>
      </c>
      <c r="G131" s="39" t="str">
        <f t="shared" si="1"/>
        <v/>
      </c>
      <c r="H131" s="39" t="str">
        <f t="shared" si="2"/>
        <v/>
      </c>
      <c r="I131" s="39" t="str">
        <f>IF(Strike_Log!H131="Pending",Strike_Log!J131,"")</f>
        <v/>
      </c>
      <c r="J131" s="39"/>
      <c r="M131" s="39" t="str">
        <f t="shared" si="3"/>
        <v/>
      </c>
    </row>
    <row r="132" ht="15.75" customHeight="1">
      <c r="A132" s="39" t="str">
        <f>IF(Strike_Log!H132="Pending",Strike_Log!B132,"")</f>
        <v/>
      </c>
      <c r="B132" s="39" t="str">
        <f>IF($A132="","",IFERROR(VLOOKUP($A132,Grinders!$A:$B,2,FALSE),""))</f>
        <v/>
      </c>
      <c r="C132" s="39" t="str">
        <f>IF($A132="","",Strike_Log!A132)</f>
        <v/>
      </c>
      <c r="D132" s="39" t="str">
        <f>IF($A132="","",Strike_Log!E132)</f>
        <v/>
      </c>
      <c r="E132" s="39" t="str">
        <f>IF($A132="","",Strike_Log!F132)</f>
        <v/>
      </c>
      <c r="F132" s="39" t="str">
        <f>IF($A132="","",Strike_Log!H132)</f>
        <v/>
      </c>
      <c r="G132" s="39" t="str">
        <f t="shared" si="1"/>
        <v/>
      </c>
      <c r="H132" s="39" t="str">
        <f t="shared" si="2"/>
        <v/>
      </c>
      <c r="I132" s="39" t="str">
        <f>IF(Strike_Log!H132="Pending",Strike_Log!J132,"")</f>
        <v/>
      </c>
      <c r="J132" s="39"/>
      <c r="M132" s="39" t="str">
        <f t="shared" si="3"/>
        <v/>
      </c>
    </row>
    <row r="133" ht="15.75" customHeight="1">
      <c r="A133" s="39" t="str">
        <f>IF(Strike_Log!H133="Pending",Strike_Log!B133,"")</f>
        <v/>
      </c>
      <c r="B133" s="39" t="str">
        <f>IF($A133="","",IFERROR(VLOOKUP($A133,Grinders!$A:$B,2,FALSE),""))</f>
        <v/>
      </c>
      <c r="C133" s="39" t="str">
        <f>IF($A133="","",Strike_Log!A133)</f>
        <v/>
      </c>
      <c r="D133" s="39" t="str">
        <f>IF($A133="","",Strike_Log!E133)</f>
        <v/>
      </c>
      <c r="E133" s="39" t="str">
        <f>IF($A133="","",Strike_Log!F133)</f>
        <v/>
      </c>
      <c r="F133" s="39" t="str">
        <f>IF($A133="","",Strike_Log!H133)</f>
        <v/>
      </c>
      <c r="G133" s="39" t="str">
        <f t="shared" si="1"/>
        <v/>
      </c>
      <c r="H133" s="39" t="str">
        <f t="shared" si="2"/>
        <v/>
      </c>
      <c r="I133" s="39" t="str">
        <f>IF(Strike_Log!H133="Pending",Strike_Log!J133,"")</f>
        <v/>
      </c>
      <c r="J133" s="39"/>
      <c r="M133" s="39" t="str">
        <f t="shared" si="3"/>
        <v/>
      </c>
    </row>
    <row r="134" ht="15.75" customHeight="1">
      <c r="A134" s="39" t="str">
        <f>IF(Strike_Log!H134="Pending",Strike_Log!B134,"")</f>
        <v/>
      </c>
      <c r="B134" s="39" t="str">
        <f>IF($A134="","",IFERROR(VLOOKUP($A134,Grinders!$A:$B,2,FALSE),""))</f>
        <v/>
      </c>
      <c r="C134" s="39" t="str">
        <f>IF($A134="","",Strike_Log!A134)</f>
        <v/>
      </c>
      <c r="D134" s="39" t="str">
        <f>IF($A134="","",Strike_Log!E134)</f>
        <v/>
      </c>
      <c r="E134" s="39" t="str">
        <f>IF($A134="","",Strike_Log!F134)</f>
        <v/>
      </c>
      <c r="F134" s="39" t="str">
        <f>IF($A134="","",Strike_Log!H134)</f>
        <v/>
      </c>
      <c r="G134" s="39" t="str">
        <f t="shared" si="1"/>
        <v/>
      </c>
      <c r="H134" s="39" t="str">
        <f t="shared" si="2"/>
        <v/>
      </c>
      <c r="I134" s="39" t="str">
        <f>IF(Strike_Log!H134="Pending",Strike_Log!J134,"")</f>
        <v/>
      </c>
      <c r="J134" s="39"/>
      <c r="M134" s="39" t="str">
        <f t="shared" si="3"/>
        <v/>
      </c>
    </row>
    <row r="135" ht="15.75" customHeight="1">
      <c r="A135" s="39" t="str">
        <f>IF(Strike_Log!H135="Pending",Strike_Log!B135,"")</f>
        <v/>
      </c>
      <c r="B135" s="39" t="str">
        <f>IF($A135="","",IFERROR(VLOOKUP($A135,Grinders!$A:$B,2,FALSE),""))</f>
        <v/>
      </c>
      <c r="C135" s="39" t="str">
        <f>IF($A135="","",Strike_Log!A135)</f>
        <v/>
      </c>
      <c r="D135" s="39" t="str">
        <f>IF($A135="","",Strike_Log!E135)</f>
        <v/>
      </c>
      <c r="E135" s="39" t="str">
        <f>IF($A135="","",Strike_Log!F135)</f>
        <v/>
      </c>
      <c r="F135" s="39" t="str">
        <f>IF($A135="","",Strike_Log!H135)</f>
        <v/>
      </c>
      <c r="G135" s="39" t="str">
        <f t="shared" si="1"/>
        <v/>
      </c>
      <c r="H135" s="39" t="str">
        <f t="shared" si="2"/>
        <v/>
      </c>
      <c r="I135" s="39" t="str">
        <f>IF(Strike_Log!H135="Pending",Strike_Log!J135,"")</f>
        <v/>
      </c>
      <c r="J135" s="39"/>
      <c r="M135" s="39" t="str">
        <f t="shared" si="3"/>
        <v/>
      </c>
    </row>
    <row r="136" ht="15.75" customHeight="1">
      <c r="A136" s="39" t="str">
        <f>IF(Strike_Log!H136="Pending",Strike_Log!B136,"")</f>
        <v/>
      </c>
      <c r="B136" s="39" t="str">
        <f>IF($A136="","",IFERROR(VLOOKUP($A136,Grinders!$A:$B,2,FALSE),""))</f>
        <v/>
      </c>
      <c r="C136" s="39" t="str">
        <f>IF($A136="","",Strike_Log!A136)</f>
        <v/>
      </c>
      <c r="D136" s="39" t="str">
        <f>IF($A136="","",Strike_Log!E136)</f>
        <v/>
      </c>
      <c r="E136" s="39" t="str">
        <f>IF($A136="","",Strike_Log!F136)</f>
        <v/>
      </c>
      <c r="F136" s="39" t="str">
        <f>IF($A136="","",Strike_Log!H136)</f>
        <v/>
      </c>
      <c r="G136" s="39" t="str">
        <f t="shared" si="1"/>
        <v/>
      </c>
      <c r="H136" s="39" t="str">
        <f t="shared" si="2"/>
        <v/>
      </c>
      <c r="I136" s="39" t="str">
        <f>IF(Strike_Log!H136="Pending",Strike_Log!J136,"")</f>
        <v/>
      </c>
      <c r="J136" s="39"/>
      <c r="M136" s="39" t="str">
        <f t="shared" si="3"/>
        <v/>
      </c>
    </row>
    <row r="137" ht="15.75" customHeight="1">
      <c r="A137" s="39" t="str">
        <f>IF(Strike_Log!H137="Pending",Strike_Log!B137,"")</f>
        <v/>
      </c>
      <c r="B137" s="39" t="str">
        <f>IF($A137="","",IFERROR(VLOOKUP($A137,Grinders!$A:$B,2,FALSE),""))</f>
        <v/>
      </c>
      <c r="C137" s="39" t="str">
        <f>IF($A137="","",Strike_Log!A137)</f>
        <v/>
      </c>
      <c r="D137" s="39" t="str">
        <f>IF($A137="","",Strike_Log!E137)</f>
        <v/>
      </c>
      <c r="E137" s="39" t="str">
        <f>IF($A137="","",Strike_Log!F137)</f>
        <v/>
      </c>
      <c r="F137" s="39" t="str">
        <f>IF($A137="","",Strike_Log!H137)</f>
        <v/>
      </c>
      <c r="G137" s="39" t="str">
        <f t="shared" si="1"/>
        <v/>
      </c>
      <c r="H137" s="39" t="str">
        <f t="shared" si="2"/>
        <v/>
      </c>
      <c r="I137" s="39" t="str">
        <f>IF(Strike_Log!H137="Pending",Strike_Log!J137,"")</f>
        <v/>
      </c>
      <c r="J137" s="39"/>
      <c r="M137" s="39" t="str">
        <f t="shared" si="3"/>
        <v/>
      </c>
    </row>
    <row r="138" ht="15.75" customHeight="1">
      <c r="A138" s="39" t="str">
        <f>IF(Strike_Log!H138="Pending",Strike_Log!B138,"")</f>
        <v/>
      </c>
      <c r="B138" s="39" t="str">
        <f>IF($A138="","",IFERROR(VLOOKUP($A138,Grinders!$A:$B,2,FALSE),""))</f>
        <v/>
      </c>
      <c r="C138" s="39" t="str">
        <f>IF($A138="","",Strike_Log!A138)</f>
        <v/>
      </c>
      <c r="D138" s="39" t="str">
        <f>IF($A138="","",Strike_Log!E138)</f>
        <v/>
      </c>
      <c r="E138" s="39" t="str">
        <f>IF($A138="","",Strike_Log!F138)</f>
        <v/>
      </c>
      <c r="F138" s="39" t="str">
        <f>IF($A138="","",Strike_Log!H138)</f>
        <v/>
      </c>
      <c r="G138" s="39" t="str">
        <f t="shared" si="1"/>
        <v/>
      </c>
      <c r="H138" s="39" t="str">
        <f t="shared" si="2"/>
        <v/>
      </c>
      <c r="I138" s="39" t="str">
        <f>IF(Strike_Log!H138="Pending",Strike_Log!J138,"")</f>
        <v/>
      </c>
      <c r="J138" s="39"/>
      <c r="M138" s="39" t="str">
        <f t="shared" si="3"/>
        <v/>
      </c>
    </row>
    <row r="139" ht="15.75" customHeight="1">
      <c r="A139" s="39" t="str">
        <f>IF(Strike_Log!H139="Pending",Strike_Log!B139,"")</f>
        <v/>
      </c>
      <c r="B139" s="39" t="str">
        <f>IF($A139="","",IFERROR(VLOOKUP($A139,Grinders!$A:$B,2,FALSE),""))</f>
        <v/>
      </c>
      <c r="C139" s="39" t="str">
        <f>IF($A139="","",Strike_Log!A139)</f>
        <v/>
      </c>
      <c r="D139" s="39" t="str">
        <f>IF($A139="","",Strike_Log!E139)</f>
        <v/>
      </c>
      <c r="E139" s="39" t="str">
        <f>IF($A139="","",Strike_Log!F139)</f>
        <v/>
      </c>
      <c r="F139" s="39" t="str">
        <f>IF($A139="","",Strike_Log!H139)</f>
        <v/>
      </c>
      <c r="G139" s="39" t="str">
        <f t="shared" si="1"/>
        <v/>
      </c>
      <c r="H139" s="39" t="str">
        <f t="shared" si="2"/>
        <v/>
      </c>
      <c r="I139" s="39" t="str">
        <f>IF(Strike_Log!H139="Pending",Strike_Log!J139,"")</f>
        <v/>
      </c>
      <c r="J139" s="39"/>
      <c r="M139" s="39" t="str">
        <f t="shared" si="3"/>
        <v/>
      </c>
    </row>
    <row r="140" ht="15.75" customHeight="1">
      <c r="A140" s="39" t="str">
        <f>IF(Strike_Log!H140="Pending",Strike_Log!B140,"")</f>
        <v/>
      </c>
      <c r="B140" s="39" t="str">
        <f>IF($A140="","",IFERROR(VLOOKUP($A140,Grinders!$A:$B,2,FALSE),""))</f>
        <v/>
      </c>
      <c r="C140" s="39" t="str">
        <f>IF($A140="","",Strike_Log!A140)</f>
        <v/>
      </c>
      <c r="D140" s="39" t="str">
        <f>IF($A140="","",Strike_Log!E140)</f>
        <v/>
      </c>
      <c r="E140" s="39" t="str">
        <f>IF($A140="","",Strike_Log!F140)</f>
        <v/>
      </c>
      <c r="F140" s="39" t="str">
        <f>IF($A140="","",Strike_Log!H140)</f>
        <v/>
      </c>
      <c r="G140" s="39" t="str">
        <f t="shared" si="1"/>
        <v/>
      </c>
      <c r="H140" s="39" t="str">
        <f t="shared" si="2"/>
        <v/>
      </c>
      <c r="I140" s="39" t="str">
        <f>IF(Strike_Log!H140="Pending",Strike_Log!J140,"")</f>
        <v/>
      </c>
      <c r="J140" s="39"/>
      <c r="M140" s="39" t="str">
        <f t="shared" si="3"/>
        <v/>
      </c>
    </row>
    <row r="141" ht="15.75" customHeight="1">
      <c r="A141" s="39" t="str">
        <f>IF(Strike_Log!H141="Pending",Strike_Log!B141,"")</f>
        <v/>
      </c>
      <c r="B141" s="39" t="str">
        <f>IF($A141="","",IFERROR(VLOOKUP($A141,Grinders!$A:$B,2,FALSE),""))</f>
        <v/>
      </c>
      <c r="C141" s="39" t="str">
        <f>IF($A141="","",Strike_Log!A141)</f>
        <v/>
      </c>
      <c r="D141" s="39" t="str">
        <f>IF($A141="","",Strike_Log!E141)</f>
        <v/>
      </c>
      <c r="E141" s="39" t="str">
        <f>IF($A141="","",Strike_Log!F141)</f>
        <v/>
      </c>
      <c r="F141" s="39" t="str">
        <f>IF($A141="","",Strike_Log!H141)</f>
        <v/>
      </c>
      <c r="G141" s="39" t="str">
        <f t="shared" si="1"/>
        <v/>
      </c>
      <c r="H141" s="39" t="str">
        <f t="shared" si="2"/>
        <v/>
      </c>
      <c r="I141" s="39" t="str">
        <f>IF(Strike_Log!H141="Pending",Strike_Log!J141,"")</f>
        <v/>
      </c>
      <c r="J141" s="39"/>
      <c r="M141" s="39" t="str">
        <f t="shared" si="3"/>
        <v/>
      </c>
    </row>
    <row r="142" ht="15.75" customHeight="1">
      <c r="A142" s="39" t="str">
        <f>IF(Strike_Log!H142="Pending",Strike_Log!B142,"")</f>
        <v/>
      </c>
      <c r="B142" s="39" t="str">
        <f>IF($A142="","",IFERROR(VLOOKUP($A142,Grinders!$A:$B,2,FALSE),""))</f>
        <v/>
      </c>
      <c r="C142" s="39" t="str">
        <f>IF($A142="","",Strike_Log!A142)</f>
        <v/>
      </c>
      <c r="D142" s="39" t="str">
        <f>IF($A142="","",Strike_Log!E142)</f>
        <v/>
      </c>
      <c r="E142" s="39" t="str">
        <f>IF($A142="","",Strike_Log!F142)</f>
        <v/>
      </c>
      <c r="F142" s="39" t="str">
        <f>IF($A142="","",Strike_Log!H142)</f>
        <v/>
      </c>
      <c r="G142" s="39" t="str">
        <f t="shared" si="1"/>
        <v/>
      </c>
      <c r="H142" s="39" t="str">
        <f t="shared" si="2"/>
        <v/>
      </c>
      <c r="I142" s="39" t="str">
        <f>IF(Strike_Log!H142="Pending",Strike_Log!J142,"")</f>
        <v/>
      </c>
      <c r="J142" s="39"/>
      <c r="M142" s="39" t="str">
        <f t="shared" si="3"/>
        <v/>
      </c>
    </row>
    <row r="143" ht="15.75" customHeight="1">
      <c r="A143" s="39" t="str">
        <f>IF(Strike_Log!H143="Pending",Strike_Log!B143,"")</f>
        <v/>
      </c>
      <c r="B143" s="39" t="str">
        <f>IF($A143="","",IFERROR(VLOOKUP($A143,Grinders!$A:$B,2,FALSE),""))</f>
        <v/>
      </c>
      <c r="C143" s="39" t="str">
        <f>IF($A143="","",Strike_Log!A143)</f>
        <v/>
      </c>
      <c r="D143" s="39" t="str">
        <f>IF($A143="","",Strike_Log!E143)</f>
        <v/>
      </c>
      <c r="E143" s="39" t="str">
        <f>IF($A143="","",Strike_Log!F143)</f>
        <v/>
      </c>
      <c r="F143" s="39" t="str">
        <f>IF($A143="","",Strike_Log!H143)</f>
        <v/>
      </c>
      <c r="G143" s="39" t="str">
        <f t="shared" si="1"/>
        <v/>
      </c>
      <c r="H143" s="39" t="str">
        <f t="shared" si="2"/>
        <v/>
      </c>
      <c r="I143" s="39" t="str">
        <f>IF(Strike_Log!H143="Pending",Strike_Log!J143,"")</f>
        <v/>
      </c>
      <c r="J143" s="39"/>
      <c r="M143" s="39" t="str">
        <f t="shared" si="3"/>
        <v/>
      </c>
    </row>
    <row r="144" ht="15.75" customHeight="1">
      <c r="A144" s="39" t="str">
        <f>IF(Strike_Log!H144="Pending",Strike_Log!B144,"")</f>
        <v/>
      </c>
      <c r="B144" s="39" t="str">
        <f>IF($A144="","",IFERROR(VLOOKUP($A144,Grinders!$A:$B,2,FALSE),""))</f>
        <v/>
      </c>
      <c r="C144" s="39" t="str">
        <f>IF($A144="","",Strike_Log!A144)</f>
        <v/>
      </c>
      <c r="D144" s="39" t="str">
        <f>IF($A144="","",Strike_Log!E144)</f>
        <v/>
      </c>
      <c r="E144" s="39" t="str">
        <f>IF($A144="","",Strike_Log!F144)</f>
        <v/>
      </c>
      <c r="F144" s="39" t="str">
        <f>IF($A144="","",Strike_Log!H144)</f>
        <v/>
      </c>
      <c r="G144" s="39" t="str">
        <f t="shared" si="1"/>
        <v/>
      </c>
      <c r="H144" s="39" t="str">
        <f t="shared" si="2"/>
        <v/>
      </c>
      <c r="I144" s="39" t="str">
        <f>IF(Strike_Log!H144="Pending",Strike_Log!J144,"")</f>
        <v/>
      </c>
      <c r="J144" s="39"/>
      <c r="M144" s="39" t="str">
        <f t="shared" si="3"/>
        <v/>
      </c>
    </row>
    <row r="145" ht="15.75" customHeight="1">
      <c r="A145" s="39" t="str">
        <f>IF(Strike_Log!H145="Pending",Strike_Log!B145,"")</f>
        <v/>
      </c>
      <c r="B145" s="39" t="str">
        <f>IF($A145="","",IFERROR(VLOOKUP($A145,Grinders!$A:$B,2,FALSE),""))</f>
        <v/>
      </c>
      <c r="C145" s="39" t="str">
        <f>IF($A145="","",Strike_Log!A145)</f>
        <v/>
      </c>
      <c r="D145" s="39" t="str">
        <f>IF($A145="","",Strike_Log!E145)</f>
        <v/>
      </c>
      <c r="E145" s="39" t="str">
        <f>IF($A145="","",Strike_Log!F145)</f>
        <v/>
      </c>
      <c r="F145" s="39" t="str">
        <f>IF($A145="","",Strike_Log!H145)</f>
        <v/>
      </c>
      <c r="G145" s="39" t="str">
        <f t="shared" si="1"/>
        <v/>
      </c>
      <c r="H145" s="39" t="str">
        <f t="shared" si="2"/>
        <v/>
      </c>
      <c r="I145" s="39" t="str">
        <f>IF(Strike_Log!H145="Pending",Strike_Log!J145,"")</f>
        <v/>
      </c>
      <c r="J145" s="39"/>
      <c r="M145" s="39" t="str">
        <f t="shared" si="3"/>
        <v/>
      </c>
    </row>
    <row r="146" ht="15.75" customHeight="1">
      <c r="A146" s="39" t="str">
        <f>IF(Strike_Log!H146="Pending",Strike_Log!B146,"")</f>
        <v/>
      </c>
      <c r="B146" s="39" t="str">
        <f>IF($A146="","",IFERROR(VLOOKUP($A146,Grinders!$A:$B,2,FALSE),""))</f>
        <v/>
      </c>
      <c r="C146" s="39" t="str">
        <f>IF($A146="","",Strike_Log!A146)</f>
        <v/>
      </c>
      <c r="D146" s="39" t="str">
        <f>IF($A146="","",Strike_Log!E146)</f>
        <v/>
      </c>
      <c r="E146" s="39" t="str">
        <f>IF($A146="","",Strike_Log!F146)</f>
        <v/>
      </c>
      <c r="F146" s="39" t="str">
        <f>IF($A146="","",Strike_Log!H146)</f>
        <v/>
      </c>
      <c r="G146" s="39" t="str">
        <f t="shared" si="1"/>
        <v/>
      </c>
      <c r="H146" s="39" t="str">
        <f t="shared" si="2"/>
        <v/>
      </c>
      <c r="I146" s="39" t="str">
        <f>IF(Strike_Log!H146="Pending",Strike_Log!J146,"")</f>
        <v/>
      </c>
      <c r="J146" s="39"/>
      <c r="M146" s="39" t="str">
        <f t="shared" si="3"/>
        <v/>
      </c>
    </row>
    <row r="147" ht="15.75" customHeight="1">
      <c r="A147" s="39" t="str">
        <f>IF(Strike_Log!H147="Pending",Strike_Log!B147,"")</f>
        <v/>
      </c>
      <c r="B147" s="39" t="str">
        <f>IF($A147="","",IFERROR(VLOOKUP($A147,Grinders!$A:$B,2,FALSE),""))</f>
        <v/>
      </c>
      <c r="C147" s="39" t="str">
        <f>IF($A147="","",Strike_Log!A147)</f>
        <v/>
      </c>
      <c r="D147" s="39" t="str">
        <f>IF($A147="","",Strike_Log!E147)</f>
        <v/>
      </c>
      <c r="E147" s="39" t="str">
        <f>IF($A147="","",Strike_Log!F147)</f>
        <v/>
      </c>
      <c r="F147" s="39" t="str">
        <f>IF($A147="","",Strike_Log!H147)</f>
        <v/>
      </c>
      <c r="G147" s="39" t="str">
        <f t="shared" si="1"/>
        <v/>
      </c>
      <c r="H147" s="39" t="str">
        <f t="shared" si="2"/>
        <v/>
      </c>
      <c r="I147" s="39" t="str">
        <f>IF(Strike_Log!H147="Pending",Strike_Log!J147,"")</f>
        <v/>
      </c>
      <c r="J147" s="39"/>
      <c r="M147" s="39" t="str">
        <f t="shared" si="3"/>
        <v/>
      </c>
    </row>
    <row r="148" ht="15.75" customHeight="1">
      <c r="A148" s="39" t="str">
        <f>IF(Strike_Log!H148="Pending",Strike_Log!B148,"")</f>
        <v/>
      </c>
      <c r="B148" s="39" t="str">
        <f>IF($A148="","",IFERROR(VLOOKUP($A148,Grinders!$A:$B,2,FALSE),""))</f>
        <v/>
      </c>
      <c r="C148" s="39" t="str">
        <f>IF($A148="","",Strike_Log!A148)</f>
        <v/>
      </c>
      <c r="D148" s="39" t="str">
        <f>IF($A148="","",Strike_Log!E148)</f>
        <v/>
      </c>
      <c r="E148" s="39" t="str">
        <f>IF($A148="","",Strike_Log!F148)</f>
        <v/>
      </c>
      <c r="F148" s="39" t="str">
        <f>IF($A148="","",Strike_Log!H148)</f>
        <v/>
      </c>
      <c r="G148" s="39" t="str">
        <f t="shared" si="1"/>
        <v/>
      </c>
      <c r="H148" s="39" t="str">
        <f t="shared" si="2"/>
        <v/>
      </c>
      <c r="I148" s="39" t="str">
        <f>IF(Strike_Log!H148="Pending",Strike_Log!J148,"")</f>
        <v/>
      </c>
      <c r="J148" s="39"/>
      <c r="M148" s="39" t="str">
        <f t="shared" si="3"/>
        <v/>
      </c>
    </row>
    <row r="149" ht="15.75" customHeight="1">
      <c r="A149" s="39" t="str">
        <f>IF(Strike_Log!H149="Pending",Strike_Log!B149,"")</f>
        <v/>
      </c>
      <c r="B149" s="39" t="str">
        <f>IF($A149="","",IFERROR(VLOOKUP($A149,Grinders!$A:$B,2,FALSE),""))</f>
        <v/>
      </c>
      <c r="C149" s="39" t="str">
        <f>IF($A149="","",Strike_Log!A149)</f>
        <v/>
      </c>
      <c r="D149" s="39" t="str">
        <f>IF($A149="","",Strike_Log!E149)</f>
        <v/>
      </c>
      <c r="E149" s="39" t="str">
        <f>IF($A149="","",Strike_Log!F149)</f>
        <v/>
      </c>
      <c r="F149" s="39" t="str">
        <f>IF($A149="","",Strike_Log!H149)</f>
        <v/>
      </c>
      <c r="G149" s="39" t="str">
        <f t="shared" si="1"/>
        <v/>
      </c>
      <c r="H149" s="39" t="str">
        <f t="shared" si="2"/>
        <v/>
      </c>
      <c r="I149" s="39" t="str">
        <f>IF(Strike_Log!H149="Pending",Strike_Log!J149,"")</f>
        <v/>
      </c>
      <c r="J149" s="39"/>
      <c r="M149" s="39" t="str">
        <f t="shared" si="3"/>
        <v/>
      </c>
    </row>
    <row r="150" ht="15.75" customHeight="1">
      <c r="A150" s="39" t="str">
        <f>IF(Strike_Log!H150="Pending",Strike_Log!B150,"")</f>
        <v/>
      </c>
      <c r="B150" s="39" t="str">
        <f>IF($A150="","",IFERROR(VLOOKUP($A150,Grinders!$A:$B,2,FALSE),""))</f>
        <v/>
      </c>
      <c r="C150" s="39" t="str">
        <f>IF($A150="","",Strike_Log!A150)</f>
        <v/>
      </c>
      <c r="D150" s="39" t="str">
        <f>IF($A150="","",Strike_Log!E150)</f>
        <v/>
      </c>
      <c r="E150" s="39" t="str">
        <f>IF($A150="","",Strike_Log!F150)</f>
        <v/>
      </c>
      <c r="F150" s="39" t="str">
        <f>IF($A150="","",Strike_Log!H150)</f>
        <v/>
      </c>
      <c r="G150" s="39" t="str">
        <f t="shared" si="1"/>
        <v/>
      </c>
      <c r="H150" s="39" t="str">
        <f t="shared" si="2"/>
        <v/>
      </c>
      <c r="I150" s="39" t="str">
        <f>IF(Strike_Log!H150="Pending",Strike_Log!J150,"")</f>
        <v/>
      </c>
      <c r="J150" s="39"/>
      <c r="M150" s="39" t="str">
        <f t="shared" si="3"/>
        <v/>
      </c>
    </row>
    <row r="151" ht="15.75" customHeight="1">
      <c r="A151" s="39" t="str">
        <f>IF(Strike_Log!H151="Pending",Strike_Log!B151,"")</f>
        <v/>
      </c>
      <c r="B151" s="39" t="str">
        <f>IF($A151="","",IFERROR(VLOOKUP($A151,Grinders!$A:$B,2,FALSE),""))</f>
        <v/>
      </c>
      <c r="C151" s="39" t="str">
        <f>IF($A151="","",Strike_Log!A151)</f>
        <v/>
      </c>
      <c r="D151" s="39" t="str">
        <f>IF($A151="","",Strike_Log!E151)</f>
        <v/>
      </c>
      <c r="E151" s="39" t="str">
        <f>IF($A151="","",Strike_Log!F151)</f>
        <v/>
      </c>
      <c r="F151" s="39" t="str">
        <f>IF($A151="","",Strike_Log!H151)</f>
        <v/>
      </c>
      <c r="G151" s="39" t="str">
        <f t="shared" si="1"/>
        <v/>
      </c>
      <c r="H151" s="39" t="str">
        <f t="shared" si="2"/>
        <v/>
      </c>
      <c r="I151" s="39" t="str">
        <f>IF(Strike_Log!H151="Pending",Strike_Log!J151,"")</f>
        <v/>
      </c>
      <c r="J151" s="39"/>
      <c r="M151" s="39" t="str">
        <f t="shared" si="3"/>
        <v/>
      </c>
    </row>
    <row r="152" ht="15.75" customHeight="1">
      <c r="A152" s="39" t="str">
        <f>IF(Strike_Log!H152="Pending",Strike_Log!B152,"")</f>
        <v/>
      </c>
      <c r="B152" s="39" t="str">
        <f>IF($A152="","",IFERROR(VLOOKUP($A152,Grinders!$A:$B,2,FALSE),""))</f>
        <v/>
      </c>
      <c r="C152" s="39" t="str">
        <f>IF($A152="","",Strike_Log!A152)</f>
        <v/>
      </c>
      <c r="D152" s="39" t="str">
        <f>IF($A152="","",Strike_Log!E152)</f>
        <v/>
      </c>
      <c r="E152" s="39" t="str">
        <f>IF($A152="","",Strike_Log!F152)</f>
        <v/>
      </c>
      <c r="F152" s="39" t="str">
        <f>IF($A152="","",Strike_Log!H152)</f>
        <v/>
      </c>
      <c r="G152" s="39" t="str">
        <f t="shared" si="1"/>
        <v/>
      </c>
      <c r="H152" s="39" t="str">
        <f t="shared" si="2"/>
        <v/>
      </c>
      <c r="I152" s="39" t="str">
        <f>IF(Strike_Log!H152="Pending",Strike_Log!J152,"")</f>
        <v/>
      </c>
      <c r="J152" s="39"/>
      <c r="M152" s="39" t="str">
        <f t="shared" si="3"/>
        <v/>
      </c>
    </row>
    <row r="153" ht="15.75" customHeight="1">
      <c r="A153" s="39" t="str">
        <f>IF(Strike_Log!H153="Pending",Strike_Log!B153,"")</f>
        <v/>
      </c>
      <c r="B153" s="39" t="str">
        <f>IF($A153="","",IFERROR(VLOOKUP($A153,Grinders!$A:$B,2,FALSE),""))</f>
        <v/>
      </c>
      <c r="C153" s="39" t="str">
        <f>IF($A153="","",Strike_Log!A153)</f>
        <v/>
      </c>
      <c r="D153" s="39" t="str">
        <f>IF($A153="","",Strike_Log!E153)</f>
        <v/>
      </c>
      <c r="E153" s="39" t="str">
        <f>IF($A153="","",Strike_Log!F153)</f>
        <v/>
      </c>
      <c r="F153" s="39" t="str">
        <f>IF($A153="","",Strike_Log!H153)</f>
        <v/>
      </c>
      <c r="G153" s="39" t="str">
        <f t="shared" si="1"/>
        <v/>
      </c>
      <c r="H153" s="39" t="str">
        <f t="shared" si="2"/>
        <v/>
      </c>
      <c r="I153" s="39" t="str">
        <f>IF(Strike_Log!H153="Pending",Strike_Log!J153,"")</f>
        <v/>
      </c>
      <c r="J153" s="39"/>
      <c r="M153" s="39" t="str">
        <f t="shared" si="3"/>
        <v/>
      </c>
    </row>
    <row r="154" ht="15.75" customHeight="1">
      <c r="A154" s="39" t="str">
        <f>IF(Strike_Log!H154="Pending",Strike_Log!B154,"")</f>
        <v/>
      </c>
      <c r="B154" s="39" t="str">
        <f>IF($A154="","",IFERROR(VLOOKUP($A154,Grinders!$A:$B,2,FALSE),""))</f>
        <v/>
      </c>
      <c r="C154" s="39" t="str">
        <f>IF($A154="","",Strike_Log!A154)</f>
        <v/>
      </c>
      <c r="D154" s="39" t="str">
        <f>IF($A154="","",Strike_Log!E154)</f>
        <v/>
      </c>
      <c r="E154" s="39" t="str">
        <f>IF($A154="","",Strike_Log!F154)</f>
        <v/>
      </c>
      <c r="F154" s="39" t="str">
        <f>IF($A154="","",Strike_Log!H154)</f>
        <v/>
      </c>
      <c r="G154" s="39" t="str">
        <f t="shared" si="1"/>
        <v/>
      </c>
      <c r="H154" s="39" t="str">
        <f t="shared" si="2"/>
        <v/>
      </c>
      <c r="I154" s="39" t="str">
        <f>IF(Strike_Log!H154="Pending",Strike_Log!J154,"")</f>
        <v/>
      </c>
      <c r="J154" s="39"/>
      <c r="M154" s="39" t="str">
        <f t="shared" si="3"/>
        <v/>
      </c>
    </row>
    <row r="155" ht="15.75" customHeight="1">
      <c r="A155" s="39" t="str">
        <f>IF(Strike_Log!H155="Pending",Strike_Log!B155,"")</f>
        <v/>
      </c>
      <c r="B155" s="39" t="str">
        <f>IF($A155="","",IFERROR(VLOOKUP($A155,Grinders!$A:$B,2,FALSE),""))</f>
        <v/>
      </c>
      <c r="C155" s="39" t="str">
        <f>IF($A155="","",Strike_Log!A155)</f>
        <v/>
      </c>
      <c r="D155" s="39" t="str">
        <f>IF($A155="","",Strike_Log!E155)</f>
        <v/>
      </c>
      <c r="E155" s="39" t="str">
        <f>IF($A155="","",Strike_Log!F155)</f>
        <v/>
      </c>
      <c r="F155" s="39" t="str">
        <f>IF($A155="","",Strike_Log!H155)</f>
        <v/>
      </c>
      <c r="G155" s="39" t="str">
        <f t="shared" si="1"/>
        <v/>
      </c>
      <c r="H155" s="39" t="str">
        <f t="shared" si="2"/>
        <v/>
      </c>
      <c r="I155" s="39" t="str">
        <f>IF(Strike_Log!H155="Pending",Strike_Log!J155,"")</f>
        <v/>
      </c>
      <c r="J155" s="39"/>
      <c r="M155" s="39" t="str">
        <f t="shared" si="3"/>
        <v/>
      </c>
    </row>
    <row r="156" ht="15.75" customHeight="1">
      <c r="A156" s="39" t="str">
        <f>IF(Strike_Log!H156="Pending",Strike_Log!B156,"")</f>
        <v/>
      </c>
      <c r="B156" s="39" t="str">
        <f>IF($A156="","",IFERROR(VLOOKUP($A156,Grinders!$A:$B,2,FALSE),""))</f>
        <v/>
      </c>
      <c r="C156" s="39" t="str">
        <f>IF($A156="","",Strike_Log!A156)</f>
        <v/>
      </c>
      <c r="D156" s="39" t="str">
        <f>IF($A156="","",Strike_Log!E156)</f>
        <v/>
      </c>
      <c r="E156" s="39" t="str">
        <f>IF($A156="","",Strike_Log!F156)</f>
        <v/>
      </c>
      <c r="F156" s="39" t="str">
        <f>IF($A156="","",Strike_Log!H156)</f>
        <v/>
      </c>
      <c r="G156" s="39" t="str">
        <f t="shared" si="1"/>
        <v/>
      </c>
      <c r="H156" s="39" t="str">
        <f t="shared" si="2"/>
        <v/>
      </c>
      <c r="I156" s="39" t="str">
        <f>IF(Strike_Log!H156="Pending",Strike_Log!J156,"")</f>
        <v/>
      </c>
      <c r="J156" s="39"/>
      <c r="M156" s="39" t="str">
        <f t="shared" si="3"/>
        <v/>
      </c>
    </row>
    <row r="157" ht="15.75" customHeight="1">
      <c r="A157" s="39" t="str">
        <f>IF(Strike_Log!H157="Pending",Strike_Log!B157,"")</f>
        <v/>
      </c>
      <c r="B157" s="39" t="str">
        <f>IF($A157="","",IFERROR(VLOOKUP($A157,Grinders!$A:$B,2,FALSE),""))</f>
        <v/>
      </c>
      <c r="C157" s="39" t="str">
        <f>IF($A157="","",Strike_Log!A157)</f>
        <v/>
      </c>
      <c r="D157" s="39" t="str">
        <f>IF($A157="","",Strike_Log!E157)</f>
        <v/>
      </c>
      <c r="E157" s="39" t="str">
        <f>IF($A157="","",Strike_Log!F157)</f>
        <v/>
      </c>
      <c r="F157" s="39" t="str">
        <f>IF($A157="","",Strike_Log!H157)</f>
        <v/>
      </c>
      <c r="G157" s="39" t="str">
        <f t="shared" si="1"/>
        <v/>
      </c>
      <c r="H157" s="39" t="str">
        <f t="shared" si="2"/>
        <v/>
      </c>
      <c r="I157" s="39" t="str">
        <f>IF(Strike_Log!H157="Pending",Strike_Log!J157,"")</f>
        <v/>
      </c>
      <c r="J157" s="39"/>
      <c r="M157" s="39" t="str">
        <f t="shared" si="3"/>
        <v/>
      </c>
    </row>
    <row r="158" ht="15.75" customHeight="1">
      <c r="A158" s="39" t="str">
        <f>IF(Strike_Log!H158="Pending",Strike_Log!B158,"")</f>
        <v/>
      </c>
      <c r="B158" s="39" t="str">
        <f>IF($A158="","",IFERROR(VLOOKUP($A158,Grinders!$A:$B,2,FALSE),""))</f>
        <v/>
      </c>
      <c r="C158" s="39" t="str">
        <f>IF($A158="","",Strike_Log!A158)</f>
        <v/>
      </c>
      <c r="D158" s="39" t="str">
        <f>IF($A158="","",Strike_Log!E158)</f>
        <v/>
      </c>
      <c r="E158" s="39" t="str">
        <f>IF($A158="","",Strike_Log!F158)</f>
        <v/>
      </c>
      <c r="F158" s="39" t="str">
        <f>IF($A158="","",Strike_Log!H158)</f>
        <v/>
      </c>
      <c r="G158" s="39" t="str">
        <f t="shared" si="1"/>
        <v/>
      </c>
      <c r="H158" s="39" t="str">
        <f t="shared" si="2"/>
        <v/>
      </c>
      <c r="I158" s="39" t="str">
        <f>IF(Strike_Log!H158="Pending",Strike_Log!J158,"")</f>
        <v/>
      </c>
      <c r="J158" s="39"/>
      <c r="M158" s="39" t="str">
        <f t="shared" si="3"/>
        <v/>
      </c>
    </row>
    <row r="159" ht="15.75" customHeight="1">
      <c r="A159" s="39" t="str">
        <f>IF(Strike_Log!H159="Pending",Strike_Log!B159,"")</f>
        <v/>
      </c>
      <c r="B159" s="39" t="str">
        <f>IF($A159="","",IFERROR(VLOOKUP($A159,Grinders!$A:$B,2,FALSE),""))</f>
        <v/>
      </c>
      <c r="C159" s="39" t="str">
        <f>IF($A159="","",Strike_Log!A159)</f>
        <v/>
      </c>
      <c r="D159" s="39" t="str">
        <f>IF($A159="","",Strike_Log!E159)</f>
        <v/>
      </c>
      <c r="E159" s="39" t="str">
        <f>IF($A159="","",Strike_Log!F159)</f>
        <v/>
      </c>
      <c r="F159" s="39" t="str">
        <f>IF($A159="","",Strike_Log!H159)</f>
        <v/>
      </c>
      <c r="G159" s="39" t="str">
        <f t="shared" si="1"/>
        <v/>
      </c>
      <c r="H159" s="39" t="str">
        <f t="shared" si="2"/>
        <v/>
      </c>
      <c r="I159" s="39" t="str">
        <f>IF(Strike_Log!H159="Pending",Strike_Log!J159,"")</f>
        <v/>
      </c>
      <c r="J159" s="39"/>
      <c r="M159" s="39" t="str">
        <f t="shared" si="3"/>
        <v/>
      </c>
    </row>
    <row r="160" ht="15.75" customHeight="1">
      <c r="A160" s="39" t="str">
        <f>IF(Strike_Log!H160="Pending",Strike_Log!B160,"")</f>
        <v/>
      </c>
      <c r="B160" s="39" t="str">
        <f>IF($A160="","",IFERROR(VLOOKUP($A160,Grinders!$A:$B,2,FALSE),""))</f>
        <v/>
      </c>
      <c r="C160" s="39" t="str">
        <f>IF($A160="","",Strike_Log!A160)</f>
        <v/>
      </c>
      <c r="D160" s="39" t="str">
        <f>IF($A160="","",Strike_Log!E160)</f>
        <v/>
      </c>
      <c r="E160" s="39" t="str">
        <f>IF($A160="","",Strike_Log!F160)</f>
        <v/>
      </c>
      <c r="F160" s="39" t="str">
        <f>IF($A160="","",Strike_Log!H160)</f>
        <v/>
      </c>
      <c r="G160" s="39" t="str">
        <f t="shared" si="1"/>
        <v/>
      </c>
      <c r="H160" s="39" t="str">
        <f t="shared" si="2"/>
        <v/>
      </c>
      <c r="I160" s="39" t="str">
        <f>IF(Strike_Log!H160="Pending",Strike_Log!J160,"")</f>
        <v/>
      </c>
      <c r="J160" s="39"/>
      <c r="M160" s="39" t="str">
        <f t="shared" si="3"/>
        <v/>
      </c>
    </row>
    <row r="161" ht="15.75" customHeight="1">
      <c r="A161" s="39" t="str">
        <f>IF(Strike_Log!H161="Pending",Strike_Log!B161,"")</f>
        <v/>
      </c>
      <c r="B161" s="39" t="str">
        <f>IF($A161="","",IFERROR(VLOOKUP($A161,Grinders!$A:$B,2,FALSE),""))</f>
        <v/>
      </c>
      <c r="C161" s="39" t="str">
        <f>IF($A161="","",Strike_Log!A161)</f>
        <v/>
      </c>
      <c r="D161" s="39" t="str">
        <f>IF($A161="","",Strike_Log!E161)</f>
        <v/>
      </c>
      <c r="E161" s="39" t="str">
        <f>IF($A161="","",Strike_Log!F161)</f>
        <v/>
      </c>
      <c r="F161" s="39" t="str">
        <f>IF($A161="","",Strike_Log!H161)</f>
        <v/>
      </c>
      <c r="G161" s="39" t="str">
        <f t="shared" si="1"/>
        <v/>
      </c>
      <c r="H161" s="39" t="str">
        <f t="shared" si="2"/>
        <v/>
      </c>
      <c r="I161" s="39" t="str">
        <f>IF(Strike_Log!H161="Pending",Strike_Log!J161,"")</f>
        <v/>
      </c>
      <c r="J161" s="39"/>
      <c r="M161" s="39" t="str">
        <f t="shared" si="3"/>
        <v/>
      </c>
    </row>
    <row r="162" ht="15.75" customHeight="1">
      <c r="A162" s="39" t="str">
        <f>IF(Strike_Log!H162="Pending",Strike_Log!B162,"")</f>
        <v/>
      </c>
      <c r="B162" s="39" t="str">
        <f>IF($A162="","",IFERROR(VLOOKUP($A162,Grinders!$A:$B,2,FALSE),""))</f>
        <v/>
      </c>
      <c r="C162" s="39" t="str">
        <f>IF($A162="","",Strike_Log!A162)</f>
        <v/>
      </c>
      <c r="D162" s="39" t="str">
        <f>IF($A162="","",Strike_Log!E162)</f>
        <v/>
      </c>
      <c r="E162" s="39" t="str">
        <f>IF($A162="","",Strike_Log!F162)</f>
        <v/>
      </c>
      <c r="F162" s="39" t="str">
        <f>IF($A162="","",Strike_Log!H162)</f>
        <v/>
      </c>
      <c r="G162" s="39" t="str">
        <f t="shared" si="1"/>
        <v/>
      </c>
      <c r="H162" s="39" t="str">
        <f t="shared" si="2"/>
        <v/>
      </c>
      <c r="I162" s="39" t="str">
        <f>IF(Strike_Log!H162="Pending",Strike_Log!J162,"")</f>
        <v/>
      </c>
      <c r="J162" s="39"/>
      <c r="M162" s="39" t="str">
        <f t="shared" si="3"/>
        <v/>
      </c>
    </row>
    <row r="163" ht="15.75" customHeight="1">
      <c r="A163" s="39" t="str">
        <f>IF(Strike_Log!H163="Pending",Strike_Log!B163,"")</f>
        <v/>
      </c>
      <c r="B163" s="39" t="str">
        <f>IF($A163="","",IFERROR(VLOOKUP($A163,Grinders!$A:$B,2,FALSE),""))</f>
        <v/>
      </c>
      <c r="C163" s="39" t="str">
        <f>IF($A163="","",Strike_Log!A163)</f>
        <v/>
      </c>
      <c r="D163" s="39" t="str">
        <f>IF($A163="","",Strike_Log!E163)</f>
        <v/>
      </c>
      <c r="E163" s="39" t="str">
        <f>IF($A163="","",Strike_Log!F163)</f>
        <v/>
      </c>
      <c r="F163" s="39" t="str">
        <f>IF($A163="","",Strike_Log!H163)</f>
        <v/>
      </c>
      <c r="G163" s="39" t="str">
        <f t="shared" si="1"/>
        <v/>
      </c>
      <c r="H163" s="39" t="str">
        <f t="shared" si="2"/>
        <v/>
      </c>
      <c r="I163" s="39" t="str">
        <f>IF(Strike_Log!H163="Pending",Strike_Log!J163,"")</f>
        <v/>
      </c>
      <c r="J163" s="39"/>
      <c r="M163" s="39" t="str">
        <f t="shared" si="3"/>
        <v/>
      </c>
    </row>
    <row r="164" ht="15.75" customHeight="1">
      <c r="A164" s="39" t="str">
        <f>IF(Strike_Log!H164="Pending",Strike_Log!B164,"")</f>
        <v/>
      </c>
      <c r="B164" s="39" t="str">
        <f>IF($A164="","",IFERROR(VLOOKUP($A164,Grinders!$A:$B,2,FALSE),""))</f>
        <v/>
      </c>
      <c r="C164" s="39" t="str">
        <f>IF($A164="","",Strike_Log!A164)</f>
        <v/>
      </c>
      <c r="D164" s="39" t="str">
        <f>IF($A164="","",Strike_Log!E164)</f>
        <v/>
      </c>
      <c r="E164" s="39" t="str">
        <f>IF($A164="","",Strike_Log!F164)</f>
        <v/>
      </c>
      <c r="F164" s="39" t="str">
        <f>IF($A164="","",Strike_Log!H164)</f>
        <v/>
      </c>
      <c r="G164" s="39" t="str">
        <f t="shared" si="1"/>
        <v/>
      </c>
      <c r="H164" s="39" t="str">
        <f t="shared" si="2"/>
        <v/>
      </c>
      <c r="I164" s="39" t="str">
        <f>IF(Strike_Log!H164="Pending",Strike_Log!J164,"")</f>
        <v/>
      </c>
      <c r="J164" s="39"/>
      <c r="M164" s="39" t="str">
        <f t="shared" si="3"/>
        <v/>
      </c>
    </row>
    <row r="165" ht="15.75" customHeight="1">
      <c r="A165" s="39" t="str">
        <f>IF(Strike_Log!H165="Pending",Strike_Log!B165,"")</f>
        <v/>
      </c>
      <c r="B165" s="39" t="str">
        <f>IF($A165="","",IFERROR(VLOOKUP($A165,Grinders!$A:$B,2,FALSE),""))</f>
        <v/>
      </c>
      <c r="C165" s="39" t="str">
        <f>IF($A165="","",Strike_Log!A165)</f>
        <v/>
      </c>
      <c r="D165" s="39" t="str">
        <f>IF($A165="","",Strike_Log!E165)</f>
        <v/>
      </c>
      <c r="E165" s="39" t="str">
        <f>IF($A165="","",Strike_Log!F165)</f>
        <v/>
      </c>
      <c r="F165" s="39" t="str">
        <f>IF($A165="","",Strike_Log!H165)</f>
        <v/>
      </c>
      <c r="G165" s="39" t="str">
        <f t="shared" si="1"/>
        <v/>
      </c>
      <c r="H165" s="39" t="str">
        <f t="shared" si="2"/>
        <v/>
      </c>
      <c r="I165" s="39" t="str">
        <f>IF(Strike_Log!H165="Pending",Strike_Log!J165,"")</f>
        <v/>
      </c>
      <c r="J165" s="39"/>
      <c r="M165" s="39" t="str">
        <f t="shared" si="3"/>
        <v/>
      </c>
    </row>
    <row r="166" ht="15.75" customHeight="1">
      <c r="A166" s="39" t="str">
        <f>IF(Strike_Log!H166="Pending",Strike_Log!B166,"")</f>
        <v/>
      </c>
      <c r="B166" s="39" t="str">
        <f>IF($A166="","",IFERROR(VLOOKUP($A166,Grinders!$A:$B,2,FALSE),""))</f>
        <v/>
      </c>
      <c r="C166" s="39" t="str">
        <f>IF($A166="","",Strike_Log!A166)</f>
        <v/>
      </c>
      <c r="D166" s="39" t="str">
        <f>IF($A166="","",Strike_Log!E166)</f>
        <v/>
      </c>
      <c r="E166" s="39" t="str">
        <f>IF($A166="","",Strike_Log!F166)</f>
        <v/>
      </c>
      <c r="F166" s="39" t="str">
        <f>IF($A166="","",Strike_Log!H166)</f>
        <v/>
      </c>
      <c r="G166" s="39" t="str">
        <f t="shared" si="1"/>
        <v/>
      </c>
      <c r="H166" s="39" t="str">
        <f t="shared" si="2"/>
        <v/>
      </c>
      <c r="I166" s="39" t="str">
        <f>IF(Strike_Log!H166="Pending",Strike_Log!J166,"")</f>
        <v/>
      </c>
      <c r="J166" s="39"/>
      <c r="M166" s="39" t="str">
        <f t="shared" si="3"/>
        <v/>
      </c>
    </row>
    <row r="167" ht="15.75" customHeight="1">
      <c r="A167" s="39" t="str">
        <f>IF(Strike_Log!H167="Pending",Strike_Log!B167,"")</f>
        <v/>
      </c>
      <c r="B167" s="39" t="str">
        <f>IF($A167="","",IFERROR(VLOOKUP($A167,Grinders!$A:$B,2,FALSE),""))</f>
        <v/>
      </c>
      <c r="C167" s="39" t="str">
        <f>IF($A167="","",Strike_Log!A167)</f>
        <v/>
      </c>
      <c r="D167" s="39" t="str">
        <f>IF($A167="","",Strike_Log!E167)</f>
        <v/>
      </c>
      <c r="E167" s="39" t="str">
        <f>IF($A167="","",Strike_Log!F167)</f>
        <v/>
      </c>
      <c r="F167" s="39" t="str">
        <f>IF($A167="","",Strike_Log!H167)</f>
        <v/>
      </c>
      <c r="G167" s="39" t="str">
        <f t="shared" si="1"/>
        <v/>
      </c>
      <c r="H167" s="39" t="str">
        <f t="shared" si="2"/>
        <v/>
      </c>
      <c r="I167" s="39" t="str">
        <f>IF(Strike_Log!H167="Pending",Strike_Log!J167,"")</f>
        <v/>
      </c>
      <c r="J167" s="39"/>
      <c r="M167" s="39" t="str">
        <f t="shared" si="3"/>
        <v/>
      </c>
    </row>
    <row r="168" ht="15.75" customHeight="1">
      <c r="A168" s="39" t="str">
        <f>IF(Strike_Log!H168="Pending",Strike_Log!B168,"")</f>
        <v/>
      </c>
      <c r="B168" s="39" t="str">
        <f>IF($A168="","",IFERROR(VLOOKUP($A168,Grinders!$A:$B,2,FALSE),""))</f>
        <v/>
      </c>
      <c r="C168" s="39" t="str">
        <f>IF($A168="","",Strike_Log!A168)</f>
        <v/>
      </c>
      <c r="D168" s="39" t="str">
        <f>IF($A168="","",Strike_Log!E168)</f>
        <v/>
      </c>
      <c r="E168" s="39" t="str">
        <f>IF($A168="","",Strike_Log!F168)</f>
        <v/>
      </c>
      <c r="F168" s="39" t="str">
        <f>IF($A168="","",Strike_Log!H168)</f>
        <v/>
      </c>
      <c r="G168" s="39" t="str">
        <f t="shared" si="1"/>
        <v/>
      </c>
      <c r="H168" s="39" t="str">
        <f t="shared" si="2"/>
        <v/>
      </c>
      <c r="I168" s="39" t="str">
        <f>IF(Strike_Log!H168="Pending",Strike_Log!J168,"")</f>
        <v/>
      </c>
      <c r="J168" s="39"/>
      <c r="M168" s="39" t="str">
        <f t="shared" si="3"/>
        <v/>
      </c>
    </row>
    <row r="169" ht="15.75" customHeight="1">
      <c r="A169" s="39" t="str">
        <f>IF(Strike_Log!H169="Pending",Strike_Log!B169,"")</f>
        <v/>
      </c>
      <c r="B169" s="39" t="str">
        <f>IF($A169="","",IFERROR(VLOOKUP($A169,Grinders!$A:$B,2,FALSE),""))</f>
        <v/>
      </c>
      <c r="C169" s="39" t="str">
        <f>IF($A169="","",Strike_Log!A169)</f>
        <v/>
      </c>
      <c r="D169" s="39" t="str">
        <f>IF($A169="","",Strike_Log!E169)</f>
        <v/>
      </c>
      <c r="E169" s="39" t="str">
        <f>IF($A169="","",Strike_Log!F169)</f>
        <v/>
      </c>
      <c r="F169" s="39" t="str">
        <f>IF($A169="","",Strike_Log!H169)</f>
        <v/>
      </c>
      <c r="G169" s="39" t="str">
        <f t="shared" si="1"/>
        <v/>
      </c>
      <c r="H169" s="39" t="str">
        <f t="shared" si="2"/>
        <v/>
      </c>
      <c r="I169" s="39" t="str">
        <f>IF(Strike_Log!H169="Pending",Strike_Log!J169,"")</f>
        <v/>
      </c>
      <c r="J169" s="39"/>
      <c r="M169" s="39" t="str">
        <f t="shared" si="3"/>
        <v/>
      </c>
    </row>
    <row r="170" ht="15.75" customHeight="1">
      <c r="A170" s="39" t="str">
        <f>IF(Strike_Log!H170="Pending",Strike_Log!B170,"")</f>
        <v/>
      </c>
      <c r="B170" s="39" t="str">
        <f>IF($A170="","",IFERROR(VLOOKUP($A170,Grinders!$A:$B,2,FALSE),""))</f>
        <v/>
      </c>
      <c r="C170" s="39" t="str">
        <f>IF($A170="","",Strike_Log!A170)</f>
        <v/>
      </c>
      <c r="D170" s="39" t="str">
        <f>IF($A170="","",Strike_Log!E170)</f>
        <v/>
      </c>
      <c r="E170" s="39" t="str">
        <f>IF($A170="","",Strike_Log!F170)</f>
        <v/>
      </c>
      <c r="F170" s="39" t="str">
        <f>IF($A170="","",Strike_Log!H170)</f>
        <v/>
      </c>
      <c r="G170" s="39" t="str">
        <f t="shared" si="1"/>
        <v/>
      </c>
      <c r="H170" s="39" t="str">
        <f t="shared" si="2"/>
        <v/>
      </c>
      <c r="I170" s="39" t="str">
        <f>IF(Strike_Log!H170="Pending",Strike_Log!J170,"")</f>
        <v/>
      </c>
      <c r="J170" s="39"/>
      <c r="M170" s="39" t="str">
        <f t="shared" si="3"/>
        <v/>
      </c>
    </row>
    <row r="171" ht="15.75" customHeight="1">
      <c r="A171" s="39" t="str">
        <f>IF(Strike_Log!H171="Pending",Strike_Log!B171,"")</f>
        <v/>
      </c>
      <c r="B171" s="39" t="str">
        <f>IF($A171="","",IFERROR(VLOOKUP($A171,Grinders!$A:$B,2,FALSE),""))</f>
        <v/>
      </c>
      <c r="C171" s="39" t="str">
        <f>IF($A171="","",Strike_Log!A171)</f>
        <v/>
      </c>
      <c r="D171" s="39" t="str">
        <f>IF($A171="","",Strike_Log!E171)</f>
        <v/>
      </c>
      <c r="E171" s="39" t="str">
        <f>IF($A171="","",Strike_Log!F171)</f>
        <v/>
      </c>
      <c r="F171" s="39" t="str">
        <f>IF($A171="","",Strike_Log!H171)</f>
        <v/>
      </c>
      <c r="G171" s="39" t="str">
        <f t="shared" si="1"/>
        <v/>
      </c>
      <c r="H171" s="39" t="str">
        <f t="shared" si="2"/>
        <v/>
      </c>
      <c r="I171" s="39" t="str">
        <f>IF(Strike_Log!H171="Pending",Strike_Log!J171,"")</f>
        <v/>
      </c>
      <c r="J171" s="39"/>
      <c r="M171" s="39" t="str">
        <f t="shared" si="3"/>
        <v/>
      </c>
    </row>
    <row r="172" ht="15.75" customHeight="1">
      <c r="A172" s="39" t="str">
        <f>IF(Strike_Log!H172="Pending",Strike_Log!B172,"")</f>
        <v/>
      </c>
      <c r="B172" s="39" t="str">
        <f>IF($A172="","",IFERROR(VLOOKUP($A172,Grinders!$A:$B,2,FALSE),""))</f>
        <v/>
      </c>
      <c r="C172" s="39" t="str">
        <f>IF($A172="","",Strike_Log!A172)</f>
        <v/>
      </c>
      <c r="D172" s="39" t="str">
        <f>IF($A172="","",Strike_Log!E172)</f>
        <v/>
      </c>
      <c r="E172" s="39" t="str">
        <f>IF($A172="","",Strike_Log!F172)</f>
        <v/>
      </c>
      <c r="F172" s="39" t="str">
        <f>IF($A172="","",Strike_Log!H172)</f>
        <v/>
      </c>
      <c r="G172" s="39" t="str">
        <f t="shared" si="1"/>
        <v/>
      </c>
      <c r="H172" s="39" t="str">
        <f t="shared" si="2"/>
        <v/>
      </c>
      <c r="I172" s="39" t="str">
        <f>IF(Strike_Log!H172="Pending",Strike_Log!J172,"")</f>
        <v/>
      </c>
      <c r="J172" s="39"/>
      <c r="M172" s="39" t="str">
        <f t="shared" si="3"/>
        <v/>
      </c>
    </row>
    <row r="173" ht="15.75" customHeight="1">
      <c r="A173" s="39" t="str">
        <f>IF(Strike_Log!H173="Pending",Strike_Log!B173,"")</f>
        <v/>
      </c>
      <c r="B173" s="39" t="str">
        <f>IF($A173="","",IFERROR(VLOOKUP($A173,Grinders!$A:$B,2,FALSE),""))</f>
        <v/>
      </c>
      <c r="C173" s="39" t="str">
        <f>IF($A173="","",Strike_Log!A173)</f>
        <v/>
      </c>
      <c r="D173" s="39" t="str">
        <f>IF($A173="","",Strike_Log!E173)</f>
        <v/>
      </c>
      <c r="E173" s="39" t="str">
        <f>IF($A173="","",Strike_Log!F173)</f>
        <v/>
      </c>
      <c r="F173" s="39" t="str">
        <f>IF($A173="","",Strike_Log!H173)</f>
        <v/>
      </c>
      <c r="G173" s="39" t="str">
        <f t="shared" si="1"/>
        <v/>
      </c>
      <c r="H173" s="39" t="str">
        <f t="shared" si="2"/>
        <v/>
      </c>
      <c r="I173" s="39" t="str">
        <f>IF(Strike_Log!H173="Pending",Strike_Log!J173,"")</f>
        <v/>
      </c>
      <c r="J173" s="39"/>
      <c r="M173" s="39" t="str">
        <f t="shared" si="3"/>
        <v/>
      </c>
    </row>
    <row r="174" ht="15.75" customHeight="1">
      <c r="A174" s="39" t="str">
        <f>IF(Strike_Log!H174="Pending",Strike_Log!B174,"")</f>
        <v/>
      </c>
      <c r="B174" s="39" t="str">
        <f>IF($A174="","",IFERROR(VLOOKUP($A174,Grinders!$A:$B,2,FALSE),""))</f>
        <v/>
      </c>
      <c r="C174" s="39" t="str">
        <f>IF($A174="","",Strike_Log!A174)</f>
        <v/>
      </c>
      <c r="D174" s="39" t="str">
        <f>IF($A174="","",Strike_Log!E174)</f>
        <v/>
      </c>
      <c r="E174" s="39" t="str">
        <f>IF($A174="","",Strike_Log!F174)</f>
        <v/>
      </c>
      <c r="F174" s="39" t="str">
        <f>IF($A174="","",Strike_Log!H174)</f>
        <v/>
      </c>
      <c r="G174" s="39" t="str">
        <f t="shared" si="1"/>
        <v/>
      </c>
      <c r="H174" s="39" t="str">
        <f t="shared" si="2"/>
        <v/>
      </c>
      <c r="I174" s="39" t="str">
        <f>IF(Strike_Log!H174="Pending",Strike_Log!J174,"")</f>
        <v/>
      </c>
      <c r="J174" s="39"/>
      <c r="M174" s="39" t="str">
        <f t="shared" si="3"/>
        <v/>
      </c>
    </row>
    <row r="175" ht="15.75" customHeight="1">
      <c r="A175" s="39" t="str">
        <f>IF(Strike_Log!H175="Pending",Strike_Log!B175,"")</f>
        <v/>
      </c>
      <c r="B175" s="39" t="str">
        <f>IF($A175="","",IFERROR(VLOOKUP($A175,Grinders!$A:$B,2,FALSE),""))</f>
        <v/>
      </c>
      <c r="C175" s="39" t="str">
        <f>IF($A175="","",Strike_Log!A175)</f>
        <v/>
      </c>
      <c r="D175" s="39" t="str">
        <f>IF($A175="","",Strike_Log!E175)</f>
        <v/>
      </c>
      <c r="E175" s="39" t="str">
        <f>IF($A175="","",Strike_Log!F175)</f>
        <v/>
      </c>
      <c r="F175" s="39" t="str">
        <f>IF($A175="","",Strike_Log!H175)</f>
        <v/>
      </c>
      <c r="G175" s="39" t="str">
        <f t="shared" si="1"/>
        <v/>
      </c>
      <c r="H175" s="39" t="str">
        <f t="shared" si="2"/>
        <v/>
      </c>
      <c r="I175" s="39" t="str">
        <f>IF(Strike_Log!H175="Pending",Strike_Log!J175,"")</f>
        <v/>
      </c>
      <c r="J175" s="39"/>
      <c r="M175" s="39" t="str">
        <f t="shared" si="3"/>
        <v/>
      </c>
    </row>
    <row r="176" ht="15.75" customHeight="1">
      <c r="A176" s="39" t="str">
        <f>IF(Strike_Log!H176="Pending",Strike_Log!B176,"")</f>
        <v/>
      </c>
      <c r="B176" s="39" t="str">
        <f>IF($A176="","",IFERROR(VLOOKUP($A176,Grinders!$A:$B,2,FALSE),""))</f>
        <v/>
      </c>
      <c r="C176" s="39" t="str">
        <f>IF($A176="","",Strike_Log!A176)</f>
        <v/>
      </c>
      <c r="D176" s="39" t="str">
        <f>IF($A176="","",Strike_Log!E176)</f>
        <v/>
      </c>
      <c r="E176" s="39" t="str">
        <f>IF($A176="","",Strike_Log!F176)</f>
        <v/>
      </c>
      <c r="F176" s="39" t="str">
        <f>IF($A176="","",Strike_Log!H176)</f>
        <v/>
      </c>
      <c r="G176" s="39" t="str">
        <f t="shared" si="1"/>
        <v/>
      </c>
      <c r="H176" s="39" t="str">
        <f t="shared" si="2"/>
        <v/>
      </c>
      <c r="I176" s="39" t="str">
        <f>IF(Strike_Log!H176="Pending",Strike_Log!J176,"")</f>
        <v/>
      </c>
      <c r="J176" s="39"/>
      <c r="M176" s="39" t="str">
        <f t="shared" si="3"/>
        <v/>
      </c>
    </row>
    <row r="177" ht="15.75" customHeight="1">
      <c r="A177" s="39" t="str">
        <f>IF(Strike_Log!H177="Pending",Strike_Log!B177,"")</f>
        <v/>
      </c>
      <c r="B177" s="39" t="str">
        <f>IF($A177="","",IFERROR(VLOOKUP($A177,Grinders!$A:$B,2,FALSE),""))</f>
        <v/>
      </c>
      <c r="C177" s="39" t="str">
        <f>IF($A177="","",Strike_Log!A177)</f>
        <v/>
      </c>
      <c r="D177" s="39" t="str">
        <f>IF($A177="","",Strike_Log!E177)</f>
        <v/>
      </c>
      <c r="E177" s="39" t="str">
        <f>IF($A177="","",Strike_Log!F177)</f>
        <v/>
      </c>
      <c r="F177" s="39" t="str">
        <f>IF($A177="","",Strike_Log!H177)</f>
        <v/>
      </c>
      <c r="G177" s="39" t="str">
        <f t="shared" si="1"/>
        <v/>
      </c>
      <c r="H177" s="39" t="str">
        <f t="shared" si="2"/>
        <v/>
      </c>
      <c r="I177" s="39" t="str">
        <f>IF(Strike_Log!H177="Pending",Strike_Log!J177,"")</f>
        <v/>
      </c>
      <c r="J177" s="39"/>
      <c r="M177" s="39" t="str">
        <f t="shared" si="3"/>
        <v/>
      </c>
    </row>
    <row r="178" ht="15.75" customHeight="1">
      <c r="A178" s="39" t="str">
        <f>IF(Strike_Log!H178="Pending",Strike_Log!B178,"")</f>
        <v/>
      </c>
      <c r="B178" s="39" t="str">
        <f>IF($A178="","",IFERROR(VLOOKUP($A178,Grinders!$A:$B,2,FALSE),""))</f>
        <v/>
      </c>
      <c r="C178" s="39" t="str">
        <f>IF($A178="","",Strike_Log!A178)</f>
        <v/>
      </c>
      <c r="D178" s="39" t="str">
        <f>IF($A178="","",Strike_Log!E178)</f>
        <v/>
      </c>
      <c r="E178" s="39" t="str">
        <f>IF($A178="","",Strike_Log!F178)</f>
        <v/>
      </c>
      <c r="F178" s="39" t="str">
        <f>IF($A178="","",Strike_Log!H178)</f>
        <v/>
      </c>
      <c r="G178" s="39" t="str">
        <f t="shared" si="1"/>
        <v/>
      </c>
      <c r="H178" s="39" t="str">
        <f t="shared" si="2"/>
        <v/>
      </c>
      <c r="I178" s="39" t="str">
        <f>IF(Strike_Log!H178="Pending",Strike_Log!J178,"")</f>
        <v/>
      </c>
      <c r="J178" s="39"/>
      <c r="M178" s="39" t="str">
        <f t="shared" si="3"/>
        <v/>
      </c>
    </row>
    <row r="179" ht="15.75" customHeight="1">
      <c r="A179" s="39" t="str">
        <f>IF(Strike_Log!H179="Pending",Strike_Log!B179,"")</f>
        <v/>
      </c>
      <c r="B179" s="39" t="str">
        <f>IF($A179="","",IFERROR(VLOOKUP($A179,Grinders!$A:$B,2,FALSE),""))</f>
        <v/>
      </c>
      <c r="C179" s="39" t="str">
        <f>IF($A179="","",Strike_Log!A179)</f>
        <v/>
      </c>
      <c r="D179" s="39" t="str">
        <f>IF($A179="","",Strike_Log!E179)</f>
        <v/>
      </c>
      <c r="E179" s="39" t="str">
        <f>IF($A179="","",Strike_Log!F179)</f>
        <v/>
      </c>
      <c r="F179" s="39" t="str">
        <f>IF($A179="","",Strike_Log!H179)</f>
        <v/>
      </c>
      <c r="G179" s="39" t="str">
        <f t="shared" si="1"/>
        <v/>
      </c>
      <c r="H179" s="39" t="str">
        <f t="shared" si="2"/>
        <v/>
      </c>
      <c r="I179" s="39" t="str">
        <f>IF(Strike_Log!H179="Pending",Strike_Log!J179,"")</f>
        <v/>
      </c>
      <c r="J179" s="39"/>
      <c r="M179" s="39" t="str">
        <f t="shared" si="3"/>
        <v/>
      </c>
    </row>
    <row r="180" ht="15.75" customHeight="1">
      <c r="A180" s="39" t="str">
        <f>IF(Strike_Log!H180="Pending",Strike_Log!B180,"")</f>
        <v/>
      </c>
      <c r="B180" s="39" t="str">
        <f>IF($A180="","",IFERROR(VLOOKUP($A180,Grinders!$A:$B,2,FALSE),""))</f>
        <v/>
      </c>
      <c r="C180" s="39" t="str">
        <f>IF($A180="","",Strike_Log!A180)</f>
        <v/>
      </c>
      <c r="D180" s="39" t="str">
        <f>IF($A180="","",Strike_Log!E180)</f>
        <v/>
      </c>
      <c r="E180" s="39" t="str">
        <f>IF($A180="","",Strike_Log!F180)</f>
        <v/>
      </c>
      <c r="F180" s="39" t="str">
        <f>IF($A180="","",Strike_Log!H180)</f>
        <v/>
      </c>
      <c r="G180" s="39" t="str">
        <f t="shared" si="1"/>
        <v/>
      </c>
      <c r="H180" s="39" t="str">
        <f t="shared" si="2"/>
        <v/>
      </c>
      <c r="I180" s="39" t="str">
        <f>IF(Strike_Log!H180="Pending",Strike_Log!J180,"")</f>
        <v/>
      </c>
      <c r="J180" s="39"/>
      <c r="M180" s="39" t="str">
        <f t="shared" si="3"/>
        <v/>
      </c>
    </row>
    <row r="181" ht="15.75" customHeight="1">
      <c r="A181" s="39" t="str">
        <f>IF(Strike_Log!H181="Pending",Strike_Log!B181,"")</f>
        <v/>
      </c>
      <c r="B181" s="39" t="str">
        <f>IF($A181="","",IFERROR(VLOOKUP($A181,Grinders!$A:$B,2,FALSE),""))</f>
        <v/>
      </c>
      <c r="C181" s="39" t="str">
        <f>IF($A181="","",Strike_Log!A181)</f>
        <v/>
      </c>
      <c r="D181" s="39" t="str">
        <f>IF($A181="","",Strike_Log!E181)</f>
        <v/>
      </c>
      <c r="E181" s="39" t="str">
        <f>IF($A181="","",Strike_Log!F181)</f>
        <v/>
      </c>
      <c r="F181" s="39" t="str">
        <f>IF($A181="","",Strike_Log!H181)</f>
        <v/>
      </c>
      <c r="G181" s="39" t="str">
        <f t="shared" si="1"/>
        <v/>
      </c>
      <c r="H181" s="39" t="str">
        <f t="shared" si="2"/>
        <v/>
      </c>
      <c r="I181" s="39" t="str">
        <f>IF(Strike_Log!H181="Pending",Strike_Log!J181,"")</f>
        <v/>
      </c>
      <c r="J181" s="39"/>
      <c r="M181" s="39" t="str">
        <f t="shared" si="3"/>
        <v/>
      </c>
    </row>
    <row r="182" ht="15.75" customHeight="1">
      <c r="A182" s="39" t="str">
        <f>IF(Strike_Log!H182="Pending",Strike_Log!B182,"")</f>
        <v/>
      </c>
      <c r="B182" s="39" t="str">
        <f>IF($A182="","",IFERROR(VLOOKUP($A182,Grinders!$A:$B,2,FALSE),""))</f>
        <v/>
      </c>
      <c r="C182" s="39" t="str">
        <f>IF($A182="","",Strike_Log!A182)</f>
        <v/>
      </c>
      <c r="D182" s="39" t="str">
        <f>IF($A182="","",Strike_Log!E182)</f>
        <v/>
      </c>
      <c r="E182" s="39" t="str">
        <f>IF($A182="","",Strike_Log!F182)</f>
        <v/>
      </c>
      <c r="F182" s="39" t="str">
        <f>IF($A182="","",Strike_Log!H182)</f>
        <v/>
      </c>
      <c r="G182" s="39" t="str">
        <f t="shared" si="1"/>
        <v/>
      </c>
      <c r="H182" s="39" t="str">
        <f t="shared" si="2"/>
        <v/>
      </c>
      <c r="I182" s="39" t="str">
        <f>IF(Strike_Log!H182="Pending",Strike_Log!J182,"")</f>
        <v/>
      </c>
      <c r="J182" s="39"/>
      <c r="M182" s="39" t="str">
        <f t="shared" si="3"/>
        <v/>
      </c>
    </row>
    <row r="183" ht="15.75" customHeight="1">
      <c r="A183" s="39" t="str">
        <f>IF(Strike_Log!H183="Pending",Strike_Log!B183,"")</f>
        <v/>
      </c>
      <c r="B183" s="39" t="str">
        <f>IF($A183="","",IFERROR(VLOOKUP($A183,Grinders!$A:$B,2,FALSE),""))</f>
        <v/>
      </c>
      <c r="C183" s="39" t="str">
        <f>IF($A183="","",Strike_Log!A183)</f>
        <v/>
      </c>
      <c r="D183" s="39" t="str">
        <f>IF($A183="","",Strike_Log!E183)</f>
        <v/>
      </c>
      <c r="E183" s="39" t="str">
        <f>IF($A183="","",Strike_Log!F183)</f>
        <v/>
      </c>
      <c r="F183" s="39" t="str">
        <f>IF($A183="","",Strike_Log!H183)</f>
        <v/>
      </c>
      <c r="G183" s="39" t="str">
        <f t="shared" si="1"/>
        <v/>
      </c>
      <c r="H183" s="39" t="str">
        <f t="shared" si="2"/>
        <v/>
      </c>
      <c r="I183" s="39" t="str">
        <f>IF(Strike_Log!H183="Pending",Strike_Log!J183,"")</f>
        <v/>
      </c>
      <c r="J183" s="39"/>
      <c r="M183" s="39" t="str">
        <f t="shared" si="3"/>
        <v/>
      </c>
    </row>
    <row r="184" ht="15.75" customHeight="1">
      <c r="A184" s="39" t="str">
        <f>IF(Strike_Log!H184="Pending",Strike_Log!B184,"")</f>
        <v/>
      </c>
      <c r="B184" s="39" t="str">
        <f>IF($A184="","",IFERROR(VLOOKUP($A184,Grinders!$A:$B,2,FALSE),""))</f>
        <v/>
      </c>
      <c r="C184" s="39" t="str">
        <f>IF($A184="","",Strike_Log!A184)</f>
        <v/>
      </c>
      <c r="D184" s="39" t="str">
        <f>IF($A184="","",Strike_Log!E184)</f>
        <v/>
      </c>
      <c r="E184" s="39" t="str">
        <f>IF($A184="","",Strike_Log!F184)</f>
        <v/>
      </c>
      <c r="F184" s="39" t="str">
        <f>IF($A184="","",Strike_Log!H184)</f>
        <v/>
      </c>
      <c r="G184" s="39" t="str">
        <f t="shared" si="1"/>
        <v/>
      </c>
      <c r="H184" s="39" t="str">
        <f t="shared" si="2"/>
        <v/>
      </c>
      <c r="I184" s="39" t="str">
        <f>IF(Strike_Log!H184="Pending",Strike_Log!J184,"")</f>
        <v/>
      </c>
      <c r="J184" s="39"/>
      <c r="M184" s="39" t="str">
        <f t="shared" si="3"/>
        <v/>
      </c>
    </row>
    <row r="185" ht="15.75" customHeight="1">
      <c r="A185" s="39" t="str">
        <f>IF(Strike_Log!H185="Pending",Strike_Log!B185,"")</f>
        <v/>
      </c>
      <c r="B185" s="39" t="str">
        <f>IF($A185="","",IFERROR(VLOOKUP($A185,Grinders!$A:$B,2,FALSE),""))</f>
        <v/>
      </c>
      <c r="C185" s="39" t="str">
        <f>IF($A185="","",Strike_Log!A185)</f>
        <v/>
      </c>
      <c r="D185" s="39" t="str">
        <f>IF($A185="","",Strike_Log!E185)</f>
        <v/>
      </c>
      <c r="E185" s="39" t="str">
        <f>IF($A185="","",Strike_Log!F185)</f>
        <v/>
      </c>
      <c r="F185" s="39" t="str">
        <f>IF($A185="","",Strike_Log!H185)</f>
        <v/>
      </c>
      <c r="G185" s="39" t="str">
        <f t="shared" si="1"/>
        <v/>
      </c>
      <c r="H185" s="39" t="str">
        <f t="shared" si="2"/>
        <v/>
      </c>
      <c r="I185" s="39" t="str">
        <f>IF(Strike_Log!H185="Pending",Strike_Log!J185,"")</f>
        <v/>
      </c>
      <c r="J185" s="39"/>
      <c r="M185" s="39" t="str">
        <f t="shared" si="3"/>
        <v/>
      </c>
    </row>
    <row r="186" ht="15.75" customHeight="1">
      <c r="A186" s="39" t="str">
        <f>IF(Strike_Log!H186="Pending",Strike_Log!B186,"")</f>
        <v/>
      </c>
      <c r="B186" s="39" t="str">
        <f>IF($A186="","",IFERROR(VLOOKUP($A186,Grinders!$A:$B,2,FALSE),""))</f>
        <v/>
      </c>
      <c r="C186" s="39" t="str">
        <f>IF($A186="","",Strike_Log!A186)</f>
        <v/>
      </c>
      <c r="D186" s="39" t="str">
        <f>IF($A186="","",Strike_Log!E186)</f>
        <v/>
      </c>
      <c r="E186" s="39" t="str">
        <f>IF($A186="","",Strike_Log!F186)</f>
        <v/>
      </c>
      <c r="F186" s="39" t="str">
        <f>IF($A186="","",Strike_Log!H186)</f>
        <v/>
      </c>
      <c r="G186" s="39" t="str">
        <f t="shared" si="1"/>
        <v/>
      </c>
      <c r="H186" s="39" t="str">
        <f t="shared" si="2"/>
        <v/>
      </c>
      <c r="I186" s="39" t="str">
        <f>IF(Strike_Log!H186="Pending",Strike_Log!J186,"")</f>
        <v/>
      </c>
      <c r="J186" s="39"/>
      <c r="M186" s="39" t="str">
        <f t="shared" si="3"/>
        <v/>
      </c>
    </row>
    <row r="187" ht="15.75" customHeight="1">
      <c r="A187" s="39" t="str">
        <f>IF(Strike_Log!H187="Pending",Strike_Log!B187,"")</f>
        <v/>
      </c>
      <c r="B187" s="39" t="str">
        <f>IF($A187="","",IFERROR(VLOOKUP($A187,Grinders!$A:$B,2,FALSE),""))</f>
        <v/>
      </c>
      <c r="C187" s="39" t="str">
        <f>IF($A187="","",Strike_Log!A187)</f>
        <v/>
      </c>
      <c r="D187" s="39" t="str">
        <f>IF($A187="","",Strike_Log!E187)</f>
        <v/>
      </c>
      <c r="E187" s="39" t="str">
        <f>IF($A187="","",Strike_Log!F187)</f>
        <v/>
      </c>
      <c r="F187" s="39" t="str">
        <f>IF($A187="","",Strike_Log!H187)</f>
        <v/>
      </c>
      <c r="G187" s="39" t="str">
        <f t="shared" si="1"/>
        <v/>
      </c>
      <c r="H187" s="39" t="str">
        <f t="shared" si="2"/>
        <v/>
      </c>
      <c r="I187" s="39" t="str">
        <f>IF(Strike_Log!H187="Pending",Strike_Log!J187,"")</f>
        <v/>
      </c>
      <c r="J187" s="39"/>
      <c r="M187" s="39" t="str">
        <f t="shared" si="3"/>
        <v/>
      </c>
    </row>
    <row r="188" ht="15.75" customHeight="1">
      <c r="A188" s="39" t="str">
        <f>IF(Strike_Log!H188="Pending",Strike_Log!B188,"")</f>
        <v/>
      </c>
      <c r="B188" s="39" t="str">
        <f>IF($A188="","",IFERROR(VLOOKUP($A188,Grinders!$A:$B,2,FALSE),""))</f>
        <v/>
      </c>
      <c r="C188" s="39" t="str">
        <f>IF($A188="","",Strike_Log!A188)</f>
        <v/>
      </c>
      <c r="D188" s="39" t="str">
        <f>IF($A188="","",Strike_Log!E188)</f>
        <v/>
      </c>
      <c r="E188" s="39" t="str">
        <f>IF($A188="","",Strike_Log!F188)</f>
        <v/>
      </c>
      <c r="F188" s="39" t="str">
        <f>IF($A188="","",Strike_Log!H188)</f>
        <v/>
      </c>
      <c r="G188" s="39" t="str">
        <f t="shared" si="1"/>
        <v/>
      </c>
      <c r="H188" s="39" t="str">
        <f t="shared" si="2"/>
        <v/>
      </c>
      <c r="I188" s="39" t="str">
        <f>IF(Strike_Log!H188="Pending",Strike_Log!J188,"")</f>
        <v/>
      </c>
      <c r="J188" s="39"/>
      <c r="M188" s="39" t="str">
        <f t="shared" si="3"/>
        <v/>
      </c>
    </row>
    <row r="189" ht="15.75" customHeight="1">
      <c r="A189" s="39" t="str">
        <f>IF(Strike_Log!H189="Pending",Strike_Log!B189,"")</f>
        <v/>
      </c>
      <c r="B189" s="39" t="str">
        <f>IF($A189="","",IFERROR(VLOOKUP($A189,Grinders!$A:$B,2,FALSE),""))</f>
        <v/>
      </c>
      <c r="C189" s="39" t="str">
        <f>IF($A189="","",Strike_Log!A189)</f>
        <v/>
      </c>
      <c r="D189" s="39" t="str">
        <f>IF($A189="","",Strike_Log!E189)</f>
        <v/>
      </c>
      <c r="E189" s="39" t="str">
        <f>IF($A189="","",Strike_Log!F189)</f>
        <v/>
      </c>
      <c r="F189" s="39" t="str">
        <f>IF($A189="","",Strike_Log!H189)</f>
        <v/>
      </c>
      <c r="G189" s="39" t="str">
        <f t="shared" si="1"/>
        <v/>
      </c>
      <c r="H189" s="39" t="str">
        <f t="shared" si="2"/>
        <v/>
      </c>
      <c r="I189" s="39" t="str">
        <f>IF(Strike_Log!H189="Pending",Strike_Log!J189,"")</f>
        <v/>
      </c>
      <c r="J189" s="39"/>
      <c r="M189" s="39" t="str">
        <f t="shared" si="3"/>
        <v/>
      </c>
    </row>
    <row r="190" ht="15.75" customHeight="1">
      <c r="A190" s="39" t="str">
        <f>IF(Strike_Log!H190="Pending",Strike_Log!B190,"")</f>
        <v/>
      </c>
      <c r="B190" s="39" t="str">
        <f>IF($A190="","",IFERROR(VLOOKUP($A190,Grinders!$A:$B,2,FALSE),""))</f>
        <v/>
      </c>
      <c r="C190" s="39" t="str">
        <f>IF($A190="","",Strike_Log!A190)</f>
        <v/>
      </c>
      <c r="D190" s="39" t="str">
        <f>IF($A190="","",Strike_Log!E190)</f>
        <v/>
      </c>
      <c r="E190" s="39" t="str">
        <f>IF($A190="","",Strike_Log!F190)</f>
        <v/>
      </c>
      <c r="F190" s="39" t="str">
        <f>IF($A190="","",Strike_Log!H190)</f>
        <v/>
      </c>
      <c r="G190" s="39" t="str">
        <f t="shared" si="1"/>
        <v/>
      </c>
      <c r="H190" s="39" t="str">
        <f t="shared" si="2"/>
        <v/>
      </c>
      <c r="I190" s="39" t="str">
        <f>IF(Strike_Log!H190="Pending",Strike_Log!J190,"")</f>
        <v/>
      </c>
      <c r="J190" s="39"/>
      <c r="M190" s="39" t="str">
        <f t="shared" si="3"/>
        <v/>
      </c>
    </row>
    <row r="191" ht="15.75" customHeight="1">
      <c r="A191" s="39" t="str">
        <f>IF(Strike_Log!H191="Pending",Strike_Log!B191,"")</f>
        <v/>
      </c>
      <c r="B191" s="39" t="str">
        <f>IF($A191="","",IFERROR(VLOOKUP($A191,Grinders!$A:$B,2,FALSE),""))</f>
        <v/>
      </c>
      <c r="C191" s="39" t="str">
        <f>IF($A191="","",Strike_Log!A191)</f>
        <v/>
      </c>
      <c r="D191" s="39" t="str">
        <f>IF($A191="","",Strike_Log!E191)</f>
        <v/>
      </c>
      <c r="E191" s="39" t="str">
        <f>IF($A191="","",Strike_Log!F191)</f>
        <v/>
      </c>
      <c r="F191" s="39" t="str">
        <f>IF($A191="","",Strike_Log!H191)</f>
        <v/>
      </c>
      <c r="G191" s="39" t="str">
        <f t="shared" si="1"/>
        <v/>
      </c>
      <c r="H191" s="39" t="str">
        <f t="shared" si="2"/>
        <v/>
      </c>
      <c r="I191" s="39" t="str">
        <f>IF(Strike_Log!H191="Pending",Strike_Log!J191,"")</f>
        <v/>
      </c>
      <c r="J191" s="39"/>
      <c r="M191" s="39" t="str">
        <f t="shared" si="3"/>
        <v/>
      </c>
    </row>
    <row r="192" ht="15.75" customHeight="1">
      <c r="A192" s="39" t="str">
        <f>IF(Strike_Log!H192="Pending",Strike_Log!B192,"")</f>
        <v/>
      </c>
      <c r="B192" s="39" t="str">
        <f>IF($A192="","",IFERROR(VLOOKUP($A192,Grinders!$A:$B,2,FALSE),""))</f>
        <v/>
      </c>
      <c r="C192" s="39" t="str">
        <f>IF($A192="","",Strike_Log!A192)</f>
        <v/>
      </c>
      <c r="D192" s="39" t="str">
        <f>IF($A192="","",Strike_Log!E192)</f>
        <v/>
      </c>
      <c r="E192" s="39" t="str">
        <f>IF($A192="","",Strike_Log!F192)</f>
        <v/>
      </c>
      <c r="F192" s="39" t="str">
        <f>IF($A192="","",Strike_Log!H192)</f>
        <v/>
      </c>
      <c r="G192" s="39" t="str">
        <f t="shared" si="1"/>
        <v/>
      </c>
      <c r="H192" s="39" t="str">
        <f t="shared" si="2"/>
        <v/>
      </c>
      <c r="I192" s="39" t="str">
        <f>IF(Strike_Log!H192="Pending",Strike_Log!J192,"")</f>
        <v/>
      </c>
      <c r="J192" s="39"/>
      <c r="M192" s="39" t="str">
        <f t="shared" si="3"/>
        <v/>
      </c>
    </row>
    <row r="193" ht="15.75" customHeight="1">
      <c r="A193" s="39" t="str">
        <f>IF(Strike_Log!H193="Pending",Strike_Log!B193,"")</f>
        <v/>
      </c>
      <c r="B193" s="39" t="str">
        <f>IF($A193="","",IFERROR(VLOOKUP($A193,Grinders!$A:$B,2,FALSE),""))</f>
        <v/>
      </c>
      <c r="C193" s="39" t="str">
        <f>IF($A193="","",Strike_Log!A193)</f>
        <v/>
      </c>
      <c r="D193" s="39" t="str">
        <f>IF($A193="","",Strike_Log!E193)</f>
        <v/>
      </c>
      <c r="E193" s="39" t="str">
        <f>IF($A193="","",Strike_Log!F193)</f>
        <v/>
      </c>
      <c r="F193" s="39" t="str">
        <f>IF($A193="","",Strike_Log!H193)</f>
        <v/>
      </c>
      <c r="G193" s="39" t="str">
        <f t="shared" si="1"/>
        <v/>
      </c>
      <c r="H193" s="39" t="str">
        <f t="shared" si="2"/>
        <v/>
      </c>
      <c r="I193" s="39" t="str">
        <f>IF(Strike_Log!H193="Pending",Strike_Log!J193,"")</f>
        <v/>
      </c>
      <c r="J193" s="39"/>
      <c r="M193" s="39" t="str">
        <f t="shared" si="3"/>
        <v/>
      </c>
    </row>
    <row r="194" ht="15.75" customHeight="1">
      <c r="A194" s="39" t="str">
        <f>IF(Strike_Log!H194="Pending",Strike_Log!B194,"")</f>
        <v/>
      </c>
      <c r="B194" s="39" t="str">
        <f>IF($A194="","",IFERROR(VLOOKUP($A194,Grinders!$A:$B,2,FALSE),""))</f>
        <v/>
      </c>
      <c r="C194" s="39" t="str">
        <f>IF($A194="","",Strike_Log!A194)</f>
        <v/>
      </c>
      <c r="D194" s="39" t="str">
        <f>IF($A194="","",Strike_Log!E194)</f>
        <v/>
      </c>
      <c r="E194" s="39" t="str">
        <f>IF($A194="","",Strike_Log!F194)</f>
        <v/>
      </c>
      <c r="F194" s="39" t="str">
        <f>IF($A194="","",Strike_Log!H194)</f>
        <v/>
      </c>
      <c r="G194" s="39" t="str">
        <f t="shared" si="1"/>
        <v/>
      </c>
      <c r="H194" s="39" t="str">
        <f t="shared" si="2"/>
        <v/>
      </c>
      <c r="I194" s="39" t="str">
        <f>IF(Strike_Log!H194="Pending",Strike_Log!J194,"")</f>
        <v/>
      </c>
      <c r="J194" s="39"/>
      <c r="M194" s="39" t="str">
        <f t="shared" si="3"/>
        <v/>
      </c>
    </row>
    <row r="195" ht="15.75" customHeight="1">
      <c r="A195" s="39" t="str">
        <f>IF(Strike_Log!H195="Pending",Strike_Log!B195,"")</f>
        <v/>
      </c>
      <c r="B195" s="39" t="str">
        <f>IF($A195="","",IFERROR(VLOOKUP($A195,Grinders!$A:$B,2,FALSE),""))</f>
        <v/>
      </c>
      <c r="C195" s="39" t="str">
        <f>IF($A195="","",Strike_Log!A195)</f>
        <v/>
      </c>
      <c r="D195" s="39" t="str">
        <f>IF($A195="","",Strike_Log!E195)</f>
        <v/>
      </c>
      <c r="E195" s="39" t="str">
        <f>IF($A195="","",Strike_Log!F195)</f>
        <v/>
      </c>
      <c r="F195" s="39" t="str">
        <f>IF($A195="","",Strike_Log!H195)</f>
        <v/>
      </c>
      <c r="G195" s="39" t="str">
        <f t="shared" si="1"/>
        <v/>
      </c>
      <c r="H195" s="39" t="str">
        <f t="shared" si="2"/>
        <v/>
      </c>
      <c r="I195" s="39" t="str">
        <f>IF(Strike_Log!H195="Pending",Strike_Log!J195,"")</f>
        <v/>
      </c>
      <c r="J195" s="39"/>
      <c r="M195" s="39" t="str">
        <f t="shared" si="3"/>
        <v/>
      </c>
    </row>
    <row r="196" ht="15.75" customHeight="1">
      <c r="A196" s="39" t="str">
        <f>IF(Strike_Log!H196="Pending",Strike_Log!B196,"")</f>
        <v/>
      </c>
      <c r="B196" s="39" t="str">
        <f>IF($A196="","",IFERROR(VLOOKUP($A196,Grinders!$A:$B,2,FALSE),""))</f>
        <v/>
      </c>
      <c r="C196" s="39" t="str">
        <f>IF($A196="","",Strike_Log!A196)</f>
        <v/>
      </c>
      <c r="D196" s="39" t="str">
        <f>IF($A196="","",Strike_Log!E196)</f>
        <v/>
      </c>
      <c r="E196" s="39" t="str">
        <f>IF($A196="","",Strike_Log!F196)</f>
        <v/>
      </c>
      <c r="F196" s="39" t="str">
        <f>IF($A196="","",Strike_Log!H196)</f>
        <v/>
      </c>
      <c r="G196" s="39" t="str">
        <f t="shared" si="1"/>
        <v/>
      </c>
      <c r="H196" s="39" t="str">
        <f t="shared" si="2"/>
        <v/>
      </c>
      <c r="I196" s="39" t="str">
        <f>IF(Strike_Log!H196="Pending",Strike_Log!J196,"")</f>
        <v/>
      </c>
      <c r="J196" s="39"/>
      <c r="M196" s="39" t="str">
        <f t="shared" si="3"/>
        <v/>
      </c>
    </row>
    <row r="197" ht="15.75" customHeight="1">
      <c r="A197" s="39" t="str">
        <f>IF(Strike_Log!H197="Pending",Strike_Log!B197,"")</f>
        <v/>
      </c>
      <c r="B197" s="39" t="str">
        <f>IF($A197="","",IFERROR(VLOOKUP($A197,Grinders!$A:$B,2,FALSE),""))</f>
        <v/>
      </c>
      <c r="C197" s="39" t="str">
        <f>IF($A197="","",Strike_Log!A197)</f>
        <v/>
      </c>
      <c r="D197" s="39" t="str">
        <f>IF($A197="","",Strike_Log!E197)</f>
        <v/>
      </c>
      <c r="E197" s="39" t="str">
        <f>IF($A197="","",Strike_Log!F197)</f>
        <v/>
      </c>
      <c r="F197" s="39" t="str">
        <f>IF($A197="","",Strike_Log!H197)</f>
        <v/>
      </c>
      <c r="G197" s="39" t="str">
        <f t="shared" si="1"/>
        <v/>
      </c>
      <c r="H197" s="39" t="str">
        <f t="shared" si="2"/>
        <v/>
      </c>
      <c r="I197" s="39" t="str">
        <f>IF(Strike_Log!H197="Pending",Strike_Log!J197,"")</f>
        <v/>
      </c>
      <c r="J197" s="39"/>
      <c r="M197" s="39" t="str">
        <f t="shared" si="3"/>
        <v/>
      </c>
    </row>
    <row r="198" ht="15.75" customHeight="1">
      <c r="A198" s="39" t="str">
        <f>IF(Strike_Log!H198="Pending",Strike_Log!B198,"")</f>
        <v/>
      </c>
      <c r="B198" s="39" t="str">
        <f>IF($A198="","",IFERROR(VLOOKUP($A198,Grinders!$A:$B,2,FALSE),""))</f>
        <v/>
      </c>
      <c r="C198" s="39" t="str">
        <f>IF($A198="","",Strike_Log!A198)</f>
        <v/>
      </c>
      <c r="D198" s="39" t="str">
        <f>IF($A198="","",Strike_Log!E198)</f>
        <v/>
      </c>
      <c r="E198" s="39" t="str">
        <f>IF($A198="","",Strike_Log!F198)</f>
        <v/>
      </c>
      <c r="F198" s="39" t="str">
        <f>IF($A198="","",Strike_Log!H198)</f>
        <v/>
      </c>
      <c r="G198" s="39" t="str">
        <f t="shared" si="1"/>
        <v/>
      </c>
      <c r="H198" s="39" t="str">
        <f t="shared" si="2"/>
        <v/>
      </c>
      <c r="I198" s="39" t="str">
        <f>IF(Strike_Log!H198="Pending",Strike_Log!J198,"")</f>
        <v/>
      </c>
      <c r="J198" s="39"/>
      <c r="M198" s="39" t="str">
        <f t="shared" si="3"/>
        <v/>
      </c>
    </row>
    <row r="199" ht="15.75" customHeight="1">
      <c r="A199" s="39" t="str">
        <f>IF(Strike_Log!H199="Pending",Strike_Log!B199,"")</f>
        <v/>
      </c>
      <c r="B199" s="39" t="str">
        <f>IF($A199="","",IFERROR(VLOOKUP($A199,Grinders!$A:$B,2,FALSE),""))</f>
        <v/>
      </c>
      <c r="C199" s="39" t="str">
        <f>IF($A199="","",Strike_Log!A199)</f>
        <v/>
      </c>
      <c r="D199" s="39" t="str">
        <f>IF($A199="","",Strike_Log!E199)</f>
        <v/>
      </c>
      <c r="E199" s="39" t="str">
        <f>IF($A199="","",Strike_Log!F199)</f>
        <v/>
      </c>
      <c r="F199" s="39" t="str">
        <f>IF($A199="","",Strike_Log!H199)</f>
        <v/>
      </c>
      <c r="G199" s="39" t="str">
        <f t="shared" si="1"/>
        <v/>
      </c>
      <c r="H199" s="39" t="str">
        <f t="shared" si="2"/>
        <v/>
      </c>
      <c r="I199" s="39" t="str">
        <f>IF(Strike_Log!H199="Pending",Strike_Log!J199,"")</f>
        <v/>
      </c>
      <c r="J199" s="39"/>
      <c r="M199" s="39" t="str">
        <f t="shared" si="3"/>
        <v/>
      </c>
    </row>
    <row r="200" ht="15.75" customHeight="1">
      <c r="A200" s="39" t="str">
        <f>IF(Strike_Log!H200="Pending",Strike_Log!B200,"")</f>
        <v/>
      </c>
      <c r="B200" s="39" t="str">
        <f>IF($A200="","",IFERROR(VLOOKUP($A200,Grinders!$A:$B,2,FALSE),""))</f>
        <v/>
      </c>
      <c r="C200" s="39" t="str">
        <f>IF($A200="","",Strike_Log!A200)</f>
        <v/>
      </c>
      <c r="D200" s="39" t="str">
        <f>IF($A200="","",Strike_Log!E200)</f>
        <v/>
      </c>
      <c r="E200" s="39" t="str">
        <f>IF($A200="","",Strike_Log!F200)</f>
        <v/>
      </c>
      <c r="F200" s="39" t="str">
        <f>IF($A200="","",Strike_Log!H200)</f>
        <v/>
      </c>
      <c r="G200" s="39" t="str">
        <f t="shared" si="1"/>
        <v/>
      </c>
      <c r="H200" s="39" t="str">
        <f t="shared" si="2"/>
        <v/>
      </c>
      <c r="I200" s="39" t="str">
        <f>IF(Strike_Log!H200="Pending",Strike_Log!J200,"")</f>
        <v/>
      </c>
      <c r="J200" s="39"/>
      <c r="M200" s="39" t="str">
        <f t="shared" si="3"/>
        <v/>
      </c>
    </row>
    <row r="201" ht="15.75" customHeight="1">
      <c r="A201" s="39" t="str">
        <f>IF(Strike_Log!H201="Pending",Strike_Log!B201,"")</f>
        <v/>
      </c>
      <c r="B201" s="39" t="str">
        <f>IF($A201="","",IFERROR(VLOOKUP($A201,Grinders!$A:$B,2,FALSE),""))</f>
        <v/>
      </c>
      <c r="C201" s="39" t="str">
        <f>IF($A201="","",Strike_Log!A201)</f>
        <v/>
      </c>
      <c r="D201" s="39" t="str">
        <f>IF($A201="","",Strike_Log!E201)</f>
        <v/>
      </c>
      <c r="E201" s="39" t="str">
        <f>IF($A201="","",Strike_Log!F201)</f>
        <v/>
      </c>
      <c r="F201" s="39" t="str">
        <f>IF($A201="","",Strike_Log!H201)</f>
        <v/>
      </c>
      <c r="G201" s="39" t="str">
        <f t="shared" si="1"/>
        <v/>
      </c>
      <c r="H201" s="39" t="str">
        <f t="shared" si="2"/>
        <v/>
      </c>
      <c r="I201" s="39" t="str">
        <f>IF(Strike_Log!H201="Pending",Strike_Log!J201,"")</f>
        <v/>
      </c>
      <c r="J201" s="39"/>
      <c r="M201" s="39" t="str">
        <f t="shared" si="3"/>
        <v/>
      </c>
    </row>
    <row r="202" ht="15.75" customHeight="1">
      <c r="A202" s="39" t="str">
        <f>IF(Strike_Log!H202="Pending",Strike_Log!B202,"")</f>
        <v/>
      </c>
      <c r="B202" s="39" t="str">
        <f>IF($A202="","",IFERROR(VLOOKUP($A202,Grinders!$A:$B,2,FALSE),""))</f>
        <v/>
      </c>
      <c r="C202" s="39" t="str">
        <f>IF($A202="","",Strike_Log!A202)</f>
        <v/>
      </c>
      <c r="D202" s="39" t="str">
        <f>IF($A202="","",Strike_Log!E202)</f>
        <v/>
      </c>
      <c r="E202" s="39" t="str">
        <f>IF($A202="","",Strike_Log!F202)</f>
        <v/>
      </c>
      <c r="F202" s="39" t="str">
        <f>IF($A202="","",Strike_Log!H202)</f>
        <v/>
      </c>
      <c r="G202" s="39" t="str">
        <f t="shared" si="1"/>
        <v/>
      </c>
      <c r="H202" s="39" t="str">
        <f t="shared" si="2"/>
        <v/>
      </c>
      <c r="I202" s="39" t="str">
        <f>IF(Strike_Log!H202="Pending",Strike_Log!J202,"")</f>
        <v/>
      </c>
      <c r="J202" s="39"/>
      <c r="M202" s="39" t="str">
        <f t="shared" si="3"/>
        <v/>
      </c>
    </row>
    <row r="203" ht="15.75" customHeight="1">
      <c r="A203" s="39" t="str">
        <f>IF(Strike_Log!H203="Pending",Strike_Log!B203,"")</f>
        <v/>
      </c>
      <c r="B203" s="39" t="str">
        <f>IF($A203="","",IFERROR(VLOOKUP($A203,Grinders!$A:$B,2,FALSE),""))</f>
        <v/>
      </c>
      <c r="C203" s="39" t="str">
        <f>IF($A203="","",Strike_Log!A203)</f>
        <v/>
      </c>
      <c r="D203" s="39" t="str">
        <f>IF($A203="","",Strike_Log!E203)</f>
        <v/>
      </c>
      <c r="E203" s="39" t="str">
        <f>IF($A203="","",Strike_Log!F203)</f>
        <v/>
      </c>
      <c r="F203" s="39" t="str">
        <f>IF($A203="","",Strike_Log!H203)</f>
        <v/>
      </c>
      <c r="G203" s="39" t="str">
        <f t="shared" si="1"/>
        <v/>
      </c>
      <c r="H203" s="39" t="str">
        <f t="shared" si="2"/>
        <v/>
      </c>
      <c r="I203" s="39" t="str">
        <f>IF(Strike_Log!H203="Pending",Strike_Log!J203,"")</f>
        <v/>
      </c>
      <c r="J203" s="39"/>
      <c r="M203" s="39" t="str">
        <f t="shared" si="3"/>
        <v/>
      </c>
    </row>
    <row r="204" ht="15.75" customHeight="1">
      <c r="A204" s="39" t="str">
        <f>IF(Strike_Log!H204="Pending",Strike_Log!B204,"")</f>
        <v/>
      </c>
      <c r="B204" s="39" t="str">
        <f>IF($A204="","",IFERROR(VLOOKUP($A204,Grinders!$A:$B,2,FALSE),""))</f>
        <v/>
      </c>
      <c r="C204" s="39" t="str">
        <f>IF($A204="","",Strike_Log!A204)</f>
        <v/>
      </c>
      <c r="D204" s="39" t="str">
        <f>IF($A204="","",Strike_Log!E204)</f>
        <v/>
      </c>
      <c r="E204" s="39" t="str">
        <f>IF($A204="","",Strike_Log!F204)</f>
        <v/>
      </c>
      <c r="F204" s="39" t="str">
        <f>IF($A204="","",Strike_Log!H204)</f>
        <v/>
      </c>
      <c r="G204" s="39" t="str">
        <f t="shared" si="1"/>
        <v/>
      </c>
      <c r="H204" s="39" t="str">
        <f t="shared" si="2"/>
        <v/>
      </c>
      <c r="I204" s="39" t="str">
        <f>IF(Strike_Log!H204="Pending",Strike_Log!J204,"")</f>
        <v/>
      </c>
      <c r="J204" s="39"/>
      <c r="M204" s="39" t="str">
        <f t="shared" si="3"/>
        <v/>
      </c>
    </row>
    <row r="205" ht="15.75" customHeight="1">
      <c r="A205" s="39" t="str">
        <f>IF(Strike_Log!H205="Pending",Strike_Log!B205,"")</f>
        <v/>
      </c>
      <c r="B205" s="39" t="str">
        <f>IF($A205="","",IFERROR(VLOOKUP($A205,Grinders!$A:$B,2,FALSE),""))</f>
        <v/>
      </c>
      <c r="C205" s="39" t="str">
        <f>IF($A205="","",Strike_Log!A205)</f>
        <v/>
      </c>
      <c r="D205" s="39" t="str">
        <f>IF($A205="","",Strike_Log!E205)</f>
        <v/>
      </c>
      <c r="E205" s="39" t="str">
        <f>IF($A205="","",Strike_Log!F205)</f>
        <v/>
      </c>
      <c r="F205" s="39" t="str">
        <f>IF($A205="","",Strike_Log!H205)</f>
        <v/>
      </c>
      <c r="G205" s="39" t="str">
        <f t="shared" si="1"/>
        <v/>
      </c>
      <c r="H205" s="39" t="str">
        <f t="shared" si="2"/>
        <v/>
      </c>
      <c r="I205" s="39" t="str">
        <f>IF(Strike_Log!H205="Pending",Strike_Log!J205,"")</f>
        <v/>
      </c>
      <c r="J205" s="39"/>
      <c r="M205" s="39" t="str">
        <f t="shared" si="3"/>
        <v/>
      </c>
    </row>
    <row r="206" ht="15.75" customHeight="1">
      <c r="A206" s="39" t="str">
        <f>IF(Strike_Log!H206="Pending",Strike_Log!B206,"")</f>
        <v/>
      </c>
      <c r="B206" s="39" t="str">
        <f>IF($A206="","",IFERROR(VLOOKUP($A206,Grinders!$A:$B,2,FALSE),""))</f>
        <v/>
      </c>
      <c r="C206" s="39" t="str">
        <f>IF($A206="","",Strike_Log!A206)</f>
        <v/>
      </c>
      <c r="D206" s="39" t="str">
        <f>IF($A206="","",Strike_Log!E206)</f>
        <v/>
      </c>
      <c r="E206" s="39" t="str">
        <f>IF($A206="","",Strike_Log!F206)</f>
        <v/>
      </c>
      <c r="F206" s="39" t="str">
        <f>IF($A206="","",Strike_Log!H206)</f>
        <v/>
      </c>
      <c r="G206" s="39" t="str">
        <f t="shared" si="1"/>
        <v/>
      </c>
      <c r="H206" s="39" t="str">
        <f t="shared" si="2"/>
        <v/>
      </c>
      <c r="I206" s="39" t="str">
        <f>IF(Strike_Log!H206="Pending",Strike_Log!J206,"")</f>
        <v/>
      </c>
      <c r="J206" s="39"/>
      <c r="M206" s="39" t="str">
        <f t="shared" si="3"/>
        <v/>
      </c>
    </row>
    <row r="207" ht="15.75" customHeight="1">
      <c r="A207" s="39" t="str">
        <f>IF(Strike_Log!H207="Pending",Strike_Log!B207,"")</f>
        <v/>
      </c>
      <c r="B207" s="39" t="str">
        <f>IF($A207="","",IFERROR(VLOOKUP($A207,Grinders!$A:$B,2,FALSE),""))</f>
        <v/>
      </c>
      <c r="C207" s="39" t="str">
        <f>IF($A207="","",Strike_Log!A207)</f>
        <v/>
      </c>
      <c r="D207" s="39" t="str">
        <f>IF($A207="","",Strike_Log!E207)</f>
        <v/>
      </c>
      <c r="E207" s="39" t="str">
        <f>IF($A207="","",Strike_Log!F207)</f>
        <v/>
      </c>
      <c r="F207" s="39" t="str">
        <f>IF($A207="","",Strike_Log!H207)</f>
        <v/>
      </c>
      <c r="G207" s="39" t="str">
        <f t="shared" si="1"/>
        <v/>
      </c>
      <c r="H207" s="39" t="str">
        <f t="shared" si="2"/>
        <v/>
      </c>
      <c r="I207" s="39" t="str">
        <f>IF(Strike_Log!H207="Pending",Strike_Log!J207,"")</f>
        <v/>
      </c>
      <c r="J207" s="39"/>
      <c r="M207" s="39" t="str">
        <f t="shared" si="3"/>
        <v/>
      </c>
    </row>
    <row r="208" ht="15.75" customHeight="1">
      <c r="A208" s="39" t="str">
        <f>IF(Strike_Log!H208="Pending",Strike_Log!B208,"")</f>
        <v/>
      </c>
      <c r="B208" s="39" t="str">
        <f>IF($A208="","",IFERROR(VLOOKUP($A208,Grinders!$A:$B,2,FALSE),""))</f>
        <v/>
      </c>
      <c r="C208" s="39" t="str">
        <f>IF($A208="","",Strike_Log!A208)</f>
        <v/>
      </c>
      <c r="D208" s="39" t="str">
        <f>IF($A208="","",Strike_Log!E208)</f>
        <v/>
      </c>
      <c r="E208" s="39" t="str">
        <f>IF($A208="","",Strike_Log!F208)</f>
        <v/>
      </c>
      <c r="F208" s="39" t="str">
        <f>IF($A208="","",Strike_Log!H208)</f>
        <v/>
      </c>
      <c r="G208" s="39" t="str">
        <f t="shared" si="1"/>
        <v/>
      </c>
      <c r="H208" s="39" t="str">
        <f t="shared" si="2"/>
        <v/>
      </c>
      <c r="I208" s="39" t="str">
        <f>IF(Strike_Log!H208="Pending",Strike_Log!J208,"")</f>
        <v/>
      </c>
      <c r="J208" s="39"/>
      <c r="M208" s="39" t="str">
        <f t="shared" si="3"/>
        <v/>
      </c>
    </row>
    <row r="209" ht="15.75" customHeight="1">
      <c r="A209" s="39" t="str">
        <f>IF(Strike_Log!H209="Pending",Strike_Log!B209,"")</f>
        <v/>
      </c>
      <c r="B209" s="39" t="str">
        <f>IF($A209="","",IFERROR(VLOOKUP($A209,Grinders!$A:$B,2,FALSE),""))</f>
        <v/>
      </c>
      <c r="C209" s="39" t="str">
        <f>IF($A209="","",Strike_Log!A209)</f>
        <v/>
      </c>
      <c r="D209" s="39" t="str">
        <f>IF($A209="","",Strike_Log!E209)</f>
        <v/>
      </c>
      <c r="E209" s="39" t="str">
        <f>IF($A209="","",Strike_Log!F209)</f>
        <v/>
      </c>
      <c r="F209" s="39" t="str">
        <f>IF($A209="","",Strike_Log!H209)</f>
        <v/>
      </c>
      <c r="G209" s="39" t="str">
        <f t="shared" si="1"/>
        <v/>
      </c>
      <c r="H209" s="39" t="str">
        <f t="shared" si="2"/>
        <v/>
      </c>
      <c r="I209" s="39" t="str">
        <f>IF(Strike_Log!H209="Pending",Strike_Log!J209,"")</f>
        <v/>
      </c>
      <c r="J209" s="39"/>
      <c r="M209" s="39" t="str">
        <f t="shared" si="3"/>
        <v/>
      </c>
    </row>
    <row r="210" ht="15.75" customHeight="1">
      <c r="A210" s="39" t="str">
        <f>IF(Strike_Log!H210="Pending",Strike_Log!B210,"")</f>
        <v/>
      </c>
      <c r="B210" s="39" t="str">
        <f>IF($A210="","",IFERROR(VLOOKUP($A210,Grinders!$A:$B,2,FALSE),""))</f>
        <v/>
      </c>
      <c r="C210" s="39" t="str">
        <f>IF($A210="","",Strike_Log!A210)</f>
        <v/>
      </c>
      <c r="D210" s="39" t="str">
        <f>IF($A210="","",Strike_Log!E210)</f>
        <v/>
      </c>
      <c r="E210" s="39" t="str">
        <f>IF($A210="","",Strike_Log!F210)</f>
        <v/>
      </c>
      <c r="F210" s="39" t="str">
        <f>IF($A210="","",Strike_Log!H210)</f>
        <v/>
      </c>
      <c r="G210" s="39" t="str">
        <f t="shared" si="1"/>
        <v/>
      </c>
      <c r="H210" s="39" t="str">
        <f t="shared" si="2"/>
        <v/>
      </c>
      <c r="I210" s="39" t="str">
        <f>IF(Strike_Log!H210="Pending",Strike_Log!J210,"")</f>
        <v/>
      </c>
      <c r="J210" s="39"/>
      <c r="M210" s="39" t="str">
        <f t="shared" si="3"/>
        <v/>
      </c>
    </row>
    <row r="211" ht="15.75" customHeight="1">
      <c r="A211" s="39" t="str">
        <f>IF(Strike_Log!H211="Pending",Strike_Log!B211,"")</f>
        <v/>
      </c>
      <c r="B211" s="39" t="str">
        <f>IF($A211="","",IFERROR(VLOOKUP($A211,Grinders!$A:$B,2,FALSE),""))</f>
        <v/>
      </c>
      <c r="C211" s="39" t="str">
        <f>IF($A211="","",Strike_Log!A211)</f>
        <v/>
      </c>
      <c r="D211" s="39" t="str">
        <f>IF($A211="","",Strike_Log!E211)</f>
        <v/>
      </c>
      <c r="E211" s="39" t="str">
        <f>IF($A211="","",Strike_Log!F211)</f>
        <v/>
      </c>
      <c r="F211" s="39" t="str">
        <f>IF($A211="","",Strike_Log!H211)</f>
        <v/>
      </c>
      <c r="G211" s="39" t="str">
        <f t="shared" si="1"/>
        <v/>
      </c>
      <c r="H211" s="39" t="str">
        <f t="shared" si="2"/>
        <v/>
      </c>
      <c r="I211" s="39" t="str">
        <f>IF(Strike_Log!H211="Pending",Strike_Log!J211,"")</f>
        <v/>
      </c>
      <c r="J211" s="39"/>
      <c r="M211" s="39" t="str">
        <f t="shared" si="3"/>
        <v/>
      </c>
    </row>
    <row r="212" ht="15.75" customHeight="1">
      <c r="A212" s="39" t="str">
        <f>IF(Strike_Log!H212="Pending",Strike_Log!B212,"")</f>
        <v/>
      </c>
      <c r="B212" s="39" t="str">
        <f>IF($A212="","",IFERROR(VLOOKUP($A212,Grinders!$A:$B,2,FALSE),""))</f>
        <v/>
      </c>
      <c r="C212" s="39" t="str">
        <f>IF($A212="","",Strike_Log!A212)</f>
        <v/>
      </c>
      <c r="D212" s="39" t="str">
        <f>IF($A212="","",Strike_Log!E212)</f>
        <v/>
      </c>
      <c r="E212" s="39" t="str">
        <f>IF($A212="","",Strike_Log!F212)</f>
        <v/>
      </c>
      <c r="F212" s="39" t="str">
        <f>IF($A212="","",Strike_Log!H212)</f>
        <v/>
      </c>
      <c r="G212" s="39" t="str">
        <f t="shared" si="1"/>
        <v/>
      </c>
      <c r="H212" s="39" t="str">
        <f t="shared" si="2"/>
        <v/>
      </c>
      <c r="I212" s="39" t="str">
        <f>IF(Strike_Log!H212="Pending",Strike_Log!J212,"")</f>
        <v/>
      </c>
      <c r="J212" s="39"/>
      <c r="M212" s="39" t="str">
        <f t="shared" si="3"/>
        <v/>
      </c>
    </row>
    <row r="213" ht="15.75" customHeight="1">
      <c r="A213" s="39" t="str">
        <f>IF(Strike_Log!H213="Pending",Strike_Log!B213,"")</f>
        <v/>
      </c>
      <c r="B213" s="39" t="str">
        <f>IF($A213="","",IFERROR(VLOOKUP($A213,Grinders!$A:$B,2,FALSE),""))</f>
        <v/>
      </c>
      <c r="C213" s="39" t="str">
        <f>IF($A213="","",Strike_Log!A213)</f>
        <v/>
      </c>
      <c r="D213" s="39" t="str">
        <f>IF($A213="","",Strike_Log!E213)</f>
        <v/>
      </c>
      <c r="E213" s="39" t="str">
        <f>IF($A213="","",Strike_Log!F213)</f>
        <v/>
      </c>
      <c r="F213" s="39" t="str">
        <f>IF($A213="","",Strike_Log!H213)</f>
        <v/>
      </c>
      <c r="G213" s="39" t="str">
        <f t="shared" si="1"/>
        <v/>
      </c>
      <c r="H213" s="39" t="str">
        <f t="shared" si="2"/>
        <v/>
      </c>
      <c r="I213" s="39" t="str">
        <f>IF(Strike_Log!H213="Pending",Strike_Log!J213,"")</f>
        <v/>
      </c>
      <c r="J213" s="39"/>
      <c r="M213" s="39" t="str">
        <f t="shared" si="3"/>
        <v/>
      </c>
    </row>
    <row r="214" ht="15.75" customHeight="1">
      <c r="A214" s="39" t="str">
        <f>IF(Strike_Log!H214="Pending",Strike_Log!B214,"")</f>
        <v/>
      </c>
      <c r="B214" s="39" t="str">
        <f>IF($A214="","",IFERROR(VLOOKUP($A214,Grinders!$A:$B,2,FALSE),""))</f>
        <v/>
      </c>
      <c r="C214" s="39" t="str">
        <f>IF($A214="","",Strike_Log!A214)</f>
        <v/>
      </c>
      <c r="D214" s="39" t="str">
        <f>IF($A214="","",Strike_Log!E214)</f>
        <v/>
      </c>
      <c r="E214" s="39" t="str">
        <f>IF($A214="","",Strike_Log!F214)</f>
        <v/>
      </c>
      <c r="F214" s="39" t="str">
        <f>IF($A214="","",Strike_Log!H214)</f>
        <v/>
      </c>
      <c r="G214" s="39" t="str">
        <f t="shared" si="1"/>
        <v/>
      </c>
      <c r="H214" s="39" t="str">
        <f t="shared" si="2"/>
        <v/>
      </c>
      <c r="I214" s="39" t="str">
        <f>IF(Strike_Log!H214="Pending",Strike_Log!J214,"")</f>
        <v/>
      </c>
      <c r="J214" s="39"/>
      <c r="M214" s="39" t="str">
        <f t="shared" si="3"/>
        <v/>
      </c>
    </row>
    <row r="215" ht="15.75" customHeight="1">
      <c r="A215" s="39" t="str">
        <f>IF(Strike_Log!H215="Pending",Strike_Log!B215,"")</f>
        <v/>
      </c>
      <c r="B215" s="39" t="str">
        <f>IF($A215="","",IFERROR(VLOOKUP($A215,Grinders!$A:$B,2,FALSE),""))</f>
        <v/>
      </c>
      <c r="C215" s="39" t="str">
        <f>IF($A215="","",Strike_Log!A215)</f>
        <v/>
      </c>
      <c r="D215" s="39" t="str">
        <f>IF($A215="","",Strike_Log!E215)</f>
        <v/>
      </c>
      <c r="E215" s="39" t="str">
        <f>IF($A215="","",Strike_Log!F215)</f>
        <v/>
      </c>
      <c r="F215" s="39" t="str">
        <f>IF($A215="","",Strike_Log!H215)</f>
        <v/>
      </c>
      <c r="G215" s="39" t="str">
        <f t="shared" si="1"/>
        <v/>
      </c>
      <c r="H215" s="39" t="str">
        <f t="shared" si="2"/>
        <v/>
      </c>
      <c r="I215" s="39" t="str">
        <f>IF(Strike_Log!H215="Pending",Strike_Log!J215,"")</f>
        <v/>
      </c>
      <c r="J215" s="39"/>
      <c r="M215" s="39" t="str">
        <f t="shared" si="3"/>
        <v/>
      </c>
    </row>
    <row r="216" ht="15.75" customHeight="1">
      <c r="A216" s="39" t="str">
        <f>IF(Strike_Log!H216="Pending",Strike_Log!B216,"")</f>
        <v/>
      </c>
      <c r="B216" s="39" t="str">
        <f>IF($A216="","",IFERROR(VLOOKUP($A216,Grinders!$A:$B,2,FALSE),""))</f>
        <v/>
      </c>
      <c r="C216" s="39" t="str">
        <f>IF($A216="","",Strike_Log!A216)</f>
        <v/>
      </c>
      <c r="D216" s="39" t="str">
        <f>IF($A216="","",Strike_Log!E216)</f>
        <v/>
      </c>
      <c r="E216" s="39" t="str">
        <f>IF($A216="","",Strike_Log!F216)</f>
        <v/>
      </c>
      <c r="F216" s="39" t="str">
        <f>IF($A216="","",Strike_Log!H216)</f>
        <v/>
      </c>
      <c r="G216" s="39" t="str">
        <f t="shared" si="1"/>
        <v/>
      </c>
      <c r="H216" s="39" t="str">
        <f t="shared" si="2"/>
        <v/>
      </c>
      <c r="I216" s="39" t="str">
        <f>IF(Strike_Log!H216="Pending",Strike_Log!J216,"")</f>
        <v/>
      </c>
      <c r="J216" s="39"/>
      <c r="M216" s="39" t="str">
        <f t="shared" si="3"/>
        <v/>
      </c>
    </row>
    <row r="217" ht="15.75" customHeight="1">
      <c r="A217" s="39" t="str">
        <f>IF(Strike_Log!H217="Pending",Strike_Log!B217,"")</f>
        <v/>
      </c>
      <c r="B217" s="39" t="str">
        <f>IF($A217="","",IFERROR(VLOOKUP($A217,Grinders!$A:$B,2,FALSE),""))</f>
        <v/>
      </c>
      <c r="C217" s="39" t="str">
        <f>IF($A217="","",Strike_Log!A217)</f>
        <v/>
      </c>
      <c r="D217" s="39" t="str">
        <f>IF($A217="","",Strike_Log!E217)</f>
        <v/>
      </c>
      <c r="E217" s="39" t="str">
        <f>IF($A217="","",Strike_Log!F217)</f>
        <v/>
      </c>
      <c r="F217" s="39" t="str">
        <f>IF($A217="","",Strike_Log!H217)</f>
        <v/>
      </c>
      <c r="G217" s="39" t="str">
        <f t="shared" si="1"/>
        <v/>
      </c>
      <c r="H217" s="39" t="str">
        <f t="shared" si="2"/>
        <v/>
      </c>
      <c r="I217" s="39" t="str">
        <f>IF(Strike_Log!H217="Pending",Strike_Log!J217,"")</f>
        <v/>
      </c>
      <c r="J217" s="39"/>
      <c r="M217" s="39" t="str">
        <f t="shared" si="3"/>
        <v/>
      </c>
    </row>
    <row r="218" ht="15.75" customHeight="1">
      <c r="A218" s="39" t="str">
        <f>IF(Strike_Log!H218="Pending",Strike_Log!B218,"")</f>
        <v/>
      </c>
      <c r="B218" s="39" t="str">
        <f>IF($A218="","",IFERROR(VLOOKUP($A218,Grinders!$A:$B,2,FALSE),""))</f>
        <v/>
      </c>
      <c r="C218" s="39" t="str">
        <f>IF($A218="","",Strike_Log!A218)</f>
        <v/>
      </c>
      <c r="D218" s="39" t="str">
        <f>IF($A218="","",Strike_Log!E218)</f>
        <v/>
      </c>
      <c r="E218" s="39" t="str">
        <f>IF($A218="","",Strike_Log!F218)</f>
        <v/>
      </c>
      <c r="F218" s="39" t="str">
        <f>IF($A218="","",Strike_Log!H218)</f>
        <v/>
      </c>
      <c r="G218" s="39" t="str">
        <f t="shared" si="1"/>
        <v/>
      </c>
      <c r="H218" s="39" t="str">
        <f t="shared" si="2"/>
        <v/>
      </c>
      <c r="I218" s="39" t="str">
        <f>IF(Strike_Log!H218="Pending",Strike_Log!J218,"")</f>
        <v/>
      </c>
      <c r="J218" s="39"/>
      <c r="M218" s="39" t="str">
        <f t="shared" si="3"/>
        <v/>
      </c>
    </row>
    <row r="219" ht="15.75" customHeight="1">
      <c r="A219" s="39" t="str">
        <f>IF(Strike_Log!H219="Pending",Strike_Log!B219,"")</f>
        <v/>
      </c>
      <c r="B219" s="39" t="str">
        <f>IF($A219="","",IFERROR(VLOOKUP($A219,Grinders!$A:$B,2,FALSE),""))</f>
        <v/>
      </c>
      <c r="C219" s="39" t="str">
        <f>IF($A219="","",Strike_Log!A219)</f>
        <v/>
      </c>
      <c r="D219" s="39" t="str">
        <f>IF($A219="","",Strike_Log!E219)</f>
        <v/>
      </c>
      <c r="E219" s="39" t="str">
        <f>IF($A219="","",Strike_Log!F219)</f>
        <v/>
      </c>
      <c r="F219" s="39" t="str">
        <f>IF($A219="","",Strike_Log!H219)</f>
        <v/>
      </c>
      <c r="G219" s="39" t="str">
        <f t="shared" si="1"/>
        <v/>
      </c>
      <c r="H219" s="39" t="str">
        <f t="shared" si="2"/>
        <v/>
      </c>
      <c r="I219" s="39" t="str">
        <f>IF(Strike_Log!H219="Pending",Strike_Log!J219,"")</f>
        <v/>
      </c>
      <c r="J219" s="39"/>
      <c r="M219" s="39" t="str">
        <f t="shared" si="3"/>
        <v/>
      </c>
    </row>
    <row r="220" ht="15.75" customHeight="1">
      <c r="A220" s="39" t="str">
        <f>IF(Strike_Log!H220="Pending",Strike_Log!B220,"")</f>
        <v/>
      </c>
      <c r="B220" s="39" t="str">
        <f>IF($A220="","",IFERROR(VLOOKUP($A220,Grinders!$A:$B,2,FALSE),""))</f>
        <v/>
      </c>
      <c r="C220" s="39" t="str">
        <f>IF($A220="","",Strike_Log!A220)</f>
        <v/>
      </c>
      <c r="D220" s="39" t="str">
        <f>IF($A220="","",Strike_Log!E220)</f>
        <v/>
      </c>
      <c r="E220" s="39" t="str">
        <f>IF($A220="","",Strike_Log!F220)</f>
        <v/>
      </c>
      <c r="F220" s="39" t="str">
        <f>IF($A220="","",Strike_Log!H220)</f>
        <v/>
      </c>
      <c r="G220" s="39" t="str">
        <f t="shared" si="1"/>
        <v/>
      </c>
      <c r="H220" s="39" t="str">
        <f t="shared" si="2"/>
        <v/>
      </c>
      <c r="I220" s="39" t="str">
        <f>IF(Strike_Log!H220="Pending",Strike_Log!J220,"")</f>
        <v/>
      </c>
      <c r="J220" s="39"/>
      <c r="M220" s="39" t="str">
        <f t="shared" si="3"/>
        <v/>
      </c>
    </row>
    <row r="221" ht="15.75" customHeight="1">
      <c r="A221" s="39" t="str">
        <f>IF(Strike_Log!H221="Pending",Strike_Log!B221,"")</f>
        <v/>
      </c>
      <c r="B221" s="39" t="str">
        <f>IF($A221="","",IFERROR(VLOOKUP($A221,Grinders!$A:$B,2,FALSE),""))</f>
        <v/>
      </c>
      <c r="C221" s="39" t="str">
        <f>IF($A221="","",Strike_Log!A221)</f>
        <v/>
      </c>
      <c r="D221" s="39" t="str">
        <f>IF($A221="","",Strike_Log!E221)</f>
        <v/>
      </c>
      <c r="E221" s="39" t="str">
        <f>IF($A221="","",Strike_Log!F221)</f>
        <v/>
      </c>
      <c r="F221" s="39" t="str">
        <f>IF($A221="","",Strike_Log!H221)</f>
        <v/>
      </c>
      <c r="G221" s="39" t="str">
        <f t="shared" si="1"/>
        <v/>
      </c>
      <c r="H221" s="39" t="str">
        <f t="shared" si="2"/>
        <v/>
      </c>
      <c r="I221" s="39" t="str">
        <f>IF(Strike_Log!H221="Pending",Strike_Log!J221,"")</f>
        <v/>
      </c>
      <c r="J221" s="39"/>
      <c r="M221" s="39" t="str">
        <f t="shared" si="3"/>
        <v/>
      </c>
    </row>
    <row r="222" ht="15.75" customHeight="1">
      <c r="A222" s="39" t="str">
        <f>IF(Strike_Log!H222="Pending",Strike_Log!B222,"")</f>
        <v/>
      </c>
      <c r="B222" s="39" t="str">
        <f>IF($A222="","",IFERROR(VLOOKUP($A222,Grinders!$A:$B,2,FALSE),""))</f>
        <v/>
      </c>
      <c r="C222" s="39" t="str">
        <f>IF($A222="","",Strike_Log!A222)</f>
        <v/>
      </c>
      <c r="D222" s="39" t="str">
        <f>IF($A222="","",Strike_Log!E222)</f>
        <v/>
      </c>
      <c r="E222" s="39" t="str">
        <f>IF($A222="","",Strike_Log!F222)</f>
        <v/>
      </c>
      <c r="F222" s="39" t="str">
        <f>IF($A222="","",Strike_Log!H222)</f>
        <v/>
      </c>
      <c r="G222" s="39" t="str">
        <f t="shared" si="1"/>
        <v/>
      </c>
      <c r="H222" s="39" t="str">
        <f t="shared" si="2"/>
        <v/>
      </c>
      <c r="I222" s="39" t="str">
        <f>IF(Strike_Log!H222="Pending",Strike_Log!J222,"")</f>
        <v/>
      </c>
      <c r="J222" s="39"/>
      <c r="M222" s="39" t="str">
        <f t="shared" si="3"/>
        <v/>
      </c>
    </row>
    <row r="223" ht="15.75" customHeight="1">
      <c r="A223" s="39" t="str">
        <f>IF(Strike_Log!H223="Pending",Strike_Log!B223,"")</f>
        <v/>
      </c>
      <c r="B223" s="39" t="str">
        <f>IF($A223="","",IFERROR(VLOOKUP($A223,Grinders!$A:$B,2,FALSE),""))</f>
        <v/>
      </c>
      <c r="C223" s="39" t="str">
        <f>IF($A223="","",Strike_Log!A223)</f>
        <v/>
      </c>
      <c r="D223" s="39" t="str">
        <f>IF($A223="","",Strike_Log!E223)</f>
        <v/>
      </c>
      <c r="E223" s="39" t="str">
        <f>IF($A223="","",Strike_Log!F223)</f>
        <v/>
      </c>
      <c r="F223" s="39" t="str">
        <f>IF($A223="","",Strike_Log!H223)</f>
        <v/>
      </c>
      <c r="G223" s="39" t="str">
        <f t="shared" si="1"/>
        <v/>
      </c>
      <c r="H223" s="39" t="str">
        <f t="shared" si="2"/>
        <v/>
      </c>
      <c r="I223" s="39" t="str">
        <f>IF(Strike_Log!H223="Pending",Strike_Log!J223,"")</f>
        <v/>
      </c>
      <c r="J223" s="39"/>
      <c r="M223" s="39" t="str">
        <f t="shared" si="3"/>
        <v/>
      </c>
    </row>
    <row r="224" ht="15.75" customHeight="1">
      <c r="A224" s="39" t="str">
        <f>IF(Strike_Log!H224="Pending",Strike_Log!B224,"")</f>
        <v/>
      </c>
      <c r="B224" s="39" t="str">
        <f>IF($A224="","",IFERROR(VLOOKUP($A224,Grinders!$A:$B,2,FALSE),""))</f>
        <v/>
      </c>
      <c r="C224" s="39" t="str">
        <f>IF($A224="","",Strike_Log!A224)</f>
        <v/>
      </c>
      <c r="D224" s="39" t="str">
        <f>IF($A224="","",Strike_Log!E224)</f>
        <v/>
      </c>
      <c r="E224" s="39" t="str">
        <f>IF($A224="","",Strike_Log!F224)</f>
        <v/>
      </c>
      <c r="F224" s="39" t="str">
        <f>IF($A224="","",Strike_Log!H224)</f>
        <v/>
      </c>
      <c r="G224" s="39" t="str">
        <f t="shared" si="1"/>
        <v/>
      </c>
      <c r="H224" s="39" t="str">
        <f t="shared" si="2"/>
        <v/>
      </c>
      <c r="I224" s="39" t="str">
        <f>IF(Strike_Log!H224="Pending",Strike_Log!J224,"")</f>
        <v/>
      </c>
      <c r="J224" s="39"/>
      <c r="M224" s="39" t="str">
        <f t="shared" si="3"/>
        <v/>
      </c>
    </row>
    <row r="225" ht="15.75" customHeight="1">
      <c r="A225" s="39" t="str">
        <f>IF(Strike_Log!H225="Pending",Strike_Log!B225,"")</f>
        <v/>
      </c>
      <c r="B225" s="39" t="str">
        <f>IF($A225="","",IFERROR(VLOOKUP($A225,Grinders!$A:$B,2,FALSE),""))</f>
        <v/>
      </c>
      <c r="C225" s="39" t="str">
        <f>IF($A225="","",Strike_Log!A225)</f>
        <v/>
      </c>
      <c r="D225" s="39" t="str">
        <f>IF($A225="","",Strike_Log!E225)</f>
        <v/>
      </c>
      <c r="E225" s="39" t="str">
        <f>IF($A225="","",Strike_Log!F225)</f>
        <v/>
      </c>
      <c r="F225" s="39" t="str">
        <f>IF($A225="","",Strike_Log!H225)</f>
        <v/>
      </c>
      <c r="G225" s="39" t="str">
        <f t="shared" si="1"/>
        <v/>
      </c>
      <c r="H225" s="39" t="str">
        <f t="shared" si="2"/>
        <v/>
      </c>
      <c r="I225" s="39" t="str">
        <f>IF(Strike_Log!H225="Pending",Strike_Log!J225,"")</f>
        <v/>
      </c>
      <c r="J225" s="39"/>
      <c r="M225" s="39" t="str">
        <f t="shared" si="3"/>
        <v/>
      </c>
    </row>
    <row r="226" ht="15.75" customHeight="1">
      <c r="A226" s="39" t="str">
        <f>IF(Strike_Log!H226="Pending",Strike_Log!B226,"")</f>
        <v/>
      </c>
      <c r="B226" s="39" t="str">
        <f>IF($A226="","",IFERROR(VLOOKUP($A226,Grinders!$A:$B,2,FALSE),""))</f>
        <v/>
      </c>
      <c r="C226" s="39" t="str">
        <f>IF($A226="","",Strike_Log!A226)</f>
        <v/>
      </c>
      <c r="D226" s="39" t="str">
        <f>IF($A226="","",Strike_Log!E226)</f>
        <v/>
      </c>
      <c r="E226" s="39" t="str">
        <f>IF($A226="","",Strike_Log!F226)</f>
        <v/>
      </c>
      <c r="F226" s="39" t="str">
        <f>IF($A226="","",Strike_Log!H226)</f>
        <v/>
      </c>
      <c r="G226" s="39" t="str">
        <f t="shared" si="1"/>
        <v/>
      </c>
      <c r="H226" s="39" t="str">
        <f t="shared" si="2"/>
        <v/>
      </c>
      <c r="I226" s="39" t="str">
        <f>IF(Strike_Log!H226="Pending",Strike_Log!J226,"")</f>
        <v/>
      </c>
      <c r="J226" s="39"/>
      <c r="M226" s="39" t="str">
        <f t="shared" si="3"/>
        <v/>
      </c>
    </row>
    <row r="227" ht="15.75" customHeight="1">
      <c r="A227" s="39" t="str">
        <f>IF(Strike_Log!H227="Pending",Strike_Log!B227,"")</f>
        <v/>
      </c>
      <c r="B227" s="39" t="str">
        <f>IF($A227="","",IFERROR(VLOOKUP($A227,Grinders!$A:$B,2,FALSE),""))</f>
        <v/>
      </c>
      <c r="C227" s="39" t="str">
        <f>IF($A227="","",Strike_Log!A227)</f>
        <v/>
      </c>
      <c r="D227" s="39" t="str">
        <f>IF($A227="","",Strike_Log!E227)</f>
        <v/>
      </c>
      <c r="E227" s="39" t="str">
        <f>IF($A227="","",Strike_Log!F227)</f>
        <v/>
      </c>
      <c r="F227" s="39" t="str">
        <f>IF($A227="","",Strike_Log!H227)</f>
        <v/>
      </c>
      <c r="G227" s="39" t="str">
        <f t="shared" si="1"/>
        <v/>
      </c>
      <c r="H227" s="39" t="str">
        <f t="shared" si="2"/>
        <v/>
      </c>
      <c r="I227" s="39" t="str">
        <f>IF(Strike_Log!H227="Pending",Strike_Log!J227,"")</f>
        <v/>
      </c>
      <c r="J227" s="39"/>
      <c r="M227" s="39" t="str">
        <f t="shared" si="3"/>
        <v/>
      </c>
    </row>
    <row r="228" ht="15.75" customHeight="1">
      <c r="A228" s="39" t="str">
        <f>IF(Strike_Log!H228="Pending",Strike_Log!B228,"")</f>
        <v/>
      </c>
      <c r="B228" s="39" t="str">
        <f>IF($A228="","",IFERROR(VLOOKUP($A228,Grinders!$A:$B,2,FALSE),""))</f>
        <v/>
      </c>
      <c r="C228" s="39" t="str">
        <f>IF($A228="","",Strike_Log!A228)</f>
        <v/>
      </c>
      <c r="D228" s="39" t="str">
        <f>IF($A228="","",Strike_Log!E228)</f>
        <v/>
      </c>
      <c r="E228" s="39" t="str">
        <f>IF($A228="","",Strike_Log!F228)</f>
        <v/>
      </c>
      <c r="F228" s="39" t="str">
        <f>IF($A228="","",Strike_Log!H228)</f>
        <v/>
      </c>
      <c r="G228" s="39" t="str">
        <f t="shared" si="1"/>
        <v/>
      </c>
      <c r="H228" s="39" t="str">
        <f t="shared" si="2"/>
        <v/>
      </c>
      <c r="I228" s="39" t="str">
        <f>IF(Strike_Log!H228="Pending",Strike_Log!J228,"")</f>
        <v/>
      </c>
      <c r="J228" s="39"/>
      <c r="M228" s="39" t="str">
        <f t="shared" si="3"/>
        <v/>
      </c>
    </row>
    <row r="229" ht="15.75" customHeight="1">
      <c r="A229" s="39" t="str">
        <f>IF(Strike_Log!H229="Pending",Strike_Log!B229,"")</f>
        <v/>
      </c>
      <c r="B229" s="39" t="str">
        <f>IF($A229="","",IFERROR(VLOOKUP($A229,Grinders!$A:$B,2,FALSE),""))</f>
        <v/>
      </c>
      <c r="C229" s="39" t="str">
        <f>IF($A229="","",Strike_Log!A229)</f>
        <v/>
      </c>
      <c r="D229" s="39" t="str">
        <f>IF($A229="","",Strike_Log!E229)</f>
        <v/>
      </c>
      <c r="E229" s="39" t="str">
        <f>IF($A229="","",Strike_Log!F229)</f>
        <v/>
      </c>
      <c r="F229" s="39" t="str">
        <f>IF($A229="","",Strike_Log!H229)</f>
        <v/>
      </c>
      <c r="G229" s="39" t="str">
        <f t="shared" si="1"/>
        <v/>
      </c>
      <c r="H229" s="39" t="str">
        <f t="shared" si="2"/>
        <v/>
      </c>
      <c r="I229" s="39" t="str">
        <f>IF(Strike_Log!H229="Pending",Strike_Log!J229,"")</f>
        <v/>
      </c>
      <c r="J229" s="39"/>
      <c r="M229" s="39" t="str">
        <f t="shared" si="3"/>
        <v/>
      </c>
    </row>
    <row r="230" ht="15.75" customHeight="1">
      <c r="A230" s="39" t="str">
        <f>IF(Strike_Log!H230="Pending",Strike_Log!B230,"")</f>
        <v/>
      </c>
      <c r="B230" s="39" t="str">
        <f>IF($A230="","",IFERROR(VLOOKUP($A230,Grinders!$A:$B,2,FALSE),""))</f>
        <v/>
      </c>
      <c r="C230" s="39" t="str">
        <f>IF($A230="","",Strike_Log!A230)</f>
        <v/>
      </c>
      <c r="D230" s="39" t="str">
        <f>IF($A230="","",Strike_Log!E230)</f>
        <v/>
      </c>
      <c r="E230" s="39" t="str">
        <f>IF($A230="","",Strike_Log!F230)</f>
        <v/>
      </c>
      <c r="F230" s="39" t="str">
        <f>IF($A230="","",Strike_Log!H230)</f>
        <v/>
      </c>
      <c r="G230" s="39" t="str">
        <f t="shared" si="1"/>
        <v/>
      </c>
      <c r="H230" s="39" t="str">
        <f t="shared" si="2"/>
        <v/>
      </c>
      <c r="I230" s="39" t="str">
        <f>IF(Strike_Log!H230="Pending",Strike_Log!J230,"")</f>
        <v/>
      </c>
      <c r="J230" s="39"/>
      <c r="M230" s="39" t="str">
        <f t="shared" si="3"/>
        <v/>
      </c>
    </row>
    <row r="231" ht="15.75" customHeight="1">
      <c r="A231" s="39" t="str">
        <f>IF(Strike_Log!H231="Pending",Strike_Log!B231,"")</f>
        <v/>
      </c>
      <c r="B231" s="39" t="str">
        <f>IF($A231="","",IFERROR(VLOOKUP($A231,Grinders!$A:$B,2,FALSE),""))</f>
        <v/>
      </c>
      <c r="C231" s="39" t="str">
        <f>IF($A231="","",Strike_Log!A231)</f>
        <v/>
      </c>
      <c r="D231" s="39" t="str">
        <f>IF($A231="","",Strike_Log!E231)</f>
        <v/>
      </c>
      <c r="E231" s="39" t="str">
        <f>IF($A231="","",Strike_Log!F231)</f>
        <v/>
      </c>
      <c r="F231" s="39" t="str">
        <f>IF($A231="","",Strike_Log!H231)</f>
        <v/>
      </c>
      <c r="G231" s="39" t="str">
        <f t="shared" si="1"/>
        <v/>
      </c>
      <c r="H231" s="39" t="str">
        <f t="shared" si="2"/>
        <v/>
      </c>
      <c r="I231" s="39" t="str">
        <f>IF(Strike_Log!H231="Pending",Strike_Log!J231,"")</f>
        <v/>
      </c>
      <c r="J231" s="39"/>
      <c r="M231" s="39" t="str">
        <f t="shared" si="3"/>
        <v/>
      </c>
    </row>
    <row r="232" ht="15.75" customHeight="1">
      <c r="A232" s="39" t="str">
        <f>IF(Strike_Log!H232="Pending",Strike_Log!B232,"")</f>
        <v/>
      </c>
      <c r="B232" s="39" t="str">
        <f>IF($A232="","",IFERROR(VLOOKUP($A232,Grinders!$A:$B,2,FALSE),""))</f>
        <v/>
      </c>
      <c r="C232" s="39" t="str">
        <f>IF($A232="","",Strike_Log!A232)</f>
        <v/>
      </c>
      <c r="D232" s="39" t="str">
        <f>IF($A232="","",Strike_Log!E232)</f>
        <v/>
      </c>
      <c r="E232" s="39" t="str">
        <f>IF($A232="","",Strike_Log!F232)</f>
        <v/>
      </c>
      <c r="F232" s="39" t="str">
        <f>IF($A232="","",Strike_Log!H232)</f>
        <v/>
      </c>
      <c r="G232" s="39" t="str">
        <f t="shared" si="1"/>
        <v/>
      </c>
      <c r="H232" s="39" t="str">
        <f t="shared" si="2"/>
        <v/>
      </c>
      <c r="I232" s="39" t="str">
        <f>IF(Strike_Log!H232="Pending",Strike_Log!J232,"")</f>
        <v/>
      </c>
      <c r="J232" s="39"/>
      <c r="M232" s="39" t="str">
        <f t="shared" si="3"/>
        <v/>
      </c>
    </row>
    <row r="233" ht="15.75" customHeight="1">
      <c r="A233" s="39" t="str">
        <f>IF(Strike_Log!H233="Pending",Strike_Log!B233,"")</f>
        <v/>
      </c>
      <c r="B233" s="39" t="str">
        <f>IF($A233="","",IFERROR(VLOOKUP($A233,Grinders!$A:$B,2,FALSE),""))</f>
        <v/>
      </c>
      <c r="C233" s="39" t="str">
        <f>IF($A233="","",Strike_Log!A233)</f>
        <v/>
      </c>
      <c r="D233" s="39" t="str">
        <f>IF($A233="","",Strike_Log!E233)</f>
        <v/>
      </c>
      <c r="E233" s="39" t="str">
        <f>IF($A233="","",Strike_Log!F233)</f>
        <v/>
      </c>
      <c r="F233" s="39" t="str">
        <f>IF($A233="","",Strike_Log!H233)</f>
        <v/>
      </c>
      <c r="G233" s="39" t="str">
        <f t="shared" si="1"/>
        <v/>
      </c>
      <c r="H233" s="39" t="str">
        <f t="shared" si="2"/>
        <v/>
      </c>
      <c r="I233" s="39" t="str">
        <f>IF(Strike_Log!H233="Pending",Strike_Log!J233,"")</f>
        <v/>
      </c>
      <c r="J233" s="39"/>
      <c r="M233" s="39" t="str">
        <f t="shared" si="3"/>
        <v/>
      </c>
    </row>
    <row r="234" ht="15.75" customHeight="1">
      <c r="A234" s="39" t="str">
        <f>IF(Strike_Log!H234="Pending",Strike_Log!B234,"")</f>
        <v/>
      </c>
      <c r="B234" s="39" t="str">
        <f>IF($A234="","",IFERROR(VLOOKUP($A234,Grinders!$A:$B,2,FALSE),""))</f>
        <v/>
      </c>
      <c r="C234" s="39" t="str">
        <f>IF($A234="","",Strike_Log!A234)</f>
        <v/>
      </c>
      <c r="D234" s="39" t="str">
        <f>IF($A234="","",Strike_Log!E234)</f>
        <v/>
      </c>
      <c r="E234" s="39" t="str">
        <f>IF($A234="","",Strike_Log!F234)</f>
        <v/>
      </c>
      <c r="F234" s="39" t="str">
        <f>IF($A234="","",Strike_Log!H234)</f>
        <v/>
      </c>
      <c r="G234" s="39" t="str">
        <f t="shared" si="1"/>
        <v/>
      </c>
      <c r="H234" s="39" t="str">
        <f t="shared" si="2"/>
        <v/>
      </c>
      <c r="I234" s="39" t="str">
        <f>IF(Strike_Log!H234="Pending",Strike_Log!J234,"")</f>
        <v/>
      </c>
      <c r="J234" s="39"/>
      <c r="M234" s="39" t="str">
        <f t="shared" si="3"/>
        <v/>
      </c>
    </row>
    <row r="235" ht="15.75" customHeight="1">
      <c r="A235" s="39" t="str">
        <f>IF(Strike_Log!H235="Pending",Strike_Log!B235,"")</f>
        <v/>
      </c>
      <c r="B235" s="39" t="str">
        <f>IF($A235="","",IFERROR(VLOOKUP($A235,Grinders!$A:$B,2,FALSE),""))</f>
        <v/>
      </c>
      <c r="C235" s="39" t="str">
        <f>IF($A235="","",Strike_Log!A235)</f>
        <v/>
      </c>
      <c r="D235" s="39" t="str">
        <f>IF($A235="","",Strike_Log!E235)</f>
        <v/>
      </c>
      <c r="E235" s="39" t="str">
        <f>IF($A235="","",Strike_Log!F235)</f>
        <v/>
      </c>
      <c r="F235" s="39" t="str">
        <f>IF($A235="","",Strike_Log!H235)</f>
        <v/>
      </c>
      <c r="G235" s="39" t="str">
        <f t="shared" si="1"/>
        <v/>
      </c>
      <c r="H235" s="39" t="str">
        <f t="shared" si="2"/>
        <v/>
      </c>
      <c r="I235" s="39" t="str">
        <f>IF(Strike_Log!H235="Pending",Strike_Log!J235,"")</f>
        <v/>
      </c>
      <c r="J235" s="39"/>
      <c r="M235" s="39" t="str">
        <f t="shared" si="3"/>
        <v/>
      </c>
    </row>
    <row r="236" ht="15.75" customHeight="1">
      <c r="A236" s="39" t="str">
        <f>IF(Strike_Log!H236="Pending",Strike_Log!B236,"")</f>
        <v/>
      </c>
      <c r="B236" s="39" t="str">
        <f>IF($A236="","",IFERROR(VLOOKUP($A236,Grinders!$A:$B,2,FALSE),""))</f>
        <v/>
      </c>
      <c r="C236" s="39" t="str">
        <f>IF($A236="","",Strike_Log!A236)</f>
        <v/>
      </c>
      <c r="D236" s="39" t="str">
        <f>IF($A236="","",Strike_Log!E236)</f>
        <v/>
      </c>
      <c r="E236" s="39" t="str">
        <f>IF($A236="","",Strike_Log!F236)</f>
        <v/>
      </c>
      <c r="F236" s="39" t="str">
        <f>IF($A236="","",Strike_Log!H236)</f>
        <v/>
      </c>
      <c r="G236" s="39" t="str">
        <f t="shared" si="1"/>
        <v/>
      </c>
      <c r="H236" s="39" t="str">
        <f t="shared" si="2"/>
        <v/>
      </c>
      <c r="I236" s="39" t="str">
        <f>IF(Strike_Log!H236="Pending",Strike_Log!J236,"")</f>
        <v/>
      </c>
      <c r="J236" s="39"/>
      <c r="M236" s="39" t="str">
        <f t="shared" si="3"/>
        <v/>
      </c>
    </row>
    <row r="237" ht="15.75" customHeight="1">
      <c r="A237" s="39" t="str">
        <f>IF(Strike_Log!H237="Pending",Strike_Log!B237,"")</f>
        <v/>
      </c>
      <c r="B237" s="39" t="str">
        <f>IF($A237="","",IFERROR(VLOOKUP($A237,Grinders!$A:$B,2,FALSE),""))</f>
        <v/>
      </c>
      <c r="C237" s="39" t="str">
        <f>IF($A237="","",Strike_Log!A237)</f>
        <v/>
      </c>
      <c r="D237" s="39" t="str">
        <f>IF($A237="","",Strike_Log!E237)</f>
        <v/>
      </c>
      <c r="E237" s="39" t="str">
        <f>IF($A237="","",Strike_Log!F237)</f>
        <v/>
      </c>
      <c r="F237" s="39" t="str">
        <f>IF($A237="","",Strike_Log!H237)</f>
        <v/>
      </c>
      <c r="G237" s="39" t="str">
        <f t="shared" si="1"/>
        <v/>
      </c>
      <c r="H237" s="39" t="str">
        <f t="shared" si="2"/>
        <v/>
      </c>
      <c r="I237" s="39" t="str">
        <f>IF(Strike_Log!H237="Pending",Strike_Log!J237,"")</f>
        <v/>
      </c>
      <c r="J237" s="39"/>
      <c r="M237" s="39" t="str">
        <f t="shared" si="3"/>
        <v/>
      </c>
    </row>
    <row r="238" ht="15.75" customHeight="1">
      <c r="A238" s="39" t="str">
        <f>IF(Strike_Log!H238="Pending",Strike_Log!B238,"")</f>
        <v/>
      </c>
      <c r="B238" s="39" t="str">
        <f>IF($A238="","",IFERROR(VLOOKUP($A238,Grinders!$A:$B,2,FALSE),""))</f>
        <v/>
      </c>
      <c r="C238" s="39" t="str">
        <f>IF($A238="","",Strike_Log!A238)</f>
        <v/>
      </c>
      <c r="D238" s="39" t="str">
        <f>IF($A238="","",Strike_Log!E238)</f>
        <v/>
      </c>
      <c r="E238" s="39" t="str">
        <f>IF($A238="","",Strike_Log!F238)</f>
        <v/>
      </c>
      <c r="F238" s="39" t="str">
        <f>IF($A238="","",Strike_Log!H238)</f>
        <v/>
      </c>
      <c r="G238" s="39" t="str">
        <f t="shared" si="1"/>
        <v/>
      </c>
      <c r="H238" s="39" t="str">
        <f t="shared" si="2"/>
        <v/>
      </c>
      <c r="I238" s="39" t="str">
        <f>IF(Strike_Log!H238="Pending",Strike_Log!J238,"")</f>
        <v/>
      </c>
      <c r="J238" s="39"/>
      <c r="M238" s="39" t="str">
        <f t="shared" si="3"/>
        <v/>
      </c>
    </row>
    <row r="239" ht="15.75" customHeight="1">
      <c r="A239" s="39" t="str">
        <f>IF(Strike_Log!H239="Pending",Strike_Log!B239,"")</f>
        <v/>
      </c>
      <c r="B239" s="39" t="str">
        <f>IF($A239="","",IFERROR(VLOOKUP($A239,Grinders!$A:$B,2,FALSE),""))</f>
        <v/>
      </c>
      <c r="C239" s="39" t="str">
        <f>IF($A239="","",Strike_Log!A239)</f>
        <v/>
      </c>
      <c r="D239" s="39" t="str">
        <f>IF($A239="","",Strike_Log!E239)</f>
        <v/>
      </c>
      <c r="E239" s="39" t="str">
        <f>IF($A239="","",Strike_Log!F239)</f>
        <v/>
      </c>
      <c r="F239" s="39" t="str">
        <f>IF($A239="","",Strike_Log!H239)</f>
        <v/>
      </c>
      <c r="G239" s="39" t="str">
        <f t="shared" si="1"/>
        <v/>
      </c>
      <c r="H239" s="39" t="str">
        <f t="shared" si="2"/>
        <v/>
      </c>
      <c r="I239" s="39" t="str">
        <f>IF(Strike_Log!H239="Pending",Strike_Log!J239,"")</f>
        <v/>
      </c>
      <c r="J239" s="39"/>
      <c r="M239" s="39" t="str">
        <f t="shared" si="3"/>
        <v/>
      </c>
    </row>
    <row r="240" ht="15.75" customHeight="1">
      <c r="A240" s="39" t="str">
        <f>IF(Strike_Log!H240="Pending",Strike_Log!B240,"")</f>
        <v/>
      </c>
      <c r="B240" s="39" t="str">
        <f>IF($A240="","",IFERROR(VLOOKUP($A240,Grinders!$A:$B,2,FALSE),""))</f>
        <v/>
      </c>
      <c r="C240" s="39" t="str">
        <f>IF($A240="","",Strike_Log!A240)</f>
        <v/>
      </c>
      <c r="D240" s="39" t="str">
        <f>IF($A240="","",Strike_Log!E240)</f>
        <v/>
      </c>
      <c r="E240" s="39" t="str">
        <f>IF($A240="","",Strike_Log!F240)</f>
        <v/>
      </c>
      <c r="F240" s="39" t="str">
        <f>IF($A240="","",Strike_Log!H240)</f>
        <v/>
      </c>
      <c r="G240" s="39" t="str">
        <f t="shared" si="1"/>
        <v/>
      </c>
      <c r="H240" s="39" t="str">
        <f t="shared" si="2"/>
        <v/>
      </c>
      <c r="I240" s="39" t="str">
        <f>IF(Strike_Log!H240="Pending",Strike_Log!J240,"")</f>
        <v/>
      </c>
      <c r="J240" s="39"/>
      <c r="M240" s="39" t="str">
        <f t="shared" si="3"/>
        <v/>
      </c>
    </row>
    <row r="241" ht="15.75" customHeight="1">
      <c r="A241" s="39" t="str">
        <f>IF(Strike_Log!H241="Pending",Strike_Log!B241,"")</f>
        <v/>
      </c>
      <c r="B241" s="39" t="str">
        <f>IF($A241="","",IFERROR(VLOOKUP($A241,Grinders!$A:$B,2,FALSE),""))</f>
        <v/>
      </c>
      <c r="C241" s="39" t="str">
        <f>IF($A241="","",Strike_Log!A241)</f>
        <v/>
      </c>
      <c r="D241" s="39" t="str">
        <f>IF($A241="","",Strike_Log!E241)</f>
        <v/>
      </c>
      <c r="E241" s="39" t="str">
        <f>IF($A241="","",Strike_Log!F241)</f>
        <v/>
      </c>
      <c r="F241" s="39" t="str">
        <f>IF($A241="","",Strike_Log!H241)</f>
        <v/>
      </c>
      <c r="G241" s="39" t="str">
        <f t="shared" si="1"/>
        <v/>
      </c>
      <c r="H241" s="39" t="str">
        <f t="shared" si="2"/>
        <v/>
      </c>
      <c r="I241" s="39" t="str">
        <f>IF(Strike_Log!H241="Pending",Strike_Log!J241,"")</f>
        <v/>
      </c>
      <c r="J241" s="39"/>
      <c r="M241" s="39" t="str">
        <f t="shared" si="3"/>
        <v/>
      </c>
    </row>
    <row r="242" ht="15.75" customHeight="1">
      <c r="A242" s="39" t="str">
        <f>IF(Strike_Log!H242="Pending",Strike_Log!B242,"")</f>
        <v/>
      </c>
      <c r="B242" s="39" t="str">
        <f>IF($A242="","",IFERROR(VLOOKUP($A242,Grinders!$A:$B,2,FALSE),""))</f>
        <v/>
      </c>
      <c r="C242" s="39" t="str">
        <f>IF($A242="","",Strike_Log!A242)</f>
        <v/>
      </c>
      <c r="D242" s="39" t="str">
        <f>IF($A242="","",Strike_Log!E242)</f>
        <v/>
      </c>
      <c r="E242" s="39" t="str">
        <f>IF($A242="","",Strike_Log!F242)</f>
        <v/>
      </c>
      <c r="F242" s="39" t="str">
        <f>IF($A242="","",Strike_Log!H242)</f>
        <v/>
      </c>
      <c r="G242" s="39" t="str">
        <f t="shared" si="1"/>
        <v/>
      </c>
      <c r="H242" s="39" t="str">
        <f t="shared" si="2"/>
        <v/>
      </c>
      <c r="I242" s="39" t="str">
        <f>IF(Strike_Log!H242="Pending",Strike_Log!J242,"")</f>
        <v/>
      </c>
      <c r="J242" s="39"/>
      <c r="M242" s="39" t="str">
        <f t="shared" si="3"/>
        <v/>
      </c>
    </row>
    <row r="243" ht="15.75" customHeight="1">
      <c r="A243" s="39" t="str">
        <f>IF(Strike_Log!H243="Pending",Strike_Log!B243,"")</f>
        <v/>
      </c>
      <c r="B243" s="39" t="str">
        <f>IF($A243="","",IFERROR(VLOOKUP($A243,Grinders!$A:$B,2,FALSE),""))</f>
        <v/>
      </c>
      <c r="C243" s="39" t="str">
        <f>IF($A243="","",Strike_Log!A243)</f>
        <v/>
      </c>
      <c r="D243" s="39" t="str">
        <f>IF($A243="","",Strike_Log!E243)</f>
        <v/>
      </c>
      <c r="E243" s="39" t="str">
        <f>IF($A243="","",Strike_Log!F243)</f>
        <v/>
      </c>
      <c r="F243" s="39" t="str">
        <f>IF($A243="","",Strike_Log!H243)</f>
        <v/>
      </c>
      <c r="G243" s="39" t="str">
        <f t="shared" si="1"/>
        <v/>
      </c>
      <c r="H243" s="39" t="str">
        <f t="shared" si="2"/>
        <v/>
      </c>
      <c r="I243" s="39" t="str">
        <f>IF(Strike_Log!H243="Pending",Strike_Log!J243,"")</f>
        <v/>
      </c>
      <c r="J243" s="39"/>
      <c r="M243" s="39" t="str">
        <f t="shared" si="3"/>
        <v/>
      </c>
    </row>
    <row r="244" ht="15.75" customHeight="1">
      <c r="A244" s="39" t="str">
        <f>IF(Strike_Log!H244="Pending",Strike_Log!B244,"")</f>
        <v/>
      </c>
      <c r="B244" s="39" t="str">
        <f>IF($A244="","",IFERROR(VLOOKUP($A244,Grinders!$A:$B,2,FALSE),""))</f>
        <v/>
      </c>
      <c r="C244" s="39" t="str">
        <f>IF($A244="","",Strike_Log!A244)</f>
        <v/>
      </c>
      <c r="D244" s="39" t="str">
        <f>IF($A244="","",Strike_Log!E244)</f>
        <v/>
      </c>
      <c r="E244" s="39" t="str">
        <f>IF($A244="","",Strike_Log!F244)</f>
        <v/>
      </c>
      <c r="F244" s="39" t="str">
        <f>IF($A244="","",Strike_Log!H244)</f>
        <v/>
      </c>
      <c r="G244" s="39" t="str">
        <f t="shared" si="1"/>
        <v/>
      </c>
      <c r="H244" s="39" t="str">
        <f t="shared" si="2"/>
        <v/>
      </c>
      <c r="I244" s="39" t="str">
        <f>IF(Strike_Log!H244="Pending",Strike_Log!J244,"")</f>
        <v/>
      </c>
      <c r="J244" s="39"/>
      <c r="M244" s="39" t="str">
        <f t="shared" si="3"/>
        <v/>
      </c>
    </row>
    <row r="245" ht="15.75" customHeight="1">
      <c r="A245" s="39" t="str">
        <f>IF(Strike_Log!H245="Pending",Strike_Log!B245,"")</f>
        <v/>
      </c>
      <c r="B245" s="39" t="str">
        <f>IF($A245="","",IFERROR(VLOOKUP($A245,Grinders!$A:$B,2,FALSE),""))</f>
        <v/>
      </c>
      <c r="C245" s="39" t="str">
        <f>IF($A245="","",Strike_Log!A245)</f>
        <v/>
      </c>
      <c r="D245" s="39" t="str">
        <f>IF($A245="","",Strike_Log!E245)</f>
        <v/>
      </c>
      <c r="E245" s="39" t="str">
        <f>IF($A245="","",Strike_Log!F245)</f>
        <v/>
      </c>
      <c r="F245" s="39" t="str">
        <f>IF($A245="","",Strike_Log!H245)</f>
        <v/>
      </c>
      <c r="G245" s="39" t="str">
        <f t="shared" si="1"/>
        <v/>
      </c>
      <c r="H245" s="39" t="str">
        <f t="shared" si="2"/>
        <v/>
      </c>
      <c r="I245" s="39" t="str">
        <f>IF(Strike_Log!H245="Pending",Strike_Log!J245,"")</f>
        <v/>
      </c>
      <c r="J245" s="39"/>
      <c r="M245" s="39" t="str">
        <f t="shared" si="3"/>
        <v/>
      </c>
    </row>
    <row r="246" ht="15.75" customHeight="1">
      <c r="A246" s="39" t="str">
        <f>IF(Strike_Log!H246="Pending",Strike_Log!B246,"")</f>
        <v/>
      </c>
      <c r="B246" s="39" t="str">
        <f>IF($A246="","",IFERROR(VLOOKUP($A246,Grinders!$A:$B,2,FALSE),""))</f>
        <v/>
      </c>
      <c r="C246" s="39" t="str">
        <f>IF($A246="","",Strike_Log!A246)</f>
        <v/>
      </c>
      <c r="D246" s="39" t="str">
        <f>IF($A246="","",Strike_Log!E246)</f>
        <v/>
      </c>
      <c r="E246" s="39" t="str">
        <f>IF($A246="","",Strike_Log!F246)</f>
        <v/>
      </c>
      <c r="F246" s="39" t="str">
        <f>IF($A246="","",Strike_Log!H246)</f>
        <v/>
      </c>
      <c r="G246" s="39" t="str">
        <f t="shared" si="1"/>
        <v/>
      </c>
      <c r="H246" s="39" t="str">
        <f t="shared" si="2"/>
        <v/>
      </c>
      <c r="I246" s="39" t="str">
        <f>IF(Strike_Log!H246="Pending",Strike_Log!J246,"")</f>
        <v/>
      </c>
      <c r="J246" s="39"/>
      <c r="M246" s="39" t="str">
        <f t="shared" si="3"/>
        <v/>
      </c>
    </row>
    <row r="247" ht="15.75" customHeight="1">
      <c r="A247" s="39" t="str">
        <f>IF(Strike_Log!H247="Pending",Strike_Log!B247,"")</f>
        <v/>
      </c>
      <c r="B247" s="39" t="str">
        <f>IF($A247="","",IFERROR(VLOOKUP($A247,Grinders!$A:$B,2,FALSE),""))</f>
        <v/>
      </c>
      <c r="C247" s="39" t="str">
        <f>IF($A247="","",Strike_Log!A247)</f>
        <v/>
      </c>
      <c r="D247" s="39" t="str">
        <f>IF($A247="","",Strike_Log!E247)</f>
        <v/>
      </c>
      <c r="E247" s="39" t="str">
        <f>IF($A247="","",Strike_Log!F247)</f>
        <v/>
      </c>
      <c r="F247" s="39" t="str">
        <f>IF($A247="","",Strike_Log!H247)</f>
        <v/>
      </c>
      <c r="G247" s="39" t="str">
        <f t="shared" si="1"/>
        <v/>
      </c>
      <c r="H247" s="39" t="str">
        <f t="shared" si="2"/>
        <v/>
      </c>
      <c r="I247" s="39" t="str">
        <f>IF(Strike_Log!H247="Pending",Strike_Log!J247,"")</f>
        <v/>
      </c>
      <c r="J247" s="39"/>
      <c r="M247" s="39" t="str">
        <f t="shared" si="3"/>
        <v/>
      </c>
    </row>
    <row r="248" ht="15.75" customHeight="1">
      <c r="A248" s="39" t="str">
        <f>IF(Strike_Log!H248="Pending",Strike_Log!B248,"")</f>
        <v/>
      </c>
      <c r="B248" s="39" t="str">
        <f>IF($A248="","",IFERROR(VLOOKUP($A248,Grinders!$A:$B,2,FALSE),""))</f>
        <v/>
      </c>
      <c r="C248" s="39" t="str">
        <f>IF($A248="","",Strike_Log!A248)</f>
        <v/>
      </c>
      <c r="D248" s="39" t="str">
        <f>IF($A248="","",Strike_Log!E248)</f>
        <v/>
      </c>
      <c r="E248" s="39" t="str">
        <f>IF($A248="","",Strike_Log!F248)</f>
        <v/>
      </c>
      <c r="F248" s="39" t="str">
        <f>IF($A248="","",Strike_Log!H248)</f>
        <v/>
      </c>
      <c r="G248" s="39" t="str">
        <f t="shared" si="1"/>
        <v/>
      </c>
      <c r="H248" s="39" t="str">
        <f t="shared" si="2"/>
        <v/>
      </c>
      <c r="I248" s="39" t="str">
        <f>IF(Strike_Log!H248="Pending",Strike_Log!J248,"")</f>
        <v/>
      </c>
      <c r="J248" s="39"/>
      <c r="M248" s="39" t="str">
        <f t="shared" si="3"/>
        <v/>
      </c>
    </row>
    <row r="249" ht="15.75" customHeight="1">
      <c r="A249" s="39" t="str">
        <f>IF(Strike_Log!H249="Pending",Strike_Log!B249,"")</f>
        <v/>
      </c>
      <c r="B249" s="39" t="str">
        <f>IF($A249="","",IFERROR(VLOOKUP($A249,Grinders!$A:$B,2,FALSE),""))</f>
        <v/>
      </c>
      <c r="C249" s="39" t="str">
        <f>IF($A249="","",Strike_Log!A249)</f>
        <v/>
      </c>
      <c r="D249" s="39" t="str">
        <f>IF($A249="","",Strike_Log!E249)</f>
        <v/>
      </c>
      <c r="E249" s="39" t="str">
        <f>IF($A249="","",Strike_Log!F249)</f>
        <v/>
      </c>
      <c r="F249" s="39" t="str">
        <f>IF($A249="","",Strike_Log!H249)</f>
        <v/>
      </c>
      <c r="G249" s="39" t="str">
        <f t="shared" si="1"/>
        <v/>
      </c>
      <c r="H249" s="39" t="str">
        <f t="shared" si="2"/>
        <v/>
      </c>
      <c r="I249" s="39" t="str">
        <f>IF(Strike_Log!H249="Pending",Strike_Log!J249,"")</f>
        <v/>
      </c>
      <c r="J249" s="39"/>
      <c r="M249" s="39" t="str">
        <f t="shared" si="3"/>
        <v/>
      </c>
    </row>
    <row r="250" ht="15.75" customHeight="1">
      <c r="A250" s="39" t="str">
        <f>IF(Strike_Log!H250="Pending",Strike_Log!B250,"")</f>
        <v/>
      </c>
      <c r="B250" s="39" t="str">
        <f>IF($A250="","",IFERROR(VLOOKUP($A250,Grinders!$A:$B,2,FALSE),""))</f>
        <v/>
      </c>
      <c r="C250" s="39" t="str">
        <f>IF($A250="","",Strike_Log!A250)</f>
        <v/>
      </c>
      <c r="D250" s="39" t="str">
        <f>IF($A250="","",Strike_Log!E250)</f>
        <v/>
      </c>
      <c r="E250" s="39" t="str">
        <f>IF($A250="","",Strike_Log!F250)</f>
        <v/>
      </c>
      <c r="F250" s="39" t="str">
        <f>IF($A250="","",Strike_Log!H250)</f>
        <v/>
      </c>
      <c r="G250" s="39" t="str">
        <f t="shared" si="1"/>
        <v/>
      </c>
      <c r="H250" s="39" t="str">
        <f t="shared" si="2"/>
        <v/>
      </c>
      <c r="I250" s="39" t="str">
        <f>IF(Strike_Log!H250="Pending",Strike_Log!J250,"")</f>
        <v/>
      </c>
      <c r="J250" s="39"/>
      <c r="M250" s="39" t="str">
        <f t="shared" si="3"/>
        <v/>
      </c>
    </row>
    <row r="251" ht="15.75" customHeight="1">
      <c r="A251" s="39" t="str">
        <f>IF(Strike_Log!H251="Pending",Strike_Log!B251,"")</f>
        <v/>
      </c>
      <c r="B251" s="39" t="str">
        <f>IF($A251="","",IFERROR(VLOOKUP($A251,Grinders!$A:$B,2,FALSE),""))</f>
        <v/>
      </c>
      <c r="C251" s="39" t="str">
        <f>IF($A251="","",Strike_Log!A251)</f>
        <v/>
      </c>
      <c r="D251" s="39" t="str">
        <f>IF($A251="","",Strike_Log!E251)</f>
        <v/>
      </c>
      <c r="E251" s="39" t="str">
        <f>IF($A251="","",Strike_Log!F251)</f>
        <v/>
      </c>
      <c r="F251" s="39" t="str">
        <f>IF($A251="","",Strike_Log!H251)</f>
        <v/>
      </c>
      <c r="G251" s="39" t="str">
        <f t="shared" si="1"/>
        <v/>
      </c>
      <c r="H251" s="39" t="str">
        <f t="shared" si="2"/>
        <v/>
      </c>
      <c r="I251" s="39" t="str">
        <f>IF(Strike_Log!H251="Pending",Strike_Log!J251,"")</f>
        <v/>
      </c>
      <c r="J251" s="39"/>
      <c r="M251" s="39" t="str">
        <f t="shared" si="3"/>
        <v/>
      </c>
    </row>
    <row r="252" ht="15.75" customHeight="1">
      <c r="A252" s="39" t="str">
        <f>IF(Strike_Log!H252="Pending",Strike_Log!B252,"")</f>
        <v/>
      </c>
      <c r="B252" s="39" t="str">
        <f>IF($A252="","",IFERROR(VLOOKUP($A252,Grinders!$A:$B,2,FALSE),""))</f>
        <v/>
      </c>
      <c r="C252" s="39" t="str">
        <f>IF($A252="","",Strike_Log!A252)</f>
        <v/>
      </c>
      <c r="D252" s="39" t="str">
        <f>IF($A252="","",Strike_Log!E252)</f>
        <v/>
      </c>
      <c r="E252" s="39" t="str">
        <f>IF($A252="","",Strike_Log!F252)</f>
        <v/>
      </c>
      <c r="F252" s="39" t="str">
        <f>IF($A252="","",Strike_Log!H252)</f>
        <v/>
      </c>
      <c r="G252" s="39" t="str">
        <f t="shared" si="1"/>
        <v/>
      </c>
      <c r="H252" s="39" t="str">
        <f t="shared" si="2"/>
        <v/>
      </c>
      <c r="I252" s="39" t="str">
        <f>IF(Strike_Log!H252="Pending",Strike_Log!J252,"")</f>
        <v/>
      </c>
      <c r="J252" s="39"/>
      <c r="M252" s="39" t="str">
        <f t="shared" si="3"/>
        <v/>
      </c>
    </row>
    <row r="253" ht="15.75" customHeight="1">
      <c r="A253" s="39" t="str">
        <f>IF(Strike_Log!H253="Pending",Strike_Log!B253,"")</f>
        <v/>
      </c>
      <c r="B253" s="39" t="str">
        <f>IF($A253="","",IFERROR(VLOOKUP($A253,Grinders!$A:$B,2,FALSE),""))</f>
        <v/>
      </c>
      <c r="C253" s="39" t="str">
        <f>IF($A253="","",Strike_Log!A253)</f>
        <v/>
      </c>
      <c r="D253" s="39" t="str">
        <f>IF($A253="","",Strike_Log!E253)</f>
        <v/>
      </c>
      <c r="E253" s="39" t="str">
        <f>IF($A253="","",Strike_Log!F253)</f>
        <v/>
      </c>
      <c r="F253" s="39" t="str">
        <f>IF($A253="","",Strike_Log!H253)</f>
        <v/>
      </c>
      <c r="G253" s="39" t="str">
        <f t="shared" si="1"/>
        <v/>
      </c>
      <c r="H253" s="39" t="str">
        <f t="shared" si="2"/>
        <v/>
      </c>
      <c r="I253" s="39" t="str">
        <f>IF(Strike_Log!H253="Pending",Strike_Log!J253,"")</f>
        <v/>
      </c>
      <c r="J253" s="39"/>
      <c r="M253" s="39" t="str">
        <f t="shared" si="3"/>
        <v/>
      </c>
    </row>
    <row r="254" ht="15.75" customHeight="1">
      <c r="A254" s="39" t="str">
        <f>IF(Strike_Log!H254="Pending",Strike_Log!B254,"")</f>
        <v/>
      </c>
      <c r="B254" s="39" t="str">
        <f>IF($A254="","",IFERROR(VLOOKUP($A254,Grinders!$A:$B,2,FALSE),""))</f>
        <v/>
      </c>
      <c r="C254" s="39" t="str">
        <f>IF($A254="","",Strike_Log!A254)</f>
        <v/>
      </c>
      <c r="D254" s="39" t="str">
        <f>IF($A254="","",Strike_Log!E254)</f>
        <v/>
      </c>
      <c r="E254" s="39" t="str">
        <f>IF($A254="","",Strike_Log!F254)</f>
        <v/>
      </c>
      <c r="F254" s="39" t="str">
        <f>IF($A254="","",Strike_Log!H254)</f>
        <v/>
      </c>
      <c r="G254" s="39" t="str">
        <f t="shared" si="1"/>
        <v/>
      </c>
      <c r="H254" s="39" t="str">
        <f t="shared" si="2"/>
        <v/>
      </c>
      <c r="I254" s="39" t="str">
        <f>IF(Strike_Log!H254="Pending",Strike_Log!J254,"")</f>
        <v/>
      </c>
      <c r="J254" s="39"/>
      <c r="M254" s="39" t="str">
        <f t="shared" si="3"/>
        <v/>
      </c>
    </row>
    <row r="255" ht="15.75" customHeight="1">
      <c r="A255" s="39" t="str">
        <f>IF(Strike_Log!H255="Pending",Strike_Log!B255,"")</f>
        <v/>
      </c>
      <c r="B255" s="39" t="str">
        <f>IF($A255="","",IFERROR(VLOOKUP($A255,Grinders!$A:$B,2,FALSE),""))</f>
        <v/>
      </c>
      <c r="C255" s="39" t="str">
        <f>IF($A255="","",Strike_Log!A255)</f>
        <v/>
      </c>
      <c r="D255" s="39" t="str">
        <f>IF($A255="","",Strike_Log!E255)</f>
        <v/>
      </c>
      <c r="E255" s="39" t="str">
        <f>IF($A255="","",Strike_Log!F255)</f>
        <v/>
      </c>
      <c r="F255" s="39" t="str">
        <f>IF($A255="","",Strike_Log!H255)</f>
        <v/>
      </c>
      <c r="G255" s="39" t="str">
        <f t="shared" si="1"/>
        <v/>
      </c>
      <c r="H255" s="39" t="str">
        <f t="shared" si="2"/>
        <v/>
      </c>
      <c r="I255" s="39" t="str">
        <f>IF(Strike_Log!H255="Pending",Strike_Log!J255,"")</f>
        <v/>
      </c>
      <c r="J255" s="39"/>
      <c r="M255" s="39" t="str">
        <f t="shared" si="3"/>
        <v/>
      </c>
    </row>
    <row r="256" ht="15.75" customHeight="1">
      <c r="A256" s="39" t="str">
        <f>IF(Strike_Log!H256="Pending",Strike_Log!B256,"")</f>
        <v/>
      </c>
      <c r="B256" s="39" t="str">
        <f>IF($A256="","",IFERROR(VLOOKUP($A256,Grinders!$A:$B,2,FALSE),""))</f>
        <v/>
      </c>
      <c r="C256" s="39" t="str">
        <f>IF($A256="","",Strike_Log!A256)</f>
        <v/>
      </c>
      <c r="D256" s="39" t="str">
        <f>IF($A256="","",Strike_Log!E256)</f>
        <v/>
      </c>
      <c r="E256" s="39" t="str">
        <f>IF($A256="","",Strike_Log!F256)</f>
        <v/>
      </c>
      <c r="F256" s="39" t="str">
        <f>IF($A256="","",Strike_Log!H256)</f>
        <v/>
      </c>
      <c r="G256" s="39" t="str">
        <f t="shared" si="1"/>
        <v/>
      </c>
      <c r="H256" s="39" t="str">
        <f t="shared" si="2"/>
        <v/>
      </c>
      <c r="I256" s="39" t="str">
        <f>IF(Strike_Log!H256="Pending",Strike_Log!J256,"")</f>
        <v/>
      </c>
      <c r="J256" s="39"/>
      <c r="M256" s="39" t="str">
        <f t="shared" si="3"/>
        <v/>
      </c>
    </row>
    <row r="257" ht="15.75" customHeight="1">
      <c r="A257" s="39" t="str">
        <f>IF(Strike_Log!H257="Pending",Strike_Log!B257,"")</f>
        <v/>
      </c>
      <c r="B257" s="39" t="str">
        <f>IF($A257="","",IFERROR(VLOOKUP($A257,Grinders!$A:$B,2,FALSE),""))</f>
        <v/>
      </c>
      <c r="C257" s="39" t="str">
        <f>IF($A257="","",Strike_Log!A257)</f>
        <v/>
      </c>
      <c r="D257" s="39" t="str">
        <f>IF($A257="","",Strike_Log!E257)</f>
        <v/>
      </c>
      <c r="E257" s="39" t="str">
        <f>IF($A257="","",Strike_Log!F257)</f>
        <v/>
      </c>
      <c r="F257" s="39" t="str">
        <f>IF($A257="","",Strike_Log!H257)</f>
        <v/>
      </c>
      <c r="G257" s="39" t="str">
        <f t="shared" si="1"/>
        <v/>
      </c>
      <c r="H257" s="39" t="str">
        <f t="shared" si="2"/>
        <v/>
      </c>
      <c r="I257" s="39" t="str">
        <f>IF(Strike_Log!H257="Pending",Strike_Log!J257,"")</f>
        <v/>
      </c>
      <c r="J257" s="39"/>
      <c r="M257" s="39" t="str">
        <f t="shared" si="3"/>
        <v/>
      </c>
    </row>
    <row r="258" ht="15.75" customHeight="1">
      <c r="A258" s="39" t="str">
        <f>IF(Strike_Log!H258="Pending",Strike_Log!B258,"")</f>
        <v/>
      </c>
      <c r="B258" s="39" t="str">
        <f>IF($A258="","",IFERROR(VLOOKUP($A258,Grinders!$A:$B,2,FALSE),""))</f>
        <v/>
      </c>
      <c r="C258" s="39" t="str">
        <f>IF($A258="","",Strike_Log!A258)</f>
        <v/>
      </c>
      <c r="D258" s="39" t="str">
        <f>IF($A258="","",Strike_Log!E258)</f>
        <v/>
      </c>
      <c r="E258" s="39" t="str">
        <f>IF($A258="","",Strike_Log!F258)</f>
        <v/>
      </c>
      <c r="F258" s="39" t="str">
        <f>IF($A258="","",Strike_Log!H258)</f>
        <v/>
      </c>
      <c r="G258" s="39" t="str">
        <f t="shared" si="1"/>
        <v/>
      </c>
      <c r="H258" s="39" t="str">
        <f t="shared" si="2"/>
        <v/>
      </c>
      <c r="I258" s="39" t="str">
        <f>IF(Strike_Log!H258="Pending",Strike_Log!J258,"")</f>
        <v/>
      </c>
      <c r="J258" s="39"/>
      <c r="M258" s="39" t="str">
        <f t="shared" si="3"/>
        <v/>
      </c>
    </row>
    <row r="259" ht="15.75" customHeight="1">
      <c r="A259" s="39" t="str">
        <f>IF(Strike_Log!H259="Pending",Strike_Log!B259,"")</f>
        <v/>
      </c>
      <c r="B259" s="39" t="str">
        <f>IF($A259="","",IFERROR(VLOOKUP($A259,Grinders!$A:$B,2,FALSE),""))</f>
        <v/>
      </c>
      <c r="C259" s="39" t="str">
        <f>IF($A259="","",Strike_Log!A259)</f>
        <v/>
      </c>
      <c r="D259" s="39" t="str">
        <f>IF($A259="","",Strike_Log!E259)</f>
        <v/>
      </c>
      <c r="E259" s="39" t="str">
        <f>IF($A259="","",Strike_Log!F259)</f>
        <v/>
      </c>
      <c r="F259" s="39" t="str">
        <f>IF($A259="","",Strike_Log!H259)</f>
        <v/>
      </c>
      <c r="G259" s="39" t="str">
        <f t="shared" si="1"/>
        <v/>
      </c>
      <c r="H259" s="39" t="str">
        <f t="shared" si="2"/>
        <v/>
      </c>
      <c r="I259" s="39" t="str">
        <f>IF(Strike_Log!H259="Pending",Strike_Log!J259,"")</f>
        <v/>
      </c>
      <c r="J259" s="39"/>
      <c r="M259" s="39" t="str">
        <f t="shared" si="3"/>
        <v/>
      </c>
    </row>
    <row r="260" ht="15.75" customHeight="1">
      <c r="A260" s="39" t="str">
        <f>IF(Strike_Log!H260="Pending",Strike_Log!B260,"")</f>
        <v/>
      </c>
      <c r="B260" s="39" t="str">
        <f>IF($A260="","",IFERROR(VLOOKUP($A260,Grinders!$A:$B,2,FALSE),""))</f>
        <v/>
      </c>
      <c r="C260" s="39" t="str">
        <f>IF($A260="","",Strike_Log!A260)</f>
        <v/>
      </c>
      <c r="D260" s="39" t="str">
        <f>IF($A260="","",Strike_Log!E260)</f>
        <v/>
      </c>
      <c r="E260" s="39" t="str">
        <f>IF($A260="","",Strike_Log!F260)</f>
        <v/>
      </c>
      <c r="F260" s="39" t="str">
        <f>IF($A260="","",Strike_Log!H260)</f>
        <v/>
      </c>
      <c r="G260" s="39" t="str">
        <f t="shared" si="1"/>
        <v/>
      </c>
      <c r="H260" s="39" t="str">
        <f t="shared" si="2"/>
        <v/>
      </c>
      <c r="I260" s="39" t="str">
        <f>IF(Strike_Log!H260="Pending",Strike_Log!J260,"")</f>
        <v/>
      </c>
      <c r="J260" s="39"/>
      <c r="M260" s="39" t="str">
        <f t="shared" si="3"/>
        <v/>
      </c>
    </row>
    <row r="261" ht="15.75" customHeight="1">
      <c r="A261" s="39" t="str">
        <f>IF(Strike_Log!H261="Pending",Strike_Log!B261,"")</f>
        <v/>
      </c>
      <c r="B261" s="39" t="str">
        <f>IF($A261="","",IFERROR(VLOOKUP($A261,Grinders!$A:$B,2,FALSE),""))</f>
        <v/>
      </c>
      <c r="C261" s="39" t="str">
        <f>IF($A261="","",Strike_Log!A261)</f>
        <v/>
      </c>
      <c r="D261" s="39" t="str">
        <f>IF($A261="","",Strike_Log!E261)</f>
        <v/>
      </c>
      <c r="E261" s="39" t="str">
        <f>IF($A261="","",Strike_Log!F261)</f>
        <v/>
      </c>
      <c r="F261" s="39" t="str">
        <f>IF($A261="","",Strike_Log!H261)</f>
        <v/>
      </c>
      <c r="G261" s="39" t="str">
        <f t="shared" si="1"/>
        <v/>
      </c>
      <c r="H261" s="39" t="str">
        <f t="shared" si="2"/>
        <v/>
      </c>
      <c r="I261" s="39" t="str">
        <f>IF(Strike_Log!H261="Pending",Strike_Log!J261,"")</f>
        <v/>
      </c>
      <c r="J261" s="39"/>
      <c r="M261" s="39" t="str">
        <f t="shared" si="3"/>
        <v/>
      </c>
    </row>
    <row r="262" ht="15.75" customHeight="1">
      <c r="A262" s="39" t="str">
        <f>IF(Strike_Log!H262="Pending",Strike_Log!B262,"")</f>
        <v/>
      </c>
      <c r="B262" s="39" t="str">
        <f>IF($A262="","",IFERROR(VLOOKUP($A262,Grinders!$A:$B,2,FALSE),""))</f>
        <v/>
      </c>
      <c r="C262" s="39" t="str">
        <f>IF($A262="","",Strike_Log!A262)</f>
        <v/>
      </c>
      <c r="D262" s="39" t="str">
        <f>IF($A262="","",Strike_Log!E262)</f>
        <v/>
      </c>
      <c r="E262" s="39" t="str">
        <f>IF($A262="","",Strike_Log!F262)</f>
        <v/>
      </c>
      <c r="F262" s="39" t="str">
        <f>IF($A262="","",Strike_Log!H262)</f>
        <v/>
      </c>
      <c r="G262" s="39" t="str">
        <f t="shared" si="1"/>
        <v/>
      </c>
      <c r="H262" s="39" t="str">
        <f t="shared" si="2"/>
        <v/>
      </c>
      <c r="I262" s="39" t="str">
        <f>IF(Strike_Log!H262="Pending",Strike_Log!J262,"")</f>
        <v/>
      </c>
      <c r="J262" s="39"/>
      <c r="M262" s="39" t="str">
        <f t="shared" si="3"/>
        <v/>
      </c>
    </row>
    <row r="263" ht="15.75" customHeight="1">
      <c r="A263" s="39" t="str">
        <f>IF(Strike_Log!H263="Pending",Strike_Log!B263,"")</f>
        <v/>
      </c>
      <c r="B263" s="39" t="str">
        <f>IF($A263="","",IFERROR(VLOOKUP($A263,Grinders!$A:$B,2,FALSE),""))</f>
        <v/>
      </c>
      <c r="C263" s="39" t="str">
        <f>IF($A263="","",Strike_Log!A263)</f>
        <v/>
      </c>
      <c r="D263" s="39" t="str">
        <f>IF($A263="","",Strike_Log!E263)</f>
        <v/>
      </c>
      <c r="E263" s="39" t="str">
        <f>IF($A263="","",Strike_Log!F263)</f>
        <v/>
      </c>
      <c r="F263" s="39" t="str">
        <f>IF($A263="","",Strike_Log!H263)</f>
        <v/>
      </c>
      <c r="G263" s="39" t="str">
        <f t="shared" si="1"/>
        <v/>
      </c>
      <c r="H263" s="39" t="str">
        <f t="shared" si="2"/>
        <v/>
      </c>
      <c r="I263" s="39" t="str">
        <f>IF(Strike_Log!H263="Pending",Strike_Log!J263,"")</f>
        <v/>
      </c>
      <c r="J263" s="39"/>
      <c r="M263" s="39" t="str">
        <f t="shared" si="3"/>
        <v/>
      </c>
    </row>
    <row r="264" ht="15.75" customHeight="1">
      <c r="A264" s="39" t="str">
        <f>IF(Strike_Log!H264="Pending",Strike_Log!B264,"")</f>
        <v/>
      </c>
      <c r="B264" s="39" t="str">
        <f>IF($A264="","",IFERROR(VLOOKUP($A264,Grinders!$A:$B,2,FALSE),""))</f>
        <v/>
      </c>
      <c r="C264" s="39" t="str">
        <f>IF($A264="","",Strike_Log!A264)</f>
        <v/>
      </c>
      <c r="D264" s="39" t="str">
        <f>IF($A264="","",Strike_Log!E264)</f>
        <v/>
      </c>
      <c r="E264" s="39" t="str">
        <f>IF($A264="","",Strike_Log!F264)</f>
        <v/>
      </c>
      <c r="F264" s="39" t="str">
        <f>IF($A264="","",Strike_Log!H264)</f>
        <v/>
      </c>
      <c r="G264" s="39" t="str">
        <f t="shared" si="1"/>
        <v/>
      </c>
      <c r="H264" s="39" t="str">
        <f t="shared" si="2"/>
        <v/>
      </c>
      <c r="I264" s="39" t="str">
        <f>IF(Strike_Log!H264="Pending",Strike_Log!J264,"")</f>
        <v/>
      </c>
      <c r="J264" s="39"/>
      <c r="M264" s="39" t="str">
        <f t="shared" si="3"/>
        <v/>
      </c>
    </row>
    <row r="265" ht="15.75" customHeight="1">
      <c r="A265" s="39" t="str">
        <f>IF(Strike_Log!H265="Pending",Strike_Log!B265,"")</f>
        <v/>
      </c>
      <c r="B265" s="39" t="str">
        <f>IF($A265="","",IFERROR(VLOOKUP($A265,Grinders!$A:$B,2,FALSE),""))</f>
        <v/>
      </c>
      <c r="C265" s="39" t="str">
        <f>IF($A265="","",Strike_Log!A265)</f>
        <v/>
      </c>
      <c r="D265" s="39" t="str">
        <f>IF($A265="","",Strike_Log!E265)</f>
        <v/>
      </c>
      <c r="E265" s="39" t="str">
        <f>IF($A265="","",Strike_Log!F265)</f>
        <v/>
      </c>
      <c r="F265" s="39" t="str">
        <f>IF($A265="","",Strike_Log!H265)</f>
        <v/>
      </c>
      <c r="G265" s="39" t="str">
        <f t="shared" si="1"/>
        <v/>
      </c>
      <c r="H265" s="39" t="str">
        <f t="shared" si="2"/>
        <v/>
      </c>
      <c r="I265" s="39" t="str">
        <f>IF(Strike_Log!H265="Pending",Strike_Log!J265,"")</f>
        <v/>
      </c>
      <c r="J265" s="39"/>
      <c r="M265" s="39" t="str">
        <f t="shared" si="3"/>
        <v/>
      </c>
    </row>
    <row r="266" ht="15.75" customHeight="1">
      <c r="A266" s="39" t="str">
        <f>IF(Strike_Log!H266="Pending",Strike_Log!B266,"")</f>
        <v/>
      </c>
      <c r="B266" s="39" t="str">
        <f>IF($A266="","",IFERROR(VLOOKUP($A266,Grinders!$A:$B,2,FALSE),""))</f>
        <v/>
      </c>
      <c r="C266" s="39" t="str">
        <f>IF($A266="","",Strike_Log!A266)</f>
        <v/>
      </c>
      <c r="D266" s="39" t="str">
        <f>IF($A266="","",Strike_Log!E266)</f>
        <v/>
      </c>
      <c r="E266" s="39" t="str">
        <f>IF($A266="","",Strike_Log!F266)</f>
        <v/>
      </c>
      <c r="F266" s="39" t="str">
        <f>IF($A266="","",Strike_Log!H266)</f>
        <v/>
      </c>
      <c r="G266" s="39" t="str">
        <f t="shared" si="1"/>
        <v/>
      </c>
      <c r="H266" s="39" t="str">
        <f t="shared" si="2"/>
        <v/>
      </c>
      <c r="I266" s="39" t="str">
        <f>IF(Strike_Log!H266="Pending",Strike_Log!J266,"")</f>
        <v/>
      </c>
      <c r="J266" s="39"/>
      <c r="M266" s="39" t="str">
        <f t="shared" si="3"/>
        <v/>
      </c>
    </row>
    <row r="267" ht="15.75" customHeight="1">
      <c r="A267" s="39" t="str">
        <f>IF(Strike_Log!H267="Pending",Strike_Log!B267,"")</f>
        <v/>
      </c>
      <c r="B267" s="39" t="str">
        <f>IF($A267="","",IFERROR(VLOOKUP($A267,Grinders!$A:$B,2,FALSE),""))</f>
        <v/>
      </c>
      <c r="C267" s="39" t="str">
        <f>IF($A267="","",Strike_Log!A267)</f>
        <v/>
      </c>
      <c r="D267" s="39" t="str">
        <f>IF($A267="","",Strike_Log!E267)</f>
        <v/>
      </c>
      <c r="E267" s="39" t="str">
        <f>IF($A267="","",Strike_Log!F267)</f>
        <v/>
      </c>
      <c r="F267" s="39" t="str">
        <f>IF($A267="","",Strike_Log!H267)</f>
        <v/>
      </c>
      <c r="G267" s="39" t="str">
        <f t="shared" si="1"/>
        <v/>
      </c>
      <c r="H267" s="39" t="str">
        <f t="shared" si="2"/>
        <v/>
      </c>
      <c r="I267" s="39" t="str">
        <f>IF(Strike_Log!H267="Pending",Strike_Log!J267,"")</f>
        <v/>
      </c>
      <c r="J267" s="39"/>
      <c r="M267" s="39" t="str">
        <f t="shared" si="3"/>
        <v/>
      </c>
    </row>
    <row r="268" ht="15.75" customHeight="1">
      <c r="A268" s="39" t="str">
        <f>IF(Strike_Log!H268="Pending",Strike_Log!B268,"")</f>
        <v/>
      </c>
      <c r="B268" s="39" t="str">
        <f>IF($A268="","",IFERROR(VLOOKUP($A268,Grinders!$A:$B,2,FALSE),""))</f>
        <v/>
      </c>
      <c r="C268" s="39" t="str">
        <f>IF($A268="","",Strike_Log!A268)</f>
        <v/>
      </c>
      <c r="D268" s="39" t="str">
        <f>IF($A268="","",Strike_Log!E268)</f>
        <v/>
      </c>
      <c r="E268" s="39" t="str">
        <f>IF($A268="","",Strike_Log!F268)</f>
        <v/>
      </c>
      <c r="F268" s="39" t="str">
        <f>IF($A268="","",Strike_Log!H268)</f>
        <v/>
      </c>
      <c r="G268" s="39" t="str">
        <f t="shared" si="1"/>
        <v/>
      </c>
      <c r="H268" s="39" t="str">
        <f t="shared" si="2"/>
        <v/>
      </c>
      <c r="I268" s="39" t="str">
        <f>IF(Strike_Log!H268="Pending",Strike_Log!J268,"")</f>
        <v/>
      </c>
      <c r="J268" s="39"/>
      <c r="M268" s="39" t="str">
        <f t="shared" si="3"/>
        <v/>
      </c>
    </row>
    <row r="269" ht="15.75" customHeight="1">
      <c r="A269" s="39" t="str">
        <f>IF(Strike_Log!H269="Pending",Strike_Log!B269,"")</f>
        <v/>
      </c>
      <c r="B269" s="39" t="str">
        <f>IF($A269="","",IFERROR(VLOOKUP($A269,Grinders!$A:$B,2,FALSE),""))</f>
        <v/>
      </c>
      <c r="C269" s="39" t="str">
        <f>IF($A269="","",Strike_Log!A269)</f>
        <v/>
      </c>
      <c r="D269" s="39" t="str">
        <f>IF($A269="","",Strike_Log!E269)</f>
        <v/>
      </c>
      <c r="E269" s="39" t="str">
        <f>IF($A269="","",Strike_Log!F269)</f>
        <v/>
      </c>
      <c r="F269" s="39" t="str">
        <f>IF($A269="","",Strike_Log!H269)</f>
        <v/>
      </c>
      <c r="G269" s="39" t="str">
        <f t="shared" si="1"/>
        <v/>
      </c>
      <c r="H269" s="39" t="str">
        <f t="shared" si="2"/>
        <v/>
      </c>
      <c r="I269" s="39" t="str">
        <f>IF(Strike_Log!H269="Pending",Strike_Log!J269,"")</f>
        <v/>
      </c>
      <c r="J269" s="39"/>
      <c r="M269" s="39" t="str">
        <f t="shared" si="3"/>
        <v/>
      </c>
    </row>
    <row r="270" ht="15.75" customHeight="1">
      <c r="A270" s="39" t="str">
        <f>IF(Strike_Log!H270="Pending",Strike_Log!B270,"")</f>
        <v/>
      </c>
      <c r="B270" s="39" t="str">
        <f>IF($A270="","",IFERROR(VLOOKUP($A270,Grinders!$A:$B,2,FALSE),""))</f>
        <v/>
      </c>
      <c r="C270" s="39" t="str">
        <f>IF($A270="","",Strike_Log!A270)</f>
        <v/>
      </c>
      <c r="D270" s="39" t="str">
        <f>IF($A270="","",Strike_Log!E270)</f>
        <v/>
      </c>
      <c r="E270" s="39" t="str">
        <f>IF($A270="","",Strike_Log!F270)</f>
        <v/>
      </c>
      <c r="F270" s="39" t="str">
        <f>IF($A270="","",Strike_Log!H270)</f>
        <v/>
      </c>
      <c r="G270" s="39" t="str">
        <f t="shared" si="1"/>
        <v/>
      </c>
      <c r="H270" s="39" t="str">
        <f t="shared" si="2"/>
        <v/>
      </c>
      <c r="I270" s="39" t="str">
        <f>IF(Strike_Log!H270="Pending",Strike_Log!J270,"")</f>
        <v/>
      </c>
      <c r="J270" s="39"/>
      <c r="M270" s="39" t="str">
        <f t="shared" si="3"/>
        <v/>
      </c>
    </row>
    <row r="271" ht="15.75" customHeight="1">
      <c r="A271" s="39" t="str">
        <f>IF(Strike_Log!H271="Pending",Strike_Log!B271,"")</f>
        <v/>
      </c>
      <c r="B271" s="39" t="str">
        <f>IF($A271="","",IFERROR(VLOOKUP($A271,Grinders!$A:$B,2,FALSE),""))</f>
        <v/>
      </c>
      <c r="C271" s="39" t="str">
        <f>IF($A271="","",Strike_Log!A271)</f>
        <v/>
      </c>
      <c r="D271" s="39" t="str">
        <f>IF($A271="","",Strike_Log!E271)</f>
        <v/>
      </c>
      <c r="E271" s="39" t="str">
        <f>IF($A271="","",Strike_Log!F271)</f>
        <v/>
      </c>
      <c r="F271" s="39" t="str">
        <f>IF($A271="","",Strike_Log!H271)</f>
        <v/>
      </c>
      <c r="G271" s="39" t="str">
        <f t="shared" si="1"/>
        <v/>
      </c>
      <c r="H271" s="39" t="str">
        <f t="shared" si="2"/>
        <v/>
      </c>
      <c r="I271" s="39" t="str">
        <f>IF(Strike_Log!H271="Pending",Strike_Log!J271,"")</f>
        <v/>
      </c>
      <c r="J271" s="39"/>
      <c r="M271" s="39" t="str">
        <f t="shared" si="3"/>
        <v/>
      </c>
    </row>
    <row r="272" ht="15.75" customHeight="1">
      <c r="A272" s="39" t="str">
        <f>IF(Strike_Log!H272="Pending",Strike_Log!B272,"")</f>
        <v/>
      </c>
      <c r="B272" s="39" t="str">
        <f>IF($A272="","",IFERROR(VLOOKUP($A272,Grinders!$A:$B,2,FALSE),""))</f>
        <v/>
      </c>
      <c r="C272" s="39" t="str">
        <f>IF($A272="","",Strike_Log!A272)</f>
        <v/>
      </c>
      <c r="D272" s="39" t="str">
        <f>IF($A272="","",Strike_Log!E272)</f>
        <v/>
      </c>
      <c r="E272" s="39" t="str">
        <f>IF($A272="","",Strike_Log!F272)</f>
        <v/>
      </c>
      <c r="F272" s="39" t="str">
        <f>IF($A272="","",Strike_Log!H272)</f>
        <v/>
      </c>
      <c r="G272" s="39" t="str">
        <f t="shared" si="1"/>
        <v/>
      </c>
      <c r="H272" s="39" t="str">
        <f t="shared" si="2"/>
        <v/>
      </c>
      <c r="I272" s="39" t="str">
        <f>IF(Strike_Log!H272="Pending",Strike_Log!J272,"")</f>
        <v/>
      </c>
      <c r="J272" s="39"/>
      <c r="M272" s="39" t="str">
        <f t="shared" si="3"/>
        <v/>
      </c>
    </row>
    <row r="273" ht="15.75" customHeight="1">
      <c r="A273" s="39" t="str">
        <f>IF(Strike_Log!H273="Pending",Strike_Log!B273,"")</f>
        <v/>
      </c>
      <c r="B273" s="39" t="str">
        <f>IF($A273="","",IFERROR(VLOOKUP($A273,Grinders!$A:$B,2,FALSE),""))</f>
        <v/>
      </c>
      <c r="C273" s="39" t="str">
        <f>IF($A273="","",Strike_Log!A273)</f>
        <v/>
      </c>
      <c r="D273" s="39" t="str">
        <f>IF($A273="","",Strike_Log!E273)</f>
        <v/>
      </c>
      <c r="E273" s="39" t="str">
        <f>IF($A273="","",Strike_Log!F273)</f>
        <v/>
      </c>
      <c r="F273" s="39" t="str">
        <f>IF($A273="","",Strike_Log!H273)</f>
        <v/>
      </c>
      <c r="G273" s="39" t="str">
        <f t="shared" si="1"/>
        <v/>
      </c>
      <c r="H273" s="39" t="str">
        <f t="shared" si="2"/>
        <v/>
      </c>
      <c r="I273" s="39" t="str">
        <f>IF(Strike_Log!H273="Pending",Strike_Log!J273,"")</f>
        <v/>
      </c>
      <c r="J273" s="39"/>
      <c r="M273" s="39" t="str">
        <f t="shared" si="3"/>
        <v/>
      </c>
    </row>
    <row r="274" ht="15.75" customHeight="1">
      <c r="A274" s="39" t="str">
        <f>IF(Strike_Log!H274="Pending",Strike_Log!B274,"")</f>
        <v/>
      </c>
      <c r="B274" s="39" t="str">
        <f>IF($A274="","",IFERROR(VLOOKUP($A274,Grinders!$A:$B,2,FALSE),""))</f>
        <v/>
      </c>
      <c r="C274" s="39" t="str">
        <f>IF($A274="","",Strike_Log!A274)</f>
        <v/>
      </c>
      <c r="D274" s="39" t="str">
        <f>IF($A274="","",Strike_Log!E274)</f>
        <v/>
      </c>
      <c r="E274" s="39" t="str">
        <f>IF($A274="","",Strike_Log!F274)</f>
        <v/>
      </c>
      <c r="F274" s="39" t="str">
        <f>IF($A274="","",Strike_Log!H274)</f>
        <v/>
      </c>
      <c r="G274" s="39" t="str">
        <f t="shared" si="1"/>
        <v/>
      </c>
      <c r="H274" s="39" t="str">
        <f t="shared" si="2"/>
        <v/>
      </c>
      <c r="I274" s="39" t="str">
        <f>IF(Strike_Log!H274="Pending",Strike_Log!J274,"")</f>
        <v/>
      </c>
      <c r="J274" s="39"/>
      <c r="M274" s="39" t="str">
        <f t="shared" si="3"/>
        <v/>
      </c>
    </row>
    <row r="275" ht="15.75" customHeight="1">
      <c r="A275" s="39" t="str">
        <f>IF(Strike_Log!H275="Pending",Strike_Log!B275,"")</f>
        <v/>
      </c>
      <c r="B275" s="39" t="str">
        <f>IF($A275="","",IFERROR(VLOOKUP($A275,Grinders!$A:$B,2,FALSE),""))</f>
        <v/>
      </c>
      <c r="C275" s="39" t="str">
        <f>IF($A275="","",Strike_Log!A275)</f>
        <v/>
      </c>
      <c r="D275" s="39" t="str">
        <f>IF($A275="","",Strike_Log!E275)</f>
        <v/>
      </c>
      <c r="E275" s="39" t="str">
        <f>IF($A275="","",Strike_Log!F275)</f>
        <v/>
      </c>
      <c r="F275" s="39" t="str">
        <f>IF($A275="","",Strike_Log!H275)</f>
        <v/>
      </c>
      <c r="G275" s="39" t="str">
        <f t="shared" si="1"/>
        <v/>
      </c>
      <c r="H275" s="39" t="str">
        <f t="shared" si="2"/>
        <v/>
      </c>
      <c r="I275" s="39" t="str">
        <f>IF(Strike_Log!H275="Pending",Strike_Log!J275,"")</f>
        <v/>
      </c>
      <c r="J275" s="39"/>
      <c r="M275" s="39" t="str">
        <f t="shared" si="3"/>
        <v/>
      </c>
    </row>
    <row r="276" ht="15.75" customHeight="1">
      <c r="A276" s="39" t="str">
        <f>IF(Strike_Log!H276="Pending",Strike_Log!B276,"")</f>
        <v/>
      </c>
      <c r="B276" s="39" t="str">
        <f>IF($A276="","",IFERROR(VLOOKUP($A276,Grinders!$A:$B,2,FALSE),""))</f>
        <v/>
      </c>
      <c r="C276" s="39" t="str">
        <f>IF($A276="","",Strike_Log!A276)</f>
        <v/>
      </c>
      <c r="D276" s="39" t="str">
        <f>IF($A276="","",Strike_Log!E276)</f>
        <v/>
      </c>
      <c r="E276" s="39" t="str">
        <f>IF($A276="","",Strike_Log!F276)</f>
        <v/>
      </c>
      <c r="F276" s="39" t="str">
        <f>IF($A276="","",Strike_Log!H276)</f>
        <v/>
      </c>
      <c r="G276" s="39" t="str">
        <f t="shared" si="1"/>
        <v/>
      </c>
      <c r="H276" s="39" t="str">
        <f t="shared" si="2"/>
        <v/>
      </c>
      <c r="I276" s="39" t="str">
        <f>IF(Strike_Log!H276="Pending",Strike_Log!J276,"")</f>
        <v/>
      </c>
      <c r="J276" s="39"/>
      <c r="M276" s="39" t="str">
        <f t="shared" si="3"/>
        <v/>
      </c>
    </row>
    <row r="277" ht="15.75" customHeight="1">
      <c r="A277" s="39" t="str">
        <f>IF(Strike_Log!H277="Pending",Strike_Log!B277,"")</f>
        <v/>
      </c>
      <c r="B277" s="39" t="str">
        <f>IF($A277="","",IFERROR(VLOOKUP($A277,Grinders!$A:$B,2,FALSE),""))</f>
        <v/>
      </c>
      <c r="C277" s="39" t="str">
        <f>IF($A277="","",Strike_Log!A277)</f>
        <v/>
      </c>
      <c r="D277" s="39" t="str">
        <f>IF($A277="","",Strike_Log!E277)</f>
        <v/>
      </c>
      <c r="E277" s="39" t="str">
        <f>IF($A277="","",Strike_Log!F277)</f>
        <v/>
      </c>
      <c r="F277" s="39" t="str">
        <f>IF($A277="","",Strike_Log!H277)</f>
        <v/>
      </c>
      <c r="G277" s="39" t="str">
        <f t="shared" si="1"/>
        <v/>
      </c>
      <c r="H277" s="39" t="str">
        <f t="shared" si="2"/>
        <v/>
      </c>
      <c r="I277" s="39" t="str">
        <f>IF(Strike_Log!H277="Pending",Strike_Log!J277,"")</f>
        <v/>
      </c>
      <c r="J277" s="39"/>
      <c r="M277" s="39" t="str">
        <f t="shared" si="3"/>
        <v/>
      </c>
    </row>
    <row r="278" ht="15.75" customHeight="1">
      <c r="A278" s="39" t="str">
        <f>IF(Strike_Log!H278="Pending",Strike_Log!B278,"")</f>
        <v/>
      </c>
      <c r="B278" s="39" t="str">
        <f>IF($A278="","",IFERROR(VLOOKUP($A278,Grinders!$A:$B,2,FALSE),""))</f>
        <v/>
      </c>
      <c r="C278" s="39" t="str">
        <f>IF($A278="","",Strike_Log!A278)</f>
        <v/>
      </c>
      <c r="D278" s="39" t="str">
        <f>IF($A278="","",Strike_Log!E278)</f>
        <v/>
      </c>
      <c r="E278" s="39" t="str">
        <f>IF($A278="","",Strike_Log!F278)</f>
        <v/>
      </c>
      <c r="F278" s="39" t="str">
        <f>IF($A278="","",Strike_Log!H278)</f>
        <v/>
      </c>
      <c r="G278" s="39" t="str">
        <f t="shared" si="1"/>
        <v/>
      </c>
      <c r="H278" s="39" t="str">
        <f t="shared" si="2"/>
        <v/>
      </c>
      <c r="I278" s="39" t="str">
        <f>IF(Strike_Log!H278="Pending",Strike_Log!J278,"")</f>
        <v/>
      </c>
      <c r="J278" s="39"/>
      <c r="M278" s="39" t="str">
        <f t="shared" si="3"/>
        <v/>
      </c>
    </row>
    <row r="279" ht="15.75" customHeight="1">
      <c r="A279" s="39" t="str">
        <f>IF(Strike_Log!H279="Pending",Strike_Log!B279,"")</f>
        <v/>
      </c>
      <c r="B279" s="39" t="str">
        <f>IF($A279="","",IFERROR(VLOOKUP($A279,Grinders!$A:$B,2,FALSE),""))</f>
        <v/>
      </c>
      <c r="C279" s="39" t="str">
        <f>IF($A279="","",Strike_Log!A279)</f>
        <v/>
      </c>
      <c r="D279" s="39" t="str">
        <f>IF($A279="","",Strike_Log!E279)</f>
        <v/>
      </c>
      <c r="E279" s="39" t="str">
        <f>IF($A279="","",Strike_Log!F279)</f>
        <v/>
      </c>
      <c r="F279" s="39" t="str">
        <f>IF($A279="","",Strike_Log!H279)</f>
        <v/>
      </c>
      <c r="G279" s="39" t="str">
        <f t="shared" si="1"/>
        <v/>
      </c>
      <c r="H279" s="39" t="str">
        <f t="shared" si="2"/>
        <v/>
      </c>
      <c r="I279" s="39" t="str">
        <f>IF(Strike_Log!H279="Pending",Strike_Log!J279,"")</f>
        <v/>
      </c>
      <c r="J279" s="39"/>
      <c r="M279" s="39" t="str">
        <f t="shared" si="3"/>
        <v/>
      </c>
    </row>
    <row r="280" ht="15.75" customHeight="1">
      <c r="A280" s="39" t="str">
        <f>IF(Strike_Log!H280="Pending",Strike_Log!B280,"")</f>
        <v/>
      </c>
      <c r="B280" s="39" t="str">
        <f>IF($A280="","",IFERROR(VLOOKUP($A280,Grinders!$A:$B,2,FALSE),""))</f>
        <v/>
      </c>
      <c r="C280" s="39" t="str">
        <f>IF($A280="","",Strike_Log!A280)</f>
        <v/>
      </c>
      <c r="D280" s="39" t="str">
        <f>IF($A280="","",Strike_Log!E280)</f>
        <v/>
      </c>
      <c r="E280" s="39" t="str">
        <f>IF($A280="","",Strike_Log!F280)</f>
        <v/>
      </c>
      <c r="F280" s="39" t="str">
        <f>IF($A280="","",Strike_Log!H280)</f>
        <v/>
      </c>
      <c r="G280" s="39" t="str">
        <f t="shared" si="1"/>
        <v/>
      </c>
      <c r="H280" s="39" t="str">
        <f t="shared" si="2"/>
        <v/>
      </c>
      <c r="I280" s="39" t="str">
        <f>IF(Strike_Log!H280="Pending",Strike_Log!J280,"")</f>
        <v/>
      </c>
      <c r="J280" s="39"/>
      <c r="M280" s="39" t="str">
        <f t="shared" si="3"/>
        <v/>
      </c>
    </row>
    <row r="281" ht="15.75" customHeight="1">
      <c r="A281" s="39" t="str">
        <f>IF(Strike_Log!H281="Pending",Strike_Log!B281,"")</f>
        <v/>
      </c>
      <c r="B281" s="39" t="str">
        <f>IF($A281="","",IFERROR(VLOOKUP($A281,Grinders!$A:$B,2,FALSE),""))</f>
        <v/>
      </c>
      <c r="C281" s="39" t="str">
        <f>IF($A281="","",Strike_Log!A281)</f>
        <v/>
      </c>
      <c r="D281" s="39" t="str">
        <f>IF($A281="","",Strike_Log!E281)</f>
        <v/>
      </c>
      <c r="E281" s="39" t="str">
        <f>IF($A281="","",Strike_Log!F281)</f>
        <v/>
      </c>
      <c r="F281" s="39" t="str">
        <f>IF($A281="","",Strike_Log!H281)</f>
        <v/>
      </c>
      <c r="G281" s="39" t="str">
        <f t="shared" si="1"/>
        <v/>
      </c>
      <c r="H281" s="39" t="str">
        <f t="shared" si="2"/>
        <v/>
      </c>
      <c r="I281" s="39" t="str">
        <f>IF(Strike_Log!H281="Pending",Strike_Log!J281,"")</f>
        <v/>
      </c>
      <c r="J281" s="39"/>
      <c r="M281" s="39" t="str">
        <f t="shared" si="3"/>
        <v/>
      </c>
    </row>
    <row r="282" ht="15.75" customHeight="1">
      <c r="A282" s="39" t="str">
        <f>IF(Strike_Log!H282="Pending",Strike_Log!B282,"")</f>
        <v/>
      </c>
      <c r="B282" s="39" t="str">
        <f>IF($A282="","",IFERROR(VLOOKUP($A282,Grinders!$A:$B,2,FALSE),""))</f>
        <v/>
      </c>
      <c r="C282" s="39" t="str">
        <f>IF($A282="","",Strike_Log!A282)</f>
        <v/>
      </c>
      <c r="D282" s="39" t="str">
        <f>IF($A282="","",Strike_Log!E282)</f>
        <v/>
      </c>
      <c r="E282" s="39" t="str">
        <f>IF($A282="","",Strike_Log!F282)</f>
        <v/>
      </c>
      <c r="F282" s="39" t="str">
        <f>IF($A282="","",Strike_Log!H282)</f>
        <v/>
      </c>
      <c r="G282" s="39" t="str">
        <f t="shared" si="1"/>
        <v/>
      </c>
      <c r="H282" s="39" t="str">
        <f t="shared" si="2"/>
        <v/>
      </c>
      <c r="I282" s="39" t="str">
        <f>IF(Strike_Log!H282="Pending",Strike_Log!J282,"")</f>
        <v/>
      </c>
      <c r="J282" s="39"/>
      <c r="M282" s="39" t="str">
        <f t="shared" si="3"/>
        <v/>
      </c>
    </row>
    <row r="283" ht="15.75" customHeight="1">
      <c r="A283" s="39" t="str">
        <f>IF(Strike_Log!H283="Pending",Strike_Log!B283,"")</f>
        <v/>
      </c>
      <c r="B283" s="39" t="str">
        <f>IF($A283="","",IFERROR(VLOOKUP($A283,Grinders!$A:$B,2,FALSE),""))</f>
        <v/>
      </c>
      <c r="C283" s="39" t="str">
        <f>IF($A283="","",Strike_Log!A283)</f>
        <v/>
      </c>
      <c r="D283" s="39" t="str">
        <f>IF($A283="","",Strike_Log!E283)</f>
        <v/>
      </c>
      <c r="E283" s="39" t="str">
        <f>IF($A283="","",Strike_Log!F283)</f>
        <v/>
      </c>
      <c r="F283" s="39" t="str">
        <f>IF($A283="","",Strike_Log!H283)</f>
        <v/>
      </c>
      <c r="G283" s="39" t="str">
        <f t="shared" si="1"/>
        <v/>
      </c>
      <c r="H283" s="39" t="str">
        <f t="shared" si="2"/>
        <v/>
      </c>
      <c r="I283" s="39" t="str">
        <f>IF(Strike_Log!H283="Pending",Strike_Log!J283,"")</f>
        <v/>
      </c>
      <c r="J283" s="39"/>
      <c r="M283" s="39" t="str">
        <f t="shared" si="3"/>
        <v/>
      </c>
    </row>
    <row r="284" ht="15.75" customHeight="1">
      <c r="A284" s="39" t="str">
        <f>IF(Strike_Log!H284="Pending",Strike_Log!B284,"")</f>
        <v/>
      </c>
      <c r="B284" s="39" t="str">
        <f>IF($A284="","",IFERROR(VLOOKUP($A284,Grinders!$A:$B,2,FALSE),""))</f>
        <v/>
      </c>
      <c r="C284" s="39" t="str">
        <f>IF($A284="","",Strike_Log!A284)</f>
        <v/>
      </c>
      <c r="D284" s="39" t="str">
        <f>IF($A284="","",Strike_Log!E284)</f>
        <v/>
      </c>
      <c r="E284" s="39" t="str">
        <f>IF($A284="","",Strike_Log!F284)</f>
        <v/>
      </c>
      <c r="F284" s="39" t="str">
        <f>IF($A284="","",Strike_Log!H284)</f>
        <v/>
      </c>
      <c r="G284" s="39" t="str">
        <f t="shared" si="1"/>
        <v/>
      </c>
      <c r="H284" s="39" t="str">
        <f t="shared" si="2"/>
        <v/>
      </c>
      <c r="I284" s="39" t="str">
        <f>IF(Strike_Log!H284="Pending",Strike_Log!J284,"")</f>
        <v/>
      </c>
      <c r="J284" s="39"/>
      <c r="M284" s="39" t="str">
        <f t="shared" si="3"/>
        <v/>
      </c>
    </row>
    <row r="285" ht="15.75" customHeight="1">
      <c r="A285" s="39" t="str">
        <f>IF(Strike_Log!H285="Pending",Strike_Log!B285,"")</f>
        <v/>
      </c>
      <c r="B285" s="39" t="str">
        <f>IF($A285="","",IFERROR(VLOOKUP($A285,Grinders!$A:$B,2,FALSE),""))</f>
        <v/>
      </c>
      <c r="C285" s="39" t="str">
        <f>IF($A285="","",Strike_Log!A285)</f>
        <v/>
      </c>
      <c r="D285" s="39" t="str">
        <f>IF($A285="","",Strike_Log!E285)</f>
        <v/>
      </c>
      <c r="E285" s="39" t="str">
        <f>IF($A285="","",Strike_Log!F285)</f>
        <v/>
      </c>
      <c r="F285" s="39" t="str">
        <f>IF($A285="","",Strike_Log!H285)</f>
        <v/>
      </c>
      <c r="G285" s="39" t="str">
        <f t="shared" si="1"/>
        <v/>
      </c>
      <c r="H285" s="39" t="str">
        <f t="shared" si="2"/>
        <v/>
      </c>
      <c r="I285" s="39" t="str">
        <f>IF(Strike_Log!H285="Pending",Strike_Log!J285,"")</f>
        <v/>
      </c>
      <c r="J285" s="39"/>
      <c r="M285" s="39" t="str">
        <f t="shared" si="3"/>
        <v/>
      </c>
    </row>
    <row r="286" ht="15.75" customHeight="1">
      <c r="A286" s="39" t="str">
        <f>IF(Strike_Log!H286="Pending",Strike_Log!B286,"")</f>
        <v/>
      </c>
      <c r="B286" s="39" t="str">
        <f>IF($A286="","",IFERROR(VLOOKUP($A286,Grinders!$A:$B,2,FALSE),""))</f>
        <v/>
      </c>
      <c r="C286" s="39" t="str">
        <f>IF($A286="","",Strike_Log!A286)</f>
        <v/>
      </c>
      <c r="D286" s="39" t="str">
        <f>IF($A286="","",Strike_Log!E286)</f>
        <v/>
      </c>
      <c r="E286" s="39" t="str">
        <f>IF($A286="","",Strike_Log!F286)</f>
        <v/>
      </c>
      <c r="F286" s="39" t="str">
        <f>IF($A286="","",Strike_Log!H286)</f>
        <v/>
      </c>
      <c r="G286" s="39" t="str">
        <f t="shared" si="1"/>
        <v/>
      </c>
      <c r="H286" s="39" t="str">
        <f t="shared" si="2"/>
        <v/>
      </c>
      <c r="I286" s="39" t="str">
        <f>IF(Strike_Log!H286="Pending",Strike_Log!J286,"")</f>
        <v/>
      </c>
      <c r="J286" s="39"/>
      <c r="M286" s="39" t="str">
        <f t="shared" si="3"/>
        <v/>
      </c>
    </row>
    <row r="287" ht="15.75" customHeight="1">
      <c r="A287" s="39" t="str">
        <f>IF(Strike_Log!H287="Pending",Strike_Log!B287,"")</f>
        <v/>
      </c>
      <c r="B287" s="39" t="str">
        <f>IF($A287="","",IFERROR(VLOOKUP($A287,Grinders!$A:$B,2,FALSE),""))</f>
        <v/>
      </c>
      <c r="C287" s="39" t="str">
        <f>IF($A287="","",Strike_Log!A287)</f>
        <v/>
      </c>
      <c r="D287" s="39" t="str">
        <f>IF($A287="","",Strike_Log!E287)</f>
        <v/>
      </c>
      <c r="E287" s="39" t="str">
        <f>IF($A287="","",Strike_Log!F287)</f>
        <v/>
      </c>
      <c r="F287" s="39" t="str">
        <f>IF($A287="","",Strike_Log!H287)</f>
        <v/>
      </c>
      <c r="G287" s="39" t="str">
        <f t="shared" si="1"/>
        <v/>
      </c>
      <c r="H287" s="39" t="str">
        <f t="shared" si="2"/>
        <v/>
      </c>
      <c r="I287" s="39" t="str">
        <f>IF(Strike_Log!H287="Pending",Strike_Log!J287,"")</f>
        <v/>
      </c>
      <c r="J287" s="39"/>
      <c r="M287" s="39" t="str">
        <f t="shared" si="3"/>
        <v/>
      </c>
    </row>
    <row r="288" ht="15.75" customHeight="1">
      <c r="A288" s="39" t="str">
        <f>IF(Strike_Log!H288="Pending",Strike_Log!B288,"")</f>
        <v/>
      </c>
      <c r="B288" s="39" t="str">
        <f>IF($A288="","",IFERROR(VLOOKUP($A288,Grinders!$A:$B,2,FALSE),""))</f>
        <v/>
      </c>
      <c r="C288" s="39" t="str">
        <f>IF($A288="","",Strike_Log!A288)</f>
        <v/>
      </c>
      <c r="D288" s="39" t="str">
        <f>IF($A288="","",Strike_Log!E288)</f>
        <v/>
      </c>
      <c r="E288" s="39" t="str">
        <f>IF($A288="","",Strike_Log!F288)</f>
        <v/>
      </c>
      <c r="F288" s="39" t="str">
        <f>IF($A288="","",Strike_Log!H288)</f>
        <v/>
      </c>
      <c r="G288" s="39" t="str">
        <f t="shared" si="1"/>
        <v/>
      </c>
      <c r="H288" s="39" t="str">
        <f t="shared" si="2"/>
        <v/>
      </c>
      <c r="I288" s="39" t="str">
        <f>IF(Strike_Log!H288="Pending",Strike_Log!J288,"")</f>
        <v/>
      </c>
      <c r="J288" s="39"/>
      <c r="M288" s="39" t="str">
        <f t="shared" si="3"/>
        <v/>
      </c>
    </row>
    <row r="289" ht="15.75" customHeight="1">
      <c r="A289" s="39" t="str">
        <f>IF(Strike_Log!H289="Pending",Strike_Log!B289,"")</f>
        <v/>
      </c>
      <c r="B289" s="39" t="str">
        <f>IF($A289="","",IFERROR(VLOOKUP($A289,Grinders!$A:$B,2,FALSE),""))</f>
        <v/>
      </c>
      <c r="C289" s="39" t="str">
        <f>IF($A289="","",Strike_Log!A289)</f>
        <v/>
      </c>
      <c r="D289" s="39" t="str">
        <f>IF($A289="","",Strike_Log!E289)</f>
        <v/>
      </c>
      <c r="E289" s="39" t="str">
        <f>IF($A289="","",Strike_Log!F289)</f>
        <v/>
      </c>
      <c r="F289" s="39" t="str">
        <f>IF($A289="","",Strike_Log!H289)</f>
        <v/>
      </c>
      <c r="G289" s="39" t="str">
        <f t="shared" si="1"/>
        <v/>
      </c>
      <c r="H289" s="39" t="str">
        <f t="shared" si="2"/>
        <v/>
      </c>
      <c r="I289" s="39" t="str">
        <f>IF(Strike_Log!H289="Pending",Strike_Log!J289,"")</f>
        <v/>
      </c>
      <c r="J289" s="39"/>
      <c r="M289" s="39" t="str">
        <f t="shared" si="3"/>
        <v/>
      </c>
    </row>
    <row r="290" ht="15.75" customHeight="1">
      <c r="A290" s="39" t="str">
        <f>IF(Strike_Log!H290="Pending",Strike_Log!B290,"")</f>
        <v/>
      </c>
      <c r="B290" s="39" t="str">
        <f>IF($A290="","",IFERROR(VLOOKUP($A290,Grinders!$A:$B,2,FALSE),""))</f>
        <v/>
      </c>
      <c r="C290" s="39" t="str">
        <f>IF($A290="","",Strike_Log!A290)</f>
        <v/>
      </c>
      <c r="D290" s="39" t="str">
        <f>IF($A290="","",Strike_Log!E290)</f>
        <v/>
      </c>
      <c r="E290" s="39" t="str">
        <f>IF($A290="","",Strike_Log!F290)</f>
        <v/>
      </c>
      <c r="F290" s="39" t="str">
        <f>IF($A290="","",Strike_Log!H290)</f>
        <v/>
      </c>
      <c r="G290" s="39" t="str">
        <f t="shared" si="1"/>
        <v/>
      </c>
      <c r="H290" s="39" t="str">
        <f t="shared" si="2"/>
        <v/>
      </c>
      <c r="I290" s="39" t="str">
        <f>IF(Strike_Log!H290="Pending",Strike_Log!J290,"")</f>
        <v/>
      </c>
      <c r="J290" s="39"/>
      <c r="M290" s="39" t="str">
        <f t="shared" si="3"/>
        <v/>
      </c>
    </row>
    <row r="291" ht="15.75" customHeight="1">
      <c r="A291" s="39" t="str">
        <f>IF(Strike_Log!H291="Pending",Strike_Log!B291,"")</f>
        <v/>
      </c>
      <c r="B291" s="39" t="str">
        <f>IF($A291="","",IFERROR(VLOOKUP($A291,Grinders!$A:$B,2,FALSE),""))</f>
        <v/>
      </c>
      <c r="C291" s="39" t="str">
        <f>IF($A291="","",Strike_Log!A291)</f>
        <v/>
      </c>
      <c r="D291" s="39" t="str">
        <f>IF($A291="","",Strike_Log!E291)</f>
        <v/>
      </c>
      <c r="E291" s="39" t="str">
        <f>IF($A291="","",Strike_Log!F291)</f>
        <v/>
      </c>
      <c r="F291" s="39" t="str">
        <f>IF($A291="","",Strike_Log!H291)</f>
        <v/>
      </c>
      <c r="G291" s="39" t="str">
        <f t="shared" si="1"/>
        <v/>
      </c>
      <c r="H291" s="39" t="str">
        <f t="shared" si="2"/>
        <v/>
      </c>
      <c r="I291" s="39" t="str">
        <f>IF(Strike_Log!H291="Pending",Strike_Log!J291,"")</f>
        <v/>
      </c>
      <c r="J291" s="39"/>
      <c r="M291" s="39" t="str">
        <f t="shared" si="3"/>
        <v/>
      </c>
    </row>
    <row r="292" ht="15.75" customHeight="1">
      <c r="A292" s="39" t="str">
        <f>IF(Strike_Log!H292="Pending",Strike_Log!B292,"")</f>
        <v/>
      </c>
      <c r="B292" s="39" t="str">
        <f>IF($A292="","",IFERROR(VLOOKUP($A292,Grinders!$A:$B,2,FALSE),""))</f>
        <v/>
      </c>
      <c r="C292" s="39" t="str">
        <f>IF($A292="","",Strike_Log!A292)</f>
        <v/>
      </c>
      <c r="D292" s="39" t="str">
        <f>IF($A292="","",Strike_Log!E292)</f>
        <v/>
      </c>
      <c r="E292" s="39" t="str">
        <f>IF($A292="","",Strike_Log!F292)</f>
        <v/>
      </c>
      <c r="F292" s="39" t="str">
        <f>IF($A292="","",Strike_Log!H292)</f>
        <v/>
      </c>
      <c r="G292" s="39" t="str">
        <f t="shared" si="1"/>
        <v/>
      </c>
      <c r="H292" s="39" t="str">
        <f t="shared" si="2"/>
        <v/>
      </c>
      <c r="I292" s="39" t="str">
        <f>IF(Strike_Log!H292="Pending",Strike_Log!J292,"")</f>
        <v/>
      </c>
      <c r="J292" s="39"/>
      <c r="M292" s="39" t="str">
        <f t="shared" si="3"/>
        <v/>
      </c>
    </row>
    <row r="293" ht="15.75" customHeight="1">
      <c r="A293" s="39" t="str">
        <f>IF(Strike_Log!H293="Pending",Strike_Log!B293,"")</f>
        <v/>
      </c>
      <c r="B293" s="39" t="str">
        <f>IF($A293="","",IFERROR(VLOOKUP($A293,Grinders!$A:$B,2,FALSE),""))</f>
        <v/>
      </c>
      <c r="C293" s="39" t="str">
        <f>IF($A293="","",Strike_Log!A293)</f>
        <v/>
      </c>
      <c r="D293" s="39" t="str">
        <f>IF($A293="","",Strike_Log!E293)</f>
        <v/>
      </c>
      <c r="E293" s="39" t="str">
        <f>IF($A293="","",Strike_Log!F293)</f>
        <v/>
      </c>
      <c r="F293" s="39" t="str">
        <f>IF($A293="","",Strike_Log!H293)</f>
        <v/>
      </c>
      <c r="G293" s="39" t="str">
        <f t="shared" si="1"/>
        <v/>
      </c>
      <c r="H293" s="39" t="str">
        <f t="shared" si="2"/>
        <v/>
      </c>
      <c r="I293" s="39" t="str">
        <f>IF(Strike_Log!H293="Pending",Strike_Log!J293,"")</f>
        <v/>
      </c>
      <c r="J293" s="39"/>
      <c r="M293" s="39" t="str">
        <f t="shared" si="3"/>
        <v/>
      </c>
    </row>
    <row r="294" ht="15.75" customHeight="1">
      <c r="A294" s="39" t="str">
        <f>IF(Strike_Log!H294="Pending",Strike_Log!B294,"")</f>
        <v/>
      </c>
      <c r="B294" s="39" t="str">
        <f>IF($A294="","",IFERROR(VLOOKUP($A294,Grinders!$A:$B,2,FALSE),""))</f>
        <v/>
      </c>
      <c r="C294" s="39" t="str">
        <f>IF($A294="","",Strike_Log!A294)</f>
        <v/>
      </c>
      <c r="D294" s="39" t="str">
        <f>IF($A294="","",Strike_Log!E294)</f>
        <v/>
      </c>
      <c r="E294" s="39" t="str">
        <f>IF($A294="","",Strike_Log!F294)</f>
        <v/>
      </c>
      <c r="F294" s="39" t="str">
        <f>IF($A294="","",Strike_Log!H294)</f>
        <v/>
      </c>
      <c r="G294" s="39" t="str">
        <f t="shared" si="1"/>
        <v/>
      </c>
      <c r="H294" s="39" t="str">
        <f t="shared" si="2"/>
        <v/>
      </c>
      <c r="I294" s="39" t="str">
        <f>IF(Strike_Log!H294="Pending",Strike_Log!J294,"")</f>
        <v/>
      </c>
      <c r="J294" s="39"/>
      <c r="M294" s="39" t="str">
        <f t="shared" si="3"/>
        <v/>
      </c>
    </row>
    <row r="295" ht="15.75" customHeight="1">
      <c r="A295" s="39" t="str">
        <f>IF(Strike_Log!H295="Pending",Strike_Log!B295,"")</f>
        <v/>
      </c>
      <c r="B295" s="39" t="str">
        <f>IF($A295="","",IFERROR(VLOOKUP($A295,Grinders!$A:$B,2,FALSE),""))</f>
        <v/>
      </c>
      <c r="C295" s="39" t="str">
        <f>IF($A295="","",Strike_Log!A295)</f>
        <v/>
      </c>
      <c r="D295" s="39" t="str">
        <f>IF($A295="","",Strike_Log!E295)</f>
        <v/>
      </c>
      <c r="E295" s="39" t="str">
        <f>IF($A295="","",Strike_Log!F295)</f>
        <v/>
      </c>
      <c r="F295" s="39" t="str">
        <f>IF($A295="","",Strike_Log!H295)</f>
        <v/>
      </c>
      <c r="G295" s="39" t="str">
        <f t="shared" si="1"/>
        <v/>
      </c>
      <c r="H295" s="39" t="str">
        <f t="shared" si="2"/>
        <v/>
      </c>
      <c r="I295" s="39" t="str">
        <f>IF(Strike_Log!H295="Pending",Strike_Log!J295,"")</f>
        <v/>
      </c>
      <c r="J295" s="39"/>
      <c r="M295" s="39" t="str">
        <f t="shared" si="3"/>
        <v/>
      </c>
    </row>
    <row r="296" ht="15.75" customHeight="1">
      <c r="A296" s="39" t="str">
        <f>IF(Strike_Log!H296="Pending",Strike_Log!B296,"")</f>
        <v/>
      </c>
      <c r="B296" s="39" t="str">
        <f>IF($A296="","",IFERROR(VLOOKUP($A296,Grinders!$A:$B,2,FALSE),""))</f>
        <v/>
      </c>
      <c r="C296" s="39" t="str">
        <f>IF($A296="","",Strike_Log!A296)</f>
        <v/>
      </c>
      <c r="D296" s="39" t="str">
        <f>IF($A296="","",Strike_Log!E296)</f>
        <v/>
      </c>
      <c r="E296" s="39" t="str">
        <f>IF($A296="","",Strike_Log!F296)</f>
        <v/>
      </c>
      <c r="F296" s="39" t="str">
        <f>IF($A296="","",Strike_Log!H296)</f>
        <v/>
      </c>
      <c r="G296" s="39" t="str">
        <f t="shared" si="1"/>
        <v/>
      </c>
      <c r="H296" s="39" t="str">
        <f t="shared" si="2"/>
        <v/>
      </c>
      <c r="I296" s="39" t="str">
        <f>IF(Strike_Log!H296="Pending",Strike_Log!J296,"")</f>
        <v/>
      </c>
      <c r="J296" s="39"/>
      <c r="M296" s="39" t="str">
        <f t="shared" si="3"/>
        <v/>
      </c>
    </row>
    <row r="297" ht="15.75" customHeight="1">
      <c r="A297" s="39" t="str">
        <f>IF(Strike_Log!H297="Pending",Strike_Log!B297,"")</f>
        <v/>
      </c>
      <c r="B297" s="39" t="str">
        <f>IF($A297="","",IFERROR(VLOOKUP($A297,Grinders!$A:$B,2,FALSE),""))</f>
        <v/>
      </c>
      <c r="C297" s="39" t="str">
        <f>IF($A297="","",Strike_Log!A297)</f>
        <v/>
      </c>
      <c r="D297" s="39" t="str">
        <f>IF($A297="","",Strike_Log!E297)</f>
        <v/>
      </c>
      <c r="E297" s="39" t="str">
        <f>IF($A297="","",Strike_Log!F297)</f>
        <v/>
      </c>
      <c r="F297" s="39" t="str">
        <f>IF($A297="","",Strike_Log!H297)</f>
        <v/>
      </c>
      <c r="G297" s="39" t="str">
        <f t="shared" si="1"/>
        <v/>
      </c>
      <c r="H297" s="39" t="str">
        <f t="shared" si="2"/>
        <v/>
      </c>
      <c r="I297" s="39" t="str">
        <f>IF(Strike_Log!H297="Pending",Strike_Log!J297,"")</f>
        <v/>
      </c>
      <c r="J297" s="39"/>
      <c r="M297" s="39" t="str">
        <f t="shared" si="3"/>
        <v/>
      </c>
    </row>
    <row r="298" ht="15.75" customHeight="1">
      <c r="A298" s="39" t="str">
        <f>IF(Strike_Log!H298="Pending",Strike_Log!B298,"")</f>
        <v/>
      </c>
      <c r="B298" s="39" t="str">
        <f>IF($A298="","",IFERROR(VLOOKUP($A298,Grinders!$A:$B,2,FALSE),""))</f>
        <v/>
      </c>
      <c r="C298" s="39" t="str">
        <f>IF($A298="","",Strike_Log!A298)</f>
        <v/>
      </c>
      <c r="D298" s="39" t="str">
        <f>IF($A298="","",Strike_Log!E298)</f>
        <v/>
      </c>
      <c r="E298" s="39" t="str">
        <f>IF($A298="","",Strike_Log!F298)</f>
        <v/>
      </c>
      <c r="F298" s="39" t="str">
        <f>IF($A298="","",Strike_Log!H298)</f>
        <v/>
      </c>
      <c r="G298" s="39" t="str">
        <f t="shared" si="1"/>
        <v/>
      </c>
      <c r="H298" s="39" t="str">
        <f t="shared" si="2"/>
        <v/>
      </c>
      <c r="I298" s="39" t="str">
        <f>IF(Strike_Log!H298="Pending",Strike_Log!J298,"")</f>
        <v/>
      </c>
      <c r="J298" s="39"/>
      <c r="M298" s="39" t="str">
        <f t="shared" si="3"/>
        <v/>
      </c>
    </row>
    <row r="299" ht="15.75" customHeight="1">
      <c r="A299" s="39" t="str">
        <f>IF(Strike_Log!H299="Pending",Strike_Log!B299,"")</f>
        <v/>
      </c>
      <c r="B299" s="39" t="str">
        <f>IF($A299="","",IFERROR(VLOOKUP($A299,Grinders!$A:$B,2,FALSE),""))</f>
        <v/>
      </c>
      <c r="C299" s="39" t="str">
        <f>IF($A299="","",Strike_Log!A299)</f>
        <v/>
      </c>
      <c r="D299" s="39" t="str">
        <f>IF($A299="","",Strike_Log!E299)</f>
        <v/>
      </c>
      <c r="E299" s="39" t="str">
        <f>IF($A299="","",Strike_Log!F299)</f>
        <v/>
      </c>
      <c r="F299" s="39" t="str">
        <f>IF($A299="","",Strike_Log!H299)</f>
        <v/>
      </c>
      <c r="G299" s="39" t="str">
        <f t="shared" si="1"/>
        <v/>
      </c>
      <c r="H299" s="39" t="str">
        <f t="shared" si="2"/>
        <v/>
      </c>
      <c r="I299" s="39" t="str">
        <f>IF(Strike_Log!H299="Pending",Strike_Log!J299,"")</f>
        <v/>
      </c>
      <c r="J299" s="39"/>
      <c r="M299" s="39" t="str">
        <f t="shared" si="3"/>
        <v/>
      </c>
    </row>
    <row r="300" ht="15.75" customHeight="1">
      <c r="A300" s="39" t="str">
        <f>IF(Strike_Log!H300="Pending",Strike_Log!B300,"")</f>
        <v/>
      </c>
      <c r="B300" s="39" t="str">
        <f>IF($A300="","",IFERROR(VLOOKUP($A300,Grinders!$A:$B,2,FALSE),""))</f>
        <v/>
      </c>
      <c r="C300" s="39" t="str">
        <f>IF($A300="","",Strike_Log!A300)</f>
        <v/>
      </c>
      <c r="D300" s="39" t="str">
        <f>IF($A300="","",Strike_Log!E300)</f>
        <v/>
      </c>
      <c r="E300" s="39" t="str">
        <f>IF($A300="","",Strike_Log!F300)</f>
        <v/>
      </c>
      <c r="F300" s="39" t="str">
        <f>IF($A300="","",Strike_Log!H300)</f>
        <v/>
      </c>
      <c r="G300" s="39" t="str">
        <f t="shared" si="1"/>
        <v/>
      </c>
      <c r="H300" s="39" t="str">
        <f t="shared" si="2"/>
        <v/>
      </c>
      <c r="I300" s="39" t="str">
        <f>IF(Strike_Log!H300="Pending",Strike_Log!J300,"")</f>
        <v/>
      </c>
      <c r="J300" s="39"/>
      <c r="M300" s="39" t="str">
        <f t="shared" si="3"/>
        <v/>
      </c>
    </row>
    <row r="301" ht="15.75" customHeight="1">
      <c r="A301" s="39" t="str">
        <f>IF(Strike_Log!H301="Pending",Strike_Log!B301,"")</f>
        <v/>
      </c>
      <c r="B301" s="39" t="str">
        <f>IF($A301="","",IFERROR(VLOOKUP($A301,Grinders!$A:$B,2,FALSE),""))</f>
        <v/>
      </c>
      <c r="C301" s="39" t="str">
        <f>IF($A301="","",Strike_Log!A301)</f>
        <v/>
      </c>
      <c r="D301" s="39" t="str">
        <f>IF($A301="","",Strike_Log!E301)</f>
        <v/>
      </c>
      <c r="E301" s="39" t="str">
        <f>IF($A301="","",Strike_Log!F301)</f>
        <v/>
      </c>
      <c r="F301" s="39" t="str">
        <f>IF($A301="","",Strike_Log!H301)</f>
        <v/>
      </c>
      <c r="G301" s="39" t="str">
        <f t="shared" si="1"/>
        <v/>
      </c>
      <c r="H301" s="39" t="str">
        <f t="shared" si="2"/>
        <v/>
      </c>
      <c r="I301" s="39" t="str">
        <f>IF(Strike_Log!H301="Pending",Strike_Log!J301,"")</f>
        <v/>
      </c>
      <c r="J301" s="39"/>
      <c r="M301" s="39" t="str">
        <f t="shared" si="3"/>
        <v/>
      </c>
    </row>
    <row r="302" ht="15.75" customHeight="1">
      <c r="A302" s="39" t="str">
        <f>IF(Strike_Log!H302="Pending",Strike_Log!B302,"")</f>
        <v/>
      </c>
      <c r="B302" s="39" t="str">
        <f>IF($A302="","",IFERROR(VLOOKUP($A302,Grinders!$A:$B,2,FALSE),""))</f>
        <v/>
      </c>
      <c r="C302" s="39" t="str">
        <f>IF($A302="","",Strike_Log!A302)</f>
        <v/>
      </c>
      <c r="D302" s="39" t="str">
        <f>IF($A302="","",Strike_Log!E302)</f>
        <v/>
      </c>
      <c r="E302" s="39" t="str">
        <f>IF($A302="","",Strike_Log!F302)</f>
        <v/>
      </c>
      <c r="F302" s="39" t="str">
        <f>IF($A302="","",Strike_Log!H302)</f>
        <v/>
      </c>
      <c r="G302" s="39" t="str">
        <f t="shared" si="1"/>
        <v/>
      </c>
      <c r="H302" s="39" t="str">
        <f t="shared" si="2"/>
        <v/>
      </c>
      <c r="I302" s="39" t="str">
        <f>IF(Strike_Log!H302="Pending",Strike_Log!J302,"")</f>
        <v/>
      </c>
      <c r="J302" s="39"/>
      <c r="M302" s="39" t="str">
        <f t="shared" si="3"/>
        <v/>
      </c>
    </row>
    <row r="303" ht="15.75" customHeight="1">
      <c r="A303" s="39" t="str">
        <f>IF(Strike_Log!H303="Pending",Strike_Log!B303,"")</f>
        <v/>
      </c>
      <c r="B303" s="39" t="str">
        <f>IF($A303="","",IFERROR(VLOOKUP($A303,Grinders!$A:$B,2,FALSE),""))</f>
        <v/>
      </c>
      <c r="C303" s="39" t="str">
        <f>IF($A303="","",Strike_Log!A303)</f>
        <v/>
      </c>
      <c r="D303" s="39" t="str">
        <f>IF($A303="","",Strike_Log!E303)</f>
        <v/>
      </c>
      <c r="E303" s="39" t="str">
        <f>IF($A303="","",Strike_Log!F303)</f>
        <v/>
      </c>
      <c r="F303" s="39" t="str">
        <f>IF($A303="","",Strike_Log!H303)</f>
        <v/>
      </c>
      <c r="G303" s="39" t="str">
        <f t="shared" si="1"/>
        <v/>
      </c>
      <c r="H303" s="39" t="str">
        <f t="shared" si="2"/>
        <v/>
      </c>
      <c r="I303" s="39" t="str">
        <f>IF(Strike_Log!H303="Pending",Strike_Log!J303,"")</f>
        <v/>
      </c>
      <c r="J303" s="39"/>
      <c r="M303" s="39" t="str">
        <f t="shared" si="3"/>
        <v/>
      </c>
    </row>
    <row r="304" ht="15.75" customHeight="1">
      <c r="A304" s="39" t="str">
        <f>IF(Strike_Log!H304="Pending",Strike_Log!B304,"")</f>
        <v/>
      </c>
      <c r="B304" s="39" t="str">
        <f>IF($A304="","",IFERROR(VLOOKUP($A304,Grinders!$A:$B,2,FALSE),""))</f>
        <v/>
      </c>
      <c r="C304" s="39" t="str">
        <f>IF($A304="","",Strike_Log!A304)</f>
        <v/>
      </c>
      <c r="D304" s="39" t="str">
        <f>IF($A304="","",Strike_Log!E304)</f>
        <v/>
      </c>
      <c r="E304" s="39" t="str">
        <f>IF($A304="","",Strike_Log!F304)</f>
        <v/>
      </c>
      <c r="F304" s="39" t="str">
        <f>IF($A304="","",Strike_Log!H304)</f>
        <v/>
      </c>
      <c r="G304" s="39" t="str">
        <f t="shared" si="1"/>
        <v/>
      </c>
      <c r="H304" s="39" t="str">
        <f t="shared" si="2"/>
        <v/>
      </c>
      <c r="I304" s="39" t="str">
        <f>IF(Strike_Log!H304="Pending",Strike_Log!J304,"")</f>
        <v/>
      </c>
      <c r="J304" s="39"/>
      <c r="M304" s="39" t="str">
        <f t="shared" si="3"/>
        <v/>
      </c>
    </row>
    <row r="305" ht="15.75" customHeight="1">
      <c r="A305" s="39" t="str">
        <f>IF(Strike_Log!H305="Pending",Strike_Log!B305,"")</f>
        <v/>
      </c>
      <c r="B305" s="39" t="str">
        <f>IF($A305="","",IFERROR(VLOOKUP($A305,Grinders!$A:$B,2,FALSE),""))</f>
        <v/>
      </c>
      <c r="C305" s="39" t="str">
        <f>IF($A305="","",Strike_Log!A305)</f>
        <v/>
      </c>
      <c r="D305" s="39" t="str">
        <f>IF($A305="","",Strike_Log!E305)</f>
        <v/>
      </c>
      <c r="E305" s="39" t="str">
        <f>IF($A305="","",Strike_Log!F305)</f>
        <v/>
      </c>
      <c r="F305" s="39" t="str">
        <f>IF($A305="","",Strike_Log!H305)</f>
        <v/>
      </c>
      <c r="G305" s="39" t="str">
        <f t="shared" si="1"/>
        <v/>
      </c>
      <c r="H305" s="39" t="str">
        <f t="shared" si="2"/>
        <v/>
      </c>
      <c r="I305" s="39" t="str">
        <f>IF(Strike_Log!H305="Pending",Strike_Log!J305,"")</f>
        <v/>
      </c>
      <c r="J305" s="39"/>
      <c r="M305" s="39" t="str">
        <f t="shared" si="3"/>
        <v/>
      </c>
    </row>
    <row r="306" ht="15.75" customHeight="1">
      <c r="A306" s="39" t="str">
        <f>IF(Strike_Log!H306="Pending",Strike_Log!B306,"")</f>
        <v/>
      </c>
      <c r="B306" s="39" t="str">
        <f>IF($A306="","",IFERROR(VLOOKUP($A306,Grinders!$A:$B,2,FALSE),""))</f>
        <v/>
      </c>
      <c r="C306" s="39" t="str">
        <f>IF($A306="","",Strike_Log!A306)</f>
        <v/>
      </c>
      <c r="D306" s="39" t="str">
        <f>IF($A306="","",Strike_Log!E306)</f>
        <v/>
      </c>
      <c r="E306" s="39" t="str">
        <f>IF($A306="","",Strike_Log!F306)</f>
        <v/>
      </c>
      <c r="F306" s="39" t="str">
        <f>IF($A306="","",Strike_Log!H306)</f>
        <v/>
      </c>
      <c r="G306" s="39" t="str">
        <f t="shared" si="1"/>
        <v/>
      </c>
      <c r="H306" s="39" t="str">
        <f t="shared" si="2"/>
        <v/>
      </c>
      <c r="I306" s="39" t="str">
        <f>IF(Strike_Log!H306="Pending",Strike_Log!J306,"")</f>
        <v/>
      </c>
      <c r="J306" s="39"/>
      <c r="M306" s="39" t="str">
        <f t="shared" si="3"/>
        <v/>
      </c>
    </row>
    <row r="307" ht="15.75" customHeight="1">
      <c r="A307" s="39" t="str">
        <f>IF(Strike_Log!H307="Pending",Strike_Log!B307,"")</f>
        <v/>
      </c>
      <c r="B307" s="39" t="str">
        <f>IF($A307="","",IFERROR(VLOOKUP($A307,Grinders!$A:$B,2,FALSE),""))</f>
        <v/>
      </c>
      <c r="C307" s="39" t="str">
        <f>IF($A307="","",Strike_Log!A307)</f>
        <v/>
      </c>
      <c r="D307" s="39" t="str">
        <f>IF($A307="","",Strike_Log!E307)</f>
        <v/>
      </c>
      <c r="E307" s="39" t="str">
        <f>IF($A307="","",Strike_Log!F307)</f>
        <v/>
      </c>
      <c r="F307" s="39" t="str">
        <f>IF($A307="","",Strike_Log!H307)</f>
        <v/>
      </c>
      <c r="G307" s="39" t="str">
        <f t="shared" si="1"/>
        <v/>
      </c>
      <c r="H307" s="39" t="str">
        <f t="shared" si="2"/>
        <v/>
      </c>
      <c r="I307" s="39" t="str">
        <f>IF(Strike_Log!H307="Pending",Strike_Log!J307,"")</f>
        <v/>
      </c>
      <c r="J307" s="39"/>
      <c r="M307" s="39" t="str">
        <f t="shared" si="3"/>
        <v/>
      </c>
    </row>
    <row r="308" ht="15.75" customHeight="1">
      <c r="A308" s="39" t="str">
        <f>IF(Strike_Log!H308="Pending",Strike_Log!B308,"")</f>
        <v/>
      </c>
      <c r="B308" s="39" t="str">
        <f>IF($A308="","",IFERROR(VLOOKUP($A308,Grinders!$A:$B,2,FALSE),""))</f>
        <v/>
      </c>
      <c r="C308" s="39" t="str">
        <f>IF($A308="","",Strike_Log!A308)</f>
        <v/>
      </c>
      <c r="D308" s="39" t="str">
        <f>IF($A308="","",Strike_Log!E308)</f>
        <v/>
      </c>
      <c r="E308" s="39" t="str">
        <f>IF($A308="","",Strike_Log!F308)</f>
        <v/>
      </c>
      <c r="F308" s="39" t="str">
        <f>IF($A308="","",Strike_Log!H308)</f>
        <v/>
      </c>
      <c r="G308" s="39" t="str">
        <f t="shared" si="1"/>
        <v/>
      </c>
      <c r="H308" s="39" t="str">
        <f t="shared" si="2"/>
        <v/>
      </c>
      <c r="I308" s="39" t="str">
        <f>IF(Strike_Log!H308="Pending",Strike_Log!J308,"")</f>
        <v/>
      </c>
      <c r="J308" s="39"/>
      <c r="M308" s="39" t="str">
        <f t="shared" si="3"/>
        <v/>
      </c>
    </row>
    <row r="309" ht="15.75" customHeight="1">
      <c r="A309" s="39" t="str">
        <f>IF(Strike_Log!H309="Pending",Strike_Log!B309,"")</f>
        <v/>
      </c>
      <c r="B309" s="39" t="str">
        <f>IF($A309="","",IFERROR(VLOOKUP($A309,Grinders!$A:$B,2,FALSE),""))</f>
        <v/>
      </c>
      <c r="C309" s="39" t="str">
        <f>IF($A309="","",Strike_Log!A309)</f>
        <v/>
      </c>
      <c r="D309" s="39" t="str">
        <f>IF($A309="","",Strike_Log!E309)</f>
        <v/>
      </c>
      <c r="E309" s="39" t="str">
        <f>IF($A309="","",Strike_Log!F309)</f>
        <v/>
      </c>
      <c r="F309" s="39" t="str">
        <f>IF($A309="","",Strike_Log!H309)</f>
        <v/>
      </c>
      <c r="G309" s="39" t="str">
        <f t="shared" si="1"/>
        <v/>
      </c>
      <c r="H309" s="39" t="str">
        <f t="shared" si="2"/>
        <v/>
      </c>
      <c r="I309" s="39" t="str">
        <f>IF(Strike_Log!H309="Pending",Strike_Log!J309,"")</f>
        <v/>
      </c>
      <c r="J309" s="39"/>
      <c r="M309" s="39" t="str">
        <f t="shared" si="3"/>
        <v/>
      </c>
    </row>
    <row r="310" ht="15.75" customHeight="1">
      <c r="A310" s="39" t="str">
        <f>IF(Strike_Log!H310="Pending",Strike_Log!B310,"")</f>
        <v/>
      </c>
      <c r="B310" s="39" t="str">
        <f>IF($A310="","",IFERROR(VLOOKUP($A310,Grinders!$A:$B,2,FALSE),""))</f>
        <v/>
      </c>
      <c r="C310" s="39" t="str">
        <f>IF($A310="","",Strike_Log!A310)</f>
        <v/>
      </c>
      <c r="D310" s="39" t="str">
        <f>IF($A310="","",Strike_Log!E310)</f>
        <v/>
      </c>
      <c r="E310" s="39" t="str">
        <f>IF($A310="","",Strike_Log!F310)</f>
        <v/>
      </c>
      <c r="F310" s="39" t="str">
        <f>IF($A310="","",Strike_Log!H310)</f>
        <v/>
      </c>
      <c r="G310" s="39" t="str">
        <f t="shared" si="1"/>
        <v/>
      </c>
      <c r="H310" s="39" t="str">
        <f t="shared" si="2"/>
        <v/>
      </c>
      <c r="I310" s="39" t="str">
        <f>IF(Strike_Log!H310="Pending",Strike_Log!J310,"")</f>
        <v/>
      </c>
      <c r="J310" s="39"/>
      <c r="M310" s="39" t="str">
        <f t="shared" si="3"/>
        <v/>
      </c>
    </row>
    <row r="311" ht="15.75" customHeight="1">
      <c r="A311" s="39" t="str">
        <f>IF(Strike_Log!H311="Pending",Strike_Log!B311,"")</f>
        <v/>
      </c>
      <c r="B311" s="39" t="str">
        <f>IF($A311="","",IFERROR(VLOOKUP($A311,Grinders!$A:$B,2,FALSE),""))</f>
        <v/>
      </c>
      <c r="C311" s="39" t="str">
        <f>IF($A311="","",Strike_Log!A311)</f>
        <v/>
      </c>
      <c r="D311" s="39" t="str">
        <f>IF($A311="","",Strike_Log!E311)</f>
        <v/>
      </c>
      <c r="E311" s="39" t="str">
        <f>IF($A311="","",Strike_Log!F311)</f>
        <v/>
      </c>
      <c r="F311" s="39" t="str">
        <f>IF($A311="","",Strike_Log!H311)</f>
        <v/>
      </c>
      <c r="G311" s="39" t="str">
        <f t="shared" si="1"/>
        <v/>
      </c>
      <c r="H311" s="39" t="str">
        <f t="shared" si="2"/>
        <v/>
      </c>
      <c r="I311" s="39" t="str">
        <f>IF(Strike_Log!H311="Pending",Strike_Log!J311,"")</f>
        <v/>
      </c>
      <c r="J311" s="39"/>
      <c r="M311" s="39" t="str">
        <f t="shared" si="3"/>
        <v/>
      </c>
    </row>
    <row r="312" ht="15.75" customHeight="1">
      <c r="A312" s="39" t="str">
        <f>IF(Strike_Log!H312="Pending",Strike_Log!B312,"")</f>
        <v/>
      </c>
      <c r="B312" s="39" t="str">
        <f>IF($A312="","",IFERROR(VLOOKUP($A312,Grinders!$A:$B,2,FALSE),""))</f>
        <v/>
      </c>
      <c r="C312" s="39" t="str">
        <f>IF($A312="","",Strike_Log!A312)</f>
        <v/>
      </c>
      <c r="D312" s="39" t="str">
        <f>IF($A312="","",Strike_Log!E312)</f>
        <v/>
      </c>
      <c r="E312" s="39" t="str">
        <f>IF($A312="","",Strike_Log!F312)</f>
        <v/>
      </c>
      <c r="F312" s="39" t="str">
        <f>IF($A312="","",Strike_Log!H312)</f>
        <v/>
      </c>
      <c r="G312" s="39" t="str">
        <f t="shared" si="1"/>
        <v/>
      </c>
      <c r="H312" s="39" t="str">
        <f t="shared" si="2"/>
        <v/>
      </c>
      <c r="I312" s="39" t="str">
        <f>IF(Strike_Log!H312="Pending",Strike_Log!J312,"")</f>
        <v/>
      </c>
      <c r="J312" s="39"/>
      <c r="M312" s="39" t="str">
        <f t="shared" si="3"/>
        <v/>
      </c>
    </row>
    <row r="313" ht="15.75" customHeight="1">
      <c r="A313" s="39" t="str">
        <f>IF(Strike_Log!H313="Pending",Strike_Log!B313,"")</f>
        <v/>
      </c>
      <c r="B313" s="39" t="str">
        <f>IF($A313="","",IFERROR(VLOOKUP($A313,Grinders!$A:$B,2,FALSE),""))</f>
        <v/>
      </c>
      <c r="C313" s="39" t="str">
        <f>IF($A313="","",Strike_Log!A313)</f>
        <v/>
      </c>
      <c r="D313" s="39" t="str">
        <f>IF($A313="","",Strike_Log!E313)</f>
        <v/>
      </c>
      <c r="E313" s="39" t="str">
        <f>IF($A313="","",Strike_Log!F313)</f>
        <v/>
      </c>
      <c r="F313" s="39" t="str">
        <f>IF($A313="","",Strike_Log!H313)</f>
        <v/>
      </c>
      <c r="G313" s="39" t="str">
        <f t="shared" si="1"/>
        <v/>
      </c>
      <c r="H313" s="39" t="str">
        <f t="shared" si="2"/>
        <v/>
      </c>
      <c r="I313" s="39" t="str">
        <f>IF(Strike_Log!H313="Pending",Strike_Log!J313,"")</f>
        <v/>
      </c>
      <c r="J313" s="39"/>
      <c r="M313" s="39" t="str">
        <f t="shared" si="3"/>
        <v/>
      </c>
    </row>
    <row r="314" ht="15.75" customHeight="1">
      <c r="A314" s="39" t="str">
        <f>IF(Strike_Log!H314="Pending",Strike_Log!B314,"")</f>
        <v/>
      </c>
      <c r="B314" s="39" t="str">
        <f>IF($A314="","",IFERROR(VLOOKUP($A314,Grinders!$A:$B,2,FALSE),""))</f>
        <v/>
      </c>
      <c r="C314" s="39" t="str">
        <f>IF($A314="","",Strike_Log!A314)</f>
        <v/>
      </c>
      <c r="D314" s="39" t="str">
        <f>IF($A314="","",Strike_Log!E314)</f>
        <v/>
      </c>
      <c r="E314" s="39" t="str">
        <f>IF($A314="","",Strike_Log!F314)</f>
        <v/>
      </c>
      <c r="F314" s="39" t="str">
        <f>IF($A314="","",Strike_Log!H314)</f>
        <v/>
      </c>
      <c r="G314" s="39" t="str">
        <f t="shared" si="1"/>
        <v/>
      </c>
      <c r="H314" s="39" t="str">
        <f t="shared" si="2"/>
        <v/>
      </c>
      <c r="I314" s="39" t="str">
        <f>IF(Strike_Log!H314="Pending",Strike_Log!J314,"")</f>
        <v/>
      </c>
      <c r="J314" s="39"/>
      <c r="M314" s="39" t="str">
        <f t="shared" si="3"/>
        <v/>
      </c>
    </row>
    <row r="315" ht="15.75" customHeight="1">
      <c r="A315" s="39" t="str">
        <f>IF(Strike_Log!H315="Pending",Strike_Log!B315,"")</f>
        <v/>
      </c>
      <c r="B315" s="39" t="str">
        <f>IF($A315="","",IFERROR(VLOOKUP($A315,Grinders!$A:$B,2,FALSE),""))</f>
        <v/>
      </c>
      <c r="C315" s="39" t="str">
        <f>IF($A315="","",Strike_Log!A315)</f>
        <v/>
      </c>
      <c r="D315" s="39" t="str">
        <f>IF($A315="","",Strike_Log!E315)</f>
        <v/>
      </c>
      <c r="E315" s="39" t="str">
        <f>IF($A315="","",Strike_Log!F315)</f>
        <v/>
      </c>
      <c r="F315" s="39" t="str">
        <f>IF($A315="","",Strike_Log!H315)</f>
        <v/>
      </c>
      <c r="G315" s="39" t="str">
        <f t="shared" si="1"/>
        <v/>
      </c>
      <c r="H315" s="39" t="str">
        <f t="shared" si="2"/>
        <v/>
      </c>
      <c r="I315" s="39" t="str">
        <f>IF(Strike_Log!H315="Pending",Strike_Log!J315,"")</f>
        <v/>
      </c>
      <c r="J315" s="39"/>
      <c r="M315" s="39" t="str">
        <f t="shared" si="3"/>
        <v/>
      </c>
    </row>
    <row r="316" ht="15.75" customHeight="1">
      <c r="A316" s="39" t="str">
        <f>IF(Strike_Log!H316="Pending",Strike_Log!B316,"")</f>
        <v/>
      </c>
      <c r="B316" s="39" t="str">
        <f>IF($A316="","",IFERROR(VLOOKUP($A316,Grinders!$A:$B,2,FALSE),""))</f>
        <v/>
      </c>
      <c r="C316" s="39" t="str">
        <f>IF($A316="","",Strike_Log!A316)</f>
        <v/>
      </c>
      <c r="D316" s="39" t="str">
        <f>IF($A316="","",Strike_Log!E316)</f>
        <v/>
      </c>
      <c r="E316" s="39" t="str">
        <f>IF($A316="","",Strike_Log!F316)</f>
        <v/>
      </c>
      <c r="F316" s="39" t="str">
        <f>IF($A316="","",Strike_Log!H316)</f>
        <v/>
      </c>
      <c r="G316" s="39" t="str">
        <f t="shared" si="1"/>
        <v/>
      </c>
      <c r="H316" s="39" t="str">
        <f t="shared" si="2"/>
        <v/>
      </c>
      <c r="I316" s="39" t="str">
        <f>IF(Strike_Log!H316="Pending",Strike_Log!J316,"")</f>
        <v/>
      </c>
      <c r="J316" s="39"/>
      <c r="M316" s="39" t="str">
        <f t="shared" si="3"/>
        <v/>
      </c>
    </row>
    <row r="317" ht="15.75" customHeight="1">
      <c r="A317" s="39" t="str">
        <f>IF(Strike_Log!H317="Pending",Strike_Log!B317,"")</f>
        <v/>
      </c>
      <c r="B317" s="39" t="str">
        <f>IF($A317="","",IFERROR(VLOOKUP($A317,Grinders!$A:$B,2,FALSE),""))</f>
        <v/>
      </c>
      <c r="C317" s="39" t="str">
        <f>IF($A317="","",Strike_Log!A317)</f>
        <v/>
      </c>
      <c r="D317" s="39" t="str">
        <f>IF($A317="","",Strike_Log!E317)</f>
        <v/>
      </c>
      <c r="E317" s="39" t="str">
        <f>IF($A317="","",Strike_Log!F317)</f>
        <v/>
      </c>
      <c r="F317" s="39" t="str">
        <f>IF($A317="","",Strike_Log!H317)</f>
        <v/>
      </c>
      <c r="G317" s="39" t="str">
        <f t="shared" si="1"/>
        <v/>
      </c>
      <c r="H317" s="39" t="str">
        <f t="shared" si="2"/>
        <v/>
      </c>
      <c r="I317" s="39" t="str">
        <f>IF(Strike_Log!H317="Pending",Strike_Log!J317,"")</f>
        <v/>
      </c>
      <c r="J317" s="39"/>
      <c r="M317" s="39" t="str">
        <f t="shared" si="3"/>
        <v/>
      </c>
    </row>
    <row r="318" ht="15.75" customHeight="1">
      <c r="A318" s="39" t="str">
        <f>IF(Strike_Log!H318="Pending",Strike_Log!B318,"")</f>
        <v/>
      </c>
      <c r="B318" s="39" t="str">
        <f>IF($A318="","",IFERROR(VLOOKUP($A318,Grinders!$A:$B,2,FALSE),""))</f>
        <v/>
      </c>
      <c r="C318" s="39" t="str">
        <f>IF($A318="","",Strike_Log!A318)</f>
        <v/>
      </c>
      <c r="D318" s="39" t="str">
        <f>IF($A318="","",Strike_Log!E318)</f>
        <v/>
      </c>
      <c r="E318" s="39" t="str">
        <f>IF($A318="","",Strike_Log!F318)</f>
        <v/>
      </c>
      <c r="F318" s="39" t="str">
        <f>IF($A318="","",Strike_Log!H318)</f>
        <v/>
      </c>
      <c r="G318" s="39" t="str">
        <f t="shared" si="1"/>
        <v/>
      </c>
      <c r="H318" s="39" t="str">
        <f t="shared" si="2"/>
        <v/>
      </c>
      <c r="I318" s="39" t="str">
        <f>IF(Strike_Log!H318="Pending",Strike_Log!J318,"")</f>
        <v/>
      </c>
      <c r="J318" s="39"/>
      <c r="M318" s="39" t="str">
        <f t="shared" si="3"/>
        <v/>
      </c>
    </row>
    <row r="319" ht="15.75" customHeight="1">
      <c r="A319" s="39" t="str">
        <f>IF(Strike_Log!H319="Pending",Strike_Log!B319,"")</f>
        <v/>
      </c>
      <c r="B319" s="39" t="str">
        <f>IF($A319="","",IFERROR(VLOOKUP($A319,Grinders!$A:$B,2,FALSE),""))</f>
        <v/>
      </c>
      <c r="C319" s="39" t="str">
        <f>IF($A319="","",Strike_Log!A319)</f>
        <v/>
      </c>
      <c r="D319" s="39" t="str">
        <f>IF($A319="","",Strike_Log!E319)</f>
        <v/>
      </c>
      <c r="E319" s="39" t="str">
        <f>IF($A319="","",Strike_Log!F319)</f>
        <v/>
      </c>
      <c r="F319" s="39" t="str">
        <f>IF($A319="","",Strike_Log!H319)</f>
        <v/>
      </c>
      <c r="G319" s="39" t="str">
        <f t="shared" si="1"/>
        <v/>
      </c>
      <c r="H319" s="39" t="str">
        <f t="shared" si="2"/>
        <v/>
      </c>
      <c r="I319" s="39" t="str">
        <f>IF(Strike_Log!H319="Pending",Strike_Log!J319,"")</f>
        <v/>
      </c>
      <c r="J319" s="39"/>
      <c r="M319" s="39" t="str">
        <f t="shared" si="3"/>
        <v/>
      </c>
    </row>
    <row r="320" ht="15.75" customHeight="1">
      <c r="A320" s="39" t="str">
        <f>IF(Strike_Log!H320="Pending",Strike_Log!B320,"")</f>
        <v/>
      </c>
      <c r="B320" s="39" t="str">
        <f>IF($A320="","",IFERROR(VLOOKUP($A320,Grinders!$A:$B,2,FALSE),""))</f>
        <v/>
      </c>
      <c r="C320" s="39" t="str">
        <f>IF($A320="","",Strike_Log!A320)</f>
        <v/>
      </c>
      <c r="D320" s="39" t="str">
        <f>IF($A320="","",Strike_Log!E320)</f>
        <v/>
      </c>
      <c r="E320" s="39" t="str">
        <f>IF($A320="","",Strike_Log!F320)</f>
        <v/>
      </c>
      <c r="F320" s="39" t="str">
        <f>IF($A320="","",Strike_Log!H320)</f>
        <v/>
      </c>
      <c r="G320" s="39" t="str">
        <f t="shared" si="1"/>
        <v/>
      </c>
      <c r="H320" s="39" t="str">
        <f t="shared" si="2"/>
        <v/>
      </c>
      <c r="I320" s="39" t="str">
        <f>IF(Strike_Log!H320="Pending",Strike_Log!J320,"")</f>
        <v/>
      </c>
      <c r="J320" s="39"/>
      <c r="M320" s="39" t="str">
        <f t="shared" si="3"/>
        <v/>
      </c>
    </row>
    <row r="321" ht="15.75" customHeight="1">
      <c r="A321" s="39" t="str">
        <f>IF(Strike_Log!H321="Pending",Strike_Log!B321,"")</f>
        <v/>
      </c>
      <c r="B321" s="39" t="str">
        <f>IF($A321="","",IFERROR(VLOOKUP($A321,Grinders!$A:$B,2,FALSE),""))</f>
        <v/>
      </c>
      <c r="C321" s="39" t="str">
        <f>IF($A321="","",Strike_Log!A321)</f>
        <v/>
      </c>
      <c r="D321" s="39" t="str">
        <f>IF($A321="","",Strike_Log!E321)</f>
        <v/>
      </c>
      <c r="E321" s="39" t="str">
        <f>IF($A321="","",Strike_Log!F321)</f>
        <v/>
      </c>
      <c r="F321" s="39" t="str">
        <f>IF($A321="","",Strike_Log!H321)</f>
        <v/>
      </c>
      <c r="G321" s="39" t="str">
        <f t="shared" si="1"/>
        <v/>
      </c>
      <c r="H321" s="39" t="str">
        <f t="shared" si="2"/>
        <v/>
      </c>
      <c r="I321" s="39" t="str">
        <f>IF(Strike_Log!H321="Pending",Strike_Log!J321,"")</f>
        <v/>
      </c>
      <c r="J321" s="39"/>
      <c r="M321" s="39" t="str">
        <f t="shared" si="3"/>
        <v/>
      </c>
    </row>
    <row r="322" ht="15.75" customHeight="1">
      <c r="A322" s="39" t="str">
        <f>IF(Strike_Log!H322="Pending",Strike_Log!B322,"")</f>
        <v/>
      </c>
      <c r="B322" s="39" t="str">
        <f>IF($A322="","",IFERROR(VLOOKUP($A322,Grinders!$A:$B,2,FALSE),""))</f>
        <v/>
      </c>
      <c r="C322" s="39" t="str">
        <f>IF($A322="","",Strike_Log!A322)</f>
        <v/>
      </c>
      <c r="D322" s="39" t="str">
        <f>IF($A322="","",Strike_Log!E322)</f>
        <v/>
      </c>
      <c r="E322" s="39" t="str">
        <f>IF($A322="","",Strike_Log!F322)</f>
        <v/>
      </c>
      <c r="F322" s="39" t="str">
        <f>IF($A322="","",Strike_Log!H322)</f>
        <v/>
      </c>
      <c r="G322" s="39" t="str">
        <f t="shared" si="1"/>
        <v/>
      </c>
      <c r="H322" s="39" t="str">
        <f t="shared" si="2"/>
        <v/>
      </c>
      <c r="I322" s="39" t="str">
        <f>IF(Strike_Log!H322="Pending",Strike_Log!J322,"")</f>
        <v/>
      </c>
      <c r="J322" s="39"/>
      <c r="M322" s="39" t="str">
        <f t="shared" si="3"/>
        <v/>
      </c>
    </row>
    <row r="323" ht="15.75" customHeight="1">
      <c r="A323" s="39" t="str">
        <f>IF(Strike_Log!H323="Pending",Strike_Log!B323,"")</f>
        <v/>
      </c>
      <c r="B323" s="39" t="str">
        <f>IF($A323="","",IFERROR(VLOOKUP($A323,Grinders!$A:$B,2,FALSE),""))</f>
        <v/>
      </c>
      <c r="C323" s="39" t="str">
        <f>IF($A323="","",Strike_Log!A323)</f>
        <v/>
      </c>
      <c r="D323" s="39" t="str">
        <f>IF($A323="","",Strike_Log!E323)</f>
        <v/>
      </c>
      <c r="E323" s="39" t="str">
        <f>IF($A323="","",Strike_Log!F323)</f>
        <v/>
      </c>
      <c r="F323" s="39" t="str">
        <f>IF($A323="","",Strike_Log!H323)</f>
        <v/>
      </c>
      <c r="G323" s="39" t="str">
        <f t="shared" si="1"/>
        <v/>
      </c>
      <c r="H323" s="39" t="str">
        <f t="shared" si="2"/>
        <v/>
      </c>
      <c r="I323" s="39" t="str">
        <f>IF(Strike_Log!H323="Pending",Strike_Log!J323,"")</f>
        <v/>
      </c>
      <c r="J323" s="39"/>
      <c r="M323" s="39" t="str">
        <f t="shared" si="3"/>
        <v/>
      </c>
    </row>
    <row r="324" ht="15.75" customHeight="1">
      <c r="A324" s="39" t="str">
        <f>IF(Strike_Log!H324="Pending",Strike_Log!B324,"")</f>
        <v/>
      </c>
      <c r="B324" s="39" t="str">
        <f>IF($A324="","",IFERROR(VLOOKUP($A324,Grinders!$A:$B,2,FALSE),""))</f>
        <v/>
      </c>
      <c r="C324" s="39" t="str">
        <f>IF($A324="","",Strike_Log!A324)</f>
        <v/>
      </c>
      <c r="D324" s="39" t="str">
        <f>IF($A324="","",Strike_Log!E324)</f>
        <v/>
      </c>
      <c r="E324" s="39" t="str">
        <f>IF($A324="","",Strike_Log!F324)</f>
        <v/>
      </c>
      <c r="F324" s="39" t="str">
        <f>IF($A324="","",Strike_Log!H324)</f>
        <v/>
      </c>
      <c r="G324" s="39" t="str">
        <f t="shared" si="1"/>
        <v/>
      </c>
      <c r="H324" s="39" t="str">
        <f t="shared" si="2"/>
        <v/>
      </c>
      <c r="I324" s="39" t="str">
        <f>IF(Strike_Log!H324="Pending",Strike_Log!J324,"")</f>
        <v/>
      </c>
      <c r="J324" s="39"/>
      <c r="M324" s="39" t="str">
        <f t="shared" si="3"/>
        <v/>
      </c>
    </row>
    <row r="325" ht="15.75" customHeight="1">
      <c r="A325" s="39" t="str">
        <f>IF(Strike_Log!H325="Pending",Strike_Log!B325,"")</f>
        <v/>
      </c>
      <c r="B325" s="39" t="str">
        <f>IF($A325="","",IFERROR(VLOOKUP($A325,Grinders!$A:$B,2,FALSE),""))</f>
        <v/>
      </c>
      <c r="C325" s="39" t="str">
        <f>IF($A325="","",Strike_Log!A325)</f>
        <v/>
      </c>
      <c r="D325" s="39" t="str">
        <f>IF($A325="","",Strike_Log!E325)</f>
        <v/>
      </c>
      <c r="E325" s="39" t="str">
        <f>IF($A325="","",Strike_Log!F325)</f>
        <v/>
      </c>
      <c r="F325" s="39" t="str">
        <f>IF($A325="","",Strike_Log!H325)</f>
        <v/>
      </c>
      <c r="G325" s="39" t="str">
        <f t="shared" si="1"/>
        <v/>
      </c>
      <c r="H325" s="39" t="str">
        <f t="shared" si="2"/>
        <v/>
      </c>
      <c r="I325" s="39" t="str">
        <f>IF(Strike_Log!H325="Pending",Strike_Log!J325,"")</f>
        <v/>
      </c>
      <c r="J325" s="39"/>
      <c r="M325" s="39" t="str">
        <f t="shared" si="3"/>
        <v/>
      </c>
    </row>
    <row r="326" ht="15.75" customHeight="1">
      <c r="A326" s="39" t="str">
        <f>IF(Strike_Log!H326="Pending",Strike_Log!B326,"")</f>
        <v/>
      </c>
      <c r="B326" s="39" t="str">
        <f>IF($A326="","",IFERROR(VLOOKUP($A326,Grinders!$A:$B,2,FALSE),""))</f>
        <v/>
      </c>
      <c r="C326" s="39" t="str">
        <f>IF($A326="","",Strike_Log!A326)</f>
        <v/>
      </c>
      <c r="D326" s="39" t="str">
        <f>IF($A326="","",Strike_Log!E326)</f>
        <v/>
      </c>
      <c r="E326" s="39" t="str">
        <f>IF($A326="","",Strike_Log!F326)</f>
        <v/>
      </c>
      <c r="F326" s="39" t="str">
        <f>IF($A326="","",Strike_Log!H326)</f>
        <v/>
      </c>
      <c r="G326" s="39" t="str">
        <f t="shared" si="1"/>
        <v/>
      </c>
      <c r="H326" s="39" t="str">
        <f t="shared" si="2"/>
        <v/>
      </c>
      <c r="I326" s="39" t="str">
        <f>IF(Strike_Log!H326="Pending",Strike_Log!J326,"")</f>
        <v/>
      </c>
      <c r="J326" s="39"/>
      <c r="M326" s="39" t="str">
        <f t="shared" si="3"/>
        <v/>
      </c>
    </row>
    <row r="327" ht="15.75" customHeight="1">
      <c r="A327" s="39" t="str">
        <f>IF(Strike_Log!H327="Pending",Strike_Log!B327,"")</f>
        <v/>
      </c>
      <c r="B327" s="39" t="str">
        <f>IF($A327="","",IFERROR(VLOOKUP($A327,Grinders!$A:$B,2,FALSE),""))</f>
        <v/>
      </c>
      <c r="C327" s="39" t="str">
        <f>IF($A327="","",Strike_Log!A327)</f>
        <v/>
      </c>
      <c r="D327" s="39" t="str">
        <f>IF($A327="","",Strike_Log!E327)</f>
        <v/>
      </c>
      <c r="E327" s="39" t="str">
        <f>IF($A327="","",Strike_Log!F327)</f>
        <v/>
      </c>
      <c r="F327" s="39" t="str">
        <f>IF($A327="","",Strike_Log!H327)</f>
        <v/>
      </c>
      <c r="G327" s="39" t="str">
        <f t="shared" si="1"/>
        <v/>
      </c>
      <c r="H327" s="39" t="str">
        <f t="shared" si="2"/>
        <v/>
      </c>
      <c r="I327" s="39" t="str">
        <f>IF(Strike_Log!H327="Pending",Strike_Log!J327,"")</f>
        <v/>
      </c>
      <c r="J327" s="39"/>
      <c r="M327" s="39" t="str">
        <f t="shared" si="3"/>
        <v/>
      </c>
    </row>
    <row r="328" ht="15.75" customHeight="1">
      <c r="A328" s="39" t="str">
        <f>IF(Strike_Log!H328="Pending",Strike_Log!B328,"")</f>
        <v/>
      </c>
      <c r="B328" s="39" t="str">
        <f>IF($A328="","",IFERROR(VLOOKUP($A328,Grinders!$A:$B,2,FALSE),""))</f>
        <v/>
      </c>
      <c r="C328" s="39" t="str">
        <f>IF($A328="","",Strike_Log!A328)</f>
        <v/>
      </c>
      <c r="D328" s="39" t="str">
        <f>IF($A328="","",Strike_Log!E328)</f>
        <v/>
      </c>
      <c r="E328" s="39" t="str">
        <f>IF($A328="","",Strike_Log!F328)</f>
        <v/>
      </c>
      <c r="F328" s="39" t="str">
        <f>IF($A328="","",Strike_Log!H328)</f>
        <v/>
      </c>
      <c r="G328" s="39" t="str">
        <f t="shared" si="1"/>
        <v/>
      </c>
      <c r="H328" s="39" t="str">
        <f t="shared" si="2"/>
        <v/>
      </c>
      <c r="I328" s="39" t="str">
        <f>IF(Strike_Log!H328="Pending",Strike_Log!J328,"")</f>
        <v/>
      </c>
      <c r="J328" s="39"/>
      <c r="M328" s="39" t="str">
        <f t="shared" si="3"/>
        <v/>
      </c>
    </row>
    <row r="329" ht="15.75" customHeight="1">
      <c r="A329" s="39" t="str">
        <f>IF(Strike_Log!H329="Pending",Strike_Log!B329,"")</f>
        <v/>
      </c>
      <c r="B329" s="39" t="str">
        <f>IF($A329="","",IFERROR(VLOOKUP($A329,Grinders!$A:$B,2,FALSE),""))</f>
        <v/>
      </c>
      <c r="C329" s="39" t="str">
        <f>IF($A329="","",Strike_Log!A329)</f>
        <v/>
      </c>
      <c r="D329" s="39" t="str">
        <f>IF($A329="","",Strike_Log!E329)</f>
        <v/>
      </c>
      <c r="E329" s="39" t="str">
        <f>IF($A329="","",Strike_Log!F329)</f>
        <v/>
      </c>
      <c r="F329" s="39" t="str">
        <f>IF($A329="","",Strike_Log!H329)</f>
        <v/>
      </c>
      <c r="G329" s="39" t="str">
        <f t="shared" si="1"/>
        <v/>
      </c>
      <c r="H329" s="39" t="str">
        <f t="shared" si="2"/>
        <v/>
      </c>
      <c r="I329" s="39" t="str">
        <f>IF(Strike_Log!H329="Pending",Strike_Log!J329,"")</f>
        <v/>
      </c>
      <c r="J329" s="39"/>
      <c r="M329" s="39" t="str">
        <f t="shared" si="3"/>
        <v/>
      </c>
    </row>
    <row r="330" ht="15.75" customHeight="1">
      <c r="A330" s="39" t="str">
        <f>IF(Strike_Log!H330="Pending",Strike_Log!B330,"")</f>
        <v/>
      </c>
      <c r="B330" s="39" t="str">
        <f>IF($A330="","",IFERROR(VLOOKUP($A330,Grinders!$A:$B,2,FALSE),""))</f>
        <v/>
      </c>
      <c r="C330" s="39" t="str">
        <f>IF($A330="","",Strike_Log!A330)</f>
        <v/>
      </c>
      <c r="D330" s="39" t="str">
        <f>IF($A330="","",Strike_Log!E330)</f>
        <v/>
      </c>
      <c r="E330" s="39" t="str">
        <f>IF($A330="","",Strike_Log!F330)</f>
        <v/>
      </c>
      <c r="F330" s="39" t="str">
        <f>IF($A330="","",Strike_Log!H330)</f>
        <v/>
      </c>
      <c r="G330" s="39" t="str">
        <f t="shared" si="1"/>
        <v/>
      </c>
      <c r="H330" s="39" t="str">
        <f t="shared" si="2"/>
        <v/>
      </c>
      <c r="I330" s="39" t="str">
        <f>IF(Strike_Log!H330="Pending",Strike_Log!J330,"")</f>
        <v/>
      </c>
      <c r="J330" s="39"/>
      <c r="M330" s="39" t="str">
        <f t="shared" si="3"/>
        <v/>
      </c>
    </row>
    <row r="331" ht="15.75" customHeight="1">
      <c r="A331" s="39" t="str">
        <f>IF(Strike_Log!H331="Pending",Strike_Log!B331,"")</f>
        <v/>
      </c>
      <c r="B331" s="39" t="str">
        <f>IF($A331="","",IFERROR(VLOOKUP($A331,Grinders!$A:$B,2,FALSE),""))</f>
        <v/>
      </c>
      <c r="C331" s="39" t="str">
        <f>IF($A331="","",Strike_Log!A331)</f>
        <v/>
      </c>
      <c r="D331" s="39" t="str">
        <f>IF($A331="","",Strike_Log!E331)</f>
        <v/>
      </c>
      <c r="E331" s="39" t="str">
        <f>IF($A331="","",Strike_Log!F331)</f>
        <v/>
      </c>
      <c r="F331" s="39" t="str">
        <f>IF($A331="","",Strike_Log!H331)</f>
        <v/>
      </c>
      <c r="G331" s="39" t="str">
        <f t="shared" si="1"/>
        <v/>
      </c>
      <c r="H331" s="39" t="str">
        <f t="shared" si="2"/>
        <v/>
      </c>
      <c r="I331" s="39" t="str">
        <f>IF(Strike_Log!H331="Pending",Strike_Log!J331,"")</f>
        <v/>
      </c>
      <c r="J331" s="39"/>
      <c r="M331" s="39" t="str">
        <f t="shared" si="3"/>
        <v/>
      </c>
    </row>
    <row r="332" ht="15.75" customHeight="1">
      <c r="A332" s="39" t="str">
        <f>IF(Strike_Log!H332="Pending",Strike_Log!B332,"")</f>
        <v/>
      </c>
      <c r="B332" s="39" t="str">
        <f>IF($A332="","",IFERROR(VLOOKUP($A332,Grinders!$A:$B,2,FALSE),""))</f>
        <v/>
      </c>
      <c r="C332" s="39" t="str">
        <f>IF($A332="","",Strike_Log!A332)</f>
        <v/>
      </c>
      <c r="D332" s="39" t="str">
        <f>IF($A332="","",Strike_Log!E332)</f>
        <v/>
      </c>
      <c r="E332" s="39" t="str">
        <f>IF($A332="","",Strike_Log!F332)</f>
        <v/>
      </c>
      <c r="F332" s="39" t="str">
        <f>IF($A332="","",Strike_Log!H332)</f>
        <v/>
      </c>
      <c r="G332" s="39" t="str">
        <f t="shared" si="1"/>
        <v/>
      </c>
      <c r="H332" s="39" t="str">
        <f t="shared" si="2"/>
        <v/>
      </c>
      <c r="I332" s="39" t="str">
        <f>IF(Strike_Log!H332="Pending",Strike_Log!J332,"")</f>
        <v/>
      </c>
      <c r="J332" s="39"/>
      <c r="M332" s="39" t="str">
        <f t="shared" si="3"/>
        <v/>
      </c>
    </row>
    <row r="333" ht="15.75" customHeight="1">
      <c r="A333" s="39" t="str">
        <f>IF(Strike_Log!H333="Pending",Strike_Log!B333,"")</f>
        <v/>
      </c>
      <c r="B333" s="39" t="str">
        <f>IF($A333="","",IFERROR(VLOOKUP($A333,Grinders!$A:$B,2,FALSE),""))</f>
        <v/>
      </c>
      <c r="C333" s="39" t="str">
        <f>IF($A333="","",Strike_Log!A333)</f>
        <v/>
      </c>
      <c r="D333" s="39" t="str">
        <f>IF($A333="","",Strike_Log!E333)</f>
        <v/>
      </c>
      <c r="E333" s="39" t="str">
        <f>IF($A333="","",Strike_Log!F333)</f>
        <v/>
      </c>
      <c r="F333" s="39" t="str">
        <f>IF($A333="","",Strike_Log!H333)</f>
        <v/>
      </c>
      <c r="G333" s="39" t="str">
        <f t="shared" si="1"/>
        <v/>
      </c>
      <c r="H333" s="39" t="str">
        <f t="shared" si="2"/>
        <v/>
      </c>
      <c r="I333" s="39" t="str">
        <f>IF(Strike_Log!H333="Pending",Strike_Log!J333,"")</f>
        <v/>
      </c>
      <c r="J333" s="39"/>
      <c r="M333" s="39" t="str">
        <f t="shared" si="3"/>
        <v/>
      </c>
    </row>
    <row r="334" ht="15.75" customHeight="1">
      <c r="A334" s="39" t="str">
        <f>IF(Strike_Log!H334="Pending",Strike_Log!B334,"")</f>
        <v/>
      </c>
      <c r="B334" s="39" t="str">
        <f>IF($A334="","",IFERROR(VLOOKUP($A334,Grinders!$A:$B,2,FALSE),""))</f>
        <v/>
      </c>
      <c r="C334" s="39" t="str">
        <f>IF($A334="","",Strike_Log!A334)</f>
        <v/>
      </c>
      <c r="D334" s="39" t="str">
        <f>IF($A334="","",Strike_Log!E334)</f>
        <v/>
      </c>
      <c r="E334" s="39" t="str">
        <f>IF($A334="","",Strike_Log!F334)</f>
        <v/>
      </c>
      <c r="F334" s="39" t="str">
        <f>IF($A334="","",Strike_Log!H334)</f>
        <v/>
      </c>
      <c r="G334" s="39" t="str">
        <f t="shared" si="1"/>
        <v/>
      </c>
      <c r="H334" s="39" t="str">
        <f t="shared" si="2"/>
        <v/>
      </c>
      <c r="I334" s="39" t="str">
        <f>IF(Strike_Log!H334="Pending",Strike_Log!J334,"")</f>
        <v/>
      </c>
      <c r="J334" s="39"/>
      <c r="M334" s="39" t="str">
        <f t="shared" si="3"/>
        <v/>
      </c>
    </row>
    <row r="335" ht="15.75" customHeight="1">
      <c r="A335" s="39" t="str">
        <f>IF(Strike_Log!H335="Pending",Strike_Log!B335,"")</f>
        <v/>
      </c>
      <c r="B335" s="39" t="str">
        <f>IF($A335="","",IFERROR(VLOOKUP($A335,Grinders!$A:$B,2,FALSE),""))</f>
        <v/>
      </c>
      <c r="C335" s="39" t="str">
        <f>IF($A335="","",Strike_Log!A335)</f>
        <v/>
      </c>
      <c r="D335" s="39" t="str">
        <f>IF($A335="","",Strike_Log!E335)</f>
        <v/>
      </c>
      <c r="E335" s="39" t="str">
        <f>IF($A335="","",Strike_Log!F335)</f>
        <v/>
      </c>
      <c r="F335" s="39" t="str">
        <f>IF($A335="","",Strike_Log!H335)</f>
        <v/>
      </c>
      <c r="G335" s="39" t="str">
        <f t="shared" si="1"/>
        <v/>
      </c>
      <c r="H335" s="39" t="str">
        <f t="shared" si="2"/>
        <v/>
      </c>
      <c r="I335" s="39" t="str">
        <f>IF(Strike_Log!H335="Pending",Strike_Log!J335,"")</f>
        <v/>
      </c>
      <c r="J335" s="39"/>
      <c r="M335" s="39" t="str">
        <f t="shared" si="3"/>
        <v/>
      </c>
    </row>
    <row r="336" ht="15.75" customHeight="1">
      <c r="A336" s="39" t="str">
        <f>IF(Strike_Log!H336="Pending",Strike_Log!B336,"")</f>
        <v/>
      </c>
      <c r="B336" s="39" t="str">
        <f>IF($A336="","",IFERROR(VLOOKUP($A336,Grinders!$A:$B,2,FALSE),""))</f>
        <v/>
      </c>
      <c r="C336" s="39" t="str">
        <f>IF($A336="","",Strike_Log!A336)</f>
        <v/>
      </c>
      <c r="D336" s="39" t="str">
        <f>IF($A336="","",Strike_Log!E336)</f>
        <v/>
      </c>
      <c r="E336" s="39" t="str">
        <f>IF($A336="","",Strike_Log!F336)</f>
        <v/>
      </c>
      <c r="F336" s="39" t="str">
        <f>IF($A336="","",Strike_Log!H336)</f>
        <v/>
      </c>
      <c r="G336" s="39" t="str">
        <f t="shared" si="1"/>
        <v/>
      </c>
      <c r="H336" s="39" t="str">
        <f t="shared" si="2"/>
        <v/>
      </c>
      <c r="I336" s="39" t="str">
        <f>IF(Strike_Log!H336="Pending",Strike_Log!J336,"")</f>
        <v/>
      </c>
      <c r="J336" s="39"/>
      <c r="M336" s="39" t="str">
        <f t="shared" si="3"/>
        <v/>
      </c>
    </row>
    <row r="337" ht="15.75" customHeight="1">
      <c r="A337" s="39" t="str">
        <f>IF(Strike_Log!H337="Pending",Strike_Log!B337,"")</f>
        <v/>
      </c>
      <c r="B337" s="39" t="str">
        <f>IF($A337="","",IFERROR(VLOOKUP($A337,Grinders!$A:$B,2,FALSE),""))</f>
        <v/>
      </c>
      <c r="C337" s="39" t="str">
        <f>IF($A337="","",Strike_Log!A337)</f>
        <v/>
      </c>
      <c r="D337" s="39" t="str">
        <f>IF($A337="","",Strike_Log!E337)</f>
        <v/>
      </c>
      <c r="E337" s="39" t="str">
        <f>IF($A337="","",Strike_Log!F337)</f>
        <v/>
      </c>
      <c r="F337" s="39" t="str">
        <f>IF($A337="","",Strike_Log!H337)</f>
        <v/>
      </c>
      <c r="G337" s="39" t="str">
        <f t="shared" si="1"/>
        <v/>
      </c>
      <c r="H337" s="39" t="str">
        <f t="shared" si="2"/>
        <v/>
      </c>
      <c r="I337" s="39" t="str">
        <f>IF(Strike_Log!H337="Pending",Strike_Log!J337,"")</f>
        <v/>
      </c>
      <c r="J337" s="39"/>
      <c r="M337" s="39" t="str">
        <f t="shared" si="3"/>
        <v/>
      </c>
    </row>
    <row r="338" ht="15.75" customHeight="1">
      <c r="A338" s="39" t="str">
        <f>IF(Strike_Log!H338="Pending",Strike_Log!B338,"")</f>
        <v/>
      </c>
      <c r="B338" s="39" t="str">
        <f>IF($A338="","",IFERROR(VLOOKUP($A338,Grinders!$A:$B,2,FALSE),""))</f>
        <v/>
      </c>
      <c r="C338" s="39" t="str">
        <f>IF($A338="","",Strike_Log!A338)</f>
        <v/>
      </c>
      <c r="D338" s="39" t="str">
        <f>IF($A338="","",Strike_Log!E338)</f>
        <v/>
      </c>
      <c r="E338" s="39" t="str">
        <f>IF($A338="","",Strike_Log!F338)</f>
        <v/>
      </c>
      <c r="F338" s="39" t="str">
        <f>IF($A338="","",Strike_Log!H338)</f>
        <v/>
      </c>
      <c r="G338" s="39" t="str">
        <f t="shared" si="1"/>
        <v/>
      </c>
      <c r="H338" s="39" t="str">
        <f t="shared" si="2"/>
        <v/>
      </c>
      <c r="I338" s="39" t="str">
        <f>IF(Strike_Log!H338="Pending",Strike_Log!J338,"")</f>
        <v/>
      </c>
      <c r="J338" s="39"/>
      <c r="M338" s="39" t="str">
        <f t="shared" si="3"/>
        <v/>
      </c>
    </row>
    <row r="339" ht="15.75" customHeight="1">
      <c r="A339" s="39" t="str">
        <f>IF(Strike_Log!H339="Pending",Strike_Log!B339,"")</f>
        <v/>
      </c>
      <c r="B339" s="39" t="str">
        <f>IF($A339="","",IFERROR(VLOOKUP($A339,Grinders!$A:$B,2,FALSE),""))</f>
        <v/>
      </c>
      <c r="C339" s="39" t="str">
        <f>IF($A339="","",Strike_Log!A339)</f>
        <v/>
      </c>
      <c r="D339" s="39" t="str">
        <f>IF($A339="","",Strike_Log!E339)</f>
        <v/>
      </c>
      <c r="E339" s="39" t="str">
        <f>IF($A339="","",Strike_Log!F339)</f>
        <v/>
      </c>
      <c r="F339" s="39" t="str">
        <f>IF($A339="","",Strike_Log!H339)</f>
        <v/>
      </c>
      <c r="G339" s="39" t="str">
        <f t="shared" si="1"/>
        <v/>
      </c>
      <c r="H339" s="39" t="str">
        <f t="shared" si="2"/>
        <v/>
      </c>
      <c r="I339" s="39" t="str">
        <f>IF(Strike_Log!H339="Pending",Strike_Log!J339,"")</f>
        <v/>
      </c>
      <c r="J339" s="39"/>
      <c r="M339" s="39" t="str">
        <f t="shared" si="3"/>
        <v/>
      </c>
    </row>
    <row r="340" ht="15.75" customHeight="1">
      <c r="A340" s="39" t="str">
        <f>IF(Strike_Log!H340="Pending",Strike_Log!B340,"")</f>
        <v/>
      </c>
      <c r="B340" s="39" t="str">
        <f>IF($A340="","",IFERROR(VLOOKUP($A340,Grinders!$A:$B,2,FALSE),""))</f>
        <v/>
      </c>
      <c r="C340" s="39" t="str">
        <f>IF($A340="","",Strike_Log!A340)</f>
        <v/>
      </c>
      <c r="D340" s="39" t="str">
        <f>IF($A340="","",Strike_Log!E340)</f>
        <v/>
      </c>
      <c r="E340" s="39" t="str">
        <f>IF($A340="","",Strike_Log!F340)</f>
        <v/>
      </c>
      <c r="F340" s="39" t="str">
        <f>IF($A340="","",Strike_Log!H340)</f>
        <v/>
      </c>
      <c r="G340" s="39" t="str">
        <f t="shared" si="1"/>
        <v/>
      </c>
      <c r="H340" s="39" t="str">
        <f t="shared" si="2"/>
        <v/>
      </c>
      <c r="I340" s="39" t="str">
        <f>IF(Strike_Log!H340="Pending",Strike_Log!J340,"")</f>
        <v/>
      </c>
      <c r="J340" s="39"/>
      <c r="M340" s="39" t="str">
        <f t="shared" si="3"/>
        <v/>
      </c>
    </row>
    <row r="341" ht="15.75" customHeight="1">
      <c r="A341" s="39" t="str">
        <f>IF(Strike_Log!H341="Pending",Strike_Log!B341,"")</f>
        <v/>
      </c>
      <c r="B341" s="39" t="str">
        <f>IF($A341="","",IFERROR(VLOOKUP($A341,Grinders!$A:$B,2,FALSE),""))</f>
        <v/>
      </c>
      <c r="C341" s="39" t="str">
        <f>IF($A341="","",Strike_Log!A341)</f>
        <v/>
      </c>
      <c r="D341" s="39" t="str">
        <f>IF($A341="","",Strike_Log!E341)</f>
        <v/>
      </c>
      <c r="E341" s="39" t="str">
        <f>IF($A341="","",Strike_Log!F341)</f>
        <v/>
      </c>
      <c r="F341" s="39" t="str">
        <f>IF($A341="","",Strike_Log!H341)</f>
        <v/>
      </c>
      <c r="G341" s="39" t="str">
        <f t="shared" si="1"/>
        <v/>
      </c>
      <c r="H341" s="39" t="str">
        <f t="shared" si="2"/>
        <v/>
      </c>
      <c r="I341" s="39" t="str">
        <f>IF(Strike_Log!H341="Pending",Strike_Log!J341,"")</f>
        <v/>
      </c>
      <c r="J341" s="39"/>
      <c r="M341" s="39" t="str">
        <f t="shared" si="3"/>
        <v/>
      </c>
    </row>
    <row r="342" ht="15.75" customHeight="1">
      <c r="A342" s="39" t="str">
        <f>IF(Strike_Log!H342="Pending",Strike_Log!B342,"")</f>
        <v/>
      </c>
      <c r="B342" s="39" t="str">
        <f>IF($A342="","",IFERROR(VLOOKUP($A342,Grinders!$A:$B,2,FALSE),""))</f>
        <v/>
      </c>
      <c r="C342" s="39" t="str">
        <f>IF($A342="","",Strike_Log!A342)</f>
        <v/>
      </c>
      <c r="D342" s="39" t="str">
        <f>IF($A342="","",Strike_Log!E342)</f>
        <v/>
      </c>
      <c r="E342" s="39" t="str">
        <f>IF($A342="","",Strike_Log!F342)</f>
        <v/>
      </c>
      <c r="F342" s="39" t="str">
        <f>IF($A342="","",Strike_Log!H342)</f>
        <v/>
      </c>
      <c r="G342" s="39" t="str">
        <f t="shared" si="1"/>
        <v/>
      </c>
      <c r="H342" s="39" t="str">
        <f t="shared" si="2"/>
        <v/>
      </c>
      <c r="I342" s="39" t="str">
        <f>IF(Strike_Log!H342="Pending",Strike_Log!J342,"")</f>
        <v/>
      </c>
      <c r="J342" s="39"/>
      <c r="M342" s="39" t="str">
        <f t="shared" si="3"/>
        <v/>
      </c>
    </row>
    <row r="343" ht="15.75" customHeight="1">
      <c r="A343" s="39" t="str">
        <f>IF(Strike_Log!H343="Pending",Strike_Log!B343,"")</f>
        <v/>
      </c>
      <c r="B343" s="39" t="str">
        <f>IF($A343="","",IFERROR(VLOOKUP($A343,Grinders!$A:$B,2,FALSE),""))</f>
        <v/>
      </c>
      <c r="C343" s="39" t="str">
        <f>IF($A343="","",Strike_Log!A343)</f>
        <v/>
      </c>
      <c r="D343" s="39" t="str">
        <f>IF($A343="","",Strike_Log!E343)</f>
        <v/>
      </c>
      <c r="E343" s="39" t="str">
        <f>IF($A343="","",Strike_Log!F343)</f>
        <v/>
      </c>
      <c r="F343" s="39" t="str">
        <f>IF($A343="","",Strike_Log!H343)</f>
        <v/>
      </c>
      <c r="G343" s="39" t="str">
        <f t="shared" si="1"/>
        <v/>
      </c>
      <c r="H343" s="39" t="str">
        <f t="shared" si="2"/>
        <v/>
      </c>
      <c r="I343" s="39" t="str">
        <f>IF(Strike_Log!H343="Pending",Strike_Log!J343,"")</f>
        <v/>
      </c>
      <c r="J343" s="39"/>
      <c r="M343" s="39" t="str">
        <f t="shared" si="3"/>
        <v/>
      </c>
    </row>
    <row r="344" ht="15.75" customHeight="1">
      <c r="A344" s="39" t="str">
        <f>IF(Strike_Log!H344="Pending",Strike_Log!B344,"")</f>
        <v/>
      </c>
      <c r="B344" s="39" t="str">
        <f>IF($A344="","",IFERROR(VLOOKUP($A344,Grinders!$A:$B,2,FALSE),""))</f>
        <v/>
      </c>
      <c r="C344" s="39" t="str">
        <f>IF($A344="","",Strike_Log!A344)</f>
        <v/>
      </c>
      <c r="D344" s="39" t="str">
        <f>IF($A344="","",Strike_Log!E344)</f>
        <v/>
      </c>
      <c r="E344" s="39" t="str">
        <f>IF($A344="","",Strike_Log!F344)</f>
        <v/>
      </c>
      <c r="F344" s="39" t="str">
        <f>IF($A344="","",Strike_Log!H344)</f>
        <v/>
      </c>
      <c r="G344" s="39" t="str">
        <f t="shared" si="1"/>
        <v/>
      </c>
      <c r="H344" s="39" t="str">
        <f t="shared" si="2"/>
        <v/>
      </c>
      <c r="I344" s="39" t="str">
        <f>IF(Strike_Log!H344="Pending",Strike_Log!J344,"")</f>
        <v/>
      </c>
      <c r="J344" s="39"/>
      <c r="M344" s="39" t="str">
        <f t="shared" si="3"/>
        <v/>
      </c>
    </row>
    <row r="345" ht="15.75" customHeight="1">
      <c r="A345" s="39" t="str">
        <f>IF(Strike_Log!H345="Pending",Strike_Log!B345,"")</f>
        <v/>
      </c>
      <c r="B345" s="39" t="str">
        <f>IF($A345="","",IFERROR(VLOOKUP($A345,Grinders!$A:$B,2,FALSE),""))</f>
        <v/>
      </c>
      <c r="C345" s="39" t="str">
        <f>IF($A345="","",Strike_Log!A345)</f>
        <v/>
      </c>
      <c r="D345" s="39" t="str">
        <f>IF($A345="","",Strike_Log!E345)</f>
        <v/>
      </c>
      <c r="E345" s="39" t="str">
        <f>IF($A345="","",Strike_Log!F345)</f>
        <v/>
      </c>
      <c r="F345" s="39" t="str">
        <f>IF($A345="","",Strike_Log!H345)</f>
        <v/>
      </c>
      <c r="G345" s="39" t="str">
        <f t="shared" si="1"/>
        <v/>
      </c>
      <c r="H345" s="39" t="str">
        <f t="shared" si="2"/>
        <v/>
      </c>
      <c r="I345" s="39" t="str">
        <f>IF(Strike_Log!H345="Pending",Strike_Log!J345,"")</f>
        <v/>
      </c>
      <c r="J345" s="39"/>
      <c r="M345" s="39" t="str">
        <f t="shared" si="3"/>
        <v/>
      </c>
    </row>
    <row r="346" ht="15.75" customHeight="1">
      <c r="A346" s="39" t="str">
        <f>IF(Strike_Log!H346="Pending",Strike_Log!B346,"")</f>
        <v/>
      </c>
      <c r="B346" s="39" t="str">
        <f>IF($A346="","",IFERROR(VLOOKUP($A346,Grinders!$A:$B,2,FALSE),""))</f>
        <v/>
      </c>
      <c r="C346" s="39" t="str">
        <f>IF($A346="","",Strike_Log!A346)</f>
        <v/>
      </c>
      <c r="D346" s="39" t="str">
        <f>IF($A346="","",Strike_Log!E346)</f>
        <v/>
      </c>
      <c r="E346" s="39" t="str">
        <f>IF($A346="","",Strike_Log!F346)</f>
        <v/>
      </c>
      <c r="F346" s="39" t="str">
        <f>IF($A346="","",Strike_Log!H346)</f>
        <v/>
      </c>
      <c r="G346" s="39" t="str">
        <f t="shared" si="1"/>
        <v/>
      </c>
      <c r="H346" s="39" t="str">
        <f t="shared" si="2"/>
        <v/>
      </c>
      <c r="I346" s="39" t="str">
        <f>IF(Strike_Log!H346="Pending",Strike_Log!J346,"")</f>
        <v/>
      </c>
      <c r="J346" s="39"/>
      <c r="M346" s="39" t="str">
        <f t="shared" si="3"/>
        <v/>
      </c>
    </row>
    <row r="347" ht="15.75" customHeight="1">
      <c r="A347" s="39" t="str">
        <f>IF(Strike_Log!H347="Pending",Strike_Log!B347,"")</f>
        <v/>
      </c>
      <c r="B347" s="39" t="str">
        <f>IF($A347="","",IFERROR(VLOOKUP($A347,Grinders!$A:$B,2,FALSE),""))</f>
        <v/>
      </c>
      <c r="C347" s="39" t="str">
        <f>IF($A347="","",Strike_Log!A347)</f>
        <v/>
      </c>
      <c r="D347" s="39" t="str">
        <f>IF($A347="","",Strike_Log!E347)</f>
        <v/>
      </c>
      <c r="E347" s="39" t="str">
        <f>IF($A347="","",Strike_Log!F347)</f>
        <v/>
      </c>
      <c r="F347" s="39" t="str">
        <f>IF($A347="","",Strike_Log!H347)</f>
        <v/>
      </c>
      <c r="G347" s="39" t="str">
        <f t="shared" si="1"/>
        <v/>
      </c>
      <c r="H347" s="39" t="str">
        <f t="shared" si="2"/>
        <v/>
      </c>
      <c r="I347" s="39" t="str">
        <f>IF(Strike_Log!H347="Pending",Strike_Log!J347,"")</f>
        <v/>
      </c>
      <c r="J347" s="39"/>
      <c r="M347" s="39" t="str">
        <f t="shared" si="3"/>
        <v/>
      </c>
    </row>
    <row r="348" ht="15.75" customHeight="1">
      <c r="A348" s="39" t="str">
        <f>IF(Strike_Log!H348="Pending",Strike_Log!B348,"")</f>
        <v/>
      </c>
      <c r="B348" s="39" t="str">
        <f>IF($A348="","",IFERROR(VLOOKUP($A348,Grinders!$A:$B,2,FALSE),""))</f>
        <v/>
      </c>
      <c r="C348" s="39" t="str">
        <f>IF($A348="","",Strike_Log!A348)</f>
        <v/>
      </c>
      <c r="D348" s="39" t="str">
        <f>IF($A348="","",Strike_Log!E348)</f>
        <v/>
      </c>
      <c r="E348" s="39" t="str">
        <f>IF($A348="","",Strike_Log!F348)</f>
        <v/>
      </c>
      <c r="F348" s="39" t="str">
        <f>IF($A348="","",Strike_Log!H348)</f>
        <v/>
      </c>
      <c r="G348" s="39" t="str">
        <f t="shared" si="1"/>
        <v/>
      </c>
      <c r="H348" s="39" t="str">
        <f t="shared" si="2"/>
        <v/>
      </c>
      <c r="I348" s="39" t="str">
        <f>IF(Strike_Log!H348="Pending",Strike_Log!J348,"")</f>
        <v/>
      </c>
      <c r="J348" s="39"/>
      <c r="M348" s="39" t="str">
        <f t="shared" si="3"/>
        <v/>
      </c>
    </row>
    <row r="349" ht="15.75" customHeight="1">
      <c r="A349" s="39" t="str">
        <f>IF(Strike_Log!H349="Pending",Strike_Log!B349,"")</f>
        <v/>
      </c>
      <c r="B349" s="39" t="str">
        <f>IF($A349="","",IFERROR(VLOOKUP($A349,Grinders!$A:$B,2,FALSE),""))</f>
        <v/>
      </c>
      <c r="C349" s="39" t="str">
        <f>IF($A349="","",Strike_Log!A349)</f>
        <v/>
      </c>
      <c r="D349" s="39" t="str">
        <f>IF($A349="","",Strike_Log!E349)</f>
        <v/>
      </c>
      <c r="E349" s="39" t="str">
        <f>IF($A349="","",Strike_Log!F349)</f>
        <v/>
      </c>
      <c r="F349" s="39" t="str">
        <f>IF($A349="","",Strike_Log!H349)</f>
        <v/>
      </c>
      <c r="G349" s="39" t="str">
        <f t="shared" si="1"/>
        <v/>
      </c>
      <c r="H349" s="39" t="str">
        <f t="shared" si="2"/>
        <v/>
      </c>
      <c r="I349" s="39" t="str">
        <f>IF(Strike_Log!H349="Pending",Strike_Log!J349,"")</f>
        <v/>
      </c>
      <c r="J349" s="39"/>
      <c r="M349" s="39" t="str">
        <f t="shared" si="3"/>
        <v/>
      </c>
    </row>
    <row r="350" ht="15.75" customHeight="1">
      <c r="A350" s="39" t="str">
        <f>IF(Strike_Log!H350="Pending",Strike_Log!B350,"")</f>
        <v/>
      </c>
      <c r="B350" s="39" t="str">
        <f>IF($A350="","",IFERROR(VLOOKUP($A350,Grinders!$A:$B,2,FALSE),""))</f>
        <v/>
      </c>
      <c r="C350" s="39" t="str">
        <f>IF($A350="","",Strike_Log!A350)</f>
        <v/>
      </c>
      <c r="D350" s="39" t="str">
        <f>IF($A350="","",Strike_Log!E350)</f>
        <v/>
      </c>
      <c r="E350" s="39" t="str">
        <f>IF($A350="","",Strike_Log!F350)</f>
        <v/>
      </c>
      <c r="F350" s="39" t="str">
        <f>IF($A350="","",Strike_Log!H350)</f>
        <v/>
      </c>
      <c r="G350" s="39" t="str">
        <f t="shared" si="1"/>
        <v/>
      </c>
      <c r="H350" s="39" t="str">
        <f t="shared" si="2"/>
        <v/>
      </c>
      <c r="I350" s="39" t="str">
        <f>IF(Strike_Log!H350="Pending",Strike_Log!J350,"")</f>
        <v/>
      </c>
      <c r="J350" s="39"/>
      <c r="M350" s="39" t="str">
        <f t="shared" si="3"/>
        <v/>
      </c>
    </row>
    <row r="351" ht="15.75" customHeight="1">
      <c r="A351" s="39" t="str">
        <f>IF(Strike_Log!H351="Pending",Strike_Log!B351,"")</f>
        <v/>
      </c>
      <c r="B351" s="39" t="str">
        <f>IF($A351="","",IFERROR(VLOOKUP($A351,Grinders!$A:$B,2,FALSE),""))</f>
        <v/>
      </c>
      <c r="C351" s="39" t="str">
        <f>IF($A351="","",Strike_Log!A351)</f>
        <v/>
      </c>
      <c r="D351" s="39" t="str">
        <f>IF($A351="","",Strike_Log!E351)</f>
        <v/>
      </c>
      <c r="E351" s="39" t="str">
        <f>IF($A351="","",Strike_Log!F351)</f>
        <v/>
      </c>
      <c r="F351" s="39" t="str">
        <f>IF($A351="","",Strike_Log!H351)</f>
        <v/>
      </c>
      <c r="G351" s="39" t="str">
        <f t="shared" si="1"/>
        <v/>
      </c>
      <c r="H351" s="39" t="str">
        <f t="shared" si="2"/>
        <v/>
      </c>
      <c r="I351" s="39" t="str">
        <f>IF(Strike_Log!H351="Pending",Strike_Log!J351,"")</f>
        <v/>
      </c>
      <c r="J351" s="39"/>
      <c r="M351" s="39" t="str">
        <f t="shared" si="3"/>
        <v/>
      </c>
    </row>
    <row r="352" ht="15.75" customHeight="1">
      <c r="A352" s="39" t="str">
        <f>IF(Strike_Log!H352="Pending",Strike_Log!B352,"")</f>
        <v/>
      </c>
      <c r="B352" s="39" t="str">
        <f>IF($A352="","",IFERROR(VLOOKUP($A352,Grinders!$A:$B,2,FALSE),""))</f>
        <v/>
      </c>
      <c r="C352" s="39" t="str">
        <f>IF($A352="","",Strike_Log!A352)</f>
        <v/>
      </c>
      <c r="D352" s="39" t="str">
        <f>IF($A352="","",Strike_Log!E352)</f>
        <v/>
      </c>
      <c r="E352" s="39" t="str">
        <f>IF($A352="","",Strike_Log!F352)</f>
        <v/>
      </c>
      <c r="F352" s="39" t="str">
        <f>IF($A352="","",Strike_Log!H352)</f>
        <v/>
      </c>
      <c r="G352" s="39" t="str">
        <f t="shared" si="1"/>
        <v/>
      </c>
      <c r="H352" s="39" t="str">
        <f t="shared" si="2"/>
        <v/>
      </c>
      <c r="I352" s="39" t="str">
        <f>IF(Strike_Log!H352="Pending",Strike_Log!J352,"")</f>
        <v/>
      </c>
      <c r="J352" s="39"/>
      <c r="M352" s="39" t="str">
        <f t="shared" si="3"/>
        <v/>
      </c>
    </row>
    <row r="353" ht="15.75" customHeight="1">
      <c r="A353" s="39" t="str">
        <f>IF(Strike_Log!H353="Pending",Strike_Log!B353,"")</f>
        <v/>
      </c>
      <c r="B353" s="39" t="str">
        <f>IF($A353="","",IFERROR(VLOOKUP($A353,Grinders!$A:$B,2,FALSE),""))</f>
        <v/>
      </c>
      <c r="C353" s="39" t="str">
        <f>IF($A353="","",Strike_Log!A353)</f>
        <v/>
      </c>
      <c r="D353" s="39" t="str">
        <f>IF($A353="","",Strike_Log!E353)</f>
        <v/>
      </c>
      <c r="E353" s="39" t="str">
        <f>IF($A353="","",Strike_Log!F353)</f>
        <v/>
      </c>
      <c r="F353" s="39" t="str">
        <f>IF($A353="","",Strike_Log!H353)</f>
        <v/>
      </c>
      <c r="G353" s="39" t="str">
        <f t="shared" si="1"/>
        <v/>
      </c>
      <c r="H353" s="39" t="str">
        <f t="shared" si="2"/>
        <v/>
      </c>
      <c r="I353" s="39" t="str">
        <f>IF(Strike_Log!H353="Pending",Strike_Log!J353,"")</f>
        <v/>
      </c>
      <c r="J353" s="39"/>
      <c r="M353" s="39" t="str">
        <f t="shared" si="3"/>
        <v/>
      </c>
    </row>
    <row r="354" ht="15.75" customHeight="1">
      <c r="A354" s="39" t="str">
        <f>IF(Strike_Log!H354="Pending",Strike_Log!B354,"")</f>
        <v/>
      </c>
      <c r="B354" s="39" t="str">
        <f>IF($A354="","",IFERROR(VLOOKUP($A354,Grinders!$A:$B,2,FALSE),""))</f>
        <v/>
      </c>
      <c r="C354" s="39" t="str">
        <f>IF($A354="","",Strike_Log!A354)</f>
        <v/>
      </c>
      <c r="D354" s="39" t="str">
        <f>IF($A354="","",Strike_Log!E354)</f>
        <v/>
      </c>
      <c r="E354" s="39" t="str">
        <f>IF($A354="","",Strike_Log!F354)</f>
        <v/>
      </c>
      <c r="F354" s="39" t="str">
        <f>IF($A354="","",Strike_Log!H354)</f>
        <v/>
      </c>
      <c r="G354" s="39" t="str">
        <f t="shared" si="1"/>
        <v/>
      </c>
      <c r="H354" s="39" t="str">
        <f t="shared" si="2"/>
        <v/>
      </c>
      <c r="I354" s="39" t="str">
        <f>IF(Strike_Log!H354="Pending",Strike_Log!J354,"")</f>
        <v/>
      </c>
      <c r="J354" s="39"/>
      <c r="M354" s="39" t="str">
        <f t="shared" si="3"/>
        <v/>
      </c>
    </row>
    <row r="355" ht="15.75" customHeight="1">
      <c r="A355" s="39" t="str">
        <f>IF(Strike_Log!H355="Pending",Strike_Log!B355,"")</f>
        <v/>
      </c>
      <c r="B355" s="39" t="str">
        <f>IF($A355="","",IFERROR(VLOOKUP($A355,Grinders!$A:$B,2,FALSE),""))</f>
        <v/>
      </c>
      <c r="C355" s="39" t="str">
        <f>IF($A355="","",Strike_Log!A355)</f>
        <v/>
      </c>
      <c r="D355" s="39" t="str">
        <f>IF($A355="","",Strike_Log!E355)</f>
        <v/>
      </c>
      <c r="E355" s="39" t="str">
        <f>IF($A355="","",Strike_Log!F355)</f>
        <v/>
      </c>
      <c r="F355" s="39" t="str">
        <f>IF($A355="","",Strike_Log!H355)</f>
        <v/>
      </c>
      <c r="G355" s="39" t="str">
        <f t="shared" si="1"/>
        <v/>
      </c>
      <c r="H355" s="39" t="str">
        <f t="shared" si="2"/>
        <v/>
      </c>
      <c r="I355" s="39" t="str">
        <f>IF(Strike_Log!H355="Pending",Strike_Log!J355,"")</f>
        <v/>
      </c>
      <c r="J355" s="39"/>
      <c r="M355" s="39" t="str">
        <f t="shared" si="3"/>
        <v/>
      </c>
    </row>
    <row r="356" ht="15.75" customHeight="1">
      <c r="A356" s="39" t="str">
        <f>IF(Strike_Log!H356="Pending",Strike_Log!B356,"")</f>
        <v/>
      </c>
      <c r="B356" s="39" t="str">
        <f>IF($A356="","",IFERROR(VLOOKUP($A356,Grinders!$A:$B,2,FALSE),""))</f>
        <v/>
      </c>
      <c r="C356" s="39" t="str">
        <f>IF($A356="","",Strike_Log!A356)</f>
        <v/>
      </c>
      <c r="D356" s="39" t="str">
        <f>IF($A356="","",Strike_Log!E356)</f>
        <v/>
      </c>
      <c r="E356" s="39" t="str">
        <f>IF($A356="","",Strike_Log!F356)</f>
        <v/>
      </c>
      <c r="F356" s="39" t="str">
        <f>IF($A356="","",Strike_Log!H356)</f>
        <v/>
      </c>
      <c r="G356" s="39" t="str">
        <f t="shared" si="1"/>
        <v/>
      </c>
      <c r="H356" s="39" t="str">
        <f t="shared" si="2"/>
        <v/>
      </c>
      <c r="I356" s="39" t="str">
        <f>IF(Strike_Log!H356="Pending",Strike_Log!J356,"")</f>
        <v/>
      </c>
      <c r="J356" s="39"/>
      <c r="M356" s="39" t="str">
        <f t="shared" si="3"/>
        <v/>
      </c>
    </row>
    <row r="357" ht="15.75" customHeight="1">
      <c r="A357" s="39" t="str">
        <f>IF(Strike_Log!H357="Pending",Strike_Log!B357,"")</f>
        <v/>
      </c>
      <c r="B357" s="39" t="str">
        <f>IF($A357="","",IFERROR(VLOOKUP($A357,Grinders!$A:$B,2,FALSE),""))</f>
        <v/>
      </c>
      <c r="C357" s="39" t="str">
        <f>IF($A357="","",Strike_Log!A357)</f>
        <v/>
      </c>
      <c r="D357" s="39" t="str">
        <f>IF($A357="","",Strike_Log!E357)</f>
        <v/>
      </c>
      <c r="E357" s="39" t="str">
        <f>IF($A357="","",Strike_Log!F357)</f>
        <v/>
      </c>
      <c r="F357" s="39" t="str">
        <f>IF($A357="","",Strike_Log!H357)</f>
        <v/>
      </c>
      <c r="G357" s="39" t="str">
        <f t="shared" si="1"/>
        <v/>
      </c>
      <c r="H357" s="39" t="str">
        <f t="shared" si="2"/>
        <v/>
      </c>
      <c r="I357" s="39" t="str">
        <f>IF(Strike_Log!H357="Pending",Strike_Log!J357,"")</f>
        <v/>
      </c>
      <c r="J357" s="39"/>
      <c r="M357" s="39" t="str">
        <f t="shared" si="3"/>
        <v/>
      </c>
    </row>
    <row r="358" ht="15.75" customHeight="1">
      <c r="A358" s="39" t="str">
        <f>IF(Strike_Log!H358="Pending",Strike_Log!B358,"")</f>
        <v/>
      </c>
      <c r="B358" s="39" t="str">
        <f>IF($A358="","",IFERROR(VLOOKUP($A358,Grinders!$A:$B,2,FALSE),""))</f>
        <v/>
      </c>
      <c r="C358" s="39" t="str">
        <f>IF($A358="","",Strike_Log!A358)</f>
        <v/>
      </c>
      <c r="D358" s="39" t="str">
        <f>IF($A358="","",Strike_Log!E358)</f>
        <v/>
      </c>
      <c r="E358" s="39" t="str">
        <f>IF($A358="","",Strike_Log!F358)</f>
        <v/>
      </c>
      <c r="F358" s="39" t="str">
        <f>IF($A358="","",Strike_Log!H358)</f>
        <v/>
      </c>
      <c r="G358" s="39" t="str">
        <f t="shared" si="1"/>
        <v/>
      </c>
      <c r="H358" s="39" t="str">
        <f t="shared" si="2"/>
        <v/>
      </c>
      <c r="I358" s="39" t="str">
        <f>IF(Strike_Log!H358="Pending",Strike_Log!J358,"")</f>
        <v/>
      </c>
      <c r="J358" s="39"/>
      <c r="M358" s="39" t="str">
        <f t="shared" si="3"/>
        <v/>
      </c>
    </row>
    <row r="359" ht="15.75" customHeight="1">
      <c r="A359" s="39" t="str">
        <f>IF(Strike_Log!H359="Pending",Strike_Log!B359,"")</f>
        <v/>
      </c>
      <c r="B359" s="39" t="str">
        <f>IF($A359="","",IFERROR(VLOOKUP($A359,Grinders!$A:$B,2,FALSE),""))</f>
        <v/>
      </c>
      <c r="C359" s="39" t="str">
        <f>IF($A359="","",Strike_Log!A359)</f>
        <v/>
      </c>
      <c r="D359" s="39" t="str">
        <f>IF($A359="","",Strike_Log!E359)</f>
        <v/>
      </c>
      <c r="E359" s="39" t="str">
        <f>IF($A359="","",Strike_Log!F359)</f>
        <v/>
      </c>
      <c r="F359" s="39" t="str">
        <f>IF($A359="","",Strike_Log!H359)</f>
        <v/>
      </c>
      <c r="G359" s="39" t="str">
        <f t="shared" si="1"/>
        <v/>
      </c>
      <c r="H359" s="39" t="str">
        <f t="shared" si="2"/>
        <v/>
      </c>
      <c r="I359" s="39" t="str">
        <f>IF(Strike_Log!H359="Pending",Strike_Log!J359,"")</f>
        <v/>
      </c>
      <c r="J359" s="39"/>
      <c r="M359" s="39" t="str">
        <f t="shared" si="3"/>
        <v/>
      </c>
    </row>
    <row r="360" ht="15.75" customHeight="1">
      <c r="A360" s="39" t="str">
        <f>IF(Strike_Log!H360="Pending",Strike_Log!B360,"")</f>
        <v/>
      </c>
      <c r="B360" s="39" t="str">
        <f>IF($A360="","",IFERROR(VLOOKUP($A360,Grinders!$A:$B,2,FALSE),""))</f>
        <v/>
      </c>
      <c r="C360" s="39" t="str">
        <f>IF($A360="","",Strike_Log!A360)</f>
        <v/>
      </c>
      <c r="D360" s="39" t="str">
        <f>IF($A360="","",Strike_Log!E360)</f>
        <v/>
      </c>
      <c r="E360" s="39" t="str">
        <f>IF($A360="","",Strike_Log!F360)</f>
        <v/>
      </c>
      <c r="F360" s="39" t="str">
        <f>IF($A360="","",Strike_Log!H360)</f>
        <v/>
      </c>
      <c r="G360" s="39" t="str">
        <f t="shared" si="1"/>
        <v/>
      </c>
      <c r="H360" s="39" t="str">
        <f t="shared" si="2"/>
        <v/>
      </c>
      <c r="I360" s="39" t="str">
        <f>IF(Strike_Log!H360="Pending",Strike_Log!J360,"")</f>
        <v/>
      </c>
      <c r="J360" s="39"/>
      <c r="M360" s="39" t="str">
        <f t="shared" si="3"/>
        <v/>
      </c>
    </row>
    <row r="361" ht="15.75" customHeight="1">
      <c r="A361" s="39" t="str">
        <f>IF(Strike_Log!H361="Pending",Strike_Log!B361,"")</f>
        <v/>
      </c>
      <c r="B361" s="39" t="str">
        <f>IF($A361="","",IFERROR(VLOOKUP($A361,Grinders!$A:$B,2,FALSE),""))</f>
        <v/>
      </c>
      <c r="C361" s="39" t="str">
        <f>IF($A361="","",Strike_Log!A361)</f>
        <v/>
      </c>
      <c r="D361" s="39" t="str">
        <f>IF($A361="","",Strike_Log!E361)</f>
        <v/>
      </c>
      <c r="E361" s="39" t="str">
        <f>IF($A361="","",Strike_Log!F361)</f>
        <v/>
      </c>
      <c r="F361" s="39" t="str">
        <f>IF($A361="","",Strike_Log!H361)</f>
        <v/>
      </c>
      <c r="G361" s="39" t="str">
        <f t="shared" si="1"/>
        <v/>
      </c>
      <c r="H361" s="39" t="str">
        <f t="shared" si="2"/>
        <v/>
      </c>
      <c r="I361" s="39" t="str">
        <f>IF(Strike_Log!H361="Pending",Strike_Log!J361,"")</f>
        <v/>
      </c>
      <c r="J361" s="39"/>
      <c r="M361" s="39" t="str">
        <f t="shared" si="3"/>
        <v/>
      </c>
    </row>
    <row r="362" ht="15.75" customHeight="1">
      <c r="A362" s="39" t="str">
        <f>IF(Strike_Log!H362="Pending",Strike_Log!B362,"")</f>
        <v/>
      </c>
      <c r="B362" s="39" t="str">
        <f>IF($A362="","",IFERROR(VLOOKUP($A362,Grinders!$A:$B,2,FALSE),""))</f>
        <v/>
      </c>
      <c r="C362" s="39" t="str">
        <f>IF($A362="","",Strike_Log!A362)</f>
        <v/>
      </c>
      <c r="D362" s="39" t="str">
        <f>IF($A362="","",Strike_Log!E362)</f>
        <v/>
      </c>
      <c r="E362" s="39" t="str">
        <f>IF($A362="","",Strike_Log!F362)</f>
        <v/>
      </c>
      <c r="F362" s="39" t="str">
        <f>IF($A362="","",Strike_Log!H362)</f>
        <v/>
      </c>
      <c r="G362" s="39" t="str">
        <f t="shared" si="1"/>
        <v/>
      </c>
      <c r="H362" s="39" t="str">
        <f t="shared" si="2"/>
        <v/>
      </c>
      <c r="I362" s="39" t="str">
        <f>IF(Strike_Log!H362="Pending",Strike_Log!J362,"")</f>
        <v/>
      </c>
      <c r="J362" s="39"/>
      <c r="M362" s="39" t="str">
        <f t="shared" si="3"/>
        <v/>
      </c>
    </row>
    <row r="363" ht="15.75" customHeight="1">
      <c r="A363" s="39" t="str">
        <f>IF(Strike_Log!H363="Pending",Strike_Log!B363,"")</f>
        <v/>
      </c>
      <c r="B363" s="39" t="str">
        <f>IF($A363="","",IFERROR(VLOOKUP($A363,Grinders!$A:$B,2,FALSE),""))</f>
        <v/>
      </c>
      <c r="C363" s="39" t="str">
        <f>IF($A363="","",Strike_Log!A363)</f>
        <v/>
      </c>
      <c r="D363" s="39" t="str">
        <f>IF($A363="","",Strike_Log!E363)</f>
        <v/>
      </c>
      <c r="E363" s="39" t="str">
        <f>IF($A363="","",Strike_Log!F363)</f>
        <v/>
      </c>
      <c r="F363" s="39" t="str">
        <f>IF($A363="","",Strike_Log!H363)</f>
        <v/>
      </c>
      <c r="G363" s="39" t="str">
        <f t="shared" si="1"/>
        <v/>
      </c>
      <c r="H363" s="39" t="str">
        <f t="shared" si="2"/>
        <v/>
      </c>
      <c r="I363" s="39" t="str">
        <f>IF(Strike_Log!H363="Pending",Strike_Log!J363,"")</f>
        <v/>
      </c>
      <c r="J363" s="39"/>
      <c r="M363" s="39" t="str">
        <f t="shared" si="3"/>
        <v/>
      </c>
    </row>
    <row r="364" ht="15.75" customHeight="1">
      <c r="A364" s="39" t="str">
        <f>IF(Strike_Log!H364="Pending",Strike_Log!B364,"")</f>
        <v/>
      </c>
      <c r="B364" s="39" t="str">
        <f>IF($A364="","",IFERROR(VLOOKUP($A364,Grinders!$A:$B,2,FALSE),""))</f>
        <v/>
      </c>
      <c r="C364" s="39" t="str">
        <f>IF($A364="","",Strike_Log!A364)</f>
        <v/>
      </c>
      <c r="D364" s="39" t="str">
        <f>IF($A364="","",Strike_Log!E364)</f>
        <v/>
      </c>
      <c r="E364" s="39" t="str">
        <f>IF($A364="","",Strike_Log!F364)</f>
        <v/>
      </c>
      <c r="F364" s="39" t="str">
        <f>IF($A364="","",Strike_Log!H364)</f>
        <v/>
      </c>
      <c r="G364" s="39" t="str">
        <f t="shared" si="1"/>
        <v/>
      </c>
      <c r="H364" s="39" t="str">
        <f t="shared" si="2"/>
        <v/>
      </c>
      <c r="I364" s="39" t="str">
        <f>IF(Strike_Log!H364="Pending",Strike_Log!J364,"")</f>
        <v/>
      </c>
      <c r="J364" s="39"/>
      <c r="M364" s="39" t="str">
        <f t="shared" si="3"/>
        <v/>
      </c>
    </row>
    <row r="365" ht="15.75" customHeight="1">
      <c r="A365" s="39" t="str">
        <f>IF(Strike_Log!H365="Pending",Strike_Log!B365,"")</f>
        <v/>
      </c>
      <c r="B365" s="39" t="str">
        <f>IF($A365="","",IFERROR(VLOOKUP($A365,Grinders!$A:$B,2,FALSE),""))</f>
        <v/>
      </c>
      <c r="C365" s="39" t="str">
        <f>IF($A365="","",Strike_Log!A365)</f>
        <v/>
      </c>
      <c r="D365" s="39" t="str">
        <f>IF($A365="","",Strike_Log!E365)</f>
        <v/>
      </c>
      <c r="E365" s="39" t="str">
        <f>IF($A365="","",Strike_Log!F365)</f>
        <v/>
      </c>
      <c r="F365" s="39" t="str">
        <f>IF($A365="","",Strike_Log!H365)</f>
        <v/>
      </c>
      <c r="G365" s="39" t="str">
        <f t="shared" si="1"/>
        <v/>
      </c>
      <c r="H365" s="39" t="str">
        <f t="shared" si="2"/>
        <v/>
      </c>
      <c r="I365" s="39" t="str">
        <f>IF(Strike_Log!H365="Pending",Strike_Log!J365,"")</f>
        <v/>
      </c>
      <c r="J365" s="39"/>
      <c r="M365" s="39" t="str">
        <f t="shared" si="3"/>
        <v/>
      </c>
    </row>
    <row r="366" ht="15.75" customHeight="1">
      <c r="A366" s="39" t="str">
        <f>IF(Strike_Log!H366="Pending",Strike_Log!B366,"")</f>
        <v/>
      </c>
      <c r="B366" s="39" t="str">
        <f>IF($A366="","",IFERROR(VLOOKUP($A366,Grinders!$A:$B,2,FALSE),""))</f>
        <v/>
      </c>
      <c r="C366" s="39" t="str">
        <f>IF($A366="","",Strike_Log!A366)</f>
        <v/>
      </c>
      <c r="D366" s="39" t="str">
        <f>IF($A366="","",Strike_Log!E366)</f>
        <v/>
      </c>
      <c r="E366" s="39" t="str">
        <f>IF($A366="","",Strike_Log!F366)</f>
        <v/>
      </c>
      <c r="F366" s="39" t="str">
        <f>IF($A366="","",Strike_Log!H366)</f>
        <v/>
      </c>
      <c r="G366" s="39" t="str">
        <f t="shared" si="1"/>
        <v/>
      </c>
      <c r="H366" s="39" t="str">
        <f t="shared" si="2"/>
        <v/>
      </c>
      <c r="I366" s="39" t="str">
        <f>IF(Strike_Log!H366="Pending",Strike_Log!J366,"")</f>
        <v/>
      </c>
      <c r="J366" s="39"/>
      <c r="M366" s="39" t="str">
        <f t="shared" si="3"/>
        <v/>
      </c>
    </row>
    <row r="367" ht="15.75" customHeight="1">
      <c r="A367" s="39" t="str">
        <f>IF(Strike_Log!H367="Pending",Strike_Log!B367,"")</f>
        <v/>
      </c>
      <c r="B367" s="39" t="str">
        <f>IF($A367="","",IFERROR(VLOOKUP($A367,Grinders!$A:$B,2,FALSE),""))</f>
        <v/>
      </c>
      <c r="C367" s="39" t="str">
        <f>IF($A367="","",Strike_Log!A367)</f>
        <v/>
      </c>
      <c r="D367" s="39" t="str">
        <f>IF($A367="","",Strike_Log!E367)</f>
        <v/>
      </c>
      <c r="E367" s="39" t="str">
        <f>IF($A367="","",Strike_Log!F367)</f>
        <v/>
      </c>
      <c r="F367" s="39" t="str">
        <f>IF($A367="","",Strike_Log!H367)</f>
        <v/>
      </c>
      <c r="G367" s="39" t="str">
        <f t="shared" si="1"/>
        <v/>
      </c>
      <c r="H367" s="39" t="str">
        <f t="shared" si="2"/>
        <v/>
      </c>
      <c r="I367" s="39" t="str">
        <f>IF(Strike_Log!H367="Pending",Strike_Log!J367,"")</f>
        <v/>
      </c>
      <c r="J367" s="39"/>
      <c r="M367" s="39" t="str">
        <f t="shared" si="3"/>
        <v/>
      </c>
    </row>
    <row r="368" ht="15.75" customHeight="1">
      <c r="A368" s="39" t="str">
        <f>IF(Strike_Log!H368="Pending",Strike_Log!B368,"")</f>
        <v/>
      </c>
      <c r="B368" s="39" t="str">
        <f>IF($A368="","",IFERROR(VLOOKUP($A368,Grinders!$A:$B,2,FALSE),""))</f>
        <v/>
      </c>
      <c r="C368" s="39" t="str">
        <f>IF($A368="","",Strike_Log!A368)</f>
        <v/>
      </c>
      <c r="D368" s="39" t="str">
        <f>IF($A368="","",Strike_Log!E368)</f>
        <v/>
      </c>
      <c r="E368" s="39" t="str">
        <f>IF($A368="","",Strike_Log!F368)</f>
        <v/>
      </c>
      <c r="F368" s="39" t="str">
        <f>IF($A368="","",Strike_Log!H368)</f>
        <v/>
      </c>
      <c r="G368" s="39" t="str">
        <f t="shared" si="1"/>
        <v/>
      </c>
      <c r="H368" s="39" t="str">
        <f t="shared" si="2"/>
        <v/>
      </c>
      <c r="I368" s="39" t="str">
        <f>IF(Strike_Log!H368="Pending",Strike_Log!J368,"")</f>
        <v/>
      </c>
      <c r="J368" s="39"/>
      <c r="M368" s="39" t="str">
        <f t="shared" si="3"/>
        <v/>
      </c>
    </row>
    <row r="369" ht="15.75" customHeight="1">
      <c r="A369" s="39" t="str">
        <f>IF(Strike_Log!H369="Pending",Strike_Log!B369,"")</f>
        <v/>
      </c>
      <c r="B369" s="39" t="str">
        <f>IF($A369="","",IFERROR(VLOOKUP($A369,Grinders!$A:$B,2,FALSE),""))</f>
        <v/>
      </c>
      <c r="C369" s="39" t="str">
        <f>IF($A369="","",Strike_Log!A369)</f>
        <v/>
      </c>
      <c r="D369" s="39" t="str">
        <f>IF($A369="","",Strike_Log!E369)</f>
        <v/>
      </c>
      <c r="E369" s="39" t="str">
        <f>IF($A369="","",Strike_Log!F369)</f>
        <v/>
      </c>
      <c r="F369" s="39" t="str">
        <f>IF($A369="","",Strike_Log!H369)</f>
        <v/>
      </c>
      <c r="G369" s="39" t="str">
        <f t="shared" si="1"/>
        <v/>
      </c>
      <c r="H369" s="39" t="str">
        <f t="shared" si="2"/>
        <v/>
      </c>
      <c r="I369" s="39" t="str">
        <f>IF(Strike_Log!H369="Pending",Strike_Log!J369,"")</f>
        <v/>
      </c>
      <c r="J369" s="39"/>
      <c r="M369" s="39" t="str">
        <f t="shared" si="3"/>
        <v/>
      </c>
    </row>
    <row r="370" ht="15.75" customHeight="1">
      <c r="A370" s="39" t="str">
        <f>IF(Strike_Log!H370="Pending",Strike_Log!B370,"")</f>
        <v/>
      </c>
      <c r="B370" s="39" t="str">
        <f>IF($A370="","",IFERROR(VLOOKUP($A370,Grinders!$A:$B,2,FALSE),""))</f>
        <v/>
      </c>
      <c r="C370" s="39" t="str">
        <f>IF($A370="","",Strike_Log!A370)</f>
        <v/>
      </c>
      <c r="D370" s="39" t="str">
        <f>IF($A370="","",Strike_Log!E370)</f>
        <v/>
      </c>
      <c r="E370" s="39" t="str">
        <f>IF($A370="","",Strike_Log!F370)</f>
        <v/>
      </c>
      <c r="F370" s="39" t="str">
        <f>IF($A370="","",Strike_Log!H370)</f>
        <v/>
      </c>
      <c r="G370" s="39" t="str">
        <f t="shared" si="1"/>
        <v/>
      </c>
      <c r="H370" s="39" t="str">
        <f t="shared" si="2"/>
        <v/>
      </c>
      <c r="I370" s="39" t="str">
        <f>IF(Strike_Log!H370="Pending",Strike_Log!J370,"")</f>
        <v/>
      </c>
      <c r="J370" s="39"/>
      <c r="M370" s="39" t="str">
        <f t="shared" si="3"/>
        <v/>
      </c>
    </row>
    <row r="371" ht="15.75" customHeight="1">
      <c r="A371" s="39" t="str">
        <f>IF(Strike_Log!H371="Pending",Strike_Log!B371,"")</f>
        <v/>
      </c>
      <c r="B371" s="39" t="str">
        <f>IF($A371="","",IFERROR(VLOOKUP($A371,Grinders!$A:$B,2,FALSE),""))</f>
        <v/>
      </c>
      <c r="C371" s="39" t="str">
        <f>IF($A371="","",Strike_Log!A371)</f>
        <v/>
      </c>
      <c r="D371" s="39" t="str">
        <f>IF($A371="","",Strike_Log!E371)</f>
        <v/>
      </c>
      <c r="E371" s="39" t="str">
        <f>IF($A371="","",Strike_Log!F371)</f>
        <v/>
      </c>
      <c r="F371" s="39" t="str">
        <f>IF($A371="","",Strike_Log!H371)</f>
        <v/>
      </c>
      <c r="G371" s="39" t="str">
        <f t="shared" si="1"/>
        <v/>
      </c>
      <c r="H371" s="39" t="str">
        <f t="shared" si="2"/>
        <v/>
      </c>
      <c r="I371" s="39" t="str">
        <f>IF(Strike_Log!H371="Pending",Strike_Log!J371,"")</f>
        <v/>
      </c>
      <c r="J371" s="39"/>
      <c r="M371" s="39" t="str">
        <f t="shared" si="3"/>
        <v/>
      </c>
    </row>
    <row r="372" ht="15.75" customHeight="1">
      <c r="A372" s="39" t="str">
        <f>IF(Strike_Log!H372="Pending",Strike_Log!B372,"")</f>
        <v/>
      </c>
      <c r="B372" s="39" t="str">
        <f>IF($A372="","",IFERROR(VLOOKUP($A372,Grinders!$A:$B,2,FALSE),""))</f>
        <v/>
      </c>
      <c r="C372" s="39" t="str">
        <f>IF($A372="","",Strike_Log!A372)</f>
        <v/>
      </c>
      <c r="D372" s="39" t="str">
        <f>IF($A372="","",Strike_Log!E372)</f>
        <v/>
      </c>
      <c r="E372" s="39" t="str">
        <f>IF($A372="","",Strike_Log!F372)</f>
        <v/>
      </c>
      <c r="F372" s="39" t="str">
        <f>IF($A372="","",Strike_Log!H372)</f>
        <v/>
      </c>
      <c r="G372" s="39" t="str">
        <f t="shared" si="1"/>
        <v/>
      </c>
      <c r="H372" s="39" t="str">
        <f t="shared" si="2"/>
        <v/>
      </c>
      <c r="I372" s="39" t="str">
        <f>IF(Strike_Log!H372="Pending",Strike_Log!J372,"")</f>
        <v/>
      </c>
      <c r="J372" s="39"/>
      <c r="M372" s="39" t="str">
        <f t="shared" si="3"/>
        <v/>
      </c>
    </row>
    <row r="373" ht="15.75" customHeight="1">
      <c r="A373" s="39" t="str">
        <f>IF(Strike_Log!H373="Pending",Strike_Log!B373,"")</f>
        <v/>
      </c>
      <c r="B373" s="39" t="str">
        <f>IF($A373="","",IFERROR(VLOOKUP($A373,Grinders!$A:$B,2,FALSE),""))</f>
        <v/>
      </c>
      <c r="C373" s="39" t="str">
        <f>IF($A373="","",Strike_Log!A373)</f>
        <v/>
      </c>
      <c r="D373" s="39" t="str">
        <f>IF($A373="","",Strike_Log!E373)</f>
        <v/>
      </c>
      <c r="E373" s="39" t="str">
        <f>IF($A373="","",Strike_Log!F373)</f>
        <v/>
      </c>
      <c r="F373" s="39" t="str">
        <f>IF($A373="","",Strike_Log!H373)</f>
        <v/>
      </c>
      <c r="G373" s="39" t="str">
        <f t="shared" si="1"/>
        <v/>
      </c>
      <c r="H373" s="39" t="str">
        <f t="shared" si="2"/>
        <v/>
      </c>
      <c r="I373" s="39" t="str">
        <f>IF(Strike_Log!H373="Pending",Strike_Log!J373,"")</f>
        <v/>
      </c>
      <c r="J373" s="39"/>
      <c r="M373" s="39" t="str">
        <f t="shared" si="3"/>
        <v/>
      </c>
    </row>
    <row r="374" ht="15.75" customHeight="1">
      <c r="A374" s="39" t="str">
        <f>IF(Strike_Log!H374="Pending",Strike_Log!B374,"")</f>
        <v/>
      </c>
      <c r="B374" s="39" t="str">
        <f>IF($A374="","",IFERROR(VLOOKUP($A374,Grinders!$A:$B,2,FALSE),""))</f>
        <v/>
      </c>
      <c r="C374" s="39" t="str">
        <f>IF($A374="","",Strike_Log!A374)</f>
        <v/>
      </c>
      <c r="D374" s="39" t="str">
        <f>IF($A374="","",Strike_Log!E374)</f>
        <v/>
      </c>
      <c r="E374" s="39" t="str">
        <f>IF($A374="","",Strike_Log!F374)</f>
        <v/>
      </c>
      <c r="F374" s="39" t="str">
        <f>IF($A374="","",Strike_Log!H374)</f>
        <v/>
      </c>
      <c r="G374" s="39" t="str">
        <f t="shared" si="1"/>
        <v/>
      </c>
      <c r="H374" s="39" t="str">
        <f t="shared" si="2"/>
        <v/>
      </c>
      <c r="I374" s="39" t="str">
        <f>IF(Strike_Log!H374="Pending",Strike_Log!J374,"")</f>
        <v/>
      </c>
      <c r="J374" s="39"/>
      <c r="M374" s="39" t="str">
        <f t="shared" si="3"/>
        <v/>
      </c>
    </row>
    <row r="375" ht="15.75" customHeight="1">
      <c r="A375" s="39" t="str">
        <f>IF(Strike_Log!H375="Pending",Strike_Log!B375,"")</f>
        <v/>
      </c>
      <c r="B375" s="39" t="str">
        <f>IF($A375="","",IFERROR(VLOOKUP($A375,Grinders!$A:$B,2,FALSE),""))</f>
        <v/>
      </c>
      <c r="C375" s="39" t="str">
        <f>IF($A375="","",Strike_Log!A375)</f>
        <v/>
      </c>
      <c r="D375" s="39" t="str">
        <f>IF($A375="","",Strike_Log!E375)</f>
        <v/>
      </c>
      <c r="E375" s="39" t="str">
        <f>IF($A375="","",Strike_Log!F375)</f>
        <v/>
      </c>
      <c r="F375" s="39" t="str">
        <f>IF($A375="","",Strike_Log!H375)</f>
        <v/>
      </c>
      <c r="G375" s="39" t="str">
        <f t="shared" si="1"/>
        <v/>
      </c>
      <c r="H375" s="39" t="str">
        <f t="shared" si="2"/>
        <v/>
      </c>
      <c r="I375" s="39" t="str">
        <f>IF(Strike_Log!H375="Pending",Strike_Log!J375,"")</f>
        <v/>
      </c>
      <c r="J375" s="39"/>
      <c r="M375" s="39" t="str">
        <f t="shared" si="3"/>
        <v/>
      </c>
    </row>
    <row r="376" ht="15.75" customHeight="1">
      <c r="A376" s="39" t="str">
        <f>IF(Strike_Log!H376="Pending",Strike_Log!B376,"")</f>
        <v/>
      </c>
      <c r="B376" s="39" t="str">
        <f>IF($A376="","",IFERROR(VLOOKUP($A376,Grinders!$A:$B,2,FALSE),""))</f>
        <v/>
      </c>
      <c r="C376" s="39" t="str">
        <f>IF($A376="","",Strike_Log!A376)</f>
        <v/>
      </c>
      <c r="D376" s="39" t="str">
        <f>IF($A376="","",Strike_Log!E376)</f>
        <v/>
      </c>
      <c r="E376" s="39" t="str">
        <f>IF($A376="","",Strike_Log!F376)</f>
        <v/>
      </c>
      <c r="F376" s="39" t="str">
        <f>IF($A376="","",Strike_Log!H376)</f>
        <v/>
      </c>
      <c r="G376" s="39" t="str">
        <f t="shared" si="1"/>
        <v/>
      </c>
      <c r="H376" s="39" t="str">
        <f t="shared" si="2"/>
        <v/>
      </c>
      <c r="I376" s="39" t="str">
        <f>IF(Strike_Log!H376="Pending",Strike_Log!J376,"")</f>
        <v/>
      </c>
      <c r="J376" s="39"/>
      <c r="M376" s="39" t="str">
        <f t="shared" si="3"/>
        <v/>
      </c>
    </row>
    <row r="377" ht="15.75" customHeight="1">
      <c r="A377" s="39" t="str">
        <f>IF(Strike_Log!H377="Pending",Strike_Log!B377,"")</f>
        <v/>
      </c>
      <c r="B377" s="39" t="str">
        <f>IF($A377="","",IFERROR(VLOOKUP($A377,Grinders!$A:$B,2,FALSE),""))</f>
        <v/>
      </c>
      <c r="C377" s="39" t="str">
        <f>IF($A377="","",Strike_Log!A377)</f>
        <v/>
      </c>
      <c r="D377" s="39" t="str">
        <f>IF($A377="","",Strike_Log!E377)</f>
        <v/>
      </c>
      <c r="E377" s="39" t="str">
        <f>IF($A377="","",Strike_Log!F377)</f>
        <v/>
      </c>
      <c r="F377" s="39" t="str">
        <f>IF($A377="","",Strike_Log!H377)</f>
        <v/>
      </c>
      <c r="G377" s="39" t="str">
        <f t="shared" si="1"/>
        <v/>
      </c>
      <c r="H377" s="39" t="str">
        <f t="shared" si="2"/>
        <v/>
      </c>
      <c r="I377" s="39" t="str">
        <f>IF(Strike_Log!H377="Pending",Strike_Log!J377,"")</f>
        <v/>
      </c>
      <c r="J377" s="39"/>
      <c r="M377" s="39" t="str">
        <f t="shared" si="3"/>
        <v/>
      </c>
    </row>
    <row r="378" ht="15.75" customHeight="1">
      <c r="A378" s="39" t="str">
        <f>IF(Strike_Log!H378="Pending",Strike_Log!B378,"")</f>
        <v/>
      </c>
      <c r="B378" s="39" t="str">
        <f>IF($A378="","",IFERROR(VLOOKUP($A378,Grinders!$A:$B,2,FALSE),""))</f>
        <v/>
      </c>
      <c r="C378" s="39" t="str">
        <f>IF($A378="","",Strike_Log!A378)</f>
        <v/>
      </c>
      <c r="D378" s="39" t="str">
        <f>IF($A378="","",Strike_Log!E378)</f>
        <v/>
      </c>
      <c r="E378" s="39" t="str">
        <f>IF($A378="","",Strike_Log!F378)</f>
        <v/>
      </c>
      <c r="F378" s="39" t="str">
        <f>IF($A378="","",Strike_Log!H378)</f>
        <v/>
      </c>
      <c r="G378" s="39" t="str">
        <f t="shared" si="1"/>
        <v/>
      </c>
      <c r="H378" s="39" t="str">
        <f t="shared" si="2"/>
        <v/>
      </c>
      <c r="I378" s="39" t="str">
        <f>IF(Strike_Log!H378="Pending",Strike_Log!J378,"")</f>
        <v/>
      </c>
      <c r="J378" s="39"/>
      <c r="M378" s="39" t="str">
        <f t="shared" si="3"/>
        <v/>
      </c>
    </row>
    <row r="379" ht="15.75" customHeight="1">
      <c r="A379" s="39" t="str">
        <f>IF(Strike_Log!H379="Pending",Strike_Log!B379,"")</f>
        <v/>
      </c>
      <c r="B379" s="39" t="str">
        <f>IF($A379="","",IFERROR(VLOOKUP($A379,Grinders!$A:$B,2,FALSE),""))</f>
        <v/>
      </c>
      <c r="C379" s="39" t="str">
        <f>IF($A379="","",Strike_Log!A379)</f>
        <v/>
      </c>
      <c r="D379" s="39" t="str">
        <f>IF($A379="","",Strike_Log!E379)</f>
        <v/>
      </c>
      <c r="E379" s="39" t="str">
        <f>IF($A379="","",Strike_Log!F379)</f>
        <v/>
      </c>
      <c r="F379" s="39" t="str">
        <f>IF($A379="","",Strike_Log!H379)</f>
        <v/>
      </c>
      <c r="G379" s="39" t="str">
        <f t="shared" si="1"/>
        <v/>
      </c>
      <c r="H379" s="39" t="str">
        <f t="shared" si="2"/>
        <v/>
      </c>
      <c r="I379" s="39" t="str">
        <f>IF(Strike_Log!H379="Pending",Strike_Log!J379,"")</f>
        <v/>
      </c>
      <c r="J379" s="39"/>
      <c r="M379" s="39" t="str">
        <f t="shared" si="3"/>
        <v/>
      </c>
    </row>
    <row r="380" ht="15.75" customHeight="1">
      <c r="A380" s="39" t="str">
        <f>IF(Strike_Log!H380="Pending",Strike_Log!B380,"")</f>
        <v/>
      </c>
      <c r="B380" s="39" t="str">
        <f>IF($A380="","",IFERROR(VLOOKUP($A380,Grinders!$A:$B,2,FALSE),""))</f>
        <v/>
      </c>
      <c r="C380" s="39" t="str">
        <f>IF($A380="","",Strike_Log!A380)</f>
        <v/>
      </c>
      <c r="D380" s="39" t="str">
        <f>IF($A380="","",Strike_Log!E380)</f>
        <v/>
      </c>
      <c r="E380" s="39" t="str">
        <f>IF($A380="","",Strike_Log!F380)</f>
        <v/>
      </c>
      <c r="F380" s="39" t="str">
        <f>IF($A380="","",Strike_Log!H380)</f>
        <v/>
      </c>
      <c r="G380" s="39" t="str">
        <f t="shared" si="1"/>
        <v/>
      </c>
      <c r="H380" s="39" t="str">
        <f t="shared" si="2"/>
        <v/>
      </c>
      <c r="I380" s="39" t="str">
        <f>IF(Strike_Log!H380="Pending",Strike_Log!J380,"")</f>
        <v/>
      </c>
      <c r="J380" s="39"/>
      <c r="M380" s="39" t="str">
        <f t="shared" si="3"/>
        <v/>
      </c>
    </row>
    <row r="381" ht="15.75" customHeight="1">
      <c r="A381" s="39" t="str">
        <f>IF(Strike_Log!H381="Pending",Strike_Log!B381,"")</f>
        <v/>
      </c>
      <c r="B381" s="39" t="str">
        <f>IF($A381="","",IFERROR(VLOOKUP($A381,Grinders!$A:$B,2,FALSE),""))</f>
        <v/>
      </c>
      <c r="C381" s="39" t="str">
        <f>IF($A381="","",Strike_Log!A381)</f>
        <v/>
      </c>
      <c r="D381" s="39" t="str">
        <f>IF($A381="","",Strike_Log!E381)</f>
        <v/>
      </c>
      <c r="E381" s="39" t="str">
        <f>IF($A381="","",Strike_Log!F381)</f>
        <v/>
      </c>
      <c r="F381" s="39" t="str">
        <f>IF($A381="","",Strike_Log!H381)</f>
        <v/>
      </c>
      <c r="G381" s="39" t="str">
        <f t="shared" si="1"/>
        <v/>
      </c>
      <c r="H381" s="39" t="str">
        <f t="shared" si="2"/>
        <v/>
      </c>
      <c r="I381" s="39" t="str">
        <f>IF(Strike_Log!H381="Pending",Strike_Log!J381,"")</f>
        <v/>
      </c>
      <c r="J381" s="39"/>
      <c r="M381" s="39" t="str">
        <f t="shared" si="3"/>
        <v/>
      </c>
    </row>
    <row r="382" ht="15.75" customHeight="1">
      <c r="A382" s="39" t="str">
        <f>IF(Strike_Log!H382="Pending",Strike_Log!B382,"")</f>
        <v/>
      </c>
      <c r="B382" s="39" t="str">
        <f>IF($A382="","",IFERROR(VLOOKUP($A382,Grinders!$A:$B,2,FALSE),""))</f>
        <v/>
      </c>
      <c r="C382" s="39" t="str">
        <f>IF($A382="","",Strike_Log!A382)</f>
        <v/>
      </c>
      <c r="D382" s="39" t="str">
        <f>IF($A382="","",Strike_Log!E382)</f>
        <v/>
      </c>
      <c r="E382" s="39" t="str">
        <f>IF($A382="","",Strike_Log!F382)</f>
        <v/>
      </c>
      <c r="F382" s="39" t="str">
        <f>IF($A382="","",Strike_Log!H382)</f>
        <v/>
      </c>
      <c r="G382" s="39" t="str">
        <f t="shared" si="1"/>
        <v/>
      </c>
      <c r="H382" s="39" t="str">
        <f t="shared" si="2"/>
        <v/>
      </c>
      <c r="I382" s="39" t="str">
        <f>IF(Strike_Log!H382="Pending",Strike_Log!J382,"")</f>
        <v/>
      </c>
      <c r="J382" s="39"/>
      <c r="M382" s="39" t="str">
        <f t="shared" si="3"/>
        <v/>
      </c>
    </row>
    <row r="383" ht="15.75" customHeight="1">
      <c r="A383" s="39" t="str">
        <f>IF(Strike_Log!H383="Pending",Strike_Log!B383,"")</f>
        <v/>
      </c>
      <c r="B383" s="39" t="str">
        <f>IF($A383="","",IFERROR(VLOOKUP($A383,Grinders!$A:$B,2,FALSE),""))</f>
        <v/>
      </c>
      <c r="C383" s="39" t="str">
        <f>IF($A383="","",Strike_Log!A383)</f>
        <v/>
      </c>
      <c r="D383" s="39" t="str">
        <f>IF($A383="","",Strike_Log!E383)</f>
        <v/>
      </c>
      <c r="E383" s="39" t="str">
        <f>IF($A383="","",Strike_Log!F383)</f>
        <v/>
      </c>
      <c r="F383" s="39" t="str">
        <f>IF($A383="","",Strike_Log!H383)</f>
        <v/>
      </c>
      <c r="G383" s="39" t="str">
        <f t="shared" si="1"/>
        <v/>
      </c>
      <c r="H383" s="39" t="str">
        <f t="shared" si="2"/>
        <v/>
      </c>
      <c r="I383" s="39" t="str">
        <f>IF(Strike_Log!H383="Pending",Strike_Log!J383,"")</f>
        <v/>
      </c>
      <c r="J383" s="39"/>
      <c r="M383" s="39" t="str">
        <f t="shared" si="3"/>
        <v/>
      </c>
    </row>
    <row r="384" ht="15.75" customHeight="1">
      <c r="A384" s="39" t="str">
        <f>IF(Strike_Log!H384="Pending",Strike_Log!B384,"")</f>
        <v/>
      </c>
      <c r="B384" s="39" t="str">
        <f>IF($A384="","",IFERROR(VLOOKUP($A384,Grinders!$A:$B,2,FALSE),""))</f>
        <v/>
      </c>
      <c r="C384" s="39" t="str">
        <f>IF($A384="","",Strike_Log!A384)</f>
        <v/>
      </c>
      <c r="D384" s="39" t="str">
        <f>IF($A384="","",Strike_Log!E384)</f>
        <v/>
      </c>
      <c r="E384" s="39" t="str">
        <f>IF($A384="","",Strike_Log!F384)</f>
        <v/>
      </c>
      <c r="F384" s="39" t="str">
        <f>IF($A384="","",Strike_Log!H384)</f>
        <v/>
      </c>
      <c r="G384" s="39" t="str">
        <f t="shared" si="1"/>
        <v/>
      </c>
      <c r="H384" s="39" t="str">
        <f t="shared" si="2"/>
        <v/>
      </c>
      <c r="I384" s="39" t="str">
        <f>IF(Strike_Log!H384="Pending",Strike_Log!J384,"")</f>
        <v/>
      </c>
      <c r="J384" s="39"/>
      <c r="M384" s="39" t="str">
        <f t="shared" si="3"/>
        <v/>
      </c>
    </row>
    <row r="385" ht="15.75" customHeight="1">
      <c r="A385" s="39" t="str">
        <f>IF(Strike_Log!H385="Pending",Strike_Log!B385,"")</f>
        <v/>
      </c>
      <c r="B385" s="39" t="str">
        <f>IF($A385="","",IFERROR(VLOOKUP($A385,Grinders!$A:$B,2,FALSE),""))</f>
        <v/>
      </c>
      <c r="C385" s="39" t="str">
        <f>IF($A385="","",Strike_Log!A385)</f>
        <v/>
      </c>
      <c r="D385" s="39" t="str">
        <f>IF($A385="","",Strike_Log!E385)</f>
        <v/>
      </c>
      <c r="E385" s="39" t="str">
        <f>IF($A385="","",Strike_Log!F385)</f>
        <v/>
      </c>
      <c r="F385" s="39" t="str">
        <f>IF($A385="","",Strike_Log!H385)</f>
        <v/>
      </c>
      <c r="G385" s="39" t="str">
        <f t="shared" si="1"/>
        <v/>
      </c>
      <c r="H385" s="39" t="str">
        <f t="shared" si="2"/>
        <v/>
      </c>
      <c r="I385" s="39" t="str">
        <f>IF(Strike_Log!H385="Pending",Strike_Log!J385,"")</f>
        <v/>
      </c>
      <c r="J385" s="39"/>
      <c r="M385" s="39" t="str">
        <f t="shared" si="3"/>
        <v/>
      </c>
    </row>
    <row r="386" ht="15.75" customHeight="1">
      <c r="A386" s="39" t="str">
        <f>IF(Strike_Log!H386="Pending",Strike_Log!B386,"")</f>
        <v/>
      </c>
      <c r="B386" s="39" t="str">
        <f>IF($A386="","",IFERROR(VLOOKUP($A386,Grinders!$A:$B,2,FALSE),""))</f>
        <v/>
      </c>
      <c r="C386" s="39" t="str">
        <f>IF($A386="","",Strike_Log!A386)</f>
        <v/>
      </c>
      <c r="D386" s="39" t="str">
        <f>IF($A386="","",Strike_Log!E386)</f>
        <v/>
      </c>
      <c r="E386" s="39" t="str">
        <f>IF($A386="","",Strike_Log!F386)</f>
        <v/>
      </c>
      <c r="F386" s="39" t="str">
        <f>IF($A386="","",Strike_Log!H386)</f>
        <v/>
      </c>
      <c r="G386" s="39" t="str">
        <f t="shared" si="1"/>
        <v/>
      </c>
      <c r="H386" s="39" t="str">
        <f t="shared" si="2"/>
        <v/>
      </c>
      <c r="I386" s="39" t="str">
        <f>IF(Strike_Log!H386="Pending",Strike_Log!J386,"")</f>
        <v/>
      </c>
      <c r="J386" s="39"/>
      <c r="M386" s="39" t="str">
        <f t="shared" si="3"/>
        <v/>
      </c>
    </row>
    <row r="387" ht="15.75" customHeight="1">
      <c r="A387" s="39" t="str">
        <f>IF(Strike_Log!H387="Pending",Strike_Log!B387,"")</f>
        <v/>
      </c>
      <c r="B387" s="39" t="str">
        <f>IF($A387="","",IFERROR(VLOOKUP($A387,Grinders!$A:$B,2,FALSE),""))</f>
        <v/>
      </c>
      <c r="C387" s="39" t="str">
        <f>IF($A387="","",Strike_Log!A387)</f>
        <v/>
      </c>
      <c r="D387" s="39" t="str">
        <f>IF($A387="","",Strike_Log!E387)</f>
        <v/>
      </c>
      <c r="E387" s="39" t="str">
        <f>IF($A387="","",Strike_Log!F387)</f>
        <v/>
      </c>
      <c r="F387" s="39" t="str">
        <f>IF($A387="","",Strike_Log!H387)</f>
        <v/>
      </c>
      <c r="G387" s="39" t="str">
        <f t="shared" si="1"/>
        <v/>
      </c>
      <c r="H387" s="39" t="str">
        <f t="shared" si="2"/>
        <v/>
      </c>
      <c r="I387" s="39" t="str">
        <f>IF(Strike_Log!H387="Pending",Strike_Log!J387,"")</f>
        <v/>
      </c>
      <c r="J387" s="39"/>
      <c r="M387" s="39" t="str">
        <f t="shared" si="3"/>
        <v/>
      </c>
    </row>
    <row r="388" ht="15.75" customHeight="1">
      <c r="A388" s="39" t="str">
        <f>IF(Strike_Log!H388="Pending",Strike_Log!B388,"")</f>
        <v/>
      </c>
      <c r="B388" s="39" t="str">
        <f>IF($A388="","",IFERROR(VLOOKUP($A388,Grinders!$A:$B,2,FALSE),""))</f>
        <v/>
      </c>
      <c r="C388" s="39" t="str">
        <f>IF($A388="","",Strike_Log!A388)</f>
        <v/>
      </c>
      <c r="D388" s="39" t="str">
        <f>IF($A388="","",Strike_Log!E388)</f>
        <v/>
      </c>
      <c r="E388" s="39" t="str">
        <f>IF($A388="","",Strike_Log!F388)</f>
        <v/>
      </c>
      <c r="F388" s="39" t="str">
        <f>IF($A388="","",Strike_Log!H388)</f>
        <v/>
      </c>
      <c r="G388" s="39" t="str">
        <f t="shared" si="1"/>
        <v/>
      </c>
      <c r="H388" s="39" t="str">
        <f t="shared" si="2"/>
        <v/>
      </c>
      <c r="I388" s="39" t="str">
        <f>IF(Strike_Log!H388="Pending",Strike_Log!J388,"")</f>
        <v/>
      </c>
      <c r="J388" s="39"/>
      <c r="M388" s="39" t="str">
        <f t="shared" si="3"/>
        <v/>
      </c>
    </row>
    <row r="389" ht="15.75" customHeight="1">
      <c r="A389" s="39" t="str">
        <f>IF(Strike_Log!H389="Pending",Strike_Log!B389,"")</f>
        <v/>
      </c>
      <c r="B389" s="39" t="str">
        <f>IF($A389="","",IFERROR(VLOOKUP($A389,Grinders!$A:$B,2,FALSE),""))</f>
        <v/>
      </c>
      <c r="C389" s="39" t="str">
        <f>IF($A389="","",Strike_Log!A389)</f>
        <v/>
      </c>
      <c r="D389" s="39" t="str">
        <f>IF($A389="","",Strike_Log!E389)</f>
        <v/>
      </c>
      <c r="E389" s="39" t="str">
        <f>IF($A389="","",Strike_Log!F389)</f>
        <v/>
      </c>
      <c r="F389" s="39" t="str">
        <f>IF($A389="","",Strike_Log!H389)</f>
        <v/>
      </c>
      <c r="G389" s="39" t="str">
        <f t="shared" si="1"/>
        <v/>
      </c>
      <c r="H389" s="39" t="str">
        <f t="shared" si="2"/>
        <v/>
      </c>
      <c r="I389" s="39" t="str">
        <f>IF(Strike_Log!H389="Pending",Strike_Log!J389,"")</f>
        <v/>
      </c>
      <c r="J389" s="39"/>
      <c r="M389" s="39" t="str">
        <f t="shared" si="3"/>
        <v/>
      </c>
    </row>
    <row r="390" ht="15.75" customHeight="1">
      <c r="A390" s="39" t="str">
        <f>IF(Strike_Log!H390="Pending",Strike_Log!B390,"")</f>
        <v/>
      </c>
      <c r="B390" s="39" t="str">
        <f>IF($A390="","",IFERROR(VLOOKUP($A390,Grinders!$A:$B,2,FALSE),""))</f>
        <v/>
      </c>
      <c r="C390" s="39" t="str">
        <f>IF($A390="","",Strike_Log!A390)</f>
        <v/>
      </c>
      <c r="D390" s="39" t="str">
        <f>IF($A390="","",Strike_Log!E390)</f>
        <v/>
      </c>
      <c r="E390" s="39" t="str">
        <f>IF($A390="","",Strike_Log!F390)</f>
        <v/>
      </c>
      <c r="F390" s="39" t="str">
        <f>IF($A390="","",Strike_Log!H390)</f>
        <v/>
      </c>
      <c r="G390" s="39" t="str">
        <f t="shared" si="1"/>
        <v/>
      </c>
      <c r="H390" s="39" t="str">
        <f t="shared" si="2"/>
        <v/>
      </c>
      <c r="I390" s="39" t="str">
        <f>IF(Strike_Log!H390="Pending",Strike_Log!J390,"")</f>
        <v/>
      </c>
      <c r="J390" s="39"/>
      <c r="M390" s="39" t="str">
        <f t="shared" si="3"/>
        <v/>
      </c>
    </row>
    <row r="391" ht="15.75" customHeight="1">
      <c r="A391" s="39" t="str">
        <f>IF(Strike_Log!H391="Pending",Strike_Log!B391,"")</f>
        <v/>
      </c>
      <c r="B391" s="39" t="str">
        <f>IF($A391="","",IFERROR(VLOOKUP($A391,Grinders!$A:$B,2,FALSE),""))</f>
        <v/>
      </c>
      <c r="C391" s="39" t="str">
        <f>IF($A391="","",Strike_Log!A391)</f>
        <v/>
      </c>
      <c r="D391" s="39" t="str">
        <f>IF($A391="","",Strike_Log!E391)</f>
        <v/>
      </c>
      <c r="E391" s="39" t="str">
        <f>IF($A391="","",Strike_Log!F391)</f>
        <v/>
      </c>
      <c r="F391" s="39" t="str">
        <f>IF($A391="","",Strike_Log!H391)</f>
        <v/>
      </c>
      <c r="G391" s="39" t="str">
        <f t="shared" si="1"/>
        <v/>
      </c>
      <c r="H391" s="39" t="str">
        <f t="shared" si="2"/>
        <v/>
      </c>
      <c r="I391" s="39" t="str">
        <f>IF(Strike_Log!H391="Pending",Strike_Log!J391,"")</f>
        <v/>
      </c>
      <c r="J391" s="39"/>
      <c r="M391" s="39" t="str">
        <f t="shared" si="3"/>
        <v/>
      </c>
    </row>
    <row r="392" ht="15.75" customHeight="1">
      <c r="A392" s="39" t="str">
        <f>IF(Strike_Log!H392="Pending",Strike_Log!B392,"")</f>
        <v/>
      </c>
      <c r="B392" s="39" t="str">
        <f>IF($A392="","",IFERROR(VLOOKUP($A392,Grinders!$A:$B,2,FALSE),""))</f>
        <v/>
      </c>
      <c r="C392" s="39" t="str">
        <f>IF($A392="","",Strike_Log!A392)</f>
        <v/>
      </c>
      <c r="D392" s="39" t="str">
        <f>IF($A392="","",Strike_Log!E392)</f>
        <v/>
      </c>
      <c r="E392" s="39" t="str">
        <f>IF($A392="","",Strike_Log!F392)</f>
        <v/>
      </c>
      <c r="F392" s="39" t="str">
        <f>IF($A392="","",Strike_Log!H392)</f>
        <v/>
      </c>
      <c r="G392" s="39" t="str">
        <f t="shared" si="1"/>
        <v/>
      </c>
      <c r="H392" s="39" t="str">
        <f t="shared" si="2"/>
        <v/>
      </c>
      <c r="I392" s="39" t="str">
        <f>IF(Strike_Log!H392="Pending",Strike_Log!J392,"")</f>
        <v/>
      </c>
      <c r="J392" s="39"/>
      <c r="M392" s="39" t="str">
        <f t="shared" si="3"/>
        <v/>
      </c>
    </row>
    <row r="393" ht="15.75" customHeight="1">
      <c r="A393" s="39" t="str">
        <f>IF(Strike_Log!H393="Pending",Strike_Log!B393,"")</f>
        <v/>
      </c>
      <c r="B393" s="39" t="str">
        <f>IF($A393="","",IFERROR(VLOOKUP($A393,Grinders!$A:$B,2,FALSE),""))</f>
        <v/>
      </c>
      <c r="C393" s="39" t="str">
        <f>IF($A393="","",Strike_Log!A393)</f>
        <v/>
      </c>
      <c r="D393" s="39" t="str">
        <f>IF($A393="","",Strike_Log!E393)</f>
        <v/>
      </c>
      <c r="E393" s="39" t="str">
        <f>IF($A393="","",Strike_Log!F393)</f>
        <v/>
      </c>
      <c r="F393" s="39" t="str">
        <f>IF($A393="","",Strike_Log!H393)</f>
        <v/>
      </c>
      <c r="G393" s="39" t="str">
        <f t="shared" si="1"/>
        <v/>
      </c>
      <c r="H393" s="39" t="str">
        <f t="shared" si="2"/>
        <v/>
      </c>
      <c r="I393" s="39" t="str">
        <f>IF(Strike_Log!H393="Pending",Strike_Log!J393,"")</f>
        <v/>
      </c>
      <c r="J393" s="39"/>
      <c r="M393" s="39" t="str">
        <f t="shared" si="3"/>
        <v/>
      </c>
    </row>
    <row r="394" ht="15.75" customHeight="1">
      <c r="A394" s="39" t="str">
        <f>IF(Strike_Log!H394="Pending",Strike_Log!B394,"")</f>
        <v/>
      </c>
      <c r="B394" s="39" t="str">
        <f>IF($A394="","",IFERROR(VLOOKUP($A394,Grinders!$A:$B,2,FALSE),""))</f>
        <v/>
      </c>
      <c r="C394" s="39" t="str">
        <f>IF($A394="","",Strike_Log!A394)</f>
        <v/>
      </c>
      <c r="D394" s="39" t="str">
        <f>IF($A394="","",Strike_Log!E394)</f>
        <v/>
      </c>
      <c r="E394" s="39" t="str">
        <f>IF($A394="","",Strike_Log!F394)</f>
        <v/>
      </c>
      <c r="F394" s="39" t="str">
        <f>IF($A394="","",Strike_Log!H394)</f>
        <v/>
      </c>
      <c r="G394" s="39" t="str">
        <f t="shared" si="1"/>
        <v/>
      </c>
      <c r="H394" s="39" t="str">
        <f t="shared" si="2"/>
        <v/>
      </c>
      <c r="I394" s="39" t="str">
        <f>IF(Strike_Log!H394="Pending",Strike_Log!J394,"")</f>
        <v/>
      </c>
      <c r="J394" s="39"/>
      <c r="M394" s="39" t="str">
        <f t="shared" si="3"/>
        <v/>
      </c>
    </row>
    <row r="395" ht="15.75" customHeight="1">
      <c r="A395" s="39" t="str">
        <f>IF(Strike_Log!H395="Pending",Strike_Log!B395,"")</f>
        <v/>
      </c>
      <c r="B395" s="39" t="str">
        <f>IF($A395="","",IFERROR(VLOOKUP($A395,Grinders!$A:$B,2,FALSE),""))</f>
        <v/>
      </c>
      <c r="C395" s="39" t="str">
        <f>IF($A395="","",Strike_Log!A395)</f>
        <v/>
      </c>
      <c r="D395" s="39" t="str">
        <f>IF($A395="","",Strike_Log!E395)</f>
        <v/>
      </c>
      <c r="E395" s="39" t="str">
        <f>IF($A395="","",Strike_Log!F395)</f>
        <v/>
      </c>
      <c r="F395" s="39" t="str">
        <f>IF($A395="","",Strike_Log!H395)</f>
        <v/>
      </c>
      <c r="G395" s="39" t="str">
        <f t="shared" si="1"/>
        <v/>
      </c>
      <c r="H395" s="39" t="str">
        <f t="shared" si="2"/>
        <v/>
      </c>
      <c r="I395" s="39" t="str">
        <f>IF(Strike_Log!H395="Pending",Strike_Log!J395,"")</f>
        <v/>
      </c>
      <c r="J395" s="39"/>
      <c r="M395" s="39" t="str">
        <f t="shared" si="3"/>
        <v/>
      </c>
    </row>
    <row r="396" ht="15.75" customHeight="1">
      <c r="A396" s="39" t="str">
        <f>IF(Strike_Log!H396="Pending",Strike_Log!B396,"")</f>
        <v/>
      </c>
      <c r="B396" s="39" t="str">
        <f>IF($A396="","",IFERROR(VLOOKUP($A396,Grinders!$A:$B,2,FALSE),""))</f>
        <v/>
      </c>
      <c r="C396" s="39" t="str">
        <f>IF($A396="","",Strike_Log!A396)</f>
        <v/>
      </c>
      <c r="D396" s="39" t="str">
        <f>IF($A396="","",Strike_Log!E396)</f>
        <v/>
      </c>
      <c r="E396" s="39" t="str">
        <f>IF($A396="","",Strike_Log!F396)</f>
        <v/>
      </c>
      <c r="F396" s="39" t="str">
        <f>IF($A396="","",Strike_Log!H396)</f>
        <v/>
      </c>
      <c r="G396" s="39" t="str">
        <f t="shared" si="1"/>
        <v/>
      </c>
      <c r="H396" s="39" t="str">
        <f t="shared" si="2"/>
        <v/>
      </c>
      <c r="I396" s="39" t="str">
        <f>IF(Strike_Log!H396="Pending",Strike_Log!J396,"")</f>
        <v/>
      </c>
      <c r="J396" s="39"/>
      <c r="M396" s="39" t="str">
        <f t="shared" si="3"/>
        <v/>
      </c>
    </row>
    <row r="397" ht="15.75" customHeight="1">
      <c r="A397" s="39" t="str">
        <f>IF(Strike_Log!H397="Pending",Strike_Log!B397,"")</f>
        <v/>
      </c>
      <c r="B397" s="39" t="str">
        <f>IF($A397="","",IFERROR(VLOOKUP($A397,Grinders!$A:$B,2,FALSE),""))</f>
        <v/>
      </c>
      <c r="C397" s="39" t="str">
        <f>IF($A397="","",Strike_Log!A397)</f>
        <v/>
      </c>
      <c r="D397" s="39" t="str">
        <f>IF($A397="","",Strike_Log!E397)</f>
        <v/>
      </c>
      <c r="E397" s="39" t="str">
        <f>IF($A397="","",Strike_Log!F397)</f>
        <v/>
      </c>
      <c r="F397" s="39" t="str">
        <f>IF($A397="","",Strike_Log!H397)</f>
        <v/>
      </c>
      <c r="G397" s="39" t="str">
        <f t="shared" si="1"/>
        <v/>
      </c>
      <c r="H397" s="39" t="str">
        <f t="shared" si="2"/>
        <v/>
      </c>
      <c r="I397" s="39" t="str">
        <f>IF(Strike_Log!H397="Pending",Strike_Log!J397,"")</f>
        <v/>
      </c>
      <c r="J397" s="39"/>
      <c r="M397" s="39" t="str">
        <f t="shared" si="3"/>
        <v/>
      </c>
    </row>
    <row r="398" ht="15.75" customHeight="1">
      <c r="A398" s="39" t="str">
        <f>IF(Strike_Log!H398="Pending",Strike_Log!B398,"")</f>
        <v/>
      </c>
      <c r="B398" s="39" t="str">
        <f>IF($A398="","",IFERROR(VLOOKUP($A398,Grinders!$A:$B,2,FALSE),""))</f>
        <v/>
      </c>
      <c r="C398" s="39" t="str">
        <f>IF($A398="","",Strike_Log!A398)</f>
        <v/>
      </c>
      <c r="D398" s="39" t="str">
        <f>IF($A398="","",Strike_Log!E398)</f>
        <v/>
      </c>
      <c r="E398" s="39" t="str">
        <f>IF($A398="","",Strike_Log!F398)</f>
        <v/>
      </c>
      <c r="F398" s="39" t="str">
        <f>IF($A398="","",Strike_Log!H398)</f>
        <v/>
      </c>
      <c r="G398" s="39" t="str">
        <f t="shared" si="1"/>
        <v/>
      </c>
      <c r="H398" s="39" t="str">
        <f t="shared" si="2"/>
        <v/>
      </c>
      <c r="I398" s="39" t="str">
        <f>IF(Strike_Log!H398="Pending",Strike_Log!J398,"")</f>
        <v/>
      </c>
      <c r="J398" s="39"/>
      <c r="M398" s="39" t="str">
        <f t="shared" si="3"/>
        <v/>
      </c>
    </row>
    <row r="399" ht="15.75" customHeight="1">
      <c r="A399" s="39" t="str">
        <f>IF(Strike_Log!H399="Pending",Strike_Log!B399,"")</f>
        <v/>
      </c>
      <c r="B399" s="39" t="str">
        <f>IF($A399="","",IFERROR(VLOOKUP($A399,Grinders!$A:$B,2,FALSE),""))</f>
        <v/>
      </c>
      <c r="C399" s="39" t="str">
        <f>IF($A399="","",Strike_Log!A399)</f>
        <v/>
      </c>
      <c r="D399" s="39" t="str">
        <f>IF($A399="","",Strike_Log!E399)</f>
        <v/>
      </c>
      <c r="E399" s="39" t="str">
        <f>IF($A399="","",Strike_Log!F399)</f>
        <v/>
      </c>
      <c r="F399" s="39" t="str">
        <f>IF($A399="","",Strike_Log!H399)</f>
        <v/>
      </c>
      <c r="G399" s="39" t="str">
        <f t="shared" si="1"/>
        <v/>
      </c>
      <c r="H399" s="39" t="str">
        <f t="shared" si="2"/>
        <v/>
      </c>
      <c r="I399" s="39" t="str">
        <f>IF(Strike_Log!H399="Pending",Strike_Log!J399,"")</f>
        <v/>
      </c>
      <c r="J399" s="39"/>
      <c r="M399" s="39" t="str">
        <f t="shared" si="3"/>
        <v/>
      </c>
    </row>
    <row r="400" ht="15.75" customHeight="1">
      <c r="A400" s="39" t="str">
        <f>IF(Strike_Log!H400="Pending",Strike_Log!B400,"")</f>
        <v/>
      </c>
      <c r="B400" s="39" t="str">
        <f>IF($A400="","",IFERROR(VLOOKUP($A400,Grinders!$A:$B,2,FALSE),""))</f>
        <v/>
      </c>
      <c r="C400" s="39" t="str">
        <f>IF($A400="","",Strike_Log!A400)</f>
        <v/>
      </c>
      <c r="D400" s="39" t="str">
        <f>IF($A400="","",Strike_Log!E400)</f>
        <v/>
      </c>
      <c r="E400" s="39" t="str">
        <f>IF($A400="","",Strike_Log!F400)</f>
        <v/>
      </c>
      <c r="F400" s="39" t="str">
        <f>IF($A400="","",Strike_Log!H400)</f>
        <v/>
      </c>
      <c r="G400" s="39" t="str">
        <f t="shared" si="1"/>
        <v/>
      </c>
      <c r="H400" s="39" t="str">
        <f t="shared" si="2"/>
        <v/>
      </c>
      <c r="I400" s="39" t="str">
        <f>IF(Strike_Log!H400="Pending",Strike_Log!J400,"")</f>
        <v/>
      </c>
      <c r="J400" s="39"/>
      <c r="M400" s="39" t="str">
        <f t="shared" si="3"/>
        <v/>
      </c>
    </row>
    <row r="401" ht="15.75" customHeight="1">
      <c r="A401" s="39" t="str">
        <f>IF(Strike_Log!H401="Pending",Strike_Log!B401,"")</f>
        <v/>
      </c>
      <c r="B401" s="39" t="str">
        <f>IF($A401="","",IFERROR(VLOOKUP($A401,Grinders!$A:$B,2,FALSE),""))</f>
        <v/>
      </c>
      <c r="C401" s="39" t="str">
        <f>IF($A401="","",Strike_Log!A401)</f>
        <v/>
      </c>
      <c r="D401" s="39" t="str">
        <f>IF($A401="","",Strike_Log!E401)</f>
        <v/>
      </c>
      <c r="E401" s="39" t="str">
        <f>IF($A401="","",Strike_Log!F401)</f>
        <v/>
      </c>
      <c r="F401" s="39" t="str">
        <f>IF($A401="","",Strike_Log!H401)</f>
        <v/>
      </c>
      <c r="G401" s="39" t="str">
        <f t="shared" si="1"/>
        <v/>
      </c>
      <c r="H401" s="39" t="str">
        <f t="shared" si="2"/>
        <v/>
      </c>
      <c r="I401" s="39" t="str">
        <f>IF(Strike_Log!H401="Pending",Strike_Log!J401,"")</f>
        <v/>
      </c>
      <c r="J401" s="39"/>
      <c r="M401" s="39" t="str">
        <f t="shared" si="3"/>
        <v/>
      </c>
    </row>
    <row r="402" ht="15.75" customHeight="1">
      <c r="A402" s="39" t="str">
        <f>IF(Strike_Log!H402="Pending",Strike_Log!B402,"")</f>
        <v/>
      </c>
      <c r="B402" s="39" t="str">
        <f>IF($A402="","",IFERROR(VLOOKUP($A402,Grinders!$A:$B,2,FALSE),""))</f>
        <v/>
      </c>
      <c r="C402" s="39" t="str">
        <f>IF($A402="","",Strike_Log!A402)</f>
        <v/>
      </c>
      <c r="D402" s="39" t="str">
        <f>IF($A402="","",Strike_Log!E402)</f>
        <v/>
      </c>
      <c r="E402" s="39" t="str">
        <f>IF($A402="","",Strike_Log!F402)</f>
        <v/>
      </c>
      <c r="F402" s="39" t="str">
        <f>IF($A402="","",Strike_Log!H402)</f>
        <v/>
      </c>
      <c r="G402" s="39" t="str">
        <f t="shared" si="1"/>
        <v/>
      </c>
      <c r="H402" s="39" t="str">
        <f t="shared" si="2"/>
        <v/>
      </c>
      <c r="I402" s="39" t="str">
        <f>IF(Strike_Log!H402="Pending",Strike_Log!J402,"")</f>
        <v/>
      </c>
      <c r="J402" s="39"/>
      <c r="M402" s="39" t="str">
        <f t="shared" si="3"/>
        <v/>
      </c>
    </row>
    <row r="403" ht="15.75" customHeight="1">
      <c r="A403" s="39" t="str">
        <f>IF(Strike_Log!H403="Pending",Strike_Log!B403,"")</f>
        <v/>
      </c>
      <c r="B403" s="39" t="str">
        <f>IF($A403="","",IFERROR(VLOOKUP($A403,Grinders!$A:$B,2,FALSE),""))</f>
        <v/>
      </c>
      <c r="C403" s="39" t="str">
        <f>IF($A403="","",Strike_Log!A403)</f>
        <v/>
      </c>
      <c r="D403" s="39" t="str">
        <f>IF($A403="","",Strike_Log!E403)</f>
        <v/>
      </c>
      <c r="E403" s="39" t="str">
        <f>IF($A403="","",Strike_Log!F403)</f>
        <v/>
      </c>
      <c r="F403" s="39" t="str">
        <f>IF($A403="","",Strike_Log!H403)</f>
        <v/>
      </c>
      <c r="G403" s="39" t="str">
        <f t="shared" si="1"/>
        <v/>
      </c>
      <c r="H403" s="39" t="str">
        <f t="shared" si="2"/>
        <v/>
      </c>
      <c r="I403" s="39" t="str">
        <f>IF(Strike_Log!H403="Pending",Strike_Log!J403,"")</f>
        <v/>
      </c>
      <c r="J403" s="39"/>
      <c r="M403" s="39" t="str">
        <f t="shared" si="3"/>
        <v/>
      </c>
    </row>
    <row r="404" ht="15.75" customHeight="1">
      <c r="A404" s="39" t="str">
        <f>IF(Strike_Log!H404="Pending",Strike_Log!B404,"")</f>
        <v/>
      </c>
      <c r="B404" s="39" t="str">
        <f>IF($A404="","",IFERROR(VLOOKUP($A404,Grinders!$A:$B,2,FALSE),""))</f>
        <v/>
      </c>
      <c r="C404" s="39" t="str">
        <f>IF($A404="","",Strike_Log!A404)</f>
        <v/>
      </c>
      <c r="D404" s="39" t="str">
        <f>IF($A404="","",Strike_Log!E404)</f>
        <v/>
      </c>
      <c r="E404" s="39" t="str">
        <f>IF($A404="","",Strike_Log!F404)</f>
        <v/>
      </c>
      <c r="F404" s="39" t="str">
        <f>IF($A404="","",Strike_Log!H404)</f>
        <v/>
      </c>
      <c r="G404" s="39" t="str">
        <f t="shared" si="1"/>
        <v/>
      </c>
      <c r="H404" s="39" t="str">
        <f t="shared" si="2"/>
        <v/>
      </c>
      <c r="I404" s="39" t="str">
        <f>IF(Strike_Log!H404="Pending",Strike_Log!J404,"")</f>
        <v/>
      </c>
      <c r="J404" s="39"/>
      <c r="M404" s="39" t="str">
        <f t="shared" si="3"/>
        <v/>
      </c>
    </row>
    <row r="405" ht="15.75" customHeight="1">
      <c r="A405" s="39" t="str">
        <f>IF(Strike_Log!H405="Pending",Strike_Log!B405,"")</f>
        <v/>
      </c>
      <c r="B405" s="39" t="str">
        <f>IF($A405="","",IFERROR(VLOOKUP($A405,Grinders!$A:$B,2,FALSE),""))</f>
        <v/>
      </c>
      <c r="C405" s="39" t="str">
        <f>IF($A405="","",Strike_Log!A405)</f>
        <v/>
      </c>
      <c r="D405" s="39" t="str">
        <f>IF($A405="","",Strike_Log!E405)</f>
        <v/>
      </c>
      <c r="E405" s="39" t="str">
        <f>IF($A405="","",Strike_Log!F405)</f>
        <v/>
      </c>
      <c r="F405" s="39" t="str">
        <f>IF($A405="","",Strike_Log!H405)</f>
        <v/>
      </c>
      <c r="G405" s="39" t="str">
        <f t="shared" si="1"/>
        <v/>
      </c>
      <c r="H405" s="39" t="str">
        <f t="shared" si="2"/>
        <v/>
      </c>
      <c r="I405" s="39" t="str">
        <f>IF(Strike_Log!H405="Pending",Strike_Log!J405,"")</f>
        <v/>
      </c>
      <c r="J405" s="39"/>
      <c r="M405" s="39" t="str">
        <f t="shared" si="3"/>
        <v/>
      </c>
    </row>
    <row r="406" ht="15.75" customHeight="1">
      <c r="A406" s="39" t="str">
        <f>IF(Strike_Log!H406="Pending",Strike_Log!B406,"")</f>
        <v/>
      </c>
      <c r="B406" s="39" t="str">
        <f>IF($A406="","",IFERROR(VLOOKUP($A406,Grinders!$A:$B,2,FALSE),""))</f>
        <v/>
      </c>
      <c r="C406" s="39" t="str">
        <f>IF($A406="","",Strike_Log!A406)</f>
        <v/>
      </c>
      <c r="D406" s="39" t="str">
        <f>IF($A406="","",Strike_Log!E406)</f>
        <v/>
      </c>
      <c r="E406" s="39" t="str">
        <f>IF($A406="","",Strike_Log!F406)</f>
        <v/>
      </c>
      <c r="F406" s="39" t="str">
        <f>IF($A406="","",Strike_Log!H406)</f>
        <v/>
      </c>
      <c r="G406" s="39" t="str">
        <f t="shared" si="1"/>
        <v/>
      </c>
      <c r="H406" s="39" t="str">
        <f t="shared" si="2"/>
        <v/>
      </c>
      <c r="I406" s="39" t="str">
        <f>IF(Strike_Log!H406="Pending",Strike_Log!J406,"")</f>
        <v/>
      </c>
      <c r="J406" s="39"/>
      <c r="M406" s="39" t="str">
        <f t="shared" si="3"/>
        <v/>
      </c>
    </row>
    <row r="407" ht="15.75" customHeight="1">
      <c r="A407" s="39" t="str">
        <f>IF(Strike_Log!H407="Pending",Strike_Log!B407,"")</f>
        <v/>
      </c>
      <c r="B407" s="39" t="str">
        <f>IF($A407="","",IFERROR(VLOOKUP($A407,Grinders!$A:$B,2,FALSE),""))</f>
        <v/>
      </c>
      <c r="C407" s="39" t="str">
        <f>IF($A407="","",Strike_Log!A407)</f>
        <v/>
      </c>
      <c r="D407" s="39" t="str">
        <f>IF($A407="","",Strike_Log!E407)</f>
        <v/>
      </c>
      <c r="E407" s="39" t="str">
        <f>IF($A407="","",Strike_Log!F407)</f>
        <v/>
      </c>
      <c r="F407" s="39" t="str">
        <f>IF($A407="","",Strike_Log!H407)</f>
        <v/>
      </c>
      <c r="G407" s="39" t="str">
        <f t="shared" si="1"/>
        <v/>
      </c>
      <c r="H407" s="39" t="str">
        <f t="shared" si="2"/>
        <v/>
      </c>
      <c r="I407" s="39" t="str">
        <f>IF(Strike_Log!H407="Pending",Strike_Log!J407,"")</f>
        <v/>
      </c>
      <c r="J407" s="39"/>
      <c r="M407" s="39" t="str">
        <f t="shared" si="3"/>
        <v/>
      </c>
    </row>
    <row r="408" ht="15.75" customHeight="1">
      <c r="A408" s="39" t="str">
        <f>IF(Strike_Log!H408="Pending",Strike_Log!B408,"")</f>
        <v/>
      </c>
      <c r="B408" s="39" t="str">
        <f>IF($A408="","",IFERROR(VLOOKUP($A408,Grinders!$A:$B,2,FALSE),""))</f>
        <v/>
      </c>
      <c r="C408" s="39" t="str">
        <f>IF($A408="","",Strike_Log!A408)</f>
        <v/>
      </c>
      <c r="D408" s="39" t="str">
        <f>IF($A408="","",Strike_Log!E408)</f>
        <v/>
      </c>
      <c r="E408" s="39" t="str">
        <f>IF($A408="","",Strike_Log!F408)</f>
        <v/>
      </c>
      <c r="F408" s="39" t="str">
        <f>IF($A408="","",Strike_Log!H408)</f>
        <v/>
      </c>
      <c r="G408" s="39" t="str">
        <f t="shared" si="1"/>
        <v/>
      </c>
      <c r="H408" s="39" t="str">
        <f t="shared" si="2"/>
        <v/>
      </c>
      <c r="I408" s="39" t="str">
        <f>IF(Strike_Log!H408="Pending",Strike_Log!J408,"")</f>
        <v/>
      </c>
      <c r="J408" s="39"/>
      <c r="M408" s="39" t="str">
        <f t="shared" si="3"/>
        <v/>
      </c>
    </row>
    <row r="409" ht="15.75" customHeight="1">
      <c r="A409" s="39" t="str">
        <f>IF(Strike_Log!H409="Pending",Strike_Log!B409,"")</f>
        <v/>
      </c>
      <c r="B409" s="39" t="str">
        <f>IF($A409="","",IFERROR(VLOOKUP($A409,Grinders!$A:$B,2,FALSE),""))</f>
        <v/>
      </c>
      <c r="C409" s="39" t="str">
        <f>IF($A409="","",Strike_Log!A409)</f>
        <v/>
      </c>
      <c r="D409" s="39" t="str">
        <f>IF($A409="","",Strike_Log!E409)</f>
        <v/>
      </c>
      <c r="E409" s="39" t="str">
        <f>IF($A409="","",Strike_Log!F409)</f>
        <v/>
      </c>
      <c r="F409" s="39" t="str">
        <f>IF($A409="","",Strike_Log!H409)</f>
        <v/>
      </c>
      <c r="G409" s="39" t="str">
        <f t="shared" si="1"/>
        <v/>
      </c>
      <c r="H409" s="39" t="str">
        <f t="shared" si="2"/>
        <v/>
      </c>
      <c r="I409" s="39" t="str">
        <f>IF(Strike_Log!H409="Pending",Strike_Log!J409,"")</f>
        <v/>
      </c>
      <c r="J409" s="39"/>
      <c r="M409" s="39" t="str">
        <f t="shared" si="3"/>
        <v/>
      </c>
    </row>
    <row r="410" ht="15.75" customHeight="1">
      <c r="A410" s="39" t="str">
        <f>IF(Strike_Log!H410="Pending",Strike_Log!B410,"")</f>
        <v/>
      </c>
      <c r="B410" s="39" t="str">
        <f>IF($A410="","",IFERROR(VLOOKUP($A410,Grinders!$A:$B,2,FALSE),""))</f>
        <v/>
      </c>
      <c r="C410" s="39" t="str">
        <f>IF($A410="","",Strike_Log!A410)</f>
        <v/>
      </c>
      <c r="D410" s="39" t="str">
        <f>IF($A410="","",Strike_Log!E410)</f>
        <v/>
      </c>
      <c r="E410" s="39" t="str">
        <f>IF($A410="","",Strike_Log!F410)</f>
        <v/>
      </c>
      <c r="F410" s="39" t="str">
        <f>IF($A410="","",Strike_Log!H410)</f>
        <v/>
      </c>
      <c r="G410" s="39" t="str">
        <f t="shared" si="1"/>
        <v/>
      </c>
      <c r="H410" s="39" t="str">
        <f t="shared" si="2"/>
        <v/>
      </c>
      <c r="I410" s="39" t="str">
        <f>IF(Strike_Log!H410="Pending",Strike_Log!J410,"")</f>
        <v/>
      </c>
      <c r="J410" s="39"/>
      <c r="M410" s="39" t="str">
        <f t="shared" si="3"/>
        <v/>
      </c>
    </row>
    <row r="411" ht="15.75" customHeight="1">
      <c r="A411" s="39" t="str">
        <f>IF(Strike_Log!H411="Pending",Strike_Log!B411,"")</f>
        <v/>
      </c>
      <c r="B411" s="39" t="str">
        <f>IF($A411="","",IFERROR(VLOOKUP($A411,Grinders!$A:$B,2,FALSE),""))</f>
        <v/>
      </c>
      <c r="C411" s="39" t="str">
        <f>IF($A411="","",Strike_Log!A411)</f>
        <v/>
      </c>
      <c r="D411" s="39" t="str">
        <f>IF($A411="","",Strike_Log!E411)</f>
        <v/>
      </c>
      <c r="E411" s="39" t="str">
        <f>IF($A411="","",Strike_Log!F411)</f>
        <v/>
      </c>
      <c r="F411" s="39" t="str">
        <f>IF($A411="","",Strike_Log!H411)</f>
        <v/>
      </c>
      <c r="G411" s="39" t="str">
        <f t="shared" si="1"/>
        <v/>
      </c>
      <c r="H411" s="39" t="str">
        <f t="shared" si="2"/>
        <v/>
      </c>
      <c r="I411" s="39" t="str">
        <f>IF(Strike_Log!H411="Pending",Strike_Log!J411,"")</f>
        <v/>
      </c>
      <c r="J411" s="39"/>
      <c r="M411" s="39" t="str">
        <f t="shared" si="3"/>
        <v/>
      </c>
    </row>
    <row r="412" ht="15.75" customHeight="1">
      <c r="A412" s="39" t="str">
        <f>IF(Strike_Log!H412="Pending",Strike_Log!B412,"")</f>
        <v/>
      </c>
      <c r="B412" s="39" t="str">
        <f>IF($A412="","",IFERROR(VLOOKUP($A412,Grinders!$A:$B,2,FALSE),""))</f>
        <v/>
      </c>
      <c r="C412" s="39" t="str">
        <f>IF($A412="","",Strike_Log!A412)</f>
        <v/>
      </c>
      <c r="D412" s="39" t="str">
        <f>IF($A412="","",Strike_Log!E412)</f>
        <v/>
      </c>
      <c r="E412" s="39" t="str">
        <f>IF($A412="","",Strike_Log!F412)</f>
        <v/>
      </c>
      <c r="F412" s="39" t="str">
        <f>IF($A412="","",Strike_Log!H412)</f>
        <v/>
      </c>
      <c r="G412" s="39" t="str">
        <f t="shared" si="1"/>
        <v/>
      </c>
      <c r="H412" s="39" t="str">
        <f t="shared" si="2"/>
        <v/>
      </c>
      <c r="I412" s="39" t="str">
        <f>IF(Strike_Log!H412="Pending",Strike_Log!J412,"")</f>
        <v/>
      </c>
      <c r="J412" s="39"/>
      <c r="M412" s="39" t="str">
        <f t="shared" si="3"/>
        <v/>
      </c>
    </row>
    <row r="413" ht="15.75" customHeight="1">
      <c r="A413" s="39" t="str">
        <f>IF(Strike_Log!H413="Pending",Strike_Log!B413,"")</f>
        <v/>
      </c>
      <c r="B413" s="39" t="str">
        <f>IF($A413="","",IFERROR(VLOOKUP($A413,Grinders!$A:$B,2,FALSE),""))</f>
        <v/>
      </c>
      <c r="C413" s="39" t="str">
        <f>IF($A413="","",Strike_Log!A413)</f>
        <v/>
      </c>
      <c r="D413" s="39" t="str">
        <f>IF($A413="","",Strike_Log!E413)</f>
        <v/>
      </c>
      <c r="E413" s="39" t="str">
        <f>IF($A413="","",Strike_Log!F413)</f>
        <v/>
      </c>
      <c r="F413" s="39" t="str">
        <f>IF($A413="","",Strike_Log!H413)</f>
        <v/>
      </c>
      <c r="G413" s="39" t="str">
        <f t="shared" si="1"/>
        <v/>
      </c>
      <c r="H413" s="39" t="str">
        <f t="shared" si="2"/>
        <v/>
      </c>
      <c r="I413" s="39" t="str">
        <f>IF(Strike_Log!H413="Pending",Strike_Log!J413,"")</f>
        <v/>
      </c>
      <c r="J413" s="39"/>
      <c r="M413" s="39" t="str">
        <f t="shared" si="3"/>
        <v/>
      </c>
    </row>
    <row r="414" ht="15.75" customHeight="1">
      <c r="A414" s="39" t="str">
        <f>IF(Strike_Log!H414="Pending",Strike_Log!B414,"")</f>
        <v/>
      </c>
      <c r="B414" s="39" t="str">
        <f>IF($A414="","",IFERROR(VLOOKUP($A414,Grinders!$A:$B,2,FALSE),""))</f>
        <v/>
      </c>
      <c r="C414" s="39" t="str">
        <f>IF($A414="","",Strike_Log!A414)</f>
        <v/>
      </c>
      <c r="D414" s="39" t="str">
        <f>IF($A414="","",Strike_Log!E414)</f>
        <v/>
      </c>
      <c r="E414" s="39" t="str">
        <f>IF($A414="","",Strike_Log!F414)</f>
        <v/>
      </c>
      <c r="F414" s="39" t="str">
        <f>IF($A414="","",Strike_Log!H414)</f>
        <v/>
      </c>
      <c r="G414" s="39" t="str">
        <f t="shared" si="1"/>
        <v/>
      </c>
      <c r="H414" s="39" t="str">
        <f t="shared" si="2"/>
        <v/>
      </c>
      <c r="I414" s="39" t="str">
        <f>IF(Strike_Log!H414="Pending",Strike_Log!J414,"")</f>
        <v/>
      </c>
      <c r="J414" s="39"/>
      <c r="M414" s="39" t="str">
        <f t="shared" si="3"/>
        <v/>
      </c>
    </row>
    <row r="415" ht="15.75" customHeight="1">
      <c r="A415" s="39" t="str">
        <f>IF(Strike_Log!H415="Pending",Strike_Log!B415,"")</f>
        <v/>
      </c>
      <c r="B415" s="39" t="str">
        <f>IF($A415="","",IFERROR(VLOOKUP($A415,Grinders!$A:$B,2,FALSE),""))</f>
        <v/>
      </c>
      <c r="C415" s="39" t="str">
        <f>IF($A415="","",Strike_Log!A415)</f>
        <v/>
      </c>
      <c r="D415" s="39" t="str">
        <f>IF($A415="","",Strike_Log!E415)</f>
        <v/>
      </c>
      <c r="E415" s="39" t="str">
        <f>IF($A415="","",Strike_Log!F415)</f>
        <v/>
      </c>
      <c r="F415" s="39" t="str">
        <f>IF($A415="","",Strike_Log!H415)</f>
        <v/>
      </c>
      <c r="G415" s="39" t="str">
        <f t="shared" si="1"/>
        <v/>
      </c>
      <c r="H415" s="39" t="str">
        <f t="shared" si="2"/>
        <v/>
      </c>
      <c r="I415" s="39" t="str">
        <f>IF(Strike_Log!H415="Pending",Strike_Log!J415,"")</f>
        <v/>
      </c>
      <c r="J415" s="39"/>
      <c r="M415" s="39" t="str">
        <f t="shared" si="3"/>
        <v/>
      </c>
    </row>
    <row r="416" ht="15.75" customHeight="1">
      <c r="A416" s="39" t="str">
        <f>IF(Strike_Log!H416="Pending",Strike_Log!B416,"")</f>
        <v/>
      </c>
      <c r="B416" s="39" t="str">
        <f>IF($A416="","",IFERROR(VLOOKUP($A416,Grinders!$A:$B,2,FALSE),""))</f>
        <v/>
      </c>
      <c r="C416" s="39" t="str">
        <f>IF($A416="","",Strike_Log!A416)</f>
        <v/>
      </c>
      <c r="D416" s="39" t="str">
        <f>IF($A416="","",Strike_Log!E416)</f>
        <v/>
      </c>
      <c r="E416" s="39" t="str">
        <f>IF($A416="","",Strike_Log!F416)</f>
        <v/>
      </c>
      <c r="F416" s="39" t="str">
        <f>IF($A416="","",Strike_Log!H416)</f>
        <v/>
      </c>
      <c r="G416" s="39" t="str">
        <f t="shared" si="1"/>
        <v/>
      </c>
      <c r="H416" s="39" t="str">
        <f t="shared" si="2"/>
        <v/>
      </c>
      <c r="I416" s="39" t="str">
        <f>IF(Strike_Log!H416="Pending",Strike_Log!J416,"")</f>
        <v/>
      </c>
      <c r="J416" s="39"/>
      <c r="M416" s="39" t="str">
        <f t="shared" si="3"/>
        <v/>
      </c>
    </row>
    <row r="417" ht="15.75" customHeight="1">
      <c r="A417" s="39" t="str">
        <f>IF(Strike_Log!H417="Pending",Strike_Log!B417,"")</f>
        <v/>
      </c>
      <c r="B417" s="39" t="str">
        <f>IF($A417="","",IFERROR(VLOOKUP($A417,Grinders!$A:$B,2,FALSE),""))</f>
        <v/>
      </c>
      <c r="C417" s="39" t="str">
        <f>IF($A417="","",Strike_Log!A417)</f>
        <v/>
      </c>
      <c r="D417" s="39" t="str">
        <f>IF($A417="","",Strike_Log!E417)</f>
        <v/>
      </c>
      <c r="E417" s="39" t="str">
        <f>IF($A417="","",Strike_Log!F417)</f>
        <v/>
      </c>
      <c r="F417" s="39" t="str">
        <f>IF($A417="","",Strike_Log!H417)</f>
        <v/>
      </c>
      <c r="G417" s="39" t="str">
        <f t="shared" si="1"/>
        <v/>
      </c>
      <c r="H417" s="39" t="str">
        <f t="shared" si="2"/>
        <v/>
      </c>
      <c r="I417" s="39" t="str">
        <f>IF(Strike_Log!H417="Pending",Strike_Log!J417,"")</f>
        <v/>
      </c>
      <c r="J417" s="39"/>
      <c r="M417" s="39" t="str">
        <f t="shared" si="3"/>
        <v/>
      </c>
    </row>
    <row r="418" ht="15.75" customHeight="1">
      <c r="A418" s="39" t="str">
        <f>IF(Strike_Log!H418="Pending",Strike_Log!B418,"")</f>
        <v/>
      </c>
      <c r="B418" s="39" t="str">
        <f>IF($A418="","",IFERROR(VLOOKUP($A418,Grinders!$A:$B,2,FALSE),""))</f>
        <v/>
      </c>
      <c r="C418" s="39" t="str">
        <f>IF($A418="","",Strike_Log!A418)</f>
        <v/>
      </c>
      <c r="D418" s="39" t="str">
        <f>IF($A418="","",Strike_Log!E418)</f>
        <v/>
      </c>
      <c r="E418" s="39" t="str">
        <f>IF($A418="","",Strike_Log!F418)</f>
        <v/>
      </c>
      <c r="F418" s="39" t="str">
        <f>IF($A418="","",Strike_Log!H418)</f>
        <v/>
      </c>
      <c r="G418" s="39" t="str">
        <f t="shared" si="1"/>
        <v/>
      </c>
      <c r="H418" s="39" t="str">
        <f t="shared" si="2"/>
        <v/>
      </c>
      <c r="I418" s="39" t="str">
        <f>IF(Strike_Log!H418="Pending",Strike_Log!J418,"")</f>
        <v/>
      </c>
      <c r="J418" s="39"/>
      <c r="M418" s="39" t="str">
        <f t="shared" si="3"/>
        <v/>
      </c>
    </row>
    <row r="419" ht="15.75" customHeight="1">
      <c r="A419" s="39" t="str">
        <f>IF(Strike_Log!H419="Pending",Strike_Log!B419,"")</f>
        <v/>
      </c>
      <c r="B419" s="39" t="str">
        <f>IF($A419="","",IFERROR(VLOOKUP($A419,Grinders!$A:$B,2,FALSE),""))</f>
        <v/>
      </c>
      <c r="C419" s="39" t="str">
        <f>IF($A419="","",Strike_Log!A419)</f>
        <v/>
      </c>
      <c r="D419" s="39" t="str">
        <f>IF($A419="","",Strike_Log!E419)</f>
        <v/>
      </c>
      <c r="E419" s="39" t="str">
        <f>IF($A419="","",Strike_Log!F419)</f>
        <v/>
      </c>
      <c r="F419" s="39" t="str">
        <f>IF($A419="","",Strike_Log!H419)</f>
        <v/>
      </c>
      <c r="G419" s="39" t="str">
        <f t="shared" si="1"/>
        <v/>
      </c>
      <c r="H419" s="39" t="str">
        <f t="shared" si="2"/>
        <v/>
      </c>
      <c r="I419" s="39" t="str">
        <f>IF(Strike_Log!H419="Pending",Strike_Log!J419,"")</f>
        <v/>
      </c>
      <c r="J419" s="39"/>
      <c r="M419" s="39" t="str">
        <f t="shared" si="3"/>
        <v/>
      </c>
    </row>
    <row r="420" ht="15.75" customHeight="1">
      <c r="A420" s="39" t="str">
        <f>IF(Strike_Log!H420="Pending",Strike_Log!B420,"")</f>
        <v/>
      </c>
      <c r="B420" s="39" t="str">
        <f>IF($A420="","",IFERROR(VLOOKUP($A420,Grinders!$A:$B,2,FALSE),""))</f>
        <v/>
      </c>
      <c r="C420" s="39" t="str">
        <f>IF($A420="","",Strike_Log!A420)</f>
        <v/>
      </c>
      <c r="D420" s="39" t="str">
        <f>IF($A420="","",Strike_Log!E420)</f>
        <v/>
      </c>
      <c r="E420" s="39" t="str">
        <f>IF($A420="","",Strike_Log!F420)</f>
        <v/>
      </c>
      <c r="F420" s="39" t="str">
        <f>IF($A420="","",Strike_Log!H420)</f>
        <v/>
      </c>
      <c r="G420" s="39" t="str">
        <f t="shared" si="1"/>
        <v/>
      </c>
      <c r="H420" s="39" t="str">
        <f t="shared" si="2"/>
        <v/>
      </c>
      <c r="I420" s="39" t="str">
        <f>IF(Strike_Log!H420="Pending",Strike_Log!J420,"")</f>
        <v/>
      </c>
      <c r="J420" s="39"/>
      <c r="M420" s="39" t="str">
        <f t="shared" si="3"/>
        <v/>
      </c>
    </row>
    <row r="421" ht="15.75" customHeight="1">
      <c r="A421" s="39" t="str">
        <f>IF(Strike_Log!H421="Pending",Strike_Log!B421,"")</f>
        <v/>
      </c>
      <c r="B421" s="39" t="str">
        <f>IF($A421="","",IFERROR(VLOOKUP($A421,Grinders!$A:$B,2,FALSE),""))</f>
        <v/>
      </c>
      <c r="C421" s="39" t="str">
        <f>IF($A421="","",Strike_Log!A421)</f>
        <v/>
      </c>
      <c r="D421" s="39" t="str">
        <f>IF($A421="","",Strike_Log!E421)</f>
        <v/>
      </c>
      <c r="E421" s="39" t="str">
        <f>IF($A421="","",Strike_Log!F421)</f>
        <v/>
      </c>
      <c r="F421" s="39" t="str">
        <f>IF($A421="","",Strike_Log!H421)</f>
        <v/>
      </c>
      <c r="G421" s="39" t="str">
        <f t="shared" si="1"/>
        <v/>
      </c>
      <c r="H421" s="39" t="str">
        <f t="shared" si="2"/>
        <v/>
      </c>
      <c r="I421" s="39" t="str">
        <f>IF(Strike_Log!H421="Pending",Strike_Log!J421,"")</f>
        <v/>
      </c>
      <c r="J421" s="39"/>
      <c r="M421" s="39" t="str">
        <f t="shared" si="3"/>
        <v/>
      </c>
    </row>
    <row r="422" ht="15.75" customHeight="1">
      <c r="A422" s="39" t="str">
        <f>IF(Strike_Log!H422="Pending",Strike_Log!B422,"")</f>
        <v/>
      </c>
      <c r="B422" s="39" t="str">
        <f>IF($A422="","",IFERROR(VLOOKUP($A422,Grinders!$A:$B,2,FALSE),""))</f>
        <v/>
      </c>
      <c r="C422" s="39" t="str">
        <f>IF($A422="","",Strike_Log!A422)</f>
        <v/>
      </c>
      <c r="D422" s="39" t="str">
        <f>IF($A422="","",Strike_Log!E422)</f>
        <v/>
      </c>
      <c r="E422" s="39" t="str">
        <f>IF($A422="","",Strike_Log!F422)</f>
        <v/>
      </c>
      <c r="F422" s="39" t="str">
        <f>IF($A422="","",Strike_Log!H422)</f>
        <v/>
      </c>
      <c r="G422" s="39" t="str">
        <f t="shared" si="1"/>
        <v/>
      </c>
      <c r="H422" s="39" t="str">
        <f t="shared" si="2"/>
        <v/>
      </c>
      <c r="I422" s="39" t="str">
        <f>IF(Strike_Log!H422="Pending",Strike_Log!J422,"")</f>
        <v/>
      </c>
      <c r="J422" s="39"/>
      <c r="M422" s="39" t="str">
        <f t="shared" si="3"/>
        <v/>
      </c>
    </row>
    <row r="423" ht="15.75" customHeight="1">
      <c r="A423" s="39" t="str">
        <f>IF(Strike_Log!H423="Pending",Strike_Log!B423,"")</f>
        <v/>
      </c>
      <c r="B423" s="39" t="str">
        <f>IF($A423="","",IFERROR(VLOOKUP($A423,Grinders!$A:$B,2,FALSE),""))</f>
        <v/>
      </c>
      <c r="C423" s="39" t="str">
        <f>IF($A423="","",Strike_Log!A423)</f>
        <v/>
      </c>
      <c r="D423" s="39" t="str">
        <f>IF($A423="","",Strike_Log!E423)</f>
        <v/>
      </c>
      <c r="E423" s="39" t="str">
        <f>IF($A423="","",Strike_Log!F423)</f>
        <v/>
      </c>
      <c r="F423" s="39" t="str">
        <f>IF($A423="","",Strike_Log!H423)</f>
        <v/>
      </c>
      <c r="G423" s="39" t="str">
        <f t="shared" si="1"/>
        <v/>
      </c>
      <c r="H423" s="39" t="str">
        <f t="shared" si="2"/>
        <v/>
      </c>
      <c r="I423" s="39" t="str">
        <f>IF(Strike_Log!H423="Pending",Strike_Log!J423,"")</f>
        <v/>
      </c>
      <c r="J423" s="39"/>
      <c r="M423" s="39" t="str">
        <f t="shared" si="3"/>
        <v/>
      </c>
    </row>
    <row r="424" ht="15.75" customHeight="1">
      <c r="A424" s="39" t="str">
        <f>IF(Strike_Log!H424="Pending",Strike_Log!B424,"")</f>
        <v/>
      </c>
      <c r="B424" s="39" t="str">
        <f>IF($A424="","",IFERROR(VLOOKUP($A424,Grinders!$A:$B,2,FALSE),""))</f>
        <v/>
      </c>
      <c r="C424" s="39" t="str">
        <f>IF($A424="","",Strike_Log!A424)</f>
        <v/>
      </c>
      <c r="D424" s="39" t="str">
        <f>IF($A424="","",Strike_Log!E424)</f>
        <v/>
      </c>
      <c r="E424" s="39" t="str">
        <f>IF($A424="","",Strike_Log!F424)</f>
        <v/>
      </c>
      <c r="F424" s="39" t="str">
        <f>IF($A424="","",Strike_Log!H424)</f>
        <v/>
      </c>
      <c r="G424" s="39" t="str">
        <f t="shared" si="1"/>
        <v/>
      </c>
      <c r="H424" s="39" t="str">
        <f t="shared" si="2"/>
        <v/>
      </c>
      <c r="I424" s="39" t="str">
        <f>IF(Strike_Log!H424="Pending",Strike_Log!J424,"")</f>
        <v/>
      </c>
      <c r="J424" s="39"/>
      <c r="M424" s="39" t="str">
        <f t="shared" si="3"/>
        <v/>
      </c>
    </row>
    <row r="425" ht="15.75" customHeight="1">
      <c r="A425" s="39" t="str">
        <f>IF(Strike_Log!H425="Pending",Strike_Log!B425,"")</f>
        <v/>
      </c>
      <c r="B425" s="39" t="str">
        <f>IF($A425="","",IFERROR(VLOOKUP($A425,Grinders!$A:$B,2,FALSE),""))</f>
        <v/>
      </c>
      <c r="C425" s="39" t="str">
        <f>IF($A425="","",Strike_Log!A425)</f>
        <v/>
      </c>
      <c r="D425" s="39" t="str">
        <f>IF($A425="","",Strike_Log!E425)</f>
        <v/>
      </c>
      <c r="E425" s="39" t="str">
        <f>IF($A425="","",Strike_Log!F425)</f>
        <v/>
      </c>
      <c r="F425" s="39" t="str">
        <f>IF($A425="","",Strike_Log!H425)</f>
        <v/>
      </c>
      <c r="G425" s="39" t="str">
        <f t="shared" si="1"/>
        <v/>
      </c>
      <c r="H425" s="39" t="str">
        <f t="shared" si="2"/>
        <v/>
      </c>
      <c r="I425" s="39" t="str">
        <f>IF(Strike_Log!H425="Pending",Strike_Log!J425,"")</f>
        <v/>
      </c>
      <c r="J425" s="39"/>
      <c r="M425" s="39" t="str">
        <f t="shared" si="3"/>
        <v/>
      </c>
    </row>
    <row r="426" ht="15.75" customHeight="1">
      <c r="A426" s="39" t="str">
        <f>IF(Strike_Log!H426="Pending",Strike_Log!B426,"")</f>
        <v/>
      </c>
      <c r="B426" s="39" t="str">
        <f>IF($A426="","",IFERROR(VLOOKUP($A426,Grinders!$A:$B,2,FALSE),""))</f>
        <v/>
      </c>
      <c r="C426" s="39" t="str">
        <f>IF($A426="","",Strike_Log!A426)</f>
        <v/>
      </c>
      <c r="D426" s="39" t="str">
        <f>IF($A426="","",Strike_Log!E426)</f>
        <v/>
      </c>
      <c r="E426" s="39" t="str">
        <f>IF($A426="","",Strike_Log!F426)</f>
        <v/>
      </c>
      <c r="F426" s="39" t="str">
        <f>IF($A426="","",Strike_Log!H426)</f>
        <v/>
      </c>
      <c r="G426" s="39" t="str">
        <f t="shared" si="1"/>
        <v/>
      </c>
      <c r="H426" s="39" t="str">
        <f t="shared" si="2"/>
        <v/>
      </c>
      <c r="I426" s="39" t="str">
        <f>IF(Strike_Log!H426="Pending",Strike_Log!J426,"")</f>
        <v/>
      </c>
      <c r="J426" s="39"/>
      <c r="M426" s="39" t="str">
        <f t="shared" si="3"/>
        <v/>
      </c>
    </row>
    <row r="427" ht="15.75" customHeight="1">
      <c r="A427" s="39" t="str">
        <f>IF(Strike_Log!H427="Pending",Strike_Log!B427,"")</f>
        <v/>
      </c>
      <c r="B427" s="39" t="str">
        <f>IF($A427="","",IFERROR(VLOOKUP($A427,Grinders!$A:$B,2,FALSE),""))</f>
        <v/>
      </c>
      <c r="C427" s="39" t="str">
        <f>IF($A427="","",Strike_Log!A427)</f>
        <v/>
      </c>
      <c r="D427" s="39" t="str">
        <f>IF($A427="","",Strike_Log!E427)</f>
        <v/>
      </c>
      <c r="E427" s="39" t="str">
        <f>IF($A427="","",Strike_Log!F427)</f>
        <v/>
      </c>
      <c r="F427" s="39" t="str">
        <f>IF($A427="","",Strike_Log!H427)</f>
        <v/>
      </c>
      <c r="G427" s="39" t="str">
        <f t="shared" si="1"/>
        <v/>
      </c>
      <c r="H427" s="39" t="str">
        <f t="shared" si="2"/>
        <v/>
      </c>
      <c r="I427" s="39" t="str">
        <f>IF(Strike_Log!H427="Pending",Strike_Log!J427,"")</f>
        <v/>
      </c>
      <c r="J427" s="39"/>
      <c r="M427" s="39" t="str">
        <f t="shared" si="3"/>
        <v/>
      </c>
    </row>
    <row r="428" ht="15.75" customHeight="1">
      <c r="A428" s="39" t="str">
        <f>IF(Strike_Log!H428="Pending",Strike_Log!B428,"")</f>
        <v/>
      </c>
      <c r="B428" s="39" t="str">
        <f>IF($A428="","",IFERROR(VLOOKUP($A428,Grinders!$A:$B,2,FALSE),""))</f>
        <v/>
      </c>
      <c r="C428" s="39" t="str">
        <f>IF($A428="","",Strike_Log!A428)</f>
        <v/>
      </c>
      <c r="D428" s="39" t="str">
        <f>IF($A428="","",Strike_Log!E428)</f>
        <v/>
      </c>
      <c r="E428" s="39" t="str">
        <f>IF($A428="","",Strike_Log!F428)</f>
        <v/>
      </c>
      <c r="F428" s="39" t="str">
        <f>IF($A428="","",Strike_Log!H428)</f>
        <v/>
      </c>
      <c r="G428" s="39" t="str">
        <f t="shared" si="1"/>
        <v/>
      </c>
      <c r="H428" s="39" t="str">
        <f t="shared" si="2"/>
        <v/>
      </c>
      <c r="I428" s="39" t="str">
        <f>IF(Strike_Log!H428="Pending",Strike_Log!J428,"")</f>
        <v/>
      </c>
      <c r="J428" s="39"/>
      <c r="M428" s="39" t="str">
        <f t="shared" si="3"/>
        <v/>
      </c>
    </row>
    <row r="429" ht="15.75" customHeight="1">
      <c r="A429" s="39" t="str">
        <f>IF(Strike_Log!H429="Pending",Strike_Log!B429,"")</f>
        <v/>
      </c>
      <c r="B429" s="39" t="str">
        <f>IF($A429="","",IFERROR(VLOOKUP($A429,Grinders!$A:$B,2,FALSE),""))</f>
        <v/>
      </c>
      <c r="C429" s="39" t="str">
        <f>IF($A429="","",Strike_Log!A429)</f>
        <v/>
      </c>
      <c r="D429" s="39" t="str">
        <f>IF($A429="","",Strike_Log!E429)</f>
        <v/>
      </c>
      <c r="E429" s="39" t="str">
        <f>IF($A429="","",Strike_Log!F429)</f>
        <v/>
      </c>
      <c r="F429" s="39" t="str">
        <f>IF($A429="","",Strike_Log!H429)</f>
        <v/>
      </c>
      <c r="G429" s="39" t="str">
        <f t="shared" si="1"/>
        <v/>
      </c>
      <c r="H429" s="39" t="str">
        <f t="shared" si="2"/>
        <v/>
      </c>
      <c r="I429" s="39" t="str">
        <f>IF(Strike_Log!H429="Pending",Strike_Log!J429,"")</f>
        <v/>
      </c>
      <c r="J429" s="39"/>
      <c r="M429" s="39" t="str">
        <f t="shared" si="3"/>
        <v/>
      </c>
    </row>
    <row r="430" ht="15.75" customHeight="1">
      <c r="A430" s="39" t="str">
        <f>IF(Strike_Log!H430="Pending",Strike_Log!B430,"")</f>
        <v/>
      </c>
      <c r="B430" s="39" t="str">
        <f>IF($A430="","",IFERROR(VLOOKUP($A430,Grinders!$A:$B,2,FALSE),""))</f>
        <v/>
      </c>
      <c r="C430" s="39" t="str">
        <f>IF($A430="","",Strike_Log!A430)</f>
        <v/>
      </c>
      <c r="D430" s="39" t="str">
        <f>IF($A430="","",Strike_Log!E430)</f>
        <v/>
      </c>
      <c r="E430" s="39" t="str">
        <f>IF($A430="","",Strike_Log!F430)</f>
        <v/>
      </c>
      <c r="F430" s="39" t="str">
        <f>IF($A430="","",Strike_Log!H430)</f>
        <v/>
      </c>
      <c r="G430" s="39" t="str">
        <f t="shared" si="1"/>
        <v/>
      </c>
      <c r="H430" s="39" t="str">
        <f t="shared" si="2"/>
        <v/>
      </c>
      <c r="I430" s="39" t="str">
        <f>IF(Strike_Log!H430="Pending",Strike_Log!J430,"")</f>
        <v/>
      </c>
      <c r="J430" s="39"/>
      <c r="M430" s="39" t="str">
        <f t="shared" si="3"/>
        <v/>
      </c>
    </row>
    <row r="431" ht="15.75" customHeight="1">
      <c r="A431" s="39" t="str">
        <f>IF(Strike_Log!H431="Pending",Strike_Log!B431,"")</f>
        <v/>
      </c>
      <c r="B431" s="39" t="str">
        <f>IF($A431="","",IFERROR(VLOOKUP($A431,Grinders!$A:$B,2,FALSE),""))</f>
        <v/>
      </c>
      <c r="C431" s="39" t="str">
        <f>IF($A431="","",Strike_Log!A431)</f>
        <v/>
      </c>
      <c r="D431" s="39" t="str">
        <f>IF($A431="","",Strike_Log!E431)</f>
        <v/>
      </c>
      <c r="E431" s="39" t="str">
        <f>IF($A431="","",Strike_Log!F431)</f>
        <v/>
      </c>
      <c r="F431" s="39" t="str">
        <f>IF($A431="","",Strike_Log!H431)</f>
        <v/>
      </c>
      <c r="G431" s="39" t="str">
        <f t="shared" si="1"/>
        <v/>
      </c>
      <c r="H431" s="39" t="str">
        <f t="shared" si="2"/>
        <v/>
      </c>
      <c r="I431" s="39" t="str">
        <f>IF(Strike_Log!H431="Pending",Strike_Log!J431,"")</f>
        <v/>
      </c>
      <c r="J431" s="39"/>
      <c r="M431" s="39" t="str">
        <f t="shared" si="3"/>
        <v/>
      </c>
    </row>
    <row r="432" ht="15.75" customHeight="1">
      <c r="A432" s="39" t="str">
        <f>IF(Strike_Log!H432="Pending",Strike_Log!B432,"")</f>
        <v/>
      </c>
      <c r="B432" s="39" t="str">
        <f>IF($A432="","",IFERROR(VLOOKUP($A432,Grinders!$A:$B,2,FALSE),""))</f>
        <v/>
      </c>
      <c r="C432" s="39" t="str">
        <f>IF($A432="","",Strike_Log!A432)</f>
        <v/>
      </c>
      <c r="D432" s="39" t="str">
        <f>IF($A432="","",Strike_Log!E432)</f>
        <v/>
      </c>
      <c r="E432" s="39" t="str">
        <f>IF($A432="","",Strike_Log!F432)</f>
        <v/>
      </c>
      <c r="F432" s="39" t="str">
        <f>IF($A432="","",Strike_Log!H432)</f>
        <v/>
      </c>
      <c r="G432" s="39" t="str">
        <f t="shared" si="1"/>
        <v/>
      </c>
      <c r="H432" s="39" t="str">
        <f t="shared" si="2"/>
        <v/>
      </c>
      <c r="I432" s="39" t="str">
        <f>IF(Strike_Log!H432="Pending",Strike_Log!J432,"")</f>
        <v/>
      </c>
      <c r="J432" s="39"/>
      <c r="M432" s="39" t="str">
        <f t="shared" si="3"/>
        <v/>
      </c>
    </row>
    <row r="433" ht="15.75" customHeight="1">
      <c r="A433" s="39" t="str">
        <f>IF(Strike_Log!H433="Pending",Strike_Log!B433,"")</f>
        <v/>
      </c>
      <c r="B433" s="39" t="str">
        <f>IF($A433="","",IFERROR(VLOOKUP($A433,Grinders!$A:$B,2,FALSE),""))</f>
        <v/>
      </c>
      <c r="C433" s="39" t="str">
        <f>IF($A433="","",Strike_Log!A433)</f>
        <v/>
      </c>
      <c r="D433" s="39" t="str">
        <f>IF($A433="","",Strike_Log!E433)</f>
        <v/>
      </c>
      <c r="E433" s="39" t="str">
        <f>IF($A433="","",Strike_Log!F433)</f>
        <v/>
      </c>
      <c r="F433" s="39" t="str">
        <f>IF($A433="","",Strike_Log!H433)</f>
        <v/>
      </c>
      <c r="G433" s="39" t="str">
        <f t="shared" si="1"/>
        <v/>
      </c>
      <c r="H433" s="39" t="str">
        <f t="shared" si="2"/>
        <v/>
      </c>
      <c r="I433" s="39" t="str">
        <f>IF(Strike_Log!H433="Pending",Strike_Log!J433,"")</f>
        <v/>
      </c>
      <c r="J433" s="39"/>
      <c r="M433" s="39" t="str">
        <f t="shared" si="3"/>
        <v/>
      </c>
    </row>
    <row r="434" ht="15.75" customHeight="1">
      <c r="A434" s="39" t="str">
        <f>IF(Strike_Log!H434="Pending",Strike_Log!B434,"")</f>
        <v/>
      </c>
      <c r="B434" s="39" t="str">
        <f>IF($A434="","",IFERROR(VLOOKUP($A434,Grinders!$A:$B,2,FALSE),""))</f>
        <v/>
      </c>
      <c r="C434" s="39" t="str">
        <f>IF($A434="","",Strike_Log!A434)</f>
        <v/>
      </c>
      <c r="D434" s="39" t="str">
        <f>IF($A434="","",Strike_Log!E434)</f>
        <v/>
      </c>
      <c r="E434" s="39" t="str">
        <f>IF($A434="","",Strike_Log!F434)</f>
        <v/>
      </c>
      <c r="F434" s="39" t="str">
        <f>IF($A434="","",Strike_Log!H434)</f>
        <v/>
      </c>
      <c r="G434" s="39" t="str">
        <f t="shared" si="1"/>
        <v/>
      </c>
      <c r="H434" s="39" t="str">
        <f t="shared" si="2"/>
        <v/>
      </c>
      <c r="I434" s="39" t="str">
        <f>IF(Strike_Log!H434="Pending",Strike_Log!J434,"")</f>
        <v/>
      </c>
      <c r="J434" s="39"/>
      <c r="M434" s="39" t="str">
        <f t="shared" si="3"/>
        <v/>
      </c>
    </row>
    <row r="435" ht="15.75" customHeight="1">
      <c r="A435" s="39" t="str">
        <f>IF(Strike_Log!H435="Pending",Strike_Log!B435,"")</f>
        <v/>
      </c>
      <c r="B435" s="39" t="str">
        <f>IF($A435="","",IFERROR(VLOOKUP($A435,Grinders!$A:$B,2,FALSE),""))</f>
        <v/>
      </c>
      <c r="C435" s="39" t="str">
        <f>IF($A435="","",Strike_Log!A435)</f>
        <v/>
      </c>
      <c r="D435" s="39" t="str">
        <f>IF($A435="","",Strike_Log!E435)</f>
        <v/>
      </c>
      <c r="E435" s="39" t="str">
        <f>IF($A435="","",Strike_Log!F435)</f>
        <v/>
      </c>
      <c r="F435" s="39" t="str">
        <f>IF($A435="","",Strike_Log!H435)</f>
        <v/>
      </c>
      <c r="G435" s="39" t="str">
        <f t="shared" si="1"/>
        <v/>
      </c>
      <c r="H435" s="39" t="str">
        <f t="shared" si="2"/>
        <v/>
      </c>
      <c r="I435" s="39" t="str">
        <f>IF(Strike_Log!H435="Pending",Strike_Log!J435,"")</f>
        <v/>
      </c>
      <c r="J435" s="39"/>
      <c r="M435" s="39" t="str">
        <f t="shared" si="3"/>
        <v/>
      </c>
    </row>
    <row r="436" ht="15.75" customHeight="1">
      <c r="A436" s="39" t="str">
        <f>IF(Strike_Log!H436="Pending",Strike_Log!B436,"")</f>
        <v/>
      </c>
      <c r="B436" s="39" t="str">
        <f>IF($A436="","",IFERROR(VLOOKUP($A436,Grinders!$A:$B,2,FALSE),""))</f>
        <v/>
      </c>
      <c r="C436" s="39" t="str">
        <f>IF($A436="","",Strike_Log!A436)</f>
        <v/>
      </c>
      <c r="D436" s="39" t="str">
        <f>IF($A436="","",Strike_Log!E436)</f>
        <v/>
      </c>
      <c r="E436" s="39" t="str">
        <f>IF($A436="","",Strike_Log!F436)</f>
        <v/>
      </c>
      <c r="F436" s="39" t="str">
        <f>IF($A436="","",Strike_Log!H436)</f>
        <v/>
      </c>
      <c r="G436" s="39" t="str">
        <f t="shared" si="1"/>
        <v/>
      </c>
      <c r="H436" s="39" t="str">
        <f t="shared" si="2"/>
        <v/>
      </c>
      <c r="I436" s="39" t="str">
        <f>IF(Strike_Log!H436="Pending",Strike_Log!J436,"")</f>
        <v/>
      </c>
      <c r="J436" s="39"/>
      <c r="M436" s="39" t="str">
        <f t="shared" si="3"/>
        <v/>
      </c>
    </row>
    <row r="437" ht="15.75" customHeight="1">
      <c r="A437" s="39" t="str">
        <f>IF(Strike_Log!H437="Pending",Strike_Log!B437,"")</f>
        <v/>
      </c>
      <c r="B437" s="39" t="str">
        <f>IF($A437="","",IFERROR(VLOOKUP($A437,Grinders!$A:$B,2,FALSE),""))</f>
        <v/>
      </c>
      <c r="C437" s="39" t="str">
        <f>IF($A437="","",Strike_Log!A437)</f>
        <v/>
      </c>
      <c r="D437" s="39" t="str">
        <f>IF($A437="","",Strike_Log!E437)</f>
        <v/>
      </c>
      <c r="E437" s="39" t="str">
        <f>IF($A437="","",Strike_Log!F437)</f>
        <v/>
      </c>
      <c r="F437" s="39" t="str">
        <f>IF($A437="","",Strike_Log!H437)</f>
        <v/>
      </c>
      <c r="G437" s="39" t="str">
        <f t="shared" si="1"/>
        <v/>
      </c>
      <c r="H437" s="39" t="str">
        <f t="shared" si="2"/>
        <v/>
      </c>
      <c r="I437" s="39" t="str">
        <f>IF(Strike_Log!H437="Pending",Strike_Log!J437,"")</f>
        <v/>
      </c>
      <c r="J437" s="39"/>
      <c r="M437" s="39" t="str">
        <f t="shared" si="3"/>
        <v/>
      </c>
    </row>
    <row r="438" ht="15.75" customHeight="1">
      <c r="A438" s="39" t="str">
        <f>IF(Strike_Log!H438="Pending",Strike_Log!B438,"")</f>
        <v/>
      </c>
      <c r="B438" s="39" t="str">
        <f>IF($A438="","",IFERROR(VLOOKUP($A438,Grinders!$A:$B,2,FALSE),""))</f>
        <v/>
      </c>
      <c r="C438" s="39" t="str">
        <f>IF($A438="","",Strike_Log!A438)</f>
        <v/>
      </c>
      <c r="D438" s="39" t="str">
        <f>IF($A438="","",Strike_Log!E438)</f>
        <v/>
      </c>
      <c r="E438" s="39" t="str">
        <f>IF($A438="","",Strike_Log!F438)</f>
        <v/>
      </c>
      <c r="F438" s="39" t="str">
        <f>IF($A438="","",Strike_Log!H438)</f>
        <v/>
      </c>
      <c r="G438" s="39" t="str">
        <f t="shared" si="1"/>
        <v/>
      </c>
      <c r="H438" s="39" t="str">
        <f t="shared" si="2"/>
        <v/>
      </c>
      <c r="I438" s="39" t="str">
        <f>IF(Strike_Log!H438="Pending",Strike_Log!J438,"")</f>
        <v/>
      </c>
      <c r="J438" s="39"/>
      <c r="M438" s="39" t="str">
        <f t="shared" si="3"/>
        <v/>
      </c>
    </row>
    <row r="439" ht="15.75" customHeight="1">
      <c r="A439" s="39" t="str">
        <f>IF(Strike_Log!H439="Pending",Strike_Log!B439,"")</f>
        <v/>
      </c>
      <c r="B439" s="39" t="str">
        <f>IF($A439="","",IFERROR(VLOOKUP($A439,Grinders!$A:$B,2,FALSE),""))</f>
        <v/>
      </c>
      <c r="C439" s="39" t="str">
        <f>IF($A439="","",Strike_Log!A439)</f>
        <v/>
      </c>
      <c r="D439" s="39" t="str">
        <f>IF($A439="","",Strike_Log!E439)</f>
        <v/>
      </c>
      <c r="E439" s="39" t="str">
        <f>IF($A439="","",Strike_Log!F439)</f>
        <v/>
      </c>
      <c r="F439" s="39" t="str">
        <f>IF($A439="","",Strike_Log!H439)</f>
        <v/>
      </c>
      <c r="G439" s="39" t="str">
        <f t="shared" si="1"/>
        <v/>
      </c>
      <c r="H439" s="39" t="str">
        <f t="shared" si="2"/>
        <v/>
      </c>
      <c r="I439" s="39" t="str">
        <f>IF(Strike_Log!H439="Pending",Strike_Log!J439,"")</f>
        <v/>
      </c>
      <c r="J439" s="39"/>
      <c r="M439" s="39" t="str">
        <f t="shared" si="3"/>
        <v/>
      </c>
    </row>
    <row r="440" ht="15.75" customHeight="1">
      <c r="A440" s="39" t="str">
        <f>IF(Strike_Log!H440="Pending",Strike_Log!B440,"")</f>
        <v/>
      </c>
      <c r="B440" s="39" t="str">
        <f>IF($A440="","",IFERROR(VLOOKUP($A440,Grinders!$A:$B,2,FALSE),""))</f>
        <v/>
      </c>
      <c r="C440" s="39" t="str">
        <f>IF($A440="","",Strike_Log!A440)</f>
        <v/>
      </c>
      <c r="D440" s="39" t="str">
        <f>IF($A440="","",Strike_Log!E440)</f>
        <v/>
      </c>
      <c r="E440" s="39" t="str">
        <f>IF($A440="","",Strike_Log!F440)</f>
        <v/>
      </c>
      <c r="F440" s="39" t="str">
        <f>IF($A440="","",Strike_Log!H440)</f>
        <v/>
      </c>
      <c r="G440" s="39" t="str">
        <f t="shared" si="1"/>
        <v/>
      </c>
      <c r="H440" s="39" t="str">
        <f t="shared" si="2"/>
        <v/>
      </c>
      <c r="I440" s="39" t="str">
        <f>IF(Strike_Log!H440="Pending",Strike_Log!J440,"")</f>
        <v/>
      </c>
      <c r="J440" s="39"/>
      <c r="M440" s="39" t="str">
        <f t="shared" si="3"/>
        <v/>
      </c>
    </row>
    <row r="441" ht="15.75" customHeight="1">
      <c r="A441" s="39" t="str">
        <f>IF(Strike_Log!H441="Pending",Strike_Log!B441,"")</f>
        <v/>
      </c>
      <c r="B441" s="39" t="str">
        <f>IF($A441="","",IFERROR(VLOOKUP($A441,Grinders!$A:$B,2,FALSE),""))</f>
        <v/>
      </c>
      <c r="C441" s="39" t="str">
        <f>IF($A441="","",Strike_Log!A441)</f>
        <v/>
      </c>
      <c r="D441" s="39" t="str">
        <f>IF($A441="","",Strike_Log!E441)</f>
        <v/>
      </c>
      <c r="E441" s="39" t="str">
        <f>IF($A441="","",Strike_Log!F441)</f>
        <v/>
      </c>
      <c r="F441" s="39" t="str">
        <f>IF($A441="","",Strike_Log!H441)</f>
        <v/>
      </c>
      <c r="G441" s="39" t="str">
        <f t="shared" si="1"/>
        <v/>
      </c>
      <c r="H441" s="39" t="str">
        <f t="shared" si="2"/>
        <v/>
      </c>
      <c r="I441" s="39" t="str">
        <f>IF(Strike_Log!H441="Pending",Strike_Log!J441,"")</f>
        <v/>
      </c>
      <c r="J441" s="39"/>
      <c r="M441" s="39" t="str">
        <f t="shared" si="3"/>
        <v/>
      </c>
    </row>
    <row r="442" ht="15.75" customHeight="1">
      <c r="A442" s="39" t="str">
        <f>IF(Strike_Log!H442="Pending",Strike_Log!B442,"")</f>
        <v/>
      </c>
      <c r="B442" s="39" t="str">
        <f>IF($A442="","",IFERROR(VLOOKUP($A442,Grinders!$A:$B,2,FALSE),""))</f>
        <v/>
      </c>
      <c r="C442" s="39" t="str">
        <f>IF($A442="","",Strike_Log!A442)</f>
        <v/>
      </c>
      <c r="D442" s="39" t="str">
        <f>IF($A442="","",Strike_Log!E442)</f>
        <v/>
      </c>
      <c r="E442" s="39" t="str">
        <f>IF($A442="","",Strike_Log!F442)</f>
        <v/>
      </c>
      <c r="F442" s="39" t="str">
        <f>IF($A442="","",Strike_Log!H442)</f>
        <v/>
      </c>
      <c r="G442" s="39" t="str">
        <f t="shared" si="1"/>
        <v/>
      </c>
      <c r="H442" s="39" t="str">
        <f t="shared" si="2"/>
        <v/>
      </c>
      <c r="I442" s="39" t="str">
        <f>IF(Strike_Log!H442="Pending",Strike_Log!J442,"")</f>
        <v/>
      </c>
      <c r="J442" s="39"/>
      <c r="M442" s="39" t="str">
        <f t="shared" si="3"/>
        <v/>
      </c>
    </row>
    <row r="443" ht="15.75" customHeight="1">
      <c r="A443" s="39" t="str">
        <f>IF(Strike_Log!H443="Pending",Strike_Log!B443,"")</f>
        <v/>
      </c>
      <c r="B443" s="39" t="str">
        <f>IF($A443="","",IFERROR(VLOOKUP($A443,Grinders!$A:$B,2,FALSE),""))</f>
        <v/>
      </c>
      <c r="C443" s="39" t="str">
        <f>IF($A443="","",Strike_Log!A443)</f>
        <v/>
      </c>
      <c r="D443" s="39" t="str">
        <f>IF($A443="","",Strike_Log!E443)</f>
        <v/>
      </c>
      <c r="E443" s="39" t="str">
        <f>IF($A443="","",Strike_Log!F443)</f>
        <v/>
      </c>
      <c r="F443" s="39" t="str">
        <f>IF($A443="","",Strike_Log!H443)</f>
        <v/>
      </c>
      <c r="G443" s="39" t="str">
        <f t="shared" si="1"/>
        <v/>
      </c>
      <c r="H443" s="39" t="str">
        <f t="shared" si="2"/>
        <v/>
      </c>
      <c r="I443" s="39" t="str">
        <f>IF(Strike_Log!H443="Pending",Strike_Log!J443,"")</f>
        <v/>
      </c>
      <c r="J443" s="39"/>
      <c r="M443" s="39" t="str">
        <f t="shared" si="3"/>
        <v/>
      </c>
    </row>
    <row r="444" ht="15.75" customHeight="1">
      <c r="A444" s="39" t="str">
        <f>IF(Strike_Log!H444="Pending",Strike_Log!B444,"")</f>
        <v/>
      </c>
      <c r="B444" s="39" t="str">
        <f>IF($A444="","",IFERROR(VLOOKUP($A444,Grinders!$A:$B,2,FALSE),""))</f>
        <v/>
      </c>
      <c r="C444" s="39" t="str">
        <f>IF($A444="","",Strike_Log!A444)</f>
        <v/>
      </c>
      <c r="D444" s="39" t="str">
        <f>IF($A444="","",Strike_Log!E444)</f>
        <v/>
      </c>
      <c r="E444" s="39" t="str">
        <f>IF($A444="","",Strike_Log!F444)</f>
        <v/>
      </c>
      <c r="F444" s="39" t="str">
        <f>IF($A444="","",Strike_Log!H444)</f>
        <v/>
      </c>
      <c r="G444" s="39" t="str">
        <f t="shared" si="1"/>
        <v/>
      </c>
      <c r="H444" s="39" t="str">
        <f t="shared" si="2"/>
        <v/>
      </c>
      <c r="I444" s="39" t="str">
        <f>IF(Strike_Log!H444="Pending",Strike_Log!J444,"")</f>
        <v/>
      </c>
      <c r="J444" s="39"/>
      <c r="M444" s="39" t="str">
        <f t="shared" si="3"/>
        <v/>
      </c>
    </row>
    <row r="445" ht="15.75" customHeight="1">
      <c r="A445" s="39" t="str">
        <f>IF(Strike_Log!H445="Pending",Strike_Log!B445,"")</f>
        <v/>
      </c>
      <c r="B445" s="39" t="str">
        <f>IF($A445="","",IFERROR(VLOOKUP($A445,Grinders!$A:$B,2,FALSE),""))</f>
        <v/>
      </c>
      <c r="C445" s="39" t="str">
        <f>IF($A445="","",Strike_Log!A445)</f>
        <v/>
      </c>
      <c r="D445" s="39" t="str">
        <f>IF($A445="","",Strike_Log!E445)</f>
        <v/>
      </c>
      <c r="E445" s="39" t="str">
        <f>IF($A445="","",Strike_Log!F445)</f>
        <v/>
      </c>
      <c r="F445" s="39" t="str">
        <f>IF($A445="","",Strike_Log!H445)</f>
        <v/>
      </c>
      <c r="G445" s="39" t="str">
        <f t="shared" si="1"/>
        <v/>
      </c>
      <c r="H445" s="39" t="str">
        <f t="shared" si="2"/>
        <v/>
      </c>
      <c r="I445" s="39" t="str">
        <f>IF(Strike_Log!H445="Pending",Strike_Log!J445,"")</f>
        <v/>
      </c>
      <c r="J445" s="39"/>
      <c r="M445" s="39" t="str">
        <f t="shared" si="3"/>
        <v/>
      </c>
    </row>
    <row r="446" ht="15.75" customHeight="1">
      <c r="A446" s="39" t="str">
        <f>IF(Strike_Log!H446="Pending",Strike_Log!B446,"")</f>
        <v/>
      </c>
      <c r="B446" s="39" t="str">
        <f>IF($A446="","",IFERROR(VLOOKUP($A446,Grinders!$A:$B,2,FALSE),""))</f>
        <v/>
      </c>
      <c r="C446" s="39" t="str">
        <f>IF($A446="","",Strike_Log!A446)</f>
        <v/>
      </c>
      <c r="D446" s="39" t="str">
        <f>IF($A446="","",Strike_Log!E446)</f>
        <v/>
      </c>
      <c r="E446" s="39" t="str">
        <f>IF($A446="","",Strike_Log!F446)</f>
        <v/>
      </c>
      <c r="F446" s="39" t="str">
        <f>IF($A446="","",Strike_Log!H446)</f>
        <v/>
      </c>
      <c r="G446" s="39" t="str">
        <f t="shared" si="1"/>
        <v/>
      </c>
      <c r="H446" s="39" t="str">
        <f t="shared" si="2"/>
        <v/>
      </c>
      <c r="I446" s="39" t="str">
        <f>IF(Strike_Log!H446="Pending",Strike_Log!J446,"")</f>
        <v/>
      </c>
      <c r="J446" s="39"/>
      <c r="M446" s="39" t="str">
        <f t="shared" si="3"/>
        <v/>
      </c>
    </row>
    <row r="447" ht="15.75" customHeight="1">
      <c r="A447" s="39" t="str">
        <f>IF(Strike_Log!H447="Pending",Strike_Log!B447,"")</f>
        <v/>
      </c>
      <c r="B447" s="39" t="str">
        <f>IF($A447="","",IFERROR(VLOOKUP($A447,Grinders!$A:$B,2,FALSE),""))</f>
        <v/>
      </c>
      <c r="C447" s="39" t="str">
        <f>IF($A447="","",Strike_Log!A447)</f>
        <v/>
      </c>
      <c r="D447" s="39" t="str">
        <f>IF($A447="","",Strike_Log!E447)</f>
        <v/>
      </c>
      <c r="E447" s="39" t="str">
        <f>IF($A447="","",Strike_Log!F447)</f>
        <v/>
      </c>
      <c r="F447" s="39" t="str">
        <f>IF($A447="","",Strike_Log!H447)</f>
        <v/>
      </c>
      <c r="G447" s="39" t="str">
        <f t="shared" si="1"/>
        <v/>
      </c>
      <c r="H447" s="39" t="str">
        <f t="shared" si="2"/>
        <v/>
      </c>
      <c r="I447" s="39" t="str">
        <f>IF(Strike_Log!H447="Pending",Strike_Log!J447,"")</f>
        <v/>
      </c>
      <c r="J447" s="39"/>
      <c r="M447" s="39" t="str">
        <f t="shared" si="3"/>
        <v/>
      </c>
    </row>
    <row r="448" ht="15.75" customHeight="1">
      <c r="A448" s="39" t="str">
        <f>IF(Strike_Log!H448="Pending",Strike_Log!B448,"")</f>
        <v/>
      </c>
      <c r="B448" s="39" t="str">
        <f>IF($A448="","",IFERROR(VLOOKUP($A448,Grinders!$A:$B,2,FALSE),""))</f>
        <v/>
      </c>
      <c r="C448" s="39" t="str">
        <f>IF($A448="","",Strike_Log!A448)</f>
        <v/>
      </c>
      <c r="D448" s="39" t="str">
        <f>IF($A448="","",Strike_Log!E448)</f>
        <v/>
      </c>
      <c r="E448" s="39" t="str">
        <f>IF($A448="","",Strike_Log!F448)</f>
        <v/>
      </c>
      <c r="F448" s="39" t="str">
        <f>IF($A448="","",Strike_Log!H448)</f>
        <v/>
      </c>
      <c r="G448" s="39" t="str">
        <f t="shared" si="1"/>
        <v/>
      </c>
      <c r="H448" s="39" t="str">
        <f t="shared" si="2"/>
        <v/>
      </c>
      <c r="I448" s="39" t="str">
        <f>IF(Strike_Log!H448="Pending",Strike_Log!J448,"")</f>
        <v/>
      </c>
      <c r="J448" s="39"/>
      <c r="M448" s="39" t="str">
        <f t="shared" si="3"/>
        <v/>
      </c>
    </row>
    <row r="449" ht="15.75" customHeight="1">
      <c r="A449" s="39" t="str">
        <f>IF(Strike_Log!H449="Pending",Strike_Log!B449,"")</f>
        <v/>
      </c>
      <c r="B449" s="39" t="str">
        <f>IF($A449="","",IFERROR(VLOOKUP($A449,Grinders!$A:$B,2,FALSE),""))</f>
        <v/>
      </c>
      <c r="C449" s="39" t="str">
        <f>IF($A449="","",Strike_Log!A449)</f>
        <v/>
      </c>
      <c r="D449" s="39" t="str">
        <f>IF($A449="","",Strike_Log!E449)</f>
        <v/>
      </c>
      <c r="E449" s="39" t="str">
        <f>IF($A449="","",Strike_Log!F449)</f>
        <v/>
      </c>
      <c r="F449" s="39" t="str">
        <f>IF($A449="","",Strike_Log!H449)</f>
        <v/>
      </c>
      <c r="G449" s="39" t="str">
        <f t="shared" si="1"/>
        <v/>
      </c>
      <c r="H449" s="39" t="str">
        <f t="shared" si="2"/>
        <v/>
      </c>
      <c r="I449" s="39" t="str">
        <f>IF(Strike_Log!H449="Pending",Strike_Log!J449,"")</f>
        <v/>
      </c>
      <c r="J449" s="39"/>
      <c r="M449" s="39" t="str">
        <f t="shared" si="3"/>
        <v/>
      </c>
    </row>
    <row r="450" ht="15.75" customHeight="1">
      <c r="A450" s="39" t="str">
        <f>IF(Strike_Log!H450="Pending",Strike_Log!B450,"")</f>
        <v/>
      </c>
      <c r="B450" s="39" t="str">
        <f>IF($A450="","",IFERROR(VLOOKUP($A450,Grinders!$A:$B,2,FALSE),""))</f>
        <v/>
      </c>
      <c r="C450" s="39" t="str">
        <f>IF($A450="","",Strike_Log!A450)</f>
        <v/>
      </c>
      <c r="D450" s="39" t="str">
        <f>IF($A450="","",Strike_Log!E450)</f>
        <v/>
      </c>
      <c r="E450" s="39" t="str">
        <f>IF($A450="","",Strike_Log!F450)</f>
        <v/>
      </c>
      <c r="F450" s="39" t="str">
        <f>IF($A450="","",Strike_Log!H450)</f>
        <v/>
      </c>
      <c r="G450" s="39" t="str">
        <f t="shared" si="1"/>
        <v/>
      </c>
      <c r="H450" s="39" t="str">
        <f t="shared" si="2"/>
        <v/>
      </c>
      <c r="I450" s="39" t="str">
        <f>IF(Strike_Log!H450="Pending",Strike_Log!J450,"")</f>
        <v/>
      </c>
      <c r="J450" s="39"/>
      <c r="M450" s="39" t="str">
        <f t="shared" si="3"/>
        <v/>
      </c>
    </row>
    <row r="451" ht="15.75" customHeight="1">
      <c r="A451" s="39" t="str">
        <f>IF(Strike_Log!H451="Pending",Strike_Log!B451,"")</f>
        <v/>
      </c>
      <c r="B451" s="39" t="str">
        <f>IF($A451="","",IFERROR(VLOOKUP($A451,Grinders!$A:$B,2,FALSE),""))</f>
        <v/>
      </c>
      <c r="C451" s="39" t="str">
        <f>IF($A451="","",Strike_Log!A451)</f>
        <v/>
      </c>
      <c r="D451" s="39" t="str">
        <f>IF($A451="","",Strike_Log!E451)</f>
        <v/>
      </c>
      <c r="E451" s="39" t="str">
        <f>IF($A451="","",Strike_Log!F451)</f>
        <v/>
      </c>
      <c r="F451" s="39" t="str">
        <f>IF($A451="","",Strike_Log!H451)</f>
        <v/>
      </c>
      <c r="G451" s="39" t="str">
        <f t="shared" si="1"/>
        <v/>
      </c>
      <c r="H451" s="39" t="str">
        <f t="shared" si="2"/>
        <v/>
      </c>
      <c r="I451" s="39" t="str">
        <f>IF(Strike_Log!H451="Pending",Strike_Log!J451,"")</f>
        <v/>
      </c>
      <c r="J451" s="39"/>
      <c r="M451" s="39" t="str">
        <f t="shared" si="3"/>
        <v/>
      </c>
    </row>
    <row r="452" ht="15.75" customHeight="1">
      <c r="A452" s="39" t="str">
        <f>IF(Strike_Log!H452="Pending",Strike_Log!B452,"")</f>
        <v/>
      </c>
      <c r="B452" s="39" t="str">
        <f>IF($A452="","",IFERROR(VLOOKUP($A452,Grinders!$A:$B,2,FALSE),""))</f>
        <v/>
      </c>
      <c r="C452" s="39" t="str">
        <f>IF($A452="","",Strike_Log!A452)</f>
        <v/>
      </c>
      <c r="D452" s="39" t="str">
        <f>IF($A452="","",Strike_Log!E452)</f>
        <v/>
      </c>
      <c r="E452" s="39" t="str">
        <f>IF($A452="","",Strike_Log!F452)</f>
        <v/>
      </c>
      <c r="F452" s="39" t="str">
        <f>IF($A452="","",Strike_Log!H452)</f>
        <v/>
      </c>
      <c r="G452" s="39" t="str">
        <f t="shared" si="1"/>
        <v/>
      </c>
      <c r="H452" s="39" t="str">
        <f t="shared" si="2"/>
        <v/>
      </c>
      <c r="I452" s="39" t="str">
        <f>IF(Strike_Log!H452="Pending",Strike_Log!J452,"")</f>
        <v/>
      </c>
      <c r="J452" s="39"/>
      <c r="M452" s="39" t="str">
        <f t="shared" si="3"/>
        <v/>
      </c>
    </row>
    <row r="453" ht="15.75" customHeight="1">
      <c r="A453" s="39" t="str">
        <f>IF(Strike_Log!H453="Pending",Strike_Log!B453,"")</f>
        <v/>
      </c>
      <c r="B453" s="39" t="str">
        <f>IF($A453="","",IFERROR(VLOOKUP($A453,Grinders!$A:$B,2,FALSE),""))</f>
        <v/>
      </c>
      <c r="C453" s="39" t="str">
        <f>IF($A453="","",Strike_Log!A453)</f>
        <v/>
      </c>
      <c r="D453" s="39" t="str">
        <f>IF($A453="","",Strike_Log!E453)</f>
        <v/>
      </c>
      <c r="E453" s="39" t="str">
        <f>IF($A453="","",Strike_Log!F453)</f>
        <v/>
      </c>
      <c r="F453" s="39" t="str">
        <f>IF($A453="","",Strike_Log!H453)</f>
        <v/>
      </c>
      <c r="G453" s="39" t="str">
        <f t="shared" si="1"/>
        <v/>
      </c>
      <c r="H453" s="39" t="str">
        <f t="shared" si="2"/>
        <v/>
      </c>
      <c r="I453" s="39" t="str">
        <f>IF(Strike_Log!H453="Pending",Strike_Log!J453,"")</f>
        <v/>
      </c>
      <c r="J453" s="39"/>
      <c r="M453" s="39" t="str">
        <f t="shared" si="3"/>
        <v/>
      </c>
    </row>
    <row r="454" ht="15.75" customHeight="1">
      <c r="A454" s="39" t="str">
        <f>IF(Strike_Log!H454="Pending",Strike_Log!B454,"")</f>
        <v/>
      </c>
      <c r="B454" s="39" t="str">
        <f>IF($A454="","",IFERROR(VLOOKUP($A454,Grinders!$A:$B,2,FALSE),""))</f>
        <v/>
      </c>
      <c r="C454" s="39" t="str">
        <f>IF($A454="","",Strike_Log!A454)</f>
        <v/>
      </c>
      <c r="D454" s="39" t="str">
        <f>IF($A454="","",Strike_Log!E454)</f>
        <v/>
      </c>
      <c r="E454" s="39" t="str">
        <f>IF($A454="","",Strike_Log!F454)</f>
        <v/>
      </c>
      <c r="F454" s="39" t="str">
        <f>IF($A454="","",Strike_Log!H454)</f>
        <v/>
      </c>
      <c r="G454" s="39" t="str">
        <f t="shared" si="1"/>
        <v/>
      </c>
      <c r="H454" s="39" t="str">
        <f t="shared" si="2"/>
        <v/>
      </c>
      <c r="I454" s="39" t="str">
        <f>IF(Strike_Log!H454="Pending",Strike_Log!J454,"")</f>
        <v/>
      </c>
      <c r="J454" s="39"/>
      <c r="M454" s="39" t="str">
        <f t="shared" si="3"/>
        <v/>
      </c>
    </row>
    <row r="455" ht="15.75" customHeight="1">
      <c r="A455" s="39" t="str">
        <f>IF(Strike_Log!H455="Pending",Strike_Log!B455,"")</f>
        <v/>
      </c>
      <c r="B455" s="39" t="str">
        <f>IF($A455="","",IFERROR(VLOOKUP($A455,Grinders!$A:$B,2,FALSE),""))</f>
        <v/>
      </c>
      <c r="C455" s="39" t="str">
        <f>IF($A455="","",Strike_Log!A455)</f>
        <v/>
      </c>
      <c r="D455" s="39" t="str">
        <f>IF($A455="","",Strike_Log!E455)</f>
        <v/>
      </c>
      <c r="E455" s="39" t="str">
        <f>IF($A455="","",Strike_Log!F455)</f>
        <v/>
      </c>
      <c r="F455" s="39" t="str">
        <f>IF($A455="","",Strike_Log!H455)</f>
        <v/>
      </c>
      <c r="G455" s="39" t="str">
        <f t="shared" si="1"/>
        <v/>
      </c>
      <c r="H455" s="39" t="str">
        <f t="shared" si="2"/>
        <v/>
      </c>
      <c r="I455" s="39" t="str">
        <f>IF(Strike_Log!H455="Pending",Strike_Log!J455,"")</f>
        <v/>
      </c>
      <c r="J455" s="39"/>
      <c r="M455" s="39" t="str">
        <f t="shared" si="3"/>
        <v/>
      </c>
    </row>
    <row r="456" ht="15.75" customHeight="1">
      <c r="A456" s="39" t="str">
        <f>IF(Strike_Log!H456="Pending",Strike_Log!B456,"")</f>
        <v/>
      </c>
      <c r="B456" s="39" t="str">
        <f>IF($A456="","",IFERROR(VLOOKUP($A456,Grinders!$A:$B,2,FALSE),""))</f>
        <v/>
      </c>
      <c r="C456" s="39" t="str">
        <f>IF($A456="","",Strike_Log!A456)</f>
        <v/>
      </c>
      <c r="D456" s="39" t="str">
        <f>IF($A456="","",Strike_Log!E456)</f>
        <v/>
      </c>
      <c r="E456" s="39" t="str">
        <f>IF($A456="","",Strike_Log!F456)</f>
        <v/>
      </c>
      <c r="F456" s="39" t="str">
        <f>IF($A456="","",Strike_Log!H456)</f>
        <v/>
      </c>
      <c r="G456" s="39" t="str">
        <f t="shared" si="1"/>
        <v/>
      </c>
      <c r="H456" s="39" t="str">
        <f t="shared" si="2"/>
        <v/>
      </c>
      <c r="I456" s="39" t="str">
        <f>IF(Strike_Log!H456="Pending",Strike_Log!J456,"")</f>
        <v/>
      </c>
      <c r="J456" s="39"/>
      <c r="M456" s="39" t="str">
        <f t="shared" si="3"/>
        <v/>
      </c>
    </row>
    <row r="457" ht="15.75" customHeight="1">
      <c r="A457" s="39" t="str">
        <f>IF(Strike_Log!H457="Pending",Strike_Log!B457,"")</f>
        <v/>
      </c>
      <c r="B457" s="39" t="str">
        <f>IF($A457="","",IFERROR(VLOOKUP($A457,Grinders!$A:$B,2,FALSE),""))</f>
        <v/>
      </c>
      <c r="C457" s="39" t="str">
        <f>IF($A457="","",Strike_Log!A457)</f>
        <v/>
      </c>
      <c r="D457" s="39" t="str">
        <f>IF($A457="","",Strike_Log!E457)</f>
        <v/>
      </c>
      <c r="E457" s="39" t="str">
        <f>IF($A457="","",Strike_Log!F457)</f>
        <v/>
      </c>
      <c r="F457" s="39" t="str">
        <f>IF($A457="","",Strike_Log!H457)</f>
        <v/>
      </c>
      <c r="G457" s="39" t="str">
        <f t="shared" si="1"/>
        <v/>
      </c>
      <c r="H457" s="39" t="str">
        <f t="shared" si="2"/>
        <v/>
      </c>
      <c r="I457" s="39" t="str">
        <f>IF(Strike_Log!H457="Pending",Strike_Log!J457,"")</f>
        <v/>
      </c>
      <c r="J457" s="39"/>
      <c r="M457" s="39" t="str">
        <f t="shared" si="3"/>
        <v/>
      </c>
    </row>
    <row r="458" ht="15.75" customHeight="1">
      <c r="A458" s="39" t="str">
        <f>IF(Strike_Log!H458="Pending",Strike_Log!B458,"")</f>
        <v/>
      </c>
      <c r="B458" s="39" t="str">
        <f>IF($A458="","",IFERROR(VLOOKUP($A458,Grinders!$A:$B,2,FALSE),""))</f>
        <v/>
      </c>
      <c r="C458" s="39" t="str">
        <f>IF($A458="","",Strike_Log!A458)</f>
        <v/>
      </c>
      <c r="D458" s="39" t="str">
        <f>IF($A458="","",Strike_Log!E458)</f>
        <v/>
      </c>
      <c r="E458" s="39" t="str">
        <f>IF($A458="","",Strike_Log!F458)</f>
        <v/>
      </c>
      <c r="F458" s="39" t="str">
        <f>IF($A458="","",Strike_Log!H458)</f>
        <v/>
      </c>
      <c r="G458" s="39" t="str">
        <f t="shared" si="1"/>
        <v/>
      </c>
      <c r="H458" s="39" t="str">
        <f t="shared" si="2"/>
        <v/>
      </c>
      <c r="I458" s="39" t="str">
        <f>IF(Strike_Log!H458="Pending",Strike_Log!J458,"")</f>
        <v/>
      </c>
      <c r="J458" s="39"/>
      <c r="M458" s="39" t="str">
        <f t="shared" si="3"/>
        <v/>
      </c>
    </row>
    <row r="459" ht="15.75" customHeight="1">
      <c r="A459" s="39" t="str">
        <f>IF(Strike_Log!H459="Pending",Strike_Log!B459,"")</f>
        <v/>
      </c>
      <c r="B459" s="39" t="str">
        <f>IF($A459="","",IFERROR(VLOOKUP($A459,Grinders!$A:$B,2,FALSE),""))</f>
        <v/>
      </c>
      <c r="C459" s="39" t="str">
        <f>IF($A459="","",Strike_Log!A459)</f>
        <v/>
      </c>
      <c r="D459" s="39" t="str">
        <f>IF($A459="","",Strike_Log!E459)</f>
        <v/>
      </c>
      <c r="E459" s="39" t="str">
        <f>IF($A459="","",Strike_Log!F459)</f>
        <v/>
      </c>
      <c r="F459" s="39" t="str">
        <f>IF($A459="","",Strike_Log!H459)</f>
        <v/>
      </c>
      <c r="G459" s="39" t="str">
        <f t="shared" si="1"/>
        <v/>
      </c>
      <c r="H459" s="39" t="str">
        <f t="shared" si="2"/>
        <v/>
      </c>
      <c r="I459" s="39" t="str">
        <f>IF(Strike_Log!H459="Pending",Strike_Log!J459,"")</f>
        <v/>
      </c>
      <c r="J459" s="39"/>
      <c r="M459" s="39" t="str">
        <f t="shared" si="3"/>
        <v/>
      </c>
    </row>
    <row r="460" ht="15.75" customHeight="1">
      <c r="A460" s="39" t="str">
        <f>IF(Strike_Log!H460="Pending",Strike_Log!B460,"")</f>
        <v/>
      </c>
      <c r="B460" s="39" t="str">
        <f>IF($A460="","",IFERROR(VLOOKUP($A460,Grinders!$A:$B,2,FALSE),""))</f>
        <v/>
      </c>
      <c r="C460" s="39" t="str">
        <f>IF($A460="","",Strike_Log!A460)</f>
        <v/>
      </c>
      <c r="D460" s="39" t="str">
        <f>IF($A460="","",Strike_Log!E460)</f>
        <v/>
      </c>
      <c r="E460" s="39" t="str">
        <f>IF($A460="","",Strike_Log!F460)</f>
        <v/>
      </c>
      <c r="F460" s="39" t="str">
        <f>IF($A460="","",Strike_Log!H460)</f>
        <v/>
      </c>
      <c r="G460" s="39" t="str">
        <f t="shared" si="1"/>
        <v/>
      </c>
      <c r="H460" s="39" t="str">
        <f t="shared" si="2"/>
        <v/>
      </c>
      <c r="I460" s="39" t="str">
        <f>IF(Strike_Log!H460="Pending",Strike_Log!J460,"")</f>
        <v/>
      </c>
      <c r="J460" s="39"/>
      <c r="M460" s="39" t="str">
        <f t="shared" si="3"/>
        <v/>
      </c>
    </row>
    <row r="461" ht="15.75" customHeight="1">
      <c r="A461" s="39" t="str">
        <f>IF(Strike_Log!H461="Pending",Strike_Log!B461,"")</f>
        <v/>
      </c>
      <c r="B461" s="39" t="str">
        <f>IF($A461="","",IFERROR(VLOOKUP($A461,Grinders!$A:$B,2,FALSE),""))</f>
        <v/>
      </c>
      <c r="C461" s="39" t="str">
        <f>IF($A461="","",Strike_Log!A461)</f>
        <v/>
      </c>
      <c r="D461" s="39" t="str">
        <f>IF($A461="","",Strike_Log!E461)</f>
        <v/>
      </c>
      <c r="E461" s="39" t="str">
        <f>IF($A461="","",Strike_Log!F461)</f>
        <v/>
      </c>
      <c r="F461" s="39" t="str">
        <f>IF($A461="","",Strike_Log!H461)</f>
        <v/>
      </c>
      <c r="G461" s="39" t="str">
        <f t="shared" si="1"/>
        <v/>
      </c>
      <c r="H461" s="39" t="str">
        <f t="shared" si="2"/>
        <v/>
      </c>
      <c r="I461" s="39" t="str">
        <f>IF(Strike_Log!H461="Pending",Strike_Log!J461,"")</f>
        <v/>
      </c>
      <c r="J461" s="39"/>
      <c r="M461" s="39" t="str">
        <f t="shared" si="3"/>
        <v/>
      </c>
    </row>
    <row r="462" ht="15.75" customHeight="1">
      <c r="A462" s="39" t="str">
        <f>IF(Strike_Log!H462="Pending",Strike_Log!B462,"")</f>
        <v/>
      </c>
      <c r="B462" s="39" t="str">
        <f>IF($A462="","",IFERROR(VLOOKUP($A462,Grinders!$A:$B,2,FALSE),""))</f>
        <v/>
      </c>
      <c r="C462" s="39" t="str">
        <f>IF($A462="","",Strike_Log!A462)</f>
        <v/>
      </c>
      <c r="D462" s="39" t="str">
        <f>IF($A462="","",Strike_Log!E462)</f>
        <v/>
      </c>
      <c r="E462" s="39" t="str">
        <f>IF($A462="","",Strike_Log!F462)</f>
        <v/>
      </c>
      <c r="F462" s="39" t="str">
        <f>IF($A462="","",Strike_Log!H462)</f>
        <v/>
      </c>
      <c r="G462" s="39" t="str">
        <f t="shared" si="1"/>
        <v/>
      </c>
      <c r="H462" s="39" t="str">
        <f t="shared" si="2"/>
        <v/>
      </c>
      <c r="I462" s="39" t="str">
        <f>IF(Strike_Log!H462="Pending",Strike_Log!J462,"")</f>
        <v/>
      </c>
      <c r="J462" s="39"/>
      <c r="M462" s="39" t="str">
        <f t="shared" si="3"/>
        <v/>
      </c>
    </row>
    <row r="463" ht="15.75" customHeight="1">
      <c r="A463" s="39" t="str">
        <f>IF(Strike_Log!H463="Pending",Strike_Log!B463,"")</f>
        <v/>
      </c>
      <c r="B463" s="39" t="str">
        <f>IF($A463="","",IFERROR(VLOOKUP($A463,Grinders!$A:$B,2,FALSE),""))</f>
        <v/>
      </c>
      <c r="C463" s="39" t="str">
        <f>IF($A463="","",Strike_Log!A463)</f>
        <v/>
      </c>
      <c r="D463" s="39" t="str">
        <f>IF($A463="","",Strike_Log!E463)</f>
        <v/>
      </c>
      <c r="E463" s="39" t="str">
        <f>IF($A463="","",Strike_Log!F463)</f>
        <v/>
      </c>
      <c r="F463" s="39" t="str">
        <f>IF($A463="","",Strike_Log!H463)</f>
        <v/>
      </c>
      <c r="G463" s="39" t="str">
        <f t="shared" si="1"/>
        <v/>
      </c>
      <c r="H463" s="39" t="str">
        <f t="shared" si="2"/>
        <v/>
      </c>
      <c r="I463" s="39" t="str">
        <f>IF(Strike_Log!H463="Pending",Strike_Log!J463,"")</f>
        <v/>
      </c>
      <c r="J463" s="39"/>
      <c r="M463" s="39" t="str">
        <f t="shared" si="3"/>
        <v/>
      </c>
    </row>
    <row r="464" ht="15.75" customHeight="1">
      <c r="A464" s="39" t="str">
        <f>IF(Strike_Log!H464="Pending",Strike_Log!B464,"")</f>
        <v/>
      </c>
      <c r="B464" s="39" t="str">
        <f>IF($A464="","",IFERROR(VLOOKUP($A464,Grinders!$A:$B,2,FALSE),""))</f>
        <v/>
      </c>
      <c r="C464" s="39" t="str">
        <f>IF($A464="","",Strike_Log!A464)</f>
        <v/>
      </c>
      <c r="D464" s="39" t="str">
        <f>IF($A464="","",Strike_Log!E464)</f>
        <v/>
      </c>
      <c r="E464" s="39" t="str">
        <f>IF($A464="","",Strike_Log!F464)</f>
        <v/>
      </c>
      <c r="F464" s="39" t="str">
        <f>IF($A464="","",Strike_Log!H464)</f>
        <v/>
      </c>
      <c r="G464" s="39" t="str">
        <f t="shared" si="1"/>
        <v/>
      </c>
      <c r="H464" s="39" t="str">
        <f t="shared" si="2"/>
        <v/>
      </c>
      <c r="I464" s="39" t="str">
        <f>IF(Strike_Log!H464="Pending",Strike_Log!J464,"")</f>
        <v/>
      </c>
      <c r="J464" s="39"/>
      <c r="M464" s="39" t="str">
        <f t="shared" si="3"/>
        <v/>
      </c>
    </row>
    <row r="465" ht="15.75" customHeight="1">
      <c r="A465" s="39" t="str">
        <f>IF(Strike_Log!H465="Pending",Strike_Log!B465,"")</f>
        <v/>
      </c>
      <c r="B465" s="39" t="str">
        <f>IF($A465="","",IFERROR(VLOOKUP($A465,Grinders!$A:$B,2,FALSE),""))</f>
        <v/>
      </c>
      <c r="C465" s="39" t="str">
        <f>IF($A465="","",Strike_Log!A465)</f>
        <v/>
      </c>
      <c r="D465" s="39" t="str">
        <f>IF($A465="","",Strike_Log!E465)</f>
        <v/>
      </c>
      <c r="E465" s="39" t="str">
        <f>IF($A465="","",Strike_Log!F465)</f>
        <v/>
      </c>
      <c r="F465" s="39" t="str">
        <f>IF($A465="","",Strike_Log!H465)</f>
        <v/>
      </c>
      <c r="G465" s="39" t="str">
        <f t="shared" si="1"/>
        <v/>
      </c>
      <c r="H465" s="39" t="str">
        <f t="shared" si="2"/>
        <v/>
      </c>
      <c r="I465" s="39" t="str">
        <f>IF(Strike_Log!H465="Pending",Strike_Log!J465,"")</f>
        <v/>
      </c>
      <c r="J465" s="39"/>
      <c r="M465" s="39" t="str">
        <f t="shared" si="3"/>
        <v/>
      </c>
    </row>
    <row r="466" ht="15.75" customHeight="1">
      <c r="A466" s="39" t="str">
        <f>IF(Strike_Log!H466="Pending",Strike_Log!B466,"")</f>
        <v/>
      </c>
      <c r="B466" s="39" t="str">
        <f>IF($A466="","",IFERROR(VLOOKUP($A466,Grinders!$A:$B,2,FALSE),""))</f>
        <v/>
      </c>
      <c r="C466" s="39" t="str">
        <f>IF($A466="","",Strike_Log!A466)</f>
        <v/>
      </c>
      <c r="D466" s="39" t="str">
        <f>IF($A466="","",Strike_Log!E466)</f>
        <v/>
      </c>
      <c r="E466" s="39" t="str">
        <f>IF($A466="","",Strike_Log!F466)</f>
        <v/>
      </c>
      <c r="F466" s="39" t="str">
        <f>IF($A466="","",Strike_Log!H466)</f>
        <v/>
      </c>
      <c r="G466" s="39" t="str">
        <f t="shared" si="1"/>
        <v/>
      </c>
      <c r="H466" s="39" t="str">
        <f t="shared" si="2"/>
        <v/>
      </c>
      <c r="I466" s="39" t="str">
        <f>IF(Strike_Log!H466="Pending",Strike_Log!J466,"")</f>
        <v/>
      </c>
      <c r="J466" s="39"/>
      <c r="M466" s="39" t="str">
        <f t="shared" si="3"/>
        <v/>
      </c>
    </row>
    <row r="467" ht="15.75" customHeight="1">
      <c r="A467" s="39" t="str">
        <f>IF(Strike_Log!H467="Pending",Strike_Log!B467,"")</f>
        <v/>
      </c>
      <c r="B467" s="39" t="str">
        <f>IF($A467="","",IFERROR(VLOOKUP($A467,Grinders!$A:$B,2,FALSE),""))</f>
        <v/>
      </c>
      <c r="C467" s="39" t="str">
        <f>IF($A467="","",Strike_Log!A467)</f>
        <v/>
      </c>
      <c r="D467" s="39" t="str">
        <f>IF($A467="","",Strike_Log!E467)</f>
        <v/>
      </c>
      <c r="E467" s="39" t="str">
        <f>IF($A467="","",Strike_Log!F467)</f>
        <v/>
      </c>
      <c r="F467" s="39" t="str">
        <f>IF($A467="","",Strike_Log!H467)</f>
        <v/>
      </c>
      <c r="G467" s="39" t="str">
        <f t="shared" si="1"/>
        <v/>
      </c>
      <c r="H467" s="39" t="str">
        <f t="shared" si="2"/>
        <v/>
      </c>
      <c r="I467" s="39" t="str">
        <f>IF(Strike_Log!H467="Pending",Strike_Log!J467,"")</f>
        <v/>
      </c>
      <c r="J467" s="39"/>
      <c r="M467" s="39" t="str">
        <f t="shared" si="3"/>
        <v/>
      </c>
    </row>
    <row r="468" ht="15.75" customHeight="1">
      <c r="A468" s="39" t="str">
        <f>IF(Strike_Log!H468="Pending",Strike_Log!B468,"")</f>
        <v/>
      </c>
      <c r="B468" s="39" t="str">
        <f>IF($A468="","",IFERROR(VLOOKUP($A468,Grinders!$A:$B,2,FALSE),""))</f>
        <v/>
      </c>
      <c r="C468" s="39" t="str">
        <f>IF($A468="","",Strike_Log!A468)</f>
        <v/>
      </c>
      <c r="D468" s="39" t="str">
        <f>IF($A468="","",Strike_Log!E468)</f>
        <v/>
      </c>
      <c r="E468" s="39" t="str">
        <f>IF($A468="","",Strike_Log!F468)</f>
        <v/>
      </c>
      <c r="F468" s="39" t="str">
        <f>IF($A468="","",Strike_Log!H468)</f>
        <v/>
      </c>
      <c r="G468" s="39" t="str">
        <f t="shared" si="1"/>
        <v/>
      </c>
      <c r="H468" s="39" t="str">
        <f t="shared" si="2"/>
        <v/>
      </c>
      <c r="I468" s="39" t="str">
        <f>IF(Strike_Log!H468="Pending",Strike_Log!J468,"")</f>
        <v/>
      </c>
      <c r="J468" s="39"/>
      <c r="M468" s="39" t="str">
        <f t="shared" si="3"/>
        <v/>
      </c>
    </row>
    <row r="469" ht="15.75" customHeight="1">
      <c r="A469" s="39" t="str">
        <f>IF(Strike_Log!H469="Pending",Strike_Log!B469,"")</f>
        <v/>
      </c>
      <c r="B469" s="39" t="str">
        <f>IF($A469="","",IFERROR(VLOOKUP($A469,Grinders!$A:$B,2,FALSE),""))</f>
        <v/>
      </c>
      <c r="C469" s="39" t="str">
        <f>IF($A469="","",Strike_Log!A469)</f>
        <v/>
      </c>
      <c r="D469" s="39" t="str">
        <f>IF($A469="","",Strike_Log!E469)</f>
        <v/>
      </c>
      <c r="E469" s="39" t="str">
        <f>IF($A469="","",Strike_Log!F469)</f>
        <v/>
      </c>
      <c r="F469" s="39" t="str">
        <f>IF($A469="","",Strike_Log!H469)</f>
        <v/>
      </c>
      <c r="G469" s="39" t="str">
        <f t="shared" si="1"/>
        <v/>
      </c>
      <c r="H469" s="39" t="str">
        <f t="shared" si="2"/>
        <v/>
      </c>
      <c r="I469" s="39" t="str">
        <f>IF(Strike_Log!H469="Pending",Strike_Log!J469,"")</f>
        <v/>
      </c>
      <c r="J469" s="39"/>
      <c r="M469" s="39" t="str">
        <f t="shared" si="3"/>
        <v/>
      </c>
    </row>
    <row r="470" ht="15.75" customHeight="1">
      <c r="A470" s="39" t="str">
        <f>IF(Strike_Log!H470="Pending",Strike_Log!B470,"")</f>
        <v/>
      </c>
      <c r="B470" s="39" t="str">
        <f>IF($A470="","",IFERROR(VLOOKUP($A470,Grinders!$A:$B,2,FALSE),""))</f>
        <v/>
      </c>
      <c r="C470" s="39" t="str">
        <f>IF($A470="","",Strike_Log!A470)</f>
        <v/>
      </c>
      <c r="D470" s="39" t="str">
        <f>IF($A470="","",Strike_Log!E470)</f>
        <v/>
      </c>
      <c r="E470" s="39" t="str">
        <f>IF($A470="","",Strike_Log!F470)</f>
        <v/>
      </c>
      <c r="F470" s="39" t="str">
        <f>IF($A470="","",Strike_Log!H470)</f>
        <v/>
      </c>
      <c r="G470" s="39" t="str">
        <f t="shared" si="1"/>
        <v/>
      </c>
      <c r="H470" s="39" t="str">
        <f t="shared" si="2"/>
        <v/>
      </c>
      <c r="I470" s="39" t="str">
        <f>IF(Strike_Log!H470="Pending",Strike_Log!J470,"")</f>
        <v/>
      </c>
      <c r="J470" s="39"/>
      <c r="M470" s="39" t="str">
        <f t="shared" si="3"/>
        <v/>
      </c>
    </row>
    <row r="471" ht="15.75" customHeight="1">
      <c r="A471" s="39" t="str">
        <f>IF(Strike_Log!H471="Pending",Strike_Log!B471,"")</f>
        <v/>
      </c>
      <c r="B471" s="39" t="str">
        <f>IF($A471="","",IFERROR(VLOOKUP($A471,Grinders!$A:$B,2,FALSE),""))</f>
        <v/>
      </c>
      <c r="C471" s="39" t="str">
        <f>IF($A471="","",Strike_Log!A471)</f>
        <v/>
      </c>
      <c r="D471" s="39" t="str">
        <f>IF($A471="","",Strike_Log!E471)</f>
        <v/>
      </c>
      <c r="E471" s="39" t="str">
        <f>IF($A471="","",Strike_Log!F471)</f>
        <v/>
      </c>
      <c r="F471" s="39" t="str">
        <f>IF($A471="","",Strike_Log!H471)</f>
        <v/>
      </c>
      <c r="G471" s="39" t="str">
        <f t="shared" si="1"/>
        <v/>
      </c>
      <c r="H471" s="39" t="str">
        <f t="shared" si="2"/>
        <v/>
      </c>
      <c r="I471" s="39" t="str">
        <f>IF(Strike_Log!H471="Pending",Strike_Log!J471,"")</f>
        <v/>
      </c>
      <c r="J471" s="39"/>
      <c r="M471" s="39" t="str">
        <f t="shared" si="3"/>
        <v/>
      </c>
    </row>
    <row r="472" ht="15.75" customHeight="1">
      <c r="A472" s="39" t="str">
        <f>IF(Strike_Log!H472="Pending",Strike_Log!B472,"")</f>
        <v/>
      </c>
      <c r="B472" s="39" t="str">
        <f>IF($A472="","",IFERROR(VLOOKUP($A472,Grinders!$A:$B,2,FALSE),""))</f>
        <v/>
      </c>
      <c r="C472" s="39" t="str">
        <f>IF($A472="","",Strike_Log!A472)</f>
        <v/>
      </c>
      <c r="D472" s="39" t="str">
        <f>IF($A472="","",Strike_Log!E472)</f>
        <v/>
      </c>
      <c r="E472" s="39" t="str">
        <f>IF($A472="","",Strike_Log!F472)</f>
        <v/>
      </c>
      <c r="F472" s="39" t="str">
        <f>IF($A472="","",Strike_Log!H472)</f>
        <v/>
      </c>
      <c r="G472" s="39" t="str">
        <f t="shared" si="1"/>
        <v/>
      </c>
      <c r="H472" s="39" t="str">
        <f t="shared" si="2"/>
        <v/>
      </c>
      <c r="I472" s="39" t="str">
        <f>IF(Strike_Log!H472="Pending",Strike_Log!J472,"")</f>
        <v/>
      </c>
      <c r="J472" s="39"/>
      <c r="M472" s="39" t="str">
        <f t="shared" si="3"/>
        <v/>
      </c>
    </row>
    <row r="473" ht="15.75" customHeight="1">
      <c r="A473" s="39" t="str">
        <f>IF(Strike_Log!H473="Pending",Strike_Log!B473,"")</f>
        <v/>
      </c>
      <c r="B473" s="39" t="str">
        <f>IF($A473="","",IFERROR(VLOOKUP($A473,Grinders!$A:$B,2,FALSE),""))</f>
        <v/>
      </c>
      <c r="C473" s="39" t="str">
        <f>IF($A473="","",Strike_Log!A473)</f>
        <v/>
      </c>
      <c r="D473" s="39" t="str">
        <f>IF($A473="","",Strike_Log!E473)</f>
        <v/>
      </c>
      <c r="E473" s="39" t="str">
        <f>IF($A473="","",Strike_Log!F473)</f>
        <v/>
      </c>
      <c r="F473" s="39" t="str">
        <f>IF($A473="","",Strike_Log!H473)</f>
        <v/>
      </c>
      <c r="G473" s="39" t="str">
        <f t="shared" si="1"/>
        <v/>
      </c>
      <c r="H473" s="39" t="str">
        <f t="shared" si="2"/>
        <v/>
      </c>
      <c r="I473" s="39" t="str">
        <f>IF(Strike_Log!H473="Pending",Strike_Log!J473,"")</f>
        <v/>
      </c>
      <c r="J473" s="39"/>
      <c r="M473" s="39" t="str">
        <f t="shared" si="3"/>
        <v/>
      </c>
    </row>
    <row r="474" ht="15.75" customHeight="1">
      <c r="A474" s="39" t="str">
        <f>IF(Strike_Log!H474="Pending",Strike_Log!B474,"")</f>
        <v/>
      </c>
      <c r="B474" s="39" t="str">
        <f>IF($A474="","",IFERROR(VLOOKUP($A474,Grinders!$A:$B,2,FALSE),""))</f>
        <v/>
      </c>
      <c r="C474" s="39" t="str">
        <f>IF($A474="","",Strike_Log!A474)</f>
        <v/>
      </c>
      <c r="D474" s="39" t="str">
        <f>IF($A474="","",Strike_Log!E474)</f>
        <v/>
      </c>
      <c r="E474" s="39" t="str">
        <f>IF($A474="","",Strike_Log!F474)</f>
        <v/>
      </c>
      <c r="F474" s="39" t="str">
        <f>IF($A474="","",Strike_Log!H474)</f>
        <v/>
      </c>
      <c r="G474" s="39" t="str">
        <f t="shared" si="1"/>
        <v/>
      </c>
      <c r="H474" s="39" t="str">
        <f t="shared" si="2"/>
        <v/>
      </c>
      <c r="I474" s="39" t="str">
        <f>IF(Strike_Log!H474="Pending",Strike_Log!J474,"")</f>
        <v/>
      </c>
      <c r="J474" s="39"/>
      <c r="M474" s="39" t="str">
        <f t="shared" si="3"/>
        <v/>
      </c>
    </row>
    <row r="475" ht="15.75" customHeight="1">
      <c r="A475" s="39" t="str">
        <f>IF(Strike_Log!H475="Pending",Strike_Log!B475,"")</f>
        <v/>
      </c>
      <c r="B475" s="39" t="str">
        <f>IF($A475="","",IFERROR(VLOOKUP($A475,Grinders!$A:$B,2,FALSE),""))</f>
        <v/>
      </c>
      <c r="C475" s="39" t="str">
        <f>IF($A475="","",Strike_Log!A475)</f>
        <v/>
      </c>
      <c r="D475" s="39" t="str">
        <f>IF($A475="","",Strike_Log!E475)</f>
        <v/>
      </c>
      <c r="E475" s="39" t="str">
        <f>IF($A475="","",Strike_Log!F475)</f>
        <v/>
      </c>
      <c r="F475" s="39" t="str">
        <f>IF($A475="","",Strike_Log!H475)</f>
        <v/>
      </c>
      <c r="G475" s="39" t="str">
        <f t="shared" si="1"/>
        <v/>
      </c>
      <c r="H475" s="39" t="str">
        <f t="shared" si="2"/>
        <v/>
      </c>
      <c r="I475" s="39" t="str">
        <f>IF(Strike_Log!H475="Pending",Strike_Log!J475,"")</f>
        <v/>
      </c>
      <c r="J475" s="39"/>
      <c r="M475" s="39" t="str">
        <f t="shared" si="3"/>
        <v/>
      </c>
    </row>
    <row r="476" ht="15.75" customHeight="1">
      <c r="A476" s="39" t="str">
        <f>IF(Strike_Log!H476="Pending",Strike_Log!B476,"")</f>
        <v/>
      </c>
      <c r="B476" s="39" t="str">
        <f>IF($A476="","",IFERROR(VLOOKUP($A476,Grinders!$A:$B,2,FALSE),""))</f>
        <v/>
      </c>
      <c r="C476" s="39" t="str">
        <f>IF($A476="","",Strike_Log!A476)</f>
        <v/>
      </c>
      <c r="D476" s="39" t="str">
        <f>IF($A476="","",Strike_Log!E476)</f>
        <v/>
      </c>
      <c r="E476" s="39" t="str">
        <f>IF($A476="","",Strike_Log!F476)</f>
        <v/>
      </c>
      <c r="F476" s="39" t="str">
        <f>IF($A476="","",Strike_Log!H476)</f>
        <v/>
      </c>
      <c r="G476" s="39" t="str">
        <f t="shared" si="1"/>
        <v/>
      </c>
      <c r="H476" s="39" t="str">
        <f t="shared" si="2"/>
        <v/>
      </c>
      <c r="I476" s="39" t="str">
        <f>IF(Strike_Log!H476="Pending",Strike_Log!J476,"")</f>
        <v/>
      </c>
      <c r="J476" s="39"/>
      <c r="M476" s="39" t="str">
        <f t="shared" si="3"/>
        <v/>
      </c>
    </row>
    <row r="477" ht="15.75" customHeight="1">
      <c r="A477" s="39" t="str">
        <f>IF(Strike_Log!H477="Pending",Strike_Log!B477,"")</f>
        <v/>
      </c>
      <c r="B477" s="39" t="str">
        <f>IF($A477="","",IFERROR(VLOOKUP($A477,Grinders!$A:$B,2,FALSE),""))</f>
        <v/>
      </c>
      <c r="C477" s="39" t="str">
        <f>IF($A477="","",Strike_Log!A477)</f>
        <v/>
      </c>
      <c r="D477" s="39" t="str">
        <f>IF($A477="","",Strike_Log!E477)</f>
        <v/>
      </c>
      <c r="E477" s="39" t="str">
        <f>IF($A477="","",Strike_Log!F477)</f>
        <v/>
      </c>
      <c r="F477" s="39" t="str">
        <f>IF($A477="","",Strike_Log!H477)</f>
        <v/>
      </c>
      <c r="G477" s="39" t="str">
        <f t="shared" si="1"/>
        <v/>
      </c>
      <c r="H477" s="39" t="str">
        <f t="shared" si="2"/>
        <v/>
      </c>
      <c r="I477" s="39" t="str">
        <f>IF(Strike_Log!H477="Pending",Strike_Log!J477,"")</f>
        <v/>
      </c>
      <c r="J477" s="39"/>
      <c r="M477" s="39" t="str">
        <f t="shared" si="3"/>
        <v/>
      </c>
    </row>
    <row r="478" ht="15.75" customHeight="1">
      <c r="A478" s="39" t="str">
        <f>IF(Strike_Log!H478="Pending",Strike_Log!B478,"")</f>
        <v/>
      </c>
      <c r="B478" s="39" t="str">
        <f>IF($A478="","",IFERROR(VLOOKUP($A478,Grinders!$A:$B,2,FALSE),""))</f>
        <v/>
      </c>
      <c r="C478" s="39" t="str">
        <f>IF($A478="","",Strike_Log!A478)</f>
        <v/>
      </c>
      <c r="D478" s="39" t="str">
        <f>IF($A478="","",Strike_Log!E478)</f>
        <v/>
      </c>
      <c r="E478" s="39" t="str">
        <f>IF($A478="","",Strike_Log!F478)</f>
        <v/>
      </c>
      <c r="F478" s="39" t="str">
        <f>IF($A478="","",Strike_Log!H478)</f>
        <v/>
      </c>
      <c r="G478" s="39" t="str">
        <f t="shared" si="1"/>
        <v/>
      </c>
      <c r="H478" s="39" t="str">
        <f t="shared" si="2"/>
        <v/>
      </c>
      <c r="I478" s="39" t="str">
        <f>IF(Strike_Log!H478="Pending",Strike_Log!J478,"")</f>
        <v/>
      </c>
      <c r="J478" s="39"/>
      <c r="M478" s="39" t="str">
        <f t="shared" si="3"/>
        <v/>
      </c>
    </row>
    <row r="479" ht="15.75" customHeight="1">
      <c r="A479" s="39" t="str">
        <f>IF(Strike_Log!H479="Pending",Strike_Log!B479,"")</f>
        <v/>
      </c>
      <c r="B479" s="39" t="str">
        <f>IF($A479="","",IFERROR(VLOOKUP($A479,Grinders!$A:$B,2,FALSE),""))</f>
        <v/>
      </c>
      <c r="C479" s="39" t="str">
        <f>IF($A479="","",Strike_Log!A479)</f>
        <v/>
      </c>
      <c r="D479" s="39" t="str">
        <f>IF($A479="","",Strike_Log!E479)</f>
        <v/>
      </c>
      <c r="E479" s="39" t="str">
        <f>IF($A479="","",Strike_Log!F479)</f>
        <v/>
      </c>
      <c r="F479" s="39" t="str">
        <f>IF($A479="","",Strike_Log!H479)</f>
        <v/>
      </c>
      <c r="G479" s="39" t="str">
        <f t="shared" si="1"/>
        <v/>
      </c>
      <c r="H479" s="39" t="str">
        <f t="shared" si="2"/>
        <v/>
      </c>
      <c r="I479" s="39" t="str">
        <f>IF(Strike_Log!H479="Pending",Strike_Log!J479,"")</f>
        <v/>
      </c>
      <c r="J479" s="39"/>
      <c r="M479" s="39" t="str">
        <f t="shared" si="3"/>
        <v/>
      </c>
    </row>
    <row r="480" ht="15.75" customHeight="1">
      <c r="A480" s="39" t="str">
        <f>IF(Strike_Log!H480="Pending",Strike_Log!B480,"")</f>
        <v/>
      </c>
      <c r="B480" s="39" t="str">
        <f>IF($A480="","",IFERROR(VLOOKUP($A480,Grinders!$A:$B,2,FALSE),""))</f>
        <v/>
      </c>
      <c r="C480" s="39" t="str">
        <f>IF($A480="","",Strike_Log!A480)</f>
        <v/>
      </c>
      <c r="D480" s="39" t="str">
        <f>IF($A480="","",Strike_Log!E480)</f>
        <v/>
      </c>
      <c r="E480" s="39" t="str">
        <f>IF($A480="","",Strike_Log!F480)</f>
        <v/>
      </c>
      <c r="F480" s="39" t="str">
        <f>IF($A480="","",Strike_Log!H480)</f>
        <v/>
      </c>
      <c r="G480" s="39" t="str">
        <f t="shared" si="1"/>
        <v/>
      </c>
      <c r="H480" s="39" t="str">
        <f t="shared" si="2"/>
        <v/>
      </c>
      <c r="I480" s="39" t="str">
        <f>IF(Strike_Log!H480="Pending",Strike_Log!J480,"")</f>
        <v/>
      </c>
      <c r="J480" s="39"/>
      <c r="M480" s="39" t="str">
        <f t="shared" si="3"/>
        <v/>
      </c>
    </row>
    <row r="481" ht="15.75" customHeight="1">
      <c r="A481" s="39" t="str">
        <f>IF(Strike_Log!H481="Pending",Strike_Log!B481,"")</f>
        <v/>
      </c>
      <c r="B481" s="39" t="str">
        <f>IF($A481="","",IFERROR(VLOOKUP($A481,Grinders!$A:$B,2,FALSE),""))</f>
        <v/>
      </c>
      <c r="C481" s="39" t="str">
        <f>IF($A481="","",Strike_Log!A481)</f>
        <v/>
      </c>
      <c r="D481" s="39" t="str">
        <f>IF($A481="","",Strike_Log!E481)</f>
        <v/>
      </c>
      <c r="E481" s="39" t="str">
        <f>IF($A481="","",Strike_Log!F481)</f>
        <v/>
      </c>
      <c r="F481" s="39" t="str">
        <f>IF($A481="","",Strike_Log!H481)</f>
        <v/>
      </c>
      <c r="G481" s="39" t="str">
        <f t="shared" si="1"/>
        <v/>
      </c>
      <c r="H481" s="39" t="str">
        <f t="shared" si="2"/>
        <v/>
      </c>
      <c r="I481" s="39" t="str">
        <f>IF(Strike_Log!H481="Pending",Strike_Log!J481,"")</f>
        <v/>
      </c>
      <c r="J481" s="39"/>
      <c r="M481" s="39" t="str">
        <f t="shared" si="3"/>
        <v/>
      </c>
    </row>
    <row r="482" ht="15.75" customHeight="1">
      <c r="A482" s="39" t="str">
        <f>IF(Strike_Log!H482="Pending",Strike_Log!B482,"")</f>
        <v/>
      </c>
      <c r="B482" s="39" t="str">
        <f>IF($A482="","",IFERROR(VLOOKUP($A482,Grinders!$A:$B,2,FALSE),""))</f>
        <v/>
      </c>
      <c r="C482" s="39" t="str">
        <f>IF($A482="","",Strike_Log!A482)</f>
        <v/>
      </c>
      <c r="D482" s="39" t="str">
        <f>IF($A482="","",Strike_Log!E482)</f>
        <v/>
      </c>
      <c r="E482" s="39" t="str">
        <f>IF($A482="","",Strike_Log!F482)</f>
        <v/>
      </c>
      <c r="F482" s="39" t="str">
        <f>IF($A482="","",Strike_Log!H482)</f>
        <v/>
      </c>
      <c r="G482" s="39" t="str">
        <f t="shared" si="1"/>
        <v/>
      </c>
      <c r="H482" s="39" t="str">
        <f t="shared" si="2"/>
        <v/>
      </c>
      <c r="I482" s="39" t="str">
        <f>IF(Strike_Log!H482="Pending",Strike_Log!J482,"")</f>
        <v/>
      </c>
      <c r="J482" s="39"/>
      <c r="M482" s="39" t="str">
        <f t="shared" si="3"/>
        <v/>
      </c>
    </row>
    <row r="483" ht="15.75" customHeight="1">
      <c r="A483" s="39" t="str">
        <f>IF(Strike_Log!H483="Pending",Strike_Log!B483,"")</f>
        <v/>
      </c>
      <c r="B483" s="39" t="str">
        <f>IF($A483="","",IFERROR(VLOOKUP($A483,Grinders!$A:$B,2,FALSE),""))</f>
        <v/>
      </c>
      <c r="C483" s="39" t="str">
        <f>IF($A483="","",Strike_Log!A483)</f>
        <v/>
      </c>
      <c r="D483" s="39" t="str">
        <f>IF($A483="","",Strike_Log!E483)</f>
        <v/>
      </c>
      <c r="E483" s="39" t="str">
        <f>IF($A483="","",Strike_Log!F483)</f>
        <v/>
      </c>
      <c r="F483" s="39" t="str">
        <f>IF($A483="","",Strike_Log!H483)</f>
        <v/>
      </c>
      <c r="G483" s="39" t="str">
        <f t="shared" si="1"/>
        <v/>
      </c>
      <c r="H483" s="39" t="str">
        <f t="shared" si="2"/>
        <v/>
      </c>
      <c r="I483" s="39" t="str">
        <f>IF(Strike_Log!H483="Pending",Strike_Log!J483,"")</f>
        <v/>
      </c>
      <c r="J483" s="39"/>
      <c r="M483" s="39" t="str">
        <f t="shared" si="3"/>
        <v/>
      </c>
    </row>
    <row r="484" ht="15.75" customHeight="1">
      <c r="A484" s="39" t="str">
        <f>IF(Strike_Log!H484="Pending",Strike_Log!B484,"")</f>
        <v/>
      </c>
      <c r="B484" s="39" t="str">
        <f>IF($A484="","",IFERROR(VLOOKUP($A484,Grinders!$A:$B,2,FALSE),""))</f>
        <v/>
      </c>
      <c r="C484" s="39" t="str">
        <f>IF($A484="","",Strike_Log!A484)</f>
        <v/>
      </c>
      <c r="D484" s="39" t="str">
        <f>IF($A484="","",Strike_Log!E484)</f>
        <v/>
      </c>
      <c r="E484" s="39" t="str">
        <f>IF($A484="","",Strike_Log!F484)</f>
        <v/>
      </c>
      <c r="F484" s="39" t="str">
        <f>IF($A484="","",Strike_Log!H484)</f>
        <v/>
      </c>
      <c r="G484" s="39" t="str">
        <f t="shared" si="1"/>
        <v/>
      </c>
      <c r="H484" s="39" t="str">
        <f t="shared" si="2"/>
        <v/>
      </c>
      <c r="I484" s="39" t="str">
        <f>IF(Strike_Log!H484="Pending",Strike_Log!J484,"")</f>
        <v/>
      </c>
      <c r="J484" s="39"/>
      <c r="M484" s="39" t="str">
        <f t="shared" si="3"/>
        <v/>
      </c>
    </row>
    <row r="485" ht="15.75" customHeight="1">
      <c r="A485" s="39" t="str">
        <f>IF(Strike_Log!H485="Pending",Strike_Log!B485,"")</f>
        <v/>
      </c>
      <c r="B485" s="39" t="str">
        <f>IF($A485="","",IFERROR(VLOOKUP($A485,Grinders!$A:$B,2,FALSE),""))</f>
        <v/>
      </c>
      <c r="C485" s="39" t="str">
        <f>IF($A485="","",Strike_Log!A485)</f>
        <v/>
      </c>
      <c r="D485" s="39" t="str">
        <f>IF($A485="","",Strike_Log!E485)</f>
        <v/>
      </c>
      <c r="E485" s="39" t="str">
        <f>IF($A485="","",Strike_Log!F485)</f>
        <v/>
      </c>
      <c r="F485" s="39" t="str">
        <f>IF($A485="","",Strike_Log!H485)</f>
        <v/>
      </c>
      <c r="G485" s="39" t="str">
        <f t="shared" si="1"/>
        <v/>
      </c>
      <c r="H485" s="39" t="str">
        <f t="shared" si="2"/>
        <v/>
      </c>
      <c r="I485" s="39" t="str">
        <f>IF(Strike_Log!H485="Pending",Strike_Log!J485,"")</f>
        <v/>
      </c>
      <c r="J485" s="39"/>
      <c r="M485" s="39" t="str">
        <f t="shared" si="3"/>
        <v/>
      </c>
    </row>
    <row r="486" ht="15.75" customHeight="1">
      <c r="A486" s="39" t="str">
        <f>IF(Strike_Log!H486="Pending",Strike_Log!B486,"")</f>
        <v/>
      </c>
      <c r="B486" s="39" t="str">
        <f>IF($A486="","",IFERROR(VLOOKUP($A486,Grinders!$A:$B,2,FALSE),""))</f>
        <v/>
      </c>
      <c r="C486" s="39" t="str">
        <f>IF($A486="","",Strike_Log!A486)</f>
        <v/>
      </c>
      <c r="D486" s="39" t="str">
        <f>IF($A486="","",Strike_Log!E486)</f>
        <v/>
      </c>
      <c r="E486" s="39" t="str">
        <f>IF($A486="","",Strike_Log!F486)</f>
        <v/>
      </c>
      <c r="F486" s="39" t="str">
        <f>IF($A486="","",Strike_Log!H486)</f>
        <v/>
      </c>
      <c r="G486" s="39" t="str">
        <f t="shared" si="1"/>
        <v/>
      </c>
      <c r="H486" s="39" t="str">
        <f t="shared" si="2"/>
        <v/>
      </c>
      <c r="I486" s="39" t="str">
        <f>IF(Strike_Log!H486="Pending",Strike_Log!J486,"")</f>
        <v/>
      </c>
      <c r="J486" s="39"/>
      <c r="M486" s="39" t="str">
        <f t="shared" si="3"/>
        <v/>
      </c>
    </row>
    <row r="487" ht="15.75" customHeight="1">
      <c r="A487" s="39" t="str">
        <f>IF(Strike_Log!H487="Pending",Strike_Log!B487,"")</f>
        <v/>
      </c>
      <c r="B487" s="39" t="str">
        <f>IF($A487="","",IFERROR(VLOOKUP($A487,Grinders!$A:$B,2,FALSE),""))</f>
        <v/>
      </c>
      <c r="C487" s="39" t="str">
        <f>IF($A487="","",Strike_Log!A487)</f>
        <v/>
      </c>
      <c r="D487" s="39" t="str">
        <f>IF($A487="","",Strike_Log!E487)</f>
        <v/>
      </c>
      <c r="E487" s="39" t="str">
        <f>IF($A487="","",Strike_Log!F487)</f>
        <v/>
      </c>
      <c r="F487" s="39" t="str">
        <f>IF($A487="","",Strike_Log!H487)</f>
        <v/>
      </c>
      <c r="G487" s="39" t="str">
        <f t="shared" si="1"/>
        <v/>
      </c>
      <c r="H487" s="39" t="str">
        <f t="shared" si="2"/>
        <v/>
      </c>
      <c r="I487" s="39" t="str">
        <f>IF(Strike_Log!H487="Pending",Strike_Log!J487,"")</f>
        <v/>
      </c>
      <c r="J487" s="39"/>
      <c r="M487" s="39" t="str">
        <f t="shared" si="3"/>
        <v/>
      </c>
    </row>
    <row r="488" ht="15.75" customHeight="1">
      <c r="A488" s="39" t="str">
        <f>IF(Strike_Log!H488="Pending",Strike_Log!B488,"")</f>
        <v/>
      </c>
      <c r="B488" s="39" t="str">
        <f>IF($A488="","",IFERROR(VLOOKUP($A488,Grinders!$A:$B,2,FALSE),""))</f>
        <v/>
      </c>
      <c r="C488" s="39" t="str">
        <f>IF($A488="","",Strike_Log!A488)</f>
        <v/>
      </c>
      <c r="D488" s="39" t="str">
        <f>IF($A488="","",Strike_Log!E488)</f>
        <v/>
      </c>
      <c r="E488" s="39" t="str">
        <f>IF($A488="","",Strike_Log!F488)</f>
        <v/>
      </c>
      <c r="F488" s="39" t="str">
        <f>IF($A488="","",Strike_Log!H488)</f>
        <v/>
      </c>
      <c r="G488" s="39" t="str">
        <f t="shared" si="1"/>
        <v/>
      </c>
      <c r="H488" s="39" t="str">
        <f t="shared" si="2"/>
        <v/>
      </c>
      <c r="I488" s="39" t="str">
        <f>IF(Strike_Log!H488="Pending",Strike_Log!J488,"")</f>
        <v/>
      </c>
      <c r="J488" s="39"/>
      <c r="M488" s="39" t="str">
        <f t="shared" si="3"/>
        <v/>
      </c>
    </row>
    <row r="489" ht="15.75" customHeight="1">
      <c r="A489" s="39" t="str">
        <f>IF(Strike_Log!H489="Pending",Strike_Log!B489,"")</f>
        <v/>
      </c>
      <c r="B489" s="39" t="str">
        <f>IF($A489="","",IFERROR(VLOOKUP($A489,Grinders!$A:$B,2,FALSE),""))</f>
        <v/>
      </c>
      <c r="C489" s="39" t="str">
        <f>IF($A489="","",Strike_Log!A489)</f>
        <v/>
      </c>
      <c r="D489" s="39" t="str">
        <f>IF($A489="","",Strike_Log!E489)</f>
        <v/>
      </c>
      <c r="E489" s="39" t="str">
        <f>IF($A489="","",Strike_Log!F489)</f>
        <v/>
      </c>
      <c r="F489" s="39" t="str">
        <f>IF($A489="","",Strike_Log!H489)</f>
        <v/>
      </c>
      <c r="G489" s="39" t="str">
        <f t="shared" si="1"/>
        <v/>
      </c>
      <c r="H489" s="39" t="str">
        <f t="shared" si="2"/>
        <v/>
      </c>
      <c r="I489" s="39" t="str">
        <f>IF(Strike_Log!H489="Pending",Strike_Log!J489,"")</f>
        <v/>
      </c>
      <c r="J489" s="39"/>
      <c r="M489" s="39" t="str">
        <f t="shared" si="3"/>
        <v/>
      </c>
    </row>
    <row r="490" ht="15.75" customHeight="1">
      <c r="A490" s="39" t="str">
        <f>IF(Strike_Log!H490="Pending",Strike_Log!B490,"")</f>
        <v/>
      </c>
      <c r="B490" s="39" t="str">
        <f>IF($A490="","",IFERROR(VLOOKUP($A490,Grinders!$A:$B,2,FALSE),""))</f>
        <v/>
      </c>
      <c r="C490" s="39" t="str">
        <f>IF($A490="","",Strike_Log!A490)</f>
        <v/>
      </c>
      <c r="D490" s="39" t="str">
        <f>IF($A490="","",Strike_Log!E490)</f>
        <v/>
      </c>
      <c r="E490" s="39" t="str">
        <f>IF($A490="","",Strike_Log!F490)</f>
        <v/>
      </c>
      <c r="F490" s="39" t="str">
        <f>IF($A490="","",Strike_Log!H490)</f>
        <v/>
      </c>
      <c r="G490" s="39" t="str">
        <f t="shared" si="1"/>
        <v/>
      </c>
      <c r="H490" s="39" t="str">
        <f t="shared" si="2"/>
        <v/>
      </c>
      <c r="I490" s="39" t="str">
        <f>IF(Strike_Log!H490="Pending",Strike_Log!J490,"")</f>
        <v/>
      </c>
      <c r="J490" s="39"/>
      <c r="M490" s="39" t="str">
        <f t="shared" si="3"/>
        <v/>
      </c>
    </row>
    <row r="491" ht="15.75" customHeight="1">
      <c r="A491" s="39" t="str">
        <f>IF(Strike_Log!H491="Pending",Strike_Log!B491,"")</f>
        <v/>
      </c>
      <c r="B491" s="39" t="str">
        <f>IF($A491="","",IFERROR(VLOOKUP($A491,Grinders!$A:$B,2,FALSE),""))</f>
        <v/>
      </c>
      <c r="C491" s="39" t="str">
        <f>IF($A491="","",Strike_Log!A491)</f>
        <v/>
      </c>
      <c r="D491" s="39" t="str">
        <f>IF($A491="","",Strike_Log!E491)</f>
        <v/>
      </c>
      <c r="E491" s="39" t="str">
        <f>IF($A491="","",Strike_Log!F491)</f>
        <v/>
      </c>
      <c r="F491" s="39" t="str">
        <f>IF($A491="","",Strike_Log!H491)</f>
        <v/>
      </c>
      <c r="G491" s="39" t="str">
        <f t="shared" si="1"/>
        <v/>
      </c>
      <c r="H491" s="39" t="str">
        <f t="shared" si="2"/>
        <v/>
      </c>
      <c r="I491" s="39" t="str">
        <f>IF(Strike_Log!H491="Pending",Strike_Log!J491,"")</f>
        <v/>
      </c>
      <c r="J491" s="39"/>
      <c r="M491" s="39" t="str">
        <f t="shared" si="3"/>
        <v/>
      </c>
    </row>
    <row r="492" ht="15.75" customHeight="1">
      <c r="A492" s="39" t="str">
        <f>IF(Strike_Log!H492="Pending",Strike_Log!B492,"")</f>
        <v/>
      </c>
      <c r="B492" s="39" t="str">
        <f>IF($A492="","",IFERROR(VLOOKUP($A492,Grinders!$A:$B,2,FALSE),""))</f>
        <v/>
      </c>
      <c r="C492" s="39" t="str">
        <f>IF($A492="","",Strike_Log!A492)</f>
        <v/>
      </c>
      <c r="D492" s="39" t="str">
        <f>IF($A492="","",Strike_Log!E492)</f>
        <v/>
      </c>
      <c r="E492" s="39" t="str">
        <f>IF($A492="","",Strike_Log!F492)</f>
        <v/>
      </c>
      <c r="F492" s="39" t="str">
        <f>IF($A492="","",Strike_Log!H492)</f>
        <v/>
      </c>
      <c r="G492" s="39" t="str">
        <f t="shared" si="1"/>
        <v/>
      </c>
      <c r="H492" s="39" t="str">
        <f t="shared" si="2"/>
        <v/>
      </c>
      <c r="I492" s="39" t="str">
        <f>IF(Strike_Log!H492="Pending",Strike_Log!J492,"")</f>
        <v/>
      </c>
      <c r="J492" s="39"/>
      <c r="M492" s="39" t="str">
        <f t="shared" si="3"/>
        <v/>
      </c>
    </row>
    <row r="493" ht="15.75" customHeight="1">
      <c r="A493" s="39" t="str">
        <f>IF(Strike_Log!H493="Pending",Strike_Log!B493,"")</f>
        <v/>
      </c>
      <c r="B493" s="39" t="str">
        <f>IF($A493="","",IFERROR(VLOOKUP($A493,Grinders!$A:$B,2,FALSE),""))</f>
        <v/>
      </c>
      <c r="C493" s="39" t="str">
        <f>IF($A493="","",Strike_Log!A493)</f>
        <v/>
      </c>
      <c r="D493" s="39" t="str">
        <f>IF($A493="","",Strike_Log!E493)</f>
        <v/>
      </c>
      <c r="E493" s="39" t="str">
        <f>IF($A493="","",Strike_Log!F493)</f>
        <v/>
      </c>
      <c r="F493" s="39" t="str">
        <f>IF($A493="","",Strike_Log!H493)</f>
        <v/>
      </c>
      <c r="G493" s="39" t="str">
        <f t="shared" si="1"/>
        <v/>
      </c>
      <c r="H493" s="39" t="str">
        <f t="shared" si="2"/>
        <v/>
      </c>
      <c r="I493" s="39" t="str">
        <f>IF(Strike_Log!H493="Pending",Strike_Log!J493,"")</f>
        <v/>
      </c>
      <c r="J493" s="39"/>
      <c r="M493" s="39" t="str">
        <f t="shared" si="3"/>
        <v/>
      </c>
    </row>
    <row r="494" ht="15.75" customHeight="1">
      <c r="A494" s="39" t="str">
        <f>IF(Strike_Log!H494="Pending",Strike_Log!B494,"")</f>
        <v/>
      </c>
      <c r="B494" s="39" t="str">
        <f>IF($A494="","",IFERROR(VLOOKUP($A494,Grinders!$A:$B,2,FALSE),""))</f>
        <v/>
      </c>
      <c r="C494" s="39" t="str">
        <f>IF($A494="","",Strike_Log!A494)</f>
        <v/>
      </c>
      <c r="D494" s="39" t="str">
        <f>IF($A494="","",Strike_Log!E494)</f>
        <v/>
      </c>
      <c r="E494" s="39" t="str">
        <f>IF($A494="","",Strike_Log!F494)</f>
        <v/>
      </c>
      <c r="F494" s="39" t="str">
        <f>IF($A494="","",Strike_Log!H494)</f>
        <v/>
      </c>
      <c r="G494" s="39" t="str">
        <f t="shared" si="1"/>
        <v/>
      </c>
      <c r="H494" s="39" t="str">
        <f t="shared" si="2"/>
        <v/>
      </c>
      <c r="I494" s="39" t="str">
        <f>IF(Strike_Log!H494="Pending",Strike_Log!J494,"")</f>
        <v/>
      </c>
      <c r="J494" s="39"/>
      <c r="M494" s="39" t="str">
        <f t="shared" si="3"/>
        <v/>
      </c>
    </row>
    <row r="495" ht="15.75" customHeight="1">
      <c r="A495" s="39" t="str">
        <f>IF(Strike_Log!H495="Pending",Strike_Log!B495,"")</f>
        <v/>
      </c>
      <c r="B495" s="39" t="str">
        <f>IF($A495="","",IFERROR(VLOOKUP($A495,Grinders!$A:$B,2,FALSE),""))</f>
        <v/>
      </c>
      <c r="C495" s="39" t="str">
        <f>IF($A495="","",Strike_Log!A495)</f>
        <v/>
      </c>
      <c r="D495" s="39" t="str">
        <f>IF($A495="","",Strike_Log!E495)</f>
        <v/>
      </c>
      <c r="E495" s="39" t="str">
        <f>IF($A495="","",Strike_Log!F495)</f>
        <v/>
      </c>
      <c r="F495" s="39" t="str">
        <f>IF($A495="","",Strike_Log!H495)</f>
        <v/>
      </c>
      <c r="G495" s="39" t="str">
        <f t="shared" si="1"/>
        <v/>
      </c>
      <c r="H495" s="39" t="str">
        <f t="shared" si="2"/>
        <v/>
      </c>
      <c r="I495" s="39" t="str">
        <f>IF(Strike_Log!H495="Pending",Strike_Log!J495,"")</f>
        <v/>
      </c>
      <c r="J495" s="39"/>
      <c r="M495" s="39" t="str">
        <f t="shared" si="3"/>
        <v/>
      </c>
    </row>
    <row r="496" ht="15.75" customHeight="1">
      <c r="A496" s="39" t="str">
        <f>IF(Strike_Log!H496="Pending",Strike_Log!B496,"")</f>
        <v/>
      </c>
      <c r="B496" s="39" t="str">
        <f>IF($A496="","",IFERROR(VLOOKUP($A496,Grinders!$A:$B,2,FALSE),""))</f>
        <v/>
      </c>
      <c r="C496" s="39" t="str">
        <f>IF($A496="","",Strike_Log!A496)</f>
        <v/>
      </c>
      <c r="D496" s="39" t="str">
        <f>IF($A496="","",Strike_Log!E496)</f>
        <v/>
      </c>
      <c r="E496" s="39" t="str">
        <f>IF($A496="","",Strike_Log!F496)</f>
        <v/>
      </c>
      <c r="F496" s="39" t="str">
        <f>IF($A496="","",Strike_Log!H496)</f>
        <v/>
      </c>
      <c r="G496" s="39" t="str">
        <f t="shared" si="1"/>
        <v/>
      </c>
      <c r="H496" s="39" t="str">
        <f t="shared" si="2"/>
        <v/>
      </c>
      <c r="I496" s="39" t="str">
        <f>IF(Strike_Log!H496="Pending",Strike_Log!J496,"")</f>
        <v/>
      </c>
      <c r="J496" s="39"/>
      <c r="M496" s="39" t="str">
        <f t="shared" si="3"/>
        <v/>
      </c>
    </row>
    <row r="497" ht="15.75" customHeight="1">
      <c r="A497" s="39" t="str">
        <f>IF(Strike_Log!H497="Pending",Strike_Log!B497,"")</f>
        <v/>
      </c>
      <c r="B497" s="39" t="str">
        <f>IF($A497="","",IFERROR(VLOOKUP($A497,Grinders!$A:$B,2,FALSE),""))</f>
        <v/>
      </c>
      <c r="C497" s="39" t="str">
        <f>IF($A497="","",Strike_Log!A497)</f>
        <v/>
      </c>
      <c r="D497" s="39" t="str">
        <f>IF($A497="","",Strike_Log!E497)</f>
        <v/>
      </c>
      <c r="E497" s="39" t="str">
        <f>IF($A497="","",Strike_Log!F497)</f>
        <v/>
      </c>
      <c r="F497" s="39" t="str">
        <f>IF($A497="","",Strike_Log!H497)</f>
        <v/>
      </c>
      <c r="G497" s="39" t="str">
        <f t="shared" si="1"/>
        <v/>
      </c>
      <c r="H497" s="39" t="str">
        <f t="shared" si="2"/>
        <v/>
      </c>
      <c r="I497" s="39" t="str">
        <f>IF(Strike_Log!H497="Pending",Strike_Log!J497,"")</f>
        <v/>
      </c>
      <c r="J497" s="39"/>
      <c r="M497" s="39" t="str">
        <f t="shared" si="3"/>
        <v/>
      </c>
    </row>
    <row r="498" ht="15.75" customHeight="1">
      <c r="A498" s="39" t="str">
        <f>IF(Strike_Log!H498="Pending",Strike_Log!B498,"")</f>
        <v/>
      </c>
      <c r="B498" s="39" t="str">
        <f>IF($A498="","",IFERROR(VLOOKUP($A498,Grinders!$A:$B,2,FALSE),""))</f>
        <v/>
      </c>
      <c r="C498" s="39" t="str">
        <f>IF($A498="","",Strike_Log!A498)</f>
        <v/>
      </c>
      <c r="D498" s="39" t="str">
        <f>IF($A498="","",Strike_Log!E498)</f>
        <v/>
      </c>
      <c r="E498" s="39" t="str">
        <f>IF($A498="","",Strike_Log!F498)</f>
        <v/>
      </c>
      <c r="F498" s="39" t="str">
        <f>IF($A498="","",Strike_Log!H498)</f>
        <v/>
      </c>
      <c r="G498" s="39" t="str">
        <f t="shared" si="1"/>
        <v/>
      </c>
      <c r="H498" s="39" t="str">
        <f t="shared" si="2"/>
        <v/>
      </c>
      <c r="I498" s="39" t="str">
        <f>IF(Strike_Log!H498="Pending",Strike_Log!J498,"")</f>
        <v/>
      </c>
      <c r="J498" s="39"/>
      <c r="M498" s="39" t="str">
        <f t="shared" si="3"/>
        <v/>
      </c>
    </row>
    <row r="499" ht="15.75" customHeight="1">
      <c r="A499" s="39" t="str">
        <f>IF(Strike_Log!H499="Pending",Strike_Log!B499,"")</f>
        <v/>
      </c>
      <c r="B499" s="39" t="str">
        <f>IF($A499="","",IFERROR(VLOOKUP($A499,Grinders!$A:$B,2,FALSE),""))</f>
        <v/>
      </c>
      <c r="C499" s="39" t="str">
        <f>IF($A499="","",Strike_Log!A499)</f>
        <v/>
      </c>
      <c r="D499" s="39" t="str">
        <f>IF($A499="","",Strike_Log!E499)</f>
        <v/>
      </c>
      <c r="E499" s="39" t="str">
        <f>IF($A499="","",Strike_Log!F499)</f>
        <v/>
      </c>
      <c r="F499" s="39" t="str">
        <f>IF($A499="","",Strike_Log!H499)</f>
        <v/>
      </c>
      <c r="G499" s="39" t="str">
        <f t="shared" si="1"/>
        <v/>
      </c>
      <c r="H499" s="39" t="str">
        <f t="shared" si="2"/>
        <v/>
      </c>
      <c r="I499" s="39" t="str">
        <f>IF(Strike_Log!H499="Pending",Strike_Log!J499,"")</f>
        <v/>
      </c>
      <c r="J499" s="39"/>
      <c r="M499" s="39" t="str">
        <f t="shared" si="3"/>
        <v/>
      </c>
    </row>
    <row r="500" ht="15.75" customHeight="1">
      <c r="A500" s="39" t="str">
        <f>IF(Strike_Log!H500="Pending",Strike_Log!B500,"")</f>
        <v/>
      </c>
      <c r="B500" s="39" t="str">
        <f>IF($A500="","",IFERROR(VLOOKUP($A500,Grinders!$A:$B,2,FALSE),""))</f>
        <v/>
      </c>
      <c r="C500" s="39" t="str">
        <f>IF($A500="","",Strike_Log!A500)</f>
        <v/>
      </c>
      <c r="D500" s="39" t="str">
        <f>IF($A500="","",Strike_Log!E500)</f>
        <v/>
      </c>
      <c r="E500" s="39" t="str">
        <f>IF($A500="","",Strike_Log!F500)</f>
        <v/>
      </c>
      <c r="F500" s="39" t="str">
        <f>IF($A500="","",Strike_Log!H500)</f>
        <v/>
      </c>
      <c r="G500" s="39" t="str">
        <f t="shared" si="1"/>
        <v/>
      </c>
      <c r="H500" s="39" t="str">
        <f t="shared" si="2"/>
        <v/>
      </c>
      <c r="I500" s="39" t="str">
        <f>IF(Strike_Log!H500="Pending",Strike_Log!J500,"")</f>
        <v/>
      </c>
      <c r="J500" s="39"/>
      <c r="M500" s="39" t="str">
        <f t="shared" si="3"/>
        <v/>
      </c>
    </row>
    <row r="501" ht="15.75" customHeight="1">
      <c r="A501" s="39" t="str">
        <f>IF(Strike_Log!H501="Pending",Strike_Log!B501,"")</f>
        <v/>
      </c>
      <c r="B501" s="39" t="str">
        <f>IF($A501="","",IFERROR(VLOOKUP($A501,Grinders!$A:$B,2,FALSE),""))</f>
        <v/>
      </c>
      <c r="C501" s="39" t="str">
        <f>IF($A501="","",Strike_Log!A501)</f>
        <v/>
      </c>
      <c r="D501" s="39" t="str">
        <f>IF($A501="","",Strike_Log!E501)</f>
        <v/>
      </c>
      <c r="E501" s="39" t="str">
        <f>IF($A501="","",Strike_Log!F501)</f>
        <v/>
      </c>
      <c r="F501" s="39" t="str">
        <f>IF($A501="","",Strike_Log!H501)</f>
        <v/>
      </c>
      <c r="G501" s="39" t="str">
        <f t="shared" si="1"/>
        <v/>
      </c>
      <c r="H501" s="39" t="str">
        <f t="shared" si="2"/>
        <v/>
      </c>
      <c r="I501" s="39" t="str">
        <f>IF(Strike_Log!H501="Pending",Strike_Log!J501,"")</f>
        <v/>
      </c>
      <c r="J501" s="39"/>
      <c r="M501" s="39" t="str">
        <f t="shared" si="3"/>
        <v/>
      </c>
    </row>
    <row r="502" ht="15.75" customHeight="1">
      <c r="J502" s="39"/>
      <c r="M502" s="39" t="str">
        <f t="shared" si="3"/>
        <v/>
      </c>
    </row>
    <row r="503" ht="15.75" customHeight="1">
      <c r="J503" s="39"/>
      <c r="M503" s="39" t="str">
        <f t="shared" si="3"/>
        <v/>
      </c>
    </row>
    <row r="504" ht="15.75" customHeight="1">
      <c r="J504" s="39"/>
      <c r="M504" s="39" t="str">
        <f t="shared" si="3"/>
        <v/>
      </c>
    </row>
    <row r="505" ht="15.75" customHeight="1">
      <c r="J505" s="39"/>
      <c r="M505" s="39" t="str">
        <f t="shared" si="3"/>
        <v/>
      </c>
    </row>
    <row r="506" ht="15.75" customHeight="1">
      <c r="J506" s="39"/>
      <c r="M506" s="39" t="str">
        <f t="shared" si="3"/>
        <v/>
      </c>
    </row>
    <row r="507" ht="15.75" customHeight="1">
      <c r="J507" s="39"/>
      <c r="M507" s="39" t="str">
        <f t="shared" si="3"/>
        <v/>
      </c>
    </row>
    <row r="508" ht="15.75" customHeight="1">
      <c r="J508" s="39"/>
      <c r="M508" s="39" t="str">
        <f t="shared" si="3"/>
        <v/>
      </c>
    </row>
    <row r="509" ht="15.75" customHeight="1">
      <c r="J509" s="39"/>
      <c r="M509" s="39" t="str">
        <f t="shared" si="3"/>
        <v/>
      </c>
    </row>
    <row r="510" ht="15.75" customHeight="1">
      <c r="J510" s="39"/>
      <c r="M510" s="39" t="str">
        <f t="shared" si="3"/>
        <v/>
      </c>
    </row>
    <row r="511" ht="15.75" customHeight="1">
      <c r="J511" s="39"/>
      <c r="M511" s="39" t="str">
        <f t="shared" si="3"/>
        <v/>
      </c>
    </row>
    <row r="512" ht="15.75" customHeight="1">
      <c r="J512" s="39"/>
      <c r="M512" s="39" t="str">
        <f t="shared" si="3"/>
        <v/>
      </c>
    </row>
    <row r="513" ht="15.75" customHeight="1">
      <c r="J513" s="39"/>
      <c r="M513" s="39" t="str">
        <f t="shared" si="3"/>
        <v/>
      </c>
    </row>
    <row r="514" ht="15.75" customHeight="1">
      <c r="J514" s="39"/>
      <c r="M514" s="39" t="str">
        <f t="shared" si="3"/>
        <v/>
      </c>
    </row>
    <row r="515" ht="15.75" customHeight="1">
      <c r="J515" s="39"/>
      <c r="M515" s="39" t="str">
        <f t="shared" si="3"/>
        <v/>
      </c>
    </row>
    <row r="516" ht="15.75" customHeight="1">
      <c r="J516" s="39"/>
      <c r="M516" s="39" t="str">
        <f t="shared" si="3"/>
        <v/>
      </c>
    </row>
    <row r="517" ht="15.75" customHeight="1">
      <c r="J517" s="39"/>
      <c r="M517" s="39" t="str">
        <f t="shared" si="3"/>
        <v/>
      </c>
    </row>
    <row r="518" ht="15.75" customHeight="1">
      <c r="J518" s="39"/>
      <c r="M518" s="39" t="str">
        <f t="shared" si="3"/>
        <v/>
      </c>
    </row>
    <row r="519" ht="15.75" customHeight="1">
      <c r="J519" s="39"/>
      <c r="M519" s="39" t="str">
        <f t="shared" si="3"/>
        <v/>
      </c>
    </row>
    <row r="520" ht="15.75" customHeight="1">
      <c r="J520" s="39"/>
      <c r="M520" s="39" t="str">
        <f t="shared" si="3"/>
        <v/>
      </c>
    </row>
    <row r="521" ht="15.75" customHeight="1">
      <c r="J521" s="39"/>
      <c r="M521" s="39" t="str">
        <f t="shared" si="3"/>
        <v/>
      </c>
    </row>
    <row r="522" ht="15.75" customHeight="1">
      <c r="J522" s="39"/>
      <c r="M522" s="39" t="str">
        <f t="shared" si="3"/>
        <v/>
      </c>
    </row>
    <row r="523" ht="15.75" customHeight="1">
      <c r="J523" s="39"/>
      <c r="M523" s="39" t="str">
        <f t="shared" si="3"/>
        <v/>
      </c>
    </row>
    <row r="524" ht="15.75" customHeight="1">
      <c r="J524" s="39"/>
      <c r="M524" s="39" t="str">
        <f t="shared" si="3"/>
        <v/>
      </c>
    </row>
    <row r="525" ht="15.75" customHeight="1">
      <c r="J525" s="39"/>
      <c r="M525" s="39" t="str">
        <f t="shared" si="3"/>
        <v/>
      </c>
    </row>
    <row r="526" ht="15.75" customHeight="1">
      <c r="J526" s="39"/>
      <c r="M526" s="39" t="str">
        <f t="shared" si="3"/>
        <v/>
      </c>
    </row>
    <row r="527" ht="15.75" customHeight="1">
      <c r="J527" s="39"/>
      <c r="M527" s="39" t="str">
        <f t="shared" si="3"/>
        <v/>
      </c>
    </row>
    <row r="528" ht="15.75" customHeight="1">
      <c r="J528" s="39"/>
      <c r="M528" s="39" t="str">
        <f t="shared" si="3"/>
        <v/>
      </c>
    </row>
    <row r="529" ht="15.75" customHeight="1">
      <c r="J529" s="39"/>
      <c r="M529" s="39" t="str">
        <f t="shared" si="3"/>
        <v/>
      </c>
    </row>
    <row r="530" ht="15.75" customHeight="1">
      <c r="J530" s="39"/>
      <c r="M530" s="39" t="str">
        <f t="shared" si="3"/>
        <v/>
      </c>
    </row>
    <row r="531" ht="15.75" customHeight="1">
      <c r="J531" s="39"/>
      <c r="M531" s="39" t="str">
        <f t="shared" si="3"/>
        <v/>
      </c>
    </row>
    <row r="532" ht="15.75" customHeight="1">
      <c r="J532" s="39"/>
      <c r="M532" s="39" t="str">
        <f t="shared" si="3"/>
        <v/>
      </c>
    </row>
    <row r="533" ht="15.75" customHeight="1">
      <c r="J533" s="39"/>
      <c r="M533" s="39" t="str">
        <f t="shared" si="3"/>
        <v/>
      </c>
    </row>
    <row r="534" ht="15.75" customHeight="1">
      <c r="J534" s="39"/>
      <c r="M534" s="39" t="str">
        <f t="shared" si="3"/>
        <v/>
      </c>
    </row>
    <row r="535" ht="15.75" customHeight="1">
      <c r="J535" s="39"/>
      <c r="M535" s="39" t="str">
        <f t="shared" si="3"/>
        <v/>
      </c>
    </row>
    <row r="536" ht="15.75" customHeight="1">
      <c r="J536" s="39"/>
      <c r="M536" s="39" t="str">
        <f t="shared" si="3"/>
        <v/>
      </c>
    </row>
    <row r="537" ht="15.75" customHeight="1">
      <c r="J537" s="39"/>
      <c r="M537" s="39" t="str">
        <f t="shared" si="3"/>
        <v/>
      </c>
    </row>
    <row r="538" ht="15.75" customHeight="1">
      <c r="J538" s="39"/>
      <c r="M538" s="39" t="str">
        <f t="shared" si="3"/>
        <v/>
      </c>
    </row>
    <row r="539" ht="15.75" customHeight="1">
      <c r="J539" s="39"/>
      <c r="M539" s="39" t="str">
        <f t="shared" si="3"/>
        <v/>
      </c>
    </row>
    <row r="540" ht="15.75" customHeight="1">
      <c r="J540" s="39"/>
      <c r="M540" s="39" t="str">
        <f t="shared" si="3"/>
        <v/>
      </c>
    </row>
    <row r="541" ht="15.75" customHeight="1">
      <c r="J541" s="39"/>
      <c r="M541" s="39" t="str">
        <f t="shared" si="3"/>
        <v/>
      </c>
    </row>
    <row r="542" ht="15.75" customHeight="1">
      <c r="J542" s="39"/>
      <c r="M542" s="39" t="str">
        <f t="shared" si="3"/>
        <v/>
      </c>
    </row>
    <row r="543" ht="15.75" customHeight="1">
      <c r="J543" s="39"/>
      <c r="M543" s="39" t="str">
        <f t="shared" si="3"/>
        <v/>
      </c>
    </row>
    <row r="544" ht="15.75" customHeight="1">
      <c r="J544" s="39"/>
      <c r="M544" s="39" t="str">
        <f t="shared" si="3"/>
        <v/>
      </c>
    </row>
    <row r="545" ht="15.75" customHeight="1">
      <c r="J545" s="39"/>
      <c r="M545" s="39" t="str">
        <f t="shared" si="3"/>
        <v/>
      </c>
    </row>
    <row r="546" ht="15.75" customHeight="1">
      <c r="J546" s="39"/>
      <c r="M546" s="39" t="str">
        <f t="shared" si="3"/>
        <v/>
      </c>
    </row>
    <row r="547" ht="15.75" customHeight="1">
      <c r="J547" s="39"/>
      <c r="M547" s="39" t="str">
        <f t="shared" si="3"/>
        <v/>
      </c>
    </row>
    <row r="548" ht="15.75" customHeight="1">
      <c r="J548" s="39"/>
      <c r="M548" s="39" t="str">
        <f t="shared" si="3"/>
        <v/>
      </c>
    </row>
    <row r="549" ht="15.75" customHeight="1">
      <c r="J549" s="39"/>
      <c r="M549" s="39" t="str">
        <f t="shared" si="3"/>
        <v/>
      </c>
    </row>
    <row r="550" ht="15.75" customHeight="1">
      <c r="J550" s="39"/>
      <c r="M550" s="39" t="str">
        <f t="shared" si="3"/>
        <v/>
      </c>
    </row>
    <row r="551" ht="15.75" customHeight="1">
      <c r="J551" s="39"/>
      <c r="M551" s="39" t="str">
        <f t="shared" si="3"/>
        <v/>
      </c>
    </row>
    <row r="552" ht="15.75" customHeight="1">
      <c r="J552" s="39"/>
      <c r="M552" s="39" t="str">
        <f t="shared" si="3"/>
        <v/>
      </c>
    </row>
    <row r="553" ht="15.75" customHeight="1">
      <c r="J553" s="39"/>
      <c r="M553" s="39" t="str">
        <f t="shared" si="3"/>
        <v/>
      </c>
    </row>
    <row r="554" ht="15.75" customHeight="1">
      <c r="J554" s="39"/>
      <c r="M554" s="39" t="str">
        <f t="shared" si="3"/>
        <v/>
      </c>
    </row>
    <row r="555" ht="15.75" customHeight="1">
      <c r="J555" s="39"/>
      <c r="M555" s="39" t="str">
        <f t="shared" si="3"/>
        <v/>
      </c>
    </row>
    <row r="556" ht="15.75" customHeight="1">
      <c r="J556" s="39"/>
      <c r="M556" s="39" t="str">
        <f t="shared" si="3"/>
        <v/>
      </c>
    </row>
    <row r="557" ht="15.75" customHeight="1">
      <c r="J557" s="39"/>
      <c r="M557" s="39" t="str">
        <f t="shared" si="3"/>
        <v/>
      </c>
    </row>
    <row r="558" ht="15.75" customHeight="1">
      <c r="J558" s="39"/>
      <c r="M558" s="39" t="str">
        <f t="shared" si="3"/>
        <v/>
      </c>
    </row>
    <row r="559" ht="15.75" customHeight="1">
      <c r="J559" s="39"/>
      <c r="M559" s="39" t="str">
        <f t="shared" si="3"/>
        <v/>
      </c>
    </row>
    <row r="560" ht="15.75" customHeight="1">
      <c r="J560" s="39"/>
      <c r="M560" s="39" t="str">
        <f t="shared" si="3"/>
        <v/>
      </c>
    </row>
    <row r="561" ht="15.75" customHeight="1">
      <c r="J561" s="39"/>
      <c r="M561" s="39" t="str">
        <f t="shared" si="3"/>
        <v/>
      </c>
    </row>
    <row r="562" ht="15.75" customHeight="1">
      <c r="J562" s="39"/>
      <c r="M562" s="39" t="str">
        <f t="shared" si="3"/>
        <v/>
      </c>
    </row>
    <row r="563" ht="15.75" customHeight="1">
      <c r="J563" s="39"/>
      <c r="M563" s="39" t="str">
        <f t="shared" si="3"/>
        <v/>
      </c>
    </row>
    <row r="564" ht="15.75" customHeight="1">
      <c r="J564" s="39"/>
      <c r="M564" s="39" t="str">
        <f t="shared" si="3"/>
        <v/>
      </c>
    </row>
    <row r="565" ht="15.75" customHeight="1">
      <c r="J565" s="39"/>
      <c r="M565" s="39" t="str">
        <f t="shared" si="3"/>
        <v/>
      </c>
    </row>
    <row r="566" ht="15.75" customHeight="1">
      <c r="J566" s="39"/>
      <c r="M566" s="39" t="str">
        <f t="shared" si="3"/>
        <v/>
      </c>
    </row>
    <row r="567" ht="15.75" customHeight="1">
      <c r="J567" s="39"/>
      <c r="M567" s="39" t="str">
        <f t="shared" si="3"/>
        <v/>
      </c>
    </row>
    <row r="568" ht="15.75" customHeight="1">
      <c r="J568" s="39"/>
      <c r="M568" s="39" t="str">
        <f t="shared" si="3"/>
        <v/>
      </c>
    </row>
    <row r="569" ht="15.75" customHeight="1">
      <c r="J569" s="39"/>
      <c r="M569" s="39" t="str">
        <f t="shared" si="3"/>
        <v/>
      </c>
    </row>
    <row r="570" ht="15.75" customHeight="1">
      <c r="J570" s="39"/>
      <c r="M570" s="39" t="str">
        <f t="shared" si="3"/>
        <v/>
      </c>
    </row>
    <row r="571" ht="15.75" customHeight="1">
      <c r="J571" s="39"/>
      <c r="M571" s="39" t="str">
        <f t="shared" si="3"/>
        <v/>
      </c>
    </row>
    <row r="572" ht="15.75" customHeight="1">
      <c r="J572" s="39"/>
      <c r="M572" s="39" t="str">
        <f t="shared" si="3"/>
        <v/>
      </c>
    </row>
    <row r="573" ht="15.75" customHeight="1">
      <c r="J573" s="39"/>
      <c r="M573" s="39" t="str">
        <f t="shared" si="3"/>
        <v/>
      </c>
    </row>
    <row r="574" ht="15.75" customHeight="1">
      <c r="J574" s="39"/>
      <c r="M574" s="39" t="str">
        <f t="shared" si="3"/>
        <v/>
      </c>
    </row>
    <row r="575" ht="15.75" customHeight="1">
      <c r="J575" s="39"/>
      <c r="M575" s="39" t="str">
        <f t="shared" si="3"/>
        <v/>
      </c>
    </row>
    <row r="576" ht="15.75" customHeight="1">
      <c r="J576" s="39"/>
      <c r="M576" s="39" t="str">
        <f t="shared" si="3"/>
        <v/>
      </c>
    </row>
    <row r="577" ht="15.75" customHeight="1">
      <c r="J577" s="39"/>
      <c r="M577" s="39" t="str">
        <f t="shared" si="3"/>
        <v/>
      </c>
    </row>
    <row r="578" ht="15.75" customHeight="1">
      <c r="J578" s="39"/>
      <c r="M578" s="39" t="str">
        <f t="shared" si="3"/>
        <v/>
      </c>
    </row>
    <row r="579" ht="15.75" customHeight="1">
      <c r="J579" s="39"/>
      <c r="M579" s="39" t="str">
        <f t="shared" si="3"/>
        <v/>
      </c>
    </row>
    <row r="580" ht="15.75" customHeight="1">
      <c r="J580" s="39"/>
      <c r="M580" s="39" t="str">
        <f t="shared" si="3"/>
        <v/>
      </c>
    </row>
    <row r="581" ht="15.75" customHeight="1">
      <c r="J581" s="39"/>
      <c r="M581" s="39" t="str">
        <f t="shared" si="3"/>
        <v/>
      </c>
    </row>
    <row r="582" ht="15.75" customHeight="1">
      <c r="J582" s="39"/>
      <c r="M582" s="39" t="str">
        <f t="shared" si="3"/>
        <v/>
      </c>
    </row>
    <row r="583" ht="15.75" customHeight="1">
      <c r="J583" s="39"/>
      <c r="M583" s="39" t="str">
        <f t="shared" si="3"/>
        <v/>
      </c>
    </row>
    <row r="584" ht="15.75" customHeight="1">
      <c r="J584" s="39"/>
      <c r="M584" s="39" t="str">
        <f t="shared" si="3"/>
        <v/>
      </c>
    </row>
    <row r="585" ht="15.75" customHeight="1">
      <c r="J585" s="39"/>
      <c r="M585" s="39" t="str">
        <f t="shared" si="3"/>
        <v/>
      </c>
    </row>
    <row r="586" ht="15.75" customHeight="1">
      <c r="J586" s="39"/>
      <c r="M586" s="39" t="str">
        <f t="shared" si="3"/>
        <v/>
      </c>
    </row>
    <row r="587" ht="15.75" customHeight="1">
      <c r="J587" s="39"/>
      <c r="M587" s="39" t="str">
        <f t="shared" si="3"/>
        <v/>
      </c>
    </row>
    <row r="588" ht="15.75" customHeight="1">
      <c r="J588" s="39"/>
      <c r="M588" s="39" t="str">
        <f t="shared" si="3"/>
        <v/>
      </c>
    </row>
    <row r="589" ht="15.75" customHeight="1">
      <c r="J589" s="39"/>
      <c r="M589" s="39" t="str">
        <f t="shared" si="3"/>
        <v/>
      </c>
    </row>
    <row r="590" ht="15.75" customHeight="1">
      <c r="J590" s="39"/>
      <c r="M590" s="39" t="str">
        <f t="shared" si="3"/>
        <v/>
      </c>
    </row>
    <row r="591" ht="15.75" customHeight="1">
      <c r="J591" s="39"/>
      <c r="M591" s="39" t="str">
        <f t="shared" si="3"/>
        <v/>
      </c>
    </row>
    <row r="592" ht="15.75" customHeight="1">
      <c r="J592" s="39"/>
      <c r="M592" s="39" t="str">
        <f t="shared" si="3"/>
        <v/>
      </c>
    </row>
    <row r="593" ht="15.75" customHeight="1">
      <c r="J593" s="39"/>
      <c r="M593" s="39" t="str">
        <f t="shared" si="3"/>
        <v/>
      </c>
    </row>
    <row r="594" ht="15.75" customHeight="1">
      <c r="J594" s="39"/>
      <c r="M594" s="39" t="str">
        <f t="shared" si="3"/>
        <v/>
      </c>
    </row>
    <row r="595" ht="15.75" customHeight="1">
      <c r="J595" s="39"/>
      <c r="M595" s="39" t="str">
        <f t="shared" si="3"/>
        <v/>
      </c>
    </row>
    <row r="596" ht="15.75" customHeight="1">
      <c r="J596" s="39"/>
      <c r="M596" s="39" t="str">
        <f t="shared" si="3"/>
        <v/>
      </c>
    </row>
    <row r="597" ht="15.75" customHeight="1">
      <c r="J597" s="39"/>
      <c r="M597" s="39" t="str">
        <f t="shared" si="3"/>
        <v/>
      </c>
    </row>
    <row r="598" ht="15.75" customHeight="1">
      <c r="J598" s="39"/>
      <c r="M598" s="39" t="str">
        <f t="shared" si="3"/>
        <v/>
      </c>
    </row>
    <row r="599" ht="15.75" customHeight="1">
      <c r="J599" s="39"/>
      <c r="M599" s="39" t="str">
        <f t="shared" si="3"/>
        <v/>
      </c>
    </row>
    <row r="600" ht="15.75" customHeight="1">
      <c r="J600" s="39"/>
      <c r="M600" s="39" t="str">
        <f t="shared" si="3"/>
        <v/>
      </c>
    </row>
    <row r="601" ht="15.75" customHeight="1">
      <c r="J601" s="39"/>
      <c r="M601" s="39" t="str">
        <f t="shared" si="3"/>
        <v/>
      </c>
    </row>
    <row r="602" ht="15.75" customHeight="1">
      <c r="J602" s="39"/>
      <c r="M602" s="39" t="str">
        <f t="shared" si="3"/>
        <v/>
      </c>
    </row>
    <row r="603" ht="15.75" customHeight="1">
      <c r="J603" s="39"/>
      <c r="M603" s="39" t="str">
        <f t="shared" si="3"/>
        <v/>
      </c>
    </row>
    <row r="604" ht="15.75" customHeight="1">
      <c r="J604" s="39"/>
      <c r="M604" s="39" t="str">
        <f t="shared" si="3"/>
        <v/>
      </c>
    </row>
    <row r="605" ht="15.75" customHeight="1">
      <c r="J605" s="39"/>
      <c r="M605" s="39" t="str">
        <f t="shared" si="3"/>
        <v/>
      </c>
    </row>
    <row r="606" ht="15.75" customHeight="1">
      <c r="J606" s="39"/>
      <c r="M606" s="39" t="str">
        <f t="shared" si="3"/>
        <v/>
      </c>
    </row>
    <row r="607" ht="15.75" customHeight="1">
      <c r="J607" s="39"/>
      <c r="M607" s="39" t="str">
        <f t="shared" si="3"/>
        <v/>
      </c>
    </row>
    <row r="608" ht="15.75" customHeight="1">
      <c r="J608" s="39"/>
      <c r="M608" s="39" t="str">
        <f t="shared" si="3"/>
        <v/>
      </c>
    </row>
    <row r="609" ht="15.75" customHeight="1">
      <c r="J609" s="39"/>
      <c r="M609" s="39" t="str">
        <f t="shared" si="3"/>
        <v/>
      </c>
    </row>
    <row r="610" ht="15.75" customHeight="1">
      <c r="J610" s="39"/>
      <c r="M610" s="39" t="str">
        <f t="shared" si="3"/>
        <v/>
      </c>
    </row>
    <row r="611" ht="15.75" customHeight="1">
      <c r="J611" s="39"/>
      <c r="M611" s="39" t="str">
        <f t="shared" si="3"/>
        <v/>
      </c>
    </row>
    <row r="612" ht="15.75" customHeight="1">
      <c r="J612" s="39"/>
      <c r="M612" s="39" t="str">
        <f t="shared" si="3"/>
        <v/>
      </c>
    </row>
    <row r="613" ht="15.75" customHeight="1">
      <c r="J613" s="39"/>
      <c r="M613" s="39" t="str">
        <f t="shared" si="3"/>
        <v/>
      </c>
    </row>
    <row r="614" ht="15.75" customHeight="1">
      <c r="J614" s="39"/>
      <c r="M614" s="39" t="str">
        <f t="shared" si="3"/>
        <v/>
      </c>
    </row>
    <row r="615" ht="15.75" customHeight="1">
      <c r="J615" s="39"/>
      <c r="M615" s="39" t="str">
        <f t="shared" si="3"/>
        <v/>
      </c>
    </row>
    <row r="616" ht="15.75" customHeight="1">
      <c r="J616" s="39"/>
      <c r="M616" s="39" t="str">
        <f t="shared" si="3"/>
        <v/>
      </c>
    </row>
    <row r="617" ht="15.75" customHeight="1">
      <c r="J617" s="39"/>
      <c r="M617" s="39" t="str">
        <f t="shared" si="3"/>
        <v/>
      </c>
    </row>
    <row r="618" ht="15.75" customHeight="1">
      <c r="J618" s="39"/>
      <c r="M618" s="39" t="str">
        <f t="shared" si="3"/>
        <v/>
      </c>
    </row>
    <row r="619" ht="15.75" customHeight="1">
      <c r="J619" s="39"/>
      <c r="M619" s="39" t="str">
        <f t="shared" si="3"/>
        <v/>
      </c>
    </row>
    <row r="620" ht="15.75" customHeight="1">
      <c r="J620" s="39"/>
      <c r="M620" s="39" t="str">
        <f t="shared" si="3"/>
        <v/>
      </c>
    </row>
    <row r="621" ht="15.75" customHeight="1">
      <c r="J621" s="39"/>
      <c r="M621" s="39" t="str">
        <f t="shared" si="3"/>
        <v/>
      </c>
    </row>
    <row r="622" ht="15.75" customHeight="1">
      <c r="J622" s="39"/>
      <c r="M622" s="39" t="str">
        <f t="shared" si="3"/>
        <v/>
      </c>
    </row>
    <row r="623" ht="15.75" customHeight="1">
      <c r="J623" s="39"/>
      <c r="M623" s="39" t="str">
        <f t="shared" si="3"/>
        <v/>
      </c>
    </row>
    <row r="624" ht="15.75" customHeight="1">
      <c r="J624" s="39"/>
      <c r="M624" s="39" t="str">
        <f t="shared" si="3"/>
        <v/>
      </c>
    </row>
    <row r="625" ht="15.75" customHeight="1">
      <c r="J625" s="39"/>
      <c r="M625" s="39" t="str">
        <f t="shared" si="3"/>
        <v/>
      </c>
    </row>
    <row r="626" ht="15.75" customHeight="1">
      <c r="J626" s="39"/>
      <c r="M626" s="39" t="str">
        <f t="shared" si="3"/>
        <v/>
      </c>
    </row>
    <row r="627" ht="15.75" customHeight="1">
      <c r="J627" s="39"/>
      <c r="M627" s="39" t="str">
        <f t="shared" si="3"/>
        <v/>
      </c>
    </row>
    <row r="628" ht="15.75" customHeight="1">
      <c r="J628" s="39"/>
      <c r="M628" s="39" t="str">
        <f t="shared" si="3"/>
        <v/>
      </c>
    </row>
    <row r="629" ht="15.75" customHeight="1">
      <c r="J629" s="39"/>
      <c r="M629" s="39" t="str">
        <f t="shared" si="3"/>
        <v/>
      </c>
    </row>
    <row r="630" ht="15.75" customHeight="1">
      <c r="J630" s="39"/>
      <c r="M630" s="39" t="str">
        <f t="shared" si="3"/>
        <v/>
      </c>
    </row>
    <row r="631" ht="15.75" customHeight="1">
      <c r="J631" s="39"/>
      <c r="M631" s="39" t="str">
        <f t="shared" si="3"/>
        <v/>
      </c>
    </row>
    <row r="632" ht="15.75" customHeight="1">
      <c r="J632" s="39"/>
      <c r="M632" s="39" t="str">
        <f t="shared" si="3"/>
        <v/>
      </c>
    </row>
    <row r="633" ht="15.75" customHeight="1">
      <c r="J633" s="39"/>
      <c r="M633" s="39" t="str">
        <f t="shared" si="3"/>
        <v/>
      </c>
    </row>
    <row r="634" ht="15.75" customHeight="1">
      <c r="J634" s="39"/>
      <c r="M634" s="39" t="str">
        <f t="shared" si="3"/>
        <v/>
      </c>
    </row>
    <row r="635" ht="15.75" customHeight="1">
      <c r="J635" s="39"/>
      <c r="M635" s="39" t="str">
        <f t="shared" si="3"/>
        <v/>
      </c>
    </row>
    <row r="636" ht="15.75" customHeight="1">
      <c r="J636" s="39"/>
      <c r="M636" s="39" t="str">
        <f t="shared" si="3"/>
        <v/>
      </c>
    </row>
    <row r="637" ht="15.75" customHeight="1">
      <c r="J637" s="39"/>
      <c r="M637" s="39" t="str">
        <f t="shared" si="3"/>
        <v/>
      </c>
    </row>
    <row r="638" ht="15.75" customHeight="1">
      <c r="J638" s="39"/>
      <c r="M638" s="39" t="str">
        <f t="shared" si="3"/>
        <v/>
      </c>
    </row>
    <row r="639" ht="15.75" customHeight="1">
      <c r="J639" s="39"/>
      <c r="M639" s="39" t="str">
        <f t="shared" si="3"/>
        <v/>
      </c>
    </row>
    <row r="640" ht="15.75" customHeight="1">
      <c r="J640" s="39"/>
      <c r="M640" s="39" t="str">
        <f t="shared" si="3"/>
        <v/>
      </c>
    </row>
    <row r="641" ht="15.75" customHeight="1">
      <c r="J641" s="39"/>
      <c r="M641" s="39" t="str">
        <f t="shared" si="3"/>
        <v/>
      </c>
    </row>
    <row r="642" ht="15.75" customHeight="1">
      <c r="J642" s="39"/>
      <c r="M642" s="39" t="str">
        <f t="shared" si="3"/>
        <v/>
      </c>
    </row>
    <row r="643" ht="15.75" customHeight="1">
      <c r="J643" s="39"/>
      <c r="M643" s="39" t="str">
        <f t="shared" si="3"/>
        <v/>
      </c>
    </row>
    <row r="644" ht="15.75" customHeight="1">
      <c r="J644" s="39"/>
      <c r="M644" s="39" t="str">
        <f t="shared" si="3"/>
        <v/>
      </c>
    </row>
    <row r="645" ht="15.75" customHeight="1">
      <c r="J645" s="39"/>
      <c r="M645" s="39" t="str">
        <f t="shared" si="3"/>
        <v/>
      </c>
    </row>
    <row r="646" ht="15.75" customHeight="1">
      <c r="J646" s="39"/>
      <c r="M646" s="39" t="str">
        <f t="shared" si="3"/>
        <v/>
      </c>
    </row>
    <row r="647" ht="15.75" customHeight="1">
      <c r="J647" s="39"/>
      <c r="M647" s="39" t="str">
        <f t="shared" si="3"/>
        <v/>
      </c>
    </row>
    <row r="648" ht="15.75" customHeight="1">
      <c r="J648" s="39"/>
      <c r="M648" s="39" t="str">
        <f t="shared" si="3"/>
        <v/>
      </c>
    </row>
    <row r="649" ht="15.75" customHeight="1">
      <c r="J649" s="39"/>
      <c r="M649" s="39" t="str">
        <f t="shared" si="3"/>
        <v/>
      </c>
    </row>
    <row r="650" ht="15.75" customHeight="1">
      <c r="J650" s="39"/>
      <c r="M650" s="39" t="str">
        <f t="shared" si="3"/>
        <v/>
      </c>
    </row>
    <row r="651" ht="15.75" customHeight="1">
      <c r="J651" s="39"/>
      <c r="M651" s="39" t="str">
        <f t="shared" si="3"/>
        <v/>
      </c>
    </row>
    <row r="652" ht="15.75" customHeight="1">
      <c r="J652" s="39"/>
      <c r="M652" s="39" t="str">
        <f t="shared" si="3"/>
        <v/>
      </c>
    </row>
    <row r="653" ht="15.75" customHeight="1">
      <c r="J653" s="39"/>
      <c r="M653" s="39" t="str">
        <f t="shared" si="3"/>
        <v/>
      </c>
    </row>
    <row r="654" ht="15.75" customHeight="1">
      <c r="J654" s="39"/>
      <c r="M654" s="39" t="str">
        <f t="shared" si="3"/>
        <v/>
      </c>
    </row>
    <row r="655" ht="15.75" customHeight="1">
      <c r="J655" s="39"/>
      <c r="M655" s="39" t="str">
        <f t="shared" si="3"/>
        <v/>
      </c>
    </row>
    <row r="656" ht="15.75" customHeight="1">
      <c r="J656" s="39"/>
      <c r="M656" s="39" t="str">
        <f t="shared" si="3"/>
        <v/>
      </c>
    </row>
    <row r="657" ht="15.75" customHeight="1">
      <c r="J657" s="39"/>
      <c r="M657" s="39" t="str">
        <f t="shared" si="3"/>
        <v/>
      </c>
    </row>
    <row r="658" ht="15.75" customHeight="1">
      <c r="J658" s="39"/>
      <c r="M658" s="39" t="str">
        <f t="shared" si="3"/>
        <v/>
      </c>
    </row>
    <row r="659" ht="15.75" customHeight="1">
      <c r="J659" s="39"/>
      <c r="M659" s="39" t="str">
        <f t="shared" si="3"/>
        <v/>
      </c>
    </row>
    <row r="660" ht="15.75" customHeight="1">
      <c r="J660" s="39"/>
      <c r="M660" s="39" t="str">
        <f t="shared" si="3"/>
        <v/>
      </c>
    </row>
    <row r="661" ht="15.75" customHeight="1">
      <c r="J661" s="39"/>
      <c r="M661" s="39" t="str">
        <f t="shared" si="3"/>
        <v/>
      </c>
    </row>
    <row r="662" ht="15.75" customHeight="1">
      <c r="J662" s="39"/>
      <c r="M662" s="39" t="str">
        <f t="shared" si="3"/>
        <v/>
      </c>
    </row>
    <row r="663" ht="15.75" customHeight="1">
      <c r="J663" s="39"/>
      <c r="M663" s="39" t="str">
        <f t="shared" si="3"/>
        <v/>
      </c>
    </row>
    <row r="664" ht="15.75" customHeight="1">
      <c r="J664" s="39"/>
      <c r="M664" s="39" t="str">
        <f t="shared" si="3"/>
        <v/>
      </c>
    </row>
    <row r="665" ht="15.75" customHeight="1">
      <c r="J665" s="39"/>
      <c r="M665" s="39" t="str">
        <f t="shared" si="3"/>
        <v/>
      </c>
    </row>
    <row r="666" ht="15.75" customHeight="1">
      <c r="J666" s="39"/>
      <c r="M666" s="39" t="str">
        <f t="shared" si="3"/>
        <v/>
      </c>
    </row>
    <row r="667" ht="15.75" customHeight="1">
      <c r="J667" s="39"/>
      <c r="M667" s="39" t="str">
        <f t="shared" si="3"/>
        <v/>
      </c>
    </row>
    <row r="668" ht="15.75" customHeight="1">
      <c r="J668" s="39"/>
      <c r="M668" s="39" t="str">
        <f t="shared" si="3"/>
        <v/>
      </c>
    </row>
    <row r="669" ht="15.75" customHeight="1">
      <c r="J669" s="39"/>
      <c r="M669" s="39" t="str">
        <f t="shared" si="3"/>
        <v/>
      </c>
    </row>
    <row r="670" ht="15.75" customHeight="1">
      <c r="J670" s="39"/>
      <c r="M670" s="39" t="str">
        <f t="shared" si="3"/>
        <v/>
      </c>
    </row>
    <row r="671" ht="15.75" customHeight="1">
      <c r="J671" s="39"/>
      <c r="M671" s="39" t="str">
        <f t="shared" si="3"/>
        <v/>
      </c>
    </row>
    <row r="672" ht="15.75" customHeight="1">
      <c r="J672" s="39"/>
      <c r="M672" s="39" t="str">
        <f t="shared" si="3"/>
        <v/>
      </c>
    </row>
    <row r="673" ht="15.75" customHeight="1">
      <c r="J673" s="39"/>
      <c r="M673" s="39" t="str">
        <f t="shared" si="3"/>
        <v/>
      </c>
    </row>
    <row r="674" ht="15.75" customHeight="1">
      <c r="J674" s="39"/>
      <c r="M674" s="39" t="str">
        <f t="shared" si="3"/>
        <v/>
      </c>
    </row>
    <row r="675" ht="15.75" customHeight="1">
      <c r="J675" s="39"/>
      <c r="M675" s="39" t="str">
        <f t="shared" si="3"/>
        <v/>
      </c>
    </row>
    <row r="676" ht="15.75" customHeight="1">
      <c r="J676" s="39"/>
      <c r="M676" s="39" t="str">
        <f t="shared" si="3"/>
        <v/>
      </c>
    </row>
    <row r="677" ht="15.75" customHeight="1">
      <c r="J677" s="39"/>
      <c r="M677" s="39" t="str">
        <f t="shared" si="3"/>
        <v/>
      </c>
    </row>
    <row r="678" ht="15.75" customHeight="1">
      <c r="J678" s="39"/>
      <c r="M678" s="39" t="str">
        <f t="shared" si="3"/>
        <v/>
      </c>
    </row>
    <row r="679" ht="15.75" customHeight="1">
      <c r="J679" s="39"/>
      <c r="M679" s="39" t="str">
        <f t="shared" si="3"/>
        <v/>
      </c>
    </row>
    <row r="680" ht="15.75" customHeight="1">
      <c r="J680" s="39"/>
      <c r="M680" s="39" t="str">
        <f t="shared" si="3"/>
        <v/>
      </c>
    </row>
    <row r="681" ht="15.75" customHeight="1">
      <c r="J681" s="39"/>
      <c r="M681" s="39" t="str">
        <f t="shared" si="3"/>
        <v/>
      </c>
    </row>
    <row r="682" ht="15.75" customHeight="1">
      <c r="J682" s="39"/>
      <c r="M682" s="39" t="str">
        <f t="shared" si="3"/>
        <v/>
      </c>
    </row>
    <row r="683" ht="15.75" customHeight="1">
      <c r="J683" s="39"/>
      <c r="M683" s="39" t="str">
        <f t="shared" si="3"/>
        <v/>
      </c>
    </row>
    <row r="684" ht="15.75" customHeight="1">
      <c r="J684" s="39"/>
      <c r="M684" s="39" t="str">
        <f t="shared" si="3"/>
        <v/>
      </c>
    </row>
    <row r="685" ht="15.75" customHeight="1">
      <c r="J685" s="39"/>
      <c r="M685" s="39" t="str">
        <f t="shared" si="3"/>
        <v/>
      </c>
    </row>
    <row r="686" ht="15.75" customHeight="1">
      <c r="J686" s="39"/>
      <c r="M686" s="39" t="str">
        <f t="shared" si="3"/>
        <v/>
      </c>
    </row>
    <row r="687" ht="15.75" customHeight="1">
      <c r="J687" s="39"/>
      <c r="M687" s="39" t="str">
        <f t="shared" si="3"/>
        <v/>
      </c>
    </row>
    <row r="688" ht="15.75" customHeight="1">
      <c r="J688" s="39"/>
      <c r="M688" s="39" t="str">
        <f t="shared" si="3"/>
        <v/>
      </c>
    </row>
    <row r="689" ht="15.75" customHeight="1">
      <c r="J689" s="39"/>
      <c r="M689" s="39" t="str">
        <f t="shared" si="3"/>
        <v/>
      </c>
    </row>
    <row r="690" ht="15.75" customHeight="1">
      <c r="J690" s="39"/>
      <c r="M690" s="39" t="str">
        <f t="shared" si="3"/>
        <v/>
      </c>
    </row>
    <row r="691" ht="15.75" customHeight="1">
      <c r="J691" s="39"/>
      <c r="M691" s="39" t="str">
        <f t="shared" si="3"/>
        <v/>
      </c>
    </row>
    <row r="692" ht="15.75" customHeight="1">
      <c r="J692" s="39"/>
      <c r="M692" s="39" t="str">
        <f t="shared" si="3"/>
        <v/>
      </c>
    </row>
    <row r="693" ht="15.75" customHeight="1">
      <c r="J693" s="39"/>
      <c r="M693" s="39" t="str">
        <f t="shared" si="3"/>
        <v/>
      </c>
    </row>
    <row r="694" ht="15.75" customHeight="1">
      <c r="J694" s="39"/>
      <c r="M694" s="39" t="str">
        <f t="shared" si="3"/>
        <v/>
      </c>
    </row>
    <row r="695" ht="15.75" customHeight="1">
      <c r="J695" s="39"/>
      <c r="M695" s="39" t="str">
        <f t="shared" si="3"/>
        <v/>
      </c>
    </row>
    <row r="696" ht="15.75" customHeight="1">
      <c r="J696" s="39"/>
      <c r="M696" s="39" t="str">
        <f t="shared" si="3"/>
        <v/>
      </c>
    </row>
    <row r="697" ht="15.75" customHeight="1">
      <c r="J697" s="39"/>
      <c r="M697" s="39" t="str">
        <f t="shared" si="3"/>
        <v/>
      </c>
    </row>
    <row r="698" ht="15.75" customHeight="1">
      <c r="J698" s="39"/>
      <c r="M698" s="39" t="str">
        <f t="shared" si="3"/>
        <v/>
      </c>
    </row>
    <row r="699" ht="15.75" customHeight="1">
      <c r="J699" s="39"/>
      <c r="M699" s="39" t="str">
        <f t="shared" si="3"/>
        <v/>
      </c>
    </row>
    <row r="700" ht="15.75" customHeight="1">
      <c r="J700" s="39"/>
      <c r="M700" s="39" t="str">
        <f t="shared" si="3"/>
        <v/>
      </c>
    </row>
    <row r="701" ht="15.75" customHeight="1">
      <c r="J701" s="39"/>
      <c r="M701" s="39" t="str">
        <f t="shared" si="3"/>
        <v/>
      </c>
    </row>
    <row r="702" ht="15.75" customHeight="1">
      <c r="J702" s="39"/>
      <c r="M702" s="39" t="str">
        <f t="shared" si="3"/>
        <v/>
      </c>
    </row>
    <row r="703" ht="15.75" customHeight="1">
      <c r="J703" s="39"/>
      <c r="M703" s="39" t="str">
        <f t="shared" si="3"/>
        <v/>
      </c>
    </row>
    <row r="704" ht="15.75" customHeight="1">
      <c r="J704" s="39"/>
      <c r="M704" s="39" t="str">
        <f t="shared" si="3"/>
        <v/>
      </c>
    </row>
    <row r="705" ht="15.75" customHeight="1">
      <c r="J705" s="39"/>
      <c r="M705" s="39" t="str">
        <f t="shared" si="3"/>
        <v/>
      </c>
    </row>
    <row r="706" ht="15.75" customHeight="1">
      <c r="J706" s="39"/>
      <c r="M706" s="39" t="str">
        <f t="shared" si="3"/>
        <v/>
      </c>
    </row>
    <row r="707" ht="15.75" customHeight="1">
      <c r="J707" s="39"/>
      <c r="M707" s="39" t="str">
        <f t="shared" si="3"/>
        <v/>
      </c>
    </row>
    <row r="708" ht="15.75" customHeight="1">
      <c r="J708" s="39"/>
      <c r="M708" s="39" t="str">
        <f t="shared" si="3"/>
        <v/>
      </c>
    </row>
    <row r="709" ht="15.75" customHeight="1">
      <c r="J709" s="39"/>
      <c r="M709" s="39" t="str">
        <f t="shared" si="3"/>
        <v/>
      </c>
    </row>
    <row r="710" ht="15.75" customHeight="1">
      <c r="J710" s="39"/>
      <c r="M710" s="39" t="str">
        <f t="shared" si="3"/>
        <v/>
      </c>
    </row>
    <row r="711" ht="15.75" customHeight="1">
      <c r="J711" s="39"/>
      <c r="M711" s="39" t="str">
        <f t="shared" si="3"/>
        <v/>
      </c>
    </row>
    <row r="712" ht="15.75" customHeight="1">
      <c r="J712" s="39"/>
      <c r="M712" s="39" t="str">
        <f t="shared" si="3"/>
        <v/>
      </c>
    </row>
    <row r="713" ht="15.75" customHeight="1">
      <c r="J713" s="39"/>
      <c r="M713" s="39" t="str">
        <f t="shared" si="3"/>
        <v/>
      </c>
    </row>
    <row r="714" ht="15.75" customHeight="1">
      <c r="J714" s="39"/>
      <c r="M714" s="39" t="str">
        <f t="shared" si="3"/>
        <v/>
      </c>
    </row>
    <row r="715" ht="15.75" customHeight="1">
      <c r="J715" s="39"/>
      <c r="M715" s="39" t="str">
        <f t="shared" si="3"/>
        <v/>
      </c>
    </row>
    <row r="716" ht="15.75" customHeight="1">
      <c r="J716" s="39"/>
      <c r="M716" s="39" t="str">
        <f t="shared" si="3"/>
        <v/>
      </c>
    </row>
    <row r="717" ht="15.75" customHeight="1">
      <c r="J717" s="39"/>
      <c r="M717" s="39" t="str">
        <f t="shared" si="3"/>
        <v/>
      </c>
    </row>
    <row r="718" ht="15.75" customHeight="1">
      <c r="J718" s="39"/>
      <c r="M718" s="39" t="str">
        <f t="shared" si="3"/>
        <v/>
      </c>
    </row>
    <row r="719" ht="15.75" customHeight="1">
      <c r="J719" s="39"/>
      <c r="M719" s="39" t="str">
        <f t="shared" si="3"/>
        <v/>
      </c>
    </row>
    <row r="720" ht="15.75" customHeight="1">
      <c r="J720" s="39"/>
      <c r="M720" s="39" t="str">
        <f t="shared" si="3"/>
        <v/>
      </c>
    </row>
    <row r="721" ht="15.75" customHeight="1">
      <c r="J721" s="39"/>
      <c r="M721" s="39" t="str">
        <f t="shared" si="3"/>
        <v/>
      </c>
    </row>
    <row r="722" ht="15.75" customHeight="1">
      <c r="J722" s="39"/>
      <c r="M722" s="39" t="str">
        <f t="shared" si="3"/>
        <v/>
      </c>
    </row>
    <row r="723" ht="15.75" customHeight="1">
      <c r="J723" s="39"/>
      <c r="M723" s="39" t="str">
        <f t="shared" si="3"/>
        <v/>
      </c>
    </row>
    <row r="724" ht="15.75" customHeight="1">
      <c r="J724" s="39"/>
      <c r="M724" s="39" t="str">
        <f t="shared" si="3"/>
        <v/>
      </c>
    </row>
    <row r="725" ht="15.75" customHeight="1">
      <c r="J725" s="39"/>
      <c r="M725" s="39" t="str">
        <f t="shared" si="3"/>
        <v/>
      </c>
    </row>
    <row r="726" ht="15.75" customHeight="1">
      <c r="J726" s="39"/>
      <c r="M726" s="39" t="str">
        <f t="shared" si="3"/>
        <v/>
      </c>
    </row>
    <row r="727" ht="15.75" customHeight="1">
      <c r="J727" s="39"/>
      <c r="M727" s="39" t="str">
        <f t="shared" si="3"/>
        <v/>
      </c>
    </row>
    <row r="728" ht="15.75" customHeight="1">
      <c r="J728" s="39"/>
      <c r="M728" s="39" t="str">
        <f t="shared" si="3"/>
        <v/>
      </c>
    </row>
    <row r="729" ht="15.75" customHeight="1">
      <c r="J729" s="39"/>
      <c r="M729" s="39" t="str">
        <f t="shared" si="3"/>
        <v/>
      </c>
    </row>
    <row r="730" ht="15.75" customHeight="1">
      <c r="J730" s="39"/>
      <c r="M730" s="39" t="str">
        <f t="shared" si="3"/>
        <v/>
      </c>
    </row>
    <row r="731" ht="15.75" customHeight="1">
      <c r="J731" s="39"/>
      <c r="M731" s="39" t="str">
        <f t="shared" si="3"/>
        <v/>
      </c>
    </row>
    <row r="732" ht="15.75" customHeight="1">
      <c r="J732" s="39"/>
      <c r="M732" s="39" t="str">
        <f t="shared" si="3"/>
        <v/>
      </c>
    </row>
    <row r="733" ht="15.75" customHeight="1">
      <c r="J733" s="39"/>
      <c r="M733" s="39" t="str">
        <f t="shared" si="3"/>
        <v/>
      </c>
    </row>
    <row r="734" ht="15.75" customHeight="1">
      <c r="J734" s="39"/>
      <c r="M734" s="39" t="str">
        <f t="shared" si="3"/>
        <v/>
      </c>
    </row>
    <row r="735" ht="15.75" customHeight="1">
      <c r="J735" s="39"/>
      <c r="M735" s="39" t="str">
        <f t="shared" si="3"/>
        <v/>
      </c>
    </row>
    <row r="736" ht="15.75" customHeight="1">
      <c r="J736" s="39"/>
      <c r="M736" s="39" t="str">
        <f t="shared" si="3"/>
        <v/>
      </c>
    </row>
    <row r="737" ht="15.75" customHeight="1">
      <c r="J737" s="39"/>
      <c r="M737" s="39" t="str">
        <f t="shared" si="3"/>
        <v/>
      </c>
    </row>
    <row r="738" ht="15.75" customHeight="1">
      <c r="J738" s="39"/>
      <c r="M738" s="39" t="str">
        <f t="shared" si="3"/>
        <v/>
      </c>
    </row>
    <row r="739" ht="15.75" customHeight="1">
      <c r="J739" s="39"/>
      <c r="M739" s="39" t="str">
        <f t="shared" si="3"/>
        <v/>
      </c>
    </row>
    <row r="740" ht="15.75" customHeight="1">
      <c r="J740" s="39"/>
      <c r="M740" s="39" t="str">
        <f t="shared" si="3"/>
        <v/>
      </c>
    </row>
    <row r="741" ht="15.75" customHeight="1">
      <c r="J741" s="39"/>
      <c r="M741" s="39" t="str">
        <f t="shared" si="3"/>
        <v/>
      </c>
    </row>
    <row r="742" ht="15.75" customHeight="1">
      <c r="J742" s="39"/>
      <c r="M742" s="39" t="str">
        <f t="shared" si="3"/>
        <v/>
      </c>
    </row>
    <row r="743" ht="15.75" customHeight="1">
      <c r="J743" s="39"/>
      <c r="M743" s="39" t="str">
        <f t="shared" si="3"/>
        <v/>
      </c>
    </row>
    <row r="744" ht="15.75" customHeight="1">
      <c r="J744" s="39"/>
      <c r="M744" s="39" t="str">
        <f t="shared" si="3"/>
        <v/>
      </c>
    </row>
    <row r="745" ht="15.75" customHeight="1">
      <c r="J745" s="39"/>
      <c r="M745" s="39" t="str">
        <f t="shared" si="3"/>
        <v/>
      </c>
    </row>
    <row r="746" ht="15.75" customHeight="1">
      <c r="J746" s="39"/>
      <c r="M746" s="39" t="str">
        <f t="shared" si="3"/>
        <v/>
      </c>
    </row>
    <row r="747" ht="15.75" customHeight="1">
      <c r="J747" s="39"/>
      <c r="M747" s="39" t="str">
        <f t="shared" si="3"/>
        <v/>
      </c>
    </row>
    <row r="748" ht="15.75" customHeight="1">
      <c r="J748" s="39"/>
      <c r="M748" s="39" t="str">
        <f t="shared" si="3"/>
        <v/>
      </c>
    </row>
    <row r="749" ht="15.75" customHeight="1">
      <c r="J749" s="39"/>
      <c r="M749" s="39" t="str">
        <f t="shared" si="3"/>
        <v/>
      </c>
    </row>
    <row r="750" ht="15.75" customHeight="1">
      <c r="J750" s="39"/>
      <c r="M750" s="39" t="str">
        <f t="shared" si="3"/>
        <v/>
      </c>
    </row>
    <row r="751" ht="15.75" customHeight="1">
      <c r="J751" s="39"/>
      <c r="M751" s="39" t="str">
        <f t="shared" si="3"/>
        <v/>
      </c>
    </row>
    <row r="752" ht="15.75" customHeight="1">
      <c r="J752" s="39"/>
      <c r="M752" s="39" t="str">
        <f t="shared" si="3"/>
        <v/>
      </c>
    </row>
    <row r="753" ht="15.75" customHeight="1">
      <c r="J753" s="39"/>
      <c r="M753" s="39" t="str">
        <f t="shared" si="3"/>
        <v/>
      </c>
    </row>
    <row r="754" ht="15.75" customHeight="1">
      <c r="J754" s="39"/>
      <c r="M754" s="39" t="str">
        <f t="shared" si="3"/>
        <v/>
      </c>
    </row>
    <row r="755" ht="15.75" customHeight="1">
      <c r="J755" s="39"/>
      <c r="M755" s="39" t="str">
        <f t="shared" si="3"/>
        <v/>
      </c>
    </row>
    <row r="756" ht="15.75" customHeight="1">
      <c r="J756" s="39"/>
      <c r="M756" s="39" t="str">
        <f t="shared" si="3"/>
        <v/>
      </c>
    </row>
    <row r="757" ht="15.75" customHeight="1">
      <c r="J757" s="39"/>
      <c r="M757" s="39" t="str">
        <f t="shared" si="3"/>
        <v/>
      </c>
    </row>
    <row r="758" ht="15.75" customHeight="1">
      <c r="J758" s="39"/>
      <c r="M758" s="39" t="str">
        <f t="shared" si="3"/>
        <v/>
      </c>
    </row>
    <row r="759" ht="15.75" customHeight="1">
      <c r="J759" s="39"/>
      <c r="M759" s="39" t="str">
        <f t="shared" si="3"/>
        <v/>
      </c>
    </row>
    <row r="760" ht="15.75" customHeight="1">
      <c r="J760" s="39"/>
      <c r="M760" s="39" t="str">
        <f t="shared" si="3"/>
        <v/>
      </c>
    </row>
    <row r="761" ht="15.75" customHeight="1">
      <c r="J761" s="39"/>
      <c r="M761" s="39" t="str">
        <f t="shared" si="3"/>
        <v/>
      </c>
    </row>
    <row r="762" ht="15.75" customHeight="1">
      <c r="J762" s="39"/>
      <c r="M762" s="39" t="str">
        <f t="shared" si="3"/>
        <v/>
      </c>
    </row>
    <row r="763" ht="15.75" customHeight="1">
      <c r="J763" s="39"/>
      <c r="M763" s="39" t="str">
        <f t="shared" si="3"/>
        <v/>
      </c>
    </row>
    <row r="764" ht="15.75" customHeight="1">
      <c r="J764" s="39"/>
      <c r="M764" s="39" t="str">
        <f t="shared" si="3"/>
        <v/>
      </c>
    </row>
    <row r="765" ht="15.75" customHeight="1">
      <c r="J765" s="39"/>
      <c r="M765" s="39" t="str">
        <f t="shared" si="3"/>
        <v/>
      </c>
    </row>
    <row r="766" ht="15.75" customHeight="1">
      <c r="J766" s="39"/>
      <c r="M766" s="39" t="str">
        <f t="shared" si="3"/>
        <v/>
      </c>
    </row>
    <row r="767" ht="15.75" customHeight="1">
      <c r="J767" s="39"/>
      <c r="M767" s="39" t="str">
        <f t="shared" si="3"/>
        <v/>
      </c>
    </row>
    <row r="768" ht="15.75" customHeight="1">
      <c r="J768" s="39"/>
      <c r="M768" s="39" t="str">
        <f t="shared" si="3"/>
        <v/>
      </c>
    </row>
    <row r="769" ht="15.75" customHeight="1">
      <c r="J769" s="39"/>
      <c r="M769" s="39" t="str">
        <f t="shared" si="3"/>
        <v/>
      </c>
    </row>
    <row r="770" ht="15.75" customHeight="1">
      <c r="J770" s="39"/>
      <c r="M770" s="39" t="str">
        <f t="shared" si="3"/>
        <v/>
      </c>
    </row>
    <row r="771" ht="15.75" customHeight="1">
      <c r="J771" s="39"/>
      <c r="M771" s="39" t="str">
        <f t="shared" si="3"/>
        <v/>
      </c>
    </row>
    <row r="772" ht="15.75" customHeight="1">
      <c r="J772" s="39"/>
      <c r="M772" s="39" t="str">
        <f t="shared" si="3"/>
        <v/>
      </c>
    </row>
    <row r="773" ht="15.75" customHeight="1">
      <c r="J773" s="39"/>
      <c r="M773" s="39" t="str">
        <f t="shared" si="3"/>
        <v/>
      </c>
    </row>
    <row r="774" ht="15.75" customHeight="1">
      <c r="J774" s="39"/>
      <c r="M774" s="39" t="str">
        <f t="shared" si="3"/>
        <v/>
      </c>
    </row>
    <row r="775" ht="15.75" customHeight="1">
      <c r="J775" s="39"/>
      <c r="M775" s="39" t="str">
        <f t="shared" si="3"/>
        <v/>
      </c>
    </row>
    <row r="776" ht="15.75" customHeight="1">
      <c r="J776" s="39"/>
      <c r="M776" s="39" t="str">
        <f t="shared" si="3"/>
        <v/>
      </c>
    </row>
    <row r="777" ht="15.75" customHeight="1">
      <c r="J777" s="39"/>
      <c r="M777" s="39" t="str">
        <f t="shared" si="3"/>
        <v/>
      </c>
    </row>
    <row r="778" ht="15.75" customHeight="1">
      <c r="J778" s="39"/>
      <c r="M778" s="39" t="str">
        <f t="shared" si="3"/>
        <v/>
      </c>
    </row>
    <row r="779" ht="15.75" customHeight="1">
      <c r="J779" s="39"/>
      <c r="M779" s="39" t="str">
        <f t="shared" si="3"/>
        <v/>
      </c>
    </row>
    <row r="780" ht="15.75" customHeight="1">
      <c r="J780" s="39"/>
      <c r="M780" s="39" t="str">
        <f t="shared" si="3"/>
        <v/>
      </c>
    </row>
    <row r="781" ht="15.75" customHeight="1">
      <c r="J781" s="39"/>
      <c r="M781" s="39" t="str">
        <f t="shared" si="3"/>
        <v/>
      </c>
    </row>
    <row r="782" ht="15.75" customHeight="1">
      <c r="J782" s="39"/>
      <c r="M782" s="39" t="str">
        <f t="shared" si="3"/>
        <v/>
      </c>
    </row>
    <row r="783" ht="15.75" customHeight="1">
      <c r="J783" s="39"/>
      <c r="M783" s="39" t="str">
        <f t="shared" si="3"/>
        <v/>
      </c>
    </row>
    <row r="784" ht="15.75" customHeight="1">
      <c r="J784" s="39"/>
      <c r="M784" s="39" t="str">
        <f t="shared" si="3"/>
        <v/>
      </c>
    </row>
    <row r="785" ht="15.75" customHeight="1">
      <c r="J785" s="39"/>
      <c r="M785" s="39" t="str">
        <f t="shared" si="3"/>
        <v/>
      </c>
    </row>
    <row r="786" ht="15.75" customHeight="1">
      <c r="J786" s="39"/>
      <c r="M786" s="39" t="str">
        <f t="shared" si="3"/>
        <v/>
      </c>
    </row>
    <row r="787" ht="15.75" customHeight="1">
      <c r="J787" s="39"/>
      <c r="M787" s="39" t="str">
        <f t="shared" si="3"/>
        <v/>
      </c>
    </row>
    <row r="788" ht="15.75" customHeight="1">
      <c r="J788" s="39"/>
      <c r="M788" s="39" t="str">
        <f t="shared" si="3"/>
        <v/>
      </c>
    </row>
    <row r="789" ht="15.75" customHeight="1">
      <c r="J789" s="39"/>
      <c r="M789" s="39" t="str">
        <f t="shared" si="3"/>
        <v/>
      </c>
    </row>
    <row r="790" ht="15.75" customHeight="1">
      <c r="J790" s="39"/>
      <c r="M790" s="39" t="str">
        <f t="shared" si="3"/>
        <v/>
      </c>
    </row>
    <row r="791" ht="15.75" customHeight="1">
      <c r="J791" s="39"/>
      <c r="M791" s="39" t="str">
        <f t="shared" si="3"/>
        <v/>
      </c>
    </row>
    <row r="792" ht="15.75" customHeight="1">
      <c r="J792" s="39"/>
      <c r="M792" s="39" t="str">
        <f t="shared" si="3"/>
        <v/>
      </c>
    </row>
    <row r="793" ht="15.75" customHeight="1">
      <c r="J793" s="39"/>
      <c r="M793" s="39" t="str">
        <f t="shared" si="3"/>
        <v/>
      </c>
    </row>
    <row r="794" ht="15.75" customHeight="1">
      <c r="J794" s="39"/>
      <c r="M794" s="39" t="str">
        <f t="shared" si="3"/>
        <v/>
      </c>
    </row>
    <row r="795" ht="15.75" customHeight="1">
      <c r="J795" s="39"/>
      <c r="M795" s="39" t="str">
        <f t="shared" si="3"/>
        <v/>
      </c>
    </row>
    <row r="796" ht="15.75" customHeight="1">
      <c r="J796" s="39"/>
      <c r="M796" s="39" t="str">
        <f t="shared" si="3"/>
        <v/>
      </c>
    </row>
    <row r="797" ht="15.75" customHeight="1">
      <c r="J797" s="39"/>
      <c r="M797" s="39" t="str">
        <f t="shared" si="3"/>
        <v/>
      </c>
    </row>
    <row r="798" ht="15.75" customHeight="1">
      <c r="J798" s="39"/>
      <c r="M798" s="39" t="str">
        <f t="shared" si="3"/>
        <v/>
      </c>
    </row>
    <row r="799" ht="15.75" customHeight="1">
      <c r="J799" s="39"/>
      <c r="M799" s="39" t="str">
        <f t="shared" si="3"/>
        <v/>
      </c>
    </row>
    <row r="800" ht="15.75" customHeight="1">
      <c r="J800" s="39"/>
      <c r="M800" s="39" t="str">
        <f t="shared" si="3"/>
        <v/>
      </c>
    </row>
    <row r="801" ht="15.75" customHeight="1">
      <c r="J801" s="39"/>
      <c r="M801" s="39" t="str">
        <f t="shared" si="3"/>
        <v/>
      </c>
    </row>
    <row r="802" ht="15.75" customHeight="1">
      <c r="J802" s="39"/>
      <c r="M802" s="39" t="str">
        <f t="shared" si="3"/>
        <v/>
      </c>
    </row>
    <row r="803" ht="15.75" customHeight="1">
      <c r="J803" s="39"/>
      <c r="M803" s="39" t="str">
        <f t="shared" si="3"/>
        <v/>
      </c>
    </row>
    <row r="804" ht="15.75" customHeight="1">
      <c r="J804" s="39"/>
      <c r="M804" s="39" t="str">
        <f t="shared" si="3"/>
        <v/>
      </c>
    </row>
    <row r="805" ht="15.75" customHeight="1">
      <c r="J805" s="39"/>
      <c r="M805" s="39" t="str">
        <f t="shared" si="3"/>
        <v/>
      </c>
    </row>
    <row r="806" ht="15.75" customHeight="1">
      <c r="J806" s="39"/>
      <c r="M806" s="39" t="str">
        <f t="shared" si="3"/>
        <v/>
      </c>
    </row>
    <row r="807" ht="15.75" customHeight="1">
      <c r="J807" s="39"/>
      <c r="M807" s="39" t="str">
        <f t="shared" si="3"/>
        <v/>
      </c>
    </row>
    <row r="808" ht="15.75" customHeight="1">
      <c r="J808" s="39"/>
      <c r="M808" s="39" t="str">
        <f t="shared" si="3"/>
        <v/>
      </c>
    </row>
    <row r="809" ht="15.75" customHeight="1">
      <c r="J809" s="39"/>
      <c r="M809" s="39" t="str">
        <f t="shared" si="3"/>
        <v/>
      </c>
    </row>
    <row r="810" ht="15.75" customHeight="1">
      <c r="J810" s="39"/>
      <c r="M810" s="39" t="str">
        <f t="shared" si="3"/>
        <v/>
      </c>
    </row>
    <row r="811" ht="15.75" customHeight="1">
      <c r="J811" s="39"/>
      <c r="M811" s="39" t="str">
        <f t="shared" si="3"/>
        <v/>
      </c>
    </row>
    <row r="812" ht="15.75" customHeight="1">
      <c r="J812" s="39"/>
      <c r="M812" s="39" t="str">
        <f t="shared" si="3"/>
        <v/>
      </c>
    </row>
    <row r="813" ht="15.75" customHeight="1">
      <c r="J813" s="39"/>
      <c r="M813" s="39" t="str">
        <f t="shared" si="3"/>
        <v/>
      </c>
    </row>
    <row r="814" ht="15.75" customHeight="1">
      <c r="J814" s="39"/>
      <c r="M814" s="39" t="str">
        <f t="shared" si="3"/>
        <v/>
      </c>
    </row>
    <row r="815" ht="15.75" customHeight="1">
      <c r="J815" s="39"/>
      <c r="M815" s="39" t="str">
        <f t="shared" si="3"/>
        <v/>
      </c>
    </row>
    <row r="816" ht="15.75" customHeight="1">
      <c r="J816" s="39"/>
      <c r="M816" s="39" t="str">
        <f t="shared" si="3"/>
        <v/>
      </c>
    </row>
    <row r="817" ht="15.75" customHeight="1">
      <c r="J817" s="39"/>
      <c r="M817" s="39" t="str">
        <f t="shared" si="3"/>
        <v/>
      </c>
    </row>
    <row r="818" ht="15.75" customHeight="1">
      <c r="J818" s="39"/>
      <c r="M818" s="39" t="str">
        <f t="shared" si="3"/>
        <v/>
      </c>
    </row>
    <row r="819" ht="15.75" customHeight="1">
      <c r="J819" s="39"/>
      <c r="M819" s="39" t="str">
        <f t="shared" si="3"/>
        <v/>
      </c>
    </row>
    <row r="820" ht="15.75" customHeight="1">
      <c r="J820" s="39"/>
      <c r="M820" s="39" t="str">
        <f t="shared" si="3"/>
        <v/>
      </c>
    </row>
    <row r="821" ht="15.75" customHeight="1">
      <c r="J821" s="39"/>
      <c r="M821" s="39" t="str">
        <f t="shared" si="3"/>
        <v/>
      </c>
    </row>
    <row r="822" ht="15.75" customHeight="1">
      <c r="J822" s="39"/>
      <c r="M822" s="39" t="str">
        <f t="shared" si="3"/>
        <v/>
      </c>
    </row>
    <row r="823" ht="15.75" customHeight="1">
      <c r="J823" s="39"/>
      <c r="M823" s="39" t="str">
        <f t="shared" si="3"/>
        <v/>
      </c>
    </row>
    <row r="824" ht="15.75" customHeight="1">
      <c r="J824" s="39"/>
      <c r="M824" s="39" t="str">
        <f t="shared" si="3"/>
        <v/>
      </c>
    </row>
    <row r="825" ht="15.75" customHeight="1">
      <c r="J825" s="39"/>
      <c r="M825" s="39" t="str">
        <f t="shared" si="3"/>
        <v/>
      </c>
    </row>
    <row r="826" ht="15.75" customHeight="1">
      <c r="J826" s="39"/>
      <c r="M826" s="39" t="str">
        <f t="shared" si="3"/>
        <v/>
      </c>
    </row>
    <row r="827" ht="15.75" customHeight="1">
      <c r="J827" s="39"/>
      <c r="M827" s="39" t="str">
        <f t="shared" si="3"/>
        <v/>
      </c>
    </row>
    <row r="828" ht="15.75" customHeight="1">
      <c r="J828" s="39"/>
      <c r="M828" s="39" t="str">
        <f t="shared" si="3"/>
        <v/>
      </c>
    </row>
    <row r="829" ht="15.75" customHeight="1">
      <c r="J829" s="39"/>
      <c r="M829" s="39" t="str">
        <f t="shared" si="3"/>
        <v/>
      </c>
    </row>
    <row r="830" ht="15.75" customHeight="1">
      <c r="J830" s="39"/>
      <c r="M830" s="39" t="str">
        <f t="shared" si="3"/>
        <v/>
      </c>
    </row>
    <row r="831" ht="15.75" customHeight="1">
      <c r="J831" s="39"/>
      <c r="M831" s="39" t="str">
        <f t="shared" si="3"/>
        <v/>
      </c>
    </row>
    <row r="832" ht="15.75" customHeight="1">
      <c r="J832" s="39"/>
      <c r="M832" s="39" t="str">
        <f t="shared" si="3"/>
        <v/>
      </c>
    </row>
    <row r="833" ht="15.75" customHeight="1">
      <c r="J833" s="39"/>
      <c r="M833" s="39" t="str">
        <f t="shared" si="3"/>
        <v/>
      </c>
    </row>
    <row r="834" ht="15.75" customHeight="1">
      <c r="J834" s="39"/>
      <c r="M834" s="39" t="str">
        <f t="shared" si="3"/>
        <v/>
      </c>
    </row>
    <row r="835" ht="15.75" customHeight="1">
      <c r="J835" s="39"/>
      <c r="M835" s="39" t="str">
        <f t="shared" si="3"/>
        <v/>
      </c>
    </row>
    <row r="836" ht="15.75" customHeight="1">
      <c r="J836" s="39"/>
      <c r="M836" s="39" t="str">
        <f t="shared" si="3"/>
        <v/>
      </c>
    </row>
    <row r="837" ht="15.75" customHeight="1">
      <c r="J837" s="39"/>
      <c r="M837" s="39" t="str">
        <f t="shared" si="3"/>
        <v/>
      </c>
    </row>
    <row r="838" ht="15.75" customHeight="1">
      <c r="J838" s="39"/>
      <c r="M838" s="39" t="str">
        <f t="shared" si="3"/>
        <v/>
      </c>
    </row>
    <row r="839" ht="15.75" customHeight="1">
      <c r="J839" s="39"/>
      <c r="M839" s="39" t="str">
        <f t="shared" si="3"/>
        <v/>
      </c>
    </row>
    <row r="840" ht="15.75" customHeight="1">
      <c r="J840" s="39"/>
      <c r="M840" s="39" t="str">
        <f t="shared" si="3"/>
        <v/>
      </c>
    </row>
    <row r="841" ht="15.75" customHeight="1">
      <c r="J841" s="39"/>
      <c r="M841" s="39" t="str">
        <f t="shared" si="3"/>
        <v/>
      </c>
    </row>
    <row r="842" ht="15.75" customHeight="1">
      <c r="J842" s="39"/>
      <c r="M842" s="39" t="str">
        <f t="shared" si="3"/>
        <v/>
      </c>
    </row>
    <row r="843" ht="15.75" customHeight="1">
      <c r="J843" s="39"/>
      <c r="M843" s="39" t="str">
        <f t="shared" si="3"/>
        <v/>
      </c>
    </row>
    <row r="844" ht="15.75" customHeight="1">
      <c r="J844" s="39"/>
      <c r="M844" s="39" t="str">
        <f t="shared" si="3"/>
        <v/>
      </c>
    </row>
    <row r="845" ht="15.75" customHeight="1">
      <c r="J845" s="39"/>
      <c r="M845" s="39" t="str">
        <f t="shared" si="3"/>
        <v/>
      </c>
    </row>
    <row r="846" ht="15.75" customHeight="1">
      <c r="J846" s="39"/>
      <c r="M846" s="39" t="str">
        <f t="shared" si="3"/>
        <v/>
      </c>
    </row>
    <row r="847" ht="15.75" customHeight="1">
      <c r="J847" s="39"/>
      <c r="M847" s="39" t="str">
        <f t="shared" si="3"/>
        <v/>
      </c>
    </row>
    <row r="848" ht="15.75" customHeight="1">
      <c r="J848" s="39"/>
      <c r="M848" s="39" t="str">
        <f t="shared" si="3"/>
        <v/>
      </c>
    </row>
    <row r="849" ht="15.75" customHeight="1">
      <c r="J849" s="39"/>
      <c r="M849" s="39" t="str">
        <f t="shared" si="3"/>
        <v/>
      </c>
    </row>
    <row r="850" ht="15.75" customHeight="1">
      <c r="J850" s="39"/>
      <c r="M850" s="39" t="str">
        <f t="shared" si="3"/>
        <v/>
      </c>
    </row>
    <row r="851" ht="15.75" customHeight="1">
      <c r="J851" s="39"/>
      <c r="M851" s="39" t="str">
        <f t="shared" si="3"/>
        <v/>
      </c>
    </row>
    <row r="852" ht="15.75" customHeight="1">
      <c r="J852" s="39"/>
      <c r="M852" s="39" t="str">
        <f t="shared" si="3"/>
        <v/>
      </c>
    </row>
    <row r="853" ht="15.75" customHeight="1">
      <c r="J853" s="39"/>
      <c r="M853" s="39" t="str">
        <f t="shared" si="3"/>
        <v/>
      </c>
    </row>
    <row r="854" ht="15.75" customHeight="1">
      <c r="J854" s="39"/>
      <c r="M854" s="39" t="str">
        <f t="shared" si="3"/>
        <v/>
      </c>
    </row>
    <row r="855" ht="15.75" customHeight="1">
      <c r="J855" s="39"/>
      <c r="M855" s="39" t="str">
        <f t="shared" si="3"/>
        <v/>
      </c>
    </row>
    <row r="856" ht="15.75" customHeight="1">
      <c r="J856" s="39"/>
      <c r="M856" s="39" t="str">
        <f t="shared" si="3"/>
        <v/>
      </c>
    </row>
    <row r="857" ht="15.75" customHeight="1">
      <c r="J857" s="39"/>
      <c r="M857" s="39" t="str">
        <f t="shared" si="3"/>
        <v/>
      </c>
    </row>
    <row r="858" ht="15.75" customHeight="1">
      <c r="J858" s="39"/>
      <c r="M858" s="39" t="str">
        <f t="shared" si="3"/>
        <v/>
      </c>
    </row>
    <row r="859" ht="15.75" customHeight="1">
      <c r="J859" s="39"/>
      <c r="M859" s="39" t="str">
        <f t="shared" si="3"/>
        <v/>
      </c>
    </row>
    <row r="860" ht="15.75" customHeight="1">
      <c r="J860" s="39"/>
      <c r="M860" s="39" t="str">
        <f t="shared" si="3"/>
        <v/>
      </c>
    </row>
    <row r="861" ht="15.75" customHeight="1">
      <c r="J861" s="39"/>
      <c r="M861" s="39" t="str">
        <f t="shared" si="3"/>
        <v/>
      </c>
    </row>
    <row r="862" ht="15.75" customHeight="1">
      <c r="J862" s="39"/>
      <c r="M862" s="39" t="str">
        <f t="shared" si="3"/>
        <v/>
      </c>
    </row>
    <row r="863" ht="15.75" customHeight="1">
      <c r="J863" s="39"/>
      <c r="M863" s="39" t="str">
        <f t="shared" si="3"/>
        <v/>
      </c>
    </row>
    <row r="864" ht="15.75" customHeight="1">
      <c r="J864" s="39"/>
      <c r="M864" s="39" t="str">
        <f t="shared" si="3"/>
        <v/>
      </c>
    </row>
    <row r="865" ht="15.75" customHeight="1">
      <c r="J865" s="39"/>
      <c r="M865" s="39" t="str">
        <f t="shared" si="3"/>
        <v/>
      </c>
    </row>
    <row r="866" ht="15.75" customHeight="1">
      <c r="J866" s="39"/>
      <c r="M866" s="39" t="str">
        <f t="shared" si="3"/>
        <v/>
      </c>
    </row>
    <row r="867" ht="15.75" customHeight="1">
      <c r="J867" s="39"/>
      <c r="M867" s="39" t="str">
        <f t="shared" si="3"/>
        <v/>
      </c>
    </row>
    <row r="868" ht="15.75" customHeight="1">
      <c r="J868" s="39"/>
      <c r="M868" s="39" t="str">
        <f t="shared" si="3"/>
        <v/>
      </c>
    </row>
    <row r="869" ht="15.75" customHeight="1">
      <c r="J869" s="39"/>
      <c r="M869" s="39" t="str">
        <f t="shared" si="3"/>
        <v/>
      </c>
    </row>
    <row r="870" ht="15.75" customHeight="1">
      <c r="J870" s="39"/>
      <c r="M870" s="39" t="str">
        <f t="shared" si="3"/>
        <v/>
      </c>
    </row>
    <row r="871" ht="15.75" customHeight="1">
      <c r="J871" s="39"/>
      <c r="M871" s="39" t="str">
        <f t="shared" si="3"/>
        <v/>
      </c>
    </row>
    <row r="872" ht="15.75" customHeight="1">
      <c r="J872" s="39"/>
      <c r="M872" s="39" t="str">
        <f t="shared" si="3"/>
        <v/>
      </c>
    </row>
    <row r="873" ht="15.75" customHeight="1">
      <c r="J873" s="39"/>
      <c r="M873" s="39" t="str">
        <f t="shared" si="3"/>
        <v/>
      </c>
    </row>
    <row r="874" ht="15.75" customHeight="1">
      <c r="J874" s="39"/>
      <c r="M874" s="39" t="str">
        <f t="shared" si="3"/>
        <v/>
      </c>
    </row>
    <row r="875" ht="15.75" customHeight="1">
      <c r="J875" s="39"/>
      <c r="M875" s="39" t="str">
        <f t="shared" si="3"/>
        <v/>
      </c>
    </row>
    <row r="876" ht="15.75" customHeight="1">
      <c r="J876" s="39"/>
      <c r="M876" s="39" t="str">
        <f t="shared" si="3"/>
        <v/>
      </c>
    </row>
    <row r="877" ht="15.75" customHeight="1">
      <c r="J877" s="39"/>
      <c r="M877" s="39" t="str">
        <f t="shared" si="3"/>
        <v/>
      </c>
    </row>
    <row r="878" ht="15.75" customHeight="1">
      <c r="J878" s="39"/>
      <c r="M878" s="39" t="str">
        <f t="shared" si="3"/>
        <v/>
      </c>
    </row>
    <row r="879" ht="15.75" customHeight="1">
      <c r="J879" s="39"/>
      <c r="M879" s="39" t="str">
        <f t="shared" si="3"/>
        <v/>
      </c>
    </row>
    <row r="880" ht="15.75" customHeight="1">
      <c r="J880" s="39"/>
      <c r="M880" s="39" t="str">
        <f t="shared" si="3"/>
        <v/>
      </c>
    </row>
    <row r="881" ht="15.75" customHeight="1">
      <c r="J881" s="39"/>
      <c r="M881" s="39" t="str">
        <f t="shared" si="3"/>
        <v/>
      </c>
    </row>
    <row r="882" ht="15.75" customHeight="1">
      <c r="J882" s="39"/>
      <c r="M882" s="39" t="str">
        <f t="shared" si="3"/>
        <v/>
      </c>
    </row>
    <row r="883" ht="15.75" customHeight="1">
      <c r="J883" s="39"/>
      <c r="M883" s="39" t="str">
        <f t="shared" si="3"/>
        <v/>
      </c>
    </row>
    <row r="884" ht="15.75" customHeight="1">
      <c r="J884" s="39"/>
      <c r="M884" s="39" t="str">
        <f t="shared" si="3"/>
        <v/>
      </c>
    </row>
    <row r="885" ht="15.75" customHeight="1">
      <c r="J885" s="39"/>
      <c r="M885" s="39" t="str">
        <f t="shared" si="3"/>
        <v/>
      </c>
    </row>
    <row r="886" ht="15.75" customHeight="1">
      <c r="J886" s="39"/>
      <c r="M886" s="39" t="str">
        <f t="shared" si="3"/>
        <v/>
      </c>
    </row>
    <row r="887" ht="15.75" customHeight="1">
      <c r="J887" s="39"/>
      <c r="M887" s="39" t="str">
        <f t="shared" si="3"/>
        <v/>
      </c>
    </row>
    <row r="888" ht="15.75" customHeight="1">
      <c r="J888" s="39"/>
      <c r="M888" s="39" t="str">
        <f t="shared" si="3"/>
        <v/>
      </c>
    </row>
    <row r="889" ht="15.75" customHeight="1">
      <c r="J889" s="39"/>
      <c r="M889" s="39" t="str">
        <f t="shared" si="3"/>
        <v/>
      </c>
    </row>
    <row r="890" ht="15.75" customHeight="1">
      <c r="J890" s="39"/>
      <c r="M890" s="39" t="str">
        <f t="shared" si="3"/>
        <v/>
      </c>
    </row>
    <row r="891" ht="15.75" customHeight="1">
      <c r="J891" s="39"/>
      <c r="M891" s="39" t="str">
        <f t="shared" si="3"/>
        <v/>
      </c>
    </row>
    <row r="892" ht="15.75" customHeight="1">
      <c r="J892" s="39"/>
      <c r="M892" s="39" t="str">
        <f t="shared" si="3"/>
        <v/>
      </c>
    </row>
    <row r="893" ht="15.75" customHeight="1">
      <c r="J893" s="39"/>
      <c r="M893" s="39" t="str">
        <f t="shared" si="3"/>
        <v/>
      </c>
    </row>
    <row r="894" ht="15.75" customHeight="1">
      <c r="J894" s="39"/>
      <c r="M894" s="39" t="str">
        <f t="shared" si="3"/>
        <v/>
      </c>
    </row>
    <row r="895" ht="15.75" customHeight="1">
      <c r="J895" s="39"/>
      <c r="M895" s="39" t="str">
        <f t="shared" si="3"/>
        <v/>
      </c>
    </row>
    <row r="896" ht="15.75" customHeight="1">
      <c r="J896" s="39"/>
      <c r="M896" s="39" t="str">
        <f t="shared" si="3"/>
        <v/>
      </c>
    </row>
    <row r="897" ht="15.75" customHeight="1">
      <c r="J897" s="39"/>
      <c r="M897" s="39" t="str">
        <f t="shared" si="3"/>
        <v/>
      </c>
    </row>
    <row r="898" ht="15.75" customHeight="1">
      <c r="J898" s="39"/>
      <c r="M898" s="39" t="str">
        <f t="shared" si="3"/>
        <v/>
      </c>
    </row>
    <row r="899" ht="15.75" customHeight="1">
      <c r="J899" s="39"/>
      <c r="M899" s="39" t="str">
        <f t="shared" si="3"/>
        <v/>
      </c>
    </row>
    <row r="900" ht="15.75" customHeight="1">
      <c r="J900" s="39"/>
      <c r="M900" s="39" t="str">
        <f t="shared" si="3"/>
        <v/>
      </c>
    </row>
    <row r="901" ht="15.75" customHeight="1">
      <c r="J901" s="39"/>
      <c r="M901" s="39" t="str">
        <f t="shared" si="3"/>
        <v/>
      </c>
    </row>
    <row r="902" ht="15.75" customHeight="1">
      <c r="J902" s="39"/>
      <c r="M902" s="39" t="str">
        <f t="shared" si="3"/>
        <v/>
      </c>
    </row>
    <row r="903" ht="15.75" customHeight="1">
      <c r="J903" s="39"/>
      <c r="M903" s="39" t="str">
        <f t="shared" si="3"/>
        <v/>
      </c>
    </row>
    <row r="904" ht="15.75" customHeight="1">
      <c r="J904" s="39"/>
      <c r="M904" s="39" t="str">
        <f t="shared" si="3"/>
        <v/>
      </c>
    </row>
    <row r="905" ht="15.75" customHeight="1">
      <c r="J905" s="39"/>
      <c r="M905" s="39" t="str">
        <f t="shared" si="3"/>
        <v/>
      </c>
    </row>
    <row r="906" ht="15.75" customHeight="1">
      <c r="J906" s="39"/>
      <c r="M906" s="39" t="str">
        <f t="shared" si="3"/>
        <v/>
      </c>
    </row>
    <row r="907" ht="15.75" customHeight="1">
      <c r="J907" s="39"/>
      <c r="M907" s="39" t="str">
        <f t="shared" si="3"/>
        <v/>
      </c>
    </row>
    <row r="908" ht="15.75" customHeight="1">
      <c r="J908" s="39"/>
      <c r="M908" s="39" t="str">
        <f t="shared" si="3"/>
        <v/>
      </c>
    </row>
    <row r="909" ht="15.75" customHeight="1">
      <c r="J909" s="39"/>
      <c r="M909" s="39" t="str">
        <f t="shared" si="3"/>
        <v/>
      </c>
    </row>
    <row r="910" ht="15.75" customHeight="1">
      <c r="J910" s="39"/>
      <c r="M910" s="39" t="str">
        <f t="shared" si="3"/>
        <v/>
      </c>
    </row>
    <row r="911" ht="15.75" customHeight="1">
      <c r="J911" s="39"/>
      <c r="M911" s="39" t="str">
        <f t="shared" si="3"/>
        <v/>
      </c>
    </row>
    <row r="912" ht="15.75" customHeight="1">
      <c r="J912" s="39"/>
      <c r="M912" s="39" t="str">
        <f t="shared" si="3"/>
        <v/>
      </c>
    </row>
    <row r="913" ht="15.75" customHeight="1">
      <c r="J913" s="39"/>
      <c r="M913" s="39" t="str">
        <f t="shared" si="3"/>
        <v/>
      </c>
    </row>
    <row r="914" ht="15.75" customHeight="1">
      <c r="J914" s="39"/>
      <c r="M914" s="39" t="str">
        <f t="shared" si="3"/>
        <v/>
      </c>
    </row>
    <row r="915" ht="15.75" customHeight="1">
      <c r="J915" s="39"/>
      <c r="M915" s="39" t="str">
        <f t="shared" si="3"/>
        <v/>
      </c>
    </row>
    <row r="916" ht="15.75" customHeight="1">
      <c r="J916" s="39"/>
      <c r="M916" s="39" t="str">
        <f t="shared" si="3"/>
        <v/>
      </c>
    </row>
    <row r="917" ht="15.75" customHeight="1">
      <c r="J917" s="39"/>
      <c r="M917" s="39" t="str">
        <f t="shared" si="3"/>
        <v/>
      </c>
    </row>
    <row r="918" ht="15.75" customHeight="1">
      <c r="J918" s="39"/>
      <c r="M918" s="39" t="str">
        <f t="shared" si="3"/>
        <v/>
      </c>
    </row>
    <row r="919" ht="15.75" customHeight="1">
      <c r="J919" s="39"/>
      <c r="M919" s="39" t="str">
        <f t="shared" si="3"/>
        <v/>
      </c>
    </row>
    <row r="920" ht="15.75" customHeight="1">
      <c r="J920" s="39"/>
      <c r="M920" s="39" t="str">
        <f t="shared" si="3"/>
        <v/>
      </c>
    </row>
    <row r="921" ht="15.75" customHeight="1">
      <c r="J921" s="39"/>
      <c r="M921" s="39" t="str">
        <f t="shared" si="3"/>
        <v/>
      </c>
    </row>
    <row r="922" ht="15.75" customHeight="1">
      <c r="J922" s="39"/>
      <c r="M922" s="39" t="str">
        <f t="shared" si="3"/>
        <v/>
      </c>
    </row>
    <row r="923" ht="15.75" customHeight="1">
      <c r="J923" s="39"/>
      <c r="M923" s="39" t="str">
        <f t="shared" si="3"/>
        <v/>
      </c>
    </row>
    <row r="924" ht="15.75" customHeight="1">
      <c r="J924" s="39"/>
      <c r="M924" s="39" t="str">
        <f t="shared" si="3"/>
        <v/>
      </c>
    </row>
    <row r="925" ht="15.75" customHeight="1">
      <c r="J925" s="39"/>
      <c r="M925" s="39" t="str">
        <f t="shared" si="3"/>
        <v/>
      </c>
    </row>
    <row r="926" ht="15.75" customHeight="1">
      <c r="J926" s="39"/>
      <c r="M926" s="39" t="str">
        <f t="shared" si="3"/>
        <v/>
      </c>
    </row>
    <row r="927" ht="15.75" customHeight="1">
      <c r="J927" s="39"/>
      <c r="M927" s="39" t="str">
        <f t="shared" si="3"/>
        <v/>
      </c>
    </row>
    <row r="928" ht="15.75" customHeight="1">
      <c r="J928" s="39"/>
      <c r="M928" s="39" t="str">
        <f t="shared" si="3"/>
        <v/>
      </c>
    </row>
    <row r="929" ht="15.75" customHeight="1">
      <c r="J929" s="39"/>
      <c r="M929" s="39" t="str">
        <f t="shared" si="3"/>
        <v/>
      </c>
    </row>
    <row r="930" ht="15.75" customHeight="1">
      <c r="J930" s="39"/>
      <c r="M930" s="39" t="str">
        <f t="shared" si="3"/>
        <v/>
      </c>
    </row>
    <row r="931" ht="15.75" customHeight="1">
      <c r="J931" s="39"/>
      <c r="M931" s="39" t="str">
        <f t="shared" si="3"/>
        <v/>
      </c>
    </row>
    <row r="932" ht="15.75" customHeight="1">
      <c r="J932" s="39"/>
      <c r="M932" s="39" t="str">
        <f t="shared" si="3"/>
        <v/>
      </c>
    </row>
    <row r="933" ht="15.75" customHeight="1">
      <c r="J933" s="39"/>
      <c r="M933" s="39" t="str">
        <f t="shared" si="3"/>
        <v/>
      </c>
    </row>
    <row r="934" ht="15.75" customHeight="1">
      <c r="J934" s="39"/>
      <c r="M934" s="39" t="str">
        <f t="shared" si="3"/>
        <v/>
      </c>
    </row>
    <row r="935" ht="15.75" customHeight="1">
      <c r="J935" s="39"/>
      <c r="M935" s="39" t="str">
        <f t="shared" si="3"/>
        <v/>
      </c>
    </row>
    <row r="936" ht="15.75" customHeight="1">
      <c r="J936" s="39"/>
      <c r="M936" s="39" t="str">
        <f t="shared" si="3"/>
        <v/>
      </c>
    </row>
    <row r="937" ht="15.75" customHeight="1">
      <c r="J937" s="39"/>
      <c r="M937" s="39" t="str">
        <f t="shared" si="3"/>
        <v/>
      </c>
    </row>
    <row r="938" ht="15.75" customHeight="1">
      <c r="J938" s="39"/>
      <c r="M938" s="39" t="str">
        <f t="shared" si="3"/>
        <v/>
      </c>
    </row>
    <row r="939" ht="15.75" customHeight="1">
      <c r="J939" s="39"/>
      <c r="M939" s="39" t="str">
        <f t="shared" si="3"/>
        <v/>
      </c>
    </row>
    <row r="940" ht="15.75" customHeight="1">
      <c r="J940" s="39"/>
      <c r="M940" s="39" t="str">
        <f t="shared" si="3"/>
        <v/>
      </c>
    </row>
    <row r="941" ht="15.75" customHeight="1">
      <c r="J941" s="39"/>
      <c r="M941" s="39" t="str">
        <f t="shared" si="3"/>
        <v/>
      </c>
    </row>
    <row r="942" ht="15.75" customHeight="1">
      <c r="J942" s="39"/>
      <c r="M942" s="39" t="str">
        <f t="shared" si="3"/>
        <v/>
      </c>
    </row>
    <row r="943" ht="15.75" customHeight="1">
      <c r="J943" s="39"/>
      <c r="M943" s="39" t="str">
        <f t="shared" si="3"/>
        <v/>
      </c>
    </row>
    <row r="944" ht="15.75" customHeight="1">
      <c r="J944" s="39"/>
      <c r="M944" s="39" t="str">
        <f t="shared" si="3"/>
        <v/>
      </c>
    </row>
    <row r="945" ht="15.75" customHeight="1">
      <c r="J945" s="39"/>
      <c r="M945" s="39" t="str">
        <f t="shared" si="3"/>
        <v/>
      </c>
    </row>
    <row r="946" ht="15.75" customHeight="1">
      <c r="J946" s="39"/>
      <c r="M946" s="39" t="str">
        <f t="shared" si="3"/>
        <v/>
      </c>
    </row>
    <row r="947" ht="15.75" customHeight="1">
      <c r="J947" s="39"/>
      <c r="M947" s="39" t="str">
        <f t="shared" si="3"/>
        <v/>
      </c>
    </row>
    <row r="948" ht="15.75" customHeight="1">
      <c r="J948" s="39"/>
      <c r="M948" s="39" t="str">
        <f t="shared" si="3"/>
        <v/>
      </c>
    </row>
    <row r="949" ht="15.75" customHeight="1">
      <c r="J949" s="39"/>
      <c r="M949" s="39" t="str">
        <f t="shared" si="3"/>
        <v/>
      </c>
    </row>
    <row r="950" ht="15.75" customHeight="1">
      <c r="J950" s="39"/>
      <c r="M950" s="39" t="str">
        <f t="shared" si="3"/>
        <v/>
      </c>
    </row>
    <row r="951" ht="15.75" customHeight="1">
      <c r="J951" s="39"/>
      <c r="M951" s="39" t="str">
        <f t="shared" si="3"/>
        <v/>
      </c>
    </row>
    <row r="952" ht="15.75" customHeight="1">
      <c r="J952" s="39"/>
      <c r="M952" s="39" t="str">
        <f t="shared" si="3"/>
        <v/>
      </c>
    </row>
    <row r="953" ht="15.75" customHeight="1">
      <c r="J953" s="39"/>
      <c r="M953" s="39" t="str">
        <f t="shared" si="3"/>
        <v/>
      </c>
    </row>
    <row r="954" ht="15.75" customHeight="1">
      <c r="J954" s="39"/>
      <c r="M954" s="39" t="str">
        <f t="shared" si="3"/>
        <v/>
      </c>
    </row>
    <row r="955" ht="15.75" customHeight="1">
      <c r="J955" s="39"/>
      <c r="M955" s="39" t="str">
        <f t="shared" si="3"/>
        <v/>
      </c>
    </row>
    <row r="956" ht="15.75" customHeight="1">
      <c r="J956" s="39"/>
      <c r="M956" s="39" t="str">
        <f t="shared" si="3"/>
        <v/>
      </c>
    </row>
    <row r="957" ht="15.75" customHeight="1">
      <c r="J957" s="39"/>
      <c r="M957" s="39" t="str">
        <f t="shared" si="3"/>
        <v/>
      </c>
    </row>
    <row r="958" ht="15.75" customHeight="1">
      <c r="J958" s="39"/>
      <c r="M958" s="39" t="str">
        <f t="shared" si="3"/>
        <v/>
      </c>
    </row>
    <row r="959" ht="15.75" customHeight="1">
      <c r="J959" s="39"/>
      <c r="M959" s="39" t="str">
        <f t="shared" si="3"/>
        <v/>
      </c>
    </row>
    <row r="960" ht="15.75" customHeight="1">
      <c r="J960" s="39"/>
      <c r="M960" s="39" t="str">
        <f t="shared" si="3"/>
        <v/>
      </c>
    </row>
    <row r="961" ht="15.75" customHeight="1">
      <c r="J961" s="39"/>
      <c r="M961" s="39" t="str">
        <f t="shared" si="3"/>
        <v/>
      </c>
    </row>
    <row r="962" ht="15.75" customHeight="1">
      <c r="J962" s="39"/>
      <c r="M962" s="39" t="str">
        <f t="shared" si="3"/>
        <v/>
      </c>
    </row>
    <row r="963" ht="15.75" customHeight="1">
      <c r="J963" s="39"/>
      <c r="M963" s="39" t="str">
        <f t="shared" si="3"/>
        <v/>
      </c>
    </row>
    <row r="964" ht="15.75" customHeight="1">
      <c r="J964" s="39"/>
      <c r="M964" s="39" t="str">
        <f t="shared" si="3"/>
        <v/>
      </c>
    </row>
    <row r="965" ht="15.75" customHeight="1">
      <c r="J965" s="39"/>
      <c r="M965" s="39" t="str">
        <f t="shared" si="3"/>
        <v/>
      </c>
    </row>
    <row r="966" ht="15.75" customHeight="1">
      <c r="J966" s="39"/>
      <c r="M966" s="39" t="str">
        <f t="shared" si="3"/>
        <v/>
      </c>
    </row>
    <row r="967" ht="15.75" customHeight="1">
      <c r="J967" s="39"/>
      <c r="M967" s="39" t="str">
        <f t="shared" si="3"/>
        <v/>
      </c>
    </row>
    <row r="968" ht="15.75" customHeight="1">
      <c r="J968" s="39"/>
      <c r="M968" s="39" t="str">
        <f t="shared" si="3"/>
        <v/>
      </c>
    </row>
    <row r="969" ht="15.75" customHeight="1">
      <c r="J969" s="39"/>
      <c r="M969" s="39" t="str">
        <f t="shared" si="3"/>
        <v/>
      </c>
    </row>
    <row r="970" ht="15.75" customHeight="1">
      <c r="J970" s="39"/>
      <c r="M970" s="39" t="str">
        <f t="shared" si="3"/>
        <v/>
      </c>
    </row>
    <row r="971" ht="15.75" customHeight="1">
      <c r="J971" s="39"/>
      <c r="M971" s="39" t="str">
        <f t="shared" si="3"/>
        <v/>
      </c>
    </row>
    <row r="972" ht="15.75" customHeight="1">
      <c r="J972" s="39"/>
      <c r="M972" s="39" t="str">
        <f t="shared" si="3"/>
        <v/>
      </c>
    </row>
    <row r="973" ht="15.75" customHeight="1">
      <c r="J973" s="39"/>
      <c r="M973" s="39" t="str">
        <f t="shared" si="3"/>
        <v/>
      </c>
    </row>
    <row r="974" ht="15.75" customHeight="1">
      <c r="J974" s="39"/>
      <c r="M974" s="39" t="str">
        <f t="shared" si="3"/>
        <v/>
      </c>
    </row>
    <row r="975" ht="15.75" customHeight="1">
      <c r="J975" s="39"/>
      <c r="M975" s="39" t="str">
        <f t="shared" si="3"/>
        <v/>
      </c>
    </row>
    <row r="976" ht="15.75" customHeight="1">
      <c r="J976" s="39"/>
      <c r="M976" s="39" t="str">
        <f t="shared" si="3"/>
        <v/>
      </c>
    </row>
    <row r="977" ht="15.75" customHeight="1">
      <c r="J977" s="39"/>
      <c r="M977" s="39" t="str">
        <f t="shared" si="3"/>
        <v/>
      </c>
    </row>
    <row r="978" ht="15.75" customHeight="1">
      <c r="J978" s="39"/>
      <c r="M978" s="39" t="str">
        <f t="shared" si="3"/>
        <v/>
      </c>
    </row>
    <row r="979" ht="15.75" customHeight="1">
      <c r="J979" s="39"/>
      <c r="M979" s="39" t="str">
        <f t="shared" si="3"/>
        <v/>
      </c>
    </row>
    <row r="980" ht="15.75" customHeight="1">
      <c r="J980" s="39"/>
      <c r="M980" s="39" t="str">
        <f t="shared" si="3"/>
        <v/>
      </c>
    </row>
    <row r="981" ht="15.75" customHeight="1">
      <c r="J981" s="39"/>
      <c r="M981" s="39" t="str">
        <f t="shared" si="3"/>
        <v/>
      </c>
    </row>
    <row r="982" ht="15.75" customHeight="1">
      <c r="J982" s="39"/>
      <c r="M982" s="39" t="str">
        <f t="shared" si="3"/>
        <v/>
      </c>
    </row>
    <row r="983" ht="15.75" customHeight="1">
      <c r="J983" s="39"/>
      <c r="M983" s="39" t="str">
        <f t="shared" si="3"/>
        <v/>
      </c>
    </row>
    <row r="984" ht="15.75" customHeight="1">
      <c r="J984" s="39"/>
      <c r="M984" s="39" t="str">
        <f t="shared" si="3"/>
        <v/>
      </c>
    </row>
    <row r="985" ht="15.75" customHeight="1">
      <c r="J985" s="39"/>
      <c r="M985" s="39" t="str">
        <f t="shared" si="3"/>
        <v/>
      </c>
    </row>
    <row r="986" ht="15.75" customHeight="1">
      <c r="J986" s="39"/>
      <c r="M986" s="39" t="str">
        <f t="shared" si="3"/>
        <v/>
      </c>
    </row>
    <row r="987" ht="15.75" customHeight="1">
      <c r="J987" s="39"/>
      <c r="M987" s="39" t="str">
        <f t="shared" si="3"/>
        <v/>
      </c>
    </row>
    <row r="988" ht="15.75" customHeight="1">
      <c r="J988" s="39"/>
      <c r="M988" s="39" t="str">
        <f t="shared" si="3"/>
        <v/>
      </c>
    </row>
    <row r="989" ht="15.75" customHeight="1">
      <c r="J989" s="39"/>
      <c r="M989" s="39" t="str">
        <f t="shared" si="3"/>
        <v/>
      </c>
    </row>
    <row r="990" ht="15.75" customHeight="1">
      <c r="J990" s="39"/>
      <c r="M990" s="39" t="str">
        <f t="shared" si="3"/>
        <v/>
      </c>
    </row>
    <row r="991" ht="15.75" customHeight="1">
      <c r="J991" s="39"/>
      <c r="M991" s="39" t="str">
        <f t="shared" si="3"/>
        <v/>
      </c>
    </row>
    <row r="992" ht="15.75" customHeight="1">
      <c r="J992" s="39"/>
      <c r="M992" s="39" t="str">
        <f t="shared" si="3"/>
        <v/>
      </c>
    </row>
    <row r="993" ht="15.75" customHeight="1">
      <c r="J993" s="39"/>
      <c r="M993" s="39" t="str">
        <f t="shared" si="3"/>
        <v/>
      </c>
    </row>
    <row r="994" ht="15.75" customHeight="1">
      <c r="J994" s="39"/>
      <c r="M994" s="39" t="str">
        <f t="shared" si="3"/>
        <v/>
      </c>
    </row>
    <row r="995" ht="15.75" customHeight="1">
      <c r="J995" s="39"/>
      <c r="M995" s="39" t="str">
        <f t="shared" si="3"/>
        <v/>
      </c>
    </row>
    <row r="996" ht="15.75" customHeight="1">
      <c r="J996" s="39"/>
      <c r="M996" s="39" t="str">
        <f t="shared" si="3"/>
        <v/>
      </c>
    </row>
    <row r="997" ht="15.75" customHeight="1">
      <c r="J997" s="39"/>
      <c r="M997" s="39" t="str">
        <f t="shared" si="3"/>
        <v/>
      </c>
    </row>
    <row r="998" ht="15.75" customHeight="1">
      <c r="J998" s="39"/>
      <c r="M998" s="39" t="str">
        <f t="shared" si="3"/>
        <v/>
      </c>
    </row>
    <row r="999" ht="15.75" customHeight="1">
      <c r="J999" s="39"/>
      <c r="M999" s="39" t="str">
        <f t="shared" si="3"/>
        <v/>
      </c>
    </row>
    <row r="1000" ht="15.75" customHeight="1">
      <c r="J1000" s="39"/>
      <c r="M1000" s="39" t="str">
        <f t="shared" si="3"/>
        <v/>
      </c>
    </row>
  </sheetData>
  <dataValidations>
    <dataValidation type="list" allowBlank="1" sqref="J2:J1000">
      <formula1>"Approve,Deny"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2026-02-19T03:27:25Z</dcterms:created>
  <dc:creator>openpyxl</dc:creator>
</cp:coreProperties>
</file>